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queryTables/queryTable7.xml" ContentType="application/vnd.openxmlformats-officedocument.spreadsheetml.queryTable+xml"/>
  <Override PartName="/xl/tables/table17.xml" ContentType="application/vnd.openxmlformats-officedocument.spreadsheetml.table+xml"/>
  <Override PartName="/xl/queryTables/queryTable8.xml" ContentType="application/vnd.openxmlformats-officedocument.spreadsheetml.queryTable+xml"/>
  <Override PartName="/xl/tables/table18.xml" ContentType="application/vnd.openxmlformats-officedocument.spreadsheetml.table+xml"/>
  <Override PartName="/xl/queryTables/queryTable9.xml" ContentType="application/vnd.openxmlformats-officedocument.spreadsheetml.queryTable+xml"/>
  <Override PartName="/xl/tables/table19.xml" ContentType="application/vnd.openxmlformats-officedocument.spreadsheetml.table+xml"/>
  <Override PartName="/xl/queryTables/queryTable10.xml" ContentType="application/vnd.openxmlformats-officedocument.spreadsheetml.queryTable+xml"/>
  <Override PartName="/xl/tables/table20.xml" ContentType="application/vnd.openxmlformats-officedocument.spreadsheetml.table+xml"/>
  <Override PartName="/xl/queryTables/queryTable11.xml" ContentType="application/vnd.openxmlformats-officedocument.spreadsheetml.queryTable+xml"/>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tables/table26.xml" ContentType="application/vnd.openxmlformats-officedocument.spreadsheetml.table+xml"/>
  <Override PartName="/xl/queryTables/queryTable17.xml" ContentType="application/vnd.openxmlformats-officedocument.spreadsheetml.queryTable+xml"/>
  <Override PartName="/xl/tables/table27.xml" ContentType="application/vnd.openxmlformats-officedocument.spreadsheetml.table+xml"/>
  <Override PartName="/xl/queryTables/queryTable18.xml" ContentType="application/vnd.openxmlformats-officedocument.spreadsheetml.queryTable+xml"/>
  <Override PartName="/xl/tables/table28.xml" ContentType="application/vnd.openxmlformats-officedocument.spreadsheetml.table+xml"/>
  <Override PartName="/xl/queryTables/queryTable19.xml" ContentType="application/vnd.openxmlformats-officedocument.spreadsheetml.queryTable+xml"/>
  <Override PartName="/xl/tables/table29.xml" ContentType="application/vnd.openxmlformats-officedocument.spreadsheetml.table+xml"/>
  <Override PartName="/xl/queryTables/queryTable20.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tables/table33.xml" ContentType="application/vnd.openxmlformats-officedocument.spreadsheetml.table+xml"/>
  <Override PartName="/xl/queryTables/queryTable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userName="Zach Mueller" algorithmName="SHA-512" hashValue="dxP+PpK6szuGoGlu5qUfD0t1lEp0oeg2AnkHnu6ojCmFdAXdZqN7NmFg2x1HpIJs5mFpmCr+TtmCsGNEppj3kA==" saltValue="ls+z2aStqJp4WJAqm/mYOA==" spinCount="100000"/>
  <workbookPr codeName="ThisWorkbook" defaultThemeVersion="124226"/>
  <mc:AlternateContent xmlns:mc="http://schemas.openxmlformats.org/markup-compatibility/2006">
    <mc:Choice Requires="x15">
      <x15ac:absPath xmlns:x15ac="http://schemas.microsoft.com/office/spreadsheetml/2010/11/ac" url="C:\Users\zach\Documents\GitHub\budget-system\excel\"/>
    </mc:Choice>
  </mc:AlternateContent>
  <workbookProtection workbookAlgorithmName="SHA-512" workbookHashValue="3n+puf2NIqpR90yMdN+37GWpwZZ2R6B3ELU9B5bIGWs/7cr2ycwc9JzxK2c7/lrk6aHQhBoIXhLxmVqd6Az3/w==" workbookSaltValue="pNcZeWkzGjjLToyUoivWAg==" workbookSpinCount="100000" lockStructure="1"/>
  <bookViews>
    <workbookView xWindow="720" yWindow="360" windowWidth="14640" windowHeight="9770" tabRatio="534"/>
  </bookViews>
  <sheets>
    <sheet name="US or INTL" sheetId="54" r:id="rId1"/>
    <sheet name="Create" sheetId="53" state="veryHidden" r:id="rId2"/>
    <sheet name="Slicers" sheetId="1" state="veryHidden" r:id="rId3"/>
    <sheet name="Collapsed P&amp;L" sheetId="2" state="veryHidden" r:id="rId4"/>
    <sheet name="Detailed P&amp;L" sheetId="3" state="veryHidden" r:id="rId5"/>
    <sheet name="Collapsed BTA" sheetId="40" state="veryHidden" r:id="rId6"/>
    <sheet name="Detailed BTA" sheetId="38" state="veryHidden" r:id="rId7"/>
    <sheet name="PT-All" sheetId="7" state="veryHidden" r:id="rId8"/>
    <sheet name="Local P&amp;L" sheetId="50" state="veryHidden" r:id="rId9"/>
    <sheet name="Inputs" sheetId="46" state="veryHidden" r:id="rId10"/>
    <sheet name="Expenses" sheetId="44" state="veryHidden" r:id="rId11"/>
    <sheet name="Revenue" sheetId="52" state="veryHidden" r:id="rId12"/>
    <sheet name="Headcount" sheetId="45" state="veryHidden" r:id="rId13"/>
    <sheet name="Assumptions" sheetId="51" state="veryHidden" r:id="rId14"/>
    <sheet name="Reference" sheetId="42" state="veryHidden" r:id="rId15"/>
    <sheet name="Actuals" sheetId="49" state="veryHidden" r:id="rId16"/>
  </sheets>
  <functionGroups builtInGroupCount="18"/>
  <definedNames>
    <definedName name="ActualDBDate">ActualStartDate[current_actuals_date]</definedName>
    <definedName name="ActualsDate">Inputs!$C$5</definedName>
    <definedName name="ActualsScenario" localSheetId="6">'Detailed BTA'!$H$15</definedName>
    <definedName name="ActualsStartDate" localSheetId="6">'Detailed BTA'!$B$9</definedName>
    <definedName name="ActualsStartMonth" localSheetId="10">Expenses!$Q$3</definedName>
    <definedName name="AddedRows" localSheetId="10">Expenses!$CP$6</definedName>
    <definedName name="AddedRows" localSheetId="12">Headcount!$AY$5</definedName>
    <definedName name="AddedRows" localSheetId="11">Revenue!$AZ$5</definedName>
    <definedName name="CurrencyDriver" localSheetId="6">'Detailed BTA'!$H$17</definedName>
    <definedName name="DateRange_Actual" localSheetId="10">Expenses!$Q$3:$AZ$3</definedName>
    <definedName name="DateRange_Dates" localSheetId="3">'Collapsed P&amp;L'!$C$10:$AL$10</definedName>
    <definedName name="DateRange_Dates" localSheetId="4">'Detailed P&amp;L'!$C$10:$AL$10</definedName>
    <definedName name="DateRange_Dates" localSheetId="9">Inputs!$D$7:$AM$7</definedName>
    <definedName name="DateRange_Dates" localSheetId="8">'Local P&amp;L'!$C$10:$AL$10</definedName>
    <definedName name="DateRange_Forecast" localSheetId="10">Expenses!$BB$3:$CK$3</definedName>
    <definedName name="DateRange_Forecast" localSheetId="12">Headcount!$L$3:$AU$3</definedName>
    <definedName name="DateRange_Forecast" localSheetId="11">Revenue!$M$3:$AV$3</definedName>
    <definedName name="DeptBU">DivisionMapping[dept_bu]</definedName>
    <definedName name="DriverDate" localSheetId="6">'Detailed BTA'!$H$11</definedName>
    <definedName name="DriverScenario" localSheetId="6">'Detailed BTA'!$I$15</definedName>
    <definedName name="DV_Business_Units">BusinessUnits[bu_name]</definedName>
    <definedName name="DV_Categories">Categories[category_name]</definedName>
    <definedName name="DV_Companies">Companies[company_name]</definedName>
    <definedName name="DV_CurrencyList">Currencies[currency_code]</definedName>
    <definedName name="DV_Departments">Departments[dept_name]</definedName>
    <definedName name="DV_Division">Divisions[division_name]</definedName>
    <definedName name="DV_Expense_Items">ExpItems[exp_item]</definedName>
    <definedName name="DV_Job_Titles">JobTitles[job_title]</definedName>
    <definedName name="DV_Locations">Locations[location_name]</definedName>
    <definedName name="DV_Products">Products[product_name]</definedName>
    <definedName name="DV_Revenue_Items">RevItems[rev_item]</definedName>
    <definedName name="DV_RevenueScenarios">RevenueScenarios[scenario_name]</definedName>
    <definedName name="DV_RevenueScenariosLocal">RevenueScenariosLocal[scenario_name]</definedName>
    <definedName name="DV_Scenarios">Scenarios[scenario_name]</definedName>
    <definedName name="DV_ScenariosProForma">ScenariosProForma[scenario_name]</definedName>
    <definedName name="DV_Team_Consolidation">TeamConsolidations[team_consolidation]</definedName>
    <definedName name="DV_Teams">Teams[team_name]</definedName>
    <definedName name="FileGroupName">Inputs!$C$3</definedName>
    <definedName name="FileID">Inputs!$A$1</definedName>
    <definedName name="Forecast_Currency">Inputs!$C$4</definedName>
    <definedName name="ForecastMethodLookup">Reference!$A$2:$B$6</definedName>
    <definedName name="ForecastMethods">Reference!$A$2:$A$6</definedName>
    <definedName name="ForecastStartDateValue">ForecastStartDate[start_date]</definedName>
    <definedName name="ForecastStartMonth" localSheetId="10">Expenses!$BB$3</definedName>
    <definedName name="HC_Base" localSheetId="12">Headcount!$B$395</definedName>
    <definedName name="HC_Bonus" localSheetId="12">Headcount!$B$500</definedName>
    <definedName name="HC_Commissions" localSheetId="12">Headcount!$B$605</definedName>
    <definedName name="HC_EBO" localSheetId="12">Headcount!$B$710</definedName>
    <definedName name="HC_ERC" localSheetId="12">Headcount!$B$815</definedName>
    <definedName name="HC_ETO" localSheetId="12">Headcount!$B$920</definedName>
    <definedName name="HC_HealthInsurance" localSheetId="12">Headcount!$B$1025</definedName>
    <definedName name="HC_LifeInsurance" localSheetId="12">Headcount!$B$1130</definedName>
    <definedName name="HC_Payroll" localSheetId="12">Headcount!$B$1340</definedName>
    <definedName name="HC_Training" localSheetId="12">Headcount!$B$1235</definedName>
    <definedName name="HeadcountEndMonth" localSheetId="12">Headcount!$AU$3</definedName>
    <definedName name="HeadcountStartMonth" localSheetId="12">Headcount!$L$3</definedName>
    <definedName name="Input_ActualEnd" localSheetId="9">Inputs!$I$1</definedName>
    <definedName name="Input_ActualOverrideDate" localSheetId="9">Inputs!$C$1</definedName>
    <definedName name="Input_ActualsOffset" localSheetId="10">Expenses!$B$5</definedName>
    <definedName name="Input_ActualStart" localSheetId="9">Inputs!$H$1</definedName>
    <definedName name="Input_FirstRow_Adjustment" localSheetId="10">Expenses!$A$71</definedName>
    <definedName name="Input_FirstRow_Base" localSheetId="12">Headcount!$B$396</definedName>
    <definedName name="Input_FirstRow_Bonus" localSheetId="12">Headcount!$B$501</definedName>
    <definedName name="Input_FirstRow_Cap" localSheetId="12">Headcount!$B$291</definedName>
    <definedName name="Input_FirstRow_Commissions">Headcount!$B$606</definedName>
    <definedName name="Input_FirstRow_EBO" localSheetId="12">Headcount!$B$711</definedName>
    <definedName name="Input_FirstRow_ERC" localSheetId="12">Headcount!$B$816</definedName>
    <definedName name="Input_FirstRow_ETO" localSheetId="12">Headcount!$B$921</definedName>
    <definedName name="Input_FirstRow_Health" localSheetId="12">Headcount!$B$1026</definedName>
    <definedName name="Input_FirstRow_Input" localSheetId="10">Expenses!$A$8</definedName>
    <definedName name="Input_FirstRow_Input" localSheetId="12">Headcount!$B$81</definedName>
    <definedName name="Input_FirstRow_Input" localSheetId="11">Revenue!$B$7</definedName>
    <definedName name="Input_FirstRow_Life" localSheetId="12">Headcount!$B$1131</definedName>
    <definedName name="Input_FirstRow_Payroll" localSheetId="12">Headcount!$B$1341</definedName>
    <definedName name="Input_FirstRow_Total" localSheetId="12">Headcount!$B$186</definedName>
    <definedName name="Input_FirstRow_Training" localSheetId="12">Headcount!$B$1236</definedName>
    <definedName name="Input_ForecastEnd" localSheetId="9">Inputs!$I$2</definedName>
    <definedName name="Input_ForecastStart" localSheetId="9">Inputs!$H$2</definedName>
    <definedName name="Input_IDColumn" localSheetId="10">Expenses!$CO$4</definedName>
    <definedName name="Input_IDColumn" localSheetId="12">Headcount!$AX$2</definedName>
    <definedName name="Input_IDColumn" localSheetId="11">Revenue!$AY$2</definedName>
    <definedName name="Input_LastRow_Adjustment" localSheetId="10">Expenses!$A$120</definedName>
    <definedName name="Input_LastRow_Base" localSheetId="12">Headcount!$B$496</definedName>
    <definedName name="Input_LastRow_Bonus" localSheetId="12">Headcount!$B$601</definedName>
    <definedName name="Input_LastRow_Cap" localSheetId="12">Headcount!$B$391</definedName>
    <definedName name="Input_LastRow_Commissions">Headcount!$B$706</definedName>
    <definedName name="Input_LastRow_EBO" localSheetId="12">Headcount!$B$811</definedName>
    <definedName name="Input_LastRow_ERC" localSheetId="12">Headcount!$B$916</definedName>
    <definedName name="Input_LastRow_ETO" localSheetId="12">Headcount!$B$1021</definedName>
    <definedName name="Input_LastRow_Health" localSheetId="12">Headcount!$B$1126</definedName>
    <definedName name="Input_LastRow_Input" localSheetId="10">Expenses!$A$57</definedName>
    <definedName name="Input_LastRow_Input" localSheetId="12">Headcount!$B$181</definedName>
    <definedName name="Input_LastRow_Input" localSheetId="11">Revenue!$B$57</definedName>
    <definedName name="Input_LastRow_Life" localSheetId="12">Headcount!$B$1231</definedName>
    <definedName name="Input_LastRow_Payroll" localSheetId="12">Headcount!$B$1441</definedName>
    <definedName name="Input_LastRow_Total" localSheetId="12">Headcount!$B$286</definedName>
    <definedName name="Input_LastRow_Training" localSheetId="12">Headcount!$B$1336</definedName>
    <definedName name="Input_SelectColumn" localSheetId="10">Expenses!$CP$4</definedName>
    <definedName name="Input_SelectColumn" localSheetId="12">Headcount!$AY$2</definedName>
    <definedName name="Input_SelectColumn" localSheetId="11">Revenue!$AZ$2</definedName>
    <definedName name="Input_SheetName" localSheetId="10">Expenses!$CP$5</definedName>
    <definedName name="Input_SheetName" localSheetId="12">Headcount!$AY$4</definedName>
    <definedName name="Input_SheetName" localSheetId="11">Revenue!$AZ$4</definedName>
    <definedName name="Input_StartRow" localSheetId="10">Expenses!$CP$8</definedName>
    <definedName name="Input_StartRow" localSheetId="12">Headcount!$AY$186</definedName>
    <definedName name="Input_StartRow" localSheetId="11">Revenue!$AZ$7</definedName>
    <definedName name="Input_StartRow_CapRates" localSheetId="12">Headcount!$AY$291</definedName>
    <definedName name="Input_StartRow_Commission">Headcount!$AY$78</definedName>
    <definedName name="Input_Valid" localSheetId="10">Expenses!$CN$5</definedName>
    <definedName name="Input_Valid" localSheetId="12">Headcount!$AW$4</definedName>
    <definedName name="Input_Valid" localSheetId="11">Revenue!$AX$4</definedName>
    <definedName name="Input_WorkbookName" localSheetId="10">Expenses!$CO$5</definedName>
    <definedName name="Input_WorkbookName" localSheetId="12">Headcount!$AX$4</definedName>
    <definedName name="Input_WorkbookName" localSheetId="11">Revenue!$AY$4</definedName>
    <definedName name="LastRefreshed_Actuals">Inputs!$B$25</definedName>
    <definedName name="LastRefreshed_Assumptions">Inputs!$B$21</definedName>
    <definedName name="LastRefreshed_PL">Inputs!$B$19</definedName>
    <definedName name="LastRefreshed_Push">Inputs!$B$27</definedName>
    <definedName name="LastRefreshed_References">Inputs!$B$23</definedName>
    <definedName name="LocalCurrency">'Local P&amp;L'!$B$9</definedName>
    <definedName name="MonthRow" localSheetId="3">'Collapsed P&amp;L'!$B$10</definedName>
    <definedName name="MonthRow" localSheetId="6">'Detailed BTA'!$B$10</definedName>
    <definedName name="MonthRow" localSheetId="4">'Detailed P&amp;L'!$B$10</definedName>
    <definedName name="MonthRow" localSheetId="8">'Local P&amp;L'!$B$10</definedName>
    <definedName name="Net_Income" localSheetId="3">'Collapsed P&amp;L'!$B$93</definedName>
    <definedName name="Net_Income" localSheetId="4">'Detailed P&amp;L'!$B$196</definedName>
    <definedName name="OutputCurrency">Inputs!$C$2</definedName>
    <definedName name="OutputOnly">Inputs!$A$2</definedName>
    <definedName name="OutputType" localSheetId="4">'Detailed P&amp;L'!$B$11</definedName>
    <definedName name="PLColumn" localSheetId="3">'Collapsed P&amp;L'!$B$9</definedName>
    <definedName name="PLColumn" localSheetId="6">'Detailed BTA'!$B$11</definedName>
    <definedName name="PLColumn" localSheetId="4">'Detailed P&amp;L'!$B$9</definedName>
    <definedName name="PLColumn" localSheetId="8">'Local P&amp;L'!$B$11</definedName>
    <definedName name="RevenueDriver" localSheetId="6">'Detailed BTA'!$I$12</definedName>
    <definedName name="RevenueSelection">Expenses!$H$2</definedName>
    <definedName name="ScenarioRow" localSheetId="5">'Collapsed BTA'!$B$11</definedName>
    <definedName name="ScenarioRow" localSheetId="3">'Collapsed P&amp;L'!$B$12</definedName>
    <definedName name="ScenarioRow" localSheetId="6">'Detailed BTA'!$B$15</definedName>
    <definedName name="ScenarioRow" localSheetId="4">'Detailed P&amp;L'!$B$12</definedName>
    <definedName name="ScenarioRow" localSheetId="8">'Local P&amp;L'!$B$12</definedName>
    <definedName name="SelectedCompany" localSheetId="3">'Collapsed P&amp;L'!$B$1</definedName>
    <definedName name="SelectedCompany" localSheetId="6">'Detailed BTA'!$B$1</definedName>
    <definedName name="SelectedCompany" localSheetId="4">'Detailed P&amp;L'!$B$1</definedName>
    <definedName name="SelectedCompany" localSheetId="8">'Local P&amp;L'!$B$1</definedName>
    <definedName name="SelectedDepartment" localSheetId="3">'Collapsed P&amp;L'!$B$4</definedName>
    <definedName name="SelectedDepartment" localSheetId="6">'Detailed BTA'!$B$4</definedName>
    <definedName name="SelectedDepartment" localSheetId="4">'Detailed P&amp;L'!$B$4</definedName>
    <definedName name="SelectedDepartment" localSheetId="8">'Local P&amp;L'!$B$4</definedName>
    <definedName name="SelectedDivision" localSheetId="3">'Collapsed P&amp;L'!$B$5</definedName>
    <definedName name="SelectedDivision" localSheetId="6">'Detailed BTA'!$B$5</definedName>
    <definedName name="SelectedDivision" localSheetId="4">'Detailed P&amp;L'!$B$5</definedName>
    <definedName name="SelectedDivision" localSheetId="8">'Local P&amp;L'!$B$5</definedName>
    <definedName name="SelectedLocation" localSheetId="3">'Collapsed P&amp;L'!$B$3</definedName>
    <definedName name="SelectedLocation" localSheetId="6">'Detailed BTA'!$B$3</definedName>
    <definedName name="SelectedLocation" localSheetId="4">'Detailed P&amp;L'!$B$3</definedName>
    <definedName name="SelectedLocation" localSheetId="8">'Local P&amp;L'!$B$3</definedName>
    <definedName name="SelectedProduct" localSheetId="3">'Collapsed P&amp;L'!$B$6</definedName>
    <definedName name="SelectedProduct" localSheetId="6">'Detailed BTA'!$B$6</definedName>
    <definedName name="SelectedProduct" localSheetId="4">'Detailed P&amp;L'!$B$6</definedName>
    <definedName name="SelectedProduct" localSheetId="8">'Local P&amp;L'!$B$6</definedName>
    <definedName name="SelectedTeam" localSheetId="3">'Collapsed P&amp;L'!$B$2</definedName>
    <definedName name="SelectedTeam" localSheetId="6">'Detailed BTA'!$B$2</definedName>
    <definedName name="SelectedTeam" localSheetId="4">'Detailed P&amp;L'!$B$2</definedName>
    <definedName name="SelectedTeam" localSheetId="8">'Local P&amp;L'!$B$2</definedName>
    <definedName name="Slicer_Business_Unit">#N/A</definedName>
    <definedName name="Slicer_Category">#N/A</definedName>
    <definedName name="Slicer_Company">#N/A</definedName>
    <definedName name="Slicer_Department">#N/A</definedName>
    <definedName name="Slicer_Division">#N/A</definedName>
    <definedName name="Slicer_Location">#N/A</definedName>
    <definedName name="Slicer_Parent1">#N/A</definedName>
    <definedName name="Slicer_Parent2">#N/A</definedName>
    <definedName name="Slicer_Parent3">#N/A</definedName>
    <definedName name="Slicer_Parent4">#N/A</definedName>
    <definedName name="Slicer_Product">#N/A</definedName>
    <definedName name="Slicer_Team">#N/A</definedName>
    <definedName name="Slicer_Team_Consolidation">#N/A</definedName>
    <definedName name="Slicer_Workbook">#N/A</definedName>
    <definedName name="SuperDB.accdb" localSheetId="15" hidden="1">Actuals!$A$1:$AV$2</definedName>
    <definedName name="SuperDB.accdb" localSheetId="13" hidden="1">Assumptions!#REF!</definedName>
    <definedName name="SuperDB.accdb" localSheetId="7" hidden="1">'PT-All'!#REF!</definedName>
    <definedName name="SuperDB.accdb" localSheetId="14" hidden="1">Reference!$I$1:$I$9</definedName>
    <definedName name="SuperDB.accdb_21" localSheetId="14" hidden="1">Reference!#REF!</definedName>
    <definedName name="SuperDB.accdb_22" localSheetId="14" hidden="1">Reference!#REF!</definedName>
    <definedName name="SuperDB.accdb_23" localSheetId="14" hidden="1">Reference!#REF!</definedName>
    <definedName name="SuperDB.accdb_24" localSheetId="14" hidden="1">Reference!$M$1:$M$207</definedName>
    <definedName name="SuperDB.accdb_26" localSheetId="14" hidden="1">Reference!#REF!</definedName>
    <definedName name="SuperDB.accdb_28" localSheetId="14" hidden="1">Reference!$AJ$1:$AJ$30</definedName>
    <definedName name="SuperDB.accdb_29" localSheetId="14" hidden="1">Reference!#REF!</definedName>
    <definedName name="SuperDB.accdb_30" localSheetId="13" hidden="1">Assumptions!#REF!</definedName>
    <definedName name="SuperDB.accdb_30" localSheetId="14" hidden="1">Reference!$BD$1:$BE$41</definedName>
    <definedName name="SuperDB.accdb_31" localSheetId="13" hidden="1">Assumptions!#REF!</definedName>
    <definedName name="SuperDB.accdb_31" localSheetId="14" hidden="1">Reference!$AL$1:$AM$10</definedName>
    <definedName name="SuperDB.accdb_33" localSheetId="13" hidden="1">Assumptions!#REF!</definedName>
    <definedName name="SuperDB.accdb_33" localSheetId="14" hidden="1">Reference!$E$1:$E$39</definedName>
    <definedName name="SuperDB.accdb_34" localSheetId="13" hidden="1">Assumptions!#REF!</definedName>
    <definedName name="SuperDB.accdb_35" localSheetId="13" hidden="1">Assumptions!#REF!</definedName>
    <definedName name="SuperDB.accdb_35" localSheetId="14" hidden="1">Reference!$AB$1:$AD$65</definedName>
    <definedName name="SuperDB.accdb_36" localSheetId="14" hidden="1">Reference!$Q$1:$Q$252</definedName>
    <definedName name="SuperDB.accdb_37" localSheetId="14" hidden="1">Reference!$AR$1:$AR$4</definedName>
    <definedName name="SuperDB.accdb_38" localSheetId="14" hidden="1">Reference!#REF!</definedName>
    <definedName name="SuperDB.accdb_39" localSheetId="14" hidden="1">Reference!$AT$1:$AT$2</definedName>
    <definedName name="SuperDB.accdb_40" localSheetId="14" hidden="1">Reference!$AZ$1:$BB$362</definedName>
    <definedName name="SuperDB.accdb_41" localSheetId="14" hidden="1">Reference!$AV$1:$AV$2</definedName>
    <definedName name="SuperDB.accdb_42" localSheetId="14" hidden="1">Reference!$AX$1:$AX$9</definedName>
    <definedName name="SuperDB.accdb_43" localSheetId="14" hidden="1">Reference!$BG$1:$BG$5</definedName>
    <definedName name="SuperDB.accdb_44" localSheetId="14" hidden="1">Reference!$BI$1:$BI$6</definedName>
    <definedName name="SuperDB.accdb_46" localSheetId="14" hidden="1">Reference!$AH$1:$AH$1804</definedName>
    <definedName name="SuperDB.accdb_47" localSheetId="14" hidden="1">Reference!$AO$1:$AP$3</definedName>
    <definedName name="SuperDB.accdb_48" localSheetId="14" hidden="1">Reference!$BN$1:$BN$2</definedName>
    <definedName name="SuperDB.accdb_49" localSheetId="14" hidden="1">Reference!$X$1:$X$42</definedName>
    <definedName name="SuperDB.accdb_50" localSheetId="14" hidden="1">Reference!$U$1:$U$145</definedName>
    <definedName name="SuperDB.accdb_51" localSheetId="14" hidden="1">Reference!#REF!</definedName>
    <definedName name="SuperDB.accdb_52" localSheetId="14" hidden="1">Reference!$BK$1:$BK$80</definedName>
    <definedName name="Total_Expenses" localSheetId="3">'Collapsed P&amp;L'!$B$73</definedName>
    <definedName name="USorINTL">Inputs!$A$3</definedName>
  </definedNames>
  <calcPr calcId="152511" calcMode="manual"/>
  <pivotCaches>
    <pivotCache cacheId="0"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46" l="1"/>
  <c r="P15" i="38" l="1"/>
  <c r="P14" i="38"/>
  <c r="P13" i="38"/>
  <c r="Q13" i="38"/>
  <c r="Q14" i="38"/>
  <c r="T13" i="38"/>
  <c r="P11" i="38"/>
  <c r="AY78" i="45" l="1"/>
  <c r="AZ57" i="52" l="1"/>
  <c r="AZ56" i="52"/>
  <c r="AZ55" i="52"/>
  <c r="AZ54" i="52"/>
  <c r="AZ53" i="52"/>
  <c r="AZ52" i="52"/>
  <c r="AZ51" i="52"/>
  <c r="AZ50" i="52"/>
  <c r="AZ49" i="52"/>
  <c r="AZ48" i="52"/>
  <c r="AZ47" i="52"/>
  <c r="AZ46" i="52"/>
  <c r="AZ45" i="52"/>
  <c r="AZ44" i="52"/>
  <c r="AZ43" i="52"/>
  <c r="AZ42" i="52"/>
  <c r="AZ41" i="52"/>
  <c r="AZ40" i="52"/>
  <c r="AZ39" i="52"/>
  <c r="AZ38" i="52"/>
  <c r="AZ37" i="52"/>
  <c r="AZ36" i="52"/>
  <c r="AZ35" i="52"/>
  <c r="AZ34" i="52"/>
  <c r="AZ33" i="52"/>
  <c r="AZ32" i="52"/>
  <c r="AZ31" i="52"/>
  <c r="AZ30" i="52"/>
  <c r="AZ29" i="52"/>
  <c r="AZ28" i="52"/>
  <c r="AZ27" i="52"/>
  <c r="AZ26" i="52"/>
  <c r="AZ25" i="52"/>
  <c r="AZ24" i="52"/>
  <c r="AZ23" i="52"/>
  <c r="AZ22" i="52"/>
  <c r="AZ21" i="52"/>
  <c r="AZ20" i="52"/>
  <c r="AZ19" i="52"/>
  <c r="AZ18" i="52"/>
  <c r="AZ17" i="52"/>
  <c r="AZ16" i="52"/>
  <c r="AZ15" i="52"/>
  <c r="AZ14" i="52"/>
  <c r="AZ13" i="52"/>
  <c r="AZ12" i="52"/>
  <c r="AZ11" i="52"/>
  <c r="AZ10" i="52"/>
  <c r="AZ9" i="52"/>
  <c r="AZ8" i="52"/>
  <c r="AZ7" i="52"/>
  <c r="CP57" i="44"/>
  <c r="CP56" i="44"/>
  <c r="CP55" i="44"/>
  <c r="CP54" i="44"/>
  <c r="CP53" i="44"/>
  <c r="CP52" i="44"/>
  <c r="CP51" i="44"/>
  <c r="CP50" i="44"/>
  <c r="CP49" i="44"/>
  <c r="CP48" i="44"/>
  <c r="CP47" i="44"/>
  <c r="CP46" i="44"/>
  <c r="CP45" i="44"/>
  <c r="CP44" i="44"/>
  <c r="CP43" i="44"/>
  <c r="CP42" i="44"/>
  <c r="CP41" i="44"/>
  <c r="CP40" i="44"/>
  <c r="CP39" i="44"/>
  <c r="CP38" i="44"/>
  <c r="CP37" i="44"/>
  <c r="CP36" i="44"/>
  <c r="CP35" i="44"/>
  <c r="CP34" i="44"/>
  <c r="CP28" i="44"/>
  <c r="CP24" i="44"/>
  <c r="CP23" i="44"/>
  <c r="CP18" i="44"/>
  <c r="CP17" i="44"/>
  <c r="CP16" i="44"/>
  <c r="CP12" i="44"/>
  <c r="L57" i="52" l="1"/>
  <c r="L56" i="52"/>
  <c r="L55" i="52"/>
  <c r="L54" i="52"/>
  <c r="L53" i="52"/>
  <c r="L52" i="52"/>
  <c r="L51" i="52"/>
  <c r="L50" i="52"/>
  <c r="L49" i="52"/>
  <c r="L48" i="52"/>
  <c r="L47" i="52"/>
  <c r="L46" i="52"/>
  <c r="L45" i="52"/>
  <c r="L44" i="52"/>
  <c r="L43" i="52"/>
  <c r="L42" i="52"/>
  <c r="L41" i="52"/>
  <c r="L40" i="52"/>
  <c r="L39" i="52"/>
  <c r="L38" i="52"/>
  <c r="L37" i="52"/>
  <c r="L36" i="52"/>
  <c r="L35" i="52"/>
  <c r="L34" i="52"/>
  <c r="L33" i="52"/>
  <c r="L32" i="52"/>
  <c r="L31" i="52"/>
  <c r="L30" i="52"/>
  <c r="L29" i="52"/>
  <c r="L28" i="52"/>
  <c r="L27" i="52"/>
  <c r="L26" i="52"/>
  <c r="L25" i="52"/>
  <c r="L24" i="52"/>
  <c r="L23" i="52"/>
  <c r="L22" i="52"/>
  <c r="L21" i="52"/>
  <c r="L20" i="52"/>
  <c r="L19" i="52"/>
  <c r="L18" i="52"/>
  <c r="L17" i="52"/>
  <c r="L16" i="52"/>
  <c r="L15" i="52"/>
  <c r="L14" i="52"/>
  <c r="L13" i="52"/>
  <c r="L12" i="52"/>
  <c r="L11" i="52"/>
  <c r="L10" i="52"/>
  <c r="L9" i="52"/>
  <c r="L8" i="52"/>
  <c r="L7" i="52"/>
  <c r="N120" i="44" l="1"/>
  <c r="M120" i="44"/>
  <c r="L120" i="44"/>
  <c r="N119" i="44"/>
  <c r="M119" i="44"/>
  <c r="L119" i="44"/>
  <c r="N118" i="44"/>
  <c r="M118" i="44"/>
  <c r="L118" i="44"/>
  <c r="E118" i="44" s="1"/>
  <c r="N117" i="44"/>
  <c r="M117" i="44"/>
  <c r="L117" i="44"/>
  <c r="E117" i="44" s="1"/>
  <c r="N116" i="44"/>
  <c r="M116" i="44"/>
  <c r="L116" i="44"/>
  <c r="E116" i="44" s="1"/>
  <c r="N115" i="44"/>
  <c r="M115" i="44"/>
  <c r="L115" i="44"/>
  <c r="E115" i="44" s="1"/>
  <c r="N114" i="44"/>
  <c r="M114" i="44"/>
  <c r="L114" i="44"/>
  <c r="E114" i="44" s="1"/>
  <c r="N113" i="44"/>
  <c r="M113" i="44"/>
  <c r="L113" i="44"/>
  <c r="E113" i="44" s="1"/>
  <c r="N112" i="44"/>
  <c r="M112" i="44"/>
  <c r="L112" i="44"/>
  <c r="E112" i="44" s="1"/>
  <c r="N111" i="44"/>
  <c r="M111" i="44"/>
  <c r="L111" i="44"/>
  <c r="E111" i="44" s="1"/>
  <c r="N110" i="44"/>
  <c r="M110" i="44"/>
  <c r="L110" i="44"/>
  <c r="E110" i="44" s="1"/>
  <c r="N109" i="44"/>
  <c r="M109" i="44"/>
  <c r="L109" i="44"/>
  <c r="E109" i="44" s="1"/>
  <c r="N108" i="44"/>
  <c r="M108" i="44"/>
  <c r="L108" i="44"/>
  <c r="E108" i="44" s="1"/>
  <c r="N107" i="44"/>
  <c r="M107" i="44"/>
  <c r="L107" i="44"/>
  <c r="E107" i="44" s="1"/>
  <c r="N106" i="44"/>
  <c r="M106" i="44"/>
  <c r="L106" i="44"/>
  <c r="E106" i="44" s="1"/>
  <c r="N105" i="44"/>
  <c r="M105" i="44"/>
  <c r="L105" i="44"/>
  <c r="E105" i="44" s="1"/>
  <c r="N104" i="44"/>
  <c r="M104" i="44"/>
  <c r="L104" i="44"/>
  <c r="E104" i="44" s="1"/>
  <c r="N103" i="44"/>
  <c r="M103" i="44"/>
  <c r="L103" i="44"/>
  <c r="E103" i="44" s="1"/>
  <c r="N102" i="44"/>
  <c r="M102" i="44"/>
  <c r="L102" i="44"/>
  <c r="E102" i="44" s="1"/>
  <c r="N101" i="44"/>
  <c r="M101" i="44"/>
  <c r="L101" i="44"/>
  <c r="E101" i="44" s="1"/>
  <c r="N100" i="44"/>
  <c r="M100" i="44"/>
  <c r="L100" i="44"/>
  <c r="E100" i="44" s="1"/>
  <c r="N99" i="44"/>
  <c r="M99" i="44"/>
  <c r="L99" i="44"/>
  <c r="E99" i="44" s="1"/>
  <c r="N98" i="44"/>
  <c r="M98" i="44"/>
  <c r="L98" i="44"/>
  <c r="E98" i="44" s="1"/>
  <c r="N97" i="44"/>
  <c r="M97" i="44"/>
  <c r="L97" i="44"/>
  <c r="E97" i="44" s="1"/>
  <c r="N96" i="44"/>
  <c r="M96" i="44"/>
  <c r="L96" i="44"/>
  <c r="E96" i="44" s="1"/>
  <c r="N95" i="44"/>
  <c r="M95" i="44"/>
  <c r="L95" i="44"/>
  <c r="E95" i="44" s="1"/>
  <c r="N94" i="44"/>
  <c r="M94" i="44"/>
  <c r="L94" i="44"/>
  <c r="E94" i="44" s="1"/>
  <c r="N93" i="44"/>
  <c r="M93" i="44"/>
  <c r="L93" i="44"/>
  <c r="E93" i="44" s="1"/>
  <c r="N92" i="44"/>
  <c r="M92" i="44"/>
  <c r="L92" i="44"/>
  <c r="E92" i="44" s="1"/>
  <c r="N91" i="44"/>
  <c r="M91" i="44"/>
  <c r="L91" i="44"/>
  <c r="E91" i="44" s="1"/>
  <c r="N90" i="44"/>
  <c r="M90" i="44"/>
  <c r="L90" i="44"/>
  <c r="E90" i="44" s="1"/>
  <c r="N89" i="44"/>
  <c r="M89" i="44"/>
  <c r="L89" i="44"/>
  <c r="E89" i="44" s="1"/>
  <c r="N88" i="44"/>
  <c r="M88" i="44"/>
  <c r="L88" i="44"/>
  <c r="E88" i="44" s="1"/>
  <c r="N87" i="44"/>
  <c r="M87" i="44"/>
  <c r="L87" i="44"/>
  <c r="E87" i="44" s="1"/>
  <c r="N86" i="44"/>
  <c r="M86" i="44"/>
  <c r="L86" i="44"/>
  <c r="E86" i="44" s="1"/>
  <c r="N85" i="44"/>
  <c r="M85" i="44"/>
  <c r="L85" i="44"/>
  <c r="E85" i="44" s="1"/>
  <c r="N84" i="44"/>
  <c r="M84" i="44"/>
  <c r="L84" i="44"/>
  <c r="E84" i="44" s="1"/>
  <c r="N83" i="44"/>
  <c r="M83" i="44"/>
  <c r="L83" i="44"/>
  <c r="E83" i="44" s="1"/>
  <c r="N82" i="44"/>
  <c r="M82" i="44"/>
  <c r="L82" i="44"/>
  <c r="E82" i="44" s="1"/>
  <c r="N81" i="44"/>
  <c r="M81" i="44"/>
  <c r="L81" i="44"/>
  <c r="E81" i="44" s="1"/>
  <c r="N80" i="44"/>
  <c r="M80" i="44"/>
  <c r="L80" i="44"/>
  <c r="E80" i="44" s="1"/>
  <c r="N79" i="44"/>
  <c r="M79" i="44"/>
  <c r="L79" i="44"/>
  <c r="E79" i="44" s="1"/>
  <c r="N78" i="44"/>
  <c r="M78" i="44"/>
  <c r="L78" i="44"/>
  <c r="E78" i="44" s="1"/>
  <c r="N77" i="44"/>
  <c r="M77" i="44"/>
  <c r="L77" i="44"/>
  <c r="E77" i="44" s="1"/>
  <c r="N76" i="44"/>
  <c r="M76" i="44"/>
  <c r="L76" i="44"/>
  <c r="E76" i="44" s="1"/>
  <c r="N75" i="44"/>
  <c r="M75" i="44"/>
  <c r="L75" i="44"/>
  <c r="E75" i="44" s="1"/>
  <c r="N74" i="44"/>
  <c r="M74" i="44"/>
  <c r="L74" i="44"/>
  <c r="E74" i="44" s="1"/>
  <c r="N73" i="44"/>
  <c r="M73" i="44"/>
  <c r="L73" i="44"/>
  <c r="E73" i="44" s="1"/>
  <c r="N72" i="44"/>
  <c r="M72" i="44"/>
  <c r="L72" i="44"/>
  <c r="E72" i="44" s="1"/>
  <c r="N71" i="44"/>
  <c r="M71" i="44"/>
  <c r="L71" i="44"/>
  <c r="E71" i="44" s="1"/>
  <c r="H71" i="44" l="1"/>
  <c r="F72" i="44"/>
  <c r="J72" i="44"/>
  <c r="H73" i="44"/>
  <c r="F74" i="44"/>
  <c r="J74" i="44"/>
  <c r="H75" i="44"/>
  <c r="F76" i="44"/>
  <c r="J76" i="44"/>
  <c r="H77" i="44"/>
  <c r="F78" i="44"/>
  <c r="J78" i="44"/>
  <c r="H79" i="44"/>
  <c r="F80" i="44"/>
  <c r="J80" i="44"/>
  <c r="H81" i="44"/>
  <c r="F82" i="44"/>
  <c r="J82" i="44"/>
  <c r="H83" i="44"/>
  <c r="F84" i="44"/>
  <c r="J84" i="44"/>
  <c r="H85" i="44"/>
  <c r="F86" i="44"/>
  <c r="J86" i="44"/>
  <c r="H87" i="44"/>
  <c r="F88" i="44"/>
  <c r="J88" i="44"/>
  <c r="H89" i="44"/>
  <c r="F90" i="44"/>
  <c r="J90" i="44"/>
  <c r="H91" i="44"/>
  <c r="F92" i="44"/>
  <c r="J92" i="44"/>
  <c r="H93" i="44"/>
  <c r="F94" i="44"/>
  <c r="J94" i="44"/>
  <c r="H95" i="44"/>
  <c r="F96" i="44"/>
  <c r="J96" i="44"/>
  <c r="H97" i="44"/>
  <c r="F98" i="44"/>
  <c r="J98" i="44"/>
  <c r="H99" i="44"/>
  <c r="F100" i="44"/>
  <c r="J100" i="44"/>
  <c r="H101" i="44"/>
  <c r="F102" i="44"/>
  <c r="J102" i="44"/>
  <c r="H103" i="44"/>
  <c r="F104" i="44"/>
  <c r="J104" i="44"/>
  <c r="H105" i="44"/>
  <c r="F106" i="44"/>
  <c r="J106" i="44"/>
  <c r="H107" i="44"/>
  <c r="F108" i="44"/>
  <c r="J108" i="44"/>
  <c r="H109" i="44"/>
  <c r="F110" i="44"/>
  <c r="J110" i="44"/>
  <c r="H111" i="44"/>
  <c r="F112" i="44"/>
  <c r="J112" i="44"/>
  <c r="H113" i="44"/>
  <c r="F114" i="44"/>
  <c r="J114" i="44"/>
  <c r="H115" i="44"/>
  <c r="F116" i="44"/>
  <c r="J116" i="44"/>
  <c r="H117" i="44"/>
  <c r="F118" i="44"/>
  <c r="J118" i="44"/>
  <c r="I71" i="44"/>
  <c r="G72" i="44"/>
  <c r="K72" i="44"/>
  <c r="I73" i="44"/>
  <c r="G74" i="44"/>
  <c r="K74" i="44"/>
  <c r="I75" i="44"/>
  <c r="G76" i="44"/>
  <c r="K76" i="44"/>
  <c r="I77" i="44"/>
  <c r="G78" i="44"/>
  <c r="K78" i="44"/>
  <c r="I79" i="44"/>
  <c r="G80" i="44"/>
  <c r="K80" i="44"/>
  <c r="I81" i="44"/>
  <c r="G82" i="44"/>
  <c r="K82" i="44"/>
  <c r="I83" i="44"/>
  <c r="G84" i="44"/>
  <c r="K84" i="44"/>
  <c r="I85" i="44"/>
  <c r="G86" i="44"/>
  <c r="K86" i="44"/>
  <c r="I87" i="44"/>
  <c r="G88" i="44"/>
  <c r="K88" i="44"/>
  <c r="I89" i="44"/>
  <c r="G90" i="44"/>
  <c r="K90" i="44"/>
  <c r="I91" i="44"/>
  <c r="G92" i="44"/>
  <c r="K92" i="44"/>
  <c r="I93" i="44"/>
  <c r="G94" i="44"/>
  <c r="K94" i="44"/>
  <c r="I95" i="44"/>
  <c r="G96" i="44"/>
  <c r="K96" i="44"/>
  <c r="I97" i="44"/>
  <c r="G98" i="44"/>
  <c r="K98" i="44"/>
  <c r="I99" i="44"/>
  <c r="G100" i="44"/>
  <c r="K100" i="44"/>
  <c r="I101" i="44"/>
  <c r="G102" i="44"/>
  <c r="K102" i="44"/>
  <c r="I103" i="44"/>
  <c r="G104" i="44"/>
  <c r="K104" i="44"/>
  <c r="I105" i="44"/>
  <c r="G106" i="44"/>
  <c r="K106" i="44"/>
  <c r="I107" i="44"/>
  <c r="G108" i="44"/>
  <c r="K108" i="44"/>
  <c r="I109" i="44"/>
  <c r="G110" i="44"/>
  <c r="K110" i="44"/>
  <c r="I111" i="44"/>
  <c r="G112" i="44"/>
  <c r="K112" i="44"/>
  <c r="I113" i="44"/>
  <c r="G114" i="44"/>
  <c r="K114" i="44"/>
  <c r="I115" i="44"/>
  <c r="G116" i="44"/>
  <c r="K116" i="44"/>
  <c r="I117" i="44"/>
  <c r="G118" i="44"/>
  <c r="K118" i="44"/>
  <c r="F71" i="44"/>
  <c r="J71" i="44"/>
  <c r="H72" i="44"/>
  <c r="F73" i="44"/>
  <c r="J73" i="44"/>
  <c r="H74" i="44"/>
  <c r="F75" i="44"/>
  <c r="J75" i="44"/>
  <c r="H76" i="44"/>
  <c r="F77" i="44"/>
  <c r="J77" i="44"/>
  <c r="H78" i="44"/>
  <c r="F79" i="44"/>
  <c r="J79" i="44"/>
  <c r="H80" i="44"/>
  <c r="F81" i="44"/>
  <c r="J81" i="44"/>
  <c r="H82" i="44"/>
  <c r="F83" i="44"/>
  <c r="J83" i="44"/>
  <c r="H84" i="44"/>
  <c r="F85" i="44"/>
  <c r="J85" i="44"/>
  <c r="H86" i="44"/>
  <c r="F87" i="44"/>
  <c r="J87" i="44"/>
  <c r="H88" i="44"/>
  <c r="F89" i="44"/>
  <c r="J89" i="44"/>
  <c r="H90" i="44"/>
  <c r="F91" i="44"/>
  <c r="J91" i="44"/>
  <c r="H92" i="44"/>
  <c r="F93" i="44"/>
  <c r="J93" i="44"/>
  <c r="H94" i="44"/>
  <c r="F95" i="44"/>
  <c r="J95" i="44"/>
  <c r="H96" i="44"/>
  <c r="F97" i="44"/>
  <c r="J97" i="44"/>
  <c r="H98" i="44"/>
  <c r="F99" i="44"/>
  <c r="J99" i="44"/>
  <c r="H100" i="44"/>
  <c r="F101" i="44"/>
  <c r="J101" i="44"/>
  <c r="H102" i="44"/>
  <c r="F103" i="44"/>
  <c r="J103" i="44"/>
  <c r="H104" i="44"/>
  <c r="F105" i="44"/>
  <c r="J105" i="44"/>
  <c r="H106" i="44"/>
  <c r="F107" i="44"/>
  <c r="J107" i="44"/>
  <c r="H108" i="44"/>
  <c r="F109" i="44"/>
  <c r="J109" i="44"/>
  <c r="H110" i="44"/>
  <c r="F111" i="44"/>
  <c r="J111" i="44"/>
  <c r="H112" i="44"/>
  <c r="F113" i="44"/>
  <c r="J113" i="44"/>
  <c r="H114" i="44"/>
  <c r="F115" i="44"/>
  <c r="J115" i="44"/>
  <c r="H116" i="44"/>
  <c r="F117" i="44"/>
  <c r="J117" i="44"/>
  <c r="H118" i="44"/>
  <c r="G71" i="44"/>
  <c r="K71" i="44"/>
  <c r="I72" i="44"/>
  <c r="G73" i="44"/>
  <c r="K73" i="44"/>
  <c r="I74" i="44"/>
  <c r="G75" i="44"/>
  <c r="K75" i="44"/>
  <c r="I76" i="44"/>
  <c r="G77" i="44"/>
  <c r="K77" i="44"/>
  <c r="I78" i="44"/>
  <c r="G79" i="44"/>
  <c r="K79" i="44"/>
  <c r="I80" i="44"/>
  <c r="G81" i="44"/>
  <c r="K81" i="44"/>
  <c r="I82" i="44"/>
  <c r="G83" i="44"/>
  <c r="K83" i="44"/>
  <c r="I84" i="44"/>
  <c r="G85" i="44"/>
  <c r="K85" i="44"/>
  <c r="I86" i="44"/>
  <c r="G87" i="44"/>
  <c r="K87" i="44"/>
  <c r="I88" i="44"/>
  <c r="G89" i="44"/>
  <c r="K89" i="44"/>
  <c r="I90" i="44"/>
  <c r="G91" i="44"/>
  <c r="K91" i="44"/>
  <c r="I92" i="44"/>
  <c r="G93" i="44"/>
  <c r="K93" i="44"/>
  <c r="I94" i="44"/>
  <c r="G95" i="44"/>
  <c r="K95" i="44"/>
  <c r="I96" i="44"/>
  <c r="G97" i="44"/>
  <c r="K97" i="44"/>
  <c r="I98" i="44"/>
  <c r="G99" i="44"/>
  <c r="K99" i="44"/>
  <c r="I100" i="44"/>
  <c r="G101" i="44"/>
  <c r="K101" i="44"/>
  <c r="I102" i="44"/>
  <c r="G103" i="44"/>
  <c r="K103" i="44"/>
  <c r="I104" i="44"/>
  <c r="G105" i="44"/>
  <c r="K105" i="44"/>
  <c r="I106" i="44"/>
  <c r="G107" i="44"/>
  <c r="K107" i="44"/>
  <c r="I108" i="44"/>
  <c r="G109" i="44"/>
  <c r="K109" i="44"/>
  <c r="I110" i="44"/>
  <c r="G111" i="44"/>
  <c r="K111" i="44"/>
  <c r="I112" i="44"/>
  <c r="G113" i="44"/>
  <c r="K113" i="44"/>
  <c r="I114" i="44"/>
  <c r="G115" i="44"/>
  <c r="K115" i="44"/>
  <c r="I116" i="44"/>
  <c r="G117" i="44"/>
  <c r="K117" i="44"/>
  <c r="I118" i="44"/>
  <c r="K119" i="44"/>
  <c r="E119" i="44"/>
  <c r="I120" i="44"/>
  <c r="E120" i="44"/>
  <c r="G120" i="44"/>
  <c r="F120" i="44"/>
  <c r="J120" i="44"/>
  <c r="K120" i="44"/>
  <c r="H119" i="44"/>
  <c r="F119" i="44"/>
  <c r="J119" i="44"/>
  <c r="H120" i="44"/>
  <c r="I119" i="44"/>
  <c r="G119" i="44"/>
  <c r="Q15" i="38" l="1"/>
  <c r="AZ57" i="44" l="1" a="1"/>
  <c r="AZ57" i="44" s="1"/>
  <c r="AZ56" i="44" a="1"/>
  <c r="AZ56" i="44" s="1"/>
  <c r="AZ55" i="44" a="1"/>
  <c r="AZ55" i="44" s="1"/>
  <c r="AZ54" i="44" a="1"/>
  <c r="AZ54" i="44" s="1"/>
  <c r="AZ53" i="44" a="1"/>
  <c r="AZ53" i="44" s="1"/>
  <c r="AZ52" i="44" a="1"/>
  <c r="AZ52" i="44" s="1"/>
  <c r="AZ51" i="44" a="1"/>
  <c r="AZ51" i="44" s="1"/>
  <c r="AZ50" i="44" a="1"/>
  <c r="AZ50" i="44" s="1"/>
  <c r="AZ49" i="44" a="1"/>
  <c r="AZ49" i="44" s="1"/>
  <c r="AZ48" i="44" a="1"/>
  <c r="AZ48" i="44" s="1"/>
  <c r="AZ47" i="44" a="1"/>
  <c r="AZ47" i="44" s="1"/>
  <c r="AZ46" i="44" a="1"/>
  <c r="AZ46" i="44" s="1"/>
  <c r="AZ45" i="44" a="1"/>
  <c r="AZ45" i="44" s="1"/>
  <c r="AZ44" i="44" a="1"/>
  <c r="AZ44" i="44" s="1"/>
  <c r="AZ43" i="44" a="1"/>
  <c r="AZ43" i="44" s="1"/>
  <c r="AZ42" i="44" a="1"/>
  <c r="AZ42" i="44" s="1"/>
  <c r="AZ41" i="44" a="1"/>
  <c r="AZ41" i="44" s="1"/>
  <c r="AZ40" i="44" a="1"/>
  <c r="AZ40" i="44" s="1"/>
  <c r="AZ39" i="44" a="1"/>
  <c r="AZ39" i="44" s="1"/>
  <c r="AZ38" i="44" a="1"/>
  <c r="AZ38" i="44" s="1"/>
  <c r="AZ37" i="44" a="1"/>
  <c r="AZ37" i="44" s="1"/>
  <c r="AZ36" i="44" a="1"/>
  <c r="AZ36" i="44" s="1"/>
  <c r="AZ35" i="44" a="1"/>
  <c r="AZ35" i="44" s="1"/>
  <c r="AZ34" i="44" a="1"/>
  <c r="AZ34" i="44" s="1"/>
  <c r="AZ33" i="44" a="1"/>
  <c r="AZ33" i="44" s="1"/>
  <c r="AZ32" i="44" a="1"/>
  <c r="AZ32" i="44" s="1"/>
  <c r="AZ31" i="44" a="1"/>
  <c r="AZ31" i="44" s="1"/>
  <c r="AZ30" i="44" a="1"/>
  <c r="AZ30" i="44" s="1"/>
  <c r="AZ29" i="44" a="1"/>
  <c r="AZ29" i="44" s="1"/>
  <c r="AZ28" i="44" a="1"/>
  <c r="AZ28" i="44" s="1"/>
  <c r="AZ27" i="44" a="1"/>
  <c r="AZ27" i="44" s="1"/>
  <c r="AZ26" i="44" a="1"/>
  <c r="AZ26" i="44" s="1"/>
  <c r="AZ25" i="44" a="1"/>
  <c r="AZ25" i="44" s="1"/>
  <c r="AZ24" i="44" a="1"/>
  <c r="AZ24" i="44" s="1"/>
  <c r="AZ23" i="44" a="1"/>
  <c r="AZ23" i="44" s="1"/>
  <c r="AZ22" i="44" a="1"/>
  <c r="AZ22" i="44" s="1"/>
  <c r="AZ21" i="44" a="1"/>
  <c r="AZ21" i="44" s="1"/>
  <c r="AZ20" i="44" a="1"/>
  <c r="AZ20" i="44" s="1"/>
  <c r="AZ19" i="44" a="1"/>
  <c r="AZ19" i="44" s="1"/>
  <c r="AZ18" i="44" a="1"/>
  <c r="AZ18" i="44" s="1"/>
  <c r="AZ17" i="44" a="1"/>
  <c r="AZ17" i="44" s="1"/>
  <c r="AZ16" i="44" a="1"/>
  <c r="AZ16" i="44" s="1"/>
  <c r="AZ15" i="44" a="1"/>
  <c r="AZ15" i="44" s="1"/>
  <c r="AZ14" i="44" a="1"/>
  <c r="AZ14" i="44" s="1"/>
  <c r="AZ13" i="44" a="1"/>
  <c r="AZ13" i="44" s="1"/>
  <c r="AZ12" i="44" a="1"/>
  <c r="AZ12" i="44" s="1"/>
  <c r="AZ11" i="44" a="1"/>
  <c r="AZ11" i="44" s="1"/>
  <c r="AZ10" i="44" a="1"/>
  <c r="AZ10" i="44" s="1"/>
  <c r="AZ9" i="44" a="1"/>
  <c r="AZ9" i="44" s="1"/>
  <c r="AZ8" i="44" a="1"/>
  <c r="AZ8" i="44" s="1"/>
  <c r="AY57" i="44" a="1"/>
  <c r="AY57" i="44" s="1"/>
  <c r="AY56" i="44" a="1"/>
  <c r="AY56" i="44" s="1"/>
  <c r="AY55" i="44" a="1"/>
  <c r="AY55" i="44" s="1"/>
  <c r="AY54" i="44" a="1"/>
  <c r="AY54" i="44" s="1"/>
  <c r="AY53" i="44" a="1"/>
  <c r="AY53" i="44" s="1"/>
  <c r="AY52" i="44" a="1"/>
  <c r="AY52" i="44" s="1"/>
  <c r="AY51" i="44" a="1"/>
  <c r="AY51" i="44" s="1"/>
  <c r="AY50" i="44" a="1"/>
  <c r="AY50" i="44" s="1"/>
  <c r="AY49" i="44" a="1"/>
  <c r="AY49" i="44" s="1"/>
  <c r="AY48" i="44" a="1"/>
  <c r="AY48" i="44" s="1"/>
  <c r="AY47" i="44" a="1"/>
  <c r="AY47" i="44" s="1"/>
  <c r="AY46" i="44" a="1"/>
  <c r="AY46" i="44" s="1"/>
  <c r="AY45" i="44" a="1"/>
  <c r="AY45" i="44" s="1"/>
  <c r="AY44" i="44" a="1"/>
  <c r="AY44" i="44" s="1"/>
  <c r="AY43" i="44" a="1"/>
  <c r="AY43" i="44" s="1"/>
  <c r="AY42" i="44" a="1"/>
  <c r="AY42" i="44" s="1"/>
  <c r="AY41" i="44" a="1"/>
  <c r="AY41" i="44" s="1"/>
  <c r="AY40" i="44" a="1"/>
  <c r="AY40" i="44" s="1"/>
  <c r="AY39" i="44" a="1"/>
  <c r="AY39" i="44" s="1"/>
  <c r="AY38" i="44" a="1"/>
  <c r="AY38" i="44" s="1"/>
  <c r="AY37" i="44" a="1"/>
  <c r="AY37" i="44" s="1"/>
  <c r="AY36" i="44" a="1"/>
  <c r="AY36" i="44" s="1"/>
  <c r="AY35" i="44" a="1"/>
  <c r="AY35" i="44" s="1"/>
  <c r="AY34" i="44" a="1"/>
  <c r="AY34" i="44" s="1"/>
  <c r="AY33" i="44" a="1"/>
  <c r="AY33" i="44" s="1"/>
  <c r="AY32" i="44" a="1"/>
  <c r="AY32" i="44" s="1"/>
  <c r="AY31" i="44" a="1"/>
  <c r="AY31" i="44" s="1"/>
  <c r="AY30" i="44" a="1"/>
  <c r="AY30" i="44" s="1"/>
  <c r="AY29" i="44" a="1"/>
  <c r="AY29" i="44" s="1"/>
  <c r="AY28" i="44" a="1"/>
  <c r="AY28" i="44" s="1"/>
  <c r="AY27" i="44" a="1"/>
  <c r="AY27" i="44" s="1"/>
  <c r="AY26" i="44" a="1"/>
  <c r="AY26" i="44" s="1"/>
  <c r="AY25" i="44" a="1"/>
  <c r="AY25" i="44" s="1"/>
  <c r="AY24" i="44" a="1"/>
  <c r="AY24" i="44" s="1"/>
  <c r="AY23" i="44" a="1"/>
  <c r="AY23" i="44" s="1"/>
  <c r="AY22" i="44" a="1"/>
  <c r="AY22" i="44" s="1"/>
  <c r="AY21" i="44" a="1"/>
  <c r="AY21" i="44" s="1"/>
  <c r="AY20" i="44" a="1"/>
  <c r="AY20" i="44" s="1"/>
  <c r="AY19" i="44" a="1"/>
  <c r="AY19" i="44" s="1"/>
  <c r="AY18" i="44" a="1"/>
  <c r="AY18" i="44" s="1"/>
  <c r="AY17" i="44" a="1"/>
  <c r="AY17" i="44" s="1"/>
  <c r="AY16" i="44" a="1"/>
  <c r="AY16" i="44" s="1"/>
  <c r="AY15" i="44" a="1"/>
  <c r="AY15" i="44" s="1"/>
  <c r="AY14" i="44" a="1"/>
  <c r="AY14" i="44" s="1"/>
  <c r="AY13" i="44" a="1"/>
  <c r="AY13" i="44" s="1"/>
  <c r="AY12" i="44" a="1"/>
  <c r="AY12" i="44" s="1"/>
  <c r="AY11" i="44" a="1"/>
  <c r="AY11" i="44" s="1"/>
  <c r="AY10" i="44" a="1"/>
  <c r="AY10" i="44" s="1"/>
  <c r="AY9" i="44" a="1"/>
  <c r="AY9" i="44" s="1"/>
  <c r="AY8" i="44" a="1"/>
  <c r="AY8" i="44" s="1"/>
  <c r="AX57" i="44" a="1"/>
  <c r="AX57" i="44" s="1"/>
  <c r="AX56" i="44" a="1"/>
  <c r="AX56" i="44" s="1"/>
  <c r="AX55" i="44" a="1"/>
  <c r="AX55" i="44" s="1"/>
  <c r="AX54" i="44" a="1"/>
  <c r="AX54" i="44" s="1"/>
  <c r="AX53" i="44" a="1"/>
  <c r="AX53" i="44" s="1"/>
  <c r="AX52" i="44" a="1"/>
  <c r="AX52" i="44" s="1"/>
  <c r="AX51" i="44" a="1"/>
  <c r="AX51" i="44" s="1"/>
  <c r="AX50" i="44" a="1"/>
  <c r="AX50" i="44" s="1"/>
  <c r="AX49" i="44" a="1"/>
  <c r="AX49" i="44" s="1"/>
  <c r="AX48" i="44" a="1"/>
  <c r="AX48" i="44" s="1"/>
  <c r="AX47" i="44" a="1"/>
  <c r="AX47" i="44" s="1"/>
  <c r="AX46" i="44" a="1"/>
  <c r="AX46" i="44" s="1"/>
  <c r="AX45" i="44" a="1"/>
  <c r="AX45" i="44" s="1"/>
  <c r="AX44" i="44" a="1"/>
  <c r="AX44" i="44" s="1"/>
  <c r="AX43" i="44" a="1"/>
  <c r="AX43" i="44" s="1"/>
  <c r="AX42" i="44" a="1"/>
  <c r="AX42" i="44" s="1"/>
  <c r="AX41" i="44" a="1"/>
  <c r="AX41" i="44" s="1"/>
  <c r="AX40" i="44" a="1"/>
  <c r="AX40" i="44" s="1"/>
  <c r="AX39" i="44" a="1"/>
  <c r="AX39" i="44" s="1"/>
  <c r="AX38" i="44" a="1"/>
  <c r="AX38" i="44" s="1"/>
  <c r="AX37" i="44" a="1"/>
  <c r="AX37" i="44" s="1"/>
  <c r="AX36" i="44" a="1"/>
  <c r="AX36" i="44" s="1"/>
  <c r="AX35" i="44" a="1"/>
  <c r="AX35" i="44" s="1"/>
  <c r="AX34" i="44" a="1"/>
  <c r="AX34" i="44" s="1"/>
  <c r="AX33" i="44" a="1"/>
  <c r="AX33" i="44" s="1"/>
  <c r="AX32" i="44" a="1"/>
  <c r="AX32" i="44" s="1"/>
  <c r="AX31" i="44" a="1"/>
  <c r="AX31" i="44" s="1"/>
  <c r="AX30" i="44" a="1"/>
  <c r="AX30" i="44" s="1"/>
  <c r="AX29" i="44" a="1"/>
  <c r="AX29" i="44" s="1"/>
  <c r="AX28" i="44" a="1"/>
  <c r="AX28" i="44" s="1"/>
  <c r="AX27" i="44" a="1"/>
  <c r="AX27" i="44" s="1"/>
  <c r="AX26" i="44" a="1"/>
  <c r="AX26" i="44" s="1"/>
  <c r="AX25" i="44" a="1"/>
  <c r="AX25" i="44" s="1"/>
  <c r="AX24" i="44" a="1"/>
  <c r="AX24" i="44" s="1"/>
  <c r="AX23" i="44" a="1"/>
  <c r="AX23" i="44" s="1"/>
  <c r="AX22" i="44" a="1"/>
  <c r="AX22" i="44" s="1"/>
  <c r="AX21" i="44" a="1"/>
  <c r="AX21" i="44" s="1"/>
  <c r="AX20" i="44" a="1"/>
  <c r="AX20" i="44" s="1"/>
  <c r="AX19" i="44" a="1"/>
  <c r="AX19" i="44" s="1"/>
  <c r="AX18" i="44" a="1"/>
  <c r="AX18" i="44" s="1"/>
  <c r="AX17" i="44" a="1"/>
  <c r="AX17" i="44" s="1"/>
  <c r="AX16" i="44" a="1"/>
  <c r="AX16" i="44" s="1"/>
  <c r="AX15" i="44" a="1"/>
  <c r="AX15" i="44" s="1"/>
  <c r="AX14" i="44" a="1"/>
  <c r="AX14" i="44" s="1"/>
  <c r="AX13" i="44" a="1"/>
  <c r="AX13" i="44" s="1"/>
  <c r="AX12" i="44" a="1"/>
  <c r="AX12" i="44" s="1"/>
  <c r="AX11" i="44" a="1"/>
  <c r="AX11" i="44" s="1"/>
  <c r="AX10" i="44" a="1"/>
  <c r="AX10" i="44" s="1"/>
  <c r="AX9" i="44" a="1"/>
  <c r="AX9" i="44" s="1"/>
  <c r="AX8" i="44" a="1"/>
  <c r="AX8" i="44" s="1"/>
  <c r="AW57" i="44" a="1"/>
  <c r="AW57" i="44" s="1"/>
  <c r="AW56" i="44" a="1"/>
  <c r="AW56" i="44" s="1"/>
  <c r="AW55" i="44" a="1"/>
  <c r="AW55" i="44" s="1"/>
  <c r="AW54" i="44" a="1"/>
  <c r="AW54" i="44" s="1"/>
  <c r="AW53" i="44" a="1"/>
  <c r="AW53" i="44" s="1"/>
  <c r="AW52" i="44" a="1"/>
  <c r="AW52" i="44" s="1"/>
  <c r="AW51" i="44" a="1"/>
  <c r="AW51" i="44" s="1"/>
  <c r="AW50" i="44" a="1"/>
  <c r="AW50" i="44" s="1"/>
  <c r="AW49" i="44" a="1"/>
  <c r="AW49" i="44" s="1"/>
  <c r="AW48" i="44" a="1"/>
  <c r="AW48" i="44" s="1"/>
  <c r="AW47" i="44" a="1"/>
  <c r="AW47" i="44" s="1"/>
  <c r="AW46" i="44" a="1"/>
  <c r="AW46" i="44" s="1"/>
  <c r="AW45" i="44" a="1"/>
  <c r="AW45" i="44" s="1"/>
  <c r="AW44" i="44" a="1"/>
  <c r="AW44" i="44" s="1"/>
  <c r="AW43" i="44" a="1"/>
  <c r="AW43" i="44" s="1"/>
  <c r="AW42" i="44" a="1"/>
  <c r="AW42" i="44" s="1"/>
  <c r="AW41" i="44" a="1"/>
  <c r="AW41" i="44" s="1"/>
  <c r="AW40" i="44" a="1"/>
  <c r="AW40" i="44" s="1"/>
  <c r="AW39" i="44" a="1"/>
  <c r="AW39" i="44" s="1"/>
  <c r="AW38" i="44" a="1"/>
  <c r="AW38" i="44" s="1"/>
  <c r="AW37" i="44" a="1"/>
  <c r="AW37" i="44" s="1"/>
  <c r="AW36" i="44" a="1"/>
  <c r="AW36" i="44" s="1"/>
  <c r="AW35" i="44" a="1"/>
  <c r="AW35" i="44" s="1"/>
  <c r="AW34" i="44" a="1"/>
  <c r="AW34" i="44" s="1"/>
  <c r="AW33" i="44" a="1"/>
  <c r="AW33" i="44" s="1"/>
  <c r="AW32" i="44" a="1"/>
  <c r="AW32" i="44" s="1"/>
  <c r="AW31" i="44" a="1"/>
  <c r="AW31" i="44" s="1"/>
  <c r="AW30" i="44" a="1"/>
  <c r="AW30" i="44" s="1"/>
  <c r="AW29" i="44" a="1"/>
  <c r="AW29" i="44" s="1"/>
  <c r="AW28" i="44" a="1"/>
  <c r="AW28" i="44" s="1"/>
  <c r="AW27" i="44" a="1"/>
  <c r="AW27" i="44" s="1"/>
  <c r="AW26" i="44" a="1"/>
  <c r="AW26" i="44" s="1"/>
  <c r="AW25" i="44" a="1"/>
  <c r="AW25" i="44" s="1"/>
  <c r="AW24" i="44" a="1"/>
  <c r="AW24" i="44" s="1"/>
  <c r="AW23" i="44" a="1"/>
  <c r="AW23" i="44" s="1"/>
  <c r="AW22" i="44" a="1"/>
  <c r="AW22" i="44" s="1"/>
  <c r="AW21" i="44" a="1"/>
  <c r="AW21" i="44" s="1"/>
  <c r="AW20" i="44" a="1"/>
  <c r="AW20" i="44" s="1"/>
  <c r="AW19" i="44" a="1"/>
  <c r="AW19" i="44" s="1"/>
  <c r="AW18" i="44" a="1"/>
  <c r="AW18" i="44" s="1"/>
  <c r="AW17" i="44" a="1"/>
  <c r="AW17" i="44" s="1"/>
  <c r="AW16" i="44" a="1"/>
  <c r="AW16" i="44" s="1"/>
  <c r="AW15" i="44" a="1"/>
  <c r="AW15" i="44" s="1"/>
  <c r="AW14" i="44" a="1"/>
  <c r="AW14" i="44" s="1"/>
  <c r="AW13" i="44" a="1"/>
  <c r="AW13" i="44" s="1"/>
  <c r="AW12" i="44" a="1"/>
  <c r="AW12" i="44" s="1"/>
  <c r="AW11" i="44" a="1"/>
  <c r="AW11" i="44" s="1"/>
  <c r="AW10" i="44" a="1"/>
  <c r="AW10" i="44" s="1"/>
  <c r="AW9" i="44" a="1"/>
  <c r="AW9" i="44" s="1"/>
  <c r="AW8" i="44" a="1"/>
  <c r="AW8" i="44" s="1"/>
  <c r="AV57" i="44" a="1"/>
  <c r="AV57" i="44" s="1"/>
  <c r="AV56" i="44" a="1"/>
  <c r="AV56" i="44" s="1"/>
  <c r="AV55" i="44" a="1"/>
  <c r="AV55" i="44" s="1"/>
  <c r="AV54" i="44" a="1"/>
  <c r="AV54" i="44" s="1"/>
  <c r="AV53" i="44" a="1"/>
  <c r="AV53" i="44" s="1"/>
  <c r="AV52" i="44" a="1"/>
  <c r="AV52" i="44" s="1"/>
  <c r="AV51" i="44" a="1"/>
  <c r="AV51" i="44" s="1"/>
  <c r="AV50" i="44" a="1"/>
  <c r="AV50" i="44" s="1"/>
  <c r="AV49" i="44" a="1"/>
  <c r="AV49" i="44" s="1"/>
  <c r="AV48" i="44" a="1"/>
  <c r="AV48" i="44" s="1"/>
  <c r="AV47" i="44" a="1"/>
  <c r="AV47" i="44" s="1"/>
  <c r="AV46" i="44" a="1"/>
  <c r="AV46" i="44" s="1"/>
  <c r="AV45" i="44" a="1"/>
  <c r="AV45" i="44" s="1"/>
  <c r="AV44" i="44" a="1"/>
  <c r="AV44" i="44" s="1"/>
  <c r="AV43" i="44" a="1"/>
  <c r="AV43" i="44" s="1"/>
  <c r="AV42" i="44" a="1"/>
  <c r="AV42" i="44" s="1"/>
  <c r="AV41" i="44" a="1"/>
  <c r="AV41" i="44" s="1"/>
  <c r="AV40" i="44" a="1"/>
  <c r="AV40" i="44" s="1"/>
  <c r="AV39" i="44" a="1"/>
  <c r="AV39" i="44" s="1"/>
  <c r="AV38" i="44" a="1"/>
  <c r="AV38" i="44" s="1"/>
  <c r="AV37" i="44" a="1"/>
  <c r="AV37" i="44" s="1"/>
  <c r="AV36" i="44" a="1"/>
  <c r="AV36" i="44" s="1"/>
  <c r="AV35" i="44" a="1"/>
  <c r="AV35" i="44" s="1"/>
  <c r="AV34" i="44" a="1"/>
  <c r="AV34" i="44" s="1"/>
  <c r="AV33" i="44" a="1"/>
  <c r="AV33" i="44" s="1"/>
  <c r="AV32" i="44" a="1"/>
  <c r="AV32" i="44" s="1"/>
  <c r="AV31" i="44" a="1"/>
  <c r="AV31" i="44" s="1"/>
  <c r="AV30" i="44" a="1"/>
  <c r="AV30" i="44" s="1"/>
  <c r="AV29" i="44" a="1"/>
  <c r="AV29" i="44" s="1"/>
  <c r="AV28" i="44" a="1"/>
  <c r="AV28" i="44" s="1"/>
  <c r="AV27" i="44" a="1"/>
  <c r="AV27" i="44" s="1"/>
  <c r="AV26" i="44" a="1"/>
  <c r="AV26" i="44" s="1"/>
  <c r="AV25" i="44" a="1"/>
  <c r="AV25" i="44" s="1"/>
  <c r="AV24" i="44" a="1"/>
  <c r="AV24" i="44" s="1"/>
  <c r="AV23" i="44" a="1"/>
  <c r="AV23" i="44" s="1"/>
  <c r="AV22" i="44" a="1"/>
  <c r="AV22" i="44" s="1"/>
  <c r="AV21" i="44" a="1"/>
  <c r="AV21" i="44" s="1"/>
  <c r="AV20" i="44" a="1"/>
  <c r="AV20" i="44" s="1"/>
  <c r="AV19" i="44" a="1"/>
  <c r="AV19" i="44" s="1"/>
  <c r="AV18" i="44" a="1"/>
  <c r="AV18" i="44" s="1"/>
  <c r="AV17" i="44" a="1"/>
  <c r="AV17" i="44" s="1"/>
  <c r="AV16" i="44" a="1"/>
  <c r="AV16" i="44" s="1"/>
  <c r="AV15" i="44" a="1"/>
  <c r="AV15" i="44" s="1"/>
  <c r="AV14" i="44" a="1"/>
  <c r="AV14" i="44" s="1"/>
  <c r="AV13" i="44" a="1"/>
  <c r="AV13" i="44" s="1"/>
  <c r="AV12" i="44" a="1"/>
  <c r="AV12" i="44" s="1"/>
  <c r="AV11" i="44" a="1"/>
  <c r="AV11" i="44" s="1"/>
  <c r="AV10" i="44" a="1"/>
  <c r="AV10" i="44" s="1"/>
  <c r="AV9" i="44" a="1"/>
  <c r="AV9" i="44" s="1"/>
  <c r="AV8" i="44" a="1"/>
  <c r="AV8" i="44" s="1"/>
  <c r="AU57" i="44" a="1"/>
  <c r="AU57" i="44" s="1"/>
  <c r="AU56" i="44" a="1"/>
  <c r="AU56" i="44" s="1"/>
  <c r="AU55" i="44" a="1"/>
  <c r="AU55" i="44" s="1"/>
  <c r="AU54" i="44" a="1"/>
  <c r="AU54" i="44" s="1"/>
  <c r="AU53" i="44" a="1"/>
  <c r="AU53" i="44" s="1"/>
  <c r="AU52" i="44" a="1"/>
  <c r="AU52" i="44" s="1"/>
  <c r="AU51" i="44" a="1"/>
  <c r="AU51" i="44" s="1"/>
  <c r="AU50" i="44" a="1"/>
  <c r="AU50" i="44" s="1"/>
  <c r="AU49" i="44" a="1"/>
  <c r="AU49" i="44" s="1"/>
  <c r="AU48" i="44" a="1"/>
  <c r="AU48" i="44" s="1"/>
  <c r="AU47" i="44" a="1"/>
  <c r="AU47" i="44" s="1"/>
  <c r="AU46" i="44" a="1"/>
  <c r="AU46" i="44" s="1"/>
  <c r="AU45" i="44" a="1"/>
  <c r="AU45" i="44" s="1"/>
  <c r="AU44" i="44" a="1"/>
  <c r="AU44" i="44" s="1"/>
  <c r="AU43" i="44" a="1"/>
  <c r="AU43" i="44" s="1"/>
  <c r="AU42" i="44" a="1"/>
  <c r="AU42" i="44" s="1"/>
  <c r="AU41" i="44" a="1"/>
  <c r="AU41" i="44" s="1"/>
  <c r="AU40" i="44" a="1"/>
  <c r="AU40" i="44" s="1"/>
  <c r="AU39" i="44" a="1"/>
  <c r="AU39" i="44" s="1"/>
  <c r="AU38" i="44" a="1"/>
  <c r="AU38" i="44" s="1"/>
  <c r="AU37" i="44" a="1"/>
  <c r="AU37" i="44" s="1"/>
  <c r="AU36" i="44" a="1"/>
  <c r="AU36" i="44" s="1"/>
  <c r="AU35" i="44" a="1"/>
  <c r="AU35" i="44" s="1"/>
  <c r="AU34" i="44" a="1"/>
  <c r="AU34" i="44" s="1"/>
  <c r="AU33" i="44" a="1"/>
  <c r="AU33" i="44" s="1"/>
  <c r="AU32" i="44" a="1"/>
  <c r="AU32" i="44" s="1"/>
  <c r="AU31" i="44" a="1"/>
  <c r="AU31" i="44" s="1"/>
  <c r="AU30" i="44" a="1"/>
  <c r="AU30" i="44" s="1"/>
  <c r="AU29" i="44" a="1"/>
  <c r="AU29" i="44" s="1"/>
  <c r="AU28" i="44" a="1"/>
  <c r="AU28" i="44" s="1"/>
  <c r="AU27" i="44" a="1"/>
  <c r="AU27" i="44" s="1"/>
  <c r="AU26" i="44" a="1"/>
  <c r="AU26" i="44" s="1"/>
  <c r="AU25" i="44" a="1"/>
  <c r="AU25" i="44" s="1"/>
  <c r="AU24" i="44" a="1"/>
  <c r="AU24" i="44" s="1"/>
  <c r="AU23" i="44" a="1"/>
  <c r="AU23" i="44" s="1"/>
  <c r="AU22" i="44" a="1"/>
  <c r="AU22" i="44" s="1"/>
  <c r="AU21" i="44" a="1"/>
  <c r="AU21" i="44" s="1"/>
  <c r="AU20" i="44" a="1"/>
  <c r="AU20" i="44" s="1"/>
  <c r="AU19" i="44" a="1"/>
  <c r="AU19" i="44" s="1"/>
  <c r="AU18" i="44" a="1"/>
  <c r="AU18" i="44" s="1"/>
  <c r="AU17" i="44" a="1"/>
  <c r="AU17" i="44" s="1"/>
  <c r="AU16" i="44" a="1"/>
  <c r="AU16" i="44" s="1"/>
  <c r="AU15" i="44" a="1"/>
  <c r="AU15" i="44" s="1"/>
  <c r="AU14" i="44" a="1"/>
  <c r="AU14" i="44" s="1"/>
  <c r="AU13" i="44" a="1"/>
  <c r="AU13" i="44" s="1"/>
  <c r="AU12" i="44" a="1"/>
  <c r="AU12" i="44" s="1"/>
  <c r="AU11" i="44" a="1"/>
  <c r="AU11" i="44" s="1"/>
  <c r="AU10" i="44" a="1"/>
  <c r="AU10" i="44" s="1"/>
  <c r="AU9" i="44" a="1"/>
  <c r="AU9" i="44" s="1"/>
  <c r="AU8" i="44" a="1"/>
  <c r="AU8" i="44" s="1"/>
  <c r="AT57" i="44" a="1"/>
  <c r="AT57" i="44" s="1"/>
  <c r="AT56" i="44" a="1"/>
  <c r="AT56" i="44" s="1"/>
  <c r="AT55" i="44" a="1"/>
  <c r="AT55" i="44" s="1"/>
  <c r="AT54" i="44" a="1"/>
  <c r="AT54" i="44" s="1"/>
  <c r="AT53" i="44" a="1"/>
  <c r="AT53" i="44" s="1"/>
  <c r="AT52" i="44" a="1"/>
  <c r="AT52" i="44" s="1"/>
  <c r="AT51" i="44" a="1"/>
  <c r="AT51" i="44" s="1"/>
  <c r="AT50" i="44" a="1"/>
  <c r="AT50" i="44" s="1"/>
  <c r="AT49" i="44" a="1"/>
  <c r="AT49" i="44" s="1"/>
  <c r="AT48" i="44" a="1"/>
  <c r="AT48" i="44" s="1"/>
  <c r="AT47" i="44" a="1"/>
  <c r="AT47" i="44" s="1"/>
  <c r="AT46" i="44" a="1"/>
  <c r="AT46" i="44" s="1"/>
  <c r="AT45" i="44" a="1"/>
  <c r="AT45" i="44" s="1"/>
  <c r="AT44" i="44" a="1"/>
  <c r="AT44" i="44" s="1"/>
  <c r="AT43" i="44" a="1"/>
  <c r="AT43" i="44" s="1"/>
  <c r="AT42" i="44" a="1"/>
  <c r="AT42" i="44" s="1"/>
  <c r="AT41" i="44" a="1"/>
  <c r="AT41" i="44" s="1"/>
  <c r="AT40" i="44" a="1"/>
  <c r="AT40" i="44" s="1"/>
  <c r="AT39" i="44" a="1"/>
  <c r="AT39" i="44" s="1"/>
  <c r="AT38" i="44" a="1"/>
  <c r="AT38" i="44" s="1"/>
  <c r="AT37" i="44" a="1"/>
  <c r="AT37" i="44" s="1"/>
  <c r="AT36" i="44" a="1"/>
  <c r="AT36" i="44" s="1"/>
  <c r="AT35" i="44" a="1"/>
  <c r="AT35" i="44" s="1"/>
  <c r="AT34" i="44" a="1"/>
  <c r="AT34" i="44" s="1"/>
  <c r="AT33" i="44" a="1"/>
  <c r="AT33" i="44" s="1"/>
  <c r="AT32" i="44" a="1"/>
  <c r="AT32" i="44" s="1"/>
  <c r="AT31" i="44" a="1"/>
  <c r="AT31" i="44" s="1"/>
  <c r="AT30" i="44" a="1"/>
  <c r="AT30" i="44" s="1"/>
  <c r="AT29" i="44" a="1"/>
  <c r="AT29" i="44" s="1"/>
  <c r="AT28" i="44" a="1"/>
  <c r="AT28" i="44" s="1"/>
  <c r="AT27" i="44" a="1"/>
  <c r="AT27" i="44" s="1"/>
  <c r="AT26" i="44" a="1"/>
  <c r="AT26" i="44" s="1"/>
  <c r="AT25" i="44" a="1"/>
  <c r="AT25" i="44" s="1"/>
  <c r="AT24" i="44" a="1"/>
  <c r="AT24" i="44" s="1"/>
  <c r="AT23" i="44" a="1"/>
  <c r="AT23" i="44" s="1"/>
  <c r="AT22" i="44" a="1"/>
  <c r="AT22" i="44" s="1"/>
  <c r="AT21" i="44" a="1"/>
  <c r="AT21" i="44" s="1"/>
  <c r="AT20" i="44" a="1"/>
  <c r="AT20" i="44" s="1"/>
  <c r="AT19" i="44" a="1"/>
  <c r="AT19" i="44" s="1"/>
  <c r="AT18" i="44" a="1"/>
  <c r="AT18" i="44" s="1"/>
  <c r="AT17" i="44" a="1"/>
  <c r="AT17" i="44" s="1"/>
  <c r="AT16" i="44" a="1"/>
  <c r="AT16" i="44" s="1"/>
  <c r="AT15" i="44" a="1"/>
  <c r="AT15" i="44" s="1"/>
  <c r="AT14" i="44" a="1"/>
  <c r="AT14" i="44" s="1"/>
  <c r="AT13" i="44" a="1"/>
  <c r="AT13" i="44" s="1"/>
  <c r="AT12" i="44" a="1"/>
  <c r="AT12" i="44" s="1"/>
  <c r="AT11" i="44" a="1"/>
  <c r="AT11" i="44" s="1"/>
  <c r="AT10" i="44" a="1"/>
  <c r="AT10" i="44" s="1"/>
  <c r="AT9" i="44" a="1"/>
  <c r="AT9" i="44" s="1"/>
  <c r="AT8" i="44" a="1"/>
  <c r="AT8" i="44" s="1"/>
  <c r="AS57" i="44" a="1"/>
  <c r="AS57" i="44" s="1"/>
  <c r="AS56" i="44" a="1"/>
  <c r="AS56" i="44" s="1"/>
  <c r="AS55" i="44" a="1"/>
  <c r="AS55" i="44" s="1"/>
  <c r="AS54" i="44" a="1"/>
  <c r="AS54" i="44" s="1"/>
  <c r="AS53" i="44" a="1"/>
  <c r="AS53" i="44" s="1"/>
  <c r="AS52" i="44" a="1"/>
  <c r="AS52" i="44" s="1"/>
  <c r="AS51" i="44" a="1"/>
  <c r="AS51" i="44" s="1"/>
  <c r="AS50" i="44" a="1"/>
  <c r="AS50" i="44" s="1"/>
  <c r="AS49" i="44" a="1"/>
  <c r="AS49" i="44" s="1"/>
  <c r="AS48" i="44" a="1"/>
  <c r="AS48" i="44" s="1"/>
  <c r="AS47" i="44" a="1"/>
  <c r="AS47" i="44" s="1"/>
  <c r="AS46" i="44" a="1"/>
  <c r="AS46" i="44" s="1"/>
  <c r="AS45" i="44" a="1"/>
  <c r="AS45" i="44" s="1"/>
  <c r="AS44" i="44" a="1"/>
  <c r="AS44" i="44" s="1"/>
  <c r="AS43" i="44" a="1"/>
  <c r="AS43" i="44" s="1"/>
  <c r="AS42" i="44" a="1"/>
  <c r="AS42" i="44" s="1"/>
  <c r="AS41" i="44" a="1"/>
  <c r="AS41" i="44" s="1"/>
  <c r="AS40" i="44" a="1"/>
  <c r="AS40" i="44" s="1"/>
  <c r="AS39" i="44" a="1"/>
  <c r="AS39" i="44" s="1"/>
  <c r="AS38" i="44" a="1"/>
  <c r="AS38" i="44" s="1"/>
  <c r="AS37" i="44" a="1"/>
  <c r="AS37" i="44" s="1"/>
  <c r="AS36" i="44" a="1"/>
  <c r="AS36" i="44" s="1"/>
  <c r="AS35" i="44" a="1"/>
  <c r="AS35" i="44" s="1"/>
  <c r="AS34" i="44" a="1"/>
  <c r="AS34" i="44" s="1"/>
  <c r="AS33" i="44" a="1"/>
  <c r="AS33" i="44" s="1"/>
  <c r="AS32" i="44" a="1"/>
  <c r="AS32" i="44" s="1"/>
  <c r="AS31" i="44" a="1"/>
  <c r="AS31" i="44" s="1"/>
  <c r="AS30" i="44" a="1"/>
  <c r="AS30" i="44" s="1"/>
  <c r="AS29" i="44" a="1"/>
  <c r="AS29" i="44" s="1"/>
  <c r="AS28" i="44" a="1"/>
  <c r="AS28" i="44" s="1"/>
  <c r="AS27" i="44" a="1"/>
  <c r="AS27" i="44" s="1"/>
  <c r="AS26" i="44" a="1"/>
  <c r="AS26" i="44" s="1"/>
  <c r="AS25" i="44" a="1"/>
  <c r="AS25" i="44" s="1"/>
  <c r="AS24" i="44" a="1"/>
  <c r="AS24" i="44" s="1"/>
  <c r="AS23" i="44" a="1"/>
  <c r="AS23" i="44" s="1"/>
  <c r="AS22" i="44" a="1"/>
  <c r="AS22" i="44" s="1"/>
  <c r="AS21" i="44" a="1"/>
  <c r="AS21" i="44" s="1"/>
  <c r="AS20" i="44" a="1"/>
  <c r="AS20" i="44" s="1"/>
  <c r="AS19" i="44" a="1"/>
  <c r="AS19" i="44" s="1"/>
  <c r="AS18" i="44" a="1"/>
  <c r="AS18" i="44" s="1"/>
  <c r="AS17" i="44" a="1"/>
  <c r="AS17" i="44" s="1"/>
  <c r="AS16" i="44" a="1"/>
  <c r="AS16" i="44" s="1"/>
  <c r="AS15" i="44" a="1"/>
  <c r="AS15" i="44" s="1"/>
  <c r="AS14" i="44" a="1"/>
  <c r="AS14" i="44" s="1"/>
  <c r="AS13" i="44" a="1"/>
  <c r="AS13" i="44" s="1"/>
  <c r="AS12" i="44" a="1"/>
  <c r="AS12" i="44" s="1"/>
  <c r="AS11" i="44" a="1"/>
  <c r="AS11" i="44" s="1"/>
  <c r="AS10" i="44" a="1"/>
  <c r="AS10" i="44" s="1"/>
  <c r="AS9" i="44" a="1"/>
  <c r="AS9" i="44" s="1"/>
  <c r="AS8" i="44" a="1"/>
  <c r="AS8" i="44" s="1"/>
  <c r="AR57" i="44" a="1"/>
  <c r="AR57" i="44" s="1"/>
  <c r="AR56" i="44" a="1"/>
  <c r="AR56" i="44" s="1"/>
  <c r="AR55" i="44" a="1"/>
  <c r="AR55" i="44" s="1"/>
  <c r="AR54" i="44" a="1"/>
  <c r="AR54" i="44" s="1"/>
  <c r="AR53" i="44" a="1"/>
  <c r="AR53" i="44" s="1"/>
  <c r="AR52" i="44" a="1"/>
  <c r="AR52" i="44" s="1"/>
  <c r="AR51" i="44" a="1"/>
  <c r="AR51" i="44" s="1"/>
  <c r="AR50" i="44" a="1"/>
  <c r="AR50" i="44" s="1"/>
  <c r="AR49" i="44" a="1"/>
  <c r="AR49" i="44" s="1"/>
  <c r="AR48" i="44" a="1"/>
  <c r="AR48" i="44" s="1"/>
  <c r="AR47" i="44" a="1"/>
  <c r="AR47" i="44" s="1"/>
  <c r="AR46" i="44" a="1"/>
  <c r="AR46" i="44" s="1"/>
  <c r="AR45" i="44" a="1"/>
  <c r="AR45" i="44" s="1"/>
  <c r="AR44" i="44" a="1"/>
  <c r="AR44" i="44" s="1"/>
  <c r="AR43" i="44" a="1"/>
  <c r="AR43" i="44" s="1"/>
  <c r="AR42" i="44" a="1"/>
  <c r="AR42" i="44" s="1"/>
  <c r="AR41" i="44" a="1"/>
  <c r="AR41" i="44" s="1"/>
  <c r="AR40" i="44" a="1"/>
  <c r="AR40" i="44" s="1"/>
  <c r="AR39" i="44" a="1"/>
  <c r="AR39" i="44" s="1"/>
  <c r="AR38" i="44" a="1"/>
  <c r="AR38" i="44" s="1"/>
  <c r="AR37" i="44" a="1"/>
  <c r="AR37" i="44" s="1"/>
  <c r="AR36" i="44" a="1"/>
  <c r="AR36" i="44" s="1"/>
  <c r="AR35" i="44" a="1"/>
  <c r="AR35" i="44" s="1"/>
  <c r="AR34" i="44" a="1"/>
  <c r="AR34" i="44" s="1"/>
  <c r="AR33" i="44" a="1"/>
  <c r="AR33" i="44" s="1"/>
  <c r="AR32" i="44" a="1"/>
  <c r="AR32" i="44" s="1"/>
  <c r="AR31" i="44" a="1"/>
  <c r="AR31" i="44" s="1"/>
  <c r="AR30" i="44" a="1"/>
  <c r="AR30" i="44" s="1"/>
  <c r="AR29" i="44" a="1"/>
  <c r="AR29" i="44" s="1"/>
  <c r="AR28" i="44" a="1"/>
  <c r="AR28" i="44" s="1"/>
  <c r="AR27" i="44" a="1"/>
  <c r="AR27" i="44" s="1"/>
  <c r="AR26" i="44" a="1"/>
  <c r="AR26" i="44" s="1"/>
  <c r="AR25" i="44" a="1"/>
  <c r="AR25" i="44" s="1"/>
  <c r="AR24" i="44" a="1"/>
  <c r="AR24" i="44" s="1"/>
  <c r="AR23" i="44" a="1"/>
  <c r="AR23" i="44" s="1"/>
  <c r="AR22" i="44" a="1"/>
  <c r="AR22" i="44" s="1"/>
  <c r="AR21" i="44" a="1"/>
  <c r="AR21" i="44" s="1"/>
  <c r="AR20" i="44" a="1"/>
  <c r="AR20" i="44" s="1"/>
  <c r="AR19" i="44" a="1"/>
  <c r="AR19" i="44" s="1"/>
  <c r="AR18" i="44" a="1"/>
  <c r="AR18" i="44" s="1"/>
  <c r="AR17" i="44" a="1"/>
  <c r="AR17" i="44" s="1"/>
  <c r="AR16" i="44" a="1"/>
  <c r="AR16" i="44" s="1"/>
  <c r="AR15" i="44" a="1"/>
  <c r="AR15" i="44" s="1"/>
  <c r="AR14" i="44" a="1"/>
  <c r="AR14" i="44" s="1"/>
  <c r="AR13" i="44" a="1"/>
  <c r="AR13" i="44" s="1"/>
  <c r="AR12" i="44" a="1"/>
  <c r="AR12" i="44" s="1"/>
  <c r="AR11" i="44" a="1"/>
  <c r="AR11" i="44" s="1"/>
  <c r="AR10" i="44" a="1"/>
  <c r="AR10" i="44" s="1"/>
  <c r="AR9" i="44" a="1"/>
  <c r="AR9" i="44" s="1"/>
  <c r="AR8" i="44" a="1"/>
  <c r="AR8" i="44" s="1"/>
  <c r="AQ57" i="44" a="1"/>
  <c r="AQ57" i="44" s="1"/>
  <c r="AQ56" i="44" a="1"/>
  <c r="AQ56" i="44" s="1"/>
  <c r="AQ55" i="44" a="1"/>
  <c r="AQ55" i="44" s="1"/>
  <c r="AQ54" i="44" a="1"/>
  <c r="AQ54" i="44" s="1"/>
  <c r="AQ53" i="44" a="1"/>
  <c r="AQ53" i="44" s="1"/>
  <c r="AQ52" i="44" a="1"/>
  <c r="AQ52" i="44" s="1"/>
  <c r="AQ51" i="44" a="1"/>
  <c r="AQ51" i="44" s="1"/>
  <c r="AQ50" i="44" a="1"/>
  <c r="AQ50" i="44" s="1"/>
  <c r="AQ49" i="44" a="1"/>
  <c r="AQ49" i="44" s="1"/>
  <c r="AQ48" i="44" a="1"/>
  <c r="AQ48" i="44" s="1"/>
  <c r="AQ47" i="44" a="1"/>
  <c r="AQ47" i="44" s="1"/>
  <c r="AQ46" i="44" a="1"/>
  <c r="AQ46" i="44" s="1"/>
  <c r="AQ45" i="44" a="1"/>
  <c r="AQ45" i="44" s="1"/>
  <c r="AQ44" i="44" a="1"/>
  <c r="AQ44" i="44" s="1"/>
  <c r="AQ43" i="44" a="1"/>
  <c r="AQ43" i="44" s="1"/>
  <c r="AQ42" i="44" a="1"/>
  <c r="AQ42" i="44" s="1"/>
  <c r="AQ41" i="44" a="1"/>
  <c r="AQ41" i="44" s="1"/>
  <c r="AQ40" i="44" a="1"/>
  <c r="AQ40" i="44" s="1"/>
  <c r="AQ39" i="44" a="1"/>
  <c r="AQ39" i="44" s="1"/>
  <c r="AQ38" i="44" a="1"/>
  <c r="AQ38" i="44" s="1"/>
  <c r="AQ37" i="44" a="1"/>
  <c r="AQ37" i="44" s="1"/>
  <c r="AQ36" i="44" a="1"/>
  <c r="AQ36" i="44" s="1"/>
  <c r="AQ35" i="44" a="1"/>
  <c r="AQ35" i="44" s="1"/>
  <c r="AQ34" i="44" a="1"/>
  <c r="AQ34" i="44" s="1"/>
  <c r="AQ33" i="44" a="1"/>
  <c r="AQ33" i="44" s="1"/>
  <c r="AQ32" i="44" a="1"/>
  <c r="AQ32" i="44" s="1"/>
  <c r="AQ31" i="44" a="1"/>
  <c r="AQ31" i="44" s="1"/>
  <c r="AQ30" i="44" a="1"/>
  <c r="AQ30" i="44" s="1"/>
  <c r="AQ29" i="44" a="1"/>
  <c r="AQ29" i="44" s="1"/>
  <c r="AQ28" i="44" a="1"/>
  <c r="AQ28" i="44" s="1"/>
  <c r="AQ27" i="44" a="1"/>
  <c r="AQ27" i="44" s="1"/>
  <c r="AQ26" i="44" a="1"/>
  <c r="AQ26" i="44" s="1"/>
  <c r="AQ25" i="44" a="1"/>
  <c r="AQ25" i="44" s="1"/>
  <c r="AQ24" i="44" a="1"/>
  <c r="AQ24" i="44" s="1"/>
  <c r="AQ23" i="44" a="1"/>
  <c r="AQ23" i="44" s="1"/>
  <c r="AQ22" i="44" a="1"/>
  <c r="AQ22" i="44" s="1"/>
  <c r="AQ21" i="44" a="1"/>
  <c r="AQ21" i="44" s="1"/>
  <c r="AQ20" i="44" a="1"/>
  <c r="AQ20" i="44" s="1"/>
  <c r="AQ19" i="44" a="1"/>
  <c r="AQ19" i="44" s="1"/>
  <c r="AQ18" i="44" a="1"/>
  <c r="AQ18" i="44" s="1"/>
  <c r="AQ17" i="44" a="1"/>
  <c r="AQ17" i="44" s="1"/>
  <c r="AQ16" i="44" a="1"/>
  <c r="AQ16" i="44" s="1"/>
  <c r="AQ15" i="44" a="1"/>
  <c r="AQ15" i="44" s="1"/>
  <c r="AQ14" i="44" a="1"/>
  <c r="AQ14" i="44" s="1"/>
  <c r="AQ13" i="44" a="1"/>
  <c r="AQ13" i="44" s="1"/>
  <c r="AQ12" i="44" a="1"/>
  <c r="AQ12" i="44" s="1"/>
  <c r="AQ11" i="44" a="1"/>
  <c r="AQ11" i="44" s="1"/>
  <c r="AQ10" i="44" a="1"/>
  <c r="AQ10" i="44" s="1"/>
  <c r="AQ9" i="44" a="1"/>
  <c r="AQ9" i="44" s="1"/>
  <c r="AQ8" i="44" a="1"/>
  <c r="AQ8" i="44" s="1"/>
  <c r="AP57" i="44" a="1"/>
  <c r="AP57" i="44" s="1"/>
  <c r="AP56" i="44" a="1"/>
  <c r="AP56" i="44" s="1"/>
  <c r="AP55" i="44" a="1"/>
  <c r="AP55" i="44" s="1"/>
  <c r="AP54" i="44" a="1"/>
  <c r="AP54" i="44" s="1"/>
  <c r="AP53" i="44" a="1"/>
  <c r="AP53" i="44" s="1"/>
  <c r="AP52" i="44" a="1"/>
  <c r="AP52" i="44" s="1"/>
  <c r="AP51" i="44" a="1"/>
  <c r="AP51" i="44" s="1"/>
  <c r="AP50" i="44" a="1"/>
  <c r="AP50" i="44" s="1"/>
  <c r="AP49" i="44" a="1"/>
  <c r="AP49" i="44" s="1"/>
  <c r="AP48" i="44" a="1"/>
  <c r="AP48" i="44" s="1"/>
  <c r="AP47" i="44" a="1"/>
  <c r="AP47" i="44" s="1"/>
  <c r="AP46" i="44" a="1"/>
  <c r="AP46" i="44" s="1"/>
  <c r="AP45" i="44" a="1"/>
  <c r="AP45" i="44" s="1"/>
  <c r="AP44" i="44" a="1"/>
  <c r="AP44" i="44" s="1"/>
  <c r="AP43" i="44" a="1"/>
  <c r="AP43" i="44" s="1"/>
  <c r="AP42" i="44" a="1"/>
  <c r="AP42" i="44" s="1"/>
  <c r="AP41" i="44" a="1"/>
  <c r="AP41" i="44" s="1"/>
  <c r="AP40" i="44" a="1"/>
  <c r="AP40" i="44" s="1"/>
  <c r="AP39" i="44" a="1"/>
  <c r="AP39" i="44" s="1"/>
  <c r="AP38" i="44" a="1"/>
  <c r="AP38" i="44" s="1"/>
  <c r="AP37" i="44" a="1"/>
  <c r="AP37" i="44" s="1"/>
  <c r="AP36" i="44" a="1"/>
  <c r="AP36" i="44" s="1"/>
  <c r="AP35" i="44" a="1"/>
  <c r="AP35" i="44" s="1"/>
  <c r="AP34" i="44" a="1"/>
  <c r="AP34" i="44" s="1"/>
  <c r="AP33" i="44" a="1"/>
  <c r="AP33" i="44" s="1"/>
  <c r="AP32" i="44" a="1"/>
  <c r="AP32" i="44" s="1"/>
  <c r="AP31" i="44" a="1"/>
  <c r="AP31" i="44" s="1"/>
  <c r="AP30" i="44" a="1"/>
  <c r="AP30" i="44" s="1"/>
  <c r="AP29" i="44" a="1"/>
  <c r="AP29" i="44" s="1"/>
  <c r="AP28" i="44" a="1"/>
  <c r="AP28" i="44" s="1"/>
  <c r="AP27" i="44" a="1"/>
  <c r="AP27" i="44" s="1"/>
  <c r="AP26" i="44" a="1"/>
  <c r="AP26" i="44" s="1"/>
  <c r="AP25" i="44" a="1"/>
  <c r="AP25" i="44" s="1"/>
  <c r="AP24" i="44" a="1"/>
  <c r="AP24" i="44" s="1"/>
  <c r="AP23" i="44" a="1"/>
  <c r="AP23" i="44" s="1"/>
  <c r="AP22" i="44" a="1"/>
  <c r="AP22" i="44" s="1"/>
  <c r="AP21" i="44" a="1"/>
  <c r="AP21" i="44" s="1"/>
  <c r="AP20" i="44" a="1"/>
  <c r="AP20" i="44" s="1"/>
  <c r="AP19" i="44" a="1"/>
  <c r="AP19" i="44" s="1"/>
  <c r="AP18" i="44" a="1"/>
  <c r="AP18" i="44" s="1"/>
  <c r="AP17" i="44" a="1"/>
  <c r="AP17" i="44" s="1"/>
  <c r="AP16" i="44" a="1"/>
  <c r="AP16" i="44" s="1"/>
  <c r="AP15" i="44" a="1"/>
  <c r="AP15" i="44" s="1"/>
  <c r="AP14" i="44" a="1"/>
  <c r="AP14" i="44" s="1"/>
  <c r="AP13" i="44" a="1"/>
  <c r="AP13" i="44" s="1"/>
  <c r="AP12" i="44" a="1"/>
  <c r="AP12" i="44" s="1"/>
  <c r="AP11" i="44" a="1"/>
  <c r="AP11" i="44" s="1"/>
  <c r="AP10" i="44" a="1"/>
  <c r="AP10" i="44" s="1"/>
  <c r="AP9" i="44" a="1"/>
  <c r="AP9" i="44" s="1"/>
  <c r="AP8" i="44" a="1"/>
  <c r="AP8" i="44" s="1"/>
  <c r="AO57" i="44" a="1"/>
  <c r="AO57" i="44" s="1"/>
  <c r="AO56" i="44" a="1"/>
  <c r="AO56" i="44" s="1"/>
  <c r="AO55" i="44" a="1"/>
  <c r="AO55" i="44" s="1"/>
  <c r="AO54" i="44" a="1"/>
  <c r="AO54" i="44" s="1"/>
  <c r="AO53" i="44" a="1"/>
  <c r="AO53" i="44" s="1"/>
  <c r="AO52" i="44" a="1"/>
  <c r="AO52" i="44" s="1"/>
  <c r="AO51" i="44" a="1"/>
  <c r="AO51" i="44" s="1"/>
  <c r="AO50" i="44" a="1"/>
  <c r="AO50" i="44" s="1"/>
  <c r="AO49" i="44" a="1"/>
  <c r="AO49" i="44" s="1"/>
  <c r="AO48" i="44" a="1"/>
  <c r="AO48" i="44" s="1"/>
  <c r="AO47" i="44" a="1"/>
  <c r="AO47" i="44" s="1"/>
  <c r="AO46" i="44" a="1"/>
  <c r="AO46" i="44" s="1"/>
  <c r="AO45" i="44" a="1"/>
  <c r="AO45" i="44" s="1"/>
  <c r="AO44" i="44" a="1"/>
  <c r="AO44" i="44" s="1"/>
  <c r="AO43" i="44" a="1"/>
  <c r="AO43" i="44" s="1"/>
  <c r="AO42" i="44" a="1"/>
  <c r="AO42" i="44" s="1"/>
  <c r="AO41" i="44" a="1"/>
  <c r="AO41" i="44" s="1"/>
  <c r="AO40" i="44" a="1"/>
  <c r="AO40" i="44" s="1"/>
  <c r="AO39" i="44" a="1"/>
  <c r="AO39" i="44" s="1"/>
  <c r="AO38" i="44" a="1"/>
  <c r="AO38" i="44" s="1"/>
  <c r="AO37" i="44" a="1"/>
  <c r="AO37" i="44" s="1"/>
  <c r="AO36" i="44" a="1"/>
  <c r="AO36" i="44" s="1"/>
  <c r="AO35" i="44" a="1"/>
  <c r="AO35" i="44" s="1"/>
  <c r="AO34" i="44" a="1"/>
  <c r="AO34" i="44" s="1"/>
  <c r="AO33" i="44" a="1"/>
  <c r="AO33" i="44" s="1"/>
  <c r="AO32" i="44" a="1"/>
  <c r="AO32" i="44" s="1"/>
  <c r="AO31" i="44" a="1"/>
  <c r="AO31" i="44" s="1"/>
  <c r="AO30" i="44" a="1"/>
  <c r="AO30" i="44" s="1"/>
  <c r="AO29" i="44" a="1"/>
  <c r="AO29" i="44" s="1"/>
  <c r="AO28" i="44" a="1"/>
  <c r="AO28" i="44" s="1"/>
  <c r="AO27" i="44" a="1"/>
  <c r="AO27" i="44" s="1"/>
  <c r="AO26" i="44" a="1"/>
  <c r="AO26" i="44" s="1"/>
  <c r="AO25" i="44" a="1"/>
  <c r="AO25" i="44" s="1"/>
  <c r="AO24" i="44" a="1"/>
  <c r="AO24" i="44" s="1"/>
  <c r="AO23" i="44" a="1"/>
  <c r="AO23" i="44" s="1"/>
  <c r="AO22" i="44" a="1"/>
  <c r="AO22" i="44" s="1"/>
  <c r="AO21" i="44" a="1"/>
  <c r="AO21" i="44" s="1"/>
  <c r="AO20" i="44" a="1"/>
  <c r="AO20" i="44" s="1"/>
  <c r="AO19" i="44" a="1"/>
  <c r="AO19" i="44" s="1"/>
  <c r="AO18" i="44" a="1"/>
  <c r="AO18" i="44" s="1"/>
  <c r="AO17" i="44" a="1"/>
  <c r="AO17" i="44" s="1"/>
  <c r="AO16" i="44" a="1"/>
  <c r="AO16" i="44" s="1"/>
  <c r="AO15" i="44" a="1"/>
  <c r="AO15" i="44" s="1"/>
  <c r="AO14" i="44" a="1"/>
  <c r="AO14" i="44" s="1"/>
  <c r="AO13" i="44" a="1"/>
  <c r="AO13" i="44" s="1"/>
  <c r="AO12" i="44" a="1"/>
  <c r="AO12" i="44" s="1"/>
  <c r="AO11" i="44" a="1"/>
  <c r="AO11" i="44" s="1"/>
  <c r="AO10" i="44" a="1"/>
  <c r="AO10" i="44" s="1"/>
  <c r="AO9" i="44" a="1"/>
  <c r="AO9" i="44" s="1"/>
  <c r="AO8" i="44" a="1"/>
  <c r="AO8" i="44" s="1"/>
  <c r="AN57" i="44" a="1"/>
  <c r="AN57" i="44" s="1"/>
  <c r="AN56" i="44" a="1"/>
  <c r="AN56" i="44" s="1"/>
  <c r="AN55" i="44" a="1"/>
  <c r="AN55" i="44" s="1"/>
  <c r="AN54" i="44" a="1"/>
  <c r="AN54" i="44" s="1"/>
  <c r="AN53" i="44" a="1"/>
  <c r="AN53" i="44" s="1"/>
  <c r="AN52" i="44" a="1"/>
  <c r="AN52" i="44" s="1"/>
  <c r="AN51" i="44" a="1"/>
  <c r="AN51" i="44" s="1"/>
  <c r="AN50" i="44" a="1"/>
  <c r="AN50" i="44" s="1"/>
  <c r="AN49" i="44" a="1"/>
  <c r="AN49" i="44" s="1"/>
  <c r="AN48" i="44" a="1"/>
  <c r="AN48" i="44" s="1"/>
  <c r="AN47" i="44" a="1"/>
  <c r="AN47" i="44" s="1"/>
  <c r="AN46" i="44" a="1"/>
  <c r="AN46" i="44" s="1"/>
  <c r="AN45" i="44" a="1"/>
  <c r="AN45" i="44" s="1"/>
  <c r="AN44" i="44" a="1"/>
  <c r="AN44" i="44" s="1"/>
  <c r="AN43" i="44" a="1"/>
  <c r="AN43" i="44" s="1"/>
  <c r="AN42" i="44" a="1"/>
  <c r="AN42" i="44" s="1"/>
  <c r="AN41" i="44" a="1"/>
  <c r="AN41" i="44" s="1"/>
  <c r="AN40" i="44" a="1"/>
  <c r="AN40" i="44" s="1"/>
  <c r="AN39" i="44" a="1"/>
  <c r="AN39" i="44" s="1"/>
  <c r="AN38" i="44" a="1"/>
  <c r="AN38" i="44" s="1"/>
  <c r="AN37" i="44" a="1"/>
  <c r="AN37" i="44" s="1"/>
  <c r="AN36" i="44" a="1"/>
  <c r="AN36" i="44" s="1"/>
  <c r="AN35" i="44" a="1"/>
  <c r="AN35" i="44" s="1"/>
  <c r="AN34" i="44" a="1"/>
  <c r="AN34" i="44" s="1"/>
  <c r="AN33" i="44" a="1"/>
  <c r="AN33" i="44" s="1"/>
  <c r="AN32" i="44" a="1"/>
  <c r="AN32" i="44" s="1"/>
  <c r="AN31" i="44" a="1"/>
  <c r="AN31" i="44" s="1"/>
  <c r="AN30" i="44" a="1"/>
  <c r="AN30" i="44" s="1"/>
  <c r="AN29" i="44" a="1"/>
  <c r="AN29" i="44" s="1"/>
  <c r="AN28" i="44" a="1"/>
  <c r="AN28" i="44" s="1"/>
  <c r="AN27" i="44" a="1"/>
  <c r="AN27" i="44" s="1"/>
  <c r="AN26" i="44" a="1"/>
  <c r="AN26" i="44" s="1"/>
  <c r="AN25" i="44" a="1"/>
  <c r="AN25" i="44" s="1"/>
  <c r="AN24" i="44" a="1"/>
  <c r="AN24" i="44" s="1"/>
  <c r="AN23" i="44" a="1"/>
  <c r="AN23" i="44" s="1"/>
  <c r="AN22" i="44" a="1"/>
  <c r="AN22" i="44" s="1"/>
  <c r="AN21" i="44" a="1"/>
  <c r="AN21" i="44" s="1"/>
  <c r="AN20" i="44" a="1"/>
  <c r="AN20" i="44" s="1"/>
  <c r="AN19" i="44" a="1"/>
  <c r="AN19" i="44" s="1"/>
  <c r="AN18" i="44" a="1"/>
  <c r="AN18" i="44" s="1"/>
  <c r="AN17" i="44" a="1"/>
  <c r="AN17" i="44" s="1"/>
  <c r="AN16" i="44" a="1"/>
  <c r="AN16" i="44" s="1"/>
  <c r="AN15" i="44" a="1"/>
  <c r="AN15" i="44" s="1"/>
  <c r="AN14" i="44" a="1"/>
  <c r="AN14" i="44" s="1"/>
  <c r="AN13" i="44" a="1"/>
  <c r="AN13" i="44" s="1"/>
  <c r="AN12" i="44" a="1"/>
  <c r="AN12" i="44" s="1"/>
  <c r="AN11" i="44" a="1"/>
  <c r="AN11" i="44" s="1"/>
  <c r="AN10" i="44" a="1"/>
  <c r="AN10" i="44" s="1"/>
  <c r="AN9" i="44" a="1"/>
  <c r="AN9" i="44" s="1"/>
  <c r="AN8" i="44" a="1"/>
  <c r="AN8" i="44" s="1"/>
  <c r="AM57" i="44" a="1"/>
  <c r="AM57" i="44" s="1"/>
  <c r="AM56" i="44" a="1"/>
  <c r="AM56" i="44" s="1"/>
  <c r="AM55" i="44" a="1"/>
  <c r="AM55" i="44" s="1"/>
  <c r="AM54" i="44" a="1"/>
  <c r="AM54" i="44" s="1"/>
  <c r="AM53" i="44" a="1"/>
  <c r="AM53" i="44" s="1"/>
  <c r="AM52" i="44" a="1"/>
  <c r="AM52" i="44" s="1"/>
  <c r="AM51" i="44" a="1"/>
  <c r="AM51" i="44" s="1"/>
  <c r="AM50" i="44" a="1"/>
  <c r="AM50" i="44" s="1"/>
  <c r="AM49" i="44" a="1"/>
  <c r="AM49" i="44" s="1"/>
  <c r="AM48" i="44" a="1"/>
  <c r="AM48" i="44" s="1"/>
  <c r="AM47" i="44" a="1"/>
  <c r="AM47" i="44" s="1"/>
  <c r="AM46" i="44" a="1"/>
  <c r="AM46" i="44" s="1"/>
  <c r="AM45" i="44" a="1"/>
  <c r="AM45" i="44" s="1"/>
  <c r="AM44" i="44" a="1"/>
  <c r="AM44" i="44" s="1"/>
  <c r="AM43" i="44" a="1"/>
  <c r="AM43" i="44" s="1"/>
  <c r="AM42" i="44" a="1"/>
  <c r="AM42" i="44" s="1"/>
  <c r="AM41" i="44" a="1"/>
  <c r="AM41" i="44" s="1"/>
  <c r="AM40" i="44" a="1"/>
  <c r="AM40" i="44" s="1"/>
  <c r="AM39" i="44" a="1"/>
  <c r="AM39" i="44" s="1"/>
  <c r="AM38" i="44" a="1"/>
  <c r="AM38" i="44" s="1"/>
  <c r="AM37" i="44" a="1"/>
  <c r="AM37" i="44" s="1"/>
  <c r="AM36" i="44" a="1"/>
  <c r="AM36" i="44" s="1"/>
  <c r="AM35" i="44" a="1"/>
  <c r="AM35" i="44" s="1"/>
  <c r="AM34" i="44" a="1"/>
  <c r="AM34" i="44" s="1"/>
  <c r="AM33" i="44" a="1"/>
  <c r="AM33" i="44" s="1"/>
  <c r="AM32" i="44" a="1"/>
  <c r="AM32" i="44" s="1"/>
  <c r="AM31" i="44" a="1"/>
  <c r="AM31" i="44" s="1"/>
  <c r="AM30" i="44" a="1"/>
  <c r="AM30" i="44" s="1"/>
  <c r="AM29" i="44" a="1"/>
  <c r="AM29" i="44" s="1"/>
  <c r="AM28" i="44" a="1"/>
  <c r="AM28" i="44" s="1"/>
  <c r="AM27" i="44" a="1"/>
  <c r="AM27" i="44" s="1"/>
  <c r="AM26" i="44" a="1"/>
  <c r="AM26" i="44" s="1"/>
  <c r="AM25" i="44" a="1"/>
  <c r="AM25" i="44" s="1"/>
  <c r="AM24" i="44" a="1"/>
  <c r="AM24" i="44" s="1"/>
  <c r="AM23" i="44" a="1"/>
  <c r="AM23" i="44" s="1"/>
  <c r="AM22" i="44" a="1"/>
  <c r="AM22" i="44" s="1"/>
  <c r="AM21" i="44" a="1"/>
  <c r="AM21" i="44" s="1"/>
  <c r="AM20" i="44" a="1"/>
  <c r="AM20" i="44" s="1"/>
  <c r="AM19" i="44" a="1"/>
  <c r="AM19" i="44" s="1"/>
  <c r="AM18" i="44" a="1"/>
  <c r="AM18" i="44" s="1"/>
  <c r="AM17" i="44" a="1"/>
  <c r="AM17" i="44" s="1"/>
  <c r="AM16" i="44" a="1"/>
  <c r="AM16" i="44" s="1"/>
  <c r="AM15" i="44" a="1"/>
  <c r="AM15" i="44" s="1"/>
  <c r="AM14" i="44" a="1"/>
  <c r="AM14" i="44" s="1"/>
  <c r="AM13" i="44" a="1"/>
  <c r="AM13" i="44" s="1"/>
  <c r="AM12" i="44" a="1"/>
  <c r="AM12" i="44" s="1"/>
  <c r="AM11" i="44" a="1"/>
  <c r="AM11" i="44" s="1"/>
  <c r="AM10" i="44" a="1"/>
  <c r="AM10" i="44" s="1"/>
  <c r="AM9" i="44" a="1"/>
  <c r="AM9" i="44" s="1"/>
  <c r="AM8" i="44" a="1"/>
  <c r="AM8" i="44" s="1"/>
  <c r="AL57" i="44" a="1"/>
  <c r="AL57" i="44" s="1"/>
  <c r="AL56" i="44" a="1"/>
  <c r="AL56" i="44" s="1"/>
  <c r="AL55" i="44" a="1"/>
  <c r="AL55" i="44" s="1"/>
  <c r="AL54" i="44" a="1"/>
  <c r="AL54" i="44" s="1"/>
  <c r="AL53" i="44" a="1"/>
  <c r="AL53" i="44" s="1"/>
  <c r="AL52" i="44" a="1"/>
  <c r="AL52" i="44" s="1"/>
  <c r="AL51" i="44" a="1"/>
  <c r="AL51" i="44" s="1"/>
  <c r="AL50" i="44" a="1"/>
  <c r="AL50" i="44" s="1"/>
  <c r="AL49" i="44" a="1"/>
  <c r="AL49" i="44" s="1"/>
  <c r="AL48" i="44" a="1"/>
  <c r="AL48" i="44" s="1"/>
  <c r="AL47" i="44" a="1"/>
  <c r="AL47" i="44" s="1"/>
  <c r="AL46" i="44" a="1"/>
  <c r="AL46" i="44" s="1"/>
  <c r="AL45" i="44" a="1"/>
  <c r="AL45" i="44" s="1"/>
  <c r="AL44" i="44" a="1"/>
  <c r="AL44" i="44" s="1"/>
  <c r="AL43" i="44" a="1"/>
  <c r="AL43" i="44" s="1"/>
  <c r="AL42" i="44" a="1"/>
  <c r="AL42" i="44" s="1"/>
  <c r="AL41" i="44" a="1"/>
  <c r="AL41" i="44" s="1"/>
  <c r="AL40" i="44" a="1"/>
  <c r="AL40" i="44" s="1"/>
  <c r="AL39" i="44" a="1"/>
  <c r="AL39" i="44" s="1"/>
  <c r="AL38" i="44" a="1"/>
  <c r="AL38" i="44" s="1"/>
  <c r="AL37" i="44" a="1"/>
  <c r="AL37" i="44" s="1"/>
  <c r="AL36" i="44" a="1"/>
  <c r="AL36" i="44" s="1"/>
  <c r="AL35" i="44" a="1"/>
  <c r="AL35" i="44" s="1"/>
  <c r="AL34" i="44" a="1"/>
  <c r="AL34" i="44" s="1"/>
  <c r="AL33" i="44" a="1"/>
  <c r="AL33" i="44" s="1"/>
  <c r="AL32" i="44" a="1"/>
  <c r="AL32" i="44" s="1"/>
  <c r="AL31" i="44" a="1"/>
  <c r="AL31" i="44" s="1"/>
  <c r="AL30" i="44" a="1"/>
  <c r="AL30" i="44" s="1"/>
  <c r="AL29" i="44" a="1"/>
  <c r="AL29" i="44" s="1"/>
  <c r="AL28" i="44" a="1"/>
  <c r="AL28" i="44" s="1"/>
  <c r="AL27" i="44" a="1"/>
  <c r="AL27" i="44" s="1"/>
  <c r="AL26" i="44" a="1"/>
  <c r="AL26" i="44" s="1"/>
  <c r="AL25" i="44" a="1"/>
  <c r="AL25" i="44" s="1"/>
  <c r="AL24" i="44" a="1"/>
  <c r="AL24" i="44" s="1"/>
  <c r="AL23" i="44" a="1"/>
  <c r="AL23" i="44" s="1"/>
  <c r="AL22" i="44" a="1"/>
  <c r="AL22" i="44" s="1"/>
  <c r="AL21" i="44" a="1"/>
  <c r="AL21" i="44" s="1"/>
  <c r="AL20" i="44" a="1"/>
  <c r="AL20" i="44" s="1"/>
  <c r="AL19" i="44" a="1"/>
  <c r="AL19" i="44" s="1"/>
  <c r="AL18" i="44" a="1"/>
  <c r="AL18" i="44" s="1"/>
  <c r="AL17" i="44" a="1"/>
  <c r="AL17" i="44" s="1"/>
  <c r="AL16" i="44" a="1"/>
  <c r="AL16" i="44" s="1"/>
  <c r="AL15" i="44" a="1"/>
  <c r="AL15" i="44" s="1"/>
  <c r="AL14" i="44" a="1"/>
  <c r="AL14" i="44" s="1"/>
  <c r="AL13" i="44" a="1"/>
  <c r="AL13" i="44" s="1"/>
  <c r="AL12" i="44" a="1"/>
  <c r="AL12" i="44" s="1"/>
  <c r="AL11" i="44" a="1"/>
  <c r="AL11" i="44" s="1"/>
  <c r="AL10" i="44" a="1"/>
  <c r="AL10" i="44" s="1"/>
  <c r="AL9" i="44" a="1"/>
  <c r="AL9" i="44" s="1"/>
  <c r="AL8" i="44" a="1"/>
  <c r="AL8" i="44" s="1"/>
  <c r="AK57" i="44" a="1"/>
  <c r="AK57" i="44" s="1"/>
  <c r="AK56" i="44" a="1"/>
  <c r="AK56" i="44" s="1"/>
  <c r="AK55" i="44" a="1"/>
  <c r="AK55" i="44" s="1"/>
  <c r="AK54" i="44" a="1"/>
  <c r="AK54" i="44" s="1"/>
  <c r="AK53" i="44" a="1"/>
  <c r="AK53" i="44" s="1"/>
  <c r="AK52" i="44" a="1"/>
  <c r="AK52" i="44" s="1"/>
  <c r="AK51" i="44" a="1"/>
  <c r="AK51" i="44" s="1"/>
  <c r="AK50" i="44" a="1"/>
  <c r="AK50" i="44" s="1"/>
  <c r="AK49" i="44" a="1"/>
  <c r="AK49" i="44" s="1"/>
  <c r="AK48" i="44" a="1"/>
  <c r="AK48" i="44" s="1"/>
  <c r="AK47" i="44" a="1"/>
  <c r="AK47" i="44" s="1"/>
  <c r="AK46" i="44" a="1"/>
  <c r="AK46" i="44" s="1"/>
  <c r="AK45" i="44" a="1"/>
  <c r="AK45" i="44" s="1"/>
  <c r="AK44" i="44" a="1"/>
  <c r="AK44" i="44" s="1"/>
  <c r="AK43" i="44" a="1"/>
  <c r="AK43" i="44" s="1"/>
  <c r="AK42" i="44" a="1"/>
  <c r="AK42" i="44" s="1"/>
  <c r="AK41" i="44" a="1"/>
  <c r="AK41" i="44" s="1"/>
  <c r="AK40" i="44" a="1"/>
  <c r="AK40" i="44" s="1"/>
  <c r="AK39" i="44" a="1"/>
  <c r="AK39" i="44" s="1"/>
  <c r="AK38" i="44" a="1"/>
  <c r="AK38" i="44" s="1"/>
  <c r="AK37" i="44" a="1"/>
  <c r="AK37" i="44" s="1"/>
  <c r="AK36" i="44" a="1"/>
  <c r="AK36" i="44" s="1"/>
  <c r="AK35" i="44" a="1"/>
  <c r="AK35" i="44" s="1"/>
  <c r="AK34" i="44" a="1"/>
  <c r="AK34" i="44" s="1"/>
  <c r="AK33" i="44" a="1"/>
  <c r="AK33" i="44" s="1"/>
  <c r="AK32" i="44" a="1"/>
  <c r="AK32" i="44" s="1"/>
  <c r="AK31" i="44" a="1"/>
  <c r="AK31" i="44" s="1"/>
  <c r="AK30" i="44" a="1"/>
  <c r="AK30" i="44" s="1"/>
  <c r="AK29" i="44" a="1"/>
  <c r="AK29" i="44" s="1"/>
  <c r="AK28" i="44" a="1"/>
  <c r="AK28" i="44" s="1"/>
  <c r="AK27" i="44" a="1"/>
  <c r="AK27" i="44" s="1"/>
  <c r="AK26" i="44" a="1"/>
  <c r="AK26" i="44" s="1"/>
  <c r="AK25" i="44" a="1"/>
  <c r="AK25" i="44" s="1"/>
  <c r="AK24" i="44" a="1"/>
  <c r="AK24" i="44" s="1"/>
  <c r="AK23" i="44" a="1"/>
  <c r="AK23" i="44" s="1"/>
  <c r="AK22" i="44" a="1"/>
  <c r="AK22" i="44" s="1"/>
  <c r="AK21" i="44" a="1"/>
  <c r="AK21" i="44" s="1"/>
  <c r="AK20" i="44" a="1"/>
  <c r="AK20" i="44" s="1"/>
  <c r="AK19" i="44" a="1"/>
  <c r="AK19" i="44" s="1"/>
  <c r="AK18" i="44" a="1"/>
  <c r="AK18" i="44" s="1"/>
  <c r="AK17" i="44" a="1"/>
  <c r="AK17" i="44" s="1"/>
  <c r="AK16" i="44" a="1"/>
  <c r="AK16" i="44" s="1"/>
  <c r="AK15" i="44" a="1"/>
  <c r="AK15" i="44" s="1"/>
  <c r="AK14" i="44" a="1"/>
  <c r="AK14" i="44" s="1"/>
  <c r="AK13" i="44" a="1"/>
  <c r="AK13" i="44" s="1"/>
  <c r="AK12" i="44" a="1"/>
  <c r="AK12" i="44" s="1"/>
  <c r="AK11" i="44" a="1"/>
  <c r="AK11" i="44" s="1"/>
  <c r="AK10" i="44" a="1"/>
  <c r="AK10" i="44" s="1"/>
  <c r="AK9" i="44" a="1"/>
  <c r="AK9" i="44" s="1"/>
  <c r="AK8" i="44" a="1"/>
  <c r="AK8" i="44" s="1"/>
  <c r="AJ57" i="44" a="1"/>
  <c r="AJ57" i="44" s="1"/>
  <c r="AJ56" i="44" a="1"/>
  <c r="AJ56" i="44" s="1"/>
  <c r="AJ55" i="44" a="1"/>
  <c r="AJ55" i="44" s="1"/>
  <c r="AJ54" i="44" a="1"/>
  <c r="AJ54" i="44" s="1"/>
  <c r="AJ53" i="44" a="1"/>
  <c r="AJ53" i="44" s="1"/>
  <c r="AJ52" i="44" a="1"/>
  <c r="AJ52" i="44" s="1"/>
  <c r="AJ51" i="44" a="1"/>
  <c r="AJ51" i="44" s="1"/>
  <c r="AJ50" i="44" a="1"/>
  <c r="AJ50" i="44" s="1"/>
  <c r="AJ49" i="44" a="1"/>
  <c r="AJ49" i="44" s="1"/>
  <c r="AJ48" i="44" a="1"/>
  <c r="AJ48" i="44" s="1"/>
  <c r="AJ47" i="44" a="1"/>
  <c r="AJ47" i="44" s="1"/>
  <c r="AJ46" i="44" a="1"/>
  <c r="AJ46" i="44" s="1"/>
  <c r="AJ45" i="44" a="1"/>
  <c r="AJ45" i="44" s="1"/>
  <c r="AJ44" i="44" a="1"/>
  <c r="AJ44" i="44" s="1"/>
  <c r="AJ43" i="44" a="1"/>
  <c r="AJ43" i="44" s="1"/>
  <c r="AJ42" i="44" a="1"/>
  <c r="AJ42" i="44" s="1"/>
  <c r="AJ41" i="44" a="1"/>
  <c r="AJ41" i="44" s="1"/>
  <c r="AJ40" i="44" a="1"/>
  <c r="AJ40" i="44" s="1"/>
  <c r="AJ39" i="44" a="1"/>
  <c r="AJ39" i="44" s="1"/>
  <c r="AJ38" i="44" a="1"/>
  <c r="AJ38" i="44" s="1"/>
  <c r="AJ37" i="44" a="1"/>
  <c r="AJ37" i="44" s="1"/>
  <c r="AJ36" i="44" a="1"/>
  <c r="AJ36" i="44" s="1"/>
  <c r="AJ35" i="44" a="1"/>
  <c r="AJ35" i="44" s="1"/>
  <c r="AJ34" i="44" a="1"/>
  <c r="AJ34" i="44" s="1"/>
  <c r="AJ33" i="44" a="1"/>
  <c r="AJ33" i="44" s="1"/>
  <c r="AJ32" i="44" a="1"/>
  <c r="AJ32" i="44" s="1"/>
  <c r="AJ31" i="44" a="1"/>
  <c r="AJ31" i="44" s="1"/>
  <c r="AJ30" i="44" a="1"/>
  <c r="AJ30" i="44" s="1"/>
  <c r="AJ29" i="44" a="1"/>
  <c r="AJ29" i="44" s="1"/>
  <c r="AJ28" i="44" a="1"/>
  <c r="AJ28" i="44" s="1"/>
  <c r="AJ27" i="44" a="1"/>
  <c r="AJ27" i="44" s="1"/>
  <c r="AJ26" i="44" a="1"/>
  <c r="AJ26" i="44" s="1"/>
  <c r="AJ25" i="44" a="1"/>
  <c r="AJ25" i="44" s="1"/>
  <c r="AJ24" i="44" a="1"/>
  <c r="AJ24" i="44" s="1"/>
  <c r="AJ23" i="44" a="1"/>
  <c r="AJ23" i="44" s="1"/>
  <c r="AJ22" i="44" a="1"/>
  <c r="AJ22" i="44" s="1"/>
  <c r="AJ21" i="44" a="1"/>
  <c r="AJ21" i="44" s="1"/>
  <c r="AJ20" i="44" a="1"/>
  <c r="AJ20" i="44" s="1"/>
  <c r="AJ19" i="44" a="1"/>
  <c r="AJ19" i="44" s="1"/>
  <c r="AJ18" i="44" a="1"/>
  <c r="AJ18" i="44" s="1"/>
  <c r="AJ17" i="44" a="1"/>
  <c r="AJ17" i="44" s="1"/>
  <c r="AJ16" i="44" a="1"/>
  <c r="AJ16" i="44" s="1"/>
  <c r="AJ15" i="44" a="1"/>
  <c r="AJ15" i="44" s="1"/>
  <c r="AJ14" i="44" a="1"/>
  <c r="AJ14" i="44" s="1"/>
  <c r="AJ13" i="44" a="1"/>
  <c r="AJ13" i="44" s="1"/>
  <c r="AJ12" i="44" a="1"/>
  <c r="AJ12" i="44" s="1"/>
  <c r="AJ11" i="44" a="1"/>
  <c r="AJ11" i="44" s="1"/>
  <c r="AJ10" i="44" a="1"/>
  <c r="AJ10" i="44" s="1"/>
  <c r="AJ9" i="44" a="1"/>
  <c r="AJ9" i="44" s="1"/>
  <c r="AJ8" i="44" a="1"/>
  <c r="AJ8" i="44" s="1"/>
  <c r="AI57" i="44" a="1"/>
  <c r="AI57" i="44" s="1"/>
  <c r="AI56" i="44" a="1"/>
  <c r="AI56" i="44" s="1"/>
  <c r="AI55" i="44" a="1"/>
  <c r="AI55" i="44" s="1"/>
  <c r="AI54" i="44" a="1"/>
  <c r="AI54" i="44" s="1"/>
  <c r="AI53" i="44" a="1"/>
  <c r="AI53" i="44" s="1"/>
  <c r="AI52" i="44" a="1"/>
  <c r="AI52" i="44" s="1"/>
  <c r="AI51" i="44" a="1"/>
  <c r="AI51" i="44" s="1"/>
  <c r="AI50" i="44" a="1"/>
  <c r="AI50" i="44" s="1"/>
  <c r="AI49" i="44" a="1"/>
  <c r="AI49" i="44" s="1"/>
  <c r="AI48" i="44" a="1"/>
  <c r="AI48" i="44" s="1"/>
  <c r="AI47" i="44" a="1"/>
  <c r="AI47" i="44" s="1"/>
  <c r="AI46" i="44" a="1"/>
  <c r="AI46" i="44" s="1"/>
  <c r="AI45" i="44" a="1"/>
  <c r="AI45" i="44" s="1"/>
  <c r="AI44" i="44" a="1"/>
  <c r="AI44" i="44" s="1"/>
  <c r="AI43" i="44" a="1"/>
  <c r="AI43" i="44" s="1"/>
  <c r="AI42" i="44" a="1"/>
  <c r="AI42" i="44" s="1"/>
  <c r="AI41" i="44" a="1"/>
  <c r="AI41" i="44" s="1"/>
  <c r="AI40" i="44" a="1"/>
  <c r="AI40" i="44" s="1"/>
  <c r="AI39" i="44" a="1"/>
  <c r="AI39" i="44" s="1"/>
  <c r="AI38" i="44" a="1"/>
  <c r="AI38" i="44" s="1"/>
  <c r="AI37" i="44" a="1"/>
  <c r="AI37" i="44" s="1"/>
  <c r="AI36" i="44" a="1"/>
  <c r="AI36" i="44" s="1"/>
  <c r="AI35" i="44" a="1"/>
  <c r="AI35" i="44" s="1"/>
  <c r="AI34" i="44" a="1"/>
  <c r="AI34" i="44" s="1"/>
  <c r="AI33" i="44" a="1"/>
  <c r="AI33" i="44" s="1"/>
  <c r="AI32" i="44" a="1"/>
  <c r="AI32" i="44" s="1"/>
  <c r="AI31" i="44" a="1"/>
  <c r="AI31" i="44" s="1"/>
  <c r="AI30" i="44" a="1"/>
  <c r="AI30" i="44" s="1"/>
  <c r="AI29" i="44" a="1"/>
  <c r="AI29" i="44" s="1"/>
  <c r="AI28" i="44" a="1"/>
  <c r="AI28" i="44" s="1"/>
  <c r="AI27" i="44" a="1"/>
  <c r="AI27" i="44" s="1"/>
  <c r="AI26" i="44" a="1"/>
  <c r="AI26" i="44" s="1"/>
  <c r="AI25" i="44" a="1"/>
  <c r="AI25" i="44" s="1"/>
  <c r="AI24" i="44" a="1"/>
  <c r="AI24" i="44" s="1"/>
  <c r="AI23" i="44" a="1"/>
  <c r="AI23" i="44" s="1"/>
  <c r="AI22" i="44" a="1"/>
  <c r="AI22" i="44" s="1"/>
  <c r="AI21" i="44" a="1"/>
  <c r="AI21" i="44" s="1"/>
  <c r="AI20" i="44" a="1"/>
  <c r="AI20" i="44" s="1"/>
  <c r="AI19" i="44" a="1"/>
  <c r="AI19" i="44" s="1"/>
  <c r="AI18" i="44" a="1"/>
  <c r="AI18" i="44" s="1"/>
  <c r="AI17" i="44" a="1"/>
  <c r="AI17" i="44" s="1"/>
  <c r="AI16" i="44" a="1"/>
  <c r="AI16" i="44" s="1"/>
  <c r="AI15" i="44" a="1"/>
  <c r="AI15" i="44" s="1"/>
  <c r="AI14" i="44" a="1"/>
  <c r="AI14" i="44" s="1"/>
  <c r="AI13" i="44" a="1"/>
  <c r="AI13" i="44" s="1"/>
  <c r="AI12" i="44" a="1"/>
  <c r="AI12" i="44" s="1"/>
  <c r="AI11" i="44" a="1"/>
  <c r="AI11" i="44" s="1"/>
  <c r="AI10" i="44" a="1"/>
  <c r="AI10" i="44" s="1"/>
  <c r="AI9" i="44" a="1"/>
  <c r="AI9" i="44" s="1"/>
  <c r="AI8" i="44" a="1"/>
  <c r="AI8" i="44" s="1"/>
  <c r="AH57" i="44" a="1"/>
  <c r="AH57" i="44" s="1"/>
  <c r="AH56" i="44" a="1"/>
  <c r="AH56" i="44" s="1"/>
  <c r="AH55" i="44" a="1"/>
  <c r="AH55" i="44" s="1"/>
  <c r="AH54" i="44" a="1"/>
  <c r="AH54" i="44" s="1"/>
  <c r="AH53" i="44" a="1"/>
  <c r="AH53" i="44" s="1"/>
  <c r="AH52" i="44" a="1"/>
  <c r="AH52" i="44" s="1"/>
  <c r="AH51" i="44" a="1"/>
  <c r="AH51" i="44" s="1"/>
  <c r="AH50" i="44" a="1"/>
  <c r="AH50" i="44" s="1"/>
  <c r="AH49" i="44" a="1"/>
  <c r="AH49" i="44" s="1"/>
  <c r="AH48" i="44" a="1"/>
  <c r="AH48" i="44" s="1"/>
  <c r="AH47" i="44" a="1"/>
  <c r="AH47" i="44" s="1"/>
  <c r="AH46" i="44" a="1"/>
  <c r="AH46" i="44" s="1"/>
  <c r="AH45" i="44" a="1"/>
  <c r="AH45" i="44" s="1"/>
  <c r="AH44" i="44" a="1"/>
  <c r="AH44" i="44" s="1"/>
  <c r="AH43" i="44" a="1"/>
  <c r="AH43" i="44" s="1"/>
  <c r="AH42" i="44" a="1"/>
  <c r="AH42" i="44" s="1"/>
  <c r="AH41" i="44" a="1"/>
  <c r="AH41" i="44" s="1"/>
  <c r="AH40" i="44" a="1"/>
  <c r="AH40" i="44" s="1"/>
  <c r="AH39" i="44" a="1"/>
  <c r="AH39" i="44" s="1"/>
  <c r="AH38" i="44" a="1"/>
  <c r="AH38" i="44" s="1"/>
  <c r="AH37" i="44" a="1"/>
  <c r="AH37" i="44" s="1"/>
  <c r="AH36" i="44" a="1"/>
  <c r="AH36" i="44" s="1"/>
  <c r="AH35" i="44" a="1"/>
  <c r="AH35" i="44" s="1"/>
  <c r="AH34" i="44" a="1"/>
  <c r="AH34" i="44" s="1"/>
  <c r="AH33" i="44" a="1"/>
  <c r="AH33" i="44" s="1"/>
  <c r="AH32" i="44" a="1"/>
  <c r="AH32" i="44" s="1"/>
  <c r="AH31" i="44" a="1"/>
  <c r="AH31" i="44" s="1"/>
  <c r="AH30" i="44" a="1"/>
  <c r="AH30" i="44" s="1"/>
  <c r="AH29" i="44" a="1"/>
  <c r="AH29" i="44" s="1"/>
  <c r="AH28" i="44" a="1"/>
  <c r="AH28" i="44" s="1"/>
  <c r="AH27" i="44" a="1"/>
  <c r="AH27" i="44" s="1"/>
  <c r="AH26" i="44" a="1"/>
  <c r="AH26" i="44" s="1"/>
  <c r="AH25" i="44" a="1"/>
  <c r="AH25" i="44" s="1"/>
  <c r="AH24" i="44" a="1"/>
  <c r="AH24" i="44" s="1"/>
  <c r="AH23" i="44" a="1"/>
  <c r="AH23" i="44" s="1"/>
  <c r="AH22" i="44" a="1"/>
  <c r="AH22" i="44" s="1"/>
  <c r="AH21" i="44" a="1"/>
  <c r="AH21" i="44" s="1"/>
  <c r="AH20" i="44" a="1"/>
  <c r="AH20" i="44" s="1"/>
  <c r="AH19" i="44" a="1"/>
  <c r="AH19" i="44" s="1"/>
  <c r="AH18" i="44" a="1"/>
  <c r="AH18" i="44" s="1"/>
  <c r="AH17" i="44" a="1"/>
  <c r="AH17" i="44" s="1"/>
  <c r="AH16" i="44" a="1"/>
  <c r="AH16" i="44" s="1"/>
  <c r="AH15" i="44" a="1"/>
  <c r="AH15" i="44" s="1"/>
  <c r="AH14" i="44" a="1"/>
  <c r="AH14" i="44" s="1"/>
  <c r="AH13" i="44" a="1"/>
  <c r="AH13" i="44" s="1"/>
  <c r="AH12" i="44" a="1"/>
  <c r="AH12" i="44" s="1"/>
  <c r="AH11" i="44" a="1"/>
  <c r="AH11" i="44" s="1"/>
  <c r="AH10" i="44" a="1"/>
  <c r="AH10" i="44" s="1"/>
  <c r="AH9" i="44" a="1"/>
  <c r="AH9" i="44" s="1"/>
  <c r="AH8" i="44" a="1"/>
  <c r="AH8" i="44" s="1"/>
  <c r="AG57" i="44" a="1"/>
  <c r="AG57" i="44" s="1"/>
  <c r="AG56" i="44" a="1"/>
  <c r="AG56" i="44" s="1"/>
  <c r="AG55" i="44" a="1"/>
  <c r="AG55" i="44" s="1"/>
  <c r="AG54" i="44" a="1"/>
  <c r="AG54" i="44" s="1"/>
  <c r="AG53" i="44" a="1"/>
  <c r="AG53" i="44" s="1"/>
  <c r="AG52" i="44" a="1"/>
  <c r="AG52" i="44" s="1"/>
  <c r="AG51" i="44" a="1"/>
  <c r="AG51" i="44" s="1"/>
  <c r="AG50" i="44" a="1"/>
  <c r="AG50" i="44" s="1"/>
  <c r="AG49" i="44" a="1"/>
  <c r="AG49" i="44" s="1"/>
  <c r="AG48" i="44" a="1"/>
  <c r="AG48" i="44" s="1"/>
  <c r="AG47" i="44" a="1"/>
  <c r="AG47" i="44" s="1"/>
  <c r="AG46" i="44" a="1"/>
  <c r="AG46" i="44" s="1"/>
  <c r="AG45" i="44" a="1"/>
  <c r="AG45" i="44" s="1"/>
  <c r="AG44" i="44" a="1"/>
  <c r="AG44" i="44" s="1"/>
  <c r="AG43" i="44" a="1"/>
  <c r="AG43" i="44" s="1"/>
  <c r="AG42" i="44" a="1"/>
  <c r="AG42" i="44" s="1"/>
  <c r="AG41" i="44" a="1"/>
  <c r="AG41" i="44" s="1"/>
  <c r="AG40" i="44" a="1"/>
  <c r="AG40" i="44" s="1"/>
  <c r="AG39" i="44" a="1"/>
  <c r="AG39" i="44" s="1"/>
  <c r="AG38" i="44" a="1"/>
  <c r="AG38" i="44" s="1"/>
  <c r="AG37" i="44" a="1"/>
  <c r="AG37" i="44" s="1"/>
  <c r="AG36" i="44" a="1"/>
  <c r="AG36" i="44" s="1"/>
  <c r="AG35" i="44" a="1"/>
  <c r="AG35" i="44" s="1"/>
  <c r="AG34" i="44" a="1"/>
  <c r="AG34" i="44" s="1"/>
  <c r="AG33" i="44" a="1"/>
  <c r="AG33" i="44" s="1"/>
  <c r="AG32" i="44" a="1"/>
  <c r="AG32" i="44" s="1"/>
  <c r="AG31" i="44" a="1"/>
  <c r="AG31" i="44" s="1"/>
  <c r="AG30" i="44" a="1"/>
  <c r="AG30" i="44" s="1"/>
  <c r="AG29" i="44" a="1"/>
  <c r="AG29" i="44" s="1"/>
  <c r="AG28" i="44" a="1"/>
  <c r="AG28" i="44" s="1"/>
  <c r="AG27" i="44" a="1"/>
  <c r="AG27" i="44" s="1"/>
  <c r="AG26" i="44" a="1"/>
  <c r="AG26" i="44" s="1"/>
  <c r="AG25" i="44" a="1"/>
  <c r="AG25" i="44" s="1"/>
  <c r="AG24" i="44" a="1"/>
  <c r="AG24" i="44" s="1"/>
  <c r="AG23" i="44" a="1"/>
  <c r="AG23" i="44" s="1"/>
  <c r="AG22" i="44" a="1"/>
  <c r="AG22" i="44" s="1"/>
  <c r="AG21" i="44" a="1"/>
  <c r="AG21" i="44" s="1"/>
  <c r="AG20" i="44" a="1"/>
  <c r="AG20" i="44" s="1"/>
  <c r="AG19" i="44" a="1"/>
  <c r="AG19" i="44" s="1"/>
  <c r="AG18" i="44" a="1"/>
  <c r="AG18" i="44" s="1"/>
  <c r="AG17" i="44" a="1"/>
  <c r="AG17" i="44" s="1"/>
  <c r="AG16" i="44" a="1"/>
  <c r="AG16" i="44" s="1"/>
  <c r="AG15" i="44" a="1"/>
  <c r="AG15" i="44" s="1"/>
  <c r="AG14" i="44" a="1"/>
  <c r="AG14" i="44" s="1"/>
  <c r="AG13" i="44" a="1"/>
  <c r="AG13" i="44" s="1"/>
  <c r="AG12" i="44" a="1"/>
  <c r="AG12" i="44" s="1"/>
  <c r="AG11" i="44" a="1"/>
  <c r="AG11" i="44" s="1"/>
  <c r="AG10" i="44" a="1"/>
  <c r="AG10" i="44" s="1"/>
  <c r="AG9" i="44" a="1"/>
  <c r="AG9" i="44" s="1"/>
  <c r="AG8" i="44" a="1"/>
  <c r="AG8" i="44" s="1"/>
  <c r="AF57" i="44" a="1"/>
  <c r="AF57" i="44" s="1"/>
  <c r="AF56" i="44" a="1"/>
  <c r="AF56" i="44" s="1"/>
  <c r="AF55" i="44" a="1"/>
  <c r="AF55" i="44" s="1"/>
  <c r="AF54" i="44" a="1"/>
  <c r="AF54" i="44" s="1"/>
  <c r="AF53" i="44" a="1"/>
  <c r="AF53" i="44" s="1"/>
  <c r="AF52" i="44" a="1"/>
  <c r="AF52" i="44" s="1"/>
  <c r="AF51" i="44" a="1"/>
  <c r="AF51" i="44" s="1"/>
  <c r="AF50" i="44" a="1"/>
  <c r="AF50" i="44" s="1"/>
  <c r="AF49" i="44" a="1"/>
  <c r="AF49" i="44" s="1"/>
  <c r="AF48" i="44" a="1"/>
  <c r="AF48" i="44" s="1"/>
  <c r="AF47" i="44" a="1"/>
  <c r="AF47" i="44" s="1"/>
  <c r="AF46" i="44" a="1"/>
  <c r="AF46" i="44" s="1"/>
  <c r="AF45" i="44" a="1"/>
  <c r="AF45" i="44" s="1"/>
  <c r="AF44" i="44" a="1"/>
  <c r="AF44" i="44" s="1"/>
  <c r="AF43" i="44" a="1"/>
  <c r="AF43" i="44" s="1"/>
  <c r="AF42" i="44" a="1"/>
  <c r="AF42" i="44" s="1"/>
  <c r="AF41" i="44" a="1"/>
  <c r="AF41" i="44" s="1"/>
  <c r="AF40" i="44" a="1"/>
  <c r="AF40" i="44" s="1"/>
  <c r="AF39" i="44" a="1"/>
  <c r="AF39" i="44" s="1"/>
  <c r="AF38" i="44" a="1"/>
  <c r="AF38" i="44" s="1"/>
  <c r="AF37" i="44" a="1"/>
  <c r="AF37" i="44" s="1"/>
  <c r="AF36" i="44" a="1"/>
  <c r="AF36" i="44" s="1"/>
  <c r="AF35" i="44" a="1"/>
  <c r="AF35" i="44" s="1"/>
  <c r="AF34" i="44" a="1"/>
  <c r="AF34" i="44" s="1"/>
  <c r="AF33" i="44" a="1"/>
  <c r="AF33" i="44" s="1"/>
  <c r="AF32" i="44" a="1"/>
  <c r="AF32" i="44" s="1"/>
  <c r="AF31" i="44" a="1"/>
  <c r="AF31" i="44" s="1"/>
  <c r="AF30" i="44" a="1"/>
  <c r="AF30" i="44" s="1"/>
  <c r="AF29" i="44" a="1"/>
  <c r="AF29" i="44" s="1"/>
  <c r="AF28" i="44" a="1"/>
  <c r="AF28" i="44" s="1"/>
  <c r="AF27" i="44" a="1"/>
  <c r="AF27" i="44" s="1"/>
  <c r="AF26" i="44" a="1"/>
  <c r="AF26" i="44" s="1"/>
  <c r="AF25" i="44" a="1"/>
  <c r="AF25" i="44" s="1"/>
  <c r="AF24" i="44" a="1"/>
  <c r="AF24" i="44" s="1"/>
  <c r="AF23" i="44" a="1"/>
  <c r="AF23" i="44" s="1"/>
  <c r="AF22" i="44" a="1"/>
  <c r="AF22" i="44" s="1"/>
  <c r="AF21" i="44" a="1"/>
  <c r="AF21" i="44" s="1"/>
  <c r="AF20" i="44" a="1"/>
  <c r="AF20" i="44" s="1"/>
  <c r="AF19" i="44" a="1"/>
  <c r="AF19" i="44" s="1"/>
  <c r="AF18" i="44" a="1"/>
  <c r="AF18" i="44" s="1"/>
  <c r="AF17" i="44" a="1"/>
  <c r="AF17" i="44" s="1"/>
  <c r="AF16" i="44" a="1"/>
  <c r="AF16" i="44" s="1"/>
  <c r="AF15" i="44" a="1"/>
  <c r="AF15" i="44" s="1"/>
  <c r="AF14" i="44" a="1"/>
  <c r="AF14" i="44" s="1"/>
  <c r="AF13" i="44" a="1"/>
  <c r="AF13" i="44" s="1"/>
  <c r="AF12" i="44" a="1"/>
  <c r="AF12" i="44" s="1"/>
  <c r="AF11" i="44" a="1"/>
  <c r="AF11" i="44" s="1"/>
  <c r="AF10" i="44" a="1"/>
  <c r="AF10" i="44" s="1"/>
  <c r="AF9" i="44" a="1"/>
  <c r="AF9" i="44" s="1"/>
  <c r="AF8" i="44" a="1"/>
  <c r="AF8" i="44" s="1"/>
  <c r="AE57" i="44" a="1"/>
  <c r="AE57" i="44" s="1"/>
  <c r="AE56" i="44" a="1"/>
  <c r="AE56" i="44" s="1"/>
  <c r="AE55" i="44" a="1"/>
  <c r="AE55" i="44" s="1"/>
  <c r="AE54" i="44" a="1"/>
  <c r="AE54" i="44" s="1"/>
  <c r="AE53" i="44" a="1"/>
  <c r="AE53" i="44" s="1"/>
  <c r="AE52" i="44" a="1"/>
  <c r="AE52" i="44" s="1"/>
  <c r="AE51" i="44" a="1"/>
  <c r="AE51" i="44" s="1"/>
  <c r="AE50" i="44" a="1"/>
  <c r="AE50" i="44" s="1"/>
  <c r="AE49" i="44" a="1"/>
  <c r="AE49" i="44" s="1"/>
  <c r="AE48" i="44" a="1"/>
  <c r="AE48" i="44" s="1"/>
  <c r="AE47" i="44" a="1"/>
  <c r="AE47" i="44" s="1"/>
  <c r="AE46" i="44" a="1"/>
  <c r="AE46" i="44" s="1"/>
  <c r="AE45" i="44" a="1"/>
  <c r="AE45" i="44" s="1"/>
  <c r="AE44" i="44" a="1"/>
  <c r="AE44" i="44" s="1"/>
  <c r="AE43" i="44" a="1"/>
  <c r="AE43" i="44" s="1"/>
  <c r="AE42" i="44" a="1"/>
  <c r="AE42" i="44" s="1"/>
  <c r="AE41" i="44" a="1"/>
  <c r="AE41" i="44" s="1"/>
  <c r="AE40" i="44" a="1"/>
  <c r="AE40" i="44" s="1"/>
  <c r="AE39" i="44" a="1"/>
  <c r="AE39" i="44" s="1"/>
  <c r="AE38" i="44" a="1"/>
  <c r="AE38" i="44" s="1"/>
  <c r="AE37" i="44" a="1"/>
  <c r="AE37" i="44" s="1"/>
  <c r="AE36" i="44" a="1"/>
  <c r="AE36" i="44" s="1"/>
  <c r="AE35" i="44" a="1"/>
  <c r="AE35" i="44" s="1"/>
  <c r="AE34" i="44" a="1"/>
  <c r="AE34" i="44" s="1"/>
  <c r="AE33" i="44" a="1"/>
  <c r="AE33" i="44" s="1"/>
  <c r="AE32" i="44" a="1"/>
  <c r="AE32" i="44" s="1"/>
  <c r="AE31" i="44" a="1"/>
  <c r="AE31" i="44" s="1"/>
  <c r="AE30" i="44" a="1"/>
  <c r="AE30" i="44" s="1"/>
  <c r="AE29" i="44" a="1"/>
  <c r="AE29" i="44" s="1"/>
  <c r="AE28" i="44" a="1"/>
  <c r="AE28" i="44" s="1"/>
  <c r="AE27" i="44" a="1"/>
  <c r="AE27" i="44" s="1"/>
  <c r="AE26" i="44" a="1"/>
  <c r="AE26" i="44" s="1"/>
  <c r="AE25" i="44" a="1"/>
  <c r="AE25" i="44" s="1"/>
  <c r="AE24" i="44" a="1"/>
  <c r="AE24" i="44" s="1"/>
  <c r="AE23" i="44" a="1"/>
  <c r="AE23" i="44" s="1"/>
  <c r="AE22" i="44" a="1"/>
  <c r="AE22" i="44" s="1"/>
  <c r="AE21" i="44" a="1"/>
  <c r="AE21" i="44" s="1"/>
  <c r="AE20" i="44" a="1"/>
  <c r="AE20" i="44" s="1"/>
  <c r="AE19" i="44" a="1"/>
  <c r="AE19" i="44" s="1"/>
  <c r="AE18" i="44" a="1"/>
  <c r="AE18" i="44" s="1"/>
  <c r="AE17" i="44" a="1"/>
  <c r="AE17" i="44" s="1"/>
  <c r="AE16" i="44" a="1"/>
  <c r="AE16" i="44" s="1"/>
  <c r="AE15" i="44" a="1"/>
  <c r="AE15" i="44" s="1"/>
  <c r="AE14" i="44" a="1"/>
  <c r="AE14" i="44" s="1"/>
  <c r="AE13" i="44" a="1"/>
  <c r="AE13" i="44" s="1"/>
  <c r="AE12" i="44" a="1"/>
  <c r="AE12" i="44" s="1"/>
  <c r="AE11" i="44" a="1"/>
  <c r="AE11" i="44" s="1"/>
  <c r="AE10" i="44" a="1"/>
  <c r="AE10" i="44" s="1"/>
  <c r="AE9" i="44" a="1"/>
  <c r="AE9" i="44" s="1"/>
  <c r="AE8" i="44" a="1"/>
  <c r="AE8" i="44" s="1"/>
  <c r="AD57" i="44" a="1"/>
  <c r="AD57" i="44" s="1"/>
  <c r="AD56" i="44" a="1"/>
  <c r="AD56" i="44" s="1"/>
  <c r="AD55" i="44" a="1"/>
  <c r="AD55" i="44" s="1"/>
  <c r="AD54" i="44" a="1"/>
  <c r="AD54" i="44" s="1"/>
  <c r="AD53" i="44" a="1"/>
  <c r="AD53" i="44" s="1"/>
  <c r="AD52" i="44" a="1"/>
  <c r="AD52" i="44" s="1"/>
  <c r="AD51" i="44" a="1"/>
  <c r="AD51" i="44" s="1"/>
  <c r="AD50" i="44" a="1"/>
  <c r="AD50" i="44" s="1"/>
  <c r="AD49" i="44" a="1"/>
  <c r="AD49" i="44" s="1"/>
  <c r="AD48" i="44" a="1"/>
  <c r="AD48" i="44" s="1"/>
  <c r="AD47" i="44" a="1"/>
  <c r="AD47" i="44" s="1"/>
  <c r="AD46" i="44" a="1"/>
  <c r="AD46" i="44" s="1"/>
  <c r="AD45" i="44" a="1"/>
  <c r="AD45" i="44" s="1"/>
  <c r="AD44" i="44" a="1"/>
  <c r="AD44" i="44" s="1"/>
  <c r="AD43" i="44" a="1"/>
  <c r="AD43" i="44" s="1"/>
  <c r="AD42" i="44" a="1"/>
  <c r="AD42" i="44" s="1"/>
  <c r="AD41" i="44" a="1"/>
  <c r="AD41" i="44" s="1"/>
  <c r="AD40" i="44" a="1"/>
  <c r="AD40" i="44" s="1"/>
  <c r="AD39" i="44" a="1"/>
  <c r="AD39" i="44" s="1"/>
  <c r="AD38" i="44" a="1"/>
  <c r="AD38" i="44" s="1"/>
  <c r="AD37" i="44" a="1"/>
  <c r="AD37" i="44" s="1"/>
  <c r="AD36" i="44" a="1"/>
  <c r="AD36" i="44" s="1"/>
  <c r="AD35" i="44" a="1"/>
  <c r="AD35" i="44" s="1"/>
  <c r="AD34" i="44" a="1"/>
  <c r="AD34" i="44" s="1"/>
  <c r="AD33" i="44" a="1"/>
  <c r="AD33" i="44" s="1"/>
  <c r="AD32" i="44" a="1"/>
  <c r="AD32" i="44" s="1"/>
  <c r="AD31" i="44" a="1"/>
  <c r="AD31" i="44" s="1"/>
  <c r="AD30" i="44" a="1"/>
  <c r="AD30" i="44" s="1"/>
  <c r="AD29" i="44" a="1"/>
  <c r="AD29" i="44" s="1"/>
  <c r="AD28" i="44" a="1"/>
  <c r="AD28" i="44" s="1"/>
  <c r="AD27" i="44" a="1"/>
  <c r="AD27" i="44" s="1"/>
  <c r="AD26" i="44" a="1"/>
  <c r="AD26" i="44" s="1"/>
  <c r="AD25" i="44" a="1"/>
  <c r="AD25" i="44" s="1"/>
  <c r="AD24" i="44" a="1"/>
  <c r="AD24" i="44" s="1"/>
  <c r="AD23" i="44" a="1"/>
  <c r="AD23" i="44" s="1"/>
  <c r="AD22" i="44" a="1"/>
  <c r="AD22" i="44" s="1"/>
  <c r="AD21" i="44" a="1"/>
  <c r="AD21" i="44" s="1"/>
  <c r="AD20" i="44" a="1"/>
  <c r="AD20" i="44" s="1"/>
  <c r="AD19" i="44" a="1"/>
  <c r="AD19" i="44" s="1"/>
  <c r="AD18" i="44" a="1"/>
  <c r="AD18" i="44" s="1"/>
  <c r="AD17" i="44" a="1"/>
  <c r="AD17" i="44" s="1"/>
  <c r="AD16" i="44" a="1"/>
  <c r="AD16" i="44" s="1"/>
  <c r="AD15" i="44" a="1"/>
  <c r="AD15" i="44" s="1"/>
  <c r="AD14" i="44" a="1"/>
  <c r="AD14" i="44" s="1"/>
  <c r="AD13" i="44" a="1"/>
  <c r="AD13" i="44" s="1"/>
  <c r="AD12" i="44" a="1"/>
  <c r="AD12" i="44" s="1"/>
  <c r="AD11" i="44" a="1"/>
  <c r="AD11" i="44" s="1"/>
  <c r="AD10" i="44" a="1"/>
  <c r="AD10" i="44" s="1"/>
  <c r="AD9" i="44" a="1"/>
  <c r="AD9" i="44" s="1"/>
  <c r="AD8" i="44" a="1"/>
  <c r="AD8" i="44" s="1"/>
  <c r="AC57" i="44" a="1"/>
  <c r="AC57" i="44" s="1"/>
  <c r="AC56" i="44" a="1"/>
  <c r="AC56" i="44" s="1"/>
  <c r="AC55" i="44" a="1"/>
  <c r="AC55" i="44" s="1"/>
  <c r="AC54" i="44" a="1"/>
  <c r="AC54" i="44" s="1"/>
  <c r="AC53" i="44" a="1"/>
  <c r="AC53" i="44" s="1"/>
  <c r="AC52" i="44" a="1"/>
  <c r="AC52" i="44" s="1"/>
  <c r="AC51" i="44" a="1"/>
  <c r="AC51" i="44" s="1"/>
  <c r="AC50" i="44" a="1"/>
  <c r="AC50" i="44" s="1"/>
  <c r="AC49" i="44" a="1"/>
  <c r="AC49" i="44" s="1"/>
  <c r="AC48" i="44" a="1"/>
  <c r="AC48" i="44" s="1"/>
  <c r="AC47" i="44" a="1"/>
  <c r="AC47" i="44" s="1"/>
  <c r="AC46" i="44" a="1"/>
  <c r="AC46" i="44" s="1"/>
  <c r="AC45" i="44" a="1"/>
  <c r="AC45" i="44" s="1"/>
  <c r="AC44" i="44" a="1"/>
  <c r="AC44" i="44" s="1"/>
  <c r="AC43" i="44" a="1"/>
  <c r="AC43" i="44" s="1"/>
  <c r="AC42" i="44" a="1"/>
  <c r="AC42" i="44" s="1"/>
  <c r="AC41" i="44" a="1"/>
  <c r="AC41" i="44" s="1"/>
  <c r="AC40" i="44" a="1"/>
  <c r="AC40" i="44" s="1"/>
  <c r="AC39" i="44" a="1"/>
  <c r="AC39" i="44" s="1"/>
  <c r="AC38" i="44" a="1"/>
  <c r="AC38" i="44" s="1"/>
  <c r="AC37" i="44" a="1"/>
  <c r="AC37" i="44" s="1"/>
  <c r="AC36" i="44" a="1"/>
  <c r="AC36" i="44" s="1"/>
  <c r="AC35" i="44" a="1"/>
  <c r="AC35" i="44" s="1"/>
  <c r="AC34" i="44" a="1"/>
  <c r="AC34" i="44" s="1"/>
  <c r="AC33" i="44" a="1"/>
  <c r="AC33" i="44" s="1"/>
  <c r="AC32" i="44" a="1"/>
  <c r="AC32" i="44" s="1"/>
  <c r="AC31" i="44" a="1"/>
  <c r="AC31" i="44" s="1"/>
  <c r="AC30" i="44" a="1"/>
  <c r="AC30" i="44" s="1"/>
  <c r="AC29" i="44" a="1"/>
  <c r="AC29" i="44" s="1"/>
  <c r="AC28" i="44" a="1"/>
  <c r="AC28" i="44" s="1"/>
  <c r="AC27" i="44" a="1"/>
  <c r="AC27" i="44" s="1"/>
  <c r="AC26" i="44" a="1"/>
  <c r="AC26" i="44" s="1"/>
  <c r="AC25" i="44" a="1"/>
  <c r="AC25" i="44" s="1"/>
  <c r="AC24" i="44" a="1"/>
  <c r="AC24" i="44" s="1"/>
  <c r="AC23" i="44" a="1"/>
  <c r="AC23" i="44" s="1"/>
  <c r="AC22" i="44" a="1"/>
  <c r="AC22" i="44" s="1"/>
  <c r="AC21" i="44" a="1"/>
  <c r="AC21" i="44" s="1"/>
  <c r="AC20" i="44" a="1"/>
  <c r="AC20" i="44" s="1"/>
  <c r="AC19" i="44" a="1"/>
  <c r="AC19" i="44" s="1"/>
  <c r="AC18" i="44" a="1"/>
  <c r="AC18" i="44" s="1"/>
  <c r="AC17" i="44" a="1"/>
  <c r="AC17" i="44" s="1"/>
  <c r="AC16" i="44" a="1"/>
  <c r="AC16" i="44" s="1"/>
  <c r="AC15" i="44" a="1"/>
  <c r="AC15" i="44" s="1"/>
  <c r="AC14" i="44" a="1"/>
  <c r="AC14" i="44" s="1"/>
  <c r="AC13" i="44" a="1"/>
  <c r="AC13" i="44" s="1"/>
  <c r="AC12" i="44" a="1"/>
  <c r="AC12" i="44" s="1"/>
  <c r="AC11" i="44" a="1"/>
  <c r="AC11" i="44" s="1"/>
  <c r="AC10" i="44" a="1"/>
  <c r="AC10" i="44" s="1"/>
  <c r="AC9" i="44" a="1"/>
  <c r="AC9" i="44" s="1"/>
  <c r="AC8" i="44" a="1"/>
  <c r="AC8" i="44" s="1"/>
  <c r="AB57" i="44" a="1"/>
  <c r="AB57" i="44" s="1"/>
  <c r="AB56" i="44" a="1"/>
  <c r="AB56" i="44" s="1"/>
  <c r="AB55" i="44" a="1"/>
  <c r="AB55" i="44" s="1"/>
  <c r="AB54" i="44" a="1"/>
  <c r="AB54" i="44" s="1"/>
  <c r="AB53" i="44" a="1"/>
  <c r="AB53" i="44" s="1"/>
  <c r="AB52" i="44" a="1"/>
  <c r="AB52" i="44" s="1"/>
  <c r="AB51" i="44" a="1"/>
  <c r="AB51" i="44" s="1"/>
  <c r="AB50" i="44" a="1"/>
  <c r="AB50" i="44" s="1"/>
  <c r="AB49" i="44" a="1"/>
  <c r="AB49" i="44" s="1"/>
  <c r="AB48" i="44" a="1"/>
  <c r="AB48" i="44" s="1"/>
  <c r="AB47" i="44" a="1"/>
  <c r="AB47" i="44" s="1"/>
  <c r="AB46" i="44" a="1"/>
  <c r="AB46" i="44" s="1"/>
  <c r="AB45" i="44" a="1"/>
  <c r="AB45" i="44" s="1"/>
  <c r="AB44" i="44" a="1"/>
  <c r="AB44" i="44" s="1"/>
  <c r="AB43" i="44" a="1"/>
  <c r="AB43" i="44" s="1"/>
  <c r="AB42" i="44" a="1"/>
  <c r="AB42" i="44" s="1"/>
  <c r="AB41" i="44" a="1"/>
  <c r="AB41" i="44" s="1"/>
  <c r="AB40" i="44" a="1"/>
  <c r="AB40" i="44" s="1"/>
  <c r="AB39" i="44" a="1"/>
  <c r="AB39" i="44" s="1"/>
  <c r="AB38" i="44" a="1"/>
  <c r="AB38" i="44" s="1"/>
  <c r="AB37" i="44" a="1"/>
  <c r="AB37" i="44" s="1"/>
  <c r="AB36" i="44" a="1"/>
  <c r="AB36" i="44" s="1"/>
  <c r="AB35" i="44" a="1"/>
  <c r="AB35" i="44" s="1"/>
  <c r="AB34" i="44" a="1"/>
  <c r="AB34" i="44" s="1"/>
  <c r="AB33" i="44" a="1"/>
  <c r="AB33" i="44" s="1"/>
  <c r="AB32" i="44" a="1"/>
  <c r="AB32" i="44" s="1"/>
  <c r="AB31" i="44" a="1"/>
  <c r="AB31" i="44" s="1"/>
  <c r="AB30" i="44" a="1"/>
  <c r="AB30" i="44" s="1"/>
  <c r="AB29" i="44" a="1"/>
  <c r="AB29" i="44" s="1"/>
  <c r="AB28" i="44" a="1"/>
  <c r="AB28" i="44" s="1"/>
  <c r="AB27" i="44" a="1"/>
  <c r="AB27" i="44" s="1"/>
  <c r="AB26" i="44" a="1"/>
  <c r="AB26" i="44" s="1"/>
  <c r="AB25" i="44" a="1"/>
  <c r="AB25" i="44" s="1"/>
  <c r="AB24" i="44" a="1"/>
  <c r="AB24" i="44" s="1"/>
  <c r="AB23" i="44" a="1"/>
  <c r="AB23" i="44" s="1"/>
  <c r="AB22" i="44" a="1"/>
  <c r="AB22" i="44" s="1"/>
  <c r="AB21" i="44" a="1"/>
  <c r="AB21" i="44" s="1"/>
  <c r="AB20" i="44" a="1"/>
  <c r="AB20" i="44" s="1"/>
  <c r="AB19" i="44" a="1"/>
  <c r="AB19" i="44" s="1"/>
  <c r="AB18" i="44" a="1"/>
  <c r="AB18" i="44" s="1"/>
  <c r="AB17" i="44" a="1"/>
  <c r="AB17" i="44" s="1"/>
  <c r="AB16" i="44" a="1"/>
  <c r="AB16" i="44" s="1"/>
  <c r="AB15" i="44" a="1"/>
  <c r="AB15" i="44" s="1"/>
  <c r="AB14" i="44" a="1"/>
  <c r="AB14" i="44" s="1"/>
  <c r="AB13" i="44" a="1"/>
  <c r="AB13" i="44" s="1"/>
  <c r="AB12" i="44" a="1"/>
  <c r="AB12" i="44" s="1"/>
  <c r="AB11" i="44" a="1"/>
  <c r="AB11" i="44" s="1"/>
  <c r="AB10" i="44" a="1"/>
  <c r="AB10" i="44" s="1"/>
  <c r="AB9" i="44" a="1"/>
  <c r="AB9" i="44" s="1"/>
  <c r="AB8" i="44" a="1"/>
  <c r="AB8" i="44" s="1"/>
  <c r="AA57" i="44" a="1"/>
  <c r="AA57" i="44" s="1"/>
  <c r="AA56" i="44" a="1"/>
  <c r="AA56" i="44" s="1"/>
  <c r="AA55" i="44" a="1"/>
  <c r="AA55" i="44" s="1"/>
  <c r="AA54" i="44" a="1"/>
  <c r="AA54" i="44" s="1"/>
  <c r="AA53" i="44" a="1"/>
  <c r="AA53" i="44" s="1"/>
  <c r="AA52" i="44" a="1"/>
  <c r="AA52" i="44" s="1"/>
  <c r="AA51" i="44" a="1"/>
  <c r="AA51" i="44" s="1"/>
  <c r="AA50" i="44" a="1"/>
  <c r="AA50" i="44" s="1"/>
  <c r="AA49" i="44" a="1"/>
  <c r="AA49" i="44" s="1"/>
  <c r="AA48" i="44" a="1"/>
  <c r="AA48" i="44" s="1"/>
  <c r="AA47" i="44" a="1"/>
  <c r="AA47" i="44" s="1"/>
  <c r="AA46" i="44" a="1"/>
  <c r="AA46" i="44" s="1"/>
  <c r="AA45" i="44" a="1"/>
  <c r="AA45" i="44" s="1"/>
  <c r="AA44" i="44" a="1"/>
  <c r="AA44" i="44" s="1"/>
  <c r="AA43" i="44" a="1"/>
  <c r="AA43" i="44" s="1"/>
  <c r="AA42" i="44" a="1"/>
  <c r="AA42" i="44" s="1"/>
  <c r="AA41" i="44" a="1"/>
  <c r="AA41" i="44" s="1"/>
  <c r="AA40" i="44" a="1"/>
  <c r="AA40" i="44" s="1"/>
  <c r="AA39" i="44" a="1"/>
  <c r="AA39" i="44" s="1"/>
  <c r="AA38" i="44" a="1"/>
  <c r="AA38" i="44" s="1"/>
  <c r="AA37" i="44" a="1"/>
  <c r="AA37" i="44" s="1"/>
  <c r="AA36" i="44" a="1"/>
  <c r="AA36" i="44" s="1"/>
  <c r="AA35" i="44" a="1"/>
  <c r="AA35" i="44" s="1"/>
  <c r="AA34" i="44" a="1"/>
  <c r="AA34" i="44" s="1"/>
  <c r="AA33" i="44" a="1"/>
  <c r="AA33" i="44" s="1"/>
  <c r="AA32" i="44" a="1"/>
  <c r="AA32" i="44" s="1"/>
  <c r="AA31" i="44" a="1"/>
  <c r="AA31" i="44" s="1"/>
  <c r="AA30" i="44" a="1"/>
  <c r="AA30" i="44" s="1"/>
  <c r="AA29" i="44" a="1"/>
  <c r="AA29" i="44" s="1"/>
  <c r="AA28" i="44" a="1"/>
  <c r="AA28" i="44" s="1"/>
  <c r="AA27" i="44" a="1"/>
  <c r="AA27" i="44" s="1"/>
  <c r="AA26" i="44" a="1"/>
  <c r="AA26" i="44" s="1"/>
  <c r="AA25" i="44" a="1"/>
  <c r="AA25" i="44" s="1"/>
  <c r="AA24" i="44" a="1"/>
  <c r="AA24" i="44" s="1"/>
  <c r="AA23" i="44" a="1"/>
  <c r="AA23" i="44" s="1"/>
  <c r="AA22" i="44" a="1"/>
  <c r="AA22" i="44" s="1"/>
  <c r="AA21" i="44" a="1"/>
  <c r="AA21" i="44" s="1"/>
  <c r="AA20" i="44" a="1"/>
  <c r="AA20" i="44" s="1"/>
  <c r="AA19" i="44" a="1"/>
  <c r="AA19" i="44" s="1"/>
  <c r="AA18" i="44" a="1"/>
  <c r="AA18" i="44" s="1"/>
  <c r="AA17" i="44" a="1"/>
  <c r="AA17" i="44" s="1"/>
  <c r="AA16" i="44" a="1"/>
  <c r="AA16" i="44" s="1"/>
  <c r="AA15" i="44" a="1"/>
  <c r="AA15" i="44" s="1"/>
  <c r="AA14" i="44" a="1"/>
  <c r="AA14" i="44" s="1"/>
  <c r="AA13" i="44" a="1"/>
  <c r="AA13" i="44" s="1"/>
  <c r="AA12" i="44" a="1"/>
  <c r="AA12" i="44" s="1"/>
  <c r="AA11" i="44" a="1"/>
  <c r="AA11" i="44" s="1"/>
  <c r="AA10" i="44" a="1"/>
  <c r="AA10" i="44" s="1"/>
  <c r="AA9" i="44" a="1"/>
  <c r="AA9" i="44" s="1"/>
  <c r="AA8" i="44" a="1"/>
  <c r="AA8" i="44" s="1"/>
  <c r="Z57" i="44" a="1"/>
  <c r="Z57" i="44" s="1"/>
  <c r="Z56" i="44" a="1"/>
  <c r="Z56" i="44" s="1"/>
  <c r="Z55" i="44" a="1"/>
  <c r="Z55" i="44" s="1"/>
  <c r="Z54" i="44" a="1"/>
  <c r="Z54" i="44" s="1"/>
  <c r="Z53" i="44" a="1"/>
  <c r="Z53" i="44" s="1"/>
  <c r="Z52" i="44" a="1"/>
  <c r="Z52" i="44" s="1"/>
  <c r="Z51" i="44" a="1"/>
  <c r="Z51" i="44" s="1"/>
  <c r="Z50" i="44" a="1"/>
  <c r="Z50" i="44" s="1"/>
  <c r="Z49" i="44" a="1"/>
  <c r="Z49" i="44" s="1"/>
  <c r="Z48" i="44" a="1"/>
  <c r="Z48" i="44" s="1"/>
  <c r="Z47" i="44" a="1"/>
  <c r="Z47" i="44" s="1"/>
  <c r="Z46" i="44" a="1"/>
  <c r="Z46" i="44" s="1"/>
  <c r="Z45" i="44" a="1"/>
  <c r="Z45" i="44" s="1"/>
  <c r="Z44" i="44" a="1"/>
  <c r="Z44" i="44" s="1"/>
  <c r="Z43" i="44" a="1"/>
  <c r="Z43" i="44" s="1"/>
  <c r="Z42" i="44" a="1"/>
  <c r="Z42" i="44" s="1"/>
  <c r="Z41" i="44" a="1"/>
  <c r="Z41" i="44" s="1"/>
  <c r="Z40" i="44" a="1"/>
  <c r="Z40" i="44" s="1"/>
  <c r="Z39" i="44" a="1"/>
  <c r="Z39" i="44" s="1"/>
  <c r="Z38" i="44" a="1"/>
  <c r="Z38" i="44" s="1"/>
  <c r="Z37" i="44" a="1"/>
  <c r="Z37" i="44" s="1"/>
  <c r="Z36" i="44" a="1"/>
  <c r="Z36" i="44" s="1"/>
  <c r="Z35" i="44" a="1"/>
  <c r="Z35" i="44" s="1"/>
  <c r="Z34" i="44" a="1"/>
  <c r="Z34" i="44" s="1"/>
  <c r="Z33" i="44" a="1"/>
  <c r="Z33" i="44" s="1"/>
  <c r="Z32" i="44" a="1"/>
  <c r="Z32" i="44" s="1"/>
  <c r="Z31" i="44" a="1"/>
  <c r="Z31" i="44" s="1"/>
  <c r="Z30" i="44" a="1"/>
  <c r="Z30" i="44" s="1"/>
  <c r="Z29" i="44" a="1"/>
  <c r="Z29" i="44" s="1"/>
  <c r="Z28" i="44" a="1"/>
  <c r="Z28" i="44" s="1"/>
  <c r="Z27" i="44" a="1"/>
  <c r="Z27" i="44" s="1"/>
  <c r="Z26" i="44" a="1"/>
  <c r="Z26" i="44" s="1"/>
  <c r="Z25" i="44" a="1"/>
  <c r="Z25" i="44" s="1"/>
  <c r="Z24" i="44" a="1"/>
  <c r="Z24" i="44" s="1"/>
  <c r="Z23" i="44" a="1"/>
  <c r="Z23" i="44" s="1"/>
  <c r="Z22" i="44" a="1"/>
  <c r="Z22" i="44" s="1"/>
  <c r="Z21" i="44" a="1"/>
  <c r="Z21" i="44" s="1"/>
  <c r="Z20" i="44" a="1"/>
  <c r="Z20" i="44" s="1"/>
  <c r="Z19" i="44" a="1"/>
  <c r="Z19" i="44" s="1"/>
  <c r="Z18" i="44" a="1"/>
  <c r="Z18" i="44" s="1"/>
  <c r="Z17" i="44" a="1"/>
  <c r="Z17" i="44" s="1"/>
  <c r="Z16" i="44" a="1"/>
  <c r="Z16" i="44" s="1"/>
  <c r="Z15" i="44" a="1"/>
  <c r="Z15" i="44" s="1"/>
  <c r="Z14" i="44" a="1"/>
  <c r="Z14" i="44" s="1"/>
  <c r="Z13" i="44" a="1"/>
  <c r="Z13" i="44" s="1"/>
  <c r="Z12" i="44" a="1"/>
  <c r="Z12" i="44" s="1"/>
  <c r="Z11" i="44" a="1"/>
  <c r="Z11" i="44" s="1"/>
  <c r="Z10" i="44" a="1"/>
  <c r="Z10" i="44" s="1"/>
  <c r="Z9" i="44" a="1"/>
  <c r="Z9" i="44" s="1"/>
  <c r="Z8" i="44" a="1"/>
  <c r="Z8" i="44" s="1"/>
  <c r="Y57" i="44" a="1"/>
  <c r="Y57" i="44" s="1"/>
  <c r="Y56" i="44" a="1"/>
  <c r="Y56" i="44" s="1"/>
  <c r="Y55" i="44" a="1"/>
  <c r="Y55" i="44" s="1"/>
  <c r="Y54" i="44" a="1"/>
  <c r="Y54" i="44" s="1"/>
  <c r="Y53" i="44" a="1"/>
  <c r="Y53" i="44" s="1"/>
  <c r="Y52" i="44" a="1"/>
  <c r="Y52" i="44" s="1"/>
  <c r="Y51" i="44" a="1"/>
  <c r="Y51" i="44" s="1"/>
  <c r="Y50" i="44" a="1"/>
  <c r="Y50" i="44" s="1"/>
  <c r="Y49" i="44" a="1"/>
  <c r="Y49" i="44" s="1"/>
  <c r="Y48" i="44" a="1"/>
  <c r="Y48" i="44" s="1"/>
  <c r="Y47" i="44" a="1"/>
  <c r="Y47" i="44" s="1"/>
  <c r="Y46" i="44" a="1"/>
  <c r="Y46" i="44" s="1"/>
  <c r="Y45" i="44" a="1"/>
  <c r="Y45" i="44" s="1"/>
  <c r="Y44" i="44" a="1"/>
  <c r="Y44" i="44" s="1"/>
  <c r="Y43" i="44" a="1"/>
  <c r="Y43" i="44" s="1"/>
  <c r="Y42" i="44" a="1"/>
  <c r="Y42" i="44" s="1"/>
  <c r="Y41" i="44" a="1"/>
  <c r="Y41" i="44" s="1"/>
  <c r="Y40" i="44" a="1"/>
  <c r="Y40" i="44" s="1"/>
  <c r="Y39" i="44" a="1"/>
  <c r="Y39" i="44" s="1"/>
  <c r="Y38" i="44" a="1"/>
  <c r="Y38" i="44" s="1"/>
  <c r="Y37" i="44" a="1"/>
  <c r="Y37" i="44" s="1"/>
  <c r="Y36" i="44" a="1"/>
  <c r="Y36" i="44" s="1"/>
  <c r="Y35" i="44" a="1"/>
  <c r="Y35" i="44" s="1"/>
  <c r="Y34" i="44" a="1"/>
  <c r="Y34" i="44" s="1"/>
  <c r="Y33" i="44" a="1"/>
  <c r="Y33" i="44" s="1"/>
  <c r="Y32" i="44" a="1"/>
  <c r="Y32" i="44" s="1"/>
  <c r="Y31" i="44" a="1"/>
  <c r="Y31" i="44" s="1"/>
  <c r="Y30" i="44" a="1"/>
  <c r="Y30" i="44" s="1"/>
  <c r="Y29" i="44" a="1"/>
  <c r="Y29" i="44" s="1"/>
  <c r="Y28" i="44" a="1"/>
  <c r="Y28" i="44" s="1"/>
  <c r="Y27" i="44" a="1"/>
  <c r="Y27" i="44" s="1"/>
  <c r="Y26" i="44" a="1"/>
  <c r="Y26" i="44" s="1"/>
  <c r="Y25" i="44" a="1"/>
  <c r="Y25" i="44" s="1"/>
  <c r="Y24" i="44" a="1"/>
  <c r="Y24" i="44" s="1"/>
  <c r="Y23" i="44" a="1"/>
  <c r="Y23" i="44" s="1"/>
  <c r="Y22" i="44" a="1"/>
  <c r="Y22" i="44" s="1"/>
  <c r="Y21" i="44" a="1"/>
  <c r="Y21" i="44" s="1"/>
  <c r="Y20" i="44" a="1"/>
  <c r="Y20" i="44" s="1"/>
  <c r="Y19" i="44" a="1"/>
  <c r="Y19" i="44" s="1"/>
  <c r="Y18" i="44" a="1"/>
  <c r="Y18" i="44" s="1"/>
  <c r="Y17" i="44" a="1"/>
  <c r="Y17" i="44" s="1"/>
  <c r="Y16" i="44" a="1"/>
  <c r="Y16" i="44" s="1"/>
  <c r="Y15" i="44" a="1"/>
  <c r="Y15" i="44" s="1"/>
  <c r="Y14" i="44" a="1"/>
  <c r="Y14" i="44" s="1"/>
  <c r="Y13" i="44" a="1"/>
  <c r="Y13" i="44" s="1"/>
  <c r="Y12" i="44" a="1"/>
  <c r="Y12" i="44" s="1"/>
  <c r="Y11" i="44" a="1"/>
  <c r="Y11" i="44" s="1"/>
  <c r="Y10" i="44" a="1"/>
  <c r="Y10" i="44" s="1"/>
  <c r="Y9" i="44" a="1"/>
  <c r="Y9" i="44" s="1"/>
  <c r="Y8" i="44" a="1"/>
  <c r="Y8" i="44" s="1"/>
  <c r="X57" i="44" a="1"/>
  <c r="X57" i="44" s="1"/>
  <c r="X56" i="44" a="1"/>
  <c r="X56" i="44" s="1"/>
  <c r="X55" i="44" a="1"/>
  <c r="X55" i="44" s="1"/>
  <c r="X54" i="44" a="1"/>
  <c r="X54" i="44" s="1"/>
  <c r="X53" i="44" a="1"/>
  <c r="X53" i="44" s="1"/>
  <c r="X52" i="44" a="1"/>
  <c r="X52" i="44" s="1"/>
  <c r="X51" i="44" a="1"/>
  <c r="X51" i="44" s="1"/>
  <c r="X50" i="44" a="1"/>
  <c r="X50" i="44" s="1"/>
  <c r="X49" i="44" a="1"/>
  <c r="X49" i="44" s="1"/>
  <c r="X48" i="44" a="1"/>
  <c r="X48" i="44" s="1"/>
  <c r="X47" i="44" a="1"/>
  <c r="X47" i="44" s="1"/>
  <c r="X46" i="44" a="1"/>
  <c r="X46" i="44" s="1"/>
  <c r="X45" i="44" a="1"/>
  <c r="X45" i="44" s="1"/>
  <c r="X44" i="44" a="1"/>
  <c r="X44" i="44" s="1"/>
  <c r="X43" i="44" a="1"/>
  <c r="X43" i="44" s="1"/>
  <c r="X42" i="44" a="1"/>
  <c r="X42" i="44" s="1"/>
  <c r="X41" i="44" a="1"/>
  <c r="X41" i="44" s="1"/>
  <c r="X40" i="44" a="1"/>
  <c r="X40" i="44" s="1"/>
  <c r="X39" i="44" a="1"/>
  <c r="X39" i="44" s="1"/>
  <c r="X38" i="44" a="1"/>
  <c r="X38" i="44" s="1"/>
  <c r="X37" i="44" a="1"/>
  <c r="X37" i="44" s="1"/>
  <c r="X36" i="44" a="1"/>
  <c r="X36" i="44" s="1"/>
  <c r="X35" i="44" a="1"/>
  <c r="X35" i="44" s="1"/>
  <c r="X34" i="44" a="1"/>
  <c r="X34" i="44" s="1"/>
  <c r="X33" i="44" a="1"/>
  <c r="X33" i="44" s="1"/>
  <c r="X32" i="44" a="1"/>
  <c r="X32" i="44" s="1"/>
  <c r="X31" i="44" a="1"/>
  <c r="X31" i="44" s="1"/>
  <c r="X30" i="44" a="1"/>
  <c r="X30" i="44" s="1"/>
  <c r="X29" i="44" a="1"/>
  <c r="X29" i="44" s="1"/>
  <c r="X28" i="44" a="1"/>
  <c r="X28" i="44" s="1"/>
  <c r="X27" i="44" a="1"/>
  <c r="X27" i="44" s="1"/>
  <c r="X26" i="44" a="1"/>
  <c r="X26" i="44" s="1"/>
  <c r="X25" i="44" a="1"/>
  <c r="X25" i="44" s="1"/>
  <c r="X24" i="44" a="1"/>
  <c r="X24" i="44" s="1"/>
  <c r="X23" i="44" a="1"/>
  <c r="X23" i="44" s="1"/>
  <c r="X22" i="44" a="1"/>
  <c r="X22" i="44" s="1"/>
  <c r="X21" i="44" a="1"/>
  <c r="X21" i="44" s="1"/>
  <c r="X20" i="44" a="1"/>
  <c r="X20" i="44" s="1"/>
  <c r="X19" i="44" a="1"/>
  <c r="X19" i="44" s="1"/>
  <c r="X18" i="44" a="1"/>
  <c r="X18" i="44" s="1"/>
  <c r="X17" i="44" a="1"/>
  <c r="X17" i="44" s="1"/>
  <c r="X16" i="44" a="1"/>
  <c r="X16" i="44" s="1"/>
  <c r="X15" i="44" a="1"/>
  <c r="X15" i="44" s="1"/>
  <c r="X14" i="44" a="1"/>
  <c r="X14" i="44" s="1"/>
  <c r="X13" i="44" a="1"/>
  <c r="X13" i="44" s="1"/>
  <c r="X12" i="44" a="1"/>
  <c r="X12" i="44" s="1"/>
  <c r="X11" i="44" a="1"/>
  <c r="X11" i="44" s="1"/>
  <c r="X10" i="44" a="1"/>
  <c r="X10" i="44" s="1"/>
  <c r="X9" i="44" a="1"/>
  <c r="X9" i="44" s="1"/>
  <c r="X8" i="44" a="1"/>
  <c r="X8" i="44" s="1"/>
  <c r="W57" i="44" a="1"/>
  <c r="W57" i="44" s="1"/>
  <c r="W56" i="44" a="1"/>
  <c r="W56" i="44" s="1"/>
  <c r="W55" i="44" a="1"/>
  <c r="W55" i="44" s="1"/>
  <c r="W54" i="44" a="1"/>
  <c r="W54" i="44" s="1"/>
  <c r="W53" i="44" a="1"/>
  <c r="W53" i="44" s="1"/>
  <c r="W52" i="44" a="1"/>
  <c r="W52" i="44" s="1"/>
  <c r="W51" i="44" a="1"/>
  <c r="W51" i="44" s="1"/>
  <c r="W50" i="44" a="1"/>
  <c r="W50" i="44" s="1"/>
  <c r="W49" i="44" a="1"/>
  <c r="W49" i="44" s="1"/>
  <c r="W48" i="44" a="1"/>
  <c r="W48" i="44" s="1"/>
  <c r="W47" i="44" a="1"/>
  <c r="W47" i="44" s="1"/>
  <c r="W46" i="44" a="1"/>
  <c r="W46" i="44" s="1"/>
  <c r="W45" i="44" a="1"/>
  <c r="W45" i="44" s="1"/>
  <c r="W44" i="44" a="1"/>
  <c r="W44" i="44" s="1"/>
  <c r="W43" i="44" a="1"/>
  <c r="W43" i="44" s="1"/>
  <c r="W42" i="44" a="1"/>
  <c r="W42" i="44" s="1"/>
  <c r="W41" i="44" a="1"/>
  <c r="W41" i="44" s="1"/>
  <c r="W40" i="44" a="1"/>
  <c r="W40" i="44" s="1"/>
  <c r="W39" i="44" a="1"/>
  <c r="W39" i="44" s="1"/>
  <c r="W38" i="44" a="1"/>
  <c r="W38" i="44" s="1"/>
  <c r="W37" i="44" a="1"/>
  <c r="W37" i="44" s="1"/>
  <c r="W36" i="44" a="1"/>
  <c r="W36" i="44" s="1"/>
  <c r="W35" i="44" a="1"/>
  <c r="W35" i="44" s="1"/>
  <c r="W34" i="44" a="1"/>
  <c r="W34" i="44" s="1"/>
  <c r="W33" i="44" a="1"/>
  <c r="W33" i="44" s="1"/>
  <c r="W32" i="44" a="1"/>
  <c r="W32" i="44" s="1"/>
  <c r="W31" i="44" a="1"/>
  <c r="W31" i="44" s="1"/>
  <c r="W30" i="44" a="1"/>
  <c r="W30" i="44" s="1"/>
  <c r="W29" i="44" a="1"/>
  <c r="W29" i="44" s="1"/>
  <c r="W28" i="44" a="1"/>
  <c r="W28" i="44" s="1"/>
  <c r="W27" i="44" a="1"/>
  <c r="W27" i="44" s="1"/>
  <c r="W26" i="44" a="1"/>
  <c r="W26" i="44" s="1"/>
  <c r="W25" i="44" a="1"/>
  <c r="W25" i="44" s="1"/>
  <c r="W24" i="44" a="1"/>
  <c r="W24" i="44" s="1"/>
  <c r="W23" i="44" a="1"/>
  <c r="W23" i="44" s="1"/>
  <c r="W22" i="44" a="1"/>
  <c r="W22" i="44" s="1"/>
  <c r="W21" i="44" a="1"/>
  <c r="W21" i="44" s="1"/>
  <c r="W20" i="44" a="1"/>
  <c r="W20" i="44" s="1"/>
  <c r="W19" i="44" a="1"/>
  <c r="W19" i="44" s="1"/>
  <c r="W18" i="44" a="1"/>
  <c r="W18" i="44" s="1"/>
  <c r="W17" i="44" a="1"/>
  <c r="W17" i="44" s="1"/>
  <c r="W16" i="44" a="1"/>
  <c r="W16" i="44" s="1"/>
  <c r="W15" i="44" a="1"/>
  <c r="W15" i="44" s="1"/>
  <c r="W14" i="44" a="1"/>
  <c r="W14" i="44" s="1"/>
  <c r="W13" i="44" a="1"/>
  <c r="W13" i="44" s="1"/>
  <c r="W12" i="44" a="1"/>
  <c r="W12" i="44" s="1"/>
  <c r="W11" i="44" a="1"/>
  <c r="W11" i="44" s="1"/>
  <c r="W10" i="44" a="1"/>
  <c r="W10" i="44" s="1"/>
  <c r="W9" i="44" a="1"/>
  <c r="W9" i="44" s="1"/>
  <c r="W8" i="44" a="1"/>
  <c r="W8" i="44" s="1"/>
  <c r="V57" i="44" a="1"/>
  <c r="V57" i="44" s="1"/>
  <c r="V56" i="44" a="1"/>
  <c r="V56" i="44" s="1"/>
  <c r="V55" i="44" a="1"/>
  <c r="V55" i="44" s="1"/>
  <c r="V54" i="44" a="1"/>
  <c r="V54" i="44" s="1"/>
  <c r="V53" i="44" a="1"/>
  <c r="V53" i="44" s="1"/>
  <c r="V52" i="44" a="1"/>
  <c r="V52" i="44" s="1"/>
  <c r="V51" i="44" a="1"/>
  <c r="V51" i="44" s="1"/>
  <c r="V50" i="44" a="1"/>
  <c r="V50" i="44" s="1"/>
  <c r="V49" i="44" a="1"/>
  <c r="V49" i="44" s="1"/>
  <c r="V48" i="44" a="1"/>
  <c r="V48" i="44" s="1"/>
  <c r="V47" i="44" a="1"/>
  <c r="V47" i="44" s="1"/>
  <c r="V46" i="44" a="1"/>
  <c r="V46" i="44" s="1"/>
  <c r="V45" i="44" a="1"/>
  <c r="V45" i="44" s="1"/>
  <c r="V44" i="44" a="1"/>
  <c r="V44" i="44" s="1"/>
  <c r="V43" i="44" a="1"/>
  <c r="V43" i="44" s="1"/>
  <c r="V42" i="44" a="1"/>
  <c r="V42" i="44" s="1"/>
  <c r="V41" i="44" a="1"/>
  <c r="V41" i="44" s="1"/>
  <c r="V40" i="44" a="1"/>
  <c r="V40" i="44" s="1"/>
  <c r="V39" i="44" a="1"/>
  <c r="V39" i="44" s="1"/>
  <c r="V38" i="44" a="1"/>
  <c r="V38" i="44" s="1"/>
  <c r="V37" i="44" a="1"/>
  <c r="V37" i="44" s="1"/>
  <c r="V36" i="44" a="1"/>
  <c r="V36" i="44" s="1"/>
  <c r="V35" i="44" a="1"/>
  <c r="V35" i="44" s="1"/>
  <c r="V34" i="44" a="1"/>
  <c r="V34" i="44" s="1"/>
  <c r="V33" i="44" a="1"/>
  <c r="V33" i="44" s="1"/>
  <c r="V32" i="44" a="1"/>
  <c r="V32" i="44" s="1"/>
  <c r="V31" i="44" a="1"/>
  <c r="V31" i="44" s="1"/>
  <c r="V30" i="44" a="1"/>
  <c r="V30" i="44" s="1"/>
  <c r="V29" i="44" a="1"/>
  <c r="V29" i="44" s="1"/>
  <c r="V28" i="44" a="1"/>
  <c r="V28" i="44" s="1"/>
  <c r="V27" i="44" a="1"/>
  <c r="V27" i="44" s="1"/>
  <c r="V26" i="44" a="1"/>
  <c r="V26" i="44" s="1"/>
  <c r="V25" i="44" a="1"/>
  <c r="V25" i="44" s="1"/>
  <c r="V24" i="44" a="1"/>
  <c r="V24" i="44" s="1"/>
  <c r="V23" i="44" a="1"/>
  <c r="V23" i="44" s="1"/>
  <c r="V22" i="44" a="1"/>
  <c r="V22" i="44" s="1"/>
  <c r="V21" i="44" a="1"/>
  <c r="V21" i="44" s="1"/>
  <c r="V20" i="44" a="1"/>
  <c r="V20" i="44" s="1"/>
  <c r="V19" i="44" a="1"/>
  <c r="V19" i="44" s="1"/>
  <c r="V18" i="44" a="1"/>
  <c r="V18" i="44" s="1"/>
  <c r="V17" i="44" a="1"/>
  <c r="V17" i="44" s="1"/>
  <c r="V16" i="44" a="1"/>
  <c r="V16" i="44" s="1"/>
  <c r="V15" i="44" a="1"/>
  <c r="V15" i="44" s="1"/>
  <c r="V14" i="44" a="1"/>
  <c r="V14" i="44" s="1"/>
  <c r="V13" i="44" a="1"/>
  <c r="V13" i="44" s="1"/>
  <c r="V12" i="44" a="1"/>
  <c r="V12" i="44" s="1"/>
  <c r="V11" i="44" a="1"/>
  <c r="V11" i="44" s="1"/>
  <c r="V10" i="44" a="1"/>
  <c r="V10" i="44" s="1"/>
  <c r="V9" i="44" a="1"/>
  <c r="V9" i="44" s="1"/>
  <c r="V8" i="44" a="1"/>
  <c r="V8" i="44" s="1"/>
  <c r="U57" i="44" a="1"/>
  <c r="U57" i="44" s="1"/>
  <c r="U56" i="44" a="1"/>
  <c r="U56" i="44" s="1"/>
  <c r="U55" i="44" a="1"/>
  <c r="U55" i="44" s="1"/>
  <c r="U54" i="44" a="1"/>
  <c r="U54" i="44" s="1"/>
  <c r="U53" i="44" a="1"/>
  <c r="U53" i="44" s="1"/>
  <c r="U52" i="44" a="1"/>
  <c r="U52" i="44" s="1"/>
  <c r="U51" i="44" a="1"/>
  <c r="U51" i="44" s="1"/>
  <c r="U50" i="44" a="1"/>
  <c r="U50" i="44" s="1"/>
  <c r="U49" i="44" a="1"/>
  <c r="U49" i="44" s="1"/>
  <c r="U48" i="44" a="1"/>
  <c r="U48" i="44" s="1"/>
  <c r="U47" i="44" a="1"/>
  <c r="U47" i="44" s="1"/>
  <c r="U46" i="44" a="1"/>
  <c r="U46" i="44" s="1"/>
  <c r="U45" i="44" a="1"/>
  <c r="U45" i="44" s="1"/>
  <c r="U44" i="44" a="1"/>
  <c r="U44" i="44" s="1"/>
  <c r="U43" i="44" a="1"/>
  <c r="U43" i="44" s="1"/>
  <c r="U42" i="44" a="1"/>
  <c r="U42" i="44" s="1"/>
  <c r="U41" i="44" a="1"/>
  <c r="U41" i="44" s="1"/>
  <c r="U40" i="44" a="1"/>
  <c r="U40" i="44" s="1"/>
  <c r="U39" i="44" a="1"/>
  <c r="U39" i="44" s="1"/>
  <c r="U38" i="44" a="1"/>
  <c r="U38" i="44" s="1"/>
  <c r="U37" i="44" a="1"/>
  <c r="U37" i="44" s="1"/>
  <c r="U36" i="44" a="1"/>
  <c r="U36" i="44" s="1"/>
  <c r="U35" i="44" a="1"/>
  <c r="U35" i="44" s="1"/>
  <c r="U34" i="44" a="1"/>
  <c r="U34" i="44" s="1"/>
  <c r="U33" i="44" a="1"/>
  <c r="U33" i="44" s="1"/>
  <c r="U32" i="44" a="1"/>
  <c r="U32" i="44" s="1"/>
  <c r="U31" i="44" a="1"/>
  <c r="U31" i="44" s="1"/>
  <c r="U30" i="44" a="1"/>
  <c r="U30" i="44" s="1"/>
  <c r="U29" i="44" a="1"/>
  <c r="U29" i="44" s="1"/>
  <c r="U28" i="44" a="1"/>
  <c r="U28" i="44" s="1"/>
  <c r="U27" i="44" a="1"/>
  <c r="U27" i="44" s="1"/>
  <c r="U26" i="44" a="1"/>
  <c r="U26" i="44" s="1"/>
  <c r="U25" i="44" a="1"/>
  <c r="U25" i="44" s="1"/>
  <c r="U24" i="44" a="1"/>
  <c r="U24" i="44" s="1"/>
  <c r="U23" i="44" a="1"/>
  <c r="U23" i="44" s="1"/>
  <c r="U22" i="44" a="1"/>
  <c r="U22" i="44" s="1"/>
  <c r="U21" i="44" a="1"/>
  <c r="U21" i="44" s="1"/>
  <c r="U20" i="44" a="1"/>
  <c r="U20" i="44" s="1"/>
  <c r="U19" i="44" a="1"/>
  <c r="U19" i="44" s="1"/>
  <c r="U18" i="44" a="1"/>
  <c r="U18" i="44" s="1"/>
  <c r="U17" i="44" a="1"/>
  <c r="U17" i="44" s="1"/>
  <c r="U16" i="44" a="1"/>
  <c r="U16" i="44" s="1"/>
  <c r="U15" i="44" a="1"/>
  <c r="U15" i="44" s="1"/>
  <c r="U14" i="44" a="1"/>
  <c r="U14" i="44" s="1"/>
  <c r="U13" i="44" a="1"/>
  <c r="U13" i="44" s="1"/>
  <c r="U12" i="44" a="1"/>
  <c r="U12" i="44" s="1"/>
  <c r="U11" i="44" a="1"/>
  <c r="U11" i="44" s="1"/>
  <c r="U10" i="44" a="1"/>
  <c r="U10" i="44" s="1"/>
  <c r="U9" i="44" a="1"/>
  <c r="U9" i="44" s="1"/>
  <c r="U8" i="44" a="1"/>
  <c r="U8" i="44" s="1"/>
  <c r="T57" i="44" a="1"/>
  <c r="T57" i="44" s="1"/>
  <c r="T56" i="44" a="1"/>
  <c r="T56" i="44" s="1"/>
  <c r="T55" i="44" a="1"/>
  <c r="T55" i="44" s="1"/>
  <c r="T54" i="44" a="1"/>
  <c r="T54" i="44" s="1"/>
  <c r="T53" i="44" a="1"/>
  <c r="T53" i="44" s="1"/>
  <c r="T52" i="44" a="1"/>
  <c r="T52" i="44" s="1"/>
  <c r="T51" i="44" a="1"/>
  <c r="T51" i="44" s="1"/>
  <c r="T50" i="44" a="1"/>
  <c r="T50" i="44" s="1"/>
  <c r="T49" i="44" a="1"/>
  <c r="T49" i="44" s="1"/>
  <c r="T48" i="44" a="1"/>
  <c r="T48" i="44" s="1"/>
  <c r="T47" i="44" a="1"/>
  <c r="T47" i="44" s="1"/>
  <c r="T46" i="44" a="1"/>
  <c r="T46" i="44" s="1"/>
  <c r="T45" i="44" a="1"/>
  <c r="T45" i="44" s="1"/>
  <c r="T44" i="44" a="1"/>
  <c r="T44" i="44" s="1"/>
  <c r="T43" i="44" a="1"/>
  <c r="T43" i="44" s="1"/>
  <c r="T42" i="44" a="1"/>
  <c r="T42" i="44" s="1"/>
  <c r="T41" i="44" a="1"/>
  <c r="T41" i="44" s="1"/>
  <c r="T40" i="44" a="1"/>
  <c r="T40" i="44" s="1"/>
  <c r="T39" i="44" a="1"/>
  <c r="T39" i="44" s="1"/>
  <c r="T38" i="44" a="1"/>
  <c r="T38" i="44" s="1"/>
  <c r="T37" i="44" a="1"/>
  <c r="T37" i="44" s="1"/>
  <c r="T36" i="44" a="1"/>
  <c r="T36" i="44" s="1"/>
  <c r="T35" i="44" a="1"/>
  <c r="T35" i="44" s="1"/>
  <c r="T34" i="44" a="1"/>
  <c r="T34" i="44" s="1"/>
  <c r="T33" i="44" a="1"/>
  <c r="T33" i="44" s="1"/>
  <c r="T32" i="44" a="1"/>
  <c r="T32" i="44" s="1"/>
  <c r="T31" i="44" a="1"/>
  <c r="T31" i="44" s="1"/>
  <c r="T30" i="44" a="1"/>
  <c r="T30" i="44" s="1"/>
  <c r="T29" i="44" a="1"/>
  <c r="T29" i="44" s="1"/>
  <c r="T28" i="44" a="1"/>
  <c r="T28" i="44" s="1"/>
  <c r="T27" i="44" a="1"/>
  <c r="T27" i="44" s="1"/>
  <c r="T26" i="44" a="1"/>
  <c r="T26" i="44" s="1"/>
  <c r="T25" i="44" a="1"/>
  <c r="T25" i="44" s="1"/>
  <c r="T24" i="44" a="1"/>
  <c r="T24" i="44" s="1"/>
  <c r="T23" i="44" a="1"/>
  <c r="T23" i="44" s="1"/>
  <c r="T22" i="44" a="1"/>
  <c r="T22" i="44" s="1"/>
  <c r="T21" i="44" a="1"/>
  <c r="T21" i="44" s="1"/>
  <c r="T20" i="44" a="1"/>
  <c r="T20" i="44" s="1"/>
  <c r="T19" i="44" a="1"/>
  <c r="T19" i="44" s="1"/>
  <c r="T18" i="44" a="1"/>
  <c r="T18" i="44" s="1"/>
  <c r="T17" i="44" a="1"/>
  <c r="T17" i="44" s="1"/>
  <c r="T16" i="44" a="1"/>
  <c r="T16" i="44" s="1"/>
  <c r="T15" i="44" a="1"/>
  <c r="T15" i="44" s="1"/>
  <c r="T14" i="44" a="1"/>
  <c r="T14" i="44" s="1"/>
  <c r="T13" i="44" a="1"/>
  <c r="T13" i="44" s="1"/>
  <c r="T12" i="44" a="1"/>
  <c r="T12" i="44" s="1"/>
  <c r="T11" i="44" a="1"/>
  <c r="T11" i="44" s="1"/>
  <c r="T10" i="44" a="1"/>
  <c r="T10" i="44" s="1"/>
  <c r="T9" i="44" a="1"/>
  <c r="T9" i="44" s="1"/>
  <c r="T8" i="44" a="1"/>
  <c r="T8" i="44" s="1"/>
  <c r="S57" i="44" a="1"/>
  <c r="S57" i="44" s="1"/>
  <c r="S56" i="44" a="1"/>
  <c r="S56" i="44" s="1"/>
  <c r="S55" i="44" a="1"/>
  <c r="S55" i="44" s="1"/>
  <c r="S54" i="44" a="1"/>
  <c r="S54" i="44" s="1"/>
  <c r="S53" i="44" a="1"/>
  <c r="S53" i="44" s="1"/>
  <c r="S52" i="44" a="1"/>
  <c r="S52" i="44" s="1"/>
  <c r="S51" i="44" a="1"/>
  <c r="S51" i="44" s="1"/>
  <c r="S50" i="44" a="1"/>
  <c r="S50" i="44" s="1"/>
  <c r="S49" i="44" a="1"/>
  <c r="S49" i="44" s="1"/>
  <c r="S48" i="44" a="1"/>
  <c r="S48" i="44" s="1"/>
  <c r="S47" i="44" a="1"/>
  <c r="S47" i="44" s="1"/>
  <c r="S46" i="44" a="1"/>
  <c r="S46" i="44" s="1"/>
  <c r="S45" i="44" a="1"/>
  <c r="S45" i="44" s="1"/>
  <c r="S44" i="44" a="1"/>
  <c r="S44" i="44" s="1"/>
  <c r="S43" i="44" a="1"/>
  <c r="S43" i="44" s="1"/>
  <c r="S42" i="44" a="1"/>
  <c r="S42" i="44" s="1"/>
  <c r="S41" i="44" a="1"/>
  <c r="S41" i="44" s="1"/>
  <c r="S40" i="44" a="1"/>
  <c r="S40" i="44" s="1"/>
  <c r="S39" i="44" a="1"/>
  <c r="S39" i="44" s="1"/>
  <c r="S38" i="44" a="1"/>
  <c r="S38" i="44" s="1"/>
  <c r="S37" i="44" a="1"/>
  <c r="S37" i="44" s="1"/>
  <c r="S36" i="44" a="1"/>
  <c r="S36" i="44" s="1"/>
  <c r="S35" i="44" a="1"/>
  <c r="S35" i="44" s="1"/>
  <c r="S34" i="44" a="1"/>
  <c r="S34" i="44" s="1"/>
  <c r="S33" i="44" a="1"/>
  <c r="S33" i="44" s="1"/>
  <c r="S32" i="44" a="1"/>
  <c r="S32" i="44" s="1"/>
  <c r="S31" i="44" a="1"/>
  <c r="S31" i="44" s="1"/>
  <c r="S30" i="44" a="1"/>
  <c r="S30" i="44" s="1"/>
  <c r="S29" i="44" a="1"/>
  <c r="S29" i="44" s="1"/>
  <c r="S28" i="44" a="1"/>
  <c r="S28" i="44" s="1"/>
  <c r="S27" i="44" a="1"/>
  <c r="S27" i="44" s="1"/>
  <c r="S26" i="44" a="1"/>
  <c r="S26" i="44" s="1"/>
  <c r="S25" i="44" a="1"/>
  <c r="S25" i="44" s="1"/>
  <c r="S24" i="44" a="1"/>
  <c r="S24" i="44" s="1"/>
  <c r="S23" i="44" a="1"/>
  <c r="S23" i="44" s="1"/>
  <c r="S22" i="44" a="1"/>
  <c r="S22" i="44" s="1"/>
  <c r="S21" i="44" a="1"/>
  <c r="S21" i="44" s="1"/>
  <c r="S20" i="44" a="1"/>
  <c r="S20" i="44" s="1"/>
  <c r="S19" i="44" a="1"/>
  <c r="S19" i="44" s="1"/>
  <c r="S18" i="44" a="1"/>
  <c r="S18" i="44" s="1"/>
  <c r="S17" i="44" a="1"/>
  <c r="S17" i="44" s="1"/>
  <c r="S16" i="44" a="1"/>
  <c r="S16" i="44" s="1"/>
  <c r="S15" i="44" a="1"/>
  <c r="S15" i="44" s="1"/>
  <c r="S14" i="44" a="1"/>
  <c r="S14" i="44" s="1"/>
  <c r="S13" i="44" a="1"/>
  <c r="S13" i="44" s="1"/>
  <c r="S12" i="44" a="1"/>
  <c r="S12" i="44" s="1"/>
  <c r="S11" i="44" a="1"/>
  <c r="S11" i="44" s="1"/>
  <c r="S10" i="44" a="1"/>
  <c r="S10" i="44" s="1"/>
  <c r="S9" i="44" a="1"/>
  <c r="S9" i="44" s="1"/>
  <c r="S8" i="44" a="1"/>
  <c r="S8" i="44" s="1"/>
  <c r="R57" i="44" a="1"/>
  <c r="R57" i="44" s="1"/>
  <c r="R56" i="44" a="1"/>
  <c r="R56" i="44" s="1"/>
  <c r="R55" i="44" a="1"/>
  <c r="R55" i="44" s="1"/>
  <c r="R54" i="44" a="1"/>
  <c r="R54" i="44" s="1"/>
  <c r="R53" i="44" a="1"/>
  <c r="R53" i="44" s="1"/>
  <c r="R52" i="44" a="1"/>
  <c r="R52" i="44" s="1"/>
  <c r="R51" i="44" a="1"/>
  <c r="R51" i="44" s="1"/>
  <c r="R50" i="44" a="1"/>
  <c r="R50" i="44" s="1"/>
  <c r="R49" i="44" a="1"/>
  <c r="R49" i="44" s="1"/>
  <c r="R48" i="44" a="1"/>
  <c r="R48" i="44" s="1"/>
  <c r="R47" i="44" a="1"/>
  <c r="R47" i="44" s="1"/>
  <c r="R46" i="44" a="1"/>
  <c r="R46" i="44" s="1"/>
  <c r="R45" i="44" a="1"/>
  <c r="R45" i="44" s="1"/>
  <c r="R44" i="44" a="1"/>
  <c r="R44" i="44" s="1"/>
  <c r="R43" i="44" a="1"/>
  <c r="R43" i="44" s="1"/>
  <c r="R42" i="44" a="1"/>
  <c r="R42" i="44" s="1"/>
  <c r="R41" i="44" a="1"/>
  <c r="R41" i="44" s="1"/>
  <c r="R40" i="44" a="1"/>
  <c r="R40" i="44" s="1"/>
  <c r="R39" i="44" a="1"/>
  <c r="R39" i="44" s="1"/>
  <c r="R38" i="44" a="1"/>
  <c r="R38" i="44" s="1"/>
  <c r="R37" i="44" a="1"/>
  <c r="R37" i="44" s="1"/>
  <c r="R36" i="44" a="1"/>
  <c r="R36" i="44" s="1"/>
  <c r="R35" i="44" a="1"/>
  <c r="R35" i="44" s="1"/>
  <c r="R34" i="44" a="1"/>
  <c r="R34" i="44" s="1"/>
  <c r="R33" i="44" a="1"/>
  <c r="R33" i="44" s="1"/>
  <c r="R32" i="44" a="1"/>
  <c r="R32" i="44" s="1"/>
  <c r="R31" i="44" a="1"/>
  <c r="R31" i="44" s="1"/>
  <c r="R30" i="44" a="1"/>
  <c r="R30" i="44" s="1"/>
  <c r="R29" i="44" a="1"/>
  <c r="R29" i="44" s="1"/>
  <c r="R28" i="44" a="1"/>
  <c r="R28" i="44" s="1"/>
  <c r="R27" i="44" a="1"/>
  <c r="R27" i="44" s="1"/>
  <c r="R26" i="44" a="1"/>
  <c r="R26" i="44" s="1"/>
  <c r="R25" i="44" a="1"/>
  <c r="R25" i="44" s="1"/>
  <c r="R24" i="44" a="1"/>
  <c r="R24" i="44" s="1"/>
  <c r="R23" i="44" a="1"/>
  <c r="R23" i="44" s="1"/>
  <c r="R22" i="44" a="1"/>
  <c r="R22" i="44" s="1"/>
  <c r="R21" i="44" a="1"/>
  <c r="R21" i="44" s="1"/>
  <c r="R20" i="44" a="1"/>
  <c r="R20" i="44" s="1"/>
  <c r="R19" i="44" a="1"/>
  <c r="R19" i="44" s="1"/>
  <c r="R18" i="44" a="1"/>
  <c r="R18" i="44" s="1"/>
  <c r="R17" i="44" a="1"/>
  <c r="R17" i="44" s="1"/>
  <c r="R16" i="44" a="1"/>
  <c r="R16" i="44" s="1"/>
  <c r="R15" i="44" a="1"/>
  <c r="R15" i="44" s="1"/>
  <c r="R14" i="44" a="1"/>
  <c r="R14" i="44" s="1"/>
  <c r="R13" i="44" a="1"/>
  <c r="R13" i="44" s="1"/>
  <c r="R12" i="44" a="1"/>
  <c r="R12" i="44" s="1"/>
  <c r="R11" i="44" a="1"/>
  <c r="R11" i="44" s="1"/>
  <c r="R10" i="44" a="1"/>
  <c r="R10" i="44" s="1"/>
  <c r="R9" i="44" a="1"/>
  <c r="R9" i="44" s="1"/>
  <c r="R8" i="44" a="1"/>
  <c r="R8" i="44" s="1"/>
  <c r="O57" i="44"/>
  <c r="O56" i="44"/>
  <c r="O55" i="44"/>
  <c r="O54" i="44"/>
  <c r="O53" i="44"/>
  <c r="O52" i="44"/>
  <c r="O51" i="44"/>
  <c r="O50" i="44"/>
  <c r="O49" i="44"/>
  <c r="O48" i="44"/>
  <c r="O47" i="44"/>
  <c r="O46" i="44"/>
  <c r="O45" i="44"/>
  <c r="O44" i="44"/>
  <c r="O43" i="44"/>
  <c r="O42" i="44"/>
  <c r="O41" i="44"/>
  <c r="O40" i="44"/>
  <c r="O39" i="44"/>
  <c r="O38" i="44"/>
  <c r="O37" i="44"/>
  <c r="O36" i="44"/>
  <c r="O35" i="44"/>
  <c r="O34" i="44"/>
  <c r="O33" i="44"/>
  <c r="O32" i="44"/>
  <c r="O31" i="44"/>
  <c r="O30" i="44"/>
  <c r="O29" i="44"/>
  <c r="O28" i="44"/>
  <c r="O27" i="44"/>
  <c r="O26" i="44"/>
  <c r="O25" i="44"/>
  <c r="O24" i="44"/>
  <c r="O23" i="44"/>
  <c r="O22" i="44"/>
  <c r="O21" i="44"/>
  <c r="O20" i="44"/>
  <c r="O19" i="44"/>
  <c r="O18" i="44"/>
  <c r="O17" i="44"/>
  <c r="O16" i="44"/>
  <c r="O15" i="44"/>
  <c r="O14" i="44"/>
  <c r="O13" i="44"/>
  <c r="O12" i="44"/>
  <c r="O11" i="44"/>
  <c r="O10" i="44"/>
  <c r="O9" i="44"/>
  <c r="O8" i="44"/>
  <c r="K181" i="45" l="1"/>
  <c r="K180" i="45"/>
  <c r="K285" i="45" s="1"/>
  <c r="K390" i="45" s="1"/>
  <c r="K495" i="45" s="1"/>
  <c r="K600" i="45" s="1"/>
  <c r="K179" i="45"/>
  <c r="K284" i="45" s="1"/>
  <c r="K389" i="45" s="1"/>
  <c r="K494" i="45" s="1"/>
  <c r="K599" i="45" s="1"/>
  <c r="K178" i="45"/>
  <c r="K283" i="45" s="1"/>
  <c r="K388" i="45" s="1"/>
  <c r="K493" i="45" s="1"/>
  <c r="K598" i="45" s="1"/>
  <c r="K177" i="45"/>
  <c r="K176" i="45"/>
  <c r="K281" i="45" s="1"/>
  <c r="K386" i="45" s="1"/>
  <c r="K491" i="45" s="1"/>
  <c r="K596" i="45" s="1"/>
  <c r="K175" i="45"/>
  <c r="K280" i="45" s="1"/>
  <c r="K385" i="45" s="1"/>
  <c r="K490" i="45" s="1"/>
  <c r="K595" i="45" s="1"/>
  <c r="K174" i="45"/>
  <c r="K279" i="45" s="1"/>
  <c r="K384" i="45" s="1"/>
  <c r="K489" i="45" s="1"/>
  <c r="K594" i="45" s="1"/>
  <c r="K699" i="45" s="1"/>
  <c r="K804" i="45" s="1"/>
  <c r="K909" i="45" s="1"/>
  <c r="K1014" i="45" s="1"/>
  <c r="K1119" i="45" s="1"/>
  <c r="K1224" i="45" s="1"/>
  <c r="K1329" i="45" s="1"/>
  <c r="K1434" i="45" s="1"/>
  <c r="K173" i="45"/>
  <c r="K172" i="45"/>
  <c r="K277" i="45" s="1"/>
  <c r="K382" i="45" s="1"/>
  <c r="K487" i="45" s="1"/>
  <c r="K592" i="45" s="1"/>
  <c r="K171" i="45"/>
  <c r="K276" i="45" s="1"/>
  <c r="K381" i="45" s="1"/>
  <c r="K486" i="45" s="1"/>
  <c r="K591" i="45" s="1"/>
  <c r="K170" i="45"/>
  <c r="K275" i="45" s="1"/>
  <c r="K380" i="45" s="1"/>
  <c r="K485" i="45" s="1"/>
  <c r="K590" i="45" s="1"/>
  <c r="K169" i="45"/>
  <c r="K168" i="45"/>
  <c r="K273" i="45" s="1"/>
  <c r="K378" i="45" s="1"/>
  <c r="K483" i="45" s="1"/>
  <c r="K588" i="45" s="1"/>
  <c r="K167" i="45"/>
  <c r="K272" i="45" s="1"/>
  <c r="K377" i="45" s="1"/>
  <c r="K482" i="45" s="1"/>
  <c r="K587" i="45" s="1"/>
  <c r="K692" i="45" s="1"/>
  <c r="K797" i="45" s="1"/>
  <c r="K902" i="45" s="1"/>
  <c r="K1007" i="45" s="1"/>
  <c r="K1112" i="45" s="1"/>
  <c r="K1217" i="45" s="1"/>
  <c r="K1322" i="45" s="1"/>
  <c r="K1427" i="45" s="1"/>
  <c r="K166" i="45"/>
  <c r="K271" i="45" s="1"/>
  <c r="K376" i="45" s="1"/>
  <c r="K481" i="45" s="1"/>
  <c r="K586" i="45" s="1"/>
  <c r="K165" i="45"/>
  <c r="K164" i="45"/>
  <c r="K269" i="45" s="1"/>
  <c r="K374" i="45" s="1"/>
  <c r="K479" i="45" s="1"/>
  <c r="K584" i="45" s="1"/>
  <c r="K163" i="45"/>
  <c r="K268" i="45" s="1"/>
  <c r="K373" i="45" s="1"/>
  <c r="K478" i="45" s="1"/>
  <c r="K583" i="45" s="1"/>
  <c r="K162" i="45"/>
  <c r="K267" i="45" s="1"/>
  <c r="K372" i="45" s="1"/>
  <c r="K477" i="45" s="1"/>
  <c r="K582" i="45" s="1"/>
  <c r="K161" i="45"/>
  <c r="K160" i="45"/>
  <c r="K265" i="45" s="1"/>
  <c r="K370" i="45" s="1"/>
  <c r="K475" i="45" s="1"/>
  <c r="K580" i="45" s="1"/>
  <c r="K159" i="45"/>
  <c r="K264" i="45" s="1"/>
  <c r="K369" i="45" s="1"/>
  <c r="K474" i="45" s="1"/>
  <c r="K579" i="45" s="1"/>
  <c r="K158" i="45"/>
  <c r="K263" i="45" s="1"/>
  <c r="K368" i="45" s="1"/>
  <c r="K473" i="45" s="1"/>
  <c r="K578" i="45" s="1"/>
  <c r="K157" i="45"/>
  <c r="K156" i="45"/>
  <c r="K261" i="45" s="1"/>
  <c r="K366" i="45" s="1"/>
  <c r="K471" i="45" s="1"/>
  <c r="K576" i="45" s="1"/>
  <c r="K155" i="45"/>
  <c r="K260" i="45" s="1"/>
  <c r="K365" i="45" s="1"/>
  <c r="K470" i="45" s="1"/>
  <c r="K575" i="45" s="1"/>
  <c r="K154" i="45"/>
  <c r="K259" i="45" s="1"/>
  <c r="K364" i="45" s="1"/>
  <c r="K469" i="45" s="1"/>
  <c r="K574" i="45" s="1"/>
  <c r="K153" i="45"/>
  <c r="K152" i="45"/>
  <c r="K257" i="45" s="1"/>
  <c r="K362" i="45" s="1"/>
  <c r="K467" i="45" s="1"/>
  <c r="K572" i="45" s="1"/>
  <c r="K151" i="45"/>
  <c r="K256" i="45" s="1"/>
  <c r="K361" i="45" s="1"/>
  <c r="K466" i="45" s="1"/>
  <c r="K571" i="45" s="1"/>
  <c r="K150" i="45"/>
  <c r="K255" i="45" s="1"/>
  <c r="K360" i="45" s="1"/>
  <c r="K465" i="45" s="1"/>
  <c r="K570" i="45" s="1"/>
  <c r="K149" i="45"/>
  <c r="K148" i="45"/>
  <c r="K253" i="45" s="1"/>
  <c r="K358" i="45" s="1"/>
  <c r="K463" i="45" s="1"/>
  <c r="K568" i="45" s="1"/>
  <c r="K147" i="45"/>
  <c r="K252" i="45" s="1"/>
  <c r="K357" i="45" s="1"/>
  <c r="K462" i="45" s="1"/>
  <c r="K567" i="45" s="1"/>
  <c r="K146" i="45"/>
  <c r="K251" i="45" s="1"/>
  <c r="K356" i="45" s="1"/>
  <c r="K461" i="45" s="1"/>
  <c r="K566" i="45" s="1"/>
  <c r="K145" i="45"/>
  <c r="K144" i="45"/>
  <c r="K249" i="45" s="1"/>
  <c r="K354" i="45" s="1"/>
  <c r="K459" i="45" s="1"/>
  <c r="K564" i="45" s="1"/>
  <c r="K143" i="45"/>
  <c r="K248" i="45" s="1"/>
  <c r="K353" i="45" s="1"/>
  <c r="K458" i="45" s="1"/>
  <c r="K563" i="45" s="1"/>
  <c r="K142" i="45"/>
  <c r="K247" i="45" s="1"/>
  <c r="K352" i="45" s="1"/>
  <c r="K457" i="45" s="1"/>
  <c r="K562" i="45" s="1"/>
  <c r="K141" i="45"/>
  <c r="K140" i="45"/>
  <c r="K245" i="45" s="1"/>
  <c r="K350" i="45" s="1"/>
  <c r="K455" i="45" s="1"/>
  <c r="K560" i="45" s="1"/>
  <c r="K665" i="45" s="1"/>
  <c r="K770" i="45" s="1"/>
  <c r="K875" i="45" s="1"/>
  <c r="K980" i="45" s="1"/>
  <c r="K1085" i="45" s="1"/>
  <c r="K1190" i="45" s="1"/>
  <c r="K1295" i="45" s="1"/>
  <c r="K1400" i="45" s="1"/>
  <c r="K139" i="45"/>
  <c r="K244" i="45" s="1"/>
  <c r="K349" i="45" s="1"/>
  <c r="K454" i="45" s="1"/>
  <c r="K559" i="45" s="1"/>
  <c r="K664" i="45" s="1"/>
  <c r="K769" i="45" s="1"/>
  <c r="K874" i="45" s="1"/>
  <c r="K979" i="45" s="1"/>
  <c r="K1084" i="45" s="1"/>
  <c r="K1189" i="45" s="1"/>
  <c r="K1294" i="45" s="1"/>
  <c r="K1399" i="45" s="1"/>
  <c r="K138" i="45"/>
  <c r="K243" i="45" s="1"/>
  <c r="K348" i="45" s="1"/>
  <c r="K453" i="45" s="1"/>
  <c r="K558" i="45" s="1"/>
  <c r="K137" i="45"/>
  <c r="K136" i="45"/>
  <c r="K241" i="45" s="1"/>
  <c r="K346" i="45" s="1"/>
  <c r="K451" i="45" s="1"/>
  <c r="K556" i="45" s="1"/>
  <c r="K135" i="45"/>
  <c r="K240" i="45" s="1"/>
  <c r="K345" i="45" s="1"/>
  <c r="K450" i="45" s="1"/>
  <c r="K555" i="45" s="1"/>
  <c r="K660" i="45" s="1"/>
  <c r="K765" i="45" s="1"/>
  <c r="K870" i="45" s="1"/>
  <c r="K975" i="45" s="1"/>
  <c r="K1080" i="45" s="1"/>
  <c r="K1185" i="45" s="1"/>
  <c r="K1290" i="45" s="1"/>
  <c r="K1395" i="45" s="1"/>
  <c r="K134" i="45"/>
  <c r="K239" i="45" s="1"/>
  <c r="K344" i="45" s="1"/>
  <c r="K449" i="45" s="1"/>
  <c r="K554" i="45" s="1"/>
  <c r="K133" i="45"/>
  <c r="K132" i="45"/>
  <c r="K237" i="45" s="1"/>
  <c r="K342" i="45" s="1"/>
  <c r="K447" i="45" s="1"/>
  <c r="K552" i="45" s="1"/>
  <c r="K131" i="45"/>
  <c r="K236" i="45" s="1"/>
  <c r="K341" i="45" s="1"/>
  <c r="K446" i="45" s="1"/>
  <c r="K551" i="45" s="1"/>
  <c r="K656" i="45" s="1"/>
  <c r="K761" i="45" s="1"/>
  <c r="K866" i="45" s="1"/>
  <c r="K971" i="45" s="1"/>
  <c r="K1076" i="45" s="1"/>
  <c r="K1181" i="45" s="1"/>
  <c r="K1286" i="45" s="1"/>
  <c r="K1391" i="45" s="1"/>
  <c r="K130" i="45"/>
  <c r="K235" i="45" s="1"/>
  <c r="K340" i="45" s="1"/>
  <c r="K445" i="45" s="1"/>
  <c r="K550" i="45" s="1"/>
  <c r="K129" i="45"/>
  <c r="K128" i="45"/>
  <c r="K233" i="45" s="1"/>
  <c r="K338" i="45" s="1"/>
  <c r="K443" i="45" s="1"/>
  <c r="K548" i="45" s="1"/>
  <c r="K127" i="45"/>
  <c r="K232" i="45" s="1"/>
  <c r="K337" i="45" s="1"/>
  <c r="K442" i="45" s="1"/>
  <c r="K547" i="45" s="1"/>
  <c r="K126" i="45"/>
  <c r="K231" i="45" s="1"/>
  <c r="K336" i="45" s="1"/>
  <c r="K441" i="45" s="1"/>
  <c r="K546" i="45" s="1"/>
  <c r="K125" i="45"/>
  <c r="K124" i="45"/>
  <c r="K229" i="45" s="1"/>
  <c r="K334" i="45" s="1"/>
  <c r="K439" i="45" s="1"/>
  <c r="K544" i="45" s="1"/>
  <c r="K123" i="45"/>
  <c r="K228" i="45" s="1"/>
  <c r="K333" i="45" s="1"/>
  <c r="K438" i="45" s="1"/>
  <c r="K543" i="45" s="1"/>
  <c r="K122" i="45"/>
  <c r="K227" i="45" s="1"/>
  <c r="K332" i="45" s="1"/>
  <c r="K437" i="45" s="1"/>
  <c r="K542" i="45" s="1"/>
  <c r="K121" i="45"/>
  <c r="K120" i="45"/>
  <c r="K225" i="45" s="1"/>
  <c r="K330" i="45" s="1"/>
  <c r="K435" i="45" s="1"/>
  <c r="K540" i="45" s="1"/>
  <c r="K119" i="45"/>
  <c r="K224" i="45" s="1"/>
  <c r="K329" i="45" s="1"/>
  <c r="K434" i="45" s="1"/>
  <c r="K539" i="45" s="1"/>
  <c r="K644" i="45" s="1"/>
  <c r="K749" i="45" s="1"/>
  <c r="K854" i="45" s="1"/>
  <c r="K959" i="45" s="1"/>
  <c r="K1064" i="45" s="1"/>
  <c r="K1169" i="45" s="1"/>
  <c r="K1274" i="45" s="1"/>
  <c r="K1379" i="45" s="1"/>
  <c r="K118" i="45"/>
  <c r="K223" i="45" s="1"/>
  <c r="K328" i="45" s="1"/>
  <c r="K433" i="45" s="1"/>
  <c r="K538" i="45" s="1"/>
  <c r="K117" i="45"/>
  <c r="K116" i="45"/>
  <c r="K221" i="45" s="1"/>
  <c r="K326" i="45" s="1"/>
  <c r="K431" i="45" s="1"/>
  <c r="K536" i="45" s="1"/>
  <c r="K115" i="45"/>
  <c r="K220" i="45" s="1"/>
  <c r="K325" i="45" s="1"/>
  <c r="K430" i="45" s="1"/>
  <c r="K535" i="45" s="1"/>
  <c r="K640" i="45" s="1"/>
  <c r="K745" i="45" s="1"/>
  <c r="K850" i="45" s="1"/>
  <c r="K955" i="45" s="1"/>
  <c r="K1060" i="45" s="1"/>
  <c r="K1165" i="45" s="1"/>
  <c r="K1270" i="45" s="1"/>
  <c r="K1375" i="45" s="1"/>
  <c r="K114" i="45"/>
  <c r="K219" i="45" s="1"/>
  <c r="K324" i="45" s="1"/>
  <c r="K429" i="45" s="1"/>
  <c r="K534" i="45" s="1"/>
  <c r="K113" i="45"/>
  <c r="K112" i="45"/>
  <c r="K217" i="45" s="1"/>
  <c r="K322" i="45" s="1"/>
  <c r="K427" i="45" s="1"/>
  <c r="K532" i="45" s="1"/>
  <c r="K111" i="45"/>
  <c r="K216" i="45" s="1"/>
  <c r="K321" i="45" s="1"/>
  <c r="K426" i="45" s="1"/>
  <c r="K531" i="45" s="1"/>
  <c r="K110" i="45"/>
  <c r="K215" i="45" s="1"/>
  <c r="K320" i="45" s="1"/>
  <c r="K425" i="45" s="1"/>
  <c r="K530" i="45" s="1"/>
  <c r="K109" i="45"/>
  <c r="K108" i="45"/>
  <c r="K213" i="45" s="1"/>
  <c r="K318" i="45" s="1"/>
  <c r="K423" i="45" s="1"/>
  <c r="K528" i="45" s="1"/>
  <c r="K107" i="45"/>
  <c r="K212" i="45" s="1"/>
  <c r="K317" i="45" s="1"/>
  <c r="K422" i="45" s="1"/>
  <c r="K527" i="45" s="1"/>
  <c r="K632" i="45" s="1"/>
  <c r="K737" i="45" s="1"/>
  <c r="K842" i="45" s="1"/>
  <c r="K947" i="45" s="1"/>
  <c r="K1052" i="45" s="1"/>
  <c r="K1157" i="45" s="1"/>
  <c r="K1262" i="45" s="1"/>
  <c r="K1367" i="45" s="1"/>
  <c r="K106" i="45"/>
  <c r="K211" i="45" s="1"/>
  <c r="K316" i="45" s="1"/>
  <c r="K421" i="45" s="1"/>
  <c r="K526" i="45" s="1"/>
  <c r="K105" i="45"/>
  <c r="K104" i="45"/>
  <c r="K209" i="45" s="1"/>
  <c r="K314" i="45" s="1"/>
  <c r="K419" i="45" s="1"/>
  <c r="K524" i="45" s="1"/>
  <c r="K103" i="45"/>
  <c r="K208" i="45" s="1"/>
  <c r="K313" i="45" s="1"/>
  <c r="K418" i="45" s="1"/>
  <c r="K523" i="45" s="1"/>
  <c r="K628" i="45" s="1"/>
  <c r="K733" i="45" s="1"/>
  <c r="K838" i="45" s="1"/>
  <c r="K943" i="45" s="1"/>
  <c r="K1048" i="45" s="1"/>
  <c r="K1153" i="45" s="1"/>
  <c r="K1258" i="45" s="1"/>
  <c r="K1363" i="45" s="1"/>
  <c r="K102" i="45"/>
  <c r="K207" i="45" s="1"/>
  <c r="K312" i="45" s="1"/>
  <c r="K417" i="45" s="1"/>
  <c r="K522" i="45" s="1"/>
  <c r="K101" i="45"/>
  <c r="K100" i="45"/>
  <c r="K205" i="45" s="1"/>
  <c r="K310" i="45" s="1"/>
  <c r="K415" i="45" s="1"/>
  <c r="K520" i="45" s="1"/>
  <c r="K99" i="45"/>
  <c r="K204" i="45" s="1"/>
  <c r="K309" i="45" s="1"/>
  <c r="K414" i="45" s="1"/>
  <c r="K519" i="45" s="1"/>
  <c r="K624" i="45" s="1"/>
  <c r="K729" i="45" s="1"/>
  <c r="K834" i="45" s="1"/>
  <c r="K939" i="45" s="1"/>
  <c r="K1044" i="45" s="1"/>
  <c r="K1149" i="45" s="1"/>
  <c r="K1254" i="45" s="1"/>
  <c r="K1359" i="45" s="1"/>
  <c r="K98" i="45"/>
  <c r="K203" i="45" s="1"/>
  <c r="K308" i="45" s="1"/>
  <c r="K413" i="45" s="1"/>
  <c r="K518" i="45" s="1"/>
  <c r="K97" i="45"/>
  <c r="K96" i="45"/>
  <c r="K201" i="45" s="1"/>
  <c r="K306" i="45" s="1"/>
  <c r="K411" i="45" s="1"/>
  <c r="K516" i="45" s="1"/>
  <c r="K95" i="45"/>
  <c r="K200" i="45" s="1"/>
  <c r="K305" i="45" s="1"/>
  <c r="K410" i="45" s="1"/>
  <c r="K515" i="45" s="1"/>
  <c r="K94" i="45"/>
  <c r="K199" i="45" s="1"/>
  <c r="K304" i="45" s="1"/>
  <c r="K409" i="45" s="1"/>
  <c r="K514" i="45" s="1"/>
  <c r="K93" i="45"/>
  <c r="K92" i="45"/>
  <c r="K197" i="45" s="1"/>
  <c r="K302" i="45" s="1"/>
  <c r="K407" i="45" s="1"/>
  <c r="K512" i="45" s="1"/>
  <c r="K91" i="45"/>
  <c r="K196" i="45" s="1"/>
  <c r="K301" i="45" s="1"/>
  <c r="K406" i="45" s="1"/>
  <c r="K511" i="45" s="1"/>
  <c r="K90" i="45"/>
  <c r="K195" i="45" s="1"/>
  <c r="K300" i="45" s="1"/>
  <c r="K405" i="45" s="1"/>
  <c r="K510" i="45" s="1"/>
  <c r="K89" i="45"/>
  <c r="K88" i="45"/>
  <c r="K193" i="45" s="1"/>
  <c r="K298" i="45" s="1"/>
  <c r="K403" i="45" s="1"/>
  <c r="K508" i="45" s="1"/>
  <c r="K87" i="45"/>
  <c r="K192" i="45" s="1"/>
  <c r="K297" i="45" s="1"/>
  <c r="K402" i="45" s="1"/>
  <c r="K507" i="45" s="1"/>
  <c r="K86" i="45"/>
  <c r="K191" i="45" s="1"/>
  <c r="K296" i="45" s="1"/>
  <c r="K401" i="45" s="1"/>
  <c r="K506" i="45" s="1"/>
  <c r="K85" i="45"/>
  <c r="K84" i="45"/>
  <c r="K189" i="45" s="1"/>
  <c r="K294" i="45" s="1"/>
  <c r="K399" i="45" s="1"/>
  <c r="K504" i="45" s="1"/>
  <c r="K83" i="45"/>
  <c r="K188" i="45" s="1"/>
  <c r="K293" i="45" s="1"/>
  <c r="K398" i="45" s="1"/>
  <c r="K503" i="45" s="1"/>
  <c r="K82" i="45"/>
  <c r="K187" i="45" s="1"/>
  <c r="K292" i="45" s="1"/>
  <c r="K397" i="45" s="1"/>
  <c r="K502" i="45" s="1"/>
  <c r="K81" i="45"/>
  <c r="Q57" i="44" a="1"/>
  <c r="Q57" i="44" s="1"/>
  <c r="Q56" i="44" a="1"/>
  <c r="Q56" i="44" s="1"/>
  <c r="Q55" i="44" a="1"/>
  <c r="Q55" i="44" s="1"/>
  <c r="Q54" i="44" a="1"/>
  <c r="Q54" i="44" s="1"/>
  <c r="Q53" i="44" a="1"/>
  <c r="Q53" i="44" s="1"/>
  <c r="Q52" i="44" a="1"/>
  <c r="Q52" i="44" s="1"/>
  <c r="Q51" i="44" a="1"/>
  <c r="Q51" i="44" s="1"/>
  <c r="Q50" i="44" a="1"/>
  <c r="Q50" i="44" s="1"/>
  <c r="Q49" i="44" a="1"/>
  <c r="Q49" i="44" s="1"/>
  <c r="Q48" i="44" a="1"/>
  <c r="Q48" i="44" s="1"/>
  <c r="Q47" i="44" a="1"/>
  <c r="Q47" i="44" s="1"/>
  <c r="Q46" i="44" a="1"/>
  <c r="Q46" i="44" s="1"/>
  <c r="Q45" i="44" a="1"/>
  <c r="Q45" i="44" s="1"/>
  <c r="Q44" i="44" a="1"/>
  <c r="Q44" i="44" s="1"/>
  <c r="Q43" i="44" a="1"/>
  <c r="Q43" i="44" s="1"/>
  <c r="Q42" i="44" a="1"/>
  <c r="Q42" i="44" s="1"/>
  <c r="Q41" i="44" a="1"/>
  <c r="Q41" i="44" s="1"/>
  <c r="Q40" i="44" a="1"/>
  <c r="Q40" i="44" s="1"/>
  <c r="Q39" i="44" a="1"/>
  <c r="Q39" i="44" s="1"/>
  <c r="Q38" i="44" a="1"/>
  <c r="Q38" i="44" s="1"/>
  <c r="Q37" i="44" a="1"/>
  <c r="Q37" i="44" s="1"/>
  <c r="Q36" i="44" a="1"/>
  <c r="Q36" i="44" s="1"/>
  <c r="Q35" i="44" a="1"/>
  <c r="Q35" i="44" s="1"/>
  <c r="Q34" i="44" a="1"/>
  <c r="Q34" i="44" s="1"/>
  <c r="Q33" i="44" a="1"/>
  <c r="Q33" i="44" s="1"/>
  <c r="Q32" i="44" a="1"/>
  <c r="Q32" i="44" s="1"/>
  <c r="Q31" i="44" a="1"/>
  <c r="Q31" i="44" s="1"/>
  <c r="Q30" i="44" a="1"/>
  <c r="Q30" i="44" s="1"/>
  <c r="Q29" i="44" a="1"/>
  <c r="Q29" i="44" s="1"/>
  <c r="Q28" i="44" a="1"/>
  <c r="Q28" i="44" s="1"/>
  <c r="Q27" i="44" a="1"/>
  <c r="Q27" i="44" s="1"/>
  <c r="Q26" i="44" a="1"/>
  <c r="Q26" i="44" s="1"/>
  <c r="Q25" i="44" a="1"/>
  <c r="Q25" i="44" s="1"/>
  <c r="Q24" i="44" a="1"/>
  <c r="Q24" i="44" s="1"/>
  <c r="Q23" i="44" a="1"/>
  <c r="Q23" i="44" s="1"/>
  <c r="Q22" i="44" a="1"/>
  <c r="Q22" i="44" s="1"/>
  <c r="Q21" i="44" a="1"/>
  <c r="Q21" i="44" s="1"/>
  <c r="Q20" i="44" a="1"/>
  <c r="Q20" i="44" s="1"/>
  <c r="Q19" i="44" a="1"/>
  <c r="Q19" i="44" s="1"/>
  <c r="Q18" i="44" a="1"/>
  <c r="Q18" i="44" s="1"/>
  <c r="Q17" i="44" a="1"/>
  <c r="Q17" i="44" s="1"/>
  <c r="Q16" i="44" a="1"/>
  <c r="Q16" i="44" s="1"/>
  <c r="Q15" i="44" a="1"/>
  <c r="Q15" i="44" s="1"/>
  <c r="Q14" i="44" a="1"/>
  <c r="Q14" i="44" s="1"/>
  <c r="Q13" i="44" a="1"/>
  <c r="Q13" i="44" s="1"/>
  <c r="Q12" i="44" a="1"/>
  <c r="Q12" i="44" s="1"/>
  <c r="Q11" i="44" a="1"/>
  <c r="Q11" i="44" s="1"/>
  <c r="Q10" i="44" a="1"/>
  <c r="Q10" i="44" s="1"/>
  <c r="Q9" i="44" a="1"/>
  <c r="Q9" i="44" s="1"/>
  <c r="Q8" i="44" a="1"/>
  <c r="Q8" i="44" s="1"/>
  <c r="P6" i="44"/>
  <c r="P57" i="44"/>
  <c r="P56" i="44"/>
  <c r="P55" i="44"/>
  <c r="P54" i="44"/>
  <c r="P53" i="44"/>
  <c r="P52" i="44"/>
  <c r="P51" i="44"/>
  <c r="P50" i="44"/>
  <c r="P49" i="44"/>
  <c r="P48" i="44"/>
  <c r="P47" i="44"/>
  <c r="P46" i="44"/>
  <c r="P45" i="44"/>
  <c r="P44" i="44"/>
  <c r="P43" i="44"/>
  <c r="P42" i="44"/>
  <c r="P41" i="44"/>
  <c r="P40" i="44"/>
  <c r="P39" i="44"/>
  <c r="P38" i="44"/>
  <c r="P37" i="44"/>
  <c r="P36" i="44"/>
  <c r="P35" i="44"/>
  <c r="P34" i="44"/>
  <c r="P33" i="44"/>
  <c r="P32" i="44"/>
  <c r="P31" i="44"/>
  <c r="P30" i="44"/>
  <c r="P29" i="44"/>
  <c r="P28" i="44"/>
  <c r="P27" i="44"/>
  <c r="P26" i="44"/>
  <c r="P25" i="44"/>
  <c r="P24" i="44"/>
  <c r="P23" i="44"/>
  <c r="P22" i="44"/>
  <c r="P21" i="44"/>
  <c r="P20" i="44"/>
  <c r="P19" i="44"/>
  <c r="P18" i="44"/>
  <c r="P17" i="44"/>
  <c r="P16" i="44"/>
  <c r="P15" i="44"/>
  <c r="P14" i="44"/>
  <c r="P13" i="44"/>
  <c r="P12" i="44"/>
  <c r="P11" i="44"/>
  <c r="P10" i="44"/>
  <c r="P9" i="44"/>
  <c r="P8" i="44"/>
  <c r="CK68" i="44"/>
  <c r="CJ68" i="44"/>
  <c r="CI68" i="44"/>
  <c r="CH68" i="44"/>
  <c r="CG68" i="44"/>
  <c r="CF68" i="44"/>
  <c r="CE68" i="44"/>
  <c r="CD68" i="44"/>
  <c r="CC68" i="44"/>
  <c r="CB68" i="44"/>
  <c r="CA68" i="44"/>
  <c r="BZ68" i="44"/>
  <c r="BY68" i="44"/>
  <c r="BX68" i="44"/>
  <c r="BW68" i="44"/>
  <c r="BV68" i="44"/>
  <c r="BU68" i="44"/>
  <c r="BT68" i="44"/>
  <c r="BS68" i="44"/>
  <c r="BR68" i="44"/>
  <c r="BQ68" i="44"/>
  <c r="BP68" i="44"/>
  <c r="BO68" i="44"/>
  <c r="BN68" i="44"/>
  <c r="BM68" i="44"/>
  <c r="BL68" i="44"/>
  <c r="BK68" i="44"/>
  <c r="BJ68" i="44"/>
  <c r="BI68" i="44"/>
  <c r="BH68" i="44"/>
  <c r="BG68" i="44"/>
  <c r="BF68" i="44"/>
  <c r="BE68" i="44"/>
  <c r="BD68" i="44"/>
  <c r="BC68" i="44"/>
  <c r="BB68" i="44"/>
  <c r="CK67" i="44"/>
  <c r="CJ67" i="44"/>
  <c r="CI67" i="44"/>
  <c r="CH67" i="44"/>
  <c r="CG67" i="44"/>
  <c r="CF67" i="44"/>
  <c r="CE67" i="44"/>
  <c r="CD67" i="44"/>
  <c r="CC67" i="44"/>
  <c r="CB67" i="44"/>
  <c r="CA67" i="44"/>
  <c r="BZ67" i="44"/>
  <c r="BY67" i="44"/>
  <c r="BX67" i="44"/>
  <c r="BW67" i="44"/>
  <c r="BV67" i="44"/>
  <c r="BU67" i="44"/>
  <c r="BT67" i="44"/>
  <c r="BS67" i="44"/>
  <c r="BR67" i="44"/>
  <c r="BQ67" i="44"/>
  <c r="BP67" i="44"/>
  <c r="BO67" i="44"/>
  <c r="BN67" i="44"/>
  <c r="BM67" i="44"/>
  <c r="BL67" i="44"/>
  <c r="BK67" i="44"/>
  <c r="BJ67" i="44"/>
  <c r="BI67" i="44"/>
  <c r="BH67" i="44"/>
  <c r="BG67" i="44"/>
  <c r="BF67" i="44"/>
  <c r="BE67" i="44"/>
  <c r="BD67" i="44"/>
  <c r="BC67" i="44"/>
  <c r="BB67" i="44"/>
  <c r="CK66" i="44"/>
  <c r="CJ66" i="44"/>
  <c r="CI66" i="44"/>
  <c r="CH66" i="44"/>
  <c r="CG66" i="44"/>
  <c r="CF66" i="44"/>
  <c r="CE66" i="44"/>
  <c r="CD66" i="44"/>
  <c r="CC66" i="44"/>
  <c r="CB66" i="44"/>
  <c r="CA66" i="44"/>
  <c r="BZ66" i="44"/>
  <c r="BY66" i="44"/>
  <c r="BX66" i="44"/>
  <c r="BW66" i="44"/>
  <c r="BV66" i="44"/>
  <c r="BU66" i="44"/>
  <c r="BT66" i="44"/>
  <c r="BS66" i="44"/>
  <c r="BR66" i="44"/>
  <c r="BQ66" i="44"/>
  <c r="BP66" i="44"/>
  <c r="BO66" i="44"/>
  <c r="BN66" i="44"/>
  <c r="BM66" i="44"/>
  <c r="BL66" i="44"/>
  <c r="BK66" i="44"/>
  <c r="BJ66" i="44"/>
  <c r="BI66" i="44"/>
  <c r="BH66" i="44"/>
  <c r="BG66" i="44"/>
  <c r="BF66" i="44"/>
  <c r="BE66" i="44"/>
  <c r="BD66" i="44"/>
  <c r="BC66" i="44"/>
  <c r="BB66" i="44"/>
  <c r="CK65" i="44"/>
  <c r="CJ65" i="44"/>
  <c r="CI65" i="44"/>
  <c r="CH65" i="44"/>
  <c r="CG65" i="44"/>
  <c r="CF65" i="44"/>
  <c r="CE65" i="44"/>
  <c r="CD65" i="44"/>
  <c r="CC65" i="44"/>
  <c r="CB65" i="44"/>
  <c r="CA65" i="44"/>
  <c r="BZ65" i="44"/>
  <c r="BY65" i="44"/>
  <c r="BX65" i="44"/>
  <c r="BW65" i="44"/>
  <c r="BV65" i="44"/>
  <c r="BU65" i="44"/>
  <c r="BT65" i="44"/>
  <c r="BS65" i="44"/>
  <c r="BR65" i="44"/>
  <c r="BQ65" i="44"/>
  <c r="BP65" i="44"/>
  <c r="BO65" i="44"/>
  <c r="BN65" i="44"/>
  <c r="BM65" i="44"/>
  <c r="BL65" i="44"/>
  <c r="BK65" i="44"/>
  <c r="BJ65" i="44"/>
  <c r="BI65" i="44"/>
  <c r="BH65" i="44"/>
  <c r="BG65" i="44"/>
  <c r="BF65" i="44"/>
  <c r="BE65" i="44"/>
  <c r="BD65" i="44"/>
  <c r="BC65" i="44"/>
  <c r="BB65" i="44"/>
  <c r="CK64" i="44"/>
  <c r="CJ64" i="44"/>
  <c r="CI64" i="44"/>
  <c r="CH64" i="44"/>
  <c r="CG64" i="44"/>
  <c r="CF64" i="44"/>
  <c r="CE64" i="44"/>
  <c r="CD64" i="44"/>
  <c r="CC64" i="44"/>
  <c r="CB64" i="44"/>
  <c r="CA64" i="44"/>
  <c r="BZ64" i="44"/>
  <c r="BY64" i="44"/>
  <c r="BX64" i="44"/>
  <c r="BW64" i="44"/>
  <c r="BV64" i="44"/>
  <c r="BU64" i="44"/>
  <c r="BT64" i="44"/>
  <c r="BS64" i="44"/>
  <c r="BR64" i="44"/>
  <c r="BQ64" i="44"/>
  <c r="BP64" i="44"/>
  <c r="BO64" i="44"/>
  <c r="BN64" i="44"/>
  <c r="BM64" i="44"/>
  <c r="BL64" i="44"/>
  <c r="BK64" i="44"/>
  <c r="BJ64" i="44"/>
  <c r="BI64" i="44"/>
  <c r="BH64" i="44"/>
  <c r="BG64" i="44"/>
  <c r="BF64" i="44"/>
  <c r="BE64" i="44"/>
  <c r="BD64" i="44"/>
  <c r="BC64" i="44"/>
  <c r="BB64" i="44"/>
  <c r="CK63" i="44"/>
  <c r="CJ63" i="44"/>
  <c r="CI63" i="44"/>
  <c r="CH63" i="44"/>
  <c r="CG63" i="44"/>
  <c r="CF63" i="44"/>
  <c r="CE63" i="44"/>
  <c r="CD63" i="44"/>
  <c r="CC63" i="44"/>
  <c r="CB63" i="44"/>
  <c r="CA63" i="44"/>
  <c r="BZ63" i="44"/>
  <c r="BY63" i="44"/>
  <c r="BX63" i="44"/>
  <c r="BW63" i="44"/>
  <c r="BV63" i="44"/>
  <c r="BU63" i="44"/>
  <c r="BT63" i="44"/>
  <c r="BS63" i="44"/>
  <c r="BR63" i="44"/>
  <c r="BQ63" i="44"/>
  <c r="BP63" i="44"/>
  <c r="BO63" i="44"/>
  <c r="BN63" i="44"/>
  <c r="BM63" i="44"/>
  <c r="BL63" i="44"/>
  <c r="BK63" i="44"/>
  <c r="BJ63" i="44"/>
  <c r="BI63" i="44"/>
  <c r="BH63" i="44"/>
  <c r="BG63" i="44"/>
  <c r="BF63" i="44"/>
  <c r="BE63" i="44"/>
  <c r="BD63" i="44"/>
  <c r="BC63" i="44"/>
  <c r="BB63" i="44"/>
  <c r="CK62" i="44"/>
  <c r="CJ62" i="44"/>
  <c r="CI62" i="44"/>
  <c r="CH62" i="44"/>
  <c r="CG62" i="44"/>
  <c r="CF62" i="44"/>
  <c r="CE62" i="44"/>
  <c r="CD62" i="44"/>
  <c r="CC62" i="44"/>
  <c r="CB62" i="44"/>
  <c r="CA62" i="44"/>
  <c r="BZ62" i="44"/>
  <c r="BY62" i="44"/>
  <c r="BX62" i="44"/>
  <c r="BW62" i="44"/>
  <c r="BV62" i="44"/>
  <c r="BU62" i="44"/>
  <c r="BT62" i="44"/>
  <c r="BS62" i="44"/>
  <c r="BR62" i="44"/>
  <c r="BQ62" i="44"/>
  <c r="BP62" i="44"/>
  <c r="BO62" i="44"/>
  <c r="BN62" i="44"/>
  <c r="BM62" i="44"/>
  <c r="BL62" i="44"/>
  <c r="BK62" i="44"/>
  <c r="BJ62" i="44"/>
  <c r="BI62" i="44"/>
  <c r="BH62" i="44"/>
  <c r="BG62" i="44"/>
  <c r="BF62" i="44"/>
  <c r="BE62" i="44"/>
  <c r="BD62" i="44"/>
  <c r="BC62" i="44"/>
  <c r="BB62" i="44"/>
  <c r="CK61" i="44"/>
  <c r="CJ61" i="44"/>
  <c r="CI61" i="44"/>
  <c r="CH61" i="44"/>
  <c r="CG61" i="44"/>
  <c r="CF61" i="44"/>
  <c r="CE61" i="44"/>
  <c r="CD61" i="44"/>
  <c r="CC61" i="44"/>
  <c r="CB61" i="44"/>
  <c r="CA61" i="44"/>
  <c r="BZ61" i="44"/>
  <c r="BY61" i="44"/>
  <c r="BX61" i="44"/>
  <c r="BW61" i="44"/>
  <c r="BV61" i="44"/>
  <c r="BU61" i="44"/>
  <c r="BT61" i="44"/>
  <c r="BS61" i="44"/>
  <c r="BR61" i="44"/>
  <c r="BQ61" i="44"/>
  <c r="BP61" i="44"/>
  <c r="BO61" i="44"/>
  <c r="BN61" i="44"/>
  <c r="BM61" i="44"/>
  <c r="BL61" i="44"/>
  <c r="BK61" i="44"/>
  <c r="BJ61" i="44"/>
  <c r="BI61" i="44"/>
  <c r="BH61" i="44"/>
  <c r="BG61" i="44"/>
  <c r="BF61" i="44"/>
  <c r="BE61" i="44"/>
  <c r="BD61" i="44"/>
  <c r="BC61" i="44"/>
  <c r="BB61" i="44"/>
  <c r="K286" i="45"/>
  <c r="K391" i="45" s="1"/>
  <c r="K496" i="45" s="1"/>
  <c r="K601" i="45" s="1"/>
  <c r="K282" i="45"/>
  <c r="K387" i="45" s="1"/>
  <c r="K492" i="45" s="1"/>
  <c r="K597" i="45" s="1"/>
  <c r="K278" i="45"/>
  <c r="K383" i="45" s="1"/>
  <c r="K488" i="45" s="1"/>
  <c r="K593" i="45" s="1"/>
  <c r="K274" i="45"/>
  <c r="K379" i="45" s="1"/>
  <c r="K484" i="45" s="1"/>
  <c r="K589" i="45" s="1"/>
  <c r="K270" i="45"/>
  <c r="K375" i="45" s="1"/>
  <c r="K480" i="45" s="1"/>
  <c r="K585" i="45" s="1"/>
  <c r="K266" i="45"/>
  <c r="K371" i="45" s="1"/>
  <c r="K476" i="45" s="1"/>
  <c r="K581" i="45" s="1"/>
  <c r="K686" i="45" s="1"/>
  <c r="K791" i="45" s="1"/>
  <c r="K896" i="45" s="1"/>
  <c r="K1001" i="45" s="1"/>
  <c r="K1106" i="45" s="1"/>
  <c r="K1211" i="45" s="1"/>
  <c r="K1316" i="45" s="1"/>
  <c r="K1421" i="45" s="1"/>
  <c r="K262" i="45"/>
  <c r="K367" i="45" s="1"/>
  <c r="K472" i="45" s="1"/>
  <c r="K577" i="45" s="1"/>
  <c r="K258" i="45"/>
  <c r="K363" i="45" s="1"/>
  <c r="K468" i="45" s="1"/>
  <c r="K573" i="45" s="1"/>
  <c r="K254" i="45"/>
  <c r="K359" i="45" s="1"/>
  <c r="K464" i="45" s="1"/>
  <c r="K569" i="45" s="1"/>
  <c r="K250" i="45"/>
  <c r="K355" i="45" s="1"/>
  <c r="K460" i="45" s="1"/>
  <c r="K565" i="45" s="1"/>
  <c r="K246" i="45"/>
  <c r="K351" i="45" s="1"/>
  <c r="K456" i="45" s="1"/>
  <c r="K561" i="45" s="1"/>
  <c r="K242" i="45"/>
  <c r="K347" i="45" s="1"/>
  <c r="K452" i="45" s="1"/>
  <c r="K557" i="45" s="1"/>
  <c r="K238" i="45"/>
  <c r="K343" i="45" s="1"/>
  <c r="K448" i="45" s="1"/>
  <c r="K553" i="45" s="1"/>
  <c r="K234" i="45"/>
  <c r="K339" i="45" s="1"/>
  <c r="K444" i="45" s="1"/>
  <c r="K549" i="45" s="1"/>
  <c r="K230" i="45"/>
  <c r="K335" i="45" s="1"/>
  <c r="K440" i="45" s="1"/>
  <c r="K545" i="45" s="1"/>
  <c r="K650" i="45" s="1"/>
  <c r="K755" i="45" s="1"/>
  <c r="K226" i="45"/>
  <c r="K331" i="45" s="1"/>
  <c r="K436" i="45" s="1"/>
  <c r="K541" i="45" s="1"/>
  <c r="K222" i="45"/>
  <c r="K327" i="45" s="1"/>
  <c r="K432" i="45" s="1"/>
  <c r="K537" i="45" s="1"/>
  <c r="K218" i="45"/>
  <c r="K323" i="45" s="1"/>
  <c r="K428" i="45" s="1"/>
  <c r="K533" i="45" s="1"/>
  <c r="K214" i="45"/>
  <c r="K319" i="45" s="1"/>
  <c r="K424" i="45" s="1"/>
  <c r="K529" i="45" s="1"/>
  <c r="K634" i="45" s="1"/>
  <c r="K739" i="45" s="1"/>
  <c r="K210" i="45"/>
  <c r="K315" i="45" s="1"/>
  <c r="K420" i="45" s="1"/>
  <c r="K525" i="45" s="1"/>
  <c r="K206" i="45"/>
  <c r="K311" i="45" s="1"/>
  <c r="K416" i="45" s="1"/>
  <c r="K521" i="45" s="1"/>
  <c r="K202" i="45"/>
  <c r="K307" i="45" s="1"/>
  <c r="K412" i="45" s="1"/>
  <c r="K517" i="45" s="1"/>
  <c r="K622" i="45" s="1"/>
  <c r="K727" i="45" s="1"/>
  <c r="K832" i="45" s="1"/>
  <c r="K937" i="45" s="1"/>
  <c r="K1042" i="45" s="1"/>
  <c r="K1147" i="45" s="1"/>
  <c r="K1252" i="45" s="1"/>
  <c r="K1357" i="45" s="1"/>
  <c r="K198" i="45"/>
  <c r="K303" i="45" s="1"/>
  <c r="K408" i="45" s="1"/>
  <c r="K513" i="45" s="1"/>
  <c r="K194" i="45"/>
  <c r="K299" i="45" s="1"/>
  <c r="K404" i="45" s="1"/>
  <c r="K509" i="45" s="1"/>
  <c r="K190" i="45"/>
  <c r="K295" i="45" s="1"/>
  <c r="K400" i="45" s="1"/>
  <c r="K505" i="45" s="1"/>
  <c r="K186" i="45"/>
  <c r="K291" i="45" s="1"/>
  <c r="K396" i="45" s="1"/>
  <c r="K501" i="45" s="1"/>
  <c r="L62" i="44"/>
  <c r="L63" i="44"/>
  <c r="L64" i="44"/>
  <c r="L65" i="44"/>
  <c r="L66" i="44"/>
  <c r="L67" i="44"/>
  <c r="L68" i="44"/>
  <c r="L61" i="44"/>
  <c r="K606" i="45" l="1"/>
  <c r="K711" i="45" s="1"/>
  <c r="K816" i="45" s="1"/>
  <c r="K921" i="45" s="1"/>
  <c r="K1026" i="45" s="1"/>
  <c r="K1131" i="45" s="1"/>
  <c r="K1236" i="45" s="1"/>
  <c r="K1341" i="45" s="1"/>
  <c r="K608" i="45"/>
  <c r="K713" i="45" s="1"/>
  <c r="K818" i="45" s="1"/>
  <c r="K923" i="45" s="1"/>
  <c r="K1028" i="45" s="1"/>
  <c r="K1133" i="45" s="1"/>
  <c r="K1238" i="45" s="1"/>
  <c r="K1343" i="45" s="1"/>
  <c r="K612" i="45"/>
  <c r="K717" i="45" s="1"/>
  <c r="K822" i="45" s="1"/>
  <c r="K927" i="45" s="1"/>
  <c r="K1032" i="45" s="1"/>
  <c r="K1137" i="45" s="1"/>
  <c r="K1242" i="45" s="1"/>
  <c r="K1347" i="45" s="1"/>
  <c r="K616" i="45"/>
  <c r="K721" i="45" s="1"/>
  <c r="K826" i="45" s="1"/>
  <c r="K931" i="45" s="1"/>
  <c r="K1036" i="45" s="1"/>
  <c r="K1141" i="45" s="1"/>
  <c r="K1246" i="45" s="1"/>
  <c r="K1351" i="45" s="1"/>
  <c r="K620" i="45"/>
  <c r="K725" i="45" s="1"/>
  <c r="K830" i="45" s="1"/>
  <c r="K935" i="45" s="1"/>
  <c r="K1040" i="45" s="1"/>
  <c r="K1145" i="45" s="1"/>
  <c r="K1250" i="45" s="1"/>
  <c r="K1355" i="45" s="1"/>
  <c r="K636" i="45"/>
  <c r="K741" i="45" s="1"/>
  <c r="K846" i="45" s="1"/>
  <c r="K951" i="45" s="1"/>
  <c r="K1056" i="45" s="1"/>
  <c r="K1161" i="45" s="1"/>
  <c r="K1266" i="45" s="1"/>
  <c r="K1371" i="45" s="1"/>
  <c r="K648" i="45"/>
  <c r="K753" i="45" s="1"/>
  <c r="K858" i="45" s="1"/>
  <c r="K963" i="45" s="1"/>
  <c r="K1068" i="45" s="1"/>
  <c r="K1173" i="45" s="1"/>
  <c r="K1278" i="45" s="1"/>
  <c r="K1383" i="45" s="1"/>
  <c r="K652" i="45"/>
  <c r="K757" i="45" s="1"/>
  <c r="K862" i="45" s="1"/>
  <c r="K967" i="45" s="1"/>
  <c r="K1072" i="45" s="1"/>
  <c r="K1177" i="45" s="1"/>
  <c r="K1282" i="45" s="1"/>
  <c r="K1387" i="45" s="1"/>
  <c r="K668" i="45"/>
  <c r="K773" i="45" s="1"/>
  <c r="K878" i="45" s="1"/>
  <c r="K983" i="45" s="1"/>
  <c r="K1088" i="45" s="1"/>
  <c r="K1193" i="45" s="1"/>
  <c r="K1298" i="45" s="1"/>
  <c r="K1403" i="45" s="1"/>
  <c r="K672" i="45"/>
  <c r="K777" i="45" s="1"/>
  <c r="K882" i="45" s="1"/>
  <c r="K987" i="45" s="1"/>
  <c r="K1092" i="45" s="1"/>
  <c r="K1197" i="45" s="1"/>
  <c r="K1302" i="45" s="1"/>
  <c r="K1407" i="45" s="1"/>
  <c r="K676" i="45"/>
  <c r="K781" i="45" s="1"/>
  <c r="K886" i="45" s="1"/>
  <c r="K991" i="45" s="1"/>
  <c r="K1096" i="45" s="1"/>
  <c r="K1201" i="45" s="1"/>
  <c r="K1306" i="45" s="1"/>
  <c r="K1411" i="45" s="1"/>
  <c r="K680" i="45"/>
  <c r="K785" i="45" s="1"/>
  <c r="K890" i="45" s="1"/>
  <c r="K995" i="45" s="1"/>
  <c r="K1100" i="45" s="1"/>
  <c r="K1205" i="45" s="1"/>
  <c r="K1310" i="45" s="1"/>
  <c r="K1415" i="45" s="1"/>
  <c r="K684" i="45"/>
  <c r="K789" i="45" s="1"/>
  <c r="K894" i="45" s="1"/>
  <c r="K999" i="45" s="1"/>
  <c r="K1104" i="45" s="1"/>
  <c r="K1209" i="45" s="1"/>
  <c r="K1314" i="45" s="1"/>
  <c r="K1419" i="45" s="1"/>
  <c r="K688" i="45"/>
  <c r="K793" i="45" s="1"/>
  <c r="K898" i="45" s="1"/>
  <c r="K1003" i="45" s="1"/>
  <c r="K1108" i="45" s="1"/>
  <c r="K1213" i="45" s="1"/>
  <c r="K1318" i="45" s="1"/>
  <c r="K1423" i="45" s="1"/>
  <c r="K696" i="45"/>
  <c r="K801" i="45" s="1"/>
  <c r="K906" i="45" s="1"/>
  <c r="K1011" i="45" s="1"/>
  <c r="K1116" i="45" s="1"/>
  <c r="K1221" i="45" s="1"/>
  <c r="K1326" i="45" s="1"/>
  <c r="K1431" i="45" s="1"/>
  <c r="K700" i="45"/>
  <c r="K805" i="45" s="1"/>
  <c r="K910" i="45" s="1"/>
  <c r="K1015" i="45" s="1"/>
  <c r="K1120" i="45" s="1"/>
  <c r="K1225" i="45" s="1"/>
  <c r="K1330" i="45" s="1"/>
  <c r="K1435" i="45" s="1"/>
  <c r="K704" i="45"/>
  <c r="K809" i="45" s="1"/>
  <c r="K914" i="45" s="1"/>
  <c r="K1019" i="45" s="1"/>
  <c r="K1124" i="45" s="1"/>
  <c r="K1229" i="45" s="1"/>
  <c r="K1334" i="45" s="1"/>
  <c r="K1439" i="45" s="1"/>
  <c r="K617" i="45"/>
  <c r="K722" i="45" s="1"/>
  <c r="K827" i="45" s="1"/>
  <c r="K932" i="45" s="1"/>
  <c r="K1037" i="45" s="1"/>
  <c r="K1142" i="45" s="1"/>
  <c r="K1247" i="45" s="1"/>
  <c r="K1352" i="45" s="1"/>
  <c r="K633" i="45"/>
  <c r="K738" i="45" s="1"/>
  <c r="K843" i="45" s="1"/>
  <c r="K948" i="45" s="1"/>
  <c r="K1053" i="45" s="1"/>
  <c r="K1158" i="45" s="1"/>
  <c r="K1263" i="45" s="1"/>
  <c r="K1368" i="45" s="1"/>
  <c r="K649" i="45"/>
  <c r="K754" i="45" s="1"/>
  <c r="K859" i="45" s="1"/>
  <c r="K964" i="45" s="1"/>
  <c r="K1069" i="45" s="1"/>
  <c r="K1174" i="45" s="1"/>
  <c r="K1279" i="45" s="1"/>
  <c r="K1384" i="45" s="1"/>
  <c r="K681" i="45"/>
  <c r="K786" i="45" s="1"/>
  <c r="K891" i="45" s="1"/>
  <c r="K996" i="45" s="1"/>
  <c r="K1101" i="45" s="1"/>
  <c r="K1206" i="45" s="1"/>
  <c r="K1311" i="45" s="1"/>
  <c r="K1416" i="45" s="1"/>
  <c r="K697" i="45"/>
  <c r="K802" i="45" s="1"/>
  <c r="K907" i="45" s="1"/>
  <c r="K1012" i="45" s="1"/>
  <c r="K1117" i="45" s="1"/>
  <c r="K1222" i="45" s="1"/>
  <c r="K1327" i="45" s="1"/>
  <c r="K1432" i="45" s="1"/>
  <c r="K638" i="45"/>
  <c r="K743" i="45" s="1"/>
  <c r="K848" i="45" s="1"/>
  <c r="K953" i="45" s="1"/>
  <c r="K1058" i="45" s="1"/>
  <c r="K1163" i="45" s="1"/>
  <c r="K1268" i="45" s="1"/>
  <c r="K1373" i="45" s="1"/>
  <c r="K654" i="45"/>
  <c r="K759" i="45" s="1"/>
  <c r="K864" i="45" s="1"/>
  <c r="K969" i="45" s="1"/>
  <c r="K1074" i="45" s="1"/>
  <c r="K1179" i="45" s="1"/>
  <c r="K1284" i="45" s="1"/>
  <c r="K1389" i="45" s="1"/>
  <c r="K670" i="45"/>
  <c r="K775" i="45" s="1"/>
  <c r="K880" i="45" s="1"/>
  <c r="K985" i="45" s="1"/>
  <c r="K1090" i="45" s="1"/>
  <c r="K1195" i="45" s="1"/>
  <c r="K1300" i="45" s="1"/>
  <c r="K1405" i="45" s="1"/>
  <c r="K702" i="45"/>
  <c r="K807" i="45" s="1"/>
  <c r="K912" i="45" s="1"/>
  <c r="K1017" i="45" s="1"/>
  <c r="K1122" i="45" s="1"/>
  <c r="K1227" i="45" s="1"/>
  <c r="K1332" i="45" s="1"/>
  <c r="K1437" i="45" s="1"/>
  <c r="K609" i="45"/>
  <c r="K714" i="45" s="1"/>
  <c r="K819" i="45" s="1"/>
  <c r="K924" i="45" s="1"/>
  <c r="K1029" i="45" s="1"/>
  <c r="K1134" i="45" s="1"/>
  <c r="K1239" i="45" s="1"/>
  <c r="K1344" i="45" s="1"/>
  <c r="K657" i="45"/>
  <c r="K762" i="45" s="1"/>
  <c r="K867" i="45" s="1"/>
  <c r="K972" i="45" s="1"/>
  <c r="K1077" i="45" s="1"/>
  <c r="K1182" i="45" s="1"/>
  <c r="K1287" i="45" s="1"/>
  <c r="K1392" i="45" s="1"/>
  <c r="K673" i="45"/>
  <c r="K778" i="45" s="1"/>
  <c r="K883" i="45" s="1"/>
  <c r="K988" i="45" s="1"/>
  <c r="K1093" i="45" s="1"/>
  <c r="K1198" i="45" s="1"/>
  <c r="K1303" i="45" s="1"/>
  <c r="K1408" i="45" s="1"/>
  <c r="K705" i="45"/>
  <c r="K810" i="45" s="1"/>
  <c r="K915" i="45" s="1"/>
  <c r="K1020" i="45" s="1"/>
  <c r="K1125" i="45" s="1"/>
  <c r="K1230" i="45" s="1"/>
  <c r="K1335" i="45" s="1"/>
  <c r="K1440" i="45" s="1"/>
  <c r="K607" i="45"/>
  <c r="K712" i="45" s="1"/>
  <c r="K817" i="45" s="1"/>
  <c r="K922" i="45" s="1"/>
  <c r="K1027" i="45" s="1"/>
  <c r="K1132" i="45" s="1"/>
  <c r="K1237" i="45" s="1"/>
  <c r="K1342" i="45" s="1"/>
  <c r="K611" i="45"/>
  <c r="K716" i="45" s="1"/>
  <c r="K821" i="45" s="1"/>
  <c r="K926" i="45" s="1"/>
  <c r="K1031" i="45" s="1"/>
  <c r="K1136" i="45" s="1"/>
  <c r="K1241" i="45" s="1"/>
  <c r="K1346" i="45" s="1"/>
  <c r="K615" i="45"/>
  <c r="K720" i="45" s="1"/>
  <c r="K825" i="45" s="1"/>
  <c r="K930" i="45" s="1"/>
  <c r="K1035" i="45" s="1"/>
  <c r="K1140" i="45" s="1"/>
  <c r="K1245" i="45" s="1"/>
  <c r="K1350" i="45" s="1"/>
  <c r="K619" i="45"/>
  <c r="K724" i="45" s="1"/>
  <c r="K829" i="45" s="1"/>
  <c r="K934" i="45" s="1"/>
  <c r="K1039" i="45" s="1"/>
  <c r="K1144" i="45" s="1"/>
  <c r="K1249" i="45" s="1"/>
  <c r="K1354" i="45" s="1"/>
  <c r="K623" i="45"/>
  <c r="K728" i="45" s="1"/>
  <c r="K833" i="45" s="1"/>
  <c r="K938" i="45" s="1"/>
  <c r="K1043" i="45" s="1"/>
  <c r="K1148" i="45" s="1"/>
  <c r="K1253" i="45" s="1"/>
  <c r="K1358" i="45" s="1"/>
  <c r="K627" i="45"/>
  <c r="K732" i="45" s="1"/>
  <c r="K837" i="45" s="1"/>
  <c r="K942" i="45" s="1"/>
  <c r="K1047" i="45" s="1"/>
  <c r="K1152" i="45" s="1"/>
  <c r="K1257" i="45" s="1"/>
  <c r="K1362" i="45" s="1"/>
  <c r="K631" i="45"/>
  <c r="K736" i="45" s="1"/>
  <c r="K841" i="45" s="1"/>
  <c r="K946" i="45" s="1"/>
  <c r="K1051" i="45" s="1"/>
  <c r="K1156" i="45" s="1"/>
  <c r="K1261" i="45" s="1"/>
  <c r="K1366" i="45" s="1"/>
  <c r="K635" i="45"/>
  <c r="K740" i="45" s="1"/>
  <c r="K845" i="45" s="1"/>
  <c r="K950" i="45" s="1"/>
  <c r="K1055" i="45" s="1"/>
  <c r="K1160" i="45" s="1"/>
  <c r="K1265" i="45" s="1"/>
  <c r="K1370" i="45" s="1"/>
  <c r="K639" i="45"/>
  <c r="K744" i="45" s="1"/>
  <c r="K849" i="45" s="1"/>
  <c r="K954" i="45" s="1"/>
  <c r="K1059" i="45" s="1"/>
  <c r="K1164" i="45" s="1"/>
  <c r="K1269" i="45" s="1"/>
  <c r="K1374" i="45" s="1"/>
  <c r="K643" i="45"/>
  <c r="K748" i="45" s="1"/>
  <c r="K853" i="45" s="1"/>
  <c r="K958" i="45" s="1"/>
  <c r="K1063" i="45" s="1"/>
  <c r="K1168" i="45" s="1"/>
  <c r="K1273" i="45" s="1"/>
  <c r="K1378" i="45" s="1"/>
  <c r="K647" i="45"/>
  <c r="K752" i="45" s="1"/>
  <c r="K857" i="45" s="1"/>
  <c r="K962" i="45" s="1"/>
  <c r="K1067" i="45" s="1"/>
  <c r="K1172" i="45" s="1"/>
  <c r="K1277" i="45" s="1"/>
  <c r="K1382" i="45" s="1"/>
  <c r="K651" i="45"/>
  <c r="K756" i="45" s="1"/>
  <c r="K861" i="45" s="1"/>
  <c r="K966" i="45" s="1"/>
  <c r="K1071" i="45" s="1"/>
  <c r="K1176" i="45" s="1"/>
  <c r="K1281" i="45" s="1"/>
  <c r="K1386" i="45" s="1"/>
  <c r="K655" i="45"/>
  <c r="K760" i="45" s="1"/>
  <c r="K865" i="45" s="1"/>
  <c r="K970" i="45" s="1"/>
  <c r="K1075" i="45" s="1"/>
  <c r="K1180" i="45" s="1"/>
  <c r="K1285" i="45" s="1"/>
  <c r="K1390" i="45" s="1"/>
  <c r="K659" i="45"/>
  <c r="K764" i="45" s="1"/>
  <c r="K869" i="45" s="1"/>
  <c r="K974" i="45" s="1"/>
  <c r="K1079" i="45" s="1"/>
  <c r="K1184" i="45" s="1"/>
  <c r="K1289" i="45" s="1"/>
  <c r="K1394" i="45" s="1"/>
  <c r="K663" i="45"/>
  <c r="K768" i="45" s="1"/>
  <c r="K873" i="45" s="1"/>
  <c r="K978" i="45" s="1"/>
  <c r="K1083" i="45" s="1"/>
  <c r="K1188" i="45" s="1"/>
  <c r="K1293" i="45" s="1"/>
  <c r="K1398" i="45" s="1"/>
  <c r="K667" i="45"/>
  <c r="K772" i="45" s="1"/>
  <c r="K877" i="45" s="1"/>
  <c r="K982" i="45" s="1"/>
  <c r="K1087" i="45" s="1"/>
  <c r="K1192" i="45" s="1"/>
  <c r="K1297" i="45" s="1"/>
  <c r="K1402" i="45" s="1"/>
  <c r="K671" i="45"/>
  <c r="K776" i="45" s="1"/>
  <c r="K881" i="45" s="1"/>
  <c r="K986" i="45" s="1"/>
  <c r="K1091" i="45" s="1"/>
  <c r="K1196" i="45" s="1"/>
  <c r="K1301" i="45" s="1"/>
  <c r="K1406" i="45" s="1"/>
  <c r="K675" i="45"/>
  <c r="K780" i="45" s="1"/>
  <c r="K885" i="45" s="1"/>
  <c r="K990" i="45" s="1"/>
  <c r="K1095" i="45" s="1"/>
  <c r="K1200" i="45" s="1"/>
  <c r="K1305" i="45" s="1"/>
  <c r="K1410" i="45" s="1"/>
  <c r="K679" i="45"/>
  <c r="K784" i="45" s="1"/>
  <c r="K889" i="45" s="1"/>
  <c r="K994" i="45" s="1"/>
  <c r="K1099" i="45" s="1"/>
  <c r="K1204" i="45" s="1"/>
  <c r="K1309" i="45" s="1"/>
  <c r="K1414" i="45" s="1"/>
  <c r="K683" i="45"/>
  <c r="K788" i="45" s="1"/>
  <c r="K893" i="45" s="1"/>
  <c r="K998" i="45" s="1"/>
  <c r="K1103" i="45" s="1"/>
  <c r="K1208" i="45" s="1"/>
  <c r="K1313" i="45" s="1"/>
  <c r="K1418" i="45" s="1"/>
  <c r="K687" i="45"/>
  <c r="K792" i="45" s="1"/>
  <c r="K897" i="45" s="1"/>
  <c r="K1002" i="45" s="1"/>
  <c r="K1107" i="45" s="1"/>
  <c r="K1212" i="45" s="1"/>
  <c r="K1317" i="45" s="1"/>
  <c r="K1422" i="45" s="1"/>
  <c r="K691" i="45"/>
  <c r="K796" i="45" s="1"/>
  <c r="K901" i="45" s="1"/>
  <c r="K1006" i="45" s="1"/>
  <c r="K1111" i="45" s="1"/>
  <c r="K1216" i="45" s="1"/>
  <c r="K1321" i="45" s="1"/>
  <c r="K1426" i="45" s="1"/>
  <c r="K695" i="45"/>
  <c r="K800" i="45" s="1"/>
  <c r="K905" i="45" s="1"/>
  <c r="K1010" i="45" s="1"/>
  <c r="K1115" i="45" s="1"/>
  <c r="K1220" i="45" s="1"/>
  <c r="K1325" i="45" s="1"/>
  <c r="K1430" i="45" s="1"/>
  <c r="K703" i="45"/>
  <c r="K808" i="45" s="1"/>
  <c r="K913" i="45" s="1"/>
  <c r="K1018" i="45" s="1"/>
  <c r="K1123" i="45" s="1"/>
  <c r="K1228" i="45" s="1"/>
  <c r="K1333" i="45" s="1"/>
  <c r="K1438" i="45" s="1"/>
  <c r="K625" i="45"/>
  <c r="K730" i="45" s="1"/>
  <c r="K835" i="45" s="1"/>
  <c r="K940" i="45" s="1"/>
  <c r="K1045" i="45" s="1"/>
  <c r="K1150" i="45" s="1"/>
  <c r="K1255" i="45" s="1"/>
  <c r="K1360" i="45" s="1"/>
  <c r="K641" i="45"/>
  <c r="K746" i="45" s="1"/>
  <c r="K851" i="45" s="1"/>
  <c r="K956" i="45" s="1"/>
  <c r="K1061" i="45" s="1"/>
  <c r="K1166" i="45" s="1"/>
  <c r="K1271" i="45" s="1"/>
  <c r="K1376" i="45" s="1"/>
  <c r="K614" i="45"/>
  <c r="K719" i="45" s="1"/>
  <c r="K824" i="45" s="1"/>
  <c r="K929" i="45" s="1"/>
  <c r="K1034" i="45" s="1"/>
  <c r="K1139" i="45" s="1"/>
  <c r="K1244" i="45" s="1"/>
  <c r="K1349" i="45" s="1"/>
  <c r="K646" i="45"/>
  <c r="K751" i="45" s="1"/>
  <c r="K856" i="45" s="1"/>
  <c r="K961" i="45" s="1"/>
  <c r="K1066" i="45" s="1"/>
  <c r="K1171" i="45" s="1"/>
  <c r="K1276" i="45" s="1"/>
  <c r="K1381" i="45" s="1"/>
  <c r="K678" i="45"/>
  <c r="K783" i="45" s="1"/>
  <c r="K888" i="45" s="1"/>
  <c r="K993" i="45" s="1"/>
  <c r="K1098" i="45" s="1"/>
  <c r="K1203" i="45" s="1"/>
  <c r="K1308" i="45" s="1"/>
  <c r="K1413" i="45" s="1"/>
  <c r="K637" i="45"/>
  <c r="K742" i="45" s="1"/>
  <c r="K847" i="45" s="1"/>
  <c r="K952" i="45" s="1"/>
  <c r="K1057" i="45" s="1"/>
  <c r="K1162" i="45" s="1"/>
  <c r="K1267" i="45" s="1"/>
  <c r="K1372" i="45" s="1"/>
  <c r="K645" i="45"/>
  <c r="K750" i="45" s="1"/>
  <c r="K855" i="45" s="1"/>
  <c r="K960" i="45" s="1"/>
  <c r="K1065" i="45" s="1"/>
  <c r="K1170" i="45" s="1"/>
  <c r="K1275" i="45" s="1"/>
  <c r="K1380" i="45" s="1"/>
  <c r="K653" i="45"/>
  <c r="K758" i="45" s="1"/>
  <c r="K863" i="45" s="1"/>
  <c r="K968" i="45" s="1"/>
  <c r="K1073" i="45" s="1"/>
  <c r="K1178" i="45" s="1"/>
  <c r="K1283" i="45" s="1"/>
  <c r="K1388" i="45" s="1"/>
  <c r="K661" i="45"/>
  <c r="K766" i="45" s="1"/>
  <c r="K871" i="45" s="1"/>
  <c r="K976" i="45" s="1"/>
  <c r="K1081" i="45" s="1"/>
  <c r="K1186" i="45" s="1"/>
  <c r="K1291" i="45" s="1"/>
  <c r="K1396" i="45" s="1"/>
  <c r="K669" i="45"/>
  <c r="K774" i="45" s="1"/>
  <c r="K879" i="45" s="1"/>
  <c r="K984" i="45" s="1"/>
  <c r="K1089" i="45" s="1"/>
  <c r="K1194" i="45" s="1"/>
  <c r="K1299" i="45" s="1"/>
  <c r="K1404" i="45" s="1"/>
  <c r="K677" i="45"/>
  <c r="K782" i="45" s="1"/>
  <c r="K887" i="45" s="1"/>
  <c r="K992" i="45" s="1"/>
  <c r="K1097" i="45" s="1"/>
  <c r="K1202" i="45" s="1"/>
  <c r="K1307" i="45" s="1"/>
  <c r="K1412" i="45" s="1"/>
  <c r="K685" i="45"/>
  <c r="K790" i="45" s="1"/>
  <c r="K895" i="45" s="1"/>
  <c r="K1000" i="45" s="1"/>
  <c r="K1105" i="45" s="1"/>
  <c r="K1210" i="45" s="1"/>
  <c r="K1315" i="45" s="1"/>
  <c r="K1420" i="45" s="1"/>
  <c r="K693" i="45"/>
  <c r="K798" i="45" s="1"/>
  <c r="K903" i="45" s="1"/>
  <c r="K1008" i="45" s="1"/>
  <c r="K1113" i="45" s="1"/>
  <c r="K1218" i="45" s="1"/>
  <c r="K1323" i="45" s="1"/>
  <c r="K1428" i="45" s="1"/>
  <c r="K701" i="45"/>
  <c r="K806" i="45" s="1"/>
  <c r="K911" i="45" s="1"/>
  <c r="K1016" i="45" s="1"/>
  <c r="K1121" i="45" s="1"/>
  <c r="K1226" i="45" s="1"/>
  <c r="K1331" i="45" s="1"/>
  <c r="K1436" i="45" s="1"/>
  <c r="K613" i="45"/>
  <c r="K718" i="45" s="1"/>
  <c r="K823" i="45" s="1"/>
  <c r="K928" i="45" s="1"/>
  <c r="K1033" i="45" s="1"/>
  <c r="K1138" i="45" s="1"/>
  <c r="K1243" i="45" s="1"/>
  <c r="K1348" i="45" s="1"/>
  <c r="K621" i="45"/>
  <c r="K726" i="45" s="1"/>
  <c r="K831" i="45" s="1"/>
  <c r="K936" i="45" s="1"/>
  <c r="K1041" i="45" s="1"/>
  <c r="K1146" i="45" s="1"/>
  <c r="K1251" i="45" s="1"/>
  <c r="K1356" i="45" s="1"/>
  <c r="K629" i="45"/>
  <c r="K734" i="45" s="1"/>
  <c r="K839" i="45" s="1"/>
  <c r="K944" i="45" s="1"/>
  <c r="K1049" i="45" s="1"/>
  <c r="K1154" i="45" s="1"/>
  <c r="K1259" i="45" s="1"/>
  <c r="K1364" i="45" s="1"/>
  <c r="K689" i="45"/>
  <c r="K794" i="45" s="1"/>
  <c r="K899" i="45" s="1"/>
  <c r="K1004" i="45" s="1"/>
  <c r="K1109" i="45" s="1"/>
  <c r="K1214" i="45" s="1"/>
  <c r="K1319" i="45" s="1"/>
  <c r="K1424" i="45" s="1"/>
  <c r="K630" i="45"/>
  <c r="K735" i="45" s="1"/>
  <c r="K840" i="45" s="1"/>
  <c r="K945" i="45" s="1"/>
  <c r="K1050" i="45" s="1"/>
  <c r="K1155" i="45" s="1"/>
  <c r="K1260" i="45" s="1"/>
  <c r="K1365" i="45" s="1"/>
  <c r="K662" i="45"/>
  <c r="K767" i="45" s="1"/>
  <c r="K872" i="45" s="1"/>
  <c r="K977" i="45" s="1"/>
  <c r="K1082" i="45" s="1"/>
  <c r="K1187" i="45" s="1"/>
  <c r="K1292" i="45" s="1"/>
  <c r="K1397" i="45" s="1"/>
  <c r="K694" i="45"/>
  <c r="K799" i="45" s="1"/>
  <c r="K904" i="45" s="1"/>
  <c r="K1009" i="45" s="1"/>
  <c r="K1114" i="45" s="1"/>
  <c r="K1219" i="45" s="1"/>
  <c r="K1324" i="45" s="1"/>
  <c r="K1429" i="45" s="1"/>
  <c r="K610" i="45"/>
  <c r="K715" i="45" s="1"/>
  <c r="K820" i="45" s="1"/>
  <c r="K925" i="45" s="1"/>
  <c r="K1030" i="45" s="1"/>
  <c r="K1135" i="45" s="1"/>
  <c r="K1240" i="45" s="1"/>
  <c r="K1345" i="45" s="1"/>
  <c r="K618" i="45"/>
  <c r="K723" i="45" s="1"/>
  <c r="K828" i="45" s="1"/>
  <c r="K933" i="45" s="1"/>
  <c r="K1038" i="45" s="1"/>
  <c r="K1143" i="45" s="1"/>
  <c r="K1248" i="45" s="1"/>
  <c r="K1353" i="45" s="1"/>
  <c r="K626" i="45"/>
  <c r="K731" i="45" s="1"/>
  <c r="K836" i="45" s="1"/>
  <c r="K941" i="45" s="1"/>
  <c r="K1046" i="45" s="1"/>
  <c r="K1151" i="45" s="1"/>
  <c r="K1256" i="45" s="1"/>
  <c r="K1361" i="45" s="1"/>
  <c r="K844" i="45"/>
  <c r="K949" i="45" s="1"/>
  <c r="K1054" i="45" s="1"/>
  <c r="K1159" i="45" s="1"/>
  <c r="K1264" i="45" s="1"/>
  <c r="K1369" i="45" s="1"/>
  <c r="K860" i="45"/>
  <c r="K965" i="45" s="1"/>
  <c r="K1070" i="45" s="1"/>
  <c r="K1175" i="45" s="1"/>
  <c r="K1280" i="45" s="1"/>
  <c r="K1385" i="45" s="1"/>
  <c r="K658" i="45"/>
  <c r="K763" i="45" s="1"/>
  <c r="K868" i="45" s="1"/>
  <c r="K973" i="45" s="1"/>
  <c r="K1078" i="45" s="1"/>
  <c r="K1183" i="45" s="1"/>
  <c r="K1288" i="45" s="1"/>
  <c r="K1393" i="45" s="1"/>
  <c r="K666" i="45"/>
  <c r="K771" i="45" s="1"/>
  <c r="K876" i="45" s="1"/>
  <c r="K981" i="45" s="1"/>
  <c r="K1086" i="45" s="1"/>
  <c r="K1191" i="45" s="1"/>
  <c r="K1296" i="45" s="1"/>
  <c r="K1401" i="45" s="1"/>
  <c r="K674" i="45"/>
  <c r="K779" i="45" s="1"/>
  <c r="K884" i="45" s="1"/>
  <c r="K989" i="45" s="1"/>
  <c r="K1094" i="45" s="1"/>
  <c r="K1199" i="45" s="1"/>
  <c r="K1304" i="45" s="1"/>
  <c r="K1409" i="45" s="1"/>
  <c r="K682" i="45"/>
  <c r="K787" i="45" s="1"/>
  <c r="K892" i="45" s="1"/>
  <c r="K997" i="45" s="1"/>
  <c r="K1102" i="45" s="1"/>
  <c r="K1207" i="45" s="1"/>
  <c r="K1312" i="45" s="1"/>
  <c r="K1417" i="45" s="1"/>
  <c r="K690" i="45"/>
  <c r="K795" i="45" s="1"/>
  <c r="K900" i="45" s="1"/>
  <c r="K1005" i="45" s="1"/>
  <c r="K1110" i="45" s="1"/>
  <c r="K1215" i="45" s="1"/>
  <c r="K1320" i="45" s="1"/>
  <c r="K1425" i="45" s="1"/>
  <c r="K698" i="45"/>
  <c r="K803" i="45" s="1"/>
  <c r="K908" i="45" s="1"/>
  <c r="K1013" i="45" s="1"/>
  <c r="K1118" i="45" s="1"/>
  <c r="K1223" i="45" s="1"/>
  <c r="K1328" i="45" s="1"/>
  <c r="K1433" i="45" s="1"/>
  <c r="K642" i="45"/>
  <c r="K747" i="45" s="1"/>
  <c r="K852" i="45" s="1"/>
  <c r="K957" i="45" s="1"/>
  <c r="K1062" i="45" s="1"/>
  <c r="K1167" i="45" s="1"/>
  <c r="K1272" i="45" s="1"/>
  <c r="K1377" i="45" s="1"/>
  <c r="K706" i="45"/>
  <c r="K811" i="45" s="1"/>
  <c r="K916" i="45" s="1"/>
  <c r="K1021" i="45" s="1"/>
  <c r="K1126" i="45" s="1"/>
  <c r="K1231" i="45" s="1"/>
  <c r="K1336" i="45" s="1"/>
  <c r="K1441" i="45" s="1"/>
  <c r="CN57" i="44" l="1" a="1"/>
  <c r="CN57" i="44" s="1"/>
  <c r="CN56" i="44" a="1"/>
  <c r="CN56" i="44" s="1"/>
  <c r="CN55" i="44" a="1"/>
  <c r="CN55" i="44" s="1"/>
  <c r="CN54" i="44" a="1"/>
  <c r="CN54" i="44" s="1"/>
  <c r="CN53" i="44" a="1"/>
  <c r="CN53" i="44" s="1"/>
  <c r="CN52" i="44" a="1"/>
  <c r="CN52" i="44" s="1"/>
  <c r="CN51" i="44" a="1"/>
  <c r="CN51" i="44" s="1"/>
  <c r="CN50" i="44" a="1"/>
  <c r="CN50" i="44" s="1"/>
  <c r="CN49" i="44" a="1"/>
  <c r="CN49" i="44" s="1"/>
  <c r="CN48" i="44" a="1"/>
  <c r="CN48" i="44" s="1"/>
  <c r="CN47" i="44" a="1"/>
  <c r="CN47" i="44" s="1"/>
  <c r="CN46" i="44" a="1"/>
  <c r="CN46" i="44" s="1"/>
  <c r="CN45" i="44" a="1"/>
  <c r="CN45" i="44" s="1"/>
  <c r="CN44" i="44" a="1"/>
  <c r="CN44" i="44" s="1"/>
  <c r="CN43" i="44" a="1"/>
  <c r="CN43" i="44" s="1"/>
  <c r="CN42" i="44" a="1"/>
  <c r="CN42" i="44" s="1"/>
  <c r="CN41" i="44" a="1"/>
  <c r="CN41" i="44" s="1"/>
  <c r="CN40" i="44" a="1"/>
  <c r="CN40" i="44" s="1"/>
  <c r="CN39" i="44" a="1"/>
  <c r="CN39" i="44" s="1"/>
  <c r="CN38" i="44" a="1"/>
  <c r="CN38" i="44" s="1"/>
  <c r="CN37" i="44" a="1"/>
  <c r="CN37" i="44" s="1"/>
  <c r="CN36" i="44" a="1"/>
  <c r="CN36" i="44" s="1"/>
  <c r="CN35" i="44" a="1"/>
  <c r="CN35" i="44" s="1"/>
  <c r="CN34" i="44" a="1"/>
  <c r="CN34" i="44" s="1"/>
  <c r="CN28" i="44" a="1"/>
  <c r="CN28" i="44" s="1"/>
  <c r="CN24" i="44" a="1"/>
  <c r="CN24" i="44" s="1"/>
  <c r="CN23" i="44" a="1"/>
  <c r="CN23" i="44" s="1"/>
  <c r="CN18" i="44" a="1"/>
  <c r="CN18" i="44" s="1"/>
  <c r="CN17" i="44" a="1"/>
  <c r="CN17" i="44" s="1"/>
  <c r="CN16" i="44" a="1"/>
  <c r="CN16" i="44" s="1"/>
  <c r="CN12" i="44" a="1"/>
  <c r="CN12" i="44" s="1"/>
  <c r="H12" i="38" l="1"/>
  <c r="G12" i="38" s="1"/>
  <c r="F12" i="38" s="1"/>
  <c r="E12" i="38" s="1"/>
  <c r="D12" i="38" s="1"/>
  <c r="C12" i="38" s="1"/>
  <c r="Q12" i="38"/>
  <c r="P12" i="38" s="1"/>
  <c r="O12" i="38" s="1"/>
  <c r="N12" i="38" s="1"/>
  <c r="K20" i="50" l="1"/>
  <c r="F13" i="50"/>
  <c r="D14" i="50"/>
  <c r="L14" i="50"/>
  <c r="J15" i="50"/>
  <c r="H16" i="50"/>
  <c r="F17" i="50"/>
  <c r="D19" i="50"/>
  <c r="L19" i="50"/>
  <c r="C13" i="50"/>
  <c r="K13" i="50"/>
  <c r="I14" i="50"/>
  <c r="G15" i="50"/>
  <c r="E16" i="50"/>
  <c r="C17" i="50"/>
  <c r="K17" i="50"/>
  <c r="I19" i="50"/>
  <c r="G20" i="50"/>
  <c r="L23" i="50"/>
  <c r="H23" i="50"/>
  <c r="D23" i="50"/>
  <c r="J23" i="50"/>
  <c r="I23" i="50"/>
  <c r="K23" i="50"/>
  <c r="G23" i="50"/>
  <c r="C23" i="50"/>
  <c r="F23" i="50"/>
  <c r="E23" i="50"/>
  <c r="E13" i="50"/>
  <c r="I13" i="50"/>
  <c r="C14" i="50"/>
  <c r="G14" i="50"/>
  <c r="K14" i="50"/>
  <c r="E15" i="50"/>
  <c r="I15" i="50"/>
  <c r="C16" i="50"/>
  <c r="G16" i="50"/>
  <c r="K16" i="50"/>
  <c r="E17" i="50"/>
  <c r="I17" i="50"/>
  <c r="C19" i="50"/>
  <c r="G19" i="50"/>
  <c r="K19" i="50"/>
  <c r="E20" i="50"/>
  <c r="I20" i="50"/>
  <c r="J13" i="50"/>
  <c r="H14" i="50"/>
  <c r="F15" i="50"/>
  <c r="D16" i="50"/>
  <c r="L16" i="50"/>
  <c r="J17" i="50"/>
  <c r="H19" i="50"/>
  <c r="F20" i="50"/>
  <c r="J20" i="50"/>
  <c r="G13" i="50"/>
  <c r="E14" i="50"/>
  <c r="C15" i="50"/>
  <c r="K15" i="50"/>
  <c r="I16" i="50"/>
  <c r="G17" i="50"/>
  <c r="E19" i="50"/>
  <c r="C20" i="50"/>
  <c r="D13" i="50"/>
  <c r="H13" i="50"/>
  <c r="L13" i="50"/>
  <c r="F14" i="50"/>
  <c r="J14" i="50"/>
  <c r="D15" i="50"/>
  <c r="H15" i="50"/>
  <c r="L15" i="50"/>
  <c r="F16" i="50"/>
  <c r="J16" i="50"/>
  <c r="D17" i="50"/>
  <c r="H17" i="50"/>
  <c r="L17" i="50"/>
  <c r="F19" i="50"/>
  <c r="J19" i="50"/>
  <c r="D20" i="50"/>
  <c r="H20" i="50"/>
  <c r="L20" i="50"/>
  <c r="AC16" i="50"/>
  <c r="S15" i="50"/>
  <c r="O13" i="50"/>
  <c r="U16" i="50"/>
  <c r="Q14" i="50"/>
  <c r="AK17" i="50"/>
  <c r="AG14" i="50"/>
  <c r="AA15" i="50"/>
  <c r="M16" i="50"/>
  <c r="AI15" i="50"/>
  <c r="U17" i="50"/>
  <c r="Q19" i="50"/>
  <c r="W13" i="50"/>
  <c r="AC17" i="50"/>
  <c r="AE13" i="50"/>
  <c r="Y14" i="50"/>
  <c r="Q13" i="50"/>
  <c r="Y13" i="50"/>
  <c r="AG13" i="50"/>
  <c r="S14" i="50"/>
  <c r="AA14" i="50"/>
  <c r="AI14" i="50"/>
  <c r="M15" i="50"/>
  <c r="U15" i="50"/>
  <c r="AC15" i="50"/>
  <c r="AK15" i="50"/>
  <c r="O16" i="50"/>
  <c r="W16" i="50"/>
  <c r="AE16" i="50"/>
  <c r="Y17" i="50"/>
  <c r="U19" i="50"/>
  <c r="S13" i="50"/>
  <c r="AA13" i="50"/>
  <c r="AI13" i="50"/>
  <c r="M14" i="50"/>
  <c r="U14" i="50"/>
  <c r="AC14" i="50"/>
  <c r="AK14" i="50"/>
  <c r="O15" i="50"/>
  <c r="W15" i="50"/>
  <c r="AE15" i="50"/>
  <c r="Q16" i="50"/>
  <c r="Y16" i="50"/>
  <c r="AG16" i="50"/>
  <c r="M17" i="50"/>
  <c r="R13" i="50"/>
  <c r="N13" i="50"/>
  <c r="AK20" i="50"/>
  <c r="AG20" i="50"/>
  <c r="AC20" i="50"/>
  <c r="Y20" i="50"/>
  <c r="U20" i="50"/>
  <c r="Q20" i="50"/>
  <c r="M20" i="50"/>
  <c r="AK19" i="50"/>
  <c r="AG19" i="50"/>
  <c r="AC19" i="50"/>
  <c r="Y19" i="50"/>
  <c r="AI20" i="50"/>
  <c r="AE20" i="50"/>
  <c r="AA20" i="50"/>
  <c r="W20" i="50"/>
  <c r="S20" i="50"/>
  <c r="O20" i="50"/>
  <c r="AI19" i="50"/>
  <c r="AE19" i="50"/>
  <c r="AA19" i="50"/>
  <c r="W19" i="50"/>
  <c r="S19" i="50"/>
  <c r="O19" i="50"/>
  <c r="AI17" i="50"/>
  <c r="AE17" i="50"/>
  <c r="AA17" i="50"/>
  <c r="W17" i="50"/>
  <c r="S17" i="50"/>
  <c r="O17" i="50"/>
  <c r="AI16" i="50"/>
  <c r="M13" i="50"/>
  <c r="U13" i="50"/>
  <c r="AC13" i="50"/>
  <c r="AK13" i="50"/>
  <c r="O14" i="50"/>
  <c r="W14" i="50"/>
  <c r="AE14" i="50"/>
  <c r="Q15" i="50"/>
  <c r="Y15" i="50"/>
  <c r="AG15" i="50"/>
  <c r="S16" i="50"/>
  <c r="AA16" i="50"/>
  <c r="AK16" i="50"/>
  <c r="Q17" i="50"/>
  <c r="AG17" i="50"/>
  <c r="M19" i="50"/>
  <c r="AL23" i="50"/>
  <c r="AH23" i="50"/>
  <c r="AD23" i="50"/>
  <c r="Z23" i="50"/>
  <c r="V23" i="50"/>
  <c r="R23" i="50"/>
  <c r="N23" i="50"/>
  <c r="AK23" i="50"/>
  <c r="AG23" i="50"/>
  <c r="AC23" i="50"/>
  <c r="Y23" i="50"/>
  <c r="U23" i="50"/>
  <c r="Q23" i="50"/>
  <c r="M23" i="50"/>
  <c r="AJ23" i="50"/>
  <c r="AF23" i="50"/>
  <c r="AB23" i="50"/>
  <c r="X23" i="50"/>
  <c r="T23" i="50"/>
  <c r="P23" i="50"/>
  <c r="AI23" i="50"/>
  <c r="AE23" i="50"/>
  <c r="AA23" i="50"/>
  <c r="W23" i="50"/>
  <c r="S23" i="50"/>
  <c r="O23" i="50"/>
  <c r="P13" i="50"/>
  <c r="T13" i="50"/>
  <c r="X13" i="50"/>
  <c r="AB13" i="50"/>
  <c r="AF13" i="50"/>
  <c r="AJ13" i="50"/>
  <c r="P14" i="50"/>
  <c r="T14" i="50"/>
  <c r="X14" i="50"/>
  <c r="AB14" i="50"/>
  <c r="AF14" i="50"/>
  <c r="AJ14" i="50"/>
  <c r="P15" i="50"/>
  <c r="T15" i="50"/>
  <c r="X15" i="50"/>
  <c r="AB15" i="50"/>
  <c r="AF15" i="50"/>
  <c r="AJ15" i="50"/>
  <c r="P16" i="50"/>
  <c r="T16" i="50"/>
  <c r="X16" i="50"/>
  <c r="AB16" i="50"/>
  <c r="AF16" i="50"/>
  <c r="AJ16" i="50"/>
  <c r="P17" i="50"/>
  <c r="T17" i="50"/>
  <c r="X17" i="50"/>
  <c r="AB17" i="50"/>
  <c r="AF17" i="50"/>
  <c r="AJ17" i="50"/>
  <c r="P19" i="50"/>
  <c r="T19" i="50"/>
  <c r="X19" i="50"/>
  <c r="AB19" i="50"/>
  <c r="AF19" i="50"/>
  <c r="AJ19" i="50"/>
  <c r="P20" i="50"/>
  <c r="T20" i="50"/>
  <c r="X20" i="50"/>
  <c r="AB20" i="50"/>
  <c r="AF20" i="50"/>
  <c r="AJ20" i="50"/>
  <c r="V13" i="50"/>
  <c r="Z13" i="50"/>
  <c r="AD13" i="50"/>
  <c r="AH13" i="50"/>
  <c r="AL13" i="50"/>
  <c r="N14" i="50"/>
  <c r="R14" i="50"/>
  <c r="V14" i="50"/>
  <c r="Z14" i="50"/>
  <c r="AD14" i="50"/>
  <c r="AH14" i="50"/>
  <c r="AL14" i="50"/>
  <c r="N15" i="50"/>
  <c r="R15" i="50"/>
  <c r="V15" i="50"/>
  <c r="Z15" i="50"/>
  <c r="AD15" i="50"/>
  <c r="AH15" i="50"/>
  <c r="AL15" i="50"/>
  <c r="N16" i="50"/>
  <c r="R16" i="50"/>
  <c r="V16" i="50"/>
  <c r="Z16" i="50"/>
  <c r="AD16" i="50"/>
  <c r="AH16" i="50"/>
  <c r="AL16" i="50"/>
  <c r="N17" i="50"/>
  <c r="R17" i="50"/>
  <c r="V17" i="50"/>
  <c r="Z17" i="50"/>
  <c r="AD17" i="50"/>
  <c r="AH17" i="50"/>
  <c r="AL17" i="50"/>
  <c r="N19" i="50"/>
  <c r="R19" i="50"/>
  <c r="V19" i="50"/>
  <c r="Z19" i="50"/>
  <c r="AD19" i="50"/>
  <c r="AH19" i="50"/>
  <c r="AL19" i="50"/>
  <c r="N20" i="50"/>
  <c r="R20" i="50"/>
  <c r="V20" i="50"/>
  <c r="Z20" i="50"/>
  <c r="AD20" i="50"/>
  <c r="AH20" i="50"/>
  <c r="AL20" i="50"/>
  <c r="CA53" i="44" a="1"/>
  <c r="CA18" i="44" a="1"/>
  <c r="BC18" i="44" a="1"/>
  <c r="BM12" i="44" a="1"/>
  <c r="BS28" i="44" a="1"/>
  <c r="BF12" i="44" a="1"/>
  <c r="BE51" i="44" a="1"/>
  <c r="BR23" i="44" a="1"/>
  <c r="CF53" i="44" a="1"/>
  <c r="BY35" i="44" a="1"/>
  <c r="BB41" i="44" a="1"/>
  <c r="BY53" i="44" a="1"/>
  <c r="CK17" i="44" a="1"/>
  <c r="BB35" i="44" a="1"/>
  <c r="BW16" i="44" a="1"/>
  <c r="BT42" i="44" a="1"/>
  <c r="BK48" i="44" a="1"/>
  <c r="BZ28" i="44" a="1"/>
  <c r="BL24" i="44" a="1"/>
  <c r="BF36" i="44" a="1"/>
  <c r="BH52" i="44" a="1"/>
  <c r="BK40" i="44" a="1"/>
  <c r="BY37" i="44" a="1"/>
  <c r="BN23" i="44" a="1"/>
  <c r="CE46" i="44" a="1"/>
  <c r="BM52" i="44" a="1"/>
  <c r="CE55" i="44" a="1"/>
  <c r="BN44" i="44" a="1"/>
  <c r="CD23" i="44" a="1"/>
  <c r="BR18" i="44" a="1"/>
  <c r="BX17" i="44" a="1"/>
  <c r="BV34" i="44" a="1"/>
  <c r="BO52" i="44" a="1"/>
  <c r="BG17" i="44" a="1"/>
  <c r="BX36" i="44" a="1"/>
  <c r="BG38" i="44" a="1"/>
  <c r="CI23" i="44" a="1"/>
  <c r="BX16" i="44" a="1"/>
  <c r="BS43" i="44" a="1"/>
  <c r="CD55" i="44" a="1"/>
  <c r="BX39" i="44" a="1"/>
  <c r="BS12" i="44" a="1"/>
  <c r="BE42" i="44" a="1"/>
  <c r="BC42" i="44" a="1"/>
  <c r="CJ51" i="44" a="1"/>
  <c r="BN28" i="44" a="1"/>
  <c r="BD47" i="44" a="1"/>
  <c r="CD42" i="44" a="1"/>
  <c r="BB16" i="44" a="1"/>
  <c r="BL35" i="44" a="1"/>
  <c r="CH52" i="44" a="1"/>
  <c r="CA44" i="44" a="1"/>
  <c r="BG40" i="44" a="1"/>
  <c r="BH57" i="44" a="1"/>
  <c r="CE50" i="44" a="1"/>
  <c r="CC17" i="44" a="1"/>
  <c r="BW36" i="44" a="1"/>
  <c r="CF46" i="44" a="1"/>
  <c r="BQ56" i="44" a="1"/>
  <c r="CA23" i="44" a="1"/>
  <c r="BP51" i="44" a="1"/>
  <c r="CF45" i="44" a="1"/>
  <c r="BM45" i="44" a="1"/>
  <c r="CH53" i="44" a="1"/>
  <c r="BG50" i="44" a="1"/>
  <c r="CI56" i="44" a="1"/>
  <c r="CB34" i="44" a="1"/>
  <c r="CD28" i="44" a="1"/>
  <c r="CC51" i="44" a="1"/>
  <c r="BI42" i="44" a="1"/>
  <c r="BP50" i="44" a="1"/>
  <c r="BB45" i="44" a="1"/>
  <c r="BB39" i="44" a="1"/>
  <c r="CB24" i="44" a="1"/>
  <c r="BN46" i="44" a="1"/>
  <c r="BR55" i="44" a="1"/>
  <c r="BU37" i="44" a="1"/>
  <c r="BD50" i="44" a="1"/>
  <c r="BE50" i="44" a="1"/>
  <c r="BU24" i="44" a="1"/>
  <c r="BF38" i="44" a="1"/>
  <c r="BG46" i="44" a="1"/>
  <c r="CA35" i="44" a="1"/>
  <c r="BM47" i="44" a="1"/>
  <c r="BE23" i="44" a="1"/>
  <c r="BP57" i="44" a="1"/>
  <c r="BY16" i="44" a="1"/>
  <c r="BX38" i="44" a="1"/>
  <c r="BQ17" i="44" a="1"/>
  <c r="BY48" i="44" a="1"/>
  <c r="BQ47" i="44" a="1"/>
  <c r="BS17" i="44" a="1"/>
  <c r="BH17" i="44" a="1"/>
  <c r="BJ35" i="44" a="1"/>
  <c r="CE40" i="44" a="1"/>
  <c r="BE36" i="44" a="1"/>
  <c r="BN37" i="44" a="1"/>
  <c r="BG37" i="44" a="1"/>
  <c r="BU48" i="44" a="1"/>
  <c r="BQ28" i="44" a="1"/>
  <c r="CJ56" i="44" a="1"/>
  <c r="CE24" i="44" a="1"/>
  <c r="CE51" i="44" a="1"/>
  <c r="BG35" i="44" a="1"/>
  <c r="BT54" i="44" a="1"/>
  <c r="CC54" i="44" a="1"/>
  <c r="CA41" i="44" a="1"/>
  <c r="BS51" i="44" a="1"/>
  <c r="BP16" i="44" a="1"/>
  <c r="BH45" i="44" a="1"/>
  <c r="CF40" i="44" a="1"/>
  <c r="CD16" i="44" a="1"/>
  <c r="BO46" i="44" a="1"/>
  <c r="BO53" i="44" a="1"/>
  <c r="BZ48" i="44" a="1"/>
  <c r="CI45" i="44" a="1"/>
  <c r="CD43" i="44" a="1"/>
  <c r="CB16" i="44" a="1"/>
  <c r="BY12" i="44" a="1"/>
  <c r="BT40" i="44" a="1"/>
  <c r="CK53" i="44" a="1"/>
  <c r="CD36" i="44" a="1"/>
  <c r="BJ49" i="44" a="1"/>
  <c r="BL55" i="44" a="1"/>
  <c r="CJ44" i="44" a="1"/>
  <c r="CK40" i="44" a="1"/>
  <c r="CH36" i="44" a="1"/>
  <c r="BO40" i="44" a="1"/>
  <c r="BO24" i="44" a="1"/>
  <c r="BI51" i="44" a="1"/>
  <c r="BJ52" i="44" a="1"/>
  <c r="BS54" i="44" a="1"/>
  <c r="BO57" i="44" a="1"/>
  <c r="BG54" i="44" a="1"/>
  <c r="BR37" i="44" a="1"/>
  <c r="BF43" i="44" a="1"/>
  <c r="CG16" i="44" a="1"/>
  <c r="CH47" i="44" a="1"/>
  <c r="BY54" i="44" a="1"/>
  <c r="BE54" i="44" a="1"/>
  <c r="BU28" i="44" a="1"/>
  <c r="BP43" i="44" a="1"/>
  <c r="BJ28" i="44" a="1"/>
  <c r="BF55" i="44" a="1"/>
  <c r="BD16" i="44" a="1"/>
  <c r="BC51" i="44" a="1"/>
  <c r="CB41" i="44" a="1"/>
  <c r="BL54" i="44" a="1"/>
  <c r="BP45" i="44" a="1"/>
  <c r="BD12" i="44" a="1"/>
  <c r="BH36" i="44" a="1"/>
  <c r="BK12" i="44" a="1"/>
  <c r="BY50" i="44" a="1"/>
  <c r="BB53" i="44" a="1"/>
  <c r="BB46" i="44" a="1"/>
  <c r="BU49" i="44" a="1"/>
  <c r="BU18" i="44" a="1"/>
  <c r="BU35" i="44" a="1"/>
  <c r="BZ16" i="44" a="1"/>
  <c r="BY49" i="44" a="1"/>
  <c r="BL41" i="44" a="1"/>
  <c r="BS18" i="44" a="1"/>
  <c r="BH37" i="44" a="1"/>
  <c r="BH47" i="44" a="1"/>
  <c r="BN57" i="44" a="1"/>
  <c r="BG18" i="44" a="1"/>
  <c r="BW40" i="44" a="1"/>
  <c r="BX43" i="44" a="1"/>
  <c r="CB17" i="44" a="1"/>
  <c r="BP12" i="44" a="1"/>
  <c r="BZ57" i="44" a="1"/>
  <c r="BV37" i="44" a="1"/>
  <c r="CK51" i="44" a="1"/>
  <c r="CH24" i="44" a="1"/>
  <c r="CJ37" i="44" a="1"/>
  <c r="BV53" i="44" a="1"/>
  <c r="BZ51" i="44" a="1"/>
  <c r="CC35" i="44" a="1"/>
  <c r="CH38" i="44" a="1"/>
  <c r="BD49" i="44" a="1"/>
  <c r="BD35" i="44" a="1"/>
  <c r="BO38" i="44" a="1"/>
  <c r="BP24" i="44" a="1"/>
  <c r="CC56" i="44" a="1"/>
  <c r="CB44" i="44" a="1"/>
  <c r="BX44" i="44" a="1"/>
  <c r="CH50" i="44" a="1"/>
  <c r="BC38" i="44" a="1"/>
  <c r="BZ38" i="44" a="1"/>
  <c r="BW57" i="44" a="1"/>
  <c r="CC36" i="44" a="1"/>
  <c r="CF24" i="44" a="1"/>
  <c r="CD18" i="44" a="1"/>
  <c r="BI24" i="44" a="1"/>
  <c r="BX28" i="44" a="1"/>
  <c r="CE52" i="44" a="1"/>
  <c r="CB56" i="44" a="1"/>
  <c r="BT51" i="44" a="1"/>
  <c r="CJ49" i="44" a="1"/>
  <c r="BE52" i="44" a="1"/>
  <c r="BP44" i="44" a="1"/>
  <c r="BD56" i="44" a="1"/>
  <c r="BM17" i="44" a="1"/>
  <c r="CH46" i="44" a="1"/>
  <c r="BG42" i="44" a="1"/>
  <c r="BY39" i="44" a="1"/>
  <c r="CG42" i="44" a="1"/>
  <c r="BI47" i="44" a="1"/>
  <c r="BO39" i="44" a="1"/>
  <c r="BN18" i="44" a="1"/>
  <c r="BE44" i="44" a="1"/>
  <c r="BW17" i="44" a="1"/>
  <c r="BR49" i="44" a="1"/>
  <c r="BJ44" i="44" a="1"/>
  <c r="BX54" i="44" a="1"/>
  <c r="BY18" i="44" a="1"/>
  <c r="CJ24" i="44" a="1"/>
  <c r="BC39" i="44" a="1"/>
  <c r="CF54" i="44" a="1"/>
  <c r="BR24" i="44" a="1"/>
  <c r="BI54" i="44" a="1"/>
  <c r="CE39" i="44" a="1"/>
  <c r="BH49" i="44" a="1"/>
  <c r="CJ39" i="44" a="1"/>
  <c r="BQ51" i="44" a="1"/>
  <c r="CI36" i="44" a="1"/>
  <c r="CH45" i="44" a="1"/>
  <c r="BC49" i="44" a="1"/>
  <c r="BL16" i="44" a="1"/>
  <c r="BQ48" i="44" a="1"/>
  <c r="BK54" i="44" a="1"/>
  <c r="BK39" i="44" a="1"/>
  <c r="BD53" i="44" a="1"/>
  <c r="BR43" i="44" a="1"/>
  <c r="BV36" i="44" a="1"/>
  <c r="BI53" i="44" a="1"/>
  <c r="CA17" i="44" a="1"/>
  <c r="BW44" i="44" a="1"/>
  <c r="BQ16" i="44" a="1"/>
  <c r="CK39" i="44" a="1"/>
  <c r="BL18" i="44" a="1"/>
  <c r="BI28" i="44" a="1"/>
  <c r="CE44" i="44" a="1"/>
  <c r="BR41" i="44" a="1"/>
  <c r="CG41" i="44" a="1"/>
  <c r="BX42" i="44" a="1"/>
  <c r="BB47" i="44" a="1"/>
  <c r="BR47" i="44" a="1"/>
  <c r="BZ52" i="44" a="1"/>
  <c r="BD34" i="44" a="1"/>
  <c r="CG54" i="44" a="1"/>
  <c r="BP37" i="44" a="1"/>
  <c r="CK46" i="44" a="1"/>
  <c r="CA46" i="44" a="1"/>
  <c r="BC44" i="44" a="1"/>
  <c r="CC52" i="44" a="1"/>
  <c r="BH42" i="44" a="1"/>
  <c r="BU55" i="44" a="1"/>
  <c r="BP38" i="44" a="1"/>
  <c r="BN12" i="44" a="1"/>
  <c r="BE16" i="44" a="1"/>
  <c r="CH16" i="44" a="1"/>
  <c r="BR45" i="44" a="1"/>
  <c r="BQ43" i="44" a="1"/>
  <c r="BB52" i="44" a="1"/>
  <c r="BE38" i="44" a="1"/>
  <c r="CD39" i="44" a="1"/>
  <c r="CF49" i="44" a="1"/>
  <c r="BW47" i="44" a="1"/>
  <c r="BQ49" i="44" a="1"/>
  <c r="BM34" i="44" a="1"/>
  <c r="BQ40" i="44" a="1"/>
  <c r="CC42" i="44" a="1"/>
  <c r="BJ48" i="44" a="1"/>
  <c r="BR35" i="44" a="1"/>
  <c r="BZ34" i="44" a="1"/>
  <c r="BU51" i="44" a="1"/>
  <c r="CC24" i="44" a="1"/>
  <c r="BI50" i="44" a="1"/>
  <c r="CC40" i="44" a="1"/>
  <c r="CB35" i="44" a="1"/>
  <c r="BP46" i="44" a="1"/>
  <c r="BM38" i="44" a="1"/>
  <c r="BF46" i="44" a="1"/>
  <c r="BY28" i="44" a="1"/>
  <c r="BW42" i="44" a="1"/>
  <c r="BQ52" i="44" a="1"/>
  <c r="BI40" i="44" a="1"/>
  <c r="BU44" i="44" a="1"/>
  <c r="BD23" i="44" a="1"/>
  <c r="CC43" i="44" a="1"/>
  <c r="BC50" i="44" a="1"/>
  <c r="BJ37" i="44" a="1"/>
  <c r="BD40" i="44" a="1"/>
  <c r="BO55" i="44" a="1"/>
  <c r="CK47" i="44" a="1"/>
  <c r="BH18" i="44" a="1"/>
  <c r="BD44" i="44" a="1"/>
  <c r="CI24" i="44" a="1"/>
  <c r="BC55" i="44" a="1"/>
  <c r="BR57" i="44" a="1"/>
  <c r="CK12" i="44" a="1"/>
  <c r="CC47" i="44" a="1"/>
  <c r="BT18" i="44" a="1"/>
  <c r="BY43" i="44" a="1"/>
  <c r="BQ36" i="44" a="1"/>
  <c r="BV38" i="44" a="1"/>
  <c r="BG45" i="44" a="1"/>
  <c r="BC41" i="44" a="1"/>
  <c r="CH12" i="44" a="1"/>
  <c r="BO56" i="44" a="1"/>
  <c r="CF43" i="44" a="1"/>
  <c r="BE17" i="44" a="1"/>
  <c r="CF51" i="44" a="1"/>
  <c r="BZ55" i="44" a="1"/>
  <c r="CI48" i="44" a="1"/>
  <c r="CA34" i="44" a="1"/>
  <c r="BF34" i="44" a="1"/>
  <c r="BU16" i="44" a="1"/>
  <c r="BJ55" i="44" a="1"/>
  <c r="BM46" i="44" a="1"/>
  <c r="BH51" i="44" a="1"/>
  <c r="BM54" i="44" a="1"/>
  <c r="BP18" i="44" a="1"/>
  <c r="CJ35" i="44" a="1"/>
  <c r="BX49" i="44" a="1"/>
  <c r="CA49" i="44" a="1"/>
  <c r="BI38" i="44" a="1"/>
  <c r="CE37" i="44" a="1"/>
  <c r="CH23" i="44" a="1"/>
  <c r="BP53" i="44" a="1"/>
  <c r="CH42" i="44" a="1"/>
  <c r="BD46" i="44" a="1"/>
  <c r="BR50" i="44" a="1"/>
  <c r="CB52" i="44" a="1"/>
  <c r="BT47" i="44" a="1"/>
  <c r="BS16" i="44" a="1"/>
  <c r="BJ53" i="44" a="1"/>
  <c r="BU57" i="44" a="1"/>
  <c r="CF41" i="44" a="1"/>
  <c r="BC53" i="44" a="1"/>
  <c r="BO12" i="44" a="1"/>
  <c r="BB38" i="44" a="1"/>
  <c r="BL37" i="44" a="1"/>
  <c r="CH43" i="44" a="1"/>
  <c r="BN50" i="44" a="1"/>
  <c r="BM37" i="44" a="1"/>
  <c r="BS53" i="44" a="1"/>
  <c r="BK45" i="44" a="1"/>
  <c r="BK17" i="44" a="1"/>
  <c r="BB36" i="44" a="1"/>
  <c r="BY17" i="44" a="1"/>
  <c r="BT49" i="44" a="1"/>
  <c r="CI28" i="44" a="1"/>
  <c r="CJ23" i="44" a="1"/>
  <c r="BF42" i="44" a="1"/>
  <c r="CF37" i="44" a="1"/>
  <c r="BH55" i="44" a="1"/>
  <c r="BD38" i="44" a="1"/>
  <c r="BJ24" i="44" a="1"/>
  <c r="CK49" i="44" a="1"/>
  <c r="BE48" i="44" a="1"/>
  <c r="BJ23" i="44" a="1"/>
  <c r="CE17" i="44" a="1"/>
  <c r="BN16" i="44" a="1"/>
  <c r="CK44" i="44" a="1"/>
  <c r="BM41" i="44" a="1"/>
  <c r="BW53" i="44" a="1"/>
  <c r="CK57" i="44" a="1"/>
  <c r="CE12" i="44" a="1"/>
  <c r="BV16" i="44" a="1"/>
  <c r="BV56" i="44" a="1"/>
  <c r="CC46" i="44" a="1"/>
  <c r="BJ45" i="44" a="1"/>
  <c r="BS35" i="44" a="1"/>
  <c r="BT43" i="44" a="1"/>
  <c r="CI39" i="44" a="1"/>
  <c r="BT23" i="44" a="1"/>
  <c r="BT55" i="44" a="1"/>
  <c r="CI43" i="44" a="1"/>
  <c r="CI53" i="44" a="1"/>
  <c r="CD49" i="44" a="1"/>
  <c r="BZ50" i="44" a="1"/>
  <c r="BD55" i="44" a="1"/>
  <c r="BE57" i="44" a="1"/>
  <c r="BP23" i="44" a="1"/>
  <c r="CG17" i="44" a="1"/>
  <c r="BC16" i="44" a="1"/>
  <c r="BQ12" i="44" a="1"/>
  <c r="CE48" i="44" a="1"/>
  <c r="CE45" i="44" a="1"/>
  <c r="BT57" i="44" a="1"/>
  <c r="BV55" i="44" a="1"/>
  <c r="CK48" i="44" a="1"/>
  <c r="BD45" i="44" a="1"/>
  <c r="BW52" i="44" a="1"/>
  <c r="CF16" i="44" a="1"/>
  <c r="CB49" i="44" a="1"/>
  <c r="CD53" i="44" a="1"/>
  <c r="BP55" i="44" a="1"/>
  <c r="BM42" i="44" a="1"/>
  <c r="BQ44" i="44" a="1"/>
  <c r="BR46" i="44" a="1"/>
  <c r="BV43" i="44" a="1"/>
  <c r="BB23" i="44" a="1"/>
  <c r="BI45" i="44" a="1"/>
  <c r="BF51" i="44" a="1"/>
  <c r="BI36" i="44" a="1"/>
  <c r="BU12" i="44" a="1"/>
  <c r="BF52" i="44" a="1"/>
  <c r="BL23" i="44" a="1"/>
  <c r="CA51" i="44" a="1"/>
  <c r="BG51" i="44" a="1"/>
  <c r="BE37" i="44" a="1"/>
  <c r="BM57" i="44" a="1"/>
  <c r="BF40" i="44" a="1"/>
  <c r="CI17" i="44" a="1"/>
  <c r="CD50" i="44" a="1"/>
  <c r="BF47" i="44" a="1"/>
  <c r="CF12" i="44" a="1"/>
  <c r="BE24" i="44" a="1"/>
  <c r="CE56" i="44" a="1"/>
  <c r="BQ37" i="44" a="1"/>
  <c r="BQ42" i="44" a="1"/>
  <c r="CI42" i="44" a="1"/>
  <c r="BE12" i="44" a="1"/>
  <c r="BO41" i="44" a="1"/>
  <c r="BN43" i="44" a="1"/>
  <c r="CK38" i="44" a="1"/>
  <c r="BZ53" i="44" a="1"/>
  <c r="BY57" i="44" a="1"/>
  <c r="BY40" i="44" a="1"/>
  <c r="BE47" i="44" a="1"/>
  <c r="BB43" i="44" a="1"/>
  <c r="CE54" i="44" a="1"/>
  <c r="BY23" i="44" a="1"/>
  <c r="BI17" i="44" a="1"/>
  <c r="BU56" i="44" a="1"/>
  <c r="CH41" i="44" a="1"/>
  <c r="BE34" i="44" a="1"/>
  <c r="BX35" i="44" a="1"/>
  <c r="BY56" i="44" a="1"/>
  <c r="CD44" i="44" a="1"/>
  <c r="BH40" i="44" a="1"/>
  <c r="CE42" i="44" a="1"/>
  <c r="BY51" i="44" a="1"/>
  <c r="BB56" i="44" a="1"/>
  <c r="BS48" i="44" a="1"/>
  <c r="BN49" i="44" a="1"/>
  <c r="BQ41" i="44" a="1"/>
  <c r="BC45" i="44" a="1"/>
  <c r="CH17" i="44" a="1"/>
  <c r="BE53" i="44" a="1"/>
  <c r="BP41" i="44" a="1"/>
  <c r="BN52" i="44" a="1"/>
  <c r="BC56" i="44" a="1"/>
  <c r="CA47" i="44" a="1"/>
  <c r="BK50" i="44" a="1"/>
  <c r="BZ45" i="44" a="1"/>
  <c r="BH16" i="44" a="1"/>
  <c r="BU50" i="44" a="1"/>
  <c r="CK43" i="44" a="1"/>
  <c r="BW18" i="44" a="1"/>
  <c r="BI16" i="44" a="1"/>
  <c r="CA45" i="44" a="1"/>
  <c r="BW34" i="44" a="1"/>
  <c r="CG48" i="44" a="1"/>
  <c r="BZ39" i="44" a="1"/>
  <c r="BL53" i="44" a="1"/>
  <c r="BZ46" i="44" a="1"/>
  <c r="BO37" i="44" a="1"/>
  <c r="CH56" i="44" a="1"/>
  <c r="BQ55" i="44" a="1"/>
  <c r="BH54" i="44" a="1"/>
  <c r="BW24" i="44" a="1"/>
  <c r="CI54" i="44" a="1"/>
  <c r="BU46" i="44" a="1"/>
  <c r="CK50" i="44" a="1"/>
  <c r="CG44" i="44" a="1"/>
  <c r="BG57" i="44" a="1"/>
  <c r="BX48" i="44" a="1"/>
  <c r="CI12" i="44" a="1"/>
  <c r="BM56" i="44" a="1"/>
  <c r="CD54" i="44" a="1"/>
  <c r="BJ41" i="44" a="1"/>
  <c r="CB54" i="44" a="1"/>
  <c r="BW43" i="44" a="1"/>
  <c r="BQ23" i="44" a="1"/>
  <c r="CJ46" i="44" a="1"/>
  <c r="BW45" i="44" a="1"/>
  <c r="CG37" i="44" a="1"/>
  <c r="CB36" i="44" a="1"/>
  <c r="BG34" i="44" a="1"/>
  <c r="CF56" i="44" a="1"/>
  <c r="BN40" i="44" a="1"/>
  <c r="BI34" i="44" a="1"/>
  <c r="CJ34" i="44" a="1"/>
  <c r="BH53" i="44" a="1"/>
  <c r="BK23" i="44" a="1"/>
  <c r="BI52" i="44" a="1"/>
  <c r="BL46" i="44" a="1"/>
  <c r="BF24" i="44" a="1"/>
  <c r="BQ46" i="44" a="1"/>
  <c r="CE41" i="44" a="1"/>
  <c r="BV35" i="44" a="1"/>
  <c r="BH24" i="44" a="1"/>
  <c r="CK36" i="44" a="1"/>
  <c r="BI41" i="44" a="1"/>
  <c r="BT37" i="44" a="1"/>
  <c r="BV40" i="44" a="1"/>
  <c r="BY44" i="44" a="1"/>
  <c r="BN47" i="44" a="1"/>
  <c r="BY47" i="44" a="1"/>
  <c r="BV24" i="44" a="1"/>
  <c r="CF39" i="44" a="1"/>
  <c r="BK49" i="44" a="1"/>
  <c r="BW46" i="44" a="1"/>
  <c r="CA24" i="44" a="1"/>
  <c r="CK35" i="44" a="1"/>
  <c r="BP52" i="44" a="1"/>
  <c r="CD35" i="44" a="1"/>
  <c r="BC52" i="44" a="1"/>
  <c r="BL47" i="44" a="1"/>
  <c r="BG12" i="44" a="1"/>
  <c r="BR38" i="44" a="1"/>
  <c r="BJ38" i="44" a="1"/>
  <c r="BJ54" i="44" a="1"/>
  <c r="CB23" i="44" a="1"/>
  <c r="BU54" i="44" a="1"/>
  <c r="BP54" i="44" a="1"/>
  <c r="BK16" i="44" a="1"/>
  <c r="BP47" i="44" a="1"/>
  <c r="BO50" i="44" a="1"/>
  <c r="BJ46" i="44" a="1"/>
  <c r="BO34" i="44" a="1"/>
  <c r="BR51" i="44" a="1"/>
  <c r="BP17" i="44" a="1"/>
  <c r="BP39" i="44" a="1"/>
  <c r="CJ47" i="44" a="1"/>
  <c r="CA39" i="44" a="1"/>
  <c r="BX12" i="44" a="1"/>
  <c r="CC37" i="44" a="1"/>
  <c r="BK46" i="44" a="1"/>
  <c r="CB53" i="44" a="1"/>
  <c r="BD17" i="44" a="1"/>
  <c r="BD28" i="44" a="1"/>
  <c r="CI57" i="44" a="1"/>
  <c r="BC54" i="44" a="1"/>
  <c r="CF28" i="44" a="1"/>
  <c r="BU41" i="44" a="1"/>
  <c r="BI37" i="44" a="1"/>
  <c r="CI52" i="44" a="1"/>
  <c r="CC34" i="44" a="1"/>
  <c r="BQ54" i="44" a="1"/>
  <c r="BZ56" i="44" a="1"/>
  <c r="CG56" i="44" a="1"/>
  <c r="BK44" i="44" a="1"/>
  <c r="BT28" i="44" a="1"/>
  <c r="BU36" i="44" a="1"/>
  <c r="CG40" i="44" a="1"/>
  <c r="BW12" i="44" a="1"/>
  <c r="CD37" i="44" a="1"/>
  <c r="BU39" i="44" a="1"/>
  <c r="BD42" i="44" a="1"/>
  <c r="BG16" i="44" a="1"/>
  <c r="CC57" i="44" a="1"/>
  <c r="CJ16" i="44" a="1"/>
  <c r="BP34" i="44" a="1"/>
  <c r="CA40" i="44" a="1"/>
  <c r="CG43" i="44" a="1"/>
  <c r="BB55" i="44" a="1"/>
  <c r="BR34" i="44" a="1"/>
  <c r="BC48" i="44" a="1"/>
  <c r="BZ54" i="44" a="1"/>
  <c r="CC49" i="44" a="1"/>
  <c r="BW35" i="44" a="1"/>
  <c r="BW23" i="44" a="1"/>
  <c r="CE28" i="44" a="1"/>
  <c r="BS34" i="44" a="1"/>
  <c r="CG39" i="44" a="1"/>
  <c r="CG52" i="44" a="1"/>
  <c r="CH44" i="44" a="1"/>
  <c r="CG49" i="44" a="1"/>
  <c r="BJ51" i="44" a="1"/>
  <c r="CH37" i="44" a="1"/>
  <c r="BD43" i="44" a="1"/>
  <c r="CA57" i="44" a="1"/>
  <c r="BO45" i="44" a="1"/>
  <c r="CJ43" i="44" a="1"/>
  <c r="BS37" i="44" a="1"/>
  <c r="BO23" i="44" a="1"/>
  <c r="BT12" i="44" a="1"/>
  <c r="BV42" i="44" a="1"/>
  <c r="CE43" i="44" a="1"/>
  <c r="BP36" i="44" a="1"/>
  <c r="CG57" i="44" a="1"/>
  <c r="CC53" i="44" a="1"/>
  <c r="BV46" i="44" a="1"/>
  <c r="BO51" i="44" a="1"/>
  <c r="CK24" i="44" a="1"/>
  <c r="BB48" i="44" a="1"/>
  <c r="CG47" i="44" a="1"/>
  <c r="BL45" i="44" a="1"/>
  <c r="BK41" i="44" a="1"/>
  <c r="BK34" i="44" a="1"/>
  <c r="BZ37" i="44" a="1"/>
  <c r="CI16" i="44" a="1"/>
  <c r="CG12" i="44" a="1"/>
  <c r="BG36" i="44" a="1"/>
  <c r="BR16" i="44" a="1"/>
  <c r="BO54" i="44" a="1"/>
  <c r="BH50" i="44" a="1"/>
  <c r="BD52" i="44" a="1"/>
  <c r="CF42" i="44" a="1"/>
  <c r="BR52" i="44" a="1"/>
  <c r="BN48" i="44" a="1"/>
  <c r="CG51" i="44" a="1"/>
  <c r="BH38" i="44" a="1"/>
  <c r="BF53" i="44" a="1"/>
  <c r="BZ41" i="44" a="1"/>
  <c r="CD41" i="44" a="1"/>
  <c r="CI51" i="44" a="1"/>
  <c r="BV54" i="44" a="1"/>
  <c r="BI57" i="44" a="1"/>
  <c r="BL49" i="44" a="1"/>
  <c r="BX45" i="44" a="1"/>
  <c r="CG24" i="44" a="1"/>
  <c r="CG34" i="44" a="1"/>
  <c r="BS42" i="44" a="1"/>
  <c r="BT45" i="44" a="1"/>
  <c r="BV28" i="44" a="1"/>
  <c r="BL36" i="44" a="1"/>
  <c r="BF16" i="44" a="1"/>
  <c r="BF39" i="44" a="1"/>
  <c r="BK43" i="44" a="1"/>
  <c r="BX37" i="44" a="1"/>
  <c r="CI50" i="44" a="1"/>
  <c r="BY24" i="44" a="1"/>
  <c r="CF18" i="44" a="1"/>
  <c r="BV18" i="44" a="1"/>
  <c r="BM53" i="44" a="1"/>
  <c r="CE34" i="44" a="1"/>
  <c r="CF34" i="44" a="1"/>
  <c r="CE23" i="44" a="1"/>
  <c r="BK36" i="44" a="1"/>
  <c r="BD54" i="44" a="1"/>
  <c r="CB38" i="44" a="1"/>
  <c r="BH12" i="44" a="1"/>
  <c r="CK37" i="44" a="1"/>
  <c r="BK57" i="44" a="1"/>
  <c r="BX56" i="44" a="1"/>
  <c r="CB50" i="44" a="1"/>
  <c r="CK16" i="44" a="1"/>
  <c r="BM55" i="44" a="1"/>
  <c r="BN42" i="44" a="1"/>
  <c r="CA43" i="44" a="1"/>
  <c r="CH28" i="44" a="1"/>
  <c r="CG35" i="44" a="1"/>
  <c r="BR40" i="44" a="1"/>
  <c r="BG55" i="44" a="1"/>
  <c r="BU45" i="44" a="1"/>
  <c r="CC45" i="44" a="1"/>
  <c r="BE35" i="44" a="1"/>
  <c r="BS46" i="44" a="1"/>
  <c r="BV41" i="44" a="1"/>
  <c r="CI49" i="44" a="1"/>
  <c r="BS23" i="44" a="1"/>
  <c r="CG53" i="44" a="1"/>
  <c r="BG41" i="44" a="1"/>
  <c r="BL12" i="44" a="1"/>
  <c r="BQ50" i="44" a="1"/>
  <c r="CH35" i="44" a="1"/>
  <c r="BX34" i="44" a="1"/>
  <c r="BW39" i="44" a="1"/>
  <c r="BO42" i="44" a="1"/>
  <c r="BE28" i="44" a="1"/>
  <c r="BU53" i="44" a="1"/>
  <c r="BS55" i="44" a="1"/>
  <c r="BL48" i="44" a="1"/>
  <c r="BL56" i="44" a="1"/>
  <c r="BY52" i="44" a="1"/>
  <c r="BV45" i="44" a="1"/>
  <c r="BF48" i="44" a="1"/>
  <c r="CF38" i="44" a="1"/>
  <c r="CH54" i="44" a="1"/>
  <c r="BD57" i="44" a="1"/>
  <c r="CJ18" i="44" a="1"/>
  <c r="BS45" i="44" a="1"/>
  <c r="BI35" i="44" a="1"/>
  <c r="CI44" i="44" a="1"/>
  <c r="CB37" i="44" a="1"/>
  <c r="BZ23" i="44" a="1"/>
  <c r="BY34" i="44" a="1"/>
  <c r="BK18" i="44" a="1"/>
  <c r="BP42" i="44" a="1"/>
  <c r="CJ40" i="44" a="1"/>
  <c r="BF18" i="44" a="1"/>
  <c r="CJ55" i="44" a="1"/>
  <c r="BC57" i="44" a="1"/>
  <c r="BZ42" i="44" a="1"/>
  <c r="CA12" i="44" a="1"/>
  <c r="BM51" i="44" a="1"/>
  <c r="BD51" i="44" a="1"/>
  <c r="BG43" i="44" a="1"/>
  <c r="CF57" i="44" a="1"/>
  <c r="BX23" i="44" a="1"/>
  <c r="CE47" i="44" a="1"/>
  <c r="BI23" i="44" a="1"/>
  <c r="BH48" i="44" a="1"/>
  <c r="CH18" i="44" a="1"/>
  <c r="BM24" i="44" a="1"/>
  <c r="CF35" i="44" a="1"/>
  <c r="BQ18" i="44" a="1"/>
  <c r="BI43" i="44" a="1"/>
  <c r="CI37" i="44" a="1"/>
  <c r="CE57" i="44" a="1"/>
  <c r="BH56" i="44" a="1"/>
  <c r="CD40" i="44" a="1"/>
  <c r="BE56" i="44" a="1"/>
  <c r="BX51" i="44" a="1"/>
  <c r="CB51" i="44" a="1"/>
  <c r="BU23" i="44" a="1"/>
  <c r="BX24" i="44" a="1"/>
  <c r="BE45" i="44" a="1"/>
  <c r="BU34" i="44" a="1"/>
  <c r="BS39" i="44" a="1"/>
  <c r="BJ42" i="44" a="1"/>
  <c r="CK45" i="44" a="1"/>
  <c r="CI34" i="44" a="1"/>
  <c r="BO47" i="44" a="1"/>
  <c r="BT34" i="44" a="1"/>
  <c r="BW28" i="44" a="1"/>
  <c r="CB47" i="44" a="1"/>
  <c r="CJ50" i="44" a="1"/>
  <c r="CE53" i="44" a="1"/>
  <c r="BJ57" i="44" a="1"/>
  <c r="BM35" i="44" a="1"/>
  <c r="CD17" i="44" a="1"/>
  <c r="CG23" i="44" a="1"/>
  <c r="CF23" i="44" a="1"/>
  <c r="BN39" i="44" a="1"/>
  <c r="BK37" i="44" a="1"/>
  <c r="BH41" i="44" a="1"/>
  <c r="BN36" i="44" a="1"/>
  <c r="BB57" i="44" a="1"/>
  <c r="BD36" i="44" a="1"/>
  <c r="CA37" i="44" a="1"/>
  <c r="BX41" i="44" a="1"/>
  <c r="CI55" i="44" a="1"/>
  <c r="CA38" i="44" a="1"/>
  <c r="BQ24" i="44" a="1"/>
  <c r="BS56" i="44" a="1"/>
  <c r="CJ36" i="44" a="1"/>
  <c r="BL52" i="44" a="1"/>
  <c r="BU17" i="44" a="1"/>
  <c r="BW55" i="44" a="1"/>
  <c r="BW51" i="44" a="1"/>
  <c r="BO28" i="44" a="1"/>
  <c r="BK55" i="44" a="1"/>
  <c r="CA50" i="44" a="1"/>
  <c r="CB39" i="44" a="1"/>
  <c r="CH34" i="44" a="1"/>
  <c r="BS57" i="44" a="1"/>
  <c r="CG55" i="44" a="1"/>
  <c r="CD46" i="44" a="1"/>
  <c r="BY41" i="44" a="1"/>
  <c r="BW37" i="44" a="1"/>
  <c r="BC24" i="44" a="1"/>
  <c r="CJ48" i="44" a="1"/>
  <c r="BJ16" i="44" a="1"/>
  <c r="BG47" i="44" a="1"/>
  <c r="CI46" i="44" a="1"/>
  <c r="CC44" i="44" a="1"/>
  <c r="BO17" i="44" a="1"/>
  <c r="CB40" i="44" a="1"/>
  <c r="BB44" i="44" a="1"/>
  <c r="BE55" i="44" a="1"/>
  <c r="CB42" i="44" a="1"/>
  <c r="CA52" i="44" a="1"/>
  <c r="BS49" i="44" a="1"/>
  <c r="BK51" i="44" a="1"/>
  <c r="BV17" i="44" a="1"/>
  <c r="BV49" i="44" a="1"/>
  <c r="BW50" i="44" a="1"/>
  <c r="CA16" i="44" a="1"/>
  <c r="CH57" i="44" a="1"/>
  <c r="BT41" i="44" a="1"/>
  <c r="BF44" i="44" a="1"/>
  <c r="BH28" i="44" a="1"/>
  <c r="BM28" i="44" a="1"/>
  <c r="CC18" i="44" a="1"/>
  <c r="BM36" i="44" a="1"/>
  <c r="BT52" i="44" a="1"/>
  <c r="CF47" i="44" a="1"/>
  <c r="BO48" i="44" a="1"/>
  <c r="CB43" i="44" a="1"/>
  <c r="BU43" i="44" a="1"/>
  <c r="BT48" i="44" a="1"/>
  <c r="BG48" i="44" a="1"/>
  <c r="BO35" i="44" a="1"/>
  <c r="BQ35" i="44" a="1"/>
  <c r="BL38" i="44" a="1"/>
  <c r="BQ45" i="44" a="1"/>
  <c r="BF41" i="44" a="1"/>
  <c r="BS24" i="44" a="1"/>
  <c r="BB40" i="44" a="1"/>
  <c r="BG23" i="44" a="1"/>
  <c r="BR12" i="44" a="1"/>
  <c r="BY38" i="44" a="1"/>
  <c r="BK52" i="44" a="1"/>
  <c r="BZ40" i="44" a="1"/>
  <c r="BS44" i="44" a="1"/>
  <c r="BM18" i="44" a="1"/>
  <c r="BY55" i="44" a="1"/>
  <c r="BN41" i="44" a="1"/>
  <c r="BB28" i="44" a="1"/>
  <c r="BM43" i="44" a="1"/>
  <c r="BR42" i="44" a="1"/>
  <c r="BH23" i="44" a="1"/>
  <c r="BK28" i="44" a="1"/>
  <c r="BO49" i="44" a="1"/>
  <c r="BP48" i="44" a="1"/>
  <c r="BF17" i="44" a="1"/>
  <c r="BR39" i="44" a="1"/>
  <c r="BK42" i="44" a="1"/>
  <c r="BX50" i="44" a="1"/>
  <c r="BR53" i="44" a="1"/>
  <c r="BY36" i="44" a="1"/>
  <c r="CD45" i="44" a="1"/>
  <c r="CF44" i="44" a="1"/>
  <c r="BT38" i="44" a="1"/>
  <c r="BQ34" i="44" a="1"/>
  <c r="CB45" i="44" a="1"/>
  <c r="BZ44" i="44" a="1"/>
  <c r="BC43" i="44" a="1"/>
  <c r="BL28" i="44" a="1"/>
  <c r="BY45" i="44" a="1"/>
  <c r="BN51" i="44" a="1"/>
  <c r="BM39" i="44" a="1"/>
  <c r="BF50" i="44" a="1"/>
  <c r="BL43" i="44" a="1"/>
  <c r="BV23" i="44" a="1"/>
  <c r="CH55" i="44" a="1"/>
  <c r="BL34" i="44" a="1"/>
  <c r="CC28" i="44" a="1"/>
  <c r="BZ49" i="44" a="1"/>
  <c r="BS40" i="44" a="1"/>
  <c r="BD37" i="44" a="1"/>
  <c r="BF28" i="44" a="1"/>
  <c r="CI41" i="44" a="1"/>
  <c r="BX40" i="44" a="1"/>
  <c r="BI18" i="44" a="1"/>
  <c r="BZ43" i="44" a="1"/>
  <c r="BD39" i="44" a="1"/>
  <c r="BH34" i="44" a="1"/>
  <c r="BM48" i="44" a="1"/>
  <c r="CI35" i="44" a="1"/>
  <c r="BQ53" i="44" a="1"/>
  <c r="BL57" i="44" a="1"/>
  <c r="BQ57" i="44" a="1"/>
  <c r="BS36" i="44" a="1"/>
  <c r="BN45" i="44" a="1"/>
  <c r="BP49" i="44" a="1"/>
  <c r="BU52" i="44" a="1"/>
  <c r="BO43" i="44" a="1"/>
  <c r="BC46" i="44" a="1"/>
  <c r="BH43" i="44" a="1"/>
  <c r="BK35" i="44" a="1"/>
  <c r="CH49" i="44" a="1"/>
  <c r="BH35" i="44" a="1"/>
  <c r="BI44" i="44" a="1"/>
  <c r="BC12" i="44" a="1"/>
  <c r="BM23" i="44" a="1"/>
  <c r="BV50" i="44" a="1"/>
  <c r="BL39" i="44" a="1"/>
  <c r="BT44" i="44" a="1"/>
  <c r="BR28" i="44" a="1"/>
  <c r="CB28" i="44" a="1"/>
  <c r="BK56" i="44" a="1"/>
  <c r="BR44" i="44" a="1"/>
  <c r="CE35" i="44" a="1"/>
  <c r="BS41" i="44" a="1"/>
  <c r="CI38" i="44" a="1"/>
  <c r="CB18" i="44" a="1"/>
  <c r="BE43" i="44" a="1"/>
  <c r="BT56" i="44" a="1"/>
  <c r="CK42" i="44" a="1"/>
  <c r="CD52" i="44" a="1"/>
  <c r="BS50" i="44" a="1"/>
  <c r="BF56" i="44" a="1"/>
  <c r="BD24" i="44" a="1"/>
  <c r="CB12" i="44" a="1"/>
  <c r="CG46" i="44" a="1"/>
  <c r="BR56" i="44" a="1"/>
  <c r="CG28" i="44" a="1"/>
  <c r="CJ41" i="44" a="1"/>
  <c r="BX57" i="44" a="1"/>
  <c r="BB42" i="44" a="1"/>
  <c r="CH48" i="44" a="1"/>
  <c r="BT24" i="44" a="1"/>
  <c r="BF35" i="44" a="1"/>
  <c r="BX18" i="44" a="1"/>
  <c r="BU40" i="44" a="1"/>
  <c r="BT50" i="44" a="1"/>
  <c r="BM49" i="44" a="1"/>
  <c r="CC41" i="44" a="1"/>
  <c r="BO44" i="44" a="1"/>
  <c r="CI18" i="44" a="1"/>
  <c r="BE39" i="44" a="1"/>
  <c r="CJ17" i="44" a="1"/>
  <c r="BG52" i="44" a="1"/>
  <c r="CA55" i="44" a="1"/>
  <c r="BU38" i="44" a="1"/>
  <c r="BT46" i="44" a="1"/>
  <c r="BH44" i="44" a="1"/>
  <c r="BK53" i="44" a="1"/>
  <c r="BH46" i="44" a="1"/>
  <c r="CH40" i="44" a="1"/>
  <c r="BB12" i="44" a="1"/>
  <c r="CD47" i="44" a="1"/>
  <c r="CK52" i="44" a="1"/>
  <c r="CK54" i="44" a="1"/>
  <c r="BM50" i="44" a="1"/>
  <c r="BE40" i="44" a="1"/>
  <c r="BI46" i="44" a="1"/>
  <c r="CC23" i="44" a="1"/>
  <c r="BC37" i="44" a="1"/>
  <c r="CK55" i="44" a="1"/>
  <c r="BG56" i="44" a="1"/>
  <c r="CF48" i="44" a="1"/>
  <c r="BC28" i="44" a="1"/>
  <c r="CJ54" i="44" a="1"/>
  <c r="BN17" i="44" a="1"/>
  <c r="CC48" i="44" a="1"/>
  <c r="BI39" i="44" a="1"/>
  <c r="BN54" i="44" a="1"/>
  <c r="BN38" i="44" a="1"/>
  <c r="BT36" i="44" a="1"/>
  <c r="BP40" i="44" a="1"/>
  <c r="BN56" i="44" a="1"/>
  <c r="BF23" i="44" a="1"/>
  <c r="BP28" i="44" a="1"/>
  <c r="BZ24" i="44" a="1"/>
  <c r="BL17" i="44" a="1"/>
  <c r="BJ12" i="44" a="1"/>
  <c r="BV52" i="44" a="1"/>
  <c r="BB18" i="44" a="1"/>
  <c r="BZ47" i="44" a="1"/>
  <c r="BV47" i="44" a="1"/>
  <c r="BE41" i="44" a="1"/>
  <c r="BT35" i="44" a="1"/>
  <c r="CA42" i="44" a="1"/>
  <c r="CC16" i="44" a="1"/>
  <c r="BL44" i="44" a="1"/>
  <c r="BZ36" i="44" a="1"/>
  <c r="BN35" i="44" a="1"/>
  <c r="BF45" i="44" a="1"/>
  <c r="CA28" i="44" a="1"/>
  <c r="BL50" i="44" a="1"/>
  <c r="BC17" i="44" a="1"/>
  <c r="BF49" i="44" a="1"/>
  <c r="CJ12" i="44" a="1"/>
  <c r="CE36" i="44" a="1"/>
  <c r="CD57" i="44" a="1"/>
  <c r="BD48" i="44" a="1"/>
  <c r="CK56" i="44" a="1"/>
  <c r="BO36" i="44" a="1"/>
  <c r="BJ50" i="44" a="1"/>
  <c r="BG44" i="44" a="1"/>
  <c r="BG39" i="44" a="1"/>
  <c r="CC39" i="44" a="1"/>
  <c r="CK41" i="44" a="1"/>
  <c r="BT53" i="44" a="1"/>
  <c r="CJ45" i="44" a="1"/>
  <c r="BC47" i="44" a="1"/>
  <c r="BF37" i="44" a="1"/>
  <c r="CJ53" i="44" a="1"/>
  <c r="CJ52" i="44" a="1"/>
  <c r="BU42" i="44" a="1"/>
  <c r="BL40" i="44" a="1"/>
  <c r="BG53" i="44" a="1"/>
  <c r="BM16" i="44" a="1"/>
  <c r="BI56" i="44" a="1"/>
  <c r="CB48" i="44" a="1"/>
  <c r="BM40" i="44" a="1"/>
  <c r="BD41" i="44" a="1"/>
  <c r="BW54" i="44" a="1"/>
  <c r="CE38" i="44" a="1"/>
  <c r="BV48" i="44" a="1"/>
  <c r="BB54" i="44" a="1"/>
  <c r="CK34" i="44" a="1"/>
  <c r="BT17" i="44" a="1"/>
  <c r="BB51" i="44" a="1"/>
  <c r="BG49" i="44" a="1"/>
  <c r="CA56" i="44" a="1"/>
  <c r="BJ18" i="44" a="1"/>
  <c r="CB55" i="44" a="1"/>
  <c r="BC35" i="44" a="1"/>
  <c r="CF55" i="44" a="1"/>
  <c r="CG50" i="44" a="1"/>
  <c r="BY46" i="44" a="1"/>
  <c r="BJ40" i="44" a="1"/>
  <c r="BX55" i="44" a="1"/>
  <c r="CD34" i="44" a="1"/>
  <c r="BW48" i="44" a="1"/>
  <c r="BW49" i="44" a="1"/>
  <c r="BW38" i="44" a="1"/>
  <c r="BQ38" i="44" a="1"/>
  <c r="CD38" i="44" a="1"/>
  <c r="BD18" i="44" a="1"/>
  <c r="BI12" i="44" a="1"/>
  <c r="CJ42" i="44" a="1"/>
  <c r="CF36" i="44" a="1"/>
  <c r="BB17" i="44" a="1"/>
  <c r="BB24" i="44" a="1"/>
  <c r="BJ17" i="44" a="1"/>
  <c r="CA48" i="44" a="1"/>
  <c r="CA54" i="44" a="1"/>
  <c r="BT39" i="44" a="1"/>
  <c r="CA36" i="44" a="1"/>
  <c r="CE18" i="44" a="1"/>
  <c r="CH51" i="44" a="1"/>
  <c r="CC12" i="44" a="1"/>
  <c r="CC50" i="44" a="1"/>
  <c r="BE18" i="44" a="1"/>
  <c r="CD56" i="44" a="1"/>
  <c r="BI48" i="44" a="1"/>
  <c r="CD12" i="44" a="1"/>
  <c r="CG38" i="44" a="1"/>
  <c r="CG45" i="44" a="1"/>
  <c r="BI55" i="44" a="1"/>
  <c r="BX53" i="44" a="1"/>
  <c r="CD24" i="44" a="1"/>
  <c r="BI49" i="44" a="1"/>
  <c r="CB46" i="44" a="1"/>
  <c r="CF50" i="44" a="1"/>
  <c r="BO18" i="44" a="1"/>
  <c r="BK38" i="44" a="1"/>
  <c r="BP35" i="44" a="1"/>
  <c r="CF17" i="44" a="1"/>
  <c r="CC55" i="44" a="1"/>
  <c r="BE49" i="44" a="1"/>
  <c r="BV12" i="44" a="1"/>
  <c r="BB34" i="44" a="1"/>
  <c r="BR36" i="44" a="1"/>
  <c r="BG24" i="44" a="1"/>
  <c r="CF52" i="44" a="1"/>
  <c r="BW56" i="44" a="1"/>
  <c r="BB50" i="44" a="1"/>
  <c r="BW41" i="44" a="1"/>
  <c r="BJ36" i="44" a="1"/>
  <c r="BN55" i="44" a="1"/>
  <c r="BC36" i="44" a="1"/>
  <c r="BE46" i="44" a="1"/>
  <c r="BK24" i="44" a="1"/>
  <c r="BZ18" i="44" a="1"/>
  <c r="BC40" i="44" a="1"/>
  <c r="BC23" i="44" a="1"/>
  <c r="CG18" i="44" a="1"/>
  <c r="BM44" i="44" a="1"/>
  <c r="BV39" i="44" a="1"/>
  <c r="CI47" i="44" a="1"/>
  <c r="BZ17" i="44" a="1"/>
  <c r="BZ35" i="44" a="1"/>
  <c r="BX52" i="44" a="1"/>
  <c r="BJ47" i="44" a="1"/>
  <c r="BJ39" i="44" a="1"/>
  <c r="BX46" i="44" a="1"/>
  <c r="CJ38" i="44" a="1"/>
  <c r="BN24" i="44" a="1"/>
  <c r="BL42" i="44" a="1"/>
  <c r="BY42" i="44" a="1"/>
  <c r="CD48" i="44" a="1"/>
  <c r="BG28" i="44" a="1"/>
  <c r="BU47" i="44" a="1"/>
  <c r="BH39" i="44" a="1"/>
  <c r="BJ34" i="44" a="1"/>
  <c r="CE16" i="44" a="1"/>
  <c r="BB49" i="44" a="1"/>
  <c r="BF57" i="44" a="1"/>
  <c r="BZ12" i="44" a="1"/>
  <c r="BS52" i="44" a="1"/>
  <c r="CK28" i="44" a="1"/>
  <c r="BJ43" i="44" a="1"/>
  <c r="BV57" i="44" a="1"/>
  <c r="CI40" i="44" a="1"/>
  <c r="BQ39" i="44" a="1"/>
  <c r="BP56" i="44" a="1"/>
  <c r="BK47" i="44" a="1"/>
  <c r="CJ28" i="44" a="1"/>
  <c r="CJ57" i="44" a="1"/>
  <c r="BT16" i="44" a="1"/>
  <c r="CK23" i="44" a="1"/>
  <c r="CD51" i="44" a="1"/>
  <c r="BL51" i="44" a="1"/>
  <c r="BC34" i="44" a="1"/>
  <c r="BV44" i="44" a="1"/>
  <c r="BB37" i="44" a="1"/>
  <c r="CH39" i="44" a="1"/>
  <c r="CB57" i="44" a="1"/>
  <c r="BO16" i="44" a="1"/>
  <c r="BX47" i="44" a="1"/>
  <c r="BR17" i="44" a="1"/>
  <c r="CG36" i="44" a="1"/>
  <c r="BN53" i="44" a="1"/>
  <c r="BV51" i="44" a="1"/>
  <c r="BS47" i="44" a="1"/>
  <c r="BR48" i="44" a="1"/>
  <c r="BJ56" i="44" a="1"/>
  <c r="BN34" i="44" a="1"/>
  <c r="CK18" i="44" a="1"/>
  <c r="BS38" i="44" a="1"/>
  <c r="CC38" i="44" a="1"/>
  <c r="BF54" i="44" a="1"/>
  <c r="BR54" i="44" a="1"/>
  <c r="CE49" i="44" a="1"/>
  <c r="CE49" i="44" l="1"/>
  <c r="BR54" i="44"/>
  <c r="BF54" i="44"/>
  <c r="CC38" i="44"/>
  <c r="BS38" i="44"/>
  <c r="CK18" i="44"/>
  <c r="BN34" i="44"/>
  <c r="BJ56" i="44"/>
  <c r="BR48" i="44"/>
  <c r="BS47" i="44"/>
  <c r="BV51" i="44"/>
  <c r="BN53" i="44"/>
  <c r="CG36" i="44"/>
  <c r="BR17" i="44"/>
  <c r="BX47" i="44"/>
  <c r="BO16" i="44"/>
  <c r="CB57" i="44"/>
  <c r="CH39" i="44"/>
  <c r="BB37" i="44"/>
  <c r="BV44" i="44"/>
  <c r="BC34" i="44"/>
  <c r="BL51" i="44"/>
  <c r="CD51" i="44"/>
  <c r="CK23" i="44"/>
  <c r="BT16" i="44"/>
  <c r="CJ57" i="44"/>
  <c r="CJ28" i="44"/>
  <c r="BK47" i="44"/>
  <c r="BP56" i="44"/>
  <c r="BQ39" i="44"/>
  <c r="CI40" i="44"/>
  <c r="BV57" i="44"/>
  <c r="BJ43" i="44"/>
  <c r="CK28" i="44"/>
  <c r="BS52" i="44"/>
  <c r="BZ12" i="44"/>
  <c r="BF57" i="44"/>
  <c r="BB49" i="44"/>
  <c r="CE16" i="44"/>
  <c r="BJ34" i="44"/>
  <c r="BH39" i="44"/>
  <c r="BU47" i="44"/>
  <c r="BG28" i="44"/>
  <c r="CD48" i="44"/>
  <c r="BY42" i="44"/>
  <c r="BL42" i="44"/>
  <c r="BN24" i="44"/>
  <c r="CJ38" i="44"/>
  <c r="BX46" i="44"/>
  <c r="BJ39" i="44"/>
  <c r="BJ47" i="44"/>
  <c r="BX52" i="44"/>
  <c r="BZ35" i="44"/>
  <c r="BZ17" i="44"/>
  <c r="CI47" i="44"/>
  <c r="BV39" i="44"/>
  <c r="BM44" i="44"/>
  <c r="CG18" i="44"/>
  <c r="BC23" i="44"/>
  <c r="BC40" i="44"/>
  <c r="BZ18" i="44"/>
  <c r="BK24" i="44"/>
  <c r="BE46" i="44"/>
  <c r="BC36" i="44"/>
  <c r="BN55" i="44"/>
  <c r="BJ36" i="44"/>
  <c r="BW41" i="44"/>
  <c r="BB50" i="44"/>
  <c r="BW56" i="44"/>
  <c r="CF52" i="44"/>
  <c r="BG24" i="44"/>
  <c r="BR36" i="44"/>
  <c r="BB34" i="44"/>
  <c r="BV12" i="44"/>
  <c r="BE49" i="44"/>
  <c r="CC55" i="44"/>
  <c r="CF17" i="44"/>
  <c r="BP35" i="44"/>
  <c r="BK38" i="44"/>
  <c r="BO18" i="44"/>
  <c r="CF50" i="44"/>
  <c r="CB46" i="44"/>
  <c r="BI49" i="44"/>
  <c r="CD24" i="44"/>
  <c r="BX53" i="44"/>
  <c r="BI55" i="44"/>
  <c r="CG45" i="44"/>
  <c r="CG38" i="44"/>
  <c r="CD12" i="44"/>
  <c r="BI48" i="44"/>
  <c r="CD56" i="44"/>
  <c r="BE18" i="44"/>
  <c r="CC50" i="44"/>
  <c r="CC12" i="44"/>
  <c r="CH51" i="44"/>
  <c r="CE18" i="44"/>
  <c r="CA36" i="44"/>
  <c r="BT39" i="44"/>
  <c r="CA54" i="44"/>
  <c r="CA48" i="44"/>
  <c r="BJ17" i="44"/>
  <c r="BB24" i="44"/>
  <c r="BB17" i="44"/>
  <c r="CF36" i="44"/>
  <c r="CJ42" i="44"/>
  <c r="BI12" i="44"/>
  <c r="BD18" i="44"/>
  <c r="CD38" i="44"/>
  <c r="BQ38" i="44"/>
  <c r="BW38" i="44"/>
  <c r="BW49" i="44"/>
  <c r="BW48" i="44"/>
  <c r="CD34" i="44"/>
  <c r="BX55" i="44"/>
  <c r="BJ40" i="44"/>
  <c r="BY46" i="44"/>
  <c r="CG50" i="44"/>
  <c r="CF55" i="44"/>
  <c r="BC35" i="44"/>
  <c r="CB55" i="44"/>
  <c r="BJ18" i="44"/>
  <c r="CA56" i="44"/>
  <c r="BG49" i="44"/>
  <c r="BB51" i="44"/>
  <c r="BT17" i="44"/>
  <c r="CK34" i="44"/>
  <c r="BB54" i="44"/>
  <c r="BV48" i="44"/>
  <c r="CE38" i="44"/>
  <c r="BW54" i="44"/>
  <c r="BD41" i="44"/>
  <c r="BM40" i="44"/>
  <c r="CB48" i="44"/>
  <c r="BI56" i="44"/>
  <c r="BM16" i="44"/>
  <c r="BG53" i="44"/>
  <c r="BL40" i="44"/>
  <c r="BU42" i="44"/>
  <c r="CJ52" i="44"/>
  <c r="CJ53" i="44"/>
  <c r="BF37" i="44"/>
  <c r="BC47" i="44"/>
  <c r="CJ45" i="44"/>
  <c r="BT53" i="44"/>
  <c r="CK41" i="44"/>
  <c r="CC39" i="44"/>
  <c r="BG39" i="44"/>
  <c r="BG44" i="44"/>
  <c r="BJ50" i="44"/>
  <c r="BO36" i="44"/>
  <c r="CK56" i="44"/>
  <c r="BD48" i="44"/>
  <c r="CD57" i="44"/>
  <c r="CE36" i="44"/>
  <c r="CJ12" i="44"/>
  <c r="BF49" i="44"/>
  <c r="BC17" i="44"/>
  <c r="BL50" i="44"/>
  <c r="CA28" i="44"/>
  <c r="BF45" i="44"/>
  <c r="BN35" i="44"/>
  <c r="BZ36" i="44"/>
  <c r="BL44" i="44"/>
  <c r="CC16" i="44"/>
  <c r="CA42" i="44"/>
  <c r="BT35" i="44"/>
  <c r="BE41" i="44"/>
  <c r="BV47" i="44"/>
  <c r="BZ47" i="44"/>
  <c r="BB18" i="44"/>
  <c r="BV52" i="44"/>
  <c r="BJ12" i="44"/>
  <c r="BL17" i="44"/>
  <c r="BZ24" i="44"/>
  <c r="BP28" i="44"/>
  <c r="BF23" i="44"/>
  <c r="BN56" i="44"/>
  <c r="BP40" i="44"/>
  <c r="BT36" i="44"/>
  <c r="BN38" i="44"/>
  <c r="BN54" i="44"/>
  <c r="BI39" i="44"/>
  <c r="CC48" i="44"/>
  <c r="BN17" i="44"/>
  <c r="CJ54" i="44"/>
  <c r="BC28" i="44"/>
  <c r="CF48" i="44"/>
  <c r="BG56" i="44"/>
  <c r="CK55" i="44"/>
  <c r="BC37" i="44"/>
  <c r="CC23" i="44"/>
  <c r="BI46" i="44"/>
  <c r="BE40" i="44"/>
  <c r="BM50" i="44"/>
  <c r="CK54" i="44"/>
  <c r="CK52" i="44"/>
  <c r="CD47" i="44"/>
  <c r="BB12" i="44"/>
  <c r="CH40" i="44"/>
  <c r="BH46" i="44"/>
  <c r="BK53" i="44"/>
  <c r="BH44" i="44"/>
  <c r="BT46" i="44"/>
  <c r="BU38" i="44"/>
  <c r="CA55" i="44"/>
  <c r="BG52" i="44"/>
  <c r="CJ17" i="44"/>
  <c r="BE39" i="44"/>
  <c r="CI18" i="44"/>
  <c r="BO44" i="44"/>
  <c r="CC41" i="44"/>
  <c r="BM49" i="44"/>
  <c r="BT50" i="44"/>
  <c r="BU40" i="44"/>
  <c r="BX18" i="44"/>
  <c r="BF35" i="44"/>
  <c r="BT24" i="44"/>
  <c r="CH48" i="44"/>
  <c r="BB42" i="44"/>
  <c r="BX57" i="44"/>
  <c r="CJ41" i="44"/>
  <c r="CG28" i="44"/>
  <c r="BR56" i="44"/>
  <c r="CG46" i="44"/>
  <c r="CB12" i="44"/>
  <c r="BD24" i="44"/>
  <c r="BF56" i="44"/>
  <c r="BS50" i="44"/>
  <c r="CD52" i="44"/>
  <c r="CK42" i="44"/>
  <c r="BT56" i="44"/>
  <c r="BE43" i="44"/>
  <c r="CB18" i="44"/>
  <c r="CI38" i="44"/>
  <c r="BS41" i="44"/>
  <c r="CE35" i="44"/>
  <c r="BR44" i="44"/>
  <c r="BK56" i="44"/>
  <c r="CB28" i="44"/>
  <c r="BR28" i="44"/>
  <c r="BT44" i="44"/>
  <c r="BL39" i="44"/>
  <c r="BV50" i="44"/>
  <c r="BM23" i="44"/>
  <c r="BC12" i="44"/>
  <c r="BI44" i="44"/>
  <c r="BH35" i="44"/>
  <c r="CH49" i="44"/>
  <c r="BK35" i="44"/>
  <c r="BH43" i="44"/>
  <c r="BC46" i="44"/>
  <c r="BO43" i="44"/>
  <c r="BU52" i="44"/>
  <c r="BP49" i="44"/>
  <c r="BN45" i="44"/>
  <c r="BS36" i="44"/>
  <c r="BQ57" i="44"/>
  <c r="BL57" i="44"/>
  <c r="BQ53" i="44"/>
  <c r="CI35" i="44"/>
  <c r="BM48" i="44"/>
  <c r="BH34" i="44"/>
  <c r="BD39" i="44"/>
  <c r="BZ43" i="44"/>
  <c r="BI18" i="44"/>
  <c r="BX40" i="44"/>
  <c r="CI41" i="44"/>
  <c r="BF28" i="44"/>
  <c r="BD37" i="44"/>
  <c r="BS40" i="44"/>
  <c r="BZ49" i="44"/>
  <c r="CC28" i="44"/>
  <c r="BL34" i="44"/>
  <c r="CH55" i="44"/>
  <c r="BV23" i="44"/>
  <c r="BL43" i="44"/>
  <c r="BF50" i="44"/>
  <c r="BM39" i="44"/>
  <c r="BN51" i="44"/>
  <c r="BY45" i="44"/>
  <c r="BL28" i="44"/>
  <c r="BC43" i="44"/>
  <c r="BZ44" i="44"/>
  <c r="CB45" i="44"/>
  <c r="BQ34" i="44"/>
  <c r="BT38" i="44"/>
  <c r="CF44" i="44"/>
  <c r="CD45" i="44"/>
  <c r="BY36" i="44"/>
  <c r="BR53" i="44"/>
  <c r="BX50" i="44"/>
  <c r="BK42" i="44"/>
  <c r="BR39" i="44"/>
  <c r="BF17" i="44"/>
  <c r="BP48" i="44"/>
  <c r="BO49" i="44"/>
  <c r="BK28" i="44"/>
  <c r="BH23" i="44"/>
  <c r="BR42" i="44"/>
  <c r="BM43" i="44"/>
  <c r="BB28" i="44"/>
  <c r="BN41" i="44"/>
  <c r="BY55" i="44"/>
  <c r="BM18" i="44"/>
  <c r="BS44" i="44"/>
  <c r="BZ40" i="44"/>
  <c r="BK52" i="44"/>
  <c r="BY38" i="44"/>
  <c r="BR12" i="44"/>
  <c r="BG23" i="44"/>
  <c r="BB40" i="44"/>
  <c r="BS24" i="44"/>
  <c r="BF41" i="44"/>
  <c r="BQ45" i="44"/>
  <c r="BL38" i="44"/>
  <c r="BQ35" i="44"/>
  <c r="BO35" i="44"/>
  <c r="BG48" i="44"/>
  <c r="BT48" i="44"/>
  <c r="BU43" i="44"/>
  <c r="CB43" i="44"/>
  <c r="BO48" i="44"/>
  <c r="CF47" i="44"/>
  <c r="BT52" i="44"/>
  <c r="BM36" i="44"/>
  <c r="CC18" i="44"/>
  <c r="BM28" i="44"/>
  <c r="BH28" i="44"/>
  <c r="BF44" i="44"/>
  <c r="BT41" i="44"/>
  <c r="CH57" i="44"/>
  <c r="CA16" i="44"/>
  <c r="BW50" i="44"/>
  <c r="BV49" i="44"/>
  <c r="BV17" i="44"/>
  <c r="BK51" i="44"/>
  <c r="BS49" i="44"/>
  <c r="CA52" i="44"/>
  <c r="CB42" i="44"/>
  <c r="BE55" i="44"/>
  <c r="BB44" i="44"/>
  <c r="CB40" i="44"/>
  <c r="BO17" i="44"/>
  <c r="CC44" i="44"/>
  <c r="CI46" i="44"/>
  <c r="BG47" i="44"/>
  <c r="BJ16" i="44"/>
  <c r="CJ48" i="44"/>
  <c r="BC24" i="44"/>
  <c r="BW37" i="44"/>
  <c r="BY41" i="44"/>
  <c r="CD46" i="44"/>
  <c r="CG55" i="44"/>
  <c r="BS57" i="44"/>
  <c r="CH34" i="44"/>
  <c r="CB39" i="44"/>
  <c r="CA50" i="44"/>
  <c r="BK55" i="44"/>
  <c r="BO28" i="44"/>
  <c r="BW51" i="44"/>
  <c r="BW55" i="44"/>
  <c r="BU17" i="44"/>
  <c r="BL52" i="44"/>
  <c r="CJ36" i="44"/>
  <c r="BS56" i="44"/>
  <c r="BQ24" i="44"/>
  <c r="CA38" i="44"/>
  <c r="CI55" i="44"/>
  <c r="BX41" i="44"/>
  <c r="CA37" i="44"/>
  <c r="BD36" i="44"/>
  <c r="BB57" i="44"/>
  <c r="BN36" i="44"/>
  <c r="BH41" i="44"/>
  <c r="BK37" i="44"/>
  <c r="BN39" i="44"/>
  <c r="CF23" i="44"/>
  <c r="CG23" i="44"/>
  <c r="CD17" i="44"/>
  <c r="BM35" i="44"/>
  <c r="BJ57" i="44"/>
  <c r="CE53" i="44"/>
  <c r="CJ50" i="44"/>
  <c r="CB47" i="44"/>
  <c r="BW28" i="44"/>
  <c r="BT34" i="44"/>
  <c r="BO47" i="44"/>
  <c r="CI34" i="44"/>
  <c r="CK45" i="44"/>
  <c r="BJ42" i="44"/>
  <c r="BS39" i="44"/>
  <c r="BU34" i="44"/>
  <c r="BE45" i="44"/>
  <c r="BX24" i="44"/>
  <c r="BU23" i="44"/>
  <c r="CB51" i="44"/>
  <c r="BX51" i="44"/>
  <c r="BE56" i="44"/>
  <c r="CD40" i="44"/>
  <c r="BH56" i="44"/>
  <c r="CE57" i="44"/>
  <c r="CI37" i="44"/>
  <c r="BI43" i="44"/>
  <c r="BQ18" i="44"/>
  <c r="CF35" i="44"/>
  <c r="BM24" i="44"/>
  <c r="CH18" i="44"/>
  <c r="BH48" i="44"/>
  <c r="BI23" i="44"/>
  <c r="CE47" i="44"/>
  <c r="BX23" i="44"/>
  <c r="CF57" i="44"/>
  <c r="BG43" i="44"/>
  <c r="BD51" i="44"/>
  <c r="BM51" i="44"/>
  <c r="CA12" i="44"/>
  <c r="BZ42" i="44"/>
  <c r="BC57" i="44"/>
  <c r="CJ55" i="44"/>
  <c r="BF18" i="44"/>
  <c r="CJ40" i="44"/>
  <c r="BP42" i="44"/>
  <c r="BK18" i="44"/>
  <c r="BY34" i="44"/>
  <c r="BZ23" i="44"/>
  <c r="CB37" i="44"/>
  <c r="CI44" i="44"/>
  <c r="BI35" i="44"/>
  <c r="BS45" i="44"/>
  <c r="CJ18" i="44"/>
  <c r="BD57" i="44"/>
  <c r="CH54" i="44"/>
  <c r="CF38" i="44"/>
  <c r="BF48" i="44"/>
  <c r="BV45" i="44"/>
  <c r="BY52" i="44"/>
  <c r="BL56" i="44"/>
  <c r="BL48" i="44"/>
  <c r="BS55" i="44"/>
  <c r="BU53" i="44"/>
  <c r="BE28" i="44"/>
  <c r="BO42" i="44"/>
  <c r="BW39" i="44"/>
  <c r="BX34" i="44"/>
  <c r="CH35" i="44"/>
  <c r="BQ50" i="44"/>
  <c r="BL12" i="44"/>
  <c r="BG41" i="44"/>
  <c r="CG53" i="44"/>
  <c r="BS23" i="44"/>
  <c r="CI49" i="44"/>
  <c r="BV41" i="44"/>
  <c r="BS46" i="44"/>
  <c r="BE35" i="44"/>
  <c r="CC45" i="44"/>
  <c r="BU45" i="44"/>
  <c r="BG55" i="44"/>
  <c r="BR40" i="44"/>
  <c r="CG35" i="44"/>
  <c r="CH28" i="44"/>
  <c r="CA43" i="44"/>
  <c r="BN42" i="44"/>
  <c r="BM55" i="44"/>
  <c r="CK16" i="44"/>
  <c r="CB50" i="44"/>
  <c r="BX56" i="44"/>
  <c r="BK57" i="44"/>
  <c r="CK37" i="44"/>
  <c r="BH12" i="44"/>
  <c r="CB38" i="44"/>
  <c r="BD54" i="44"/>
  <c r="BK36" i="44"/>
  <c r="CE23" i="44"/>
  <c r="CF34" i="44"/>
  <c r="CE34" i="44"/>
  <c r="BM53" i="44"/>
  <c r="BV18" i="44"/>
  <c r="CF18" i="44"/>
  <c r="BY24" i="44"/>
  <c r="CI50" i="44"/>
  <c r="BX37" i="44"/>
  <c r="BK43" i="44"/>
  <c r="BF39" i="44"/>
  <c r="BF16" i="44"/>
  <c r="BL36" i="44"/>
  <c r="BV28" i="44"/>
  <c r="BT45" i="44"/>
  <c r="BS42" i="44"/>
  <c r="CG34" i="44"/>
  <c r="CG24" i="44"/>
  <c r="BX45" i="44"/>
  <c r="BL49" i="44"/>
  <c r="BI57" i="44"/>
  <c r="BV54" i="44"/>
  <c r="CI51" i="44"/>
  <c r="CD41" i="44"/>
  <c r="BZ41" i="44"/>
  <c r="BF53" i="44"/>
  <c r="BH38" i="44"/>
  <c r="CG51" i="44"/>
  <c r="BN48" i="44"/>
  <c r="BR52" i="44"/>
  <c r="CF42" i="44"/>
  <c r="BD52" i="44"/>
  <c r="BH50" i="44"/>
  <c r="BO54" i="44"/>
  <c r="BR16" i="44"/>
  <c r="BG36" i="44"/>
  <c r="CG12" i="44"/>
  <c r="CI16" i="44"/>
  <c r="BZ37" i="44"/>
  <c r="BK34" i="44"/>
  <c r="BK41" i="44"/>
  <c r="BL45" i="44"/>
  <c r="CG47" i="44"/>
  <c r="BB48" i="44"/>
  <c r="CK24" i="44"/>
  <c r="BO51" i="44"/>
  <c r="BV46" i="44"/>
  <c r="CC53" i="44"/>
  <c r="CG57" i="44"/>
  <c r="BP36" i="44"/>
  <c r="CE43" i="44"/>
  <c r="BV42" i="44"/>
  <c r="BT12" i="44"/>
  <c r="BO23" i="44"/>
  <c r="BS37" i="44"/>
  <c r="CJ43" i="44"/>
  <c r="BO45" i="44"/>
  <c r="CA57" i="44"/>
  <c r="BD43" i="44"/>
  <c r="CH37" i="44"/>
  <c r="BJ51" i="44"/>
  <c r="CG49" i="44"/>
  <c r="CH44" i="44"/>
  <c r="CG52" i="44"/>
  <c r="CG39" i="44"/>
  <c r="BS34" i="44"/>
  <c r="CE28" i="44"/>
  <c r="BW23" i="44"/>
  <c r="BW35" i="44"/>
  <c r="CC49" i="44"/>
  <c r="BZ54" i="44"/>
  <c r="BC48" i="44"/>
  <c r="BR34" i="44"/>
  <c r="BB55" i="44"/>
  <c r="CG43" i="44"/>
  <c r="CA40" i="44"/>
  <c r="BP34" i="44"/>
  <c r="CJ16" i="44"/>
  <c r="CC57" i="44"/>
  <c r="BG16" i="44"/>
  <c r="BD42" i="44"/>
  <c r="BU39" i="44"/>
  <c r="CD37" i="44"/>
  <c r="BW12" i="44"/>
  <c r="CG40" i="44"/>
  <c r="BU36" i="44"/>
  <c r="BT28" i="44"/>
  <c r="BK44" i="44"/>
  <c r="CG56" i="44"/>
  <c r="BZ56" i="44"/>
  <c r="BQ54" i="44"/>
  <c r="CC34" i="44"/>
  <c r="CI52" i="44"/>
  <c r="BI37" i="44"/>
  <c r="BU41" i="44"/>
  <c r="CF28" i="44"/>
  <c r="BC54" i="44"/>
  <c r="CI57" i="44"/>
  <c r="BD28" i="44"/>
  <c r="BD17" i="44"/>
  <c r="CB53" i="44"/>
  <c r="BK46" i="44"/>
  <c r="CC37" i="44"/>
  <c r="BX12" i="44"/>
  <c r="CA39" i="44"/>
  <c r="CJ47" i="44"/>
  <c r="BP39" i="44"/>
  <c r="BP17" i="44"/>
  <c r="BR51" i="44"/>
  <c r="BO34" i="44"/>
  <c r="BJ46" i="44"/>
  <c r="BO50" i="44"/>
  <c r="BP47" i="44"/>
  <c r="BK16" i="44"/>
  <c r="BP54" i="44"/>
  <c r="BU54" i="44"/>
  <c r="CB23" i="44"/>
  <c r="BJ54" i="44"/>
  <c r="BJ38" i="44"/>
  <c r="BR38" i="44"/>
  <c r="BG12" i="44"/>
  <c r="BL47" i="44"/>
  <c r="BC52" i="44"/>
  <c r="CD35" i="44"/>
  <c r="BP52" i="44"/>
  <c r="CK35" i="44"/>
  <c r="CA24" i="44"/>
  <c r="BW46" i="44"/>
  <c r="BK49" i="44"/>
  <c r="CF39" i="44"/>
  <c r="BV24" i="44"/>
  <c r="BY47" i="44"/>
  <c r="BN47" i="44"/>
  <c r="BY44" i="44"/>
  <c r="BV40" i="44"/>
  <c r="BT37" i="44"/>
  <c r="BI41" i="44"/>
  <c r="CK36" i="44"/>
  <c r="BH24" i="44"/>
  <c r="BV35" i="44"/>
  <c r="CE41" i="44"/>
  <c r="BQ46" i="44"/>
  <c r="BF24" i="44"/>
  <c r="BL46" i="44"/>
  <c r="BI52" i="44"/>
  <c r="BK23" i="44"/>
  <c r="BH53" i="44"/>
  <c r="CJ34" i="44"/>
  <c r="BI34" i="44"/>
  <c r="BN40" i="44"/>
  <c r="CF56" i="44"/>
  <c r="BG34" i="44"/>
  <c r="CB36" i="44"/>
  <c r="CG37" i="44"/>
  <c r="BW45" i="44"/>
  <c r="CJ46" i="44"/>
  <c r="BQ23" i="44"/>
  <c r="BW43" i="44"/>
  <c r="CB54" i="44"/>
  <c r="BJ41" i="44"/>
  <c r="CD54" i="44"/>
  <c r="BM56" i="44"/>
  <c r="CI12" i="44"/>
  <c r="BX48" i="44"/>
  <c r="BG57" i="44"/>
  <c r="CG44" i="44"/>
  <c r="CK50" i="44"/>
  <c r="BU46" i="44"/>
  <c r="CI54" i="44"/>
  <c r="BW24" i="44"/>
  <c r="BH54" i="44"/>
  <c r="BQ55" i="44"/>
  <c r="CH56" i="44"/>
  <c r="BO37" i="44"/>
  <c r="BZ46" i="44"/>
  <c r="BL53" i="44"/>
  <c r="BZ39" i="44"/>
  <c r="CG48" i="44"/>
  <c r="BW34" i="44"/>
  <c r="CA45" i="44"/>
  <c r="BI16" i="44"/>
  <c r="BW18" i="44"/>
  <c r="CK43" i="44"/>
  <c r="BU50" i="44"/>
  <c r="BH16" i="44"/>
  <c r="BZ45" i="44"/>
  <c r="BK50" i="44"/>
  <c r="CA47" i="44"/>
  <c r="BC56" i="44"/>
  <c r="BN52" i="44"/>
  <c r="BP41" i="44"/>
  <c r="BE53" i="44"/>
  <c r="CH17" i="44"/>
  <c r="BC45" i="44"/>
  <c r="BQ41" i="44"/>
  <c r="BN49" i="44"/>
  <c r="BS48" i="44"/>
  <c r="BB56" i="44"/>
  <c r="BY51" i="44"/>
  <c r="CE42" i="44"/>
  <c r="BH40" i="44"/>
  <c r="CD44" i="44"/>
  <c r="BY56" i="44"/>
  <c r="BX35" i="44"/>
  <c r="BE34" i="44"/>
  <c r="CH41" i="44"/>
  <c r="BU56" i="44"/>
  <c r="BI17" i="44"/>
  <c r="BY23" i="44"/>
  <c r="CE54" i="44"/>
  <c r="BB43" i="44"/>
  <c r="BE47" i="44"/>
  <c r="BY40" i="44"/>
  <c r="BY57" i="44"/>
  <c r="BZ53" i="44"/>
  <c r="CK38" i="44"/>
  <c r="BN43" i="44"/>
  <c r="BO41" i="44"/>
  <c r="BE12" i="44"/>
  <c r="CI42" i="44"/>
  <c r="BQ42" i="44"/>
  <c r="BQ37" i="44"/>
  <c r="CE56" i="44"/>
  <c r="BE24" i="44"/>
  <c r="CF12" i="44"/>
  <c r="BF47" i="44"/>
  <c r="CD50" i="44"/>
  <c r="CI17" i="44"/>
  <c r="BF40" i="44"/>
  <c r="BM57" i="44"/>
  <c r="BE37" i="44"/>
  <c r="BG51" i="44"/>
  <c r="CA51" i="44"/>
  <c r="BL23" i="44"/>
  <c r="BF52" i="44"/>
  <c r="BU12" i="44"/>
  <c r="BI36" i="44"/>
  <c r="BF51" i="44"/>
  <c r="BI45" i="44"/>
  <c r="BB23" i="44"/>
  <c r="BV43" i="44"/>
  <c r="BR46" i="44"/>
  <c r="BQ44" i="44"/>
  <c r="BM42" i="44"/>
  <c r="BP55" i="44"/>
  <c r="CD53" i="44"/>
  <c r="CB49" i="44"/>
  <c r="CF16" i="44"/>
  <c r="BW52" i="44"/>
  <c r="BD45" i="44"/>
  <c r="CK48" i="44"/>
  <c r="BV55" i="44"/>
  <c r="BT57" i="44"/>
  <c r="CE45" i="44"/>
  <c r="CE48" i="44"/>
  <c r="BQ12" i="44"/>
  <c r="BC16" i="44"/>
  <c r="CG17" i="44"/>
  <c r="BP23" i="44"/>
  <c r="BE57" i="44"/>
  <c r="BD55" i="44"/>
  <c r="BZ50" i="44"/>
  <c r="CD49" i="44"/>
  <c r="CI53" i="44"/>
  <c r="CI43" i="44"/>
  <c r="BT55" i="44"/>
  <c r="BT23" i="44"/>
  <c r="CI39" i="44"/>
  <c r="BT43" i="44"/>
  <c r="BS35" i="44"/>
  <c r="BJ45" i="44"/>
  <c r="CC46" i="44"/>
  <c r="BV56" i="44"/>
  <c r="BV16" i="44"/>
  <c r="CE12" i="44"/>
  <c r="CK57" i="44"/>
  <c r="BW53" i="44"/>
  <c r="BM41" i="44"/>
  <c r="CK44" i="44"/>
  <c r="BN16" i="44"/>
  <c r="CE17" i="44"/>
  <c r="BJ23" i="44"/>
  <c r="BE48" i="44"/>
  <c r="CK49" i="44"/>
  <c r="BJ24" i="44"/>
  <c r="BD38" i="44"/>
  <c r="BH55" i="44"/>
  <c r="CF37" i="44"/>
  <c r="BF42" i="44"/>
  <c r="CJ23" i="44"/>
  <c r="CI28" i="44"/>
  <c r="BT49" i="44"/>
  <c r="BY17" i="44"/>
  <c r="BB36" i="44"/>
  <c r="BK17" i="44"/>
  <c r="BK45" i="44"/>
  <c r="BS53" i="44"/>
  <c r="BM37" i="44"/>
  <c r="BN50" i="44"/>
  <c r="CH43" i="44"/>
  <c r="BL37" i="44"/>
  <c r="BB38" i="44"/>
  <c r="BO12" i="44"/>
  <c r="BC53" i="44"/>
  <c r="CF41" i="44"/>
  <c r="BU57" i="44"/>
  <c r="BJ53" i="44"/>
  <c r="BS16" i="44"/>
  <c r="BT47" i="44"/>
  <c r="CB52" i="44"/>
  <c r="BR50" i="44"/>
  <c r="BD46" i="44"/>
  <c r="CH42" i="44"/>
  <c r="BP53" i="44"/>
  <c r="CH23" i="44"/>
  <c r="CE37" i="44"/>
  <c r="BI38" i="44"/>
  <c r="CA49" i="44"/>
  <c r="BX49" i="44"/>
  <c r="CJ35" i="44"/>
  <c r="BP18" i="44"/>
  <c r="BM54" i="44"/>
  <c r="BH51" i="44"/>
  <c r="BM46" i="44"/>
  <c r="BJ55" i="44"/>
  <c r="BU16" i="44"/>
  <c r="BF34" i="44"/>
  <c r="CA34" i="44"/>
  <c r="CI48" i="44"/>
  <c r="BZ55" i="44"/>
  <c r="CF51" i="44"/>
  <c r="BE17" i="44"/>
  <c r="CF43" i="44"/>
  <c r="BO56" i="44"/>
  <c r="CH12" i="44"/>
  <c r="BC41" i="44"/>
  <c r="BG45" i="44"/>
  <c r="BV38" i="44"/>
  <c r="BQ36" i="44"/>
  <c r="BY43" i="44"/>
  <c r="BT18" i="44"/>
  <c r="CC47" i="44"/>
  <c r="CK12" i="44"/>
  <c r="BR57" i="44"/>
  <c r="BC55" i="44"/>
  <c r="CI24" i="44"/>
  <c r="BD44" i="44"/>
  <c r="BH18" i="44"/>
  <c r="CK47" i="44"/>
  <c r="BO55" i="44"/>
  <c r="BD40" i="44"/>
  <c r="BJ37" i="44"/>
  <c r="BC50" i="44"/>
  <c r="CC43" i="44"/>
  <c r="BD23" i="44"/>
  <c r="BU44" i="44"/>
  <c r="BI40" i="44"/>
  <c r="BQ52" i="44"/>
  <c r="BW42" i="44"/>
  <c r="BY28" i="44"/>
  <c r="BF46" i="44"/>
  <c r="BM38" i="44"/>
  <c r="BP46" i="44"/>
  <c r="CB35" i="44"/>
  <c r="CC40" i="44"/>
  <c r="BI50" i="44"/>
  <c r="CC24" i="44"/>
  <c r="BU51" i="44"/>
  <c r="BZ34" i="44"/>
  <c r="BR35" i="44"/>
  <c r="BJ48" i="44"/>
  <c r="CC42" i="44"/>
  <c r="BQ40" i="44"/>
  <c r="BM34" i="44"/>
  <c r="BQ49" i="44"/>
  <c r="BW47" i="44"/>
  <c r="CF49" i="44"/>
  <c r="CD39" i="44"/>
  <c r="BE38" i="44"/>
  <c r="BB52" i="44"/>
  <c r="BQ43" i="44"/>
  <c r="BR45" i="44"/>
  <c r="CH16" i="44"/>
  <c r="BE16" i="44"/>
  <c r="BN12" i="44"/>
  <c r="BP38" i="44"/>
  <c r="BU55" i="44"/>
  <c r="BH42" i="44"/>
  <c r="CC52" i="44"/>
  <c r="BC44" i="44"/>
  <c r="CA46" i="44"/>
  <c r="CK46" i="44"/>
  <c r="BP37" i="44"/>
  <c r="CG54" i="44"/>
  <c r="BD34" i="44"/>
  <c r="BZ52" i="44"/>
  <c r="BR47" i="44"/>
  <c r="BB47" i="44"/>
  <c r="BX42" i="44"/>
  <c r="CG41" i="44"/>
  <c r="BR41" i="44"/>
  <c r="CE44" i="44"/>
  <c r="BI28" i="44"/>
  <c r="BL18" i="44"/>
  <c r="CK39" i="44"/>
  <c r="BQ16" i="44"/>
  <c r="BW44" i="44"/>
  <c r="CA17" i="44"/>
  <c r="BI53" i="44"/>
  <c r="BV36" i="44"/>
  <c r="BR43" i="44"/>
  <c r="BD53" i="44"/>
  <c r="BK39" i="44"/>
  <c r="BK54" i="44"/>
  <c r="BQ48" i="44"/>
  <c r="BL16" i="44"/>
  <c r="BC49" i="44"/>
  <c r="CH45" i="44"/>
  <c r="CI36" i="44"/>
  <c r="BQ51" i="44"/>
  <c r="CJ39" i="44"/>
  <c r="BH49" i="44"/>
  <c r="CE39" i="44"/>
  <c r="BI54" i="44"/>
  <c r="BR24" i="44"/>
  <c r="CF54" i="44"/>
  <c r="BC39" i="44"/>
  <c r="CJ24" i="44"/>
  <c r="BY18" i="44"/>
  <c r="BX54" i="44"/>
  <c r="BJ44" i="44"/>
  <c r="BR49" i="44"/>
  <c r="BW17" i="44"/>
  <c r="BE44" i="44"/>
  <c r="BN18" i="44"/>
  <c r="BO39" i="44"/>
  <c r="BI47" i="44"/>
  <c r="CG42" i="44"/>
  <c r="BY39" i="44"/>
  <c r="BG42" i="44"/>
  <c r="CH46" i="44"/>
  <c r="BM17" i="44"/>
  <c r="BD56" i="44"/>
  <c r="BP44" i="44"/>
  <c r="BE52" i="44"/>
  <c r="CJ49" i="44"/>
  <c r="BT51" i="44"/>
  <c r="CB56" i="44"/>
  <c r="CE52" i="44"/>
  <c r="BX28" i="44"/>
  <c r="BI24" i="44"/>
  <c r="CD18" i="44"/>
  <c r="CF24" i="44"/>
  <c r="CC36" i="44"/>
  <c r="BW57" i="44"/>
  <c r="BZ38" i="44"/>
  <c r="BC38" i="44"/>
  <c r="CH50" i="44"/>
  <c r="BX44" i="44"/>
  <c r="CB44" i="44"/>
  <c r="CC56" i="44"/>
  <c r="BP24" i="44"/>
  <c r="BO38" i="44"/>
  <c r="BD35" i="44"/>
  <c r="BD49" i="44"/>
  <c r="CH38" i="44"/>
  <c r="CC35" i="44"/>
  <c r="BZ51" i="44"/>
  <c r="BV53" i="44"/>
  <c r="CJ37" i="44"/>
  <c r="CH24" i="44"/>
  <c r="CK51" i="44"/>
  <c r="BV37" i="44"/>
  <c r="BZ57" i="44"/>
  <c r="BP12" i="44"/>
  <c r="CB17" i="44"/>
  <c r="BX43" i="44"/>
  <c r="BW40" i="44"/>
  <c r="BG18" i="44"/>
  <c r="BN57" i="44"/>
  <c r="BH47" i="44"/>
  <c r="BH37" i="44"/>
  <c r="BS18" i="44"/>
  <c r="BL41" i="44"/>
  <c r="BY49" i="44"/>
  <c r="BZ16" i="44"/>
  <c r="BU35" i="44"/>
  <c r="BU18" i="44"/>
  <c r="BU49" i="44"/>
  <c r="BB46" i="44"/>
  <c r="BB53" i="44"/>
  <c r="BY50" i="44"/>
  <c r="BK12" i="44"/>
  <c r="BH36" i="44"/>
  <c r="BD12" i="44"/>
  <c r="BP45" i="44"/>
  <c r="BL54" i="44"/>
  <c r="CB41" i="44"/>
  <c r="BC51" i="44"/>
  <c r="BD16" i="44"/>
  <c r="BF55" i="44"/>
  <c r="BJ28" i="44"/>
  <c r="BP43" i="44"/>
  <c r="BU28" i="44"/>
  <c r="BE54" i="44"/>
  <c r="BY54" i="44"/>
  <c r="CH47" i="44"/>
  <c r="CG16" i="44"/>
  <c r="BF43" i="44"/>
  <c r="BR37" i="44"/>
  <c r="BG54" i="44"/>
  <c r="BO57" i="44"/>
  <c r="BS54" i="44"/>
  <c r="BJ52" i="44"/>
  <c r="BI51" i="44"/>
  <c r="BO24" i="44"/>
  <c r="BO40" i="44"/>
  <c r="CH36" i="44"/>
  <c r="CK40" i="44"/>
  <c r="CJ44" i="44"/>
  <c r="BL55" i="44"/>
  <c r="BJ49" i="44"/>
  <c r="CD36" i="44"/>
  <c r="CK53" i="44"/>
  <c r="BT40" i="44"/>
  <c r="BY12" i="44"/>
  <c r="CB16" i="44"/>
  <c r="CD43" i="44"/>
  <c r="CI45" i="44"/>
  <c r="BZ48" i="44"/>
  <c r="BO53" i="44"/>
  <c r="BO46" i="44"/>
  <c r="CD16" i="44"/>
  <c r="CF40" i="44"/>
  <c r="BH45" i="44"/>
  <c r="BP16" i="44"/>
  <c r="BS51" i="44"/>
  <c r="CA41" i="44"/>
  <c r="CC54" i="44"/>
  <c r="BT54" i="44"/>
  <c r="BG35" i="44"/>
  <c r="CE51" i="44"/>
  <c r="CE24" i="44"/>
  <c r="CJ56" i="44"/>
  <c r="BQ28" i="44"/>
  <c r="BU48" i="44"/>
  <c r="BG37" i="44"/>
  <c r="BN37" i="44"/>
  <c r="BE36" i="44"/>
  <c r="CE40" i="44"/>
  <c r="BJ35" i="44"/>
  <c r="BH17" i="44"/>
  <c r="BS17" i="44"/>
  <c r="BQ47" i="44"/>
  <c r="BY48" i="44"/>
  <c r="BQ17" i="44"/>
  <c r="BX38" i="44"/>
  <c r="BY16" i="44"/>
  <c r="BP57" i="44"/>
  <c r="BE23" i="44"/>
  <c r="BM47" i="44"/>
  <c r="CA35" i="44"/>
  <c r="BG46" i="44"/>
  <c r="BF38" i="44"/>
  <c r="BU24" i="44"/>
  <c r="BE50" i="44"/>
  <c r="BD50" i="44"/>
  <c r="BU37" i="44"/>
  <c r="BR55" i="44"/>
  <c r="BN46" i="44"/>
  <c r="CB24" i="44"/>
  <c r="BB39" i="44"/>
  <c r="BB45" i="44"/>
  <c r="BP50" i="44"/>
  <c r="BI42" i="44"/>
  <c r="CC51" i="44"/>
  <c r="CD28" i="44"/>
  <c r="CB34" i="44"/>
  <c r="CI56" i="44"/>
  <c r="BG50" i="44"/>
  <c r="CH53" i="44"/>
  <c r="BM45" i="44"/>
  <c r="CF45" i="44"/>
  <c r="BP51" i="44"/>
  <c r="CA23" i="44"/>
  <c r="BQ56" i="44"/>
  <c r="CF46" i="44"/>
  <c r="BW36" i="44"/>
  <c r="CC17" i="44"/>
  <c r="CE50" i="44"/>
  <c r="BH57" i="44"/>
  <c r="BG40" i="44"/>
  <c r="CA44" i="44"/>
  <c r="CH52" i="44"/>
  <c r="BL35" i="44"/>
  <c r="BB16" i="44"/>
  <c r="CD42" i="44"/>
  <c r="BD47" i="44"/>
  <c r="BN28" i="44"/>
  <c r="CJ51" i="44"/>
  <c r="BC42" i="44"/>
  <c r="BE42" i="44"/>
  <c r="BS12" i="44"/>
  <c r="BX39" i="44"/>
  <c r="CD55" i="44"/>
  <c r="BS43" i="44"/>
  <c r="BX16" i="44"/>
  <c r="CI23" i="44"/>
  <c r="BG38" i="44"/>
  <c r="BX36" i="44"/>
  <c r="BG17" i="44"/>
  <c r="BO52" i="44"/>
  <c r="BV34" i="44"/>
  <c r="BX17" i="44"/>
  <c r="BR18" i="44"/>
  <c r="CD23" i="44"/>
  <c r="BN44" i="44"/>
  <c r="CE55" i="44"/>
  <c r="BM52" i="44"/>
  <c r="CE46" i="44"/>
  <c r="BN23" i="44"/>
  <c r="BY37" i="44"/>
  <c r="BK40" i="44"/>
  <c r="BH52" i="44"/>
  <c r="BF36" i="44"/>
  <c r="BL24" i="44"/>
  <c r="BZ28" i="44"/>
  <c r="BK48" i="44"/>
  <c r="BT42" i="44"/>
  <c r="BW16" i="44"/>
  <c r="BB35" i="44"/>
  <c r="CK17" i="44"/>
  <c r="BY53" i="44"/>
  <c r="BB41" i="44"/>
  <c r="BY35" i="44"/>
  <c r="CF53" i="44"/>
  <c r="BR23" i="44"/>
  <c r="BE51" i="44"/>
  <c r="BF12" i="44"/>
  <c r="BS28" i="44"/>
  <c r="BM12" i="44"/>
  <c r="BC18" i="44"/>
  <c r="CA18" i="44"/>
  <c r="CA53" i="44"/>
  <c r="B9" i="50"/>
  <c r="AW181" i="45" l="1" a="1"/>
  <c r="AW181" i="45" s="1"/>
  <c r="AW180" i="45" a="1"/>
  <c r="AW180" i="45" s="1"/>
  <c r="AW179" i="45" a="1"/>
  <c r="AW179" i="45" s="1"/>
  <c r="AW178" i="45" a="1"/>
  <c r="AW178" i="45" s="1"/>
  <c r="AW177" i="45" a="1"/>
  <c r="AW177" i="45" s="1"/>
  <c r="AW176" i="45" a="1"/>
  <c r="AW176" i="45" s="1"/>
  <c r="AW175" i="45" a="1"/>
  <c r="AW175" i="45" s="1"/>
  <c r="AW174" i="45" a="1"/>
  <c r="AW174" i="45" s="1"/>
  <c r="AW173" i="45" a="1"/>
  <c r="AW173" i="45" s="1"/>
  <c r="AW172" i="45" a="1"/>
  <c r="AW172" i="45" s="1"/>
  <c r="AW171" i="45" a="1"/>
  <c r="AW171" i="45" s="1"/>
  <c r="AW170" i="45" a="1"/>
  <c r="AW170" i="45" s="1"/>
  <c r="AW169" i="45" a="1"/>
  <c r="AW169" i="45" s="1"/>
  <c r="AW168" i="45" a="1"/>
  <c r="AW168" i="45" s="1"/>
  <c r="AW167" i="45" a="1"/>
  <c r="AW167" i="45" s="1"/>
  <c r="AW166" i="45" a="1"/>
  <c r="AW166" i="45" s="1"/>
  <c r="AW165" i="45" a="1"/>
  <c r="AW165" i="45" s="1"/>
  <c r="AW164" i="45" a="1"/>
  <c r="AW164" i="45" s="1"/>
  <c r="AW163" i="45" a="1"/>
  <c r="AW163" i="45" s="1"/>
  <c r="AW162" i="45" a="1"/>
  <c r="AW162" i="45" s="1"/>
  <c r="AW161" i="45" a="1"/>
  <c r="AW161" i="45" s="1"/>
  <c r="AW160" i="45" a="1"/>
  <c r="AW160" i="45" s="1"/>
  <c r="AW159" i="45" a="1"/>
  <c r="AW159" i="45" s="1"/>
  <c r="AW158" i="45" a="1"/>
  <c r="AW158" i="45" s="1"/>
  <c r="AW157" i="45" a="1"/>
  <c r="AW157" i="45" s="1"/>
  <c r="AW156" i="45" a="1"/>
  <c r="AW156" i="45" s="1"/>
  <c r="AW155" i="45" a="1"/>
  <c r="AW155" i="45" s="1"/>
  <c r="AW154" i="45" a="1"/>
  <c r="AW154" i="45" s="1"/>
  <c r="AW153" i="45" a="1"/>
  <c r="AW153" i="45" s="1"/>
  <c r="AW152" i="45" a="1"/>
  <c r="AW152" i="45" s="1"/>
  <c r="AW151" i="45" a="1"/>
  <c r="AW151" i="45" s="1"/>
  <c r="AW150" i="45" a="1"/>
  <c r="AW150" i="45" s="1"/>
  <c r="AW149" i="45" a="1"/>
  <c r="AW149" i="45" s="1"/>
  <c r="AW148" i="45" a="1"/>
  <c r="AW148" i="45" s="1"/>
  <c r="AW147" i="45" a="1"/>
  <c r="AW147" i="45" s="1"/>
  <c r="AW146" i="45" a="1"/>
  <c r="AW146" i="45" s="1"/>
  <c r="AW145" i="45" a="1"/>
  <c r="AW145" i="45" s="1"/>
  <c r="AW144" i="45" a="1"/>
  <c r="AW144" i="45" s="1"/>
  <c r="AW143" i="45" a="1"/>
  <c r="AW143" i="45" s="1"/>
  <c r="AW142" i="45" a="1"/>
  <c r="AW142" i="45" s="1"/>
  <c r="AW141" i="45" a="1"/>
  <c r="AW141" i="45" s="1"/>
  <c r="AW140" i="45" a="1"/>
  <c r="AW140" i="45" s="1"/>
  <c r="AW139" i="45" a="1"/>
  <c r="AW139" i="45" s="1"/>
  <c r="AW138" i="45" a="1"/>
  <c r="AW138" i="45" s="1"/>
  <c r="AW137" i="45" a="1"/>
  <c r="AW137" i="45" s="1"/>
  <c r="AW136" i="45" a="1"/>
  <c r="AW136" i="45" s="1"/>
  <c r="AW135" i="45" a="1"/>
  <c r="AW135" i="45" s="1"/>
  <c r="AW134" i="45" a="1"/>
  <c r="AW134" i="45" s="1"/>
  <c r="AW133" i="45" a="1"/>
  <c r="AW133" i="45" s="1"/>
  <c r="AW132" i="45" a="1"/>
  <c r="AW132" i="45" s="1"/>
  <c r="AW131" i="45" a="1"/>
  <c r="AW131" i="45" s="1"/>
  <c r="AW130" i="45" a="1"/>
  <c r="AW130" i="45" s="1"/>
  <c r="AW129" i="45" a="1"/>
  <c r="AW129" i="45" s="1"/>
  <c r="AW128" i="45" a="1"/>
  <c r="AW128" i="45" s="1"/>
  <c r="AW127" i="45" a="1"/>
  <c r="AW127" i="45" s="1"/>
  <c r="AW126" i="45" a="1"/>
  <c r="AW126" i="45" s="1"/>
  <c r="AW125" i="45" a="1"/>
  <c r="AW125" i="45" s="1"/>
  <c r="AW124" i="45" a="1"/>
  <c r="AW124" i="45" s="1"/>
  <c r="AW123" i="45" a="1"/>
  <c r="AW123" i="45" s="1"/>
  <c r="AW122" i="45" a="1"/>
  <c r="AW122" i="45" s="1"/>
  <c r="AW121" i="45" a="1"/>
  <c r="AW121" i="45" s="1"/>
  <c r="AW120" i="45" a="1"/>
  <c r="AW120" i="45" s="1"/>
  <c r="AW119" i="45" a="1"/>
  <c r="AW119" i="45" s="1"/>
  <c r="AW118" i="45" a="1"/>
  <c r="AW118" i="45" s="1"/>
  <c r="AW117" i="45" a="1"/>
  <c r="AW117" i="45" s="1"/>
  <c r="AW116" i="45" a="1"/>
  <c r="AW116" i="45" s="1"/>
  <c r="AW115" i="45" a="1"/>
  <c r="AW115" i="45" s="1"/>
  <c r="AW114" i="45" a="1"/>
  <c r="AW114" i="45" s="1"/>
  <c r="AW113" i="45" a="1"/>
  <c r="AW113" i="45" s="1"/>
  <c r="AW112" i="45" a="1"/>
  <c r="AW112" i="45" s="1"/>
  <c r="AW111" i="45" a="1"/>
  <c r="AW111" i="45" s="1"/>
  <c r="AW110" i="45" a="1"/>
  <c r="AW110" i="45" s="1"/>
  <c r="AW109" i="45" a="1"/>
  <c r="AW109" i="45" s="1"/>
  <c r="AW108" i="45" a="1"/>
  <c r="AW108" i="45" s="1"/>
  <c r="AW107" i="45" a="1"/>
  <c r="AW107" i="45" s="1"/>
  <c r="AW106" i="45" a="1"/>
  <c r="AW106" i="45" s="1"/>
  <c r="AW105" i="45" a="1"/>
  <c r="AW105" i="45" s="1"/>
  <c r="AW104" i="45" a="1"/>
  <c r="AW104" i="45" s="1"/>
  <c r="AW103" i="45" a="1"/>
  <c r="AW103" i="45" s="1"/>
  <c r="AW102" i="45" a="1"/>
  <c r="AW102" i="45" s="1"/>
  <c r="AW101" i="45" a="1"/>
  <c r="AW101" i="45" s="1"/>
  <c r="AW100" i="45" a="1"/>
  <c r="AW100" i="45" s="1"/>
  <c r="AW99" i="45" a="1"/>
  <c r="AW99" i="45" s="1"/>
  <c r="AW98" i="45" a="1"/>
  <c r="AW98" i="45" s="1"/>
  <c r="AW97" i="45" a="1"/>
  <c r="AW97" i="45" s="1"/>
  <c r="AW96" i="45" a="1"/>
  <c r="AW96" i="45" s="1"/>
  <c r="AW95" i="45" a="1"/>
  <c r="AW95" i="45" s="1"/>
  <c r="AW94" i="45" a="1"/>
  <c r="AW94" i="45" s="1"/>
  <c r="AW93" i="45" a="1"/>
  <c r="AW93" i="45" s="1"/>
  <c r="AW92" i="45" a="1"/>
  <c r="AW92" i="45" s="1"/>
  <c r="AW91" i="45" a="1"/>
  <c r="AW91" i="45" s="1"/>
  <c r="AW90" i="45" a="1"/>
  <c r="AW90" i="45" s="1"/>
  <c r="AW89" i="45" a="1"/>
  <c r="AW89" i="45" s="1"/>
  <c r="AW88" i="45" a="1"/>
  <c r="AW88" i="45" s="1"/>
  <c r="AW87" i="45" a="1"/>
  <c r="AW87" i="45" s="1"/>
  <c r="AW86" i="45" a="1"/>
  <c r="AW86" i="45" s="1"/>
  <c r="AW85" i="45" a="1"/>
  <c r="AW85" i="45" s="1"/>
  <c r="AW84" i="45" a="1"/>
  <c r="AW84" i="45" s="1"/>
  <c r="AW83" i="45" a="1"/>
  <c r="AW83" i="45" s="1"/>
  <c r="AW82" i="45" a="1"/>
  <c r="AW82" i="45" s="1"/>
  <c r="AW81" i="45" a="1"/>
  <c r="AW81" i="45" s="1"/>
  <c r="AW294" i="45" a="1"/>
  <c r="AW294" i="45" s="1"/>
  <c r="AW391" i="45" a="1"/>
  <c r="AW391" i="45" s="1"/>
  <c r="AW390" i="45" a="1"/>
  <c r="AW390" i="45" s="1"/>
  <c r="AW389" i="45" a="1"/>
  <c r="AW389" i="45" s="1"/>
  <c r="AW388" i="45" a="1"/>
  <c r="AW388" i="45" s="1"/>
  <c r="AW387" i="45" a="1"/>
  <c r="AW387" i="45" s="1"/>
  <c r="AW386" i="45" a="1"/>
  <c r="AW386" i="45" s="1"/>
  <c r="AW385" i="45" a="1"/>
  <c r="AW385" i="45" s="1"/>
  <c r="AW384" i="45" a="1"/>
  <c r="AW384" i="45" s="1"/>
  <c r="AW383" i="45" a="1"/>
  <c r="AW383" i="45" s="1"/>
  <c r="AW382" i="45" a="1"/>
  <c r="AW382" i="45" s="1"/>
  <c r="AW381" i="45" a="1"/>
  <c r="AW381" i="45" s="1"/>
  <c r="AW380" i="45" a="1"/>
  <c r="AW380" i="45" s="1"/>
  <c r="AW379" i="45" a="1"/>
  <c r="AW379" i="45" s="1"/>
  <c r="AW378" i="45" a="1"/>
  <c r="AW378" i="45" s="1"/>
  <c r="AW377" i="45" a="1"/>
  <c r="AW377" i="45" s="1"/>
  <c r="AW376" i="45" a="1"/>
  <c r="AW376" i="45" s="1"/>
  <c r="AW375" i="45" a="1"/>
  <c r="AW375" i="45" s="1"/>
  <c r="AW374" i="45" a="1"/>
  <c r="AW374" i="45" s="1"/>
  <c r="AW373" i="45" a="1"/>
  <c r="AW373" i="45" s="1"/>
  <c r="AW372" i="45" a="1"/>
  <c r="AW372" i="45" s="1"/>
  <c r="AW371" i="45" a="1"/>
  <c r="AW371" i="45" s="1"/>
  <c r="AW370" i="45" a="1"/>
  <c r="AW370" i="45" s="1"/>
  <c r="AW369" i="45" a="1"/>
  <c r="AW369" i="45" s="1"/>
  <c r="AW368" i="45" a="1"/>
  <c r="AW368" i="45" s="1"/>
  <c r="AW367" i="45" a="1"/>
  <c r="AW367" i="45" s="1"/>
  <c r="AW366" i="45" a="1"/>
  <c r="AW366" i="45" s="1"/>
  <c r="AW365" i="45" a="1"/>
  <c r="AW365" i="45" s="1"/>
  <c r="AW364" i="45" a="1"/>
  <c r="AW364" i="45" s="1"/>
  <c r="AW363" i="45" a="1"/>
  <c r="AW363" i="45" s="1"/>
  <c r="AW362" i="45" a="1"/>
  <c r="AW362" i="45" s="1"/>
  <c r="AW361" i="45" a="1"/>
  <c r="AW361" i="45" s="1"/>
  <c r="AW360" i="45" a="1"/>
  <c r="AW360" i="45" s="1"/>
  <c r="AW359" i="45" a="1"/>
  <c r="AW359" i="45" s="1"/>
  <c r="AW358" i="45" a="1"/>
  <c r="AW358" i="45" s="1"/>
  <c r="AW357" i="45" a="1"/>
  <c r="AW357" i="45" s="1"/>
  <c r="AW356" i="45" a="1"/>
  <c r="AW356" i="45" s="1"/>
  <c r="AW355" i="45" a="1"/>
  <c r="AW355" i="45" s="1"/>
  <c r="AW354" i="45" a="1"/>
  <c r="AW354" i="45" s="1"/>
  <c r="AW353" i="45" a="1"/>
  <c r="AW353" i="45" s="1"/>
  <c r="AW352" i="45" a="1"/>
  <c r="AW352" i="45" s="1"/>
  <c r="AW351" i="45" a="1"/>
  <c r="AW351" i="45" s="1"/>
  <c r="AW350" i="45" a="1"/>
  <c r="AW350" i="45" s="1"/>
  <c r="AW349" i="45" a="1"/>
  <c r="AW349" i="45" s="1"/>
  <c r="AW348" i="45" a="1"/>
  <c r="AW348" i="45" s="1"/>
  <c r="AW347" i="45" a="1"/>
  <c r="AW347" i="45" s="1"/>
  <c r="AW346" i="45" a="1"/>
  <c r="AW346" i="45" s="1"/>
  <c r="AW345" i="45" a="1"/>
  <c r="AW345" i="45" s="1"/>
  <c r="AW344" i="45" a="1"/>
  <c r="AW344" i="45" s="1"/>
  <c r="AW343" i="45" a="1"/>
  <c r="AW343" i="45" s="1"/>
  <c r="AW342" i="45" a="1"/>
  <c r="AW342" i="45" s="1"/>
  <c r="AW341" i="45" a="1"/>
  <c r="AW341" i="45" s="1"/>
  <c r="AW340" i="45" a="1"/>
  <c r="AW340" i="45" s="1"/>
  <c r="AW339" i="45" a="1"/>
  <c r="AW339" i="45" s="1"/>
  <c r="AW338" i="45" a="1"/>
  <c r="AW338" i="45" s="1"/>
  <c r="AW337" i="45" a="1"/>
  <c r="AW337" i="45" s="1"/>
  <c r="AW336" i="45" a="1"/>
  <c r="AW336" i="45" s="1"/>
  <c r="AW335" i="45" a="1"/>
  <c r="AW335" i="45" s="1"/>
  <c r="AW334" i="45" a="1"/>
  <c r="AW334" i="45" s="1"/>
  <c r="AW333" i="45" a="1"/>
  <c r="AW333" i="45" s="1"/>
  <c r="AW332" i="45" a="1"/>
  <c r="AW332" i="45" s="1"/>
  <c r="AW331" i="45" a="1"/>
  <c r="AW331" i="45" s="1"/>
  <c r="AW330" i="45" a="1"/>
  <c r="AW330" i="45" s="1"/>
  <c r="AW329" i="45" a="1"/>
  <c r="AW329" i="45" s="1"/>
  <c r="AW328" i="45" a="1"/>
  <c r="AW328" i="45" s="1"/>
  <c r="AW327" i="45" a="1"/>
  <c r="AW327" i="45" s="1"/>
  <c r="AW326" i="45" a="1"/>
  <c r="AW326" i="45" s="1"/>
  <c r="AW325" i="45" a="1"/>
  <c r="AW325" i="45" s="1"/>
  <c r="AW324" i="45" a="1"/>
  <c r="AW324" i="45" s="1"/>
  <c r="AW323" i="45" a="1"/>
  <c r="AW323" i="45" s="1"/>
  <c r="AW322" i="45" a="1"/>
  <c r="AW322" i="45" s="1"/>
  <c r="AW321" i="45" a="1"/>
  <c r="AW321" i="45" s="1"/>
  <c r="AW320" i="45" a="1"/>
  <c r="AW320" i="45" s="1"/>
  <c r="AW319" i="45" a="1"/>
  <c r="AW319" i="45" s="1"/>
  <c r="AW318" i="45" a="1"/>
  <c r="AW318" i="45" s="1"/>
  <c r="AW317" i="45" a="1"/>
  <c r="AW317" i="45" s="1"/>
  <c r="AW316" i="45" a="1"/>
  <c r="AW316" i="45" s="1"/>
  <c r="AW315" i="45" a="1"/>
  <c r="AW315" i="45" s="1"/>
  <c r="AW314" i="45" a="1"/>
  <c r="AW314" i="45" s="1"/>
  <c r="AW313" i="45" a="1"/>
  <c r="AW313" i="45" s="1"/>
  <c r="AW312" i="45" a="1"/>
  <c r="AW312" i="45" s="1"/>
  <c r="AW311" i="45" a="1"/>
  <c r="AW311" i="45" s="1"/>
  <c r="AW310" i="45" a="1"/>
  <c r="AW310" i="45" s="1"/>
  <c r="AW309" i="45" a="1"/>
  <c r="AW309" i="45" s="1"/>
  <c r="AW308" i="45" a="1"/>
  <c r="AW308" i="45" s="1"/>
  <c r="AW307" i="45" a="1"/>
  <c r="AW307" i="45" s="1"/>
  <c r="AW306" i="45" a="1"/>
  <c r="AW306" i="45" s="1"/>
  <c r="AW305" i="45" a="1"/>
  <c r="AW305" i="45" s="1"/>
  <c r="AW304" i="45" a="1"/>
  <c r="AW304" i="45" s="1"/>
  <c r="AW303" i="45" a="1"/>
  <c r="AW303" i="45" s="1"/>
  <c r="AW302" i="45" a="1"/>
  <c r="AW302" i="45" s="1"/>
  <c r="AW301" i="45" a="1"/>
  <c r="AW301" i="45" s="1"/>
  <c r="AW300" i="45" a="1"/>
  <c r="AW300" i="45" s="1"/>
  <c r="AW299" i="45" a="1"/>
  <c r="AW299" i="45" s="1"/>
  <c r="AW298" i="45" a="1"/>
  <c r="AW298" i="45" s="1"/>
  <c r="AW297" i="45" a="1"/>
  <c r="AW297" i="45" s="1"/>
  <c r="AW296" i="45" a="1"/>
  <c r="AW296" i="45" s="1"/>
  <c r="AW295" i="45" a="1"/>
  <c r="AW295" i="45" s="1"/>
  <c r="AW293" i="45" a="1"/>
  <c r="AW293" i="45" s="1"/>
  <c r="AW292" i="45" a="1"/>
  <c r="AW292" i="45" s="1"/>
  <c r="AW291" i="45" a="1"/>
  <c r="AW291" i="45" s="1"/>
  <c r="AX57" i="52" a="1"/>
  <c r="AX57" i="52" s="1"/>
  <c r="AX56" i="52" a="1"/>
  <c r="AX56" i="52" s="1"/>
  <c r="AX55" i="52" a="1"/>
  <c r="AX55" i="52" s="1"/>
  <c r="AX54" i="52" a="1"/>
  <c r="AX54" i="52" s="1"/>
  <c r="AX53" i="52" a="1"/>
  <c r="AX53" i="52" s="1"/>
  <c r="AX52" i="52" a="1"/>
  <c r="AX52" i="52" s="1"/>
  <c r="AX51" i="52" a="1"/>
  <c r="AX51" i="52" s="1"/>
  <c r="AX50" i="52" a="1"/>
  <c r="AX50" i="52" s="1"/>
  <c r="AX49" i="52" a="1"/>
  <c r="AX49" i="52" s="1"/>
  <c r="AX48" i="52" a="1"/>
  <c r="AX48" i="52" s="1"/>
  <c r="AX47" i="52" a="1"/>
  <c r="AX47" i="52" s="1"/>
  <c r="AX46" i="52" a="1"/>
  <c r="AX46" i="52" s="1"/>
  <c r="AX45" i="52" a="1"/>
  <c r="AX45" i="52" s="1"/>
  <c r="AX44" i="52" a="1"/>
  <c r="AX44" i="52" s="1"/>
  <c r="AX43" i="52" a="1"/>
  <c r="AX43" i="52" s="1"/>
  <c r="AX42" i="52" a="1"/>
  <c r="AX42" i="52" s="1"/>
  <c r="AX41" i="52" a="1"/>
  <c r="AX41" i="52" s="1"/>
  <c r="AX40" i="52" a="1"/>
  <c r="AX40" i="52" s="1"/>
  <c r="AX39" i="52" a="1"/>
  <c r="AX39" i="52" s="1"/>
  <c r="AX38" i="52" a="1"/>
  <c r="AX38" i="52" s="1"/>
  <c r="AX37" i="52" a="1"/>
  <c r="AX37" i="52" s="1"/>
  <c r="AX36" i="52" a="1"/>
  <c r="AX36" i="52" s="1"/>
  <c r="AX35" i="52" a="1"/>
  <c r="AX35" i="52" s="1"/>
  <c r="AX34" i="52" a="1"/>
  <c r="AX34" i="52" s="1"/>
  <c r="AX33" i="52" a="1"/>
  <c r="AX33" i="52" s="1"/>
  <c r="AX32" i="52" a="1"/>
  <c r="AX32" i="52" s="1"/>
  <c r="AX31" i="52" a="1"/>
  <c r="AX31" i="52" s="1"/>
  <c r="AX30" i="52" a="1"/>
  <c r="AX30" i="52" s="1"/>
  <c r="AX29" i="52" a="1"/>
  <c r="AX29" i="52" s="1"/>
  <c r="AX28" i="52" a="1"/>
  <c r="AX28" i="52" s="1"/>
  <c r="AX27" i="52" a="1"/>
  <c r="AX27" i="52" s="1"/>
  <c r="AX26" i="52" a="1"/>
  <c r="AX26" i="52" s="1"/>
  <c r="AX25" i="52" a="1"/>
  <c r="AX25" i="52" s="1"/>
  <c r="AX24" i="52" a="1"/>
  <c r="AX24" i="52" s="1"/>
  <c r="AX23" i="52" a="1"/>
  <c r="AX23" i="52" s="1"/>
  <c r="AX22" i="52" a="1"/>
  <c r="AX22" i="52" s="1"/>
  <c r="AX21" i="52" a="1"/>
  <c r="AX21" i="52" s="1"/>
  <c r="AX20" i="52" a="1"/>
  <c r="AX20" i="52" s="1"/>
  <c r="AX19" i="52" a="1"/>
  <c r="AX19" i="52" s="1"/>
  <c r="AX18" i="52" a="1"/>
  <c r="AX18" i="52" s="1"/>
  <c r="AX17" i="52" a="1"/>
  <c r="AX17" i="52" s="1"/>
  <c r="AX16" i="52" a="1"/>
  <c r="AX16" i="52" s="1"/>
  <c r="AX15" i="52" a="1"/>
  <c r="AX15" i="52" s="1"/>
  <c r="AX14" i="52" a="1"/>
  <c r="AX14" i="52" s="1"/>
  <c r="AX13" i="52" a="1"/>
  <c r="AX13" i="52" s="1"/>
  <c r="AX12" i="52" a="1"/>
  <c r="AX12" i="52" s="1"/>
  <c r="AX11" i="52" a="1"/>
  <c r="AX11" i="52" s="1"/>
  <c r="AX10" i="52" a="1"/>
  <c r="AX10" i="52" s="1"/>
  <c r="AX9" i="52" a="1"/>
  <c r="AX9" i="52" s="1"/>
  <c r="AX8" i="52" a="1"/>
  <c r="AX8" i="52" s="1"/>
  <c r="AX7" i="52" a="1"/>
  <c r="AX7" i="52" s="1"/>
  <c r="AW4" i="45" l="1"/>
  <c r="AL27" i="50" l="1"/>
  <c r="AK27" i="50"/>
  <c r="AJ27" i="50"/>
  <c r="AI27" i="50"/>
  <c r="AH27" i="50"/>
  <c r="AG27" i="50"/>
  <c r="AF27" i="50"/>
  <c r="AE27" i="50"/>
  <c r="AD27" i="50"/>
  <c r="AC27" i="50"/>
  <c r="AB27" i="50"/>
  <c r="AA27" i="50"/>
  <c r="Z27" i="50"/>
  <c r="Y27" i="50"/>
  <c r="X27" i="50"/>
  <c r="W27" i="50"/>
  <c r="V27" i="50"/>
  <c r="U27" i="50"/>
  <c r="T27" i="50"/>
  <c r="S27" i="50"/>
  <c r="R27" i="50"/>
  <c r="Q27" i="50"/>
  <c r="P27" i="50"/>
  <c r="O27" i="50"/>
  <c r="N27" i="50"/>
  <c r="M27" i="50"/>
  <c r="L27" i="50"/>
  <c r="K27" i="50"/>
  <c r="J27" i="50"/>
  <c r="I27" i="50"/>
  <c r="H27" i="50"/>
  <c r="G27" i="50"/>
  <c r="F27" i="50"/>
  <c r="E27" i="50"/>
  <c r="D27" i="50"/>
  <c r="C27" i="50"/>
  <c r="AL26" i="50"/>
  <c r="AK26" i="50"/>
  <c r="AJ26" i="50"/>
  <c r="AI26" i="50"/>
  <c r="AH26" i="50"/>
  <c r="AG26" i="50"/>
  <c r="AF26" i="50"/>
  <c r="AE26" i="50"/>
  <c r="AD26" i="50"/>
  <c r="AC26" i="50"/>
  <c r="AB26" i="50"/>
  <c r="AA26" i="50"/>
  <c r="Z26" i="50"/>
  <c r="Y26" i="50"/>
  <c r="X26" i="50"/>
  <c r="W26" i="50"/>
  <c r="V26" i="50"/>
  <c r="U26" i="50"/>
  <c r="T26" i="50"/>
  <c r="S26" i="50"/>
  <c r="R26" i="50"/>
  <c r="Q26" i="50"/>
  <c r="P26" i="50"/>
  <c r="O26" i="50"/>
  <c r="N26" i="50"/>
  <c r="M26" i="50"/>
  <c r="L26" i="50"/>
  <c r="K26" i="50"/>
  <c r="J26" i="50"/>
  <c r="I26" i="50"/>
  <c r="H26" i="50"/>
  <c r="G26" i="50"/>
  <c r="F26" i="50"/>
  <c r="E26" i="50"/>
  <c r="D26" i="50"/>
  <c r="C26" i="50"/>
  <c r="I186" i="45" l="1"/>
  <c r="J186" i="45"/>
  <c r="I187" i="45"/>
  <c r="J187" i="45"/>
  <c r="I188" i="45"/>
  <c r="J188" i="45"/>
  <c r="I189" i="45"/>
  <c r="J189" i="45"/>
  <c r="I190" i="45"/>
  <c r="J190" i="45"/>
  <c r="I191" i="45"/>
  <c r="J191" i="45"/>
  <c r="I192" i="45"/>
  <c r="J192" i="45"/>
  <c r="I193" i="45"/>
  <c r="J193" i="45"/>
  <c r="I194" i="45"/>
  <c r="J194" i="45"/>
  <c r="I195" i="45"/>
  <c r="J195" i="45"/>
  <c r="I196" i="45"/>
  <c r="J196" i="45"/>
  <c r="I197" i="45"/>
  <c r="J197" i="45"/>
  <c r="I198" i="45"/>
  <c r="J198" i="45"/>
  <c r="I199" i="45"/>
  <c r="J199" i="45"/>
  <c r="I200" i="45"/>
  <c r="J200" i="45"/>
  <c r="I201" i="45"/>
  <c r="J201" i="45"/>
  <c r="I202" i="45"/>
  <c r="J202" i="45"/>
  <c r="I203" i="45"/>
  <c r="J203" i="45"/>
  <c r="I204" i="45"/>
  <c r="J204" i="45"/>
  <c r="I205" i="45"/>
  <c r="J205" i="45"/>
  <c r="I206" i="45"/>
  <c r="J206" i="45"/>
  <c r="I207" i="45"/>
  <c r="J207" i="45"/>
  <c r="I208" i="45"/>
  <c r="J208" i="45"/>
  <c r="I209" i="45"/>
  <c r="J209" i="45"/>
  <c r="I210" i="45"/>
  <c r="J210" i="45"/>
  <c r="I211" i="45"/>
  <c r="J211" i="45"/>
  <c r="I212" i="45"/>
  <c r="J212" i="45"/>
  <c r="I213" i="45"/>
  <c r="J213" i="45"/>
  <c r="I214" i="45"/>
  <c r="J214" i="45"/>
  <c r="I215" i="45"/>
  <c r="J215" i="45"/>
  <c r="I216" i="45"/>
  <c r="J216" i="45"/>
  <c r="I217" i="45"/>
  <c r="J217" i="45"/>
  <c r="I218" i="45"/>
  <c r="J218" i="45"/>
  <c r="I219" i="45"/>
  <c r="J219" i="45"/>
  <c r="I220" i="45"/>
  <c r="J220" i="45"/>
  <c r="I221" i="45"/>
  <c r="J221" i="45"/>
  <c r="I222" i="45"/>
  <c r="J222" i="45"/>
  <c r="I223" i="45"/>
  <c r="J223" i="45"/>
  <c r="I224" i="45"/>
  <c r="J224" i="45"/>
  <c r="I225" i="45"/>
  <c r="J225" i="45"/>
  <c r="I226" i="45"/>
  <c r="J226" i="45"/>
  <c r="I227" i="45"/>
  <c r="J227" i="45"/>
  <c r="I228" i="45"/>
  <c r="J228" i="45"/>
  <c r="I229" i="45"/>
  <c r="J229" i="45"/>
  <c r="I230" i="45"/>
  <c r="J230" i="45"/>
  <c r="I231" i="45"/>
  <c r="J231" i="45"/>
  <c r="I232" i="45"/>
  <c r="J232" i="45"/>
  <c r="I233" i="45"/>
  <c r="J233" i="45"/>
  <c r="I234" i="45"/>
  <c r="J234" i="45"/>
  <c r="I235" i="45"/>
  <c r="J235" i="45"/>
  <c r="I236" i="45"/>
  <c r="J236" i="45"/>
  <c r="I237" i="45"/>
  <c r="J237" i="45"/>
  <c r="I238" i="45"/>
  <c r="J238" i="45"/>
  <c r="I239" i="45"/>
  <c r="J239" i="45"/>
  <c r="I240" i="45"/>
  <c r="J240" i="45"/>
  <c r="I241" i="45"/>
  <c r="J241" i="45"/>
  <c r="I242" i="45"/>
  <c r="J242" i="45"/>
  <c r="I243" i="45"/>
  <c r="J243" i="45"/>
  <c r="I244" i="45"/>
  <c r="J244" i="45"/>
  <c r="I245" i="45"/>
  <c r="J245" i="45"/>
  <c r="I246" i="45"/>
  <c r="J246" i="45"/>
  <c r="I247" i="45"/>
  <c r="J247" i="45"/>
  <c r="I248" i="45"/>
  <c r="J248" i="45"/>
  <c r="I249" i="45"/>
  <c r="J249" i="45"/>
  <c r="I250" i="45"/>
  <c r="J250" i="45"/>
  <c r="I251" i="45"/>
  <c r="J251" i="45"/>
  <c r="I252" i="45"/>
  <c r="J252" i="45"/>
  <c r="I253" i="45"/>
  <c r="J253" i="45"/>
  <c r="I254" i="45"/>
  <c r="J254" i="45"/>
  <c r="I255" i="45"/>
  <c r="J255" i="45"/>
  <c r="I256" i="45"/>
  <c r="J256" i="45"/>
  <c r="I257" i="45"/>
  <c r="J257" i="45"/>
  <c r="I258" i="45"/>
  <c r="J258" i="45"/>
  <c r="I259" i="45"/>
  <c r="J259" i="45"/>
  <c r="I260" i="45"/>
  <c r="J260" i="45"/>
  <c r="I261" i="45"/>
  <c r="J261" i="45"/>
  <c r="I262" i="45"/>
  <c r="J262" i="45"/>
  <c r="I263" i="45"/>
  <c r="J263" i="45"/>
  <c r="I264" i="45"/>
  <c r="J264" i="45"/>
  <c r="I265" i="45"/>
  <c r="J265" i="45"/>
  <c r="I266" i="45"/>
  <c r="J266" i="45"/>
  <c r="I267" i="45"/>
  <c r="J267" i="45"/>
  <c r="I268" i="45"/>
  <c r="J268" i="45"/>
  <c r="I269" i="45"/>
  <c r="J269" i="45"/>
  <c r="I270" i="45"/>
  <c r="J270" i="45"/>
  <c r="I271" i="45"/>
  <c r="J271" i="45"/>
  <c r="I272" i="45"/>
  <c r="J272" i="45"/>
  <c r="I273" i="45"/>
  <c r="J273" i="45"/>
  <c r="I274" i="45"/>
  <c r="J274" i="45"/>
  <c r="I275" i="45"/>
  <c r="J275" i="45"/>
  <c r="I276" i="45"/>
  <c r="J276" i="45"/>
  <c r="I277" i="45"/>
  <c r="J277" i="45"/>
  <c r="I278" i="45"/>
  <c r="J278" i="45"/>
  <c r="I279" i="45"/>
  <c r="J279" i="45"/>
  <c r="I280" i="45"/>
  <c r="J280" i="45"/>
  <c r="I281" i="45"/>
  <c r="J281" i="45"/>
  <c r="I282" i="45"/>
  <c r="J282" i="45"/>
  <c r="I283" i="45"/>
  <c r="J283" i="45"/>
  <c r="I284" i="45"/>
  <c r="J284" i="45"/>
  <c r="I285" i="45"/>
  <c r="J285" i="45"/>
  <c r="I286" i="45"/>
  <c r="J286" i="45"/>
  <c r="H286" i="45"/>
  <c r="AY286" i="45" s="1"/>
  <c r="G286" i="45"/>
  <c r="F286" i="45"/>
  <c r="E286" i="45"/>
  <c r="D286" i="45"/>
  <c r="C286" i="45"/>
  <c r="B286" i="45"/>
  <c r="H285" i="45"/>
  <c r="AY285" i="45" s="1"/>
  <c r="G285" i="45"/>
  <c r="F285" i="45"/>
  <c r="E285" i="45"/>
  <c r="D285" i="45"/>
  <c r="C285" i="45"/>
  <c r="B285" i="45"/>
  <c r="H284" i="45"/>
  <c r="AY284" i="45" s="1"/>
  <c r="G284" i="45"/>
  <c r="F284" i="45"/>
  <c r="E284" i="45"/>
  <c r="D284" i="45"/>
  <c r="C284" i="45"/>
  <c r="B284" i="45"/>
  <c r="H283" i="45"/>
  <c r="AY283" i="45" s="1"/>
  <c r="G283" i="45"/>
  <c r="F283" i="45"/>
  <c r="E283" i="45"/>
  <c r="D283" i="45"/>
  <c r="C283" i="45"/>
  <c r="B283" i="45"/>
  <c r="H282" i="45"/>
  <c r="AY282" i="45" s="1"/>
  <c r="G282" i="45"/>
  <c r="F282" i="45"/>
  <c r="E282" i="45"/>
  <c r="D282" i="45"/>
  <c r="C282" i="45"/>
  <c r="B282" i="45"/>
  <c r="H281" i="45"/>
  <c r="AY281" i="45" s="1"/>
  <c r="G281" i="45"/>
  <c r="F281" i="45"/>
  <c r="E281" i="45"/>
  <c r="D281" i="45"/>
  <c r="C281" i="45"/>
  <c r="B281" i="45"/>
  <c r="H280" i="45"/>
  <c r="AY280" i="45" s="1"/>
  <c r="G280" i="45"/>
  <c r="F280" i="45"/>
  <c r="E280" i="45"/>
  <c r="D280" i="45"/>
  <c r="C280" i="45"/>
  <c r="B280" i="45"/>
  <c r="H279" i="45"/>
  <c r="AY279" i="45" s="1"/>
  <c r="G279" i="45"/>
  <c r="F279" i="45"/>
  <c r="E279" i="45"/>
  <c r="D279" i="45"/>
  <c r="C279" i="45"/>
  <c r="B279" i="45"/>
  <c r="H278" i="45"/>
  <c r="AY278" i="45" s="1"/>
  <c r="G278" i="45"/>
  <c r="F278" i="45"/>
  <c r="E278" i="45"/>
  <c r="D278" i="45"/>
  <c r="C278" i="45"/>
  <c r="B278" i="45"/>
  <c r="H277" i="45"/>
  <c r="AY277" i="45" s="1"/>
  <c r="G277" i="45"/>
  <c r="F277" i="45"/>
  <c r="E277" i="45"/>
  <c r="D277" i="45"/>
  <c r="C277" i="45"/>
  <c r="B277" i="45"/>
  <c r="H276" i="45"/>
  <c r="AY276" i="45" s="1"/>
  <c r="G276" i="45"/>
  <c r="F276" i="45"/>
  <c r="E276" i="45"/>
  <c r="D276" i="45"/>
  <c r="C276" i="45"/>
  <c r="B276" i="45"/>
  <c r="H275" i="45"/>
  <c r="AY275" i="45" s="1"/>
  <c r="G275" i="45"/>
  <c r="F275" i="45"/>
  <c r="E275" i="45"/>
  <c r="D275" i="45"/>
  <c r="C275" i="45"/>
  <c r="B275" i="45"/>
  <c r="H274" i="45"/>
  <c r="AY274" i="45" s="1"/>
  <c r="G274" i="45"/>
  <c r="F274" i="45"/>
  <c r="E274" i="45"/>
  <c r="D274" i="45"/>
  <c r="C274" i="45"/>
  <c r="B274" i="45"/>
  <c r="H273" i="45"/>
  <c r="AY273" i="45" s="1"/>
  <c r="G273" i="45"/>
  <c r="F273" i="45"/>
  <c r="E273" i="45"/>
  <c r="D273" i="45"/>
  <c r="C273" i="45"/>
  <c r="B273" i="45"/>
  <c r="H272" i="45"/>
  <c r="AY272" i="45" s="1"/>
  <c r="G272" i="45"/>
  <c r="F272" i="45"/>
  <c r="E272" i="45"/>
  <c r="D272" i="45"/>
  <c r="C272" i="45"/>
  <c r="B272" i="45"/>
  <c r="H271" i="45"/>
  <c r="AY271" i="45" s="1"/>
  <c r="G271" i="45"/>
  <c r="F271" i="45"/>
  <c r="E271" i="45"/>
  <c r="D271" i="45"/>
  <c r="C271" i="45"/>
  <c r="B271" i="45"/>
  <c r="H270" i="45"/>
  <c r="AY270" i="45" s="1"/>
  <c r="G270" i="45"/>
  <c r="F270" i="45"/>
  <c r="E270" i="45"/>
  <c r="D270" i="45"/>
  <c r="C270" i="45"/>
  <c r="B270" i="45"/>
  <c r="H269" i="45"/>
  <c r="AY269" i="45" s="1"/>
  <c r="G269" i="45"/>
  <c r="F269" i="45"/>
  <c r="E269" i="45"/>
  <c r="D269" i="45"/>
  <c r="C269" i="45"/>
  <c r="B269" i="45"/>
  <c r="H268" i="45"/>
  <c r="AY268" i="45" s="1"/>
  <c r="G268" i="45"/>
  <c r="F268" i="45"/>
  <c r="E268" i="45"/>
  <c r="D268" i="45"/>
  <c r="C268" i="45"/>
  <c r="B268" i="45"/>
  <c r="H267" i="45"/>
  <c r="AY267" i="45" s="1"/>
  <c r="G267" i="45"/>
  <c r="F267" i="45"/>
  <c r="E267" i="45"/>
  <c r="D267" i="45"/>
  <c r="C267" i="45"/>
  <c r="B267" i="45"/>
  <c r="H266" i="45"/>
  <c r="AY266" i="45" s="1"/>
  <c r="G266" i="45"/>
  <c r="F266" i="45"/>
  <c r="E266" i="45"/>
  <c r="D266" i="45"/>
  <c r="C266" i="45"/>
  <c r="B266" i="45"/>
  <c r="H265" i="45"/>
  <c r="AY265" i="45" s="1"/>
  <c r="G265" i="45"/>
  <c r="F265" i="45"/>
  <c r="E265" i="45"/>
  <c r="D265" i="45"/>
  <c r="C265" i="45"/>
  <c r="B265" i="45"/>
  <c r="H264" i="45"/>
  <c r="AY264" i="45" s="1"/>
  <c r="G264" i="45"/>
  <c r="F264" i="45"/>
  <c r="E264" i="45"/>
  <c r="D264" i="45"/>
  <c r="C264" i="45"/>
  <c r="B264" i="45"/>
  <c r="H263" i="45"/>
  <c r="AY263" i="45" s="1"/>
  <c r="G263" i="45"/>
  <c r="F263" i="45"/>
  <c r="E263" i="45"/>
  <c r="D263" i="45"/>
  <c r="C263" i="45"/>
  <c r="B263" i="45"/>
  <c r="H262" i="45"/>
  <c r="AY262" i="45" s="1"/>
  <c r="G262" i="45"/>
  <c r="F262" i="45"/>
  <c r="E262" i="45"/>
  <c r="D262" i="45"/>
  <c r="C262" i="45"/>
  <c r="B262" i="45"/>
  <c r="H261" i="45"/>
  <c r="AY261" i="45" s="1"/>
  <c r="G261" i="45"/>
  <c r="F261" i="45"/>
  <c r="E261" i="45"/>
  <c r="D261" i="45"/>
  <c r="C261" i="45"/>
  <c r="B261" i="45"/>
  <c r="H260" i="45"/>
  <c r="AY260" i="45" s="1"/>
  <c r="G260" i="45"/>
  <c r="F260" i="45"/>
  <c r="E260" i="45"/>
  <c r="D260" i="45"/>
  <c r="C260" i="45"/>
  <c r="B260" i="45"/>
  <c r="H259" i="45"/>
  <c r="AY259" i="45" s="1"/>
  <c r="G259" i="45"/>
  <c r="F259" i="45"/>
  <c r="E259" i="45"/>
  <c r="D259" i="45"/>
  <c r="C259" i="45"/>
  <c r="B259" i="45"/>
  <c r="H258" i="45"/>
  <c r="AY258" i="45" s="1"/>
  <c r="G258" i="45"/>
  <c r="F258" i="45"/>
  <c r="E258" i="45"/>
  <c r="D258" i="45"/>
  <c r="C258" i="45"/>
  <c r="B258" i="45"/>
  <c r="H257" i="45"/>
  <c r="AY257" i="45" s="1"/>
  <c r="G257" i="45"/>
  <c r="F257" i="45"/>
  <c r="E257" i="45"/>
  <c r="D257" i="45"/>
  <c r="C257" i="45"/>
  <c r="B257" i="45"/>
  <c r="H256" i="45"/>
  <c r="AY256" i="45" s="1"/>
  <c r="G256" i="45"/>
  <c r="F256" i="45"/>
  <c r="E256" i="45"/>
  <c r="D256" i="45"/>
  <c r="C256" i="45"/>
  <c r="B256" i="45"/>
  <c r="H255" i="45"/>
  <c r="AY255" i="45" s="1"/>
  <c r="G255" i="45"/>
  <c r="F255" i="45"/>
  <c r="E255" i="45"/>
  <c r="D255" i="45"/>
  <c r="C255" i="45"/>
  <c r="B255" i="45"/>
  <c r="H254" i="45"/>
  <c r="AY254" i="45" s="1"/>
  <c r="G254" i="45"/>
  <c r="F254" i="45"/>
  <c r="E254" i="45"/>
  <c r="D254" i="45"/>
  <c r="C254" i="45"/>
  <c r="B254" i="45"/>
  <c r="H253" i="45"/>
  <c r="AY253" i="45" s="1"/>
  <c r="G253" i="45"/>
  <c r="F253" i="45"/>
  <c r="E253" i="45"/>
  <c r="D253" i="45"/>
  <c r="C253" i="45"/>
  <c r="B253" i="45"/>
  <c r="H252" i="45"/>
  <c r="AY252" i="45" s="1"/>
  <c r="G252" i="45"/>
  <c r="F252" i="45"/>
  <c r="E252" i="45"/>
  <c r="D252" i="45"/>
  <c r="C252" i="45"/>
  <c r="B252" i="45"/>
  <c r="H251" i="45"/>
  <c r="AY251" i="45" s="1"/>
  <c r="G251" i="45"/>
  <c r="F251" i="45"/>
  <c r="E251" i="45"/>
  <c r="D251" i="45"/>
  <c r="C251" i="45"/>
  <c r="B251" i="45"/>
  <c r="H250" i="45"/>
  <c r="AY250" i="45" s="1"/>
  <c r="G250" i="45"/>
  <c r="F250" i="45"/>
  <c r="E250" i="45"/>
  <c r="D250" i="45"/>
  <c r="C250" i="45"/>
  <c r="B250" i="45"/>
  <c r="H249" i="45"/>
  <c r="AY249" i="45" s="1"/>
  <c r="G249" i="45"/>
  <c r="F249" i="45"/>
  <c r="E249" i="45"/>
  <c r="D249" i="45"/>
  <c r="C249" i="45"/>
  <c r="B249" i="45"/>
  <c r="H248" i="45"/>
  <c r="AY248" i="45" s="1"/>
  <c r="G248" i="45"/>
  <c r="F248" i="45"/>
  <c r="E248" i="45"/>
  <c r="D248" i="45"/>
  <c r="C248" i="45"/>
  <c r="B248" i="45"/>
  <c r="H247" i="45"/>
  <c r="AY247" i="45" s="1"/>
  <c r="G247" i="45"/>
  <c r="F247" i="45"/>
  <c r="E247" i="45"/>
  <c r="D247" i="45"/>
  <c r="C247" i="45"/>
  <c r="B247" i="45"/>
  <c r="H246" i="45"/>
  <c r="AY246" i="45" s="1"/>
  <c r="G246" i="45"/>
  <c r="F246" i="45"/>
  <c r="E246" i="45"/>
  <c r="D246" i="45"/>
  <c r="C246" i="45"/>
  <c r="B246" i="45"/>
  <c r="H245" i="45"/>
  <c r="AY245" i="45" s="1"/>
  <c r="G245" i="45"/>
  <c r="F245" i="45"/>
  <c r="E245" i="45"/>
  <c r="D245" i="45"/>
  <c r="C245" i="45"/>
  <c r="B245" i="45"/>
  <c r="H244" i="45"/>
  <c r="AY244" i="45" s="1"/>
  <c r="G244" i="45"/>
  <c r="F244" i="45"/>
  <c r="E244" i="45"/>
  <c r="D244" i="45"/>
  <c r="C244" i="45"/>
  <c r="B244" i="45"/>
  <c r="H243" i="45"/>
  <c r="AY243" i="45" s="1"/>
  <c r="G243" i="45"/>
  <c r="F243" i="45"/>
  <c r="E243" i="45"/>
  <c r="D243" i="45"/>
  <c r="C243" i="45"/>
  <c r="B243" i="45"/>
  <c r="H242" i="45"/>
  <c r="AY242" i="45" s="1"/>
  <c r="G242" i="45"/>
  <c r="F242" i="45"/>
  <c r="E242" i="45"/>
  <c r="D242" i="45"/>
  <c r="C242" i="45"/>
  <c r="B242" i="45"/>
  <c r="H241" i="45"/>
  <c r="AY241" i="45" s="1"/>
  <c r="G241" i="45"/>
  <c r="F241" i="45"/>
  <c r="E241" i="45"/>
  <c r="D241" i="45"/>
  <c r="C241" i="45"/>
  <c r="B241" i="45"/>
  <c r="H240" i="45"/>
  <c r="AY240" i="45" s="1"/>
  <c r="G240" i="45"/>
  <c r="F240" i="45"/>
  <c r="E240" i="45"/>
  <c r="D240" i="45"/>
  <c r="C240" i="45"/>
  <c r="B240" i="45"/>
  <c r="H239" i="45"/>
  <c r="AY239" i="45" s="1"/>
  <c r="G239" i="45"/>
  <c r="F239" i="45"/>
  <c r="E239" i="45"/>
  <c r="D239" i="45"/>
  <c r="C239" i="45"/>
  <c r="B239" i="45"/>
  <c r="H238" i="45"/>
  <c r="AY238" i="45" s="1"/>
  <c r="G238" i="45"/>
  <c r="F238" i="45"/>
  <c r="E238" i="45"/>
  <c r="D238" i="45"/>
  <c r="C238" i="45"/>
  <c r="B238" i="45"/>
  <c r="H237" i="45"/>
  <c r="AY237" i="45" s="1"/>
  <c r="G237" i="45"/>
  <c r="F237" i="45"/>
  <c r="E237" i="45"/>
  <c r="D237" i="45"/>
  <c r="C237" i="45"/>
  <c r="B237" i="45"/>
  <c r="H236" i="45"/>
  <c r="AY236" i="45" s="1"/>
  <c r="G236" i="45"/>
  <c r="F236" i="45"/>
  <c r="E236" i="45"/>
  <c r="D236" i="45"/>
  <c r="C236" i="45"/>
  <c r="B236" i="45"/>
  <c r="H235" i="45"/>
  <c r="AY235" i="45" s="1"/>
  <c r="G235" i="45"/>
  <c r="F235" i="45"/>
  <c r="E235" i="45"/>
  <c r="D235" i="45"/>
  <c r="C235" i="45"/>
  <c r="B235" i="45"/>
  <c r="H234" i="45"/>
  <c r="AY234" i="45" s="1"/>
  <c r="G234" i="45"/>
  <c r="F234" i="45"/>
  <c r="E234" i="45"/>
  <c r="D234" i="45"/>
  <c r="C234" i="45"/>
  <c r="B234" i="45"/>
  <c r="H233" i="45"/>
  <c r="AY233" i="45" s="1"/>
  <c r="G233" i="45"/>
  <c r="F233" i="45"/>
  <c r="E233" i="45"/>
  <c r="D233" i="45"/>
  <c r="C233" i="45"/>
  <c r="B233" i="45"/>
  <c r="H232" i="45"/>
  <c r="AY232" i="45" s="1"/>
  <c r="G232" i="45"/>
  <c r="F232" i="45"/>
  <c r="E232" i="45"/>
  <c r="D232" i="45"/>
  <c r="C232" i="45"/>
  <c r="B232" i="45"/>
  <c r="H231" i="45"/>
  <c r="AY231" i="45" s="1"/>
  <c r="G231" i="45"/>
  <c r="F231" i="45"/>
  <c r="E231" i="45"/>
  <c r="D231" i="45"/>
  <c r="C231" i="45"/>
  <c r="B231" i="45"/>
  <c r="H230" i="45"/>
  <c r="AY230" i="45" s="1"/>
  <c r="G230" i="45"/>
  <c r="F230" i="45"/>
  <c r="E230" i="45"/>
  <c r="D230" i="45"/>
  <c r="C230" i="45"/>
  <c r="B230" i="45"/>
  <c r="H229" i="45"/>
  <c r="AY229" i="45" s="1"/>
  <c r="G229" i="45"/>
  <c r="F229" i="45"/>
  <c r="E229" i="45"/>
  <c r="D229" i="45"/>
  <c r="C229" i="45"/>
  <c r="B229" i="45"/>
  <c r="H228" i="45"/>
  <c r="AY228" i="45" s="1"/>
  <c r="G228" i="45"/>
  <c r="F228" i="45"/>
  <c r="E228" i="45"/>
  <c r="D228" i="45"/>
  <c r="C228" i="45"/>
  <c r="B228" i="45"/>
  <c r="H227" i="45"/>
  <c r="AY227" i="45" s="1"/>
  <c r="G227" i="45"/>
  <c r="F227" i="45"/>
  <c r="E227" i="45"/>
  <c r="D227" i="45"/>
  <c r="C227" i="45"/>
  <c r="B227" i="45"/>
  <c r="H226" i="45"/>
  <c r="AY226" i="45" s="1"/>
  <c r="G226" i="45"/>
  <c r="F226" i="45"/>
  <c r="E226" i="45"/>
  <c r="D226" i="45"/>
  <c r="C226" i="45"/>
  <c r="B226" i="45"/>
  <c r="H225" i="45"/>
  <c r="AY225" i="45" s="1"/>
  <c r="G225" i="45"/>
  <c r="F225" i="45"/>
  <c r="E225" i="45"/>
  <c r="D225" i="45"/>
  <c r="C225" i="45"/>
  <c r="B225" i="45"/>
  <c r="H224" i="45"/>
  <c r="AY224" i="45" s="1"/>
  <c r="G224" i="45"/>
  <c r="F224" i="45"/>
  <c r="E224" i="45"/>
  <c r="D224" i="45"/>
  <c r="C224" i="45"/>
  <c r="B224" i="45"/>
  <c r="H223" i="45"/>
  <c r="AY223" i="45" s="1"/>
  <c r="G223" i="45"/>
  <c r="F223" i="45"/>
  <c r="E223" i="45"/>
  <c r="D223" i="45"/>
  <c r="C223" i="45"/>
  <c r="B223" i="45"/>
  <c r="H222" i="45"/>
  <c r="AY222" i="45" s="1"/>
  <c r="G222" i="45"/>
  <c r="F222" i="45"/>
  <c r="E222" i="45"/>
  <c r="D222" i="45"/>
  <c r="C222" i="45"/>
  <c r="B222" i="45"/>
  <c r="H221" i="45"/>
  <c r="AY221" i="45" s="1"/>
  <c r="G221" i="45"/>
  <c r="F221" i="45"/>
  <c r="E221" i="45"/>
  <c r="D221" i="45"/>
  <c r="C221" i="45"/>
  <c r="B221" i="45"/>
  <c r="H220" i="45"/>
  <c r="AY220" i="45" s="1"/>
  <c r="G220" i="45"/>
  <c r="F220" i="45"/>
  <c r="E220" i="45"/>
  <c r="D220" i="45"/>
  <c r="C220" i="45"/>
  <c r="B220" i="45"/>
  <c r="H219" i="45"/>
  <c r="AY219" i="45" s="1"/>
  <c r="G219" i="45"/>
  <c r="F219" i="45"/>
  <c r="E219" i="45"/>
  <c r="D219" i="45"/>
  <c r="C219" i="45"/>
  <c r="B219" i="45"/>
  <c r="H218" i="45"/>
  <c r="AY218" i="45" s="1"/>
  <c r="G218" i="45"/>
  <c r="F218" i="45"/>
  <c r="E218" i="45"/>
  <c r="D218" i="45"/>
  <c r="C218" i="45"/>
  <c r="B218" i="45"/>
  <c r="H217" i="45"/>
  <c r="AY217" i="45" s="1"/>
  <c r="G217" i="45"/>
  <c r="F217" i="45"/>
  <c r="E217" i="45"/>
  <c r="D217" i="45"/>
  <c r="C217" i="45"/>
  <c r="B217" i="45"/>
  <c r="H216" i="45"/>
  <c r="AY216" i="45" s="1"/>
  <c r="G216" i="45"/>
  <c r="F216" i="45"/>
  <c r="E216" i="45"/>
  <c r="D216" i="45"/>
  <c r="C216" i="45"/>
  <c r="B216" i="45"/>
  <c r="H215" i="45"/>
  <c r="AY215" i="45" s="1"/>
  <c r="G215" i="45"/>
  <c r="F215" i="45"/>
  <c r="E215" i="45"/>
  <c r="D215" i="45"/>
  <c r="C215" i="45"/>
  <c r="B215" i="45"/>
  <c r="H214" i="45"/>
  <c r="AY214" i="45" s="1"/>
  <c r="G214" i="45"/>
  <c r="F214" i="45"/>
  <c r="E214" i="45"/>
  <c r="D214" i="45"/>
  <c r="C214" i="45"/>
  <c r="B214" i="45"/>
  <c r="H213" i="45"/>
  <c r="AY213" i="45" s="1"/>
  <c r="G213" i="45"/>
  <c r="F213" i="45"/>
  <c r="E213" i="45"/>
  <c r="D213" i="45"/>
  <c r="C213" i="45"/>
  <c r="B213" i="45"/>
  <c r="H212" i="45"/>
  <c r="AY212" i="45" s="1"/>
  <c r="G212" i="45"/>
  <c r="F212" i="45"/>
  <c r="E212" i="45"/>
  <c r="D212" i="45"/>
  <c r="C212" i="45"/>
  <c r="B212" i="45"/>
  <c r="H211" i="45"/>
  <c r="AY211" i="45" s="1"/>
  <c r="G211" i="45"/>
  <c r="F211" i="45"/>
  <c r="E211" i="45"/>
  <c r="D211" i="45"/>
  <c r="C211" i="45"/>
  <c r="B211" i="45"/>
  <c r="H210" i="45"/>
  <c r="AY210" i="45" s="1"/>
  <c r="G210" i="45"/>
  <c r="F210" i="45"/>
  <c r="E210" i="45"/>
  <c r="D210" i="45"/>
  <c r="C210" i="45"/>
  <c r="B210" i="45"/>
  <c r="H209" i="45"/>
  <c r="AY209" i="45" s="1"/>
  <c r="G209" i="45"/>
  <c r="F209" i="45"/>
  <c r="E209" i="45"/>
  <c r="D209" i="45"/>
  <c r="C209" i="45"/>
  <c r="B209" i="45"/>
  <c r="H208" i="45"/>
  <c r="AY208" i="45" s="1"/>
  <c r="G208" i="45"/>
  <c r="F208" i="45"/>
  <c r="E208" i="45"/>
  <c r="D208" i="45"/>
  <c r="C208" i="45"/>
  <c r="B208" i="45"/>
  <c r="H207" i="45"/>
  <c r="AY207" i="45" s="1"/>
  <c r="G207" i="45"/>
  <c r="F207" i="45"/>
  <c r="E207" i="45"/>
  <c r="D207" i="45"/>
  <c r="C207" i="45"/>
  <c r="B207" i="45"/>
  <c r="H206" i="45"/>
  <c r="AY206" i="45" s="1"/>
  <c r="G206" i="45"/>
  <c r="F206" i="45"/>
  <c r="E206" i="45"/>
  <c r="D206" i="45"/>
  <c r="C206" i="45"/>
  <c r="B206" i="45"/>
  <c r="H205" i="45"/>
  <c r="AY205" i="45" s="1"/>
  <c r="G205" i="45"/>
  <c r="F205" i="45"/>
  <c r="E205" i="45"/>
  <c r="D205" i="45"/>
  <c r="C205" i="45"/>
  <c r="B205" i="45"/>
  <c r="H204" i="45"/>
  <c r="AY204" i="45" s="1"/>
  <c r="G204" i="45"/>
  <c r="F204" i="45"/>
  <c r="E204" i="45"/>
  <c r="D204" i="45"/>
  <c r="C204" i="45"/>
  <c r="B204" i="45"/>
  <c r="H203" i="45"/>
  <c r="AY203" i="45" s="1"/>
  <c r="G203" i="45"/>
  <c r="F203" i="45"/>
  <c r="E203" i="45"/>
  <c r="D203" i="45"/>
  <c r="C203" i="45"/>
  <c r="B203" i="45"/>
  <c r="H202" i="45"/>
  <c r="AY202" i="45" s="1"/>
  <c r="G202" i="45"/>
  <c r="F202" i="45"/>
  <c r="E202" i="45"/>
  <c r="D202" i="45"/>
  <c r="C202" i="45"/>
  <c r="B202" i="45"/>
  <c r="H201" i="45"/>
  <c r="AY201" i="45" s="1"/>
  <c r="G201" i="45"/>
  <c r="F201" i="45"/>
  <c r="E201" i="45"/>
  <c r="D201" i="45"/>
  <c r="C201" i="45"/>
  <c r="B201" i="45"/>
  <c r="H200" i="45"/>
  <c r="AY200" i="45" s="1"/>
  <c r="G200" i="45"/>
  <c r="F200" i="45"/>
  <c r="E200" i="45"/>
  <c r="D200" i="45"/>
  <c r="C200" i="45"/>
  <c r="B200" i="45"/>
  <c r="H199" i="45"/>
  <c r="AY199" i="45" s="1"/>
  <c r="G199" i="45"/>
  <c r="F199" i="45"/>
  <c r="E199" i="45"/>
  <c r="D199" i="45"/>
  <c r="C199" i="45"/>
  <c r="B199" i="45"/>
  <c r="H198" i="45"/>
  <c r="AY198" i="45" s="1"/>
  <c r="G198" i="45"/>
  <c r="F198" i="45"/>
  <c r="E198" i="45"/>
  <c r="D198" i="45"/>
  <c r="C198" i="45"/>
  <c r="B198" i="45"/>
  <c r="H197" i="45"/>
  <c r="AY197" i="45" s="1"/>
  <c r="G197" i="45"/>
  <c r="F197" i="45"/>
  <c r="E197" i="45"/>
  <c r="D197" i="45"/>
  <c r="C197" i="45"/>
  <c r="B197" i="45"/>
  <c r="H196" i="45"/>
  <c r="AY196" i="45" s="1"/>
  <c r="G196" i="45"/>
  <c r="F196" i="45"/>
  <c r="E196" i="45"/>
  <c r="D196" i="45"/>
  <c r="C196" i="45"/>
  <c r="B196" i="45"/>
  <c r="H195" i="45"/>
  <c r="AY195" i="45" s="1"/>
  <c r="G195" i="45"/>
  <c r="F195" i="45"/>
  <c r="E195" i="45"/>
  <c r="D195" i="45"/>
  <c r="C195" i="45"/>
  <c r="B195" i="45"/>
  <c r="H194" i="45"/>
  <c r="AY194" i="45" s="1"/>
  <c r="G194" i="45"/>
  <c r="F194" i="45"/>
  <c r="E194" i="45"/>
  <c r="D194" i="45"/>
  <c r="C194" i="45"/>
  <c r="B194" i="45"/>
  <c r="H193" i="45"/>
  <c r="AY193" i="45" s="1"/>
  <c r="G193" i="45"/>
  <c r="F193" i="45"/>
  <c r="E193" i="45"/>
  <c r="D193" i="45"/>
  <c r="C193" i="45"/>
  <c r="B193" i="45"/>
  <c r="H192" i="45"/>
  <c r="AY192" i="45" s="1"/>
  <c r="G192" i="45"/>
  <c r="F192" i="45"/>
  <c r="E192" i="45"/>
  <c r="D192" i="45"/>
  <c r="C192" i="45"/>
  <c r="B192" i="45"/>
  <c r="H191" i="45"/>
  <c r="AY191" i="45" s="1"/>
  <c r="G191" i="45"/>
  <c r="F191" i="45"/>
  <c r="E191" i="45"/>
  <c r="D191" i="45"/>
  <c r="C191" i="45"/>
  <c r="B191" i="45"/>
  <c r="H190" i="45"/>
  <c r="AY190" i="45" s="1"/>
  <c r="G190" i="45"/>
  <c r="F190" i="45"/>
  <c r="E190" i="45"/>
  <c r="D190" i="45"/>
  <c r="C190" i="45"/>
  <c r="B190" i="45"/>
  <c r="H189" i="45"/>
  <c r="AY189" i="45" s="1"/>
  <c r="G189" i="45"/>
  <c r="F189" i="45"/>
  <c r="E189" i="45"/>
  <c r="D189" i="45"/>
  <c r="C189" i="45"/>
  <c r="B189" i="45"/>
  <c r="H188" i="45"/>
  <c r="AY188" i="45" s="1"/>
  <c r="G188" i="45"/>
  <c r="F188" i="45"/>
  <c r="E188" i="45"/>
  <c r="D188" i="45"/>
  <c r="C188" i="45"/>
  <c r="B188" i="45"/>
  <c r="H187" i="45"/>
  <c r="AY187" i="45" s="1"/>
  <c r="G187" i="45"/>
  <c r="F187" i="45"/>
  <c r="E187" i="45"/>
  <c r="D187" i="45"/>
  <c r="C187" i="45"/>
  <c r="B187" i="45"/>
  <c r="H186" i="45"/>
  <c r="AY186" i="45" s="1"/>
  <c r="G186" i="45"/>
  <c r="F186" i="45"/>
  <c r="E186" i="45"/>
  <c r="D186" i="45"/>
  <c r="C186" i="45"/>
  <c r="B186" i="45"/>
  <c r="L186" i="45" l="1"/>
  <c r="AF18" i="50"/>
  <c r="AD18" i="50"/>
  <c r="AB18" i="50"/>
  <c r="X18" i="50"/>
  <c r="T18" i="50"/>
  <c r="P18" i="50"/>
  <c r="L18" i="50"/>
  <c r="D18" i="50"/>
  <c r="AJ18" i="50"/>
  <c r="C10" i="50"/>
  <c r="AZ5" i="44"/>
  <c r="AY5" i="44"/>
  <c r="AX5" i="44"/>
  <c r="AW5" i="44"/>
  <c r="AV5" i="44"/>
  <c r="AU5" i="44"/>
  <c r="AT5" i="44"/>
  <c r="AS5" i="44"/>
  <c r="AR5" i="44"/>
  <c r="AQ5" i="44"/>
  <c r="AP5" i="44"/>
  <c r="AO5" i="44"/>
  <c r="AN5" i="44"/>
  <c r="AM5" i="44"/>
  <c r="AL5" i="44"/>
  <c r="AK5" i="44"/>
  <c r="AJ5" i="44"/>
  <c r="AI5" i="44"/>
  <c r="AH5" i="44"/>
  <c r="AG5" i="44"/>
  <c r="AF5" i="44"/>
  <c r="AE5" i="44"/>
  <c r="AD5" i="44"/>
  <c r="AC5" i="44"/>
  <c r="AB5" i="44"/>
  <c r="AA5" i="44"/>
  <c r="Z5" i="44"/>
  <c r="Y5" i="44"/>
  <c r="X5" i="44"/>
  <c r="W5" i="44"/>
  <c r="V5" i="44"/>
  <c r="U5" i="44"/>
  <c r="T5" i="44"/>
  <c r="S5" i="44"/>
  <c r="R5" i="44"/>
  <c r="Q5" i="44"/>
  <c r="K18" i="50" l="1"/>
  <c r="K21" i="50" s="1"/>
  <c r="K25" i="50" s="1"/>
  <c r="K28" i="50" s="1"/>
  <c r="O18" i="50"/>
  <c r="S18" i="50"/>
  <c r="S21" i="50" s="1"/>
  <c r="S25" i="50" s="1"/>
  <c r="S28" i="50" s="1"/>
  <c r="W18" i="50"/>
  <c r="W21" i="50" s="1"/>
  <c r="W25" i="50" s="1"/>
  <c r="W28" i="50" s="1"/>
  <c r="AA18" i="50"/>
  <c r="AA21" i="50" s="1"/>
  <c r="AA25" i="50" s="1"/>
  <c r="AA28" i="50" s="1"/>
  <c r="AE18" i="50"/>
  <c r="AE21" i="50" s="1"/>
  <c r="AE25" i="50" s="1"/>
  <c r="AE28" i="50" s="1"/>
  <c r="AH18" i="50"/>
  <c r="AH21" i="50" s="1"/>
  <c r="AH25" i="50" s="1"/>
  <c r="AH28" i="50" s="1"/>
  <c r="AI18" i="50"/>
  <c r="AI21" i="50" s="1"/>
  <c r="AI25" i="50" s="1"/>
  <c r="AI28" i="50" s="1"/>
  <c r="AL18" i="50"/>
  <c r="AL21" i="50" s="1"/>
  <c r="AL25" i="50" s="1"/>
  <c r="AL28" i="50" s="1"/>
  <c r="G18" i="50"/>
  <c r="G21" i="50" s="1"/>
  <c r="G25" i="50" s="1"/>
  <c r="G28" i="50" s="1"/>
  <c r="Z18" i="50"/>
  <c r="Z21" i="50" s="1"/>
  <c r="Z25" i="50" s="1"/>
  <c r="Z28" i="50" s="1"/>
  <c r="BA10" i="50"/>
  <c r="AN10" i="50"/>
  <c r="D10" i="50"/>
  <c r="E10" i="50" s="1"/>
  <c r="F10" i="50" s="1"/>
  <c r="G10" i="50" s="1"/>
  <c r="H10" i="50" s="1"/>
  <c r="I10" i="50" s="1"/>
  <c r="J10" i="50" s="1"/>
  <c r="K10" i="50" s="1"/>
  <c r="L10" i="50" s="1"/>
  <c r="M10" i="50" s="1"/>
  <c r="N10" i="50" s="1"/>
  <c r="O10" i="50" s="1"/>
  <c r="P10" i="50" s="1"/>
  <c r="Q10" i="50" s="1"/>
  <c r="R10" i="50" s="1"/>
  <c r="S10" i="50" s="1"/>
  <c r="T10" i="50" s="1"/>
  <c r="U10" i="50" s="1"/>
  <c r="V10" i="50" s="1"/>
  <c r="W10" i="50" s="1"/>
  <c r="X10" i="50" s="1"/>
  <c r="Y10" i="50" s="1"/>
  <c r="Z10" i="50" s="1"/>
  <c r="AA10" i="50" s="1"/>
  <c r="AB10" i="50" s="1"/>
  <c r="AC10" i="50" s="1"/>
  <c r="AD10" i="50" s="1"/>
  <c r="AE10" i="50" s="1"/>
  <c r="AF10" i="50" s="1"/>
  <c r="AG10" i="50" s="1"/>
  <c r="AH10" i="50" s="1"/>
  <c r="AI10" i="50" s="1"/>
  <c r="AJ10" i="50" s="1"/>
  <c r="AK10" i="50" s="1"/>
  <c r="AL10" i="50" s="1"/>
  <c r="F18" i="50"/>
  <c r="F21" i="50" s="1"/>
  <c r="F25" i="50" s="1"/>
  <c r="F28" i="50" s="1"/>
  <c r="J18" i="50"/>
  <c r="J21" i="50" s="1"/>
  <c r="J25" i="50" s="1"/>
  <c r="J28" i="50" s="1"/>
  <c r="N18" i="50"/>
  <c r="N21" i="50" s="1"/>
  <c r="N25" i="50" s="1"/>
  <c r="N28" i="50" s="1"/>
  <c r="H18" i="50"/>
  <c r="H21" i="50" s="1"/>
  <c r="H25" i="50" s="1"/>
  <c r="H28" i="50" s="1"/>
  <c r="R18" i="50"/>
  <c r="R21" i="50" s="1"/>
  <c r="R25" i="50" s="1"/>
  <c r="R28" i="50" s="1"/>
  <c r="V18" i="50"/>
  <c r="V21" i="50" s="1"/>
  <c r="V25" i="50" s="1"/>
  <c r="V28" i="50" s="1"/>
  <c r="AD21" i="50"/>
  <c r="AD25" i="50" s="1"/>
  <c r="AD28" i="50" s="1"/>
  <c r="O21" i="50"/>
  <c r="O25" i="50" s="1"/>
  <c r="O28" i="50" s="1"/>
  <c r="D21" i="50"/>
  <c r="D25" i="50" s="1"/>
  <c r="D28" i="50" s="1"/>
  <c r="L21" i="50"/>
  <c r="L25" i="50" s="1"/>
  <c r="L28" i="50" s="1"/>
  <c r="P21" i="50"/>
  <c r="P25" i="50" s="1"/>
  <c r="P28" i="50" s="1"/>
  <c r="T21" i="50"/>
  <c r="T25" i="50" s="1"/>
  <c r="T28" i="50" s="1"/>
  <c r="X21" i="50"/>
  <c r="X25" i="50" s="1"/>
  <c r="X28" i="50" s="1"/>
  <c r="AB21" i="50"/>
  <c r="AB25" i="50" s="1"/>
  <c r="AB28" i="50" s="1"/>
  <c r="AF21" i="50"/>
  <c r="AF25" i="50" s="1"/>
  <c r="AF28" i="50" s="1"/>
  <c r="AJ21" i="50"/>
  <c r="AJ25" i="50" s="1"/>
  <c r="AJ28" i="50" s="1"/>
  <c r="E18" i="50"/>
  <c r="E21" i="50" s="1"/>
  <c r="E25" i="50" s="1"/>
  <c r="E28" i="50" s="1"/>
  <c r="I18" i="50"/>
  <c r="I21" i="50" s="1"/>
  <c r="I25" i="50" s="1"/>
  <c r="I28" i="50" s="1"/>
  <c r="M18" i="50"/>
  <c r="M21" i="50" s="1"/>
  <c r="M25" i="50" s="1"/>
  <c r="M28" i="50" s="1"/>
  <c r="Q18" i="50"/>
  <c r="Q21" i="50" s="1"/>
  <c r="Q25" i="50" s="1"/>
  <c r="Q28" i="50" s="1"/>
  <c r="U18" i="50"/>
  <c r="U21" i="50" s="1"/>
  <c r="U25" i="50" s="1"/>
  <c r="U28" i="50" s="1"/>
  <c r="Y18" i="50"/>
  <c r="Y21" i="50" s="1"/>
  <c r="Y25" i="50" s="1"/>
  <c r="Y28" i="50" s="1"/>
  <c r="AC18" i="50"/>
  <c r="AC21" i="50" s="1"/>
  <c r="AC25" i="50" s="1"/>
  <c r="AC28" i="50" s="1"/>
  <c r="AG18" i="50"/>
  <c r="AG21" i="50" s="1"/>
  <c r="AG25" i="50" s="1"/>
  <c r="AG28" i="50" s="1"/>
  <c r="AK18" i="50"/>
  <c r="AK21" i="50" s="1"/>
  <c r="AK25" i="50" s="1"/>
  <c r="AK28" i="50" s="1"/>
  <c r="BC5" i="44"/>
  <c r="BD5" i="44"/>
  <c r="BE5" i="44"/>
  <c r="BF5" i="44"/>
  <c r="BG5" i="44"/>
  <c r="BH5" i="44"/>
  <c r="BI5" i="44"/>
  <c r="BJ5" i="44"/>
  <c r="BK5" i="44"/>
  <c r="BL5" i="44"/>
  <c r="BM5" i="44"/>
  <c r="BN5" i="44"/>
  <c r="BO5" i="44"/>
  <c r="BP5" i="44"/>
  <c r="BQ5" i="44"/>
  <c r="BR5" i="44"/>
  <c r="BS5" i="44"/>
  <c r="BT5" i="44"/>
  <c r="BU5" i="44"/>
  <c r="BV5" i="44"/>
  <c r="BW5" i="44"/>
  <c r="BX5" i="44"/>
  <c r="BY5" i="44"/>
  <c r="BZ5" i="44"/>
  <c r="CA5" i="44"/>
  <c r="CB5" i="44"/>
  <c r="CC5" i="44"/>
  <c r="CD5" i="44"/>
  <c r="CE5" i="44"/>
  <c r="CF5" i="44"/>
  <c r="CG5" i="44"/>
  <c r="CH5" i="44"/>
  <c r="CI5" i="44"/>
  <c r="CJ5" i="44"/>
  <c r="CK5" i="44"/>
  <c r="BB5" i="44"/>
  <c r="E29" i="50" l="1"/>
  <c r="X29" i="50"/>
  <c r="S29" i="50"/>
  <c r="Z29" i="50"/>
  <c r="AH29" i="50"/>
  <c r="AK29" i="50"/>
  <c r="T29" i="50"/>
  <c r="AI29" i="50"/>
  <c r="V29" i="50"/>
  <c r="AD29" i="50"/>
  <c r="M29" i="50"/>
  <c r="AF29" i="50"/>
  <c r="P29" i="50"/>
  <c r="L29" i="50"/>
  <c r="H29" i="50"/>
  <c r="I29" i="50"/>
  <c r="AB29" i="50"/>
  <c r="O29" i="50"/>
  <c r="AE29" i="50"/>
  <c r="R29" i="50"/>
  <c r="AL29" i="50"/>
  <c r="N29" i="50" l="1"/>
  <c r="J29" i="50"/>
  <c r="Y29" i="50"/>
  <c r="F29" i="50"/>
  <c r="W29" i="50"/>
  <c r="AA29" i="50"/>
  <c r="AJ29" i="50"/>
  <c r="G29" i="50"/>
  <c r="Q29" i="50"/>
  <c r="K29" i="50"/>
  <c r="AC29" i="50"/>
  <c r="AG29" i="50"/>
  <c r="U29" i="50"/>
  <c r="B9" i="44" l="1"/>
  <c r="B10" i="44"/>
  <c r="B11" i="44"/>
  <c r="B12" i="44"/>
  <c r="D12" i="44" s="1" a="1"/>
  <c r="D12" i="44" s="1"/>
  <c r="B13" i="44"/>
  <c r="B14" i="44"/>
  <c r="B15" i="44"/>
  <c r="B16" i="44"/>
  <c r="D16" i="44" s="1" a="1"/>
  <c r="D16" i="44" s="1"/>
  <c r="B17" i="44"/>
  <c r="D17" i="44" s="1" a="1"/>
  <c r="D17" i="44" s="1"/>
  <c r="B18" i="44"/>
  <c r="D18" i="44" s="1" a="1"/>
  <c r="D18" i="44" s="1"/>
  <c r="B19" i="44"/>
  <c r="B20" i="44"/>
  <c r="B21" i="44"/>
  <c r="B22" i="44"/>
  <c r="B23" i="44"/>
  <c r="D23" i="44" s="1" a="1"/>
  <c r="D23" i="44" s="1"/>
  <c r="B24" i="44"/>
  <c r="D24" i="44" s="1" a="1"/>
  <c r="D24" i="44" s="1"/>
  <c r="B25" i="44"/>
  <c r="B26" i="44"/>
  <c r="B27" i="44"/>
  <c r="B28" i="44"/>
  <c r="D28" i="44" s="1" a="1"/>
  <c r="D28" i="44" s="1"/>
  <c r="B29" i="44"/>
  <c r="B30" i="44"/>
  <c r="B31" i="44"/>
  <c r="B32" i="44"/>
  <c r="B33" i="44"/>
  <c r="B34" i="44"/>
  <c r="D34" i="44" s="1" a="1"/>
  <c r="D34" i="44" s="1"/>
  <c r="B35" i="44"/>
  <c r="D35" i="44" s="1" a="1"/>
  <c r="D35" i="44" s="1"/>
  <c r="B36" i="44"/>
  <c r="D36" i="44" s="1" a="1"/>
  <c r="D36" i="44" s="1"/>
  <c r="B37" i="44"/>
  <c r="D37" i="44" s="1" a="1"/>
  <c r="D37" i="44" s="1"/>
  <c r="B38" i="44"/>
  <c r="D38" i="44" s="1" a="1"/>
  <c r="D38" i="44" s="1"/>
  <c r="B39" i="44"/>
  <c r="D39" i="44" s="1" a="1"/>
  <c r="D39" i="44" s="1"/>
  <c r="B40" i="44"/>
  <c r="D40" i="44" s="1" a="1"/>
  <c r="D40" i="44" s="1"/>
  <c r="B41" i="44"/>
  <c r="D41" i="44" s="1" a="1"/>
  <c r="D41" i="44" s="1"/>
  <c r="B42" i="44"/>
  <c r="D42" i="44" s="1" a="1"/>
  <c r="D42" i="44" s="1"/>
  <c r="B43" i="44"/>
  <c r="D43" i="44" s="1" a="1"/>
  <c r="D43" i="44" s="1"/>
  <c r="B44" i="44"/>
  <c r="D44" i="44" s="1" a="1"/>
  <c r="D44" i="44" s="1"/>
  <c r="B45" i="44"/>
  <c r="D45" i="44" s="1" a="1"/>
  <c r="D45" i="44" s="1"/>
  <c r="B46" i="44"/>
  <c r="D46" i="44" s="1" a="1"/>
  <c r="D46" i="44" s="1"/>
  <c r="B47" i="44"/>
  <c r="D47" i="44" s="1" a="1"/>
  <c r="D47" i="44" s="1"/>
  <c r="B48" i="44"/>
  <c r="D48" i="44" s="1" a="1"/>
  <c r="D48" i="44" s="1"/>
  <c r="B49" i="44"/>
  <c r="D49" i="44" s="1" a="1"/>
  <c r="D49" i="44" s="1"/>
  <c r="B50" i="44"/>
  <c r="D50" i="44" s="1" a="1"/>
  <c r="D50" i="44" s="1"/>
  <c r="B51" i="44"/>
  <c r="D51" i="44" s="1" a="1"/>
  <c r="D51" i="44" s="1"/>
  <c r="B52" i="44"/>
  <c r="D52" i="44" s="1" a="1"/>
  <c r="D52" i="44" s="1"/>
  <c r="B53" i="44"/>
  <c r="D53" i="44" s="1" a="1"/>
  <c r="D53" i="44" s="1"/>
  <c r="B54" i="44"/>
  <c r="D54" i="44" s="1" a="1"/>
  <c r="D54" i="44" s="1"/>
  <c r="B55" i="44"/>
  <c r="D55" i="44" s="1" a="1"/>
  <c r="D55" i="44" s="1"/>
  <c r="B56" i="44"/>
  <c r="D56" i="44" s="1" a="1"/>
  <c r="D56" i="44" s="1"/>
  <c r="B57" i="44"/>
  <c r="D57" i="44" s="1" a="1"/>
  <c r="D57" i="44" s="1"/>
  <c r="B8" i="44"/>
  <c r="B15" i="38"/>
  <c r="B8" i="38" s="1"/>
  <c r="C13" i="3"/>
  <c r="D32" i="44" l="1" a="1"/>
  <c r="D32" i="44" s="1"/>
  <c r="D31" i="44" a="1"/>
  <c r="D31" i="44" s="1"/>
  <c r="BA13" i="3"/>
  <c r="AE13" i="3"/>
  <c r="S13" i="3"/>
  <c r="G13" i="3"/>
  <c r="AY13" i="3"/>
  <c r="AU13" i="3"/>
  <c r="AQ13" i="3"/>
  <c r="AL13" i="3"/>
  <c r="AH13" i="3"/>
  <c r="AD13" i="3"/>
  <c r="Z13" i="3"/>
  <c r="V13" i="3"/>
  <c r="R13" i="3"/>
  <c r="N13" i="3"/>
  <c r="J13" i="3"/>
  <c r="F13" i="3"/>
  <c r="AX13" i="3"/>
  <c r="AT13" i="3"/>
  <c r="AP13" i="3"/>
  <c r="AK13" i="3"/>
  <c r="AC13" i="3"/>
  <c r="Y13" i="3"/>
  <c r="Q13" i="3"/>
  <c r="M13" i="3"/>
  <c r="E13" i="3"/>
  <c r="BC13" i="3"/>
  <c r="AG13" i="3"/>
  <c r="U13" i="3"/>
  <c r="I13" i="3"/>
  <c r="BB13" i="3"/>
  <c r="AW13" i="3"/>
  <c r="AS13" i="3"/>
  <c r="AO13" i="3"/>
  <c r="AJ13" i="3"/>
  <c r="AF13" i="3"/>
  <c r="AB13" i="3"/>
  <c r="X13" i="3"/>
  <c r="T13" i="3"/>
  <c r="P13" i="3"/>
  <c r="L13" i="3"/>
  <c r="H13" i="3"/>
  <c r="D13" i="3"/>
  <c r="AV13" i="3"/>
  <c r="AR13" i="3"/>
  <c r="AN13" i="3"/>
  <c r="AI13" i="3"/>
  <c r="AA13" i="3"/>
  <c r="W13" i="3"/>
  <c r="O13" i="3"/>
  <c r="K13" i="3"/>
  <c r="D33" i="44" a="1"/>
  <c r="D33" i="44" s="1"/>
  <c r="B11" i="40"/>
  <c r="B8" i="40" s="1"/>
  <c r="H13" i="40"/>
  <c r="P17" i="38"/>
  <c r="O17" i="38" s="1"/>
  <c r="N17" i="38" s="1"/>
  <c r="N13" i="40" s="1"/>
  <c r="I17" i="38"/>
  <c r="I13" i="40" s="1"/>
  <c r="G17" i="38"/>
  <c r="G13" i="40" s="1"/>
  <c r="CC19" i="44" a="1"/>
  <c r="BL8" i="44" a="1"/>
  <c r="CG25" i="44" a="1"/>
  <c r="CK21" i="44" a="1"/>
  <c r="CF30" i="44" a="1"/>
  <c r="BS32" i="44" a="1"/>
  <c r="CD21" i="44" a="1"/>
  <c r="BF19" i="44" a="1"/>
  <c r="CB29" i="44" a="1"/>
  <c r="BE21" i="44" a="1"/>
  <c r="CC25" i="44" a="1"/>
  <c r="BK19" i="44" a="1"/>
  <c r="CE29" i="44" a="1"/>
  <c r="CB20" i="44" a="1"/>
  <c r="BM8" i="44" a="1"/>
  <c r="BQ20" i="44" a="1"/>
  <c r="CE8" i="44" a="1"/>
  <c r="BE25" i="44" a="1"/>
  <c r="BJ22" i="44" a="1"/>
  <c r="BC22" i="44" a="1"/>
  <c r="BS26" i="44" a="1"/>
  <c r="CJ29" i="44" a="1"/>
  <c r="BL25" i="44" a="1"/>
  <c r="CF32" i="44" a="1"/>
  <c r="BT22" i="44" a="1"/>
  <c r="BQ33" i="44" a="1"/>
  <c r="CD22" i="44" a="1"/>
  <c r="BJ19" i="44" a="1"/>
  <c r="BR27" i="44" a="1"/>
  <c r="CE32" i="44" a="1"/>
  <c r="CH32" i="44" a="1"/>
  <c r="CH20" i="44" a="1"/>
  <c r="BK21" i="44" a="1"/>
  <c r="BY20" i="44" a="1"/>
  <c r="BU22" i="44" a="1"/>
  <c r="BG20" i="44" a="1"/>
  <c r="BD25" i="44" a="1"/>
  <c r="CC22" i="44" a="1"/>
  <c r="BT29" i="44" a="1"/>
  <c r="BB29" i="44" a="1"/>
  <c r="BM26" i="44" a="1"/>
  <c r="BW19" i="44" a="1"/>
  <c r="CD27" i="44" a="1"/>
  <c r="CD30" i="44" a="1"/>
  <c r="CG30" i="44" a="1"/>
  <c r="BB22" i="44" a="1"/>
  <c r="CK31" i="44" a="1"/>
  <c r="BQ8" i="44" a="1"/>
  <c r="BM33" i="44" a="1"/>
  <c r="BN32" i="44" a="1"/>
  <c r="BN26" i="44" a="1"/>
  <c r="BG8" i="44" a="1"/>
  <c r="BT25" i="44" a="1"/>
  <c r="CK26" i="44" a="1"/>
  <c r="CB32" i="44" a="1"/>
  <c r="CH25" i="44" a="1"/>
  <c r="BF25" i="44" a="1"/>
  <c r="CG8" i="44" a="1"/>
  <c r="BK30" i="44" a="1"/>
  <c r="CG29" i="44" a="1"/>
  <c r="BE8" i="44" a="1"/>
  <c r="CK20" i="44" a="1"/>
  <c r="CD25" i="44" a="1"/>
  <c r="BI19" i="44" a="1"/>
  <c r="BH22" i="44" a="1"/>
  <c r="BD29" i="44" a="1"/>
  <c r="BV26" i="44" a="1"/>
  <c r="BE20" i="44" a="1"/>
  <c r="CJ19" i="44" a="1"/>
  <c r="BG29" i="44" a="1"/>
  <c r="CJ33" i="44" a="1"/>
  <c r="BF22" i="44" a="1"/>
  <c r="BJ31" i="44" a="1"/>
  <c r="CA27" i="44" a="1"/>
  <c r="BL26" i="44" a="1"/>
  <c r="BO22" i="44" a="1"/>
  <c r="CA19" i="44" a="1"/>
  <c r="BV30" i="44" a="1"/>
  <c r="BP25" i="44" a="1"/>
  <c r="BP32" i="44" a="1"/>
  <c r="BS19" i="44" a="1"/>
  <c r="BI25" i="44" a="1"/>
  <c r="BY21" i="44" a="1"/>
  <c r="CA20" i="44" a="1"/>
  <c r="CH21" i="44" a="1"/>
  <c r="CK33" i="44" a="1"/>
  <c r="CI26" i="44" a="1"/>
  <c r="BM30" i="44" a="1"/>
  <c r="CI31" i="44" a="1"/>
  <c r="BU31" i="44" a="1"/>
  <c r="BG26" i="44" a="1"/>
  <c r="BN20" i="44" a="1"/>
  <c r="BB25" i="44" a="1"/>
  <c r="CI20" i="44" a="1"/>
  <c r="BF31" i="44" a="1"/>
  <c r="CI8" i="44" a="1"/>
  <c r="BW8" i="44" a="1"/>
  <c r="BI29" i="44" a="1"/>
  <c r="BU33" i="44" a="1"/>
  <c r="BY8" i="44" a="1"/>
  <c r="BV20" i="44" a="1"/>
  <c r="BK22" i="44" a="1"/>
  <c r="BL32" i="44" a="1"/>
  <c r="BL30" i="44" a="1"/>
  <c r="BG32" i="44" a="1"/>
  <c r="BV22" i="44" a="1"/>
  <c r="CH30" i="44" a="1"/>
  <c r="BC25" i="44" a="1"/>
  <c r="BT27" i="44" a="1"/>
  <c r="CC31" i="44" a="1"/>
  <c r="CF25" i="44" a="1"/>
  <c r="CG19" i="44" a="1"/>
  <c r="BP21" i="44" a="1"/>
  <c r="BW21" i="44" a="1"/>
  <c r="CK25" i="44" a="1"/>
  <c r="BF30" i="44" a="1"/>
  <c r="CD26" i="44" a="1"/>
  <c r="CA26" i="44" a="1"/>
  <c r="CA31" i="44" a="1"/>
  <c r="BH32" i="44" a="1"/>
  <c r="CF20" i="44" a="1"/>
  <c r="BP30" i="44" a="1"/>
  <c r="BE22" i="44" a="1"/>
  <c r="BU29" i="44" a="1"/>
  <c r="BK8" i="44" a="1"/>
  <c r="BK29" i="44" a="1"/>
  <c r="BB27" i="44" a="1"/>
  <c r="BW20" i="44" a="1"/>
  <c r="BX31" i="44" a="1"/>
  <c r="CA8" i="44" a="1"/>
  <c r="BU27" i="44" a="1"/>
  <c r="BO26" i="44" a="1"/>
  <c r="CE25" i="44" a="1"/>
  <c r="CF8" i="44" a="1"/>
  <c r="CA29" i="44" a="1"/>
  <c r="CD33" i="44" a="1"/>
  <c r="BP33" i="44" a="1"/>
  <c r="BH30" i="44" a="1"/>
  <c r="BF29" i="44" a="1"/>
  <c r="CD20" i="44" a="1"/>
  <c r="BT31" i="44" a="1"/>
  <c r="CE27" i="44" a="1"/>
  <c r="BT20" i="44" a="1"/>
  <c r="BV31" i="44" a="1"/>
  <c r="BG25" i="44" a="1"/>
  <c r="BN19" i="44" a="1"/>
  <c r="BV27" i="44" a="1"/>
  <c r="BT26" i="44" a="1"/>
  <c r="CG22" i="44" a="1"/>
  <c r="BQ21" i="44" a="1"/>
  <c r="CK8" i="44" a="1"/>
  <c r="BI21" i="44" a="1"/>
  <c r="BC30" i="44" a="1"/>
  <c r="BC27" i="44" a="1"/>
  <c r="BJ8" i="44" a="1"/>
  <c r="BN29" i="44" a="1"/>
  <c r="CH33" i="44" a="1"/>
  <c r="BW29" i="44" a="1"/>
  <c r="BK33" i="44" a="1"/>
  <c r="CF19" i="44" a="1"/>
  <c r="BI26" i="44" a="1"/>
  <c r="BD8" i="44" a="1"/>
  <c r="CB25" i="44" a="1"/>
  <c r="CE26" i="44" a="1"/>
  <c r="CC33" i="44" a="1"/>
  <c r="BG30" i="44" a="1"/>
  <c r="BW25" i="44" a="1"/>
  <c r="CJ32" i="44" a="1"/>
  <c r="CE21" i="44" a="1"/>
  <c r="CH27" i="44" a="1"/>
  <c r="CK32" i="44" a="1"/>
  <c r="BD32" i="44" a="1"/>
  <c r="BB32" i="44" a="1"/>
  <c r="BC19" i="44" a="1"/>
  <c r="BB26" i="44" a="1"/>
  <c r="BC32" i="44" a="1"/>
  <c r="BM32" i="44" a="1"/>
  <c r="CB22" i="44" a="1"/>
  <c r="BZ20" i="44" a="1"/>
  <c r="CH22" i="44" a="1"/>
  <c r="BS8" i="44" a="1"/>
  <c r="CF26" i="44" a="1"/>
  <c r="BM25" i="44" a="1"/>
  <c r="BJ25" i="44" a="1"/>
  <c r="CH31" i="44" a="1"/>
  <c r="CI32" i="44" a="1"/>
  <c r="BX19" i="44" a="1"/>
  <c r="BT21" i="44" a="1"/>
  <c r="CB8" i="44" a="1"/>
  <c r="BK32" i="44" a="1"/>
  <c r="BS27" i="44" a="1"/>
  <c r="BV19" i="44" a="1"/>
  <c r="CA32" i="44" a="1"/>
  <c r="BO19" i="44" a="1"/>
  <c r="BD26" i="44" a="1"/>
  <c r="BV8" i="44" a="1"/>
  <c r="BJ21" i="44" a="1"/>
  <c r="BU20" i="44" a="1"/>
  <c r="CG20" i="44" a="1"/>
  <c r="BK31" i="44" a="1"/>
  <c r="BE30" i="44" a="1"/>
  <c r="BL29" i="44" a="1"/>
  <c r="CI27" i="44" a="1"/>
  <c r="BO8" i="44" a="1"/>
  <c r="BL21" i="44" a="1"/>
  <c r="BQ26" i="44" a="1"/>
  <c r="CK27" i="44" a="1"/>
  <c r="BV29" i="44" a="1"/>
  <c r="BZ22" i="44" a="1"/>
  <c r="BR25" i="44" a="1"/>
  <c r="BI30" i="44" a="1"/>
  <c r="BZ33" i="44" a="1"/>
  <c r="CB27" i="44" a="1"/>
  <c r="BU30" i="44" a="1"/>
  <c r="BP19" i="44" a="1"/>
  <c r="BR29" i="44" a="1"/>
  <c r="BX22" i="44" a="1"/>
  <c r="CI29" i="44" a="1"/>
  <c r="BQ25" i="44" a="1"/>
  <c r="BO20" i="44" a="1"/>
  <c r="BK27" i="44" a="1"/>
  <c r="CJ27" i="44" a="1"/>
  <c r="BH27" i="44" a="1"/>
  <c r="CK22" i="44" a="1"/>
  <c r="BZ29" i="44" a="1"/>
  <c r="BY30" i="44" a="1"/>
  <c r="BR31" i="44" a="1"/>
  <c r="CF22" i="44" a="1"/>
  <c r="BS20" i="44" a="1"/>
  <c r="BR21" i="44" a="1"/>
  <c r="BE33" i="44" a="1"/>
  <c r="BD30" i="44" a="1"/>
  <c r="CI30" i="44" a="1"/>
  <c r="BN31" i="44" a="1"/>
  <c r="CJ26" i="44" a="1"/>
  <c r="BX25" i="44" a="1"/>
  <c r="BW26" i="44" a="1"/>
  <c r="BC26" i="44" a="1"/>
  <c r="BQ19" i="44" a="1"/>
  <c r="BU8" i="44" a="1"/>
  <c r="BN8" i="44" a="1"/>
  <c r="CD19" i="44" a="1"/>
  <c r="BD20" i="44" a="1"/>
  <c r="BU25" i="44" a="1"/>
  <c r="BM22" i="44" a="1"/>
  <c r="BL33" i="44" a="1"/>
  <c r="BM27" i="44" a="1"/>
  <c r="BH33" i="44" a="1"/>
  <c r="BM29" i="44" a="1"/>
  <c r="BS22" i="44" a="1"/>
  <c r="BV33" i="44" a="1"/>
  <c r="CB33" i="44" a="1"/>
  <c r="CC32" i="44" a="1"/>
  <c r="CC29" i="44" a="1"/>
  <c r="BY19" i="44" a="1"/>
  <c r="CE19" i="44" a="1"/>
  <c r="BN30" i="44" a="1"/>
  <c r="BM19" i="44" a="1"/>
  <c r="BH29" i="44" a="1"/>
  <c r="BO32" i="44" a="1"/>
  <c r="BB20" i="44" a="1"/>
  <c r="CF33" i="44" a="1"/>
  <c r="CJ30" i="44" a="1"/>
  <c r="BB21" i="44" a="1"/>
  <c r="BD27" i="44" a="1"/>
  <c r="BR20" i="44" a="1"/>
  <c r="BC20" i="44" a="1"/>
  <c r="BZ21" i="44" a="1"/>
  <c r="CF29" i="44" a="1"/>
  <c r="BX27" i="44" a="1"/>
  <c r="CK19" i="44" a="1"/>
  <c r="BJ29" i="44" a="1"/>
  <c r="CK29" i="44" a="1"/>
  <c r="BO29" i="44" a="1"/>
  <c r="BR26" i="44" a="1"/>
  <c r="BL20" i="44" a="1"/>
  <c r="BH20" i="44" a="1"/>
  <c r="BY29" i="44" a="1"/>
  <c r="BI8" i="44" a="1"/>
  <c r="CK30" i="44" a="1"/>
  <c r="BX8" i="44" a="1"/>
  <c r="BI27" i="44" a="1"/>
  <c r="CC30" i="44" a="1"/>
  <c r="CH29" i="44" a="1"/>
  <c r="BC8" i="44" a="1"/>
  <c r="BV21" i="44" a="1"/>
  <c r="BZ26" i="44" a="1"/>
  <c r="BO30" i="44" a="1"/>
  <c r="BP22" i="44" a="1"/>
  <c r="BQ30" i="44" a="1"/>
  <c r="BT8" i="44" a="1"/>
  <c r="BX32" i="44" a="1"/>
  <c r="BF20" i="44" a="1"/>
  <c r="BZ30" i="44" a="1"/>
  <c r="BC21" i="44" a="1"/>
  <c r="BG22" i="44" a="1"/>
  <c r="CI22" i="44" a="1"/>
  <c r="BD21" i="44" a="1"/>
  <c r="BG21" i="44" a="1"/>
  <c r="CI21" i="44" a="1"/>
  <c r="BM21" i="44" a="1"/>
  <c r="CC21" i="44" a="1"/>
  <c r="BD19" i="44" a="1"/>
  <c r="BL22" i="44" a="1"/>
  <c r="BS30" i="44" a="1"/>
  <c r="BM31" i="44" a="1"/>
  <c r="BI20" i="44" a="1"/>
  <c r="BF27" i="44" a="1"/>
  <c r="BQ22" i="44" a="1"/>
  <c r="BB19" i="44" a="1"/>
  <c r="CF31" i="44" a="1"/>
  <c r="BP31" i="44" a="1"/>
  <c r="CD29" i="44" a="1"/>
  <c r="BY27" i="44" a="1"/>
  <c r="CA33" i="44" a="1"/>
  <c r="BP29" i="44" a="1"/>
  <c r="BO25" i="44" a="1"/>
  <c r="BE26" i="44" a="1"/>
  <c r="BH31" i="44" a="1"/>
  <c r="BW22" i="44" a="1"/>
  <c r="BN25" i="44" a="1"/>
  <c r="BP8" i="44" a="1"/>
  <c r="CH8" i="44" a="1"/>
  <c r="BD22" i="44" a="1"/>
  <c r="BZ27" i="44" a="1"/>
  <c r="BU19" i="44" a="1"/>
  <c r="BG31" i="44" a="1"/>
  <c r="CJ8" i="44" a="1"/>
  <c r="BE31" i="44" a="1"/>
  <c r="BD31" i="44" a="1"/>
  <c r="BR33" i="44" a="1"/>
  <c r="BO31" i="44" a="1"/>
  <c r="BQ31" i="44" a="1"/>
  <c r="BQ27" i="44" a="1"/>
  <c r="CD32" i="44" a="1"/>
  <c r="BY33" i="44" a="1"/>
  <c r="BF26" i="44" a="1"/>
  <c r="BZ19" i="44" a="1"/>
  <c r="BY25" i="44" a="1"/>
  <c r="BP26" i="44" a="1"/>
  <c r="BB30" i="44" a="1"/>
  <c r="CA22" i="44" a="1"/>
  <c r="BG27" i="44" a="1"/>
  <c r="BS33" i="44" a="1"/>
  <c r="CJ25" i="44" a="1"/>
  <c r="BR8" i="44" a="1"/>
  <c r="BT30" i="44" a="1"/>
  <c r="BJ33" i="44" a="1"/>
  <c r="BH19" i="44" a="1"/>
  <c r="BI33" i="44" a="1"/>
  <c r="BT33" i="44" a="1"/>
  <c r="BW30" i="44" a="1"/>
  <c r="BX21" i="44" a="1"/>
  <c r="CJ21" i="44" a="1"/>
  <c r="BU26" i="44" a="1"/>
  <c r="CJ22" i="44" a="1"/>
  <c r="BV25" i="44" a="1"/>
  <c r="BJ32" i="44" a="1"/>
  <c r="BB8" i="44" a="1"/>
  <c r="BO21" i="44" a="1"/>
  <c r="BX26" i="44" a="1"/>
  <c r="BS21" i="44" a="1"/>
  <c r="CA21" i="44" a="1"/>
  <c r="CC8" i="44" a="1"/>
  <c r="BE27" i="44" a="1"/>
  <c r="BE29" i="44" a="1"/>
  <c r="BI22" i="44" a="1"/>
  <c r="CH19" i="44" a="1"/>
  <c r="BZ8" i="44" a="1"/>
  <c r="CJ20" i="44" a="1"/>
  <c r="BB31" i="44" a="1"/>
  <c r="BK25" i="44" a="1"/>
  <c r="BB33" i="44" a="1"/>
  <c r="BD33" i="44" a="1"/>
  <c r="BC29" i="44" a="1"/>
  <c r="CA30" i="44" a="1"/>
  <c r="BX33" i="44" a="1"/>
  <c r="BN33" i="44" a="1"/>
  <c r="BO33" i="44" a="1"/>
  <c r="CJ31" i="44" a="1"/>
  <c r="CG27" i="44" a="1"/>
  <c r="BK26" i="44" a="1"/>
  <c r="CA25" i="44" a="1"/>
  <c r="BT19" i="44" a="1"/>
  <c r="BK20" i="44" a="1"/>
  <c r="BF21" i="44" a="1"/>
  <c r="CI19" i="44" a="1"/>
  <c r="BY31" i="44" a="1"/>
  <c r="CB30" i="44" a="1"/>
  <c r="BC33" i="44" a="1"/>
  <c r="BN27" i="44" a="1"/>
  <c r="CG21" i="44" a="1"/>
  <c r="BC31" i="44" a="1"/>
  <c r="BP27" i="44" a="1"/>
  <c r="BL31" i="44" a="1"/>
  <c r="BL19" i="44" a="1"/>
  <c r="BS29" i="44" a="1"/>
  <c r="BH8" i="44" a="1"/>
  <c r="CE30" i="44" a="1"/>
  <c r="CB26" i="44" a="1"/>
  <c r="BN22" i="44" a="1"/>
  <c r="BY26" i="44" a="1"/>
  <c r="BH26" i="44" a="1"/>
  <c r="BX20" i="44" a="1"/>
  <c r="BI32" i="44" a="1"/>
  <c r="CC27" i="44" a="1"/>
  <c r="BW31" i="44" a="1"/>
  <c r="BS25" i="44" a="1"/>
  <c r="BX29" i="44" a="1"/>
  <c r="CC20" i="44" a="1"/>
  <c r="BP20" i="44" a="1"/>
  <c r="BO27" i="44" a="1"/>
  <c r="BF32" i="44" a="1"/>
  <c r="BN21" i="44" a="1"/>
  <c r="CG32" i="44" a="1"/>
  <c r="BS31" i="44" a="1"/>
  <c r="BE32" i="44" a="1"/>
  <c r="BF33" i="44" a="1"/>
  <c r="CE22" i="44" a="1"/>
  <c r="BG19" i="44" a="1"/>
  <c r="BR22" i="44" a="1"/>
  <c r="BW27" i="44" a="1"/>
  <c r="BF8" i="44" a="1"/>
  <c r="BZ32" i="44" a="1"/>
  <c r="BQ32" i="44" a="1"/>
  <c r="BG33" i="44" a="1"/>
  <c r="CD31" i="44" a="1"/>
  <c r="BJ26" i="44" a="1"/>
  <c r="CD8" i="44" a="1"/>
  <c r="CB21" i="44" a="1"/>
  <c r="CF21" i="44" a="1"/>
  <c r="BI31" i="44" a="1"/>
  <c r="CG26" i="44" a="1"/>
  <c r="BR19" i="44" a="1"/>
  <c r="BJ27" i="44" a="1"/>
  <c r="BQ29" i="44" a="1"/>
  <c r="BJ30" i="44" a="1"/>
  <c r="BW33" i="44" a="1"/>
  <c r="CG33" i="44" a="1"/>
  <c r="CB31" i="44" a="1"/>
  <c r="BZ31" i="44" a="1"/>
  <c r="CI33" i="44" a="1"/>
  <c r="CE20" i="44" a="1"/>
  <c r="BL27" i="44" a="1"/>
  <c r="CE31" i="44" a="1"/>
  <c r="BX30" i="44" a="1"/>
  <c r="BJ20" i="44" a="1"/>
  <c r="BT32" i="44" a="1"/>
  <c r="BM20" i="44" a="1"/>
  <c r="BE19" i="44" a="1"/>
  <c r="BV32" i="44" a="1"/>
  <c r="BU32" i="44" a="1"/>
  <c r="BU21" i="44" a="1"/>
  <c r="CE33" i="44" a="1"/>
  <c r="CH26" i="44" a="1"/>
  <c r="BH21" i="44" a="1"/>
  <c r="BH25" i="44" a="1"/>
  <c r="BZ25" i="44" a="1"/>
  <c r="CC26" i="44" a="1"/>
  <c r="BR32" i="44" a="1"/>
  <c r="CG31" i="44" a="1"/>
  <c r="BY22" i="44" a="1"/>
  <c r="BY32" i="44" a="1"/>
  <c r="CI25" i="44" a="1"/>
  <c r="BR30" i="44" a="1"/>
  <c r="CB19" i="44" a="1"/>
  <c r="BW32" i="44" a="1"/>
  <c r="CF27" i="44" a="1"/>
  <c r="BS19" i="44" l="1"/>
  <c r="BX29" i="44"/>
  <c r="BO19" i="44"/>
  <c r="BH8" i="44"/>
  <c r="BU32" i="44"/>
  <c r="CK8" i="44"/>
  <c r="BZ31" i="44"/>
  <c r="BO33" i="44"/>
  <c r="BW20" i="44"/>
  <c r="BE30" i="44"/>
  <c r="BS30" i="44"/>
  <c r="CB19" i="44"/>
  <c r="BZ32" i="44"/>
  <c r="BH22" i="44"/>
  <c r="BF29" i="44"/>
  <c r="CK26" i="44"/>
  <c r="BC25" i="44"/>
  <c r="CH19" i="44"/>
  <c r="BW8" i="44"/>
  <c r="BV25" i="44"/>
  <c r="BZ30" i="44"/>
  <c r="BU19" i="44"/>
  <c r="CC30" i="44"/>
  <c r="CG21" i="44"/>
  <c r="CG19" i="44"/>
  <c r="CD27" i="44"/>
  <c r="BB21" i="44"/>
  <c r="BF26" i="44"/>
  <c r="CK33" i="44"/>
  <c r="CF32" i="44"/>
  <c r="BD30" i="44"/>
  <c r="CE29" i="44"/>
  <c r="BF33" i="44"/>
  <c r="BY31" i="44"/>
  <c r="BW31" i="44"/>
  <c r="BC20" i="44"/>
  <c r="CC32" i="44"/>
  <c r="BW25" i="44"/>
  <c r="CD19" i="44"/>
  <c r="CG31" i="44"/>
  <c r="BR25" i="44"/>
  <c r="BL8" i="44"/>
  <c r="CG20" i="44"/>
  <c r="CB22" i="44"/>
  <c r="BL19" i="44"/>
  <c r="BW32" i="44"/>
  <c r="BK27" i="44"/>
  <c r="BT30" i="44"/>
  <c r="BX33" i="44"/>
  <c r="BE19" i="44"/>
  <c r="BE29" i="44"/>
  <c r="CG33" i="44"/>
  <c r="BJ29" i="44"/>
  <c r="BK29" i="44"/>
  <c r="CF22" i="44"/>
  <c r="BD19" i="44"/>
  <c r="BG8" i="44"/>
  <c r="BF8" i="44"/>
  <c r="CE32" i="44"/>
  <c r="BP33" i="44"/>
  <c r="BU26" i="44"/>
  <c r="BV22" i="44"/>
  <c r="CD25" i="44"/>
  <c r="BF31" i="44"/>
  <c r="BB29" i="44"/>
  <c r="BX32" i="44"/>
  <c r="BP21" i="44"/>
  <c r="BX8" i="44"/>
  <c r="CD32" i="44"/>
  <c r="BR8" i="44"/>
  <c r="BD22" i="44"/>
  <c r="CF33" i="44"/>
  <c r="CC25" i="44"/>
  <c r="CA20" i="44"/>
  <c r="BX19" i="44"/>
  <c r="BP25" i="44"/>
  <c r="BR20" i="44"/>
  <c r="BS31" i="44"/>
  <c r="CJ29" i="44"/>
  <c r="BI32" i="44"/>
  <c r="CC26" i="44"/>
  <c r="BV33" i="44"/>
  <c r="BT32" i="44"/>
  <c r="BU8" i="44"/>
  <c r="BC32" i="44"/>
  <c r="BV29" i="44"/>
  <c r="CC33" i="44"/>
  <c r="CF27" i="44"/>
  <c r="CD31" i="44"/>
  <c r="BP27" i="44"/>
  <c r="BN19" i="44"/>
  <c r="BQ25" i="44"/>
  <c r="BJ30" i="44"/>
  <c r="BC29" i="44"/>
  <c r="CF21" i="44"/>
  <c r="CC8" i="44"/>
  <c r="BM21" i="44"/>
  <c r="CD8" i="44"/>
  <c r="BQ30" i="44"/>
  <c r="BF27" i="44"/>
  <c r="CA29" i="44"/>
  <c r="BN32" i="44"/>
  <c r="BU29" i="44"/>
  <c r="BS33" i="44"/>
  <c r="BB25" i="44"/>
  <c r="BX21" i="44"/>
  <c r="BW29" i="44"/>
  <c r="BE8" i="44"/>
  <c r="BI8" i="44"/>
  <c r="BJ21" i="44"/>
  <c r="BL30" i="44"/>
  <c r="BX27" i="44"/>
  <c r="BO32" i="44"/>
  <c r="BQ31" i="44"/>
  <c r="BM29" i="44"/>
  <c r="BP8" i="44"/>
  <c r="BW21" i="44"/>
  <c r="CB29" i="44"/>
  <c r="BQ21" i="44"/>
  <c r="CH31" i="44"/>
  <c r="BH26" i="44"/>
  <c r="BK26" i="44"/>
  <c r="CJ33" i="44"/>
  <c r="BC22" i="44"/>
  <c r="BC26" i="44"/>
  <c r="BH25" i="44"/>
  <c r="BN21" i="44"/>
  <c r="BX30" i="44"/>
  <c r="CI30" i="44"/>
  <c r="BC19" i="44"/>
  <c r="BG20" i="44"/>
  <c r="CB25" i="44"/>
  <c r="BX22" i="44"/>
  <c r="BL26" i="44"/>
  <c r="BQ26" i="44"/>
  <c r="BV31" i="44"/>
  <c r="BS21" i="44"/>
  <c r="BJ27" i="44"/>
  <c r="BG29" i="44"/>
  <c r="CC22" i="44"/>
  <c r="BI20" i="44"/>
  <c r="BG21" i="44"/>
  <c r="BB33" i="44"/>
  <c r="BO30" i="44"/>
  <c r="CA22" i="44"/>
  <c r="CE25" i="44"/>
  <c r="BR33" i="44"/>
  <c r="BP30" i="44"/>
  <c r="BK30" i="44"/>
  <c r="BG26" i="44"/>
  <c r="BQ8" i="44"/>
  <c r="BP29" i="44"/>
  <c r="BF21" i="44"/>
  <c r="BH20" i="44"/>
  <c r="BR27" i="44"/>
  <c r="BK22" i="44"/>
  <c r="BW22" i="44"/>
  <c r="BM19" i="44"/>
  <c r="CK29" i="44"/>
  <c r="BM27" i="44"/>
  <c r="BM25" i="44"/>
  <c r="BJ33" i="44"/>
  <c r="BD32" i="44"/>
  <c r="CG22" i="44"/>
  <c r="BE25" i="44"/>
  <c r="BN22" i="44"/>
  <c r="CD21" i="44"/>
  <c r="BY30" i="44"/>
  <c r="BL27" i="44"/>
  <c r="BX25" i="44"/>
  <c r="BN31" i="44"/>
  <c r="BO27" i="44"/>
  <c r="BI26" i="44"/>
  <c r="BN29" i="44"/>
  <c r="CH26" i="44"/>
  <c r="CA32" i="44"/>
  <c r="CE27" i="44"/>
  <c r="BP19" i="44"/>
  <c r="BU27" i="44"/>
  <c r="BO8" i="44"/>
  <c r="BC27" i="44"/>
  <c r="BO21" i="44"/>
  <c r="BS27" i="44"/>
  <c r="BE20" i="44"/>
  <c r="BV21" i="44"/>
  <c r="BM31" i="44"/>
  <c r="BW27" i="44"/>
  <c r="BB31" i="44"/>
  <c r="BH32" i="44"/>
  <c r="BP26" i="44"/>
  <c r="CI22" i="44"/>
  <c r="BE31" i="44"/>
  <c r="BI31" i="44"/>
  <c r="BF25" i="44"/>
  <c r="CA19" i="44"/>
  <c r="BB22" i="44"/>
  <c r="BY8" i="44"/>
  <c r="BY20" i="44"/>
  <c r="CI31" i="44"/>
  <c r="CD22" i="44"/>
  <c r="BM22" i="44"/>
  <c r="BE26" i="44"/>
  <c r="BR22" i="44"/>
  <c r="BH19" i="44"/>
  <c r="CF25" i="44"/>
  <c r="BS8" i="44"/>
  <c r="CE19" i="44"/>
  <c r="CH27" i="44"/>
  <c r="CK22" i="44"/>
  <c r="BQ20" i="44"/>
  <c r="CB27" i="44"/>
  <c r="CF30" i="44"/>
  <c r="CC20" i="44"/>
  <c r="CI33" i="44"/>
  <c r="CE30" i="44"/>
  <c r="BR26" i="44"/>
  <c r="CP26" i="44" s="1"/>
  <c r="BY32" i="44"/>
  <c r="BK33" i="44"/>
  <c r="CJ31" i="44"/>
  <c r="BU21" i="44"/>
  <c r="BL29" i="44"/>
  <c r="CD20" i="44"/>
  <c r="BY27" i="44"/>
  <c r="BX31" i="44"/>
  <c r="BD29" i="44"/>
  <c r="CK19" i="44"/>
  <c r="CB32" i="44"/>
  <c r="BK32" i="44"/>
  <c r="BZ8" i="44"/>
  <c r="CH29" i="44"/>
  <c r="BJ32" i="44"/>
  <c r="BT27" i="44"/>
  <c r="BG31" i="44"/>
  <c r="CA26" i="44"/>
  <c r="BI25" i="44"/>
  <c r="BC21" i="44"/>
  <c r="CD30" i="44"/>
  <c r="BI33" i="44"/>
  <c r="BZ19" i="44"/>
  <c r="BI21" i="44"/>
  <c r="BT22" i="44"/>
  <c r="BI29" i="44"/>
  <c r="CB20" i="44"/>
  <c r="CI26" i="44"/>
  <c r="BD26" i="44"/>
  <c r="BD20" i="44"/>
  <c r="BK21" i="44"/>
  <c r="CE22" i="44"/>
  <c r="CJ32" i="44"/>
  <c r="BD27" i="44"/>
  <c r="CG27" i="44"/>
  <c r="CC29" i="44"/>
  <c r="CG25" i="44"/>
  <c r="CJ27" i="44"/>
  <c r="BZ20" i="44"/>
  <c r="BI30" i="44"/>
  <c r="BN27" i="44"/>
  <c r="BS25" i="44"/>
  <c r="CI25" i="44"/>
  <c r="BS29" i="44"/>
  <c r="BV32" i="44"/>
  <c r="BG33" i="44"/>
  <c r="CB31" i="44"/>
  <c r="BN33" i="44"/>
  <c r="BB27" i="44"/>
  <c r="BK31" i="44"/>
  <c r="BL22" i="44"/>
  <c r="CB21" i="44"/>
  <c r="BT26" i="44"/>
  <c r="BI19" i="44"/>
  <c r="BH30" i="44"/>
  <c r="BT25" i="44"/>
  <c r="CH30" i="44"/>
  <c r="BI22" i="44"/>
  <c r="CI8" i="44"/>
  <c r="CJ22" i="44"/>
  <c r="BF20" i="44"/>
  <c r="BZ27" i="44"/>
  <c r="BI27" i="44"/>
  <c r="BU20" i="44"/>
  <c r="BB19" i="44"/>
  <c r="BW19" i="44"/>
  <c r="CJ30" i="44"/>
  <c r="BY33" i="44"/>
  <c r="CH21" i="44"/>
  <c r="BL25" i="44"/>
  <c r="CK25" i="44"/>
  <c r="BK19" i="44"/>
  <c r="BE32" i="44"/>
  <c r="BP31" i="44"/>
  <c r="CC27" i="44"/>
  <c r="CH20" i="44"/>
  <c r="CB33" i="44"/>
  <c r="BG30" i="44"/>
  <c r="BN8" i="44"/>
  <c r="BR32" i="44"/>
  <c r="BZ22" i="44"/>
  <c r="CC19" i="44"/>
  <c r="BM26" i="44"/>
  <c r="BM32" i="44"/>
  <c r="BL31" i="44"/>
  <c r="BT29" i="44"/>
  <c r="BO20" i="44"/>
  <c r="BS20" i="44"/>
  <c r="CA30" i="44"/>
  <c r="BM20" i="44"/>
  <c r="BE27" i="44"/>
  <c r="BW33" i="44"/>
  <c r="BR30" i="44"/>
  <c r="BK8" i="44"/>
  <c r="CA27" i="44"/>
  <c r="CC21" i="44"/>
  <c r="BN26" i="44"/>
  <c r="BV27" i="44"/>
  <c r="CJ25" i="44"/>
  <c r="CD33" i="44"/>
  <c r="CJ21" i="44"/>
  <c r="BG32" i="44"/>
  <c r="CK20" i="44"/>
  <c r="CI20" i="44"/>
  <c r="BF30" i="44"/>
  <c r="BT8" i="44"/>
  <c r="CI19" i="44"/>
  <c r="CK30" i="44"/>
  <c r="BQ27" i="44"/>
  <c r="BK20" i="44"/>
  <c r="CH8" i="44"/>
  <c r="BB20" i="44"/>
  <c r="BE21" i="44"/>
  <c r="BY21" i="44"/>
  <c r="CI32" i="44"/>
  <c r="CB30" i="44"/>
  <c r="CB8" i="44"/>
  <c r="CG32" i="44"/>
  <c r="BS26" i="44"/>
  <c r="BX20" i="44"/>
  <c r="BZ25" i="44"/>
  <c r="BS22" i="44"/>
  <c r="BJ20" i="44"/>
  <c r="BQ19" i="44"/>
  <c r="BB26" i="44"/>
  <c r="CK27" i="44"/>
  <c r="CE26" i="44"/>
  <c r="BT33" i="44"/>
  <c r="CF29" i="44"/>
  <c r="BC31" i="44"/>
  <c r="BG25" i="44"/>
  <c r="CI29" i="44"/>
  <c r="BQ29" i="44"/>
  <c r="BD33" i="44"/>
  <c r="BJ8" i="44"/>
  <c r="CA21" i="44"/>
  <c r="CI21" i="44"/>
  <c r="BR21" i="44"/>
  <c r="BP22" i="44"/>
  <c r="BJ31" i="44"/>
  <c r="CF8" i="44"/>
  <c r="BM33" i="44"/>
  <c r="BE22" i="44"/>
  <c r="BG27" i="44"/>
  <c r="BN20" i="44"/>
  <c r="BW30" i="44"/>
  <c r="CD26" i="44"/>
  <c r="CG29" i="44"/>
  <c r="BY29" i="44"/>
  <c r="BP32" i="44"/>
  <c r="BL32" i="44"/>
  <c r="BO22" i="44"/>
  <c r="BH29" i="44"/>
  <c r="BO31" i="44"/>
  <c r="BH33" i="44"/>
  <c r="BN25" i="44"/>
  <c r="BD25" i="44"/>
  <c r="BF19" i="44"/>
  <c r="BT19" i="44"/>
  <c r="BJ25" i="44"/>
  <c r="BY26" i="44"/>
  <c r="BT21" i="44"/>
  <c r="BR31" i="44"/>
  <c r="BJ22" i="44"/>
  <c r="BW26" i="44"/>
  <c r="BH21" i="44"/>
  <c r="BF32" i="44"/>
  <c r="CE31" i="44"/>
  <c r="CA33" i="44"/>
  <c r="BB32" i="44"/>
  <c r="BJ26" i="44"/>
  <c r="BD8" i="44"/>
  <c r="BR29" i="44"/>
  <c r="BZ21" i="44"/>
  <c r="BL21" i="44"/>
  <c r="BT20" i="44"/>
  <c r="BX26" i="44"/>
  <c r="BR19" i="44"/>
  <c r="CJ19" i="44"/>
  <c r="BE33" i="44"/>
  <c r="CP33" i="44" s="1"/>
  <c r="CH32" i="44"/>
  <c r="BD21" i="44"/>
  <c r="BK25" i="44"/>
  <c r="BZ26" i="44"/>
  <c r="BB30" i="44"/>
  <c r="BO26" i="44"/>
  <c r="BD31" i="44"/>
  <c r="CF20" i="44"/>
  <c r="CG8" i="44"/>
  <c r="BU31" i="44"/>
  <c r="CK31" i="44"/>
  <c r="CH33" i="44"/>
  <c r="BV19" i="44"/>
  <c r="BL20" i="44"/>
  <c r="BJ19" i="44"/>
  <c r="BV20" i="44"/>
  <c r="BH31" i="44"/>
  <c r="BN30" i="44"/>
  <c r="BV8" i="44"/>
  <c r="BL33" i="44"/>
  <c r="CF26" i="44"/>
  <c r="BC30" i="44"/>
  <c r="CK32" i="44"/>
  <c r="CA25" i="44"/>
  <c r="CE8" i="44"/>
  <c r="CB26" i="44"/>
  <c r="BS32" i="44"/>
  <c r="BZ29" i="44"/>
  <c r="CE20" i="44"/>
  <c r="CJ26" i="44"/>
  <c r="CG26" i="44"/>
  <c r="BP20" i="44"/>
  <c r="CF19" i="44"/>
  <c r="BC33" i="44"/>
  <c r="CE33" i="44"/>
  <c r="BU22" i="44"/>
  <c r="BT31" i="44"/>
  <c r="BU30" i="44"/>
  <c r="CA8" i="44"/>
  <c r="CI27" i="44"/>
  <c r="BV30" i="44"/>
  <c r="BB8" i="44"/>
  <c r="BQ32" i="44"/>
  <c r="BV26" i="44"/>
  <c r="BC8" i="44"/>
  <c r="BY22" i="44"/>
  <c r="CC31" i="44"/>
  <c r="CJ20" i="44"/>
  <c r="CA31" i="44"/>
  <c r="BY25" i="44"/>
  <c r="BG22" i="44"/>
  <c r="CJ8" i="44"/>
  <c r="BO29" i="44"/>
  <c r="CH25" i="44"/>
  <c r="CF31" i="44"/>
  <c r="CG30" i="44"/>
  <c r="BU33" i="44"/>
  <c r="BQ22" i="44"/>
  <c r="BM30" i="44"/>
  <c r="BQ33" i="44"/>
  <c r="BU25" i="44"/>
  <c r="BO25" i="44"/>
  <c r="BG19" i="44"/>
  <c r="CD29" i="44"/>
  <c r="BF22" i="44"/>
  <c r="CH22" i="44"/>
  <c r="BY19" i="44"/>
  <c r="CE21" i="44"/>
  <c r="BH27" i="44"/>
  <c r="BM8" i="44"/>
  <c r="BZ33" i="44"/>
  <c r="CK21" i="44"/>
  <c r="CN31" i="44" a="1"/>
  <c r="CN31" i="44" s="1"/>
  <c r="Q17" i="38"/>
  <c r="Q13" i="40" s="1"/>
  <c r="P13" i="40"/>
  <c r="O13" i="40"/>
  <c r="F17" i="38"/>
  <c r="H10" i="38"/>
  <c r="I10" i="38"/>
  <c r="CN25" i="44" l="1" a="1"/>
  <c r="CN25" i="44" s="1"/>
  <c r="CN26" i="44" a="1"/>
  <c r="CN26" i="44" s="1"/>
  <c r="CN30" i="44" a="1"/>
  <c r="CN30" i="44" s="1"/>
  <c r="CN21" i="44" a="1"/>
  <c r="CN21" i="44" s="1"/>
  <c r="CP22" i="44"/>
  <c r="CP31" i="44"/>
  <c r="CP29" i="44"/>
  <c r="CP27" i="44"/>
  <c r="CP32" i="44"/>
  <c r="CP19" i="44"/>
  <c r="CN8" i="44" a="1"/>
  <c r="CN8" i="44" s="1"/>
  <c r="CN29" i="44" a="1"/>
  <c r="CN29" i="44" s="1"/>
  <c r="CP21" i="44"/>
  <c r="CN20" i="44" a="1"/>
  <c r="CN20" i="44" s="1"/>
  <c r="CN19" i="44" a="1"/>
  <c r="CN19" i="44" s="1"/>
  <c r="CP20" i="44"/>
  <c r="CN22" i="44" a="1"/>
  <c r="CN22" i="44" s="1"/>
  <c r="CN33" i="44" a="1"/>
  <c r="CN33" i="44" s="1"/>
  <c r="CP25" i="44"/>
  <c r="CP8" i="44"/>
  <c r="CN32" i="44" a="1"/>
  <c r="CN32" i="44" s="1"/>
  <c r="CP30" i="44"/>
  <c r="CN27" i="44" a="1"/>
  <c r="CN27" i="44" s="1"/>
  <c r="E17" i="38"/>
  <c r="F13" i="40"/>
  <c r="AL12" i="2"/>
  <c r="AK12" i="2"/>
  <c r="AJ12" i="2"/>
  <c r="AI12" i="2"/>
  <c r="AH12" i="2"/>
  <c r="AG12" i="2"/>
  <c r="AF12" i="2"/>
  <c r="AE12" i="2"/>
  <c r="AD12" i="2"/>
  <c r="AC12" i="2"/>
  <c r="AB12" i="2"/>
  <c r="AA12" i="2"/>
  <c r="Z12" i="2"/>
  <c r="AL11" i="2"/>
  <c r="AK11" i="2"/>
  <c r="AJ11" i="2"/>
  <c r="AI11" i="2"/>
  <c r="AH11" i="2"/>
  <c r="AG11" i="2"/>
  <c r="AF11" i="2"/>
  <c r="AE11" i="2"/>
  <c r="AD11" i="2"/>
  <c r="AC11" i="2"/>
  <c r="AB11" i="2"/>
  <c r="AA11" i="2"/>
  <c r="Z11" i="2"/>
  <c r="AZ6" i="44"/>
  <c r="AY6" i="44"/>
  <c r="AX6" i="44"/>
  <c r="AW6" i="44"/>
  <c r="AV6" i="44"/>
  <c r="AU6" i="44"/>
  <c r="AT6" i="44"/>
  <c r="AS6" i="44"/>
  <c r="AR6" i="44"/>
  <c r="AQ6" i="44"/>
  <c r="AP6" i="44"/>
  <c r="AO6" i="44"/>
  <c r="AN6" i="44"/>
  <c r="AM6" i="44"/>
  <c r="AL6" i="44"/>
  <c r="AK6" i="44"/>
  <c r="AJ6" i="44"/>
  <c r="AI6" i="44"/>
  <c r="AH6" i="44"/>
  <c r="AG6" i="44"/>
  <c r="AF6" i="44"/>
  <c r="AE6" i="44"/>
  <c r="AD6" i="44"/>
  <c r="AC6" i="44"/>
  <c r="AB6" i="44"/>
  <c r="AA6" i="44"/>
  <c r="Z6" i="44"/>
  <c r="Y6" i="44"/>
  <c r="X6" i="44"/>
  <c r="W6" i="44"/>
  <c r="V6" i="44"/>
  <c r="U6" i="44"/>
  <c r="T6" i="44"/>
  <c r="S6" i="44"/>
  <c r="R6" i="44"/>
  <c r="Q6" i="44"/>
  <c r="I205" i="38"/>
  <c r="I143" i="38"/>
  <c r="I167" i="38"/>
  <c r="H205" i="38"/>
  <c r="H129" i="38"/>
  <c r="H121" i="38"/>
  <c r="H49" i="38"/>
  <c r="H187" i="38"/>
  <c r="H64" i="38"/>
  <c r="I59" i="38"/>
  <c r="I178" i="38"/>
  <c r="H54" i="38"/>
  <c r="I118" i="38"/>
  <c r="I110" i="38"/>
  <c r="H45" i="38"/>
  <c r="H177" i="38"/>
  <c r="H127" i="38"/>
  <c r="H175" i="38"/>
  <c r="I179" i="38"/>
  <c r="H52" i="38"/>
  <c r="H199" i="38"/>
  <c r="H85" i="38"/>
  <c r="H134" i="38"/>
  <c r="H179" i="38"/>
  <c r="I157" i="38"/>
  <c r="H108" i="38"/>
  <c r="I138" i="38"/>
  <c r="H157" i="38"/>
  <c r="H118" i="38"/>
  <c r="H174" i="38"/>
  <c r="H164" i="38"/>
  <c r="I187" i="38"/>
  <c r="H169" i="38"/>
  <c r="H166" i="38"/>
  <c r="H60" i="38"/>
  <c r="H101" i="38"/>
  <c r="H130" i="38"/>
  <c r="H86" i="38"/>
  <c r="I103" i="38"/>
  <c r="I173" i="38"/>
  <c r="I133" i="38"/>
  <c r="H83" i="38"/>
  <c r="I57" i="38"/>
  <c r="I172" i="38"/>
  <c r="I141" i="38"/>
  <c r="H172" i="38"/>
  <c r="I148" i="38"/>
  <c r="H135" i="38"/>
  <c r="H163" i="38"/>
  <c r="I85" i="38"/>
  <c r="H42" i="38"/>
  <c r="I161" i="38"/>
  <c r="H168" i="38"/>
  <c r="I131" i="38"/>
  <c r="H107" i="38"/>
  <c r="I61" i="38"/>
  <c r="H122" i="38"/>
  <c r="H70" i="38"/>
  <c r="H73" i="38"/>
  <c r="I72" i="38"/>
  <c r="I123" i="38"/>
  <c r="I129" i="38"/>
  <c r="I100" i="38"/>
  <c r="H66" i="38"/>
  <c r="H82" i="38"/>
  <c r="I69" i="38"/>
  <c r="H55" i="38"/>
  <c r="I151" i="38"/>
  <c r="I60" i="38"/>
  <c r="I144" i="38"/>
  <c r="I43" i="38"/>
  <c r="H151" i="38"/>
  <c r="H165" i="38"/>
  <c r="H119" i="38"/>
  <c r="I119" i="38"/>
  <c r="H170" i="38"/>
  <c r="I54" i="38"/>
  <c r="I169" i="38"/>
  <c r="H72" i="38"/>
  <c r="I137" i="38"/>
  <c r="I40" i="38"/>
  <c r="I160" i="38"/>
  <c r="I45" i="38"/>
  <c r="I140" i="38"/>
  <c r="I73" i="38"/>
  <c r="I155" i="38"/>
  <c r="I87" i="38"/>
  <c r="H71" i="38"/>
  <c r="H138" i="38"/>
  <c r="I86" i="38"/>
  <c r="I126" i="38"/>
  <c r="I97" i="38"/>
  <c r="H62" i="38"/>
  <c r="I92" i="38"/>
  <c r="H69" i="38"/>
  <c r="I51" i="38"/>
  <c r="H57" i="38"/>
  <c r="I68" i="38"/>
  <c r="I99" i="38"/>
  <c r="I120" i="38"/>
  <c r="I84" i="38"/>
  <c r="I71" i="38"/>
  <c r="I130" i="38"/>
  <c r="H137" i="38"/>
  <c r="I194" i="38"/>
  <c r="H133" i="38"/>
  <c r="I176" i="38"/>
  <c r="I134" i="38"/>
  <c r="I66" i="38"/>
  <c r="H58" i="38"/>
  <c r="H148" i="38"/>
  <c r="H43" i="38"/>
  <c r="H109" i="38"/>
  <c r="H39" i="38"/>
  <c r="H152" i="38"/>
  <c r="I121" i="38"/>
  <c r="I55" i="38"/>
  <c r="I192" i="38"/>
  <c r="H123" i="38"/>
  <c r="H40" i="38"/>
  <c r="I95" i="38"/>
  <c r="I117" i="38"/>
  <c r="H154" i="38"/>
  <c r="I64" i="38"/>
  <c r="I174" i="38"/>
  <c r="H91" i="38"/>
  <c r="I107" i="38"/>
  <c r="H143" i="38"/>
  <c r="H104" i="38"/>
  <c r="H126" i="38"/>
  <c r="H114" i="38"/>
  <c r="I132" i="38"/>
  <c r="I139" i="38"/>
  <c r="H100" i="38"/>
  <c r="H153" i="38"/>
  <c r="I114" i="38"/>
  <c r="H132" i="38"/>
  <c r="I101" i="38"/>
  <c r="H68" i="38"/>
  <c r="H194" i="38"/>
  <c r="I88" i="38"/>
  <c r="H53" i="38"/>
  <c r="H140" i="38"/>
  <c r="I153" i="38"/>
  <c r="I58" i="38"/>
  <c r="H41" i="38"/>
  <c r="I193" i="38"/>
  <c r="H88" i="38"/>
  <c r="I42" i="38"/>
  <c r="I83" i="38"/>
  <c r="H96" i="38"/>
  <c r="I49" i="38"/>
  <c r="H84" i="38"/>
  <c r="I122" i="38"/>
  <c r="I70" i="38"/>
  <c r="H193" i="38"/>
  <c r="I154" i="38"/>
  <c r="I39" i="38"/>
  <c r="H120" i="38"/>
  <c r="H63" i="38"/>
  <c r="H92" i="38"/>
  <c r="I156" i="38"/>
  <c r="H105" i="38"/>
  <c r="I199" i="38"/>
  <c r="H161" i="38"/>
  <c r="I52" i="38"/>
  <c r="H61" i="38"/>
  <c r="H48" i="38"/>
  <c r="I105" i="38"/>
  <c r="I41" i="38"/>
  <c r="H106" i="38"/>
  <c r="I127" i="38"/>
  <c r="H178" i="38"/>
  <c r="I106" i="38"/>
  <c r="I98" i="38"/>
  <c r="H67" i="38"/>
  <c r="H192" i="38"/>
  <c r="I163" i="38"/>
  <c r="H97" i="38"/>
  <c r="H94" i="38"/>
  <c r="I152" i="38"/>
  <c r="H117" i="38"/>
  <c r="I166" i="38"/>
  <c r="I164" i="38"/>
  <c r="H144" i="38"/>
  <c r="H173" i="38"/>
  <c r="I175" i="38"/>
  <c r="I109" i="38"/>
  <c r="H155" i="38"/>
  <c r="H44" i="38"/>
  <c r="H95" i="38"/>
  <c r="H103" i="38"/>
  <c r="I82" i="38"/>
  <c r="H99" i="38"/>
  <c r="I104" i="38"/>
  <c r="H98" i="38"/>
  <c r="H110" i="38"/>
  <c r="I67" i="38"/>
  <c r="H87" i="38"/>
  <c r="H51" i="38"/>
  <c r="I96" i="38"/>
  <c r="I44" i="38"/>
  <c r="I63" i="38"/>
  <c r="H160" i="38"/>
  <c r="I142" i="38"/>
  <c r="H131" i="38"/>
  <c r="I48" i="38"/>
  <c r="H167" i="38"/>
  <c r="H141" i="38"/>
  <c r="H156" i="38"/>
  <c r="H176" i="38"/>
  <c r="I135" i="38"/>
  <c r="I168" i="38"/>
  <c r="I53" i="38"/>
  <c r="I62" i="38"/>
  <c r="I170" i="38"/>
  <c r="I177" i="38"/>
  <c r="H139" i="38"/>
  <c r="H59" i="38"/>
  <c r="I91" i="38"/>
  <c r="I94" i="38"/>
  <c r="I165" i="38"/>
  <c r="I108" i="38"/>
  <c r="H142" i="38"/>
  <c r="E13" i="40" l="1"/>
  <c r="D17" i="38"/>
  <c r="BC12" i="2"/>
  <c r="BB12" i="2"/>
  <c r="BC11" i="2"/>
  <c r="BB11" i="2"/>
  <c r="AY12" i="2"/>
  <c r="AX12" i="2"/>
  <c r="AW12" i="2"/>
  <c r="AV12" i="2"/>
  <c r="AU12" i="2"/>
  <c r="AY11" i="2"/>
  <c r="AX11" i="2"/>
  <c r="AW11" i="2"/>
  <c r="AV11" i="2"/>
  <c r="AU11" i="2"/>
  <c r="BB9" i="50"/>
  <c r="BB10" i="50" s="1"/>
  <c r="BB9" i="3"/>
  <c r="BC13" i="2"/>
  <c r="BB13" i="2"/>
  <c r="AY13" i="2"/>
  <c r="AX13" i="2"/>
  <c r="AW13" i="2"/>
  <c r="AV13" i="2"/>
  <c r="AU13" i="2"/>
  <c r="AL13" i="2"/>
  <c r="AK13" i="2"/>
  <c r="AJ13" i="2"/>
  <c r="AI13" i="2"/>
  <c r="AH13" i="2"/>
  <c r="AG13" i="2"/>
  <c r="AF13" i="2"/>
  <c r="AE13" i="2"/>
  <c r="AD13" i="2"/>
  <c r="AC13" i="2"/>
  <c r="AB13" i="2"/>
  <c r="AA13" i="2"/>
  <c r="Z13" i="2"/>
  <c r="AL9" i="3"/>
  <c r="AK9" i="3"/>
  <c r="AJ9" i="3"/>
  <c r="AI9" i="3"/>
  <c r="AH9" i="3"/>
  <c r="AG9" i="3"/>
  <c r="AF9" i="3"/>
  <c r="AE9" i="3"/>
  <c r="AD9" i="3"/>
  <c r="AC9" i="3"/>
  <c r="AB9" i="3"/>
  <c r="AA9" i="3"/>
  <c r="Z9" i="3"/>
  <c r="D9" i="3"/>
  <c r="E9" i="3"/>
  <c r="F9" i="3"/>
  <c r="G9" i="3"/>
  <c r="H9" i="3"/>
  <c r="I9" i="3"/>
  <c r="J9" i="3"/>
  <c r="K9" i="3"/>
  <c r="L9" i="3"/>
  <c r="M9" i="3"/>
  <c r="N9" i="3"/>
  <c r="O9" i="3"/>
  <c r="P9" i="3"/>
  <c r="Q9" i="3"/>
  <c r="R9" i="3"/>
  <c r="S9" i="3"/>
  <c r="T9" i="3"/>
  <c r="U9" i="3"/>
  <c r="V9" i="3"/>
  <c r="W9" i="3"/>
  <c r="X9" i="3"/>
  <c r="Y9" i="3"/>
  <c r="C9" i="3"/>
  <c r="AE20" i="3"/>
  <c r="AK18" i="3"/>
  <c r="AK27" i="3"/>
  <c r="AJ18" i="3"/>
  <c r="AH15" i="3"/>
  <c r="Z16" i="3"/>
  <c r="AL27" i="3"/>
  <c r="AF28" i="3"/>
  <c r="AB14" i="3"/>
  <c r="AG201" i="3"/>
  <c r="AD20" i="3"/>
  <c r="AC27" i="3"/>
  <c r="AG16" i="3"/>
  <c r="AK20" i="3"/>
  <c r="I31" i="38"/>
  <c r="H19" i="38"/>
  <c r="I18" i="38"/>
  <c r="I19" i="38"/>
  <c r="H18" i="38"/>
  <c r="H20" i="38"/>
  <c r="H21" i="38"/>
  <c r="H25" i="38"/>
  <c r="I22" i="38"/>
  <c r="H32" i="38"/>
  <c r="I32" i="38"/>
  <c r="H31" i="38"/>
  <c r="H24" i="38"/>
  <c r="I20" i="38"/>
  <c r="I21" i="38"/>
  <c r="H28" i="38"/>
  <c r="I25" i="38"/>
  <c r="H22" i="38"/>
  <c r="I28" i="38"/>
  <c r="I24" i="38"/>
  <c r="K193" i="38" l="1"/>
  <c r="L193" i="38" s="1"/>
  <c r="K31" i="38"/>
  <c r="L31" i="38" s="1"/>
  <c r="C17" i="38"/>
  <c r="C13" i="40" s="1"/>
  <c r="D13" i="40"/>
  <c r="AB14" i="2"/>
  <c r="AK20" i="2"/>
  <c r="Z16" i="2"/>
  <c r="AK27" i="2"/>
  <c r="AF28" i="2"/>
  <c r="AC27" i="2"/>
  <c r="AD20" i="2"/>
  <c r="AL27" i="2"/>
  <c r="AG98" i="2"/>
  <c r="AE20" i="2"/>
  <c r="AJ18" i="2"/>
  <c r="AG16" i="2"/>
  <c r="AH15" i="2"/>
  <c r="AK18" i="2"/>
  <c r="BC9" i="50"/>
  <c r="BC10" i="50" s="1"/>
  <c r="BC9" i="3"/>
  <c r="BB3" i="44"/>
  <c r="BC3" i="44" s="1"/>
  <c r="BD3" i="44" s="1"/>
  <c r="BE3" i="44" s="1"/>
  <c r="BF3" i="44" s="1"/>
  <c r="BG3" i="44" s="1"/>
  <c r="BH3" i="44" s="1"/>
  <c r="BI3" i="44" s="1"/>
  <c r="BJ3" i="44" s="1"/>
  <c r="BK3" i="44" s="1"/>
  <c r="BL3" i="44" s="1"/>
  <c r="BM3" i="44" s="1"/>
  <c r="BN3" i="44" s="1"/>
  <c r="BO3" i="44" s="1"/>
  <c r="BP3" i="44" s="1"/>
  <c r="BQ3" i="44" s="1"/>
  <c r="BR3" i="44" s="1"/>
  <c r="BS3" i="44" s="1"/>
  <c r="BT3" i="44" s="1"/>
  <c r="BU3" i="44" s="1"/>
  <c r="BV3" i="44" s="1"/>
  <c r="BW3" i="44" s="1"/>
  <c r="BX3" i="44" s="1"/>
  <c r="BY3" i="44" s="1"/>
  <c r="BZ3" i="44" s="1"/>
  <c r="CA3" i="44" s="1"/>
  <c r="CB3" i="44" s="1"/>
  <c r="CC3" i="44" s="1"/>
  <c r="CD3" i="44" s="1"/>
  <c r="CE3" i="44" s="1"/>
  <c r="CF3" i="44" s="1"/>
  <c r="CG3" i="44" s="1"/>
  <c r="CH3" i="44" s="1"/>
  <c r="CI3" i="44" s="1"/>
  <c r="CJ3" i="44" s="1"/>
  <c r="CK3" i="44" s="1"/>
  <c r="AK201" i="3"/>
  <c r="AK21" i="3"/>
  <c r="AG27" i="3"/>
  <c r="AL20" i="3"/>
  <c r="AL17" i="3"/>
  <c r="Z18" i="3"/>
  <c r="AH18" i="3"/>
  <c r="AL201" i="3"/>
  <c r="AI20" i="3"/>
  <c r="AB17" i="3"/>
  <c r="AG15" i="3"/>
  <c r="AG18" i="3"/>
  <c r="AI21" i="3"/>
  <c r="AD28" i="3"/>
  <c r="AL16" i="3"/>
  <c r="AF14" i="3"/>
  <c r="Z14" i="3"/>
  <c r="AE24" i="3"/>
  <c r="AH201" i="3"/>
  <c r="AE17" i="3"/>
  <c r="AG24" i="3"/>
  <c r="AJ14" i="3"/>
  <c r="AI24" i="3"/>
  <c r="AD21" i="3"/>
  <c r="AA28" i="3"/>
  <c r="Z17" i="3"/>
  <c r="AJ28" i="3"/>
  <c r="AD24" i="3"/>
  <c r="AD18" i="3"/>
  <c r="AD14" i="3"/>
  <c r="AL15" i="3"/>
  <c r="AJ17" i="3"/>
  <c r="AL24" i="3"/>
  <c r="AI16" i="3"/>
  <c r="AI14" i="3"/>
  <c r="Z15" i="3"/>
  <c r="AE21" i="3"/>
  <c r="AB201" i="3"/>
  <c r="AH27" i="3"/>
  <c r="AF24" i="3"/>
  <c r="AJ27" i="3"/>
  <c r="AE15" i="3"/>
  <c r="AL14" i="3"/>
  <c r="AA16" i="3"/>
  <c r="Z24" i="3"/>
  <c r="AD17" i="3"/>
  <c r="AK14" i="3"/>
  <c r="AB20" i="3"/>
  <c r="AH16" i="3"/>
  <c r="AE18" i="3"/>
  <c r="AK16" i="3"/>
  <c r="AF15" i="3"/>
  <c r="AB21" i="3"/>
  <c r="AF21" i="3"/>
  <c r="AH28" i="3"/>
  <c r="AK15" i="3"/>
  <c r="AC15" i="3"/>
  <c r="AD16" i="3"/>
  <c r="AF17" i="3"/>
  <c r="AA21" i="3"/>
  <c r="AG17" i="3"/>
  <c r="AC201" i="3"/>
  <c r="AC18" i="3"/>
  <c r="AB15" i="3"/>
  <c r="AI201" i="3"/>
  <c r="AA17" i="3"/>
  <c r="AF27" i="3"/>
  <c r="AE16" i="3"/>
  <c r="AA20" i="3"/>
  <c r="AD27" i="3"/>
  <c r="AI27" i="3"/>
  <c r="AG21" i="3"/>
  <c r="AG14" i="3"/>
  <c r="AC17" i="3"/>
  <c r="AH24" i="3"/>
  <c r="AH17" i="3"/>
  <c r="AA18" i="3"/>
  <c r="AJ16" i="3"/>
  <c r="Z21" i="3"/>
  <c r="AH20" i="3"/>
  <c r="AF201" i="3"/>
  <c r="AB16" i="3"/>
  <c r="AJ201" i="3"/>
  <c r="AK24" i="3"/>
  <c r="AH21" i="3"/>
  <c r="AC21" i="3"/>
  <c r="AJ24" i="3"/>
  <c r="AC24" i="3"/>
  <c r="AI28" i="3"/>
  <c r="AH14" i="3"/>
  <c r="AJ20" i="3"/>
  <c r="AG20" i="3"/>
  <c r="Z201" i="3"/>
  <c r="Z28" i="3"/>
  <c r="AF16" i="3"/>
  <c r="AL28" i="3"/>
  <c r="AA14" i="3"/>
  <c r="AE14" i="3"/>
  <c r="AA15" i="3"/>
  <c r="AF20" i="3"/>
  <c r="AB27" i="3"/>
  <c r="AB28" i="3"/>
  <c r="AI17" i="3"/>
  <c r="Z20" i="3"/>
  <c r="AC28" i="3"/>
  <c r="AK28" i="3"/>
  <c r="AC16" i="3"/>
  <c r="AB18" i="3"/>
  <c r="AL18" i="3"/>
  <c r="AL21" i="3"/>
  <c r="AF18" i="3"/>
  <c r="AD201" i="3"/>
  <c r="AI15" i="3"/>
  <c r="AD15" i="3"/>
  <c r="AJ21" i="3"/>
  <c r="AB24" i="3"/>
  <c r="AE27" i="3"/>
  <c r="AC20" i="3"/>
  <c r="AG28" i="3"/>
  <c r="AJ15" i="3"/>
  <c r="AA27" i="3"/>
  <c r="AA201" i="3"/>
  <c r="AA24" i="3"/>
  <c r="AK17" i="3"/>
  <c r="Z27" i="3"/>
  <c r="AE28" i="3"/>
  <c r="AI18" i="3"/>
  <c r="AC14" i="3"/>
  <c r="AE201" i="3"/>
  <c r="AC16" i="2" l="1"/>
  <c r="AK28" i="2"/>
  <c r="AC28" i="2"/>
  <c r="AC17" i="2"/>
  <c r="AG14" i="2"/>
  <c r="AG21" i="2"/>
  <c r="AC18" i="2"/>
  <c r="AC98" i="2"/>
  <c r="AG17" i="2"/>
  <c r="AG27" i="2"/>
  <c r="AK19" i="3"/>
  <c r="AK21" i="2"/>
  <c r="AK19" i="2" s="1"/>
  <c r="AK98" i="2"/>
  <c r="Z21" i="2"/>
  <c r="AL16" i="2"/>
  <c r="AD17" i="2"/>
  <c r="BC28" i="3"/>
  <c r="BC28" i="2" s="1"/>
  <c r="BC24" i="3"/>
  <c r="BC24" i="2" s="1"/>
  <c r="BC20" i="3"/>
  <c r="BC20" i="2" s="1"/>
  <c r="BC17" i="3"/>
  <c r="BC17" i="2" s="1"/>
  <c r="BC15" i="3"/>
  <c r="BC15" i="2" s="1"/>
  <c r="BC27" i="3"/>
  <c r="BC27" i="2" s="1"/>
  <c r="BC21" i="3"/>
  <c r="BC21" i="2" s="1"/>
  <c r="BC18" i="3"/>
  <c r="BC18" i="2" s="1"/>
  <c r="BC16" i="3"/>
  <c r="BC16" i="2" s="1"/>
  <c r="BC14" i="3"/>
  <c r="BC14" i="2" s="1"/>
  <c r="BB201" i="3"/>
  <c r="BB98" i="2" s="1"/>
  <c r="BC201" i="3"/>
  <c r="BC98" i="2" s="1"/>
  <c r="AK17" i="2"/>
  <c r="AC21" i="2"/>
  <c r="AG20" i="2"/>
  <c r="AG19" i="2" s="1"/>
  <c r="AG19" i="3"/>
  <c r="AG22" i="3" s="1"/>
  <c r="AG26" i="3" s="1"/>
  <c r="AG28" i="2"/>
  <c r="AK14" i="2"/>
  <c r="AK16" i="2"/>
  <c r="AC14" i="2"/>
  <c r="AG18" i="2"/>
  <c r="AC20" i="2"/>
  <c r="AC19" i="3"/>
  <c r="AC22" i="3" s="1"/>
  <c r="AC26" i="3" s="1"/>
  <c r="AD27" i="2"/>
  <c r="AL15" i="2"/>
  <c r="AL20" i="2"/>
  <c r="AD16" i="2"/>
  <c r="Z15" i="2"/>
  <c r="AL17" i="2"/>
  <c r="Z19" i="3"/>
  <c r="Z22" i="3" s="1"/>
  <c r="Z26" i="3" s="1"/>
  <c r="Z20" i="2"/>
  <c r="AJ28" i="2"/>
  <c r="AH16" i="2"/>
  <c r="AH19" i="3"/>
  <c r="AH22" i="3" s="1"/>
  <c r="AH26" i="3" s="1"/>
  <c r="AH20" i="2"/>
  <c r="AJ15" i="2"/>
  <c r="AB28" i="2"/>
  <c r="AF18" i="2"/>
  <c r="AB18" i="2"/>
  <c r="AH21" i="2"/>
  <c r="AJ14" i="2"/>
  <c r="AB15" i="2"/>
  <c r="AB16" i="2"/>
  <c r="AL21" i="2"/>
  <c r="AH27" i="2"/>
  <c r="AE16" i="2"/>
  <c r="AG24" i="2"/>
  <c r="AI98" i="2"/>
  <c r="AH17" i="2"/>
  <c r="AI27" i="2"/>
  <c r="AE98" i="2"/>
  <c r="AJ16" i="2"/>
  <c r="AE27" i="2"/>
  <c r="AB98" i="2"/>
  <c r="AH18" i="2"/>
  <c r="AL24" i="2"/>
  <c r="AA20" i="2"/>
  <c r="AB27" i="2"/>
  <c r="AE18" i="2"/>
  <c r="AJ27" i="2"/>
  <c r="AE28" i="2"/>
  <c r="AL28" i="2"/>
  <c r="AA98" i="2"/>
  <c r="AA14" i="2"/>
  <c r="AA27" i="2"/>
  <c r="Z28" i="2"/>
  <c r="AE24" i="2"/>
  <c r="AE15" i="2"/>
  <c r="AD14" i="2"/>
  <c r="AH28" i="2"/>
  <c r="AL14" i="2"/>
  <c r="AH98" i="2"/>
  <c r="AC15" i="2"/>
  <c r="AF21" i="2"/>
  <c r="AG15" i="2"/>
  <c r="AF20" i="2"/>
  <c r="AL18" i="2"/>
  <c r="AJ17" i="2"/>
  <c r="Z98" i="2"/>
  <c r="AI21" i="2"/>
  <c r="Z17" i="2"/>
  <c r="AI20" i="2"/>
  <c r="AK24" i="2"/>
  <c r="AF17" i="2"/>
  <c r="Z24" i="2"/>
  <c r="AD28" i="2"/>
  <c r="Z14" i="2"/>
  <c r="AI24" i="2"/>
  <c r="AF16" i="2"/>
  <c r="AE14" i="2"/>
  <c r="AI16" i="2"/>
  <c r="AE17" i="2"/>
  <c r="AF14" i="2"/>
  <c r="AA21" i="2"/>
  <c r="AA16" i="2"/>
  <c r="AI28" i="2"/>
  <c r="AF15" i="2"/>
  <c r="AB24" i="2"/>
  <c r="AI14" i="2"/>
  <c r="AH14" i="2"/>
  <c r="AE21" i="2"/>
  <c r="AE19" i="2" s="1"/>
  <c r="AJ21" i="2"/>
  <c r="AD15" i="2"/>
  <c r="AA17" i="2"/>
  <c r="AA15" i="2"/>
  <c r="AF98" i="2"/>
  <c r="AF24" i="2"/>
  <c r="Z18" i="2"/>
  <c r="AD21" i="2"/>
  <c r="AD19" i="2" s="1"/>
  <c r="AJ24" i="2"/>
  <c r="AA24" i="2"/>
  <c r="AI15" i="2"/>
  <c r="AI17" i="2"/>
  <c r="AA18" i="2"/>
  <c r="AJ98" i="2"/>
  <c r="AD98" i="2"/>
  <c r="AL98" i="2"/>
  <c r="AD18" i="2"/>
  <c r="AK15" i="2"/>
  <c r="AA28" i="2"/>
  <c r="AB21" i="2"/>
  <c r="AB17" i="2"/>
  <c r="AJ20" i="2"/>
  <c r="AI18" i="2"/>
  <c r="AH24" i="2"/>
  <c r="AD24" i="2"/>
  <c r="Z27" i="2"/>
  <c r="AB20" i="2"/>
  <c r="AC24" i="2"/>
  <c r="AF27" i="2"/>
  <c r="BC26" i="50"/>
  <c r="BC13" i="50"/>
  <c r="BC23" i="50"/>
  <c r="BC16" i="50"/>
  <c r="BC17" i="50"/>
  <c r="BC19" i="50"/>
  <c r="BC20" i="50"/>
  <c r="BC15" i="50"/>
  <c r="BC27" i="50"/>
  <c r="BC14" i="50"/>
  <c r="AK22" i="3"/>
  <c r="AK26" i="3" s="1"/>
  <c r="AA19" i="3"/>
  <c r="AA22" i="3" s="1"/>
  <c r="AA26" i="3" s="1"/>
  <c r="AL19" i="3"/>
  <c r="AL22" i="3" s="1"/>
  <c r="AL26" i="3" s="1"/>
  <c r="AJ19" i="3"/>
  <c r="AJ22" i="3" s="1"/>
  <c r="AJ26" i="3" s="1"/>
  <c r="AD19" i="3"/>
  <c r="AD22" i="3" s="1"/>
  <c r="AD26" i="3" s="1"/>
  <c r="AE19" i="3"/>
  <c r="AE22" i="3" s="1"/>
  <c r="AE26" i="3" s="1"/>
  <c r="AB19" i="3"/>
  <c r="AB22" i="3" s="1"/>
  <c r="AB26" i="3" s="1"/>
  <c r="AI19" i="3"/>
  <c r="AI22" i="3" s="1"/>
  <c r="AI26" i="3" s="1"/>
  <c r="AF19" i="3"/>
  <c r="AF22" i="3" s="1"/>
  <c r="AF26" i="3" s="1"/>
  <c r="Z19" i="2" l="1"/>
  <c r="Z22" i="2" s="1"/>
  <c r="BC19" i="2"/>
  <c r="BC22" i="2" s="1"/>
  <c r="AC19" i="2"/>
  <c r="AC22" i="2" s="1"/>
  <c r="AG22" i="2"/>
  <c r="AA19" i="2"/>
  <c r="AA22" i="2" s="1"/>
  <c r="AH19" i="2"/>
  <c r="AH22" i="2" s="1"/>
  <c r="AL19" i="2"/>
  <c r="AL22" i="2" s="1"/>
  <c r="AK22" i="2"/>
  <c r="AB19" i="2"/>
  <c r="AB22" i="2" s="1"/>
  <c r="AI19" i="2"/>
  <c r="AI22" i="2" s="1"/>
  <c r="AF19" i="2"/>
  <c r="AF22" i="2" s="1"/>
  <c r="AD29" i="3"/>
  <c r="AD29" i="2" s="1"/>
  <c r="AD26" i="2"/>
  <c r="AL29" i="3"/>
  <c r="AL29" i="2" s="1"/>
  <c r="AL26" i="2"/>
  <c r="AG29" i="3"/>
  <c r="AG29" i="2" s="1"/>
  <c r="AG26" i="2"/>
  <c r="AF29" i="3"/>
  <c r="AF29" i="2" s="1"/>
  <c r="AF26" i="2"/>
  <c r="AB29" i="3"/>
  <c r="AB29" i="2" s="1"/>
  <c r="AB26" i="2"/>
  <c r="AJ29" i="3"/>
  <c r="AJ29" i="2" s="1"/>
  <c r="AJ26" i="2"/>
  <c r="AK29" i="3"/>
  <c r="AK29" i="2" s="1"/>
  <c r="AK26" i="2"/>
  <c r="AE22" i="2"/>
  <c r="Z29" i="3"/>
  <c r="Z29" i="2" s="1"/>
  <c r="Z26" i="2"/>
  <c r="AE29" i="3"/>
  <c r="AE29" i="2" s="1"/>
  <c r="AE26" i="2"/>
  <c r="AH29" i="3"/>
  <c r="AH29" i="2" s="1"/>
  <c r="AH26" i="2"/>
  <c r="AD22" i="2"/>
  <c r="AI29" i="3"/>
  <c r="AI29" i="2" s="1"/>
  <c r="AI26" i="2"/>
  <c r="AC29" i="3"/>
  <c r="AC29" i="2" s="1"/>
  <c r="AC26" i="2"/>
  <c r="AA29" i="3"/>
  <c r="AA29" i="2" s="1"/>
  <c r="AA26" i="2"/>
  <c r="AJ19" i="2"/>
  <c r="AJ22" i="2" s="1"/>
  <c r="AL30" i="3" l="1"/>
  <c r="AB30" i="3"/>
  <c r="AK30" i="3"/>
  <c r="AJ30" i="3"/>
  <c r="AE30" i="2"/>
  <c r="AK30" i="2"/>
  <c r="AB30" i="2"/>
  <c r="AI30" i="3"/>
  <c r="AA30" i="3"/>
  <c r="AC30" i="2"/>
  <c r="AG30" i="2"/>
  <c r="AL30" i="2"/>
  <c r="AG30" i="3"/>
  <c r="AH30" i="3"/>
  <c r="AD30" i="3"/>
  <c r="AH30" i="2"/>
  <c r="AC30" i="3"/>
  <c r="AF30" i="3"/>
  <c r="AE30" i="3"/>
  <c r="AA30" i="2"/>
  <c r="AI30" i="2"/>
  <c r="AJ30" i="2"/>
  <c r="AF30" i="2"/>
  <c r="AD30" i="2"/>
  <c r="B11" i="2"/>
  <c r="B9" i="3"/>
  <c r="AX4" i="52" l="1"/>
  <c r="AX292" i="45" l="1"/>
  <c r="AX293" i="45"/>
  <c r="AX294" i="45"/>
  <c r="AX295" i="45"/>
  <c r="AX296" i="45"/>
  <c r="AX297" i="45"/>
  <c r="AX298" i="45"/>
  <c r="AX299" i="45"/>
  <c r="AX300" i="45"/>
  <c r="AX301" i="45"/>
  <c r="AX302" i="45"/>
  <c r="AX303" i="45"/>
  <c r="AX304" i="45"/>
  <c r="AX305" i="45"/>
  <c r="AX306" i="45"/>
  <c r="AX307" i="45"/>
  <c r="AX308" i="45"/>
  <c r="AX309" i="45"/>
  <c r="AX310" i="45"/>
  <c r="AX311" i="45"/>
  <c r="AX312" i="45"/>
  <c r="AX313" i="45"/>
  <c r="AX314" i="45"/>
  <c r="AX315" i="45"/>
  <c r="AX316" i="45"/>
  <c r="AX317" i="45"/>
  <c r="AX318" i="45"/>
  <c r="AX319" i="45"/>
  <c r="AX320" i="45"/>
  <c r="AX321" i="45"/>
  <c r="AX322" i="45"/>
  <c r="AX323" i="45"/>
  <c r="AX324" i="45"/>
  <c r="AX325" i="45"/>
  <c r="AX326" i="45"/>
  <c r="AX327" i="45"/>
  <c r="AX328" i="45"/>
  <c r="AX329" i="45"/>
  <c r="AX330" i="45"/>
  <c r="AX331" i="45"/>
  <c r="AX332" i="45"/>
  <c r="AX333" i="45"/>
  <c r="AX334" i="45"/>
  <c r="AX335" i="45"/>
  <c r="AX336" i="45"/>
  <c r="AX337" i="45"/>
  <c r="AX338" i="45"/>
  <c r="AX339" i="45"/>
  <c r="AX340" i="45"/>
  <c r="AX341" i="45"/>
  <c r="AX342" i="45"/>
  <c r="AX343" i="45"/>
  <c r="AX344" i="45"/>
  <c r="AX345" i="45"/>
  <c r="AX346" i="45"/>
  <c r="AX347" i="45"/>
  <c r="AX348" i="45"/>
  <c r="AX349" i="45"/>
  <c r="AX350" i="45"/>
  <c r="AX351" i="45"/>
  <c r="AX352" i="45"/>
  <c r="AX353" i="45"/>
  <c r="AX354" i="45"/>
  <c r="AX355" i="45"/>
  <c r="AX356" i="45"/>
  <c r="AX357" i="45"/>
  <c r="AX358" i="45"/>
  <c r="AX359" i="45"/>
  <c r="AX360" i="45"/>
  <c r="AX361" i="45"/>
  <c r="AX362" i="45"/>
  <c r="AX363" i="45"/>
  <c r="AX364" i="45"/>
  <c r="AX365" i="45"/>
  <c r="AX366" i="45"/>
  <c r="AX367" i="45"/>
  <c r="AX368" i="45"/>
  <c r="AX369" i="45"/>
  <c r="AX370" i="45"/>
  <c r="AX371" i="45"/>
  <c r="AX372" i="45"/>
  <c r="AX373" i="45"/>
  <c r="AX374" i="45"/>
  <c r="AX375" i="45"/>
  <c r="AX376" i="45"/>
  <c r="AX377" i="45"/>
  <c r="AX378" i="45"/>
  <c r="AX379" i="45"/>
  <c r="AX380" i="45"/>
  <c r="AX381" i="45"/>
  <c r="AX382" i="45"/>
  <c r="AX383" i="45"/>
  <c r="AX384" i="45"/>
  <c r="AX385" i="45"/>
  <c r="AX386" i="45"/>
  <c r="AX387" i="45"/>
  <c r="AX388" i="45"/>
  <c r="AX389" i="45"/>
  <c r="AX390" i="45"/>
  <c r="AX391" i="45"/>
  <c r="AX291" i="45"/>
  <c r="BB17" i="50" l="1"/>
  <c r="BB20" i="50"/>
  <c r="BB27" i="50"/>
  <c r="BB13" i="50"/>
  <c r="BB15" i="50"/>
  <c r="BA14" i="50"/>
  <c r="BB16" i="50"/>
  <c r="BA19" i="50"/>
  <c r="BB19" i="50"/>
  <c r="BA26" i="50"/>
  <c r="BB26" i="50"/>
  <c r="BA23" i="50"/>
  <c r="BB23" i="50"/>
  <c r="BA13" i="50"/>
  <c r="BA15" i="50"/>
  <c r="BA17" i="50"/>
  <c r="BA20" i="50"/>
  <c r="BA27" i="50"/>
  <c r="BB14" i="50"/>
  <c r="BA16" i="50"/>
  <c r="BA11" i="2"/>
  <c r="AT11" i="2"/>
  <c r="AS11" i="2"/>
  <c r="AR11" i="2"/>
  <c r="AQ11" i="2"/>
  <c r="AP11" i="2"/>
  <c r="AO11" i="2"/>
  <c r="AN11" i="2"/>
  <c r="Y11" i="2"/>
  <c r="X11" i="2"/>
  <c r="W11" i="2"/>
  <c r="V11" i="2"/>
  <c r="U11" i="2"/>
  <c r="T11" i="2"/>
  <c r="S11" i="2"/>
  <c r="R11" i="2"/>
  <c r="Q11" i="2"/>
  <c r="P11" i="2"/>
  <c r="O11" i="2"/>
  <c r="N11" i="2"/>
  <c r="M11" i="2"/>
  <c r="L11" i="2"/>
  <c r="K11" i="2"/>
  <c r="J11" i="2"/>
  <c r="I11" i="2"/>
  <c r="H11" i="2"/>
  <c r="G11" i="2"/>
  <c r="F11" i="2"/>
  <c r="E11" i="2"/>
  <c r="D11" i="2"/>
  <c r="C11" i="2"/>
  <c r="AZ4" i="52"/>
  <c r="AY4" i="52"/>
  <c r="M3" i="52"/>
  <c r="N3" i="52" s="1"/>
  <c r="O3" i="52" s="1"/>
  <c r="P3" i="52" s="1"/>
  <c r="Q3" i="52" s="1"/>
  <c r="R3" i="52" s="1"/>
  <c r="S3" i="52" s="1"/>
  <c r="T3" i="52" s="1"/>
  <c r="U3" i="52" s="1"/>
  <c r="V3" i="52" s="1"/>
  <c r="W3" i="52" s="1"/>
  <c r="X3" i="52" s="1"/>
  <c r="Y3" i="52" s="1"/>
  <c r="Z3" i="52" s="1"/>
  <c r="AA3" i="52" s="1"/>
  <c r="AB3" i="52" s="1"/>
  <c r="AC3" i="52" s="1"/>
  <c r="AD3" i="52" s="1"/>
  <c r="AE3" i="52" s="1"/>
  <c r="AF3" i="52" s="1"/>
  <c r="AG3" i="52" s="1"/>
  <c r="AH3" i="52" s="1"/>
  <c r="AI3" i="52" s="1"/>
  <c r="AJ3" i="52" s="1"/>
  <c r="AK3" i="52" s="1"/>
  <c r="AL3" i="52" s="1"/>
  <c r="AM3" i="52" s="1"/>
  <c r="AN3" i="52" s="1"/>
  <c r="AO3" i="52" s="1"/>
  <c r="AP3" i="52" s="1"/>
  <c r="AQ3" i="52" s="1"/>
  <c r="AR3" i="52" s="1"/>
  <c r="AS3" i="52" s="1"/>
  <c r="AT3" i="52" s="1"/>
  <c r="AU3" i="52" s="1"/>
  <c r="AV3" i="52" s="1"/>
  <c r="B8" i="2" l="1"/>
  <c r="B8" i="3"/>
  <c r="B8" i="50"/>
  <c r="J390" i="45" l="1"/>
  <c r="AO9" i="50"/>
  <c r="AO10" i="50" s="1"/>
  <c r="B6" i="50"/>
  <c r="B5" i="50"/>
  <c r="B4" i="50"/>
  <c r="B3" i="50"/>
  <c r="B2" i="50"/>
  <c r="B1" i="50"/>
  <c r="F390" i="45" l="1"/>
  <c r="F495" i="45" s="1"/>
  <c r="B376" i="45"/>
  <c r="B481" i="45" s="1"/>
  <c r="B380" i="45"/>
  <c r="B485" i="45" s="1"/>
  <c r="B384" i="45"/>
  <c r="B489" i="45" s="1"/>
  <c r="B388" i="45"/>
  <c r="B493" i="45" s="1"/>
  <c r="C390" i="45"/>
  <c r="C495" i="45" s="1"/>
  <c r="G390" i="45"/>
  <c r="G495" i="45" s="1"/>
  <c r="B381" i="45"/>
  <c r="B486" i="45" s="1"/>
  <c r="B385" i="45"/>
  <c r="B490" i="45" s="1"/>
  <c r="B389" i="45"/>
  <c r="B494" i="45" s="1"/>
  <c r="D390" i="45"/>
  <c r="D495" i="45" s="1"/>
  <c r="AU285" i="45"/>
  <c r="H390" i="45"/>
  <c r="AY390" i="45" s="1"/>
  <c r="H600" i="45"/>
  <c r="J600" i="45" s="1"/>
  <c r="H495" i="45"/>
  <c r="J495" i="45" s="1"/>
  <c r="B378" i="45"/>
  <c r="B483" i="45" s="1"/>
  <c r="B382" i="45"/>
  <c r="B487" i="45" s="1"/>
  <c r="B386" i="45"/>
  <c r="B491" i="45" s="1"/>
  <c r="B390" i="45"/>
  <c r="B495" i="45" s="1"/>
  <c r="E390" i="45"/>
  <c r="E495" i="45" s="1"/>
  <c r="B379" i="45"/>
  <c r="B484" i="45" s="1"/>
  <c r="B383" i="45"/>
  <c r="B488" i="45" s="1"/>
  <c r="B387" i="45"/>
  <c r="B492" i="45" s="1"/>
  <c r="B391" i="45"/>
  <c r="B496" i="45" s="1"/>
  <c r="B377" i="45"/>
  <c r="B482" i="45" s="1"/>
  <c r="P285" i="45"/>
  <c r="U285" i="45"/>
  <c r="AB285" i="45"/>
  <c r="AJ285" i="45"/>
  <c r="AR285" i="45"/>
  <c r="L285" i="45"/>
  <c r="Q285" i="45"/>
  <c r="W285" i="45"/>
  <c r="AC285" i="45"/>
  <c r="AK285" i="45"/>
  <c r="AS285" i="45"/>
  <c r="M285" i="45"/>
  <c r="S285" i="45"/>
  <c r="X285" i="45"/>
  <c r="AF285" i="45"/>
  <c r="AN285" i="45"/>
  <c r="O285" i="45"/>
  <c r="T285" i="45"/>
  <c r="Y285" i="45"/>
  <c r="AG285" i="45"/>
  <c r="AO285" i="45"/>
  <c r="N285" i="45"/>
  <c r="R285" i="45"/>
  <c r="V285" i="45"/>
  <c r="Z285" i="45"/>
  <c r="AD285" i="45"/>
  <c r="AH285" i="45"/>
  <c r="AL285" i="45"/>
  <c r="AP285" i="45"/>
  <c r="AT285" i="45"/>
  <c r="AA285" i="45"/>
  <c r="AE285" i="45"/>
  <c r="AI285" i="45"/>
  <c r="AM285" i="45"/>
  <c r="AQ285" i="45"/>
  <c r="AP9" i="50"/>
  <c r="AP10" i="50" s="1"/>
  <c r="AY4" i="45"/>
  <c r="AX4" i="45"/>
  <c r="J391" i="45"/>
  <c r="J389" i="45"/>
  <c r="J388" i="45"/>
  <c r="J387" i="45"/>
  <c r="J386" i="45"/>
  <c r="J385" i="45"/>
  <c r="J384" i="45"/>
  <c r="J383" i="45"/>
  <c r="J382" i="45"/>
  <c r="J381" i="45"/>
  <c r="J380" i="45"/>
  <c r="J379" i="45"/>
  <c r="J378" i="45"/>
  <c r="J377" i="45"/>
  <c r="J376" i="45"/>
  <c r="J375" i="45"/>
  <c r="J374" i="45"/>
  <c r="J373" i="45"/>
  <c r="J372" i="45"/>
  <c r="J371" i="45"/>
  <c r="J370" i="45"/>
  <c r="J369" i="45"/>
  <c r="J368" i="45"/>
  <c r="J367" i="45"/>
  <c r="J366" i="45"/>
  <c r="J365" i="45"/>
  <c r="J364" i="45"/>
  <c r="J363" i="45"/>
  <c r="J362" i="45"/>
  <c r="J361" i="45"/>
  <c r="J360" i="45"/>
  <c r="J359" i="45"/>
  <c r="J358" i="45"/>
  <c r="J357" i="45"/>
  <c r="J356" i="45"/>
  <c r="J355" i="45"/>
  <c r="J354" i="45"/>
  <c r="J353" i="45"/>
  <c r="J352" i="45"/>
  <c r="J351" i="45"/>
  <c r="J350" i="45"/>
  <c r="J349" i="45"/>
  <c r="J348" i="45"/>
  <c r="J347" i="45"/>
  <c r="J346" i="45"/>
  <c r="J345" i="45"/>
  <c r="J344" i="45"/>
  <c r="J343" i="45"/>
  <c r="J342" i="45"/>
  <c r="J341" i="45"/>
  <c r="J340" i="45"/>
  <c r="J339" i="45"/>
  <c r="J338" i="45"/>
  <c r="J337" i="45"/>
  <c r="J336" i="45"/>
  <c r="J335" i="45"/>
  <c r="J334" i="45"/>
  <c r="J333" i="45"/>
  <c r="J332" i="45"/>
  <c r="J331" i="45"/>
  <c r="J330" i="45"/>
  <c r="J329" i="45"/>
  <c r="J328" i="45"/>
  <c r="J327" i="45"/>
  <c r="J326" i="45"/>
  <c r="J325" i="45"/>
  <c r="J324" i="45"/>
  <c r="J323" i="45"/>
  <c r="J322" i="45"/>
  <c r="J321" i="45"/>
  <c r="J320" i="45"/>
  <c r="J319" i="45"/>
  <c r="J318" i="45"/>
  <c r="J317" i="45"/>
  <c r="J316" i="45"/>
  <c r="J315" i="45"/>
  <c r="J314" i="45"/>
  <c r="J313" i="45"/>
  <c r="J312" i="45"/>
  <c r="J311" i="45"/>
  <c r="J310" i="45"/>
  <c r="J309" i="45"/>
  <c r="J308" i="45"/>
  <c r="J307" i="45"/>
  <c r="J306" i="45"/>
  <c r="J305" i="45"/>
  <c r="J304" i="45"/>
  <c r="J303" i="45"/>
  <c r="J302" i="45"/>
  <c r="J301" i="45"/>
  <c r="J300" i="45"/>
  <c r="J299" i="45"/>
  <c r="J298" i="45"/>
  <c r="J297" i="45"/>
  <c r="J296" i="45"/>
  <c r="J295" i="45"/>
  <c r="J294" i="45"/>
  <c r="J293" i="45"/>
  <c r="J292" i="45"/>
  <c r="J291" i="45"/>
  <c r="AR483" i="45" l="1"/>
  <c r="AN483" i="45"/>
  <c r="AJ483" i="45"/>
  <c r="AF483" i="45"/>
  <c r="AB483" i="45"/>
  <c r="X483" i="45"/>
  <c r="T483" i="45"/>
  <c r="P483" i="45"/>
  <c r="L483" i="45"/>
  <c r="AU483" i="45"/>
  <c r="AQ483" i="45"/>
  <c r="AM483" i="45"/>
  <c r="AI483" i="45"/>
  <c r="AE483" i="45"/>
  <c r="AA483" i="45"/>
  <c r="W483" i="45"/>
  <c r="S483" i="45"/>
  <c r="O483" i="45"/>
  <c r="AT483" i="45"/>
  <c r="AP483" i="45"/>
  <c r="AL483" i="45"/>
  <c r="AH483" i="45"/>
  <c r="AD483" i="45"/>
  <c r="Z483" i="45"/>
  <c r="V483" i="45"/>
  <c r="R483" i="45"/>
  <c r="N483" i="45"/>
  <c r="AO483" i="45"/>
  <c r="Y483" i="45"/>
  <c r="AK483" i="45"/>
  <c r="U483" i="45"/>
  <c r="AC483" i="45"/>
  <c r="AG483" i="45"/>
  <c r="Q483" i="45"/>
  <c r="AS483" i="45"/>
  <c r="M483" i="45"/>
  <c r="AR486" i="45"/>
  <c r="AN486" i="45"/>
  <c r="AJ486" i="45"/>
  <c r="AF486" i="45"/>
  <c r="AB486" i="45"/>
  <c r="X486" i="45"/>
  <c r="T486" i="45"/>
  <c r="P486" i="45"/>
  <c r="L486" i="45"/>
  <c r="AU486" i="45"/>
  <c r="AQ486" i="45"/>
  <c r="AM486" i="45"/>
  <c r="AI486" i="45"/>
  <c r="AE486" i="45"/>
  <c r="AA486" i="45"/>
  <c r="W486" i="45"/>
  <c r="S486" i="45"/>
  <c r="O486" i="45"/>
  <c r="AT486" i="45"/>
  <c r="AP486" i="45"/>
  <c r="AL486" i="45"/>
  <c r="AH486" i="45"/>
  <c r="AD486" i="45"/>
  <c r="Z486" i="45"/>
  <c r="V486" i="45"/>
  <c r="R486" i="45"/>
  <c r="N486" i="45"/>
  <c r="AS486" i="45"/>
  <c r="AC486" i="45"/>
  <c r="M486" i="45"/>
  <c r="Q486" i="45"/>
  <c r="AO486" i="45"/>
  <c r="Y486" i="45"/>
  <c r="AG486" i="45"/>
  <c r="AK486" i="45"/>
  <c r="U486" i="45"/>
  <c r="AR489" i="45"/>
  <c r="AN489" i="45"/>
  <c r="AJ489" i="45"/>
  <c r="AF489" i="45"/>
  <c r="AB489" i="45"/>
  <c r="X489" i="45"/>
  <c r="T489" i="45"/>
  <c r="P489" i="45"/>
  <c r="L489" i="45"/>
  <c r="AU489" i="45"/>
  <c r="AQ489" i="45"/>
  <c r="AM489" i="45"/>
  <c r="AI489" i="45"/>
  <c r="AE489" i="45"/>
  <c r="AA489" i="45"/>
  <c r="W489" i="45"/>
  <c r="S489" i="45"/>
  <c r="O489" i="45"/>
  <c r="AT489" i="45"/>
  <c r="AP489" i="45"/>
  <c r="AL489" i="45"/>
  <c r="AH489" i="45"/>
  <c r="AD489" i="45"/>
  <c r="Z489" i="45"/>
  <c r="V489" i="45"/>
  <c r="R489" i="45"/>
  <c r="N489" i="45"/>
  <c r="AG489" i="45"/>
  <c r="Q489" i="45"/>
  <c r="AS489" i="45"/>
  <c r="AC489" i="45"/>
  <c r="M489" i="45"/>
  <c r="U489" i="45"/>
  <c r="AO489" i="45"/>
  <c r="Y489" i="45"/>
  <c r="AK489" i="45"/>
  <c r="AR492" i="45"/>
  <c r="AN492" i="45"/>
  <c r="AJ492" i="45"/>
  <c r="AF492" i="45"/>
  <c r="AB492" i="45"/>
  <c r="X492" i="45"/>
  <c r="T492" i="45"/>
  <c r="P492" i="45"/>
  <c r="L492" i="45"/>
  <c r="AU492" i="45"/>
  <c r="AQ492" i="45"/>
  <c r="AM492" i="45"/>
  <c r="AI492" i="45"/>
  <c r="AE492" i="45"/>
  <c r="AA492" i="45"/>
  <c r="W492" i="45"/>
  <c r="S492" i="45"/>
  <c r="O492" i="45"/>
  <c r="AT492" i="45"/>
  <c r="AP492" i="45"/>
  <c r="AL492" i="45"/>
  <c r="AH492" i="45"/>
  <c r="AD492" i="45"/>
  <c r="Z492" i="45"/>
  <c r="V492" i="45"/>
  <c r="R492" i="45"/>
  <c r="N492" i="45"/>
  <c r="AK492" i="45"/>
  <c r="U492" i="45"/>
  <c r="AG492" i="45"/>
  <c r="Q492" i="45"/>
  <c r="AS492" i="45"/>
  <c r="AC492" i="45"/>
  <c r="M492" i="45"/>
  <c r="AO492" i="45"/>
  <c r="Y492" i="45"/>
  <c r="AR485" i="45"/>
  <c r="AN485" i="45"/>
  <c r="AJ485" i="45"/>
  <c r="AF485" i="45"/>
  <c r="AB485" i="45"/>
  <c r="X485" i="45"/>
  <c r="T485" i="45"/>
  <c r="P485" i="45"/>
  <c r="L485" i="45"/>
  <c r="AU485" i="45"/>
  <c r="AQ485" i="45"/>
  <c r="AM485" i="45"/>
  <c r="AI485" i="45"/>
  <c r="AE485" i="45"/>
  <c r="AA485" i="45"/>
  <c r="W485" i="45"/>
  <c r="S485" i="45"/>
  <c r="O485" i="45"/>
  <c r="AT485" i="45"/>
  <c r="AP485" i="45"/>
  <c r="AL485" i="45"/>
  <c r="AH485" i="45"/>
  <c r="AD485" i="45"/>
  <c r="Z485" i="45"/>
  <c r="V485" i="45"/>
  <c r="R485" i="45"/>
  <c r="N485" i="45"/>
  <c r="AG485" i="45"/>
  <c r="Q485" i="45"/>
  <c r="AS485" i="45"/>
  <c r="AC485" i="45"/>
  <c r="M485" i="45"/>
  <c r="U485" i="45"/>
  <c r="AO485" i="45"/>
  <c r="Y485" i="45"/>
  <c r="AK485" i="45"/>
  <c r="AR488" i="45"/>
  <c r="AN488" i="45"/>
  <c r="AJ488" i="45"/>
  <c r="AF488" i="45"/>
  <c r="AB488" i="45"/>
  <c r="X488" i="45"/>
  <c r="T488" i="45"/>
  <c r="P488" i="45"/>
  <c r="L488" i="45"/>
  <c r="AU488" i="45"/>
  <c r="AQ488" i="45"/>
  <c r="AM488" i="45"/>
  <c r="AI488" i="45"/>
  <c r="AE488" i="45"/>
  <c r="AA488" i="45"/>
  <c r="W488" i="45"/>
  <c r="S488" i="45"/>
  <c r="O488" i="45"/>
  <c r="AT488" i="45"/>
  <c r="AP488" i="45"/>
  <c r="AL488" i="45"/>
  <c r="AH488" i="45"/>
  <c r="AD488" i="45"/>
  <c r="Z488" i="45"/>
  <c r="V488" i="45"/>
  <c r="R488" i="45"/>
  <c r="N488" i="45"/>
  <c r="AK488" i="45"/>
  <c r="U488" i="45"/>
  <c r="AO488" i="45"/>
  <c r="AG488" i="45"/>
  <c r="Q488" i="45"/>
  <c r="AS488" i="45"/>
  <c r="AC488" i="45"/>
  <c r="M488" i="45"/>
  <c r="Y488" i="45"/>
  <c r="AR491" i="45"/>
  <c r="AN491" i="45"/>
  <c r="AJ491" i="45"/>
  <c r="AF491" i="45"/>
  <c r="AB491" i="45"/>
  <c r="X491" i="45"/>
  <c r="T491" i="45"/>
  <c r="P491" i="45"/>
  <c r="L491" i="45"/>
  <c r="AU491" i="45"/>
  <c r="AQ491" i="45"/>
  <c r="AM491" i="45"/>
  <c r="AI491" i="45"/>
  <c r="AE491" i="45"/>
  <c r="AA491" i="45"/>
  <c r="W491" i="45"/>
  <c r="S491" i="45"/>
  <c r="O491" i="45"/>
  <c r="AT491" i="45"/>
  <c r="AP491" i="45"/>
  <c r="AL491" i="45"/>
  <c r="AH491" i="45"/>
  <c r="AD491" i="45"/>
  <c r="Z491" i="45"/>
  <c r="V491" i="45"/>
  <c r="R491" i="45"/>
  <c r="N491" i="45"/>
  <c r="AO491" i="45"/>
  <c r="Y491" i="45"/>
  <c r="AS491" i="45"/>
  <c r="AK491" i="45"/>
  <c r="U491" i="45"/>
  <c r="AC491" i="45"/>
  <c r="AG491" i="45"/>
  <c r="Q491" i="45"/>
  <c r="M491" i="45"/>
  <c r="AR494" i="45"/>
  <c r="AN494" i="45"/>
  <c r="AJ494" i="45"/>
  <c r="AF494" i="45"/>
  <c r="AB494" i="45"/>
  <c r="X494" i="45"/>
  <c r="T494" i="45"/>
  <c r="P494" i="45"/>
  <c r="L494" i="45"/>
  <c r="AU494" i="45"/>
  <c r="AQ494" i="45"/>
  <c r="AM494" i="45"/>
  <c r="AI494" i="45"/>
  <c r="AE494" i="45"/>
  <c r="AA494" i="45"/>
  <c r="W494" i="45"/>
  <c r="S494" i="45"/>
  <c r="O494" i="45"/>
  <c r="AT494" i="45"/>
  <c r="AP494" i="45"/>
  <c r="AL494" i="45"/>
  <c r="AH494" i="45"/>
  <c r="AD494" i="45"/>
  <c r="Z494" i="45"/>
  <c r="V494" i="45"/>
  <c r="R494" i="45"/>
  <c r="N494" i="45"/>
  <c r="AS494" i="45"/>
  <c r="AC494" i="45"/>
  <c r="M494" i="45"/>
  <c r="AO494" i="45"/>
  <c r="Y494" i="45"/>
  <c r="Q494" i="45"/>
  <c r="AK494" i="45"/>
  <c r="U494" i="45"/>
  <c r="AG494" i="45"/>
  <c r="AR481" i="45"/>
  <c r="AN481" i="45"/>
  <c r="AJ481" i="45"/>
  <c r="AF481" i="45"/>
  <c r="AB481" i="45"/>
  <c r="X481" i="45"/>
  <c r="T481" i="45"/>
  <c r="P481" i="45"/>
  <c r="L481" i="45"/>
  <c r="AU481" i="45"/>
  <c r="AQ481" i="45"/>
  <c r="AM481" i="45"/>
  <c r="AI481" i="45"/>
  <c r="AE481" i="45"/>
  <c r="AA481" i="45"/>
  <c r="W481" i="45"/>
  <c r="S481" i="45"/>
  <c r="O481" i="45"/>
  <c r="AT481" i="45"/>
  <c r="AP481" i="45"/>
  <c r="AL481" i="45"/>
  <c r="AH481" i="45"/>
  <c r="AD481" i="45"/>
  <c r="Z481" i="45"/>
  <c r="V481" i="45"/>
  <c r="R481" i="45"/>
  <c r="N481" i="45"/>
  <c r="AG481" i="45"/>
  <c r="Q481" i="45"/>
  <c r="U481" i="45"/>
  <c r="AS481" i="45"/>
  <c r="AC481" i="45"/>
  <c r="M481" i="45"/>
  <c r="AO481" i="45"/>
  <c r="Y481" i="45"/>
  <c r="AK481" i="45"/>
  <c r="AR482" i="45"/>
  <c r="AN482" i="45"/>
  <c r="AJ482" i="45"/>
  <c r="AF482" i="45"/>
  <c r="AB482" i="45"/>
  <c r="X482" i="45"/>
  <c r="T482" i="45"/>
  <c r="P482" i="45"/>
  <c r="L482" i="45"/>
  <c r="AU482" i="45"/>
  <c r="AQ482" i="45"/>
  <c r="AM482" i="45"/>
  <c r="AI482" i="45"/>
  <c r="AE482" i="45"/>
  <c r="AA482" i="45"/>
  <c r="W482" i="45"/>
  <c r="S482" i="45"/>
  <c r="O482" i="45"/>
  <c r="AT482" i="45"/>
  <c r="AP482" i="45"/>
  <c r="AL482" i="45"/>
  <c r="AH482" i="45"/>
  <c r="AD482" i="45"/>
  <c r="Z482" i="45"/>
  <c r="V482" i="45"/>
  <c r="R482" i="45"/>
  <c r="N482" i="45"/>
  <c r="AS482" i="45"/>
  <c r="AC482" i="45"/>
  <c r="M482" i="45"/>
  <c r="AG482" i="45"/>
  <c r="AO482" i="45"/>
  <c r="Y482" i="45"/>
  <c r="Q482" i="45"/>
  <c r="AK482" i="45"/>
  <c r="U482" i="45"/>
  <c r="AR484" i="45"/>
  <c r="AN484" i="45"/>
  <c r="AJ484" i="45"/>
  <c r="AF484" i="45"/>
  <c r="AB484" i="45"/>
  <c r="X484" i="45"/>
  <c r="T484" i="45"/>
  <c r="P484" i="45"/>
  <c r="L484" i="45"/>
  <c r="AU484" i="45"/>
  <c r="AQ484" i="45"/>
  <c r="AM484" i="45"/>
  <c r="AI484" i="45"/>
  <c r="AE484" i="45"/>
  <c r="AA484" i="45"/>
  <c r="W484" i="45"/>
  <c r="S484" i="45"/>
  <c r="O484" i="45"/>
  <c r="AT484" i="45"/>
  <c r="AP484" i="45"/>
  <c r="AL484" i="45"/>
  <c r="AH484" i="45"/>
  <c r="AD484" i="45"/>
  <c r="Z484" i="45"/>
  <c r="V484" i="45"/>
  <c r="R484" i="45"/>
  <c r="N484" i="45"/>
  <c r="AK484" i="45"/>
  <c r="U484" i="45"/>
  <c r="AO484" i="45"/>
  <c r="AG484" i="45"/>
  <c r="Q484" i="45"/>
  <c r="Y484" i="45"/>
  <c r="AS484" i="45"/>
  <c r="AC484" i="45"/>
  <c r="M484" i="45"/>
  <c r="AR487" i="45"/>
  <c r="AN487" i="45"/>
  <c r="AJ487" i="45"/>
  <c r="AF487" i="45"/>
  <c r="AB487" i="45"/>
  <c r="X487" i="45"/>
  <c r="T487" i="45"/>
  <c r="P487" i="45"/>
  <c r="L487" i="45"/>
  <c r="AU487" i="45"/>
  <c r="AQ487" i="45"/>
  <c r="AM487" i="45"/>
  <c r="AI487" i="45"/>
  <c r="AE487" i="45"/>
  <c r="AA487" i="45"/>
  <c r="W487" i="45"/>
  <c r="S487" i="45"/>
  <c r="O487" i="45"/>
  <c r="AT487" i="45"/>
  <c r="AP487" i="45"/>
  <c r="AL487" i="45"/>
  <c r="AH487" i="45"/>
  <c r="AD487" i="45"/>
  <c r="Z487" i="45"/>
  <c r="V487" i="45"/>
  <c r="R487" i="45"/>
  <c r="N487" i="45"/>
  <c r="AO487" i="45"/>
  <c r="Y487" i="45"/>
  <c r="AC487" i="45"/>
  <c r="AK487" i="45"/>
  <c r="U487" i="45"/>
  <c r="AS487" i="45"/>
  <c r="AG487" i="45"/>
  <c r="Q487" i="45"/>
  <c r="M487" i="45"/>
  <c r="AR490" i="45"/>
  <c r="AN490" i="45"/>
  <c r="AJ490" i="45"/>
  <c r="AF490" i="45"/>
  <c r="AB490" i="45"/>
  <c r="X490" i="45"/>
  <c r="T490" i="45"/>
  <c r="P490" i="45"/>
  <c r="L490" i="45"/>
  <c r="AU490" i="45"/>
  <c r="AQ490" i="45"/>
  <c r="AM490" i="45"/>
  <c r="AI490" i="45"/>
  <c r="AE490" i="45"/>
  <c r="AA490" i="45"/>
  <c r="W490" i="45"/>
  <c r="S490" i="45"/>
  <c r="O490" i="45"/>
  <c r="AT490" i="45"/>
  <c r="AP490" i="45"/>
  <c r="AL490" i="45"/>
  <c r="AH490" i="45"/>
  <c r="AD490" i="45"/>
  <c r="Z490" i="45"/>
  <c r="V490" i="45"/>
  <c r="R490" i="45"/>
  <c r="N490" i="45"/>
  <c r="AS490" i="45"/>
  <c r="AC490" i="45"/>
  <c r="M490" i="45"/>
  <c r="AG490" i="45"/>
  <c r="AO490" i="45"/>
  <c r="Y490" i="45"/>
  <c r="Q490" i="45"/>
  <c r="AK490" i="45"/>
  <c r="U490" i="45"/>
  <c r="AR493" i="45"/>
  <c r="AN493" i="45"/>
  <c r="AJ493" i="45"/>
  <c r="AF493" i="45"/>
  <c r="AB493" i="45"/>
  <c r="X493" i="45"/>
  <c r="T493" i="45"/>
  <c r="P493" i="45"/>
  <c r="L493" i="45"/>
  <c r="AU493" i="45"/>
  <c r="AQ493" i="45"/>
  <c r="AM493" i="45"/>
  <c r="AI493" i="45"/>
  <c r="AE493" i="45"/>
  <c r="AA493" i="45"/>
  <c r="W493" i="45"/>
  <c r="S493" i="45"/>
  <c r="O493" i="45"/>
  <c r="AT493" i="45"/>
  <c r="AP493" i="45"/>
  <c r="AL493" i="45"/>
  <c r="AH493" i="45"/>
  <c r="AD493" i="45"/>
  <c r="Z493" i="45"/>
  <c r="V493" i="45"/>
  <c r="R493" i="45"/>
  <c r="N493" i="45"/>
  <c r="AG493" i="45"/>
  <c r="Q493" i="45"/>
  <c r="AK493" i="45"/>
  <c r="AS493" i="45"/>
  <c r="AC493" i="45"/>
  <c r="M493" i="45"/>
  <c r="U493" i="45"/>
  <c r="AO493" i="45"/>
  <c r="Y493" i="45"/>
  <c r="AT496" i="45"/>
  <c r="AP496" i="45"/>
  <c r="AL496" i="45"/>
  <c r="AH496" i="45"/>
  <c r="AD496" i="45"/>
  <c r="Z496" i="45"/>
  <c r="V496" i="45"/>
  <c r="R496" i="45"/>
  <c r="N496" i="45"/>
  <c r="AR496" i="45"/>
  <c r="AN496" i="45"/>
  <c r="AJ496" i="45"/>
  <c r="AF496" i="45"/>
  <c r="AB496" i="45"/>
  <c r="X496" i="45"/>
  <c r="T496" i="45"/>
  <c r="P496" i="45"/>
  <c r="L496" i="45"/>
  <c r="AQ496" i="45"/>
  <c r="AI496" i="45"/>
  <c r="AA496" i="45"/>
  <c r="S496" i="45"/>
  <c r="AO496" i="45"/>
  <c r="AG496" i="45"/>
  <c r="Y496" i="45"/>
  <c r="Q496" i="45"/>
  <c r="AU496" i="45"/>
  <c r="AM496" i="45"/>
  <c r="AE496" i="45"/>
  <c r="W496" i="45"/>
  <c r="O496" i="45"/>
  <c r="AS496" i="45"/>
  <c r="AK496" i="45"/>
  <c r="AC496" i="45"/>
  <c r="U496" i="45"/>
  <c r="M496" i="45"/>
  <c r="AT495" i="45"/>
  <c r="AP495" i="45"/>
  <c r="AL495" i="45"/>
  <c r="AH495" i="45"/>
  <c r="AD495" i="45"/>
  <c r="Z495" i="45"/>
  <c r="V495" i="45"/>
  <c r="R495" i="45"/>
  <c r="N495" i="45"/>
  <c r="AR495" i="45"/>
  <c r="AN495" i="45"/>
  <c r="AJ495" i="45"/>
  <c r="AF495" i="45"/>
  <c r="AB495" i="45"/>
  <c r="X495" i="45"/>
  <c r="T495" i="45"/>
  <c r="P495" i="45"/>
  <c r="L495" i="45"/>
  <c r="AU495" i="45"/>
  <c r="AM495" i="45"/>
  <c r="AE495" i="45"/>
  <c r="W495" i="45"/>
  <c r="O495" i="45"/>
  <c r="AS495" i="45"/>
  <c r="AK495" i="45"/>
  <c r="AC495" i="45"/>
  <c r="U495" i="45"/>
  <c r="M495" i="45"/>
  <c r="AQ495" i="45"/>
  <c r="AI495" i="45"/>
  <c r="AA495" i="45"/>
  <c r="S495" i="45"/>
  <c r="AO495" i="45"/>
  <c r="AG495" i="45"/>
  <c r="Y495" i="45"/>
  <c r="Q495" i="45"/>
  <c r="H705" i="45"/>
  <c r="J705" i="45" s="1"/>
  <c r="H376" i="45"/>
  <c r="AY376" i="45" s="1"/>
  <c r="H380" i="45"/>
  <c r="AY380" i="45" s="1"/>
  <c r="H375" i="45"/>
  <c r="AY375" i="45" s="1"/>
  <c r="H379" i="45"/>
  <c r="AY379" i="45" s="1"/>
  <c r="H383" i="45"/>
  <c r="AY383" i="45" s="1"/>
  <c r="H378" i="45"/>
  <c r="AY378" i="45" s="1"/>
  <c r="H382" i="45"/>
  <c r="AY382" i="45" s="1"/>
  <c r="H384" i="45"/>
  <c r="AY384" i="45" s="1"/>
  <c r="H338" i="45"/>
  <c r="AY338" i="45" s="1"/>
  <c r="H339" i="45"/>
  <c r="AY339" i="45" s="1"/>
  <c r="H340" i="45"/>
  <c r="AY340" i="45" s="1"/>
  <c r="H341" i="45"/>
  <c r="AY341" i="45" s="1"/>
  <c r="H342" i="45"/>
  <c r="AY342" i="45" s="1"/>
  <c r="H343" i="45"/>
  <c r="AY343" i="45" s="1"/>
  <c r="H344" i="45"/>
  <c r="AY344" i="45" s="1"/>
  <c r="H345" i="45"/>
  <c r="AY345" i="45" s="1"/>
  <c r="H346" i="45"/>
  <c r="AY346" i="45" s="1"/>
  <c r="H347" i="45"/>
  <c r="AY347" i="45" s="1"/>
  <c r="H348" i="45"/>
  <c r="AY348" i="45" s="1"/>
  <c r="H349" i="45"/>
  <c r="AY349" i="45" s="1"/>
  <c r="H350" i="45"/>
  <c r="AY350" i="45" s="1"/>
  <c r="H351" i="45"/>
  <c r="AY351" i="45" s="1"/>
  <c r="H352" i="45"/>
  <c r="AY352" i="45" s="1"/>
  <c r="H353" i="45"/>
  <c r="AY353" i="45" s="1"/>
  <c r="H354" i="45"/>
  <c r="AY354" i="45" s="1"/>
  <c r="H355" i="45"/>
  <c r="AY355" i="45" s="1"/>
  <c r="H356" i="45"/>
  <c r="AY356" i="45" s="1"/>
  <c r="H357" i="45"/>
  <c r="AY357" i="45" s="1"/>
  <c r="H358" i="45"/>
  <c r="AY358" i="45" s="1"/>
  <c r="H359" i="45"/>
  <c r="AY359" i="45" s="1"/>
  <c r="H360" i="45"/>
  <c r="AY360" i="45" s="1"/>
  <c r="H361" i="45"/>
  <c r="AY361" i="45" s="1"/>
  <c r="H362" i="45"/>
  <c r="AY362" i="45" s="1"/>
  <c r="H363" i="45"/>
  <c r="AY363" i="45" s="1"/>
  <c r="H364" i="45"/>
  <c r="AY364" i="45" s="1"/>
  <c r="H365" i="45"/>
  <c r="AY365" i="45" s="1"/>
  <c r="H366" i="45"/>
  <c r="AY366" i="45" s="1"/>
  <c r="H367" i="45"/>
  <c r="AY367" i="45" s="1"/>
  <c r="H368" i="45"/>
  <c r="AY368" i="45" s="1"/>
  <c r="H369" i="45"/>
  <c r="AY369" i="45" s="1"/>
  <c r="H370" i="45"/>
  <c r="AY370" i="45" s="1"/>
  <c r="H371" i="45"/>
  <c r="AY371" i="45" s="1"/>
  <c r="H372" i="45"/>
  <c r="AY372" i="45" s="1"/>
  <c r="H373" i="45"/>
  <c r="AY373" i="45" s="1"/>
  <c r="H374" i="45"/>
  <c r="AY374" i="45" s="1"/>
  <c r="H377" i="45"/>
  <c r="AY377" i="45" s="1"/>
  <c r="H381" i="45"/>
  <c r="AY381" i="45" s="1"/>
  <c r="H385" i="45"/>
  <c r="AY385" i="45" s="1"/>
  <c r="B314" i="45"/>
  <c r="B419" i="45" s="1"/>
  <c r="H291" i="45"/>
  <c r="AY291" i="45" s="1"/>
  <c r="H396" i="45"/>
  <c r="J396" i="45" s="1"/>
  <c r="H501" i="45"/>
  <c r="H292" i="45"/>
  <c r="AY292" i="45" s="1"/>
  <c r="H502" i="45"/>
  <c r="J502" i="45" s="1"/>
  <c r="H397" i="45"/>
  <c r="J397" i="45" s="1"/>
  <c r="D293" i="45"/>
  <c r="D398" i="45" s="1"/>
  <c r="D294" i="45"/>
  <c r="D399" i="45" s="1"/>
  <c r="D295" i="45"/>
  <c r="D400" i="45" s="1"/>
  <c r="H296" i="45"/>
  <c r="AY296" i="45" s="1"/>
  <c r="H506" i="45"/>
  <c r="J506" i="45" s="1"/>
  <c r="H401" i="45"/>
  <c r="J401" i="45" s="1"/>
  <c r="H297" i="45"/>
  <c r="AY297" i="45" s="1"/>
  <c r="H507" i="45"/>
  <c r="J507" i="45" s="1"/>
  <c r="H402" i="45"/>
  <c r="J402" i="45" s="1"/>
  <c r="H298" i="45"/>
  <c r="AY298" i="45" s="1"/>
  <c r="H508" i="45"/>
  <c r="J508" i="45" s="1"/>
  <c r="H403" i="45"/>
  <c r="J403" i="45" s="1"/>
  <c r="H299" i="45"/>
  <c r="AY299" i="45" s="1"/>
  <c r="H509" i="45"/>
  <c r="J509" i="45" s="1"/>
  <c r="H404" i="45"/>
  <c r="J404" i="45" s="1"/>
  <c r="H300" i="45"/>
  <c r="AY300" i="45" s="1"/>
  <c r="H510" i="45"/>
  <c r="J510" i="45" s="1"/>
  <c r="H405" i="45"/>
  <c r="J405" i="45" s="1"/>
  <c r="H301" i="45"/>
  <c r="AY301" i="45" s="1"/>
  <c r="H511" i="45"/>
  <c r="J511" i="45" s="1"/>
  <c r="H406" i="45"/>
  <c r="J406" i="45" s="1"/>
  <c r="D302" i="45"/>
  <c r="D407" i="45" s="1"/>
  <c r="H303" i="45"/>
  <c r="AY303" i="45" s="1"/>
  <c r="H513" i="45"/>
  <c r="J513" i="45" s="1"/>
  <c r="H408" i="45"/>
  <c r="J408" i="45" s="1"/>
  <c r="D304" i="45"/>
  <c r="D409" i="45" s="1"/>
  <c r="H305" i="45"/>
  <c r="AY305" i="45" s="1"/>
  <c r="H515" i="45"/>
  <c r="J515" i="45" s="1"/>
  <c r="H410" i="45"/>
  <c r="J410" i="45" s="1"/>
  <c r="H306" i="45"/>
  <c r="AY306" i="45" s="1"/>
  <c r="H516" i="45"/>
  <c r="J516" i="45" s="1"/>
  <c r="H411" i="45"/>
  <c r="J411" i="45" s="1"/>
  <c r="H307" i="45"/>
  <c r="AY307" i="45" s="1"/>
  <c r="H517" i="45"/>
  <c r="J517" i="45" s="1"/>
  <c r="H412" i="45"/>
  <c r="J412" i="45" s="1"/>
  <c r="H308" i="45"/>
  <c r="AY308" i="45" s="1"/>
  <c r="H518" i="45"/>
  <c r="J518" i="45" s="1"/>
  <c r="H413" i="45"/>
  <c r="J413" i="45" s="1"/>
  <c r="H309" i="45"/>
  <c r="AY309" i="45" s="1"/>
  <c r="H519" i="45"/>
  <c r="J519" i="45" s="1"/>
  <c r="H414" i="45"/>
  <c r="J414" i="45" s="1"/>
  <c r="H310" i="45"/>
  <c r="AY310" i="45" s="1"/>
  <c r="H520" i="45"/>
  <c r="J520" i="45" s="1"/>
  <c r="H415" i="45"/>
  <c r="J415" i="45" s="1"/>
  <c r="H311" i="45"/>
  <c r="AY311" i="45" s="1"/>
  <c r="H521" i="45"/>
  <c r="J521" i="45" s="1"/>
  <c r="H416" i="45"/>
  <c r="J416" i="45" s="1"/>
  <c r="H312" i="45"/>
  <c r="AY312" i="45" s="1"/>
  <c r="H522" i="45"/>
  <c r="J522" i="45" s="1"/>
  <c r="H417" i="45"/>
  <c r="J417" i="45" s="1"/>
  <c r="H313" i="45"/>
  <c r="AY313" i="45" s="1"/>
  <c r="H523" i="45"/>
  <c r="J523" i="45" s="1"/>
  <c r="H418" i="45"/>
  <c r="J418" i="45" s="1"/>
  <c r="H314" i="45"/>
  <c r="AY314" i="45" s="1"/>
  <c r="H524" i="45"/>
  <c r="J524" i="45" s="1"/>
  <c r="H419" i="45"/>
  <c r="J419" i="45" s="1"/>
  <c r="H315" i="45"/>
  <c r="AY315" i="45" s="1"/>
  <c r="H525" i="45"/>
  <c r="J525" i="45" s="1"/>
  <c r="H420" i="45"/>
  <c r="J420" i="45" s="1"/>
  <c r="H316" i="45"/>
  <c r="AY316" i="45" s="1"/>
  <c r="H526" i="45"/>
  <c r="J526" i="45" s="1"/>
  <c r="H421" i="45"/>
  <c r="J421" i="45" s="1"/>
  <c r="H317" i="45"/>
  <c r="AY317" i="45" s="1"/>
  <c r="H527" i="45"/>
  <c r="J527" i="45" s="1"/>
  <c r="H422" i="45"/>
  <c r="J422" i="45" s="1"/>
  <c r="H318" i="45"/>
  <c r="AY318" i="45" s="1"/>
  <c r="H528" i="45"/>
  <c r="J528" i="45" s="1"/>
  <c r="H423" i="45"/>
  <c r="J423" i="45" s="1"/>
  <c r="H319" i="45"/>
  <c r="AY319" i="45" s="1"/>
  <c r="H529" i="45"/>
  <c r="J529" i="45" s="1"/>
  <c r="H424" i="45"/>
  <c r="J424" i="45" s="1"/>
  <c r="H320" i="45"/>
  <c r="AY320" i="45" s="1"/>
  <c r="H530" i="45"/>
  <c r="J530" i="45" s="1"/>
  <c r="H425" i="45"/>
  <c r="J425" i="45" s="1"/>
  <c r="D321" i="45"/>
  <c r="D426" i="45" s="1"/>
  <c r="D322" i="45"/>
  <c r="D427" i="45" s="1"/>
  <c r="H323" i="45"/>
  <c r="AY323" i="45" s="1"/>
  <c r="H533" i="45"/>
  <c r="J533" i="45" s="1"/>
  <c r="H428" i="45"/>
  <c r="J428" i="45" s="1"/>
  <c r="H324" i="45"/>
  <c r="AY324" i="45" s="1"/>
  <c r="H534" i="45"/>
  <c r="J534" i="45" s="1"/>
  <c r="H429" i="45"/>
  <c r="J429" i="45" s="1"/>
  <c r="D325" i="45"/>
  <c r="D430" i="45" s="1"/>
  <c r="H326" i="45"/>
  <c r="AY326" i="45" s="1"/>
  <c r="H536" i="45"/>
  <c r="J536" i="45" s="1"/>
  <c r="H431" i="45"/>
  <c r="J431" i="45" s="1"/>
  <c r="H327" i="45"/>
  <c r="AY327" i="45" s="1"/>
  <c r="H537" i="45"/>
  <c r="J537" i="45" s="1"/>
  <c r="H432" i="45"/>
  <c r="J432" i="45" s="1"/>
  <c r="D328" i="45"/>
  <c r="D433" i="45" s="1"/>
  <c r="H329" i="45"/>
  <c r="AY329" i="45" s="1"/>
  <c r="H539" i="45"/>
  <c r="J539" i="45" s="1"/>
  <c r="H434" i="45"/>
  <c r="J434" i="45" s="1"/>
  <c r="D330" i="45"/>
  <c r="D435" i="45" s="1"/>
  <c r="D331" i="45"/>
  <c r="D436" i="45" s="1"/>
  <c r="H332" i="45"/>
  <c r="AY332" i="45" s="1"/>
  <c r="H542" i="45"/>
  <c r="J542" i="45" s="1"/>
  <c r="H437" i="45"/>
  <c r="J437" i="45" s="1"/>
  <c r="D333" i="45"/>
  <c r="D438" i="45" s="1"/>
  <c r="D334" i="45"/>
  <c r="D439" i="45" s="1"/>
  <c r="H334" i="45"/>
  <c r="AY334" i="45" s="1"/>
  <c r="H544" i="45"/>
  <c r="J544" i="45" s="1"/>
  <c r="H439" i="45"/>
  <c r="J439" i="45" s="1"/>
  <c r="H335" i="45"/>
  <c r="AY335" i="45" s="1"/>
  <c r="H545" i="45"/>
  <c r="J545" i="45" s="1"/>
  <c r="H440" i="45"/>
  <c r="J440" i="45" s="1"/>
  <c r="H336" i="45"/>
  <c r="AY336" i="45" s="1"/>
  <c r="H546" i="45"/>
  <c r="J546" i="45" s="1"/>
  <c r="H441" i="45"/>
  <c r="J441" i="45" s="1"/>
  <c r="D337" i="45"/>
  <c r="D442" i="45" s="1"/>
  <c r="D339" i="45"/>
  <c r="D444" i="45" s="1"/>
  <c r="D342" i="45"/>
  <c r="D447" i="45" s="1"/>
  <c r="D344" i="45"/>
  <c r="D449" i="45" s="1"/>
  <c r="D346" i="45"/>
  <c r="D451" i="45" s="1"/>
  <c r="D350" i="45"/>
  <c r="D455" i="45" s="1"/>
  <c r="D352" i="45"/>
  <c r="D457" i="45" s="1"/>
  <c r="D354" i="45"/>
  <c r="D459" i="45" s="1"/>
  <c r="D356" i="45"/>
  <c r="D461" i="45" s="1"/>
  <c r="D358" i="45"/>
  <c r="D463" i="45" s="1"/>
  <c r="D360" i="45"/>
  <c r="D465" i="45" s="1"/>
  <c r="D363" i="45"/>
  <c r="D468" i="45" s="1"/>
  <c r="D365" i="45"/>
  <c r="D470" i="45" s="1"/>
  <c r="D367" i="45"/>
  <c r="D472" i="45" s="1"/>
  <c r="D369" i="45"/>
  <c r="D474" i="45" s="1"/>
  <c r="D371" i="45"/>
  <c r="D476" i="45" s="1"/>
  <c r="D373" i="45"/>
  <c r="D478" i="45" s="1"/>
  <c r="D374" i="45"/>
  <c r="D479" i="45" s="1"/>
  <c r="C378" i="45"/>
  <c r="C483" i="45" s="1"/>
  <c r="B291" i="45"/>
  <c r="B396" i="45" s="1"/>
  <c r="F291" i="45"/>
  <c r="F396" i="45" s="1"/>
  <c r="B292" i="45"/>
  <c r="B397" i="45" s="1"/>
  <c r="F292" i="45"/>
  <c r="F397" i="45" s="1"/>
  <c r="B293" i="45"/>
  <c r="B398" i="45" s="1"/>
  <c r="F293" i="45"/>
  <c r="F398" i="45" s="1"/>
  <c r="B294" i="45"/>
  <c r="B399" i="45" s="1"/>
  <c r="F294" i="45"/>
  <c r="F399" i="45" s="1"/>
  <c r="B295" i="45"/>
  <c r="B400" i="45" s="1"/>
  <c r="F295" i="45"/>
  <c r="F400" i="45" s="1"/>
  <c r="B296" i="45"/>
  <c r="B401" i="45" s="1"/>
  <c r="F296" i="45"/>
  <c r="F401" i="45" s="1"/>
  <c r="B297" i="45"/>
  <c r="B402" i="45" s="1"/>
  <c r="F297" i="45"/>
  <c r="F402" i="45" s="1"/>
  <c r="B298" i="45"/>
  <c r="B403" i="45" s="1"/>
  <c r="F298" i="45"/>
  <c r="F403" i="45" s="1"/>
  <c r="B299" i="45"/>
  <c r="B404" i="45" s="1"/>
  <c r="F299" i="45"/>
  <c r="F404" i="45" s="1"/>
  <c r="B300" i="45"/>
  <c r="B405" i="45" s="1"/>
  <c r="F300" i="45"/>
  <c r="F405" i="45" s="1"/>
  <c r="B301" i="45"/>
  <c r="B406" i="45" s="1"/>
  <c r="F301" i="45"/>
  <c r="F406" i="45" s="1"/>
  <c r="B302" i="45"/>
  <c r="B407" i="45" s="1"/>
  <c r="F302" i="45"/>
  <c r="F407" i="45" s="1"/>
  <c r="B303" i="45"/>
  <c r="B408" i="45" s="1"/>
  <c r="F303" i="45"/>
  <c r="F408" i="45" s="1"/>
  <c r="B304" i="45"/>
  <c r="B409" i="45" s="1"/>
  <c r="F304" i="45"/>
  <c r="F409" i="45" s="1"/>
  <c r="B305" i="45"/>
  <c r="B410" i="45" s="1"/>
  <c r="F305" i="45"/>
  <c r="F410" i="45" s="1"/>
  <c r="B306" i="45"/>
  <c r="B411" i="45" s="1"/>
  <c r="F306" i="45"/>
  <c r="F411" i="45" s="1"/>
  <c r="B307" i="45"/>
  <c r="B412" i="45" s="1"/>
  <c r="F307" i="45"/>
  <c r="F412" i="45" s="1"/>
  <c r="B308" i="45"/>
  <c r="B413" i="45" s="1"/>
  <c r="F308" i="45"/>
  <c r="F413" i="45" s="1"/>
  <c r="B309" i="45"/>
  <c r="B414" i="45" s="1"/>
  <c r="F309" i="45"/>
  <c r="F414" i="45" s="1"/>
  <c r="B310" i="45"/>
  <c r="B415" i="45" s="1"/>
  <c r="F310" i="45"/>
  <c r="F415" i="45" s="1"/>
  <c r="B311" i="45"/>
  <c r="B416" i="45" s="1"/>
  <c r="F311" i="45"/>
  <c r="F416" i="45" s="1"/>
  <c r="B312" i="45"/>
  <c r="B417" i="45" s="1"/>
  <c r="F312" i="45"/>
  <c r="F417" i="45" s="1"/>
  <c r="B313" i="45"/>
  <c r="B418" i="45" s="1"/>
  <c r="F313" i="45"/>
  <c r="F418" i="45" s="1"/>
  <c r="F314" i="45"/>
  <c r="F419" i="45" s="1"/>
  <c r="B315" i="45"/>
  <c r="B420" i="45" s="1"/>
  <c r="F315" i="45"/>
  <c r="F420" i="45" s="1"/>
  <c r="B316" i="45"/>
  <c r="B421" i="45" s="1"/>
  <c r="F316" i="45"/>
  <c r="F421" i="45" s="1"/>
  <c r="B317" i="45"/>
  <c r="B422" i="45" s="1"/>
  <c r="F317" i="45"/>
  <c r="F422" i="45" s="1"/>
  <c r="B318" i="45"/>
  <c r="B423" i="45" s="1"/>
  <c r="F318" i="45"/>
  <c r="F423" i="45" s="1"/>
  <c r="B319" i="45"/>
  <c r="B424" i="45" s="1"/>
  <c r="F319" i="45"/>
  <c r="F424" i="45" s="1"/>
  <c r="B320" i="45"/>
  <c r="B425" i="45" s="1"/>
  <c r="F320" i="45"/>
  <c r="F425" i="45" s="1"/>
  <c r="B321" i="45"/>
  <c r="B426" i="45" s="1"/>
  <c r="F321" i="45"/>
  <c r="F426" i="45" s="1"/>
  <c r="B322" i="45"/>
  <c r="B427" i="45" s="1"/>
  <c r="F322" i="45"/>
  <c r="F427" i="45" s="1"/>
  <c r="B323" i="45"/>
  <c r="B428" i="45" s="1"/>
  <c r="F323" i="45"/>
  <c r="F428" i="45" s="1"/>
  <c r="B324" i="45"/>
  <c r="B429" i="45" s="1"/>
  <c r="F324" i="45"/>
  <c r="F429" i="45" s="1"/>
  <c r="B325" i="45"/>
  <c r="B430" i="45" s="1"/>
  <c r="F325" i="45"/>
  <c r="F430" i="45" s="1"/>
  <c r="B326" i="45"/>
  <c r="B431" i="45" s="1"/>
  <c r="F326" i="45"/>
  <c r="F431" i="45" s="1"/>
  <c r="B327" i="45"/>
  <c r="B432" i="45" s="1"/>
  <c r="F327" i="45"/>
  <c r="F432" i="45" s="1"/>
  <c r="B328" i="45"/>
  <c r="B433" i="45" s="1"/>
  <c r="F328" i="45"/>
  <c r="F433" i="45" s="1"/>
  <c r="B329" i="45"/>
  <c r="B434" i="45" s="1"/>
  <c r="F329" i="45"/>
  <c r="F434" i="45" s="1"/>
  <c r="B330" i="45"/>
  <c r="B435" i="45" s="1"/>
  <c r="F330" i="45"/>
  <c r="F435" i="45" s="1"/>
  <c r="B331" i="45"/>
  <c r="B436" i="45" s="1"/>
  <c r="F331" i="45"/>
  <c r="F436" i="45" s="1"/>
  <c r="B332" i="45"/>
  <c r="B437" i="45" s="1"/>
  <c r="F332" i="45"/>
  <c r="F437" i="45" s="1"/>
  <c r="B333" i="45"/>
  <c r="B438" i="45" s="1"/>
  <c r="F333" i="45"/>
  <c r="F438" i="45" s="1"/>
  <c r="B334" i="45"/>
  <c r="B439" i="45" s="1"/>
  <c r="F334" i="45"/>
  <c r="F439" i="45" s="1"/>
  <c r="B335" i="45"/>
  <c r="B440" i="45" s="1"/>
  <c r="F335" i="45"/>
  <c r="F440" i="45" s="1"/>
  <c r="B336" i="45"/>
  <c r="B441" i="45" s="1"/>
  <c r="F336" i="45"/>
  <c r="F441" i="45" s="1"/>
  <c r="B337" i="45"/>
  <c r="B442" i="45" s="1"/>
  <c r="F337" i="45"/>
  <c r="F442" i="45" s="1"/>
  <c r="B338" i="45"/>
  <c r="B443" i="45" s="1"/>
  <c r="F338" i="45"/>
  <c r="F443" i="45" s="1"/>
  <c r="B339" i="45"/>
  <c r="B444" i="45" s="1"/>
  <c r="F339" i="45"/>
  <c r="F444" i="45" s="1"/>
  <c r="B340" i="45"/>
  <c r="B445" i="45" s="1"/>
  <c r="F340" i="45"/>
  <c r="F445" i="45" s="1"/>
  <c r="B341" i="45"/>
  <c r="B446" i="45" s="1"/>
  <c r="F341" i="45"/>
  <c r="F446" i="45" s="1"/>
  <c r="B342" i="45"/>
  <c r="B447" i="45" s="1"/>
  <c r="F342" i="45"/>
  <c r="F447" i="45" s="1"/>
  <c r="B343" i="45"/>
  <c r="B448" i="45" s="1"/>
  <c r="F343" i="45"/>
  <c r="F448" i="45" s="1"/>
  <c r="B344" i="45"/>
  <c r="B449" i="45" s="1"/>
  <c r="F344" i="45"/>
  <c r="F449" i="45" s="1"/>
  <c r="B345" i="45"/>
  <c r="B450" i="45" s="1"/>
  <c r="F345" i="45"/>
  <c r="F450" i="45" s="1"/>
  <c r="B346" i="45"/>
  <c r="B451" i="45" s="1"/>
  <c r="F346" i="45"/>
  <c r="F451" i="45" s="1"/>
  <c r="B347" i="45"/>
  <c r="B452" i="45" s="1"/>
  <c r="F347" i="45"/>
  <c r="F452" i="45" s="1"/>
  <c r="B348" i="45"/>
  <c r="B453" i="45" s="1"/>
  <c r="F348" i="45"/>
  <c r="F453" i="45" s="1"/>
  <c r="B349" i="45"/>
  <c r="B454" i="45" s="1"/>
  <c r="F349" i="45"/>
  <c r="F454" i="45" s="1"/>
  <c r="B350" i="45"/>
  <c r="B455" i="45" s="1"/>
  <c r="F350" i="45"/>
  <c r="F455" i="45" s="1"/>
  <c r="B351" i="45"/>
  <c r="B456" i="45" s="1"/>
  <c r="F351" i="45"/>
  <c r="F456" i="45" s="1"/>
  <c r="B352" i="45"/>
  <c r="B457" i="45" s="1"/>
  <c r="F352" i="45"/>
  <c r="F457" i="45" s="1"/>
  <c r="B353" i="45"/>
  <c r="B458" i="45" s="1"/>
  <c r="F353" i="45"/>
  <c r="F458" i="45" s="1"/>
  <c r="B354" i="45"/>
  <c r="B459" i="45" s="1"/>
  <c r="F354" i="45"/>
  <c r="F459" i="45" s="1"/>
  <c r="B355" i="45"/>
  <c r="B460" i="45" s="1"/>
  <c r="F355" i="45"/>
  <c r="F460" i="45" s="1"/>
  <c r="B356" i="45"/>
  <c r="B461" i="45" s="1"/>
  <c r="F356" i="45"/>
  <c r="F461" i="45" s="1"/>
  <c r="B357" i="45"/>
  <c r="B462" i="45" s="1"/>
  <c r="F357" i="45"/>
  <c r="F462" i="45" s="1"/>
  <c r="B358" i="45"/>
  <c r="B463" i="45" s="1"/>
  <c r="F358" i="45"/>
  <c r="F463" i="45" s="1"/>
  <c r="B359" i="45"/>
  <c r="B464" i="45" s="1"/>
  <c r="F359" i="45"/>
  <c r="F464" i="45" s="1"/>
  <c r="B360" i="45"/>
  <c r="B465" i="45" s="1"/>
  <c r="F360" i="45"/>
  <c r="F465" i="45" s="1"/>
  <c r="B361" i="45"/>
  <c r="B466" i="45" s="1"/>
  <c r="F361" i="45"/>
  <c r="F466" i="45" s="1"/>
  <c r="B362" i="45"/>
  <c r="B467" i="45" s="1"/>
  <c r="F362" i="45"/>
  <c r="F467" i="45" s="1"/>
  <c r="B363" i="45"/>
  <c r="B468" i="45" s="1"/>
  <c r="F363" i="45"/>
  <c r="F468" i="45" s="1"/>
  <c r="B364" i="45"/>
  <c r="B469" i="45" s="1"/>
  <c r="F364" i="45"/>
  <c r="F469" i="45" s="1"/>
  <c r="B365" i="45"/>
  <c r="B470" i="45" s="1"/>
  <c r="F365" i="45"/>
  <c r="F470" i="45" s="1"/>
  <c r="B366" i="45"/>
  <c r="B471" i="45" s="1"/>
  <c r="F366" i="45"/>
  <c r="F471" i="45" s="1"/>
  <c r="B367" i="45"/>
  <c r="B472" i="45" s="1"/>
  <c r="F367" i="45"/>
  <c r="F472" i="45" s="1"/>
  <c r="B368" i="45"/>
  <c r="B473" i="45" s="1"/>
  <c r="F368" i="45"/>
  <c r="F473" i="45" s="1"/>
  <c r="B369" i="45"/>
  <c r="B474" i="45" s="1"/>
  <c r="F369" i="45"/>
  <c r="F474" i="45" s="1"/>
  <c r="B370" i="45"/>
  <c r="B475" i="45" s="1"/>
  <c r="F370" i="45"/>
  <c r="F475" i="45" s="1"/>
  <c r="B371" i="45"/>
  <c r="B476" i="45" s="1"/>
  <c r="F371" i="45"/>
  <c r="F476" i="45" s="1"/>
  <c r="B372" i="45"/>
  <c r="B477" i="45" s="1"/>
  <c r="F372" i="45"/>
  <c r="F477" i="45" s="1"/>
  <c r="B373" i="45"/>
  <c r="B478" i="45" s="1"/>
  <c r="F373" i="45"/>
  <c r="F478" i="45" s="1"/>
  <c r="B374" i="45"/>
  <c r="B479" i="45" s="1"/>
  <c r="F374" i="45"/>
  <c r="F479" i="45" s="1"/>
  <c r="B375" i="45"/>
  <c r="B480" i="45" s="1"/>
  <c r="F375" i="45"/>
  <c r="F480" i="45" s="1"/>
  <c r="C376" i="45"/>
  <c r="C481" i="45" s="1"/>
  <c r="G376" i="45"/>
  <c r="G481" i="45" s="1"/>
  <c r="D377" i="45"/>
  <c r="D482" i="45" s="1"/>
  <c r="E378" i="45"/>
  <c r="E483" i="45" s="1"/>
  <c r="F379" i="45"/>
  <c r="F484" i="45" s="1"/>
  <c r="C380" i="45"/>
  <c r="C485" i="45" s="1"/>
  <c r="G380" i="45"/>
  <c r="G485" i="45" s="1"/>
  <c r="D381" i="45"/>
  <c r="D486" i="45" s="1"/>
  <c r="E382" i="45"/>
  <c r="E487" i="45" s="1"/>
  <c r="F383" i="45"/>
  <c r="F488" i="45" s="1"/>
  <c r="C384" i="45"/>
  <c r="C489" i="45" s="1"/>
  <c r="G384" i="45"/>
  <c r="G489" i="45" s="1"/>
  <c r="D385" i="45"/>
  <c r="D490" i="45" s="1"/>
  <c r="E386" i="45"/>
  <c r="E491" i="45" s="1"/>
  <c r="F387" i="45"/>
  <c r="F492" i="45" s="1"/>
  <c r="C388" i="45"/>
  <c r="C493" i="45" s="1"/>
  <c r="G388" i="45"/>
  <c r="G493" i="45" s="1"/>
  <c r="D389" i="45"/>
  <c r="D494" i="45" s="1"/>
  <c r="W284" i="45"/>
  <c r="H389" i="45"/>
  <c r="AY389" i="45" s="1"/>
  <c r="H599" i="45"/>
  <c r="J599" i="45" s="1"/>
  <c r="H494" i="45"/>
  <c r="J494" i="45" s="1"/>
  <c r="E391" i="45"/>
  <c r="E496" i="45" s="1"/>
  <c r="C291" i="45"/>
  <c r="C396" i="45" s="1"/>
  <c r="G291" i="45"/>
  <c r="G396" i="45" s="1"/>
  <c r="C292" i="45"/>
  <c r="C397" i="45" s="1"/>
  <c r="G292" i="45"/>
  <c r="G397" i="45" s="1"/>
  <c r="C293" i="45"/>
  <c r="C398" i="45" s="1"/>
  <c r="G293" i="45"/>
  <c r="G398" i="45" s="1"/>
  <c r="C294" i="45"/>
  <c r="C399" i="45" s="1"/>
  <c r="G294" i="45"/>
  <c r="G399" i="45" s="1"/>
  <c r="C295" i="45"/>
  <c r="C400" i="45" s="1"/>
  <c r="G295" i="45"/>
  <c r="G400" i="45" s="1"/>
  <c r="C296" i="45"/>
  <c r="C401" i="45" s="1"/>
  <c r="G296" i="45"/>
  <c r="G401" i="45" s="1"/>
  <c r="C297" i="45"/>
  <c r="C402" i="45" s="1"/>
  <c r="G297" i="45"/>
  <c r="G402" i="45" s="1"/>
  <c r="C298" i="45"/>
  <c r="C403" i="45" s="1"/>
  <c r="G298" i="45"/>
  <c r="G403" i="45" s="1"/>
  <c r="C299" i="45"/>
  <c r="C404" i="45" s="1"/>
  <c r="G299" i="45"/>
  <c r="G404" i="45" s="1"/>
  <c r="C300" i="45"/>
  <c r="C405" i="45" s="1"/>
  <c r="G300" i="45"/>
  <c r="G405" i="45" s="1"/>
  <c r="C301" i="45"/>
  <c r="C406" i="45" s="1"/>
  <c r="G301" i="45"/>
  <c r="G406" i="45" s="1"/>
  <c r="C302" i="45"/>
  <c r="C407" i="45" s="1"/>
  <c r="G302" i="45"/>
  <c r="G407" i="45" s="1"/>
  <c r="C303" i="45"/>
  <c r="C408" i="45" s="1"/>
  <c r="G303" i="45"/>
  <c r="G408" i="45" s="1"/>
  <c r="C304" i="45"/>
  <c r="C409" i="45" s="1"/>
  <c r="G304" i="45"/>
  <c r="G409" i="45" s="1"/>
  <c r="C305" i="45"/>
  <c r="C410" i="45" s="1"/>
  <c r="G305" i="45"/>
  <c r="G410" i="45" s="1"/>
  <c r="C306" i="45"/>
  <c r="C411" i="45" s="1"/>
  <c r="G306" i="45"/>
  <c r="G411" i="45" s="1"/>
  <c r="C307" i="45"/>
  <c r="C412" i="45" s="1"/>
  <c r="G307" i="45"/>
  <c r="G412" i="45" s="1"/>
  <c r="C308" i="45"/>
  <c r="C413" i="45" s="1"/>
  <c r="G308" i="45"/>
  <c r="G413" i="45" s="1"/>
  <c r="C309" i="45"/>
  <c r="C414" i="45" s="1"/>
  <c r="G309" i="45"/>
  <c r="G414" i="45" s="1"/>
  <c r="C310" i="45"/>
  <c r="C415" i="45" s="1"/>
  <c r="G310" i="45"/>
  <c r="G415" i="45" s="1"/>
  <c r="C311" i="45"/>
  <c r="C416" i="45" s="1"/>
  <c r="G311" i="45"/>
  <c r="G416" i="45" s="1"/>
  <c r="C312" i="45"/>
  <c r="C417" i="45" s="1"/>
  <c r="G312" i="45"/>
  <c r="G417" i="45" s="1"/>
  <c r="C313" i="45"/>
  <c r="C418" i="45" s="1"/>
  <c r="G313" i="45"/>
  <c r="G418" i="45" s="1"/>
  <c r="C314" i="45"/>
  <c r="C419" i="45" s="1"/>
  <c r="G314" i="45"/>
  <c r="G419" i="45" s="1"/>
  <c r="C315" i="45"/>
  <c r="C420" i="45" s="1"/>
  <c r="G315" i="45"/>
  <c r="G420" i="45" s="1"/>
  <c r="C316" i="45"/>
  <c r="C421" i="45" s="1"/>
  <c r="G316" i="45"/>
  <c r="G421" i="45" s="1"/>
  <c r="C317" i="45"/>
  <c r="C422" i="45" s="1"/>
  <c r="G317" i="45"/>
  <c r="G422" i="45" s="1"/>
  <c r="C318" i="45"/>
  <c r="C423" i="45" s="1"/>
  <c r="G318" i="45"/>
  <c r="G423" i="45" s="1"/>
  <c r="C319" i="45"/>
  <c r="C424" i="45" s="1"/>
  <c r="G319" i="45"/>
  <c r="G424" i="45" s="1"/>
  <c r="C320" i="45"/>
  <c r="C425" i="45" s="1"/>
  <c r="G320" i="45"/>
  <c r="G425" i="45" s="1"/>
  <c r="C321" i="45"/>
  <c r="C426" i="45" s="1"/>
  <c r="G321" i="45"/>
  <c r="G426" i="45" s="1"/>
  <c r="C322" i="45"/>
  <c r="C427" i="45" s="1"/>
  <c r="G322" i="45"/>
  <c r="G427" i="45" s="1"/>
  <c r="C323" i="45"/>
  <c r="C428" i="45" s="1"/>
  <c r="G323" i="45"/>
  <c r="G428" i="45" s="1"/>
  <c r="C324" i="45"/>
  <c r="C429" i="45" s="1"/>
  <c r="G324" i="45"/>
  <c r="G429" i="45" s="1"/>
  <c r="C325" i="45"/>
  <c r="C430" i="45" s="1"/>
  <c r="G325" i="45"/>
  <c r="G430" i="45" s="1"/>
  <c r="C326" i="45"/>
  <c r="C431" i="45" s="1"/>
  <c r="G326" i="45"/>
  <c r="G431" i="45" s="1"/>
  <c r="C327" i="45"/>
  <c r="C432" i="45" s="1"/>
  <c r="G327" i="45"/>
  <c r="G432" i="45" s="1"/>
  <c r="C328" i="45"/>
  <c r="C433" i="45" s="1"/>
  <c r="G328" i="45"/>
  <c r="G433" i="45" s="1"/>
  <c r="C329" i="45"/>
  <c r="C434" i="45" s="1"/>
  <c r="G329" i="45"/>
  <c r="G434" i="45" s="1"/>
  <c r="C330" i="45"/>
  <c r="C435" i="45" s="1"/>
  <c r="G330" i="45"/>
  <c r="G435" i="45" s="1"/>
  <c r="C331" i="45"/>
  <c r="C436" i="45" s="1"/>
  <c r="G331" i="45"/>
  <c r="G436" i="45" s="1"/>
  <c r="C332" i="45"/>
  <c r="C437" i="45" s="1"/>
  <c r="G332" i="45"/>
  <c r="G437" i="45" s="1"/>
  <c r="C333" i="45"/>
  <c r="C438" i="45" s="1"/>
  <c r="G333" i="45"/>
  <c r="G438" i="45" s="1"/>
  <c r="C334" i="45"/>
  <c r="C439" i="45" s="1"/>
  <c r="G334" i="45"/>
  <c r="G439" i="45" s="1"/>
  <c r="C335" i="45"/>
  <c r="C440" i="45" s="1"/>
  <c r="G335" i="45"/>
  <c r="G440" i="45" s="1"/>
  <c r="C336" i="45"/>
  <c r="C441" i="45" s="1"/>
  <c r="G336" i="45"/>
  <c r="G441" i="45" s="1"/>
  <c r="C337" i="45"/>
  <c r="C442" i="45" s="1"/>
  <c r="G337" i="45"/>
  <c r="G442" i="45" s="1"/>
  <c r="C338" i="45"/>
  <c r="C443" i="45" s="1"/>
  <c r="G338" i="45"/>
  <c r="G443" i="45" s="1"/>
  <c r="C339" i="45"/>
  <c r="C444" i="45" s="1"/>
  <c r="G339" i="45"/>
  <c r="G444" i="45" s="1"/>
  <c r="C340" i="45"/>
  <c r="C445" i="45" s="1"/>
  <c r="G340" i="45"/>
  <c r="G445" i="45" s="1"/>
  <c r="C341" i="45"/>
  <c r="C446" i="45" s="1"/>
  <c r="G341" i="45"/>
  <c r="G446" i="45" s="1"/>
  <c r="C342" i="45"/>
  <c r="C447" i="45" s="1"/>
  <c r="G342" i="45"/>
  <c r="G447" i="45" s="1"/>
  <c r="C343" i="45"/>
  <c r="C448" i="45" s="1"/>
  <c r="G343" i="45"/>
  <c r="G448" i="45" s="1"/>
  <c r="C344" i="45"/>
  <c r="C449" i="45" s="1"/>
  <c r="G344" i="45"/>
  <c r="G449" i="45" s="1"/>
  <c r="C345" i="45"/>
  <c r="C450" i="45" s="1"/>
  <c r="G345" i="45"/>
  <c r="G450" i="45" s="1"/>
  <c r="C346" i="45"/>
  <c r="C451" i="45" s="1"/>
  <c r="G346" i="45"/>
  <c r="G451" i="45" s="1"/>
  <c r="C347" i="45"/>
  <c r="C452" i="45" s="1"/>
  <c r="G347" i="45"/>
  <c r="G452" i="45" s="1"/>
  <c r="C348" i="45"/>
  <c r="C453" i="45" s="1"/>
  <c r="G348" i="45"/>
  <c r="G453" i="45" s="1"/>
  <c r="C349" i="45"/>
  <c r="C454" i="45" s="1"/>
  <c r="G349" i="45"/>
  <c r="G454" i="45" s="1"/>
  <c r="C350" i="45"/>
  <c r="C455" i="45" s="1"/>
  <c r="G350" i="45"/>
  <c r="G455" i="45" s="1"/>
  <c r="C351" i="45"/>
  <c r="C456" i="45" s="1"/>
  <c r="G351" i="45"/>
  <c r="G456" i="45" s="1"/>
  <c r="C352" i="45"/>
  <c r="C457" i="45" s="1"/>
  <c r="G352" i="45"/>
  <c r="G457" i="45" s="1"/>
  <c r="C353" i="45"/>
  <c r="C458" i="45" s="1"/>
  <c r="G353" i="45"/>
  <c r="G458" i="45" s="1"/>
  <c r="C354" i="45"/>
  <c r="C459" i="45" s="1"/>
  <c r="G354" i="45"/>
  <c r="G459" i="45" s="1"/>
  <c r="C355" i="45"/>
  <c r="C460" i="45" s="1"/>
  <c r="G355" i="45"/>
  <c r="G460" i="45" s="1"/>
  <c r="C356" i="45"/>
  <c r="C461" i="45" s="1"/>
  <c r="G356" i="45"/>
  <c r="G461" i="45" s="1"/>
  <c r="C357" i="45"/>
  <c r="C462" i="45" s="1"/>
  <c r="G357" i="45"/>
  <c r="G462" i="45" s="1"/>
  <c r="C358" i="45"/>
  <c r="C463" i="45" s="1"/>
  <c r="G358" i="45"/>
  <c r="G463" i="45" s="1"/>
  <c r="C359" i="45"/>
  <c r="C464" i="45" s="1"/>
  <c r="G359" i="45"/>
  <c r="G464" i="45" s="1"/>
  <c r="C360" i="45"/>
  <c r="C465" i="45" s="1"/>
  <c r="G360" i="45"/>
  <c r="G465" i="45" s="1"/>
  <c r="C361" i="45"/>
  <c r="C466" i="45" s="1"/>
  <c r="G361" i="45"/>
  <c r="G466" i="45" s="1"/>
  <c r="C362" i="45"/>
  <c r="C467" i="45" s="1"/>
  <c r="G362" i="45"/>
  <c r="G467" i="45" s="1"/>
  <c r="C363" i="45"/>
  <c r="C468" i="45" s="1"/>
  <c r="G363" i="45"/>
  <c r="G468" i="45" s="1"/>
  <c r="C364" i="45"/>
  <c r="C469" i="45" s="1"/>
  <c r="G364" i="45"/>
  <c r="G469" i="45" s="1"/>
  <c r="C365" i="45"/>
  <c r="C470" i="45" s="1"/>
  <c r="G365" i="45"/>
  <c r="G470" i="45" s="1"/>
  <c r="C366" i="45"/>
  <c r="C471" i="45" s="1"/>
  <c r="G366" i="45"/>
  <c r="G471" i="45" s="1"/>
  <c r="C367" i="45"/>
  <c r="C472" i="45" s="1"/>
  <c r="G367" i="45"/>
  <c r="G472" i="45" s="1"/>
  <c r="C368" i="45"/>
  <c r="C473" i="45" s="1"/>
  <c r="G368" i="45"/>
  <c r="G473" i="45" s="1"/>
  <c r="C369" i="45"/>
  <c r="C474" i="45" s="1"/>
  <c r="G369" i="45"/>
  <c r="G474" i="45" s="1"/>
  <c r="C370" i="45"/>
  <c r="C475" i="45" s="1"/>
  <c r="G370" i="45"/>
  <c r="G475" i="45" s="1"/>
  <c r="C371" i="45"/>
  <c r="C476" i="45" s="1"/>
  <c r="G371" i="45"/>
  <c r="G476" i="45" s="1"/>
  <c r="C372" i="45"/>
  <c r="C477" i="45" s="1"/>
  <c r="G372" i="45"/>
  <c r="G477" i="45" s="1"/>
  <c r="C373" i="45"/>
  <c r="C478" i="45" s="1"/>
  <c r="G373" i="45"/>
  <c r="G478" i="45" s="1"/>
  <c r="C374" i="45"/>
  <c r="C479" i="45" s="1"/>
  <c r="G374" i="45"/>
  <c r="G479" i="45" s="1"/>
  <c r="C375" i="45"/>
  <c r="C480" i="45" s="1"/>
  <c r="G375" i="45"/>
  <c r="G480" i="45" s="1"/>
  <c r="D376" i="45"/>
  <c r="D481" i="45" s="1"/>
  <c r="E377" i="45"/>
  <c r="E482" i="45" s="1"/>
  <c r="F378" i="45"/>
  <c r="F483" i="45" s="1"/>
  <c r="C379" i="45"/>
  <c r="C484" i="45" s="1"/>
  <c r="G379" i="45"/>
  <c r="G484" i="45" s="1"/>
  <c r="D380" i="45"/>
  <c r="D485" i="45" s="1"/>
  <c r="E381" i="45"/>
  <c r="E486" i="45" s="1"/>
  <c r="F382" i="45"/>
  <c r="F487" i="45" s="1"/>
  <c r="C383" i="45"/>
  <c r="C488" i="45" s="1"/>
  <c r="G383" i="45"/>
  <c r="G488" i="45" s="1"/>
  <c r="D384" i="45"/>
  <c r="D489" i="45" s="1"/>
  <c r="E385" i="45"/>
  <c r="E490" i="45" s="1"/>
  <c r="F386" i="45"/>
  <c r="F491" i="45" s="1"/>
  <c r="C387" i="45"/>
  <c r="C492" i="45" s="1"/>
  <c r="G387" i="45"/>
  <c r="G492" i="45" s="1"/>
  <c r="D388" i="45"/>
  <c r="D493" i="45" s="1"/>
  <c r="Z283" i="45"/>
  <c r="H388" i="45"/>
  <c r="AY388" i="45" s="1"/>
  <c r="H598" i="45"/>
  <c r="J598" i="45" s="1"/>
  <c r="H493" i="45"/>
  <c r="J493" i="45" s="1"/>
  <c r="E389" i="45"/>
  <c r="E494" i="45" s="1"/>
  <c r="F391" i="45"/>
  <c r="F496" i="45" s="1"/>
  <c r="G382" i="45"/>
  <c r="G487" i="45" s="1"/>
  <c r="D291" i="45"/>
  <c r="D396" i="45" s="1"/>
  <c r="D292" i="45"/>
  <c r="D397" i="45" s="1"/>
  <c r="H293" i="45"/>
  <c r="AY293" i="45" s="1"/>
  <c r="H503" i="45"/>
  <c r="J503" i="45" s="1"/>
  <c r="H398" i="45"/>
  <c r="J398" i="45" s="1"/>
  <c r="H294" i="45"/>
  <c r="AY294" i="45" s="1"/>
  <c r="H504" i="45"/>
  <c r="J504" i="45" s="1"/>
  <c r="H399" i="45"/>
  <c r="J399" i="45" s="1"/>
  <c r="H295" i="45"/>
  <c r="AY295" i="45" s="1"/>
  <c r="H505" i="45"/>
  <c r="J505" i="45" s="1"/>
  <c r="H400" i="45"/>
  <c r="J400" i="45" s="1"/>
  <c r="D296" i="45"/>
  <c r="D401" i="45" s="1"/>
  <c r="D297" i="45"/>
  <c r="D402" i="45" s="1"/>
  <c r="D298" i="45"/>
  <c r="D403" i="45" s="1"/>
  <c r="D299" i="45"/>
  <c r="D404" i="45" s="1"/>
  <c r="D300" i="45"/>
  <c r="D405" i="45" s="1"/>
  <c r="D301" i="45"/>
  <c r="D406" i="45" s="1"/>
  <c r="H302" i="45"/>
  <c r="AY302" i="45" s="1"/>
  <c r="H512" i="45"/>
  <c r="J512" i="45" s="1"/>
  <c r="H407" i="45"/>
  <c r="J407" i="45" s="1"/>
  <c r="D303" i="45"/>
  <c r="D408" i="45" s="1"/>
  <c r="H304" i="45"/>
  <c r="AY304" i="45" s="1"/>
  <c r="H514" i="45"/>
  <c r="J514" i="45" s="1"/>
  <c r="H409" i="45"/>
  <c r="J409" i="45" s="1"/>
  <c r="D305" i="45"/>
  <c r="D410" i="45" s="1"/>
  <c r="D306" i="45"/>
  <c r="D411" i="45" s="1"/>
  <c r="D307" i="45"/>
  <c r="D412" i="45" s="1"/>
  <c r="D308" i="45"/>
  <c r="D413" i="45" s="1"/>
  <c r="D309" i="45"/>
  <c r="D414" i="45" s="1"/>
  <c r="D310" i="45"/>
  <c r="D415" i="45" s="1"/>
  <c r="D311" i="45"/>
  <c r="D416" i="45" s="1"/>
  <c r="D312" i="45"/>
  <c r="D417" i="45" s="1"/>
  <c r="D313" i="45"/>
  <c r="D418" i="45" s="1"/>
  <c r="D314" i="45"/>
  <c r="D419" i="45" s="1"/>
  <c r="D315" i="45"/>
  <c r="D420" i="45" s="1"/>
  <c r="D316" i="45"/>
  <c r="D421" i="45" s="1"/>
  <c r="D317" i="45"/>
  <c r="D422" i="45" s="1"/>
  <c r="D318" i="45"/>
  <c r="D423" i="45" s="1"/>
  <c r="D319" i="45"/>
  <c r="D424" i="45" s="1"/>
  <c r="D320" i="45"/>
  <c r="D425" i="45" s="1"/>
  <c r="H321" i="45"/>
  <c r="AY321" i="45" s="1"/>
  <c r="H531" i="45"/>
  <c r="J531" i="45" s="1"/>
  <c r="H426" i="45"/>
  <c r="J426" i="45" s="1"/>
  <c r="H322" i="45"/>
  <c r="AY322" i="45" s="1"/>
  <c r="H532" i="45"/>
  <c r="J532" i="45" s="1"/>
  <c r="H427" i="45"/>
  <c r="J427" i="45" s="1"/>
  <c r="D323" i="45"/>
  <c r="D428" i="45" s="1"/>
  <c r="D324" i="45"/>
  <c r="D429" i="45" s="1"/>
  <c r="H325" i="45"/>
  <c r="AY325" i="45" s="1"/>
  <c r="H535" i="45"/>
  <c r="J535" i="45" s="1"/>
  <c r="H430" i="45"/>
  <c r="J430" i="45" s="1"/>
  <c r="D326" i="45"/>
  <c r="D431" i="45" s="1"/>
  <c r="D327" i="45"/>
  <c r="D432" i="45" s="1"/>
  <c r="H328" i="45"/>
  <c r="AY328" i="45" s="1"/>
  <c r="H538" i="45"/>
  <c r="J538" i="45" s="1"/>
  <c r="H433" i="45"/>
  <c r="J433" i="45" s="1"/>
  <c r="D329" i="45"/>
  <c r="D434" i="45" s="1"/>
  <c r="H330" i="45"/>
  <c r="AY330" i="45" s="1"/>
  <c r="H540" i="45"/>
  <c r="J540" i="45" s="1"/>
  <c r="H435" i="45"/>
  <c r="J435" i="45" s="1"/>
  <c r="H331" i="45"/>
  <c r="AY331" i="45" s="1"/>
  <c r="H541" i="45"/>
  <c r="J541" i="45" s="1"/>
  <c r="H436" i="45"/>
  <c r="J436" i="45" s="1"/>
  <c r="D332" i="45"/>
  <c r="D437" i="45" s="1"/>
  <c r="H333" i="45"/>
  <c r="AY333" i="45" s="1"/>
  <c r="H543" i="45"/>
  <c r="J543" i="45" s="1"/>
  <c r="H438" i="45"/>
  <c r="J438" i="45" s="1"/>
  <c r="D335" i="45"/>
  <c r="D440" i="45" s="1"/>
  <c r="D336" i="45"/>
  <c r="D441" i="45" s="1"/>
  <c r="H337" i="45"/>
  <c r="AY337" i="45" s="1"/>
  <c r="H547" i="45"/>
  <c r="J547" i="45" s="1"/>
  <c r="H442" i="45"/>
  <c r="J442" i="45" s="1"/>
  <c r="D338" i="45"/>
  <c r="D443" i="45" s="1"/>
  <c r="D340" i="45"/>
  <c r="D445" i="45" s="1"/>
  <c r="D341" i="45"/>
  <c r="D446" i="45" s="1"/>
  <c r="D343" i="45"/>
  <c r="D448" i="45" s="1"/>
  <c r="D345" i="45"/>
  <c r="D450" i="45" s="1"/>
  <c r="D347" i="45"/>
  <c r="D452" i="45" s="1"/>
  <c r="D348" i="45"/>
  <c r="D453" i="45" s="1"/>
  <c r="D349" i="45"/>
  <c r="D454" i="45" s="1"/>
  <c r="D351" i="45"/>
  <c r="D456" i="45" s="1"/>
  <c r="D353" i="45"/>
  <c r="D458" i="45" s="1"/>
  <c r="D355" i="45"/>
  <c r="D460" i="45" s="1"/>
  <c r="D357" i="45"/>
  <c r="D462" i="45" s="1"/>
  <c r="D359" i="45"/>
  <c r="D464" i="45" s="1"/>
  <c r="D361" i="45"/>
  <c r="D466" i="45" s="1"/>
  <c r="D362" i="45"/>
  <c r="D467" i="45" s="1"/>
  <c r="D364" i="45"/>
  <c r="D469" i="45" s="1"/>
  <c r="D366" i="45"/>
  <c r="D471" i="45" s="1"/>
  <c r="D368" i="45"/>
  <c r="D473" i="45" s="1"/>
  <c r="D370" i="45"/>
  <c r="D475" i="45" s="1"/>
  <c r="D372" i="45"/>
  <c r="D477" i="45" s="1"/>
  <c r="D375" i="45"/>
  <c r="D480" i="45" s="1"/>
  <c r="E376" i="45"/>
  <c r="E481" i="45" s="1"/>
  <c r="F377" i="45"/>
  <c r="F482" i="45" s="1"/>
  <c r="G378" i="45"/>
  <c r="G483" i="45" s="1"/>
  <c r="D379" i="45"/>
  <c r="D484" i="45" s="1"/>
  <c r="E380" i="45"/>
  <c r="E485" i="45" s="1"/>
  <c r="F381" i="45"/>
  <c r="F486" i="45" s="1"/>
  <c r="C382" i="45"/>
  <c r="C487" i="45" s="1"/>
  <c r="D383" i="45"/>
  <c r="D488" i="45" s="1"/>
  <c r="E384" i="45"/>
  <c r="E489" i="45" s="1"/>
  <c r="F385" i="45"/>
  <c r="F490" i="45" s="1"/>
  <c r="C386" i="45"/>
  <c r="C491" i="45" s="1"/>
  <c r="G386" i="45"/>
  <c r="G491" i="45" s="1"/>
  <c r="D387" i="45"/>
  <c r="D492" i="45" s="1"/>
  <c r="AC282" i="45"/>
  <c r="H387" i="45"/>
  <c r="AY387" i="45" s="1"/>
  <c r="H597" i="45"/>
  <c r="J597" i="45" s="1"/>
  <c r="H492" i="45"/>
  <c r="J492" i="45" s="1"/>
  <c r="E388" i="45"/>
  <c r="E493" i="45" s="1"/>
  <c r="F389" i="45"/>
  <c r="F494" i="45" s="1"/>
  <c r="C391" i="45"/>
  <c r="C496" i="45" s="1"/>
  <c r="G391" i="45"/>
  <c r="G496" i="45" s="1"/>
  <c r="E291" i="45"/>
  <c r="E396" i="45" s="1"/>
  <c r="E292" i="45"/>
  <c r="E397" i="45" s="1"/>
  <c r="E293" i="45"/>
  <c r="E398" i="45" s="1"/>
  <c r="E294" i="45"/>
  <c r="E399" i="45" s="1"/>
  <c r="E295" i="45"/>
  <c r="E400" i="45" s="1"/>
  <c r="E296" i="45"/>
  <c r="E401" i="45" s="1"/>
  <c r="E297" i="45"/>
  <c r="E402" i="45" s="1"/>
  <c r="E298" i="45"/>
  <c r="E403" i="45" s="1"/>
  <c r="E299" i="45"/>
  <c r="E404" i="45" s="1"/>
  <c r="E300" i="45"/>
  <c r="E405" i="45" s="1"/>
  <c r="E301" i="45"/>
  <c r="E406" i="45" s="1"/>
  <c r="E302" i="45"/>
  <c r="E407" i="45" s="1"/>
  <c r="E303" i="45"/>
  <c r="E408" i="45" s="1"/>
  <c r="E304" i="45"/>
  <c r="E409" i="45" s="1"/>
  <c r="E305" i="45"/>
  <c r="E410" i="45" s="1"/>
  <c r="E306" i="45"/>
  <c r="E411" i="45" s="1"/>
  <c r="E307" i="45"/>
  <c r="E412" i="45" s="1"/>
  <c r="E308" i="45"/>
  <c r="E413" i="45" s="1"/>
  <c r="E309" i="45"/>
  <c r="E414" i="45" s="1"/>
  <c r="E310" i="45"/>
  <c r="E415" i="45" s="1"/>
  <c r="E311" i="45"/>
  <c r="E416" i="45" s="1"/>
  <c r="E312" i="45"/>
  <c r="E417" i="45" s="1"/>
  <c r="E313" i="45"/>
  <c r="E418" i="45" s="1"/>
  <c r="E314" i="45"/>
  <c r="E419" i="45" s="1"/>
  <c r="E315" i="45"/>
  <c r="E420" i="45" s="1"/>
  <c r="E316" i="45"/>
  <c r="E421" i="45" s="1"/>
  <c r="E317" i="45"/>
  <c r="E422" i="45" s="1"/>
  <c r="E318" i="45"/>
  <c r="E423" i="45" s="1"/>
  <c r="E319" i="45"/>
  <c r="E424" i="45" s="1"/>
  <c r="E320" i="45"/>
  <c r="E425" i="45" s="1"/>
  <c r="E321" i="45"/>
  <c r="E426" i="45" s="1"/>
  <c r="E322" i="45"/>
  <c r="E427" i="45" s="1"/>
  <c r="E323" i="45"/>
  <c r="E428" i="45" s="1"/>
  <c r="E324" i="45"/>
  <c r="E429" i="45" s="1"/>
  <c r="E325" i="45"/>
  <c r="E430" i="45" s="1"/>
  <c r="E326" i="45"/>
  <c r="E431" i="45" s="1"/>
  <c r="E327" i="45"/>
  <c r="E432" i="45" s="1"/>
  <c r="E328" i="45"/>
  <c r="E433" i="45" s="1"/>
  <c r="E329" i="45"/>
  <c r="E434" i="45" s="1"/>
  <c r="E330" i="45"/>
  <c r="E435" i="45" s="1"/>
  <c r="E331" i="45"/>
  <c r="E436" i="45" s="1"/>
  <c r="E332" i="45"/>
  <c r="E437" i="45" s="1"/>
  <c r="E333" i="45"/>
  <c r="E438" i="45" s="1"/>
  <c r="E334" i="45"/>
  <c r="E439" i="45" s="1"/>
  <c r="E335" i="45"/>
  <c r="E440" i="45" s="1"/>
  <c r="E336" i="45"/>
  <c r="E441" i="45" s="1"/>
  <c r="E337" i="45"/>
  <c r="E442" i="45" s="1"/>
  <c r="E338" i="45"/>
  <c r="E443" i="45" s="1"/>
  <c r="E339" i="45"/>
  <c r="E444" i="45" s="1"/>
  <c r="E340" i="45"/>
  <c r="E445" i="45" s="1"/>
  <c r="E341" i="45"/>
  <c r="E446" i="45" s="1"/>
  <c r="E342" i="45"/>
  <c r="E447" i="45" s="1"/>
  <c r="E343" i="45"/>
  <c r="E448" i="45" s="1"/>
  <c r="E344" i="45"/>
  <c r="E449" i="45" s="1"/>
  <c r="E345" i="45"/>
  <c r="E450" i="45" s="1"/>
  <c r="E346" i="45"/>
  <c r="E451" i="45" s="1"/>
  <c r="E347" i="45"/>
  <c r="E452" i="45" s="1"/>
  <c r="E348" i="45"/>
  <c r="E453" i="45" s="1"/>
  <c r="E349" i="45"/>
  <c r="E454" i="45" s="1"/>
  <c r="E350" i="45"/>
  <c r="E455" i="45" s="1"/>
  <c r="E351" i="45"/>
  <c r="E456" i="45" s="1"/>
  <c r="E352" i="45"/>
  <c r="E457" i="45" s="1"/>
  <c r="E353" i="45"/>
  <c r="E458" i="45" s="1"/>
  <c r="E354" i="45"/>
  <c r="E459" i="45" s="1"/>
  <c r="E355" i="45"/>
  <c r="E460" i="45" s="1"/>
  <c r="E356" i="45"/>
  <c r="E461" i="45" s="1"/>
  <c r="E357" i="45"/>
  <c r="E462" i="45" s="1"/>
  <c r="E358" i="45"/>
  <c r="E463" i="45" s="1"/>
  <c r="E359" i="45"/>
  <c r="E464" i="45" s="1"/>
  <c r="E360" i="45"/>
  <c r="E465" i="45" s="1"/>
  <c r="E361" i="45"/>
  <c r="E466" i="45" s="1"/>
  <c r="E362" i="45"/>
  <c r="E467" i="45" s="1"/>
  <c r="E363" i="45"/>
  <c r="E468" i="45" s="1"/>
  <c r="E364" i="45"/>
  <c r="E469" i="45" s="1"/>
  <c r="E365" i="45"/>
  <c r="E470" i="45" s="1"/>
  <c r="E366" i="45"/>
  <c r="E471" i="45" s="1"/>
  <c r="E367" i="45"/>
  <c r="E472" i="45" s="1"/>
  <c r="E368" i="45"/>
  <c r="E473" i="45" s="1"/>
  <c r="E369" i="45"/>
  <c r="E474" i="45" s="1"/>
  <c r="E370" i="45"/>
  <c r="E475" i="45" s="1"/>
  <c r="E371" i="45"/>
  <c r="E476" i="45" s="1"/>
  <c r="E372" i="45"/>
  <c r="E477" i="45" s="1"/>
  <c r="E373" i="45"/>
  <c r="E478" i="45" s="1"/>
  <c r="E374" i="45"/>
  <c r="E479" i="45" s="1"/>
  <c r="E375" i="45"/>
  <c r="E480" i="45" s="1"/>
  <c r="F376" i="45"/>
  <c r="F481" i="45" s="1"/>
  <c r="C377" i="45"/>
  <c r="C482" i="45" s="1"/>
  <c r="G377" i="45"/>
  <c r="G482" i="45" s="1"/>
  <c r="D378" i="45"/>
  <c r="D483" i="45" s="1"/>
  <c r="E379" i="45"/>
  <c r="E484" i="45" s="1"/>
  <c r="F380" i="45"/>
  <c r="F485" i="45" s="1"/>
  <c r="C381" i="45"/>
  <c r="C486" i="45" s="1"/>
  <c r="G381" i="45"/>
  <c r="G486" i="45" s="1"/>
  <c r="D382" i="45"/>
  <c r="D487" i="45" s="1"/>
  <c r="E383" i="45"/>
  <c r="E488" i="45" s="1"/>
  <c r="F384" i="45"/>
  <c r="F489" i="45" s="1"/>
  <c r="C385" i="45"/>
  <c r="C490" i="45" s="1"/>
  <c r="G385" i="45"/>
  <c r="G490" i="45" s="1"/>
  <c r="D386" i="45"/>
  <c r="D491" i="45" s="1"/>
  <c r="AF281" i="45"/>
  <c r="H386" i="45"/>
  <c r="AY386" i="45" s="1"/>
  <c r="H596" i="45"/>
  <c r="J596" i="45" s="1"/>
  <c r="H491" i="45"/>
  <c r="J491" i="45" s="1"/>
  <c r="E387" i="45"/>
  <c r="E492" i="45" s="1"/>
  <c r="F388" i="45"/>
  <c r="F493" i="45" s="1"/>
  <c r="C389" i="45"/>
  <c r="C494" i="45" s="1"/>
  <c r="G389" i="45"/>
  <c r="G494" i="45" s="1"/>
  <c r="D391" i="45"/>
  <c r="D496" i="45" s="1"/>
  <c r="T286" i="45"/>
  <c r="H391" i="45"/>
  <c r="AY391" i="45" s="1"/>
  <c r="H601" i="45"/>
  <c r="J601" i="45" s="1"/>
  <c r="H496" i="45"/>
  <c r="J496" i="45" s="1"/>
  <c r="H443" i="45"/>
  <c r="J443" i="45" s="1"/>
  <c r="H548" i="45"/>
  <c r="J548" i="45" s="1"/>
  <c r="H551" i="45"/>
  <c r="J551" i="45" s="1"/>
  <c r="H446" i="45"/>
  <c r="J446" i="45" s="1"/>
  <c r="H552" i="45"/>
  <c r="J552" i="45" s="1"/>
  <c r="H447" i="45"/>
  <c r="J447" i="45" s="1"/>
  <c r="H555" i="45"/>
  <c r="J555" i="45" s="1"/>
  <c r="H450" i="45"/>
  <c r="J450" i="45" s="1"/>
  <c r="H458" i="45"/>
  <c r="J458" i="45" s="1"/>
  <c r="H563" i="45"/>
  <c r="J563" i="45" s="1"/>
  <c r="H571" i="45"/>
  <c r="J571" i="45" s="1"/>
  <c r="H466" i="45"/>
  <c r="J466" i="45" s="1"/>
  <c r="H467" i="45"/>
  <c r="J467" i="45" s="1"/>
  <c r="H572" i="45"/>
  <c r="J572" i="45" s="1"/>
  <c r="AI280" i="45"/>
  <c r="H595" i="45"/>
  <c r="J595" i="45" s="1"/>
  <c r="H490" i="45"/>
  <c r="J490" i="45" s="1"/>
  <c r="H462" i="45"/>
  <c r="J462" i="45" s="1"/>
  <c r="H567" i="45"/>
  <c r="J567" i="45" s="1"/>
  <c r="H489" i="45"/>
  <c r="J489" i="45" s="1"/>
  <c r="H594" i="45"/>
  <c r="J594" i="45" s="1"/>
  <c r="H475" i="45"/>
  <c r="J475" i="45" s="1"/>
  <c r="H580" i="45"/>
  <c r="J580" i="45" s="1"/>
  <c r="H476" i="45"/>
  <c r="J476" i="45" s="1"/>
  <c r="H581" i="45"/>
  <c r="J581" i="45" s="1"/>
  <c r="H582" i="45"/>
  <c r="J582" i="45" s="1"/>
  <c r="H477" i="45"/>
  <c r="J477" i="45" s="1"/>
  <c r="H583" i="45"/>
  <c r="J583" i="45" s="1"/>
  <c r="H478" i="45"/>
  <c r="J478" i="45" s="1"/>
  <c r="H479" i="45"/>
  <c r="J479" i="45" s="1"/>
  <c r="H584" i="45"/>
  <c r="J584" i="45" s="1"/>
  <c r="H480" i="45"/>
  <c r="J480" i="45" s="1"/>
  <c r="H585" i="45"/>
  <c r="J585" i="45" s="1"/>
  <c r="H484" i="45"/>
  <c r="J484" i="45" s="1"/>
  <c r="H589" i="45"/>
  <c r="J589" i="45" s="1"/>
  <c r="H488" i="45"/>
  <c r="J488" i="45" s="1"/>
  <c r="H593" i="45"/>
  <c r="J593" i="45" s="1"/>
  <c r="H483" i="45"/>
  <c r="J483" i="45" s="1"/>
  <c r="H588" i="45"/>
  <c r="J588" i="45" s="1"/>
  <c r="H487" i="45"/>
  <c r="J487" i="45" s="1"/>
  <c r="H592" i="45"/>
  <c r="J592" i="45" s="1"/>
  <c r="H587" i="45"/>
  <c r="J587" i="45" s="1"/>
  <c r="H482" i="45"/>
  <c r="J482" i="45" s="1"/>
  <c r="H591" i="45"/>
  <c r="J591" i="45" s="1"/>
  <c r="H486" i="45"/>
  <c r="J486" i="45" s="1"/>
  <c r="H586" i="45"/>
  <c r="J586" i="45" s="1"/>
  <c r="H481" i="45"/>
  <c r="J481" i="45" s="1"/>
  <c r="H590" i="45"/>
  <c r="J590" i="45" s="1"/>
  <c r="H485" i="45"/>
  <c r="J485" i="45" s="1"/>
  <c r="H577" i="45"/>
  <c r="J577" i="45" s="1"/>
  <c r="H472" i="45"/>
  <c r="J472" i="45" s="1"/>
  <c r="H578" i="45"/>
  <c r="J578" i="45" s="1"/>
  <c r="H473" i="45"/>
  <c r="J473" i="45" s="1"/>
  <c r="H474" i="45"/>
  <c r="J474" i="45" s="1"/>
  <c r="H579" i="45"/>
  <c r="J579" i="45" s="1"/>
  <c r="H444" i="45"/>
  <c r="J444" i="45" s="1"/>
  <c r="H549" i="45"/>
  <c r="J549" i="45" s="1"/>
  <c r="H550" i="45"/>
  <c r="J550" i="45" s="1"/>
  <c r="H445" i="45"/>
  <c r="J445" i="45" s="1"/>
  <c r="H448" i="45"/>
  <c r="J448" i="45" s="1"/>
  <c r="H553" i="45"/>
  <c r="J553" i="45" s="1"/>
  <c r="H554" i="45"/>
  <c r="J554" i="45" s="1"/>
  <c r="H449" i="45"/>
  <c r="J449" i="45" s="1"/>
  <c r="H556" i="45"/>
  <c r="J556" i="45" s="1"/>
  <c r="H451" i="45"/>
  <c r="J451" i="45" s="1"/>
  <c r="H452" i="45"/>
  <c r="J452" i="45" s="1"/>
  <c r="H557" i="45"/>
  <c r="J557" i="45" s="1"/>
  <c r="H453" i="45"/>
  <c r="J453" i="45" s="1"/>
  <c r="H558" i="45"/>
  <c r="J558" i="45" s="1"/>
  <c r="H559" i="45"/>
  <c r="J559" i="45" s="1"/>
  <c r="H454" i="45"/>
  <c r="J454" i="45" s="1"/>
  <c r="H455" i="45"/>
  <c r="J455" i="45" s="1"/>
  <c r="H560" i="45"/>
  <c r="J560" i="45" s="1"/>
  <c r="H456" i="45"/>
  <c r="J456" i="45" s="1"/>
  <c r="H561" i="45"/>
  <c r="J561" i="45" s="1"/>
  <c r="H562" i="45"/>
  <c r="J562" i="45" s="1"/>
  <c r="H457" i="45"/>
  <c r="J457" i="45" s="1"/>
  <c r="H459" i="45"/>
  <c r="J459" i="45" s="1"/>
  <c r="H564" i="45"/>
  <c r="J564" i="45" s="1"/>
  <c r="H460" i="45"/>
  <c r="J460" i="45" s="1"/>
  <c r="H565" i="45"/>
  <c r="J565" i="45" s="1"/>
  <c r="H461" i="45"/>
  <c r="J461" i="45" s="1"/>
  <c r="H566" i="45"/>
  <c r="J566" i="45" s="1"/>
  <c r="H568" i="45"/>
  <c r="J568" i="45" s="1"/>
  <c r="H463" i="45"/>
  <c r="J463" i="45" s="1"/>
  <c r="H464" i="45"/>
  <c r="J464" i="45" s="1"/>
  <c r="H569" i="45"/>
  <c r="J569" i="45" s="1"/>
  <c r="H570" i="45"/>
  <c r="J570" i="45" s="1"/>
  <c r="H465" i="45"/>
  <c r="J465" i="45" s="1"/>
  <c r="H468" i="45"/>
  <c r="J468" i="45" s="1"/>
  <c r="H573" i="45"/>
  <c r="J573" i="45" s="1"/>
  <c r="H574" i="45"/>
  <c r="J574" i="45" s="1"/>
  <c r="H469" i="45"/>
  <c r="J469" i="45" s="1"/>
  <c r="H575" i="45"/>
  <c r="J575" i="45" s="1"/>
  <c r="H470" i="45"/>
  <c r="J470" i="45" s="1"/>
  <c r="H471" i="45"/>
  <c r="J471" i="45" s="1"/>
  <c r="H576" i="45"/>
  <c r="J576" i="45" s="1"/>
  <c r="C18" i="50"/>
  <c r="C21" i="50" s="1"/>
  <c r="AQ9" i="50"/>
  <c r="AQ10" i="50" s="1"/>
  <c r="P281" i="45"/>
  <c r="AM284" i="45"/>
  <c r="L286" i="45"/>
  <c r="M282" i="45"/>
  <c r="AJ286" i="45"/>
  <c r="AS282" i="45"/>
  <c r="S280" i="45"/>
  <c r="AP283" i="45"/>
  <c r="L253" i="45"/>
  <c r="L221" i="45"/>
  <c r="L189" i="45"/>
  <c r="L280" i="45"/>
  <c r="L248" i="45"/>
  <c r="M248" i="45" s="1"/>
  <c r="L216" i="45"/>
  <c r="M216" i="45" s="1"/>
  <c r="X280" i="45"/>
  <c r="U281" i="45"/>
  <c r="R282" i="45"/>
  <c r="O283" i="45"/>
  <c r="AU283" i="45"/>
  <c r="AR284" i="45"/>
  <c r="AO286" i="45"/>
  <c r="L269" i="45"/>
  <c r="L237" i="45"/>
  <c r="M237" i="45" s="1"/>
  <c r="L205" i="45"/>
  <c r="M205" i="45" s="1"/>
  <c r="N205" i="45" s="1"/>
  <c r="O205" i="45" s="1"/>
  <c r="P205" i="45" s="1"/>
  <c r="Q205" i="45" s="1"/>
  <c r="R205" i="45" s="1"/>
  <c r="S205" i="45" s="1"/>
  <c r="T205" i="45" s="1"/>
  <c r="U205" i="45" s="1"/>
  <c r="V205" i="45" s="1"/>
  <c r="W205" i="45" s="1"/>
  <c r="X205" i="45" s="1"/>
  <c r="Y205" i="45" s="1"/>
  <c r="Z205" i="45" s="1"/>
  <c r="AA205" i="45" s="1"/>
  <c r="AB205" i="45" s="1"/>
  <c r="AC205" i="45" s="1"/>
  <c r="AD205" i="45" s="1"/>
  <c r="AE205" i="45" s="1"/>
  <c r="M266" i="45"/>
  <c r="L187" i="45"/>
  <c r="M187" i="45" s="1"/>
  <c r="L188" i="45"/>
  <c r="M188" i="45" s="1"/>
  <c r="L190" i="45"/>
  <c r="L191" i="45"/>
  <c r="L192" i="45"/>
  <c r="L193" i="45"/>
  <c r="M193" i="45" s="1"/>
  <c r="L194" i="45"/>
  <c r="L195" i="45"/>
  <c r="L196" i="45"/>
  <c r="M196" i="45" s="1"/>
  <c r="L197" i="45"/>
  <c r="M197" i="45" s="1"/>
  <c r="L198" i="45"/>
  <c r="L199" i="45"/>
  <c r="M199" i="45" s="1"/>
  <c r="L201" i="45"/>
  <c r="L202" i="45"/>
  <c r="M202" i="45" s="1"/>
  <c r="N202" i="45" s="1"/>
  <c r="O202" i="45" s="1"/>
  <c r="P202" i="45" s="1"/>
  <c r="Q202" i="45" s="1"/>
  <c r="R202" i="45" s="1"/>
  <c r="S202" i="45" s="1"/>
  <c r="T202" i="45" s="1"/>
  <c r="U202" i="45" s="1"/>
  <c r="V202" i="45" s="1"/>
  <c r="W202" i="45" s="1"/>
  <c r="X202" i="45" s="1"/>
  <c r="Y202" i="45" s="1"/>
  <c r="Z202" i="45" s="1"/>
  <c r="AA202" i="45" s="1"/>
  <c r="AB202" i="45" s="1"/>
  <c r="AC202" i="45" s="1"/>
  <c r="AD202" i="45" s="1"/>
  <c r="AE202" i="45" s="1"/>
  <c r="AF202" i="45" s="1"/>
  <c r="AG202" i="45" s="1"/>
  <c r="AH202" i="45" s="1"/>
  <c r="AI202" i="45" s="1"/>
  <c r="AJ202" i="45" s="1"/>
  <c r="AK202" i="45" s="1"/>
  <c r="AL202" i="45" s="1"/>
  <c r="AM202" i="45" s="1"/>
  <c r="AN202" i="45" s="1"/>
  <c r="AO202" i="45" s="1"/>
  <c r="AP202" i="45" s="1"/>
  <c r="AQ202" i="45" s="1"/>
  <c r="AR202" i="45" s="1"/>
  <c r="AS202" i="45" s="1"/>
  <c r="AT202" i="45" s="1"/>
  <c r="AU202" i="45" s="1"/>
  <c r="L203" i="45"/>
  <c r="L204" i="45"/>
  <c r="L206" i="45"/>
  <c r="M206" i="45" s="1"/>
  <c r="L207" i="45"/>
  <c r="L208" i="45"/>
  <c r="M208" i="45" s="1"/>
  <c r="L209" i="45"/>
  <c r="L210" i="45"/>
  <c r="L211" i="45"/>
  <c r="M211" i="45" s="1"/>
  <c r="L212" i="45"/>
  <c r="M212" i="45" s="1"/>
  <c r="L213" i="45"/>
  <c r="L214" i="45"/>
  <c r="L215" i="45"/>
  <c r="M215" i="45" s="1"/>
  <c r="L217" i="45"/>
  <c r="M217" i="45" s="1"/>
  <c r="L218" i="45"/>
  <c r="L219" i="45"/>
  <c r="M219" i="45" s="1"/>
  <c r="L220" i="45"/>
  <c r="M220" i="45" s="1"/>
  <c r="L222" i="45"/>
  <c r="L223" i="45"/>
  <c r="M223" i="45" s="1"/>
  <c r="L224" i="45"/>
  <c r="L225" i="45"/>
  <c r="M225" i="45" s="1"/>
  <c r="L226" i="45"/>
  <c r="M226" i="45" s="1"/>
  <c r="L227" i="45"/>
  <c r="L228" i="45"/>
  <c r="M228" i="45" s="1"/>
  <c r="N228" i="45" s="1"/>
  <c r="O228" i="45" s="1"/>
  <c r="P228" i="45" s="1"/>
  <c r="Q228" i="45" s="1"/>
  <c r="R228" i="45" s="1"/>
  <c r="S228" i="45" s="1"/>
  <c r="T228" i="45" s="1"/>
  <c r="U228" i="45" s="1"/>
  <c r="V228" i="45" s="1"/>
  <c r="W228" i="45" s="1"/>
  <c r="X228" i="45" s="1"/>
  <c r="Y228" i="45" s="1"/>
  <c r="Z228" i="45" s="1"/>
  <c r="AA228" i="45" s="1"/>
  <c r="AB228" i="45" s="1"/>
  <c r="AC228" i="45" s="1"/>
  <c r="AD228" i="45" s="1"/>
  <c r="AE228" i="45" s="1"/>
  <c r="AF228" i="45" s="1"/>
  <c r="AG228" i="45" s="1"/>
  <c r="AH228" i="45" s="1"/>
  <c r="AI228" i="45" s="1"/>
  <c r="AJ228" i="45" s="1"/>
  <c r="AK228" i="45" s="1"/>
  <c r="AL228" i="45" s="1"/>
  <c r="AM228" i="45" s="1"/>
  <c r="AN228" i="45" s="1"/>
  <c r="AO228" i="45" s="1"/>
  <c r="AP228" i="45" s="1"/>
  <c r="AQ228" i="45" s="1"/>
  <c r="AR228" i="45" s="1"/>
  <c r="AS228" i="45" s="1"/>
  <c r="AT228" i="45" s="1"/>
  <c r="AU228" i="45" s="1"/>
  <c r="L229" i="45"/>
  <c r="M229" i="45" s="1"/>
  <c r="L230" i="45"/>
  <c r="M230" i="45" s="1"/>
  <c r="L231" i="45"/>
  <c r="M231" i="45" s="1"/>
  <c r="N231" i="45" s="1"/>
  <c r="L233" i="45"/>
  <c r="M233" i="45"/>
  <c r="L234" i="45"/>
  <c r="M234" i="45" s="1"/>
  <c r="N234" i="45"/>
  <c r="L235" i="45"/>
  <c r="M235" i="45" s="1"/>
  <c r="L236" i="45"/>
  <c r="M236" i="45" s="1"/>
  <c r="L238" i="45"/>
  <c r="M238" i="45"/>
  <c r="M239" i="45"/>
  <c r="L239" i="45"/>
  <c r="L240" i="45"/>
  <c r="M240" i="45" s="1"/>
  <c r="N240" i="45" s="1"/>
  <c r="O240" i="45" s="1"/>
  <c r="P240" i="45" s="1"/>
  <c r="Q240" i="45" s="1"/>
  <c r="R240" i="45" s="1"/>
  <c r="S240" i="45" s="1"/>
  <c r="T240" i="45" s="1"/>
  <c r="U240" i="45" s="1"/>
  <c r="V240" i="45" s="1"/>
  <c r="W240" i="45" s="1"/>
  <c r="X240" i="45" s="1"/>
  <c r="Y240" i="45" s="1"/>
  <c r="Z240" i="45" s="1"/>
  <c r="AA240" i="45" s="1"/>
  <c r="AB240" i="45" s="1"/>
  <c r="AC240" i="45" s="1"/>
  <c r="AD240" i="45" s="1"/>
  <c r="AE240" i="45" s="1"/>
  <c r="AF240" i="45" s="1"/>
  <c r="AG240" i="45" s="1"/>
  <c r="AH240" i="45" s="1"/>
  <c r="AI240" i="45" s="1"/>
  <c r="AJ240" i="45" s="1"/>
  <c r="AK240" i="45" s="1"/>
  <c r="AL240" i="45" s="1"/>
  <c r="AM240" i="45" s="1"/>
  <c r="AN240" i="45" s="1"/>
  <c r="AO240" i="45" s="1"/>
  <c r="AP240" i="45" s="1"/>
  <c r="AQ240" i="45" s="1"/>
  <c r="AR240" i="45" s="1"/>
  <c r="AS240" i="45" s="1"/>
  <c r="AT240" i="45" s="1"/>
  <c r="AU240" i="45" s="1"/>
  <c r="L241" i="45"/>
  <c r="M241" i="45" s="1"/>
  <c r="L242" i="45"/>
  <c r="M242" i="45"/>
  <c r="L243" i="45"/>
  <c r="M243" i="45" s="1"/>
  <c r="L244" i="45"/>
  <c r="M244" i="45" s="1"/>
  <c r="L245" i="45"/>
  <c r="M245" i="45" s="1"/>
  <c r="L246" i="45"/>
  <c r="M246" i="45" s="1"/>
  <c r="L247" i="45"/>
  <c r="M247" i="45" s="1"/>
  <c r="L249" i="45"/>
  <c r="M249" i="45" s="1"/>
  <c r="L250" i="45"/>
  <c r="M250" i="45" s="1"/>
  <c r="N250" i="45" s="1"/>
  <c r="M251" i="45"/>
  <c r="L251" i="45"/>
  <c r="L252" i="45"/>
  <c r="M252" i="45" s="1"/>
  <c r="L254" i="45"/>
  <c r="M254" i="45" s="1"/>
  <c r="L255" i="45"/>
  <c r="M255" i="45" s="1"/>
  <c r="L256" i="45"/>
  <c r="M256" i="45" s="1"/>
  <c r="L257" i="45"/>
  <c r="L258" i="45"/>
  <c r="M258" i="45" s="1"/>
  <c r="L259" i="45"/>
  <c r="M259" i="45" s="1"/>
  <c r="L260" i="45"/>
  <c r="M260" i="45" s="1"/>
  <c r="L261" i="45"/>
  <c r="M261" i="45" s="1"/>
  <c r="L262" i="45"/>
  <c r="M262" i="45"/>
  <c r="L263" i="45"/>
  <c r="M264" i="45"/>
  <c r="L265" i="45"/>
  <c r="M265" i="45"/>
  <c r="N265" i="45" s="1"/>
  <c r="O265" i="45" s="1"/>
  <c r="P265" i="45" s="1"/>
  <c r="Q265" i="45" s="1"/>
  <c r="R265" i="45" s="1"/>
  <c r="S265" i="45" s="1"/>
  <c r="T265" i="45" s="1"/>
  <c r="L266" i="45"/>
  <c r="M267" i="45"/>
  <c r="L267" i="45"/>
  <c r="N267" i="45"/>
  <c r="M268" i="45"/>
  <c r="L268" i="45"/>
  <c r="N269" i="45"/>
  <c r="M269" i="45"/>
  <c r="L270" i="45"/>
  <c r="M270" i="45"/>
  <c r="N270" i="45"/>
  <c r="O270" i="45" s="1"/>
  <c r="P270" i="45" s="1"/>
  <c r="Q270" i="45" s="1"/>
  <c r="R270" i="45" s="1"/>
  <c r="S270" i="45" s="1"/>
  <c r="L271" i="45"/>
  <c r="L272" i="45"/>
  <c r="L273" i="45"/>
  <c r="L274" i="45"/>
  <c r="M274" i="45"/>
  <c r="L275" i="45"/>
  <c r="M276" i="45"/>
  <c r="L276" i="45"/>
  <c r="M277" i="45"/>
  <c r="L277" i="45"/>
  <c r="L278" i="45"/>
  <c r="M278" i="45"/>
  <c r="M279" i="45"/>
  <c r="L279" i="45"/>
  <c r="AT280" i="45"/>
  <c r="AP280" i="45"/>
  <c r="AL280" i="45"/>
  <c r="AH280" i="45"/>
  <c r="AD280" i="45"/>
  <c r="Z280" i="45"/>
  <c r="V280" i="45"/>
  <c r="R280" i="45"/>
  <c r="N280" i="45"/>
  <c r="AS280" i="45"/>
  <c r="AO280" i="45"/>
  <c r="AK280" i="45"/>
  <c r="AG280" i="45"/>
  <c r="AC280" i="45"/>
  <c r="Y280" i="45"/>
  <c r="U280" i="45"/>
  <c r="Q280" i="45"/>
  <c r="M280" i="45"/>
  <c r="AU280" i="45"/>
  <c r="AM280" i="45"/>
  <c r="AE280" i="45"/>
  <c r="W280" i="45"/>
  <c r="O280" i="45"/>
  <c r="AR280" i="45"/>
  <c r="AJ280" i="45"/>
  <c r="AB280" i="45"/>
  <c r="T280" i="45"/>
  <c r="AF280" i="45"/>
  <c r="P280" i="45"/>
  <c r="AQ280" i="45"/>
  <c r="AA280" i="45"/>
  <c r="AU281" i="45"/>
  <c r="AQ281" i="45"/>
  <c r="AM281" i="45"/>
  <c r="AI281" i="45"/>
  <c r="AE281" i="45"/>
  <c r="AA281" i="45"/>
  <c r="W281" i="45"/>
  <c r="S281" i="45"/>
  <c r="O281" i="45"/>
  <c r="AT281" i="45"/>
  <c r="AP281" i="45"/>
  <c r="AL281" i="45"/>
  <c r="AH281" i="45"/>
  <c r="AD281" i="45"/>
  <c r="Z281" i="45"/>
  <c r="V281" i="45"/>
  <c r="R281" i="45"/>
  <c r="N281" i="45"/>
  <c r="AR281" i="45"/>
  <c r="AJ281" i="45"/>
  <c r="AB281" i="45"/>
  <c r="T281" i="45"/>
  <c r="L281" i="45"/>
  <c r="AO281" i="45"/>
  <c r="AG281" i="45"/>
  <c r="Y281" i="45"/>
  <c r="Q281" i="45"/>
  <c r="AS281" i="45"/>
  <c r="AC281" i="45"/>
  <c r="M281" i="45"/>
  <c r="AN281" i="45"/>
  <c r="X281" i="45"/>
  <c r="AR282" i="45"/>
  <c r="AN282" i="45"/>
  <c r="AJ282" i="45"/>
  <c r="AF282" i="45"/>
  <c r="AB282" i="45"/>
  <c r="X282" i="45"/>
  <c r="T282" i="45"/>
  <c r="P282" i="45"/>
  <c r="L282" i="45"/>
  <c r="AU282" i="45"/>
  <c r="AQ282" i="45"/>
  <c r="AM282" i="45"/>
  <c r="AI282" i="45"/>
  <c r="AE282" i="45"/>
  <c r="AA282" i="45"/>
  <c r="W282" i="45"/>
  <c r="S282" i="45"/>
  <c r="O282" i="45"/>
  <c r="AO282" i="45"/>
  <c r="AG282" i="45"/>
  <c r="Y282" i="45"/>
  <c r="Q282" i="45"/>
  <c r="AT282" i="45"/>
  <c r="AL282" i="45"/>
  <c r="AD282" i="45"/>
  <c r="V282" i="45"/>
  <c r="N282" i="45"/>
  <c r="AP282" i="45"/>
  <c r="Z282" i="45"/>
  <c r="AK282" i="45"/>
  <c r="U282" i="45"/>
  <c r="AS283" i="45"/>
  <c r="AO283" i="45"/>
  <c r="AK283" i="45"/>
  <c r="AG283" i="45"/>
  <c r="AC283" i="45"/>
  <c r="Y283" i="45"/>
  <c r="U283" i="45"/>
  <c r="Q283" i="45"/>
  <c r="M283" i="45"/>
  <c r="AR283" i="45"/>
  <c r="AN283" i="45"/>
  <c r="AJ283" i="45"/>
  <c r="AF283" i="45"/>
  <c r="AB283" i="45"/>
  <c r="X283" i="45"/>
  <c r="T283" i="45"/>
  <c r="P283" i="45"/>
  <c r="L283" i="45"/>
  <c r="AT283" i="45"/>
  <c r="AL283" i="45"/>
  <c r="AD283" i="45"/>
  <c r="V283" i="45"/>
  <c r="N283" i="45"/>
  <c r="AQ283" i="45"/>
  <c r="AI283" i="45"/>
  <c r="AA283" i="45"/>
  <c r="S283" i="45"/>
  <c r="AM283" i="45"/>
  <c r="W283" i="45"/>
  <c r="AH283" i="45"/>
  <c r="R283" i="45"/>
  <c r="AT284" i="45"/>
  <c r="AP284" i="45"/>
  <c r="AL284" i="45"/>
  <c r="AH284" i="45"/>
  <c r="AD284" i="45"/>
  <c r="Z284" i="45"/>
  <c r="V284" i="45"/>
  <c r="R284" i="45"/>
  <c r="N284" i="45"/>
  <c r="AS284" i="45"/>
  <c r="AO284" i="45"/>
  <c r="AK284" i="45"/>
  <c r="AG284" i="45"/>
  <c r="AC284" i="45"/>
  <c r="Y284" i="45"/>
  <c r="U284" i="45"/>
  <c r="Q284" i="45"/>
  <c r="M284" i="45"/>
  <c r="AQ284" i="45"/>
  <c r="AI284" i="45"/>
  <c r="AA284" i="45"/>
  <c r="S284" i="45"/>
  <c r="AN284" i="45"/>
  <c r="AF284" i="45"/>
  <c r="X284" i="45"/>
  <c r="P284" i="45"/>
  <c r="L284" i="45"/>
  <c r="AJ284" i="45"/>
  <c r="T284" i="45"/>
  <c r="AU284" i="45"/>
  <c r="AE284" i="45"/>
  <c r="O284" i="45"/>
  <c r="AU286" i="45"/>
  <c r="AQ286" i="45"/>
  <c r="AM286" i="45"/>
  <c r="AI286" i="45"/>
  <c r="AE286" i="45"/>
  <c r="AA286" i="45"/>
  <c r="W286" i="45"/>
  <c r="S286" i="45"/>
  <c r="O286" i="45"/>
  <c r="AT286" i="45"/>
  <c r="AP286" i="45"/>
  <c r="AL286" i="45"/>
  <c r="AH286" i="45"/>
  <c r="AD286" i="45"/>
  <c r="Z286" i="45"/>
  <c r="V286" i="45"/>
  <c r="R286" i="45"/>
  <c r="N286" i="45"/>
  <c r="AN286" i="45"/>
  <c r="AF286" i="45"/>
  <c r="X286" i="45"/>
  <c r="P286" i="45"/>
  <c r="AS286" i="45"/>
  <c r="AK286" i="45"/>
  <c r="AC286" i="45"/>
  <c r="U286" i="45"/>
  <c r="M286" i="45"/>
  <c r="AG286" i="45"/>
  <c r="Q286" i="45"/>
  <c r="AR286" i="45"/>
  <c r="AB286" i="45"/>
  <c r="L264" i="45"/>
  <c r="L232" i="45"/>
  <c r="L200" i="45"/>
  <c r="M257" i="45"/>
  <c r="U265" i="45"/>
  <c r="V265" i="45" s="1"/>
  <c r="W265" i="45" s="1"/>
  <c r="X265" i="45" s="1"/>
  <c r="Y265" i="45" s="1"/>
  <c r="Z265" i="45" s="1"/>
  <c r="AA265" i="45" s="1"/>
  <c r="AB265" i="45" s="1"/>
  <c r="AC265" i="45" s="1"/>
  <c r="AD265" i="45" s="1"/>
  <c r="AE265" i="45" s="1"/>
  <c r="AF265" i="45" s="1"/>
  <c r="AG265" i="45" s="1"/>
  <c r="AH265" i="45" s="1"/>
  <c r="AI265" i="45" s="1"/>
  <c r="AJ265" i="45" s="1"/>
  <c r="AK265" i="45" s="1"/>
  <c r="AL265" i="45" s="1"/>
  <c r="AM265" i="45" s="1"/>
  <c r="AN265" i="45" s="1"/>
  <c r="AO265" i="45" s="1"/>
  <c r="AP265" i="45" s="1"/>
  <c r="AQ265" i="45" s="1"/>
  <c r="AR265" i="45" s="1"/>
  <c r="AS265" i="45" s="1"/>
  <c r="AT265" i="45" s="1"/>
  <c r="AU265" i="45" s="1"/>
  <c r="O267" i="45"/>
  <c r="P267" i="45" s="1"/>
  <c r="Q267" i="45" s="1"/>
  <c r="R267" i="45" s="1"/>
  <c r="S267" i="45" s="1"/>
  <c r="T267" i="45" s="1"/>
  <c r="U267" i="45" s="1"/>
  <c r="V267" i="45" s="1"/>
  <c r="W267" i="45" s="1"/>
  <c r="X267" i="45" s="1"/>
  <c r="Y267" i="45" s="1"/>
  <c r="Z267" i="45" s="1"/>
  <c r="AA267" i="45" s="1"/>
  <c r="AB267" i="45" s="1"/>
  <c r="AC267" i="45" s="1"/>
  <c r="AD267" i="45" s="1"/>
  <c r="AE267" i="45" s="1"/>
  <c r="AF267" i="45" s="1"/>
  <c r="AG267" i="45" s="1"/>
  <c r="AH267" i="45" s="1"/>
  <c r="AI267" i="45" s="1"/>
  <c r="AJ267" i="45" s="1"/>
  <c r="AK267" i="45" s="1"/>
  <c r="AL267" i="45" s="1"/>
  <c r="AM267" i="45" s="1"/>
  <c r="AN267" i="45" s="1"/>
  <c r="AO267" i="45" s="1"/>
  <c r="AP267" i="45" s="1"/>
  <c r="AQ267" i="45" s="1"/>
  <c r="AR267" i="45" s="1"/>
  <c r="AS267" i="45" s="1"/>
  <c r="AT267" i="45" s="1"/>
  <c r="AU267" i="45" s="1"/>
  <c r="N278" i="45"/>
  <c r="AN280" i="45"/>
  <c r="AK281" i="45"/>
  <c r="AH282" i="45"/>
  <c r="AE283" i="45"/>
  <c r="AB284" i="45"/>
  <c r="Y286" i="45"/>
  <c r="C200" i="50" l="1"/>
  <c r="AT418" i="45"/>
  <c r="AP418" i="45"/>
  <c r="AL418" i="45"/>
  <c r="AH418" i="45"/>
  <c r="AD418" i="45"/>
  <c r="Z418" i="45"/>
  <c r="V418" i="45"/>
  <c r="R418" i="45"/>
  <c r="N418" i="45"/>
  <c r="AM418" i="45"/>
  <c r="W418" i="45"/>
  <c r="AS418" i="45"/>
  <c r="AO418" i="45"/>
  <c r="AK418" i="45"/>
  <c r="AG418" i="45"/>
  <c r="AC418" i="45"/>
  <c r="Y418" i="45"/>
  <c r="U418" i="45"/>
  <c r="Q418" i="45"/>
  <c r="M418" i="45"/>
  <c r="AU418" i="45"/>
  <c r="AI418" i="45"/>
  <c r="AA418" i="45"/>
  <c r="O418" i="45"/>
  <c r="AR418" i="45"/>
  <c r="AN418" i="45"/>
  <c r="AJ418" i="45"/>
  <c r="AF418" i="45"/>
  <c r="AB418" i="45"/>
  <c r="X418" i="45"/>
  <c r="T418" i="45"/>
  <c r="P418" i="45"/>
  <c r="L418" i="45"/>
  <c r="AQ418" i="45"/>
  <c r="AE418" i="45"/>
  <c r="S418" i="45"/>
  <c r="AT416" i="45"/>
  <c r="AP416" i="45"/>
  <c r="AL416" i="45"/>
  <c r="AH416" i="45"/>
  <c r="AD416" i="45"/>
  <c r="Z416" i="45"/>
  <c r="V416" i="45"/>
  <c r="R416" i="45"/>
  <c r="N416" i="45"/>
  <c r="AM416" i="45"/>
  <c r="S416" i="45"/>
  <c r="AS416" i="45"/>
  <c r="AO416" i="45"/>
  <c r="AK416" i="45"/>
  <c r="AG416" i="45"/>
  <c r="AC416" i="45"/>
  <c r="Y416" i="45"/>
  <c r="U416" i="45"/>
  <c r="Q416" i="45"/>
  <c r="M416" i="45"/>
  <c r="AQ416" i="45"/>
  <c r="AE416" i="45"/>
  <c r="W416" i="45"/>
  <c r="AR416" i="45"/>
  <c r="AN416" i="45"/>
  <c r="AJ416" i="45"/>
  <c r="AF416" i="45"/>
  <c r="AB416" i="45"/>
  <c r="X416" i="45"/>
  <c r="T416" i="45"/>
  <c r="P416" i="45"/>
  <c r="L416" i="45"/>
  <c r="AU416" i="45"/>
  <c r="AI416" i="45"/>
  <c r="AA416" i="45"/>
  <c r="O416" i="45"/>
  <c r="AT414" i="45"/>
  <c r="AP414" i="45"/>
  <c r="AL414" i="45"/>
  <c r="AH414" i="45"/>
  <c r="AD414" i="45"/>
  <c r="Z414" i="45"/>
  <c r="V414" i="45"/>
  <c r="R414" i="45"/>
  <c r="N414" i="45"/>
  <c r="AQ414" i="45"/>
  <c r="AE414" i="45"/>
  <c r="AA414" i="45"/>
  <c r="O414" i="45"/>
  <c r="AS414" i="45"/>
  <c r="AO414" i="45"/>
  <c r="AK414" i="45"/>
  <c r="AG414" i="45"/>
  <c r="AC414" i="45"/>
  <c r="Y414" i="45"/>
  <c r="U414" i="45"/>
  <c r="Q414" i="45"/>
  <c r="M414" i="45"/>
  <c r="AU414" i="45"/>
  <c r="AI414" i="45"/>
  <c r="S414" i="45"/>
  <c r="AR414" i="45"/>
  <c r="AN414" i="45"/>
  <c r="AJ414" i="45"/>
  <c r="AF414" i="45"/>
  <c r="AB414" i="45"/>
  <c r="X414" i="45"/>
  <c r="T414" i="45"/>
  <c r="P414" i="45"/>
  <c r="L414" i="45"/>
  <c r="AM414" i="45"/>
  <c r="W414" i="45"/>
  <c r="AT412" i="45"/>
  <c r="AP412" i="45"/>
  <c r="AL412" i="45"/>
  <c r="AH412" i="45"/>
  <c r="AD412" i="45"/>
  <c r="Z412" i="45"/>
  <c r="V412" i="45"/>
  <c r="R412" i="45"/>
  <c r="N412" i="45"/>
  <c r="AM412" i="45"/>
  <c r="AA412" i="45"/>
  <c r="O412" i="45"/>
  <c r="AS412" i="45"/>
  <c r="AO412" i="45"/>
  <c r="AK412" i="45"/>
  <c r="AG412" i="45"/>
  <c r="AC412" i="45"/>
  <c r="Y412" i="45"/>
  <c r="U412" i="45"/>
  <c r="Q412" i="45"/>
  <c r="M412" i="45"/>
  <c r="AQ412" i="45"/>
  <c r="AI412" i="45"/>
  <c r="W412" i="45"/>
  <c r="AR412" i="45"/>
  <c r="AN412" i="45"/>
  <c r="AJ412" i="45"/>
  <c r="AF412" i="45"/>
  <c r="AB412" i="45"/>
  <c r="X412" i="45"/>
  <c r="T412" i="45"/>
  <c r="P412" i="45"/>
  <c r="L412" i="45"/>
  <c r="AU412" i="45"/>
  <c r="AE412" i="45"/>
  <c r="S412" i="45"/>
  <c r="AT410" i="45"/>
  <c r="AP410" i="45"/>
  <c r="AL410" i="45"/>
  <c r="AH410" i="45"/>
  <c r="AD410" i="45"/>
  <c r="Z410" i="45"/>
  <c r="V410" i="45"/>
  <c r="R410" i="45"/>
  <c r="N410" i="45"/>
  <c r="AM410" i="45"/>
  <c r="AA410" i="45"/>
  <c r="O410" i="45"/>
  <c r="AS410" i="45"/>
  <c r="AO410" i="45"/>
  <c r="AK410" i="45"/>
  <c r="AG410" i="45"/>
  <c r="AC410" i="45"/>
  <c r="Y410" i="45"/>
  <c r="U410" i="45"/>
  <c r="Q410" i="45"/>
  <c r="M410" i="45"/>
  <c r="AU410" i="45"/>
  <c r="AI410" i="45"/>
  <c r="W410" i="45"/>
  <c r="AR410" i="45"/>
  <c r="AN410" i="45"/>
  <c r="AJ410" i="45"/>
  <c r="AF410" i="45"/>
  <c r="AB410" i="45"/>
  <c r="X410" i="45"/>
  <c r="T410" i="45"/>
  <c r="P410" i="45"/>
  <c r="L410" i="45"/>
  <c r="AQ410" i="45"/>
  <c r="AE410" i="45"/>
  <c r="S410" i="45"/>
  <c r="AT408" i="45"/>
  <c r="AP408" i="45"/>
  <c r="AL408" i="45"/>
  <c r="AH408" i="45"/>
  <c r="AD408" i="45"/>
  <c r="Z408" i="45"/>
  <c r="V408" i="45"/>
  <c r="R408" i="45"/>
  <c r="N408" i="45"/>
  <c r="AQ408" i="45"/>
  <c r="AI408" i="45"/>
  <c r="W408" i="45"/>
  <c r="AS408" i="45"/>
  <c r="AO408" i="45"/>
  <c r="AK408" i="45"/>
  <c r="AG408" i="45"/>
  <c r="AC408" i="45"/>
  <c r="Y408" i="45"/>
  <c r="U408" i="45"/>
  <c r="Q408" i="45"/>
  <c r="M408" i="45"/>
  <c r="AU408" i="45"/>
  <c r="AE408" i="45"/>
  <c r="O408" i="45"/>
  <c r="AR408" i="45"/>
  <c r="AN408" i="45"/>
  <c r="AJ408" i="45"/>
  <c r="AF408" i="45"/>
  <c r="AB408" i="45"/>
  <c r="X408" i="45"/>
  <c r="T408" i="45"/>
  <c r="P408" i="45"/>
  <c r="L408" i="45"/>
  <c r="AM408" i="45"/>
  <c r="AA408" i="45"/>
  <c r="S408" i="45"/>
  <c r="AT406" i="45"/>
  <c r="AP406" i="45"/>
  <c r="AL406" i="45"/>
  <c r="AH406" i="45"/>
  <c r="AD406" i="45"/>
  <c r="Z406" i="45"/>
  <c r="V406" i="45"/>
  <c r="R406" i="45"/>
  <c r="N406" i="45"/>
  <c r="AU406" i="45"/>
  <c r="W406" i="45"/>
  <c r="AS406" i="45"/>
  <c r="AO406" i="45"/>
  <c r="AK406" i="45"/>
  <c r="AG406" i="45"/>
  <c r="AC406" i="45"/>
  <c r="Y406" i="45"/>
  <c r="U406" i="45"/>
  <c r="Q406" i="45"/>
  <c r="M406" i="45"/>
  <c r="AM406" i="45"/>
  <c r="AI406" i="45"/>
  <c r="AE406" i="45"/>
  <c r="S406" i="45"/>
  <c r="AR406" i="45"/>
  <c r="AN406" i="45"/>
  <c r="AJ406" i="45"/>
  <c r="AF406" i="45"/>
  <c r="AB406" i="45"/>
  <c r="X406" i="45"/>
  <c r="T406" i="45"/>
  <c r="P406" i="45"/>
  <c r="L406" i="45"/>
  <c r="AQ406" i="45"/>
  <c r="AA406" i="45"/>
  <c r="O406" i="45"/>
  <c r="AT404" i="45"/>
  <c r="AP404" i="45"/>
  <c r="AL404" i="45"/>
  <c r="AH404" i="45"/>
  <c r="AD404" i="45"/>
  <c r="Z404" i="45"/>
  <c r="V404" i="45"/>
  <c r="R404" i="45"/>
  <c r="N404" i="45"/>
  <c r="AM404" i="45"/>
  <c r="AA404" i="45"/>
  <c r="O404" i="45"/>
  <c r="AS404" i="45"/>
  <c r="AO404" i="45"/>
  <c r="AK404" i="45"/>
  <c r="AG404" i="45"/>
  <c r="AC404" i="45"/>
  <c r="Y404" i="45"/>
  <c r="U404" i="45"/>
  <c r="Q404" i="45"/>
  <c r="M404" i="45"/>
  <c r="AU404" i="45"/>
  <c r="AE404" i="45"/>
  <c r="S404" i="45"/>
  <c r="AR404" i="45"/>
  <c r="AN404" i="45"/>
  <c r="AJ404" i="45"/>
  <c r="AF404" i="45"/>
  <c r="AB404" i="45"/>
  <c r="X404" i="45"/>
  <c r="T404" i="45"/>
  <c r="P404" i="45"/>
  <c r="L404" i="45"/>
  <c r="AQ404" i="45"/>
  <c r="AI404" i="45"/>
  <c r="W404" i="45"/>
  <c r="AT402" i="45"/>
  <c r="AP402" i="45"/>
  <c r="AL402" i="45"/>
  <c r="AH402" i="45"/>
  <c r="AD402" i="45"/>
  <c r="Z402" i="45"/>
  <c r="V402" i="45"/>
  <c r="R402" i="45"/>
  <c r="N402" i="45"/>
  <c r="AU402" i="45"/>
  <c r="AI402" i="45"/>
  <c r="W402" i="45"/>
  <c r="AS402" i="45"/>
  <c r="AO402" i="45"/>
  <c r="AK402" i="45"/>
  <c r="AG402" i="45"/>
  <c r="AC402" i="45"/>
  <c r="Y402" i="45"/>
  <c r="U402" i="45"/>
  <c r="Q402" i="45"/>
  <c r="M402" i="45"/>
  <c r="AQ402" i="45"/>
  <c r="AE402" i="45"/>
  <c r="S402" i="45"/>
  <c r="AR402" i="45"/>
  <c r="AN402" i="45"/>
  <c r="AJ402" i="45"/>
  <c r="AF402" i="45"/>
  <c r="AB402" i="45"/>
  <c r="X402" i="45"/>
  <c r="T402" i="45"/>
  <c r="P402" i="45"/>
  <c r="L402" i="45"/>
  <c r="AM402" i="45"/>
  <c r="AA402" i="45"/>
  <c r="O402" i="45"/>
  <c r="AT400" i="45"/>
  <c r="AP400" i="45"/>
  <c r="AL400" i="45"/>
  <c r="AH400" i="45"/>
  <c r="AD400" i="45"/>
  <c r="Z400" i="45"/>
  <c r="V400" i="45"/>
  <c r="R400" i="45"/>
  <c r="N400" i="45"/>
  <c r="AQ400" i="45"/>
  <c r="AE400" i="45"/>
  <c r="S400" i="45"/>
  <c r="AS400" i="45"/>
  <c r="AO400" i="45"/>
  <c r="AK400" i="45"/>
  <c r="AG400" i="45"/>
  <c r="AC400" i="45"/>
  <c r="Y400" i="45"/>
  <c r="U400" i="45"/>
  <c r="Q400" i="45"/>
  <c r="M400" i="45"/>
  <c r="AU400" i="45"/>
  <c r="AI400" i="45"/>
  <c r="W400" i="45"/>
  <c r="AR400" i="45"/>
  <c r="AN400" i="45"/>
  <c r="AJ400" i="45"/>
  <c r="AF400" i="45"/>
  <c r="AB400" i="45"/>
  <c r="X400" i="45"/>
  <c r="T400" i="45"/>
  <c r="P400" i="45"/>
  <c r="L400" i="45"/>
  <c r="AM400" i="45"/>
  <c r="AA400" i="45"/>
  <c r="O400" i="45"/>
  <c r="AT398" i="45"/>
  <c r="AP398" i="45"/>
  <c r="AL398" i="45"/>
  <c r="AH398" i="45"/>
  <c r="AD398" i="45"/>
  <c r="Z398" i="45"/>
  <c r="V398" i="45"/>
  <c r="R398" i="45"/>
  <c r="N398" i="45"/>
  <c r="AQ398" i="45"/>
  <c r="AE398" i="45"/>
  <c r="S398" i="45"/>
  <c r="AS398" i="45"/>
  <c r="AO398" i="45"/>
  <c r="AK398" i="45"/>
  <c r="AG398" i="45"/>
  <c r="AC398" i="45"/>
  <c r="Y398" i="45"/>
  <c r="U398" i="45"/>
  <c r="Q398" i="45"/>
  <c r="M398" i="45"/>
  <c r="AB398" i="45"/>
  <c r="AU398" i="45"/>
  <c r="AI398" i="45"/>
  <c r="W398" i="45"/>
  <c r="AR398" i="45"/>
  <c r="AN398" i="45"/>
  <c r="AJ398" i="45"/>
  <c r="AF398" i="45"/>
  <c r="X398" i="45"/>
  <c r="T398" i="45"/>
  <c r="P398" i="45"/>
  <c r="L398" i="45"/>
  <c r="AM398" i="45"/>
  <c r="AA398" i="45"/>
  <c r="O398" i="45"/>
  <c r="L396" i="45"/>
  <c r="AR480" i="45"/>
  <c r="AN480" i="45"/>
  <c r="AJ480" i="45"/>
  <c r="AF480" i="45"/>
  <c r="AB480" i="45"/>
  <c r="X480" i="45"/>
  <c r="T480" i="45"/>
  <c r="P480" i="45"/>
  <c r="L480" i="45"/>
  <c r="AU480" i="45"/>
  <c r="AQ480" i="45"/>
  <c r="AM480" i="45"/>
  <c r="AI480" i="45"/>
  <c r="AE480" i="45"/>
  <c r="AA480" i="45"/>
  <c r="W480" i="45"/>
  <c r="S480" i="45"/>
  <c r="O480" i="45"/>
  <c r="AT480" i="45"/>
  <c r="AP480" i="45"/>
  <c r="AL480" i="45"/>
  <c r="AH480" i="45"/>
  <c r="AD480" i="45"/>
  <c r="Z480" i="45"/>
  <c r="V480" i="45"/>
  <c r="R480" i="45"/>
  <c r="N480" i="45"/>
  <c r="AK480" i="45"/>
  <c r="U480" i="45"/>
  <c r="AG480" i="45"/>
  <c r="Q480" i="45"/>
  <c r="AO480" i="45"/>
  <c r="AS480" i="45"/>
  <c r="AC480" i="45"/>
  <c r="M480" i="45"/>
  <c r="Y480" i="45"/>
  <c r="AR478" i="45"/>
  <c r="AN478" i="45"/>
  <c r="AJ478" i="45"/>
  <c r="AF478" i="45"/>
  <c r="AB478" i="45"/>
  <c r="X478" i="45"/>
  <c r="T478" i="45"/>
  <c r="P478" i="45"/>
  <c r="L478" i="45"/>
  <c r="AU478" i="45"/>
  <c r="AQ478" i="45"/>
  <c r="AM478" i="45"/>
  <c r="AI478" i="45"/>
  <c r="AE478" i="45"/>
  <c r="AA478" i="45"/>
  <c r="W478" i="45"/>
  <c r="S478" i="45"/>
  <c r="O478" i="45"/>
  <c r="AT478" i="45"/>
  <c r="AP478" i="45"/>
  <c r="AL478" i="45"/>
  <c r="AH478" i="45"/>
  <c r="AD478" i="45"/>
  <c r="Z478" i="45"/>
  <c r="V478" i="45"/>
  <c r="R478" i="45"/>
  <c r="N478" i="45"/>
  <c r="AS478" i="45"/>
  <c r="AC478" i="45"/>
  <c r="M478" i="45"/>
  <c r="AG478" i="45"/>
  <c r="AO478" i="45"/>
  <c r="Y478" i="45"/>
  <c r="AK478" i="45"/>
  <c r="U478" i="45"/>
  <c r="Q478" i="45"/>
  <c r="AR476" i="45"/>
  <c r="AN476" i="45"/>
  <c r="AJ476" i="45"/>
  <c r="AF476" i="45"/>
  <c r="AB476" i="45"/>
  <c r="X476" i="45"/>
  <c r="T476" i="45"/>
  <c r="P476" i="45"/>
  <c r="L476" i="45"/>
  <c r="AU476" i="45"/>
  <c r="AQ476" i="45"/>
  <c r="AM476" i="45"/>
  <c r="AI476" i="45"/>
  <c r="AE476" i="45"/>
  <c r="AA476" i="45"/>
  <c r="W476" i="45"/>
  <c r="S476" i="45"/>
  <c r="O476" i="45"/>
  <c r="AT476" i="45"/>
  <c r="AP476" i="45"/>
  <c r="AL476" i="45"/>
  <c r="AH476" i="45"/>
  <c r="AD476" i="45"/>
  <c r="Z476" i="45"/>
  <c r="V476" i="45"/>
  <c r="R476" i="45"/>
  <c r="N476" i="45"/>
  <c r="AK476" i="45"/>
  <c r="U476" i="45"/>
  <c r="AO476" i="45"/>
  <c r="AG476" i="45"/>
  <c r="Q476" i="45"/>
  <c r="Y476" i="45"/>
  <c r="AS476" i="45"/>
  <c r="AC476" i="45"/>
  <c r="M476" i="45"/>
  <c r="AR474" i="45"/>
  <c r="AN474" i="45"/>
  <c r="AJ474" i="45"/>
  <c r="AF474" i="45"/>
  <c r="AB474" i="45"/>
  <c r="X474" i="45"/>
  <c r="T474" i="45"/>
  <c r="P474" i="45"/>
  <c r="L474" i="45"/>
  <c r="AU474" i="45"/>
  <c r="AQ474" i="45"/>
  <c r="AM474" i="45"/>
  <c r="AI474" i="45"/>
  <c r="AE474" i="45"/>
  <c r="AA474" i="45"/>
  <c r="W474" i="45"/>
  <c r="S474" i="45"/>
  <c r="O474" i="45"/>
  <c r="AT474" i="45"/>
  <c r="AP474" i="45"/>
  <c r="AL474" i="45"/>
  <c r="AH474" i="45"/>
  <c r="AD474" i="45"/>
  <c r="Z474" i="45"/>
  <c r="V474" i="45"/>
  <c r="R474" i="45"/>
  <c r="N474" i="45"/>
  <c r="AS474" i="45"/>
  <c r="AC474" i="45"/>
  <c r="M474" i="45"/>
  <c r="AO474" i="45"/>
  <c r="Y474" i="45"/>
  <c r="Q474" i="45"/>
  <c r="AK474" i="45"/>
  <c r="U474" i="45"/>
  <c r="AG474" i="45"/>
  <c r="AR472" i="45"/>
  <c r="AN472" i="45"/>
  <c r="AJ472" i="45"/>
  <c r="AF472" i="45"/>
  <c r="AB472" i="45"/>
  <c r="X472" i="45"/>
  <c r="T472" i="45"/>
  <c r="P472" i="45"/>
  <c r="L472" i="45"/>
  <c r="AU472" i="45"/>
  <c r="AQ472" i="45"/>
  <c r="AM472" i="45"/>
  <c r="AI472" i="45"/>
  <c r="AE472" i="45"/>
  <c r="AA472" i="45"/>
  <c r="W472" i="45"/>
  <c r="S472" i="45"/>
  <c r="O472" i="45"/>
  <c r="AT472" i="45"/>
  <c r="AP472" i="45"/>
  <c r="AL472" i="45"/>
  <c r="AH472" i="45"/>
  <c r="AD472" i="45"/>
  <c r="Z472" i="45"/>
  <c r="V472" i="45"/>
  <c r="R472" i="45"/>
  <c r="N472" i="45"/>
  <c r="AK472" i="45"/>
  <c r="U472" i="45"/>
  <c r="AG472" i="45"/>
  <c r="Q472" i="45"/>
  <c r="Y472" i="45"/>
  <c r="AS472" i="45"/>
  <c r="AC472" i="45"/>
  <c r="M472" i="45"/>
  <c r="AO472" i="45"/>
  <c r="AR470" i="45"/>
  <c r="AN470" i="45"/>
  <c r="AJ470" i="45"/>
  <c r="AF470" i="45"/>
  <c r="AB470" i="45"/>
  <c r="X470" i="45"/>
  <c r="T470" i="45"/>
  <c r="P470" i="45"/>
  <c r="L470" i="45"/>
  <c r="AU470" i="45"/>
  <c r="AQ470" i="45"/>
  <c r="AM470" i="45"/>
  <c r="AI470" i="45"/>
  <c r="AE470" i="45"/>
  <c r="AA470" i="45"/>
  <c r="W470" i="45"/>
  <c r="S470" i="45"/>
  <c r="O470" i="45"/>
  <c r="AT470" i="45"/>
  <c r="AP470" i="45"/>
  <c r="AL470" i="45"/>
  <c r="AH470" i="45"/>
  <c r="AD470" i="45"/>
  <c r="Z470" i="45"/>
  <c r="V470" i="45"/>
  <c r="R470" i="45"/>
  <c r="N470" i="45"/>
  <c r="AS470" i="45"/>
  <c r="AC470" i="45"/>
  <c r="M470" i="45"/>
  <c r="AG470" i="45"/>
  <c r="AO470" i="45"/>
  <c r="Y470" i="45"/>
  <c r="Q470" i="45"/>
  <c r="AK470" i="45"/>
  <c r="U470" i="45"/>
  <c r="AR468" i="45"/>
  <c r="AN468" i="45"/>
  <c r="AJ468" i="45"/>
  <c r="AF468" i="45"/>
  <c r="AB468" i="45"/>
  <c r="X468" i="45"/>
  <c r="T468" i="45"/>
  <c r="P468" i="45"/>
  <c r="L468" i="45"/>
  <c r="AU468" i="45"/>
  <c r="AQ468" i="45"/>
  <c r="AM468" i="45"/>
  <c r="AI468" i="45"/>
  <c r="AE468" i="45"/>
  <c r="AA468" i="45"/>
  <c r="W468" i="45"/>
  <c r="S468" i="45"/>
  <c r="O468" i="45"/>
  <c r="AT468" i="45"/>
  <c r="AP468" i="45"/>
  <c r="AL468" i="45"/>
  <c r="AH468" i="45"/>
  <c r="AD468" i="45"/>
  <c r="Z468" i="45"/>
  <c r="V468" i="45"/>
  <c r="R468" i="45"/>
  <c r="N468" i="45"/>
  <c r="AK468" i="45"/>
  <c r="U468" i="45"/>
  <c r="Y468" i="45"/>
  <c r="AG468" i="45"/>
  <c r="Q468" i="45"/>
  <c r="AO468" i="45"/>
  <c r="AS468" i="45"/>
  <c r="AC468" i="45"/>
  <c r="M468" i="45"/>
  <c r="AR466" i="45"/>
  <c r="AN466" i="45"/>
  <c r="AJ466" i="45"/>
  <c r="AF466" i="45"/>
  <c r="AB466" i="45"/>
  <c r="X466" i="45"/>
  <c r="T466" i="45"/>
  <c r="P466" i="45"/>
  <c r="L466" i="45"/>
  <c r="AU466" i="45"/>
  <c r="AQ466" i="45"/>
  <c r="AM466" i="45"/>
  <c r="AI466" i="45"/>
  <c r="AE466" i="45"/>
  <c r="AA466" i="45"/>
  <c r="W466" i="45"/>
  <c r="S466" i="45"/>
  <c r="O466" i="45"/>
  <c r="AT466" i="45"/>
  <c r="AP466" i="45"/>
  <c r="AL466" i="45"/>
  <c r="AH466" i="45"/>
  <c r="AD466" i="45"/>
  <c r="Z466" i="45"/>
  <c r="V466" i="45"/>
  <c r="R466" i="45"/>
  <c r="N466" i="45"/>
  <c r="AS466" i="45"/>
  <c r="AC466" i="45"/>
  <c r="M466" i="45"/>
  <c r="AO466" i="45"/>
  <c r="Y466" i="45"/>
  <c r="Q466" i="45"/>
  <c r="AK466" i="45"/>
  <c r="U466" i="45"/>
  <c r="AG466" i="45"/>
  <c r="AR464" i="45"/>
  <c r="AN464" i="45"/>
  <c r="AJ464" i="45"/>
  <c r="AF464" i="45"/>
  <c r="AB464" i="45"/>
  <c r="X464" i="45"/>
  <c r="T464" i="45"/>
  <c r="P464" i="45"/>
  <c r="L464" i="45"/>
  <c r="AU464" i="45"/>
  <c r="AQ464" i="45"/>
  <c r="AM464" i="45"/>
  <c r="AI464" i="45"/>
  <c r="AE464" i="45"/>
  <c r="AA464" i="45"/>
  <c r="W464" i="45"/>
  <c r="S464" i="45"/>
  <c r="O464" i="45"/>
  <c r="AT464" i="45"/>
  <c r="AP464" i="45"/>
  <c r="AL464" i="45"/>
  <c r="AH464" i="45"/>
  <c r="AD464" i="45"/>
  <c r="Z464" i="45"/>
  <c r="V464" i="45"/>
  <c r="R464" i="45"/>
  <c r="N464" i="45"/>
  <c r="AK464" i="45"/>
  <c r="U464" i="45"/>
  <c r="Y464" i="45"/>
  <c r="AG464" i="45"/>
  <c r="Q464" i="45"/>
  <c r="AO464" i="45"/>
  <c r="AS464" i="45"/>
  <c r="AC464" i="45"/>
  <c r="M464" i="45"/>
  <c r="AR462" i="45"/>
  <c r="AN462" i="45"/>
  <c r="AJ462" i="45"/>
  <c r="AF462" i="45"/>
  <c r="AB462" i="45"/>
  <c r="X462" i="45"/>
  <c r="T462" i="45"/>
  <c r="P462" i="45"/>
  <c r="L462" i="45"/>
  <c r="AU462" i="45"/>
  <c r="AQ462" i="45"/>
  <c r="AM462" i="45"/>
  <c r="AI462" i="45"/>
  <c r="AE462" i="45"/>
  <c r="AA462" i="45"/>
  <c r="W462" i="45"/>
  <c r="S462" i="45"/>
  <c r="O462" i="45"/>
  <c r="AT462" i="45"/>
  <c r="AP462" i="45"/>
  <c r="AL462" i="45"/>
  <c r="AH462" i="45"/>
  <c r="AD462" i="45"/>
  <c r="Z462" i="45"/>
  <c r="V462" i="45"/>
  <c r="R462" i="45"/>
  <c r="N462" i="45"/>
  <c r="AS462" i="45"/>
  <c r="AC462" i="45"/>
  <c r="M462" i="45"/>
  <c r="AO462" i="45"/>
  <c r="Y462" i="45"/>
  <c r="AG462" i="45"/>
  <c r="AK462" i="45"/>
  <c r="U462" i="45"/>
  <c r="Q462" i="45"/>
  <c r="AR460" i="45"/>
  <c r="AN460" i="45"/>
  <c r="AJ460" i="45"/>
  <c r="AF460" i="45"/>
  <c r="AB460" i="45"/>
  <c r="X460" i="45"/>
  <c r="T460" i="45"/>
  <c r="P460" i="45"/>
  <c r="L460" i="45"/>
  <c r="AU460" i="45"/>
  <c r="AQ460" i="45"/>
  <c r="AM460" i="45"/>
  <c r="AI460" i="45"/>
  <c r="AE460" i="45"/>
  <c r="AA460" i="45"/>
  <c r="W460" i="45"/>
  <c r="S460" i="45"/>
  <c r="O460" i="45"/>
  <c r="AT460" i="45"/>
  <c r="AP460" i="45"/>
  <c r="AL460" i="45"/>
  <c r="AH460" i="45"/>
  <c r="AD460" i="45"/>
  <c r="Z460" i="45"/>
  <c r="V460" i="45"/>
  <c r="R460" i="45"/>
  <c r="N460" i="45"/>
  <c r="AK460" i="45"/>
  <c r="U460" i="45"/>
  <c r="Y460" i="45"/>
  <c r="AG460" i="45"/>
  <c r="Q460" i="45"/>
  <c r="AS460" i="45"/>
  <c r="AC460" i="45"/>
  <c r="M460" i="45"/>
  <c r="AO460" i="45"/>
  <c r="AR458" i="45"/>
  <c r="AN458" i="45"/>
  <c r="AJ458" i="45"/>
  <c r="AF458" i="45"/>
  <c r="AB458" i="45"/>
  <c r="X458" i="45"/>
  <c r="T458" i="45"/>
  <c r="P458" i="45"/>
  <c r="L458" i="45"/>
  <c r="AU458" i="45"/>
  <c r="AQ458" i="45"/>
  <c r="AM458" i="45"/>
  <c r="AI458" i="45"/>
  <c r="AE458" i="45"/>
  <c r="AA458" i="45"/>
  <c r="W458" i="45"/>
  <c r="S458" i="45"/>
  <c r="O458" i="45"/>
  <c r="AT458" i="45"/>
  <c r="AP458" i="45"/>
  <c r="AL458" i="45"/>
  <c r="AH458" i="45"/>
  <c r="AD458" i="45"/>
  <c r="Z458" i="45"/>
  <c r="V458" i="45"/>
  <c r="R458" i="45"/>
  <c r="N458" i="45"/>
  <c r="AS458" i="45"/>
  <c r="AC458" i="45"/>
  <c r="M458" i="45"/>
  <c r="AO458" i="45"/>
  <c r="Y458" i="45"/>
  <c r="Q458" i="45"/>
  <c r="AK458" i="45"/>
  <c r="U458" i="45"/>
  <c r="AG458" i="45"/>
  <c r="AR456" i="45"/>
  <c r="AN456" i="45"/>
  <c r="AJ456" i="45"/>
  <c r="AF456" i="45"/>
  <c r="AB456" i="45"/>
  <c r="X456" i="45"/>
  <c r="T456" i="45"/>
  <c r="P456" i="45"/>
  <c r="L456" i="45"/>
  <c r="AU456" i="45"/>
  <c r="AQ456" i="45"/>
  <c r="AM456" i="45"/>
  <c r="AI456" i="45"/>
  <c r="AE456" i="45"/>
  <c r="AA456" i="45"/>
  <c r="W456" i="45"/>
  <c r="S456" i="45"/>
  <c r="O456" i="45"/>
  <c r="AT456" i="45"/>
  <c r="AP456" i="45"/>
  <c r="AL456" i="45"/>
  <c r="AH456" i="45"/>
  <c r="AD456" i="45"/>
  <c r="Z456" i="45"/>
  <c r="V456" i="45"/>
  <c r="R456" i="45"/>
  <c r="N456" i="45"/>
  <c r="AK456" i="45"/>
  <c r="U456" i="45"/>
  <c r="AG456" i="45"/>
  <c r="Q456" i="45"/>
  <c r="AO456" i="45"/>
  <c r="AS456" i="45"/>
  <c r="AC456" i="45"/>
  <c r="M456" i="45"/>
  <c r="Y456" i="45"/>
  <c r="AR454" i="45"/>
  <c r="AN454" i="45"/>
  <c r="AJ454" i="45"/>
  <c r="AF454" i="45"/>
  <c r="AB454" i="45"/>
  <c r="X454" i="45"/>
  <c r="T454" i="45"/>
  <c r="P454" i="45"/>
  <c r="L454" i="45"/>
  <c r="AU454" i="45"/>
  <c r="AQ454" i="45"/>
  <c r="AM454" i="45"/>
  <c r="AI454" i="45"/>
  <c r="AE454" i="45"/>
  <c r="AA454" i="45"/>
  <c r="W454" i="45"/>
  <c r="S454" i="45"/>
  <c r="O454" i="45"/>
  <c r="AT454" i="45"/>
  <c r="AP454" i="45"/>
  <c r="AL454" i="45"/>
  <c r="AH454" i="45"/>
  <c r="AD454" i="45"/>
  <c r="Z454" i="45"/>
  <c r="V454" i="45"/>
  <c r="R454" i="45"/>
  <c r="N454" i="45"/>
  <c r="AS454" i="45"/>
  <c r="AC454" i="45"/>
  <c r="M454" i="45"/>
  <c r="AG454" i="45"/>
  <c r="AO454" i="45"/>
  <c r="Y454" i="45"/>
  <c r="Q454" i="45"/>
  <c r="AK454" i="45"/>
  <c r="U454" i="45"/>
  <c r="AR452" i="45"/>
  <c r="AN452" i="45"/>
  <c r="AJ452" i="45"/>
  <c r="AF452" i="45"/>
  <c r="AB452" i="45"/>
  <c r="X452" i="45"/>
  <c r="T452" i="45"/>
  <c r="P452" i="45"/>
  <c r="L452" i="45"/>
  <c r="AU452" i="45"/>
  <c r="AQ452" i="45"/>
  <c r="AM452" i="45"/>
  <c r="AI452" i="45"/>
  <c r="AE452" i="45"/>
  <c r="AA452" i="45"/>
  <c r="W452" i="45"/>
  <c r="S452" i="45"/>
  <c r="O452" i="45"/>
  <c r="AT452" i="45"/>
  <c r="AP452" i="45"/>
  <c r="AL452" i="45"/>
  <c r="AH452" i="45"/>
  <c r="AD452" i="45"/>
  <c r="Z452" i="45"/>
  <c r="V452" i="45"/>
  <c r="R452" i="45"/>
  <c r="N452" i="45"/>
  <c r="AK452" i="45"/>
  <c r="U452" i="45"/>
  <c r="AO452" i="45"/>
  <c r="AG452" i="45"/>
  <c r="Q452" i="45"/>
  <c r="AS452" i="45"/>
  <c r="AC452" i="45"/>
  <c r="M452" i="45"/>
  <c r="Y452" i="45"/>
  <c r="AR450" i="45"/>
  <c r="AN450" i="45"/>
  <c r="AJ450" i="45"/>
  <c r="AF450" i="45"/>
  <c r="AB450" i="45"/>
  <c r="X450" i="45"/>
  <c r="T450" i="45"/>
  <c r="P450" i="45"/>
  <c r="L450" i="45"/>
  <c r="AU450" i="45"/>
  <c r="AQ450" i="45"/>
  <c r="AM450" i="45"/>
  <c r="AI450" i="45"/>
  <c r="AE450" i="45"/>
  <c r="AA450" i="45"/>
  <c r="W450" i="45"/>
  <c r="S450" i="45"/>
  <c r="O450" i="45"/>
  <c r="AT450" i="45"/>
  <c r="AP450" i="45"/>
  <c r="AL450" i="45"/>
  <c r="AH450" i="45"/>
  <c r="AD450" i="45"/>
  <c r="Z450" i="45"/>
  <c r="V450" i="45"/>
  <c r="R450" i="45"/>
  <c r="N450" i="45"/>
  <c r="AS450" i="45"/>
  <c r="AC450" i="45"/>
  <c r="M450" i="45"/>
  <c r="AO450" i="45"/>
  <c r="Y450" i="45"/>
  <c r="AG450" i="45"/>
  <c r="AK450" i="45"/>
  <c r="U450" i="45"/>
  <c r="Q450" i="45"/>
  <c r="AR448" i="45"/>
  <c r="AN448" i="45"/>
  <c r="AJ448" i="45"/>
  <c r="AF448" i="45"/>
  <c r="AB448" i="45"/>
  <c r="X448" i="45"/>
  <c r="T448" i="45"/>
  <c r="P448" i="45"/>
  <c r="L448" i="45"/>
  <c r="AU448" i="45"/>
  <c r="AQ448" i="45"/>
  <c r="AM448" i="45"/>
  <c r="AI448" i="45"/>
  <c r="AE448" i="45"/>
  <c r="AA448" i="45"/>
  <c r="W448" i="45"/>
  <c r="S448" i="45"/>
  <c r="O448" i="45"/>
  <c r="AT448" i="45"/>
  <c r="AP448" i="45"/>
  <c r="AL448" i="45"/>
  <c r="AH448" i="45"/>
  <c r="AD448" i="45"/>
  <c r="Z448" i="45"/>
  <c r="V448" i="45"/>
  <c r="R448" i="45"/>
  <c r="N448" i="45"/>
  <c r="AK448" i="45"/>
  <c r="U448" i="45"/>
  <c r="AG448" i="45"/>
  <c r="Q448" i="45"/>
  <c r="Y448" i="45"/>
  <c r="AS448" i="45"/>
  <c r="AC448" i="45"/>
  <c r="M448" i="45"/>
  <c r="AO448" i="45"/>
  <c r="AR446" i="45"/>
  <c r="AN446" i="45"/>
  <c r="AJ446" i="45"/>
  <c r="AF446" i="45"/>
  <c r="AB446" i="45"/>
  <c r="X446" i="45"/>
  <c r="T446" i="45"/>
  <c r="P446" i="45"/>
  <c r="L446" i="45"/>
  <c r="AU446" i="45"/>
  <c r="AQ446" i="45"/>
  <c r="AM446" i="45"/>
  <c r="AI446" i="45"/>
  <c r="AE446" i="45"/>
  <c r="AA446" i="45"/>
  <c r="W446" i="45"/>
  <c r="S446" i="45"/>
  <c r="O446" i="45"/>
  <c r="AT446" i="45"/>
  <c r="AP446" i="45"/>
  <c r="AL446" i="45"/>
  <c r="AH446" i="45"/>
  <c r="AD446" i="45"/>
  <c r="Z446" i="45"/>
  <c r="V446" i="45"/>
  <c r="R446" i="45"/>
  <c r="N446" i="45"/>
  <c r="AS446" i="45"/>
  <c r="AC446" i="45"/>
  <c r="M446" i="45"/>
  <c r="Q446" i="45"/>
  <c r="AO446" i="45"/>
  <c r="Y446" i="45"/>
  <c r="AK446" i="45"/>
  <c r="U446" i="45"/>
  <c r="AG446" i="45"/>
  <c r="AR444" i="45"/>
  <c r="AN444" i="45"/>
  <c r="AJ444" i="45"/>
  <c r="AF444" i="45"/>
  <c r="AB444" i="45"/>
  <c r="X444" i="45"/>
  <c r="T444" i="45"/>
  <c r="P444" i="45"/>
  <c r="L444" i="45"/>
  <c r="AU444" i="45"/>
  <c r="AQ444" i="45"/>
  <c r="AM444" i="45"/>
  <c r="AI444" i="45"/>
  <c r="AE444" i="45"/>
  <c r="AA444" i="45"/>
  <c r="W444" i="45"/>
  <c r="S444" i="45"/>
  <c r="O444" i="45"/>
  <c r="AT444" i="45"/>
  <c r="AP444" i="45"/>
  <c r="AL444" i="45"/>
  <c r="AH444" i="45"/>
  <c r="AD444" i="45"/>
  <c r="Z444" i="45"/>
  <c r="V444" i="45"/>
  <c r="R444" i="45"/>
  <c r="N444" i="45"/>
  <c r="AK444" i="45"/>
  <c r="U444" i="45"/>
  <c r="AO444" i="45"/>
  <c r="AG444" i="45"/>
  <c r="Q444" i="45"/>
  <c r="Y444" i="45"/>
  <c r="AS444" i="45"/>
  <c r="AC444" i="45"/>
  <c r="M444" i="45"/>
  <c r="AR442" i="45"/>
  <c r="AN442" i="45"/>
  <c r="AJ442" i="45"/>
  <c r="AF442" i="45"/>
  <c r="AB442" i="45"/>
  <c r="X442" i="45"/>
  <c r="T442" i="45"/>
  <c r="P442" i="45"/>
  <c r="L442" i="45"/>
  <c r="AU442" i="45"/>
  <c r="AQ442" i="45"/>
  <c r="AM442" i="45"/>
  <c r="AI442" i="45"/>
  <c r="AE442" i="45"/>
  <c r="AA442" i="45"/>
  <c r="W442" i="45"/>
  <c r="S442" i="45"/>
  <c r="O442" i="45"/>
  <c r="AT442" i="45"/>
  <c r="AP442" i="45"/>
  <c r="AL442" i="45"/>
  <c r="AH442" i="45"/>
  <c r="AD442" i="45"/>
  <c r="Z442" i="45"/>
  <c r="V442" i="45"/>
  <c r="R442" i="45"/>
  <c r="N442" i="45"/>
  <c r="AS442" i="45"/>
  <c r="AC442" i="45"/>
  <c r="M442" i="45"/>
  <c r="AO442" i="45"/>
  <c r="Y442" i="45"/>
  <c r="Q442" i="45"/>
  <c r="AK442" i="45"/>
  <c r="U442" i="45"/>
  <c r="AG442" i="45"/>
  <c r="AR440" i="45"/>
  <c r="AN440" i="45"/>
  <c r="AJ440" i="45"/>
  <c r="AF440" i="45"/>
  <c r="AB440" i="45"/>
  <c r="X440" i="45"/>
  <c r="T440" i="45"/>
  <c r="P440" i="45"/>
  <c r="L440" i="45"/>
  <c r="AU440" i="45"/>
  <c r="AQ440" i="45"/>
  <c r="AM440" i="45"/>
  <c r="AI440" i="45"/>
  <c r="AE440" i="45"/>
  <c r="AA440" i="45"/>
  <c r="W440" i="45"/>
  <c r="S440" i="45"/>
  <c r="O440" i="45"/>
  <c r="AT440" i="45"/>
  <c r="AP440" i="45"/>
  <c r="AL440" i="45"/>
  <c r="AH440" i="45"/>
  <c r="AD440" i="45"/>
  <c r="Z440" i="45"/>
  <c r="V440" i="45"/>
  <c r="R440" i="45"/>
  <c r="N440" i="45"/>
  <c r="AK440" i="45"/>
  <c r="U440" i="45"/>
  <c r="AG440" i="45"/>
  <c r="Q440" i="45"/>
  <c r="AO440" i="45"/>
  <c r="AS440" i="45"/>
  <c r="AC440" i="45"/>
  <c r="M440" i="45"/>
  <c r="Y440" i="45"/>
  <c r="AR438" i="45"/>
  <c r="AN438" i="45"/>
  <c r="AJ438" i="45"/>
  <c r="AF438" i="45"/>
  <c r="AB438" i="45"/>
  <c r="X438" i="45"/>
  <c r="T438" i="45"/>
  <c r="P438" i="45"/>
  <c r="L438" i="45"/>
  <c r="AU438" i="45"/>
  <c r="AQ438" i="45"/>
  <c r="AM438" i="45"/>
  <c r="AI438" i="45"/>
  <c r="AE438" i="45"/>
  <c r="AA438" i="45"/>
  <c r="W438" i="45"/>
  <c r="S438" i="45"/>
  <c r="O438" i="45"/>
  <c r="AT438" i="45"/>
  <c r="AP438" i="45"/>
  <c r="AL438" i="45"/>
  <c r="AH438" i="45"/>
  <c r="AD438" i="45"/>
  <c r="Z438" i="45"/>
  <c r="V438" i="45"/>
  <c r="R438" i="45"/>
  <c r="N438" i="45"/>
  <c r="AS438" i="45"/>
  <c r="AC438" i="45"/>
  <c r="M438" i="45"/>
  <c r="AG438" i="45"/>
  <c r="AO438" i="45"/>
  <c r="Y438" i="45"/>
  <c r="Q438" i="45"/>
  <c r="AK438" i="45"/>
  <c r="U438" i="45"/>
  <c r="AR436" i="45"/>
  <c r="AN436" i="45"/>
  <c r="AJ436" i="45"/>
  <c r="AF436" i="45"/>
  <c r="AB436" i="45"/>
  <c r="X436" i="45"/>
  <c r="T436" i="45"/>
  <c r="P436" i="45"/>
  <c r="L436" i="45"/>
  <c r="AU436" i="45"/>
  <c r="AQ436" i="45"/>
  <c r="AM436" i="45"/>
  <c r="AI436" i="45"/>
  <c r="AE436" i="45"/>
  <c r="AA436" i="45"/>
  <c r="W436" i="45"/>
  <c r="S436" i="45"/>
  <c r="O436" i="45"/>
  <c r="AT436" i="45"/>
  <c r="AP436" i="45"/>
  <c r="AL436" i="45"/>
  <c r="AH436" i="45"/>
  <c r="AD436" i="45"/>
  <c r="Z436" i="45"/>
  <c r="V436" i="45"/>
  <c r="R436" i="45"/>
  <c r="N436" i="45"/>
  <c r="AK436" i="45"/>
  <c r="U436" i="45"/>
  <c r="AG436" i="45"/>
  <c r="Q436" i="45"/>
  <c r="AO436" i="45"/>
  <c r="AS436" i="45"/>
  <c r="AC436" i="45"/>
  <c r="M436" i="45"/>
  <c r="Y436" i="45"/>
  <c r="AR434" i="45"/>
  <c r="AN434" i="45"/>
  <c r="AJ434" i="45"/>
  <c r="AF434" i="45"/>
  <c r="AB434" i="45"/>
  <c r="X434" i="45"/>
  <c r="T434" i="45"/>
  <c r="P434" i="45"/>
  <c r="L434" i="45"/>
  <c r="AU434" i="45"/>
  <c r="AQ434" i="45"/>
  <c r="AM434" i="45"/>
  <c r="AI434" i="45"/>
  <c r="AE434" i="45"/>
  <c r="AA434" i="45"/>
  <c r="W434" i="45"/>
  <c r="S434" i="45"/>
  <c r="O434" i="45"/>
  <c r="AT434" i="45"/>
  <c r="AL434" i="45"/>
  <c r="AD434" i="45"/>
  <c r="V434" i="45"/>
  <c r="N434" i="45"/>
  <c r="Y434" i="45"/>
  <c r="AS434" i="45"/>
  <c r="AK434" i="45"/>
  <c r="AC434" i="45"/>
  <c r="U434" i="45"/>
  <c r="M434" i="45"/>
  <c r="AO434" i="45"/>
  <c r="Q434" i="45"/>
  <c r="AP434" i="45"/>
  <c r="AH434" i="45"/>
  <c r="Z434" i="45"/>
  <c r="R434" i="45"/>
  <c r="AG434" i="45"/>
  <c r="AT432" i="45"/>
  <c r="AP432" i="45"/>
  <c r="AL432" i="45"/>
  <c r="AH432" i="45"/>
  <c r="AD432" i="45"/>
  <c r="Z432" i="45"/>
  <c r="V432" i="45"/>
  <c r="R432" i="45"/>
  <c r="N432" i="45"/>
  <c r="AU432" i="45"/>
  <c r="AE432" i="45"/>
  <c r="S432" i="45"/>
  <c r="AS432" i="45"/>
  <c r="AO432" i="45"/>
  <c r="AK432" i="45"/>
  <c r="AG432" i="45"/>
  <c r="AC432" i="45"/>
  <c r="Y432" i="45"/>
  <c r="U432" i="45"/>
  <c r="Q432" i="45"/>
  <c r="M432" i="45"/>
  <c r="AM432" i="45"/>
  <c r="AI432" i="45"/>
  <c r="W432" i="45"/>
  <c r="AR432" i="45"/>
  <c r="AN432" i="45"/>
  <c r="AJ432" i="45"/>
  <c r="AF432" i="45"/>
  <c r="AB432" i="45"/>
  <c r="X432" i="45"/>
  <c r="T432" i="45"/>
  <c r="P432" i="45"/>
  <c r="L432" i="45"/>
  <c r="AQ432" i="45"/>
  <c r="AA432" i="45"/>
  <c r="O432" i="45"/>
  <c r="AT430" i="45"/>
  <c r="AP430" i="45"/>
  <c r="AL430" i="45"/>
  <c r="AH430" i="45"/>
  <c r="AD430" i="45"/>
  <c r="Z430" i="45"/>
  <c r="V430" i="45"/>
  <c r="R430" i="45"/>
  <c r="N430" i="45"/>
  <c r="AQ430" i="45"/>
  <c r="AA430" i="45"/>
  <c r="O430" i="45"/>
  <c r="AS430" i="45"/>
  <c r="AO430" i="45"/>
  <c r="AK430" i="45"/>
  <c r="AG430" i="45"/>
  <c r="AC430" i="45"/>
  <c r="Y430" i="45"/>
  <c r="U430" i="45"/>
  <c r="Q430" i="45"/>
  <c r="M430" i="45"/>
  <c r="AU430" i="45"/>
  <c r="AI430" i="45"/>
  <c r="W430" i="45"/>
  <c r="AR430" i="45"/>
  <c r="AN430" i="45"/>
  <c r="AJ430" i="45"/>
  <c r="AF430" i="45"/>
  <c r="AB430" i="45"/>
  <c r="X430" i="45"/>
  <c r="T430" i="45"/>
  <c r="P430" i="45"/>
  <c r="L430" i="45"/>
  <c r="AM430" i="45"/>
  <c r="AE430" i="45"/>
  <c r="S430" i="45"/>
  <c r="AT428" i="45"/>
  <c r="AP428" i="45"/>
  <c r="AL428" i="45"/>
  <c r="AH428" i="45"/>
  <c r="AD428" i="45"/>
  <c r="Z428" i="45"/>
  <c r="V428" i="45"/>
  <c r="R428" i="45"/>
  <c r="N428" i="45"/>
  <c r="AM428" i="45"/>
  <c r="AA428" i="45"/>
  <c r="O428" i="45"/>
  <c r="AS428" i="45"/>
  <c r="AO428" i="45"/>
  <c r="AK428" i="45"/>
  <c r="AG428" i="45"/>
  <c r="AC428" i="45"/>
  <c r="Y428" i="45"/>
  <c r="U428" i="45"/>
  <c r="Q428" i="45"/>
  <c r="M428" i="45"/>
  <c r="AQ428" i="45"/>
  <c r="AE428" i="45"/>
  <c r="S428" i="45"/>
  <c r="AR428" i="45"/>
  <c r="AN428" i="45"/>
  <c r="AJ428" i="45"/>
  <c r="AF428" i="45"/>
  <c r="AB428" i="45"/>
  <c r="X428" i="45"/>
  <c r="T428" i="45"/>
  <c r="P428" i="45"/>
  <c r="L428" i="45"/>
  <c r="AU428" i="45"/>
  <c r="AI428" i="45"/>
  <c r="W428" i="45"/>
  <c r="AT426" i="45"/>
  <c r="AP426" i="45"/>
  <c r="AL426" i="45"/>
  <c r="AH426" i="45"/>
  <c r="AD426" i="45"/>
  <c r="Z426" i="45"/>
  <c r="V426" i="45"/>
  <c r="R426" i="45"/>
  <c r="N426" i="45"/>
  <c r="AM426" i="45"/>
  <c r="AA426" i="45"/>
  <c r="O426" i="45"/>
  <c r="AS426" i="45"/>
  <c r="AO426" i="45"/>
  <c r="AK426" i="45"/>
  <c r="AG426" i="45"/>
  <c r="AC426" i="45"/>
  <c r="Y426" i="45"/>
  <c r="U426" i="45"/>
  <c r="Q426" i="45"/>
  <c r="M426" i="45"/>
  <c r="AQ426" i="45"/>
  <c r="AE426" i="45"/>
  <c r="S426" i="45"/>
  <c r="AR426" i="45"/>
  <c r="AN426" i="45"/>
  <c r="AJ426" i="45"/>
  <c r="AF426" i="45"/>
  <c r="AB426" i="45"/>
  <c r="X426" i="45"/>
  <c r="T426" i="45"/>
  <c r="P426" i="45"/>
  <c r="L426" i="45"/>
  <c r="AU426" i="45"/>
  <c r="AI426" i="45"/>
  <c r="W426" i="45"/>
  <c r="AT424" i="45"/>
  <c r="AP424" i="45"/>
  <c r="AL424" i="45"/>
  <c r="AH424" i="45"/>
  <c r="AD424" i="45"/>
  <c r="Z424" i="45"/>
  <c r="V424" i="45"/>
  <c r="R424" i="45"/>
  <c r="N424" i="45"/>
  <c r="AM424" i="45"/>
  <c r="AA424" i="45"/>
  <c r="O424" i="45"/>
  <c r="AS424" i="45"/>
  <c r="AO424" i="45"/>
  <c r="AK424" i="45"/>
  <c r="AG424" i="45"/>
  <c r="AC424" i="45"/>
  <c r="Y424" i="45"/>
  <c r="U424" i="45"/>
  <c r="Q424" i="45"/>
  <c r="M424" i="45"/>
  <c r="AU424" i="45"/>
  <c r="AI424" i="45"/>
  <c r="W424" i="45"/>
  <c r="AR424" i="45"/>
  <c r="AN424" i="45"/>
  <c r="AJ424" i="45"/>
  <c r="AF424" i="45"/>
  <c r="AB424" i="45"/>
  <c r="X424" i="45"/>
  <c r="T424" i="45"/>
  <c r="P424" i="45"/>
  <c r="L424" i="45"/>
  <c r="AQ424" i="45"/>
  <c r="AE424" i="45"/>
  <c r="S424" i="45"/>
  <c r="AT422" i="45"/>
  <c r="AP422" i="45"/>
  <c r="AL422" i="45"/>
  <c r="AH422" i="45"/>
  <c r="AD422" i="45"/>
  <c r="Z422" i="45"/>
  <c r="V422" i="45"/>
  <c r="R422" i="45"/>
  <c r="N422" i="45"/>
  <c r="AM422" i="45"/>
  <c r="AA422" i="45"/>
  <c r="O422" i="45"/>
  <c r="AS422" i="45"/>
  <c r="AO422" i="45"/>
  <c r="AK422" i="45"/>
  <c r="AG422" i="45"/>
  <c r="AC422" i="45"/>
  <c r="Y422" i="45"/>
  <c r="U422" i="45"/>
  <c r="Q422" i="45"/>
  <c r="M422" i="45"/>
  <c r="AQ422" i="45"/>
  <c r="AI422" i="45"/>
  <c r="W422" i="45"/>
  <c r="AR422" i="45"/>
  <c r="AN422" i="45"/>
  <c r="AJ422" i="45"/>
  <c r="AF422" i="45"/>
  <c r="AB422" i="45"/>
  <c r="X422" i="45"/>
  <c r="T422" i="45"/>
  <c r="P422" i="45"/>
  <c r="L422" i="45"/>
  <c r="AU422" i="45"/>
  <c r="AE422" i="45"/>
  <c r="S422" i="45"/>
  <c r="AT420" i="45"/>
  <c r="AP420" i="45"/>
  <c r="AL420" i="45"/>
  <c r="AH420" i="45"/>
  <c r="AD420" i="45"/>
  <c r="Z420" i="45"/>
  <c r="V420" i="45"/>
  <c r="R420" i="45"/>
  <c r="N420" i="45"/>
  <c r="AM420" i="45"/>
  <c r="AA420" i="45"/>
  <c r="O420" i="45"/>
  <c r="AS420" i="45"/>
  <c r="AO420" i="45"/>
  <c r="AK420" i="45"/>
  <c r="AG420" i="45"/>
  <c r="AC420" i="45"/>
  <c r="Y420" i="45"/>
  <c r="U420" i="45"/>
  <c r="Q420" i="45"/>
  <c r="M420" i="45"/>
  <c r="AU420" i="45"/>
  <c r="AI420" i="45"/>
  <c r="S420" i="45"/>
  <c r="AR420" i="45"/>
  <c r="AN420" i="45"/>
  <c r="AJ420" i="45"/>
  <c r="AF420" i="45"/>
  <c r="AB420" i="45"/>
  <c r="X420" i="45"/>
  <c r="T420" i="45"/>
  <c r="P420" i="45"/>
  <c r="L420" i="45"/>
  <c r="AQ420" i="45"/>
  <c r="AE420" i="45"/>
  <c r="W420" i="45"/>
  <c r="AT417" i="45"/>
  <c r="AP417" i="45"/>
  <c r="AL417" i="45"/>
  <c r="AH417" i="45"/>
  <c r="AD417" i="45"/>
  <c r="Z417" i="45"/>
  <c r="V417" i="45"/>
  <c r="R417" i="45"/>
  <c r="N417" i="45"/>
  <c r="AU417" i="45"/>
  <c r="AE417" i="45"/>
  <c r="S417" i="45"/>
  <c r="AS417" i="45"/>
  <c r="AO417" i="45"/>
  <c r="AK417" i="45"/>
  <c r="AG417" i="45"/>
  <c r="AC417" i="45"/>
  <c r="Y417" i="45"/>
  <c r="U417" i="45"/>
  <c r="Q417" i="45"/>
  <c r="M417" i="45"/>
  <c r="AM417" i="45"/>
  <c r="AA417" i="45"/>
  <c r="O417" i="45"/>
  <c r="AR417" i="45"/>
  <c r="AN417" i="45"/>
  <c r="AJ417" i="45"/>
  <c r="AF417" i="45"/>
  <c r="AB417" i="45"/>
  <c r="X417" i="45"/>
  <c r="T417" i="45"/>
  <c r="P417" i="45"/>
  <c r="L417" i="45"/>
  <c r="AQ417" i="45"/>
  <c r="AI417" i="45"/>
  <c r="W417" i="45"/>
  <c r="AT415" i="45"/>
  <c r="AP415" i="45"/>
  <c r="AL415" i="45"/>
  <c r="AH415" i="45"/>
  <c r="AD415" i="45"/>
  <c r="Z415" i="45"/>
  <c r="V415" i="45"/>
  <c r="R415" i="45"/>
  <c r="N415" i="45"/>
  <c r="AQ415" i="45"/>
  <c r="AE415" i="45"/>
  <c r="S415" i="45"/>
  <c r="AS415" i="45"/>
  <c r="AO415" i="45"/>
  <c r="AK415" i="45"/>
  <c r="AG415" i="45"/>
  <c r="AC415" i="45"/>
  <c r="Y415" i="45"/>
  <c r="U415" i="45"/>
  <c r="Q415" i="45"/>
  <c r="M415" i="45"/>
  <c r="AU415" i="45"/>
  <c r="AI415" i="45"/>
  <c r="W415" i="45"/>
  <c r="AR415" i="45"/>
  <c r="AN415" i="45"/>
  <c r="AJ415" i="45"/>
  <c r="AF415" i="45"/>
  <c r="AB415" i="45"/>
  <c r="X415" i="45"/>
  <c r="T415" i="45"/>
  <c r="P415" i="45"/>
  <c r="L415" i="45"/>
  <c r="AM415" i="45"/>
  <c r="AA415" i="45"/>
  <c r="O415" i="45"/>
  <c r="AT413" i="45"/>
  <c r="AP413" i="45"/>
  <c r="AL413" i="45"/>
  <c r="AH413" i="45"/>
  <c r="AD413" i="45"/>
  <c r="Z413" i="45"/>
  <c r="V413" i="45"/>
  <c r="R413" i="45"/>
  <c r="N413" i="45"/>
  <c r="AM413" i="45"/>
  <c r="AA413" i="45"/>
  <c r="O413" i="45"/>
  <c r="AS413" i="45"/>
  <c r="AO413" i="45"/>
  <c r="AK413" i="45"/>
  <c r="AG413" i="45"/>
  <c r="AC413" i="45"/>
  <c r="Y413" i="45"/>
  <c r="U413" i="45"/>
  <c r="Q413" i="45"/>
  <c r="M413" i="45"/>
  <c r="AQ413" i="45"/>
  <c r="AI413" i="45"/>
  <c r="W413" i="45"/>
  <c r="AR413" i="45"/>
  <c r="AN413" i="45"/>
  <c r="AJ413" i="45"/>
  <c r="AF413" i="45"/>
  <c r="AB413" i="45"/>
  <c r="X413" i="45"/>
  <c r="T413" i="45"/>
  <c r="P413" i="45"/>
  <c r="L413" i="45"/>
  <c r="AU413" i="45"/>
  <c r="AE413" i="45"/>
  <c r="S413" i="45"/>
  <c r="AT411" i="45"/>
  <c r="AP411" i="45"/>
  <c r="AL411" i="45"/>
  <c r="AH411" i="45"/>
  <c r="AD411" i="45"/>
  <c r="Z411" i="45"/>
  <c r="V411" i="45"/>
  <c r="R411" i="45"/>
  <c r="N411" i="45"/>
  <c r="AM411" i="45"/>
  <c r="AA411" i="45"/>
  <c r="O411" i="45"/>
  <c r="AS411" i="45"/>
  <c r="AO411" i="45"/>
  <c r="AK411" i="45"/>
  <c r="AG411" i="45"/>
  <c r="AC411" i="45"/>
  <c r="Y411" i="45"/>
  <c r="U411" i="45"/>
  <c r="Q411" i="45"/>
  <c r="M411" i="45"/>
  <c r="AQ411" i="45"/>
  <c r="AI411" i="45"/>
  <c r="W411" i="45"/>
  <c r="AR411" i="45"/>
  <c r="AN411" i="45"/>
  <c r="AJ411" i="45"/>
  <c r="AF411" i="45"/>
  <c r="AB411" i="45"/>
  <c r="X411" i="45"/>
  <c r="T411" i="45"/>
  <c r="P411" i="45"/>
  <c r="L411" i="45"/>
  <c r="AU411" i="45"/>
  <c r="AE411" i="45"/>
  <c r="S411" i="45"/>
  <c r="AT409" i="45"/>
  <c r="AP409" i="45"/>
  <c r="AL409" i="45"/>
  <c r="AH409" i="45"/>
  <c r="AD409" i="45"/>
  <c r="Z409" i="45"/>
  <c r="V409" i="45"/>
  <c r="R409" i="45"/>
  <c r="N409" i="45"/>
  <c r="AM409" i="45"/>
  <c r="AI409" i="45"/>
  <c r="W409" i="45"/>
  <c r="AS409" i="45"/>
  <c r="AO409" i="45"/>
  <c r="AK409" i="45"/>
  <c r="AG409" i="45"/>
  <c r="AC409" i="45"/>
  <c r="Y409" i="45"/>
  <c r="U409" i="45"/>
  <c r="Q409" i="45"/>
  <c r="M409" i="45"/>
  <c r="AQ409" i="45"/>
  <c r="AE409" i="45"/>
  <c r="S409" i="45"/>
  <c r="AR409" i="45"/>
  <c r="AN409" i="45"/>
  <c r="AJ409" i="45"/>
  <c r="AF409" i="45"/>
  <c r="AB409" i="45"/>
  <c r="X409" i="45"/>
  <c r="T409" i="45"/>
  <c r="P409" i="45"/>
  <c r="L409" i="45"/>
  <c r="AU409" i="45"/>
  <c r="AA409" i="45"/>
  <c r="O409" i="45"/>
  <c r="AT407" i="45"/>
  <c r="AP407" i="45"/>
  <c r="AL407" i="45"/>
  <c r="AH407" i="45"/>
  <c r="AD407" i="45"/>
  <c r="Z407" i="45"/>
  <c r="V407" i="45"/>
  <c r="R407" i="45"/>
  <c r="N407" i="45"/>
  <c r="AU407" i="45"/>
  <c r="AI407" i="45"/>
  <c r="W407" i="45"/>
  <c r="AS407" i="45"/>
  <c r="AO407" i="45"/>
  <c r="AK407" i="45"/>
  <c r="AG407" i="45"/>
  <c r="AC407" i="45"/>
  <c r="Y407" i="45"/>
  <c r="U407" i="45"/>
  <c r="Q407" i="45"/>
  <c r="M407" i="45"/>
  <c r="AM407" i="45"/>
  <c r="AA407" i="45"/>
  <c r="O407" i="45"/>
  <c r="AR407" i="45"/>
  <c r="AN407" i="45"/>
  <c r="AJ407" i="45"/>
  <c r="AF407" i="45"/>
  <c r="AB407" i="45"/>
  <c r="X407" i="45"/>
  <c r="T407" i="45"/>
  <c r="P407" i="45"/>
  <c r="L407" i="45"/>
  <c r="AQ407" i="45"/>
  <c r="AE407" i="45"/>
  <c r="S407" i="45"/>
  <c r="AT405" i="45"/>
  <c r="AP405" i="45"/>
  <c r="AL405" i="45"/>
  <c r="AH405" i="45"/>
  <c r="AD405" i="45"/>
  <c r="Z405" i="45"/>
  <c r="V405" i="45"/>
  <c r="R405" i="45"/>
  <c r="N405" i="45"/>
  <c r="AQ405" i="45"/>
  <c r="AA405" i="45"/>
  <c r="O405" i="45"/>
  <c r="AS405" i="45"/>
  <c r="AO405" i="45"/>
  <c r="AK405" i="45"/>
  <c r="AG405" i="45"/>
  <c r="AC405" i="45"/>
  <c r="Y405" i="45"/>
  <c r="U405" i="45"/>
  <c r="Q405" i="45"/>
  <c r="M405" i="45"/>
  <c r="AU405" i="45"/>
  <c r="AI405" i="45"/>
  <c r="S405" i="45"/>
  <c r="AR405" i="45"/>
  <c r="AN405" i="45"/>
  <c r="AJ405" i="45"/>
  <c r="AF405" i="45"/>
  <c r="AB405" i="45"/>
  <c r="X405" i="45"/>
  <c r="T405" i="45"/>
  <c r="P405" i="45"/>
  <c r="L405" i="45"/>
  <c r="AM405" i="45"/>
  <c r="AE405" i="45"/>
  <c r="W405" i="45"/>
  <c r="AT403" i="45"/>
  <c r="AP403" i="45"/>
  <c r="AL403" i="45"/>
  <c r="AH403" i="45"/>
  <c r="AD403" i="45"/>
  <c r="Z403" i="45"/>
  <c r="V403" i="45"/>
  <c r="R403" i="45"/>
  <c r="N403" i="45"/>
  <c r="AM403" i="45"/>
  <c r="W403" i="45"/>
  <c r="AS403" i="45"/>
  <c r="AO403" i="45"/>
  <c r="AK403" i="45"/>
  <c r="AG403" i="45"/>
  <c r="AC403" i="45"/>
  <c r="Y403" i="45"/>
  <c r="U403" i="45"/>
  <c r="Q403" i="45"/>
  <c r="M403" i="45"/>
  <c r="AQ403" i="45"/>
  <c r="AE403" i="45"/>
  <c r="S403" i="45"/>
  <c r="AR403" i="45"/>
  <c r="AN403" i="45"/>
  <c r="AJ403" i="45"/>
  <c r="AF403" i="45"/>
  <c r="AB403" i="45"/>
  <c r="X403" i="45"/>
  <c r="T403" i="45"/>
  <c r="P403" i="45"/>
  <c r="L403" i="45"/>
  <c r="AU403" i="45"/>
  <c r="AI403" i="45"/>
  <c r="AA403" i="45"/>
  <c r="O403" i="45"/>
  <c r="AT401" i="45"/>
  <c r="AP401" i="45"/>
  <c r="AL401" i="45"/>
  <c r="AH401" i="45"/>
  <c r="AD401" i="45"/>
  <c r="Z401" i="45"/>
  <c r="V401" i="45"/>
  <c r="R401" i="45"/>
  <c r="N401" i="45"/>
  <c r="AU401" i="45"/>
  <c r="AE401" i="45"/>
  <c r="S401" i="45"/>
  <c r="AS401" i="45"/>
  <c r="AO401" i="45"/>
  <c r="AK401" i="45"/>
  <c r="AG401" i="45"/>
  <c r="AC401" i="45"/>
  <c r="Y401" i="45"/>
  <c r="U401" i="45"/>
  <c r="Q401" i="45"/>
  <c r="M401" i="45"/>
  <c r="AQ401" i="45"/>
  <c r="AI401" i="45"/>
  <c r="W401" i="45"/>
  <c r="AR401" i="45"/>
  <c r="AN401" i="45"/>
  <c r="AJ401" i="45"/>
  <c r="AF401" i="45"/>
  <c r="AB401" i="45"/>
  <c r="X401" i="45"/>
  <c r="T401" i="45"/>
  <c r="P401" i="45"/>
  <c r="L401" i="45"/>
  <c r="AM401" i="45"/>
  <c r="AA401" i="45"/>
  <c r="O401" i="45"/>
  <c r="AT399" i="45"/>
  <c r="AP399" i="45"/>
  <c r="AL399" i="45"/>
  <c r="AH399" i="45"/>
  <c r="AD399" i="45"/>
  <c r="Z399" i="45"/>
  <c r="V399" i="45"/>
  <c r="R399" i="45"/>
  <c r="N399" i="45"/>
  <c r="AQ399" i="45"/>
  <c r="AA399" i="45"/>
  <c r="S399" i="45"/>
  <c r="AS399" i="45"/>
  <c r="AO399" i="45"/>
  <c r="AK399" i="45"/>
  <c r="AG399" i="45"/>
  <c r="AC399" i="45"/>
  <c r="Y399" i="45"/>
  <c r="U399" i="45"/>
  <c r="Q399" i="45"/>
  <c r="M399" i="45"/>
  <c r="AU399" i="45"/>
  <c r="AI399" i="45"/>
  <c r="W399" i="45"/>
  <c r="AR399" i="45"/>
  <c r="AN399" i="45"/>
  <c r="AJ399" i="45"/>
  <c r="AF399" i="45"/>
  <c r="AB399" i="45"/>
  <c r="X399" i="45"/>
  <c r="T399" i="45"/>
  <c r="P399" i="45"/>
  <c r="L399" i="45"/>
  <c r="AM399" i="45"/>
  <c r="AE399" i="45"/>
  <c r="O399" i="45"/>
  <c r="AT397" i="45"/>
  <c r="AP397" i="45"/>
  <c r="AL397" i="45"/>
  <c r="AH397" i="45"/>
  <c r="AD397" i="45"/>
  <c r="Z397" i="45"/>
  <c r="V397" i="45"/>
  <c r="R397" i="45"/>
  <c r="N397" i="45"/>
  <c r="AQ397" i="45"/>
  <c r="AE397" i="45"/>
  <c r="S397" i="45"/>
  <c r="AS397" i="45"/>
  <c r="AO397" i="45"/>
  <c r="AK397" i="45"/>
  <c r="AG397" i="45"/>
  <c r="AC397" i="45"/>
  <c r="Y397" i="45"/>
  <c r="U397" i="45"/>
  <c r="Q397" i="45"/>
  <c r="M397" i="45"/>
  <c r="AF397" i="45"/>
  <c r="X397" i="45"/>
  <c r="P397" i="45"/>
  <c r="AU397" i="45"/>
  <c r="AI397" i="45"/>
  <c r="AA397" i="45"/>
  <c r="AR397" i="45"/>
  <c r="AN397" i="45"/>
  <c r="AJ397" i="45"/>
  <c r="AB397" i="45"/>
  <c r="T397" i="45"/>
  <c r="L397" i="45"/>
  <c r="AM397" i="45"/>
  <c r="W397" i="45"/>
  <c r="O397" i="45"/>
  <c r="AR479" i="45"/>
  <c r="AN479" i="45"/>
  <c r="AJ479" i="45"/>
  <c r="AF479" i="45"/>
  <c r="AB479" i="45"/>
  <c r="X479" i="45"/>
  <c r="T479" i="45"/>
  <c r="P479" i="45"/>
  <c r="L479" i="45"/>
  <c r="AU479" i="45"/>
  <c r="AQ479" i="45"/>
  <c r="AM479" i="45"/>
  <c r="AI479" i="45"/>
  <c r="AE479" i="45"/>
  <c r="AA479" i="45"/>
  <c r="W479" i="45"/>
  <c r="S479" i="45"/>
  <c r="O479" i="45"/>
  <c r="AT479" i="45"/>
  <c r="AP479" i="45"/>
  <c r="AL479" i="45"/>
  <c r="AH479" i="45"/>
  <c r="AD479" i="45"/>
  <c r="Z479" i="45"/>
  <c r="V479" i="45"/>
  <c r="R479" i="45"/>
  <c r="N479" i="45"/>
  <c r="AO479" i="45"/>
  <c r="Y479" i="45"/>
  <c r="AS479" i="45"/>
  <c r="AK479" i="45"/>
  <c r="U479" i="45"/>
  <c r="M479" i="45"/>
  <c r="AG479" i="45"/>
  <c r="Q479" i="45"/>
  <c r="AC479" i="45"/>
  <c r="AR477" i="45"/>
  <c r="AN477" i="45"/>
  <c r="AJ477" i="45"/>
  <c r="AF477" i="45"/>
  <c r="AB477" i="45"/>
  <c r="X477" i="45"/>
  <c r="T477" i="45"/>
  <c r="P477" i="45"/>
  <c r="L477" i="45"/>
  <c r="AU477" i="45"/>
  <c r="AQ477" i="45"/>
  <c r="AM477" i="45"/>
  <c r="AI477" i="45"/>
  <c r="AE477" i="45"/>
  <c r="AA477" i="45"/>
  <c r="W477" i="45"/>
  <c r="S477" i="45"/>
  <c r="O477" i="45"/>
  <c r="AT477" i="45"/>
  <c r="AP477" i="45"/>
  <c r="AL477" i="45"/>
  <c r="AH477" i="45"/>
  <c r="AD477" i="45"/>
  <c r="Z477" i="45"/>
  <c r="V477" i="45"/>
  <c r="R477" i="45"/>
  <c r="N477" i="45"/>
  <c r="AG477" i="45"/>
  <c r="Q477" i="45"/>
  <c r="AS477" i="45"/>
  <c r="AC477" i="45"/>
  <c r="M477" i="45"/>
  <c r="AK477" i="45"/>
  <c r="AO477" i="45"/>
  <c r="Y477" i="45"/>
  <c r="U477" i="45"/>
  <c r="AR475" i="45"/>
  <c r="AN475" i="45"/>
  <c r="AJ475" i="45"/>
  <c r="AF475" i="45"/>
  <c r="AB475" i="45"/>
  <c r="X475" i="45"/>
  <c r="T475" i="45"/>
  <c r="P475" i="45"/>
  <c r="L475" i="45"/>
  <c r="AU475" i="45"/>
  <c r="AQ475" i="45"/>
  <c r="AM475" i="45"/>
  <c r="AI475" i="45"/>
  <c r="AE475" i="45"/>
  <c r="AA475" i="45"/>
  <c r="W475" i="45"/>
  <c r="S475" i="45"/>
  <c r="O475" i="45"/>
  <c r="AT475" i="45"/>
  <c r="AP475" i="45"/>
  <c r="AL475" i="45"/>
  <c r="AH475" i="45"/>
  <c r="AD475" i="45"/>
  <c r="Z475" i="45"/>
  <c r="V475" i="45"/>
  <c r="R475" i="45"/>
  <c r="N475" i="45"/>
  <c r="AO475" i="45"/>
  <c r="Y475" i="45"/>
  <c r="M475" i="45"/>
  <c r="AK475" i="45"/>
  <c r="U475" i="45"/>
  <c r="AC475" i="45"/>
  <c r="AG475" i="45"/>
  <c r="Q475" i="45"/>
  <c r="AS475" i="45"/>
  <c r="AR473" i="45"/>
  <c r="AN473" i="45"/>
  <c r="AJ473" i="45"/>
  <c r="AF473" i="45"/>
  <c r="AB473" i="45"/>
  <c r="X473" i="45"/>
  <c r="T473" i="45"/>
  <c r="P473" i="45"/>
  <c r="L473" i="45"/>
  <c r="AU473" i="45"/>
  <c r="AQ473" i="45"/>
  <c r="AM473" i="45"/>
  <c r="AI473" i="45"/>
  <c r="AE473" i="45"/>
  <c r="AA473" i="45"/>
  <c r="W473" i="45"/>
  <c r="S473" i="45"/>
  <c r="O473" i="45"/>
  <c r="AT473" i="45"/>
  <c r="AP473" i="45"/>
  <c r="AL473" i="45"/>
  <c r="AH473" i="45"/>
  <c r="AD473" i="45"/>
  <c r="Z473" i="45"/>
  <c r="V473" i="45"/>
  <c r="R473" i="45"/>
  <c r="N473" i="45"/>
  <c r="AG473" i="45"/>
  <c r="Q473" i="45"/>
  <c r="AK473" i="45"/>
  <c r="AS473" i="45"/>
  <c r="AC473" i="45"/>
  <c r="M473" i="45"/>
  <c r="AO473" i="45"/>
  <c r="Y473" i="45"/>
  <c r="U473" i="45"/>
  <c r="AR471" i="45"/>
  <c r="AN471" i="45"/>
  <c r="AJ471" i="45"/>
  <c r="AF471" i="45"/>
  <c r="AB471" i="45"/>
  <c r="X471" i="45"/>
  <c r="T471" i="45"/>
  <c r="P471" i="45"/>
  <c r="L471" i="45"/>
  <c r="AU471" i="45"/>
  <c r="AQ471" i="45"/>
  <c r="AM471" i="45"/>
  <c r="AI471" i="45"/>
  <c r="AE471" i="45"/>
  <c r="AA471" i="45"/>
  <c r="W471" i="45"/>
  <c r="S471" i="45"/>
  <c r="O471" i="45"/>
  <c r="AT471" i="45"/>
  <c r="AP471" i="45"/>
  <c r="AL471" i="45"/>
  <c r="AH471" i="45"/>
  <c r="AD471" i="45"/>
  <c r="Z471" i="45"/>
  <c r="V471" i="45"/>
  <c r="R471" i="45"/>
  <c r="N471" i="45"/>
  <c r="AO471" i="45"/>
  <c r="Y471" i="45"/>
  <c r="AS471" i="45"/>
  <c r="AK471" i="45"/>
  <c r="U471" i="45"/>
  <c r="M471" i="45"/>
  <c r="AG471" i="45"/>
  <c r="Q471" i="45"/>
  <c r="AC471" i="45"/>
  <c r="AR469" i="45"/>
  <c r="AN469" i="45"/>
  <c r="AJ469" i="45"/>
  <c r="AF469" i="45"/>
  <c r="AB469" i="45"/>
  <c r="X469" i="45"/>
  <c r="T469" i="45"/>
  <c r="P469" i="45"/>
  <c r="L469" i="45"/>
  <c r="AU469" i="45"/>
  <c r="AQ469" i="45"/>
  <c r="AM469" i="45"/>
  <c r="AI469" i="45"/>
  <c r="AE469" i="45"/>
  <c r="AA469" i="45"/>
  <c r="W469" i="45"/>
  <c r="S469" i="45"/>
  <c r="O469" i="45"/>
  <c r="AT469" i="45"/>
  <c r="AP469" i="45"/>
  <c r="AL469" i="45"/>
  <c r="AH469" i="45"/>
  <c r="AD469" i="45"/>
  <c r="Z469" i="45"/>
  <c r="V469" i="45"/>
  <c r="R469" i="45"/>
  <c r="N469" i="45"/>
  <c r="AG469" i="45"/>
  <c r="Q469" i="45"/>
  <c r="U469" i="45"/>
  <c r="AS469" i="45"/>
  <c r="AC469" i="45"/>
  <c r="M469" i="45"/>
  <c r="AO469" i="45"/>
  <c r="Y469" i="45"/>
  <c r="AK469" i="45"/>
  <c r="AR467" i="45"/>
  <c r="AN467" i="45"/>
  <c r="AJ467" i="45"/>
  <c r="AF467" i="45"/>
  <c r="AB467" i="45"/>
  <c r="X467" i="45"/>
  <c r="T467" i="45"/>
  <c r="P467" i="45"/>
  <c r="L467" i="45"/>
  <c r="AU467" i="45"/>
  <c r="AQ467" i="45"/>
  <c r="AM467" i="45"/>
  <c r="AI467" i="45"/>
  <c r="AE467" i="45"/>
  <c r="AA467" i="45"/>
  <c r="W467" i="45"/>
  <c r="S467" i="45"/>
  <c r="O467" i="45"/>
  <c r="AT467" i="45"/>
  <c r="AP467" i="45"/>
  <c r="AL467" i="45"/>
  <c r="AH467" i="45"/>
  <c r="AD467" i="45"/>
  <c r="Z467" i="45"/>
  <c r="V467" i="45"/>
  <c r="R467" i="45"/>
  <c r="N467" i="45"/>
  <c r="AO467" i="45"/>
  <c r="Y467" i="45"/>
  <c r="M467" i="45"/>
  <c r="AK467" i="45"/>
  <c r="U467" i="45"/>
  <c r="AC467" i="45"/>
  <c r="AG467" i="45"/>
  <c r="Q467" i="45"/>
  <c r="AS467" i="45"/>
  <c r="AR465" i="45"/>
  <c r="AN465" i="45"/>
  <c r="AJ465" i="45"/>
  <c r="AF465" i="45"/>
  <c r="AB465" i="45"/>
  <c r="X465" i="45"/>
  <c r="T465" i="45"/>
  <c r="P465" i="45"/>
  <c r="L465" i="45"/>
  <c r="AU465" i="45"/>
  <c r="AQ465" i="45"/>
  <c r="AM465" i="45"/>
  <c r="AI465" i="45"/>
  <c r="AE465" i="45"/>
  <c r="AA465" i="45"/>
  <c r="W465" i="45"/>
  <c r="S465" i="45"/>
  <c r="O465" i="45"/>
  <c r="AT465" i="45"/>
  <c r="AP465" i="45"/>
  <c r="AL465" i="45"/>
  <c r="AH465" i="45"/>
  <c r="AD465" i="45"/>
  <c r="Z465" i="45"/>
  <c r="V465" i="45"/>
  <c r="R465" i="45"/>
  <c r="N465" i="45"/>
  <c r="AG465" i="45"/>
  <c r="Q465" i="45"/>
  <c r="AK465" i="45"/>
  <c r="AS465" i="45"/>
  <c r="AC465" i="45"/>
  <c r="M465" i="45"/>
  <c r="AO465" i="45"/>
  <c r="Y465" i="45"/>
  <c r="U465" i="45"/>
  <c r="AR463" i="45"/>
  <c r="AN463" i="45"/>
  <c r="AJ463" i="45"/>
  <c r="AF463" i="45"/>
  <c r="AB463" i="45"/>
  <c r="X463" i="45"/>
  <c r="T463" i="45"/>
  <c r="P463" i="45"/>
  <c r="L463" i="45"/>
  <c r="AU463" i="45"/>
  <c r="AQ463" i="45"/>
  <c r="AM463" i="45"/>
  <c r="AI463" i="45"/>
  <c r="AE463" i="45"/>
  <c r="AA463" i="45"/>
  <c r="W463" i="45"/>
  <c r="S463" i="45"/>
  <c r="O463" i="45"/>
  <c r="AT463" i="45"/>
  <c r="AP463" i="45"/>
  <c r="AL463" i="45"/>
  <c r="AH463" i="45"/>
  <c r="AD463" i="45"/>
  <c r="Z463" i="45"/>
  <c r="V463" i="45"/>
  <c r="R463" i="45"/>
  <c r="N463" i="45"/>
  <c r="AO463" i="45"/>
  <c r="Y463" i="45"/>
  <c r="M463" i="45"/>
  <c r="AK463" i="45"/>
  <c r="U463" i="45"/>
  <c r="AC463" i="45"/>
  <c r="AG463" i="45"/>
  <c r="Q463" i="45"/>
  <c r="AS463" i="45"/>
  <c r="AR461" i="45"/>
  <c r="AN461" i="45"/>
  <c r="AJ461" i="45"/>
  <c r="AF461" i="45"/>
  <c r="AB461" i="45"/>
  <c r="X461" i="45"/>
  <c r="T461" i="45"/>
  <c r="P461" i="45"/>
  <c r="L461" i="45"/>
  <c r="AU461" i="45"/>
  <c r="AQ461" i="45"/>
  <c r="AM461" i="45"/>
  <c r="AI461" i="45"/>
  <c r="AE461" i="45"/>
  <c r="AA461" i="45"/>
  <c r="W461" i="45"/>
  <c r="S461" i="45"/>
  <c r="O461" i="45"/>
  <c r="AT461" i="45"/>
  <c r="AP461" i="45"/>
  <c r="AL461" i="45"/>
  <c r="AH461" i="45"/>
  <c r="AD461" i="45"/>
  <c r="Z461" i="45"/>
  <c r="V461" i="45"/>
  <c r="R461" i="45"/>
  <c r="N461" i="45"/>
  <c r="AG461" i="45"/>
  <c r="Q461" i="45"/>
  <c r="AK461" i="45"/>
  <c r="AS461" i="45"/>
  <c r="AC461" i="45"/>
  <c r="M461" i="45"/>
  <c r="U461" i="45"/>
  <c r="AO461" i="45"/>
  <c r="Y461" i="45"/>
  <c r="AR459" i="45"/>
  <c r="AN459" i="45"/>
  <c r="AJ459" i="45"/>
  <c r="AF459" i="45"/>
  <c r="AB459" i="45"/>
  <c r="X459" i="45"/>
  <c r="T459" i="45"/>
  <c r="P459" i="45"/>
  <c r="L459" i="45"/>
  <c r="AU459" i="45"/>
  <c r="AQ459" i="45"/>
  <c r="AM459" i="45"/>
  <c r="AI459" i="45"/>
  <c r="AE459" i="45"/>
  <c r="AA459" i="45"/>
  <c r="W459" i="45"/>
  <c r="S459" i="45"/>
  <c r="O459" i="45"/>
  <c r="AT459" i="45"/>
  <c r="AP459" i="45"/>
  <c r="AL459" i="45"/>
  <c r="AH459" i="45"/>
  <c r="AD459" i="45"/>
  <c r="Z459" i="45"/>
  <c r="V459" i="45"/>
  <c r="R459" i="45"/>
  <c r="N459" i="45"/>
  <c r="AO459" i="45"/>
  <c r="Y459" i="45"/>
  <c r="M459" i="45"/>
  <c r="AK459" i="45"/>
  <c r="U459" i="45"/>
  <c r="AC459" i="45"/>
  <c r="AG459" i="45"/>
  <c r="Q459" i="45"/>
  <c r="AS459" i="45"/>
  <c r="AR457" i="45"/>
  <c r="AN457" i="45"/>
  <c r="AJ457" i="45"/>
  <c r="AF457" i="45"/>
  <c r="AB457" i="45"/>
  <c r="X457" i="45"/>
  <c r="T457" i="45"/>
  <c r="P457" i="45"/>
  <c r="L457" i="45"/>
  <c r="AU457" i="45"/>
  <c r="AQ457" i="45"/>
  <c r="AM457" i="45"/>
  <c r="AI457" i="45"/>
  <c r="AE457" i="45"/>
  <c r="AA457" i="45"/>
  <c r="W457" i="45"/>
  <c r="S457" i="45"/>
  <c r="O457" i="45"/>
  <c r="AT457" i="45"/>
  <c r="AP457" i="45"/>
  <c r="AL457" i="45"/>
  <c r="AH457" i="45"/>
  <c r="AD457" i="45"/>
  <c r="Z457" i="45"/>
  <c r="V457" i="45"/>
  <c r="R457" i="45"/>
  <c r="N457" i="45"/>
  <c r="AG457" i="45"/>
  <c r="Q457" i="45"/>
  <c r="AK457" i="45"/>
  <c r="AS457" i="45"/>
  <c r="AC457" i="45"/>
  <c r="M457" i="45"/>
  <c r="AO457" i="45"/>
  <c r="Y457" i="45"/>
  <c r="U457" i="45"/>
  <c r="AR455" i="45"/>
  <c r="AN455" i="45"/>
  <c r="AJ455" i="45"/>
  <c r="AF455" i="45"/>
  <c r="AB455" i="45"/>
  <c r="X455" i="45"/>
  <c r="T455" i="45"/>
  <c r="P455" i="45"/>
  <c r="L455" i="45"/>
  <c r="AU455" i="45"/>
  <c r="AQ455" i="45"/>
  <c r="AM455" i="45"/>
  <c r="AI455" i="45"/>
  <c r="AE455" i="45"/>
  <c r="AA455" i="45"/>
  <c r="W455" i="45"/>
  <c r="S455" i="45"/>
  <c r="O455" i="45"/>
  <c r="AT455" i="45"/>
  <c r="AP455" i="45"/>
  <c r="AL455" i="45"/>
  <c r="AH455" i="45"/>
  <c r="AD455" i="45"/>
  <c r="Z455" i="45"/>
  <c r="V455" i="45"/>
  <c r="R455" i="45"/>
  <c r="N455" i="45"/>
  <c r="AO455" i="45"/>
  <c r="Y455" i="45"/>
  <c r="AS455" i="45"/>
  <c r="AK455" i="45"/>
  <c r="U455" i="45"/>
  <c r="AC455" i="45"/>
  <c r="AG455" i="45"/>
  <c r="Q455" i="45"/>
  <c r="M455" i="45"/>
  <c r="AR453" i="45"/>
  <c r="AN453" i="45"/>
  <c r="AJ453" i="45"/>
  <c r="AF453" i="45"/>
  <c r="AB453" i="45"/>
  <c r="X453" i="45"/>
  <c r="T453" i="45"/>
  <c r="P453" i="45"/>
  <c r="L453" i="45"/>
  <c r="AU453" i="45"/>
  <c r="AQ453" i="45"/>
  <c r="AM453" i="45"/>
  <c r="AI453" i="45"/>
  <c r="AE453" i="45"/>
  <c r="AA453" i="45"/>
  <c r="W453" i="45"/>
  <c r="S453" i="45"/>
  <c r="O453" i="45"/>
  <c r="AT453" i="45"/>
  <c r="AP453" i="45"/>
  <c r="AL453" i="45"/>
  <c r="AH453" i="45"/>
  <c r="AD453" i="45"/>
  <c r="Z453" i="45"/>
  <c r="V453" i="45"/>
  <c r="R453" i="45"/>
  <c r="N453" i="45"/>
  <c r="AG453" i="45"/>
  <c r="Q453" i="45"/>
  <c r="AS453" i="45"/>
  <c r="AC453" i="45"/>
  <c r="M453" i="45"/>
  <c r="U453" i="45"/>
  <c r="AO453" i="45"/>
  <c r="Y453" i="45"/>
  <c r="AK453" i="45"/>
  <c r="AR451" i="45"/>
  <c r="AN451" i="45"/>
  <c r="AJ451" i="45"/>
  <c r="AF451" i="45"/>
  <c r="AB451" i="45"/>
  <c r="X451" i="45"/>
  <c r="T451" i="45"/>
  <c r="P451" i="45"/>
  <c r="L451" i="45"/>
  <c r="AU451" i="45"/>
  <c r="AQ451" i="45"/>
  <c r="AM451" i="45"/>
  <c r="AI451" i="45"/>
  <c r="AE451" i="45"/>
  <c r="AA451" i="45"/>
  <c r="W451" i="45"/>
  <c r="S451" i="45"/>
  <c r="O451" i="45"/>
  <c r="AT451" i="45"/>
  <c r="AP451" i="45"/>
  <c r="AL451" i="45"/>
  <c r="AH451" i="45"/>
  <c r="AD451" i="45"/>
  <c r="Z451" i="45"/>
  <c r="V451" i="45"/>
  <c r="R451" i="45"/>
  <c r="N451" i="45"/>
  <c r="AO451" i="45"/>
  <c r="Y451" i="45"/>
  <c r="M451" i="45"/>
  <c r="AK451" i="45"/>
  <c r="U451" i="45"/>
  <c r="AS451" i="45"/>
  <c r="AG451" i="45"/>
  <c r="Q451" i="45"/>
  <c r="AC451" i="45"/>
  <c r="AR449" i="45"/>
  <c r="AN449" i="45"/>
  <c r="AJ449" i="45"/>
  <c r="AF449" i="45"/>
  <c r="AB449" i="45"/>
  <c r="X449" i="45"/>
  <c r="T449" i="45"/>
  <c r="P449" i="45"/>
  <c r="L449" i="45"/>
  <c r="AU449" i="45"/>
  <c r="AQ449" i="45"/>
  <c r="AM449" i="45"/>
  <c r="AI449" i="45"/>
  <c r="AE449" i="45"/>
  <c r="AA449" i="45"/>
  <c r="W449" i="45"/>
  <c r="S449" i="45"/>
  <c r="O449" i="45"/>
  <c r="AT449" i="45"/>
  <c r="AP449" i="45"/>
  <c r="AL449" i="45"/>
  <c r="AH449" i="45"/>
  <c r="AD449" i="45"/>
  <c r="Z449" i="45"/>
  <c r="V449" i="45"/>
  <c r="R449" i="45"/>
  <c r="N449" i="45"/>
  <c r="AG449" i="45"/>
  <c r="Q449" i="45"/>
  <c r="AK449" i="45"/>
  <c r="AS449" i="45"/>
  <c r="AC449" i="45"/>
  <c r="M449" i="45"/>
  <c r="U449" i="45"/>
  <c r="AO449" i="45"/>
  <c r="Y449" i="45"/>
  <c r="AR447" i="45"/>
  <c r="AN447" i="45"/>
  <c r="AJ447" i="45"/>
  <c r="AF447" i="45"/>
  <c r="AB447" i="45"/>
  <c r="X447" i="45"/>
  <c r="T447" i="45"/>
  <c r="P447" i="45"/>
  <c r="L447" i="45"/>
  <c r="AU447" i="45"/>
  <c r="AQ447" i="45"/>
  <c r="AM447" i="45"/>
  <c r="AI447" i="45"/>
  <c r="AE447" i="45"/>
  <c r="AA447" i="45"/>
  <c r="W447" i="45"/>
  <c r="S447" i="45"/>
  <c r="O447" i="45"/>
  <c r="AT447" i="45"/>
  <c r="AP447" i="45"/>
  <c r="AL447" i="45"/>
  <c r="AH447" i="45"/>
  <c r="AD447" i="45"/>
  <c r="Z447" i="45"/>
  <c r="V447" i="45"/>
  <c r="R447" i="45"/>
  <c r="N447" i="45"/>
  <c r="AO447" i="45"/>
  <c r="Y447" i="45"/>
  <c r="AS447" i="45"/>
  <c r="AK447" i="45"/>
  <c r="U447" i="45"/>
  <c r="M447" i="45"/>
  <c r="AG447" i="45"/>
  <c r="Q447" i="45"/>
  <c r="AC447" i="45"/>
  <c r="AR445" i="45"/>
  <c r="AN445" i="45"/>
  <c r="AJ445" i="45"/>
  <c r="AF445" i="45"/>
  <c r="AB445" i="45"/>
  <c r="X445" i="45"/>
  <c r="T445" i="45"/>
  <c r="P445" i="45"/>
  <c r="L445" i="45"/>
  <c r="AU445" i="45"/>
  <c r="AQ445" i="45"/>
  <c r="AM445" i="45"/>
  <c r="AI445" i="45"/>
  <c r="AE445" i="45"/>
  <c r="AA445" i="45"/>
  <c r="W445" i="45"/>
  <c r="S445" i="45"/>
  <c r="O445" i="45"/>
  <c r="AT445" i="45"/>
  <c r="AP445" i="45"/>
  <c r="AL445" i="45"/>
  <c r="AH445" i="45"/>
  <c r="AD445" i="45"/>
  <c r="Z445" i="45"/>
  <c r="V445" i="45"/>
  <c r="R445" i="45"/>
  <c r="N445" i="45"/>
  <c r="AG445" i="45"/>
  <c r="Q445" i="45"/>
  <c r="AS445" i="45"/>
  <c r="AC445" i="45"/>
  <c r="M445" i="45"/>
  <c r="AK445" i="45"/>
  <c r="AO445" i="45"/>
  <c r="Y445" i="45"/>
  <c r="U445" i="45"/>
  <c r="AR443" i="45"/>
  <c r="AN443" i="45"/>
  <c r="AJ443" i="45"/>
  <c r="AF443" i="45"/>
  <c r="AB443" i="45"/>
  <c r="X443" i="45"/>
  <c r="T443" i="45"/>
  <c r="P443" i="45"/>
  <c r="L443" i="45"/>
  <c r="AU443" i="45"/>
  <c r="AQ443" i="45"/>
  <c r="AM443" i="45"/>
  <c r="AI443" i="45"/>
  <c r="AE443" i="45"/>
  <c r="AA443" i="45"/>
  <c r="W443" i="45"/>
  <c r="S443" i="45"/>
  <c r="O443" i="45"/>
  <c r="AT443" i="45"/>
  <c r="AP443" i="45"/>
  <c r="AL443" i="45"/>
  <c r="AH443" i="45"/>
  <c r="AD443" i="45"/>
  <c r="Z443" i="45"/>
  <c r="V443" i="45"/>
  <c r="R443" i="45"/>
  <c r="N443" i="45"/>
  <c r="AO443" i="45"/>
  <c r="Y443" i="45"/>
  <c r="AC443" i="45"/>
  <c r="AK443" i="45"/>
  <c r="U443" i="45"/>
  <c r="M443" i="45"/>
  <c r="AG443" i="45"/>
  <c r="Q443" i="45"/>
  <c r="AS443" i="45"/>
  <c r="AR441" i="45"/>
  <c r="AN441" i="45"/>
  <c r="AJ441" i="45"/>
  <c r="AF441" i="45"/>
  <c r="AB441" i="45"/>
  <c r="X441" i="45"/>
  <c r="T441" i="45"/>
  <c r="P441" i="45"/>
  <c r="L441" i="45"/>
  <c r="AU441" i="45"/>
  <c r="AQ441" i="45"/>
  <c r="AM441" i="45"/>
  <c r="AI441" i="45"/>
  <c r="AE441" i="45"/>
  <c r="AA441" i="45"/>
  <c r="W441" i="45"/>
  <c r="S441" i="45"/>
  <c r="O441" i="45"/>
  <c r="AT441" i="45"/>
  <c r="AP441" i="45"/>
  <c r="AL441" i="45"/>
  <c r="AH441" i="45"/>
  <c r="AD441" i="45"/>
  <c r="Z441" i="45"/>
  <c r="V441" i="45"/>
  <c r="R441" i="45"/>
  <c r="N441" i="45"/>
  <c r="AG441" i="45"/>
  <c r="Q441" i="45"/>
  <c r="AK441" i="45"/>
  <c r="AS441" i="45"/>
  <c r="AC441" i="45"/>
  <c r="M441" i="45"/>
  <c r="AO441" i="45"/>
  <c r="Y441" i="45"/>
  <c r="U441" i="45"/>
  <c r="AR439" i="45"/>
  <c r="AN439" i="45"/>
  <c r="AJ439" i="45"/>
  <c r="AF439" i="45"/>
  <c r="AB439" i="45"/>
  <c r="X439" i="45"/>
  <c r="T439" i="45"/>
  <c r="P439" i="45"/>
  <c r="L439" i="45"/>
  <c r="AU439" i="45"/>
  <c r="AQ439" i="45"/>
  <c r="AM439" i="45"/>
  <c r="AI439" i="45"/>
  <c r="AE439" i="45"/>
  <c r="AA439" i="45"/>
  <c r="W439" i="45"/>
  <c r="S439" i="45"/>
  <c r="O439" i="45"/>
  <c r="AT439" i="45"/>
  <c r="AP439" i="45"/>
  <c r="AL439" i="45"/>
  <c r="AH439" i="45"/>
  <c r="AD439" i="45"/>
  <c r="Z439" i="45"/>
  <c r="V439" i="45"/>
  <c r="R439" i="45"/>
  <c r="N439" i="45"/>
  <c r="AO439" i="45"/>
  <c r="Y439" i="45"/>
  <c r="AS439" i="45"/>
  <c r="AK439" i="45"/>
  <c r="U439" i="45"/>
  <c r="AC439" i="45"/>
  <c r="AG439" i="45"/>
  <c r="Q439" i="45"/>
  <c r="M439" i="45"/>
  <c r="AR437" i="45"/>
  <c r="AN437" i="45"/>
  <c r="AJ437" i="45"/>
  <c r="AF437" i="45"/>
  <c r="AB437" i="45"/>
  <c r="X437" i="45"/>
  <c r="T437" i="45"/>
  <c r="P437" i="45"/>
  <c r="L437" i="45"/>
  <c r="AU437" i="45"/>
  <c r="AQ437" i="45"/>
  <c r="AM437" i="45"/>
  <c r="AI437" i="45"/>
  <c r="AE437" i="45"/>
  <c r="AA437" i="45"/>
  <c r="W437" i="45"/>
  <c r="S437" i="45"/>
  <c r="O437" i="45"/>
  <c r="AT437" i="45"/>
  <c r="AP437" i="45"/>
  <c r="AL437" i="45"/>
  <c r="AH437" i="45"/>
  <c r="AD437" i="45"/>
  <c r="Z437" i="45"/>
  <c r="V437" i="45"/>
  <c r="R437" i="45"/>
  <c r="N437" i="45"/>
  <c r="AG437" i="45"/>
  <c r="Q437" i="45"/>
  <c r="U437" i="45"/>
  <c r="AS437" i="45"/>
  <c r="AC437" i="45"/>
  <c r="M437" i="45"/>
  <c r="AO437" i="45"/>
  <c r="Y437" i="45"/>
  <c r="AK437" i="45"/>
  <c r="AR435" i="45"/>
  <c r="AN435" i="45"/>
  <c r="AJ435" i="45"/>
  <c r="AF435" i="45"/>
  <c r="AB435" i="45"/>
  <c r="X435" i="45"/>
  <c r="T435" i="45"/>
  <c r="P435" i="45"/>
  <c r="L435" i="45"/>
  <c r="AU435" i="45"/>
  <c r="AQ435" i="45"/>
  <c r="AM435" i="45"/>
  <c r="AI435" i="45"/>
  <c r="AE435" i="45"/>
  <c r="AA435" i="45"/>
  <c r="W435" i="45"/>
  <c r="S435" i="45"/>
  <c r="O435" i="45"/>
  <c r="AT435" i="45"/>
  <c r="AP435" i="45"/>
  <c r="AL435" i="45"/>
  <c r="AH435" i="45"/>
  <c r="AD435" i="45"/>
  <c r="AO435" i="45"/>
  <c r="Z435" i="45"/>
  <c r="R435" i="45"/>
  <c r="AS435" i="45"/>
  <c r="M435" i="45"/>
  <c r="AK435" i="45"/>
  <c r="Y435" i="45"/>
  <c r="Q435" i="45"/>
  <c r="AC435" i="45"/>
  <c r="AG435" i="45"/>
  <c r="V435" i="45"/>
  <c r="N435" i="45"/>
  <c r="U435" i="45"/>
  <c r="AR433" i="45"/>
  <c r="AN433" i="45"/>
  <c r="AJ433" i="45"/>
  <c r="AF433" i="45"/>
  <c r="AB433" i="45"/>
  <c r="X433" i="45"/>
  <c r="T433" i="45"/>
  <c r="AU433" i="45"/>
  <c r="AQ433" i="45"/>
  <c r="AM433" i="45"/>
  <c r="AI433" i="45"/>
  <c r="AE433" i="45"/>
  <c r="AA433" i="45"/>
  <c r="W433" i="45"/>
  <c r="S433" i="45"/>
  <c r="AP433" i="45"/>
  <c r="AH433" i="45"/>
  <c r="Z433" i="45"/>
  <c r="R433" i="45"/>
  <c r="N433" i="45"/>
  <c r="AC433" i="45"/>
  <c r="AO433" i="45"/>
  <c r="AG433" i="45"/>
  <c r="Y433" i="45"/>
  <c r="Q433" i="45"/>
  <c r="M433" i="45"/>
  <c r="AK433" i="45"/>
  <c r="O433" i="45"/>
  <c r="AT433" i="45"/>
  <c r="AL433" i="45"/>
  <c r="AD433" i="45"/>
  <c r="V433" i="45"/>
  <c r="P433" i="45"/>
  <c r="L433" i="45"/>
  <c r="AS433" i="45"/>
  <c r="U433" i="45"/>
  <c r="AT431" i="45"/>
  <c r="AP431" i="45"/>
  <c r="AL431" i="45"/>
  <c r="AH431" i="45"/>
  <c r="AD431" i="45"/>
  <c r="Z431" i="45"/>
  <c r="V431" i="45"/>
  <c r="R431" i="45"/>
  <c r="N431" i="45"/>
  <c r="AQ431" i="45"/>
  <c r="AE431" i="45"/>
  <c r="S431" i="45"/>
  <c r="AS431" i="45"/>
  <c r="AO431" i="45"/>
  <c r="AK431" i="45"/>
  <c r="AG431" i="45"/>
  <c r="AC431" i="45"/>
  <c r="Y431" i="45"/>
  <c r="U431" i="45"/>
  <c r="Q431" i="45"/>
  <c r="M431" i="45"/>
  <c r="AU431" i="45"/>
  <c r="AI431" i="45"/>
  <c r="W431" i="45"/>
  <c r="AR431" i="45"/>
  <c r="AN431" i="45"/>
  <c r="AJ431" i="45"/>
  <c r="AF431" i="45"/>
  <c r="AB431" i="45"/>
  <c r="X431" i="45"/>
  <c r="T431" i="45"/>
  <c r="P431" i="45"/>
  <c r="L431" i="45"/>
  <c r="AM431" i="45"/>
  <c r="AA431" i="45"/>
  <c r="O431" i="45"/>
  <c r="AT429" i="45"/>
  <c r="AP429" i="45"/>
  <c r="AL429" i="45"/>
  <c r="AH429" i="45"/>
  <c r="AD429" i="45"/>
  <c r="Z429" i="45"/>
  <c r="V429" i="45"/>
  <c r="R429" i="45"/>
  <c r="N429" i="45"/>
  <c r="AM429" i="45"/>
  <c r="AA429" i="45"/>
  <c r="O429" i="45"/>
  <c r="AS429" i="45"/>
  <c r="AO429" i="45"/>
  <c r="AK429" i="45"/>
  <c r="AG429" i="45"/>
  <c r="AC429" i="45"/>
  <c r="Y429" i="45"/>
  <c r="U429" i="45"/>
  <c r="Q429" i="45"/>
  <c r="M429" i="45"/>
  <c r="AU429" i="45"/>
  <c r="AI429" i="45"/>
  <c r="W429" i="45"/>
  <c r="AR429" i="45"/>
  <c r="AN429" i="45"/>
  <c r="AJ429" i="45"/>
  <c r="AF429" i="45"/>
  <c r="AB429" i="45"/>
  <c r="X429" i="45"/>
  <c r="T429" i="45"/>
  <c r="P429" i="45"/>
  <c r="L429" i="45"/>
  <c r="AQ429" i="45"/>
  <c r="AE429" i="45"/>
  <c r="S429" i="45"/>
  <c r="AT427" i="45"/>
  <c r="AP427" i="45"/>
  <c r="AL427" i="45"/>
  <c r="AH427" i="45"/>
  <c r="AD427" i="45"/>
  <c r="Z427" i="45"/>
  <c r="V427" i="45"/>
  <c r="R427" i="45"/>
  <c r="N427" i="45"/>
  <c r="AM427" i="45"/>
  <c r="AA427" i="45"/>
  <c r="O427" i="45"/>
  <c r="AS427" i="45"/>
  <c r="AO427" i="45"/>
  <c r="AK427" i="45"/>
  <c r="AG427" i="45"/>
  <c r="AC427" i="45"/>
  <c r="Y427" i="45"/>
  <c r="U427" i="45"/>
  <c r="Q427" i="45"/>
  <c r="M427" i="45"/>
  <c r="AQ427" i="45"/>
  <c r="AE427" i="45"/>
  <c r="S427" i="45"/>
  <c r="AR427" i="45"/>
  <c r="AN427" i="45"/>
  <c r="AJ427" i="45"/>
  <c r="AF427" i="45"/>
  <c r="AB427" i="45"/>
  <c r="X427" i="45"/>
  <c r="T427" i="45"/>
  <c r="P427" i="45"/>
  <c r="L427" i="45"/>
  <c r="AU427" i="45"/>
  <c r="AI427" i="45"/>
  <c r="W427" i="45"/>
  <c r="AT425" i="45"/>
  <c r="AP425" i="45"/>
  <c r="AL425" i="45"/>
  <c r="AH425" i="45"/>
  <c r="AD425" i="45"/>
  <c r="Z425" i="45"/>
  <c r="V425" i="45"/>
  <c r="R425" i="45"/>
  <c r="N425" i="45"/>
  <c r="AM425" i="45"/>
  <c r="AA425" i="45"/>
  <c r="S425" i="45"/>
  <c r="AS425" i="45"/>
  <c r="AO425" i="45"/>
  <c r="AK425" i="45"/>
  <c r="AG425" i="45"/>
  <c r="AC425" i="45"/>
  <c r="Y425" i="45"/>
  <c r="U425" i="45"/>
  <c r="Q425" i="45"/>
  <c r="M425" i="45"/>
  <c r="AQ425" i="45"/>
  <c r="AE425" i="45"/>
  <c r="W425" i="45"/>
  <c r="AR425" i="45"/>
  <c r="AN425" i="45"/>
  <c r="AJ425" i="45"/>
  <c r="AF425" i="45"/>
  <c r="AB425" i="45"/>
  <c r="X425" i="45"/>
  <c r="T425" i="45"/>
  <c r="P425" i="45"/>
  <c r="L425" i="45"/>
  <c r="AU425" i="45"/>
  <c r="AI425" i="45"/>
  <c r="O425" i="45"/>
  <c r="AT423" i="45"/>
  <c r="AP423" i="45"/>
  <c r="AL423" i="45"/>
  <c r="AH423" i="45"/>
  <c r="AD423" i="45"/>
  <c r="Z423" i="45"/>
  <c r="V423" i="45"/>
  <c r="R423" i="45"/>
  <c r="N423" i="45"/>
  <c r="AM423" i="45"/>
  <c r="AA423" i="45"/>
  <c r="O423" i="45"/>
  <c r="AS423" i="45"/>
  <c r="AO423" i="45"/>
  <c r="AK423" i="45"/>
  <c r="AG423" i="45"/>
  <c r="AC423" i="45"/>
  <c r="Y423" i="45"/>
  <c r="U423" i="45"/>
  <c r="Q423" i="45"/>
  <c r="M423" i="45"/>
  <c r="AU423" i="45"/>
  <c r="AE423" i="45"/>
  <c r="S423" i="45"/>
  <c r="AR423" i="45"/>
  <c r="AN423" i="45"/>
  <c r="AJ423" i="45"/>
  <c r="AF423" i="45"/>
  <c r="AB423" i="45"/>
  <c r="X423" i="45"/>
  <c r="T423" i="45"/>
  <c r="P423" i="45"/>
  <c r="L423" i="45"/>
  <c r="AQ423" i="45"/>
  <c r="AI423" i="45"/>
  <c r="W423" i="45"/>
  <c r="AT421" i="45"/>
  <c r="AP421" i="45"/>
  <c r="AL421" i="45"/>
  <c r="AH421" i="45"/>
  <c r="AD421" i="45"/>
  <c r="Z421" i="45"/>
  <c r="V421" i="45"/>
  <c r="R421" i="45"/>
  <c r="N421" i="45"/>
  <c r="AQ421" i="45"/>
  <c r="AA421" i="45"/>
  <c r="O421" i="45"/>
  <c r="AS421" i="45"/>
  <c r="AO421" i="45"/>
  <c r="AK421" i="45"/>
  <c r="AG421" i="45"/>
  <c r="AC421" i="45"/>
  <c r="Y421" i="45"/>
  <c r="U421" i="45"/>
  <c r="Q421" i="45"/>
  <c r="M421" i="45"/>
  <c r="AU421" i="45"/>
  <c r="AI421" i="45"/>
  <c r="W421" i="45"/>
  <c r="AR421" i="45"/>
  <c r="AN421" i="45"/>
  <c r="AJ421" i="45"/>
  <c r="AF421" i="45"/>
  <c r="AB421" i="45"/>
  <c r="X421" i="45"/>
  <c r="T421" i="45"/>
  <c r="P421" i="45"/>
  <c r="L421" i="45"/>
  <c r="AM421" i="45"/>
  <c r="AE421" i="45"/>
  <c r="S421" i="45"/>
  <c r="AT419" i="45"/>
  <c r="AP419" i="45"/>
  <c r="AL419" i="45"/>
  <c r="AH419" i="45"/>
  <c r="AD419" i="45"/>
  <c r="Z419" i="45"/>
  <c r="V419" i="45"/>
  <c r="R419" i="45"/>
  <c r="N419" i="45"/>
  <c r="AM419" i="45"/>
  <c r="AA419" i="45"/>
  <c r="O419" i="45"/>
  <c r="AS419" i="45"/>
  <c r="AO419" i="45"/>
  <c r="AK419" i="45"/>
  <c r="AG419" i="45"/>
  <c r="AC419" i="45"/>
  <c r="Y419" i="45"/>
  <c r="U419" i="45"/>
  <c r="Q419" i="45"/>
  <c r="M419" i="45"/>
  <c r="AQ419" i="45"/>
  <c r="AI419" i="45"/>
  <c r="W419" i="45"/>
  <c r="AR419" i="45"/>
  <c r="AN419" i="45"/>
  <c r="AJ419" i="45"/>
  <c r="AF419" i="45"/>
  <c r="AB419" i="45"/>
  <c r="X419" i="45"/>
  <c r="T419" i="45"/>
  <c r="P419" i="45"/>
  <c r="L419" i="45"/>
  <c r="AU419" i="45"/>
  <c r="AE419" i="45"/>
  <c r="S419" i="45"/>
  <c r="H702" i="45"/>
  <c r="J702" i="45" s="1"/>
  <c r="H652" i="45"/>
  <c r="J652" i="45" s="1"/>
  <c r="H631" i="45"/>
  <c r="J631" i="45" s="1"/>
  <c r="H627" i="45"/>
  <c r="J627" i="45" s="1"/>
  <c r="H613" i="45"/>
  <c r="J613" i="45" s="1"/>
  <c r="H689" i="45"/>
  <c r="J689" i="45" s="1"/>
  <c r="H681" i="45"/>
  <c r="J681" i="45" s="1"/>
  <c r="H673" i="45"/>
  <c r="J673" i="45" s="1"/>
  <c r="H665" i="45"/>
  <c r="J665" i="45" s="1"/>
  <c r="H657" i="45"/>
  <c r="J657" i="45" s="1"/>
  <c r="H698" i="45"/>
  <c r="J698" i="45" s="1"/>
  <c r="H628" i="45"/>
  <c r="J628" i="45" s="1"/>
  <c r="H688" i="45"/>
  <c r="J688" i="45" s="1"/>
  <c r="H680" i="45"/>
  <c r="J680" i="45" s="1"/>
  <c r="H672" i="45"/>
  <c r="J672" i="45" s="1"/>
  <c r="H664" i="45"/>
  <c r="J664" i="45" s="1"/>
  <c r="H699" i="45"/>
  <c r="J699" i="45" s="1"/>
  <c r="H701" i="45"/>
  <c r="J701" i="45" s="1"/>
  <c r="H637" i="45"/>
  <c r="J637" i="45" s="1"/>
  <c r="H608" i="45"/>
  <c r="J608" i="45" s="1"/>
  <c r="H647" i="45"/>
  <c r="J647" i="45" s="1"/>
  <c r="H642" i="45"/>
  <c r="J642" i="45" s="1"/>
  <c r="H639" i="45"/>
  <c r="J639" i="45" s="1"/>
  <c r="H633" i="45"/>
  <c r="J633" i="45" s="1"/>
  <c r="H629" i="45"/>
  <c r="J629" i="45" s="1"/>
  <c r="H625" i="45"/>
  <c r="J625" i="45" s="1"/>
  <c r="H621" i="45"/>
  <c r="J621" i="45" s="1"/>
  <c r="H618" i="45"/>
  <c r="J618" i="45" s="1"/>
  <c r="H615" i="45"/>
  <c r="J615" i="45" s="1"/>
  <c r="H611" i="45"/>
  <c r="J611" i="45" s="1"/>
  <c r="H606" i="45"/>
  <c r="H696" i="45"/>
  <c r="J696" i="45" s="1"/>
  <c r="H687" i="45"/>
  <c r="J687" i="45" s="1"/>
  <c r="H683" i="45"/>
  <c r="J683" i="45" s="1"/>
  <c r="H679" i="45"/>
  <c r="J679" i="45" s="1"/>
  <c r="H675" i="45"/>
  <c r="J675" i="45" s="1"/>
  <c r="H671" i="45"/>
  <c r="J671" i="45" s="1"/>
  <c r="H667" i="45"/>
  <c r="J667" i="45" s="1"/>
  <c r="H663" i="45"/>
  <c r="J663" i="45" s="1"/>
  <c r="H659" i="45"/>
  <c r="J659" i="45" s="1"/>
  <c r="H655" i="45"/>
  <c r="J655" i="45" s="1"/>
  <c r="H697" i="45"/>
  <c r="J697" i="45" s="1"/>
  <c r="H690" i="45"/>
  <c r="J690" i="45" s="1"/>
  <c r="H706" i="45"/>
  <c r="J706" i="45" s="1"/>
  <c r="H646" i="45"/>
  <c r="J646" i="45" s="1"/>
  <c r="H643" i="45"/>
  <c r="J643" i="45" s="1"/>
  <c r="H619" i="45"/>
  <c r="J619" i="45" s="1"/>
  <c r="H610" i="45"/>
  <c r="J610" i="45" s="1"/>
  <c r="H650" i="45"/>
  <c r="J650" i="45" s="1"/>
  <c r="H635" i="45"/>
  <c r="J635" i="45" s="1"/>
  <c r="H623" i="45"/>
  <c r="J623" i="45" s="1"/>
  <c r="H685" i="45"/>
  <c r="J685" i="45" s="1"/>
  <c r="H677" i="45"/>
  <c r="J677" i="45" s="1"/>
  <c r="H669" i="45"/>
  <c r="J669" i="45" s="1"/>
  <c r="H661" i="45"/>
  <c r="J661" i="45" s="1"/>
  <c r="H653" i="45"/>
  <c r="J653" i="45" s="1"/>
  <c r="H691" i="45"/>
  <c r="J691" i="45" s="1"/>
  <c r="H636" i="45"/>
  <c r="J636" i="45" s="1"/>
  <c r="H617" i="45"/>
  <c r="J617" i="45" s="1"/>
  <c r="H704" i="45"/>
  <c r="J704" i="45" s="1"/>
  <c r="H651" i="45"/>
  <c r="J651" i="45" s="1"/>
  <c r="H644" i="45"/>
  <c r="J644" i="45" s="1"/>
  <c r="H641" i="45"/>
  <c r="J641" i="45" s="1"/>
  <c r="H638" i="45"/>
  <c r="J638" i="45" s="1"/>
  <c r="H632" i="45"/>
  <c r="J632" i="45" s="1"/>
  <c r="H624" i="45"/>
  <c r="J624" i="45" s="1"/>
  <c r="H620" i="45"/>
  <c r="J620" i="45" s="1"/>
  <c r="H614" i="45"/>
  <c r="J614" i="45" s="1"/>
  <c r="H700" i="45"/>
  <c r="J700" i="45" s="1"/>
  <c r="H684" i="45"/>
  <c r="J684" i="45" s="1"/>
  <c r="H676" i="45"/>
  <c r="J676" i="45" s="1"/>
  <c r="H668" i="45"/>
  <c r="J668" i="45" s="1"/>
  <c r="H660" i="45"/>
  <c r="J660" i="45" s="1"/>
  <c r="H656" i="45"/>
  <c r="J656" i="45" s="1"/>
  <c r="H694" i="45"/>
  <c r="J694" i="45" s="1"/>
  <c r="H648" i="45"/>
  <c r="J648" i="45" s="1"/>
  <c r="H645" i="45"/>
  <c r="J645" i="45" s="1"/>
  <c r="H640" i="45"/>
  <c r="J640" i="45" s="1"/>
  <c r="H609" i="45"/>
  <c r="J609" i="45" s="1"/>
  <c r="H703" i="45"/>
  <c r="J703" i="45" s="1"/>
  <c r="H649" i="45"/>
  <c r="J649" i="45" s="1"/>
  <c r="H634" i="45"/>
  <c r="J634" i="45" s="1"/>
  <c r="H630" i="45"/>
  <c r="J630" i="45" s="1"/>
  <c r="H626" i="45"/>
  <c r="J626" i="45" s="1"/>
  <c r="H622" i="45"/>
  <c r="J622" i="45" s="1"/>
  <c r="H616" i="45"/>
  <c r="J616" i="45" s="1"/>
  <c r="H612" i="45"/>
  <c r="J612" i="45" s="1"/>
  <c r="H607" i="45"/>
  <c r="J607" i="45" s="1"/>
  <c r="H692" i="45"/>
  <c r="J692" i="45" s="1"/>
  <c r="H686" i="45"/>
  <c r="J686" i="45" s="1"/>
  <c r="H682" i="45"/>
  <c r="J682" i="45" s="1"/>
  <c r="H678" i="45"/>
  <c r="J678" i="45" s="1"/>
  <c r="H674" i="45"/>
  <c r="J674" i="45" s="1"/>
  <c r="H670" i="45"/>
  <c r="J670" i="45" s="1"/>
  <c r="H666" i="45"/>
  <c r="J666" i="45" s="1"/>
  <c r="H662" i="45"/>
  <c r="J662" i="45" s="1"/>
  <c r="H658" i="45"/>
  <c r="J658" i="45" s="1"/>
  <c r="H654" i="45"/>
  <c r="J654" i="45" s="1"/>
  <c r="H693" i="45"/>
  <c r="J693" i="45" s="1"/>
  <c r="H695" i="45"/>
  <c r="J695" i="45" s="1"/>
  <c r="D545" i="45"/>
  <c r="D650" i="45" s="1"/>
  <c r="D755" i="45" s="1"/>
  <c r="D860" i="45" s="1"/>
  <c r="D965" i="45" s="1"/>
  <c r="D1070" i="45" s="1"/>
  <c r="D1175" i="45" s="1"/>
  <c r="D1280" i="45" s="1"/>
  <c r="D1385" i="45" s="1"/>
  <c r="D536" i="45"/>
  <c r="D641" i="45" s="1"/>
  <c r="D746" i="45" s="1"/>
  <c r="D851" i="45" s="1"/>
  <c r="D956" i="45" s="1"/>
  <c r="D1061" i="45" s="1"/>
  <c r="D1166" i="45" s="1"/>
  <c r="D1271" i="45" s="1"/>
  <c r="D1376" i="45" s="1"/>
  <c r="D502" i="45"/>
  <c r="D607" i="45" s="1"/>
  <c r="D712" i="45" s="1"/>
  <c r="D817" i="45" s="1"/>
  <c r="D922" i="45" s="1"/>
  <c r="D1027" i="45" s="1"/>
  <c r="D1132" i="45" s="1"/>
  <c r="D1237" i="45" s="1"/>
  <c r="D1342" i="45" s="1"/>
  <c r="D541" i="45"/>
  <c r="D646" i="45" s="1"/>
  <c r="D751" i="45" s="1"/>
  <c r="D856" i="45" s="1"/>
  <c r="D961" i="45" s="1"/>
  <c r="D1066" i="45" s="1"/>
  <c r="D1171" i="45" s="1"/>
  <c r="D1276" i="45" s="1"/>
  <c r="D1381" i="45" s="1"/>
  <c r="D505" i="45"/>
  <c r="D610" i="45" s="1"/>
  <c r="D715" i="45" s="1"/>
  <c r="D820" i="45" s="1"/>
  <c r="D925" i="45" s="1"/>
  <c r="D1030" i="45" s="1"/>
  <c r="D1135" i="45" s="1"/>
  <c r="D1240" i="45" s="1"/>
  <c r="D1345" i="45" s="1"/>
  <c r="D540" i="45"/>
  <c r="D645" i="45" s="1"/>
  <c r="D750" i="45" s="1"/>
  <c r="D855" i="45" s="1"/>
  <c r="D960" i="45" s="1"/>
  <c r="D1065" i="45" s="1"/>
  <c r="D1170" i="45" s="1"/>
  <c r="D1275" i="45" s="1"/>
  <c r="D1380" i="45" s="1"/>
  <c r="D539" i="45"/>
  <c r="D644" i="45" s="1"/>
  <c r="D749" i="45" s="1"/>
  <c r="D854" i="45" s="1"/>
  <c r="D959" i="45" s="1"/>
  <c r="D1064" i="45" s="1"/>
  <c r="D1169" i="45" s="1"/>
  <c r="D1274" i="45" s="1"/>
  <c r="D1379" i="45" s="1"/>
  <c r="D534" i="45"/>
  <c r="D639" i="45" s="1"/>
  <c r="D744" i="45" s="1"/>
  <c r="D849" i="45" s="1"/>
  <c r="D954" i="45" s="1"/>
  <c r="D1059" i="45" s="1"/>
  <c r="D1164" i="45" s="1"/>
  <c r="D1269" i="45" s="1"/>
  <c r="D1374" i="45" s="1"/>
  <c r="D529" i="45"/>
  <c r="D634" i="45" s="1"/>
  <c r="D739" i="45" s="1"/>
  <c r="D844" i="45" s="1"/>
  <c r="D949" i="45" s="1"/>
  <c r="D1054" i="45" s="1"/>
  <c r="D1159" i="45" s="1"/>
  <c r="D1264" i="45" s="1"/>
  <c r="D1369" i="45" s="1"/>
  <c r="D527" i="45"/>
  <c r="D632" i="45" s="1"/>
  <c r="D737" i="45" s="1"/>
  <c r="D842" i="45" s="1"/>
  <c r="D947" i="45" s="1"/>
  <c r="D1052" i="45" s="1"/>
  <c r="D1157" i="45" s="1"/>
  <c r="D1262" i="45" s="1"/>
  <c r="D1367" i="45" s="1"/>
  <c r="D525" i="45"/>
  <c r="D630" i="45" s="1"/>
  <c r="D735" i="45" s="1"/>
  <c r="D840" i="45" s="1"/>
  <c r="D945" i="45" s="1"/>
  <c r="D1050" i="45" s="1"/>
  <c r="D1155" i="45" s="1"/>
  <c r="D1260" i="45" s="1"/>
  <c r="D1365" i="45" s="1"/>
  <c r="D521" i="45"/>
  <c r="D626" i="45" s="1"/>
  <c r="D731" i="45" s="1"/>
  <c r="D836" i="45" s="1"/>
  <c r="D941" i="45" s="1"/>
  <c r="D1046" i="45" s="1"/>
  <c r="D1151" i="45" s="1"/>
  <c r="D1256" i="45" s="1"/>
  <c r="D1361" i="45" s="1"/>
  <c r="D517" i="45"/>
  <c r="D622" i="45" s="1"/>
  <c r="D727" i="45" s="1"/>
  <c r="D832" i="45" s="1"/>
  <c r="D937" i="45" s="1"/>
  <c r="D1042" i="45" s="1"/>
  <c r="D1147" i="45" s="1"/>
  <c r="D1252" i="45" s="1"/>
  <c r="D1357" i="45" s="1"/>
  <c r="D515" i="45"/>
  <c r="D620" i="45" s="1"/>
  <c r="D725" i="45" s="1"/>
  <c r="D830" i="45" s="1"/>
  <c r="D935" i="45" s="1"/>
  <c r="D1040" i="45" s="1"/>
  <c r="D1145" i="45" s="1"/>
  <c r="D1250" i="45" s="1"/>
  <c r="D1355" i="45" s="1"/>
  <c r="D508" i="45"/>
  <c r="D613" i="45" s="1"/>
  <c r="D718" i="45" s="1"/>
  <c r="D823" i="45" s="1"/>
  <c r="D928" i="45" s="1"/>
  <c r="D1033" i="45" s="1"/>
  <c r="D1138" i="45" s="1"/>
  <c r="D1243" i="45" s="1"/>
  <c r="D1348" i="45" s="1"/>
  <c r="D544" i="45"/>
  <c r="D649" i="45" s="1"/>
  <c r="D754" i="45" s="1"/>
  <c r="D859" i="45" s="1"/>
  <c r="D964" i="45" s="1"/>
  <c r="D1069" i="45" s="1"/>
  <c r="D1174" i="45" s="1"/>
  <c r="D1279" i="45" s="1"/>
  <c r="D1384" i="45" s="1"/>
  <c r="D537" i="45"/>
  <c r="D642" i="45" s="1"/>
  <c r="D747" i="45" s="1"/>
  <c r="D852" i="45" s="1"/>
  <c r="D957" i="45" s="1"/>
  <c r="D1062" i="45" s="1"/>
  <c r="D1167" i="45" s="1"/>
  <c r="D1272" i="45" s="1"/>
  <c r="D1377" i="45" s="1"/>
  <c r="D501" i="45"/>
  <c r="D606" i="45" s="1"/>
  <c r="D711" i="45" s="1"/>
  <c r="D816" i="45" s="1"/>
  <c r="D921" i="45" s="1"/>
  <c r="D1026" i="45" s="1"/>
  <c r="D1131" i="45" s="1"/>
  <c r="D1236" i="45" s="1"/>
  <c r="D1341" i="45" s="1"/>
  <c r="D533" i="45"/>
  <c r="D638" i="45" s="1"/>
  <c r="D743" i="45" s="1"/>
  <c r="D848" i="45" s="1"/>
  <c r="D953" i="45" s="1"/>
  <c r="D1058" i="45" s="1"/>
  <c r="D1163" i="45" s="1"/>
  <c r="D1268" i="45" s="1"/>
  <c r="D1373" i="45" s="1"/>
  <c r="D530" i="45"/>
  <c r="D635" i="45" s="1"/>
  <c r="D740" i="45" s="1"/>
  <c r="D845" i="45" s="1"/>
  <c r="D950" i="45" s="1"/>
  <c r="D1055" i="45" s="1"/>
  <c r="D1160" i="45" s="1"/>
  <c r="D1265" i="45" s="1"/>
  <c r="D1370" i="45" s="1"/>
  <c r="D528" i="45"/>
  <c r="D633" i="45" s="1"/>
  <c r="D738" i="45" s="1"/>
  <c r="D843" i="45" s="1"/>
  <c r="D948" i="45" s="1"/>
  <c r="D1053" i="45" s="1"/>
  <c r="D1158" i="45" s="1"/>
  <c r="D1263" i="45" s="1"/>
  <c r="D1368" i="45" s="1"/>
  <c r="D526" i="45"/>
  <c r="D631" i="45" s="1"/>
  <c r="D736" i="45" s="1"/>
  <c r="D841" i="45" s="1"/>
  <c r="D946" i="45" s="1"/>
  <c r="D1051" i="45" s="1"/>
  <c r="D1156" i="45" s="1"/>
  <c r="D1261" i="45" s="1"/>
  <c r="D1366" i="45" s="1"/>
  <c r="D522" i="45"/>
  <c r="D627" i="45" s="1"/>
  <c r="D732" i="45" s="1"/>
  <c r="D837" i="45" s="1"/>
  <c r="D942" i="45" s="1"/>
  <c r="D1047" i="45" s="1"/>
  <c r="D1152" i="45" s="1"/>
  <c r="D1257" i="45" s="1"/>
  <c r="D1362" i="45" s="1"/>
  <c r="D520" i="45"/>
  <c r="D625" i="45" s="1"/>
  <c r="D730" i="45" s="1"/>
  <c r="D835" i="45" s="1"/>
  <c r="D940" i="45" s="1"/>
  <c r="D1045" i="45" s="1"/>
  <c r="D1150" i="45" s="1"/>
  <c r="D1255" i="45" s="1"/>
  <c r="D1360" i="45" s="1"/>
  <c r="D518" i="45"/>
  <c r="D623" i="45" s="1"/>
  <c r="D728" i="45" s="1"/>
  <c r="D833" i="45" s="1"/>
  <c r="D938" i="45" s="1"/>
  <c r="D1043" i="45" s="1"/>
  <c r="D1148" i="45" s="1"/>
  <c r="D1253" i="45" s="1"/>
  <c r="D1358" i="45" s="1"/>
  <c r="D516" i="45"/>
  <c r="D621" i="45" s="1"/>
  <c r="D726" i="45" s="1"/>
  <c r="D831" i="45" s="1"/>
  <c r="D936" i="45" s="1"/>
  <c r="D1041" i="45" s="1"/>
  <c r="D1146" i="45" s="1"/>
  <c r="D1251" i="45" s="1"/>
  <c r="D1356" i="45" s="1"/>
  <c r="D509" i="45"/>
  <c r="D614" i="45" s="1"/>
  <c r="D719" i="45" s="1"/>
  <c r="D824" i="45" s="1"/>
  <c r="D929" i="45" s="1"/>
  <c r="D1034" i="45" s="1"/>
  <c r="D1139" i="45" s="1"/>
  <c r="D1244" i="45" s="1"/>
  <c r="D1349" i="45" s="1"/>
  <c r="D507" i="45"/>
  <c r="D612" i="45" s="1"/>
  <c r="D717" i="45" s="1"/>
  <c r="D822" i="45" s="1"/>
  <c r="D927" i="45" s="1"/>
  <c r="D1032" i="45" s="1"/>
  <c r="D1137" i="45" s="1"/>
  <c r="D1242" i="45" s="1"/>
  <c r="D1347" i="45" s="1"/>
  <c r="D538" i="45"/>
  <c r="D643" i="45" s="1"/>
  <c r="D748" i="45" s="1"/>
  <c r="D853" i="45" s="1"/>
  <c r="D958" i="45" s="1"/>
  <c r="D1063" i="45" s="1"/>
  <c r="D1168" i="45" s="1"/>
  <c r="D1273" i="45" s="1"/>
  <c r="D1378" i="45" s="1"/>
  <c r="D535" i="45"/>
  <c r="D640" i="45" s="1"/>
  <c r="D745" i="45" s="1"/>
  <c r="D850" i="45" s="1"/>
  <c r="D955" i="45" s="1"/>
  <c r="D1060" i="45" s="1"/>
  <c r="D1165" i="45" s="1"/>
  <c r="D1270" i="45" s="1"/>
  <c r="D1375" i="45" s="1"/>
  <c r="D514" i="45"/>
  <c r="D619" i="45" s="1"/>
  <c r="D724" i="45" s="1"/>
  <c r="D829" i="45" s="1"/>
  <c r="D934" i="45" s="1"/>
  <c r="D1039" i="45" s="1"/>
  <c r="D1144" i="45" s="1"/>
  <c r="D1249" i="45" s="1"/>
  <c r="D1354" i="45" s="1"/>
  <c r="BB6" i="44"/>
  <c r="D513" i="45"/>
  <c r="D618" i="45" s="1"/>
  <c r="D723" i="45" s="1"/>
  <c r="D828" i="45" s="1"/>
  <c r="D933" i="45" s="1"/>
  <c r="D1038" i="45" s="1"/>
  <c r="D1143" i="45" s="1"/>
  <c r="D1248" i="45" s="1"/>
  <c r="D1353" i="45" s="1"/>
  <c r="D524" i="45"/>
  <c r="D629" i="45" s="1"/>
  <c r="D734" i="45" s="1"/>
  <c r="D839" i="45" s="1"/>
  <c r="D944" i="45" s="1"/>
  <c r="D1049" i="45" s="1"/>
  <c r="D1154" i="45" s="1"/>
  <c r="D1259" i="45" s="1"/>
  <c r="D1364" i="45" s="1"/>
  <c r="D532" i="45"/>
  <c r="D637" i="45" s="1"/>
  <c r="D742" i="45" s="1"/>
  <c r="D847" i="45" s="1"/>
  <c r="D952" i="45" s="1"/>
  <c r="D1057" i="45" s="1"/>
  <c r="D1162" i="45" s="1"/>
  <c r="D1267" i="45" s="1"/>
  <c r="D1372" i="45" s="1"/>
  <c r="BC18" i="50"/>
  <c r="BC21" i="50" s="1"/>
  <c r="BC25" i="50" s="1"/>
  <c r="BC28" i="50" s="1"/>
  <c r="BB18" i="50"/>
  <c r="BB21" i="50" s="1"/>
  <c r="BB25" i="50" s="1"/>
  <c r="BB28" i="50" s="1"/>
  <c r="D546" i="45"/>
  <c r="D651" i="45" s="1"/>
  <c r="D756" i="45" s="1"/>
  <c r="D861" i="45" s="1"/>
  <c r="D966" i="45" s="1"/>
  <c r="D1071" i="45" s="1"/>
  <c r="D1176" i="45" s="1"/>
  <c r="D1281" i="45" s="1"/>
  <c r="D1386" i="45" s="1"/>
  <c r="D542" i="45"/>
  <c r="D647" i="45" s="1"/>
  <c r="D752" i="45" s="1"/>
  <c r="D857" i="45" s="1"/>
  <c r="D962" i="45" s="1"/>
  <c r="D1067" i="45" s="1"/>
  <c r="D1172" i="45" s="1"/>
  <c r="D1277" i="45" s="1"/>
  <c r="D1382" i="45" s="1"/>
  <c r="M227" i="45"/>
  <c r="M186" i="45"/>
  <c r="D510" i="45"/>
  <c r="D615" i="45" s="1"/>
  <c r="D720" i="45" s="1"/>
  <c r="D825" i="45" s="1"/>
  <c r="D930" i="45" s="1"/>
  <c r="D1035" i="45" s="1"/>
  <c r="D1140" i="45" s="1"/>
  <c r="D1245" i="45" s="1"/>
  <c r="D1350" i="45" s="1"/>
  <c r="D506" i="45"/>
  <c r="D611" i="45" s="1"/>
  <c r="D716" i="45" s="1"/>
  <c r="D821" i="45" s="1"/>
  <c r="D926" i="45" s="1"/>
  <c r="D1031" i="45" s="1"/>
  <c r="D1136" i="45" s="1"/>
  <c r="D1241" i="45" s="1"/>
  <c r="D1346" i="45" s="1"/>
  <c r="N247" i="45"/>
  <c r="O247" i="45" s="1"/>
  <c r="P247" i="45" s="1"/>
  <c r="Q247" i="45" s="1"/>
  <c r="R247" i="45" s="1"/>
  <c r="S247" i="45" s="1"/>
  <c r="T247" i="45" s="1"/>
  <c r="U247" i="45" s="1"/>
  <c r="V247" i="45" s="1"/>
  <c r="W247" i="45" s="1"/>
  <c r="X247" i="45" s="1"/>
  <c r="Y247" i="45" s="1"/>
  <c r="Z247" i="45" s="1"/>
  <c r="AA247" i="45" s="1"/>
  <c r="AB247" i="45" s="1"/>
  <c r="AC247" i="45" s="1"/>
  <c r="AD247" i="45" s="1"/>
  <c r="AE247" i="45" s="1"/>
  <c r="AF247" i="45" s="1"/>
  <c r="AG247" i="45" s="1"/>
  <c r="AH247" i="45" s="1"/>
  <c r="AI247" i="45" s="1"/>
  <c r="AJ247" i="45" s="1"/>
  <c r="AK247" i="45" s="1"/>
  <c r="AL247" i="45" s="1"/>
  <c r="AM247" i="45" s="1"/>
  <c r="AN247" i="45" s="1"/>
  <c r="AO247" i="45" s="1"/>
  <c r="AP247" i="45" s="1"/>
  <c r="AQ247" i="45" s="1"/>
  <c r="AR247" i="45" s="1"/>
  <c r="AS247" i="45" s="1"/>
  <c r="AT247" i="45" s="1"/>
  <c r="AU247" i="45" s="1"/>
  <c r="N199" i="45"/>
  <c r="N279" i="45"/>
  <c r="N217" i="45"/>
  <c r="O217" i="45" s="1"/>
  <c r="N235" i="45"/>
  <c r="O235" i="45" s="1"/>
  <c r="P235" i="45" s="1"/>
  <c r="Q235" i="45" s="1"/>
  <c r="R235" i="45" s="1"/>
  <c r="S235" i="45" s="1"/>
  <c r="T235" i="45" s="1"/>
  <c r="U235" i="45" s="1"/>
  <c r="V235" i="45" s="1"/>
  <c r="W235" i="45" s="1"/>
  <c r="X235" i="45" s="1"/>
  <c r="Y235" i="45" s="1"/>
  <c r="Z235" i="45" s="1"/>
  <c r="AA235" i="45" s="1"/>
  <c r="AB235" i="45" s="1"/>
  <c r="AC235" i="45" s="1"/>
  <c r="AD235" i="45" s="1"/>
  <c r="AE235" i="45" s="1"/>
  <c r="AF235" i="45" s="1"/>
  <c r="AG235" i="45" s="1"/>
  <c r="AH235" i="45" s="1"/>
  <c r="AI235" i="45" s="1"/>
  <c r="AJ235" i="45" s="1"/>
  <c r="AK235" i="45" s="1"/>
  <c r="AL235" i="45" s="1"/>
  <c r="AM235" i="45" s="1"/>
  <c r="AN235" i="45" s="1"/>
  <c r="AO235" i="45" s="1"/>
  <c r="AP235" i="45" s="1"/>
  <c r="AQ235" i="45" s="1"/>
  <c r="AR235" i="45" s="1"/>
  <c r="AS235" i="45" s="1"/>
  <c r="AT235" i="45" s="1"/>
  <c r="AU235" i="45" s="1"/>
  <c r="O279" i="45"/>
  <c r="N276" i="45"/>
  <c r="M275" i="45"/>
  <c r="N274" i="45"/>
  <c r="O278" i="45"/>
  <c r="T270" i="45"/>
  <c r="N277" i="45"/>
  <c r="O269" i="45"/>
  <c r="P269" i="45" s="1"/>
  <c r="Q269" i="45" s="1"/>
  <c r="R269" i="45" s="1"/>
  <c r="S269" i="45" s="1"/>
  <c r="T269" i="45" s="1"/>
  <c r="U269" i="45" s="1"/>
  <c r="V269" i="45" s="1"/>
  <c r="W269" i="45" s="1"/>
  <c r="X269" i="45" s="1"/>
  <c r="Y269" i="45" s="1"/>
  <c r="Z269" i="45" s="1"/>
  <c r="AA269" i="45" s="1"/>
  <c r="AB269" i="45" s="1"/>
  <c r="AC269" i="45" s="1"/>
  <c r="AD269" i="45" s="1"/>
  <c r="AE269" i="45" s="1"/>
  <c r="AF269" i="45" s="1"/>
  <c r="AG269" i="45" s="1"/>
  <c r="AH269" i="45" s="1"/>
  <c r="AI269" i="45" s="1"/>
  <c r="AJ269" i="45" s="1"/>
  <c r="AK269" i="45" s="1"/>
  <c r="AL269" i="45" s="1"/>
  <c r="AM269" i="45" s="1"/>
  <c r="AN269" i="45" s="1"/>
  <c r="AO269" i="45" s="1"/>
  <c r="AP269" i="45" s="1"/>
  <c r="AQ269" i="45" s="1"/>
  <c r="AR269" i="45" s="1"/>
  <c r="AS269" i="45" s="1"/>
  <c r="AT269" i="45" s="1"/>
  <c r="AU269" i="45" s="1"/>
  <c r="M253" i="45"/>
  <c r="M273" i="45"/>
  <c r="M272" i="45"/>
  <c r="M271" i="45"/>
  <c r="N268" i="45"/>
  <c r="O268" i="45" s="1"/>
  <c r="P268" i="45" s="1"/>
  <c r="Q268" i="45" s="1"/>
  <c r="R268" i="45" s="1"/>
  <c r="S268" i="45" s="1"/>
  <c r="T268" i="45" s="1"/>
  <c r="U268" i="45" s="1"/>
  <c r="N266" i="45"/>
  <c r="N262" i="45"/>
  <c r="N264" i="45"/>
  <c r="M263" i="45"/>
  <c r="O250" i="45"/>
  <c r="P250" i="45" s="1"/>
  <c r="N258" i="45"/>
  <c r="O258" i="45" s="1"/>
  <c r="P258" i="45" s="1"/>
  <c r="N241" i="45"/>
  <c r="O241" i="45" s="1"/>
  <c r="P241" i="45" s="1"/>
  <c r="Q241" i="45" s="1"/>
  <c r="R241" i="45" s="1"/>
  <c r="S241" i="45" s="1"/>
  <c r="T241" i="45" s="1"/>
  <c r="U241" i="45" s="1"/>
  <c r="V241" i="45" s="1"/>
  <c r="W241" i="45" s="1"/>
  <c r="X241" i="45" s="1"/>
  <c r="Y241" i="45" s="1"/>
  <c r="Z241" i="45" s="1"/>
  <c r="AA241" i="45" s="1"/>
  <c r="AB241" i="45" s="1"/>
  <c r="AC241" i="45" s="1"/>
  <c r="AD241" i="45" s="1"/>
  <c r="AE241" i="45" s="1"/>
  <c r="AF241" i="45" s="1"/>
  <c r="AG241" i="45" s="1"/>
  <c r="AH241" i="45" s="1"/>
  <c r="AI241" i="45" s="1"/>
  <c r="AJ241" i="45" s="1"/>
  <c r="AK241" i="45" s="1"/>
  <c r="AL241" i="45" s="1"/>
  <c r="AM241" i="45" s="1"/>
  <c r="AN241" i="45" s="1"/>
  <c r="AO241" i="45" s="1"/>
  <c r="AP241" i="45" s="1"/>
  <c r="AQ241" i="45" s="1"/>
  <c r="AR241" i="45" s="1"/>
  <c r="AS241" i="45" s="1"/>
  <c r="AT241" i="45" s="1"/>
  <c r="AU241" i="45" s="1"/>
  <c r="O234" i="45"/>
  <c r="N246" i="45"/>
  <c r="N253" i="45"/>
  <c r="O253" i="45" s="1"/>
  <c r="P253" i="45" s="1"/>
  <c r="Q253" i="45" s="1"/>
  <c r="N254" i="45"/>
  <c r="O254" i="45" s="1"/>
  <c r="P254" i="45" s="1"/>
  <c r="Q254" i="45" s="1"/>
  <c r="R254" i="45" s="1"/>
  <c r="S254" i="45" s="1"/>
  <c r="T254" i="45" s="1"/>
  <c r="U254" i="45" s="1"/>
  <c r="V254" i="45" s="1"/>
  <c r="W254" i="45" s="1"/>
  <c r="X254" i="45" s="1"/>
  <c r="Y254" i="45" s="1"/>
  <c r="Z254" i="45" s="1"/>
  <c r="AA254" i="45" s="1"/>
  <c r="N251" i="45"/>
  <c r="O251" i="45" s="1"/>
  <c r="P251" i="45" s="1"/>
  <c r="Q251" i="45" s="1"/>
  <c r="R251" i="45" s="1"/>
  <c r="S251" i="45" s="1"/>
  <c r="T251" i="45" s="1"/>
  <c r="U251" i="45" s="1"/>
  <c r="V251" i="45" s="1"/>
  <c r="W251" i="45" s="1"/>
  <c r="X251" i="45" s="1"/>
  <c r="Y251" i="45" s="1"/>
  <c r="Z251" i="45" s="1"/>
  <c r="AA251" i="45" s="1"/>
  <c r="AB251" i="45" s="1"/>
  <c r="AC251" i="45" s="1"/>
  <c r="AD251" i="45" s="1"/>
  <c r="AE251" i="45" s="1"/>
  <c r="AF251" i="45" s="1"/>
  <c r="AG251" i="45" s="1"/>
  <c r="AH251" i="45" s="1"/>
  <c r="AI251" i="45" s="1"/>
  <c r="AJ251" i="45" s="1"/>
  <c r="AK251" i="45" s="1"/>
  <c r="AL251" i="45" s="1"/>
  <c r="AM251" i="45" s="1"/>
  <c r="AN251" i="45" s="1"/>
  <c r="AO251" i="45" s="1"/>
  <c r="AP251" i="45" s="1"/>
  <c r="AQ251" i="45" s="1"/>
  <c r="AR251" i="45" s="1"/>
  <c r="AS251" i="45" s="1"/>
  <c r="AT251" i="45" s="1"/>
  <c r="AU251" i="45" s="1"/>
  <c r="N242" i="45"/>
  <c r="O242" i="45" s="1"/>
  <c r="N238" i="45"/>
  <c r="O238" i="45" s="1"/>
  <c r="N243" i="45"/>
  <c r="O243" i="45" s="1"/>
  <c r="P243" i="45" s="1"/>
  <c r="Q243" i="45" s="1"/>
  <c r="R243" i="45" s="1"/>
  <c r="S243" i="45" s="1"/>
  <c r="T243" i="45" s="1"/>
  <c r="U243" i="45" s="1"/>
  <c r="V243" i="45" s="1"/>
  <c r="C25" i="50"/>
  <c r="C28" i="50" s="1"/>
  <c r="D576" i="45"/>
  <c r="D681" i="45" s="1"/>
  <c r="D786" i="45" s="1"/>
  <c r="D891" i="45" s="1"/>
  <c r="D996" i="45" s="1"/>
  <c r="D1101" i="45" s="1"/>
  <c r="D1206" i="45" s="1"/>
  <c r="D1311" i="45" s="1"/>
  <c r="D1416" i="45" s="1"/>
  <c r="D568" i="45"/>
  <c r="D673" i="45" s="1"/>
  <c r="D778" i="45" s="1"/>
  <c r="D883" i="45" s="1"/>
  <c r="D988" i="45" s="1"/>
  <c r="D1093" i="45" s="1"/>
  <c r="D1198" i="45" s="1"/>
  <c r="D1303" i="45" s="1"/>
  <c r="D1408" i="45" s="1"/>
  <c r="D547" i="45"/>
  <c r="D652" i="45" s="1"/>
  <c r="D757" i="45" s="1"/>
  <c r="D862" i="45" s="1"/>
  <c r="D967" i="45" s="1"/>
  <c r="D1072" i="45" s="1"/>
  <c r="D1177" i="45" s="1"/>
  <c r="D1282" i="45" s="1"/>
  <c r="D1387" i="45" s="1"/>
  <c r="D543" i="45"/>
  <c r="D648" i="45" s="1"/>
  <c r="D753" i="45" s="1"/>
  <c r="D858" i="45" s="1"/>
  <c r="D963" i="45" s="1"/>
  <c r="D1068" i="45" s="1"/>
  <c r="D1173" i="45" s="1"/>
  <c r="D1278" i="45" s="1"/>
  <c r="D1383" i="45" s="1"/>
  <c r="D531" i="45"/>
  <c r="D636" i="45" s="1"/>
  <c r="D741" i="45" s="1"/>
  <c r="D846" i="45" s="1"/>
  <c r="D951" i="45" s="1"/>
  <c r="D1056" i="45" s="1"/>
  <c r="D1161" i="45" s="1"/>
  <c r="D1266" i="45" s="1"/>
  <c r="D1371" i="45" s="1"/>
  <c r="D523" i="45"/>
  <c r="D628" i="45" s="1"/>
  <c r="D733" i="45" s="1"/>
  <c r="D838" i="45" s="1"/>
  <c r="D943" i="45" s="1"/>
  <c r="D1048" i="45" s="1"/>
  <c r="D1153" i="45" s="1"/>
  <c r="D1258" i="45" s="1"/>
  <c r="D1363" i="45" s="1"/>
  <c r="D519" i="45"/>
  <c r="D624" i="45" s="1"/>
  <c r="D729" i="45" s="1"/>
  <c r="D834" i="45" s="1"/>
  <c r="D939" i="45" s="1"/>
  <c r="D1044" i="45" s="1"/>
  <c r="D1149" i="45" s="1"/>
  <c r="D1254" i="45" s="1"/>
  <c r="D1359" i="45" s="1"/>
  <c r="D504" i="45"/>
  <c r="D609" i="45" s="1"/>
  <c r="D714" i="45" s="1"/>
  <c r="D819" i="45" s="1"/>
  <c r="D924" i="45" s="1"/>
  <c r="D1029" i="45" s="1"/>
  <c r="D1134" i="45" s="1"/>
  <c r="D1239" i="45" s="1"/>
  <c r="D1344" i="45" s="1"/>
  <c r="D512" i="45"/>
  <c r="D617" i="45" s="1"/>
  <c r="D722" i="45" s="1"/>
  <c r="D827" i="45" s="1"/>
  <c r="D932" i="45" s="1"/>
  <c r="D1037" i="45" s="1"/>
  <c r="D1142" i="45" s="1"/>
  <c r="D1247" i="45" s="1"/>
  <c r="D1352" i="45" s="1"/>
  <c r="D572" i="45"/>
  <c r="D677" i="45" s="1"/>
  <c r="D782" i="45" s="1"/>
  <c r="D887" i="45" s="1"/>
  <c r="D992" i="45" s="1"/>
  <c r="D1097" i="45" s="1"/>
  <c r="D1202" i="45" s="1"/>
  <c r="D1307" i="45" s="1"/>
  <c r="D1412" i="45" s="1"/>
  <c r="D551" i="45"/>
  <c r="D656" i="45" s="1"/>
  <c r="D761" i="45" s="1"/>
  <c r="D866" i="45" s="1"/>
  <c r="D971" i="45" s="1"/>
  <c r="D1076" i="45" s="1"/>
  <c r="D1181" i="45" s="1"/>
  <c r="D1286" i="45" s="1"/>
  <c r="D1391" i="45" s="1"/>
  <c r="D511" i="45"/>
  <c r="D616" i="45" s="1"/>
  <c r="D721" i="45" s="1"/>
  <c r="D826" i="45" s="1"/>
  <c r="D931" i="45" s="1"/>
  <c r="D1036" i="45" s="1"/>
  <c r="D1141" i="45" s="1"/>
  <c r="D1246" i="45" s="1"/>
  <c r="D1351" i="45" s="1"/>
  <c r="N237" i="45"/>
  <c r="N211" i="45"/>
  <c r="N259" i="45"/>
  <c r="R253" i="45"/>
  <c r="S253" i="45" s="1"/>
  <c r="AF205" i="45"/>
  <c r="M210" i="45"/>
  <c r="M201" i="45"/>
  <c r="M190" i="45"/>
  <c r="W243" i="45"/>
  <c r="X243" i="45" s="1"/>
  <c r="M200" i="45"/>
  <c r="N226" i="45"/>
  <c r="M222" i="45"/>
  <c r="M218" i="45"/>
  <c r="M209" i="45"/>
  <c r="M203" i="45"/>
  <c r="M221" i="45"/>
  <c r="O231" i="45"/>
  <c r="M214" i="45"/>
  <c r="M204" i="45"/>
  <c r="M198" i="45"/>
  <c r="M195" i="45"/>
  <c r="M192" i="45"/>
  <c r="M189" i="45"/>
  <c r="M232" i="45"/>
  <c r="M224" i="45"/>
  <c r="M213" i="45"/>
  <c r="M207" i="45"/>
  <c r="M194" i="45"/>
  <c r="M191" i="45"/>
  <c r="AR9" i="50"/>
  <c r="AR10" i="50" s="1"/>
  <c r="N256" i="45"/>
  <c r="N245" i="45"/>
  <c r="N261" i="45"/>
  <c r="N252" i="45"/>
  <c r="N193" i="45"/>
  <c r="O193" i="45" s="1"/>
  <c r="P193" i="45" s="1"/>
  <c r="N255" i="45"/>
  <c r="N239" i="45"/>
  <c r="N225" i="45"/>
  <c r="N260" i="45"/>
  <c r="N244" i="45"/>
  <c r="N236" i="45"/>
  <c r="N229" i="45"/>
  <c r="N223" i="45"/>
  <c r="N257" i="45"/>
  <c r="N249" i="45"/>
  <c r="N220" i="45"/>
  <c r="N248" i="45"/>
  <c r="N230" i="45"/>
  <c r="N233" i="45"/>
  <c r="N219" i="45"/>
  <c r="N216" i="45"/>
  <c r="N206" i="45"/>
  <c r="N215" i="45"/>
  <c r="N212" i="45"/>
  <c r="N208" i="45"/>
  <c r="N196" i="45"/>
  <c r="N197" i="45"/>
  <c r="N187" i="45"/>
  <c r="N188" i="45"/>
  <c r="BB9" i="44" a="1"/>
  <c r="BB9" i="44" l="1"/>
  <c r="D200" i="50"/>
  <c r="M396" i="45"/>
  <c r="C29" i="50"/>
  <c r="N227" i="45"/>
  <c r="N213" i="45"/>
  <c r="N189" i="45"/>
  <c r="O189" i="45" s="1"/>
  <c r="O188" i="45"/>
  <c r="P188" i="45" s="1"/>
  <c r="Q188" i="45" s="1"/>
  <c r="R188" i="45" s="1"/>
  <c r="S188" i="45" s="1"/>
  <c r="T188" i="45" s="1"/>
  <c r="U188" i="45" s="1"/>
  <c r="V188" i="45" s="1"/>
  <c r="W188" i="45" s="1"/>
  <c r="X188" i="45" s="1"/>
  <c r="Y188" i="45" s="1"/>
  <c r="Z188" i="45" s="1"/>
  <c r="AA188" i="45" s="1"/>
  <c r="AB188" i="45" s="1"/>
  <c r="AC188" i="45" s="1"/>
  <c r="AD188" i="45" s="1"/>
  <c r="AE188" i="45" s="1"/>
  <c r="AF188" i="45" s="1"/>
  <c r="AG188" i="45" s="1"/>
  <c r="AH188" i="45" s="1"/>
  <c r="AI188" i="45" s="1"/>
  <c r="AJ188" i="45" s="1"/>
  <c r="AK188" i="45" s="1"/>
  <c r="AL188" i="45" s="1"/>
  <c r="AM188" i="45" s="1"/>
  <c r="AN188" i="45" s="1"/>
  <c r="AO188" i="45" s="1"/>
  <c r="AP188" i="45" s="1"/>
  <c r="AQ188" i="45" s="1"/>
  <c r="AR188" i="45" s="1"/>
  <c r="AS188" i="45" s="1"/>
  <c r="AT188" i="45" s="1"/>
  <c r="AU188" i="45" s="1"/>
  <c r="N191" i="45"/>
  <c r="O191" i="45" s="1"/>
  <c r="N198" i="45"/>
  <c r="N192" i="45"/>
  <c r="AR11" i="45"/>
  <c r="AN11" i="45"/>
  <c r="AJ11" i="45"/>
  <c r="AF11" i="45"/>
  <c r="AB11" i="45"/>
  <c r="X11" i="45"/>
  <c r="T11" i="45"/>
  <c r="P11" i="45"/>
  <c r="AU10" i="45"/>
  <c r="AQ10" i="45"/>
  <c r="AM10" i="45"/>
  <c r="AI10" i="45"/>
  <c r="AE10" i="45"/>
  <c r="AA10" i="45"/>
  <c r="W10" i="45"/>
  <c r="S10" i="45"/>
  <c r="O10" i="45"/>
  <c r="AT9" i="45"/>
  <c r="AP9" i="45"/>
  <c r="AL9" i="45"/>
  <c r="AH9" i="45"/>
  <c r="AD9" i="45"/>
  <c r="Z9" i="45"/>
  <c r="V9" i="45"/>
  <c r="R9" i="45"/>
  <c r="N9" i="45"/>
  <c r="AU11" i="45"/>
  <c r="AQ11" i="45"/>
  <c r="AM11" i="45"/>
  <c r="AI11" i="45"/>
  <c r="AE11" i="45"/>
  <c r="AA11" i="45"/>
  <c r="W11" i="45"/>
  <c r="S11" i="45"/>
  <c r="O11" i="45"/>
  <c r="AT10" i="45"/>
  <c r="AP10" i="45"/>
  <c r="AL10" i="45"/>
  <c r="AH10" i="45"/>
  <c r="AD10" i="45"/>
  <c r="Z10" i="45"/>
  <c r="V10" i="45"/>
  <c r="R10" i="45"/>
  <c r="N10" i="45"/>
  <c r="AS9" i="45"/>
  <c r="AO9" i="45"/>
  <c r="AK9" i="45"/>
  <c r="AG9" i="45"/>
  <c r="AC9" i="45"/>
  <c r="Y9" i="45"/>
  <c r="U9" i="45"/>
  <c r="Q9" i="45"/>
  <c r="M9" i="45"/>
  <c r="AT11" i="45"/>
  <c r="AL11" i="45"/>
  <c r="AD11" i="45"/>
  <c r="V11" i="45"/>
  <c r="N11" i="45"/>
  <c r="AO10" i="45"/>
  <c r="AG10" i="45"/>
  <c r="Y10" i="45"/>
  <c r="Q10" i="45"/>
  <c r="AR9" i="45"/>
  <c r="AJ9" i="45"/>
  <c r="AB9" i="45"/>
  <c r="T9" i="45"/>
  <c r="AS11" i="45"/>
  <c r="AK11" i="45"/>
  <c r="AC11" i="45"/>
  <c r="U11" i="45"/>
  <c r="M11" i="45"/>
  <c r="AN10" i="45"/>
  <c r="AF10" i="45"/>
  <c r="X10" i="45"/>
  <c r="P10" i="45"/>
  <c r="AQ9" i="45"/>
  <c r="AI9" i="45"/>
  <c r="AA9" i="45"/>
  <c r="S9" i="45"/>
  <c r="AH11" i="45"/>
  <c r="R11" i="45"/>
  <c r="AK10" i="45"/>
  <c r="U10" i="45"/>
  <c r="AN9" i="45"/>
  <c r="X9" i="45"/>
  <c r="AG11" i="45"/>
  <c r="Q11" i="45"/>
  <c r="AJ10" i="45"/>
  <c r="T10" i="45"/>
  <c r="AM9" i="45"/>
  <c r="W9" i="45"/>
  <c r="Z11" i="45"/>
  <c r="AC10" i="45"/>
  <c r="AF9" i="45"/>
  <c r="AS10" i="45"/>
  <c r="P9" i="45"/>
  <c r="AR10" i="45"/>
  <c r="O9" i="45"/>
  <c r="Y11" i="45"/>
  <c r="AB10" i="45"/>
  <c r="AE9" i="45"/>
  <c r="L9" i="45"/>
  <c r="AP11" i="45"/>
  <c r="M10" i="45"/>
  <c r="L10" i="45"/>
  <c r="AO11" i="45"/>
  <c r="AU9" i="45"/>
  <c r="L11" i="45"/>
  <c r="N204" i="45"/>
  <c r="O204" i="45" s="1"/>
  <c r="BC6" i="44"/>
  <c r="BC29" i="50"/>
  <c r="N224" i="45"/>
  <c r="N232" i="45"/>
  <c r="N194" i="45"/>
  <c r="O199" i="45"/>
  <c r="N186" i="45"/>
  <c r="N396" i="45" s="1"/>
  <c r="O208" i="45"/>
  <c r="N207" i="45"/>
  <c r="P217" i="45"/>
  <c r="O197" i="45"/>
  <c r="O206" i="45"/>
  <c r="N210" i="45"/>
  <c r="O210" i="45" s="1"/>
  <c r="N209" i="45"/>
  <c r="AG205" i="45"/>
  <c r="O216" i="45"/>
  <c r="N214" i="45"/>
  <c r="O214" i="45" s="1"/>
  <c r="N222" i="45"/>
  <c r="N201" i="45"/>
  <c r="O220" i="45"/>
  <c r="N190" i="45"/>
  <c r="N200" i="45"/>
  <c r="N195" i="45"/>
  <c r="P279" i="45"/>
  <c r="N272" i="45"/>
  <c r="N273" i="45"/>
  <c r="V268" i="45"/>
  <c r="U270" i="45"/>
  <c r="O274" i="45"/>
  <c r="O276" i="45"/>
  <c r="O266" i="45"/>
  <c r="N271" i="45"/>
  <c r="O277" i="45"/>
  <c r="P278" i="45"/>
  <c r="N275" i="45"/>
  <c r="O264" i="45"/>
  <c r="O262" i="45"/>
  <c r="N263" i="45"/>
  <c r="P238" i="45"/>
  <c r="P242" i="45"/>
  <c r="O246" i="45"/>
  <c r="AB254" i="45"/>
  <c r="Q250" i="45"/>
  <c r="P234" i="45"/>
  <c r="Q258" i="45"/>
  <c r="O233" i="45"/>
  <c r="O225" i="45"/>
  <c r="O187" i="45"/>
  <c r="O215" i="45"/>
  <c r="O257" i="45"/>
  <c r="O229" i="45"/>
  <c r="O239" i="45"/>
  <c r="O252" i="45"/>
  <c r="O245" i="45"/>
  <c r="O230" i="45"/>
  <c r="O219" i="45"/>
  <c r="O248" i="45"/>
  <c r="O244" i="45"/>
  <c r="P191" i="45"/>
  <c r="O196" i="45"/>
  <c r="O212" i="45"/>
  <c r="P204" i="45"/>
  <c r="O249" i="45"/>
  <c r="O223" i="45"/>
  <c r="O236" i="45"/>
  <c r="O260" i="45"/>
  <c r="O255" i="45"/>
  <c r="Q193" i="45"/>
  <c r="O261" i="45"/>
  <c r="O256" i="45"/>
  <c r="N203" i="45"/>
  <c r="N218" i="45"/>
  <c r="Y243" i="45"/>
  <c r="T253" i="45"/>
  <c r="P231" i="45"/>
  <c r="N221" i="45"/>
  <c r="O259" i="45"/>
  <c r="O237" i="45"/>
  <c r="O226" i="45"/>
  <c r="O211" i="45"/>
  <c r="AS9" i="50"/>
  <c r="AS10" i="50" s="1"/>
  <c r="CO5" i="44"/>
  <c r="BC9" i="44" a="1"/>
  <c r="BC9" i="44" l="1"/>
  <c r="O186" i="45"/>
  <c r="O396" i="45" s="1"/>
  <c r="E200" i="50"/>
  <c r="AN200" i="50" s="1"/>
  <c r="D29" i="50"/>
  <c r="O213" i="45"/>
  <c r="O198" i="45"/>
  <c r="O192" i="45"/>
  <c r="P197" i="45"/>
  <c r="Q197" i="45" s="1"/>
  <c r="R197" i="45" s="1"/>
  <c r="O227" i="45"/>
  <c r="P189" i="45"/>
  <c r="Q189" i="45" s="1"/>
  <c r="P208" i="45"/>
  <c r="O224" i="45"/>
  <c r="O232" i="45"/>
  <c r="O190" i="45"/>
  <c r="O194" i="45"/>
  <c r="BD6" i="44"/>
  <c r="O200" i="45"/>
  <c r="P199" i="45"/>
  <c r="O201" i="45"/>
  <c r="O207" i="45"/>
  <c r="P216" i="45"/>
  <c r="Q216" i="45" s="1"/>
  <c r="S197" i="45"/>
  <c r="Q217" i="45"/>
  <c r="O222" i="45"/>
  <c r="P220" i="45"/>
  <c r="AH205" i="45"/>
  <c r="O209" i="45"/>
  <c r="P206" i="45"/>
  <c r="O195" i="45"/>
  <c r="Q279" i="45"/>
  <c r="P274" i="45"/>
  <c r="V270" i="45"/>
  <c r="O275" i="45"/>
  <c r="Q278" i="45"/>
  <c r="P266" i="45"/>
  <c r="O271" i="45"/>
  <c r="P276" i="45"/>
  <c r="W268" i="45"/>
  <c r="O272" i="45"/>
  <c r="P277" i="45"/>
  <c r="O273" i="45"/>
  <c r="O263" i="45"/>
  <c r="P262" i="45"/>
  <c r="P264" i="45"/>
  <c r="Q234" i="45"/>
  <c r="R250" i="45"/>
  <c r="AC254" i="45"/>
  <c r="P246" i="45"/>
  <c r="R258" i="45"/>
  <c r="Q242" i="45"/>
  <c r="Q238" i="45"/>
  <c r="P211" i="45"/>
  <c r="P226" i="45"/>
  <c r="P237" i="45"/>
  <c r="O221" i="45"/>
  <c r="Q231" i="45"/>
  <c r="U253" i="45"/>
  <c r="P260" i="45"/>
  <c r="P213" i="45"/>
  <c r="P230" i="45"/>
  <c r="P252" i="45"/>
  <c r="P239" i="45"/>
  <c r="P233" i="45"/>
  <c r="P261" i="45"/>
  <c r="P255" i="45"/>
  <c r="P223" i="45"/>
  <c r="P224" i="45"/>
  <c r="P210" i="45"/>
  <c r="P192" i="45"/>
  <c r="P212" i="45"/>
  <c r="P196" i="45"/>
  <c r="Q191" i="45"/>
  <c r="P257" i="45"/>
  <c r="P186" i="45"/>
  <c r="P396" i="45" s="1"/>
  <c r="P225" i="45"/>
  <c r="P259" i="45"/>
  <c r="P214" i="45"/>
  <c r="O218" i="45"/>
  <c r="P248" i="45"/>
  <c r="P219" i="45"/>
  <c r="P198" i="45"/>
  <c r="P245" i="45"/>
  <c r="P229" i="45"/>
  <c r="Z243" i="45"/>
  <c r="O203" i="45"/>
  <c r="P256" i="45"/>
  <c r="R193" i="45"/>
  <c r="P236" i="45"/>
  <c r="P249" i="45"/>
  <c r="Q204" i="45"/>
  <c r="Q208" i="45"/>
  <c r="P244" i="45"/>
  <c r="P215" i="45"/>
  <c r="P187" i="45"/>
  <c r="AN15" i="50"/>
  <c r="AN13" i="50"/>
  <c r="AN26" i="50"/>
  <c r="AN19" i="50"/>
  <c r="AN17" i="50"/>
  <c r="AN14" i="50"/>
  <c r="AN16" i="50"/>
  <c r="AN27" i="50"/>
  <c r="AN23" i="50"/>
  <c r="AN20" i="50"/>
  <c r="AT9" i="50"/>
  <c r="AT10" i="50" s="1"/>
  <c r="AZ59" i="44"/>
  <c r="AY59" i="44"/>
  <c r="AX59" i="44"/>
  <c r="AW59" i="44"/>
  <c r="AV59" i="44"/>
  <c r="AT59" i="44"/>
  <c r="AS59" i="44"/>
  <c r="AR59" i="44"/>
  <c r="AQ59" i="44"/>
  <c r="AP59" i="44"/>
  <c r="AO59" i="44"/>
  <c r="AN59" i="44"/>
  <c r="AL59" i="44"/>
  <c r="AK59" i="44"/>
  <c r="AJ59" i="44"/>
  <c r="AG59" i="44"/>
  <c r="AF59" i="44"/>
  <c r="AD59" i="44"/>
  <c r="AC59" i="44"/>
  <c r="BD9" i="44" a="1"/>
  <c r="BD9" i="44" l="1"/>
  <c r="F200" i="50"/>
  <c r="P194" i="45"/>
  <c r="P222" i="45"/>
  <c r="P232" i="45"/>
  <c r="Q220" i="45"/>
  <c r="P227" i="45"/>
  <c r="AU9" i="50"/>
  <c r="AU20" i="50" s="1"/>
  <c r="P190" i="45"/>
  <c r="BE6" i="44"/>
  <c r="P201" i="45"/>
  <c r="AV9" i="50"/>
  <c r="AV10" i="50" s="1"/>
  <c r="AH59" i="44"/>
  <c r="P200" i="45"/>
  <c r="AI59" i="44"/>
  <c r="Q199" i="45"/>
  <c r="AM59" i="44"/>
  <c r="P207" i="45"/>
  <c r="Q206" i="45"/>
  <c r="P209" i="45"/>
  <c r="T197" i="45"/>
  <c r="R189" i="45"/>
  <c r="AI205" i="45"/>
  <c r="R217" i="45"/>
  <c r="AU59" i="44"/>
  <c r="P195" i="45"/>
  <c r="R279" i="45"/>
  <c r="Q276" i="45"/>
  <c r="R278" i="45"/>
  <c r="Q277" i="45"/>
  <c r="P272" i="45"/>
  <c r="X268" i="45"/>
  <c r="P275" i="45"/>
  <c r="W270" i="45"/>
  <c r="Q274" i="45"/>
  <c r="P273" i="45"/>
  <c r="Q266" i="45"/>
  <c r="P271" i="45"/>
  <c r="P263" i="45"/>
  <c r="Q264" i="45"/>
  <c r="Q262" i="45"/>
  <c r="Q246" i="45"/>
  <c r="R234" i="45"/>
  <c r="R238" i="45"/>
  <c r="R242" i="45"/>
  <c r="AD254" i="45"/>
  <c r="S250" i="45"/>
  <c r="S258" i="45"/>
  <c r="T59" i="44"/>
  <c r="AB59" i="44"/>
  <c r="AE59" i="44"/>
  <c r="X59" i="44"/>
  <c r="R59" i="44"/>
  <c r="V59" i="44"/>
  <c r="Z59" i="44"/>
  <c r="S59" i="44"/>
  <c r="W59" i="44"/>
  <c r="AA59" i="44"/>
  <c r="Q59" i="44"/>
  <c r="U59" i="44"/>
  <c r="Y59" i="44"/>
  <c r="Q187" i="45"/>
  <c r="R220" i="45"/>
  <c r="P203" i="45"/>
  <c r="AA243" i="45"/>
  <c r="Q190" i="45"/>
  <c r="Q225" i="45"/>
  <c r="R216" i="45"/>
  <c r="R191" i="45"/>
  <c r="Q192" i="45"/>
  <c r="Q224" i="45"/>
  <c r="Q261" i="45"/>
  <c r="Q260" i="45"/>
  <c r="Q194" i="45"/>
  <c r="Q245" i="45"/>
  <c r="Q198" i="45"/>
  <c r="P218" i="45"/>
  <c r="Q212" i="45"/>
  <c r="Q255" i="45"/>
  <c r="Q233" i="45"/>
  <c r="Q252" i="45"/>
  <c r="Q215" i="45"/>
  <c r="Q244" i="45"/>
  <c r="R208" i="45"/>
  <c r="R204" i="45"/>
  <c r="Q236" i="45"/>
  <c r="S193" i="45"/>
  <c r="Q256" i="45"/>
  <c r="Q232" i="45"/>
  <c r="Q248" i="45"/>
  <c r="Q214" i="45"/>
  <c r="Q222" i="45"/>
  <c r="Q196" i="45"/>
  <c r="Q210" i="45"/>
  <c r="Q239" i="45"/>
  <c r="Q230" i="45"/>
  <c r="V253" i="45"/>
  <c r="Q249" i="45"/>
  <c r="Q229" i="45"/>
  <c r="Q219" i="45"/>
  <c r="Q259" i="45"/>
  <c r="Q186" i="45"/>
  <c r="Q396" i="45" s="1"/>
  <c r="Q257" i="45"/>
  <c r="Q223" i="45"/>
  <c r="Q213" i="45"/>
  <c r="R231" i="45"/>
  <c r="P221" i="45"/>
  <c r="Q237" i="45"/>
  <c r="Q226" i="45"/>
  <c r="Q211" i="45"/>
  <c r="AN18" i="50"/>
  <c r="AN21" i="50" s="1"/>
  <c r="AN25" i="50" s="1"/>
  <c r="AN28" i="50" s="1"/>
  <c r="AN29" i="50" s="1"/>
  <c r="Q3" i="44"/>
  <c r="R3" i="44" s="1"/>
  <c r="S3" i="44" s="1"/>
  <c r="T3" i="44" s="1"/>
  <c r="U3" i="44" s="1"/>
  <c r="V3" i="44" s="1"/>
  <c r="W3" i="44" s="1"/>
  <c r="X3" i="44" s="1"/>
  <c r="Y3" i="44" s="1"/>
  <c r="Z3" i="44" s="1"/>
  <c r="AA3" i="44" s="1"/>
  <c r="AB3" i="44" s="1"/>
  <c r="AC3" i="44" s="1"/>
  <c r="AD3" i="44" s="1"/>
  <c r="AE3" i="44" s="1"/>
  <c r="AF3" i="44" s="1"/>
  <c r="AG3" i="44" s="1"/>
  <c r="AH3" i="44" s="1"/>
  <c r="AI3" i="44" s="1"/>
  <c r="AJ3" i="44" s="1"/>
  <c r="AK3" i="44" s="1"/>
  <c r="AL3" i="44" s="1"/>
  <c r="AM3" i="44" s="1"/>
  <c r="AN3" i="44" s="1"/>
  <c r="AO3" i="44" s="1"/>
  <c r="AP3" i="44" s="1"/>
  <c r="AQ3" i="44" s="1"/>
  <c r="AR3" i="44" s="1"/>
  <c r="AS3" i="44" s="1"/>
  <c r="AT3" i="44" s="1"/>
  <c r="AU3" i="44" s="1"/>
  <c r="AV3" i="44" s="1"/>
  <c r="AW3" i="44" s="1"/>
  <c r="AX3" i="44" s="1"/>
  <c r="AY3" i="44" s="1"/>
  <c r="AZ3" i="44" s="1"/>
  <c r="L3" i="45"/>
  <c r="D7" i="46"/>
  <c r="C10" i="3"/>
  <c r="BA13" i="2"/>
  <c r="AT13" i="2"/>
  <c r="AS13" i="2"/>
  <c r="AR13" i="2"/>
  <c r="AQ13" i="2"/>
  <c r="AP13" i="2"/>
  <c r="AO13" i="2"/>
  <c r="AN13" i="2"/>
  <c r="BE9" i="44" a="1"/>
  <c r="AU23" i="50" l="1"/>
  <c r="AU14" i="50"/>
  <c r="BE9" i="44"/>
  <c r="G200" i="50"/>
  <c r="AU17" i="50"/>
  <c r="Q227" i="45"/>
  <c r="AU19" i="50"/>
  <c r="AU18" i="50" s="1"/>
  <c r="AU16" i="50"/>
  <c r="AU13" i="50"/>
  <c r="AU26" i="50"/>
  <c r="AU10" i="50"/>
  <c r="AU15" i="50"/>
  <c r="AU27" i="50"/>
  <c r="Q201" i="45"/>
  <c r="BF6" i="44"/>
  <c r="AW9" i="50"/>
  <c r="AW10" i="50" s="1"/>
  <c r="AV19" i="50"/>
  <c r="AV15" i="50"/>
  <c r="AV13" i="50"/>
  <c r="AV27" i="50"/>
  <c r="AV17" i="50"/>
  <c r="AV20" i="50"/>
  <c r="AV14" i="50"/>
  <c r="AV23" i="50"/>
  <c r="AV16" i="50"/>
  <c r="AV26" i="50"/>
  <c r="BC10" i="3"/>
  <c r="BC10" i="2" s="1"/>
  <c r="BB10" i="3"/>
  <c r="BB10" i="2" s="1"/>
  <c r="E7" i="46"/>
  <c r="Q200" i="45"/>
  <c r="R199" i="45"/>
  <c r="AJ205" i="45"/>
  <c r="U197" i="45"/>
  <c r="R206" i="45"/>
  <c r="Q207" i="45"/>
  <c r="S217" i="45"/>
  <c r="S189" i="45"/>
  <c r="Q209" i="45"/>
  <c r="Q195" i="45"/>
  <c r="S279" i="45"/>
  <c r="R266" i="45"/>
  <c r="Q273" i="45"/>
  <c r="X270" i="45"/>
  <c r="Q275" i="45"/>
  <c r="Y268" i="45"/>
  <c r="Q272" i="45"/>
  <c r="R277" i="45"/>
  <c r="S278" i="45"/>
  <c r="Q271" i="45"/>
  <c r="R274" i="45"/>
  <c r="R276" i="45"/>
  <c r="R262" i="45"/>
  <c r="Q263" i="45"/>
  <c r="R264" i="45"/>
  <c r="S238" i="45"/>
  <c r="S234" i="45"/>
  <c r="R246" i="45"/>
  <c r="T258" i="45"/>
  <c r="T250" i="45"/>
  <c r="S242" i="45"/>
  <c r="AE254" i="45"/>
  <c r="B588" i="45"/>
  <c r="B598" i="45"/>
  <c r="B586" i="45"/>
  <c r="B597" i="45"/>
  <c r="B589" i="45"/>
  <c r="B590" i="45"/>
  <c r="B595" i="45"/>
  <c r="B594" i="45"/>
  <c r="B591" i="45"/>
  <c r="B596" i="45"/>
  <c r="B599" i="45"/>
  <c r="B587" i="45"/>
  <c r="B593" i="45"/>
  <c r="B592" i="45"/>
  <c r="S231" i="45"/>
  <c r="R237" i="45"/>
  <c r="Q221" i="45"/>
  <c r="R213" i="45"/>
  <c r="R223" i="45"/>
  <c r="R219" i="45"/>
  <c r="R229" i="45"/>
  <c r="R230" i="45"/>
  <c r="R222" i="45"/>
  <c r="R214" i="45"/>
  <c r="R248" i="45"/>
  <c r="R232" i="45"/>
  <c r="R256" i="45"/>
  <c r="T193" i="45"/>
  <c r="R236" i="45"/>
  <c r="R215" i="45"/>
  <c r="R252" i="45"/>
  <c r="R260" i="45"/>
  <c r="R261" i="45"/>
  <c r="Q203" i="45"/>
  <c r="R226" i="45"/>
  <c r="R257" i="45"/>
  <c r="R186" i="45"/>
  <c r="R259" i="45"/>
  <c r="R249" i="45"/>
  <c r="R239" i="45"/>
  <c r="S204" i="45"/>
  <c r="R233" i="45"/>
  <c r="R255" i="45"/>
  <c r="R224" i="45"/>
  <c r="AB243" i="45"/>
  <c r="S220" i="45"/>
  <c r="R187" i="45"/>
  <c r="W253" i="45"/>
  <c r="R210" i="45"/>
  <c r="S208" i="45"/>
  <c r="R212" i="45"/>
  <c r="Q218" i="45"/>
  <c r="R192" i="45"/>
  <c r="S191" i="45"/>
  <c r="S216" i="45"/>
  <c r="R211" i="45"/>
  <c r="R196" i="45"/>
  <c r="R244" i="45"/>
  <c r="R198" i="45"/>
  <c r="R245" i="45"/>
  <c r="R194" i="45"/>
  <c r="R225" i="45"/>
  <c r="R190" i="45"/>
  <c r="BF9" i="44" a="1"/>
  <c r="BF9" i="44" l="1"/>
  <c r="H200" i="50"/>
  <c r="R396" i="45"/>
  <c r="B692" i="45"/>
  <c r="AR587" i="45"/>
  <c r="AN587" i="45"/>
  <c r="AJ587" i="45"/>
  <c r="AF587" i="45"/>
  <c r="AB587" i="45"/>
  <c r="X587" i="45"/>
  <c r="T587" i="45"/>
  <c r="P587" i="45"/>
  <c r="L587" i="45"/>
  <c r="AU587" i="45"/>
  <c r="AQ587" i="45"/>
  <c r="AM587" i="45"/>
  <c r="AI587" i="45"/>
  <c r="AE587" i="45"/>
  <c r="AA587" i="45"/>
  <c r="W587" i="45"/>
  <c r="S587" i="45"/>
  <c r="O587" i="45"/>
  <c r="AT587" i="45"/>
  <c r="AP587" i="45"/>
  <c r="AL587" i="45"/>
  <c r="AH587" i="45"/>
  <c r="AD587" i="45"/>
  <c r="Z587" i="45"/>
  <c r="V587" i="45"/>
  <c r="R587" i="45"/>
  <c r="N587" i="45"/>
  <c r="AG587" i="45"/>
  <c r="Q587" i="45"/>
  <c r="AS587" i="45"/>
  <c r="AC587" i="45"/>
  <c r="M587" i="45"/>
  <c r="U587" i="45"/>
  <c r="AO587" i="45"/>
  <c r="Y587" i="45"/>
  <c r="AK587" i="45"/>
  <c r="B704" i="45"/>
  <c r="AR599" i="45"/>
  <c r="AN599" i="45"/>
  <c r="AJ599" i="45"/>
  <c r="AF599" i="45"/>
  <c r="AB599" i="45"/>
  <c r="X599" i="45"/>
  <c r="T599" i="45"/>
  <c r="P599" i="45"/>
  <c r="L599" i="45"/>
  <c r="AU599" i="45"/>
  <c r="AQ599" i="45"/>
  <c r="AM599" i="45"/>
  <c r="AI599" i="45"/>
  <c r="AE599" i="45"/>
  <c r="AA599" i="45"/>
  <c r="W599" i="45"/>
  <c r="S599" i="45"/>
  <c r="O599" i="45"/>
  <c r="AT599" i="45"/>
  <c r="AP599" i="45"/>
  <c r="AL599" i="45"/>
  <c r="AH599" i="45"/>
  <c r="AD599" i="45"/>
  <c r="Z599" i="45"/>
  <c r="V599" i="45"/>
  <c r="R599" i="45"/>
  <c r="N599" i="45"/>
  <c r="AG599" i="45"/>
  <c r="Q599" i="45"/>
  <c r="AK599" i="45"/>
  <c r="AS599" i="45"/>
  <c r="AC599" i="45"/>
  <c r="M599" i="45"/>
  <c r="U599" i="45"/>
  <c r="AO599" i="45"/>
  <c r="Y599" i="45"/>
  <c r="B700" i="45"/>
  <c r="AR595" i="45"/>
  <c r="AN595" i="45"/>
  <c r="AJ595" i="45"/>
  <c r="AF595" i="45"/>
  <c r="AB595" i="45"/>
  <c r="X595" i="45"/>
  <c r="T595" i="45"/>
  <c r="P595" i="45"/>
  <c r="L595" i="45"/>
  <c r="AU595" i="45"/>
  <c r="AQ595" i="45"/>
  <c r="AM595" i="45"/>
  <c r="AI595" i="45"/>
  <c r="AE595" i="45"/>
  <c r="AA595" i="45"/>
  <c r="W595" i="45"/>
  <c r="S595" i="45"/>
  <c r="O595" i="45"/>
  <c r="AT595" i="45"/>
  <c r="AP595" i="45"/>
  <c r="AL595" i="45"/>
  <c r="AH595" i="45"/>
  <c r="AD595" i="45"/>
  <c r="Z595" i="45"/>
  <c r="V595" i="45"/>
  <c r="R595" i="45"/>
  <c r="N595" i="45"/>
  <c r="AG595" i="45"/>
  <c r="Q595" i="45"/>
  <c r="AK595" i="45"/>
  <c r="AS595" i="45"/>
  <c r="AC595" i="45"/>
  <c r="M595" i="45"/>
  <c r="U595" i="45"/>
  <c r="AO595" i="45"/>
  <c r="Y595" i="45"/>
  <c r="B691" i="45"/>
  <c r="AR586" i="45"/>
  <c r="AN586" i="45"/>
  <c r="AJ586" i="45"/>
  <c r="AF586" i="45"/>
  <c r="AB586" i="45"/>
  <c r="X586" i="45"/>
  <c r="T586" i="45"/>
  <c r="P586" i="45"/>
  <c r="L586" i="45"/>
  <c r="AU586" i="45"/>
  <c r="AQ586" i="45"/>
  <c r="AM586" i="45"/>
  <c r="AI586" i="45"/>
  <c r="AE586" i="45"/>
  <c r="AA586" i="45"/>
  <c r="W586" i="45"/>
  <c r="S586" i="45"/>
  <c r="O586" i="45"/>
  <c r="AT586" i="45"/>
  <c r="AP586" i="45"/>
  <c r="AL586" i="45"/>
  <c r="AH586" i="45"/>
  <c r="AD586" i="45"/>
  <c r="Z586" i="45"/>
  <c r="V586" i="45"/>
  <c r="R586" i="45"/>
  <c r="N586" i="45"/>
  <c r="AK586" i="45"/>
  <c r="U586" i="45"/>
  <c r="AO586" i="45"/>
  <c r="AG586" i="45"/>
  <c r="Q586" i="45"/>
  <c r="Y586" i="45"/>
  <c r="AS586" i="45"/>
  <c r="AC586" i="45"/>
  <c r="M586" i="45"/>
  <c r="B699" i="45"/>
  <c r="AR594" i="45"/>
  <c r="AN594" i="45"/>
  <c r="AJ594" i="45"/>
  <c r="AF594" i="45"/>
  <c r="AB594" i="45"/>
  <c r="X594" i="45"/>
  <c r="T594" i="45"/>
  <c r="P594" i="45"/>
  <c r="L594" i="45"/>
  <c r="AU594" i="45"/>
  <c r="AQ594" i="45"/>
  <c r="AM594" i="45"/>
  <c r="AI594" i="45"/>
  <c r="AE594" i="45"/>
  <c r="AA594" i="45"/>
  <c r="W594" i="45"/>
  <c r="S594" i="45"/>
  <c r="O594" i="45"/>
  <c r="AT594" i="45"/>
  <c r="AP594" i="45"/>
  <c r="AL594" i="45"/>
  <c r="AH594" i="45"/>
  <c r="AD594" i="45"/>
  <c r="Z594" i="45"/>
  <c r="V594" i="45"/>
  <c r="R594" i="45"/>
  <c r="N594" i="45"/>
  <c r="AK594" i="45"/>
  <c r="U594" i="45"/>
  <c r="AG594" i="45"/>
  <c r="Q594" i="45"/>
  <c r="AS594" i="45"/>
  <c r="AC594" i="45"/>
  <c r="M594" i="45"/>
  <c r="AO594" i="45"/>
  <c r="Y594" i="45"/>
  <c r="B701" i="45"/>
  <c r="AR596" i="45"/>
  <c r="AN596" i="45"/>
  <c r="AJ596" i="45"/>
  <c r="AF596" i="45"/>
  <c r="AB596" i="45"/>
  <c r="X596" i="45"/>
  <c r="T596" i="45"/>
  <c r="P596" i="45"/>
  <c r="L596" i="45"/>
  <c r="AU596" i="45"/>
  <c r="AQ596" i="45"/>
  <c r="AM596" i="45"/>
  <c r="AI596" i="45"/>
  <c r="AE596" i="45"/>
  <c r="AA596" i="45"/>
  <c r="W596" i="45"/>
  <c r="S596" i="45"/>
  <c r="O596" i="45"/>
  <c r="AT596" i="45"/>
  <c r="AP596" i="45"/>
  <c r="AL596" i="45"/>
  <c r="AH596" i="45"/>
  <c r="AD596" i="45"/>
  <c r="Z596" i="45"/>
  <c r="V596" i="45"/>
  <c r="R596" i="45"/>
  <c r="N596" i="45"/>
  <c r="AS596" i="45"/>
  <c r="AC596" i="45"/>
  <c r="M596" i="45"/>
  <c r="AO596" i="45"/>
  <c r="Y596" i="45"/>
  <c r="AG596" i="45"/>
  <c r="AK596" i="45"/>
  <c r="U596" i="45"/>
  <c r="Q596" i="45"/>
  <c r="B703" i="45"/>
  <c r="AR598" i="45"/>
  <c r="AN598" i="45"/>
  <c r="AJ598" i="45"/>
  <c r="AF598" i="45"/>
  <c r="AB598" i="45"/>
  <c r="X598" i="45"/>
  <c r="T598" i="45"/>
  <c r="P598" i="45"/>
  <c r="L598" i="45"/>
  <c r="AU598" i="45"/>
  <c r="AQ598" i="45"/>
  <c r="AM598" i="45"/>
  <c r="AI598" i="45"/>
  <c r="AE598" i="45"/>
  <c r="AA598" i="45"/>
  <c r="W598" i="45"/>
  <c r="S598" i="45"/>
  <c r="O598" i="45"/>
  <c r="AT598" i="45"/>
  <c r="AP598" i="45"/>
  <c r="AL598" i="45"/>
  <c r="AH598" i="45"/>
  <c r="AD598" i="45"/>
  <c r="Z598" i="45"/>
  <c r="V598" i="45"/>
  <c r="R598" i="45"/>
  <c r="N598" i="45"/>
  <c r="AK598" i="45"/>
  <c r="U598" i="45"/>
  <c r="Y598" i="45"/>
  <c r="AG598" i="45"/>
  <c r="Q598" i="45"/>
  <c r="AS598" i="45"/>
  <c r="AC598" i="45"/>
  <c r="M598" i="45"/>
  <c r="AO598" i="45"/>
  <c r="B697" i="45"/>
  <c r="AR592" i="45"/>
  <c r="AN592" i="45"/>
  <c r="AJ592" i="45"/>
  <c r="AF592" i="45"/>
  <c r="AB592" i="45"/>
  <c r="X592" i="45"/>
  <c r="T592" i="45"/>
  <c r="P592" i="45"/>
  <c r="L592" i="45"/>
  <c r="AU592" i="45"/>
  <c r="AQ592" i="45"/>
  <c r="AM592" i="45"/>
  <c r="AI592" i="45"/>
  <c r="AE592" i="45"/>
  <c r="AA592" i="45"/>
  <c r="W592" i="45"/>
  <c r="S592" i="45"/>
  <c r="O592" i="45"/>
  <c r="AT592" i="45"/>
  <c r="AP592" i="45"/>
  <c r="AL592" i="45"/>
  <c r="AH592" i="45"/>
  <c r="AD592" i="45"/>
  <c r="Z592" i="45"/>
  <c r="V592" i="45"/>
  <c r="R592" i="45"/>
  <c r="N592" i="45"/>
  <c r="AS592" i="45"/>
  <c r="AC592" i="45"/>
  <c r="M592" i="45"/>
  <c r="AG592" i="45"/>
  <c r="AO592" i="45"/>
  <c r="Y592" i="45"/>
  <c r="Q592" i="45"/>
  <c r="AK592" i="45"/>
  <c r="U592" i="45"/>
  <c r="B695" i="45"/>
  <c r="AR590" i="45"/>
  <c r="AN590" i="45"/>
  <c r="AJ590" i="45"/>
  <c r="AF590" i="45"/>
  <c r="AB590" i="45"/>
  <c r="X590" i="45"/>
  <c r="T590" i="45"/>
  <c r="P590" i="45"/>
  <c r="L590" i="45"/>
  <c r="AU590" i="45"/>
  <c r="AQ590" i="45"/>
  <c r="AM590" i="45"/>
  <c r="AI590" i="45"/>
  <c r="AE590" i="45"/>
  <c r="AA590" i="45"/>
  <c r="W590" i="45"/>
  <c r="S590" i="45"/>
  <c r="O590" i="45"/>
  <c r="AT590" i="45"/>
  <c r="AP590" i="45"/>
  <c r="AL590" i="45"/>
  <c r="AH590" i="45"/>
  <c r="AD590" i="45"/>
  <c r="Z590" i="45"/>
  <c r="V590" i="45"/>
  <c r="R590" i="45"/>
  <c r="N590" i="45"/>
  <c r="AK590" i="45"/>
  <c r="U590" i="45"/>
  <c r="AO590" i="45"/>
  <c r="AG590" i="45"/>
  <c r="Q590" i="45"/>
  <c r="AS590" i="45"/>
  <c r="AC590" i="45"/>
  <c r="M590" i="45"/>
  <c r="Y590" i="45"/>
  <c r="B698" i="45"/>
  <c r="AR593" i="45"/>
  <c r="AN593" i="45"/>
  <c r="AJ593" i="45"/>
  <c r="AF593" i="45"/>
  <c r="AB593" i="45"/>
  <c r="X593" i="45"/>
  <c r="T593" i="45"/>
  <c r="P593" i="45"/>
  <c r="L593" i="45"/>
  <c r="AU593" i="45"/>
  <c r="AQ593" i="45"/>
  <c r="AM593" i="45"/>
  <c r="AI593" i="45"/>
  <c r="AE593" i="45"/>
  <c r="AA593" i="45"/>
  <c r="W593" i="45"/>
  <c r="S593" i="45"/>
  <c r="O593" i="45"/>
  <c r="AT593" i="45"/>
  <c r="AP593" i="45"/>
  <c r="AL593" i="45"/>
  <c r="AH593" i="45"/>
  <c r="AD593" i="45"/>
  <c r="Z593" i="45"/>
  <c r="V593" i="45"/>
  <c r="R593" i="45"/>
  <c r="N593" i="45"/>
  <c r="AO593" i="45"/>
  <c r="Y593" i="45"/>
  <c r="AS593" i="45"/>
  <c r="AK593" i="45"/>
  <c r="U593" i="45"/>
  <c r="AC593" i="45"/>
  <c r="AG593" i="45"/>
  <c r="Q593" i="45"/>
  <c r="M593" i="45"/>
  <c r="B696" i="45"/>
  <c r="AR591" i="45"/>
  <c r="AN591" i="45"/>
  <c r="AJ591" i="45"/>
  <c r="AF591" i="45"/>
  <c r="AB591" i="45"/>
  <c r="X591" i="45"/>
  <c r="T591" i="45"/>
  <c r="P591" i="45"/>
  <c r="L591" i="45"/>
  <c r="AU591" i="45"/>
  <c r="AQ591" i="45"/>
  <c r="AM591" i="45"/>
  <c r="AI591" i="45"/>
  <c r="AE591" i="45"/>
  <c r="AA591" i="45"/>
  <c r="W591" i="45"/>
  <c r="S591" i="45"/>
  <c r="O591" i="45"/>
  <c r="AT591" i="45"/>
  <c r="AP591" i="45"/>
  <c r="AL591" i="45"/>
  <c r="AH591" i="45"/>
  <c r="AD591" i="45"/>
  <c r="Z591" i="45"/>
  <c r="V591" i="45"/>
  <c r="R591" i="45"/>
  <c r="N591" i="45"/>
  <c r="AG591" i="45"/>
  <c r="Q591" i="45"/>
  <c r="AS591" i="45"/>
  <c r="AC591" i="45"/>
  <c r="M591" i="45"/>
  <c r="U591" i="45"/>
  <c r="AO591" i="45"/>
  <c r="Y591" i="45"/>
  <c r="AK591" i="45"/>
  <c r="B694" i="45"/>
  <c r="AR589" i="45"/>
  <c r="AN589" i="45"/>
  <c r="AJ589" i="45"/>
  <c r="AF589" i="45"/>
  <c r="AB589" i="45"/>
  <c r="X589" i="45"/>
  <c r="T589" i="45"/>
  <c r="P589" i="45"/>
  <c r="L589" i="45"/>
  <c r="AU589" i="45"/>
  <c r="AQ589" i="45"/>
  <c r="AM589" i="45"/>
  <c r="AI589" i="45"/>
  <c r="AE589" i="45"/>
  <c r="AA589" i="45"/>
  <c r="W589" i="45"/>
  <c r="S589" i="45"/>
  <c r="O589" i="45"/>
  <c r="AT589" i="45"/>
  <c r="AP589" i="45"/>
  <c r="AL589" i="45"/>
  <c r="AH589" i="45"/>
  <c r="AD589" i="45"/>
  <c r="Z589" i="45"/>
  <c r="V589" i="45"/>
  <c r="R589" i="45"/>
  <c r="N589" i="45"/>
  <c r="AO589" i="45"/>
  <c r="Y589" i="45"/>
  <c r="AC589" i="45"/>
  <c r="AK589" i="45"/>
  <c r="U589" i="45"/>
  <c r="AS589" i="45"/>
  <c r="AG589" i="45"/>
  <c r="Q589" i="45"/>
  <c r="M589" i="45"/>
  <c r="B693" i="45"/>
  <c r="AR588" i="45"/>
  <c r="AN588" i="45"/>
  <c r="AJ588" i="45"/>
  <c r="AF588" i="45"/>
  <c r="AB588" i="45"/>
  <c r="X588" i="45"/>
  <c r="T588" i="45"/>
  <c r="P588" i="45"/>
  <c r="L588" i="45"/>
  <c r="AU588" i="45"/>
  <c r="AQ588" i="45"/>
  <c r="AM588" i="45"/>
  <c r="AI588" i="45"/>
  <c r="AE588" i="45"/>
  <c r="AA588" i="45"/>
  <c r="W588" i="45"/>
  <c r="S588" i="45"/>
  <c r="O588" i="45"/>
  <c r="AT588" i="45"/>
  <c r="AP588" i="45"/>
  <c r="AL588" i="45"/>
  <c r="AH588" i="45"/>
  <c r="AD588" i="45"/>
  <c r="Z588" i="45"/>
  <c r="V588" i="45"/>
  <c r="R588" i="45"/>
  <c r="N588" i="45"/>
  <c r="AS588" i="45"/>
  <c r="AC588" i="45"/>
  <c r="M588" i="45"/>
  <c r="Q588" i="45"/>
  <c r="AO588" i="45"/>
  <c r="Y588" i="45"/>
  <c r="AG588" i="45"/>
  <c r="AK588" i="45"/>
  <c r="U588" i="45"/>
  <c r="B702" i="45"/>
  <c r="AR597" i="45"/>
  <c r="AN597" i="45"/>
  <c r="AJ597" i="45"/>
  <c r="AF597" i="45"/>
  <c r="AB597" i="45"/>
  <c r="X597" i="45"/>
  <c r="T597" i="45"/>
  <c r="P597" i="45"/>
  <c r="L597" i="45"/>
  <c r="AU597" i="45"/>
  <c r="AQ597" i="45"/>
  <c r="AM597" i="45"/>
  <c r="AI597" i="45"/>
  <c r="AE597" i="45"/>
  <c r="AA597" i="45"/>
  <c r="W597" i="45"/>
  <c r="S597" i="45"/>
  <c r="O597" i="45"/>
  <c r="AT597" i="45"/>
  <c r="AP597" i="45"/>
  <c r="AL597" i="45"/>
  <c r="AH597" i="45"/>
  <c r="AD597" i="45"/>
  <c r="Z597" i="45"/>
  <c r="V597" i="45"/>
  <c r="R597" i="45"/>
  <c r="N597" i="45"/>
  <c r="AO597" i="45"/>
  <c r="Y597" i="45"/>
  <c r="M597" i="45"/>
  <c r="AK597" i="45"/>
  <c r="U597" i="45"/>
  <c r="AS597" i="45"/>
  <c r="AG597" i="45"/>
  <c r="Q597" i="45"/>
  <c r="AC597" i="45"/>
  <c r="B601" i="45"/>
  <c r="R227" i="45"/>
  <c r="AU21" i="50"/>
  <c r="AU25" i="50" s="1"/>
  <c r="AU28" i="50" s="1"/>
  <c r="B600" i="45"/>
  <c r="R200" i="45"/>
  <c r="R201" i="45"/>
  <c r="BG6" i="44"/>
  <c r="F7" i="46"/>
  <c r="G7" i="46" s="1"/>
  <c r="H7" i="46" s="1"/>
  <c r="I7" i="46" s="1"/>
  <c r="J7" i="46" s="1"/>
  <c r="K7" i="46" s="1"/>
  <c r="L7" i="46" s="1"/>
  <c r="M7" i="46" s="1"/>
  <c r="N7" i="46" s="1"/>
  <c r="O7" i="46" s="1"/>
  <c r="P7" i="46" s="1"/>
  <c r="Q7" i="46" s="1"/>
  <c r="R7" i="46" s="1"/>
  <c r="S7" i="46" s="1"/>
  <c r="T7" i="46" s="1"/>
  <c r="U7" i="46" s="1"/>
  <c r="V7" i="46" s="1"/>
  <c r="W7" i="46" s="1"/>
  <c r="X7" i="46" s="1"/>
  <c r="Y7" i="46" s="1"/>
  <c r="Z7" i="46" s="1"/>
  <c r="AA7" i="46" s="1"/>
  <c r="AB7" i="46" s="1"/>
  <c r="AC7" i="46" s="1"/>
  <c r="AD7" i="46" s="1"/>
  <c r="AE7" i="46" s="1"/>
  <c r="AF7" i="46" s="1"/>
  <c r="AG7" i="46" s="1"/>
  <c r="AH7" i="46" s="1"/>
  <c r="AI7" i="46" s="1"/>
  <c r="AJ7" i="46" s="1"/>
  <c r="AK7" i="46" s="1"/>
  <c r="AL7" i="46" s="1"/>
  <c r="AM7" i="46" s="1"/>
  <c r="AV18" i="50"/>
  <c r="AV21" i="50" s="1"/>
  <c r="AV25" i="50" s="1"/>
  <c r="AV28" i="50" s="1"/>
  <c r="AX9" i="50"/>
  <c r="AX10" i="50" s="1"/>
  <c r="AW14" i="50"/>
  <c r="AW23" i="50"/>
  <c r="AW16" i="50"/>
  <c r="AW26" i="50"/>
  <c r="AW20" i="50"/>
  <c r="AW13" i="50"/>
  <c r="AW19" i="50"/>
  <c r="AW15" i="50"/>
  <c r="AW27" i="50"/>
  <c r="AW17" i="50"/>
  <c r="AO200" i="50"/>
  <c r="S199" i="45"/>
  <c r="T189" i="45"/>
  <c r="S206" i="45"/>
  <c r="T217" i="45"/>
  <c r="R207" i="45"/>
  <c r="V197" i="45"/>
  <c r="AK205" i="45"/>
  <c r="R209" i="45"/>
  <c r="R195" i="45"/>
  <c r="T279" i="45"/>
  <c r="T278" i="45"/>
  <c r="Z268" i="45"/>
  <c r="Y270" i="45"/>
  <c r="S276" i="45"/>
  <c r="R271" i="45"/>
  <c r="R275" i="45"/>
  <c r="R272" i="45"/>
  <c r="S266" i="45"/>
  <c r="S274" i="45"/>
  <c r="S277" i="45"/>
  <c r="R273" i="45"/>
  <c r="R263" i="45"/>
  <c r="S264" i="45"/>
  <c r="S262" i="45"/>
  <c r="AF254" i="45"/>
  <c r="T242" i="45"/>
  <c r="S246" i="45"/>
  <c r="T238" i="45"/>
  <c r="U250" i="45"/>
  <c r="T234" i="45"/>
  <c r="U258" i="45"/>
  <c r="B563" i="45"/>
  <c r="B551" i="45"/>
  <c r="B520" i="45"/>
  <c r="B576" i="45"/>
  <c r="B533" i="45"/>
  <c r="B518" i="45"/>
  <c r="B538" i="45"/>
  <c r="B542" i="45"/>
  <c r="B560" i="45"/>
  <c r="B574" i="45"/>
  <c r="B535" i="45"/>
  <c r="B539" i="45"/>
  <c r="B527" i="45"/>
  <c r="B577" i="45"/>
  <c r="B578" i="45"/>
  <c r="B515" i="45"/>
  <c r="B504" i="45"/>
  <c r="B554" i="45"/>
  <c r="B514" i="45"/>
  <c r="B580" i="45"/>
  <c r="B547" i="45"/>
  <c r="B540" i="45"/>
  <c r="B546" i="45"/>
  <c r="B519" i="45"/>
  <c r="B502" i="45"/>
  <c r="B501" i="45"/>
  <c r="B529" i="45"/>
  <c r="B541" i="45"/>
  <c r="B536" i="45"/>
  <c r="B526" i="45"/>
  <c r="B568" i="45"/>
  <c r="B503" i="45"/>
  <c r="B509" i="45"/>
  <c r="B511" i="45"/>
  <c r="B522" i="45"/>
  <c r="B584" i="45"/>
  <c r="B581" i="45"/>
  <c r="B508" i="45"/>
  <c r="B523" i="45"/>
  <c r="B516" i="45"/>
  <c r="B582" i="45"/>
  <c r="B575" i="45"/>
  <c r="B506" i="45"/>
  <c r="B537" i="45"/>
  <c r="B544" i="45"/>
  <c r="B553" i="45"/>
  <c r="B507" i="45"/>
  <c r="B513" i="45"/>
  <c r="B512" i="45"/>
  <c r="B579" i="45"/>
  <c r="B583" i="45"/>
  <c r="B510" i="45"/>
  <c r="B532" i="45"/>
  <c r="B555" i="45"/>
  <c r="B561" i="45"/>
  <c r="B585" i="45"/>
  <c r="B558" i="45"/>
  <c r="B545" i="45"/>
  <c r="B572" i="45"/>
  <c r="B565" i="45"/>
  <c r="B566" i="45"/>
  <c r="B569" i="45"/>
  <c r="B573" i="45"/>
  <c r="B534" i="45"/>
  <c r="B549" i="45"/>
  <c r="B517" i="45"/>
  <c r="B530" i="45"/>
  <c r="B548" i="45"/>
  <c r="B528" i="45"/>
  <c r="B559" i="45"/>
  <c r="B524" i="45"/>
  <c r="B521" i="45"/>
  <c r="B550" i="45"/>
  <c r="B556" i="45"/>
  <c r="B531" i="45"/>
  <c r="B505" i="45"/>
  <c r="B525" i="45"/>
  <c r="B567" i="45"/>
  <c r="B571" i="45"/>
  <c r="B564" i="45"/>
  <c r="B543" i="45"/>
  <c r="B570" i="45"/>
  <c r="S190" i="45"/>
  <c r="S225" i="45"/>
  <c r="S187" i="45"/>
  <c r="T220" i="45"/>
  <c r="S259" i="45"/>
  <c r="S186" i="45"/>
  <c r="S396" i="45" s="1"/>
  <c r="S257" i="45"/>
  <c r="R203" i="45"/>
  <c r="U193" i="45"/>
  <c r="S256" i="45"/>
  <c r="S232" i="45"/>
  <c r="S248" i="45"/>
  <c r="S214" i="45"/>
  <c r="S222" i="45"/>
  <c r="S230" i="45"/>
  <c r="S229" i="45"/>
  <c r="S219" i="45"/>
  <c r="S223" i="45"/>
  <c r="S213" i="45"/>
  <c r="T231" i="45"/>
  <c r="S194" i="45"/>
  <c r="T216" i="45"/>
  <c r="T191" i="45"/>
  <c r="S192" i="45"/>
  <c r="AC243" i="45"/>
  <c r="S261" i="45"/>
  <c r="R221" i="45"/>
  <c r="S245" i="45"/>
  <c r="S198" i="45"/>
  <c r="S244" i="45"/>
  <c r="S196" i="45"/>
  <c r="R218" i="45"/>
  <c r="S212" i="45"/>
  <c r="T208" i="45"/>
  <c r="S210" i="45"/>
  <c r="X253" i="45"/>
  <c r="S200" i="45"/>
  <c r="S224" i="45"/>
  <c r="S255" i="45"/>
  <c r="S233" i="45"/>
  <c r="S226" i="45"/>
  <c r="S260" i="45"/>
  <c r="S237" i="45"/>
  <c r="S211" i="45"/>
  <c r="T204" i="45"/>
  <c r="S239" i="45"/>
  <c r="S249" i="45"/>
  <c r="S252" i="45"/>
  <c r="S215" i="45"/>
  <c r="S236" i="45"/>
  <c r="AO23" i="50"/>
  <c r="AO14" i="50"/>
  <c r="AO26" i="50"/>
  <c r="AO19" i="50"/>
  <c r="AO17" i="50"/>
  <c r="AO16" i="50"/>
  <c r="AO13" i="50"/>
  <c r="AO27" i="50"/>
  <c r="AO20" i="50"/>
  <c r="AO15" i="50"/>
  <c r="M3" i="45"/>
  <c r="BG9" i="44" a="1"/>
  <c r="BG9" i="44" l="1"/>
  <c r="I200" i="50"/>
  <c r="B626" i="45"/>
  <c r="AR521" i="45"/>
  <c r="AN521" i="45"/>
  <c r="AJ521" i="45"/>
  <c r="AF521" i="45"/>
  <c r="AB521" i="45"/>
  <c r="X521" i="45"/>
  <c r="T521" i="45"/>
  <c r="P521" i="45"/>
  <c r="L521" i="45"/>
  <c r="AU521" i="45"/>
  <c r="AQ521" i="45"/>
  <c r="AM521" i="45"/>
  <c r="AI521" i="45"/>
  <c r="AE521" i="45"/>
  <c r="AA521" i="45"/>
  <c r="W521" i="45"/>
  <c r="S521" i="45"/>
  <c r="O521" i="45"/>
  <c r="AT521" i="45"/>
  <c r="AP521" i="45"/>
  <c r="AL521" i="45"/>
  <c r="AH521" i="45"/>
  <c r="AD521" i="45"/>
  <c r="Z521" i="45"/>
  <c r="V521" i="45"/>
  <c r="R521" i="45"/>
  <c r="N521" i="45"/>
  <c r="AO521" i="45"/>
  <c r="Y521" i="45"/>
  <c r="M521" i="45"/>
  <c r="AK521" i="45"/>
  <c r="U521" i="45"/>
  <c r="AS521" i="45"/>
  <c r="AG521" i="45"/>
  <c r="Q521" i="45"/>
  <c r="AC521" i="45"/>
  <c r="B670" i="45"/>
  <c r="AR565" i="45"/>
  <c r="AN565" i="45"/>
  <c r="AJ565" i="45"/>
  <c r="AF565" i="45"/>
  <c r="AB565" i="45"/>
  <c r="X565" i="45"/>
  <c r="T565" i="45"/>
  <c r="P565" i="45"/>
  <c r="L565" i="45"/>
  <c r="AU565" i="45"/>
  <c r="AQ565" i="45"/>
  <c r="AM565" i="45"/>
  <c r="AI565" i="45"/>
  <c r="AE565" i="45"/>
  <c r="AA565" i="45"/>
  <c r="W565" i="45"/>
  <c r="S565" i="45"/>
  <c r="O565" i="45"/>
  <c r="AT565" i="45"/>
  <c r="AP565" i="45"/>
  <c r="AL565" i="45"/>
  <c r="AH565" i="45"/>
  <c r="AD565" i="45"/>
  <c r="Z565" i="45"/>
  <c r="V565" i="45"/>
  <c r="R565" i="45"/>
  <c r="N565" i="45"/>
  <c r="AO565" i="45"/>
  <c r="Y565" i="45"/>
  <c r="AK565" i="45"/>
  <c r="U565" i="45"/>
  <c r="AC565" i="45"/>
  <c r="AG565" i="45"/>
  <c r="Q565" i="45"/>
  <c r="AS565" i="45"/>
  <c r="M565" i="45"/>
  <c r="B618" i="45"/>
  <c r="AR513" i="45"/>
  <c r="AN513" i="45"/>
  <c r="AJ513" i="45"/>
  <c r="AF513" i="45"/>
  <c r="AB513" i="45"/>
  <c r="X513" i="45"/>
  <c r="T513" i="45"/>
  <c r="P513" i="45"/>
  <c r="L513" i="45"/>
  <c r="AU513" i="45"/>
  <c r="AQ513" i="45"/>
  <c r="AM513" i="45"/>
  <c r="AI513" i="45"/>
  <c r="AE513" i="45"/>
  <c r="AA513" i="45"/>
  <c r="W513" i="45"/>
  <c r="S513" i="45"/>
  <c r="O513" i="45"/>
  <c r="AT513" i="45"/>
  <c r="AP513" i="45"/>
  <c r="AL513" i="45"/>
  <c r="AH513" i="45"/>
  <c r="AD513" i="45"/>
  <c r="Z513" i="45"/>
  <c r="V513" i="45"/>
  <c r="R513" i="45"/>
  <c r="N513" i="45"/>
  <c r="AO513" i="45"/>
  <c r="Y513" i="45"/>
  <c r="AC513" i="45"/>
  <c r="AK513" i="45"/>
  <c r="U513" i="45"/>
  <c r="M513" i="45"/>
  <c r="AG513" i="45"/>
  <c r="Q513" i="45"/>
  <c r="AS513" i="45"/>
  <c r="B689" i="45"/>
  <c r="AR584" i="45"/>
  <c r="AN584" i="45"/>
  <c r="AJ584" i="45"/>
  <c r="AF584" i="45"/>
  <c r="AB584" i="45"/>
  <c r="X584" i="45"/>
  <c r="T584" i="45"/>
  <c r="P584" i="45"/>
  <c r="L584" i="45"/>
  <c r="AU584" i="45"/>
  <c r="AQ584" i="45"/>
  <c r="AM584" i="45"/>
  <c r="AI584" i="45"/>
  <c r="AE584" i="45"/>
  <c r="AA584" i="45"/>
  <c r="W584" i="45"/>
  <c r="S584" i="45"/>
  <c r="O584" i="45"/>
  <c r="AT584" i="45"/>
  <c r="AP584" i="45"/>
  <c r="AL584" i="45"/>
  <c r="AH584" i="45"/>
  <c r="AD584" i="45"/>
  <c r="Z584" i="45"/>
  <c r="V584" i="45"/>
  <c r="R584" i="45"/>
  <c r="N584" i="45"/>
  <c r="AS584" i="45"/>
  <c r="AC584" i="45"/>
  <c r="M584" i="45"/>
  <c r="Q584" i="45"/>
  <c r="AO584" i="45"/>
  <c r="Y584" i="45"/>
  <c r="AK584" i="45"/>
  <c r="U584" i="45"/>
  <c r="AG584" i="45"/>
  <c r="B624" i="45"/>
  <c r="AR519" i="45"/>
  <c r="AN519" i="45"/>
  <c r="AJ519" i="45"/>
  <c r="AF519" i="45"/>
  <c r="AB519" i="45"/>
  <c r="X519" i="45"/>
  <c r="T519" i="45"/>
  <c r="P519" i="45"/>
  <c r="L519" i="45"/>
  <c r="AU519" i="45"/>
  <c r="AQ519" i="45"/>
  <c r="AM519" i="45"/>
  <c r="AI519" i="45"/>
  <c r="AE519" i="45"/>
  <c r="AA519" i="45"/>
  <c r="W519" i="45"/>
  <c r="S519" i="45"/>
  <c r="O519" i="45"/>
  <c r="AT519" i="45"/>
  <c r="AP519" i="45"/>
  <c r="AL519" i="45"/>
  <c r="AH519" i="45"/>
  <c r="AD519" i="45"/>
  <c r="Z519" i="45"/>
  <c r="V519" i="45"/>
  <c r="R519" i="45"/>
  <c r="N519" i="45"/>
  <c r="AG519" i="45"/>
  <c r="Q519" i="45"/>
  <c r="AK519" i="45"/>
  <c r="AS519" i="45"/>
  <c r="AC519" i="45"/>
  <c r="M519" i="45"/>
  <c r="U519" i="45"/>
  <c r="AO519" i="45"/>
  <c r="Y519" i="45"/>
  <c r="B648" i="45"/>
  <c r="AR543" i="45"/>
  <c r="AN543" i="45"/>
  <c r="AJ543" i="45"/>
  <c r="AF543" i="45"/>
  <c r="AB543" i="45"/>
  <c r="X543" i="45"/>
  <c r="T543" i="45"/>
  <c r="P543" i="45"/>
  <c r="L543" i="45"/>
  <c r="AU543" i="45"/>
  <c r="AQ543" i="45"/>
  <c r="AM543" i="45"/>
  <c r="AI543" i="45"/>
  <c r="AE543" i="45"/>
  <c r="AA543" i="45"/>
  <c r="W543" i="45"/>
  <c r="S543" i="45"/>
  <c r="O543" i="45"/>
  <c r="AT543" i="45"/>
  <c r="AP543" i="45"/>
  <c r="AL543" i="45"/>
  <c r="AH543" i="45"/>
  <c r="AD543" i="45"/>
  <c r="Z543" i="45"/>
  <c r="V543" i="45"/>
  <c r="R543" i="45"/>
  <c r="N543" i="45"/>
  <c r="AG543" i="45"/>
  <c r="Q543" i="45"/>
  <c r="U543" i="45"/>
  <c r="AS543" i="45"/>
  <c r="AC543" i="45"/>
  <c r="M543" i="45"/>
  <c r="AK543" i="45"/>
  <c r="AO543" i="45"/>
  <c r="Y543" i="45"/>
  <c r="B630" i="45"/>
  <c r="AR525" i="45"/>
  <c r="AN525" i="45"/>
  <c r="AJ525" i="45"/>
  <c r="AF525" i="45"/>
  <c r="AB525" i="45"/>
  <c r="X525" i="45"/>
  <c r="T525" i="45"/>
  <c r="P525" i="45"/>
  <c r="L525" i="45"/>
  <c r="AU525" i="45"/>
  <c r="AQ525" i="45"/>
  <c r="AM525" i="45"/>
  <c r="AI525" i="45"/>
  <c r="AE525" i="45"/>
  <c r="AA525" i="45"/>
  <c r="W525" i="45"/>
  <c r="S525" i="45"/>
  <c r="O525" i="45"/>
  <c r="AT525" i="45"/>
  <c r="AP525" i="45"/>
  <c r="AL525" i="45"/>
  <c r="AH525" i="45"/>
  <c r="AD525" i="45"/>
  <c r="Z525" i="45"/>
  <c r="V525" i="45"/>
  <c r="R525" i="45"/>
  <c r="N525" i="45"/>
  <c r="AO525" i="45"/>
  <c r="Y525" i="45"/>
  <c r="M525" i="45"/>
  <c r="AK525" i="45"/>
  <c r="U525" i="45"/>
  <c r="AS525" i="45"/>
  <c r="AG525" i="45"/>
  <c r="Q525" i="45"/>
  <c r="AC525" i="45"/>
  <c r="B655" i="45"/>
  <c r="AR550" i="45"/>
  <c r="AN550" i="45"/>
  <c r="AJ550" i="45"/>
  <c r="AF550" i="45"/>
  <c r="AB550" i="45"/>
  <c r="X550" i="45"/>
  <c r="T550" i="45"/>
  <c r="P550" i="45"/>
  <c r="L550" i="45"/>
  <c r="AU550" i="45"/>
  <c r="AQ550" i="45"/>
  <c r="AM550" i="45"/>
  <c r="AI550" i="45"/>
  <c r="AE550" i="45"/>
  <c r="AA550" i="45"/>
  <c r="W550" i="45"/>
  <c r="S550" i="45"/>
  <c r="O550" i="45"/>
  <c r="AT550" i="45"/>
  <c r="AP550" i="45"/>
  <c r="AL550" i="45"/>
  <c r="AH550" i="45"/>
  <c r="AD550" i="45"/>
  <c r="Z550" i="45"/>
  <c r="V550" i="45"/>
  <c r="R550" i="45"/>
  <c r="N550" i="45"/>
  <c r="AK550" i="45"/>
  <c r="U550" i="45"/>
  <c r="Y550" i="45"/>
  <c r="AG550" i="45"/>
  <c r="Q550" i="45"/>
  <c r="AS550" i="45"/>
  <c r="AC550" i="45"/>
  <c r="M550" i="45"/>
  <c r="AO550" i="45"/>
  <c r="B633" i="45"/>
  <c r="AR528" i="45"/>
  <c r="AN528" i="45"/>
  <c r="AJ528" i="45"/>
  <c r="AF528" i="45"/>
  <c r="AB528" i="45"/>
  <c r="X528" i="45"/>
  <c r="T528" i="45"/>
  <c r="P528" i="45"/>
  <c r="L528" i="45"/>
  <c r="AU528" i="45"/>
  <c r="AQ528" i="45"/>
  <c r="AM528" i="45"/>
  <c r="AI528" i="45"/>
  <c r="AE528" i="45"/>
  <c r="AA528" i="45"/>
  <c r="W528" i="45"/>
  <c r="S528" i="45"/>
  <c r="O528" i="45"/>
  <c r="AT528" i="45"/>
  <c r="AP528" i="45"/>
  <c r="AL528" i="45"/>
  <c r="AH528" i="45"/>
  <c r="AD528" i="45"/>
  <c r="Z528" i="45"/>
  <c r="V528" i="45"/>
  <c r="R528" i="45"/>
  <c r="N528" i="45"/>
  <c r="AS528" i="45"/>
  <c r="AC528" i="45"/>
  <c r="M528" i="45"/>
  <c r="AO528" i="45"/>
  <c r="Y528" i="45"/>
  <c r="Q528" i="45"/>
  <c r="AK528" i="45"/>
  <c r="U528" i="45"/>
  <c r="AG528" i="45"/>
  <c r="B654" i="45"/>
  <c r="AR549" i="45"/>
  <c r="AN549" i="45"/>
  <c r="AJ549" i="45"/>
  <c r="AF549" i="45"/>
  <c r="AB549" i="45"/>
  <c r="X549" i="45"/>
  <c r="T549" i="45"/>
  <c r="P549" i="45"/>
  <c r="L549" i="45"/>
  <c r="AU549" i="45"/>
  <c r="AQ549" i="45"/>
  <c r="AM549" i="45"/>
  <c r="AI549" i="45"/>
  <c r="AE549" i="45"/>
  <c r="AA549" i="45"/>
  <c r="W549" i="45"/>
  <c r="S549" i="45"/>
  <c r="O549" i="45"/>
  <c r="AT549" i="45"/>
  <c r="AP549" i="45"/>
  <c r="AL549" i="45"/>
  <c r="AH549" i="45"/>
  <c r="AD549" i="45"/>
  <c r="Z549" i="45"/>
  <c r="V549" i="45"/>
  <c r="R549" i="45"/>
  <c r="N549" i="45"/>
  <c r="AO549" i="45"/>
  <c r="Y549" i="45"/>
  <c r="AK549" i="45"/>
  <c r="U549" i="45"/>
  <c r="AS549" i="45"/>
  <c r="M549" i="45"/>
  <c r="AG549" i="45"/>
  <c r="Q549" i="45"/>
  <c r="AC549" i="45"/>
  <c r="B671" i="45"/>
  <c r="AR566" i="45"/>
  <c r="AN566" i="45"/>
  <c r="AJ566" i="45"/>
  <c r="AF566" i="45"/>
  <c r="AB566" i="45"/>
  <c r="X566" i="45"/>
  <c r="T566" i="45"/>
  <c r="P566" i="45"/>
  <c r="L566" i="45"/>
  <c r="AU566" i="45"/>
  <c r="AQ566" i="45"/>
  <c r="AM566" i="45"/>
  <c r="AI566" i="45"/>
  <c r="AE566" i="45"/>
  <c r="AA566" i="45"/>
  <c r="W566" i="45"/>
  <c r="S566" i="45"/>
  <c r="O566" i="45"/>
  <c r="AT566" i="45"/>
  <c r="AP566" i="45"/>
  <c r="AL566" i="45"/>
  <c r="AH566" i="45"/>
  <c r="AD566" i="45"/>
  <c r="Z566" i="45"/>
  <c r="V566" i="45"/>
  <c r="R566" i="45"/>
  <c r="N566" i="45"/>
  <c r="AK566" i="45"/>
  <c r="U566" i="45"/>
  <c r="Y566" i="45"/>
  <c r="AG566" i="45"/>
  <c r="Q566" i="45"/>
  <c r="AS566" i="45"/>
  <c r="AC566" i="45"/>
  <c r="M566" i="45"/>
  <c r="AO566" i="45"/>
  <c r="B663" i="45"/>
  <c r="AR558" i="45"/>
  <c r="AN558" i="45"/>
  <c r="AJ558" i="45"/>
  <c r="AF558" i="45"/>
  <c r="AB558" i="45"/>
  <c r="X558" i="45"/>
  <c r="T558" i="45"/>
  <c r="P558" i="45"/>
  <c r="L558" i="45"/>
  <c r="AU558" i="45"/>
  <c r="AQ558" i="45"/>
  <c r="AM558" i="45"/>
  <c r="AI558" i="45"/>
  <c r="AE558" i="45"/>
  <c r="AA558" i="45"/>
  <c r="W558" i="45"/>
  <c r="S558" i="45"/>
  <c r="O558" i="45"/>
  <c r="AT558" i="45"/>
  <c r="AP558" i="45"/>
  <c r="AL558" i="45"/>
  <c r="AH558" i="45"/>
  <c r="AD558" i="45"/>
  <c r="Z558" i="45"/>
  <c r="V558" i="45"/>
  <c r="R558" i="45"/>
  <c r="N558" i="45"/>
  <c r="AK558" i="45"/>
  <c r="U558" i="45"/>
  <c r="Y558" i="45"/>
  <c r="AG558" i="45"/>
  <c r="Q558" i="45"/>
  <c r="AS558" i="45"/>
  <c r="AC558" i="45"/>
  <c r="M558" i="45"/>
  <c r="AO558" i="45"/>
  <c r="B637" i="45"/>
  <c r="AR532" i="45"/>
  <c r="AN532" i="45"/>
  <c r="AJ532" i="45"/>
  <c r="AF532" i="45"/>
  <c r="AB532" i="45"/>
  <c r="X532" i="45"/>
  <c r="T532" i="45"/>
  <c r="P532" i="45"/>
  <c r="L532" i="45"/>
  <c r="AU532" i="45"/>
  <c r="AQ532" i="45"/>
  <c r="AM532" i="45"/>
  <c r="AI532" i="45"/>
  <c r="AE532" i="45"/>
  <c r="AA532" i="45"/>
  <c r="W532" i="45"/>
  <c r="S532" i="45"/>
  <c r="O532" i="45"/>
  <c r="AT532" i="45"/>
  <c r="AP532" i="45"/>
  <c r="AL532" i="45"/>
  <c r="AH532" i="45"/>
  <c r="AD532" i="45"/>
  <c r="Z532" i="45"/>
  <c r="V532" i="45"/>
  <c r="R532" i="45"/>
  <c r="N532" i="45"/>
  <c r="AS532" i="45"/>
  <c r="AC532" i="45"/>
  <c r="M532" i="45"/>
  <c r="Q532" i="45"/>
  <c r="AO532" i="45"/>
  <c r="Y532" i="45"/>
  <c r="AG532" i="45"/>
  <c r="AK532" i="45"/>
  <c r="U532" i="45"/>
  <c r="B617" i="45"/>
  <c r="AR512" i="45"/>
  <c r="AN512" i="45"/>
  <c r="AJ512" i="45"/>
  <c r="AF512" i="45"/>
  <c r="AB512" i="45"/>
  <c r="X512" i="45"/>
  <c r="T512" i="45"/>
  <c r="P512" i="45"/>
  <c r="L512" i="45"/>
  <c r="AU512" i="45"/>
  <c r="AQ512" i="45"/>
  <c r="AM512" i="45"/>
  <c r="AI512" i="45"/>
  <c r="AE512" i="45"/>
  <c r="AA512" i="45"/>
  <c r="W512" i="45"/>
  <c r="S512" i="45"/>
  <c r="O512" i="45"/>
  <c r="AT512" i="45"/>
  <c r="AP512" i="45"/>
  <c r="AL512" i="45"/>
  <c r="AH512" i="45"/>
  <c r="AD512" i="45"/>
  <c r="Z512" i="45"/>
  <c r="V512" i="45"/>
  <c r="R512" i="45"/>
  <c r="N512" i="45"/>
  <c r="AS512" i="45"/>
  <c r="AC512" i="45"/>
  <c r="M512" i="45"/>
  <c r="Q512" i="45"/>
  <c r="AO512" i="45"/>
  <c r="Y512" i="45"/>
  <c r="AK512" i="45"/>
  <c r="U512" i="45"/>
  <c r="AG512" i="45"/>
  <c r="B649" i="45"/>
  <c r="AR544" i="45"/>
  <c r="AN544" i="45"/>
  <c r="AJ544" i="45"/>
  <c r="AF544" i="45"/>
  <c r="AB544" i="45"/>
  <c r="X544" i="45"/>
  <c r="T544" i="45"/>
  <c r="P544" i="45"/>
  <c r="L544" i="45"/>
  <c r="AU544" i="45"/>
  <c r="AQ544" i="45"/>
  <c r="AM544" i="45"/>
  <c r="AI544" i="45"/>
  <c r="AE544" i="45"/>
  <c r="AA544" i="45"/>
  <c r="W544" i="45"/>
  <c r="S544" i="45"/>
  <c r="O544" i="45"/>
  <c r="AT544" i="45"/>
  <c r="AP544" i="45"/>
  <c r="AL544" i="45"/>
  <c r="AH544" i="45"/>
  <c r="AD544" i="45"/>
  <c r="Z544" i="45"/>
  <c r="V544" i="45"/>
  <c r="R544" i="45"/>
  <c r="N544" i="45"/>
  <c r="AS544" i="45"/>
  <c r="AC544" i="45"/>
  <c r="M544" i="45"/>
  <c r="AG544" i="45"/>
  <c r="AO544" i="45"/>
  <c r="Y544" i="45"/>
  <c r="AK544" i="45"/>
  <c r="U544" i="45"/>
  <c r="Q544" i="45"/>
  <c r="B687" i="45"/>
  <c r="AR582" i="45"/>
  <c r="AN582" i="45"/>
  <c r="AJ582" i="45"/>
  <c r="AF582" i="45"/>
  <c r="AB582" i="45"/>
  <c r="X582" i="45"/>
  <c r="T582" i="45"/>
  <c r="P582" i="45"/>
  <c r="L582" i="45"/>
  <c r="AU582" i="45"/>
  <c r="AQ582" i="45"/>
  <c r="AM582" i="45"/>
  <c r="AI582" i="45"/>
  <c r="AE582" i="45"/>
  <c r="AA582" i="45"/>
  <c r="W582" i="45"/>
  <c r="S582" i="45"/>
  <c r="O582" i="45"/>
  <c r="AT582" i="45"/>
  <c r="AP582" i="45"/>
  <c r="AL582" i="45"/>
  <c r="AH582" i="45"/>
  <c r="AD582" i="45"/>
  <c r="Z582" i="45"/>
  <c r="V582" i="45"/>
  <c r="R582" i="45"/>
  <c r="N582" i="45"/>
  <c r="AK582" i="45"/>
  <c r="U582" i="45"/>
  <c r="AO582" i="45"/>
  <c r="AG582" i="45"/>
  <c r="Q582" i="45"/>
  <c r="Y582" i="45"/>
  <c r="AS582" i="45"/>
  <c r="AC582" i="45"/>
  <c r="M582" i="45"/>
  <c r="B686" i="45"/>
  <c r="AR581" i="45"/>
  <c r="AN581" i="45"/>
  <c r="AJ581" i="45"/>
  <c r="AF581" i="45"/>
  <c r="AB581" i="45"/>
  <c r="X581" i="45"/>
  <c r="T581" i="45"/>
  <c r="P581" i="45"/>
  <c r="L581" i="45"/>
  <c r="AU581" i="45"/>
  <c r="AQ581" i="45"/>
  <c r="AM581" i="45"/>
  <c r="AI581" i="45"/>
  <c r="AE581" i="45"/>
  <c r="AA581" i="45"/>
  <c r="W581" i="45"/>
  <c r="S581" i="45"/>
  <c r="O581" i="45"/>
  <c r="AT581" i="45"/>
  <c r="AP581" i="45"/>
  <c r="AL581" i="45"/>
  <c r="AH581" i="45"/>
  <c r="AD581" i="45"/>
  <c r="Z581" i="45"/>
  <c r="V581" i="45"/>
  <c r="R581" i="45"/>
  <c r="N581" i="45"/>
  <c r="AO581" i="45"/>
  <c r="Y581" i="45"/>
  <c r="M581" i="45"/>
  <c r="AK581" i="45"/>
  <c r="U581" i="45"/>
  <c r="AC581" i="45"/>
  <c r="AG581" i="45"/>
  <c r="Q581" i="45"/>
  <c r="AS581" i="45"/>
  <c r="B614" i="45"/>
  <c r="AR509" i="45"/>
  <c r="AN509" i="45"/>
  <c r="AJ509" i="45"/>
  <c r="AF509" i="45"/>
  <c r="AB509" i="45"/>
  <c r="X509" i="45"/>
  <c r="T509" i="45"/>
  <c r="P509" i="45"/>
  <c r="L509" i="45"/>
  <c r="AU509" i="45"/>
  <c r="AQ509" i="45"/>
  <c r="AM509" i="45"/>
  <c r="AI509" i="45"/>
  <c r="AE509" i="45"/>
  <c r="AA509" i="45"/>
  <c r="W509" i="45"/>
  <c r="S509" i="45"/>
  <c r="O509" i="45"/>
  <c r="AT509" i="45"/>
  <c r="AP509" i="45"/>
  <c r="AL509" i="45"/>
  <c r="AH509" i="45"/>
  <c r="AD509" i="45"/>
  <c r="Z509" i="45"/>
  <c r="V509" i="45"/>
  <c r="R509" i="45"/>
  <c r="N509" i="45"/>
  <c r="AO509" i="45"/>
  <c r="Y509" i="45"/>
  <c r="AS509" i="45"/>
  <c r="AK509" i="45"/>
  <c r="U509" i="45"/>
  <c r="AC509" i="45"/>
  <c r="AG509" i="45"/>
  <c r="Q509" i="45"/>
  <c r="M509" i="45"/>
  <c r="B641" i="45"/>
  <c r="AR536" i="45"/>
  <c r="AN536" i="45"/>
  <c r="AJ536" i="45"/>
  <c r="AF536" i="45"/>
  <c r="AB536" i="45"/>
  <c r="X536" i="45"/>
  <c r="T536" i="45"/>
  <c r="P536" i="45"/>
  <c r="L536" i="45"/>
  <c r="AU536" i="45"/>
  <c r="AQ536" i="45"/>
  <c r="AM536" i="45"/>
  <c r="AI536" i="45"/>
  <c r="AE536" i="45"/>
  <c r="AA536" i="45"/>
  <c r="W536" i="45"/>
  <c r="S536" i="45"/>
  <c r="O536" i="45"/>
  <c r="AT536" i="45"/>
  <c r="AP536" i="45"/>
  <c r="AL536" i="45"/>
  <c r="AH536" i="45"/>
  <c r="AD536" i="45"/>
  <c r="Z536" i="45"/>
  <c r="V536" i="45"/>
  <c r="R536" i="45"/>
  <c r="N536" i="45"/>
  <c r="AS536" i="45"/>
  <c r="AC536" i="45"/>
  <c r="M536" i="45"/>
  <c r="AO536" i="45"/>
  <c r="Y536" i="45"/>
  <c r="AG536" i="45"/>
  <c r="AK536" i="45"/>
  <c r="U536" i="45"/>
  <c r="Q536" i="45"/>
  <c r="B607" i="45"/>
  <c r="AR502" i="45"/>
  <c r="AN502" i="45"/>
  <c r="AJ502" i="45"/>
  <c r="AF502" i="45"/>
  <c r="AB502" i="45"/>
  <c r="X502" i="45"/>
  <c r="T502" i="45"/>
  <c r="P502" i="45"/>
  <c r="L502" i="45"/>
  <c r="AU502" i="45"/>
  <c r="AQ502" i="45"/>
  <c r="AM502" i="45"/>
  <c r="AI502" i="45"/>
  <c r="AE502" i="45"/>
  <c r="AA502" i="45"/>
  <c r="W502" i="45"/>
  <c r="S502" i="45"/>
  <c r="O502" i="45"/>
  <c r="AT502" i="45"/>
  <c r="AP502" i="45"/>
  <c r="AL502" i="45"/>
  <c r="AH502" i="45"/>
  <c r="AD502" i="45"/>
  <c r="Z502" i="45"/>
  <c r="V502" i="45"/>
  <c r="R502" i="45"/>
  <c r="N502" i="45"/>
  <c r="AK502" i="45"/>
  <c r="U502" i="45"/>
  <c r="Y502" i="45"/>
  <c r="AG502" i="45"/>
  <c r="Q502" i="45"/>
  <c r="AS502" i="45"/>
  <c r="AC502" i="45"/>
  <c r="M502" i="45"/>
  <c r="AO502" i="45"/>
  <c r="B652" i="45"/>
  <c r="AR547" i="45"/>
  <c r="AN547" i="45"/>
  <c r="AJ547" i="45"/>
  <c r="AF547" i="45"/>
  <c r="AB547" i="45"/>
  <c r="X547" i="45"/>
  <c r="T547" i="45"/>
  <c r="P547" i="45"/>
  <c r="L547" i="45"/>
  <c r="AU547" i="45"/>
  <c r="AQ547" i="45"/>
  <c r="AM547" i="45"/>
  <c r="AI547" i="45"/>
  <c r="AE547" i="45"/>
  <c r="AA547" i="45"/>
  <c r="W547" i="45"/>
  <c r="S547" i="45"/>
  <c r="O547" i="45"/>
  <c r="AT547" i="45"/>
  <c r="AP547" i="45"/>
  <c r="AL547" i="45"/>
  <c r="AH547" i="45"/>
  <c r="AD547" i="45"/>
  <c r="Z547" i="45"/>
  <c r="V547" i="45"/>
  <c r="R547" i="45"/>
  <c r="N547" i="45"/>
  <c r="AG547" i="45"/>
  <c r="Q547" i="45"/>
  <c r="U547" i="45"/>
  <c r="AS547" i="45"/>
  <c r="AC547" i="45"/>
  <c r="M547" i="45"/>
  <c r="AK547" i="45"/>
  <c r="AO547" i="45"/>
  <c r="Y547" i="45"/>
  <c r="B609" i="45"/>
  <c r="AR504" i="45"/>
  <c r="AN504" i="45"/>
  <c r="AJ504" i="45"/>
  <c r="AF504" i="45"/>
  <c r="AB504" i="45"/>
  <c r="X504" i="45"/>
  <c r="T504" i="45"/>
  <c r="P504" i="45"/>
  <c r="L504" i="45"/>
  <c r="AU504" i="45"/>
  <c r="AQ504" i="45"/>
  <c r="AM504" i="45"/>
  <c r="AI504" i="45"/>
  <c r="AE504" i="45"/>
  <c r="AA504" i="45"/>
  <c r="W504" i="45"/>
  <c r="S504" i="45"/>
  <c r="O504" i="45"/>
  <c r="AT504" i="45"/>
  <c r="AP504" i="45"/>
  <c r="AL504" i="45"/>
  <c r="AH504" i="45"/>
  <c r="AD504" i="45"/>
  <c r="Z504" i="45"/>
  <c r="V504" i="45"/>
  <c r="R504" i="45"/>
  <c r="N504" i="45"/>
  <c r="AS504" i="45"/>
  <c r="AC504" i="45"/>
  <c r="M504" i="45"/>
  <c r="AO504" i="45"/>
  <c r="Y504" i="45"/>
  <c r="AG504" i="45"/>
  <c r="AK504" i="45"/>
  <c r="U504" i="45"/>
  <c r="Q504" i="45"/>
  <c r="B632" i="45"/>
  <c r="AR527" i="45"/>
  <c r="AN527" i="45"/>
  <c r="AJ527" i="45"/>
  <c r="AF527" i="45"/>
  <c r="AB527" i="45"/>
  <c r="X527" i="45"/>
  <c r="T527" i="45"/>
  <c r="P527" i="45"/>
  <c r="L527" i="45"/>
  <c r="AU527" i="45"/>
  <c r="AQ527" i="45"/>
  <c r="AM527" i="45"/>
  <c r="AI527" i="45"/>
  <c r="AE527" i="45"/>
  <c r="AA527" i="45"/>
  <c r="W527" i="45"/>
  <c r="S527" i="45"/>
  <c r="O527" i="45"/>
  <c r="AT527" i="45"/>
  <c r="AP527" i="45"/>
  <c r="AL527" i="45"/>
  <c r="AH527" i="45"/>
  <c r="AD527" i="45"/>
  <c r="Z527" i="45"/>
  <c r="V527" i="45"/>
  <c r="R527" i="45"/>
  <c r="N527" i="45"/>
  <c r="AG527" i="45"/>
  <c r="Q527" i="45"/>
  <c r="AK527" i="45"/>
  <c r="AS527" i="45"/>
  <c r="AC527" i="45"/>
  <c r="M527" i="45"/>
  <c r="U527" i="45"/>
  <c r="AO527" i="45"/>
  <c r="Y527" i="45"/>
  <c r="B665" i="45"/>
  <c r="AR560" i="45"/>
  <c r="AN560" i="45"/>
  <c r="AJ560" i="45"/>
  <c r="AF560" i="45"/>
  <c r="AB560" i="45"/>
  <c r="X560" i="45"/>
  <c r="T560" i="45"/>
  <c r="P560" i="45"/>
  <c r="L560" i="45"/>
  <c r="AU560" i="45"/>
  <c r="AQ560" i="45"/>
  <c r="AM560" i="45"/>
  <c r="AI560" i="45"/>
  <c r="AE560" i="45"/>
  <c r="AA560" i="45"/>
  <c r="W560" i="45"/>
  <c r="S560" i="45"/>
  <c r="O560" i="45"/>
  <c r="AT560" i="45"/>
  <c r="AP560" i="45"/>
  <c r="AL560" i="45"/>
  <c r="AH560" i="45"/>
  <c r="AD560" i="45"/>
  <c r="Z560" i="45"/>
  <c r="V560" i="45"/>
  <c r="R560" i="45"/>
  <c r="N560" i="45"/>
  <c r="AS560" i="45"/>
  <c r="AC560" i="45"/>
  <c r="M560" i="45"/>
  <c r="AO560" i="45"/>
  <c r="Y560" i="45"/>
  <c r="Q560" i="45"/>
  <c r="AK560" i="45"/>
  <c r="U560" i="45"/>
  <c r="AG560" i="45"/>
  <c r="B638" i="45"/>
  <c r="AR533" i="45"/>
  <c r="AN533" i="45"/>
  <c r="AJ533" i="45"/>
  <c r="AF533" i="45"/>
  <c r="AB533" i="45"/>
  <c r="X533" i="45"/>
  <c r="T533" i="45"/>
  <c r="P533" i="45"/>
  <c r="L533" i="45"/>
  <c r="AU533" i="45"/>
  <c r="AQ533" i="45"/>
  <c r="AM533" i="45"/>
  <c r="AI533" i="45"/>
  <c r="AE533" i="45"/>
  <c r="AA533" i="45"/>
  <c r="W533" i="45"/>
  <c r="S533" i="45"/>
  <c r="O533" i="45"/>
  <c r="AT533" i="45"/>
  <c r="AP533" i="45"/>
  <c r="AL533" i="45"/>
  <c r="AH533" i="45"/>
  <c r="AD533" i="45"/>
  <c r="Z533" i="45"/>
  <c r="V533" i="45"/>
  <c r="R533" i="45"/>
  <c r="N533" i="45"/>
  <c r="AO533" i="45"/>
  <c r="Y533" i="45"/>
  <c r="AC533" i="45"/>
  <c r="AK533" i="45"/>
  <c r="U533" i="45"/>
  <c r="AS533" i="45"/>
  <c r="AG533" i="45"/>
  <c r="Q533" i="45"/>
  <c r="M533" i="45"/>
  <c r="B668" i="45"/>
  <c r="AR563" i="45"/>
  <c r="AN563" i="45"/>
  <c r="AJ563" i="45"/>
  <c r="AF563" i="45"/>
  <c r="AB563" i="45"/>
  <c r="X563" i="45"/>
  <c r="T563" i="45"/>
  <c r="P563" i="45"/>
  <c r="L563" i="45"/>
  <c r="AU563" i="45"/>
  <c r="AQ563" i="45"/>
  <c r="AM563" i="45"/>
  <c r="AI563" i="45"/>
  <c r="AE563" i="45"/>
  <c r="AA563" i="45"/>
  <c r="W563" i="45"/>
  <c r="S563" i="45"/>
  <c r="O563" i="45"/>
  <c r="AT563" i="45"/>
  <c r="AP563" i="45"/>
  <c r="AL563" i="45"/>
  <c r="AH563" i="45"/>
  <c r="AD563" i="45"/>
  <c r="Z563" i="45"/>
  <c r="V563" i="45"/>
  <c r="R563" i="45"/>
  <c r="N563" i="45"/>
  <c r="AG563" i="45"/>
  <c r="Q563" i="45"/>
  <c r="AS563" i="45"/>
  <c r="AC563" i="45"/>
  <c r="M563" i="45"/>
  <c r="U563" i="45"/>
  <c r="AO563" i="45"/>
  <c r="Y563" i="45"/>
  <c r="AK563" i="45"/>
  <c r="B798" i="45"/>
  <c r="AT693" i="45"/>
  <c r="AP693" i="45"/>
  <c r="AL693" i="45"/>
  <c r="AH693" i="45"/>
  <c r="AD693" i="45"/>
  <c r="Z693" i="45"/>
  <c r="V693" i="45"/>
  <c r="R693" i="45"/>
  <c r="N693" i="45"/>
  <c r="AQ693" i="45"/>
  <c r="AK693" i="45"/>
  <c r="AF693" i="45"/>
  <c r="AA693" i="45"/>
  <c r="U693" i="45"/>
  <c r="P693" i="45"/>
  <c r="AR693" i="45"/>
  <c r="AM693" i="45"/>
  <c r="AG693" i="45"/>
  <c r="AB693" i="45"/>
  <c r="W693" i="45"/>
  <c r="Q693" i="45"/>
  <c r="L693" i="45"/>
  <c r="AN693" i="45"/>
  <c r="AC693" i="45"/>
  <c r="S693" i="45"/>
  <c r="AU693" i="45"/>
  <c r="AJ693" i="45"/>
  <c r="Y693" i="45"/>
  <c r="O693" i="45"/>
  <c r="AO693" i="45"/>
  <c r="AE693" i="45"/>
  <c r="T693" i="45"/>
  <c r="M693" i="45"/>
  <c r="AI693" i="45"/>
  <c r="X693" i="45"/>
  <c r="AS693" i="45"/>
  <c r="B806" i="45"/>
  <c r="AT701" i="45"/>
  <c r="AP701" i="45"/>
  <c r="AL701" i="45"/>
  <c r="AH701" i="45"/>
  <c r="AD701" i="45"/>
  <c r="Z701" i="45"/>
  <c r="V701" i="45"/>
  <c r="R701" i="45"/>
  <c r="N701" i="45"/>
  <c r="AS701" i="45"/>
  <c r="AO701" i="45"/>
  <c r="AK701" i="45"/>
  <c r="AG701" i="45"/>
  <c r="AC701" i="45"/>
  <c r="Y701" i="45"/>
  <c r="U701" i="45"/>
  <c r="Q701" i="45"/>
  <c r="M701" i="45"/>
  <c r="AU701" i="45"/>
  <c r="AQ701" i="45"/>
  <c r="AM701" i="45"/>
  <c r="AI701" i="45"/>
  <c r="AE701" i="45"/>
  <c r="AA701" i="45"/>
  <c r="W701" i="45"/>
  <c r="S701" i="45"/>
  <c r="O701" i="45"/>
  <c r="AN701" i="45"/>
  <c r="X701" i="45"/>
  <c r="AJ701" i="45"/>
  <c r="P701" i="45"/>
  <c r="AR701" i="45"/>
  <c r="T701" i="45"/>
  <c r="AF701" i="45"/>
  <c r="L701" i="45"/>
  <c r="AB701" i="45"/>
  <c r="B796" i="45"/>
  <c r="AT691" i="45"/>
  <c r="AP691" i="45"/>
  <c r="AL691" i="45"/>
  <c r="AH691" i="45"/>
  <c r="AD691" i="45"/>
  <c r="Z691" i="45"/>
  <c r="V691" i="45"/>
  <c r="R691" i="45"/>
  <c r="N691" i="45"/>
  <c r="AS691" i="45"/>
  <c r="AN691" i="45"/>
  <c r="AI691" i="45"/>
  <c r="AC691" i="45"/>
  <c r="X691" i="45"/>
  <c r="S691" i="45"/>
  <c r="M691" i="45"/>
  <c r="AU691" i="45"/>
  <c r="AO691" i="45"/>
  <c r="AJ691" i="45"/>
  <c r="AE691" i="45"/>
  <c r="Y691" i="45"/>
  <c r="T691" i="45"/>
  <c r="O691" i="45"/>
  <c r="AK691" i="45"/>
  <c r="AA691" i="45"/>
  <c r="P691" i="45"/>
  <c r="AR691" i="45"/>
  <c r="AG691" i="45"/>
  <c r="W691" i="45"/>
  <c r="L691" i="45"/>
  <c r="AM691" i="45"/>
  <c r="AB691" i="45"/>
  <c r="Q691" i="45"/>
  <c r="AQ691" i="45"/>
  <c r="U691" i="45"/>
  <c r="AF691" i="45"/>
  <c r="B610" i="45"/>
  <c r="AR505" i="45"/>
  <c r="AN505" i="45"/>
  <c r="AJ505" i="45"/>
  <c r="AF505" i="45"/>
  <c r="AB505" i="45"/>
  <c r="X505" i="45"/>
  <c r="T505" i="45"/>
  <c r="P505" i="45"/>
  <c r="L505" i="45"/>
  <c r="AU505" i="45"/>
  <c r="AQ505" i="45"/>
  <c r="AM505" i="45"/>
  <c r="AI505" i="45"/>
  <c r="AE505" i="45"/>
  <c r="AA505" i="45"/>
  <c r="W505" i="45"/>
  <c r="S505" i="45"/>
  <c r="O505" i="45"/>
  <c r="AT505" i="45"/>
  <c r="AP505" i="45"/>
  <c r="AL505" i="45"/>
  <c r="AH505" i="45"/>
  <c r="AD505" i="45"/>
  <c r="Z505" i="45"/>
  <c r="V505" i="45"/>
  <c r="R505" i="45"/>
  <c r="N505" i="45"/>
  <c r="AO505" i="45"/>
  <c r="Y505" i="45"/>
  <c r="AC505" i="45"/>
  <c r="AK505" i="45"/>
  <c r="U505" i="45"/>
  <c r="AS505" i="45"/>
  <c r="AG505" i="45"/>
  <c r="Q505" i="45"/>
  <c r="M505" i="45"/>
  <c r="B639" i="45"/>
  <c r="AR534" i="45"/>
  <c r="AN534" i="45"/>
  <c r="AJ534" i="45"/>
  <c r="AF534" i="45"/>
  <c r="AB534" i="45"/>
  <c r="X534" i="45"/>
  <c r="T534" i="45"/>
  <c r="P534" i="45"/>
  <c r="L534" i="45"/>
  <c r="AU534" i="45"/>
  <c r="AQ534" i="45"/>
  <c r="AM534" i="45"/>
  <c r="AI534" i="45"/>
  <c r="AE534" i="45"/>
  <c r="AA534" i="45"/>
  <c r="W534" i="45"/>
  <c r="S534" i="45"/>
  <c r="O534" i="45"/>
  <c r="AT534" i="45"/>
  <c r="AP534" i="45"/>
  <c r="AL534" i="45"/>
  <c r="AH534" i="45"/>
  <c r="AD534" i="45"/>
  <c r="Z534" i="45"/>
  <c r="V534" i="45"/>
  <c r="R534" i="45"/>
  <c r="N534" i="45"/>
  <c r="AK534" i="45"/>
  <c r="U534" i="45"/>
  <c r="AO534" i="45"/>
  <c r="AG534" i="45"/>
  <c r="Q534" i="45"/>
  <c r="AS534" i="45"/>
  <c r="AC534" i="45"/>
  <c r="M534" i="45"/>
  <c r="Y534" i="45"/>
  <c r="B615" i="45"/>
  <c r="AR510" i="45"/>
  <c r="AN510" i="45"/>
  <c r="AJ510" i="45"/>
  <c r="AF510" i="45"/>
  <c r="AB510" i="45"/>
  <c r="X510" i="45"/>
  <c r="T510" i="45"/>
  <c r="P510" i="45"/>
  <c r="L510" i="45"/>
  <c r="AU510" i="45"/>
  <c r="AQ510" i="45"/>
  <c r="AM510" i="45"/>
  <c r="AI510" i="45"/>
  <c r="AE510" i="45"/>
  <c r="AA510" i="45"/>
  <c r="W510" i="45"/>
  <c r="S510" i="45"/>
  <c r="O510" i="45"/>
  <c r="AT510" i="45"/>
  <c r="AP510" i="45"/>
  <c r="AL510" i="45"/>
  <c r="AH510" i="45"/>
  <c r="AD510" i="45"/>
  <c r="Z510" i="45"/>
  <c r="V510" i="45"/>
  <c r="R510" i="45"/>
  <c r="N510" i="45"/>
  <c r="AK510" i="45"/>
  <c r="U510" i="45"/>
  <c r="AG510" i="45"/>
  <c r="Q510" i="45"/>
  <c r="Y510" i="45"/>
  <c r="AS510" i="45"/>
  <c r="AC510" i="45"/>
  <c r="M510" i="45"/>
  <c r="AO510" i="45"/>
  <c r="B642" i="45"/>
  <c r="AR537" i="45"/>
  <c r="AN537" i="45"/>
  <c r="AJ537" i="45"/>
  <c r="AF537" i="45"/>
  <c r="AB537" i="45"/>
  <c r="X537" i="45"/>
  <c r="T537" i="45"/>
  <c r="P537" i="45"/>
  <c r="L537" i="45"/>
  <c r="AU537" i="45"/>
  <c r="AQ537" i="45"/>
  <c r="AM537" i="45"/>
  <c r="AI537" i="45"/>
  <c r="AE537" i="45"/>
  <c r="AA537" i="45"/>
  <c r="W537" i="45"/>
  <c r="S537" i="45"/>
  <c r="O537" i="45"/>
  <c r="AT537" i="45"/>
  <c r="AP537" i="45"/>
  <c r="AL537" i="45"/>
  <c r="AH537" i="45"/>
  <c r="AD537" i="45"/>
  <c r="Z537" i="45"/>
  <c r="V537" i="45"/>
  <c r="R537" i="45"/>
  <c r="N537" i="45"/>
  <c r="AO537" i="45"/>
  <c r="Y537" i="45"/>
  <c r="M537" i="45"/>
  <c r="AK537" i="45"/>
  <c r="U537" i="45"/>
  <c r="AC537" i="45"/>
  <c r="AG537" i="45"/>
  <c r="Q537" i="45"/>
  <c r="AS537" i="45"/>
  <c r="B608" i="45"/>
  <c r="AR503" i="45"/>
  <c r="AN503" i="45"/>
  <c r="AJ503" i="45"/>
  <c r="AF503" i="45"/>
  <c r="AB503" i="45"/>
  <c r="X503" i="45"/>
  <c r="T503" i="45"/>
  <c r="P503" i="45"/>
  <c r="L503" i="45"/>
  <c r="AU503" i="45"/>
  <c r="AQ503" i="45"/>
  <c r="AM503" i="45"/>
  <c r="AI503" i="45"/>
  <c r="AE503" i="45"/>
  <c r="AA503" i="45"/>
  <c r="W503" i="45"/>
  <c r="S503" i="45"/>
  <c r="O503" i="45"/>
  <c r="AT503" i="45"/>
  <c r="AP503" i="45"/>
  <c r="AL503" i="45"/>
  <c r="AH503" i="45"/>
  <c r="AD503" i="45"/>
  <c r="Z503" i="45"/>
  <c r="V503" i="45"/>
  <c r="R503" i="45"/>
  <c r="N503" i="45"/>
  <c r="AG503" i="45"/>
  <c r="Q503" i="45"/>
  <c r="AK503" i="45"/>
  <c r="AS503" i="45"/>
  <c r="AC503" i="45"/>
  <c r="M503" i="45"/>
  <c r="U503" i="45"/>
  <c r="AO503" i="45"/>
  <c r="Y503" i="45"/>
  <c r="B646" i="45"/>
  <c r="AR541" i="45"/>
  <c r="AN541" i="45"/>
  <c r="AJ541" i="45"/>
  <c r="AF541" i="45"/>
  <c r="AB541" i="45"/>
  <c r="X541" i="45"/>
  <c r="T541" i="45"/>
  <c r="P541" i="45"/>
  <c r="L541" i="45"/>
  <c r="AU541" i="45"/>
  <c r="AQ541" i="45"/>
  <c r="AM541" i="45"/>
  <c r="AI541" i="45"/>
  <c r="AE541" i="45"/>
  <c r="AA541" i="45"/>
  <c r="W541" i="45"/>
  <c r="S541" i="45"/>
  <c r="O541" i="45"/>
  <c r="AT541" i="45"/>
  <c r="AP541" i="45"/>
  <c r="AL541" i="45"/>
  <c r="AH541" i="45"/>
  <c r="AD541" i="45"/>
  <c r="Z541" i="45"/>
  <c r="V541" i="45"/>
  <c r="R541" i="45"/>
  <c r="N541" i="45"/>
  <c r="AO541" i="45"/>
  <c r="Y541" i="45"/>
  <c r="AC541" i="45"/>
  <c r="AK541" i="45"/>
  <c r="U541" i="45"/>
  <c r="AS541" i="45"/>
  <c r="AG541" i="45"/>
  <c r="Q541" i="45"/>
  <c r="M541" i="45"/>
  <c r="B685" i="45"/>
  <c r="AR580" i="45"/>
  <c r="AN580" i="45"/>
  <c r="AJ580" i="45"/>
  <c r="AF580" i="45"/>
  <c r="AB580" i="45"/>
  <c r="X580" i="45"/>
  <c r="T580" i="45"/>
  <c r="P580" i="45"/>
  <c r="L580" i="45"/>
  <c r="AU580" i="45"/>
  <c r="AQ580" i="45"/>
  <c r="AM580" i="45"/>
  <c r="AI580" i="45"/>
  <c r="AE580" i="45"/>
  <c r="AA580" i="45"/>
  <c r="W580" i="45"/>
  <c r="S580" i="45"/>
  <c r="O580" i="45"/>
  <c r="AT580" i="45"/>
  <c r="AP580" i="45"/>
  <c r="AL580" i="45"/>
  <c r="AH580" i="45"/>
  <c r="AD580" i="45"/>
  <c r="Z580" i="45"/>
  <c r="V580" i="45"/>
  <c r="R580" i="45"/>
  <c r="N580" i="45"/>
  <c r="AS580" i="45"/>
  <c r="AC580" i="45"/>
  <c r="M580" i="45"/>
  <c r="AO580" i="45"/>
  <c r="Y580" i="45"/>
  <c r="Q580" i="45"/>
  <c r="AK580" i="45"/>
  <c r="U580" i="45"/>
  <c r="AG580" i="45"/>
  <c r="B644" i="45"/>
  <c r="AR539" i="45"/>
  <c r="AN539" i="45"/>
  <c r="AJ539" i="45"/>
  <c r="AF539" i="45"/>
  <c r="AB539" i="45"/>
  <c r="X539" i="45"/>
  <c r="T539" i="45"/>
  <c r="P539" i="45"/>
  <c r="L539" i="45"/>
  <c r="AU539" i="45"/>
  <c r="AQ539" i="45"/>
  <c r="AM539" i="45"/>
  <c r="AI539" i="45"/>
  <c r="AE539" i="45"/>
  <c r="AA539" i="45"/>
  <c r="W539" i="45"/>
  <c r="S539" i="45"/>
  <c r="O539" i="45"/>
  <c r="AT539" i="45"/>
  <c r="AP539" i="45"/>
  <c r="AL539" i="45"/>
  <c r="AH539" i="45"/>
  <c r="AD539" i="45"/>
  <c r="Z539" i="45"/>
  <c r="V539" i="45"/>
  <c r="R539" i="45"/>
  <c r="N539" i="45"/>
  <c r="AG539" i="45"/>
  <c r="Q539" i="45"/>
  <c r="AK539" i="45"/>
  <c r="AS539" i="45"/>
  <c r="AC539" i="45"/>
  <c r="M539" i="45"/>
  <c r="AO539" i="45"/>
  <c r="Y539" i="45"/>
  <c r="U539" i="45"/>
  <c r="B647" i="45"/>
  <c r="AR542" i="45"/>
  <c r="AN542" i="45"/>
  <c r="AJ542" i="45"/>
  <c r="AF542" i="45"/>
  <c r="AB542" i="45"/>
  <c r="X542" i="45"/>
  <c r="T542" i="45"/>
  <c r="P542" i="45"/>
  <c r="L542" i="45"/>
  <c r="AU542" i="45"/>
  <c r="AQ542" i="45"/>
  <c r="AM542" i="45"/>
  <c r="AI542" i="45"/>
  <c r="AE542" i="45"/>
  <c r="AA542" i="45"/>
  <c r="W542" i="45"/>
  <c r="S542" i="45"/>
  <c r="O542" i="45"/>
  <c r="AT542" i="45"/>
  <c r="AP542" i="45"/>
  <c r="AL542" i="45"/>
  <c r="AH542" i="45"/>
  <c r="AD542" i="45"/>
  <c r="Z542" i="45"/>
  <c r="V542" i="45"/>
  <c r="R542" i="45"/>
  <c r="N542" i="45"/>
  <c r="AK542" i="45"/>
  <c r="U542" i="45"/>
  <c r="AG542" i="45"/>
  <c r="Q542" i="45"/>
  <c r="AO542" i="45"/>
  <c r="AS542" i="45"/>
  <c r="AC542" i="45"/>
  <c r="M542" i="45"/>
  <c r="Y542" i="45"/>
  <c r="B681" i="45"/>
  <c r="AR576" i="45"/>
  <c r="AN576" i="45"/>
  <c r="AJ576" i="45"/>
  <c r="AF576" i="45"/>
  <c r="AB576" i="45"/>
  <c r="X576" i="45"/>
  <c r="T576" i="45"/>
  <c r="P576" i="45"/>
  <c r="L576" i="45"/>
  <c r="AU576" i="45"/>
  <c r="AQ576" i="45"/>
  <c r="AM576" i="45"/>
  <c r="AI576" i="45"/>
  <c r="AE576" i="45"/>
  <c r="AA576" i="45"/>
  <c r="W576" i="45"/>
  <c r="S576" i="45"/>
  <c r="O576" i="45"/>
  <c r="AT576" i="45"/>
  <c r="AP576" i="45"/>
  <c r="AL576" i="45"/>
  <c r="AH576" i="45"/>
  <c r="AD576" i="45"/>
  <c r="Z576" i="45"/>
  <c r="V576" i="45"/>
  <c r="R576" i="45"/>
  <c r="N576" i="45"/>
  <c r="AS576" i="45"/>
  <c r="AC576" i="45"/>
  <c r="M576" i="45"/>
  <c r="AG576" i="45"/>
  <c r="AO576" i="45"/>
  <c r="Y576" i="45"/>
  <c r="Q576" i="45"/>
  <c r="AK576" i="45"/>
  <c r="U576" i="45"/>
  <c r="B799" i="45"/>
  <c r="AT694" i="45"/>
  <c r="AP694" i="45"/>
  <c r="AL694" i="45"/>
  <c r="AH694" i="45"/>
  <c r="AD694" i="45"/>
  <c r="Z694" i="45"/>
  <c r="V694" i="45"/>
  <c r="R694" i="45"/>
  <c r="N694" i="45"/>
  <c r="AR694" i="45"/>
  <c r="AM694" i="45"/>
  <c r="AG694" i="45"/>
  <c r="AB694" i="45"/>
  <c r="W694" i="45"/>
  <c r="Q694" i="45"/>
  <c r="L694" i="45"/>
  <c r="AS694" i="45"/>
  <c r="AN694" i="45"/>
  <c r="AI694" i="45"/>
  <c r="AC694" i="45"/>
  <c r="X694" i="45"/>
  <c r="S694" i="45"/>
  <c r="M694" i="45"/>
  <c r="AU694" i="45"/>
  <c r="AJ694" i="45"/>
  <c r="Y694" i="45"/>
  <c r="O694" i="45"/>
  <c r="AQ694" i="45"/>
  <c r="AF694" i="45"/>
  <c r="U694" i="45"/>
  <c r="AK694" i="45"/>
  <c r="AA694" i="45"/>
  <c r="P694" i="45"/>
  <c r="T694" i="45"/>
  <c r="AO694" i="45"/>
  <c r="AE694" i="45"/>
  <c r="B800" i="45"/>
  <c r="AT695" i="45"/>
  <c r="AP695" i="45"/>
  <c r="AL695" i="45"/>
  <c r="AH695" i="45"/>
  <c r="AD695" i="45"/>
  <c r="Z695" i="45"/>
  <c r="V695" i="45"/>
  <c r="R695" i="45"/>
  <c r="N695" i="45"/>
  <c r="AS695" i="45"/>
  <c r="AN695" i="45"/>
  <c r="AI695" i="45"/>
  <c r="AC695" i="45"/>
  <c r="X695" i="45"/>
  <c r="S695" i="45"/>
  <c r="M695" i="45"/>
  <c r="AU695" i="45"/>
  <c r="AO695" i="45"/>
  <c r="AJ695" i="45"/>
  <c r="AE695" i="45"/>
  <c r="Y695" i="45"/>
  <c r="T695" i="45"/>
  <c r="O695" i="45"/>
  <c r="AQ695" i="45"/>
  <c r="AF695" i="45"/>
  <c r="U695" i="45"/>
  <c r="AM695" i="45"/>
  <c r="AB695" i="45"/>
  <c r="Q695" i="45"/>
  <c r="AR695" i="45"/>
  <c r="AG695" i="45"/>
  <c r="W695" i="45"/>
  <c r="L695" i="45"/>
  <c r="AA695" i="45"/>
  <c r="AK695" i="45"/>
  <c r="P695" i="45"/>
  <c r="B804" i="45"/>
  <c r="AT699" i="45"/>
  <c r="AP699" i="45"/>
  <c r="AL699" i="45"/>
  <c r="AH699" i="45"/>
  <c r="AD699" i="45"/>
  <c r="Z699" i="45"/>
  <c r="V699" i="45"/>
  <c r="R699" i="45"/>
  <c r="N699" i="45"/>
  <c r="AS699" i="45"/>
  <c r="AO699" i="45"/>
  <c r="AK699" i="45"/>
  <c r="AG699" i="45"/>
  <c r="AC699" i="45"/>
  <c r="Y699" i="45"/>
  <c r="U699" i="45"/>
  <c r="Q699" i="45"/>
  <c r="M699" i="45"/>
  <c r="AU699" i="45"/>
  <c r="AQ699" i="45"/>
  <c r="AM699" i="45"/>
  <c r="AI699" i="45"/>
  <c r="AE699" i="45"/>
  <c r="AA699" i="45"/>
  <c r="W699" i="45"/>
  <c r="S699" i="45"/>
  <c r="O699" i="45"/>
  <c r="AF699" i="45"/>
  <c r="P699" i="45"/>
  <c r="AR699" i="45"/>
  <c r="X699" i="45"/>
  <c r="AB699" i="45"/>
  <c r="AJ699" i="45"/>
  <c r="T699" i="45"/>
  <c r="AN699" i="45"/>
  <c r="L699" i="45"/>
  <c r="B805" i="45"/>
  <c r="AT700" i="45"/>
  <c r="AP700" i="45"/>
  <c r="AL700" i="45"/>
  <c r="AH700" i="45"/>
  <c r="AD700" i="45"/>
  <c r="Z700" i="45"/>
  <c r="V700" i="45"/>
  <c r="R700" i="45"/>
  <c r="N700" i="45"/>
  <c r="AS700" i="45"/>
  <c r="AO700" i="45"/>
  <c r="AK700" i="45"/>
  <c r="AG700" i="45"/>
  <c r="AC700" i="45"/>
  <c r="Y700" i="45"/>
  <c r="U700" i="45"/>
  <c r="Q700" i="45"/>
  <c r="M700" i="45"/>
  <c r="AU700" i="45"/>
  <c r="AQ700" i="45"/>
  <c r="AM700" i="45"/>
  <c r="AI700" i="45"/>
  <c r="AE700" i="45"/>
  <c r="AA700" i="45"/>
  <c r="W700" i="45"/>
  <c r="S700" i="45"/>
  <c r="O700" i="45"/>
  <c r="AR700" i="45"/>
  <c r="AB700" i="45"/>
  <c r="L700" i="45"/>
  <c r="AF700" i="45"/>
  <c r="AJ700" i="45"/>
  <c r="P700" i="45"/>
  <c r="AN700" i="45"/>
  <c r="X700" i="45"/>
  <c r="T700" i="45"/>
  <c r="B676" i="45"/>
  <c r="AR571" i="45"/>
  <c r="AN571" i="45"/>
  <c r="AJ571" i="45"/>
  <c r="AF571" i="45"/>
  <c r="AB571" i="45"/>
  <c r="X571" i="45"/>
  <c r="T571" i="45"/>
  <c r="P571" i="45"/>
  <c r="L571" i="45"/>
  <c r="AU571" i="45"/>
  <c r="AQ571" i="45"/>
  <c r="AM571" i="45"/>
  <c r="AI571" i="45"/>
  <c r="AE571" i="45"/>
  <c r="AA571" i="45"/>
  <c r="W571" i="45"/>
  <c r="S571" i="45"/>
  <c r="O571" i="45"/>
  <c r="AT571" i="45"/>
  <c r="AP571" i="45"/>
  <c r="AL571" i="45"/>
  <c r="AH571" i="45"/>
  <c r="AD571" i="45"/>
  <c r="Z571" i="45"/>
  <c r="V571" i="45"/>
  <c r="R571" i="45"/>
  <c r="N571" i="45"/>
  <c r="AG571" i="45"/>
  <c r="Q571" i="45"/>
  <c r="AS571" i="45"/>
  <c r="AC571" i="45"/>
  <c r="M571" i="45"/>
  <c r="U571" i="45"/>
  <c r="AO571" i="45"/>
  <c r="Y571" i="45"/>
  <c r="AK571" i="45"/>
  <c r="B636" i="45"/>
  <c r="AR531" i="45"/>
  <c r="AN531" i="45"/>
  <c r="AJ531" i="45"/>
  <c r="AF531" i="45"/>
  <c r="AB531" i="45"/>
  <c r="X531" i="45"/>
  <c r="T531" i="45"/>
  <c r="P531" i="45"/>
  <c r="L531" i="45"/>
  <c r="AU531" i="45"/>
  <c r="AQ531" i="45"/>
  <c r="AM531" i="45"/>
  <c r="AI531" i="45"/>
  <c r="AE531" i="45"/>
  <c r="AA531" i="45"/>
  <c r="W531" i="45"/>
  <c r="S531" i="45"/>
  <c r="O531" i="45"/>
  <c r="AT531" i="45"/>
  <c r="AP531" i="45"/>
  <c r="AL531" i="45"/>
  <c r="AH531" i="45"/>
  <c r="AD531" i="45"/>
  <c r="Z531" i="45"/>
  <c r="V531" i="45"/>
  <c r="R531" i="45"/>
  <c r="N531" i="45"/>
  <c r="AG531" i="45"/>
  <c r="Q531" i="45"/>
  <c r="AS531" i="45"/>
  <c r="AC531" i="45"/>
  <c r="M531" i="45"/>
  <c r="AK531" i="45"/>
  <c r="AO531" i="45"/>
  <c r="Y531" i="45"/>
  <c r="U531" i="45"/>
  <c r="B629" i="45"/>
  <c r="AR524" i="45"/>
  <c r="AN524" i="45"/>
  <c r="AJ524" i="45"/>
  <c r="AF524" i="45"/>
  <c r="AB524" i="45"/>
  <c r="X524" i="45"/>
  <c r="T524" i="45"/>
  <c r="P524" i="45"/>
  <c r="L524" i="45"/>
  <c r="AU524" i="45"/>
  <c r="AQ524" i="45"/>
  <c r="AM524" i="45"/>
  <c r="AI524" i="45"/>
  <c r="AE524" i="45"/>
  <c r="AA524" i="45"/>
  <c r="W524" i="45"/>
  <c r="S524" i="45"/>
  <c r="O524" i="45"/>
  <c r="AT524" i="45"/>
  <c r="AP524" i="45"/>
  <c r="AL524" i="45"/>
  <c r="AH524" i="45"/>
  <c r="AD524" i="45"/>
  <c r="Z524" i="45"/>
  <c r="V524" i="45"/>
  <c r="R524" i="45"/>
  <c r="N524" i="45"/>
  <c r="AS524" i="45"/>
  <c r="AC524" i="45"/>
  <c r="M524" i="45"/>
  <c r="AO524" i="45"/>
  <c r="Y524" i="45"/>
  <c r="AG524" i="45"/>
  <c r="AK524" i="45"/>
  <c r="U524" i="45"/>
  <c r="Q524" i="45"/>
  <c r="B635" i="45"/>
  <c r="AR530" i="45"/>
  <c r="AN530" i="45"/>
  <c r="AJ530" i="45"/>
  <c r="AF530" i="45"/>
  <c r="AB530" i="45"/>
  <c r="X530" i="45"/>
  <c r="T530" i="45"/>
  <c r="P530" i="45"/>
  <c r="L530" i="45"/>
  <c r="AU530" i="45"/>
  <c r="AQ530" i="45"/>
  <c r="AM530" i="45"/>
  <c r="AI530" i="45"/>
  <c r="AE530" i="45"/>
  <c r="AA530" i="45"/>
  <c r="W530" i="45"/>
  <c r="S530" i="45"/>
  <c r="O530" i="45"/>
  <c r="AT530" i="45"/>
  <c r="AP530" i="45"/>
  <c r="AL530" i="45"/>
  <c r="AH530" i="45"/>
  <c r="AD530" i="45"/>
  <c r="Z530" i="45"/>
  <c r="V530" i="45"/>
  <c r="R530" i="45"/>
  <c r="N530" i="45"/>
  <c r="AK530" i="45"/>
  <c r="U530" i="45"/>
  <c r="AO530" i="45"/>
  <c r="AG530" i="45"/>
  <c r="Q530" i="45"/>
  <c r="Y530" i="45"/>
  <c r="AS530" i="45"/>
  <c r="AC530" i="45"/>
  <c r="M530" i="45"/>
  <c r="B678" i="45"/>
  <c r="AR573" i="45"/>
  <c r="AN573" i="45"/>
  <c r="AJ573" i="45"/>
  <c r="AF573" i="45"/>
  <c r="AB573" i="45"/>
  <c r="X573" i="45"/>
  <c r="T573" i="45"/>
  <c r="P573" i="45"/>
  <c r="L573" i="45"/>
  <c r="AU573" i="45"/>
  <c r="AQ573" i="45"/>
  <c r="AM573" i="45"/>
  <c r="AI573" i="45"/>
  <c r="AE573" i="45"/>
  <c r="AA573" i="45"/>
  <c r="W573" i="45"/>
  <c r="S573" i="45"/>
  <c r="O573" i="45"/>
  <c r="AT573" i="45"/>
  <c r="AP573" i="45"/>
  <c r="AL573" i="45"/>
  <c r="AH573" i="45"/>
  <c r="AD573" i="45"/>
  <c r="Z573" i="45"/>
  <c r="V573" i="45"/>
  <c r="R573" i="45"/>
  <c r="N573" i="45"/>
  <c r="AO573" i="45"/>
  <c r="Y573" i="45"/>
  <c r="AS573" i="45"/>
  <c r="AK573" i="45"/>
  <c r="U573" i="45"/>
  <c r="AC573" i="45"/>
  <c r="AG573" i="45"/>
  <c r="Q573" i="45"/>
  <c r="M573" i="45"/>
  <c r="B677" i="45"/>
  <c r="AR572" i="45"/>
  <c r="AN572" i="45"/>
  <c r="AJ572" i="45"/>
  <c r="AF572" i="45"/>
  <c r="AB572" i="45"/>
  <c r="X572" i="45"/>
  <c r="T572" i="45"/>
  <c r="P572" i="45"/>
  <c r="L572" i="45"/>
  <c r="AU572" i="45"/>
  <c r="AQ572" i="45"/>
  <c r="AM572" i="45"/>
  <c r="AI572" i="45"/>
  <c r="AE572" i="45"/>
  <c r="AA572" i="45"/>
  <c r="W572" i="45"/>
  <c r="S572" i="45"/>
  <c r="O572" i="45"/>
  <c r="AT572" i="45"/>
  <c r="AP572" i="45"/>
  <c r="AL572" i="45"/>
  <c r="AH572" i="45"/>
  <c r="AD572" i="45"/>
  <c r="Z572" i="45"/>
  <c r="V572" i="45"/>
  <c r="R572" i="45"/>
  <c r="N572" i="45"/>
  <c r="AS572" i="45"/>
  <c r="AC572" i="45"/>
  <c r="M572" i="45"/>
  <c r="Q572" i="45"/>
  <c r="AO572" i="45"/>
  <c r="Y572" i="45"/>
  <c r="AG572" i="45"/>
  <c r="AK572" i="45"/>
  <c r="U572" i="45"/>
  <c r="B666" i="45"/>
  <c r="AR561" i="45"/>
  <c r="AN561" i="45"/>
  <c r="AJ561" i="45"/>
  <c r="AF561" i="45"/>
  <c r="AB561" i="45"/>
  <c r="X561" i="45"/>
  <c r="T561" i="45"/>
  <c r="P561" i="45"/>
  <c r="L561" i="45"/>
  <c r="AU561" i="45"/>
  <c r="AQ561" i="45"/>
  <c r="AM561" i="45"/>
  <c r="AI561" i="45"/>
  <c r="AE561" i="45"/>
  <c r="AA561" i="45"/>
  <c r="W561" i="45"/>
  <c r="S561" i="45"/>
  <c r="O561" i="45"/>
  <c r="AT561" i="45"/>
  <c r="AP561" i="45"/>
  <c r="AL561" i="45"/>
  <c r="AH561" i="45"/>
  <c r="AD561" i="45"/>
  <c r="Z561" i="45"/>
  <c r="V561" i="45"/>
  <c r="R561" i="45"/>
  <c r="N561" i="45"/>
  <c r="AO561" i="45"/>
  <c r="Y561" i="45"/>
  <c r="AC561" i="45"/>
  <c r="AK561" i="45"/>
  <c r="U561" i="45"/>
  <c r="M561" i="45"/>
  <c r="AG561" i="45"/>
  <c r="Q561" i="45"/>
  <c r="AS561" i="45"/>
  <c r="B688" i="45"/>
  <c r="AR583" i="45"/>
  <c r="AN583" i="45"/>
  <c r="AJ583" i="45"/>
  <c r="AF583" i="45"/>
  <c r="AB583" i="45"/>
  <c r="X583" i="45"/>
  <c r="T583" i="45"/>
  <c r="P583" i="45"/>
  <c r="L583" i="45"/>
  <c r="AU583" i="45"/>
  <c r="AQ583" i="45"/>
  <c r="AM583" i="45"/>
  <c r="AI583" i="45"/>
  <c r="AE583" i="45"/>
  <c r="AA583" i="45"/>
  <c r="W583" i="45"/>
  <c r="S583" i="45"/>
  <c r="O583" i="45"/>
  <c r="AT583" i="45"/>
  <c r="AP583" i="45"/>
  <c r="AL583" i="45"/>
  <c r="AH583" i="45"/>
  <c r="AD583" i="45"/>
  <c r="Z583" i="45"/>
  <c r="V583" i="45"/>
  <c r="R583" i="45"/>
  <c r="N583" i="45"/>
  <c r="AG583" i="45"/>
  <c r="Q583" i="45"/>
  <c r="AS583" i="45"/>
  <c r="AC583" i="45"/>
  <c r="M583" i="45"/>
  <c r="AK583" i="45"/>
  <c r="AO583" i="45"/>
  <c r="Y583" i="45"/>
  <c r="U583" i="45"/>
  <c r="B612" i="45"/>
  <c r="AR507" i="45"/>
  <c r="AN507" i="45"/>
  <c r="AJ507" i="45"/>
  <c r="AF507" i="45"/>
  <c r="AB507" i="45"/>
  <c r="X507" i="45"/>
  <c r="T507" i="45"/>
  <c r="P507" i="45"/>
  <c r="L507" i="45"/>
  <c r="AU507" i="45"/>
  <c r="AQ507" i="45"/>
  <c r="AM507" i="45"/>
  <c r="AI507" i="45"/>
  <c r="AE507" i="45"/>
  <c r="AA507" i="45"/>
  <c r="W507" i="45"/>
  <c r="S507" i="45"/>
  <c r="O507" i="45"/>
  <c r="AT507" i="45"/>
  <c r="AP507" i="45"/>
  <c r="AL507" i="45"/>
  <c r="AH507" i="45"/>
  <c r="AD507" i="45"/>
  <c r="Z507" i="45"/>
  <c r="V507" i="45"/>
  <c r="R507" i="45"/>
  <c r="N507" i="45"/>
  <c r="AG507" i="45"/>
  <c r="Q507" i="45"/>
  <c r="U507" i="45"/>
  <c r="AS507" i="45"/>
  <c r="AC507" i="45"/>
  <c r="M507" i="45"/>
  <c r="AO507" i="45"/>
  <c r="Y507" i="45"/>
  <c r="AK507" i="45"/>
  <c r="B611" i="45"/>
  <c r="AR506" i="45"/>
  <c r="AN506" i="45"/>
  <c r="AJ506" i="45"/>
  <c r="AF506" i="45"/>
  <c r="AB506" i="45"/>
  <c r="X506" i="45"/>
  <c r="T506" i="45"/>
  <c r="P506" i="45"/>
  <c r="L506" i="45"/>
  <c r="AU506" i="45"/>
  <c r="AQ506" i="45"/>
  <c r="AM506" i="45"/>
  <c r="AI506" i="45"/>
  <c r="AE506" i="45"/>
  <c r="AA506" i="45"/>
  <c r="W506" i="45"/>
  <c r="S506" i="45"/>
  <c r="O506" i="45"/>
  <c r="AT506" i="45"/>
  <c r="AP506" i="45"/>
  <c r="AL506" i="45"/>
  <c r="AH506" i="45"/>
  <c r="AD506" i="45"/>
  <c r="Z506" i="45"/>
  <c r="V506" i="45"/>
  <c r="R506" i="45"/>
  <c r="N506" i="45"/>
  <c r="AK506" i="45"/>
  <c r="U506" i="45"/>
  <c r="AG506" i="45"/>
  <c r="Q506" i="45"/>
  <c r="AO506" i="45"/>
  <c r="AS506" i="45"/>
  <c r="AC506" i="45"/>
  <c r="M506" i="45"/>
  <c r="Y506" i="45"/>
  <c r="B628" i="45"/>
  <c r="AR523" i="45"/>
  <c r="AN523" i="45"/>
  <c r="AJ523" i="45"/>
  <c r="AF523" i="45"/>
  <c r="AB523" i="45"/>
  <c r="X523" i="45"/>
  <c r="T523" i="45"/>
  <c r="P523" i="45"/>
  <c r="L523" i="45"/>
  <c r="AU523" i="45"/>
  <c r="AQ523" i="45"/>
  <c r="AM523" i="45"/>
  <c r="AI523" i="45"/>
  <c r="AE523" i="45"/>
  <c r="AA523" i="45"/>
  <c r="W523" i="45"/>
  <c r="S523" i="45"/>
  <c r="O523" i="45"/>
  <c r="AT523" i="45"/>
  <c r="AP523" i="45"/>
  <c r="AL523" i="45"/>
  <c r="AH523" i="45"/>
  <c r="AD523" i="45"/>
  <c r="Z523" i="45"/>
  <c r="V523" i="45"/>
  <c r="R523" i="45"/>
  <c r="N523" i="45"/>
  <c r="AG523" i="45"/>
  <c r="Q523" i="45"/>
  <c r="AK523" i="45"/>
  <c r="AS523" i="45"/>
  <c r="AC523" i="45"/>
  <c r="M523" i="45"/>
  <c r="U523" i="45"/>
  <c r="AO523" i="45"/>
  <c r="Y523" i="45"/>
  <c r="B627" i="45"/>
  <c r="AR522" i="45"/>
  <c r="AN522" i="45"/>
  <c r="AJ522" i="45"/>
  <c r="AF522" i="45"/>
  <c r="AB522" i="45"/>
  <c r="X522" i="45"/>
  <c r="T522" i="45"/>
  <c r="P522" i="45"/>
  <c r="L522" i="45"/>
  <c r="AU522" i="45"/>
  <c r="AQ522" i="45"/>
  <c r="AM522" i="45"/>
  <c r="AI522" i="45"/>
  <c r="AE522" i="45"/>
  <c r="AA522" i="45"/>
  <c r="W522" i="45"/>
  <c r="S522" i="45"/>
  <c r="O522" i="45"/>
  <c r="AT522" i="45"/>
  <c r="AP522" i="45"/>
  <c r="AL522" i="45"/>
  <c r="AH522" i="45"/>
  <c r="AD522" i="45"/>
  <c r="Z522" i="45"/>
  <c r="V522" i="45"/>
  <c r="R522" i="45"/>
  <c r="N522" i="45"/>
  <c r="AK522" i="45"/>
  <c r="U522" i="45"/>
  <c r="Y522" i="45"/>
  <c r="AG522" i="45"/>
  <c r="Q522" i="45"/>
  <c r="AS522" i="45"/>
  <c r="AC522" i="45"/>
  <c r="M522" i="45"/>
  <c r="AO522" i="45"/>
  <c r="B673" i="45"/>
  <c r="AR568" i="45"/>
  <c r="AN568" i="45"/>
  <c r="AJ568" i="45"/>
  <c r="AF568" i="45"/>
  <c r="AB568" i="45"/>
  <c r="X568" i="45"/>
  <c r="T568" i="45"/>
  <c r="P568" i="45"/>
  <c r="L568" i="45"/>
  <c r="AU568" i="45"/>
  <c r="AQ568" i="45"/>
  <c r="AM568" i="45"/>
  <c r="AI568" i="45"/>
  <c r="AE568" i="45"/>
  <c r="AA568" i="45"/>
  <c r="W568" i="45"/>
  <c r="S568" i="45"/>
  <c r="O568" i="45"/>
  <c r="AT568" i="45"/>
  <c r="AP568" i="45"/>
  <c r="AL568" i="45"/>
  <c r="AH568" i="45"/>
  <c r="AD568" i="45"/>
  <c r="Z568" i="45"/>
  <c r="V568" i="45"/>
  <c r="R568" i="45"/>
  <c r="N568" i="45"/>
  <c r="AS568" i="45"/>
  <c r="AC568" i="45"/>
  <c r="M568" i="45"/>
  <c r="AO568" i="45"/>
  <c r="Y568" i="45"/>
  <c r="AG568" i="45"/>
  <c r="AK568" i="45"/>
  <c r="U568" i="45"/>
  <c r="Q568" i="45"/>
  <c r="B634" i="45"/>
  <c r="AR529" i="45"/>
  <c r="AN529" i="45"/>
  <c r="AJ529" i="45"/>
  <c r="AF529" i="45"/>
  <c r="AB529" i="45"/>
  <c r="X529" i="45"/>
  <c r="T529" i="45"/>
  <c r="P529" i="45"/>
  <c r="L529" i="45"/>
  <c r="AU529" i="45"/>
  <c r="AQ529" i="45"/>
  <c r="AM529" i="45"/>
  <c r="AI529" i="45"/>
  <c r="AE529" i="45"/>
  <c r="AA529" i="45"/>
  <c r="W529" i="45"/>
  <c r="S529" i="45"/>
  <c r="O529" i="45"/>
  <c r="AT529" i="45"/>
  <c r="AP529" i="45"/>
  <c r="AL529" i="45"/>
  <c r="AH529" i="45"/>
  <c r="AD529" i="45"/>
  <c r="Z529" i="45"/>
  <c r="V529" i="45"/>
  <c r="R529" i="45"/>
  <c r="N529" i="45"/>
  <c r="AO529" i="45"/>
  <c r="Y529" i="45"/>
  <c r="AC529" i="45"/>
  <c r="AK529" i="45"/>
  <c r="U529" i="45"/>
  <c r="M529" i="45"/>
  <c r="AG529" i="45"/>
  <c r="Q529" i="45"/>
  <c r="AS529" i="45"/>
  <c r="B651" i="45"/>
  <c r="AR546" i="45"/>
  <c r="AN546" i="45"/>
  <c r="AJ546" i="45"/>
  <c r="AF546" i="45"/>
  <c r="AB546" i="45"/>
  <c r="X546" i="45"/>
  <c r="T546" i="45"/>
  <c r="P546" i="45"/>
  <c r="L546" i="45"/>
  <c r="AU546" i="45"/>
  <c r="AQ546" i="45"/>
  <c r="AM546" i="45"/>
  <c r="AI546" i="45"/>
  <c r="AE546" i="45"/>
  <c r="AA546" i="45"/>
  <c r="W546" i="45"/>
  <c r="S546" i="45"/>
  <c r="O546" i="45"/>
  <c r="AT546" i="45"/>
  <c r="AP546" i="45"/>
  <c r="AL546" i="45"/>
  <c r="AH546" i="45"/>
  <c r="AD546" i="45"/>
  <c r="Z546" i="45"/>
  <c r="V546" i="45"/>
  <c r="R546" i="45"/>
  <c r="N546" i="45"/>
  <c r="AK546" i="45"/>
  <c r="U546" i="45"/>
  <c r="AG546" i="45"/>
  <c r="Q546" i="45"/>
  <c r="Y546" i="45"/>
  <c r="AS546" i="45"/>
  <c r="AC546" i="45"/>
  <c r="M546" i="45"/>
  <c r="AO546" i="45"/>
  <c r="B619" i="45"/>
  <c r="AR514" i="45"/>
  <c r="AN514" i="45"/>
  <c r="AJ514" i="45"/>
  <c r="AF514" i="45"/>
  <c r="AB514" i="45"/>
  <c r="X514" i="45"/>
  <c r="T514" i="45"/>
  <c r="P514" i="45"/>
  <c r="L514" i="45"/>
  <c r="AU514" i="45"/>
  <c r="AQ514" i="45"/>
  <c r="AM514" i="45"/>
  <c r="AI514" i="45"/>
  <c r="AE514" i="45"/>
  <c r="AA514" i="45"/>
  <c r="W514" i="45"/>
  <c r="S514" i="45"/>
  <c r="O514" i="45"/>
  <c r="AT514" i="45"/>
  <c r="AP514" i="45"/>
  <c r="AL514" i="45"/>
  <c r="AH514" i="45"/>
  <c r="AD514" i="45"/>
  <c r="Z514" i="45"/>
  <c r="V514" i="45"/>
  <c r="R514" i="45"/>
  <c r="N514" i="45"/>
  <c r="AK514" i="45"/>
  <c r="U514" i="45"/>
  <c r="AO514" i="45"/>
  <c r="AG514" i="45"/>
  <c r="Q514" i="45"/>
  <c r="Y514" i="45"/>
  <c r="AS514" i="45"/>
  <c r="AC514" i="45"/>
  <c r="M514" i="45"/>
  <c r="B683" i="45"/>
  <c r="AR578" i="45"/>
  <c r="AN578" i="45"/>
  <c r="AJ578" i="45"/>
  <c r="AF578" i="45"/>
  <c r="AB578" i="45"/>
  <c r="X578" i="45"/>
  <c r="T578" i="45"/>
  <c r="P578" i="45"/>
  <c r="L578" i="45"/>
  <c r="AU578" i="45"/>
  <c r="AQ578" i="45"/>
  <c r="AM578" i="45"/>
  <c r="AI578" i="45"/>
  <c r="AE578" i="45"/>
  <c r="AA578" i="45"/>
  <c r="W578" i="45"/>
  <c r="S578" i="45"/>
  <c r="O578" i="45"/>
  <c r="AT578" i="45"/>
  <c r="AP578" i="45"/>
  <c r="AL578" i="45"/>
  <c r="AH578" i="45"/>
  <c r="AD578" i="45"/>
  <c r="Z578" i="45"/>
  <c r="V578" i="45"/>
  <c r="R578" i="45"/>
  <c r="N578" i="45"/>
  <c r="AK578" i="45"/>
  <c r="U578" i="45"/>
  <c r="AG578" i="45"/>
  <c r="Q578" i="45"/>
  <c r="AO578" i="45"/>
  <c r="AS578" i="45"/>
  <c r="AC578" i="45"/>
  <c r="M578" i="45"/>
  <c r="Y578" i="45"/>
  <c r="B640" i="45"/>
  <c r="AR535" i="45"/>
  <c r="AN535" i="45"/>
  <c r="AJ535" i="45"/>
  <c r="AF535" i="45"/>
  <c r="AB535" i="45"/>
  <c r="X535" i="45"/>
  <c r="T535" i="45"/>
  <c r="P535" i="45"/>
  <c r="L535" i="45"/>
  <c r="AU535" i="45"/>
  <c r="AQ535" i="45"/>
  <c r="AM535" i="45"/>
  <c r="AI535" i="45"/>
  <c r="AE535" i="45"/>
  <c r="AA535" i="45"/>
  <c r="W535" i="45"/>
  <c r="S535" i="45"/>
  <c r="O535" i="45"/>
  <c r="AT535" i="45"/>
  <c r="AP535" i="45"/>
  <c r="AL535" i="45"/>
  <c r="AH535" i="45"/>
  <c r="AD535" i="45"/>
  <c r="Z535" i="45"/>
  <c r="V535" i="45"/>
  <c r="R535" i="45"/>
  <c r="N535" i="45"/>
  <c r="AG535" i="45"/>
  <c r="Q535" i="45"/>
  <c r="AS535" i="45"/>
  <c r="AC535" i="45"/>
  <c r="M535" i="45"/>
  <c r="AK535" i="45"/>
  <c r="AO535" i="45"/>
  <c r="Y535" i="45"/>
  <c r="U535" i="45"/>
  <c r="B643" i="45"/>
  <c r="AR538" i="45"/>
  <c r="AN538" i="45"/>
  <c r="AJ538" i="45"/>
  <c r="AF538" i="45"/>
  <c r="AB538" i="45"/>
  <c r="X538" i="45"/>
  <c r="T538" i="45"/>
  <c r="P538" i="45"/>
  <c r="L538" i="45"/>
  <c r="AU538" i="45"/>
  <c r="AQ538" i="45"/>
  <c r="AM538" i="45"/>
  <c r="AI538" i="45"/>
  <c r="AE538" i="45"/>
  <c r="AA538" i="45"/>
  <c r="W538" i="45"/>
  <c r="S538" i="45"/>
  <c r="O538" i="45"/>
  <c r="AT538" i="45"/>
  <c r="AP538" i="45"/>
  <c r="AL538" i="45"/>
  <c r="AH538" i="45"/>
  <c r="AD538" i="45"/>
  <c r="Z538" i="45"/>
  <c r="V538" i="45"/>
  <c r="R538" i="45"/>
  <c r="N538" i="45"/>
  <c r="AK538" i="45"/>
  <c r="U538" i="45"/>
  <c r="Y538" i="45"/>
  <c r="AG538" i="45"/>
  <c r="Q538" i="45"/>
  <c r="AO538" i="45"/>
  <c r="AS538" i="45"/>
  <c r="AC538" i="45"/>
  <c r="M538" i="45"/>
  <c r="B625" i="45"/>
  <c r="AR520" i="45"/>
  <c r="AN520" i="45"/>
  <c r="AJ520" i="45"/>
  <c r="AF520" i="45"/>
  <c r="AB520" i="45"/>
  <c r="X520" i="45"/>
  <c r="T520" i="45"/>
  <c r="P520" i="45"/>
  <c r="L520" i="45"/>
  <c r="AU520" i="45"/>
  <c r="AQ520" i="45"/>
  <c r="AM520" i="45"/>
  <c r="AI520" i="45"/>
  <c r="AE520" i="45"/>
  <c r="AA520" i="45"/>
  <c r="W520" i="45"/>
  <c r="S520" i="45"/>
  <c r="O520" i="45"/>
  <c r="AT520" i="45"/>
  <c r="AP520" i="45"/>
  <c r="AL520" i="45"/>
  <c r="AH520" i="45"/>
  <c r="AD520" i="45"/>
  <c r="Z520" i="45"/>
  <c r="V520" i="45"/>
  <c r="R520" i="45"/>
  <c r="N520" i="45"/>
  <c r="AS520" i="45"/>
  <c r="AC520" i="45"/>
  <c r="M520" i="45"/>
  <c r="AO520" i="45"/>
  <c r="Y520" i="45"/>
  <c r="AG520" i="45"/>
  <c r="AK520" i="45"/>
  <c r="U520" i="45"/>
  <c r="Q520" i="45"/>
  <c r="B807" i="45"/>
  <c r="AT702" i="45"/>
  <c r="AP702" i="45"/>
  <c r="AL702" i="45"/>
  <c r="AH702" i="45"/>
  <c r="AD702" i="45"/>
  <c r="Z702" i="45"/>
  <c r="V702" i="45"/>
  <c r="R702" i="45"/>
  <c r="N702" i="45"/>
  <c r="AS702" i="45"/>
  <c r="AO702" i="45"/>
  <c r="AK702" i="45"/>
  <c r="AG702" i="45"/>
  <c r="AC702" i="45"/>
  <c r="Y702" i="45"/>
  <c r="U702" i="45"/>
  <c r="Q702" i="45"/>
  <c r="M702" i="45"/>
  <c r="AU702" i="45"/>
  <c r="AQ702" i="45"/>
  <c r="AM702" i="45"/>
  <c r="AI702" i="45"/>
  <c r="AE702" i="45"/>
  <c r="AA702" i="45"/>
  <c r="W702" i="45"/>
  <c r="S702" i="45"/>
  <c r="O702" i="45"/>
  <c r="AJ702" i="45"/>
  <c r="T702" i="45"/>
  <c r="AR702" i="45"/>
  <c r="X702" i="45"/>
  <c r="AB702" i="45"/>
  <c r="L702" i="45"/>
  <c r="AN702" i="45"/>
  <c r="P702" i="45"/>
  <c r="AF702" i="45"/>
  <c r="B801" i="45"/>
  <c r="AT696" i="45"/>
  <c r="AP696" i="45"/>
  <c r="AL696" i="45"/>
  <c r="AH696" i="45"/>
  <c r="AD696" i="45"/>
  <c r="Z696" i="45"/>
  <c r="V696" i="45"/>
  <c r="R696" i="45"/>
  <c r="N696" i="45"/>
  <c r="AU696" i="45"/>
  <c r="AO696" i="45"/>
  <c r="AJ696" i="45"/>
  <c r="AE696" i="45"/>
  <c r="Y696" i="45"/>
  <c r="T696" i="45"/>
  <c r="O696" i="45"/>
  <c r="AQ696" i="45"/>
  <c r="AK696" i="45"/>
  <c r="AF696" i="45"/>
  <c r="AA696" i="45"/>
  <c r="U696" i="45"/>
  <c r="P696" i="45"/>
  <c r="AM696" i="45"/>
  <c r="AB696" i="45"/>
  <c r="Q696" i="45"/>
  <c r="AS696" i="45"/>
  <c r="AI696" i="45"/>
  <c r="X696" i="45"/>
  <c r="M696" i="45"/>
  <c r="AN696" i="45"/>
  <c r="AC696" i="45"/>
  <c r="S696" i="45"/>
  <c r="AG696" i="45"/>
  <c r="L696" i="45"/>
  <c r="AR696" i="45"/>
  <c r="W696" i="45"/>
  <c r="B802" i="45"/>
  <c r="AT697" i="45"/>
  <c r="AP697" i="45"/>
  <c r="AL697" i="45"/>
  <c r="AH697" i="45"/>
  <c r="AD697" i="45"/>
  <c r="Z697" i="45"/>
  <c r="V697" i="45"/>
  <c r="R697" i="45"/>
  <c r="N697" i="45"/>
  <c r="AQ697" i="45"/>
  <c r="AK697" i="45"/>
  <c r="AF697" i="45"/>
  <c r="AA697" i="45"/>
  <c r="U697" i="45"/>
  <c r="P697" i="45"/>
  <c r="AR697" i="45"/>
  <c r="AM697" i="45"/>
  <c r="AG697" i="45"/>
  <c r="AB697" i="45"/>
  <c r="W697" i="45"/>
  <c r="Q697" i="45"/>
  <c r="L697" i="45"/>
  <c r="AS697" i="45"/>
  <c r="AI697" i="45"/>
  <c r="X697" i="45"/>
  <c r="M697" i="45"/>
  <c r="AO697" i="45"/>
  <c r="AE697" i="45"/>
  <c r="T697" i="45"/>
  <c r="AU697" i="45"/>
  <c r="AJ697" i="45"/>
  <c r="Y697" i="45"/>
  <c r="O697" i="45"/>
  <c r="AN697" i="45"/>
  <c r="S697" i="45"/>
  <c r="AC697" i="45"/>
  <c r="B809" i="45"/>
  <c r="AT704" i="45"/>
  <c r="AP704" i="45"/>
  <c r="AL704" i="45"/>
  <c r="AH704" i="45"/>
  <c r="AD704" i="45"/>
  <c r="Z704" i="45"/>
  <c r="V704" i="45"/>
  <c r="R704" i="45"/>
  <c r="N704" i="45"/>
  <c r="AS704" i="45"/>
  <c r="AO704" i="45"/>
  <c r="AK704" i="45"/>
  <c r="AG704" i="45"/>
  <c r="AC704" i="45"/>
  <c r="Y704" i="45"/>
  <c r="U704" i="45"/>
  <c r="Q704" i="45"/>
  <c r="M704" i="45"/>
  <c r="AU704" i="45"/>
  <c r="AQ704" i="45"/>
  <c r="AM704" i="45"/>
  <c r="AI704" i="45"/>
  <c r="AE704" i="45"/>
  <c r="AA704" i="45"/>
  <c r="W704" i="45"/>
  <c r="S704" i="45"/>
  <c r="O704" i="45"/>
  <c r="AR704" i="45"/>
  <c r="AB704" i="45"/>
  <c r="L704" i="45"/>
  <c r="AJ704" i="45"/>
  <c r="P704" i="45"/>
  <c r="AN704" i="45"/>
  <c r="T704" i="45"/>
  <c r="X704" i="45"/>
  <c r="AF704" i="45"/>
  <c r="B669" i="45"/>
  <c r="AR564" i="45"/>
  <c r="AN564" i="45"/>
  <c r="AJ564" i="45"/>
  <c r="AF564" i="45"/>
  <c r="AB564" i="45"/>
  <c r="X564" i="45"/>
  <c r="T564" i="45"/>
  <c r="P564" i="45"/>
  <c r="L564" i="45"/>
  <c r="AU564" i="45"/>
  <c r="AQ564" i="45"/>
  <c r="AM564" i="45"/>
  <c r="AI564" i="45"/>
  <c r="AE564" i="45"/>
  <c r="AA564" i="45"/>
  <c r="W564" i="45"/>
  <c r="S564" i="45"/>
  <c r="O564" i="45"/>
  <c r="AT564" i="45"/>
  <c r="AP564" i="45"/>
  <c r="AL564" i="45"/>
  <c r="AH564" i="45"/>
  <c r="AD564" i="45"/>
  <c r="Z564" i="45"/>
  <c r="V564" i="45"/>
  <c r="R564" i="45"/>
  <c r="N564" i="45"/>
  <c r="AS564" i="45"/>
  <c r="AC564" i="45"/>
  <c r="M564" i="45"/>
  <c r="AG564" i="45"/>
  <c r="AO564" i="45"/>
  <c r="Y564" i="45"/>
  <c r="Q564" i="45"/>
  <c r="AK564" i="45"/>
  <c r="U564" i="45"/>
  <c r="B653" i="45"/>
  <c r="AR548" i="45"/>
  <c r="AN548" i="45"/>
  <c r="AJ548" i="45"/>
  <c r="AF548" i="45"/>
  <c r="AB548" i="45"/>
  <c r="X548" i="45"/>
  <c r="T548" i="45"/>
  <c r="P548" i="45"/>
  <c r="L548" i="45"/>
  <c r="AU548" i="45"/>
  <c r="AQ548" i="45"/>
  <c r="AM548" i="45"/>
  <c r="AI548" i="45"/>
  <c r="AE548" i="45"/>
  <c r="AA548" i="45"/>
  <c r="W548" i="45"/>
  <c r="S548" i="45"/>
  <c r="O548" i="45"/>
  <c r="AT548" i="45"/>
  <c r="AP548" i="45"/>
  <c r="AL548" i="45"/>
  <c r="AH548" i="45"/>
  <c r="AD548" i="45"/>
  <c r="Z548" i="45"/>
  <c r="V548" i="45"/>
  <c r="R548" i="45"/>
  <c r="N548" i="45"/>
  <c r="AS548" i="45"/>
  <c r="AC548" i="45"/>
  <c r="M548" i="45"/>
  <c r="AG548" i="45"/>
  <c r="AO548" i="45"/>
  <c r="Y548" i="45"/>
  <c r="AK548" i="45"/>
  <c r="U548" i="45"/>
  <c r="Q548" i="45"/>
  <c r="B690" i="45"/>
  <c r="AR585" i="45"/>
  <c r="AN585" i="45"/>
  <c r="AJ585" i="45"/>
  <c r="AF585" i="45"/>
  <c r="AB585" i="45"/>
  <c r="X585" i="45"/>
  <c r="T585" i="45"/>
  <c r="P585" i="45"/>
  <c r="L585" i="45"/>
  <c r="AU585" i="45"/>
  <c r="AQ585" i="45"/>
  <c r="AM585" i="45"/>
  <c r="AI585" i="45"/>
  <c r="AE585" i="45"/>
  <c r="AA585" i="45"/>
  <c r="W585" i="45"/>
  <c r="S585" i="45"/>
  <c r="O585" i="45"/>
  <c r="AT585" i="45"/>
  <c r="AP585" i="45"/>
  <c r="AL585" i="45"/>
  <c r="AH585" i="45"/>
  <c r="AD585" i="45"/>
  <c r="Z585" i="45"/>
  <c r="V585" i="45"/>
  <c r="R585" i="45"/>
  <c r="N585" i="45"/>
  <c r="AO585" i="45"/>
  <c r="Y585" i="45"/>
  <c r="AC585" i="45"/>
  <c r="AK585" i="45"/>
  <c r="U585" i="45"/>
  <c r="M585" i="45"/>
  <c r="AG585" i="45"/>
  <c r="Q585" i="45"/>
  <c r="AS585" i="45"/>
  <c r="B621" i="45"/>
  <c r="AR516" i="45"/>
  <c r="AN516" i="45"/>
  <c r="AJ516" i="45"/>
  <c r="AF516" i="45"/>
  <c r="AB516" i="45"/>
  <c r="X516" i="45"/>
  <c r="T516" i="45"/>
  <c r="P516" i="45"/>
  <c r="L516" i="45"/>
  <c r="AU516" i="45"/>
  <c r="AQ516" i="45"/>
  <c r="AM516" i="45"/>
  <c r="AI516" i="45"/>
  <c r="AE516" i="45"/>
  <c r="AA516" i="45"/>
  <c r="W516" i="45"/>
  <c r="S516" i="45"/>
  <c r="O516" i="45"/>
  <c r="AT516" i="45"/>
  <c r="AP516" i="45"/>
  <c r="AL516" i="45"/>
  <c r="AH516" i="45"/>
  <c r="AD516" i="45"/>
  <c r="Z516" i="45"/>
  <c r="V516" i="45"/>
  <c r="R516" i="45"/>
  <c r="N516" i="45"/>
  <c r="AS516" i="45"/>
  <c r="AC516" i="45"/>
  <c r="M516" i="45"/>
  <c r="AO516" i="45"/>
  <c r="Y516" i="45"/>
  <c r="AG516" i="45"/>
  <c r="AK516" i="45"/>
  <c r="U516" i="45"/>
  <c r="Q516" i="45"/>
  <c r="B620" i="45"/>
  <c r="AR515" i="45"/>
  <c r="AN515" i="45"/>
  <c r="AJ515" i="45"/>
  <c r="AF515" i="45"/>
  <c r="AB515" i="45"/>
  <c r="X515" i="45"/>
  <c r="T515" i="45"/>
  <c r="P515" i="45"/>
  <c r="L515" i="45"/>
  <c r="AU515" i="45"/>
  <c r="AQ515" i="45"/>
  <c r="AM515" i="45"/>
  <c r="AI515" i="45"/>
  <c r="AE515" i="45"/>
  <c r="AA515" i="45"/>
  <c r="W515" i="45"/>
  <c r="S515" i="45"/>
  <c r="O515" i="45"/>
  <c r="AT515" i="45"/>
  <c r="AP515" i="45"/>
  <c r="AL515" i="45"/>
  <c r="AH515" i="45"/>
  <c r="AD515" i="45"/>
  <c r="Z515" i="45"/>
  <c r="V515" i="45"/>
  <c r="R515" i="45"/>
  <c r="N515" i="45"/>
  <c r="AG515" i="45"/>
  <c r="Q515" i="45"/>
  <c r="AS515" i="45"/>
  <c r="AC515" i="45"/>
  <c r="M515" i="45"/>
  <c r="AK515" i="45"/>
  <c r="AO515" i="45"/>
  <c r="Y515" i="45"/>
  <c r="U515" i="45"/>
  <c r="B675" i="45"/>
  <c r="AR570" i="45"/>
  <c r="AN570" i="45"/>
  <c r="AJ570" i="45"/>
  <c r="AF570" i="45"/>
  <c r="AB570" i="45"/>
  <c r="X570" i="45"/>
  <c r="T570" i="45"/>
  <c r="P570" i="45"/>
  <c r="L570" i="45"/>
  <c r="AU570" i="45"/>
  <c r="AQ570" i="45"/>
  <c r="AM570" i="45"/>
  <c r="AI570" i="45"/>
  <c r="AE570" i="45"/>
  <c r="AA570" i="45"/>
  <c r="W570" i="45"/>
  <c r="S570" i="45"/>
  <c r="O570" i="45"/>
  <c r="AT570" i="45"/>
  <c r="AP570" i="45"/>
  <c r="AL570" i="45"/>
  <c r="AH570" i="45"/>
  <c r="AD570" i="45"/>
  <c r="Z570" i="45"/>
  <c r="V570" i="45"/>
  <c r="R570" i="45"/>
  <c r="N570" i="45"/>
  <c r="AK570" i="45"/>
  <c r="U570" i="45"/>
  <c r="AO570" i="45"/>
  <c r="AG570" i="45"/>
  <c r="Q570" i="45"/>
  <c r="AS570" i="45"/>
  <c r="AC570" i="45"/>
  <c r="M570" i="45"/>
  <c r="Y570" i="45"/>
  <c r="B672" i="45"/>
  <c r="AR567" i="45"/>
  <c r="AN567" i="45"/>
  <c r="AJ567" i="45"/>
  <c r="AF567" i="45"/>
  <c r="AB567" i="45"/>
  <c r="X567" i="45"/>
  <c r="T567" i="45"/>
  <c r="P567" i="45"/>
  <c r="L567" i="45"/>
  <c r="AU567" i="45"/>
  <c r="AQ567" i="45"/>
  <c r="AM567" i="45"/>
  <c r="AI567" i="45"/>
  <c r="AE567" i="45"/>
  <c r="AA567" i="45"/>
  <c r="W567" i="45"/>
  <c r="S567" i="45"/>
  <c r="O567" i="45"/>
  <c r="AT567" i="45"/>
  <c r="AP567" i="45"/>
  <c r="AL567" i="45"/>
  <c r="AH567" i="45"/>
  <c r="AD567" i="45"/>
  <c r="Z567" i="45"/>
  <c r="V567" i="45"/>
  <c r="R567" i="45"/>
  <c r="N567" i="45"/>
  <c r="AG567" i="45"/>
  <c r="Q567" i="45"/>
  <c r="AK567" i="45"/>
  <c r="AS567" i="45"/>
  <c r="AC567" i="45"/>
  <c r="M567" i="45"/>
  <c r="U567" i="45"/>
  <c r="AO567" i="45"/>
  <c r="Y567" i="45"/>
  <c r="B661" i="45"/>
  <c r="AR556" i="45"/>
  <c r="AN556" i="45"/>
  <c r="AJ556" i="45"/>
  <c r="AF556" i="45"/>
  <c r="AB556" i="45"/>
  <c r="X556" i="45"/>
  <c r="T556" i="45"/>
  <c r="P556" i="45"/>
  <c r="L556" i="45"/>
  <c r="AU556" i="45"/>
  <c r="AQ556" i="45"/>
  <c r="AM556" i="45"/>
  <c r="AI556" i="45"/>
  <c r="AE556" i="45"/>
  <c r="AA556" i="45"/>
  <c r="W556" i="45"/>
  <c r="S556" i="45"/>
  <c r="O556" i="45"/>
  <c r="AT556" i="45"/>
  <c r="AP556" i="45"/>
  <c r="AL556" i="45"/>
  <c r="AH556" i="45"/>
  <c r="AD556" i="45"/>
  <c r="Z556" i="45"/>
  <c r="V556" i="45"/>
  <c r="R556" i="45"/>
  <c r="N556" i="45"/>
  <c r="AS556" i="45"/>
  <c r="AC556" i="45"/>
  <c r="M556" i="45"/>
  <c r="AO556" i="45"/>
  <c r="Y556" i="45"/>
  <c r="Q556" i="45"/>
  <c r="AK556" i="45"/>
  <c r="U556" i="45"/>
  <c r="AG556" i="45"/>
  <c r="B664" i="45"/>
  <c r="AR559" i="45"/>
  <c r="AN559" i="45"/>
  <c r="AJ559" i="45"/>
  <c r="AF559" i="45"/>
  <c r="AB559" i="45"/>
  <c r="X559" i="45"/>
  <c r="T559" i="45"/>
  <c r="P559" i="45"/>
  <c r="L559" i="45"/>
  <c r="AU559" i="45"/>
  <c r="AQ559" i="45"/>
  <c r="AM559" i="45"/>
  <c r="AI559" i="45"/>
  <c r="AE559" i="45"/>
  <c r="AA559" i="45"/>
  <c r="W559" i="45"/>
  <c r="S559" i="45"/>
  <c r="O559" i="45"/>
  <c r="AT559" i="45"/>
  <c r="AP559" i="45"/>
  <c r="AL559" i="45"/>
  <c r="AH559" i="45"/>
  <c r="AD559" i="45"/>
  <c r="Z559" i="45"/>
  <c r="V559" i="45"/>
  <c r="R559" i="45"/>
  <c r="N559" i="45"/>
  <c r="AG559" i="45"/>
  <c r="Q559" i="45"/>
  <c r="AK559" i="45"/>
  <c r="AS559" i="45"/>
  <c r="AC559" i="45"/>
  <c r="M559" i="45"/>
  <c r="U559" i="45"/>
  <c r="AO559" i="45"/>
  <c r="Y559" i="45"/>
  <c r="B622" i="45"/>
  <c r="AR517" i="45"/>
  <c r="AN517" i="45"/>
  <c r="AJ517" i="45"/>
  <c r="AF517" i="45"/>
  <c r="AB517" i="45"/>
  <c r="X517" i="45"/>
  <c r="T517" i="45"/>
  <c r="P517" i="45"/>
  <c r="L517" i="45"/>
  <c r="AU517" i="45"/>
  <c r="AQ517" i="45"/>
  <c r="AM517" i="45"/>
  <c r="AI517" i="45"/>
  <c r="AE517" i="45"/>
  <c r="AA517" i="45"/>
  <c r="W517" i="45"/>
  <c r="S517" i="45"/>
  <c r="O517" i="45"/>
  <c r="AT517" i="45"/>
  <c r="AP517" i="45"/>
  <c r="AL517" i="45"/>
  <c r="AH517" i="45"/>
  <c r="AD517" i="45"/>
  <c r="Z517" i="45"/>
  <c r="V517" i="45"/>
  <c r="R517" i="45"/>
  <c r="N517" i="45"/>
  <c r="AO517" i="45"/>
  <c r="Y517" i="45"/>
  <c r="M517" i="45"/>
  <c r="AK517" i="45"/>
  <c r="U517" i="45"/>
  <c r="AS517" i="45"/>
  <c r="AG517" i="45"/>
  <c r="Q517" i="45"/>
  <c r="AC517" i="45"/>
  <c r="B674" i="45"/>
  <c r="AR569" i="45"/>
  <c r="AN569" i="45"/>
  <c r="AJ569" i="45"/>
  <c r="AF569" i="45"/>
  <c r="AB569" i="45"/>
  <c r="X569" i="45"/>
  <c r="T569" i="45"/>
  <c r="P569" i="45"/>
  <c r="L569" i="45"/>
  <c r="AU569" i="45"/>
  <c r="AQ569" i="45"/>
  <c r="AM569" i="45"/>
  <c r="AI569" i="45"/>
  <c r="AE569" i="45"/>
  <c r="AA569" i="45"/>
  <c r="W569" i="45"/>
  <c r="S569" i="45"/>
  <c r="O569" i="45"/>
  <c r="AT569" i="45"/>
  <c r="AP569" i="45"/>
  <c r="AL569" i="45"/>
  <c r="AH569" i="45"/>
  <c r="AD569" i="45"/>
  <c r="Z569" i="45"/>
  <c r="V569" i="45"/>
  <c r="R569" i="45"/>
  <c r="N569" i="45"/>
  <c r="AO569" i="45"/>
  <c r="Y569" i="45"/>
  <c r="AC569" i="45"/>
  <c r="AK569" i="45"/>
  <c r="U569" i="45"/>
  <c r="AS569" i="45"/>
  <c r="AG569" i="45"/>
  <c r="Q569" i="45"/>
  <c r="M569" i="45"/>
  <c r="B650" i="45"/>
  <c r="AR545" i="45"/>
  <c r="AN545" i="45"/>
  <c r="AJ545" i="45"/>
  <c r="AF545" i="45"/>
  <c r="AB545" i="45"/>
  <c r="X545" i="45"/>
  <c r="T545" i="45"/>
  <c r="P545" i="45"/>
  <c r="L545" i="45"/>
  <c r="AU545" i="45"/>
  <c r="AQ545" i="45"/>
  <c r="AM545" i="45"/>
  <c r="AI545" i="45"/>
  <c r="AE545" i="45"/>
  <c r="AA545" i="45"/>
  <c r="W545" i="45"/>
  <c r="S545" i="45"/>
  <c r="O545" i="45"/>
  <c r="AT545" i="45"/>
  <c r="AP545" i="45"/>
  <c r="AL545" i="45"/>
  <c r="AH545" i="45"/>
  <c r="AD545" i="45"/>
  <c r="Z545" i="45"/>
  <c r="V545" i="45"/>
  <c r="R545" i="45"/>
  <c r="N545" i="45"/>
  <c r="AO545" i="45"/>
  <c r="Y545" i="45"/>
  <c r="AS545" i="45"/>
  <c r="AK545" i="45"/>
  <c r="U545" i="45"/>
  <c r="M545" i="45"/>
  <c r="AG545" i="45"/>
  <c r="Q545" i="45"/>
  <c r="AC545" i="45"/>
  <c r="B660" i="45"/>
  <c r="AR555" i="45"/>
  <c r="AN555" i="45"/>
  <c r="AJ555" i="45"/>
  <c r="AF555" i="45"/>
  <c r="AB555" i="45"/>
  <c r="X555" i="45"/>
  <c r="T555" i="45"/>
  <c r="P555" i="45"/>
  <c r="L555" i="45"/>
  <c r="AU555" i="45"/>
  <c r="AQ555" i="45"/>
  <c r="AM555" i="45"/>
  <c r="AI555" i="45"/>
  <c r="AE555" i="45"/>
  <c r="AA555" i="45"/>
  <c r="W555" i="45"/>
  <c r="S555" i="45"/>
  <c r="O555" i="45"/>
  <c r="AT555" i="45"/>
  <c r="AP555" i="45"/>
  <c r="AL555" i="45"/>
  <c r="AH555" i="45"/>
  <c r="AD555" i="45"/>
  <c r="Z555" i="45"/>
  <c r="V555" i="45"/>
  <c r="R555" i="45"/>
  <c r="N555" i="45"/>
  <c r="AG555" i="45"/>
  <c r="Q555" i="45"/>
  <c r="AK555" i="45"/>
  <c r="AS555" i="45"/>
  <c r="AC555" i="45"/>
  <c r="M555" i="45"/>
  <c r="AO555" i="45"/>
  <c r="Y555" i="45"/>
  <c r="U555" i="45"/>
  <c r="B684" i="45"/>
  <c r="AR579" i="45"/>
  <c r="AN579" i="45"/>
  <c r="AJ579" i="45"/>
  <c r="AF579" i="45"/>
  <c r="AB579" i="45"/>
  <c r="X579" i="45"/>
  <c r="T579" i="45"/>
  <c r="P579" i="45"/>
  <c r="L579" i="45"/>
  <c r="AU579" i="45"/>
  <c r="AQ579" i="45"/>
  <c r="AM579" i="45"/>
  <c r="AI579" i="45"/>
  <c r="AE579" i="45"/>
  <c r="AA579" i="45"/>
  <c r="W579" i="45"/>
  <c r="S579" i="45"/>
  <c r="O579" i="45"/>
  <c r="AT579" i="45"/>
  <c r="AP579" i="45"/>
  <c r="AL579" i="45"/>
  <c r="AH579" i="45"/>
  <c r="AD579" i="45"/>
  <c r="Z579" i="45"/>
  <c r="V579" i="45"/>
  <c r="R579" i="45"/>
  <c r="N579" i="45"/>
  <c r="AG579" i="45"/>
  <c r="Q579" i="45"/>
  <c r="U579" i="45"/>
  <c r="AS579" i="45"/>
  <c r="AC579" i="45"/>
  <c r="M579" i="45"/>
  <c r="AO579" i="45"/>
  <c r="Y579" i="45"/>
  <c r="AK579" i="45"/>
  <c r="B658" i="45"/>
  <c r="AR553" i="45"/>
  <c r="AN553" i="45"/>
  <c r="AJ553" i="45"/>
  <c r="AF553" i="45"/>
  <c r="AB553" i="45"/>
  <c r="X553" i="45"/>
  <c r="T553" i="45"/>
  <c r="P553" i="45"/>
  <c r="L553" i="45"/>
  <c r="AU553" i="45"/>
  <c r="AQ553" i="45"/>
  <c r="AM553" i="45"/>
  <c r="AI553" i="45"/>
  <c r="AE553" i="45"/>
  <c r="AA553" i="45"/>
  <c r="W553" i="45"/>
  <c r="S553" i="45"/>
  <c r="O553" i="45"/>
  <c r="AT553" i="45"/>
  <c r="AP553" i="45"/>
  <c r="AL553" i="45"/>
  <c r="AH553" i="45"/>
  <c r="AD553" i="45"/>
  <c r="Z553" i="45"/>
  <c r="V553" i="45"/>
  <c r="R553" i="45"/>
  <c r="N553" i="45"/>
  <c r="AO553" i="45"/>
  <c r="Y553" i="45"/>
  <c r="AC553" i="45"/>
  <c r="AK553" i="45"/>
  <c r="U553" i="45"/>
  <c r="M553" i="45"/>
  <c r="AG553" i="45"/>
  <c r="Q553" i="45"/>
  <c r="AS553" i="45"/>
  <c r="B680" i="45"/>
  <c r="AR575" i="45"/>
  <c r="AN575" i="45"/>
  <c r="AJ575" i="45"/>
  <c r="AF575" i="45"/>
  <c r="AB575" i="45"/>
  <c r="X575" i="45"/>
  <c r="T575" i="45"/>
  <c r="P575" i="45"/>
  <c r="L575" i="45"/>
  <c r="AU575" i="45"/>
  <c r="AQ575" i="45"/>
  <c r="AM575" i="45"/>
  <c r="AI575" i="45"/>
  <c r="AE575" i="45"/>
  <c r="AA575" i="45"/>
  <c r="W575" i="45"/>
  <c r="S575" i="45"/>
  <c r="O575" i="45"/>
  <c r="AT575" i="45"/>
  <c r="AP575" i="45"/>
  <c r="AL575" i="45"/>
  <c r="AH575" i="45"/>
  <c r="AD575" i="45"/>
  <c r="Z575" i="45"/>
  <c r="V575" i="45"/>
  <c r="R575" i="45"/>
  <c r="N575" i="45"/>
  <c r="AG575" i="45"/>
  <c r="Q575" i="45"/>
  <c r="U575" i="45"/>
  <c r="AS575" i="45"/>
  <c r="AC575" i="45"/>
  <c r="M575" i="45"/>
  <c r="AO575" i="45"/>
  <c r="Y575" i="45"/>
  <c r="AK575" i="45"/>
  <c r="B613" i="45"/>
  <c r="AR508" i="45"/>
  <c r="AN508" i="45"/>
  <c r="AJ508" i="45"/>
  <c r="AF508" i="45"/>
  <c r="AB508" i="45"/>
  <c r="X508" i="45"/>
  <c r="T508" i="45"/>
  <c r="P508" i="45"/>
  <c r="L508" i="45"/>
  <c r="AU508" i="45"/>
  <c r="AQ508" i="45"/>
  <c r="AM508" i="45"/>
  <c r="AI508" i="45"/>
  <c r="AE508" i="45"/>
  <c r="AA508" i="45"/>
  <c r="W508" i="45"/>
  <c r="S508" i="45"/>
  <c r="O508" i="45"/>
  <c r="AT508" i="45"/>
  <c r="AP508" i="45"/>
  <c r="AL508" i="45"/>
  <c r="AH508" i="45"/>
  <c r="AD508" i="45"/>
  <c r="Z508" i="45"/>
  <c r="V508" i="45"/>
  <c r="R508" i="45"/>
  <c r="N508" i="45"/>
  <c r="AS508" i="45"/>
  <c r="AC508" i="45"/>
  <c r="M508" i="45"/>
  <c r="AG508" i="45"/>
  <c r="AO508" i="45"/>
  <c r="Y508" i="45"/>
  <c r="Q508" i="45"/>
  <c r="AK508" i="45"/>
  <c r="U508" i="45"/>
  <c r="B616" i="45"/>
  <c r="AR511" i="45"/>
  <c r="AN511" i="45"/>
  <c r="AJ511" i="45"/>
  <c r="AF511" i="45"/>
  <c r="AB511" i="45"/>
  <c r="X511" i="45"/>
  <c r="T511" i="45"/>
  <c r="P511" i="45"/>
  <c r="L511" i="45"/>
  <c r="AU511" i="45"/>
  <c r="AQ511" i="45"/>
  <c r="AM511" i="45"/>
  <c r="AI511" i="45"/>
  <c r="AE511" i="45"/>
  <c r="AA511" i="45"/>
  <c r="W511" i="45"/>
  <c r="S511" i="45"/>
  <c r="O511" i="45"/>
  <c r="AT511" i="45"/>
  <c r="AP511" i="45"/>
  <c r="AL511" i="45"/>
  <c r="AH511" i="45"/>
  <c r="AD511" i="45"/>
  <c r="Z511" i="45"/>
  <c r="V511" i="45"/>
  <c r="R511" i="45"/>
  <c r="N511" i="45"/>
  <c r="AG511" i="45"/>
  <c r="Q511" i="45"/>
  <c r="AS511" i="45"/>
  <c r="AC511" i="45"/>
  <c r="M511" i="45"/>
  <c r="AK511" i="45"/>
  <c r="AO511" i="45"/>
  <c r="Y511" i="45"/>
  <c r="U511" i="45"/>
  <c r="B631" i="45"/>
  <c r="AR526" i="45"/>
  <c r="AN526" i="45"/>
  <c r="AJ526" i="45"/>
  <c r="AF526" i="45"/>
  <c r="AB526" i="45"/>
  <c r="X526" i="45"/>
  <c r="T526" i="45"/>
  <c r="P526" i="45"/>
  <c r="L526" i="45"/>
  <c r="AU526" i="45"/>
  <c r="AQ526" i="45"/>
  <c r="AM526" i="45"/>
  <c r="AI526" i="45"/>
  <c r="AE526" i="45"/>
  <c r="AA526" i="45"/>
  <c r="W526" i="45"/>
  <c r="S526" i="45"/>
  <c r="O526" i="45"/>
  <c r="AT526" i="45"/>
  <c r="AP526" i="45"/>
  <c r="AL526" i="45"/>
  <c r="AH526" i="45"/>
  <c r="AD526" i="45"/>
  <c r="Z526" i="45"/>
  <c r="V526" i="45"/>
  <c r="R526" i="45"/>
  <c r="N526" i="45"/>
  <c r="AK526" i="45"/>
  <c r="U526" i="45"/>
  <c r="Y526" i="45"/>
  <c r="AG526" i="45"/>
  <c r="Q526" i="45"/>
  <c r="AS526" i="45"/>
  <c r="AC526" i="45"/>
  <c r="M526" i="45"/>
  <c r="AO526" i="45"/>
  <c r="B606" i="45"/>
  <c r="B645" i="45"/>
  <c r="AR540" i="45"/>
  <c r="AN540" i="45"/>
  <c r="AJ540" i="45"/>
  <c r="AF540" i="45"/>
  <c r="AB540" i="45"/>
  <c r="X540" i="45"/>
  <c r="T540" i="45"/>
  <c r="P540" i="45"/>
  <c r="L540" i="45"/>
  <c r="AU540" i="45"/>
  <c r="AQ540" i="45"/>
  <c r="AM540" i="45"/>
  <c r="AI540" i="45"/>
  <c r="AE540" i="45"/>
  <c r="AA540" i="45"/>
  <c r="W540" i="45"/>
  <c r="S540" i="45"/>
  <c r="O540" i="45"/>
  <c r="AT540" i="45"/>
  <c r="AP540" i="45"/>
  <c r="AL540" i="45"/>
  <c r="AH540" i="45"/>
  <c r="AD540" i="45"/>
  <c r="Z540" i="45"/>
  <c r="V540" i="45"/>
  <c r="R540" i="45"/>
  <c r="N540" i="45"/>
  <c r="AS540" i="45"/>
  <c r="AC540" i="45"/>
  <c r="M540" i="45"/>
  <c r="AO540" i="45"/>
  <c r="Y540" i="45"/>
  <c r="AG540" i="45"/>
  <c r="AK540" i="45"/>
  <c r="U540" i="45"/>
  <c r="Q540" i="45"/>
  <c r="B659" i="45"/>
  <c r="AR554" i="45"/>
  <c r="AN554" i="45"/>
  <c r="AJ554" i="45"/>
  <c r="AF554" i="45"/>
  <c r="AB554" i="45"/>
  <c r="X554" i="45"/>
  <c r="T554" i="45"/>
  <c r="P554" i="45"/>
  <c r="L554" i="45"/>
  <c r="AU554" i="45"/>
  <c r="AQ554" i="45"/>
  <c r="AM554" i="45"/>
  <c r="AI554" i="45"/>
  <c r="AE554" i="45"/>
  <c r="AA554" i="45"/>
  <c r="W554" i="45"/>
  <c r="S554" i="45"/>
  <c r="O554" i="45"/>
  <c r="AT554" i="45"/>
  <c r="AP554" i="45"/>
  <c r="AL554" i="45"/>
  <c r="AH554" i="45"/>
  <c r="AD554" i="45"/>
  <c r="Z554" i="45"/>
  <c r="V554" i="45"/>
  <c r="R554" i="45"/>
  <c r="N554" i="45"/>
  <c r="AK554" i="45"/>
  <c r="U554" i="45"/>
  <c r="AG554" i="45"/>
  <c r="Q554" i="45"/>
  <c r="AO554" i="45"/>
  <c r="Y554" i="45"/>
  <c r="AS554" i="45"/>
  <c r="AC554" i="45"/>
  <c r="M554" i="45"/>
  <c r="B682" i="45"/>
  <c r="AR577" i="45"/>
  <c r="AN577" i="45"/>
  <c r="AJ577" i="45"/>
  <c r="AF577" i="45"/>
  <c r="AB577" i="45"/>
  <c r="X577" i="45"/>
  <c r="T577" i="45"/>
  <c r="P577" i="45"/>
  <c r="L577" i="45"/>
  <c r="AU577" i="45"/>
  <c r="AQ577" i="45"/>
  <c r="AM577" i="45"/>
  <c r="AI577" i="45"/>
  <c r="AE577" i="45"/>
  <c r="AA577" i="45"/>
  <c r="W577" i="45"/>
  <c r="S577" i="45"/>
  <c r="O577" i="45"/>
  <c r="AT577" i="45"/>
  <c r="AP577" i="45"/>
  <c r="AL577" i="45"/>
  <c r="AH577" i="45"/>
  <c r="AD577" i="45"/>
  <c r="Z577" i="45"/>
  <c r="V577" i="45"/>
  <c r="R577" i="45"/>
  <c r="N577" i="45"/>
  <c r="AO577" i="45"/>
  <c r="Y577" i="45"/>
  <c r="AS577" i="45"/>
  <c r="AK577" i="45"/>
  <c r="U577" i="45"/>
  <c r="AC577" i="45"/>
  <c r="AG577" i="45"/>
  <c r="Q577" i="45"/>
  <c r="M577" i="45"/>
  <c r="B679" i="45"/>
  <c r="AR574" i="45"/>
  <c r="AN574" i="45"/>
  <c r="AJ574" i="45"/>
  <c r="AF574" i="45"/>
  <c r="AB574" i="45"/>
  <c r="X574" i="45"/>
  <c r="T574" i="45"/>
  <c r="P574" i="45"/>
  <c r="L574" i="45"/>
  <c r="AU574" i="45"/>
  <c r="AQ574" i="45"/>
  <c r="AM574" i="45"/>
  <c r="AI574" i="45"/>
  <c r="AE574" i="45"/>
  <c r="AA574" i="45"/>
  <c r="W574" i="45"/>
  <c r="S574" i="45"/>
  <c r="O574" i="45"/>
  <c r="AT574" i="45"/>
  <c r="AP574" i="45"/>
  <c r="AL574" i="45"/>
  <c r="AH574" i="45"/>
  <c r="AD574" i="45"/>
  <c r="Z574" i="45"/>
  <c r="V574" i="45"/>
  <c r="R574" i="45"/>
  <c r="N574" i="45"/>
  <c r="AK574" i="45"/>
  <c r="U574" i="45"/>
  <c r="AG574" i="45"/>
  <c r="Q574" i="45"/>
  <c r="AO574" i="45"/>
  <c r="AS574" i="45"/>
  <c r="AC574" i="45"/>
  <c r="M574" i="45"/>
  <c r="Y574" i="45"/>
  <c r="B623" i="45"/>
  <c r="AR518" i="45"/>
  <c r="AN518" i="45"/>
  <c r="AJ518" i="45"/>
  <c r="AF518" i="45"/>
  <c r="AB518" i="45"/>
  <c r="X518" i="45"/>
  <c r="T518" i="45"/>
  <c r="P518" i="45"/>
  <c r="L518" i="45"/>
  <c r="AU518" i="45"/>
  <c r="AQ518" i="45"/>
  <c r="AM518" i="45"/>
  <c r="AI518" i="45"/>
  <c r="AE518" i="45"/>
  <c r="AA518" i="45"/>
  <c r="W518" i="45"/>
  <c r="S518" i="45"/>
  <c r="O518" i="45"/>
  <c r="AT518" i="45"/>
  <c r="AP518" i="45"/>
  <c r="AL518" i="45"/>
  <c r="AH518" i="45"/>
  <c r="AD518" i="45"/>
  <c r="Z518" i="45"/>
  <c r="V518" i="45"/>
  <c r="R518" i="45"/>
  <c r="N518" i="45"/>
  <c r="AK518" i="45"/>
  <c r="U518" i="45"/>
  <c r="Y518" i="45"/>
  <c r="AG518" i="45"/>
  <c r="Q518" i="45"/>
  <c r="AS518" i="45"/>
  <c r="AC518" i="45"/>
  <c r="M518" i="45"/>
  <c r="AO518" i="45"/>
  <c r="B656" i="45"/>
  <c r="AR551" i="45"/>
  <c r="AN551" i="45"/>
  <c r="AJ551" i="45"/>
  <c r="AF551" i="45"/>
  <c r="AB551" i="45"/>
  <c r="X551" i="45"/>
  <c r="T551" i="45"/>
  <c r="P551" i="45"/>
  <c r="L551" i="45"/>
  <c r="AU551" i="45"/>
  <c r="AQ551" i="45"/>
  <c r="AM551" i="45"/>
  <c r="AI551" i="45"/>
  <c r="AE551" i="45"/>
  <c r="AA551" i="45"/>
  <c r="W551" i="45"/>
  <c r="S551" i="45"/>
  <c r="O551" i="45"/>
  <c r="AT551" i="45"/>
  <c r="AP551" i="45"/>
  <c r="AL551" i="45"/>
  <c r="AH551" i="45"/>
  <c r="AD551" i="45"/>
  <c r="Z551" i="45"/>
  <c r="V551" i="45"/>
  <c r="R551" i="45"/>
  <c r="N551" i="45"/>
  <c r="AG551" i="45"/>
  <c r="Q551" i="45"/>
  <c r="AS551" i="45"/>
  <c r="AC551" i="45"/>
  <c r="M551" i="45"/>
  <c r="AK551" i="45"/>
  <c r="AO551" i="45"/>
  <c r="Y551" i="45"/>
  <c r="U551" i="45"/>
  <c r="B803" i="45"/>
  <c r="AT698" i="45"/>
  <c r="AP698" i="45"/>
  <c r="AL698" i="45"/>
  <c r="AH698" i="45"/>
  <c r="AD698" i="45"/>
  <c r="Z698" i="45"/>
  <c r="V698" i="45"/>
  <c r="AS698" i="45"/>
  <c r="AO698" i="45"/>
  <c r="AK698" i="45"/>
  <c r="AG698" i="45"/>
  <c r="AC698" i="45"/>
  <c r="Y698" i="45"/>
  <c r="U698" i="45"/>
  <c r="Q698" i="45"/>
  <c r="AU698" i="45"/>
  <c r="AQ698" i="45"/>
  <c r="AM698" i="45"/>
  <c r="AI698" i="45"/>
  <c r="AE698" i="45"/>
  <c r="AA698" i="45"/>
  <c r="W698" i="45"/>
  <c r="S698" i="45"/>
  <c r="AJ698" i="45"/>
  <c r="T698" i="45"/>
  <c r="N698" i="45"/>
  <c r="AN698" i="45"/>
  <c r="R698" i="45"/>
  <c r="L698" i="45"/>
  <c r="AR698" i="45"/>
  <c r="X698" i="45"/>
  <c r="M698" i="45"/>
  <c r="AB698" i="45"/>
  <c r="P698" i="45"/>
  <c r="AF698" i="45"/>
  <c r="O698" i="45"/>
  <c r="B808" i="45"/>
  <c r="AT703" i="45"/>
  <c r="AP703" i="45"/>
  <c r="AL703" i="45"/>
  <c r="AH703" i="45"/>
  <c r="AD703" i="45"/>
  <c r="Z703" i="45"/>
  <c r="V703" i="45"/>
  <c r="R703" i="45"/>
  <c r="N703" i="45"/>
  <c r="AS703" i="45"/>
  <c r="AO703" i="45"/>
  <c r="AK703" i="45"/>
  <c r="AG703" i="45"/>
  <c r="AC703" i="45"/>
  <c r="Y703" i="45"/>
  <c r="U703" i="45"/>
  <c r="Q703" i="45"/>
  <c r="M703" i="45"/>
  <c r="AU703" i="45"/>
  <c r="AQ703" i="45"/>
  <c r="AM703" i="45"/>
  <c r="AI703" i="45"/>
  <c r="AE703" i="45"/>
  <c r="AA703" i="45"/>
  <c r="W703" i="45"/>
  <c r="S703" i="45"/>
  <c r="O703" i="45"/>
  <c r="AF703" i="45"/>
  <c r="P703" i="45"/>
  <c r="AB703" i="45"/>
  <c r="AJ703" i="45"/>
  <c r="L703" i="45"/>
  <c r="T703" i="45"/>
  <c r="AR703" i="45"/>
  <c r="X703" i="45"/>
  <c r="AN703" i="45"/>
  <c r="B797" i="45"/>
  <c r="AT692" i="45"/>
  <c r="AP692" i="45"/>
  <c r="AL692" i="45"/>
  <c r="AH692" i="45"/>
  <c r="AD692" i="45"/>
  <c r="Z692" i="45"/>
  <c r="V692" i="45"/>
  <c r="R692" i="45"/>
  <c r="N692" i="45"/>
  <c r="AU692" i="45"/>
  <c r="AO692" i="45"/>
  <c r="AJ692" i="45"/>
  <c r="AE692" i="45"/>
  <c r="Y692" i="45"/>
  <c r="T692" i="45"/>
  <c r="O692" i="45"/>
  <c r="AQ692" i="45"/>
  <c r="AK692" i="45"/>
  <c r="AF692" i="45"/>
  <c r="AA692" i="45"/>
  <c r="U692" i="45"/>
  <c r="P692" i="45"/>
  <c r="AR692" i="45"/>
  <c r="AG692" i="45"/>
  <c r="W692" i="45"/>
  <c r="L692" i="45"/>
  <c r="AN692" i="45"/>
  <c r="AC692" i="45"/>
  <c r="S692" i="45"/>
  <c r="AS692" i="45"/>
  <c r="AI692" i="45"/>
  <c r="X692" i="45"/>
  <c r="M692" i="45"/>
  <c r="AB692" i="45"/>
  <c r="Q692" i="45"/>
  <c r="AM692" i="45"/>
  <c r="B706" i="45"/>
  <c r="B811" i="45" s="1"/>
  <c r="AT601" i="45"/>
  <c r="AP601" i="45"/>
  <c r="AL601" i="45"/>
  <c r="AH601" i="45"/>
  <c r="AD601" i="45"/>
  <c r="Z601" i="45"/>
  <c r="V601" i="45"/>
  <c r="R601" i="45"/>
  <c r="N601" i="45"/>
  <c r="AR601" i="45"/>
  <c r="AN601" i="45"/>
  <c r="AJ601" i="45"/>
  <c r="AF601" i="45"/>
  <c r="AB601" i="45"/>
  <c r="X601" i="45"/>
  <c r="T601" i="45"/>
  <c r="P601" i="45"/>
  <c r="L601" i="45"/>
  <c r="AQ601" i="45"/>
  <c r="AI601" i="45"/>
  <c r="AA601" i="45"/>
  <c r="S601" i="45"/>
  <c r="AO601" i="45"/>
  <c r="AG601" i="45"/>
  <c r="Y601" i="45"/>
  <c r="Q601" i="45"/>
  <c r="AU601" i="45"/>
  <c r="AM601" i="45"/>
  <c r="AE601" i="45"/>
  <c r="W601" i="45"/>
  <c r="O601" i="45"/>
  <c r="AS601" i="45"/>
  <c r="AK601" i="45"/>
  <c r="AC601" i="45"/>
  <c r="U601" i="45"/>
  <c r="M601" i="45"/>
  <c r="B705" i="45"/>
  <c r="AT600" i="45"/>
  <c r="AP600" i="45"/>
  <c r="AL600" i="45"/>
  <c r="AH600" i="45"/>
  <c r="AD600" i="45"/>
  <c r="Z600" i="45"/>
  <c r="V600" i="45"/>
  <c r="R600" i="45"/>
  <c r="N600" i="45"/>
  <c r="AR600" i="45"/>
  <c r="AN600" i="45"/>
  <c r="AJ600" i="45"/>
  <c r="AF600" i="45"/>
  <c r="AB600" i="45"/>
  <c r="X600" i="45"/>
  <c r="T600" i="45"/>
  <c r="P600" i="45"/>
  <c r="L600" i="45"/>
  <c r="AU600" i="45"/>
  <c r="AM600" i="45"/>
  <c r="AE600" i="45"/>
  <c r="W600" i="45"/>
  <c r="O600" i="45"/>
  <c r="AS600" i="45"/>
  <c r="AK600" i="45"/>
  <c r="AC600" i="45"/>
  <c r="U600" i="45"/>
  <c r="M600" i="45"/>
  <c r="AQ600" i="45"/>
  <c r="AI600" i="45"/>
  <c r="AA600" i="45"/>
  <c r="S600" i="45"/>
  <c r="AO600" i="45"/>
  <c r="AG600" i="45"/>
  <c r="Y600" i="45"/>
  <c r="Q600" i="45"/>
  <c r="B552" i="45"/>
  <c r="B562" i="45"/>
  <c r="B557" i="45"/>
  <c r="AV29" i="50"/>
  <c r="S227" i="45"/>
  <c r="Q8" i="45"/>
  <c r="Q12" i="45" s="1"/>
  <c r="L8" i="45"/>
  <c r="L12" i="45" s="1"/>
  <c r="M8" i="45"/>
  <c r="M12" i="45" s="1"/>
  <c r="P8" i="45"/>
  <c r="P12" i="45" s="1"/>
  <c r="O8" i="45"/>
  <c r="O12" i="45" s="1"/>
  <c r="N8" i="45"/>
  <c r="N12" i="45" s="1"/>
  <c r="S201" i="45"/>
  <c r="BH6" i="44"/>
  <c r="AW18" i="50"/>
  <c r="AW21" i="50" s="1"/>
  <c r="AW25" i="50" s="1"/>
  <c r="AW28" i="50" s="1"/>
  <c r="AW29" i="50" s="1"/>
  <c r="AY9" i="50"/>
  <c r="AY10" i="50" s="1"/>
  <c r="AX13" i="50"/>
  <c r="AX27" i="50"/>
  <c r="AX17" i="50"/>
  <c r="AX19" i="50"/>
  <c r="AX15" i="50"/>
  <c r="AX14" i="50"/>
  <c r="AX23" i="50"/>
  <c r="AX16" i="50"/>
  <c r="AX26" i="50"/>
  <c r="AX20" i="50"/>
  <c r="BA18" i="50"/>
  <c r="BA21" i="50" s="1"/>
  <c r="BA25" i="50" s="1"/>
  <c r="BA28" i="50" s="1"/>
  <c r="T199" i="45"/>
  <c r="W197" i="45"/>
  <c r="U217" i="45"/>
  <c r="U189" i="45"/>
  <c r="AL205" i="45"/>
  <c r="S207" i="45"/>
  <c r="S209" i="45"/>
  <c r="T206" i="45"/>
  <c r="S195" i="45"/>
  <c r="U279" i="45"/>
  <c r="Z270" i="45"/>
  <c r="U278" i="45"/>
  <c r="S272" i="45"/>
  <c r="T276" i="45"/>
  <c r="AA268" i="45"/>
  <c r="S273" i="45"/>
  <c r="T277" i="45"/>
  <c r="T274" i="45"/>
  <c r="T266" i="45"/>
  <c r="S275" i="45"/>
  <c r="S271" i="45"/>
  <c r="T262" i="45"/>
  <c r="S263" i="45"/>
  <c r="T264" i="45"/>
  <c r="V258" i="45"/>
  <c r="U234" i="45"/>
  <c r="V250" i="45"/>
  <c r="U238" i="45"/>
  <c r="U242" i="45"/>
  <c r="AG254" i="45"/>
  <c r="T246" i="45"/>
  <c r="T249" i="45"/>
  <c r="T211" i="45"/>
  <c r="T255" i="45"/>
  <c r="U208" i="45"/>
  <c r="T198" i="45"/>
  <c r="T245" i="45"/>
  <c r="U216" i="45"/>
  <c r="T194" i="45"/>
  <c r="U231" i="45"/>
  <c r="T257" i="45"/>
  <c r="T186" i="45"/>
  <c r="T396" i="45" s="1"/>
  <c r="T259" i="45"/>
  <c r="T237" i="45"/>
  <c r="T260" i="45"/>
  <c r="T226" i="45"/>
  <c r="T224" i="45"/>
  <c r="T212" i="45"/>
  <c r="S218" i="45"/>
  <c r="S221" i="45"/>
  <c r="T261" i="45"/>
  <c r="AD243" i="45"/>
  <c r="T213" i="45"/>
  <c r="T223" i="45"/>
  <c r="T222" i="45"/>
  <c r="T214" i="45"/>
  <c r="U220" i="45"/>
  <c r="T187" i="45"/>
  <c r="T236" i="45"/>
  <c r="T215" i="45"/>
  <c r="T252" i="45"/>
  <c r="T239" i="45"/>
  <c r="T200" i="45"/>
  <c r="Y253" i="45"/>
  <c r="T196" i="45"/>
  <c r="T192" i="45"/>
  <c r="T219" i="45"/>
  <c r="T229" i="45"/>
  <c r="T248" i="45"/>
  <c r="T232" i="45"/>
  <c r="T225" i="45"/>
  <c r="T190" i="45"/>
  <c r="U204" i="45"/>
  <c r="T233" i="45"/>
  <c r="T210" i="45"/>
  <c r="T244" i="45"/>
  <c r="U191" i="45"/>
  <c r="T230" i="45"/>
  <c r="T256" i="45"/>
  <c r="V193" i="45"/>
  <c r="S203" i="45"/>
  <c r="AO18" i="50"/>
  <c r="AO21" i="50" s="1"/>
  <c r="AO25" i="50" s="1"/>
  <c r="AO28" i="50" s="1"/>
  <c r="AO29" i="50" s="1"/>
  <c r="N3" i="45"/>
  <c r="J200" i="50" l="1"/>
  <c r="AR803" i="45"/>
  <c r="AN803" i="45"/>
  <c r="AJ803" i="45"/>
  <c r="AF803" i="45"/>
  <c r="AB803" i="45"/>
  <c r="X803" i="45"/>
  <c r="T803" i="45"/>
  <c r="P803" i="45"/>
  <c r="L803" i="45"/>
  <c r="AU803" i="45"/>
  <c r="AQ803" i="45"/>
  <c r="AM803" i="45"/>
  <c r="AI803" i="45"/>
  <c r="AE803" i="45"/>
  <c r="AA803" i="45"/>
  <c r="W803" i="45"/>
  <c r="S803" i="45"/>
  <c r="O803" i="45"/>
  <c r="AT803" i="45"/>
  <c r="AP803" i="45"/>
  <c r="AL803" i="45"/>
  <c r="AH803" i="45"/>
  <c r="AD803" i="45"/>
  <c r="Z803" i="45"/>
  <c r="V803" i="45"/>
  <c r="R803" i="45"/>
  <c r="N803" i="45"/>
  <c r="AS803" i="45"/>
  <c r="AC803" i="45"/>
  <c r="M803" i="45"/>
  <c r="AO803" i="45"/>
  <c r="Y803" i="45"/>
  <c r="AG803" i="45"/>
  <c r="AK803" i="45"/>
  <c r="U803" i="45"/>
  <c r="Q803" i="45"/>
  <c r="H803" i="45"/>
  <c r="J803" i="45" s="1"/>
  <c r="B908" i="45"/>
  <c r="B787" i="45"/>
  <c r="AS682" i="45"/>
  <c r="AO682" i="45"/>
  <c r="AK682" i="45"/>
  <c r="AG682" i="45"/>
  <c r="AC682" i="45"/>
  <c r="Y682" i="45"/>
  <c r="U682" i="45"/>
  <c r="Q682" i="45"/>
  <c r="M682" i="45"/>
  <c r="AT682" i="45"/>
  <c r="AN682" i="45"/>
  <c r="AI682" i="45"/>
  <c r="AD682" i="45"/>
  <c r="X682" i="45"/>
  <c r="S682" i="45"/>
  <c r="N682" i="45"/>
  <c r="AR682" i="45"/>
  <c r="AM682" i="45"/>
  <c r="AH682" i="45"/>
  <c r="AB682" i="45"/>
  <c r="W682" i="45"/>
  <c r="R682" i="45"/>
  <c r="L682" i="45"/>
  <c r="AU682" i="45"/>
  <c r="AP682" i="45"/>
  <c r="AJ682" i="45"/>
  <c r="AE682" i="45"/>
  <c r="Z682" i="45"/>
  <c r="T682" i="45"/>
  <c r="O682" i="45"/>
  <c r="AA682" i="45"/>
  <c r="AL682" i="45"/>
  <c r="P682" i="45"/>
  <c r="AF682" i="45"/>
  <c r="AQ682" i="45"/>
  <c r="V682" i="45"/>
  <c r="B736" i="45"/>
  <c r="AS631" i="45"/>
  <c r="AO631" i="45"/>
  <c r="AK631" i="45"/>
  <c r="AG631" i="45"/>
  <c r="AC631" i="45"/>
  <c r="Y631" i="45"/>
  <c r="U631" i="45"/>
  <c r="Q631" i="45"/>
  <c r="M631" i="45"/>
  <c r="AR631" i="45"/>
  <c r="AN631" i="45"/>
  <c r="AJ631" i="45"/>
  <c r="AF631" i="45"/>
  <c r="AB631" i="45"/>
  <c r="X631" i="45"/>
  <c r="T631" i="45"/>
  <c r="P631" i="45"/>
  <c r="L631" i="45"/>
  <c r="AU631" i="45"/>
  <c r="AQ631" i="45"/>
  <c r="AM631" i="45"/>
  <c r="AI631" i="45"/>
  <c r="AE631" i="45"/>
  <c r="AA631" i="45"/>
  <c r="W631" i="45"/>
  <c r="S631" i="45"/>
  <c r="O631" i="45"/>
  <c r="AT631" i="45"/>
  <c r="AP631" i="45"/>
  <c r="AL631" i="45"/>
  <c r="AH631" i="45"/>
  <c r="AD631" i="45"/>
  <c r="Z631" i="45"/>
  <c r="V631" i="45"/>
  <c r="R631" i="45"/>
  <c r="N631" i="45"/>
  <c r="B763" i="45"/>
  <c r="AT658" i="45"/>
  <c r="AP658" i="45"/>
  <c r="AL658" i="45"/>
  <c r="AH658" i="45"/>
  <c r="AD658" i="45"/>
  <c r="Z658" i="45"/>
  <c r="V658" i="45"/>
  <c r="R658" i="45"/>
  <c r="N658" i="45"/>
  <c r="AS658" i="45"/>
  <c r="AO658" i="45"/>
  <c r="AK658" i="45"/>
  <c r="AG658" i="45"/>
  <c r="AC658" i="45"/>
  <c r="Y658" i="45"/>
  <c r="U658" i="45"/>
  <c r="Q658" i="45"/>
  <c r="M658" i="45"/>
  <c r="AR658" i="45"/>
  <c r="AN658" i="45"/>
  <c r="AJ658" i="45"/>
  <c r="AF658" i="45"/>
  <c r="AB658" i="45"/>
  <c r="X658" i="45"/>
  <c r="T658" i="45"/>
  <c r="P658" i="45"/>
  <c r="L658" i="45"/>
  <c r="AU658" i="45"/>
  <c r="AQ658" i="45"/>
  <c r="AM658" i="45"/>
  <c r="AI658" i="45"/>
  <c r="AE658" i="45"/>
  <c r="AA658" i="45"/>
  <c r="W658" i="45"/>
  <c r="S658" i="45"/>
  <c r="O658" i="45"/>
  <c r="B779" i="45"/>
  <c r="AS674" i="45"/>
  <c r="AO674" i="45"/>
  <c r="AK674" i="45"/>
  <c r="AG674" i="45"/>
  <c r="AC674" i="45"/>
  <c r="Y674" i="45"/>
  <c r="U674" i="45"/>
  <c r="Q674" i="45"/>
  <c r="M674" i="45"/>
  <c r="AQ674" i="45"/>
  <c r="AL674" i="45"/>
  <c r="AF674" i="45"/>
  <c r="AA674" i="45"/>
  <c r="V674" i="45"/>
  <c r="P674" i="45"/>
  <c r="AT674" i="45"/>
  <c r="AN674" i="45"/>
  <c r="AI674" i="45"/>
  <c r="AD674" i="45"/>
  <c r="X674" i="45"/>
  <c r="S674" i="45"/>
  <c r="N674" i="45"/>
  <c r="AR674" i="45"/>
  <c r="AM674" i="45"/>
  <c r="AH674" i="45"/>
  <c r="AB674" i="45"/>
  <c r="W674" i="45"/>
  <c r="R674" i="45"/>
  <c r="L674" i="45"/>
  <c r="AE674" i="45"/>
  <c r="AU674" i="45"/>
  <c r="Z674" i="45"/>
  <c r="AP674" i="45"/>
  <c r="T674" i="45"/>
  <c r="AJ674" i="45"/>
  <c r="O674" i="45"/>
  <c r="B777" i="45"/>
  <c r="AS672" i="45"/>
  <c r="AO672" i="45"/>
  <c r="AK672" i="45"/>
  <c r="AG672" i="45"/>
  <c r="AC672" i="45"/>
  <c r="Y672" i="45"/>
  <c r="U672" i="45"/>
  <c r="Q672" i="45"/>
  <c r="M672" i="45"/>
  <c r="AT672" i="45"/>
  <c r="AN672" i="45"/>
  <c r="AI672" i="45"/>
  <c r="AD672" i="45"/>
  <c r="X672" i="45"/>
  <c r="S672" i="45"/>
  <c r="N672" i="45"/>
  <c r="AQ672" i="45"/>
  <c r="AL672" i="45"/>
  <c r="AF672" i="45"/>
  <c r="AA672" i="45"/>
  <c r="V672" i="45"/>
  <c r="P672" i="45"/>
  <c r="AU672" i="45"/>
  <c r="AP672" i="45"/>
  <c r="AJ672" i="45"/>
  <c r="AE672" i="45"/>
  <c r="Z672" i="45"/>
  <c r="T672" i="45"/>
  <c r="O672" i="45"/>
  <c r="AM672" i="45"/>
  <c r="R672" i="45"/>
  <c r="AH672" i="45"/>
  <c r="L672" i="45"/>
  <c r="AB672" i="45"/>
  <c r="AR672" i="45"/>
  <c r="W672" i="45"/>
  <c r="B795" i="45"/>
  <c r="AS690" i="45"/>
  <c r="AO690" i="45"/>
  <c r="AK690" i="45"/>
  <c r="AG690" i="45"/>
  <c r="AC690" i="45"/>
  <c r="Y690" i="45"/>
  <c r="U690" i="45"/>
  <c r="Q690" i="45"/>
  <c r="M690" i="45"/>
  <c r="AT690" i="45"/>
  <c r="AP690" i="45"/>
  <c r="AL690" i="45"/>
  <c r="AH690" i="45"/>
  <c r="AD690" i="45"/>
  <c r="Z690" i="45"/>
  <c r="V690" i="45"/>
  <c r="R690" i="45"/>
  <c r="N690" i="45"/>
  <c r="AQ690" i="45"/>
  <c r="AI690" i="45"/>
  <c r="AA690" i="45"/>
  <c r="S690" i="45"/>
  <c r="AN690" i="45"/>
  <c r="AF690" i="45"/>
  <c r="X690" i="45"/>
  <c r="P690" i="45"/>
  <c r="AR690" i="45"/>
  <c r="AJ690" i="45"/>
  <c r="AB690" i="45"/>
  <c r="T690" i="45"/>
  <c r="L690" i="45"/>
  <c r="AM690" i="45"/>
  <c r="W690" i="45"/>
  <c r="AU690" i="45"/>
  <c r="O690" i="45"/>
  <c r="AE690" i="45"/>
  <c r="AR802" i="45"/>
  <c r="AN802" i="45"/>
  <c r="AJ802" i="45"/>
  <c r="AF802" i="45"/>
  <c r="AB802" i="45"/>
  <c r="X802" i="45"/>
  <c r="T802" i="45"/>
  <c r="P802" i="45"/>
  <c r="L802" i="45"/>
  <c r="AU802" i="45"/>
  <c r="AQ802" i="45"/>
  <c r="AM802" i="45"/>
  <c r="AI802" i="45"/>
  <c r="AE802" i="45"/>
  <c r="AA802" i="45"/>
  <c r="W802" i="45"/>
  <c r="S802" i="45"/>
  <c r="O802" i="45"/>
  <c r="AT802" i="45"/>
  <c r="AP802" i="45"/>
  <c r="AL802" i="45"/>
  <c r="AH802" i="45"/>
  <c r="AD802" i="45"/>
  <c r="Z802" i="45"/>
  <c r="V802" i="45"/>
  <c r="R802" i="45"/>
  <c r="N802" i="45"/>
  <c r="AG802" i="45"/>
  <c r="Q802" i="45"/>
  <c r="AK802" i="45"/>
  <c r="AS802" i="45"/>
  <c r="AC802" i="45"/>
  <c r="M802" i="45"/>
  <c r="U802" i="45"/>
  <c r="AO802" i="45"/>
  <c r="Y802" i="45"/>
  <c r="B907" i="45"/>
  <c r="H802" i="45"/>
  <c r="J802" i="45" s="1"/>
  <c r="B748" i="45"/>
  <c r="AU643" i="45"/>
  <c r="AQ643" i="45"/>
  <c r="AM643" i="45"/>
  <c r="AI643" i="45"/>
  <c r="AE643" i="45"/>
  <c r="AA643" i="45"/>
  <c r="W643" i="45"/>
  <c r="S643" i="45"/>
  <c r="O643" i="45"/>
  <c r="AT643" i="45"/>
  <c r="AP643" i="45"/>
  <c r="AL643" i="45"/>
  <c r="AH643" i="45"/>
  <c r="AD643" i="45"/>
  <c r="Z643" i="45"/>
  <c r="V643" i="45"/>
  <c r="R643" i="45"/>
  <c r="N643" i="45"/>
  <c r="AS643" i="45"/>
  <c r="AO643" i="45"/>
  <c r="AK643" i="45"/>
  <c r="AG643" i="45"/>
  <c r="AC643" i="45"/>
  <c r="Y643" i="45"/>
  <c r="U643" i="45"/>
  <c r="Q643" i="45"/>
  <c r="M643" i="45"/>
  <c r="AR643" i="45"/>
  <c r="AN643" i="45"/>
  <c r="AJ643" i="45"/>
  <c r="AF643" i="45"/>
  <c r="AB643" i="45"/>
  <c r="X643" i="45"/>
  <c r="T643" i="45"/>
  <c r="P643" i="45"/>
  <c r="L643" i="45"/>
  <c r="B756" i="45"/>
  <c r="AU651" i="45"/>
  <c r="AQ651" i="45"/>
  <c r="AM651" i="45"/>
  <c r="AI651" i="45"/>
  <c r="AE651" i="45"/>
  <c r="AA651" i="45"/>
  <c r="W651" i="45"/>
  <c r="S651" i="45"/>
  <c r="O651" i="45"/>
  <c r="AT651" i="45"/>
  <c r="AP651" i="45"/>
  <c r="AL651" i="45"/>
  <c r="AH651" i="45"/>
  <c r="AD651" i="45"/>
  <c r="Z651" i="45"/>
  <c r="V651" i="45"/>
  <c r="R651" i="45"/>
  <c r="N651" i="45"/>
  <c r="AS651" i="45"/>
  <c r="AO651" i="45"/>
  <c r="AK651" i="45"/>
  <c r="AG651" i="45"/>
  <c r="AC651" i="45"/>
  <c r="Y651" i="45"/>
  <c r="U651" i="45"/>
  <c r="Q651" i="45"/>
  <c r="M651" i="45"/>
  <c r="AR651" i="45"/>
  <c r="AN651" i="45"/>
  <c r="AJ651" i="45"/>
  <c r="AF651" i="45"/>
  <c r="AB651" i="45"/>
  <c r="X651" i="45"/>
  <c r="T651" i="45"/>
  <c r="P651" i="45"/>
  <c r="L651" i="45"/>
  <c r="B733" i="45"/>
  <c r="AS628" i="45"/>
  <c r="AO628" i="45"/>
  <c r="AK628" i="45"/>
  <c r="AG628" i="45"/>
  <c r="AC628" i="45"/>
  <c r="Y628" i="45"/>
  <c r="U628" i="45"/>
  <c r="Q628" i="45"/>
  <c r="M628" i="45"/>
  <c r="AR628" i="45"/>
  <c r="AN628" i="45"/>
  <c r="AJ628" i="45"/>
  <c r="AF628" i="45"/>
  <c r="AB628" i="45"/>
  <c r="X628" i="45"/>
  <c r="T628" i="45"/>
  <c r="P628" i="45"/>
  <c r="L628" i="45"/>
  <c r="AU628" i="45"/>
  <c r="AQ628" i="45"/>
  <c r="AM628" i="45"/>
  <c r="AI628" i="45"/>
  <c r="AE628" i="45"/>
  <c r="AA628" i="45"/>
  <c r="W628" i="45"/>
  <c r="S628" i="45"/>
  <c r="O628" i="45"/>
  <c r="AT628" i="45"/>
  <c r="AP628" i="45"/>
  <c r="AL628" i="45"/>
  <c r="AH628" i="45"/>
  <c r="AD628" i="45"/>
  <c r="Z628" i="45"/>
  <c r="V628" i="45"/>
  <c r="R628" i="45"/>
  <c r="N628" i="45"/>
  <c r="B771" i="45"/>
  <c r="AT666" i="45"/>
  <c r="AP666" i="45"/>
  <c r="AL666" i="45"/>
  <c r="AH666" i="45"/>
  <c r="AD666" i="45"/>
  <c r="Z666" i="45"/>
  <c r="V666" i="45"/>
  <c r="R666" i="45"/>
  <c r="N666" i="45"/>
  <c r="AS666" i="45"/>
  <c r="AO666" i="45"/>
  <c r="AK666" i="45"/>
  <c r="AG666" i="45"/>
  <c r="AC666" i="45"/>
  <c r="Y666" i="45"/>
  <c r="U666" i="45"/>
  <c r="Q666" i="45"/>
  <c r="M666" i="45"/>
  <c r="AR666" i="45"/>
  <c r="AN666" i="45"/>
  <c r="AJ666" i="45"/>
  <c r="AF666" i="45"/>
  <c r="AB666" i="45"/>
  <c r="X666" i="45"/>
  <c r="T666" i="45"/>
  <c r="P666" i="45"/>
  <c r="L666" i="45"/>
  <c r="AU666" i="45"/>
  <c r="AQ666" i="45"/>
  <c r="AM666" i="45"/>
  <c r="AI666" i="45"/>
  <c r="AE666" i="45"/>
  <c r="AA666" i="45"/>
  <c r="W666" i="45"/>
  <c r="S666" i="45"/>
  <c r="O666" i="45"/>
  <c r="B734" i="45"/>
  <c r="AS629" i="45"/>
  <c r="AO629" i="45"/>
  <c r="AK629" i="45"/>
  <c r="AG629" i="45"/>
  <c r="AC629" i="45"/>
  <c r="Y629" i="45"/>
  <c r="U629" i="45"/>
  <c r="Q629" i="45"/>
  <c r="M629" i="45"/>
  <c r="AR629" i="45"/>
  <c r="AN629" i="45"/>
  <c r="AJ629" i="45"/>
  <c r="AF629" i="45"/>
  <c r="AB629" i="45"/>
  <c r="X629" i="45"/>
  <c r="T629" i="45"/>
  <c r="P629" i="45"/>
  <c r="L629" i="45"/>
  <c r="AU629" i="45"/>
  <c r="AQ629" i="45"/>
  <c r="AM629" i="45"/>
  <c r="AI629" i="45"/>
  <c r="AE629" i="45"/>
  <c r="AA629" i="45"/>
  <c r="W629" i="45"/>
  <c r="S629" i="45"/>
  <c r="O629" i="45"/>
  <c r="AT629" i="45"/>
  <c r="AP629" i="45"/>
  <c r="AL629" i="45"/>
  <c r="AH629" i="45"/>
  <c r="AD629" i="45"/>
  <c r="Z629" i="45"/>
  <c r="V629" i="45"/>
  <c r="R629" i="45"/>
  <c r="N629" i="45"/>
  <c r="AR804" i="45"/>
  <c r="AN804" i="45"/>
  <c r="AJ804" i="45"/>
  <c r="AF804" i="45"/>
  <c r="AB804" i="45"/>
  <c r="X804" i="45"/>
  <c r="T804" i="45"/>
  <c r="P804" i="45"/>
  <c r="L804" i="45"/>
  <c r="AU804" i="45"/>
  <c r="AQ804" i="45"/>
  <c r="AM804" i="45"/>
  <c r="AI804" i="45"/>
  <c r="AE804" i="45"/>
  <c r="AA804" i="45"/>
  <c r="W804" i="45"/>
  <c r="S804" i="45"/>
  <c r="O804" i="45"/>
  <c r="AT804" i="45"/>
  <c r="AP804" i="45"/>
  <c r="AL804" i="45"/>
  <c r="AH804" i="45"/>
  <c r="AD804" i="45"/>
  <c r="Z804" i="45"/>
  <c r="V804" i="45"/>
  <c r="R804" i="45"/>
  <c r="N804" i="45"/>
  <c r="AO804" i="45"/>
  <c r="Y804" i="45"/>
  <c r="M804" i="45"/>
  <c r="AK804" i="45"/>
  <c r="U804" i="45"/>
  <c r="AC804" i="45"/>
  <c r="AG804" i="45"/>
  <c r="Q804" i="45"/>
  <c r="AS804" i="45"/>
  <c r="H804" i="45"/>
  <c r="J804" i="45" s="1"/>
  <c r="B909" i="45"/>
  <c r="B752" i="45"/>
  <c r="AU647" i="45"/>
  <c r="AQ647" i="45"/>
  <c r="AM647" i="45"/>
  <c r="AI647" i="45"/>
  <c r="AE647" i="45"/>
  <c r="AA647" i="45"/>
  <c r="W647" i="45"/>
  <c r="S647" i="45"/>
  <c r="O647" i="45"/>
  <c r="AT647" i="45"/>
  <c r="AP647" i="45"/>
  <c r="AL647" i="45"/>
  <c r="AH647" i="45"/>
  <c r="AD647" i="45"/>
  <c r="Z647" i="45"/>
  <c r="V647" i="45"/>
  <c r="R647" i="45"/>
  <c r="N647" i="45"/>
  <c r="AS647" i="45"/>
  <c r="AO647" i="45"/>
  <c r="AK647" i="45"/>
  <c r="AG647" i="45"/>
  <c r="AC647" i="45"/>
  <c r="Y647" i="45"/>
  <c r="U647" i="45"/>
  <c r="Q647" i="45"/>
  <c r="M647" i="45"/>
  <c r="AR647" i="45"/>
  <c r="AN647" i="45"/>
  <c r="AJ647" i="45"/>
  <c r="AF647" i="45"/>
  <c r="AB647" i="45"/>
  <c r="X647" i="45"/>
  <c r="T647" i="45"/>
  <c r="P647" i="45"/>
  <c r="L647" i="45"/>
  <c r="B713" i="45"/>
  <c r="AS608" i="45"/>
  <c r="AO608" i="45"/>
  <c r="AK608" i="45"/>
  <c r="AG608" i="45"/>
  <c r="AC608" i="45"/>
  <c r="Y608" i="45"/>
  <c r="U608" i="45"/>
  <c r="Q608" i="45"/>
  <c r="M608" i="45"/>
  <c r="AR608" i="45"/>
  <c r="AN608" i="45"/>
  <c r="AJ608" i="45"/>
  <c r="AF608" i="45"/>
  <c r="AB608" i="45"/>
  <c r="X608" i="45"/>
  <c r="T608" i="45"/>
  <c r="P608" i="45"/>
  <c r="L608" i="45"/>
  <c r="AU608" i="45"/>
  <c r="AQ608" i="45"/>
  <c r="AM608" i="45"/>
  <c r="AI608" i="45"/>
  <c r="AE608" i="45"/>
  <c r="AA608" i="45"/>
  <c r="W608" i="45"/>
  <c r="S608" i="45"/>
  <c r="O608" i="45"/>
  <c r="AT608" i="45"/>
  <c r="AP608" i="45"/>
  <c r="AL608" i="45"/>
  <c r="AH608" i="45"/>
  <c r="AD608" i="45"/>
  <c r="Z608" i="45"/>
  <c r="V608" i="45"/>
  <c r="R608" i="45"/>
  <c r="N608" i="45"/>
  <c r="B715" i="45"/>
  <c r="AS610" i="45"/>
  <c r="AO610" i="45"/>
  <c r="AK610" i="45"/>
  <c r="AG610" i="45"/>
  <c r="AC610" i="45"/>
  <c r="Y610" i="45"/>
  <c r="U610" i="45"/>
  <c r="Q610" i="45"/>
  <c r="M610" i="45"/>
  <c r="AR610" i="45"/>
  <c r="AN610" i="45"/>
  <c r="AJ610" i="45"/>
  <c r="AF610" i="45"/>
  <c r="AB610" i="45"/>
  <c r="X610" i="45"/>
  <c r="T610" i="45"/>
  <c r="P610" i="45"/>
  <c r="L610" i="45"/>
  <c r="AU610" i="45"/>
  <c r="AQ610" i="45"/>
  <c r="AM610" i="45"/>
  <c r="AI610" i="45"/>
  <c r="AE610" i="45"/>
  <c r="AA610" i="45"/>
  <c r="W610" i="45"/>
  <c r="S610" i="45"/>
  <c r="O610" i="45"/>
  <c r="AT610" i="45"/>
  <c r="AP610" i="45"/>
  <c r="AL610" i="45"/>
  <c r="AH610" i="45"/>
  <c r="AD610" i="45"/>
  <c r="Z610" i="45"/>
  <c r="V610" i="45"/>
  <c r="R610" i="45"/>
  <c r="N610" i="45"/>
  <c r="B737" i="45"/>
  <c r="AS632" i="45"/>
  <c r="AO632" i="45"/>
  <c r="AK632" i="45"/>
  <c r="AG632" i="45"/>
  <c r="AC632" i="45"/>
  <c r="Y632" i="45"/>
  <c r="U632" i="45"/>
  <c r="Q632" i="45"/>
  <c r="M632" i="45"/>
  <c r="AR632" i="45"/>
  <c r="AN632" i="45"/>
  <c r="AJ632" i="45"/>
  <c r="AF632" i="45"/>
  <c r="AB632" i="45"/>
  <c r="X632" i="45"/>
  <c r="T632" i="45"/>
  <c r="P632" i="45"/>
  <c r="L632" i="45"/>
  <c r="AU632" i="45"/>
  <c r="AQ632" i="45"/>
  <c r="AM632" i="45"/>
  <c r="AI632" i="45"/>
  <c r="AE632" i="45"/>
  <c r="AA632" i="45"/>
  <c r="W632" i="45"/>
  <c r="S632" i="45"/>
  <c r="O632" i="45"/>
  <c r="AT632" i="45"/>
  <c r="AP632" i="45"/>
  <c r="AL632" i="45"/>
  <c r="AH632" i="45"/>
  <c r="AD632" i="45"/>
  <c r="Z632" i="45"/>
  <c r="V632" i="45"/>
  <c r="R632" i="45"/>
  <c r="N632" i="45"/>
  <c r="B746" i="45"/>
  <c r="AU641" i="45"/>
  <c r="AQ641" i="45"/>
  <c r="AM641" i="45"/>
  <c r="AI641" i="45"/>
  <c r="AE641" i="45"/>
  <c r="AA641" i="45"/>
  <c r="W641" i="45"/>
  <c r="S641" i="45"/>
  <c r="O641" i="45"/>
  <c r="AT641" i="45"/>
  <c r="AP641" i="45"/>
  <c r="AL641" i="45"/>
  <c r="AH641" i="45"/>
  <c r="AD641" i="45"/>
  <c r="Z641" i="45"/>
  <c r="V641" i="45"/>
  <c r="R641" i="45"/>
  <c r="N641" i="45"/>
  <c r="AS641" i="45"/>
  <c r="AO641" i="45"/>
  <c r="AK641" i="45"/>
  <c r="AG641" i="45"/>
  <c r="AC641" i="45"/>
  <c r="Y641" i="45"/>
  <c r="U641" i="45"/>
  <c r="Q641" i="45"/>
  <c r="M641" i="45"/>
  <c r="AR641" i="45"/>
  <c r="AN641" i="45"/>
  <c r="AJ641" i="45"/>
  <c r="AF641" i="45"/>
  <c r="AB641" i="45"/>
  <c r="X641" i="45"/>
  <c r="T641" i="45"/>
  <c r="P641" i="45"/>
  <c r="L641" i="45"/>
  <c r="B754" i="45"/>
  <c r="AU649" i="45"/>
  <c r="AQ649" i="45"/>
  <c r="AM649" i="45"/>
  <c r="AI649" i="45"/>
  <c r="AE649" i="45"/>
  <c r="AA649" i="45"/>
  <c r="W649" i="45"/>
  <c r="S649" i="45"/>
  <c r="O649" i="45"/>
  <c r="AT649" i="45"/>
  <c r="AP649" i="45"/>
  <c r="AL649" i="45"/>
  <c r="AH649" i="45"/>
  <c r="AD649" i="45"/>
  <c r="Z649" i="45"/>
  <c r="V649" i="45"/>
  <c r="R649" i="45"/>
  <c r="N649" i="45"/>
  <c r="AS649" i="45"/>
  <c r="AO649" i="45"/>
  <c r="AK649" i="45"/>
  <c r="AG649" i="45"/>
  <c r="AC649" i="45"/>
  <c r="Y649" i="45"/>
  <c r="U649" i="45"/>
  <c r="Q649" i="45"/>
  <c r="M649" i="45"/>
  <c r="AR649" i="45"/>
  <c r="AN649" i="45"/>
  <c r="AJ649" i="45"/>
  <c r="AF649" i="45"/>
  <c r="AB649" i="45"/>
  <c r="X649" i="45"/>
  <c r="T649" i="45"/>
  <c r="P649" i="45"/>
  <c r="L649" i="45"/>
  <c r="B776" i="45"/>
  <c r="AS671" i="45"/>
  <c r="AO671" i="45"/>
  <c r="AK671" i="45"/>
  <c r="AG671" i="45"/>
  <c r="AC671" i="45"/>
  <c r="Y671" i="45"/>
  <c r="AR671" i="45"/>
  <c r="AM671" i="45"/>
  <c r="AH671" i="45"/>
  <c r="AB671" i="45"/>
  <c r="W671" i="45"/>
  <c r="S671" i="45"/>
  <c r="O671" i="45"/>
  <c r="AU671" i="45"/>
  <c r="AP671" i="45"/>
  <c r="AJ671" i="45"/>
  <c r="AE671" i="45"/>
  <c r="Z671" i="45"/>
  <c r="U671" i="45"/>
  <c r="Q671" i="45"/>
  <c r="M671" i="45"/>
  <c r="AT671" i="45"/>
  <c r="AN671" i="45"/>
  <c r="AI671" i="45"/>
  <c r="AD671" i="45"/>
  <c r="X671" i="45"/>
  <c r="T671" i="45"/>
  <c r="P671" i="45"/>
  <c r="L671" i="45"/>
  <c r="AF671" i="45"/>
  <c r="N671" i="45"/>
  <c r="AA671" i="45"/>
  <c r="AQ671" i="45"/>
  <c r="V671" i="45"/>
  <c r="AL671" i="45"/>
  <c r="R671" i="45"/>
  <c r="B735" i="45"/>
  <c r="AS630" i="45"/>
  <c r="AO630" i="45"/>
  <c r="AK630" i="45"/>
  <c r="AG630" i="45"/>
  <c r="AC630" i="45"/>
  <c r="Y630" i="45"/>
  <c r="U630" i="45"/>
  <c r="Q630" i="45"/>
  <c r="M630" i="45"/>
  <c r="AR630" i="45"/>
  <c r="AN630" i="45"/>
  <c r="AJ630" i="45"/>
  <c r="AF630" i="45"/>
  <c r="AB630" i="45"/>
  <c r="X630" i="45"/>
  <c r="T630" i="45"/>
  <c r="P630" i="45"/>
  <c r="L630" i="45"/>
  <c r="AU630" i="45"/>
  <c r="AQ630" i="45"/>
  <c r="AM630" i="45"/>
  <c r="AI630" i="45"/>
  <c r="AE630" i="45"/>
  <c r="AA630" i="45"/>
  <c r="W630" i="45"/>
  <c r="S630" i="45"/>
  <c r="O630" i="45"/>
  <c r="AT630" i="45"/>
  <c r="AP630" i="45"/>
  <c r="AL630" i="45"/>
  <c r="AH630" i="45"/>
  <c r="AD630" i="45"/>
  <c r="Z630" i="45"/>
  <c r="V630" i="45"/>
  <c r="R630" i="45"/>
  <c r="N630" i="45"/>
  <c r="B723" i="45"/>
  <c r="AS618" i="45"/>
  <c r="AO618" i="45"/>
  <c r="AK618" i="45"/>
  <c r="AG618" i="45"/>
  <c r="AC618" i="45"/>
  <c r="Y618" i="45"/>
  <c r="U618" i="45"/>
  <c r="Q618" i="45"/>
  <c r="M618" i="45"/>
  <c r="AR618" i="45"/>
  <c r="AN618" i="45"/>
  <c r="AJ618" i="45"/>
  <c r="AF618" i="45"/>
  <c r="AB618" i="45"/>
  <c r="X618" i="45"/>
  <c r="T618" i="45"/>
  <c r="P618" i="45"/>
  <c r="L618" i="45"/>
  <c r="AU618" i="45"/>
  <c r="AQ618" i="45"/>
  <c r="AM618" i="45"/>
  <c r="AI618" i="45"/>
  <c r="AE618" i="45"/>
  <c r="AA618" i="45"/>
  <c r="W618" i="45"/>
  <c r="S618" i="45"/>
  <c r="O618" i="45"/>
  <c r="AT618" i="45"/>
  <c r="AP618" i="45"/>
  <c r="AL618" i="45"/>
  <c r="AH618" i="45"/>
  <c r="AD618" i="45"/>
  <c r="Z618" i="45"/>
  <c r="V618" i="45"/>
  <c r="R618" i="45"/>
  <c r="N618" i="45"/>
  <c r="B662" i="45"/>
  <c r="AR557" i="45"/>
  <c r="AN557" i="45"/>
  <c r="AJ557" i="45"/>
  <c r="AF557" i="45"/>
  <c r="AB557" i="45"/>
  <c r="X557" i="45"/>
  <c r="T557" i="45"/>
  <c r="P557" i="45"/>
  <c r="L557" i="45"/>
  <c r="AU557" i="45"/>
  <c r="AQ557" i="45"/>
  <c r="AM557" i="45"/>
  <c r="AI557" i="45"/>
  <c r="AE557" i="45"/>
  <c r="AA557" i="45"/>
  <c r="W557" i="45"/>
  <c r="S557" i="45"/>
  <c r="O557" i="45"/>
  <c r="AT557" i="45"/>
  <c r="AP557" i="45"/>
  <c r="AL557" i="45"/>
  <c r="AH557" i="45"/>
  <c r="AD557" i="45"/>
  <c r="Z557" i="45"/>
  <c r="V557" i="45"/>
  <c r="R557" i="45"/>
  <c r="N557" i="45"/>
  <c r="AO557" i="45"/>
  <c r="Y557" i="45"/>
  <c r="M557" i="45"/>
  <c r="AK557" i="45"/>
  <c r="U557" i="45"/>
  <c r="AS557" i="45"/>
  <c r="AG557" i="45"/>
  <c r="Q557" i="45"/>
  <c r="AC557" i="45"/>
  <c r="B761" i="45"/>
  <c r="AT656" i="45"/>
  <c r="AP656" i="45"/>
  <c r="AL656" i="45"/>
  <c r="AH656" i="45"/>
  <c r="AD656" i="45"/>
  <c r="Z656" i="45"/>
  <c r="V656" i="45"/>
  <c r="R656" i="45"/>
  <c r="N656" i="45"/>
  <c r="AS656" i="45"/>
  <c r="AO656" i="45"/>
  <c r="AK656" i="45"/>
  <c r="AG656" i="45"/>
  <c r="AC656" i="45"/>
  <c r="Y656" i="45"/>
  <c r="U656" i="45"/>
  <c r="Q656" i="45"/>
  <c r="M656" i="45"/>
  <c r="AR656" i="45"/>
  <c r="AN656" i="45"/>
  <c r="AJ656" i="45"/>
  <c r="AF656" i="45"/>
  <c r="AB656" i="45"/>
  <c r="X656" i="45"/>
  <c r="T656" i="45"/>
  <c r="P656" i="45"/>
  <c r="L656" i="45"/>
  <c r="AU656" i="45"/>
  <c r="AQ656" i="45"/>
  <c r="AM656" i="45"/>
  <c r="AI656" i="45"/>
  <c r="AE656" i="45"/>
  <c r="AA656" i="45"/>
  <c r="W656" i="45"/>
  <c r="S656" i="45"/>
  <c r="O656" i="45"/>
  <c r="B764" i="45"/>
  <c r="AT659" i="45"/>
  <c r="AP659" i="45"/>
  <c r="AL659" i="45"/>
  <c r="AH659" i="45"/>
  <c r="AD659" i="45"/>
  <c r="Z659" i="45"/>
  <c r="V659" i="45"/>
  <c r="R659" i="45"/>
  <c r="N659" i="45"/>
  <c r="AS659" i="45"/>
  <c r="AO659" i="45"/>
  <c r="AK659" i="45"/>
  <c r="AG659" i="45"/>
  <c r="AC659" i="45"/>
  <c r="Y659" i="45"/>
  <c r="U659" i="45"/>
  <c r="Q659" i="45"/>
  <c r="M659" i="45"/>
  <c r="AR659" i="45"/>
  <c r="AN659" i="45"/>
  <c r="AJ659" i="45"/>
  <c r="AF659" i="45"/>
  <c r="AB659" i="45"/>
  <c r="X659" i="45"/>
  <c r="T659" i="45"/>
  <c r="P659" i="45"/>
  <c r="L659" i="45"/>
  <c r="AU659" i="45"/>
  <c r="AQ659" i="45"/>
  <c r="AM659" i="45"/>
  <c r="AI659" i="45"/>
  <c r="AE659" i="45"/>
  <c r="AA659" i="45"/>
  <c r="W659" i="45"/>
  <c r="S659" i="45"/>
  <c r="O659" i="45"/>
  <c r="B721" i="45"/>
  <c r="AS616" i="45"/>
  <c r="AO616" i="45"/>
  <c r="AK616" i="45"/>
  <c r="AG616" i="45"/>
  <c r="AC616" i="45"/>
  <c r="Y616" i="45"/>
  <c r="U616" i="45"/>
  <c r="Q616" i="45"/>
  <c r="M616" i="45"/>
  <c r="AR616" i="45"/>
  <c r="AN616" i="45"/>
  <c r="AJ616" i="45"/>
  <c r="AF616" i="45"/>
  <c r="AB616" i="45"/>
  <c r="X616" i="45"/>
  <c r="T616" i="45"/>
  <c r="P616" i="45"/>
  <c r="L616" i="45"/>
  <c r="AU616" i="45"/>
  <c r="AQ616" i="45"/>
  <c r="AM616" i="45"/>
  <c r="AI616" i="45"/>
  <c r="AE616" i="45"/>
  <c r="AA616" i="45"/>
  <c r="W616" i="45"/>
  <c r="S616" i="45"/>
  <c r="O616" i="45"/>
  <c r="AT616" i="45"/>
  <c r="AP616" i="45"/>
  <c r="AL616" i="45"/>
  <c r="AH616" i="45"/>
  <c r="AD616" i="45"/>
  <c r="Z616" i="45"/>
  <c r="V616" i="45"/>
  <c r="R616" i="45"/>
  <c r="N616" i="45"/>
  <c r="B789" i="45"/>
  <c r="AS684" i="45"/>
  <c r="AO684" i="45"/>
  <c r="AK684" i="45"/>
  <c r="AG684" i="45"/>
  <c r="AC684" i="45"/>
  <c r="Y684" i="45"/>
  <c r="U684" i="45"/>
  <c r="Q684" i="45"/>
  <c r="M684" i="45"/>
  <c r="AT684" i="45"/>
  <c r="AP684" i="45"/>
  <c r="AL684" i="45"/>
  <c r="AH684" i="45"/>
  <c r="AD684" i="45"/>
  <c r="Z684" i="45"/>
  <c r="V684" i="45"/>
  <c r="R684" i="45"/>
  <c r="N684" i="45"/>
  <c r="AQ684" i="45"/>
  <c r="AI684" i="45"/>
  <c r="AA684" i="45"/>
  <c r="S684" i="45"/>
  <c r="AN684" i="45"/>
  <c r="AF684" i="45"/>
  <c r="X684" i="45"/>
  <c r="P684" i="45"/>
  <c r="AR684" i="45"/>
  <c r="AJ684" i="45"/>
  <c r="AB684" i="45"/>
  <c r="T684" i="45"/>
  <c r="L684" i="45"/>
  <c r="AE684" i="45"/>
  <c r="AU684" i="45"/>
  <c r="O684" i="45"/>
  <c r="AM684" i="45"/>
  <c r="W684" i="45"/>
  <c r="B727" i="45"/>
  <c r="AS622" i="45"/>
  <c r="AO622" i="45"/>
  <c r="AK622" i="45"/>
  <c r="AG622" i="45"/>
  <c r="AC622" i="45"/>
  <c r="Y622" i="45"/>
  <c r="U622" i="45"/>
  <c r="Q622" i="45"/>
  <c r="M622" i="45"/>
  <c r="AR622" i="45"/>
  <c r="AN622" i="45"/>
  <c r="AJ622" i="45"/>
  <c r="AF622" i="45"/>
  <c r="AB622" i="45"/>
  <c r="X622" i="45"/>
  <c r="T622" i="45"/>
  <c r="P622" i="45"/>
  <c r="L622" i="45"/>
  <c r="AU622" i="45"/>
  <c r="AQ622" i="45"/>
  <c r="AM622" i="45"/>
  <c r="AI622" i="45"/>
  <c r="AE622" i="45"/>
  <c r="AA622" i="45"/>
  <c r="W622" i="45"/>
  <c r="S622" i="45"/>
  <c r="O622" i="45"/>
  <c r="AT622" i="45"/>
  <c r="AP622" i="45"/>
  <c r="AL622" i="45"/>
  <c r="AH622" i="45"/>
  <c r="AD622" i="45"/>
  <c r="Z622" i="45"/>
  <c r="V622" i="45"/>
  <c r="R622" i="45"/>
  <c r="N622" i="45"/>
  <c r="B780" i="45"/>
  <c r="AS675" i="45"/>
  <c r="AO675" i="45"/>
  <c r="AK675" i="45"/>
  <c r="AG675" i="45"/>
  <c r="AC675" i="45"/>
  <c r="Y675" i="45"/>
  <c r="U675" i="45"/>
  <c r="Q675" i="45"/>
  <c r="M675" i="45"/>
  <c r="AR675" i="45"/>
  <c r="AM675" i="45"/>
  <c r="AH675" i="45"/>
  <c r="AB675" i="45"/>
  <c r="W675" i="45"/>
  <c r="R675" i="45"/>
  <c r="L675" i="45"/>
  <c r="AU675" i="45"/>
  <c r="AP675" i="45"/>
  <c r="AJ675" i="45"/>
  <c r="AE675" i="45"/>
  <c r="Z675" i="45"/>
  <c r="T675" i="45"/>
  <c r="O675" i="45"/>
  <c r="AT675" i="45"/>
  <c r="AN675" i="45"/>
  <c r="AI675" i="45"/>
  <c r="AD675" i="45"/>
  <c r="X675" i="45"/>
  <c r="S675" i="45"/>
  <c r="N675" i="45"/>
  <c r="AL675" i="45"/>
  <c r="P675" i="45"/>
  <c r="AF675" i="45"/>
  <c r="AA675" i="45"/>
  <c r="AQ675" i="45"/>
  <c r="V675" i="45"/>
  <c r="B758" i="45"/>
  <c r="AS653" i="45"/>
  <c r="AO653" i="45"/>
  <c r="AK653" i="45"/>
  <c r="AG653" i="45"/>
  <c r="AC653" i="45"/>
  <c r="Y653" i="45"/>
  <c r="U653" i="45"/>
  <c r="Q653" i="45"/>
  <c r="AU653" i="45"/>
  <c r="AQ653" i="45"/>
  <c r="AM653" i="45"/>
  <c r="AI653" i="45"/>
  <c r="AE653" i="45"/>
  <c r="AA653" i="45"/>
  <c r="W653" i="45"/>
  <c r="S653" i="45"/>
  <c r="AT653" i="45"/>
  <c r="AL653" i="45"/>
  <c r="AD653" i="45"/>
  <c r="V653" i="45"/>
  <c r="O653" i="45"/>
  <c r="AR653" i="45"/>
  <c r="AJ653" i="45"/>
  <c r="AB653" i="45"/>
  <c r="T653" i="45"/>
  <c r="N653" i="45"/>
  <c r="AP653" i="45"/>
  <c r="AH653" i="45"/>
  <c r="Z653" i="45"/>
  <c r="R653" i="45"/>
  <c r="M653" i="45"/>
  <c r="AN653" i="45"/>
  <c r="AF653" i="45"/>
  <c r="X653" i="45"/>
  <c r="P653" i="45"/>
  <c r="L653" i="45"/>
  <c r="AR801" i="45"/>
  <c r="AN801" i="45"/>
  <c r="AJ801" i="45"/>
  <c r="AF801" i="45"/>
  <c r="AB801" i="45"/>
  <c r="X801" i="45"/>
  <c r="T801" i="45"/>
  <c r="P801" i="45"/>
  <c r="L801" i="45"/>
  <c r="AU801" i="45"/>
  <c r="AQ801" i="45"/>
  <c r="AM801" i="45"/>
  <c r="AI801" i="45"/>
  <c r="AE801" i="45"/>
  <c r="AA801" i="45"/>
  <c r="W801" i="45"/>
  <c r="S801" i="45"/>
  <c r="O801" i="45"/>
  <c r="AT801" i="45"/>
  <c r="AP801" i="45"/>
  <c r="AL801" i="45"/>
  <c r="AH801" i="45"/>
  <c r="AD801" i="45"/>
  <c r="Z801" i="45"/>
  <c r="V801" i="45"/>
  <c r="R801" i="45"/>
  <c r="N801" i="45"/>
  <c r="AK801" i="45"/>
  <c r="U801" i="45"/>
  <c r="Y801" i="45"/>
  <c r="AG801" i="45"/>
  <c r="Q801" i="45"/>
  <c r="AS801" i="45"/>
  <c r="AC801" i="45"/>
  <c r="M801" i="45"/>
  <c r="AO801" i="45"/>
  <c r="H801" i="45"/>
  <c r="J801" i="45" s="1"/>
  <c r="B906" i="45"/>
  <c r="B745" i="45"/>
  <c r="AU640" i="45"/>
  <c r="AQ640" i="45"/>
  <c r="AM640" i="45"/>
  <c r="AI640" i="45"/>
  <c r="AE640" i="45"/>
  <c r="AA640" i="45"/>
  <c r="W640" i="45"/>
  <c r="S640" i="45"/>
  <c r="O640" i="45"/>
  <c r="AT640" i="45"/>
  <c r="AP640" i="45"/>
  <c r="AL640" i="45"/>
  <c r="AH640" i="45"/>
  <c r="AD640" i="45"/>
  <c r="Z640" i="45"/>
  <c r="V640" i="45"/>
  <c r="R640" i="45"/>
  <c r="N640" i="45"/>
  <c r="AS640" i="45"/>
  <c r="AO640" i="45"/>
  <c r="AK640" i="45"/>
  <c r="AG640" i="45"/>
  <c r="AC640" i="45"/>
  <c r="Y640" i="45"/>
  <c r="U640" i="45"/>
  <c r="Q640" i="45"/>
  <c r="M640" i="45"/>
  <c r="AR640" i="45"/>
  <c r="AN640" i="45"/>
  <c r="AJ640" i="45"/>
  <c r="AF640" i="45"/>
  <c r="AB640" i="45"/>
  <c r="X640" i="45"/>
  <c r="T640" i="45"/>
  <c r="P640" i="45"/>
  <c r="L640" i="45"/>
  <c r="B739" i="45"/>
  <c r="AS634" i="45"/>
  <c r="AO634" i="45"/>
  <c r="AK634" i="45"/>
  <c r="AG634" i="45"/>
  <c r="AC634" i="45"/>
  <c r="Y634" i="45"/>
  <c r="U634" i="45"/>
  <c r="Q634" i="45"/>
  <c r="M634" i="45"/>
  <c r="AR634" i="45"/>
  <c r="AN634" i="45"/>
  <c r="AJ634" i="45"/>
  <c r="AF634" i="45"/>
  <c r="AB634" i="45"/>
  <c r="X634" i="45"/>
  <c r="T634" i="45"/>
  <c r="P634" i="45"/>
  <c r="L634" i="45"/>
  <c r="AU634" i="45"/>
  <c r="AQ634" i="45"/>
  <c r="AM634" i="45"/>
  <c r="AI634" i="45"/>
  <c r="AE634" i="45"/>
  <c r="AA634" i="45"/>
  <c r="W634" i="45"/>
  <c r="S634" i="45"/>
  <c r="O634" i="45"/>
  <c r="AT634" i="45"/>
  <c r="AP634" i="45"/>
  <c r="AL634" i="45"/>
  <c r="AH634" i="45"/>
  <c r="AD634" i="45"/>
  <c r="Z634" i="45"/>
  <c r="V634" i="45"/>
  <c r="R634" i="45"/>
  <c r="N634" i="45"/>
  <c r="B716" i="45"/>
  <c r="AS611" i="45"/>
  <c r="AO611" i="45"/>
  <c r="AK611" i="45"/>
  <c r="AG611" i="45"/>
  <c r="AC611" i="45"/>
  <c r="Y611" i="45"/>
  <c r="U611" i="45"/>
  <c r="Q611" i="45"/>
  <c r="M611" i="45"/>
  <c r="AR611" i="45"/>
  <c r="AN611" i="45"/>
  <c r="AJ611" i="45"/>
  <c r="AF611" i="45"/>
  <c r="AB611" i="45"/>
  <c r="X611" i="45"/>
  <c r="T611" i="45"/>
  <c r="P611" i="45"/>
  <c r="L611" i="45"/>
  <c r="AU611" i="45"/>
  <c r="AQ611" i="45"/>
  <c r="AM611" i="45"/>
  <c r="AI611" i="45"/>
  <c r="AE611" i="45"/>
  <c r="AA611" i="45"/>
  <c r="W611" i="45"/>
  <c r="S611" i="45"/>
  <c r="O611" i="45"/>
  <c r="AT611" i="45"/>
  <c r="AP611" i="45"/>
  <c r="AL611" i="45"/>
  <c r="AH611" i="45"/>
  <c r="AD611" i="45"/>
  <c r="Z611" i="45"/>
  <c r="V611" i="45"/>
  <c r="R611" i="45"/>
  <c r="N611" i="45"/>
  <c r="B782" i="45"/>
  <c r="AS677" i="45"/>
  <c r="AO677" i="45"/>
  <c r="AK677" i="45"/>
  <c r="AG677" i="45"/>
  <c r="AC677" i="45"/>
  <c r="Y677" i="45"/>
  <c r="U677" i="45"/>
  <c r="Q677" i="45"/>
  <c r="M677" i="45"/>
  <c r="AU677" i="45"/>
  <c r="AP677" i="45"/>
  <c r="AJ677" i="45"/>
  <c r="AE677" i="45"/>
  <c r="Z677" i="45"/>
  <c r="T677" i="45"/>
  <c r="O677" i="45"/>
  <c r="AR677" i="45"/>
  <c r="AM677" i="45"/>
  <c r="AH677" i="45"/>
  <c r="AB677" i="45"/>
  <c r="W677" i="45"/>
  <c r="R677" i="45"/>
  <c r="L677" i="45"/>
  <c r="AQ677" i="45"/>
  <c r="AL677" i="45"/>
  <c r="AF677" i="45"/>
  <c r="AA677" i="45"/>
  <c r="V677" i="45"/>
  <c r="P677" i="45"/>
  <c r="AD677" i="45"/>
  <c r="AT677" i="45"/>
  <c r="X677" i="45"/>
  <c r="AN677" i="45"/>
  <c r="S677" i="45"/>
  <c r="AI677" i="45"/>
  <c r="N677" i="45"/>
  <c r="B741" i="45"/>
  <c r="AU636" i="45"/>
  <c r="AQ636" i="45"/>
  <c r="AM636" i="45"/>
  <c r="AI636" i="45"/>
  <c r="AE636" i="45"/>
  <c r="AA636" i="45"/>
  <c r="W636" i="45"/>
  <c r="S636" i="45"/>
  <c r="O636" i="45"/>
  <c r="AT636" i="45"/>
  <c r="AP636" i="45"/>
  <c r="AL636" i="45"/>
  <c r="AH636" i="45"/>
  <c r="AD636" i="45"/>
  <c r="Z636" i="45"/>
  <c r="V636" i="45"/>
  <c r="R636" i="45"/>
  <c r="N636" i="45"/>
  <c r="AS636" i="45"/>
  <c r="AO636" i="45"/>
  <c r="AK636" i="45"/>
  <c r="AG636" i="45"/>
  <c r="AC636" i="45"/>
  <c r="Y636" i="45"/>
  <c r="U636" i="45"/>
  <c r="Q636" i="45"/>
  <c r="M636" i="45"/>
  <c r="AR636" i="45"/>
  <c r="AN636" i="45"/>
  <c r="AJ636" i="45"/>
  <c r="AF636" i="45"/>
  <c r="AB636" i="45"/>
  <c r="X636" i="45"/>
  <c r="T636" i="45"/>
  <c r="P636" i="45"/>
  <c r="L636" i="45"/>
  <c r="AR800" i="45"/>
  <c r="AN800" i="45"/>
  <c r="AJ800" i="45"/>
  <c r="AF800" i="45"/>
  <c r="AB800" i="45"/>
  <c r="X800" i="45"/>
  <c r="T800" i="45"/>
  <c r="P800" i="45"/>
  <c r="L800" i="45"/>
  <c r="AU800" i="45"/>
  <c r="AQ800" i="45"/>
  <c r="AM800" i="45"/>
  <c r="AI800" i="45"/>
  <c r="AE800" i="45"/>
  <c r="AA800" i="45"/>
  <c r="W800" i="45"/>
  <c r="S800" i="45"/>
  <c r="O800" i="45"/>
  <c r="AT800" i="45"/>
  <c r="AP800" i="45"/>
  <c r="AL800" i="45"/>
  <c r="AH800" i="45"/>
  <c r="AD800" i="45"/>
  <c r="Z800" i="45"/>
  <c r="V800" i="45"/>
  <c r="R800" i="45"/>
  <c r="N800" i="45"/>
  <c r="AO800" i="45"/>
  <c r="Y800" i="45"/>
  <c r="M800" i="45"/>
  <c r="AK800" i="45"/>
  <c r="U800" i="45"/>
  <c r="AS800" i="45"/>
  <c r="AG800" i="45"/>
  <c r="Q800" i="45"/>
  <c r="AC800" i="45"/>
  <c r="B905" i="45"/>
  <c r="H800" i="45"/>
  <c r="J800" i="45" s="1"/>
  <c r="B749" i="45"/>
  <c r="AU644" i="45"/>
  <c r="AQ644" i="45"/>
  <c r="AM644" i="45"/>
  <c r="AI644" i="45"/>
  <c r="AE644" i="45"/>
  <c r="AA644" i="45"/>
  <c r="W644" i="45"/>
  <c r="S644" i="45"/>
  <c r="O644" i="45"/>
  <c r="AT644" i="45"/>
  <c r="AP644" i="45"/>
  <c r="AL644" i="45"/>
  <c r="AH644" i="45"/>
  <c r="AD644" i="45"/>
  <c r="Z644" i="45"/>
  <c r="V644" i="45"/>
  <c r="R644" i="45"/>
  <c r="N644" i="45"/>
  <c r="AS644" i="45"/>
  <c r="AO644" i="45"/>
  <c r="AK644" i="45"/>
  <c r="AG644" i="45"/>
  <c r="AC644" i="45"/>
  <c r="Y644" i="45"/>
  <c r="U644" i="45"/>
  <c r="Q644" i="45"/>
  <c r="M644" i="45"/>
  <c r="AR644" i="45"/>
  <c r="AN644" i="45"/>
  <c r="AJ644" i="45"/>
  <c r="AF644" i="45"/>
  <c r="AB644" i="45"/>
  <c r="X644" i="45"/>
  <c r="T644" i="45"/>
  <c r="P644" i="45"/>
  <c r="L644" i="45"/>
  <c r="B747" i="45"/>
  <c r="AU642" i="45"/>
  <c r="AQ642" i="45"/>
  <c r="AM642" i="45"/>
  <c r="AI642" i="45"/>
  <c r="AE642" i="45"/>
  <c r="AA642" i="45"/>
  <c r="W642" i="45"/>
  <c r="S642" i="45"/>
  <c r="O642" i="45"/>
  <c r="AT642" i="45"/>
  <c r="AP642" i="45"/>
  <c r="AL642" i="45"/>
  <c r="AH642" i="45"/>
  <c r="AD642" i="45"/>
  <c r="Z642" i="45"/>
  <c r="V642" i="45"/>
  <c r="R642" i="45"/>
  <c r="N642" i="45"/>
  <c r="AS642" i="45"/>
  <c r="AO642" i="45"/>
  <c r="AK642" i="45"/>
  <c r="AG642" i="45"/>
  <c r="AC642" i="45"/>
  <c r="Y642" i="45"/>
  <c r="U642" i="45"/>
  <c r="Q642" i="45"/>
  <c r="M642" i="45"/>
  <c r="AR642" i="45"/>
  <c r="AN642" i="45"/>
  <c r="AJ642" i="45"/>
  <c r="AF642" i="45"/>
  <c r="AB642" i="45"/>
  <c r="X642" i="45"/>
  <c r="T642" i="45"/>
  <c r="P642" i="45"/>
  <c r="L642" i="45"/>
  <c r="AR796" i="45"/>
  <c r="AN796" i="45"/>
  <c r="AJ796" i="45"/>
  <c r="AF796" i="45"/>
  <c r="AB796" i="45"/>
  <c r="X796" i="45"/>
  <c r="T796" i="45"/>
  <c r="P796" i="45"/>
  <c r="L796" i="45"/>
  <c r="AU796" i="45"/>
  <c r="AQ796" i="45"/>
  <c r="AM796" i="45"/>
  <c r="AI796" i="45"/>
  <c r="AE796" i="45"/>
  <c r="AA796" i="45"/>
  <c r="W796" i="45"/>
  <c r="S796" i="45"/>
  <c r="O796" i="45"/>
  <c r="AT796" i="45"/>
  <c r="AP796" i="45"/>
  <c r="AL796" i="45"/>
  <c r="AH796" i="45"/>
  <c r="AD796" i="45"/>
  <c r="Z796" i="45"/>
  <c r="V796" i="45"/>
  <c r="R796" i="45"/>
  <c r="N796" i="45"/>
  <c r="AO796" i="45"/>
  <c r="Y796" i="45"/>
  <c r="M796" i="45"/>
  <c r="AK796" i="45"/>
  <c r="U796" i="45"/>
  <c r="AC796" i="45"/>
  <c r="AG796" i="45"/>
  <c r="Q796" i="45"/>
  <c r="AS796" i="45"/>
  <c r="B901" i="45"/>
  <c r="H796" i="45"/>
  <c r="J796" i="45" s="1"/>
  <c r="B773" i="45"/>
  <c r="AR668" i="45"/>
  <c r="AN668" i="45"/>
  <c r="AJ668" i="45"/>
  <c r="AF668" i="45"/>
  <c r="AB668" i="45"/>
  <c r="X668" i="45"/>
  <c r="T668" i="45"/>
  <c r="P668" i="45"/>
  <c r="L668" i="45"/>
  <c r="AU668" i="45"/>
  <c r="AP668" i="45"/>
  <c r="AK668" i="45"/>
  <c r="AE668" i="45"/>
  <c r="Z668" i="45"/>
  <c r="U668" i="45"/>
  <c r="O668" i="45"/>
  <c r="AT668" i="45"/>
  <c r="AO668" i="45"/>
  <c r="AI668" i="45"/>
  <c r="AD668" i="45"/>
  <c r="Y668" i="45"/>
  <c r="S668" i="45"/>
  <c r="N668" i="45"/>
  <c r="AS668" i="45"/>
  <c r="AM668" i="45"/>
  <c r="AH668" i="45"/>
  <c r="AC668" i="45"/>
  <c r="W668" i="45"/>
  <c r="R668" i="45"/>
  <c r="M668" i="45"/>
  <c r="AQ668" i="45"/>
  <c r="AL668" i="45"/>
  <c r="AG668" i="45"/>
  <c r="AA668" i="45"/>
  <c r="V668" i="45"/>
  <c r="Q668" i="45"/>
  <c r="B714" i="45"/>
  <c r="AS609" i="45"/>
  <c r="AO609" i="45"/>
  <c r="AK609" i="45"/>
  <c r="AG609" i="45"/>
  <c r="AC609" i="45"/>
  <c r="Y609" i="45"/>
  <c r="U609" i="45"/>
  <c r="Q609" i="45"/>
  <c r="M609" i="45"/>
  <c r="AR609" i="45"/>
  <c r="AN609" i="45"/>
  <c r="AJ609" i="45"/>
  <c r="AF609" i="45"/>
  <c r="AB609" i="45"/>
  <c r="X609" i="45"/>
  <c r="T609" i="45"/>
  <c r="P609" i="45"/>
  <c r="L609" i="45"/>
  <c r="AU609" i="45"/>
  <c r="AQ609" i="45"/>
  <c r="AM609" i="45"/>
  <c r="AI609" i="45"/>
  <c r="AE609" i="45"/>
  <c r="AA609" i="45"/>
  <c r="W609" i="45"/>
  <c r="S609" i="45"/>
  <c r="O609" i="45"/>
  <c r="AT609" i="45"/>
  <c r="AP609" i="45"/>
  <c r="AL609" i="45"/>
  <c r="AH609" i="45"/>
  <c r="AD609" i="45"/>
  <c r="Z609" i="45"/>
  <c r="V609" i="45"/>
  <c r="R609" i="45"/>
  <c r="N609" i="45"/>
  <c r="B719" i="45"/>
  <c r="AS614" i="45"/>
  <c r="AO614" i="45"/>
  <c r="AK614" i="45"/>
  <c r="AG614" i="45"/>
  <c r="AC614" i="45"/>
  <c r="Y614" i="45"/>
  <c r="U614" i="45"/>
  <c r="Q614" i="45"/>
  <c r="M614" i="45"/>
  <c r="AR614" i="45"/>
  <c r="AN614" i="45"/>
  <c r="AJ614" i="45"/>
  <c r="AF614" i="45"/>
  <c r="AB614" i="45"/>
  <c r="X614" i="45"/>
  <c r="T614" i="45"/>
  <c r="P614" i="45"/>
  <c r="L614" i="45"/>
  <c r="AU614" i="45"/>
  <c r="AQ614" i="45"/>
  <c r="AM614" i="45"/>
  <c r="AI614" i="45"/>
  <c r="AE614" i="45"/>
  <c r="AA614" i="45"/>
  <c r="W614" i="45"/>
  <c r="S614" i="45"/>
  <c r="O614" i="45"/>
  <c r="AT614" i="45"/>
  <c r="AP614" i="45"/>
  <c r="AL614" i="45"/>
  <c r="AH614" i="45"/>
  <c r="AD614" i="45"/>
  <c r="Z614" i="45"/>
  <c r="V614" i="45"/>
  <c r="R614" i="45"/>
  <c r="N614" i="45"/>
  <c r="B722" i="45"/>
  <c r="AS617" i="45"/>
  <c r="AO617" i="45"/>
  <c r="AK617" i="45"/>
  <c r="AG617" i="45"/>
  <c r="AC617" i="45"/>
  <c r="Y617" i="45"/>
  <c r="U617" i="45"/>
  <c r="Q617" i="45"/>
  <c r="M617" i="45"/>
  <c r="AR617" i="45"/>
  <c r="AN617" i="45"/>
  <c r="AJ617" i="45"/>
  <c r="AF617" i="45"/>
  <c r="AB617" i="45"/>
  <c r="X617" i="45"/>
  <c r="T617" i="45"/>
  <c r="P617" i="45"/>
  <c r="L617" i="45"/>
  <c r="AU617" i="45"/>
  <c r="AQ617" i="45"/>
  <c r="AM617" i="45"/>
  <c r="AI617" i="45"/>
  <c r="AE617" i="45"/>
  <c r="AA617" i="45"/>
  <c r="W617" i="45"/>
  <c r="S617" i="45"/>
  <c r="O617" i="45"/>
  <c r="AT617" i="45"/>
  <c r="AP617" i="45"/>
  <c r="AL617" i="45"/>
  <c r="AH617" i="45"/>
  <c r="AD617" i="45"/>
  <c r="Z617" i="45"/>
  <c r="V617" i="45"/>
  <c r="R617" i="45"/>
  <c r="N617" i="45"/>
  <c r="B759" i="45"/>
  <c r="AS654" i="45"/>
  <c r="AO654" i="45"/>
  <c r="AK654" i="45"/>
  <c r="AG654" i="45"/>
  <c r="AC654" i="45"/>
  <c r="Y654" i="45"/>
  <c r="U654" i="45"/>
  <c r="Q654" i="45"/>
  <c r="M654" i="45"/>
  <c r="AU654" i="45"/>
  <c r="AQ654" i="45"/>
  <c r="AM654" i="45"/>
  <c r="AI654" i="45"/>
  <c r="AE654" i="45"/>
  <c r="AA654" i="45"/>
  <c r="W654" i="45"/>
  <c r="S654" i="45"/>
  <c r="O654" i="45"/>
  <c r="AP654" i="45"/>
  <c r="AH654" i="45"/>
  <c r="Z654" i="45"/>
  <c r="R654" i="45"/>
  <c r="AN654" i="45"/>
  <c r="AF654" i="45"/>
  <c r="X654" i="45"/>
  <c r="P654" i="45"/>
  <c r="AT654" i="45"/>
  <c r="AL654" i="45"/>
  <c r="AD654" i="45"/>
  <c r="V654" i="45"/>
  <c r="N654" i="45"/>
  <c r="AR654" i="45"/>
  <c r="AJ654" i="45"/>
  <c r="AB654" i="45"/>
  <c r="T654" i="45"/>
  <c r="L654" i="45"/>
  <c r="B753" i="45"/>
  <c r="AU648" i="45"/>
  <c r="AQ648" i="45"/>
  <c r="AM648" i="45"/>
  <c r="AI648" i="45"/>
  <c r="AE648" i="45"/>
  <c r="AA648" i="45"/>
  <c r="W648" i="45"/>
  <c r="S648" i="45"/>
  <c r="O648" i="45"/>
  <c r="AT648" i="45"/>
  <c r="AP648" i="45"/>
  <c r="AL648" i="45"/>
  <c r="AH648" i="45"/>
  <c r="AD648" i="45"/>
  <c r="Z648" i="45"/>
  <c r="V648" i="45"/>
  <c r="R648" i="45"/>
  <c r="N648" i="45"/>
  <c r="AS648" i="45"/>
  <c r="AO648" i="45"/>
  <c r="AK648" i="45"/>
  <c r="AG648" i="45"/>
  <c r="AC648" i="45"/>
  <c r="Y648" i="45"/>
  <c r="U648" i="45"/>
  <c r="Q648" i="45"/>
  <c r="M648" i="45"/>
  <c r="AR648" i="45"/>
  <c r="AN648" i="45"/>
  <c r="AJ648" i="45"/>
  <c r="AF648" i="45"/>
  <c r="AB648" i="45"/>
  <c r="X648" i="45"/>
  <c r="T648" i="45"/>
  <c r="P648" i="45"/>
  <c r="L648" i="45"/>
  <c r="B775" i="45"/>
  <c r="AU670" i="45"/>
  <c r="AQ670" i="45"/>
  <c r="AM670" i="45"/>
  <c r="AI670" i="45"/>
  <c r="AE670" i="45"/>
  <c r="AA670" i="45"/>
  <c r="AS670" i="45"/>
  <c r="AO670" i="45"/>
  <c r="AK670" i="45"/>
  <c r="AG670" i="45"/>
  <c r="AC670" i="45"/>
  <c r="AR670" i="45"/>
  <c r="AN670" i="45"/>
  <c r="AJ670" i="45"/>
  <c r="AF670" i="45"/>
  <c r="AB670" i="45"/>
  <c r="X670" i="45"/>
  <c r="T670" i="45"/>
  <c r="P670" i="45"/>
  <c r="L670" i="45"/>
  <c r="AH670" i="45"/>
  <c r="W670" i="45"/>
  <c r="R670" i="45"/>
  <c r="M670" i="45"/>
  <c r="AT670" i="45"/>
  <c r="AD670" i="45"/>
  <c r="V670" i="45"/>
  <c r="Q670" i="45"/>
  <c r="AP670" i="45"/>
  <c r="Z670" i="45"/>
  <c r="U670" i="45"/>
  <c r="O670" i="45"/>
  <c r="AL670" i="45"/>
  <c r="Y670" i="45"/>
  <c r="S670" i="45"/>
  <c r="N670" i="45"/>
  <c r="B667" i="45"/>
  <c r="AR562" i="45"/>
  <c r="AN562" i="45"/>
  <c r="AJ562" i="45"/>
  <c r="AF562" i="45"/>
  <c r="AB562" i="45"/>
  <c r="X562" i="45"/>
  <c r="T562" i="45"/>
  <c r="P562" i="45"/>
  <c r="L562" i="45"/>
  <c r="AU562" i="45"/>
  <c r="AQ562" i="45"/>
  <c r="AM562" i="45"/>
  <c r="AI562" i="45"/>
  <c r="AE562" i="45"/>
  <c r="AA562" i="45"/>
  <c r="W562" i="45"/>
  <c r="S562" i="45"/>
  <c r="O562" i="45"/>
  <c r="AT562" i="45"/>
  <c r="AP562" i="45"/>
  <c r="AL562" i="45"/>
  <c r="AH562" i="45"/>
  <c r="AD562" i="45"/>
  <c r="Z562" i="45"/>
  <c r="V562" i="45"/>
  <c r="R562" i="45"/>
  <c r="N562" i="45"/>
  <c r="AK562" i="45"/>
  <c r="U562" i="45"/>
  <c r="AO562" i="45"/>
  <c r="AG562" i="45"/>
  <c r="Q562" i="45"/>
  <c r="Y562" i="45"/>
  <c r="AS562" i="45"/>
  <c r="AC562" i="45"/>
  <c r="M562" i="45"/>
  <c r="AR797" i="45"/>
  <c r="AN797" i="45"/>
  <c r="AJ797" i="45"/>
  <c r="AF797" i="45"/>
  <c r="AB797" i="45"/>
  <c r="X797" i="45"/>
  <c r="T797" i="45"/>
  <c r="P797" i="45"/>
  <c r="L797" i="45"/>
  <c r="AU797" i="45"/>
  <c r="AQ797" i="45"/>
  <c r="AM797" i="45"/>
  <c r="AI797" i="45"/>
  <c r="AE797" i="45"/>
  <c r="AA797" i="45"/>
  <c r="W797" i="45"/>
  <c r="S797" i="45"/>
  <c r="O797" i="45"/>
  <c r="AT797" i="45"/>
  <c r="AP797" i="45"/>
  <c r="AL797" i="45"/>
  <c r="AH797" i="45"/>
  <c r="AD797" i="45"/>
  <c r="Z797" i="45"/>
  <c r="V797" i="45"/>
  <c r="R797" i="45"/>
  <c r="N797" i="45"/>
  <c r="AK797" i="45"/>
  <c r="U797" i="45"/>
  <c r="Y797" i="45"/>
  <c r="AG797" i="45"/>
  <c r="Q797" i="45"/>
  <c r="AS797" i="45"/>
  <c r="AC797" i="45"/>
  <c r="M797" i="45"/>
  <c r="AO797" i="45"/>
  <c r="B902" i="45"/>
  <c r="H797" i="45"/>
  <c r="J797" i="45" s="1"/>
  <c r="B728" i="45"/>
  <c r="AS623" i="45"/>
  <c r="AO623" i="45"/>
  <c r="AK623" i="45"/>
  <c r="AG623" i="45"/>
  <c r="AC623" i="45"/>
  <c r="Y623" i="45"/>
  <c r="U623" i="45"/>
  <c r="Q623" i="45"/>
  <c r="M623" i="45"/>
  <c r="AR623" i="45"/>
  <c r="AN623" i="45"/>
  <c r="AJ623" i="45"/>
  <c r="AF623" i="45"/>
  <c r="AB623" i="45"/>
  <c r="X623" i="45"/>
  <c r="T623" i="45"/>
  <c r="P623" i="45"/>
  <c r="L623" i="45"/>
  <c r="AU623" i="45"/>
  <c r="AQ623" i="45"/>
  <c r="AM623" i="45"/>
  <c r="AI623" i="45"/>
  <c r="AE623" i="45"/>
  <c r="AA623" i="45"/>
  <c r="W623" i="45"/>
  <c r="S623" i="45"/>
  <c r="O623" i="45"/>
  <c r="AT623" i="45"/>
  <c r="AP623" i="45"/>
  <c r="AL623" i="45"/>
  <c r="AH623" i="45"/>
  <c r="AD623" i="45"/>
  <c r="Z623" i="45"/>
  <c r="V623" i="45"/>
  <c r="R623" i="45"/>
  <c r="N623" i="45"/>
  <c r="B750" i="45"/>
  <c r="AU645" i="45"/>
  <c r="AQ645" i="45"/>
  <c r="AM645" i="45"/>
  <c r="AI645" i="45"/>
  <c r="AE645" i="45"/>
  <c r="AA645" i="45"/>
  <c r="W645" i="45"/>
  <c r="S645" i="45"/>
  <c r="O645" i="45"/>
  <c r="AT645" i="45"/>
  <c r="AP645" i="45"/>
  <c r="AL645" i="45"/>
  <c r="AH645" i="45"/>
  <c r="AD645" i="45"/>
  <c r="Z645" i="45"/>
  <c r="V645" i="45"/>
  <c r="R645" i="45"/>
  <c r="N645" i="45"/>
  <c r="AS645" i="45"/>
  <c r="AO645" i="45"/>
  <c r="AK645" i="45"/>
  <c r="AG645" i="45"/>
  <c r="AC645" i="45"/>
  <c r="Y645" i="45"/>
  <c r="U645" i="45"/>
  <c r="Q645" i="45"/>
  <c r="M645" i="45"/>
  <c r="AR645" i="45"/>
  <c r="AN645" i="45"/>
  <c r="AJ645" i="45"/>
  <c r="AF645" i="45"/>
  <c r="AB645" i="45"/>
  <c r="X645" i="45"/>
  <c r="T645" i="45"/>
  <c r="P645" i="45"/>
  <c r="L645" i="45"/>
  <c r="B718" i="45"/>
  <c r="AS613" i="45"/>
  <c r="AO613" i="45"/>
  <c r="AK613" i="45"/>
  <c r="AG613" i="45"/>
  <c r="AC613" i="45"/>
  <c r="Y613" i="45"/>
  <c r="U613" i="45"/>
  <c r="Q613" i="45"/>
  <c r="M613" i="45"/>
  <c r="AR613" i="45"/>
  <c r="AN613" i="45"/>
  <c r="AJ613" i="45"/>
  <c r="AF613" i="45"/>
  <c r="AB613" i="45"/>
  <c r="X613" i="45"/>
  <c r="T613" i="45"/>
  <c r="P613" i="45"/>
  <c r="L613" i="45"/>
  <c r="AU613" i="45"/>
  <c r="AQ613" i="45"/>
  <c r="AM613" i="45"/>
  <c r="AI613" i="45"/>
  <c r="AE613" i="45"/>
  <c r="AA613" i="45"/>
  <c r="W613" i="45"/>
  <c r="S613" i="45"/>
  <c r="O613" i="45"/>
  <c r="AT613" i="45"/>
  <c r="AP613" i="45"/>
  <c r="AL613" i="45"/>
  <c r="AH613" i="45"/>
  <c r="AD613" i="45"/>
  <c r="Z613" i="45"/>
  <c r="V613" i="45"/>
  <c r="R613" i="45"/>
  <c r="N613" i="45"/>
  <c r="B765" i="45"/>
  <c r="AT660" i="45"/>
  <c r="AP660" i="45"/>
  <c r="AL660" i="45"/>
  <c r="AH660" i="45"/>
  <c r="AD660" i="45"/>
  <c r="Z660" i="45"/>
  <c r="V660" i="45"/>
  <c r="R660" i="45"/>
  <c r="N660" i="45"/>
  <c r="AS660" i="45"/>
  <c r="AO660" i="45"/>
  <c r="AK660" i="45"/>
  <c r="AG660" i="45"/>
  <c r="AC660" i="45"/>
  <c r="Y660" i="45"/>
  <c r="U660" i="45"/>
  <c r="Q660" i="45"/>
  <c r="M660" i="45"/>
  <c r="AR660" i="45"/>
  <c r="AN660" i="45"/>
  <c r="AJ660" i="45"/>
  <c r="AF660" i="45"/>
  <c r="AB660" i="45"/>
  <c r="X660" i="45"/>
  <c r="T660" i="45"/>
  <c r="P660" i="45"/>
  <c r="L660" i="45"/>
  <c r="AU660" i="45"/>
  <c r="AQ660" i="45"/>
  <c r="AM660" i="45"/>
  <c r="AI660" i="45"/>
  <c r="AE660" i="45"/>
  <c r="AA660" i="45"/>
  <c r="W660" i="45"/>
  <c r="S660" i="45"/>
  <c r="O660" i="45"/>
  <c r="B769" i="45"/>
  <c r="AT664" i="45"/>
  <c r="AP664" i="45"/>
  <c r="AL664" i="45"/>
  <c r="AH664" i="45"/>
  <c r="AD664" i="45"/>
  <c r="Z664" i="45"/>
  <c r="V664" i="45"/>
  <c r="R664" i="45"/>
  <c r="N664" i="45"/>
  <c r="AS664" i="45"/>
  <c r="AO664" i="45"/>
  <c r="AK664" i="45"/>
  <c r="AG664" i="45"/>
  <c r="AC664" i="45"/>
  <c r="Y664" i="45"/>
  <c r="U664" i="45"/>
  <c r="Q664" i="45"/>
  <c r="M664" i="45"/>
  <c r="AR664" i="45"/>
  <c r="AN664" i="45"/>
  <c r="AJ664" i="45"/>
  <c r="AF664" i="45"/>
  <c r="AB664" i="45"/>
  <c r="X664" i="45"/>
  <c r="T664" i="45"/>
  <c r="P664" i="45"/>
  <c r="L664" i="45"/>
  <c r="AU664" i="45"/>
  <c r="AQ664" i="45"/>
  <c r="AM664" i="45"/>
  <c r="AI664" i="45"/>
  <c r="AE664" i="45"/>
  <c r="AA664" i="45"/>
  <c r="W664" i="45"/>
  <c r="S664" i="45"/>
  <c r="O664" i="45"/>
  <c r="B725" i="45"/>
  <c r="AS620" i="45"/>
  <c r="AO620" i="45"/>
  <c r="AK620" i="45"/>
  <c r="AG620" i="45"/>
  <c r="AC620" i="45"/>
  <c r="Y620" i="45"/>
  <c r="U620" i="45"/>
  <c r="Q620" i="45"/>
  <c r="M620" i="45"/>
  <c r="AR620" i="45"/>
  <c r="AN620" i="45"/>
  <c r="AJ620" i="45"/>
  <c r="AF620" i="45"/>
  <c r="AB620" i="45"/>
  <c r="X620" i="45"/>
  <c r="T620" i="45"/>
  <c r="P620" i="45"/>
  <c r="L620" i="45"/>
  <c r="AU620" i="45"/>
  <c r="AQ620" i="45"/>
  <c r="AM620" i="45"/>
  <c r="AI620" i="45"/>
  <c r="AE620" i="45"/>
  <c r="AA620" i="45"/>
  <c r="W620" i="45"/>
  <c r="S620" i="45"/>
  <c r="O620" i="45"/>
  <c r="AT620" i="45"/>
  <c r="AP620" i="45"/>
  <c r="AL620" i="45"/>
  <c r="AH620" i="45"/>
  <c r="AD620" i="45"/>
  <c r="Z620" i="45"/>
  <c r="V620" i="45"/>
  <c r="R620" i="45"/>
  <c r="N620" i="45"/>
  <c r="B774" i="45"/>
  <c r="AR669" i="45"/>
  <c r="AN669" i="45"/>
  <c r="AJ669" i="45"/>
  <c r="AF669" i="45"/>
  <c r="AB669" i="45"/>
  <c r="X669" i="45"/>
  <c r="T669" i="45"/>
  <c r="P669" i="45"/>
  <c r="L669" i="45"/>
  <c r="AQ669" i="45"/>
  <c r="AL669" i="45"/>
  <c r="AG669" i="45"/>
  <c r="AA669" i="45"/>
  <c r="V669" i="45"/>
  <c r="Q669" i="45"/>
  <c r="AU669" i="45"/>
  <c r="AP669" i="45"/>
  <c r="AK669" i="45"/>
  <c r="AE669" i="45"/>
  <c r="Z669" i="45"/>
  <c r="U669" i="45"/>
  <c r="O669" i="45"/>
  <c r="AT669" i="45"/>
  <c r="AO669" i="45"/>
  <c r="AI669" i="45"/>
  <c r="AD669" i="45"/>
  <c r="Y669" i="45"/>
  <c r="S669" i="45"/>
  <c r="N669" i="45"/>
  <c r="AS669" i="45"/>
  <c r="AM669" i="45"/>
  <c r="AH669" i="45"/>
  <c r="AC669" i="45"/>
  <c r="W669" i="45"/>
  <c r="R669" i="45"/>
  <c r="M669" i="45"/>
  <c r="AR807" i="45"/>
  <c r="AN807" i="45"/>
  <c r="AJ807" i="45"/>
  <c r="AF807" i="45"/>
  <c r="AB807" i="45"/>
  <c r="X807" i="45"/>
  <c r="T807" i="45"/>
  <c r="P807" i="45"/>
  <c r="L807" i="45"/>
  <c r="AU807" i="45"/>
  <c r="AQ807" i="45"/>
  <c r="AM807" i="45"/>
  <c r="AI807" i="45"/>
  <c r="AE807" i="45"/>
  <c r="AA807" i="45"/>
  <c r="W807" i="45"/>
  <c r="S807" i="45"/>
  <c r="O807" i="45"/>
  <c r="AT807" i="45"/>
  <c r="AP807" i="45"/>
  <c r="AL807" i="45"/>
  <c r="AH807" i="45"/>
  <c r="AD807" i="45"/>
  <c r="Z807" i="45"/>
  <c r="V807" i="45"/>
  <c r="R807" i="45"/>
  <c r="N807" i="45"/>
  <c r="AS807" i="45"/>
  <c r="AC807" i="45"/>
  <c r="M807" i="45"/>
  <c r="AO807" i="45"/>
  <c r="Y807" i="45"/>
  <c r="AG807" i="45"/>
  <c r="AK807" i="45"/>
  <c r="U807" i="45"/>
  <c r="Q807" i="45"/>
  <c r="H807" i="45"/>
  <c r="J807" i="45" s="1"/>
  <c r="B912" i="45"/>
  <c r="B788" i="45"/>
  <c r="AS683" i="45"/>
  <c r="AO683" i="45"/>
  <c r="AK683" i="45"/>
  <c r="AG683" i="45"/>
  <c r="AC683" i="45"/>
  <c r="Y683" i="45"/>
  <c r="U683" i="45"/>
  <c r="Q683" i="45"/>
  <c r="M683" i="45"/>
  <c r="AT683" i="45"/>
  <c r="AP683" i="45"/>
  <c r="AL683" i="45"/>
  <c r="AH683" i="45"/>
  <c r="AU683" i="45"/>
  <c r="AM683" i="45"/>
  <c r="AE683" i="45"/>
  <c r="Z683" i="45"/>
  <c r="T683" i="45"/>
  <c r="O683" i="45"/>
  <c r="AR683" i="45"/>
  <c r="AJ683" i="45"/>
  <c r="AD683" i="45"/>
  <c r="X683" i="45"/>
  <c r="S683" i="45"/>
  <c r="N683" i="45"/>
  <c r="AN683" i="45"/>
  <c r="AF683" i="45"/>
  <c r="AA683" i="45"/>
  <c r="V683" i="45"/>
  <c r="P683" i="45"/>
  <c r="AI683" i="45"/>
  <c r="L683" i="45"/>
  <c r="W683" i="45"/>
  <c r="AQ683" i="45"/>
  <c r="R683" i="45"/>
  <c r="AB683" i="45"/>
  <c r="B778" i="45"/>
  <c r="AS673" i="45"/>
  <c r="AO673" i="45"/>
  <c r="AK673" i="45"/>
  <c r="AG673" i="45"/>
  <c r="AC673" i="45"/>
  <c r="Y673" i="45"/>
  <c r="U673" i="45"/>
  <c r="Q673" i="45"/>
  <c r="M673" i="45"/>
  <c r="AU673" i="45"/>
  <c r="AP673" i="45"/>
  <c r="AJ673" i="45"/>
  <c r="AE673" i="45"/>
  <c r="Z673" i="45"/>
  <c r="T673" i="45"/>
  <c r="O673" i="45"/>
  <c r="AR673" i="45"/>
  <c r="AM673" i="45"/>
  <c r="AH673" i="45"/>
  <c r="AB673" i="45"/>
  <c r="W673" i="45"/>
  <c r="R673" i="45"/>
  <c r="L673" i="45"/>
  <c r="AQ673" i="45"/>
  <c r="AL673" i="45"/>
  <c r="AF673" i="45"/>
  <c r="AA673" i="45"/>
  <c r="V673" i="45"/>
  <c r="P673" i="45"/>
  <c r="AT673" i="45"/>
  <c r="X673" i="45"/>
  <c r="AN673" i="45"/>
  <c r="S673" i="45"/>
  <c r="AI673" i="45"/>
  <c r="N673" i="45"/>
  <c r="AD673" i="45"/>
  <c r="B717" i="45"/>
  <c r="AS612" i="45"/>
  <c r="AO612" i="45"/>
  <c r="AK612" i="45"/>
  <c r="AG612" i="45"/>
  <c r="AC612" i="45"/>
  <c r="Y612" i="45"/>
  <c r="U612" i="45"/>
  <c r="Q612" i="45"/>
  <c r="M612" i="45"/>
  <c r="AR612" i="45"/>
  <c r="AN612" i="45"/>
  <c r="AJ612" i="45"/>
  <c r="AF612" i="45"/>
  <c r="AB612" i="45"/>
  <c r="X612" i="45"/>
  <c r="T612" i="45"/>
  <c r="P612" i="45"/>
  <c r="L612" i="45"/>
  <c r="AU612" i="45"/>
  <c r="AQ612" i="45"/>
  <c r="AM612" i="45"/>
  <c r="AI612" i="45"/>
  <c r="AE612" i="45"/>
  <c r="AA612" i="45"/>
  <c r="W612" i="45"/>
  <c r="S612" i="45"/>
  <c r="O612" i="45"/>
  <c r="AT612" i="45"/>
  <c r="AP612" i="45"/>
  <c r="AL612" i="45"/>
  <c r="AH612" i="45"/>
  <c r="AD612" i="45"/>
  <c r="Z612" i="45"/>
  <c r="V612" i="45"/>
  <c r="R612" i="45"/>
  <c r="N612" i="45"/>
  <c r="B783" i="45"/>
  <c r="AR678" i="45"/>
  <c r="AN678" i="45"/>
  <c r="AJ678" i="45"/>
  <c r="AF678" i="45"/>
  <c r="AB678" i="45"/>
  <c r="AS678" i="45"/>
  <c r="AO678" i="45"/>
  <c r="AK678" i="45"/>
  <c r="AG678" i="45"/>
  <c r="AC678" i="45"/>
  <c r="Y678" i="45"/>
  <c r="U678" i="45"/>
  <c r="Q678" i="45"/>
  <c r="M678" i="45"/>
  <c r="AQ678" i="45"/>
  <c r="AI678" i="45"/>
  <c r="AA678" i="45"/>
  <c r="V678" i="45"/>
  <c r="P678" i="45"/>
  <c r="AU678" i="45"/>
  <c r="AM678" i="45"/>
  <c r="AE678" i="45"/>
  <c r="X678" i="45"/>
  <c r="S678" i="45"/>
  <c r="N678" i="45"/>
  <c r="AT678" i="45"/>
  <c r="AL678" i="45"/>
  <c r="AD678" i="45"/>
  <c r="W678" i="45"/>
  <c r="R678" i="45"/>
  <c r="L678" i="45"/>
  <c r="AP678" i="45"/>
  <c r="O678" i="45"/>
  <c r="AH678" i="45"/>
  <c r="Z678" i="45"/>
  <c r="T678" i="45"/>
  <c r="B781" i="45"/>
  <c r="AS676" i="45"/>
  <c r="AO676" i="45"/>
  <c r="AK676" i="45"/>
  <c r="AG676" i="45"/>
  <c r="AC676" i="45"/>
  <c r="Y676" i="45"/>
  <c r="U676" i="45"/>
  <c r="Q676" i="45"/>
  <c r="M676" i="45"/>
  <c r="AT676" i="45"/>
  <c r="AN676" i="45"/>
  <c r="AI676" i="45"/>
  <c r="AD676" i="45"/>
  <c r="X676" i="45"/>
  <c r="S676" i="45"/>
  <c r="N676" i="45"/>
  <c r="AQ676" i="45"/>
  <c r="AL676" i="45"/>
  <c r="AF676" i="45"/>
  <c r="AA676" i="45"/>
  <c r="V676" i="45"/>
  <c r="P676" i="45"/>
  <c r="AU676" i="45"/>
  <c r="AP676" i="45"/>
  <c r="AJ676" i="45"/>
  <c r="AE676" i="45"/>
  <c r="Z676" i="45"/>
  <c r="T676" i="45"/>
  <c r="O676" i="45"/>
  <c r="AR676" i="45"/>
  <c r="W676" i="45"/>
  <c r="AM676" i="45"/>
  <c r="R676" i="45"/>
  <c r="AH676" i="45"/>
  <c r="L676" i="45"/>
  <c r="AB676" i="45"/>
  <c r="AR799" i="45"/>
  <c r="AN799" i="45"/>
  <c r="AJ799" i="45"/>
  <c r="AF799" i="45"/>
  <c r="AB799" i="45"/>
  <c r="X799" i="45"/>
  <c r="T799" i="45"/>
  <c r="P799" i="45"/>
  <c r="L799" i="45"/>
  <c r="AU799" i="45"/>
  <c r="AQ799" i="45"/>
  <c r="AM799" i="45"/>
  <c r="AI799" i="45"/>
  <c r="AE799" i="45"/>
  <c r="AA799" i="45"/>
  <c r="W799" i="45"/>
  <c r="S799" i="45"/>
  <c r="O799" i="45"/>
  <c r="AT799" i="45"/>
  <c r="AP799" i="45"/>
  <c r="AL799" i="45"/>
  <c r="AH799" i="45"/>
  <c r="AD799" i="45"/>
  <c r="Z799" i="45"/>
  <c r="V799" i="45"/>
  <c r="R799" i="45"/>
  <c r="N799" i="45"/>
  <c r="AS799" i="45"/>
  <c r="AC799" i="45"/>
  <c r="M799" i="45"/>
  <c r="AO799" i="45"/>
  <c r="Y799" i="45"/>
  <c r="Q799" i="45"/>
  <c r="AK799" i="45"/>
  <c r="U799" i="45"/>
  <c r="AG799" i="45"/>
  <c r="H799" i="45"/>
  <c r="J799" i="45" s="1"/>
  <c r="B904" i="45"/>
  <c r="B790" i="45"/>
  <c r="AS685" i="45"/>
  <c r="AO685" i="45"/>
  <c r="AK685" i="45"/>
  <c r="AG685" i="45"/>
  <c r="AC685" i="45"/>
  <c r="Y685" i="45"/>
  <c r="U685" i="45"/>
  <c r="Q685" i="45"/>
  <c r="M685" i="45"/>
  <c r="AT685" i="45"/>
  <c r="AP685" i="45"/>
  <c r="AL685" i="45"/>
  <c r="AH685" i="45"/>
  <c r="AD685" i="45"/>
  <c r="Z685" i="45"/>
  <c r="V685" i="45"/>
  <c r="R685" i="45"/>
  <c r="N685" i="45"/>
  <c r="AU685" i="45"/>
  <c r="AM685" i="45"/>
  <c r="AE685" i="45"/>
  <c r="W685" i="45"/>
  <c r="O685" i="45"/>
  <c r="AR685" i="45"/>
  <c r="AJ685" i="45"/>
  <c r="AB685" i="45"/>
  <c r="T685" i="45"/>
  <c r="L685" i="45"/>
  <c r="AN685" i="45"/>
  <c r="AF685" i="45"/>
  <c r="X685" i="45"/>
  <c r="P685" i="45"/>
  <c r="AA685" i="45"/>
  <c r="AQ685" i="45"/>
  <c r="AI685" i="45"/>
  <c r="S685" i="45"/>
  <c r="B720" i="45"/>
  <c r="AS615" i="45"/>
  <c r="AO615" i="45"/>
  <c r="AK615" i="45"/>
  <c r="AG615" i="45"/>
  <c r="AC615" i="45"/>
  <c r="Y615" i="45"/>
  <c r="U615" i="45"/>
  <c r="Q615" i="45"/>
  <c r="M615" i="45"/>
  <c r="AR615" i="45"/>
  <c r="AN615" i="45"/>
  <c r="AJ615" i="45"/>
  <c r="AF615" i="45"/>
  <c r="AB615" i="45"/>
  <c r="X615" i="45"/>
  <c r="T615" i="45"/>
  <c r="P615" i="45"/>
  <c r="L615" i="45"/>
  <c r="AU615" i="45"/>
  <c r="AQ615" i="45"/>
  <c r="AM615" i="45"/>
  <c r="AI615" i="45"/>
  <c r="AE615" i="45"/>
  <c r="AA615" i="45"/>
  <c r="W615" i="45"/>
  <c r="S615" i="45"/>
  <c r="O615" i="45"/>
  <c r="AT615" i="45"/>
  <c r="AP615" i="45"/>
  <c r="AL615" i="45"/>
  <c r="AH615" i="45"/>
  <c r="AD615" i="45"/>
  <c r="Z615" i="45"/>
  <c r="V615" i="45"/>
  <c r="R615" i="45"/>
  <c r="N615" i="45"/>
  <c r="AR806" i="45"/>
  <c r="AN806" i="45"/>
  <c r="AJ806" i="45"/>
  <c r="AF806" i="45"/>
  <c r="AB806" i="45"/>
  <c r="X806" i="45"/>
  <c r="T806" i="45"/>
  <c r="P806" i="45"/>
  <c r="L806" i="45"/>
  <c r="AU806" i="45"/>
  <c r="AQ806" i="45"/>
  <c r="AM806" i="45"/>
  <c r="AI806" i="45"/>
  <c r="AE806" i="45"/>
  <c r="AA806" i="45"/>
  <c r="W806" i="45"/>
  <c r="S806" i="45"/>
  <c r="O806" i="45"/>
  <c r="AT806" i="45"/>
  <c r="AP806" i="45"/>
  <c r="AL806" i="45"/>
  <c r="AH806" i="45"/>
  <c r="AD806" i="45"/>
  <c r="Z806" i="45"/>
  <c r="V806" i="45"/>
  <c r="R806" i="45"/>
  <c r="N806" i="45"/>
  <c r="AG806" i="45"/>
  <c r="Q806" i="45"/>
  <c r="AK806" i="45"/>
  <c r="AS806" i="45"/>
  <c r="AC806" i="45"/>
  <c r="M806" i="45"/>
  <c r="AO806" i="45"/>
  <c r="Y806" i="45"/>
  <c r="U806" i="45"/>
  <c r="H806" i="45"/>
  <c r="J806" i="45" s="1"/>
  <c r="B911" i="45"/>
  <c r="B743" i="45"/>
  <c r="AU638" i="45"/>
  <c r="AQ638" i="45"/>
  <c r="AM638" i="45"/>
  <c r="AI638" i="45"/>
  <c r="AE638" i="45"/>
  <c r="AA638" i="45"/>
  <c r="W638" i="45"/>
  <c r="S638" i="45"/>
  <c r="O638" i="45"/>
  <c r="AT638" i="45"/>
  <c r="AP638" i="45"/>
  <c r="AL638" i="45"/>
  <c r="AH638" i="45"/>
  <c r="AD638" i="45"/>
  <c r="Z638" i="45"/>
  <c r="V638" i="45"/>
  <c r="R638" i="45"/>
  <c r="N638" i="45"/>
  <c r="AS638" i="45"/>
  <c r="AO638" i="45"/>
  <c r="AK638" i="45"/>
  <c r="AG638" i="45"/>
  <c r="AC638" i="45"/>
  <c r="Y638" i="45"/>
  <c r="U638" i="45"/>
  <c r="Q638" i="45"/>
  <c r="M638" i="45"/>
  <c r="AR638" i="45"/>
  <c r="AN638" i="45"/>
  <c r="AJ638" i="45"/>
  <c r="AF638" i="45"/>
  <c r="AB638" i="45"/>
  <c r="X638" i="45"/>
  <c r="T638" i="45"/>
  <c r="P638" i="45"/>
  <c r="L638" i="45"/>
  <c r="B757" i="45"/>
  <c r="AU652" i="45"/>
  <c r="AQ652" i="45"/>
  <c r="AM652" i="45"/>
  <c r="AI652" i="45"/>
  <c r="AE652" i="45"/>
  <c r="AA652" i="45"/>
  <c r="W652" i="45"/>
  <c r="S652" i="45"/>
  <c r="O652" i="45"/>
  <c r="AT652" i="45"/>
  <c r="AP652" i="45"/>
  <c r="AL652" i="45"/>
  <c r="AH652" i="45"/>
  <c r="AD652" i="45"/>
  <c r="Z652" i="45"/>
  <c r="V652" i="45"/>
  <c r="R652" i="45"/>
  <c r="N652" i="45"/>
  <c r="AS652" i="45"/>
  <c r="AO652" i="45"/>
  <c r="AK652" i="45"/>
  <c r="AG652" i="45"/>
  <c r="AC652" i="45"/>
  <c r="Y652" i="45"/>
  <c r="U652" i="45"/>
  <c r="Q652" i="45"/>
  <c r="M652" i="45"/>
  <c r="AR652" i="45"/>
  <c r="AN652" i="45"/>
  <c r="AJ652" i="45"/>
  <c r="AF652" i="45"/>
  <c r="AB652" i="45"/>
  <c r="X652" i="45"/>
  <c r="T652" i="45"/>
  <c r="P652" i="45"/>
  <c r="L652" i="45"/>
  <c r="B791" i="45"/>
  <c r="AS686" i="45"/>
  <c r="AO686" i="45"/>
  <c r="AK686" i="45"/>
  <c r="AG686" i="45"/>
  <c r="AC686" i="45"/>
  <c r="Y686" i="45"/>
  <c r="U686" i="45"/>
  <c r="Q686" i="45"/>
  <c r="M686" i="45"/>
  <c r="AT686" i="45"/>
  <c r="AP686" i="45"/>
  <c r="AL686" i="45"/>
  <c r="AH686" i="45"/>
  <c r="AD686" i="45"/>
  <c r="Z686" i="45"/>
  <c r="V686" i="45"/>
  <c r="R686" i="45"/>
  <c r="N686" i="45"/>
  <c r="AQ686" i="45"/>
  <c r="AI686" i="45"/>
  <c r="AA686" i="45"/>
  <c r="S686" i="45"/>
  <c r="AN686" i="45"/>
  <c r="AF686" i="45"/>
  <c r="X686" i="45"/>
  <c r="P686" i="45"/>
  <c r="AR686" i="45"/>
  <c r="AJ686" i="45"/>
  <c r="AB686" i="45"/>
  <c r="T686" i="45"/>
  <c r="L686" i="45"/>
  <c r="W686" i="45"/>
  <c r="AM686" i="45"/>
  <c r="AE686" i="45"/>
  <c r="AU686" i="45"/>
  <c r="O686" i="45"/>
  <c r="B742" i="45"/>
  <c r="AU637" i="45"/>
  <c r="AQ637" i="45"/>
  <c r="AM637" i="45"/>
  <c r="AI637" i="45"/>
  <c r="AE637" i="45"/>
  <c r="AA637" i="45"/>
  <c r="W637" i="45"/>
  <c r="S637" i="45"/>
  <c r="O637" i="45"/>
  <c r="AT637" i="45"/>
  <c r="AP637" i="45"/>
  <c r="AL637" i="45"/>
  <c r="AH637" i="45"/>
  <c r="AD637" i="45"/>
  <c r="Z637" i="45"/>
  <c r="V637" i="45"/>
  <c r="R637" i="45"/>
  <c r="N637" i="45"/>
  <c r="AS637" i="45"/>
  <c r="AO637" i="45"/>
  <c r="AK637" i="45"/>
  <c r="AG637" i="45"/>
  <c r="AC637" i="45"/>
  <c r="Y637" i="45"/>
  <c r="U637" i="45"/>
  <c r="Q637" i="45"/>
  <c r="M637" i="45"/>
  <c r="AR637" i="45"/>
  <c r="AN637" i="45"/>
  <c r="AJ637" i="45"/>
  <c r="AF637" i="45"/>
  <c r="AB637" i="45"/>
  <c r="X637" i="45"/>
  <c r="T637" i="45"/>
  <c r="P637" i="45"/>
  <c r="L637" i="45"/>
  <c r="B738" i="45"/>
  <c r="AS633" i="45"/>
  <c r="AO633" i="45"/>
  <c r="AK633" i="45"/>
  <c r="AG633" i="45"/>
  <c r="AC633" i="45"/>
  <c r="Y633" i="45"/>
  <c r="U633" i="45"/>
  <c r="Q633" i="45"/>
  <c r="M633" i="45"/>
  <c r="AR633" i="45"/>
  <c r="AN633" i="45"/>
  <c r="AJ633" i="45"/>
  <c r="AF633" i="45"/>
  <c r="AB633" i="45"/>
  <c r="X633" i="45"/>
  <c r="T633" i="45"/>
  <c r="P633" i="45"/>
  <c r="L633" i="45"/>
  <c r="AU633" i="45"/>
  <c r="AQ633" i="45"/>
  <c r="AM633" i="45"/>
  <c r="AI633" i="45"/>
  <c r="AE633" i="45"/>
  <c r="AA633" i="45"/>
  <c r="W633" i="45"/>
  <c r="S633" i="45"/>
  <c r="O633" i="45"/>
  <c r="AT633" i="45"/>
  <c r="AP633" i="45"/>
  <c r="AL633" i="45"/>
  <c r="AH633" i="45"/>
  <c r="AD633" i="45"/>
  <c r="Z633" i="45"/>
  <c r="V633" i="45"/>
  <c r="R633" i="45"/>
  <c r="N633" i="45"/>
  <c r="B729" i="45"/>
  <c r="AS624" i="45"/>
  <c r="AO624" i="45"/>
  <c r="AK624" i="45"/>
  <c r="AG624" i="45"/>
  <c r="AC624" i="45"/>
  <c r="Y624" i="45"/>
  <c r="U624" i="45"/>
  <c r="Q624" i="45"/>
  <c r="M624" i="45"/>
  <c r="AR624" i="45"/>
  <c r="AN624" i="45"/>
  <c r="AJ624" i="45"/>
  <c r="AF624" i="45"/>
  <c r="AB624" i="45"/>
  <c r="X624" i="45"/>
  <c r="T624" i="45"/>
  <c r="P624" i="45"/>
  <c r="L624" i="45"/>
  <c r="AU624" i="45"/>
  <c r="AQ624" i="45"/>
  <c r="AM624" i="45"/>
  <c r="AI624" i="45"/>
  <c r="AE624" i="45"/>
  <c r="AA624" i="45"/>
  <c r="W624" i="45"/>
  <c r="S624" i="45"/>
  <c r="O624" i="45"/>
  <c r="AT624" i="45"/>
  <c r="AP624" i="45"/>
  <c r="AL624" i="45"/>
  <c r="AH624" i="45"/>
  <c r="AD624" i="45"/>
  <c r="Z624" i="45"/>
  <c r="V624" i="45"/>
  <c r="R624" i="45"/>
  <c r="N624" i="45"/>
  <c r="B731" i="45"/>
  <c r="AS626" i="45"/>
  <c r="AO626" i="45"/>
  <c r="AK626" i="45"/>
  <c r="AG626" i="45"/>
  <c r="AC626" i="45"/>
  <c r="Y626" i="45"/>
  <c r="U626" i="45"/>
  <c r="Q626" i="45"/>
  <c r="M626" i="45"/>
  <c r="AR626" i="45"/>
  <c r="AN626" i="45"/>
  <c r="AJ626" i="45"/>
  <c r="AF626" i="45"/>
  <c r="AB626" i="45"/>
  <c r="X626" i="45"/>
  <c r="T626" i="45"/>
  <c r="P626" i="45"/>
  <c r="L626" i="45"/>
  <c r="AU626" i="45"/>
  <c r="AQ626" i="45"/>
  <c r="AM626" i="45"/>
  <c r="AI626" i="45"/>
  <c r="AE626" i="45"/>
  <c r="AA626" i="45"/>
  <c r="W626" i="45"/>
  <c r="S626" i="45"/>
  <c r="O626" i="45"/>
  <c r="AT626" i="45"/>
  <c r="AP626" i="45"/>
  <c r="AL626" i="45"/>
  <c r="AH626" i="45"/>
  <c r="AD626" i="45"/>
  <c r="Z626" i="45"/>
  <c r="V626" i="45"/>
  <c r="R626" i="45"/>
  <c r="N626" i="45"/>
  <c r="B657" i="45"/>
  <c r="AR552" i="45"/>
  <c r="AN552" i="45"/>
  <c r="AJ552" i="45"/>
  <c r="AF552" i="45"/>
  <c r="AB552" i="45"/>
  <c r="X552" i="45"/>
  <c r="T552" i="45"/>
  <c r="P552" i="45"/>
  <c r="L552" i="45"/>
  <c r="AU552" i="45"/>
  <c r="AQ552" i="45"/>
  <c r="AM552" i="45"/>
  <c r="AI552" i="45"/>
  <c r="AE552" i="45"/>
  <c r="AA552" i="45"/>
  <c r="W552" i="45"/>
  <c r="S552" i="45"/>
  <c r="O552" i="45"/>
  <c r="AT552" i="45"/>
  <c r="AP552" i="45"/>
  <c r="AL552" i="45"/>
  <c r="AH552" i="45"/>
  <c r="AD552" i="45"/>
  <c r="Z552" i="45"/>
  <c r="V552" i="45"/>
  <c r="R552" i="45"/>
  <c r="N552" i="45"/>
  <c r="AS552" i="45"/>
  <c r="AC552" i="45"/>
  <c r="M552" i="45"/>
  <c r="Q552" i="45"/>
  <c r="AO552" i="45"/>
  <c r="Y552" i="45"/>
  <c r="AK552" i="45"/>
  <c r="U552" i="45"/>
  <c r="AG552" i="45"/>
  <c r="AR808" i="45"/>
  <c r="AN808" i="45"/>
  <c r="AJ808" i="45"/>
  <c r="AF808" i="45"/>
  <c r="AB808" i="45"/>
  <c r="X808" i="45"/>
  <c r="T808" i="45"/>
  <c r="P808" i="45"/>
  <c r="L808" i="45"/>
  <c r="AU808" i="45"/>
  <c r="AQ808" i="45"/>
  <c r="AM808" i="45"/>
  <c r="AI808" i="45"/>
  <c r="AE808" i="45"/>
  <c r="AA808" i="45"/>
  <c r="W808" i="45"/>
  <c r="S808" i="45"/>
  <c r="O808" i="45"/>
  <c r="AT808" i="45"/>
  <c r="AP808" i="45"/>
  <c r="AL808" i="45"/>
  <c r="AH808" i="45"/>
  <c r="AD808" i="45"/>
  <c r="Z808" i="45"/>
  <c r="V808" i="45"/>
  <c r="R808" i="45"/>
  <c r="N808" i="45"/>
  <c r="AO808" i="45"/>
  <c r="Y808" i="45"/>
  <c r="M808" i="45"/>
  <c r="AK808" i="45"/>
  <c r="U808" i="45"/>
  <c r="AS808" i="45"/>
  <c r="AG808" i="45"/>
  <c r="Q808" i="45"/>
  <c r="AC808" i="45"/>
  <c r="H808" i="45"/>
  <c r="J808" i="45" s="1"/>
  <c r="B913" i="45"/>
  <c r="B784" i="45"/>
  <c r="AS679" i="45"/>
  <c r="AO679" i="45"/>
  <c r="AK679" i="45"/>
  <c r="AG679" i="45"/>
  <c r="AC679" i="45"/>
  <c r="Y679" i="45"/>
  <c r="U679" i="45"/>
  <c r="AU679" i="45"/>
  <c r="AP679" i="45"/>
  <c r="AJ679" i="45"/>
  <c r="AE679" i="45"/>
  <c r="Z679" i="45"/>
  <c r="T679" i="45"/>
  <c r="P679" i="45"/>
  <c r="L679" i="45"/>
  <c r="AQ679" i="45"/>
  <c r="AL679" i="45"/>
  <c r="AF679" i="45"/>
  <c r="AA679" i="45"/>
  <c r="V679" i="45"/>
  <c r="Q679" i="45"/>
  <c r="M679" i="45"/>
  <c r="AT679" i="45"/>
  <c r="AI679" i="45"/>
  <c r="X679" i="45"/>
  <c r="O679" i="45"/>
  <c r="AN679" i="45"/>
  <c r="AD679" i="45"/>
  <c r="S679" i="45"/>
  <c r="AM679" i="45"/>
  <c r="AB679" i="45"/>
  <c r="R679" i="45"/>
  <c r="AR679" i="45"/>
  <c r="AH679" i="45"/>
  <c r="W679" i="45"/>
  <c r="N679" i="45"/>
  <c r="B711" i="45"/>
  <c r="B785" i="45"/>
  <c r="AS680" i="45"/>
  <c r="AO680" i="45"/>
  <c r="AK680" i="45"/>
  <c r="AG680" i="45"/>
  <c r="AC680" i="45"/>
  <c r="Y680" i="45"/>
  <c r="U680" i="45"/>
  <c r="Q680" i="45"/>
  <c r="M680" i="45"/>
  <c r="AQ680" i="45"/>
  <c r="AL680" i="45"/>
  <c r="AF680" i="45"/>
  <c r="AA680" i="45"/>
  <c r="V680" i="45"/>
  <c r="P680" i="45"/>
  <c r="AU680" i="45"/>
  <c r="AP680" i="45"/>
  <c r="AJ680" i="45"/>
  <c r="AE680" i="45"/>
  <c r="AR680" i="45"/>
  <c r="AM680" i="45"/>
  <c r="AH680" i="45"/>
  <c r="AB680" i="45"/>
  <c r="W680" i="45"/>
  <c r="R680" i="45"/>
  <c r="L680" i="45"/>
  <c r="AI680" i="45"/>
  <c r="T680" i="45"/>
  <c r="AT680" i="45"/>
  <c r="Z680" i="45"/>
  <c r="O680" i="45"/>
  <c r="AN680" i="45"/>
  <c r="X680" i="45"/>
  <c r="N680" i="45"/>
  <c r="AD680" i="45"/>
  <c r="S680" i="45"/>
  <c r="B755" i="45"/>
  <c r="AU650" i="45"/>
  <c r="AQ650" i="45"/>
  <c r="AM650" i="45"/>
  <c r="AI650" i="45"/>
  <c r="AE650" i="45"/>
  <c r="AA650" i="45"/>
  <c r="W650" i="45"/>
  <c r="S650" i="45"/>
  <c r="O650" i="45"/>
  <c r="AT650" i="45"/>
  <c r="AP650" i="45"/>
  <c r="AL650" i="45"/>
  <c r="AH650" i="45"/>
  <c r="AD650" i="45"/>
  <c r="Z650" i="45"/>
  <c r="V650" i="45"/>
  <c r="R650" i="45"/>
  <c r="N650" i="45"/>
  <c r="AS650" i="45"/>
  <c r="AO650" i="45"/>
  <c r="AK650" i="45"/>
  <c r="AG650" i="45"/>
  <c r="AC650" i="45"/>
  <c r="Y650" i="45"/>
  <c r="U650" i="45"/>
  <c r="Q650" i="45"/>
  <c r="M650" i="45"/>
  <c r="AR650" i="45"/>
  <c r="AN650" i="45"/>
  <c r="AJ650" i="45"/>
  <c r="AF650" i="45"/>
  <c r="AB650" i="45"/>
  <c r="X650" i="45"/>
  <c r="T650" i="45"/>
  <c r="P650" i="45"/>
  <c r="L650" i="45"/>
  <c r="B766" i="45"/>
  <c r="AT661" i="45"/>
  <c r="AP661" i="45"/>
  <c r="AL661" i="45"/>
  <c r="AH661" i="45"/>
  <c r="AD661" i="45"/>
  <c r="Z661" i="45"/>
  <c r="V661" i="45"/>
  <c r="R661" i="45"/>
  <c r="N661" i="45"/>
  <c r="AS661" i="45"/>
  <c r="AO661" i="45"/>
  <c r="AK661" i="45"/>
  <c r="AG661" i="45"/>
  <c r="AC661" i="45"/>
  <c r="Y661" i="45"/>
  <c r="U661" i="45"/>
  <c r="Q661" i="45"/>
  <c r="M661" i="45"/>
  <c r="AR661" i="45"/>
  <c r="AN661" i="45"/>
  <c r="AJ661" i="45"/>
  <c r="AF661" i="45"/>
  <c r="AB661" i="45"/>
  <c r="X661" i="45"/>
  <c r="T661" i="45"/>
  <c r="P661" i="45"/>
  <c r="L661" i="45"/>
  <c r="AU661" i="45"/>
  <c r="AQ661" i="45"/>
  <c r="AM661" i="45"/>
  <c r="AI661" i="45"/>
  <c r="AE661" i="45"/>
  <c r="AA661" i="45"/>
  <c r="W661" i="45"/>
  <c r="S661" i="45"/>
  <c r="O661" i="45"/>
  <c r="B726" i="45"/>
  <c r="AS621" i="45"/>
  <c r="AO621" i="45"/>
  <c r="AK621" i="45"/>
  <c r="AG621" i="45"/>
  <c r="AC621" i="45"/>
  <c r="Y621" i="45"/>
  <c r="U621" i="45"/>
  <c r="Q621" i="45"/>
  <c r="M621" i="45"/>
  <c r="AR621" i="45"/>
  <c r="AN621" i="45"/>
  <c r="AJ621" i="45"/>
  <c r="AF621" i="45"/>
  <c r="AB621" i="45"/>
  <c r="X621" i="45"/>
  <c r="T621" i="45"/>
  <c r="P621" i="45"/>
  <c r="L621" i="45"/>
  <c r="AU621" i="45"/>
  <c r="AQ621" i="45"/>
  <c r="AM621" i="45"/>
  <c r="AI621" i="45"/>
  <c r="AE621" i="45"/>
  <c r="AA621" i="45"/>
  <c r="W621" i="45"/>
  <c r="S621" i="45"/>
  <c r="O621" i="45"/>
  <c r="AT621" i="45"/>
  <c r="AP621" i="45"/>
  <c r="AL621" i="45"/>
  <c r="AH621" i="45"/>
  <c r="AD621" i="45"/>
  <c r="Z621" i="45"/>
  <c r="V621" i="45"/>
  <c r="R621" i="45"/>
  <c r="N621" i="45"/>
  <c r="AR809" i="45"/>
  <c r="AN809" i="45"/>
  <c r="AJ809" i="45"/>
  <c r="AF809" i="45"/>
  <c r="AB809" i="45"/>
  <c r="X809" i="45"/>
  <c r="T809" i="45"/>
  <c r="P809" i="45"/>
  <c r="L809" i="45"/>
  <c r="AU809" i="45"/>
  <c r="AQ809" i="45"/>
  <c r="AM809" i="45"/>
  <c r="AI809" i="45"/>
  <c r="AE809" i="45"/>
  <c r="AA809" i="45"/>
  <c r="W809" i="45"/>
  <c r="S809" i="45"/>
  <c r="O809" i="45"/>
  <c r="AT809" i="45"/>
  <c r="AP809" i="45"/>
  <c r="AL809" i="45"/>
  <c r="AH809" i="45"/>
  <c r="AD809" i="45"/>
  <c r="Z809" i="45"/>
  <c r="V809" i="45"/>
  <c r="R809" i="45"/>
  <c r="N809" i="45"/>
  <c r="AK809" i="45"/>
  <c r="U809" i="45"/>
  <c r="Y809" i="45"/>
  <c r="AG809" i="45"/>
  <c r="Q809" i="45"/>
  <c r="AS809" i="45"/>
  <c r="AC809" i="45"/>
  <c r="M809" i="45"/>
  <c r="AO809" i="45"/>
  <c r="B914" i="45"/>
  <c r="H809" i="45"/>
  <c r="J809" i="45" s="1"/>
  <c r="B730" i="45"/>
  <c r="AS625" i="45"/>
  <c r="AO625" i="45"/>
  <c r="AK625" i="45"/>
  <c r="AG625" i="45"/>
  <c r="AC625" i="45"/>
  <c r="Y625" i="45"/>
  <c r="U625" i="45"/>
  <c r="Q625" i="45"/>
  <c r="M625" i="45"/>
  <c r="AR625" i="45"/>
  <c r="AN625" i="45"/>
  <c r="AJ625" i="45"/>
  <c r="AF625" i="45"/>
  <c r="AB625" i="45"/>
  <c r="X625" i="45"/>
  <c r="T625" i="45"/>
  <c r="P625" i="45"/>
  <c r="L625" i="45"/>
  <c r="AU625" i="45"/>
  <c r="AQ625" i="45"/>
  <c r="AM625" i="45"/>
  <c r="AI625" i="45"/>
  <c r="AE625" i="45"/>
  <c r="AA625" i="45"/>
  <c r="W625" i="45"/>
  <c r="S625" i="45"/>
  <c r="O625" i="45"/>
  <c r="AT625" i="45"/>
  <c r="AP625" i="45"/>
  <c r="AL625" i="45"/>
  <c r="AH625" i="45"/>
  <c r="AD625" i="45"/>
  <c r="Z625" i="45"/>
  <c r="V625" i="45"/>
  <c r="R625" i="45"/>
  <c r="N625" i="45"/>
  <c r="B724" i="45"/>
  <c r="AS619" i="45"/>
  <c r="AO619" i="45"/>
  <c r="AK619" i="45"/>
  <c r="AG619" i="45"/>
  <c r="AC619" i="45"/>
  <c r="Y619" i="45"/>
  <c r="U619" i="45"/>
  <c r="Q619" i="45"/>
  <c r="M619" i="45"/>
  <c r="AR619" i="45"/>
  <c r="AN619" i="45"/>
  <c r="AJ619" i="45"/>
  <c r="AF619" i="45"/>
  <c r="AB619" i="45"/>
  <c r="X619" i="45"/>
  <c r="T619" i="45"/>
  <c r="P619" i="45"/>
  <c r="L619" i="45"/>
  <c r="AU619" i="45"/>
  <c r="AQ619" i="45"/>
  <c r="AM619" i="45"/>
  <c r="AI619" i="45"/>
  <c r="AE619" i="45"/>
  <c r="AA619" i="45"/>
  <c r="W619" i="45"/>
  <c r="S619" i="45"/>
  <c r="O619" i="45"/>
  <c r="AT619" i="45"/>
  <c r="AP619" i="45"/>
  <c r="AL619" i="45"/>
  <c r="AH619" i="45"/>
  <c r="AD619" i="45"/>
  <c r="Z619" i="45"/>
  <c r="V619" i="45"/>
  <c r="R619" i="45"/>
  <c r="N619" i="45"/>
  <c r="B732" i="45"/>
  <c r="AS627" i="45"/>
  <c r="AO627" i="45"/>
  <c r="AK627" i="45"/>
  <c r="AG627" i="45"/>
  <c r="AC627" i="45"/>
  <c r="Y627" i="45"/>
  <c r="U627" i="45"/>
  <c r="Q627" i="45"/>
  <c r="M627" i="45"/>
  <c r="AR627" i="45"/>
  <c r="AN627" i="45"/>
  <c r="AJ627" i="45"/>
  <c r="AF627" i="45"/>
  <c r="AB627" i="45"/>
  <c r="X627" i="45"/>
  <c r="T627" i="45"/>
  <c r="P627" i="45"/>
  <c r="L627" i="45"/>
  <c r="AU627" i="45"/>
  <c r="AQ627" i="45"/>
  <c r="AM627" i="45"/>
  <c r="AI627" i="45"/>
  <c r="AE627" i="45"/>
  <c r="AA627" i="45"/>
  <c r="W627" i="45"/>
  <c r="S627" i="45"/>
  <c r="O627" i="45"/>
  <c r="AT627" i="45"/>
  <c r="AP627" i="45"/>
  <c r="AL627" i="45"/>
  <c r="AH627" i="45"/>
  <c r="AD627" i="45"/>
  <c r="Z627" i="45"/>
  <c r="V627" i="45"/>
  <c r="R627" i="45"/>
  <c r="N627" i="45"/>
  <c r="B793" i="45"/>
  <c r="AS688" i="45"/>
  <c r="AO688" i="45"/>
  <c r="AK688" i="45"/>
  <c r="AG688" i="45"/>
  <c r="AC688" i="45"/>
  <c r="Y688" i="45"/>
  <c r="U688" i="45"/>
  <c r="Q688" i="45"/>
  <c r="M688" i="45"/>
  <c r="AT688" i="45"/>
  <c r="AP688" i="45"/>
  <c r="AL688" i="45"/>
  <c r="AH688" i="45"/>
  <c r="AD688" i="45"/>
  <c r="Z688" i="45"/>
  <c r="V688" i="45"/>
  <c r="R688" i="45"/>
  <c r="N688" i="45"/>
  <c r="AQ688" i="45"/>
  <c r="AI688" i="45"/>
  <c r="AA688" i="45"/>
  <c r="S688" i="45"/>
  <c r="AN688" i="45"/>
  <c r="AF688" i="45"/>
  <c r="X688" i="45"/>
  <c r="P688" i="45"/>
  <c r="AR688" i="45"/>
  <c r="AJ688" i="45"/>
  <c r="AB688" i="45"/>
  <c r="T688" i="45"/>
  <c r="L688" i="45"/>
  <c r="AU688" i="45"/>
  <c r="O688" i="45"/>
  <c r="AE688" i="45"/>
  <c r="W688" i="45"/>
  <c r="AM688" i="45"/>
  <c r="B740" i="45"/>
  <c r="AU635" i="45"/>
  <c r="AQ635" i="45"/>
  <c r="AM635" i="45"/>
  <c r="AI635" i="45"/>
  <c r="AE635" i="45"/>
  <c r="AA635" i="45"/>
  <c r="W635" i="45"/>
  <c r="S635" i="45"/>
  <c r="AT635" i="45"/>
  <c r="AP635" i="45"/>
  <c r="AL635" i="45"/>
  <c r="AH635" i="45"/>
  <c r="AD635" i="45"/>
  <c r="Z635" i="45"/>
  <c r="V635" i="45"/>
  <c r="AS635" i="45"/>
  <c r="AO635" i="45"/>
  <c r="AK635" i="45"/>
  <c r="AG635" i="45"/>
  <c r="AC635" i="45"/>
  <c r="Y635" i="45"/>
  <c r="U635" i="45"/>
  <c r="AR635" i="45"/>
  <c r="AN635" i="45"/>
  <c r="AJ635" i="45"/>
  <c r="AF635" i="45"/>
  <c r="AB635" i="45"/>
  <c r="X635" i="45"/>
  <c r="Q635" i="45"/>
  <c r="M635" i="45"/>
  <c r="P635" i="45"/>
  <c r="L635" i="45"/>
  <c r="T635" i="45"/>
  <c r="O635" i="45"/>
  <c r="R635" i="45"/>
  <c r="N635" i="45"/>
  <c r="AR805" i="45"/>
  <c r="AN805" i="45"/>
  <c r="AJ805" i="45"/>
  <c r="AF805" i="45"/>
  <c r="AB805" i="45"/>
  <c r="X805" i="45"/>
  <c r="T805" i="45"/>
  <c r="P805" i="45"/>
  <c r="L805" i="45"/>
  <c r="AU805" i="45"/>
  <c r="AQ805" i="45"/>
  <c r="AM805" i="45"/>
  <c r="AI805" i="45"/>
  <c r="AE805" i="45"/>
  <c r="AA805" i="45"/>
  <c r="W805" i="45"/>
  <c r="S805" i="45"/>
  <c r="O805" i="45"/>
  <c r="AT805" i="45"/>
  <c r="AP805" i="45"/>
  <c r="AL805" i="45"/>
  <c r="AH805" i="45"/>
  <c r="AD805" i="45"/>
  <c r="Z805" i="45"/>
  <c r="V805" i="45"/>
  <c r="R805" i="45"/>
  <c r="N805" i="45"/>
  <c r="AK805" i="45"/>
  <c r="U805" i="45"/>
  <c r="Y805" i="45"/>
  <c r="AG805" i="45"/>
  <c r="Q805" i="45"/>
  <c r="AO805" i="45"/>
  <c r="AS805" i="45"/>
  <c r="AC805" i="45"/>
  <c r="M805" i="45"/>
  <c r="H805" i="45"/>
  <c r="J805" i="45" s="1"/>
  <c r="B910" i="45"/>
  <c r="B786" i="45"/>
  <c r="AS681" i="45"/>
  <c r="AO681" i="45"/>
  <c r="AK681" i="45"/>
  <c r="AG681" i="45"/>
  <c r="AC681" i="45"/>
  <c r="Y681" i="45"/>
  <c r="U681" i="45"/>
  <c r="Q681" i="45"/>
  <c r="M681" i="45"/>
  <c r="AR681" i="45"/>
  <c r="AM681" i="45"/>
  <c r="AH681" i="45"/>
  <c r="AB681" i="45"/>
  <c r="W681" i="45"/>
  <c r="R681" i="45"/>
  <c r="L681" i="45"/>
  <c r="AQ681" i="45"/>
  <c r="AL681" i="45"/>
  <c r="AF681" i="45"/>
  <c r="AA681" i="45"/>
  <c r="V681" i="45"/>
  <c r="P681" i="45"/>
  <c r="AT681" i="45"/>
  <c r="AN681" i="45"/>
  <c r="AI681" i="45"/>
  <c r="AD681" i="45"/>
  <c r="X681" i="45"/>
  <c r="S681" i="45"/>
  <c r="N681" i="45"/>
  <c r="AP681" i="45"/>
  <c r="T681" i="45"/>
  <c r="AE681" i="45"/>
  <c r="AU681" i="45"/>
  <c r="Z681" i="45"/>
  <c r="AJ681" i="45"/>
  <c r="O681" i="45"/>
  <c r="B751" i="45"/>
  <c r="AU646" i="45"/>
  <c r="AQ646" i="45"/>
  <c r="AM646" i="45"/>
  <c r="AI646" i="45"/>
  <c r="AE646" i="45"/>
  <c r="AA646" i="45"/>
  <c r="W646" i="45"/>
  <c r="S646" i="45"/>
  <c r="O646" i="45"/>
  <c r="AT646" i="45"/>
  <c r="AP646" i="45"/>
  <c r="AL646" i="45"/>
  <c r="AH646" i="45"/>
  <c r="AD646" i="45"/>
  <c r="Z646" i="45"/>
  <c r="V646" i="45"/>
  <c r="R646" i="45"/>
  <c r="N646" i="45"/>
  <c r="AS646" i="45"/>
  <c r="AO646" i="45"/>
  <c r="AK646" i="45"/>
  <c r="AG646" i="45"/>
  <c r="AC646" i="45"/>
  <c r="Y646" i="45"/>
  <c r="U646" i="45"/>
  <c r="Q646" i="45"/>
  <c r="M646" i="45"/>
  <c r="AR646" i="45"/>
  <c r="AN646" i="45"/>
  <c r="AJ646" i="45"/>
  <c r="AF646" i="45"/>
  <c r="AB646" i="45"/>
  <c r="X646" i="45"/>
  <c r="T646" i="45"/>
  <c r="P646" i="45"/>
  <c r="L646" i="45"/>
  <c r="B744" i="45"/>
  <c r="AU639" i="45"/>
  <c r="AQ639" i="45"/>
  <c r="AM639" i="45"/>
  <c r="AI639" i="45"/>
  <c r="AE639" i="45"/>
  <c r="AA639" i="45"/>
  <c r="W639" i="45"/>
  <c r="S639" i="45"/>
  <c r="O639" i="45"/>
  <c r="AT639" i="45"/>
  <c r="AP639" i="45"/>
  <c r="AL639" i="45"/>
  <c r="AH639" i="45"/>
  <c r="AD639" i="45"/>
  <c r="Z639" i="45"/>
  <c r="V639" i="45"/>
  <c r="R639" i="45"/>
  <c r="N639" i="45"/>
  <c r="AS639" i="45"/>
  <c r="AO639" i="45"/>
  <c r="AK639" i="45"/>
  <c r="AG639" i="45"/>
  <c r="AC639" i="45"/>
  <c r="Y639" i="45"/>
  <c r="U639" i="45"/>
  <c r="Q639" i="45"/>
  <c r="M639" i="45"/>
  <c r="AR639" i="45"/>
  <c r="AN639" i="45"/>
  <c r="AJ639" i="45"/>
  <c r="AF639" i="45"/>
  <c r="AB639" i="45"/>
  <c r="X639" i="45"/>
  <c r="T639" i="45"/>
  <c r="P639" i="45"/>
  <c r="L639" i="45"/>
  <c r="AR798" i="45"/>
  <c r="AN798" i="45"/>
  <c r="AJ798" i="45"/>
  <c r="AF798" i="45"/>
  <c r="AB798" i="45"/>
  <c r="X798" i="45"/>
  <c r="T798" i="45"/>
  <c r="P798" i="45"/>
  <c r="L798" i="45"/>
  <c r="AU798" i="45"/>
  <c r="AQ798" i="45"/>
  <c r="AM798" i="45"/>
  <c r="AI798" i="45"/>
  <c r="AE798" i="45"/>
  <c r="AA798" i="45"/>
  <c r="W798" i="45"/>
  <c r="S798" i="45"/>
  <c r="O798" i="45"/>
  <c r="AT798" i="45"/>
  <c r="AP798" i="45"/>
  <c r="AL798" i="45"/>
  <c r="AH798" i="45"/>
  <c r="AD798" i="45"/>
  <c r="Z798" i="45"/>
  <c r="V798" i="45"/>
  <c r="R798" i="45"/>
  <c r="N798" i="45"/>
  <c r="AG798" i="45"/>
  <c r="Q798" i="45"/>
  <c r="AK798" i="45"/>
  <c r="AS798" i="45"/>
  <c r="AC798" i="45"/>
  <c r="M798" i="45"/>
  <c r="U798" i="45"/>
  <c r="AO798" i="45"/>
  <c r="Y798" i="45"/>
  <c r="H798" i="45"/>
  <c r="J798" i="45" s="1"/>
  <c r="B903" i="45"/>
  <c r="B770" i="45"/>
  <c r="AT665" i="45"/>
  <c r="AP665" i="45"/>
  <c r="AL665" i="45"/>
  <c r="AH665" i="45"/>
  <c r="AD665" i="45"/>
  <c r="Z665" i="45"/>
  <c r="V665" i="45"/>
  <c r="R665" i="45"/>
  <c r="N665" i="45"/>
  <c r="AS665" i="45"/>
  <c r="AO665" i="45"/>
  <c r="AK665" i="45"/>
  <c r="AG665" i="45"/>
  <c r="AC665" i="45"/>
  <c r="Y665" i="45"/>
  <c r="U665" i="45"/>
  <c r="Q665" i="45"/>
  <c r="M665" i="45"/>
  <c r="AR665" i="45"/>
  <c r="AN665" i="45"/>
  <c r="AJ665" i="45"/>
  <c r="AF665" i="45"/>
  <c r="AB665" i="45"/>
  <c r="X665" i="45"/>
  <c r="T665" i="45"/>
  <c r="P665" i="45"/>
  <c r="L665" i="45"/>
  <c r="AU665" i="45"/>
  <c r="AQ665" i="45"/>
  <c r="AM665" i="45"/>
  <c r="AI665" i="45"/>
  <c r="AE665" i="45"/>
  <c r="AA665" i="45"/>
  <c r="W665" i="45"/>
  <c r="S665" i="45"/>
  <c r="O665" i="45"/>
  <c r="B712" i="45"/>
  <c r="AS607" i="45"/>
  <c r="AO607" i="45"/>
  <c r="AK607" i="45"/>
  <c r="AG607" i="45"/>
  <c r="AC607" i="45"/>
  <c r="Y607" i="45"/>
  <c r="U607" i="45"/>
  <c r="Q607" i="45"/>
  <c r="M607" i="45"/>
  <c r="AR607" i="45"/>
  <c r="AN607" i="45"/>
  <c r="AJ607" i="45"/>
  <c r="AF607" i="45"/>
  <c r="AB607" i="45"/>
  <c r="X607" i="45"/>
  <c r="T607" i="45"/>
  <c r="P607" i="45"/>
  <c r="L607" i="45"/>
  <c r="AU607" i="45"/>
  <c r="AQ607" i="45"/>
  <c r="AM607" i="45"/>
  <c r="AI607" i="45"/>
  <c r="AE607" i="45"/>
  <c r="AA607" i="45"/>
  <c r="W607" i="45"/>
  <c r="S607" i="45"/>
  <c r="O607" i="45"/>
  <c r="AT607" i="45"/>
  <c r="AP607" i="45"/>
  <c r="AL607" i="45"/>
  <c r="AH607" i="45"/>
  <c r="AD607" i="45"/>
  <c r="Z607" i="45"/>
  <c r="V607" i="45"/>
  <c r="R607" i="45"/>
  <c r="N607" i="45"/>
  <c r="B792" i="45"/>
  <c r="AS687" i="45"/>
  <c r="AO687" i="45"/>
  <c r="AK687" i="45"/>
  <c r="AG687" i="45"/>
  <c r="AC687" i="45"/>
  <c r="Y687" i="45"/>
  <c r="U687" i="45"/>
  <c r="Q687" i="45"/>
  <c r="M687" i="45"/>
  <c r="AT687" i="45"/>
  <c r="AP687" i="45"/>
  <c r="AL687" i="45"/>
  <c r="AH687" i="45"/>
  <c r="AD687" i="45"/>
  <c r="Z687" i="45"/>
  <c r="V687" i="45"/>
  <c r="R687" i="45"/>
  <c r="N687" i="45"/>
  <c r="AU687" i="45"/>
  <c r="AM687" i="45"/>
  <c r="AE687" i="45"/>
  <c r="W687" i="45"/>
  <c r="O687" i="45"/>
  <c r="AR687" i="45"/>
  <c r="AJ687" i="45"/>
  <c r="AB687" i="45"/>
  <c r="T687" i="45"/>
  <c r="L687" i="45"/>
  <c r="AN687" i="45"/>
  <c r="AF687" i="45"/>
  <c r="X687" i="45"/>
  <c r="P687" i="45"/>
  <c r="S687" i="45"/>
  <c r="AI687" i="45"/>
  <c r="AA687" i="45"/>
  <c r="AQ687" i="45"/>
  <c r="B768" i="45"/>
  <c r="AT663" i="45"/>
  <c r="AP663" i="45"/>
  <c r="AL663" i="45"/>
  <c r="AH663" i="45"/>
  <c r="AD663" i="45"/>
  <c r="Z663" i="45"/>
  <c r="V663" i="45"/>
  <c r="R663" i="45"/>
  <c r="N663" i="45"/>
  <c r="AS663" i="45"/>
  <c r="AO663" i="45"/>
  <c r="AK663" i="45"/>
  <c r="AG663" i="45"/>
  <c r="AC663" i="45"/>
  <c r="Y663" i="45"/>
  <c r="U663" i="45"/>
  <c r="Q663" i="45"/>
  <c r="M663" i="45"/>
  <c r="AR663" i="45"/>
  <c r="AN663" i="45"/>
  <c r="AJ663" i="45"/>
  <c r="AF663" i="45"/>
  <c r="AB663" i="45"/>
  <c r="X663" i="45"/>
  <c r="T663" i="45"/>
  <c r="P663" i="45"/>
  <c r="L663" i="45"/>
  <c r="AU663" i="45"/>
  <c r="AQ663" i="45"/>
  <c r="AM663" i="45"/>
  <c r="AI663" i="45"/>
  <c r="AE663" i="45"/>
  <c r="AA663" i="45"/>
  <c r="W663" i="45"/>
  <c r="S663" i="45"/>
  <c r="O663" i="45"/>
  <c r="B760" i="45"/>
  <c r="AT655" i="45"/>
  <c r="AP655" i="45"/>
  <c r="AL655" i="45"/>
  <c r="AH655" i="45"/>
  <c r="AD655" i="45"/>
  <c r="Z655" i="45"/>
  <c r="V655" i="45"/>
  <c r="R655" i="45"/>
  <c r="N655" i="45"/>
  <c r="AS655" i="45"/>
  <c r="AO655" i="45"/>
  <c r="AK655" i="45"/>
  <c r="AG655" i="45"/>
  <c r="AC655" i="45"/>
  <c r="Y655" i="45"/>
  <c r="U655" i="45"/>
  <c r="Q655" i="45"/>
  <c r="M655" i="45"/>
  <c r="AR655" i="45"/>
  <c r="AN655" i="45"/>
  <c r="AJ655" i="45"/>
  <c r="AF655" i="45"/>
  <c r="AB655" i="45"/>
  <c r="X655" i="45"/>
  <c r="T655" i="45"/>
  <c r="P655" i="45"/>
  <c r="L655" i="45"/>
  <c r="AU655" i="45"/>
  <c r="AQ655" i="45"/>
  <c r="AM655" i="45"/>
  <c r="AI655" i="45"/>
  <c r="AE655" i="45"/>
  <c r="AA655" i="45"/>
  <c r="W655" i="45"/>
  <c r="S655" i="45"/>
  <c r="O655" i="45"/>
  <c r="B794" i="45"/>
  <c r="AS689" i="45"/>
  <c r="AO689" i="45"/>
  <c r="AK689" i="45"/>
  <c r="AG689" i="45"/>
  <c r="AC689" i="45"/>
  <c r="Y689" i="45"/>
  <c r="U689" i="45"/>
  <c r="Q689" i="45"/>
  <c r="M689" i="45"/>
  <c r="AT689" i="45"/>
  <c r="AP689" i="45"/>
  <c r="AL689" i="45"/>
  <c r="AH689" i="45"/>
  <c r="AD689" i="45"/>
  <c r="Z689" i="45"/>
  <c r="V689" i="45"/>
  <c r="R689" i="45"/>
  <c r="N689" i="45"/>
  <c r="AU689" i="45"/>
  <c r="AM689" i="45"/>
  <c r="AE689" i="45"/>
  <c r="W689" i="45"/>
  <c r="O689" i="45"/>
  <c r="AR689" i="45"/>
  <c r="AJ689" i="45"/>
  <c r="AB689" i="45"/>
  <c r="T689" i="45"/>
  <c r="L689" i="45"/>
  <c r="AN689" i="45"/>
  <c r="AF689" i="45"/>
  <c r="X689" i="45"/>
  <c r="P689" i="45"/>
  <c r="AQ689" i="45"/>
  <c r="AA689" i="45"/>
  <c r="S689" i="45"/>
  <c r="AI689" i="45"/>
  <c r="AU706" i="45"/>
  <c r="AQ706" i="45"/>
  <c r="AM706" i="45"/>
  <c r="AI706" i="45"/>
  <c r="AE706" i="45"/>
  <c r="AA706" i="45"/>
  <c r="W706" i="45"/>
  <c r="S706" i="45"/>
  <c r="O706" i="45"/>
  <c r="AP706" i="45"/>
  <c r="AO706" i="45"/>
  <c r="AG706" i="45"/>
  <c r="Y706" i="45"/>
  <c r="Q706" i="45"/>
  <c r="AR706" i="45"/>
  <c r="AN706" i="45"/>
  <c r="AJ706" i="45"/>
  <c r="AF706" i="45"/>
  <c r="AB706" i="45"/>
  <c r="X706" i="45"/>
  <c r="T706" i="45"/>
  <c r="P706" i="45"/>
  <c r="L706" i="45"/>
  <c r="AT706" i="45"/>
  <c r="AL706" i="45"/>
  <c r="AH706" i="45"/>
  <c r="AD706" i="45"/>
  <c r="Z706" i="45"/>
  <c r="V706" i="45"/>
  <c r="R706" i="45"/>
  <c r="N706" i="45"/>
  <c r="AS706" i="45"/>
  <c r="AK706" i="45"/>
  <c r="AC706" i="45"/>
  <c r="U706" i="45"/>
  <c r="M706" i="45"/>
  <c r="AU705" i="45"/>
  <c r="AQ705" i="45"/>
  <c r="AM705" i="45"/>
  <c r="AI705" i="45"/>
  <c r="AE705" i="45"/>
  <c r="AA705" i="45"/>
  <c r="W705" i="45"/>
  <c r="S705" i="45"/>
  <c r="O705" i="45"/>
  <c r="AT705" i="45"/>
  <c r="AL705" i="45"/>
  <c r="AD705" i="45"/>
  <c r="V705" i="45"/>
  <c r="R705" i="45"/>
  <c r="AS705" i="45"/>
  <c r="AK705" i="45"/>
  <c r="AC705" i="45"/>
  <c r="U705" i="45"/>
  <c r="M705" i="45"/>
  <c r="AR705" i="45"/>
  <c r="AN705" i="45"/>
  <c r="AJ705" i="45"/>
  <c r="AF705" i="45"/>
  <c r="AB705" i="45"/>
  <c r="X705" i="45"/>
  <c r="T705" i="45"/>
  <c r="P705" i="45"/>
  <c r="L705" i="45"/>
  <c r="AP705" i="45"/>
  <c r="AH705" i="45"/>
  <c r="Z705" i="45"/>
  <c r="N705" i="45"/>
  <c r="AO705" i="45"/>
  <c r="AG705" i="45"/>
  <c r="Y705" i="45"/>
  <c r="Q705" i="45"/>
  <c r="AT811" i="45"/>
  <c r="AP811" i="45"/>
  <c r="AL811" i="45"/>
  <c r="AH811" i="45"/>
  <c r="AD811" i="45"/>
  <c r="Z811" i="45"/>
  <c r="V811" i="45"/>
  <c r="R811" i="45"/>
  <c r="N811" i="45"/>
  <c r="AR811" i="45"/>
  <c r="AN811" i="45"/>
  <c r="AJ811" i="45"/>
  <c r="AF811" i="45"/>
  <c r="AB811" i="45"/>
  <c r="X811" i="45"/>
  <c r="T811" i="45"/>
  <c r="P811" i="45"/>
  <c r="L811" i="45"/>
  <c r="AQ811" i="45"/>
  <c r="AI811" i="45"/>
  <c r="AA811" i="45"/>
  <c r="S811" i="45"/>
  <c r="AO811" i="45"/>
  <c r="AG811" i="45"/>
  <c r="Y811" i="45"/>
  <c r="Q811" i="45"/>
  <c r="AU811" i="45"/>
  <c r="AM811" i="45"/>
  <c r="AE811" i="45"/>
  <c r="W811" i="45"/>
  <c r="O811" i="45"/>
  <c r="AS811" i="45"/>
  <c r="AK811" i="45"/>
  <c r="AC811" i="45"/>
  <c r="U811" i="45"/>
  <c r="M811" i="45"/>
  <c r="B810" i="45"/>
  <c r="H811" i="45"/>
  <c r="J811" i="45" s="1"/>
  <c r="B916" i="45"/>
  <c r="T227" i="45"/>
  <c r="R8" i="45"/>
  <c r="R12" i="45" s="1"/>
  <c r="T201" i="45"/>
  <c r="BI6" i="44"/>
  <c r="BA29" i="50"/>
  <c r="BB29" i="50"/>
  <c r="AX18" i="50"/>
  <c r="AX21" i="50" s="1"/>
  <c r="AX25" i="50" s="1"/>
  <c r="AX28" i="50" s="1"/>
  <c r="AX29" i="50" s="1"/>
  <c r="AY16" i="50"/>
  <c r="AY13" i="50"/>
  <c r="AY15" i="50"/>
  <c r="AY19" i="50"/>
  <c r="AY26" i="50"/>
  <c r="AY23" i="50"/>
  <c r="AY27" i="50"/>
  <c r="AY20" i="50"/>
  <c r="AY14" i="50"/>
  <c r="AY17" i="50"/>
  <c r="U199" i="45"/>
  <c r="T209" i="45"/>
  <c r="V217" i="45"/>
  <c r="AM205" i="45"/>
  <c r="V189" i="45"/>
  <c r="U206" i="45"/>
  <c r="T207" i="45"/>
  <c r="X197" i="45"/>
  <c r="T195" i="45"/>
  <c r="V279" i="45"/>
  <c r="AB268" i="45"/>
  <c r="T272" i="45"/>
  <c r="T275" i="45"/>
  <c r="U277" i="45"/>
  <c r="V278" i="45"/>
  <c r="T271" i="45"/>
  <c r="U274" i="45"/>
  <c r="T273" i="45"/>
  <c r="U266" i="45"/>
  <c r="U276" i="45"/>
  <c r="AA270" i="45"/>
  <c r="U264" i="45"/>
  <c r="T263" i="45"/>
  <c r="U262" i="45"/>
  <c r="W258" i="45"/>
  <c r="U246" i="45"/>
  <c r="AH254" i="45"/>
  <c r="V242" i="45"/>
  <c r="V238" i="45"/>
  <c r="W250" i="45"/>
  <c r="V234" i="45"/>
  <c r="U229" i="45"/>
  <c r="U219" i="45"/>
  <c r="U192" i="45"/>
  <c r="U196" i="45"/>
  <c r="Z253" i="45"/>
  <c r="U187" i="45"/>
  <c r="V220" i="45"/>
  <c r="U260" i="45"/>
  <c r="V231" i="45"/>
  <c r="T203" i="45"/>
  <c r="W193" i="45"/>
  <c r="U256" i="45"/>
  <c r="U230" i="45"/>
  <c r="V191" i="45"/>
  <c r="U244" i="45"/>
  <c r="U210" i="45"/>
  <c r="U233" i="45"/>
  <c r="V204" i="45"/>
  <c r="U200" i="45"/>
  <c r="U239" i="45"/>
  <c r="U252" i="45"/>
  <c r="U214" i="45"/>
  <c r="U222" i="45"/>
  <c r="U261" i="45"/>
  <c r="U237" i="45"/>
  <c r="U194" i="45"/>
  <c r="V216" i="45"/>
  <c r="U190" i="45"/>
  <c r="U225" i="45"/>
  <c r="U215" i="45"/>
  <c r="U223" i="45"/>
  <c r="U213" i="45"/>
  <c r="T221" i="45"/>
  <c r="T218" i="45"/>
  <c r="U212" i="45"/>
  <c r="U224" i="45"/>
  <c r="U259" i="45"/>
  <c r="U245" i="45"/>
  <c r="U198" i="45"/>
  <c r="V208" i="45"/>
  <c r="U255" i="45"/>
  <c r="U232" i="45"/>
  <c r="U248" i="45"/>
  <c r="U236" i="45"/>
  <c r="AE243" i="45"/>
  <c r="U226" i="45"/>
  <c r="U186" i="45"/>
  <c r="U396" i="45" s="1"/>
  <c r="U257" i="45"/>
  <c r="U211" i="45"/>
  <c r="U249" i="45"/>
  <c r="O3" i="45"/>
  <c r="AE156" i="3"/>
  <c r="K144" i="3"/>
  <c r="U37" i="3"/>
  <c r="J51" i="3"/>
  <c r="C84" i="3"/>
  <c r="AK55" i="3"/>
  <c r="S36" i="3"/>
  <c r="M159" i="3"/>
  <c r="U137" i="3"/>
  <c r="F105" i="3"/>
  <c r="AD39" i="3"/>
  <c r="L47" i="3"/>
  <c r="K48" i="3"/>
  <c r="K125" i="3"/>
  <c r="AB55" i="3"/>
  <c r="L95" i="3"/>
  <c r="AB40" i="3"/>
  <c r="R78" i="3"/>
  <c r="Q153" i="3"/>
  <c r="P173" i="3"/>
  <c r="O139" i="3"/>
  <c r="S91" i="3"/>
  <c r="M64" i="3"/>
  <c r="K113" i="3"/>
  <c r="O104" i="3"/>
  <c r="U113" i="3"/>
  <c r="Y80" i="3"/>
  <c r="O163" i="3"/>
  <c r="AK79" i="3"/>
  <c r="F36" i="3"/>
  <c r="V189" i="3"/>
  <c r="AL168" i="3"/>
  <c r="AF129" i="3"/>
  <c r="V149" i="3"/>
  <c r="AF99" i="3"/>
  <c r="E87" i="3"/>
  <c r="H54" i="3"/>
  <c r="AK62" i="3"/>
  <c r="E60" i="3"/>
  <c r="AA165" i="3"/>
  <c r="P53" i="3"/>
  <c r="D65" i="3"/>
  <c r="AK50" i="3"/>
  <c r="S104" i="3"/>
  <c r="AE160" i="3"/>
  <c r="K80" i="3"/>
  <c r="X130" i="3"/>
  <c r="T49" i="3"/>
  <c r="AA118" i="3"/>
  <c r="AF39" i="3"/>
  <c r="N168" i="3"/>
  <c r="G149" i="3"/>
  <c r="AF131" i="3"/>
  <c r="I92" i="3"/>
  <c r="AC140" i="3"/>
  <c r="N44" i="3"/>
  <c r="S97" i="3"/>
  <c r="Y58" i="3"/>
  <c r="AC188" i="3"/>
  <c r="R67" i="3"/>
  <c r="G136" i="3"/>
  <c r="C125" i="3"/>
  <c r="AI157" i="3"/>
  <c r="K163" i="3"/>
  <c r="X148" i="3"/>
  <c r="K170" i="3"/>
  <c r="J80" i="3"/>
  <c r="AG92" i="3"/>
  <c r="L130" i="3"/>
  <c r="T159" i="3"/>
  <c r="AE106" i="3"/>
  <c r="AE153" i="3"/>
  <c r="W116" i="3"/>
  <c r="H157" i="3"/>
  <c r="P48" i="3"/>
  <c r="O91" i="3"/>
  <c r="P80" i="3"/>
  <c r="I56" i="3"/>
  <c r="I67" i="3"/>
  <c r="AA161" i="3"/>
  <c r="K148" i="3"/>
  <c r="AA104" i="3"/>
  <c r="F153" i="3"/>
  <c r="F92" i="3"/>
  <c r="R134" i="3"/>
  <c r="R164" i="3"/>
  <c r="Y87" i="3"/>
  <c r="U147" i="3"/>
  <c r="AA68" i="3"/>
  <c r="H123" i="3"/>
  <c r="S119" i="3"/>
  <c r="AI165" i="3"/>
  <c r="I164" i="3"/>
  <c r="AK90" i="3"/>
  <c r="AK170" i="3"/>
  <c r="Y113" i="3"/>
  <c r="Q163" i="3"/>
  <c r="Z82" i="3"/>
  <c r="O190" i="3"/>
  <c r="AA103" i="3"/>
  <c r="T135" i="3"/>
  <c r="P183" i="3"/>
  <c r="AF53" i="3"/>
  <c r="AD44" i="3"/>
  <c r="C68" i="3"/>
  <c r="J44" i="3"/>
  <c r="Y115" i="3"/>
  <c r="AF80" i="3"/>
  <c r="AK54" i="3"/>
  <c r="AI137" i="3"/>
  <c r="AI65" i="3"/>
  <c r="AK92" i="3"/>
  <c r="I169" i="3"/>
  <c r="D114" i="3"/>
  <c r="G84" i="3"/>
  <c r="G68" i="3"/>
  <c r="AC93" i="3"/>
  <c r="D163" i="3"/>
  <c r="V39" i="3"/>
  <c r="AC100" i="3"/>
  <c r="H129" i="3"/>
  <c r="F48" i="3"/>
  <c r="AI166" i="3"/>
  <c r="J137" i="3"/>
  <c r="Q62" i="3"/>
  <c r="AD62" i="3"/>
  <c r="AC63" i="3"/>
  <c r="H58" i="3"/>
  <c r="M149" i="3"/>
  <c r="Y171" i="3"/>
  <c r="E172" i="3"/>
  <c r="M173" i="3"/>
  <c r="AL58" i="3"/>
  <c r="AD188" i="3"/>
  <c r="C122" i="3"/>
  <c r="P100" i="3"/>
  <c r="N125" i="3"/>
  <c r="AA164" i="3"/>
  <c r="K97" i="3"/>
  <c r="AG62" i="3"/>
  <c r="E189" i="3"/>
  <c r="AF150" i="3"/>
  <c r="C134" i="3"/>
  <c r="AD37" i="3"/>
  <c r="Y160" i="3"/>
  <c r="X114" i="3"/>
  <c r="M190" i="3"/>
  <c r="H95" i="3"/>
  <c r="S55" i="3"/>
  <c r="V172" i="3"/>
  <c r="J66" i="3"/>
  <c r="AE79" i="3"/>
  <c r="V45" i="3"/>
  <c r="N105" i="3"/>
  <c r="AE35" i="3"/>
  <c r="J37" i="3"/>
  <c r="T36" i="3"/>
  <c r="AI133" i="3"/>
  <c r="AF41" i="3"/>
  <c r="AK151" i="3"/>
  <c r="P126" i="3"/>
  <c r="L84" i="3"/>
  <c r="E149" i="3"/>
  <c r="Z189" i="3"/>
  <c r="AJ64" i="3"/>
  <c r="AJ92" i="3"/>
  <c r="N64" i="3"/>
  <c r="T104" i="3"/>
  <c r="Z88" i="3"/>
  <c r="AH96" i="3"/>
  <c r="D171" i="3"/>
  <c r="G39" i="3"/>
  <c r="Q129" i="3"/>
  <c r="R151" i="3"/>
  <c r="AG56" i="3"/>
  <c r="W117" i="3"/>
  <c r="Q36" i="3"/>
  <c r="AE134" i="3"/>
  <c r="AI147" i="3"/>
  <c r="K58" i="3"/>
  <c r="O118" i="3"/>
  <c r="G115" i="3"/>
  <c r="F166" i="3"/>
  <c r="S165" i="3"/>
  <c r="AD164" i="3"/>
  <c r="D36" i="3"/>
  <c r="J59" i="3"/>
  <c r="L63" i="3"/>
  <c r="Y59" i="3"/>
  <c r="D100" i="3"/>
  <c r="V105" i="3"/>
  <c r="O166" i="3"/>
  <c r="AB38" i="3"/>
  <c r="N53" i="3"/>
  <c r="N152" i="3"/>
  <c r="J144" i="3"/>
  <c r="E69" i="3"/>
  <c r="V144" i="3"/>
  <c r="AI83" i="3"/>
  <c r="AE64" i="3"/>
  <c r="AC113" i="3"/>
  <c r="T162" i="3"/>
  <c r="N95" i="3"/>
  <c r="W164" i="3"/>
  <c r="W148" i="3"/>
  <c r="AB157" i="3"/>
  <c r="Q104" i="3"/>
  <c r="AH135" i="3"/>
  <c r="F190" i="3"/>
  <c r="Y62" i="3"/>
  <c r="AC117" i="3"/>
  <c r="AC139" i="3"/>
  <c r="O152" i="3"/>
  <c r="F183" i="3"/>
  <c r="H93" i="3"/>
  <c r="G134" i="3"/>
  <c r="AB80" i="3"/>
  <c r="C153" i="3"/>
  <c r="AJ131" i="3"/>
  <c r="AE55" i="3"/>
  <c r="U68" i="3"/>
  <c r="Z159" i="3"/>
  <c r="X47" i="3"/>
  <c r="P175" i="3"/>
  <c r="S64" i="3"/>
  <c r="W94" i="3"/>
  <c r="Q172" i="3"/>
  <c r="AL101" i="3"/>
  <c r="Y82" i="3"/>
  <c r="Y81" i="3"/>
  <c r="V40" i="3"/>
  <c r="K123" i="3"/>
  <c r="AH36" i="3"/>
  <c r="F151" i="3"/>
  <c r="W91" i="3"/>
  <c r="H152" i="3"/>
  <c r="F159" i="3"/>
  <c r="L66" i="3"/>
  <c r="AH166" i="3"/>
  <c r="AA84" i="3"/>
  <c r="C188" i="3"/>
  <c r="AD165" i="3"/>
  <c r="R88" i="3"/>
  <c r="M144" i="3"/>
  <c r="Q188" i="3"/>
  <c r="D83" i="3"/>
  <c r="T123" i="3"/>
  <c r="AJ144" i="3"/>
  <c r="P188" i="3"/>
  <c r="D82" i="3"/>
  <c r="U92" i="3"/>
  <c r="AL54" i="3"/>
  <c r="AD174" i="3"/>
  <c r="X104" i="3"/>
  <c r="J174" i="3"/>
  <c r="D168" i="3"/>
  <c r="AK99" i="3"/>
  <c r="G117" i="3"/>
  <c r="M148" i="3"/>
  <c r="AK168" i="3"/>
  <c r="Z151" i="3"/>
  <c r="P147" i="3"/>
  <c r="AF172" i="3"/>
  <c r="AE149" i="3"/>
  <c r="X51" i="3"/>
  <c r="U90" i="3"/>
  <c r="U119" i="3"/>
  <c r="M84" i="3"/>
  <c r="C137" i="3"/>
  <c r="AK57" i="3"/>
  <c r="AA156" i="3"/>
  <c r="Y157" i="3"/>
  <c r="H189" i="3"/>
  <c r="AK60" i="3"/>
  <c r="K149" i="3"/>
  <c r="Q173" i="3"/>
  <c r="AC57" i="3"/>
  <c r="Y119" i="3"/>
  <c r="M50" i="3"/>
  <c r="AG69" i="3"/>
  <c r="D95" i="3"/>
  <c r="D80" i="3"/>
  <c r="Q156" i="3"/>
  <c r="AK153" i="3"/>
  <c r="AB189" i="3"/>
  <c r="O78" i="3"/>
  <c r="Q66" i="3"/>
  <c r="AH62" i="3"/>
  <c r="C152" i="3"/>
  <c r="K88" i="3"/>
  <c r="AK159" i="3"/>
  <c r="C35" i="3"/>
  <c r="U55" i="3"/>
  <c r="AG195" i="3"/>
  <c r="AD56" i="3"/>
  <c r="W189" i="3"/>
  <c r="AF63" i="3"/>
  <c r="AB149" i="3"/>
  <c r="AH83" i="3"/>
  <c r="AJ106" i="3"/>
  <c r="AH39" i="3"/>
  <c r="X128" i="3"/>
  <c r="AG139" i="3"/>
  <c r="AC135" i="3"/>
  <c r="U64" i="3"/>
  <c r="AK59" i="3"/>
  <c r="V83" i="3"/>
  <c r="I59" i="3"/>
  <c r="AH140" i="3"/>
  <c r="D67" i="3"/>
  <c r="D161" i="3"/>
  <c r="U101" i="3"/>
  <c r="F60" i="3"/>
  <c r="AB96" i="3"/>
  <c r="E128" i="3"/>
  <c r="AJ149" i="3"/>
  <c r="AD190" i="3"/>
  <c r="H114" i="3"/>
  <c r="J140" i="3"/>
  <c r="R68" i="3"/>
  <c r="I63" i="3"/>
  <c r="AG119" i="3"/>
  <c r="I117" i="3"/>
  <c r="AK166" i="3"/>
  <c r="AB39" i="3"/>
  <c r="T130" i="3"/>
  <c r="I48" i="3"/>
  <c r="O45" i="3"/>
  <c r="AJ160" i="3"/>
  <c r="V128" i="3"/>
  <c r="O172" i="3"/>
  <c r="P101" i="3"/>
  <c r="Q58" i="3"/>
  <c r="P55" i="3"/>
  <c r="R168" i="3"/>
  <c r="X151" i="3"/>
  <c r="P94" i="3"/>
  <c r="K129" i="3"/>
  <c r="V54" i="3"/>
  <c r="AH183" i="3"/>
  <c r="AF174" i="3"/>
  <c r="AI58" i="3"/>
  <c r="AB110" i="3"/>
  <c r="C103" i="3"/>
  <c r="AL67" i="3"/>
  <c r="M55" i="3"/>
  <c r="W38" i="3"/>
  <c r="Q83" i="3"/>
  <c r="AB64" i="3"/>
  <c r="AI60" i="3"/>
  <c r="AJ122" i="3"/>
  <c r="L99" i="3"/>
  <c r="H174" i="3"/>
  <c r="AB130" i="3"/>
  <c r="AE126" i="3"/>
  <c r="AF116" i="3"/>
  <c r="S136" i="3"/>
  <c r="C102" i="3"/>
  <c r="P170" i="3"/>
  <c r="H172" i="3"/>
  <c r="I127" i="3"/>
  <c r="I100" i="3"/>
  <c r="S172" i="3"/>
  <c r="L157" i="3"/>
  <c r="R36" i="3"/>
  <c r="G170" i="3"/>
  <c r="U150" i="3"/>
  <c r="AG131" i="3"/>
  <c r="X66" i="3"/>
  <c r="T188" i="3"/>
  <c r="AC90" i="3"/>
  <c r="C128" i="3"/>
  <c r="AH130" i="3"/>
  <c r="R139" i="3"/>
  <c r="I119" i="3"/>
  <c r="AI174" i="3"/>
  <c r="F56" i="3"/>
  <c r="S40" i="3"/>
  <c r="AG40" i="3"/>
  <c r="AB128" i="3"/>
  <c r="S156" i="3"/>
  <c r="T84" i="3"/>
  <c r="I150" i="3"/>
  <c r="Y161" i="3"/>
  <c r="AH78" i="3"/>
  <c r="K157" i="3"/>
  <c r="V67" i="3"/>
  <c r="V183" i="3"/>
  <c r="V87" i="3"/>
  <c r="AF93" i="3"/>
  <c r="U140" i="3"/>
  <c r="AL116" i="3"/>
  <c r="E38" i="3"/>
  <c r="X183" i="3"/>
  <c r="AJ49" i="3"/>
  <c r="AB135" i="3"/>
  <c r="AK149" i="3"/>
  <c r="AL175" i="3"/>
  <c r="F79" i="3"/>
  <c r="P66" i="3"/>
  <c r="D99" i="3"/>
  <c r="AK189" i="3"/>
  <c r="Q65" i="3"/>
  <c r="M49" i="3"/>
  <c r="AI44" i="3"/>
  <c r="L116" i="3"/>
  <c r="AD116" i="3"/>
  <c r="E163" i="3"/>
  <c r="AG99" i="3"/>
  <c r="P69" i="3"/>
  <c r="C65" i="3"/>
  <c r="H38" i="3"/>
  <c r="J87" i="3"/>
  <c r="Y64" i="3"/>
  <c r="AI119" i="3"/>
  <c r="I137" i="3"/>
  <c r="K136" i="3"/>
  <c r="AG161" i="3"/>
  <c r="AG166" i="3"/>
  <c r="O116" i="3"/>
  <c r="G137" i="3"/>
  <c r="C165" i="3"/>
  <c r="D139" i="3"/>
  <c r="E170" i="3"/>
  <c r="AD175" i="3"/>
  <c r="AI135" i="3"/>
  <c r="AL48" i="3"/>
  <c r="AK163" i="3"/>
  <c r="H90" i="3"/>
  <c r="W139" i="3"/>
  <c r="Y41" i="3"/>
  <c r="J99" i="3"/>
  <c r="C58" i="3"/>
  <c r="I157" i="3"/>
  <c r="D157" i="3"/>
  <c r="AD144" i="3"/>
  <c r="AJ66" i="3"/>
  <c r="R115" i="3"/>
  <c r="G140" i="3"/>
  <c r="K188" i="3"/>
  <c r="D66" i="3"/>
  <c r="G47" i="3"/>
  <c r="T105" i="3"/>
  <c r="G54" i="3"/>
  <c r="AF188" i="3"/>
  <c r="Y137" i="3"/>
  <c r="AB66" i="3"/>
  <c r="K172" i="3"/>
  <c r="J78" i="3"/>
  <c r="D69" i="3"/>
  <c r="Y51" i="3"/>
  <c r="AL171" i="3"/>
  <c r="AD99" i="3"/>
  <c r="AL126" i="3"/>
  <c r="R118" i="3"/>
  <c r="G175" i="3"/>
  <c r="I99" i="3"/>
  <c r="M39" i="3"/>
  <c r="I173" i="3"/>
  <c r="J40" i="3"/>
  <c r="L59" i="3"/>
  <c r="AE114" i="3"/>
  <c r="X94" i="3"/>
  <c r="AK135" i="3"/>
  <c r="J45" i="3"/>
  <c r="Y37" i="3"/>
  <c r="G45" i="3"/>
  <c r="R44" i="3"/>
  <c r="S126" i="3"/>
  <c r="V100" i="3"/>
  <c r="AI113" i="3"/>
  <c r="AH156" i="3"/>
  <c r="O188" i="3"/>
  <c r="R96" i="3"/>
  <c r="AC92" i="3"/>
  <c r="D153" i="3"/>
  <c r="L110" i="3"/>
  <c r="E100" i="3"/>
  <c r="T151" i="3"/>
  <c r="C164" i="3"/>
  <c r="U62" i="3"/>
  <c r="AJ135" i="3"/>
  <c r="J65" i="3"/>
  <c r="AC51" i="3"/>
  <c r="C170" i="3"/>
  <c r="N102" i="3"/>
  <c r="O49" i="3"/>
  <c r="AI190" i="3"/>
  <c r="H105" i="3"/>
  <c r="AA174" i="3"/>
  <c r="H156" i="3"/>
  <c r="AJ119" i="3"/>
  <c r="O90" i="3"/>
  <c r="G66" i="3"/>
  <c r="Y78" i="3"/>
  <c r="AD172" i="3"/>
  <c r="D63" i="3"/>
  <c r="AE105" i="3"/>
  <c r="J135" i="3"/>
  <c r="AC129" i="3"/>
  <c r="T80" i="3"/>
  <c r="U57" i="3"/>
  <c r="R51" i="3"/>
  <c r="Z172" i="3"/>
  <c r="N135" i="3"/>
  <c r="AK58" i="3"/>
  <c r="M130" i="3"/>
  <c r="V55" i="3"/>
  <c r="U47" i="3"/>
  <c r="M81" i="3"/>
  <c r="V135" i="3"/>
  <c r="AI172" i="3"/>
  <c r="N55" i="3"/>
  <c r="F116" i="3"/>
  <c r="AG97" i="3"/>
  <c r="AD36" i="3"/>
  <c r="AA138" i="3"/>
  <c r="AC83" i="3"/>
  <c r="AI175" i="3"/>
  <c r="AI105" i="3"/>
  <c r="AK117" i="3"/>
  <c r="AK119" i="3"/>
  <c r="M67" i="3"/>
  <c r="X80" i="3"/>
  <c r="Y122" i="3"/>
  <c r="K41" i="3"/>
  <c r="Q122" i="3"/>
  <c r="AH152" i="3"/>
  <c r="AB95" i="3"/>
  <c r="AE100" i="3"/>
  <c r="Q138" i="3"/>
  <c r="AF55" i="3"/>
  <c r="J168" i="3"/>
  <c r="AA151" i="3"/>
  <c r="AK47" i="3"/>
  <c r="AI47" i="3"/>
  <c r="P135" i="3"/>
  <c r="AE56" i="3"/>
  <c r="AD169" i="3"/>
  <c r="J62" i="3"/>
  <c r="N159" i="3"/>
  <c r="I149" i="3"/>
  <c r="AI102" i="3"/>
  <c r="C127" i="3"/>
  <c r="X156" i="3"/>
  <c r="E58" i="3"/>
  <c r="AL149" i="3"/>
  <c r="C183" i="3"/>
  <c r="AF195" i="3"/>
  <c r="N48" i="3"/>
  <c r="F49" i="3"/>
  <c r="E159" i="3"/>
  <c r="AE129" i="3"/>
  <c r="Y125" i="3"/>
  <c r="L133" i="3"/>
  <c r="P156" i="3"/>
  <c r="U164" i="3"/>
  <c r="M53" i="3"/>
  <c r="AH138" i="3"/>
  <c r="W101" i="3"/>
  <c r="P95" i="3"/>
  <c r="AA119" i="3"/>
  <c r="M165" i="3"/>
  <c r="X59" i="3"/>
  <c r="R150" i="3"/>
  <c r="E106" i="3"/>
  <c r="T126" i="3"/>
  <c r="AC58" i="3"/>
  <c r="L137" i="3"/>
  <c r="L122" i="3"/>
  <c r="L171" i="3"/>
  <c r="AK126" i="3"/>
  <c r="N137" i="3"/>
  <c r="F68" i="3"/>
  <c r="J151" i="3"/>
  <c r="AK169" i="3"/>
  <c r="AC152" i="3"/>
  <c r="V169" i="3"/>
  <c r="U56" i="3"/>
  <c r="AD152" i="3"/>
  <c r="AH149" i="3"/>
  <c r="AI101" i="3"/>
  <c r="E133" i="3"/>
  <c r="AB163" i="3"/>
  <c r="AD67" i="3"/>
  <c r="AA136" i="3"/>
  <c r="H102" i="3"/>
  <c r="F102" i="3"/>
  <c r="L67" i="3"/>
  <c r="M116" i="3"/>
  <c r="AL78" i="3"/>
  <c r="AA93" i="3"/>
  <c r="E169" i="3"/>
  <c r="AL123" i="3"/>
  <c r="AL135" i="3"/>
  <c r="U80" i="3"/>
  <c r="D147" i="3"/>
  <c r="Z44" i="3"/>
  <c r="AD40" i="3"/>
  <c r="E78" i="3"/>
  <c r="P166" i="3"/>
  <c r="Y47" i="3"/>
  <c r="AK44" i="3"/>
  <c r="W188" i="3"/>
  <c r="N63" i="3"/>
  <c r="I175" i="3"/>
  <c r="AA38" i="3"/>
  <c r="U173" i="3"/>
  <c r="AF66" i="3"/>
  <c r="AJ44" i="3"/>
  <c r="I135" i="3"/>
  <c r="I148" i="3"/>
  <c r="P157" i="3"/>
  <c r="AJ113" i="3"/>
  <c r="J131" i="3"/>
  <c r="K91" i="3"/>
  <c r="AA66" i="3"/>
  <c r="AB136" i="3"/>
  <c r="Y126" i="3"/>
  <c r="AJ173" i="3"/>
  <c r="P129" i="3"/>
  <c r="C36" i="3"/>
  <c r="M80" i="3"/>
  <c r="P62" i="3"/>
  <c r="AL53" i="3"/>
  <c r="Q63" i="3"/>
  <c r="AC116" i="3"/>
  <c r="O161" i="3"/>
  <c r="U138" i="3"/>
  <c r="F39" i="3"/>
  <c r="M69" i="3"/>
  <c r="M170" i="3"/>
  <c r="O149" i="3"/>
  <c r="N175" i="3"/>
  <c r="S139" i="3"/>
  <c r="E129" i="3"/>
  <c r="AG80" i="3"/>
  <c r="AA45" i="3"/>
  <c r="F163" i="3"/>
  <c r="Q96" i="3"/>
  <c r="P87" i="3"/>
  <c r="AE128" i="3"/>
  <c r="AE150" i="3"/>
  <c r="AE93" i="3"/>
  <c r="AE117" i="3"/>
  <c r="AC148" i="3"/>
  <c r="P151" i="3"/>
  <c r="M139" i="3"/>
  <c r="K100" i="3"/>
  <c r="L105" i="3"/>
  <c r="AI189" i="3"/>
  <c r="AF136" i="3"/>
  <c r="S56" i="3"/>
  <c r="M65" i="3"/>
  <c r="I101" i="3"/>
  <c r="AK110" i="3"/>
  <c r="AD119" i="3"/>
  <c r="S100" i="3"/>
  <c r="R53" i="3"/>
  <c r="W136" i="3"/>
  <c r="AB37" i="3"/>
  <c r="M95" i="3"/>
  <c r="AJ105" i="3"/>
  <c r="AB152" i="3"/>
  <c r="AE175" i="3"/>
  <c r="AE118" i="3"/>
  <c r="P137" i="3"/>
  <c r="AE81" i="3"/>
  <c r="C160" i="3"/>
  <c r="Y100" i="3"/>
  <c r="E164" i="3"/>
  <c r="I170" i="3"/>
  <c r="U127" i="3"/>
  <c r="AB164" i="3"/>
  <c r="AE173" i="3"/>
  <c r="AL127" i="3"/>
  <c r="K39" i="3"/>
  <c r="X78" i="3"/>
  <c r="C97" i="3"/>
  <c r="AJ97" i="3"/>
  <c r="R162" i="3"/>
  <c r="AJ78" i="3"/>
  <c r="K67" i="3"/>
  <c r="S90" i="3"/>
  <c r="AE78" i="3"/>
  <c r="AG133" i="3"/>
  <c r="K168" i="3"/>
  <c r="R163" i="3"/>
  <c r="AC118" i="3"/>
  <c r="Q136" i="3"/>
  <c r="Y65" i="3"/>
  <c r="AI45" i="3"/>
  <c r="AF134" i="3"/>
  <c r="Y118" i="3"/>
  <c r="P149" i="3"/>
  <c r="O128" i="3"/>
  <c r="AJ99" i="3"/>
  <c r="C94" i="3"/>
  <c r="V80" i="3"/>
  <c r="I195" i="3"/>
  <c r="Q105" i="3"/>
  <c r="AA152" i="3"/>
  <c r="AC190" i="3"/>
  <c r="H130" i="3"/>
  <c r="W144" i="3"/>
  <c r="G152" i="3"/>
  <c r="O84" i="3"/>
  <c r="J68" i="3"/>
  <c r="Z63" i="3"/>
  <c r="AE166" i="3"/>
  <c r="AE183" i="3"/>
  <c r="M174" i="3"/>
  <c r="Q152" i="3"/>
  <c r="Z147" i="3"/>
  <c r="J172" i="3"/>
  <c r="AL38" i="3"/>
  <c r="K50" i="3"/>
  <c r="AC151" i="3"/>
  <c r="D152" i="3"/>
  <c r="M45" i="3"/>
  <c r="L139" i="3"/>
  <c r="T190" i="3"/>
  <c r="G56" i="3"/>
  <c r="I151" i="3"/>
  <c r="N114" i="3"/>
  <c r="X195" i="3"/>
  <c r="AC119" i="3"/>
  <c r="AC110" i="3"/>
  <c r="AE189" i="3"/>
  <c r="Y172" i="3"/>
  <c r="AC103" i="3"/>
  <c r="AI78" i="3"/>
  <c r="Y69" i="3"/>
  <c r="AF168" i="3"/>
  <c r="W59" i="3"/>
  <c r="R116" i="3"/>
  <c r="Y136" i="3"/>
  <c r="H127" i="3"/>
  <c r="M97" i="3"/>
  <c r="W69" i="3"/>
  <c r="G165" i="3"/>
  <c r="U50" i="3"/>
  <c r="Z56" i="3"/>
  <c r="AF163" i="3"/>
  <c r="AJ118" i="3"/>
  <c r="K133" i="3"/>
  <c r="S57" i="3"/>
  <c r="AB122" i="3"/>
  <c r="C54" i="3"/>
  <c r="AG188" i="3"/>
  <c r="X190" i="3"/>
  <c r="AG59" i="3"/>
  <c r="M99" i="3"/>
  <c r="AG110" i="3"/>
  <c r="O36" i="3"/>
  <c r="E99" i="3"/>
  <c r="Q103" i="3"/>
  <c r="P49" i="3"/>
  <c r="H80" i="3"/>
  <c r="J160" i="3"/>
  <c r="D47" i="3"/>
  <c r="AC37" i="3"/>
  <c r="AL44" i="3"/>
  <c r="AE51" i="3"/>
  <c r="AE171" i="3"/>
  <c r="C79" i="3"/>
  <c r="AJ65" i="3"/>
  <c r="AD156" i="3"/>
  <c r="J105" i="3"/>
  <c r="O159" i="3"/>
  <c r="F172" i="3"/>
  <c r="N59" i="3"/>
  <c r="S63" i="3"/>
  <c r="T166" i="3"/>
  <c r="AB171" i="3"/>
  <c r="I62" i="3"/>
  <c r="M101" i="3"/>
  <c r="AG137" i="3"/>
  <c r="AA122" i="3"/>
  <c r="M93" i="3"/>
  <c r="T144" i="3"/>
  <c r="X100" i="3"/>
  <c r="F55" i="3"/>
  <c r="S129" i="3"/>
  <c r="AF169" i="3"/>
  <c r="L96" i="3"/>
  <c r="P51" i="3"/>
  <c r="Q115" i="3"/>
  <c r="AL189" i="3"/>
  <c r="AD55" i="3"/>
  <c r="AL165" i="3"/>
  <c r="J195" i="3"/>
  <c r="I65" i="3"/>
  <c r="U81" i="3"/>
  <c r="G168" i="3"/>
  <c r="AD63" i="3"/>
  <c r="O160" i="3"/>
  <c r="U87" i="3"/>
  <c r="AC68" i="3"/>
  <c r="V62" i="3"/>
  <c r="AJ36" i="3"/>
  <c r="S93" i="3"/>
  <c r="AD65" i="3"/>
  <c r="AJ104" i="3"/>
  <c r="M115" i="3"/>
  <c r="E84" i="3"/>
  <c r="O156" i="3"/>
  <c r="E37" i="3"/>
  <c r="AK67" i="3"/>
  <c r="D55" i="3"/>
  <c r="M153" i="3"/>
  <c r="D105" i="3"/>
  <c r="AF49" i="3"/>
  <c r="M136" i="3"/>
  <c r="S162" i="3"/>
  <c r="Y183" i="3"/>
  <c r="E144" i="3"/>
  <c r="D135" i="3"/>
  <c r="W68" i="3"/>
  <c r="AL94" i="3"/>
  <c r="Y135" i="3"/>
  <c r="P140" i="3"/>
  <c r="T96" i="3"/>
  <c r="AJ157" i="3"/>
  <c r="J118" i="3"/>
  <c r="G44" i="3"/>
  <c r="F95" i="3"/>
  <c r="S41" i="3"/>
  <c r="AH67" i="3"/>
  <c r="Y68" i="3"/>
  <c r="U36" i="3"/>
  <c r="N45" i="3"/>
  <c r="G190" i="3"/>
  <c r="Z101" i="3"/>
  <c r="M147" i="3"/>
  <c r="E134" i="3"/>
  <c r="M183" i="3"/>
  <c r="M157" i="3"/>
  <c r="K47" i="3"/>
  <c r="H117" i="3"/>
  <c r="AC96" i="3"/>
  <c r="S37" i="3"/>
  <c r="Q35" i="3"/>
  <c r="Y66" i="3"/>
  <c r="AI144" i="3"/>
  <c r="Q135" i="3"/>
  <c r="AE95" i="3"/>
  <c r="P163" i="3"/>
  <c r="Q92" i="3"/>
  <c r="E150" i="3"/>
  <c r="AL96" i="3"/>
  <c r="U115" i="3"/>
  <c r="I163" i="3"/>
  <c r="Q49" i="3"/>
  <c r="AL47" i="3"/>
  <c r="AL170" i="3"/>
  <c r="AL160" i="3"/>
  <c r="S122" i="3"/>
  <c r="F104" i="3"/>
  <c r="R138" i="3"/>
  <c r="W104" i="3"/>
  <c r="AF138" i="3"/>
  <c r="Q140" i="3"/>
  <c r="L125" i="3"/>
  <c r="S69" i="3"/>
  <c r="H131" i="3"/>
  <c r="AI117" i="3"/>
  <c r="O82" i="3"/>
  <c r="W48" i="3"/>
  <c r="R195" i="3"/>
  <c r="AG51" i="3"/>
  <c r="Y49" i="3"/>
  <c r="X79" i="3"/>
  <c r="AG189" i="3"/>
  <c r="AF159" i="3"/>
  <c r="AB94" i="3"/>
  <c r="F140" i="3"/>
  <c r="L60" i="3"/>
  <c r="F152" i="3"/>
  <c r="P117" i="3"/>
  <c r="T55" i="3"/>
  <c r="O110" i="3"/>
  <c r="R64" i="3"/>
  <c r="AA53" i="3"/>
  <c r="AI148" i="3"/>
  <c r="E113" i="3"/>
  <c r="P162" i="3"/>
  <c r="I49" i="3"/>
  <c r="J123" i="3"/>
  <c r="W183" i="3"/>
  <c r="O83" i="3"/>
  <c r="F67" i="3"/>
  <c r="N36" i="3"/>
  <c r="S53" i="3"/>
  <c r="S171" i="3"/>
  <c r="O96" i="3"/>
  <c r="Y173" i="3"/>
  <c r="AA40" i="3"/>
  <c r="V195" i="3"/>
  <c r="C101" i="3"/>
  <c r="G96" i="3"/>
  <c r="O174" i="3"/>
  <c r="AB44" i="3"/>
  <c r="F44" i="3"/>
  <c r="W65" i="3"/>
  <c r="F195" i="3"/>
  <c r="E55" i="3"/>
  <c r="K56" i="3"/>
  <c r="R49" i="3"/>
  <c r="AH88" i="3"/>
  <c r="AG57" i="3"/>
  <c r="M44" i="3"/>
  <c r="AK137" i="3"/>
  <c r="C126" i="3"/>
  <c r="M117" i="3"/>
  <c r="I36" i="3"/>
  <c r="T119" i="3"/>
  <c r="K55" i="3"/>
  <c r="AF148" i="3"/>
  <c r="H64" i="3"/>
  <c r="S164" i="3"/>
  <c r="J165" i="3"/>
  <c r="AJ110" i="3"/>
  <c r="R135" i="3"/>
  <c r="J117" i="3"/>
  <c r="G173" i="3"/>
  <c r="AD166" i="3"/>
  <c r="AL68" i="3"/>
  <c r="C118" i="3"/>
  <c r="O135" i="3"/>
  <c r="H83" i="3"/>
  <c r="O151" i="3"/>
  <c r="G101" i="3"/>
  <c r="M195" i="3"/>
  <c r="AA69" i="3"/>
  <c r="X88" i="3"/>
  <c r="E94" i="3"/>
  <c r="N49" i="3"/>
  <c r="AF104" i="3"/>
  <c r="Q114" i="3"/>
  <c r="AD69" i="3"/>
  <c r="Z118" i="3"/>
  <c r="AD64" i="3"/>
  <c r="D92" i="3"/>
  <c r="U39" i="3"/>
  <c r="N68" i="3"/>
  <c r="P102" i="3"/>
  <c r="AK113" i="3"/>
  <c r="AE38" i="3"/>
  <c r="AD126" i="3"/>
  <c r="AH105" i="3"/>
  <c r="AK152" i="3"/>
  <c r="D131" i="3"/>
  <c r="W130" i="3"/>
  <c r="L68" i="3"/>
  <c r="S68" i="3"/>
  <c r="AE47" i="3"/>
  <c r="U66" i="3"/>
  <c r="C139" i="3"/>
  <c r="Y152" i="3"/>
  <c r="R95" i="3"/>
  <c r="H67" i="3"/>
  <c r="G41" i="3"/>
  <c r="R189" i="3"/>
  <c r="Q94" i="3"/>
  <c r="P59" i="3"/>
  <c r="R81" i="3"/>
  <c r="AB54" i="3"/>
  <c r="I55" i="3"/>
  <c r="P152" i="3"/>
  <c r="S114" i="3"/>
  <c r="J173" i="3"/>
  <c r="AJ51" i="3"/>
  <c r="E56" i="3"/>
  <c r="L117" i="3"/>
  <c r="F114" i="3"/>
  <c r="Q39" i="3"/>
  <c r="AL50" i="3"/>
  <c r="R102" i="3"/>
  <c r="W67" i="3"/>
  <c r="AD83" i="3"/>
  <c r="P122" i="3"/>
  <c r="E127" i="3"/>
  <c r="R99" i="3"/>
  <c r="AF58" i="3"/>
  <c r="X67" i="3"/>
  <c r="T147" i="3"/>
  <c r="AD88" i="3"/>
  <c r="D87" i="3"/>
  <c r="H103" i="3"/>
  <c r="D44" i="3"/>
  <c r="U78" i="3"/>
  <c r="Z36" i="3"/>
  <c r="F64" i="3"/>
  <c r="H110" i="3"/>
  <c r="E122" i="3"/>
  <c r="AI115" i="3"/>
  <c r="D103" i="3"/>
  <c r="Z40" i="3"/>
  <c r="AK100" i="3"/>
  <c r="W126" i="3"/>
  <c r="T125" i="3"/>
  <c r="AL139" i="3"/>
  <c r="AJ195" i="3"/>
  <c r="AH133" i="3"/>
  <c r="J139" i="3"/>
  <c r="AL90" i="3"/>
  <c r="AB48" i="3"/>
  <c r="AC104" i="3"/>
  <c r="N190" i="3"/>
  <c r="X54" i="3"/>
  <c r="AJ116" i="3"/>
  <c r="Y128" i="3"/>
  <c r="AI40" i="3"/>
  <c r="Z35" i="3"/>
  <c r="AG67" i="3"/>
  <c r="H62" i="3"/>
  <c r="R48" i="3"/>
  <c r="W78" i="3"/>
  <c r="AE190" i="3"/>
  <c r="Z115" i="3"/>
  <c r="G38" i="3"/>
  <c r="O64" i="3"/>
  <c r="K106" i="3"/>
  <c r="Z83" i="3"/>
  <c r="AD128" i="3"/>
  <c r="I66" i="3"/>
  <c r="W79" i="3"/>
  <c r="J148" i="3"/>
  <c r="AA153" i="3"/>
  <c r="O123" i="3"/>
  <c r="R174" i="3"/>
  <c r="AF147" i="3"/>
  <c r="AI131" i="3"/>
  <c r="Y188" i="3"/>
  <c r="I138" i="3"/>
  <c r="O133" i="3"/>
  <c r="AJ80" i="3"/>
  <c r="W58" i="3"/>
  <c r="AH84" i="3"/>
  <c r="Z170" i="3"/>
  <c r="AJ126" i="3"/>
  <c r="X97" i="3"/>
  <c r="N160" i="3"/>
  <c r="AE137" i="3"/>
  <c r="L78" i="3"/>
  <c r="AD79" i="3"/>
  <c r="X84" i="3"/>
  <c r="Z156" i="3"/>
  <c r="X144" i="3"/>
  <c r="E104" i="3"/>
  <c r="Z65" i="3"/>
  <c r="G48" i="3"/>
  <c r="M118" i="3"/>
  <c r="H163" i="3"/>
  <c r="C156" i="3"/>
  <c r="V50" i="3"/>
  <c r="AH117" i="3"/>
  <c r="M38" i="3"/>
  <c r="S66" i="3"/>
  <c r="AC91" i="3"/>
  <c r="Q44" i="3"/>
  <c r="X172" i="3"/>
  <c r="U60" i="3"/>
  <c r="H166" i="3"/>
  <c r="N51" i="3"/>
  <c r="AE135" i="3"/>
  <c r="K175" i="3"/>
  <c r="AD92" i="3"/>
  <c r="O55" i="3"/>
  <c r="AL62" i="3"/>
  <c r="L81" i="3"/>
  <c r="S59" i="3"/>
  <c r="M128" i="3"/>
  <c r="P90" i="3"/>
  <c r="Q168" i="3"/>
  <c r="AK133" i="3"/>
  <c r="G125" i="3"/>
  <c r="AH126" i="3"/>
  <c r="AB195" i="3"/>
  <c r="H116" i="3"/>
  <c r="X159" i="3"/>
  <c r="E66" i="3"/>
  <c r="X125" i="3"/>
  <c r="Z122" i="3"/>
  <c r="J96" i="3"/>
  <c r="AB170" i="3"/>
  <c r="AE195" i="3"/>
  <c r="AA188" i="3"/>
  <c r="D123" i="3"/>
  <c r="W64" i="3"/>
  <c r="AL129" i="3"/>
  <c r="Q88" i="3"/>
  <c r="AI122" i="3"/>
  <c r="J188" i="3"/>
  <c r="AG156" i="3"/>
  <c r="R58" i="3"/>
  <c r="AF69" i="3"/>
  <c r="AE68" i="3"/>
  <c r="AK102" i="3"/>
  <c r="AI80" i="3"/>
  <c r="K189" i="3"/>
  <c r="I90" i="3"/>
  <c r="E39" i="3"/>
  <c r="AF123" i="3"/>
  <c r="AG38" i="3"/>
  <c r="D54" i="3"/>
  <c r="AJ188" i="3"/>
  <c r="F169" i="3"/>
  <c r="AH188" i="3"/>
  <c r="E103" i="3"/>
  <c r="G50" i="3"/>
  <c r="AJ164" i="3"/>
  <c r="AI99" i="3"/>
  <c r="AF165" i="3"/>
  <c r="R169" i="3"/>
  <c r="C175" i="3"/>
  <c r="X166" i="3"/>
  <c r="C82" i="3"/>
  <c r="AI106" i="3"/>
  <c r="AL45" i="3"/>
  <c r="C63" i="3"/>
  <c r="O40" i="3"/>
  <c r="Q51" i="3"/>
  <c r="V174" i="3"/>
  <c r="K93" i="3"/>
  <c r="Y134" i="3"/>
  <c r="F41" i="3"/>
  <c r="AH41" i="3"/>
  <c r="M171" i="3"/>
  <c r="V175" i="3"/>
  <c r="F100" i="3"/>
  <c r="I126" i="3"/>
  <c r="O48" i="3"/>
  <c r="F188" i="3"/>
  <c r="AJ101" i="3"/>
  <c r="P63" i="3"/>
  <c r="AE122" i="3"/>
  <c r="N165" i="3"/>
  <c r="J82" i="3"/>
  <c r="AJ128" i="3"/>
  <c r="AJ166" i="3"/>
  <c r="E136" i="3"/>
  <c r="AE57" i="3"/>
  <c r="AG183" i="3"/>
  <c r="T160" i="3"/>
  <c r="I114" i="3"/>
  <c r="AB101" i="3"/>
  <c r="L50" i="3"/>
  <c r="N156" i="3"/>
  <c r="AB106" i="3"/>
  <c r="T138" i="3"/>
  <c r="C104" i="3"/>
  <c r="AH47" i="3"/>
  <c r="E82" i="3"/>
  <c r="C163" i="3"/>
  <c r="AC130" i="3"/>
  <c r="J83" i="3"/>
  <c r="AF110" i="3"/>
  <c r="Q116" i="3"/>
  <c r="S170" i="3"/>
  <c r="AD101" i="3"/>
  <c r="R57" i="3"/>
  <c r="AC45" i="3"/>
  <c r="K105" i="3"/>
  <c r="AG78" i="3"/>
  <c r="M59" i="3"/>
  <c r="Q40" i="3"/>
  <c r="Z105" i="3"/>
  <c r="AH134" i="3"/>
  <c r="R91" i="3"/>
  <c r="AK174" i="3"/>
  <c r="I118" i="3"/>
  <c r="W51" i="3"/>
  <c r="AG90" i="3"/>
  <c r="Y130" i="3"/>
  <c r="R156" i="3"/>
  <c r="H122" i="3"/>
  <c r="AH45" i="3"/>
  <c r="E130" i="3"/>
  <c r="K174" i="3"/>
  <c r="R160" i="3"/>
  <c r="F91" i="3"/>
  <c r="S62" i="3"/>
  <c r="AL106" i="3"/>
  <c r="AA137" i="3"/>
  <c r="AH170" i="3"/>
  <c r="J63" i="3"/>
  <c r="L39" i="3"/>
  <c r="AB97" i="3"/>
  <c r="O58" i="3"/>
  <c r="AC66" i="3"/>
  <c r="AE50" i="3"/>
  <c r="I80" i="3"/>
  <c r="AA162" i="3"/>
  <c r="AF119" i="3"/>
  <c r="AL133" i="3"/>
  <c r="AA133" i="3"/>
  <c r="Y149" i="3"/>
  <c r="V58" i="3"/>
  <c r="AK65" i="3"/>
  <c r="AJ147" i="3"/>
  <c r="AH163" i="3"/>
  <c r="X63" i="3"/>
  <c r="AJ190" i="3"/>
  <c r="T102" i="3"/>
  <c r="O88" i="3"/>
  <c r="G51" i="3"/>
  <c r="R84" i="3"/>
  <c r="V88" i="3"/>
  <c r="I129" i="3"/>
  <c r="AD149" i="3"/>
  <c r="AE39" i="3"/>
  <c r="H69" i="3"/>
  <c r="L147" i="3"/>
  <c r="J38" i="3"/>
  <c r="O164" i="3"/>
  <c r="V79" i="3"/>
  <c r="C100" i="3"/>
  <c r="M113" i="3"/>
  <c r="U40" i="3"/>
  <c r="L53" i="3"/>
  <c r="L172" i="3"/>
  <c r="AL138" i="3"/>
  <c r="U106" i="3"/>
  <c r="O106" i="3"/>
  <c r="M102" i="3"/>
  <c r="AB63" i="3"/>
  <c r="J48" i="3"/>
  <c r="S159" i="3"/>
  <c r="O53" i="3"/>
  <c r="AH125" i="3"/>
  <c r="AK161" i="3"/>
  <c r="AL55" i="3"/>
  <c r="Q87" i="3"/>
  <c r="AK129" i="3"/>
  <c r="U84" i="3"/>
  <c r="X115" i="3"/>
  <c r="J134" i="3"/>
  <c r="E36" i="3"/>
  <c r="C87" i="3"/>
  <c r="E174" i="3"/>
  <c r="S169" i="3"/>
  <c r="AA79" i="3"/>
  <c r="Y117" i="3"/>
  <c r="AC106" i="3"/>
  <c r="AH171" i="3"/>
  <c r="I139" i="3"/>
  <c r="P136" i="3"/>
  <c r="L80" i="3"/>
  <c r="J106" i="3"/>
  <c r="AJ60" i="3"/>
  <c r="AC156" i="3"/>
  <c r="AK118" i="3"/>
  <c r="AC169" i="3"/>
  <c r="Q67" i="3"/>
  <c r="U174" i="3"/>
  <c r="T106" i="3"/>
  <c r="AD140" i="3"/>
  <c r="E80" i="3"/>
  <c r="AJ94" i="3"/>
  <c r="AJ189" i="3"/>
  <c r="AH150" i="3"/>
  <c r="AC82" i="3"/>
  <c r="AF97" i="3"/>
  <c r="W62" i="3"/>
  <c r="AI93" i="3"/>
  <c r="AJ68" i="3"/>
  <c r="O39" i="3"/>
  <c r="AF60" i="3"/>
  <c r="T129" i="3"/>
  <c r="U135" i="3"/>
  <c r="Z110" i="3"/>
  <c r="G40" i="3"/>
  <c r="R35" i="3"/>
  <c r="AK93" i="3"/>
  <c r="J171" i="3"/>
  <c r="K131" i="3"/>
  <c r="Z183" i="3"/>
  <c r="AL66" i="3"/>
  <c r="D50" i="3"/>
  <c r="T189" i="3"/>
  <c r="V56" i="3"/>
  <c r="C140" i="3"/>
  <c r="E183" i="3"/>
  <c r="S149" i="3"/>
  <c r="AD66" i="3"/>
  <c r="S35" i="3"/>
  <c r="AK173" i="3"/>
  <c r="I78" i="3"/>
  <c r="AA116" i="3"/>
  <c r="C116" i="3"/>
  <c r="D151" i="3"/>
  <c r="K165" i="3"/>
  <c r="AH90" i="3"/>
  <c r="AC149" i="3"/>
  <c r="AD195" i="3"/>
  <c r="X138" i="3"/>
  <c r="AG88" i="3"/>
  <c r="D59" i="3"/>
  <c r="L160" i="3"/>
  <c r="AF153" i="3"/>
  <c r="V94" i="3"/>
  <c r="AJ95" i="3"/>
  <c r="H49" i="3"/>
  <c r="K156" i="3"/>
  <c r="U130" i="3"/>
  <c r="AF40" i="3"/>
  <c r="C129" i="3"/>
  <c r="I82" i="3"/>
  <c r="AG105" i="3"/>
  <c r="V159" i="3"/>
  <c r="K101" i="3"/>
  <c r="AK138" i="3"/>
  <c r="V68" i="3"/>
  <c r="J113" i="3"/>
  <c r="H106" i="3"/>
  <c r="T136" i="3"/>
  <c r="M66" i="3"/>
  <c r="K92" i="3"/>
  <c r="F174" i="3"/>
  <c r="H133" i="3"/>
  <c r="F96" i="3"/>
  <c r="E162" i="3"/>
  <c r="Q119" i="3"/>
  <c r="AK188" i="3"/>
  <c r="AA37" i="3"/>
  <c r="T51" i="3"/>
  <c r="M82" i="3"/>
  <c r="L126" i="3"/>
  <c r="J93" i="3"/>
  <c r="N80" i="3"/>
  <c r="I159" i="3"/>
  <c r="AF106" i="3"/>
  <c r="C80" i="3"/>
  <c r="S67" i="3"/>
  <c r="T101" i="3"/>
  <c r="C113" i="3"/>
  <c r="O169" i="3"/>
  <c r="D136" i="3"/>
  <c r="E123" i="3"/>
  <c r="AE99" i="3"/>
  <c r="AG128" i="3"/>
  <c r="I128" i="3"/>
  <c r="N138" i="3"/>
  <c r="AI156" i="3"/>
  <c r="U41" i="3"/>
  <c r="K96" i="3"/>
  <c r="O103" i="3"/>
  <c r="Q110" i="3"/>
  <c r="AC115" i="3"/>
  <c r="Z138" i="3"/>
  <c r="V37" i="3"/>
  <c r="L54" i="3"/>
  <c r="G59" i="3"/>
  <c r="AF175" i="3"/>
  <c r="W162" i="3"/>
  <c r="AB93" i="3"/>
  <c r="J84" i="3"/>
  <c r="Z175" i="3"/>
  <c r="AE91" i="3"/>
  <c r="J133" i="3"/>
  <c r="Q175" i="3"/>
  <c r="C166" i="3"/>
  <c r="Q99" i="3"/>
  <c r="Q80" i="3"/>
  <c r="X103" i="3"/>
  <c r="Y123" i="3"/>
  <c r="L162" i="3"/>
  <c r="R45" i="3"/>
  <c r="AD45" i="3"/>
  <c r="AF54" i="3"/>
  <c r="AI169" i="3"/>
  <c r="AH99" i="3"/>
  <c r="AK165" i="3"/>
  <c r="F69" i="3"/>
  <c r="W37" i="3"/>
  <c r="M104" i="3"/>
  <c r="C151" i="3"/>
  <c r="T65" i="3"/>
  <c r="O162" i="3"/>
  <c r="Z131" i="3"/>
  <c r="S118" i="3"/>
  <c r="N149" i="3"/>
  <c r="S157" i="3"/>
  <c r="Z140" i="3"/>
  <c r="V93" i="3"/>
  <c r="R60" i="3"/>
  <c r="S175" i="3"/>
  <c r="H144" i="3"/>
  <c r="R97" i="3"/>
  <c r="U38" i="3"/>
  <c r="K68" i="3"/>
  <c r="T64" i="3"/>
  <c r="AF36" i="3"/>
  <c r="Y90" i="3"/>
  <c r="W190" i="3"/>
  <c r="AL157" i="3"/>
  <c r="AK40" i="3"/>
  <c r="AG159" i="3"/>
  <c r="N39" i="3"/>
  <c r="P79" i="3"/>
  <c r="Z66" i="3"/>
  <c r="C56" i="3"/>
  <c r="C83" i="3"/>
  <c r="E59" i="3"/>
  <c r="L45" i="3"/>
  <c r="AJ125" i="3"/>
  <c r="AB82" i="3"/>
  <c r="P104" i="3"/>
  <c r="AD135" i="3"/>
  <c r="I160" i="3"/>
  <c r="W159" i="3"/>
  <c r="AF94" i="3"/>
  <c r="AL63" i="3"/>
  <c r="AJ134" i="3"/>
  <c r="AG162" i="3"/>
  <c r="T113" i="3"/>
  <c r="N174" i="3"/>
  <c r="S51" i="3"/>
  <c r="AJ153" i="3"/>
  <c r="S144" i="3"/>
  <c r="X157" i="3"/>
  <c r="AD148" i="3"/>
  <c r="O60" i="3"/>
  <c r="N58" i="3"/>
  <c r="D170" i="3"/>
  <c r="AF164" i="3"/>
  <c r="AE88" i="3"/>
  <c r="AI66" i="3"/>
  <c r="AA41" i="3"/>
  <c r="Q78" i="3"/>
  <c r="I113" i="3"/>
  <c r="T137" i="3"/>
  <c r="C114" i="3"/>
  <c r="AB67" i="3"/>
  <c r="L41" i="3"/>
  <c r="Y133" i="3"/>
  <c r="X131" i="3"/>
  <c r="C69" i="3"/>
  <c r="AL134" i="3"/>
  <c r="AF81" i="3"/>
  <c r="G78" i="3"/>
  <c r="K110" i="3"/>
  <c r="U114" i="3"/>
  <c r="AB56" i="3"/>
  <c r="AI139" i="3"/>
  <c r="D165" i="3"/>
  <c r="O57" i="3"/>
  <c r="D35" i="3"/>
  <c r="P35" i="3"/>
  <c r="AC161" i="3"/>
  <c r="AC87" i="3"/>
  <c r="O144" i="3"/>
  <c r="AB113" i="3"/>
  <c r="U103" i="3"/>
  <c r="J153" i="3"/>
  <c r="H161" i="3"/>
  <c r="J161" i="3"/>
  <c r="K139" i="3"/>
  <c r="V118" i="3"/>
  <c r="E110" i="3"/>
  <c r="C189" i="3"/>
  <c r="AA175" i="3"/>
  <c r="P131" i="3"/>
  <c r="AL144" i="3"/>
  <c r="Z139" i="3"/>
  <c r="C51" i="3"/>
  <c r="R170" i="3"/>
  <c r="Y103" i="3"/>
  <c r="T172" i="3"/>
  <c r="AL183" i="3"/>
  <c r="X41" i="3"/>
  <c r="AJ183" i="3"/>
  <c r="R92" i="3"/>
  <c r="I123" i="3"/>
  <c r="C59" i="3"/>
  <c r="L195" i="3"/>
  <c r="M105" i="3"/>
  <c r="H97" i="3"/>
  <c r="X64" i="3"/>
  <c r="P40" i="3"/>
  <c r="I97" i="3"/>
  <c r="G172" i="3"/>
  <c r="M125" i="3"/>
  <c r="AG135" i="3"/>
  <c r="U159" i="3"/>
  <c r="AA39" i="3"/>
  <c r="AE80" i="3"/>
  <c r="AB88" i="3"/>
  <c r="U171" i="3"/>
  <c r="AK172" i="3"/>
  <c r="AK39" i="3"/>
  <c r="R137" i="3"/>
  <c r="Q147" i="3"/>
  <c r="N170" i="3"/>
  <c r="O105" i="3"/>
  <c r="J110" i="3"/>
  <c r="E92" i="3"/>
  <c r="AD91" i="3"/>
  <c r="AE151" i="3"/>
  <c r="T116" i="3"/>
  <c r="K78" i="3"/>
  <c r="AE168" i="3"/>
  <c r="AB123" i="3"/>
  <c r="AH40" i="3"/>
  <c r="O171" i="3"/>
  <c r="AK148" i="3"/>
  <c r="K152" i="3"/>
  <c r="P115" i="3"/>
  <c r="N189" i="3"/>
  <c r="AF78" i="3"/>
  <c r="AG82" i="3"/>
  <c r="K66" i="3"/>
  <c r="AH127" i="3"/>
  <c r="H160" i="3"/>
  <c r="G67" i="3"/>
  <c r="N144" i="3"/>
  <c r="L44" i="3"/>
  <c r="AI160" i="3"/>
  <c r="U133" i="3"/>
  <c r="AD113" i="3"/>
  <c r="AG63" i="3"/>
  <c r="J67" i="3"/>
  <c r="L190" i="3"/>
  <c r="AJ62" i="3"/>
  <c r="Q91" i="3"/>
  <c r="AG102" i="3"/>
  <c r="AB100" i="3"/>
  <c r="M137" i="3"/>
  <c r="O100" i="3"/>
  <c r="AG41" i="3"/>
  <c r="E35" i="3"/>
  <c r="R104" i="3"/>
  <c r="AI59" i="3"/>
  <c r="AG147" i="3"/>
  <c r="AK88" i="3"/>
  <c r="U166" i="3"/>
  <c r="S102" i="3"/>
  <c r="Z97" i="3"/>
  <c r="V102" i="3"/>
  <c r="N69" i="3"/>
  <c r="X113" i="3"/>
  <c r="N195" i="3"/>
  <c r="AG53" i="3"/>
  <c r="Z67" i="3"/>
  <c r="T175" i="3"/>
  <c r="AC147" i="3"/>
  <c r="M152" i="3"/>
  <c r="Z117" i="3"/>
  <c r="G153" i="3"/>
  <c r="AH164" i="3"/>
  <c r="AE147" i="3"/>
  <c r="M129" i="3"/>
  <c r="P64" i="3"/>
  <c r="R127" i="3"/>
  <c r="N188" i="3"/>
  <c r="V66" i="3"/>
  <c r="V160" i="3"/>
  <c r="N104" i="3"/>
  <c r="AI127" i="3"/>
  <c r="AD47" i="3"/>
  <c r="P60" i="3"/>
  <c r="AB57" i="3"/>
  <c r="H92" i="3"/>
  <c r="D101" i="3"/>
  <c r="Q102" i="3"/>
  <c r="AC195" i="3"/>
  <c r="D56" i="3"/>
  <c r="AG84" i="3"/>
  <c r="D144" i="3"/>
  <c r="W66" i="3"/>
  <c r="C169" i="3"/>
  <c r="M92" i="3"/>
  <c r="AI68" i="3"/>
  <c r="AD51" i="3"/>
  <c r="E54" i="3"/>
  <c r="Y96" i="3"/>
  <c r="H190" i="3"/>
  <c r="W87" i="3"/>
  <c r="AD96" i="3"/>
  <c r="L37" i="3"/>
  <c r="AA96" i="3"/>
  <c r="M103" i="3"/>
  <c r="D156" i="3"/>
  <c r="K64" i="3"/>
  <c r="G195" i="3"/>
  <c r="T41" i="3"/>
  <c r="J169" i="3"/>
  <c r="R183" i="3"/>
  <c r="AE103" i="3"/>
  <c r="E168" i="3"/>
  <c r="N47" i="3"/>
  <c r="AH79" i="3"/>
  <c r="R47" i="3"/>
  <c r="Q162" i="3"/>
  <c r="N140" i="3"/>
  <c r="D93" i="3"/>
  <c r="AK95" i="3"/>
  <c r="Z174" i="3"/>
  <c r="AH82" i="3"/>
  <c r="I38" i="3"/>
  <c r="D159" i="3"/>
  <c r="P159" i="3"/>
  <c r="AI151" i="3"/>
  <c r="T97" i="3"/>
  <c r="AH189" i="3"/>
  <c r="AL130" i="3"/>
  <c r="R126" i="3"/>
  <c r="C115" i="3"/>
  <c r="F63" i="3"/>
  <c r="R41" i="3"/>
  <c r="D195" i="3"/>
  <c r="R149" i="3"/>
  <c r="O97" i="3"/>
  <c r="W44" i="3"/>
  <c r="D110" i="3"/>
  <c r="AF103" i="3"/>
  <c r="O81" i="3"/>
  <c r="AA54" i="3"/>
  <c r="E117" i="3"/>
  <c r="T169" i="3"/>
  <c r="C96" i="3"/>
  <c r="AD106" i="3"/>
  <c r="Q130" i="3"/>
  <c r="Z68" i="3"/>
  <c r="V95" i="3"/>
  <c r="S190" i="3"/>
  <c r="AA172" i="3"/>
  <c r="U116" i="3"/>
  <c r="C38" i="3"/>
  <c r="V173" i="3"/>
  <c r="K128" i="3"/>
  <c r="AH69" i="3"/>
  <c r="K83" i="3"/>
  <c r="U49" i="3"/>
  <c r="R40" i="3"/>
  <c r="P113" i="3"/>
  <c r="N99" i="3"/>
  <c r="C162" i="3"/>
  <c r="O168" i="3"/>
  <c r="AE36" i="3"/>
  <c r="I81" i="3"/>
  <c r="N37" i="3"/>
  <c r="M54" i="3"/>
  <c r="S47" i="3"/>
  <c r="Q97" i="3"/>
  <c r="Y94" i="3"/>
  <c r="E53" i="3"/>
  <c r="I47" i="3"/>
  <c r="T83" i="3"/>
  <c r="P50" i="3"/>
  <c r="W160" i="3"/>
  <c r="N56" i="3"/>
  <c r="AD50" i="3"/>
  <c r="AI57" i="3"/>
  <c r="V157" i="3"/>
  <c r="AB92" i="3"/>
  <c r="AF162" i="3"/>
  <c r="AC95" i="3"/>
  <c r="X65" i="3"/>
  <c r="AD103" i="3"/>
  <c r="L79" i="3"/>
  <c r="T99" i="3"/>
  <c r="G105" i="3"/>
  <c r="AC172" i="3"/>
  <c r="AK105" i="3"/>
  <c r="AG126" i="3"/>
  <c r="Q123" i="3"/>
  <c r="Q189" i="3"/>
  <c r="Y104" i="3"/>
  <c r="V48" i="3"/>
  <c r="AF57" i="3"/>
  <c r="G157" i="3"/>
  <c r="AH101" i="3"/>
  <c r="H104" i="3"/>
  <c r="L36" i="3"/>
  <c r="AH63" i="3"/>
  <c r="Y79" i="3"/>
  <c r="G97" i="3"/>
  <c r="K117" i="3"/>
  <c r="Z99" i="3"/>
  <c r="U53" i="3"/>
  <c r="D40" i="3"/>
  <c r="AI96" i="3"/>
  <c r="AI69" i="3"/>
  <c r="F162" i="3"/>
  <c r="I96" i="3"/>
  <c r="J136" i="3"/>
  <c r="S189" i="3"/>
  <c r="AK144" i="3"/>
  <c r="AB45" i="3"/>
  <c r="F165" i="3"/>
  <c r="I68" i="3"/>
  <c r="V47" i="3"/>
  <c r="H168" i="3"/>
  <c r="U63" i="3"/>
  <c r="AA80" i="3"/>
  <c r="K103" i="3"/>
  <c r="AI49" i="3"/>
  <c r="AB175" i="3"/>
  <c r="M162" i="3"/>
  <c r="J69" i="3"/>
  <c r="T168" i="3"/>
  <c r="J95" i="3"/>
  <c r="E64" i="3"/>
  <c r="P106" i="3"/>
  <c r="AL41" i="3"/>
  <c r="M51" i="3"/>
  <c r="U126" i="3"/>
  <c r="AL162" i="3"/>
  <c r="AA140" i="3"/>
  <c r="N100" i="3"/>
  <c r="AE165" i="3"/>
  <c r="Z161" i="3"/>
  <c r="V133" i="3"/>
  <c r="AG44" i="3"/>
  <c r="D126" i="3"/>
  <c r="T94" i="3"/>
  <c r="AG79" i="3"/>
  <c r="T170" i="3"/>
  <c r="H173" i="3"/>
  <c r="Z160" i="3"/>
  <c r="V162" i="3"/>
  <c r="W118" i="3"/>
  <c r="P171" i="3"/>
  <c r="D39" i="3"/>
  <c r="I44" i="3"/>
  <c r="AD173" i="3"/>
  <c r="L156" i="3"/>
  <c r="Q68" i="3"/>
  <c r="AL40" i="3"/>
  <c r="K84" i="3"/>
  <c r="V127" i="3"/>
  <c r="Y105" i="3"/>
  <c r="D78" i="3"/>
  <c r="V63" i="3"/>
  <c r="W131" i="3"/>
  <c r="V60" i="3"/>
  <c r="AE59" i="3"/>
  <c r="Q64" i="3"/>
  <c r="N134" i="3"/>
  <c r="J47" i="3"/>
  <c r="K130" i="3"/>
  <c r="W100" i="3"/>
  <c r="AF62" i="3"/>
  <c r="N166" i="3"/>
  <c r="AB156" i="3"/>
  <c r="C150" i="3"/>
  <c r="Q118" i="3"/>
  <c r="L115" i="3"/>
  <c r="AD84" i="3"/>
  <c r="AF122" i="3"/>
  <c r="S87" i="3"/>
  <c r="G83" i="3"/>
  <c r="AH48" i="3"/>
  <c r="D134" i="3"/>
  <c r="C95" i="3"/>
  <c r="V139" i="3"/>
  <c r="S101" i="3"/>
  <c r="W122" i="3"/>
  <c r="AL105" i="3"/>
  <c r="D116" i="3"/>
  <c r="J190" i="3"/>
  <c r="R117" i="3"/>
  <c r="H44" i="3"/>
  <c r="AI114" i="3"/>
  <c r="K114" i="3"/>
  <c r="AB188" i="3"/>
  <c r="AK45" i="3"/>
  <c r="C119" i="3"/>
  <c r="T100" i="3"/>
  <c r="AI35" i="3"/>
  <c r="U160" i="3"/>
  <c r="AG45" i="3"/>
  <c r="AL195" i="3"/>
  <c r="V126" i="3"/>
  <c r="X87" i="3"/>
  <c r="AG136" i="3"/>
  <c r="Y164" i="3"/>
  <c r="W138" i="3"/>
  <c r="X106" i="3"/>
  <c r="G93" i="3"/>
  <c r="U172" i="3"/>
  <c r="I136" i="3"/>
  <c r="D62" i="3"/>
  <c r="Z114" i="3"/>
  <c r="Y40" i="3"/>
  <c r="I134" i="3"/>
  <c r="Z39" i="3"/>
  <c r="O148" i="3"/>
  <c r="E41" i="3"/>
  <c r="AI82" i="3"/>
  <c r="AK122" i="3"/>
  <c r="AD157" i="3"/>
  <c r="I54" i="3"/>
  <c r="AJ103" i="3"/>
  <c r="G99" i="3"/>
  <c r="O137" i="3"/>
  <c r="E116" i="3"/>
  <c r="AG55" i="3"/>
  <c r="I88" i="3"/>
  <c r="I147" i="3"/>
  <c r="O63" i="3"/>
  <c r="AL36" i="3"/>
  <c r="AK84" i="3"/>
  <c r="AJ130" i="3"/>
  <c r="AB115" i="3"/>
  <c r="AL148" i="3"/>
  <c r="U104" i="3"/>
  <c r="AG172" i="3"/>
  <c r="AL81" i="3"/>
  <c r="AC128" i="3"/>
  <c r="AK116" i="3"/>
  <c r="V188" i="3"/>
  <c r="T118" i="3"/>
  <c r="L102" i="3"/>
  <c r="R152" i="3"/>
  <c r="Q165" i="3"/>
  <c r="N119" i="3"/>
  <c r="X90" i="3"/>
  <c r="AF100" i="3"/>
  <c r="AB59" i="3"/>
  <c r="X126" i="3"/>
  <c r="U82" i="3"/>
  <c r="AH175" i="3"/>
  <c r="AI100" i="3"/>
  <c r="AK48" i="3"/>
  <c r="Q101" i="3"/>
  <c r="J90" i="3"/>
  <c r="R140" i="3"/>
  <c r="O101" i="3"/>
  <c r="W106" i="3"/>
  <c r="Y36" i="3"/>
  <c r="I110" i="3"/>
  <c r="I105" i="3"/>
  <c r="AB119" i="3"/>
  <c r="P134" i="3"/>
  <c r="AF126" i="3"/>
  <c r="AJ168" i="3"/>
  <c r="K63" i="3"/>
  <c r="K59" i="3"/>
  <c r="AC157" i="3"/>
  <c r="G55" i="3"/>
  <c r="N41" i="3"/>
  <c r="X56" i="3"/>
  <c r="Z64" i="3"/>
  <c r="AH195" i="3"/>
  <c r="T87" i="3"/>
  <c r="W102" i="3"/>
  <c r="U129" i="3"/>
  <c r="AF125" i="3"/>
  <c r="D57" i="3"/>
  <c r="V99" i="3"/>
  <c r="AB87" i="3"/>
  <c r="AE159" i="3"/>
  <c r="AB139" i="3"/>
  <c r="AI103" i="3"/>
  <c r="I166" i="3"/>
  <c r="E138" i="3"/>
  <c r="Z95" i="3"/>
  <c r="J104" i="3"/>
  <c r="AB35" i="3"/>
  <c r="H66" i="3"/>
  <c r="AK162" i="3"/>
  <c r="N126" i="3"/>
  <c r="H169" i="3"/>
  <c r="AC168" i="3"/>
  <c r="H81" i="3"/>
  <c r="N40" i="3"/>
  <c r="C174" i="3"/>
  <c r="L90" i="3"/>
  <c r="AB168" i="3"/>
  <c r="J57" i="3"/>
  <c r="H94" i="3"/>
  <c r="Z169" i="3"/>
  <c r="X123" i="3"/>
  <c r="W147" i="3"/>
  <c r="I172" i="3"/>
  <c r="W54" i="3"/>
  <c r="AC183" i="3"/>
  <c r="X169" i="3"/>
  <c r="G161" i="3"/>
  <c r="AB114" i="3"/>
  <c r="AD153" i="3"/>
  <c r="V164" i="3"/>
  <c r="AH100" i="3"/>
  <c r="C117" i="3"/>
  <c r="Y159" i="3"/>
  <c r="N153" i="3"/>
  <c r="F149" i="3"/>
  <c r="V150" i="3"/>
  <c r="T195" i="3"/>
  <c r="Y174" i="3"/>
  <c r="AF118" i="3"/>
  <c r="W152" i="3"/>
  <c r="R94" i="3"/>
  <c r="AI164" i="3"/>
  <c r="AA115" i="3"/>
  <c r="K115" i="3"/>
  <c r="I115" i="3"/>
  <c r="V103" i="3"/>
  <c r="Z49" i="3"/>
  <c r="U69" i="3"/>
  <c r="AA157" i="3"/>
  <c r="AE157" i="3"/>
  <c r="G159" i="3"/>
  <c r="AE69" i="3"/>
  <c r="M188" i="3"/>
  <c r="AB41" i="3"/>
  <c r="AF166" i="3"/>
  <c r="F101" i="3"/>
  <c r="Y131" i="3"/>
  <c r="AK115" i="3"/>
  <c r="Y60" i="3"/>
  <c r="AD49" i="3"/>
  <c r="S128" i="3"/>
  <c r="I45" i="3"/>
  <c r="AC137" i="3"/>
  <c r="AC101" i="3"/>
  <c r="I131" i="3"/>
  <c r="AL97" i="3"/>
  <c r="T91" i="3"/>
  <c r="M100" i="3"/>
  <c r="T40" i="3"/>
  <c r="J102" i="3"/>
  <c r="W81" i="3"/>
  <c r="H84" i="3"/>
  <c r="L58" i="3"/>
  <c r="V161" i="3"/>
  <c r="Q37" i="3"/>
  <c r="F137" i="3"/>
  <c r="D88" i="3"/>
  <c r="AA147" i="3"/>
  <c r="AF48" i="3"/>
  <c r="AJ59" i="3"/>
  <c r="AE170" i="3"/>
  <c r="S50" i="3"/>
  <c r="AH44" i="3"/>
  <c r="X82" i="3"/>
  <c r="J130" i="3"/>
  <c r="AJ39" i="3"/>
  <c r="Z123" i="3"/>
  <c r="AK82" i="3"/>
  <c r="AH66" i="3"/>
  <c r="V113" i="3"/>
  <c r="N54" i="3"/>
  <c r="AD171" i="3"/>
  <c r="F189" i="3"/>
  <c r="AC175" i="3"/>
  <c r="Y91" i="3"/>
  <c r="Q106" i="3"/>
  <c r="X49" i="3"/>
  <c r="H48" i="3"/>
  <c r="AA169" i="3"/>
  <c r="Y63" i="3"/>
  <c r="L91" i="3"/>
  <c r="G57" i="3"/>
  <c r="X164" i="3"/>
  <c r="D174" i="3"/>
  <c r="AA189" i="3"/>
  <c r="AD59" i="3"/>
  <c r="D104" i="3"/>
  <c r="AL113" i="3"/>
  <c r="AB65" i="3"/>
  <c r="T66" i="3"/>
  <c r="V116" i="3"/>
  <c r="R83" i="3"/>
  <c r="AB105" i="3"/>
  <c r="AE44" i="3"/>
  <c r="H91" i="3"/>
  <c r="V41" i="3"/>
  <c r="Y110" i="3"/>
  <c r="O80" i="3"/>
  <c r="AA97" i="3"/>
  <c r="L57" i="3"/>
  <c r="Y99" i="3"/>
  <c r="F122" i="3"/>
  <c r="G116" i="3"/>
  <c r="AD159" i="3"/>
  <c r="AH37" i="3"/>
  <c r="AI84" i="3"/>
  <c r="F38" i="3"/>
  <c r="Z137" i="3"/>
  <c r="U153" i="3"/>
  <c r="F168" i="3"/>
  <c r="N122" i="3"/>
  <c r="AG66" i="3"/>
  <c r="AL174" i="3"/>
  <c r="R125" i="3"/>
  <c r="V130" i="3"/>
  <c r="R113" i="3"/>
  <c r="D173" i="3"/>
  <c r="H188" i="3"/>
  <c r="X174" i="3"/>
  <c r="J100" i="3"/>
  <c r="G131" i="3"/>
  <c r="C44" i="3"/>
  <c r="I104" i="3"/>
  <c r="R119" i="3"/>
  <c r="W105" i="3"/>
  <c r="Q134" i="3"/>
  <c r="G94" i="3"/>
  <c r="AC78" i="3"/>
  <c r="Y35" i="3"/>
  <c r="AF190" i="3"/>
  <c r="AI171" i="3"/>
  <c r="I189" i="3"/>
  <c r="AH59" i="3"/>
  <c r="U131" i="3"/>
  <c r="X136" i="3"/>
  <c r="AI162" i="3"/>
  <c r="F156" i="3"/>
  <c r="U157" i="3"/>
  <c r="AI51" i="3"/>
  <c r="L40" i="3"/>
  <c r="I116" i="3"/>
  <c r="X58" i="3"/>
  <c r="AI36" i="3"/>
  <c r="AJ123" i="3"/>
  <c r="I64" i="3"/>
  <c r="AH168" i="3"/>
  <c r="AD95" i="3"/>
  <c r="T115" i="3"/>
  <c r="Z133" i="3"/>
  <c r="W172" i="3"/>
  <c r="AB104" i="3"/>
  <c r="K102" i="3"/>
  <c r="T153" i="3"/>
  <c r="J97" i="3"/>
  <c r="S195" i="3"/>
  <c r="L168" i="3"/>
  <c r="AF144" i="3"/>
  <c r="O93" i="3"/>
  <c r="J53" i="3"/>
  <c r="K119" i="3"/>
  <c r="AD151" i="3"/>
  <c r="AA64" i="3"/>
  <c r="H151" i="3"/>
  <c r="E97" i="3"/>
  <c r="D119" i="3"/>
  <c r="T50" i="3"/>
  <c r="D140" i="3"/>
  <c r="R37" i="3"/>
  <c r="G82" i="3"/>
  <c r="AF88" i="3"/>
  <c r="AC162" i="3"/>
  <c r="AH118" i="3"/>
  <c r="Q45" i="3"/>
  <c r="AC153" i="3"/>
  <c r="K173" i="3"/>
  <c r="AJ47" i="3"/>
  <c r="AA78" i="3"/>
  <c r="Q161" i="3"/>
  <c r="AF157" i="3"/>
  <c r="V91" i="3"/>
  <c r="W169" i="3"/>
  <c r="U102" i="3"/>
  <c r="Q149" i="3"/>
  <c r="AA190" i="3"/>
  <c r="H37" i="3"/>
  <c r="AA166" i="3"/>
  <c r="AF128" i="3"/>
  <c r="M60" i="3"/>
  <c r="AJ115" i="3"/>
  <c r="AJ35" i="3"/>
  <c r="L64" i="3"/>
  <c r="AE164" i="3"/>
  <c r="AB99" i="3"/>
  <c r="P36" i="3"/>
  <c r="N67" i="3"/>
  <c r="AG106" i="3"/>
  <c r="V106" i="3"/>
  <c r="R63" i="3"/>
  <c r="U54" i="3"/>
  <c r="Y56" i="3"/>
  <c r="V49" i="3"/>
  <c r="AC55" i="3"/>
  <c r="AC38" i="3"/>
  <c r="O95" i="3"/>
  <c r="G103" i="3"/>
  <c r="T92" i="3"/>
  <c r="R136" i="3"/>
  <c r="AK80" i="3"/>
  <c r="Q84" i="3"/>
  <c r="AL88" i="3"/>
  <c r="F130" i="3"/>
  <c r="AE116" i="3"/>
  <c r="E63" i="3"/>
  <c r="M79" i="3"/>
  <c r="E126" i="3"/>
  <c r="AB165" i="3"/>
  <c r="AA88" i="3"/>
  <c r="AL49" i="3"/>
  <c r="V65" i="3"/>
  <c r="I95" i="3"/>
  <c r="AJ117" i="3"/>
  <c r="K45" i="3"/>
  <c r="O122" i="3"/>
  <c r="J163" i="3"/>
  <c r="AL87" i="3"/>
  <c r="F66" i="3"/>
  <c r="AL119" i="3"/>
  <c r="C131" i="3"/>
  <c r="C99" i="3"/>
  <c r="J126" i="3"/>
  <c r="U156" i="3"/>
  <c r="AB131" i="3"/>
  <c r="W41" i="3"/>
  <c r="Z60" i="3"/>
  <c r="Z91" i="3"/>
  <c r="AE162" i="3"/>
  <c r="Z92" i="3"/>
  <c r="I53" i="3"/>
  <c r="J116" i="3"/>
  <c r="AJ100" i="3"/>
  <c r="W171" i="3"/>
  <c r="AA81" i="3"/>
  <c r="Q171" i="3"/>
  <c r="M150" i="3"/>
  <c r="V84" i="3"/>
  <c r="D113" i="3"/>
  <c r="AL92" i="3"/>
  <c r="E96" i="3"/>
  <c r="Y170" i="3"/>
  <c r="M123" i="3"/>
  <c r="L87" i="3"/>
  <c r="H68" i="3"/>
  <c r="E152" i="3"/>
  <c r="P99" i="3"/>
  <c r="AL93" i="3"/>
  <c r="O183" i="3"/>
  <c r="K160" i="3"/>
  <c r="AH54" i="3"/>
  <c r="Z168" i="3"/>
  <c r="V64" i="3"/>
  <c r="AC105" i="3"/>
  <c r="AD82" i="3"/>
  <c r="D125" i="3"/>
  <c r="O175" i="3"/>
  <c r="G130" i="3"/>
  <c r="AE45" i="3"/>
  <c r="AH162" i="3"/>
  <c r="AJ171" i="3"/>
  <c r="AE66" i="3"/>
  <c r="AC166" i="3"/>
  <c r="I37" i="3"/>
  <c r="AG101" i="3"/>
  <c r="I165" i="3"/>
  <c r="AG138" i="3"/>
  <c r="E50" i="3"/>
  <c r="AL115" i="3"/>
  <c r="Z195" i="3"/>
  <c r="S54" i="3"/>
  <c r="U195" i="3"/>
  <c r="D94" i="3"/>
  <c r="Q170" i="3"/>
  <c r="AL83" i="3"/>
  <c r="AA170" i="3"/>
  <c r="Z87" i="3"/>
  <c r="AF38" i="3"/>
  <c r="U93" i="3"/>
  <c r="V51" i="3"/>
  <c r="J54" i="3"/>
  <c r="H53" i="3"/>
  <c r="AE58" i="3"/>
  <c r="I60" i="3"/>
  <c r="AD136" i="3"/>
  <c r="AE83" i="3"/>
  <c r="S168" i="3"/>
  <c r="O92" i="3"/>
  <c r="J81" i="3"/>
  <c r="G100" i="3"/>
  <c r="AE133" i="3"/>
  <c r="S84" i="3"/>
  <c r="V122" i="3"/>
  <c r="D79" i="3"/>
  <c r="R131" i="3"/>
  <c r="R101" i="3"/>
  <c r="AI152" i="3"/>
  <c r="N147" i="3"/>
  <c r="W165" i="3"/>
  <c r="P84" i="3"/>
  <c r="AE115" i="3"/>
  <c r="T140" i="3"/>
  <c r="D183" i="3"/>
  <c r="AF87" i="3"/>
  <c r="Z116" i="3"/>
  <c r="AK63" i="3"/>
  <c r="N172" i="3"/>
  <c r="AF83" i="3"/>
  <c r="AD125" i="3"/>
  <c r="AG134" i="3"/>
  <c r="AJ136" i="3"/>
  <c r="K40" i="3"/>
  <c r="J91" i="3"/>
  <c r="P38" i="3"/>
  <c r="C91" i="3"/>
  <c r="AH56" i="3"/>
  <c r="Z162" i="3"/>
  <c r="X105" i="3"/>
  <c r="Y156" i="3"/>
  <c r="T47" i="3"/>
  <c r="D91" i="3"/>
  <c r="AI90" i="3"/>
  <c r="AA114" i="3"/>
  <c r="N91" i="3"/>
  <c r="J164" i="3"/>
  <c r="AG117" i="3"/>
  <c r="Z135" i="3"/>
  <c r="V90" i="3"/>
  <c r="F94" i="3"/>
  <c r="AJ138" i="3"/>
  <c r="S39" i="3"/>
  <c r="AL59" i="3"/>
  <c r="X68" i="3"/>
  <c r="V165" i="3"/>
  <c r="AA131" i="3"/>
  <c r="AC39" i="3"/>
  <c r="AL173" i="3"/>
  <c r="V114" i="3"/>
  <c r="X48" i="3"/>
  <c r="AK69" i="3"/>
  <c r="AD78" i="3"/>
  <c r="AB50" i="3"/>
  <c r="AL99" i="3"/>
  <c r="Y129" i="3"/>
  <c r="AL91" i="3"/>
  <c r="AD97" i="3"/>
  <c r="AC65" i="3"/>
  <c r="AG152" i="3"/>
  <c r="E147" i="3"/>
  <c r="V151" i="3"/>
  <c r="AC40" i="3"/>
  <c r="J149" i="3"/>
  <c r="N110" i="3"/>
  <c r="N117" i="3"/>
  <c r="R188" i="3"/>
  <c r="H137" i="3"/>
  <c r="AF139" i="3"/>
  <c r="W195" i="3"/>
  <c r="AA94" i="3"/>
  <c r="AA55" i="3"/>
  <c r="Y38" i="3"/>
  <c r="H175" i="3"/>
  <c r="O47" i="3"/>
  <c r="AE90" i="3"/>
  <c r="G160" i="3"/>
  <c r="F93" i="3"/>
  <c r="L94" i="3"/>
  <c r="AC150" i="3"/>
  <c r="AB118" i="3"/>
  <c r="AB69" i="3"/>
  <c r="M87" i="3"/>
  <c r="AK36" i="3"/>
  <c r="G60" i="3"/>
  <c r="AK56" i="3"/>
  <c r="AH80" i="3"/>
  <c r="S151" i="3"/>
  <c r="C37" i="3"/>
  <c r="AA110" i="3"/>
  <c r="U161" i="3"/>
  <c r="Z94" i="3"/>
  <c r="AC35" i="3"/>
  <c r="AK164" i="3"/>
  <c r="X44" i="3"/>
  <c r="N136" i="3"/>
  <c r="U79" i="3"/>
  <c r="AL147" i="3"/>
  <c r="G88" i="3"/>
  <c r="AH92" i="3"/>
  <c r="Z96" i="3"/>
  <c r="AB148" i="3"/>
  <c r="L150" i="3"/>
  <c r="AI134" i="3"/>
  <c r="U96" i="3"/>
  <c r="C57" i="3"/>
  <c r="K151" i="3"/>
  <c r="AA135" i="3"/>
  <c r="AJ163" i="3"/>
  <c r="L173" i="3"/>
  <c r="AF56" i="3"/>
  <c r="O65" i="3"/>
  <c r="Q48" i="3"/>
  <c r="U134" i="3"/>
  <c r="AC99" i="3"/>
  <c r="C133" i="3"/>
  <c r="E49" i="3"/>
  <c r="O99" i="3"/>
  <c r="J56" i="3"/>
  <c r="AA150" i="3"/>
  <c r="G138" i="3"/>
  <c r="W127" i="3"/>
  <c r="AL128" i="3"/>
  <c r="X170" i="3"/>
  <c r="E166" i="3"/>
  <c r="AH114" i="3"/>
  <c r="AG96" i="3"/>
  <c r="K169" i="3"/>
  <c r="L93" i="3"/>
  <c r="E188" i="3"/>
  <c r="AE87" i="3"/>
  <c r="O150" i="3"/>
  <c r="AF156" i="3"/>
  <c r="X102" i="3"/>
  <c r="H55" i="3"/>
  <c r="W125" i="3"/>
  <c r="X122" i="3"/>
  <c r="O51" i="3"/>
  <c r="AI38" i="3"/>
  <c r="P148" i="3"/>
  <c r="R39" i="3"/>
  <c r="V59" i="3"/>
  <c r="L166" i="3"/>
  <c r="C66" i="3"/>
  <c r="F113" i="3"/>
  <c r="C64" i="3"/>
  <c r="D133" i="3"/>
  <c r="AJ93" i="3"/>
  <c r="H99" i="3"/>
  <c r="AA159" i="3"/>
  <c r="E151" i="3"/>
  <c r="AJ84" i="3"/>
  <c r="S44" i="3"/>
  <c r="AE163" i="3"/>
  <c r="U128" i="3"/>
  <c r="S148" i="3"/>
  <c r="L135" i="3"/>
  <c r="AD102" i="3"/>
  <c r="T171" i="3"/>
  <c r="AB36" i="3"/>
  <c r="AC174" i="3"/>
  <c r="V137" i="3"/>
  <c r="E102" i="3"/>
  <c r="Z100" i="3"/>
  <c r="E119" i="3"/>
  <c r="F147" i="3"/>
  <c r="AI95" i="3"/>
  <c r="AF151" i="3"/>
  <c r="AB47" i="3"/>
  <c r="X69" i="3"/>
  <c r="T139" i="3"/>
  <c r="W99" i="3"/>
  <c r="AB68" i="3"/>
  <c r="P56" i="3"/>
  <c r="C55" i="3"/>
  <c r="Z78" i="3"/>
  <c r="AG58" i="3"/>
  <c r="S99" i="3"/>
  <c r="AH95" i="3"/>
  <c r="K54" i="3"/>
  <c r="N173" i="3"/>
  <c r="J138" i="3"/>
  <c r="P144" i="3"/>
  <c r="AB169" i="3"/>
  <c r="I161" i="3"/>
  <c r="S96" i="3"/>
  <c r="Y140" i="3"/>
  <c r="Q81" i="3"/>
  <c r="AF170" i="3"/>
  <c r="K36" i="3"/>
  <c r="AF90" i="3"/>
  <c r="X50" i="3"/>
  <c r="S60" i="3"/>
  <c r="J127" i="3"/>
  <c r="H60" i="3"/>
  <c r="P92" i="3"/>
  <c r="X81" i="3"/>
  <c r="F148" i="3"/>
  <c r="N66" i="3"/>
  <c r="S138" i="3"/>
  <c r="F138" i="3"/>
  <c r="X60" i="3"/>
  <c r="AI188" i="3"/>
  <c r="D128" i="3"/>
  <c r="M151" i="3"/>
  <c r="AC84" i="3"/>
  <c r="AA134" i="3"/>
  <c r="AL103" i="3"/>
  <c r="AG39" i="3"/>
  <c r="H63" i="3"/>
  <c r="N163" i="3"/>
  <c r="M47" i="3"/>
  <c r="S174" i="3"/>
  <c r="AL169" i="3"/>
  <c r="D190" i="3"/>
  <c r="AK127" i="3"/>
  <c r="M78" i="3"/>
  <c r="C161" i="3"/>
  <c r="AD123" i="3"/>
  <c r="X150" i="3"/>
  <c r="AI48" i="3"/>
  <c r="AI116" i="3"/>
  <c r="S147" i="3"/>
  <c r="AI153" i="3"/>
  <c r="I69" i="3"/>
  <c r="X165" i="3"/>
  <c r="S127" i="3"/>
  <c r="K69" i="3"/>
  <c r="W35" i="3"/>
  <c r="D138" i="3"/>
  <c r="AI123" i="3"/>
  <c r="V171" i="3"/>
  <c r="AL153" i="3"/>
  <c r="G53" i="3"/>
  <c r="H171" i="3"/>
  <c r="N106" i="3"/>
  <c r="E160" i="3"/>
  <c r="AB137" i="3"/>
  <c r="AG49" i="3"/>
  <c r="U100" i="3"/>
  <c r="J156" i="3"/>
  <c r="AD81" i="3"/>
  <c r="M131" i="3"/>
  <c r="AG54" i="3"/>
  <c r="AI129" i="3"/>
  <c r="P57" i="3"/>
  <c r="E65" i="3"/>
  <c r="AL57" i="3"/>
  <c r="Z62" i="3"/>
  <c r="AB173" i="3"/>
  <c r="S134" i="3"/>
  <c r="N123" i="3"/>
  <c r="AK66" i="3"/>
  <c r="V115" i="3"/>
  <c r="T131" i="3"/>
  <c r="S131" i="3"/>
  <c r="I162" i="3"/>
  <c r="AI138" i="3"/>
  <c r="Z54" i="3"/>
  <c r="L165" i="3"/>
  <c r="AE110" i="3"/>
  <c r="M41" i="3"/>
  <c r="W55" i="3"/>
  <c r="D84" i="3"/>
  <c r="G150" i="3"/>
  <c r="K161" i="3"/>
  <c r="Q126" i="3"/>
  <c r="W115" i="3"/>
  <c r="K87" i="3"/>
  <c r="D90" i="3"/>
  <c r="AA82" i="3"/>
  <c r="Z37" i="3"/>
  <c r="AC59" i="3"/>
  <c r="G119" i="3"/>
  <c r="AL104" i="3"/>
  <c r="AG64" i="3"/>
  <c r="F160" i="3"/>
  <c r="H140" i="3"/>
  <c r="AB127" i="3"/>
  <c r="AG91" i="3"/>
  <c r="AG127" i="3"/>
  <c r="H79" i="3"/>
  <c r="U99" i="3"/>
  <c r="J92" i="3"/>
  <c r="AC131" i="3"/>
  <c r="P189" i="3"/>
  <c r="S161" i="3"/>
  <c r="P44" i="3"/>
  <c r="Q133" i="3"/>
  <c r="F131" i="3"/>
  <c r="G188" i="3"/>
  <c r="AA195" i="3"/>
  <c r="R123" i="3"/>
  <c r="AK175" i="3"/>
  <c r="Z113" i="3"/>
  <c r="F81" i="3"/>
  <c r="L148" i="3"/>
  <c r="F125" i="3"/>
  <c r="C90" i="3"/>
  <c r="V125" i="3"/>
  <c r="D175" i="3"/>
  <c r="T150" i="3"/>
  <c r="AE169" i="3"/>
  <c r="H170" i="3"/>
  <c r="AD60" i="3"/>
  <c r="I130" i="3"/>
  <c r="W57" i="3"/>
  <c r="M37" i="3"/>
  <c r="W56" i="3"/>
  <c r="AH169" i="3"/>
  <c r="X189" i="3"/>
  <c r="S188" i="3"/>
  <c r="AC126" i="3"/>
  <c r="W92" i="3"/>
  <c r="E171" i="3"/>
  <c r="AI63" i="3"/>
  <c r="C88" i="3"/>
  <c r="AF92" i="3"/>
  <c r="V147" i="3"/>
  <c r="T128" i="3"/>
  <c r="AK147" i="3"/>
  <c r="W60" i="3"/>
  <c r="AH65" i="3"/>
  <c r="I35" i="3"/>
  <c r="O147" i="3"/>
  <c r="T38" i="3"/>
  <c r="AF64" i="3"/>
  <c r="T103" i="3"/>
  <c r="J159" i="3"/>
  <c r="T114" i="3"/>
  <c r="H87" i="3"/>
  <c r="G156" i="3"/>
  <c r="AE144" i="3"/>
  <c r="G183" i="3"/>
  <c r="U122" i="3"/>
  <c r="AB134" i="3"/>
  <c r="L83" i="3"/>
  <c r="P118" i="3"/>
  <c r="H148" i="3"/>
  <c r="Q79" i="3"/>
  <c r="G163" i="3"/>
  <c r="AA57" i="3"/>
  <c r="D96" i="3"/>
  <c r="K65" i="3"/>
  <c r="N169" i="3"/>
  <c r="L35" i="3"/>
  <c r="AK87" i="3"/>
  <c r="U48" i="3"/>
  <c r="C78" i="3"/>
  <c r="AI37" i="3"/>
  <c r="W163" i="3"/>
  <c r="AG140" i="3"/>
  <c r="D37" i="3"/>
  <c r="Q38" i="3"/>
  <c r="S153" i="3"/>
  <c r="P82" i="3"/>
  <c r="H126" i="3"/>
  <c r="AC163" i="3"/>
  <c r="X163" i="3"/>
  <c r="AK171" i="3"/>
  <c r="V117" i="3"/>
  <c r="U190" i="3"/>
  <c r="U165" i="3"/>
  <c r="O37" i="3"/>
  <c r="X133" i="3"/>
  <c r="AL131" i="3"/>
  <c r="AH110" i="3"/>
  <c r="AJ161" i="3"/>
  <c r="S48" i="3"/>
  <c r="I102" i="3"/>
  <c r="J119" i="3"/>
  <c r="X37" i="3"/>
  <c r="AA56" i="3"/>
  <c r="AK156" i="3"/>
  <c r="J58" i="3"/>
  <c r="M94" i="3"/>
  <c r="AK157" i="3"/>
  <c r="L188" i="3"/>
  <c r="AD168" i="3"/>
  <c r="AE41" i="3"/>
  <c r="R173" i="3"/>
  <c r="W134" i="3"/>
  <c r="K44" i="3"/>
  <c r="W113" i="3"/>
  <c r="AG122" i="3"/>
  <c r="L153" i="3"/>
  <c r="L140" i="3"/>
  <c r="Q127" i="3"/>
  <c r="AC159" i="3"/>
  <c r="AI54" i="3"/>
  <c r="AB159" i="3"/>
  <c r="C40" i="3"/>
  <c r="Y88" i="3"/>
  <c r="AD48" i="3"/>
  <c r="L175" i="3"/>
  <c r="AA59" i="3"/>
  <c r="AJ133" i="3"/>
  <c r="AL150" i="3"/>
  <c r="AH87" i="3"/>
  <c r="Q54" i="3"/>
  <c r="P195" i="3"/>
  <c r="V168" i="3"/>
  <c r="Q144" i="3"/>
  <c r="AK97" i="3"/>
  <c r="H134" i="3"/>
  <c r="Q95" i="3"/>
  <c r="AH144" i="3"/>
  <c r="AD94" i="3"/>
  <c r="U149" i="3"/>
  <c r="V148" i="3"/>
  <c r="E90" i="3"/>
  <c r="G122" i="3"/>
  <c r="AJ175" i="3"/>
  <c r="O157" i="3"/>
  <c r="AH115" i="3"/>
  <c r="AJ63" i="3"/>
  <c r="AB153" i="3"/>
  <c r="AL190" i="3"/>
  <c r="G127" i="3"/>
  <c r="W83" i="3"/>
  <c r="Y189" i="3"/>
  <c r="Z45" i="3"/>
  <c r="AD104" i="3"/>
  <c r="S83" i="3"/>
  <c r="O59" i="3"/>
  <c r="AI149" i="3"/>
  <c r="J189" i="3"/>
  <c r="C81" i="3"/>
  <c r="Z165" i="3"/>
  <c r="D162" i="3"/>
  <c r="AB162" i="3"/>
  <c r="T117" i="3"/>
  <c r="AB78" i="3"/>
  <c r="J60" i="3"/>
  <c r="E118" i="3"/>
  <c r="AG129" i="3"/>
  <c r="X62" i="3"/>
  <c r="U139" i="3"/>
  <c r="I156" i="3"/>
  <c r="L128" i="3"/>
  <c r="X83" i="3"/>
  <c r="Z150" i="3"/>
  <c r="AG103" i="3"/>
  <c r="Z90" i="3"/>
  <c r="G139" i="3"/>
  <c r="AJ91" i="3"/>
  <c r="T68" i="3"/>
  <c r="G65" i="3"/>
  <c r="Y39" i="3"/>
  <c r="S137" i="3"/>
  <c r="AC80" i="3"/>
  <c r="C159" i="3"/>
  <c r="C157" i="3"/>
  <c r="AC69" i="3"/>
  <c r="W173" i="3"/>
  <c r="AA91" i="3"/>
  <c r="R114" i="3"/>
  <c r="AA149" i="3"/>
  <c r="K153" i="3"/>
  <c r="L189" i="3"/>
  <c r="C138" i="3"/>
  <c r="AL137" i="3"/>
  <c r="G58" i="3"/>
  <c r="P96" i="3"/>
  <c r="X162" i="3"/>
  <c r="E47" i="3"/>
  <c r="AJ83" i="3"/>
  <c r="AE96" i="3"/>
  <c r="V36" i="3"/>
  <c r="AC88" i="3"/>
  <c r="J94" i="3"/>
  <c r="V96" i="3"/>
  <c r="M58" i="3"/>
  <c r="J183" i="3"/>
  <c r="F126" i="3"/>
  <c r="R128" i="3"/>
  <c r="L134" i="3"/>
  <c r="D127" i="3"/>
  <c r="G148" i="3"/>
  <c r="E157" i="3"/>
  <c r="AG93" i="3"/>
  <c r="L55" i="3"/>
  <c r="Z81" i="3"/>
  <c r="P68" i="3"/>
  <c r="Z106" i="3"/>
  <c r="H150" i="3"/>
  <c r="T78" i="3"/>
  <c r="D106" i="3"/>
  <c r="P190" i="3"/>
  <c r="AH58" i="3"/>
  <c r="U95" i="3"/>
  <c r="C106" i="3"/>
  <c r="AJ139" i="3"/>
  <c r="X40" i="3"/>
  <c r="H183" i="3"/>
  <c r="AK53" i="3"/>
  <c r="AK195" i="3"/>
  <c r="L88" i="3"/>
  <c r="G102" i="3"/>
  <c r="Q160" i="3"/>
  <c r="AB129" i="3"/>
  <c r="AG116" i="3"/>
  <c r="X129" i="3"/>
  <c r="L48" i="3"/>
  <c r="F144" i="3"/>
  <c r="AJ55" i="3"/>
  <c r="AC136" i="3"/>
  <c r="AH174" i="3"/>
  <c r="G95" i="3"/>
  <c r="AC144" i="3"/>
  <c r="F173" i="3"/>
  <c r="C195" i="3"/>
  <c r="N157" i="3"/>
  <c r="AB90" i="3"/>
  <c r="AG153" i="3"/>
  <c r="V123" i="3"/>
  <c r="S113" i="3"/>
  <c r="AD53" i="3"/>
  <c r="AC97" i="3"/>
  <c r="M140" i="3"/>
  <c r="M122" i="3"/>
  <c r="H96" i="3"/>
  <c r="AA65" i="3"/>
  <c r="AF35" i="3"/>
  <c r="K49" i="3"/>
  <c r="D172" i="3"/>
  <c r="C39" i="3"/>
  <c r="E153" i="3"/>
  <c r="L170" i="3"/>
  <c r="AB160" i="3"/>
  <c r="AL140" i="3"/>
  <c r="T56" i="3"/>
  <c r="AI62" i="3"/>
  <c r="K38" i="3"/>
  <c r="V69" i="3"/>
  <c r="M160" i="3"/>
  <c r="N171" i="3"/>
  <c r="AA106" i="3"/>
  <c r="AD41" i="3"/>
  <c r="R93" i="3"/>
  <c r="M56" i="3"/>
  <c r="AJ169" i="3"/>
  <c r="AL69" i="3"/>
  <c r="AG83" i="3"/>
  <c r="AA60" i="3"/>
  <c r="C171" i="3"/>
  <c r="F103" i="3"/>
  <c r="N88" i="3"/>
  <c r="AD57" i="3"/>
  <c r="L144" i="3"/>
  <c r="Y106" i="3"/>
  <c r="AJ90" i="3"/>
  <c r="Y84" i="3"/>
  <c r="Y101" i="3"/>
  <c r="F35" i="3"/>
  <c r="AD163" i="3"/>
  <c r="AG68" i="3"/>
  <c r="AL100" i="3"/>
  <c r="P78" i="3"/>
  <c r="AH104" i="3"/>
  <c r="R147" i="3"/>
  <c r="T57" i="3"/>
  <c r="AH103" i="3"/>
  <c r="AH123" i="3"/>
  <c r="I152" i="3"/>
  <c r="P128" i="3"/>
  <c r="Q166" i="3"/>
  <c r="E139" i="3"/>
  <c r="AC102" i="3"/>
  <c r="R172" i="3"/>
  <c r="AG165" i="3"/>
  <c r="T58" i="3"/>
  <c r="AB174" i="3"/>
  <c r="G164" i="3"/>
  <c r="O195" i="3"/>
  <c r="AA35" i="3"/>
  <c r="AJ45" i="3"/>
  <c r="I93" i="3"/>
  <c r="M172" i="3"/>
  <c r="J152" i="3"/>
  <c r="H56" i="3"/>
  <c r="T173" i="3"/>
  <c r="F82" i="3"/>
  <c r="AG81" i="3"/>
  <c r="L104" i="3"/>
  <c r="AH91" i="3"/>
  <c r="W97" i="3"/>
  <c r="U105" i="3"/>
  <c r="Q164" i="3"/>
  <c r="F139" i="3"/>
  <c r="AH157" i="3"/>
  <c r="K126" i="3"/>
  <c r="AK64" i="3"/>
  <c r="AF67" i="3"/>
  <c r="I183" i="3"/>
  <c r="AC114" i="3"/>
  <c r="AA113" i="3"/>
  <c r="G35" i="3"/>
  <c r="AH51" i="3"/>
  <c r="Q148" i="3"/>
  <c r="S95" i="3"/>
  <c r="N50" i="3"/>
  <c r="F78" i="3"/>
  <c r="X96" i="3"/>
  <c r="U58" i="3"/>
  <c r="E45" i="3"/>
  <c r="U35" i="3"/>
  <c r="H45" i="3"/>
  <c r="Y55" i="3"/>
  <c r="J170" i="3"/>
  <c r="R56" i="3"/>
  <c r="U175" i="3"/>
  <c r="Y116" i="3"/>
  <c r="V35" i="3"/>
  <c r="L123" i="3"/>
  <c r="Q183" i="3"/>
  <c r="O114" i="3"/>
  <c r="AC36" i="3"/>
  <c r="M189" i="3"/>
  <c r="C136" i="3"/>
  <c r="Q139" i="3"/>
  <c r="I58" i="3"/>
  <c r="E148" i="3"/>
  <c r="G126" i="3"/>
  <c r="C168" i="3"/>
  <c r="AI55" i="3"/>
  <c r="AJ54" i="3"/>
  <c r="X55" i="3"/>
  <c r="Z144" i="3"/>
  <c r="N60" i="3"/>
  <c r="M134" i="3"/>
  <c r="V134" i="3"/>
  <c r="D115" i="3"/>
  <c r="AA127" i="3"/>
  <c r="H139" i="3"/>
  <c r="F57" i="3"/>
  <c r="M63" i="3"/>
  <c r="AA67" i="3"/>
  <c r="AA51" i="3"/>
  <c r="AC50" i="3"/>
  <c r="O44" i="3"/>
  <c r="AC64" i="3"/>
  <c r="H153" i="3"/>
  <c r="W82" i="3"/>
  <c r="R144" i="3"/>
  <c r="R153" i="3"/>
  <c r="AG169" i="3"/>
  <c r="Y50" i="3"/>
  <c r="AJ87" i="3"/>
  <c r="S79" i="3"/>
  <c r="E83" i="3"/>
  <c r="AJ129" i="3"/>
  <c r="D160" i="3"/>
  <c r="R66" i="3"/>
  <c r="AH136" i="3"/>
  <c r="D118" i="3"/>
  <c r="N151" i="3"/>
  <c r="Q117" i="3"/>
  <c r="AB91" i="3"/>
  <c r="AL80" i="3"/>
  <c r="AK125" i="3"/>
  <c r="I41" i="3"/>
  <c r="D117" i="3"/>
  <c r="AH128" i="3"/>
  <c r="K62" i="3"/>
  <c r="K122" i="3"/>
  <c r="U94" i="3"/>
  <c r="AG170" i="3"/>
  <c r="G36" i="3"/>
  <c r="Y153" i="3"/>
  <c r="AK68" i="3"/>
  <c r="X119" i="3"/>
  <c r="AB140" i="3"/>
  <c r="AH148" i="3"/>
  <c r="E175" i="3"/>
  <c r="AE62" i="3"/>
  <c r="AA123" i="3"/>
  <c r="O127" i="3"/>
  <c r="AL37" i="3"/>
  <c r="V82" i="3"/>
  <c r="AB79" i="3"/>
  <c r="AG150" i="3"/>
  <c r="AB144" i="3"/>
  <c r="AI53" i="3"/>
  <c r="L100" i="3"/>
  <c r="G151" i="3"/>
  <c r="Q113" i="3"/>
  <c r="AK139" i="3"/>
  <c r="T63" i="3"/>
  <c r="D97" i="3"/>
  <c r="M164" i="3"/>
  <c r="P41" i="3"/>
  <c r="AG50" i="3"/>
  <c r="AG163" i="3"/>
  <c r="M114" i="3"/>
  <c r="AH93" i="3"/>
  <c r="AH106" i="3"/>
  <c r="V190" i="3"/>
  <c r="Z171" i="3"/>
  <c r="O79" i="3"/>
  <c r="AK128" i="3"/>
  <c r="T148" i="3"/>
  <c r="N139" i="3"/>
  <c r="AA50" i="3"/>
  <c r="G133" i="3"/>
  <c r="V152" i="3"/>
  <c r="AD115" i="3"/>
  <c r="R79" i="3"/>
  <c r="P174" i="3"/>
  <c r="Z164" i="3"/>
  <c r="AE127" i="3"/>
  <c r="N38" i="3"/>
  <c r="AF114" i="3"/>
  <c r="Z148" i="3"/>
  <c r="L152" i="3"/>
  <c r="AE92" i="3"/>
  <c r="AL166" i="3"/>
  <c r="G81" i="3"/>
  <c r="G113" i="3"/>
  <c r="AE104" i="3"/>
  <c r="N161" i="3"/>
  <c r="X118" i="3"/>
  <c r="Z126" i="3"/>
  <c r="AI136" i="3"/>
  <c r="H51" i="3"/>
  <c r="F171" i="3"/>
  <c r="K137" i="3"/>
  <c r="Y190" i="3"/>
  <c r="H147" i="3"/>
  <c r="AD183" i="3"/>
  <c r="Z57" i="3"/>
  <c r="O189" i="3"/>
  <c r="N87" i="3"/>
  <c r="S135" i="3"/>
  <c r="AF173" i="3"/>
  <c r="T163" i="3"/>
  <c r="AH131" i="3"/>
  <c r="Z125" i="3"/>
  <c r="E62" i="3"/>
  <c r="F53" i="3"/>
  <c r="AI128" i="3"/>
  <c r="J79" i="3"/>
  <c r="W119" i="3"/>
  <c r="O138" i="3"/>
  <c r="P139" i="3"/>
  <c r="T62" i="3"/>
  <c r="U110" i="3"/>
  <c r="K147" i="3"/>
  <c r="AD133" i="3"/>
  <c r="N35" i="3"/>
  <c r="W140" i="3"/>
  <c r="L127" i="3"/>
  <c r="AA48" i="3"/>
  <c r="AC47" i="3"/>
  <c r="Y48" i="3"/>
  <c r="D45" i="3"/>
  <c r="F127" i="3"/>
  <c r="AB190" i="3"/>
  <c r="C67" i="3"/>
  <c r="AJ174" i="3"/>
  <c r="S94" i="3"/>
  <c r="L174" i="3"/>
  <c r="K127" i="3"/>
  <c r="S117" i="3"/>
  <c r="AB117" i="3"/>
  <c r="N131" i="3"/>
  <c r="W49" i="3"/>
  <c r="AG47" i="3"/>
  <c r="X35" i="3"/>
  <c r="J129" i="3"/>
  <c r="O54" i="3"/>
  <c r="Y44" i="3"/>
  <c r="D51" i="3"/>
  <c r="I144" i="3"/>
  <c r="AK106" i="3"/>
  <c r="AC164" i="3"/>
  <c r="AJ79" i="3"/>
  <c r="AG95" i="3"/>
  <c r="K35" i="3"/>
  <c r="AA87" i="3"/>
  <c r="U91" i="3"/>
  <c r="X161" i="3"/>
  <c r="AC94" i="3"/>
  <c r="AI39" i="3"/>
  <c r="T67" i="3"/>
  <c r="AI161" i="3"/>
  <c r="AA163" i="3"/>
  <c r="F170" i="3"/>
  <c r="I190" i="3"/>
  <c r="O62" i="3"/>
  <c r="K150" i="3"/>
  <c r="AA99" i="3"/>
  <c r="AJ41" i="3"/>
  <c r="W88" i="3"/>
  <c r="Y95" i="3"/>
  <c r="AG104" i="3"/>
  <c r="AH173" i="3"/>
  <c r="AA58" i="3"/>
  <c r="I50" i="3"/>
  <c r="R129" i="3"/>
  <c r="P58" i="3"/>
  <c r="F129" i="3"/>
  <c r="Z41" i="3"/>
  <c r="AI159" i="3"/>
  <c r="AJ127" i="3"/>
  <c r="T39" i="3"/>
  <c r="H195" i="3"/>
  <c r="AL114" i="3"/>
  <c r="W149" i="3"/>
  <c r="O140" i="3"/>
  <c r="H162" i="3"/>
  <c r="N82" i="3"/>
  <c r="AK183" i="3"/>
  <c r="F150" i="3"/>
  <c r="AA183" i="3"/>
  <c r="AL82" i="3"/>
  <c r="W53" i="3"/>
  <c r="N97" i="3"/>
  <c r="V138" i="3"/>
  <c r="D41" i="3"/>
  <c r="G91" i="3"/>
  <c r="R133" i="3"/>
  <c r="Q57" i="3"/>
  <c r="W123" i="3"/>
  <c r="X140" i="3"/>
  <c r="N103" i="3"/>
  <c r="AI97" i="3"/>
  <c r="AI91" i="3"/>
  <c r="T133" i="3"/>
  <c r="AC171" i="3"/>
  <c r="L38" i="3"/>
  <c r="AG113" i="3"/>
  <c r="AI110" i="3"/>
  <c r="AD93" i="3"/>
  <c r="AG168" i="3"/>
  <c r="H115" i="3"/>
  <c r="E161" i="3"/>
  <c r="M83" i="3"/>
  <c r="AL79" i="3"/>
  <c r="AB62" i="3"/>
  <c r="G174" i="3"/>
  <c r="F135" i="3"/>
  <c r="V53" i="3"/>
  <c r="J101" i="3"/>
  <c r="I39" i="3"/>
  <c r="AI88" i="3"/>
  <c r="AJ137" i="3"/>
  <c r="G37" i="3"/>
  <c r="AB102" i="3"/>
  <c r="AK150" i="3"/>
  <c r="L136" i="3"/>
  <c r="K60" i="3"/>
  <c r="L92" i="3"/>
  <c r="E115" i="3"/>
  <c r="AH151" i="3"/>
  <c r="S58" i="3"/>
  <c r="T60" i="3"/>
  <c r="Z59" i="3"/>
  <c r="N164" i="3"/>
  <c r="AC123" i="3"/>
  <c r="AK94" i="3"/>
  <c r="Q100" i="3"/>
  <c r="AA92" i="3"/>
  <c r="Y163" i="3"/>
  <c r="AJ159" i="3"/>
  <c r="AE101" i="3"/>
  <c r="S115" i="3"/>
  <c r="AH94" i="3"/>
  <c r="AE48" i="3"/>
  <c r="AI56" i="3"/>
  <c r="AE131" i="3"/>
  <c r="AG115" i="3"/>
  <c r="L119" i="3"/>
  <c r="H128" i="3"/>
  <c r="Z55" i="3"/>
  <c r="D68" i="3"/>
  <c r="C50" i="3"/>
  <c r="R62" i="3"/>
  <c r="AD150" i="3"/>
  <c r="L159" i="3"/>
  <c r="AJ152" i="3"/>
  <c r="J55" i="3"/>
  <c r="L169" i="3"/>
  <c r="AF149" i="3"/>
  <c r="AG151" i="3"/>
  <c r="L97" i="3"/>
  <c r="W47" i="3"/>
  <c r="G118" i="3"/>
  <c r="AD54" i="3"/>
  <c r="X92" i="3"/>
  <c r="T152" i="3"/>
  <c r="C92" i="3"/>
  <c r="P37" i="3"/>
  <c r="AI130" i="3"/>
  <c r="AK49" i="3"/>
  <c r="N101" i="3"/>
  <c r="Y165" i="3"/>
  <c r="O165" i="3"/>
  <c r="Y162" i="3"/>
  <c r="AL188" i="3"/>
  <c r="V163" i="3"/>
  <c r="D81" i="3"/>
  <c r="R171" i="3"/>
  <c r="X99" i="3"/>
  <c r="AF68" i="3"/>
  <c r="AB51" i="3"/>
  <c r="AD118" i="3"/>
  <c r="R161" i="3"/>
  <c r="AC133" i="3"/>
  <c r="K95" i="3"/>
  <c r="Z173" i="3"/>
  <c r="W128" i="3"/>
  <c r="AB53" i="3"/>
  <c r="AJ69" i="3"/>
  <c r="J88" i="3"/>
  <c r="N148" i="3"/>
  <c r="K53" i="3"/>
  <c r="U59" i="3"/>
  <c r="AC60" i="3"/>
  <c r="AB150" i="3"/>
  <c r="V57" i="3"/>
  <c r="AB81" i="3"/>
  <c r="L131" i="3"/>
  <c r="AD134" i="3"/>
  <c r="G110" i="3"/>
  <c r="AC56" i="3"/>
  <c r="Q151" i="3"/>
  <c r="R69" i="3"/>
  <c r="W50" i="3"/>
  <c r="AD139" i="3"/>
  <c r="X38" i="3"/>
  <c r="AA139" i="3"/>
  <c r="Y93" i="3"/>
  <c r="G62" i="3"/>
  <c r="O102" i="3"/>
  <c r="AL51" i="3"/>
  <c r="Y144" i="3"/>
  <c r="AJ165" i="3"/>
  <c r="C62" i="3"/>
  <c r="F87" i="3"/>
  <c r="AD68" i="3"/>
  <c r="AD110" i="3"/>
  <c r="O68" i="3"/>
  <c r="AJ148" i="3"/>
  <c r="T35" i="3"/>
  <c r="AJ114" i="3"/>
  <c r="I140" i="3"/>
  <c r="AF189" i="3"/>
  <c r="H100" i="3"/>
  <c r="AG65" i="3"/>
  <c r="R130" i="3"/>
  <c r="AB58" i="3"/>
  <c r="AD58" i="3"/>
  <c r="AA83" i="3"/>
  <c r="AB103" i="3"/>
  <c r="AA63" i="3"/>
  <c r="F54" i="3"/>
  <c r="AC48" i="3"/>
  <c r="AH35" i="3"/>
  <c r="C149" i="3"/>
  <c r="AL84" i="3"/>
  <c r="E79" i="3"/>
  <c r="AK81" i="3"/>
  <c r="H136" i="3"/>
  <c r="Q55" i="3"/>
  <c r="T44" i="3"/>
  <c r="O50" i="3"/>
  <c r="AG125" i="3"/>
  <c r="AD130" i="3"/>
  <c r="AJ150" i="3"/>
  <c r="L103" i="3"/>
  <c r="AA148" i="3"/>
  <c r="N127" i="3"/>
  <c r="K159" i="3"/>
  <c r="U188" i="3"/>
  <c r="AF160" i="3"/>
  <c r="K104" i="3"/>
  <c r="AE82" i="3"/>
  <c r="AK131" i="3"/>
  <c r="AK78" i="3"/>
  <c r="AL60" i="3"/>
  <c r="AG190" i="3"/>
  <c r="H118" i="3"/>
  <c r="X110" i="3"/>
  <c r="O56" i="3"/>
  <c r="K166" i="3"/>
  <c r="K138" i="3"/>
  <c r="AF137" i="3"/>
  <c r="S110" i="3"/>
  <c r="X134" i="3"/>
  <c r="L163" i="3"/>
  <c r="AG175" i="3"/>
  <c r="AI94" i="3"/>
  <c r="H40" i="3"/>
  <c r="F99" i="3"/>
  <c r="C60" i="3"/>
  <c r="D60" i="3"/>
  <c r="O134" i="3"/>
  <c r="P83" i="3"/>
  <c r="AD147" i="3"/>
  <c r="AL122" i="3"/>
  <c r="AD138" i="3"/>
  <c r="AA95" i="3"/>
  <c r="H149" i="3"/>
  <c r="I91" i="3"/>
  <c r="AG48" i="3"/>
  <c r="L62" i="3"/>
  <c r="Q169" i="3"/>
  <c r="R190" i="3"/>
  <c r="K162" i="3"/>
  <c r="K57" i="3"/>
  <c r="AC170" i="3"/>
  <c r="AC125" i="3"/>
  <c r="H138" i="3"/>
  <c r="W137" i="3"/>
  <c r="O117" i="3"/>
  <c r="E68" i="3"/>
  <c r="U125" i="3"/>
  <c r="AF140" i="3"/>
  <c r="W96" i="3"/>
  <c r="Q190" i="3"/>
  <c r="Z84" i="3"/>
  <c r="AG160" i="3"/>
  <c r="X36" i="3"/>
  <c r="AB60" i="3"/>
  <c r="J36" i="3"/>
  <c r="T122" i="3"/>
  <c r="C147" i="3"/>
  <c r="AF102" i="3"/>
  <c r="P123" i="3"/>
  <c r="AA130" i="3"/>
  <c r="K79" i="3"/>
  <c r="W151" i="3"/>
  <c r="T164" i="3"/>
  <c r="Z47" i="3"/>
  <c r="AG164" i="3"/>
  <c r="AB116" i="3"/>
  <c r="O94" i="3"/>
  <c r="W129" i="3"/>
  <c r="V78" i="3"/>
  <c r="D122" i="3"/>
  <c r="F47" i="3"/>
  <c r="M90" i="3"/>
  <c r="E48" i="3"/>
  <c r="AD127" i="3"/>
  <c r="S80" i="3"/>
  <c r="AK190" i="3"/>
  <c r="U148" i="3"/>
  <c r="G90" i="3"/>
  <c r="J114" i="3"/>
  <c r="G147" i="3"/>
  <c r="AD100" i="3"/>
  <c r="AK41" i="3"/>
  <c r="E51" i="3"/>
  <c r="AK38" i="3"/>
  <c r="K82" i="3"/>
  <c r="T165" i="3"/>
  <c r="T54" i="3"/>
  <c r="H125" i="3"/>
  <c r="M96" i="3"/>
  <c r="V156" i="3"/>
  <c r="D58" i="3"/>
  <c r="E93" i="3"/>
  <c r="AA160" i="3"/>
  <c r="E44" i="3"/>
  <c r="AH190" i="3"/>
  <c r="AK101" i="3"/>
  <c r="G128" i="3"/>
  <c r="Q157" i="3"/>
  <c r="W45" i="3"/>
  <c r="R82" i="3"/>
  <c r="V110" i="3"/>
  <c r="C48" i="3"/>
  <c r="AL164" i="3"/>
  <c r="W166" i="3"/>
  <c r="V92" i="3"/>
  <c r="Z80" i="3"/>
  <c r="Q53" i="3"/>
  <c r="AA36" i="3"/>
  <c r="F59" i="3"/>
  <c r="Z128" i="3"/>
  <c r="Q137" i="3"/>
  <c r="AB83" i="3"/>
  <c r="E114" i="3"/>
  <c r="J175" i="3"/>
  <c r="AE53" i="3"/>
  <c r="I94" i="3"/>
  <c r="AE136" i="3"/>
  <c r="AK35" i="3"/>
  <c r="Z130" i="3"/>
  <c r="G166" i="3"/>
  <c r="AF82" i="3"/>
  <c r="Q195" i="3"/>
  <c r="D164" i="3"/>
  <c r="T59" i="3"/>
  <c r="O119" i="3"/>
  <c r="AH38" i="3"/>
  <c r="W93" i="3"/>
  <c r="F106" i="3"/>
  <c r="AA105" i="3"/>
  <c r="Y114" i="3"/>
  <c r="Q90" i="3"/>
  <c r="P165" i="3"/>
  <c r="D129" i="3"/>
  <c r="R80" i="3"/>
  <c r="P138" i="3"/>
  <c r="G64" i="3"/>
  <c r="U163" i="3"/>
  <c r="AL172" i="3"/>
  <c r="AI126" i="3"/>
  <c r="F164" i="3"/>
  <c r="O113" i="3"/>
  <c r="W174" i="3"/>
  <c r="U162" i="3"/>
  <c r="F175" i="3"/>
  <c r="J157" i="3"/>
  <c r="J150" i="3"/>
  <c r="L161" i="3"/>
  <c r="M68" i="3"/>
  <c r="AF96" i="3"/>
  <c r="T48" i="3"/>
  <c r="U189" i="3"/>
  <c r="R87" i="3"/>
  <c r="AI92" i="3"/>
  <c r="W135" i="3"/>
  <c r="E165" i="3"/>
  <c r="M133" i="3"/>
  <c r="Y127" i="3"/>
  <c r="Z38" i="3"/>
  <c r="Q125" i="3"/>
  <c r="Z51" i="3"/>
  <c r="AE119" i="3"/>
  <c r="O129" i="3"/>
  <c r="Q60" i="3"/>
  <c r="O125" i="3"/>
  <c r="T37" i="3"/>
  <c r="AF113" i="3"/>
  <c r="AF59" i="3"/>
  <c r="C144" i="3"/>
  <c r="AF101" i="3"/>
  <c r="G92" i="3"/>
  <c r="J49" i="3"/>
  <c r="X95" i="3"/>
  <c r="AI163" i="3"/>
  <c r="AK103" i="3"/>
  <c r="P116" i="3"/>
  <c r="AL39" i="3"/>
  <c r="J39" i="3"/>
  <c r="S166" i="3"/>
  <c r="AA47" i="3"/>
  <c r="AB161" i="3"/>
  <c r="U97" i="3"/>
  <c r="AJ140" i="3"/>
  <c r="AA62" i="3"/>
  <c r="D149" i="3"/>
  <c r="AJ88" i="3"/>
  <c r="E88" i="3"/>
  <c r="N96" i="3"/>
  <c r="S163" i="3"/>
  <c r="L51" i="3"/>
  <c r="P110" i="3"/>
  <c r="J35" i="3"/>
  <c r="M168" i="3"/>
  <c r="W80" i="3"/>
  <c r="V81" i="3"/>
  <c r="R38" i="3"/>
  <c r="Z103" i="3"/>
  <c r="V101" i="3"/>
  <c r="AI168" i="3"/>
  <c r="AF51" i="3"/>
  <c r="E195" i="3"/>
  <c r="G114" i="3"/>
  <c r="AF47" i="3"/>
  <c r="M119" i="3"/>
  <c r="Y169" i="3"/>
  <c r="V44" i="3"/>
  <c r="D148" i="3"/>
  <c r="O41" i="3"/>
  <c r="L164" i="3"/>
  <c r="AA125" i="3"/>
  <c r="P47" i="3"/>
  <c r="C173" i="3"/>
  <c r="L138" i="3"/>
  <c r="AJ58" i="3"/>
  <c r="Q174" i="3"/>
  <c r="AF95" i="3"/>
  <c r="P93" i="3"/>
  <c r="R165" i="3"/>
  <c r="AK96" i="3"/>
  <c r="S116" i="3"/>
  <c r="T149" i="3"/>
  <c r="AA49" i="3"/>
  <c r="AA100" i="3"/>
  <c r="AG94" i="3"/>
  <c r="AC134" i="3"/>
  <c r="K171" i="3"/>
  <c r="P45" i="3"/>
  <c r="F62" i="3"/>
  <c r="AK114" i="3"/>
  <c r="Z149" i="3"/>
  <c r="E140" i="3"/>
  <c r="C123" i="3"/>
  <c r="AG87" i="3"/>
  <c r="P133" i="3"/>
  <c r="AC62" i="3"/>
  <c r="S140" i="3"/>
  <c r="AA44" i="3"/>
  <c r="D48" i="3"/>
  <c r="AI79" i="3"/>
  <c r="AA101" i="3"/>
  <c r="U44" i="3"/>
  <c r="R122" i="3"/>
  <c r="Y166" i="3"/>
  <c r="AC165" i="3"/>
  <c r="AF127" i="3"/>
  <c r="AF183" i="3"/>
  <c r="G129" i="3"/>
  <c r="Z166" i="3"/>
  <c r="S133" i="3"/>
  <c r="AG174" i="3"/>
  <c r="F83" i="3"/>
  <c r="Z53" i="3"/>
  <c r="AI140" i="3"/>
  <c r="AC81" i="3"/>
  <c r="J166" i="3"/>
  <c r="AG35" i="3"/>
  <c r="AD35" i="3"/>
  <c r="C49" i="3"/>
  <c r="Y150" i="3"/>
  <c r="Y147" i="3"/>
  <c r="K81" i="3"/>
  <c r="H119" i="3"/>
  <c r="W175" i="3"/>
  <c r="AB147" i="3"/>
  <c r="AF65" i="3"/>
  <c r="AK134" i="3"/>
  <c r="P119" i="3"/>
  <c r="V97" i="3"/>
  <c r="P168" i="3"/>
  <c r="X53" i="3"/>
  <c r="AH113" i="3"/>
  <c r="V131" i="3"/>
  <c r="W90" i="3"/>
  <c r="AH172" i="3"/>
  <c r="D137" i="3"/>
  <c r="AH137" i="3"/>
  <c r="AC79" i="3"/>
  <c r="AB49" i="3"/>
  <c r="G144" i="3"/>
  <c r="X139" i="3"/>
  <c r="J162" i="3"/>
  <c r="AL102" i="3"/>
  <c r="X39" i="3"/>
  <c r="K51" i="3"/>
  <c r="M62" i="3"/>
  <c r="F80" i="3"/>
  <c r="U168" i="3"/>
  <c r="R103" i="3"/>
  <c r="F84" i="3"/>
  <c r="F133" i="3"/>
  <c r="P153" i="3"/>
  <c r="D53" i="3"/>
  <c r="F117" i="3"/>
  <c r="AJ48" i="3"/>
  <c r="N78" i="3"/>
  <c r="H50" i="3"/>
  <c r="X149" i="3"/>
  <c r="AG60" i="3"/>
  <c r="AL159" i="3"/>
  <c r="O131" i="3"/>
  <c r="C148" i="3"/>
  <c r="N57" i="3"/>
  <c r="H88" i="3"/>
  <c r="L149" i="3"/>
  <c r="AF45" i="3"/>
  <c r="H57" i="3"/>
  <c r="AF91" i="3"/>
  <c r="J50" i="3"/>
  <c r="F161" i="3"/>
  <c r="F157" i="3"/>
  <c r="AE123" i="3"/>
  <c r="AG148" i="3"/>
  <c r="W39" i="3"/>
  <c r="X93" i="3"/>
  <c r="F118" i="3"/>
  <c r="W170" i="3"/>
  <c r="M35" i="3"/>
  <c r="W110" i="3"/>
  <c r="E137" i="3"/>
  <c r="H78" i="3"/>
  <c r="J128" i="3"/>
  <c r="N183" i="3"/>
  <c r="AK104" i="3"/>
  <c r="AL35" i="3"/>
  <c r="Q93" i="3"/>
  <c r="Z93" i="3"/>
  <c r="I125" i="3"/>
  <c r="X91" i="3"/>
  <c r="AD87" i="3"/>
  <c r="AD137" i="3"/>
  <c r="S103" i="3"/>
  <c r="L82" i="3"/>
  <c r="AJ37" i="3"/>
  <c r="AE40" i="3"/>
  <c r="AG173" i="3"/>
  <c r="E81" i="3"/>
  <c r="AB84" i="3"/>
  <c r="S38" i="3"/>
  <c r="M110" i="3"/>
  <c r="Y53" i="3"/>
  <c r="AA171" i="3"/>
  <c r="S173" i="3"/>
  <c r="P150" i="3"/>
  <c r="U183" i="3"/>
  <c r="AJ56" i="3"/>
  <c r="S130" i="3"/>
  <c r="AA168" i="3"/>
  <c r="AE152" i="3"/>
  <c r="U117" i="3"/>
  <c r="T174" i="3"/>
  <c r="L183" i="3"/>
  <c r="AL151" i="3"/>
  <c r="E156" i="3"/>
  <c r="N118" i="3"/>
  <c r="AL65" i="3"/>
  <c r="AE97" i="3"/>
  <c r="W150" i="3"/>
  <c r="AD105" i="3"/>
  <c r="G87" i="3"/>
  <c r="AE60" i="3"/>
  <c r="Q131" i="3"/>
  <c r="M163" i="3"/>
  <c r="F115" i="3"/>
  <c r="AC49" i="3"/>
  <c r="S88" i="3"/>
  <c r="Q159" i="3"/>
  <c r="U45" i="3"/>
  <c r="AJ82" i="3"/>
  <c r="O87" i="3"/>
  <c r="F37" i="3"/>
  <c r="W153" i="3"/>
  <c r="AF135" i="3"/>
  <c r="AK91" i="3"/>
  <c r="AA173" i="3"/>
  <c r="O66" i="3"/>
  <c r="AJ170" i="3"/>
  <c r="P81" i="3"/>
  <c r="AD170" i="3"/>
  <c r="S123" i="3"/>
  <c r="N93" i="3"/>
  <c r="AH49" i="3"/>
  <c r="H36" i="3"/>
  <c r="AJ38" i="3"/>
  <c r="AH153" i="3"/>
  <c r="T110" i="3"/>
  <c r="AG144" i="3"/>
  <c r="Y175" i="3"/>
  <c r="AG171" i="3"/>
  <c r="N83" i="3"/>
  <c r="H82" i="3"/>
  <c r="K134" i="3"/>
  <c r="N84" i="3"/>
  <c r="H113" i="3"/>
  <c r="AI67" i="3"/>
  <c r="O126" i="3"/>
  <c r="I122" i="3"/>
  <c r="AI81" i="3"/>
  <c r="AE130" i="3"/>
  <c r="M48" i="3"/>
  <c r="Y45" i="3"/>
  <c r="W36" i="3"/>
  <c r="U170" i="3"/>
  <c r="S125" i="3"/>
  <c r="W156" i="3"/>
  <c r="S82" i="3"/>
  <c r="Z104" i="3"/>
  <c r="Y92" i="3"/>
  <c r="M127" i="3"/>
  <c r="R50" i="3"/>
  <c r="E95" i="3"/>
  <c r="I79" i="3"/>
  <c r="M88" i="3"/>
  <c r="F123" i="3"/>
  <c r="AL163" i="3"/>
  <c r="W40" i="3"/>
  <c r="C135" i="3"/>
  <c r="AF115" i="3"/>
  <c r="Z58" i="3"/>
  <c r="H135" i="3"/>
  <c r="R157" i="3"/>
  <c r="T81" i="3"/>
  <c r="J115" i="3"/>
  <c r="AE84" i="3"/>
  <c r="AC54" i="3"/>
  <c r="P130" i="3"/>
  <c r="Y195" i="3"/>
  <c r="AA117" i="3"/>
  <c r="C93" i="3"/>
  <c r="N130" i="3"/>
  <c r="N162" i="3"/>
  <c r="M135" i="3"/>
  <c r="AE37" i="3"/>
  <c r="AD161" i="3"/>
  <c r="AD129" i="3"/>
  <c r="AC44" i="3"/>
  <c r="L151" i="3"/>
  <c r="Z136" i="3"/>
  <c r="T156" i="3"/>
  <c r="T45" i="3"/>
  <c r="AE113" i="3"/>
  <c r="AG123" i="3"/>
  <c r="AB138" i="3"/>
  <c r="G104" i="3"/>
  <c r="C130" i="3"/>
  <c r="L49" i="3"/>
  <c r="N79" i="3"/>
  <c r="Z188" i="3"/>
  <c r="F40" i="3"/>
  <c r="AE54" i="3"/>
  <c r="H65" i="3"/>
  <c r="AD90" i="3"/>
  <c r="AL64" i="3"/>
  <c r="AJ67" i="3"/>
  <c r="R90" i="3"/>
  <c r="N94" i="3"/>
  <c r="AH129" i="3"/>
  <c r="D166" i="3"/>
  <c r="W63" i="3"/>
  <c r="S92" i="3"/>
  <c r="AI41" i="3"/>
  <c r="I40" i="3"/>
  <c r="E190" i="3"/>
  <c r="D150" i="3"/>
  <c r="E105" i="3"/>
  <c r="AA128" i="3"/>
  <c r="AH97" i="3"/>
  <c r="S78" i="3"/>
  <c r="AF44" i="3"/>
  <c r="X173" i="3"/>
  <c r="P105" i="3"/>
  <c r="Q82" i="3"/>
  <c r="I174" i="3"/>
  <c r="AB125" i="3"/>
  <c r="AH55" i="3"/>
  <c r="H164" i="3"/>
  <c r="U144" i="3"/>
  <c r="Q47" i="3"/>
  <c r="U88" i="3"/>
  <c r="P160" i="3"/>
  <c r="AI64" i="3"/>
  <c r="E67" i="3"/>
  <c r="T183" i="3"/>
  <c r="L129" i="3"/>
  <c r="D102" i="3"/>
  <c r="I103" i="3"/>
  <c r="S49" i="3"/>
  <c r="T53" i="3"/>
  <c r="AJ172" i="3"/>
  <c r="R159" i="3"/>
  <c r="AC53" i="3"/>
  <c r="Q128" i="3"/>
  <c r="AI125" i="3"/>
  <c r="U136" i="3"/>
  <c r="AH165" i="3"/>
  <c r="G69" i="3"/>
  <c r="P103" i="3"/>
  <c r="N133" i="3"/>
  <c r="AH159" i="3"/>
  <c r="AK140" i="3"/>
  <c r="AL56" i="3"/>
  <c r="J41" i="3"/>
  <c r="C190" i="3"/>
  <c r="AF79" i="3"/>
  <c r="AG118" i="3"/>
  <c r="AE174" i="3"/>
  <c r="V38" i="3"/>
  <c r="Y151" i="3"/>
  <c r="R105" i="3"/>
  <c r="G123" i="3"/>
  <c r="R148" i="3"/>
  <c r="AF152" i="3"/>
  <c r="AK37" i="3"/>
  <c r="AK83" i="3"/>
  <c r="M161" i="3"/>
  <c r="V166" i="3"/>
  <c r="AE102" i="3"/>
  <c r="AB172" i="3"/>
  <c r="Y168" i="3"/>
  <c r="AD122" i="3"/>
  <c r="N129" i="3"/>
  <c r="AE67" i="3"/>
  <c r="U123" i="3"/>
  <c r="AL95" i="3"/>
  <c r="AJ53" i="3"/>
  <c r="AE49" i="3"/>
  <c r="M36" i="3"/>
  <c r="M40" i="3"/>
  <c r="T134" i="3"/>
  <c r="AE65" i="3"/>
  <c r="P88" i="3"/>
  <c r="P169" i="3"/>
  <c r="S106" i="3"/>
  <c r="S160" i="3"/>
  <c r="C41" i="3"/>
  <c r="V119" i="3"/>
  <c r="K37" i="3"/>
  <c r="AI104" i="3"/>
  <c r="O115" i="3"/>
  <c r="W161" i="3"/>
  <c r="AD80" i="3"/>
  <c r="Q150" i="3"/>
  <c r="U83" i="3"/>
  <c r="T88" i="3"/>
  <c r="W114" i="3"/>
  <c r="AH147" i="3"/>
  <c r="Z48" i="3"/>
  <c r="M169" i="3"/>
  <c r="C105" i="3"/>
  <c r="C47" i="3"/>
  <c r="W168" i="3"/>
  <c r="P125" i="3"/>
  <c r="I106" i="3"/>
  <c r="K99" i="3"/>
  <c r="Q56" i="3"/>
  <c r="Q59" i="3"/>
  <c r="K140" i="3"/>
  <c r="AE140" i="3"/>
  <c r="I83" i="3"/>
  <c r="K94" i="3"/>
  <c r="X171" i="3"/>
  <c r="E131" i="3"/>
  <c r="AA102" i="3"/>
  <c r="AE161" i="3"/>
  <c r="L101" i="3"/>
  <c r="U65" i="3"/>
  <c r="Z157" i="3"/>
  <c r="H35" i="3"/>
  <c r="AC173" i="3"/>
  <c r="AL125" i="3"/>
  <c r="Z102" i="3"/>
  <c r="O136" i="3"/>
  <c r="S81" i="3"/>
  <c r="AB133" i="3"/>
  <c r="Y148" i="3"/>
  <c r="N62" i="3"/>
  <c r="AF84" i="3"/>
  <c r="AE139" i="3"/>
  <c r="AE125" i="3"/>
  <c r="F90" i="3"/>
  <c r="AF130" i="3"/>
  <c r="I168" i="3"/>
  <c r="AJ102" i="3"/>
  <c r="AA126" i="3"/>
  <c r="N113" i="3"/>
  <c r="F58" i="3"/>
  <c r="X101" i="3"/>
  <c r="O38" i="3"/>
  <c r="G79" i="3"/>
  <c r="H39" i="3"/>
  <c r="C110" i="3"/>
  <c r="AL152" i="3"/>
  <c r="T82" i="3"/>
  <c r="F134" i="3"/>
  <c r="N150" i="3"/>
  <c r="AK51" i="3"/>
  <c r="G169" i="3"/>
  <c r="V140" i="3"/>
  <c r="K118" i="3"/>
  <c r="M175" i="3"/>
  <c r="F51" i="3"/>
  <c r="AK123" i="3"/>
  <c r="D189" i="3"/>
  <c r="AC138" i="3"/>
  <c r="AI195" i="3"/>
  <c r="T127" i="3"/>
  <c r="C172" i="3"/>
  <c r="AJ162" i="3"/>
  <c r="X152" i="3"/>
  <c r="AI183" i="3"/>
  <c r="Y102" i="3"/>
  <c r="AC127" i="3"/>
  <c r="L118" i="3"/>
  <c r="AI50" i="3"/>
  <c r="AE94" i="3"/>
  <c r="AH60" i="3"/>
  <c r="AJ40" i="3"/>
  <c r="F45" i="3"/>
  <c r="Z134" i="3"/>
  <c r="X116" i="3"/>
  <c r="O69" i="3"/>
  <c r="G171" i="3"/>
  <c r="D49" i="3"/>
  <c r="X45" i="3"/>
  <c r="P39" i="3"/>
  <c r="E125" i="3"/>
  <c r="M57" i="3"/>
  <c r="AE188" i="3"/>
  <c r="AG114" i="3"/>
  <c r="X153" i="3"/>
  <c r="AI150" i="3"/>
  <c r="N128" i="3"/>
  <c r="Y67" i="3"/>
  <c r="AJ151" i="3"/>
  <c r="E91" i="3"/>
  <c r="W95" i="3"/>
  <c r="G80" i="3"/>
  <c r="AL161" i="3"/>
  <c r="Z119" i="3"/>
  <c r="AG157" i="3"/>
  <c r="AA129" i="3"/>
  <c r="T90" i="3"/>
  <c r="Q50" i="3"/>
  <c r="AL117" i="3"/>
  <c r="P67" i="3"/>
  <c r="E101" i="3"/>
  <c r="AC67" i="3"/>
  <c r="D130" i="3"/>
  <c r="AL136" i="3"/>
  <c r="J122" i="3"/>
  <c r="AJ96" i="3"/>
  <c r="AL118" i="3"/>
  <c r="M126" i="3"/>
  <c r="AK136" i="3"/>
  <c r="K183" i="3"/>
  <c r="R100" i="3"/>
  <c r="Z129" i="3"/>
  <c r="U67" i="3"/>
  <c r="W133" i="3"/>
  <c r="G106" i="3"/>
  <c r="Y97" i="3"/>
  <c r="AD131" i="3"/>
  <c r="V170" i="3"/>
  <c r="U169" i="3"/>
  <c r="C45" i="3"/>
  <c r="G49" i="3"/>
  <c r="R106" i="3"/>
  <c r="AH64" i="3"/>
  <c r="J103" i="3"/>
  <c r="S150" i="3"/>
  <c r="U51" i="3"/>
  <c r="T157" i="3"/>
  <c r="L65" i="3"/>
  <c r="X117" i="3"/>
  <c r="AH122" i="3"/>
  <c r="I153" i="3"/>
  <c r="AL156" i="3"/>
  <c r="D64" i="3"/>
  <c r="AD162" i="3"/>
  <c r="X137" i="3"/>
  <c r="N90" i="3"/>
  <c r="AD117" i="3"/>
  <c r="P91" i="3"/>
  <c r="X188" i="3"/>
  <c r="D188" i="3"/>
  <c r="AK160" i="3"/>
  <c r="AC160" i="3"/>
  <c r="W103" i="3"/>
  <c r="F136" i="3"/>
  <c r="M91" i="3"/>
  <c r="P161" i="3"/>
  <c r="F50" i="3"/>
  <c r="J64" i="3"/>
  <c r="AF105" i="3"/>
  <c r="T95" i="3"/>
  <c r="Y83" i="3"/>
  <c r="R175" i="3"/>
  <c r="AE172" i="3"/>
  <c r="O67" i="3"/>
  <c r="U118" i="3"/>
  <c r="Y139" i="3"/>
  <c r="G63" i="3"/>
  <c r="M156" i="3"/>
  <c r="T79" i="3"/>
  <c r="AH116" i="3"/>
  <c r="Y54" i="3"/>
  <c r="AB126" i="3"/>
  <c r="V153" i="3"/>
  <c r="F128" i="3"/>
  <c r="H159" i="3"/>
  <c r="AE138" i="3"/>
  <c r="V129" i="3"/>
  <c r="R55" i="3"/>
  <c r="AJ156" i="3"/>
  <c r="AE148" i="3"/>
  <c r="F119" i="3"/>
  <c r="R166" i="3"/>
  <c r="Z190" i="3"/>
  <c r="AF50" i="3"/>
  <c r="Q69" i="3"/>
  <c r="I51" i="3"/>
  <c r="P65" i="3"/>
  <c r="AB183" i="3"/>
  <c r="N115" i="3"/>
  <c r="AC189" i="3"/>
  <c r="AI87" i="3"/>
  <c r="AD189" i="3"/>
  <c r="F110" i="3"/>
  <c r="K190" i="3"/>
  <c r="AF37" i="3"/>
  <c r="P114" i="3"/>
  <c r="AH102" i="3"/>
  <c r="I84" i="3"/>
  <c r="X57" i="3"/>
  <c r="AH81" i="3"/>
  <c r="Z163" i="3"/>
  <c r="Z79" i="3"/>
  <c r="AA90" i="3"/>
  <c r="L56" i="3"/>
  <c r="Z127" i="3"/>
  <c r="J125" i="3"/>
  <c r="AH68" i="3"/>
  <c r="O173" i="3"/>
  <c r="O130" i="3"/>
  <c r="AA144" i="3"/>
  <c r="I87" i="3"/>
  <c r="H59" i="3"/>
  <c r="D169" i="3"/>
  <c r="K90" i="3"/>
  <c r="F97" i="3"/>
  <c r="AG100" i="3"/>
  <c r="E57" i="3"/>
  <c r="T93" i="3"/>
  <c r="S183" i="3"/>
  <c r="H41" i="3"/>
  <c r="R65" i="3"/>
  <c r="AH119" i="3"/>
  <c r="S45" i="3"/>
  <c r="AB166" i="3"/>
  <c r="AH161" i="3"/>
  <c r="AE63" i="3"/>
  <c r="S105" i="3"/>
  <c r="P172" i="3"/>
  <c r="AH57" i="3"/>
  <c r="AD114" i="3"/>
  <c r="G135" i="3"/>
  <c r="X135" i="3"/>
  <c r="AI118" i="3"/>
  <c r="F65" i="3"/>
  <c r="AJ50" i="3"/>
  <c r="P127" i="3"/>
  <c r="H165" i="3"/>
  <c r="W84" i="3"/>
  <c r="AJ57" i="3"/>
  <c r="J147" i="3"/>
  <c r="R54" i="3"/>
  <c r="L113" i="3"/>
  <c r="Z152" i="3"/>
  <c r="X160" i="3"/>
  <c r="AI170" i="3"/>
  <c r="O35" i="3"/>
  <c r="AF133" i="3"/>
  <c r="X127" i="3"/>
  <c r="I133" i="3"/>
  <c r="AH160" i="3"/>
  <c r="AL110" i="3"/>
  <c r="L106" i="3"/>
  <c r="K135" i="3"/>
  <c r="U151" i="3"/>
  <c r="I57" i="3"/>
  <c r="T69" i="3"/>
  <c r="E40" i="3"/>
  <c r="O170" i="3"/>
  <c r="AJ81" i="3"/>
  <c r="N65" i="3"/>
  <c r="O153" i="3"/>
  <c r="U152" i="3"/>
  <c r="Y57" i="3"/>
  <c r="AG36" i="3"/>
  <c r="M138" i="3"/>
  <c r="AI173" i="3"/>
  <c r="I188" i="3"/>
  <c r="AB151" i="3"/>
  <c r="N116" i="3"/>
  <c r="I171" i="3"/>
  <c r="S65" i="3"/>
  <c r="G162" i="3"/>
  <c r="AG130" i="3"/>
  <c r="N81" i="3"/>
  <c r="R59" i="3"/>
  <c r="X168" i="3"/>
  <c r="S152" i="3"/>
  <c r="R110" i="3"/>
  <c r="L114" i="3"/>
  <c r="K116" i="3"/>
  <c r="AC41" i="3"/>
  <c r="H101" i="3"/>
  <c r="G189" i="3"/>
  <c r="K195" i="3"/>
  <c r="V104" i="3"/>
  <c r="X147" i="3"/>
  <c r="Z69" i="3"/>
  <c r="W157" i="3"/>
  <c r="L69" i="3"/>
  <c r="AF171" i="3"/>
  <c r="P164" i="3"/>
  <c r="M106" i="3"/>
  <c r="AG149" i="3"/>
  <c r="D38" i="3"/>
  <c r="F88" i="3"/>
  <c r="N92" i="3"/>
  <c r="K164" i="3"/>
  <c r="AH50" i="3"/>
  <c r="T161" i="3"/>
  <c r="AC122" i="3"/>
  <c r="Z153" i="3"/>
  <c r="P97" i="3"/>
  <c r="H47" i="3"/>
  <c r="V136" i="3"/>
  <c r="P54" i="3"/>
  <c r="Z50" i="3"/>
  <c r="AD160" i="3"/>
  <c r="Y138" i="3"/>
  <c r="X175" i="3"/>
  <c r="AH53" i="3"/>
  <c r="AG37" i="3"/>
  <c r="AF117" i="3"/>
  <c r="AH139" i="3"/>
  <c r="AF161" i="3"/>
  <c r="AK130" i="3"/>
  <c r="E173" i="3"/>
  <c r="Q41" i="3"/>
  <c r="M166" i="3"/>
  <c r="AD38" i="3"/>
  <c r="E135" i="3"/>
  <c r="C53" i="3"/>
  <c r="BI9" i="44" a="1"/>
  <c r="BH9" i="44" a="1"/>
  <c r="AN53" i="3" l="1"/>
  <c r="BA53" i="3"/>
  <c r="AD40" i="2"/>
  <c r="AG39" i="2"/>
  <c r="AH55" i="2"/>
  <c r="AH52" i="3"/>
  <c r="Z52" i="2"/>
  <c r="AC121" i="3"/>
  <c r="AC120" i="3" s="1"/>
  <c r="AC111" i="3" s="1"/>
  <c r="AH52" i="2"/>
  <c r="Z72" i="2"/>
  <c r="BH9" i="44"/>
  <c r="AC43" i="2"/>
  <c r="AG38" i="2"/>
  <c r="BB153" i="3"/>
  <c r="BB170" i="3"/>
  <c r="AL34" i="2"/>
  <c r="AF132" i="3"/>
  <c r="BB35" i="3"/>
  <c r="AJ59" i="2"/>
  <c r="AJ52" i="2"/>
  <c r="AH59" i="2"/>
  <c r="AE66" i="2"/>
  <c r="BC144" i="3"/>
  <c r="BC33" i="2" s="1"/>
  <c r="AA33" i="2"/>
  <c r="BB130" i="3"/>
  <c r="BB173" i="3"/>
  <c r="AH71" i="2"/>
  <c r="AA89" i="3"/>
  <c r="BC90" i="3"/>
  <c r="AF39" i="2"/>
  <c r="AD86" i="2"/>
  <c r="AI86" i="3"/>
  <c r="AI85" i="3" s="1"/>
  <c r="AI76" i="3" s="1"/>
  <c r="AI107" i="3" s="1"/>
  <c r="AC86" i="2"/>
  <c r="AB80" i="2"/>
  <c r="AF52" i="2"/>
  <c r="Z87" i="2"/>
  <c r="AJ155" i="3"/>
  <c r="BB67" i="3"/>
  <c r="AL155" i="3"/>
  <c r="AH121" i="3"/>
  <c r="AH120" i="3" s="1"/>
  <c r="AH111" i="3" s="1"/>
  <c r="AH141" i="3" s="1"/>
  <c r="AH67" i="2"/>
  <c r="BA45" i="3"/>
  <c r="AN45" i="3"/>
  <c r="AC70" i="2"/>
  <c r="BC129" i="3"/>
  <c r="AE191" i="3"/>
  <c r="AE85" i="2"/>
  <c r="BB69" i="3"/>
  <c r="AJ42" i="2"/>
  <c r="AH62" i="2"/>
  <c r="AI52" i="2"/>
  <c r="AI80" i="2"/>
  <c r="BA172" i="3"/>
  <c r="AN172" i="3"/>
  <c r="AI92" i="2"/>
  <c r="AK53" i="2"/>
  <c r="BA110" i="3"/>
  <c r="AN110" i="3"/>
  <c r="BB38" i="3"/>
  <c r="BC126" i="3"/>
  <c r="AE124" i="3"/>
  <c r="AB132" i="3"/>
  <c r="BB136" i="3"/>
  <c r="AL124" i="3"/>
  <c r="BC102" i="3"/>
  <c r="AN47" i="3"/>
  <c r="BA47" i="3"/>
  <c r="BA105" i="3"/>
  <c r="AN105" i="3"/>
  <c r="Z50" i="2"/>
  <c r="AH146" i="3"/>
  <c r="BB115" i="3"/>
  <c r="BA41" i="3"/>
  <c r="AN41" i="3"/>
  <c r="AE68" i="2"/>
  <c r="AE51" i="2"/>
  <c r="AJ55" i="2"/>
  <c r="AJ52" i="3"/>
  <c r="AL63" i="2"/>
  <c r="AE70" i="2"/>
  <c r="AD121" i="3"/>
  <c r="AK39" i="2"/>
  <c r="AN190" i="3"/>
  <c r="BA190" i="3"/>
  <c r="AL58" i="2"/>
  <c r="AH158" i="3"/>
  <c r="AI124" i="3"/>
  <c r="AC55" i="2"/>
  <c r="AC52" i="3"/>
  <c r="AI67" i="2"/>
  <c r="AH57" i="2"/>
  <c r="AB124" i="3"/>
  <c r="AF43" i="3"/>
  <c r="AF46" i="2"/>
  <c r="BC128" i="3"/>
  <c r="AI43" i="2"/>
  <c r="AJ70" i="2"/>
  <c r="AL67" i="2"/>
  <c r="AD89" i="3"/>
  <c r="AE56" i="2"/>
  <c r="Z85" i="2"/>
  <c r="Z191" i="3"/>
  <c r="AN130" i="3"/>
  <c r="BA130" i="3"/>
  <c r="AE112" i="3"/>
  <c r="AC43" i="3"/>
  <c r="AC46" i="2"/>
  <c r="AE39" i="2"/>
  <c r="BA93" i="3"/>
  <c r="AN93" i="3"/>
  <c r="BC117" i="3"/>
  <c r="AC56" i="2"/>
  <c r="Z60" i="2"/>
  <c r="AN135" i="3"/>
  <c r="BA135" i="3"/>
  <c r="BB126" i="3"/>
  <c r="AI70" i="2"/>
  <c r="AG33" i="2"/>
  <c r="AJ40" i="2"/>
  <c r="AH51" i="2"/>
  <c r="BB66" i="3"/>
  <c r="BC173" i="3"/>
  <c r="BB87" i="3"/>
  <c r="AC51" i="2"/>
  <c r="AE62" i="2"/>
  <c r="AL68" i="2"/>
  <c r="BC168" i="3"/>
  <c r="AA167" i="3"/>
  <c r="AJ58" i="2"/>
  <c r="BC171" i="3"/>
  <c r="AE42" i="2"/>
  <c r="AJ39" i="2"/>
  <c r="AD86" i="3"/>
  <c r="AD85" i="3" s="1"/>
  <c r="AL37" i="2"/>
  <c r="AL34" i="3"/>
  <c r="AF47" i="2"/>
  <c r="AN148" i="3"/>
  <c r="BA148" i="3"/>
  <c r="BB131" i="3"/>
  <c r="AL158" i="3"/>
  <c r="AG62" i="2"/>
  <c r="AJ50" i="2"/>
  <c r="AB51" i="2"/>
  <c r="AH112" i="3"/>
  <c r="AF68" i="2"/>
  <c r="AB146" i="3"/>
  <c r="BA49" i="3"/>
  <c r="AN49" i="3"/>
  <c r="AD34" i="3"/>
  <c r="AD37" i="2"/>
  <c r="AG34" i="3"/>
  <c r="AG37" i="2"/>
  <c r="Z52" i="3"/>
  <c r="Z55" i="2"/>
  <c r="AF80" i="2"/>
  <c r="BC101" i="3"/>
  <c r="AA43" i="3"/>
  <c r="BC44" i="3"/>
  <c r="AA46" i="2"/>
  <c r="AC61" i="3"/>
  <c r="AC65" i="2"/>
  <c r="AG86" i="3"/>
  <c r="AN123" i="3"/>
  <c r="BA123" i="3"/>
  <c r="BC100" i="3"/>
  <c r="AA51" i="2"/>
  <c r="BC49" i="3"/>
  <c r="AF63" i="2"/>
  <c r="AJ60" i="2"/>
  <c r="BA173" i="3"/>
  <c r="AN173" i="3"/>
  <c r="BC125" i="3"/>
  <c r="AA124" i="3"/>
  <c r="BB41" i="3"/>
  <c r="AF49" i="2"/>
  <c r="AF46" i="3"/>
  <c r="AF42" i="3" s="1"/>
  <c r="AF33" i="3" s="1"/>
  <c r="AF70" i="3" s="1"/>
  <c r="AF72" i="3" s="1"/>
  <c r="AF53" i="2"/>
  <c r="AI167" i="3"/>
  <c r="AA61" i="3"/>
  <c r="BC62" i="3"/>
  <c r="AA65" i="2"/>
  <c r="AA49" i="2"/>
  <c r="BC47" i="3"/>
  <c r="AA46" i="3"/>
  <c r="AL41" i="2"/>
  <c r="AN144" i="3"/>
  <c r="BA144" i="3"/>
  <c r="AF61" i="2"/>
  <c r="AF112" i="3"/>
  <c r="BB125" i="3"/>
  <c r="BB129" i="3"/>
  <c r="Z53" i="2"/>
  <c r="Z40" i="2"/>
  <c r="BB113" i="3"/>
  <c r="BC105" i="3"/>
  <c r="AH40" i="2"/>
  <c r="BB119" i="3"/>
  <c r="AK37" i="2"/>
  <c r="AK34" i="3"/>
  <c r="AE52" i="3"/>
  <c r="AE55" i="2"/>
  <c r="BC36" i="3"/>
  <c r="AA38" i="2"/>
  <c r="BA48" i="3"/>
  <c r="AN48" i="3"/>
  <c r="AH87" i="2"/>
  <c r="BC160" i="3"/>
  <c r="AK40" i="2"/>
  <c r="AK43" i="2"/>
  <c r="AK87" i="2"/>
  <c r="BB94" i="3"/>
  <c r="Z49" i="2"/>
  <c r="Z46" i="3"/>
  <c r="BC130" i="3"/>
  <c r="BA147" i="3"/>
  <c r="AN147" i="3"/>
  <c r="AB62" i="2"/>
  <c r="BB117" i="3"/>
  <c r="AC124" i="3"/>
  <c r="AG50" i="2"/>
  <c r="BC95" i="3"/>
  <c r="AA63" i="2"/>
  <c r="AL121" i="3"/>
  <c r="AD146" i="3"/>
  <c r="AD145" i="3" s="1"/>
  <c r="BB134" i="3"/>
  <c r="AN60" i="3"/>
  <c r="BA60" i="3"/>
  <c r="BB56" i="3"/>
  <c r="BB58" i="2" s="1"/>
  <c r="AG87" i="2"/>
  <c r="AL62" i="2"/>
  <c r="AK77" i="3"/>
  <c r="BC148" i="3"/>
  <c r="AG124" i="3"/>
  <c r="BB50" i="3"/>
  <c r="BA149" i="3"/>
  <c r="AN149" i="3"/>
  <c r="AH34" i="3"/>
  <c r="AH37" i="2"/>
  <c r="AC50" i="2"/>
  <c r="BC63" i="3"/>
  <c r="AA66" i="2"/>
  <c r="BC83" i="3"/>
  <c r="AD60" i="2"/>
  <c r="AB60" i="2"/>
  <c r="AG68" i="2"/>
  <c r="AF86" i="2"/>
  <c r="BB68" i="3"/>
  <c r="AD34" i="2"/>
  <c r="AD71" i="2"/>
  <c r="AN62" i="3"/>
  <c r="BA62" i="3"/>
  <c r="AL53" i="2"/>
  <c r="AL48" i="2" s="1"/>
  <c r="BB102" i="3"/>
  <c r="BC139" i="3"/>
  <c r="AC58" i="2"/>
  <c r="AC62" i="2"/>
  <c r="AJ72" i="2"/>
  <c r="AB52" i="3"/>
  <c r="AB55" i="2"/>
  <c r="AC132" i="3"/>
  <c r="AC141" i="3" s="1"/>
  <c r="AB53" i="2"/>
  <c r="AF71" i="2"/>
  <c r="AL191" i="3"/>
  <c r="AL85" i="2"/>
  <c r="AL88" i="2" s="1"/>
  <c r="BB165" i="3"/>
  <c r="AK51" i="2"/>
  <c r="BA92" i="3"/>
  <c r="AN92" i="3"/>
  <c r="AD56" i="2"/>
  <c r="BA50" i="3"/>
  <c r="AN50" i="3"/>
  <c r="Z57" i="2"/>
  <c r="AI58" i="2"/>
  <c r="AE50" i="2"/>
  <c r="AJ158" i="3"/>
  <c r="BC92" i="3"/>
  <c r="Z61" i="2"/>
  <c r="AB61" i="3"/>
  <c r="AB65" i="2"/>
  <c r="AG167" i="3"/>
  <c r="AI34" i="2"/>
  <c r="AG112" i="3"/>
  <c r="BC183" i="3"/>
  <c r="BC80" i="2" s="1"/>
  <c r="AA80" i="2"/>
  <c r="AK80" i="2"/>
  <c r="BB140" i="3"/>
  <c r="AI158" i="3"/>
  <c r="Z43" i="2"/>
  <c r="BC58" i="3"/>
  <c r="BC60" i="2" s="1"/>
  <c r="AA60" i="2"/>
  <c r="AJ43" i="2"/>
  <c r="AA98" i="3"/>
  <c r="BC99" i="3"/>
  <c r="BB62" i="3"/>
  <c r="BC163" i="3"/>
  <c r="AI41" i="2"/>
  <c r="BC87" i="3"/>
  <c r="AA86" i="3"/>
  <c r="AG63" i="2"/>
  <c r="BB54" i="3"/>
  <c r="BB56" i="2" s="1"/>
  <c r="AG46" i="3"/>
  <c r="AG49" i="2"/>
  <c r="AN67" i="3"/>
  <c r="BA67" i="3"/>
  <c r="AB87" i="2"/>
  <c r="AC46" i="3"/>
  <c r="AC49" i="2"/>
  <c r="AA50" i="2"/>
  <c r="BC48" i="3"/>
  <c r="AD132" i="3"/>
  <c r="BB138" i="3"/>
  <c r="Z124" i="3"/>
  <c r="BB189" i="3"/>
  <c r="BB86" i="2" s="1"/>
  <c r="Z59" i="2"/>
  <c r="AD80" i="2"/>
  <c r="BC50" i="3"/>
  <c r="AA52" i="2"/>
  <c r="BB79" i="3"/>
  <c r="AG52" i="2"/>
  <c r="AI52" i="3"/>
  <c r="AI55" i="2"/>
  <c r="AB33" i="2"/>
  <c r="AL39" i="2"/>
  <c r="BB127" i="3"/>
  <c r="BC123" i="3"/>
  <c r="AE65" i="2"/>
  <c r="AE61" i="3"/>
  <c r="AK71" i="2"/>
  <c r="AK124" i="3"/>
  <c r="AJ86" i="3"/>
  <c r="AC67" i="2"/>
  <c r="BB44" i="3"/>
  <c r="AC52" i="2"/>
  <c r="BC51" i="3"/>
  <c r="AA53" i="2"/>
  <c r="BC67" i="3"/>
  <c r="AA70" i="2"/>
  <c r="BC127" i="3"/>
  <c r="Z33" i="2"/>
  <c r="AJ56" i="2"/>
  <c r="AI57" i="2"/>
  <c r="BA168" i="3"/>
  <c r="AN168" i="3"/>
  <c r="AN136" i="3"/>
  <c r="BA136" i="3"/>
  <c r="AC38" i="2"/>
  <c r="BB114" i="3"/>
  <c r="AH53" i="2"/>
  <c r="BC113" i="3"/>
  <c r="AA112" i="3"/>
  <c r="AF70" i="2"/>
  <c r="AK67" i="2"/>
  <c r="AJ47" i="2"/>
  <c r="BC35" i="3"/>
  <c r="AA34" i="3"/>
  <c r="AA37" i="2"/>
  <c r="BB195" i="3"/>
  <c r="BB92" i="2" s="1"/>
  <c r="AG71" i="2"/>
  <c r="AJ89" i="3"/>
  <c r="AD59" i="2"/>
  <c r="AN171" i="3"/>
  <c r="BA171" i="3"/>
  <c r="BC60" i="3"/>
  <c r="AA62" i="2"/>
  <c r="AL72" i="2"/>
  <c r="AD43" i="2"/>
  <c r="BC106" i="3"/>
  <c r="AI65" i="2"/>
  <c r="AI61" i="3"/>
  <c r="AN39" i="3"/>
  <c r="BA39" i="3"/>
  <c r="AF34" i="3"/>
  <c r="AF37" i="2"/>
  <c r="BC65" i="3"/>
  <c r="AA68" i="2"/>
  <c r="AD55" i="2"/>
  <c r="AD54" i="2" s="1"/>
  <c r="AD52" i="3"/>
  <c r="AB89" i="3"/>
  <c r="BA195" i="3"/>
  <c r="AN195" i="3"/>
  <c r="AC33" i="2"/>
  <c r="AJ57" i="2"/>
  <c r="AK92" i="2"/>
  <c r="AK52" i="3"/>
  <c r="AK55" i="2"/>
  <c r="BA106" i="3"/>
  <c r="AN106" i="3"/>
  <c r="AH60" i="2"/>
  <c r="BA138" i="3"/>
  <c r="AN138" i="3"/>
  <c r="BC149" i="3"/>
  <c r="BC91" i="3"/>
  <c r="BC50" i="2" s="1"/>
  <c r="AC72" i="2"/>
  <c r="BA157" i="3"/>
  <c r="AN157" i="3"/>
  <c r="BA159" i="3"/>
  <c r="AN159" i="3"/>
  <c r="Z89" i="3"/>
  <c r="AB77" i="3"/>
  <c r="BA81" i="3"/>
  <c r="AN81" i="3"/>
  <c r="BB59" i="3"/>
  <c r="Z47" i="2"/>
  <c r="AL87" i="2"/>
  <c r="AJ66" i="2"/>
  <c r="BB157" i="3"/>
  <c r="AH33" i="2"/>
  <c r="AH86" i="3"/>
  <c r="AH85" i="3" s="1"/>
  <c r="AH76" i="3" s="1"/>
  <c r="AH107" i="3" s="1"/>
  <c r="AJ132" i="3"/>
  <c r="AA61" i="2"/>
  <c r="BC59" i="3"/>
  <c r="AD50" i="2"/>
  <c r="AN40" i="3"/>
  <c r="BA40" i="3"/>
  <c r="AB158" i="3"/>
  <c r="AI56" i="2"/>
  <c r="AC158" i="3"/>
  <c r="AG121" i="3"/>
  <c r="AE43" i="2"/>
  <c r="AD167" i="3"/>
  <c r="AK155" i="3"/>
  <c r="BC56" i="3"/>
  <c r="BC58" i="2" s="1"/>
  <c r="AA58" i="2"/>
  <c r="AH34" i="2"/>
  <c r="BB37" i="3"/>
  <c r="AI39" i="2"/>
  <c r="BA78" i="3"/>
  <c r="AN78" i="3"/>
  <c r="AK86" i="3"/>
  <c r="BC57" i="3"/>
  <c r="BC59" i="2" s="1"/>
  <c r="AA59" i="2"/>
  <c r="AE33" i="2"/>
  <c r="AF67" i="2"/>
  <c r="BB147" i="3"/>
  <c r="AH68" i="2"/>
  <c r="AK146" i="3"/>
  <c r="BA88" i="3"/>
  <c r="AN88" i="3"/>
  <c r="AI66" i="2"/>
  <c r="AD62" i="2"/>
  <c r="BA90" i="3"/>
  <c r="AN90" i="3"/>
  <c r="Z112" i="3"/>
  <c r="AA92" i="2"/>
  <c r="BC195" i="3"/>
  <c r="BC92" i="2" s="1"/>
  <c r="AG67" i="2"/>
  <c r="AC61" i="2"/>
  <c r="Z39" i="2"/>
  <c r="BC82" i="3"/>
  <c r="AE34" i="2"/>
  <c r="Z56" i="2"/>
  <c r="AK69" i="2"/>
  <c r="Z65" i="2"/>
  <c r="Z61" i="3"/>
  <c r="AL59" i="2"/>
  <c r="AG56" i="2"/>
  <c r="AG51" i="2"/>
  <c r="AI50" i="2"/>
  <c r="BA161" i="3"/>
  <c r="AN161" i="3"/>
  <c r="AG41" i="2"/>
  <c r="BC134" i="3"/>
  <c r="AI191" i="3"/>
  <c r="AI85" i="2"/>
  <c r="AI88" i="2" s="1"/>
  <c r="AF89" i="3"/>
  <c r="AH63" i="2"/>
  <c r="AG60" i="2"/>
  <c r="Z77" i="3"/>
  <c r="AN55" i="3"/>
  <c r="BA55" i="3"/>
  <c r="AB71" i="2"/>
  <c r="AB49" i="2"/>
  <c r="AB46" i="3"/>
  <c r="AI63" i="2"/>
  <c r="AB38" i="2"/>
  <c r="BC159" i="3"/>
  <c r="AA158" i="3"/>
  <c r="AN64" i="3"/>
  <c r="BA64" i="3"/>
  <c r="AN66" i="3"/>
  <c r="BA66" i="3"/>
  <c r="AI40" i="2"/>
  <c r="BB51" i="3"/>
  <c r="AF155" i="3"/>
  <c r="AF154" i="3" s="1"/>
  <c r="BB150" i="3"/>
  <c r="AE86" i="3"/>
  <c r="BC150" i="3"/>
  <c r="BB99" i="3"/>
  <c r="BA133" i="3"/>
  <c r="AN133" i="3"/>
  <c r="AC98" i="3"/>
  <c r="BB65" i="3"/>
  <c r="AF58" i="2"/>
  <c r="BC135" i="3"/>
  <c r="BA57" i="3"/>
  <c r="AN57" i="3"/>
  <c r="AL146" i="3"/>
  <c r="AC34" i="3"/>
  <c r="AC37" i="2"/>
  <c r="BC110" i="3"/>
  <c r="BC34" i="2" s="1"/>
  <c r="AA34" i="2"/>
  <c r="AN37" i="3"/>
  <c r="BA37" i="3"/>
  <c r="AK58" i="2"/>
  <c r="AK38" i="2"/>
  <c r="AB72" i="2"/>
  <c r="AE89" i="3"/>
  <c r="BB47" i="3"/>
  <c r="BC55" i="3"/>
  <c r="BC57" i="2" s="1"/>
  <c r="AA57" i="2"/>
  <c r="BC94" i="3"/>
  <c r="AC42" i="2"/>
  <c r="AC36" i="2" s="1"/>
  <c r="AC68" i="2"/>
  <c r="AL98" i="3"/>
  <c r="AB52" i="2"/>
  <c r="AD77" i="3"/>
  <c r="AK72" i="2"/>
  <c r="AC41" i="2"/>
  <c r="BC131" i="3"/>
  <c r="AL61" i="2"/>
  <c r="BC114" i="3"/>
  <c r="AI89" i="3"/>
  <c r="AH58" i="2"/>
  <c r="AN91" i="3"/>
  <c r="BA91" i="3"/>
  <c r="AD124" i="3"/>
  <c r="AK66" i="2"/>
  <c r="AF86" i="3"/>
  <c r="AF85" i="3" s="1"/>
  <c r="AF76" i="3" s="1"/>
  <c r="AF107" i="3" s="1"/>
  <c r="AE132" i="3"/>
  <c r="BB92" i="3"/>
  <c r="AE60" i="2"/>
  <c r="AF40" i="2"/>
  <c r="Z86" i="3"/>
  <c r="Z85" i="3" s="1"/>
  <c r="BC170" i="3"/>
  <c r="Z92" i="2"/>
  <c r="AE69" i="2"/>
  <c r="AE47" i="2"/>
  <c r="BB175" i="3"/>
  <c r="Z167" i="3"/>
  <c r="AH56" i="2"/>
  <c r="BB183" i="3"/>
  <c r="BB80" i="2" s="1"/>
  <c r="BC81" i="3"/>
  <c r="Z62" i="2"/>
  <c r="BA99" i="3"/>
  <c r="AN99" i="3"/>
  <c r="BA131" i="3"/>
  <c r="AN131" i="3"/>
  <c r="AL86" i="3"/>
  <c r="BB122" i="3"/>
  <c r="AL51" i="2"/>
  <c r="BC88" i="3"/>
  <c r="BC86" i="3" s="1"/>
  <c r="BB95" i="3"/>
  <c r="AC40" i="2"/>
  <c r="AC57" i="2"/>
  <c r="AB98" i="3"/>
  <c r="AJ37" i="2"/>
  <c r="AJ36" i="2" s="1"/>
  <c r="AJ34" i="3"/>
  <c r="BC166" i="3"/>
  <c r="BC190" i="3"/>
  <c r="BC87" i="2" s="1"/>
  <c r="AA87" i="2"/>
  <c r="BC78" i="3"/>
  <c r="AA77" i="3"/>
  <c r="AJ46" i="3"/>
  <c r="AJ49" i="2"/>
  <c r="AJ48" i="2" s="1"/>
  <c r="AJ44" i="2" s="1"/>
  <c r="AJ35" i="2" s="1"/>
  <c r="BC64" i="3"/>
  <c r="AA67" i="2"/>
  <c r="BB93" i="3"/>
  <c r="AF33" i="2"/>
  <c r="Z132" i="3"/>
  <c r="AD63" i="2"/>
  <c r="AH167" i="3"/>
  <c r="AI38" i="2"/>
  <c r="AI53" i="2"/>
  <c r="AH61" i="2"/>
  <c r="AF87" i="2"/>
  <c r="AC77" i="3"/>
  <c r="BA44" i="3"/>
  <c r="AN44" i="3"/>
  <c r="AG69" i="2"/>
  <c r="AH39" i="2"/>
  <c r="AD158" i="3"/>
  <c r="BC97" i="3"/>
  <c r="BB80" i="3"/>
  <c r="AE43" i="3"/>
  <c r="AE46" i="2"/>
  <c r="AB68" i="2"/>
  <c r="AL112" i="3"/>
  <c r="AD61" i="2"/>
  <c r="BC189" i="3"/>
  <c r="BC86" i="2" s="1"/>
  <c r="AA86" i="2"/>
  <c r="BC169" i="3"/>
  <c r="AH69" i="2"/>
  <c r="AJ41" i="2"/>
  <c r="AH46" i="2"/>
  <c r="AH43" i="3"/>
  <c r="AJ61" i="2"/>
  <c r="AF50" i="2"/>
  <c r="AA146" i="3"/>
  <c r="BC147" i="3"/>
  <c r="AD51" i="2"/>
  <c r="AB43" i="2"/>
  <c r="AE72" i="2"/>
  <c r="BC157" i="3"/>
  <c r="Z51" i="2"/>
  <c r="BC115" i="3"/>
  <c r="AN117" i="3"/>
  <c r="BA117" i="3"/>
  <c r="AC80" i="2"/>
  <c r="AB167" i="3"/>
  <c r="AN174" i="3"/>
  <c r="BA174" i="3"/>
  <c r="AC167" i="3"/>
  <c r="AB37" i="2"/>
  <c r="AB34" i="3"/>
  <c r="Z63" i="2"/>
  <c r="AE158" i="3"/>
  <c r="AB86" i="3"/>
  <c r="AB85" i="3" s="1"/>
  <c r="AF124" i="3"/>
  <c r="AH92" i="2"/>
  <c r="Z67" i="2"/>
  <c r="AJ167" i="3"/>
  <c r="BB101" i="3"/>
  <c r="AK50" i="2"/>
  <c r="AB61" i="2"/>
  <c r="AL38" i="2"/>
  <c r="BB63" i="3"/>
  <c r="AG57" i="2"/>
  <c r="BB137" i="3"/>
  <c r="AK121" i="3"/>
  <c r="AK120" i="3" s="1"/>
  <c r="BB148" i="3"/>
  <c r="Z41" i="2"/>
  <c r="AL92" i="2"/>
  <c r="AG47" i="2"/>
  <c r="AI34" i="3"/>
  <c r="AI37" i="2"/>
  <c r="BA119" i="3"/>
  <c r="AN119" i="3"/>
  <c r="AK47" i="2"/>
  <c r="AB191" i="3"/>
  <c r="AB85" i="2"/>
  <c r="AB88" i="2" s="1"/>
  <c r="BA95" i="3"/>
  <c r="AN95" i="3"/>
  <c r="AH50" i="2"/>
  <c r="AF121" i="3"/>
  <c r="AF120" i="3" s="1"/>
  <c r="AF111" i="3" s="1"/>
  <c r="AF141" i="3" s="1"/>
  <c r="AN150" i="3"/>
  <c r="BA150" i="3"/>
  <c r="AB155" i="3"/>
  <c r="AF65" i="2"/>
  <c r="AF61" i="3"/>
  <c r="AE61" i="2"/>
  <c r="AL42" i="2"/>
  <c r="AG43" i="3"/>
  <c r="AG42" i="3" s="1"/>
  <c r="AG33" i="3" s="1"/>
  <c r="AG46" i="2"/>
  <c r="AG45" i="2" s="1"/>
  <c r="BC140" i="3"/>
  <c r="AL43" i="2"/>
  <c r="AI51" i="2"/>
  <c r="BC80" i="3"/>
  <c r="AB47" i="2"/>
  <c r="AK33" i="2"/>
  <c r="AI72" i="2"/>
  <c r="Z98" i="3"/>
  <c r="AH66" i="2"/>
  <c r="AF59" i="2"/>
  <c r="AC63" i="2"/>
  <c r="AI59" i="2"/>
  <c r="AD52" i="2"/>
  <c r="AE38" i="2"/>
  <c r="BB168" i="3"/>
  <c r="AN162" i="3"/>
  <c r="BA162" i="3"/>
  <c r="AH72" i="2"/>
  <c r="BA38" i="3"/>
  <c r="AN38" i="3"/>
  <c r="BC172" i="3"/>
  <c r="Z71" i="2"/>
  <c r="BA96" i="3"/>
  <c r="AN96" i="3"/>
  <c r="BC54" i="3"/>
  <c r="BC56" i="2" s="1"/>
  <c r="AA56" i="2"/>
  <c r="BB81" i="3"/>
  <c r="BB97" i="3"/>
  <c r="AN115" i="3"/>
  <c r="BA115" i="3"/>
  <c r="AH86" i="2"/>
  <c r="AK63" i="2"/>
  <c r="BC96" i="3"/>
  <c r="AD53" i="2"/>
  <c r="AI71" i="2"/>
  <c r="AN169" i="3"/>
  <c r="BA169" i="3"/>
  <c r="AC92" i="2"/>
  <c r="AB59" i="2"/>
  <c r="AD49" i="2"/>
  <c r="AD46" i="3"/>
  <c r="AE146" i="3"/>
  <c r="AC146" i="3"/>
  <c r="Z70" i="2"/>
  <c r="AG52" i="3"/>
  <c r="AG55" i="2"/>
  <c r="AG146" i="3"/>
  <c r="AI61" i="2"/>
  <c r="AG43" i="2"/>
  <c r="BB100" i="3"/>
  <c r="AJ61" i="3"/>
  <c r="AJ65" i="2"/>
  <c r="AG66" i="2"/>
  <c r="AD112" i="3"/>
  <c r="AF77" i="3"/>
  <c r="BB171" i="3"/>
  <c r="AH42" i="2"/>
  <c r="AE167" i="3"/>
  <c r="BB105" i="3"/>
  <c r="AK41" i="2"/>
  <c r="BC39" i="3"/>
  <c r="AA41" i="2"/>
  <c r="BA59" i="3"/>
  <c r="AN59" i="3"/>
  <c r="AJ80" i="2"/>
  <c r="AL80" i="2"/>
  <c r="BA51" i="3"/>
  <c r="AN51" i="3"/>
  <c r="AL33" i="2"/>
  <c r="BC175" i="3"/>
  <c r="AN189" i="3"/>
  <c r="BA189" i="3"/>
  <c r="AB112" i="3"/>
  <c r="BB144" i="3"/>
  <c r="BB33" i="2" s="1"/>
  <c r="AC86" i="3"/>
  <c r="BB57" i="3"/>
  <c r="BB59" i="2" s="1"/>
  <c r="AB58" i="2"/>
  <c r="AN69" i="3"/>
  <c r="BA69" i="3"/>
  <c r="AB70" i="2"/>
  <c r="BA114" i="3"/>
  <c r="AN114" i="3"/>
  <c r="BC41" i="3"/>
  <c r="AA43" i="2"/>
  <c r="AI69" i="2"/>
  <c r="BB60" i="3"/>
  <c r="AL66" i="2"/>
  <c r="AJ124" i="3"/>
  <c r="BA83" i="3"/>
  <c r="AN83" i="3"/>
  <c r="BA56" i="3"/>
  <c r="AN56" i="3"/>
  <c r="Z69" i="2"/>
  <c r="AG158" i="3"/>
  <c r="AK42" i="2"/>
  <c r="AF38" i="2"/>
  <c r="BB162" i="3"/>
  <c r="BA151" i="3"/>
  <c r="AN151" i="3"/>
  <c r="AH98" i="3"/>
  <c r="AF56" i="2"/>
  <c r="AD47" i="2"/>
  <c r="BA166" i="3"/>
  <c r="AN166" i="3"/>
  <c r="BB103" i="3"/>
  <c r="AI155" i="3"/>
  <c r="AI154" i="3" s="1"/>
  <c r="AE98" i="3"/>
  <c r="BB169" i="3"/>
  <c r="AN113" i="3"/>
  <c r="BA113" i="3"/>
  <c r="BA80" i="3"/>
  <c r="AN80" i="3"/>
  <c r="BC37" i="3"/>
  <c r="AA39" i="2"/>
  <c r="AK191" i="3"/>
  <c r="AK85" i="2"/>
  <c r="AN129" i="3"/>
  <c r="BA129" i="3"/>
  <c r="AF42" i="2"/>
  <c r="AJ63" i="2"/>
  <c r="AD92" i="2"/>
  <c r="AH89" i="3"/>
  <c r="AN116" i="3"/>
  <c r="BA116" i="3"/>
  <c r="BC116" i="3"/>
  <c r="AD69" i="2"/>
  <c r="AN140" i="3"/>
  <c r="BA140" i="3"/>
  <c r="AL69" i="2"/>
  <c r="Z80" i="2"/>
  <c r="Z34" i="2"/>
  <c r="AF62" i="2"/>
  <c r="BB39" i="3"/>
  <c r="AJ71" i="2"/>
  <c r="AJ86" i="2"/>
  <c r="AC155" i="3"/>
  <c r="AJ62" i="2"/>
  <c r="BC79" i="3"/>
  <c r="AN87" i="3"/>
  <c r="BA87" i="3"/>
  <c r="AL57" i="2"/>
  <c r="AH124" i="3"/>
  <c r="BB53" i="3"/>
  <c r="BB55" i="2" s="1"/>
  <c r="AB66" i="2"/>
  <c r="BB106" i="3"/>
  <c r="AN100" i="3"/>
  <c r="BA100" i="3"/>
  <c r="BB164" i="3"/>
  <c r="AE41" i="2"/>
  <c r="BB88" i="3"/>
  <c r="AJ87" i="2"/>
  <c r="AJ146" i="3"/>
  <c r="AK68" i="2"/>
  <c r="BC133" i="3"/>
  <c r="AA132" i="3"/>
  <c r="AL132" i="3"/>
  <c r="BC162" i="3"/>
  <c r="AE52" i="2"/>
  <c r="AC69" i="2"/>
  <c r="BB58" i="3"/>
  <c r="BB60" i="2" s="1"/>
  <c r="BC137" i="3"/>
  <c r="AH47" i="2"/>
  <c r="AG89" i="3"/>
  <c r="AG85" i="3" s="1"/>
  <c r="AG77" i="3"/>
  <c r="AC47" i="2"/>
  <c r="AF34" i="2"/>
  <c r="AN163" i="3"/>
  <c r="BA163" i="3"/>
  <c r="AH49" i="2"/>
  <c r="AH48" i="2" s="1"/>
  <c r="AH46" i="3"/>
  <c r="AN104" i="3"/>
  <c r="BA104" i="3"/>
  <c r="AG80" i="2"/>
  <c r="AE59" i="2"/>
  <c r="AE121" i="3"/>
  <c r="AE120" i="3" s="1"/>
  <c r="AE111" i="3" s="1"/>
  <c r="AE141" i="3" s="1"/>
  <c r="BB48" i="3"/>
  <c r="AH43" i="2"/>
  <c r="AH36" i="2" s="1"/>
  <c r="BB40" i="3"/>
  <c r="BA63" i="3"/>
  <c r="AN63" i="3"/>
  <c r="AL47" i="2"/>
  <c r="AN82" i="3"/>
  <c r="BA82" i="3"/>
  <c r="AN175" i="3"/>
  <c r="BA175" i="3"/>
  <c r="AI98" i="3"/>
  <c r="AH85" i="2"/>
  <c r="AH88" i="2" s="1"/>
  <c r="AH191" i="3"/>
  <c r="AJ85" i="2"/>
  <c r="AJ191" i="3"/>
  <c r="AG40" i="2"/>
  <c r="AE71" i="2"/>
  <c r="AF72" i="2"/>
  <c r="AG155" i="3"/>
  <c r="AG154" i="3" s="1"/>
  <c r="AI121" i="3"/>
  <c r="AI120" i="3" s="1"/>
  <c r="BC188" i="3"/>
  <c r="BC85" i="2" s="1"/>
  <c r="AA191" i="3"/>
  <c r="AA85" i="2"/>
  <c r="AE92" i="2"/>
  <c r="Z121" i="3"/>
  <c r="AB92" i="2"/>
  <c r="AK132" i="3"/>
  <c r="AL65" i="2"/>
  <c r="AL61" i="3"/>
  <c r="BB55" i="3"/>
  <c r="BB57" i="2" s="1"/>
  <c r="BA156" i="3"/>
  <c r="AN156" i="3"/>
  <c r="Z68" i="2"/>
  <c r="Z155" i="3"/>
  <c r="Z154" i="3" s="1"/>
  <c r="Z145" i="3" s="1"/>
  <c r="Z176" i="3" s="1"/>
  <c r="BB133" i="3"/>
  <c r="AF146" i="3"/>
  <c r="BB123" i="3"/>
  <c r="BC153" i="3"/>
  <c r="BB64" i="3"/>
  <c r="AE87" i="2"/>
  <c r="AG70" i="2"/>
  <c r="Z37" i="2"/>
  <c r="Z34" i="3"/>
  <c r="AI42" i="2"/>
  <c r="AB50" i="2"/>
  <c r="AL89" i="3"/>
  <c r="AH132" i="3"/>
  <c r="AJ92" i="2"/>
  <c r="Z42" i="2"/>
  <c r="Z38" i="2"/>
  <c r="AF60" i="2"/>
  <c r="AL52" i="2"/>
  <c r="AJ53" i="2"/>
  <c r="AB56" i="2"/>
  <c r="BA139" i="3"/>
  <c r="AN139" i="3"/>
  <c r="AE49" i="2"/>
  <c r="AE46" i="3"/>
  <c r="AE40" i="2"/>
  <c r="AK112" i="3"/>
  <c r="AK111" i="3" s="1"/>
  <c r="AK141" i="3" s="1"/>
  <c r="AD67" i="2"/>
  <c r="AD72" i="2"/>
  <c r="AD64" i="2" s="1"/>
  <c r="AA72" i="2"/>
  <c r="BC69" i="3"/>
  <c r="BC72" i="2" s="1"/>
  <c r="BB151" i="3"/>
  <c r="BB135" i="3"/>
  <c r="AN118" i="3"/>
  <c r="BA118" i="3"/>
  <c r="AL71" i="2"/>
  <c r="AJ34" i="2"/>
  <c r="BA126" i="3"/>
  <c r="AN126" i="3"/>
  <c r="AG59" i="2"/>
  <c r="AB43" i="3"/>
  <c r="AB42" i="3" s="1"/>
  <c r="AB33" i="3" s="1"/>
  <c r="AB46" i="2"/>
  <c r="AB45" i="2" s="1"/>
  <c r="BB174" i="3"/>
  <c r="AN101" i="3"/>
  <c r="BA101" i="3"/>
  <c r="AA42" i="2"/>
  <c r="BC40" i="3"/>
  <c r="BB96" i="3"/>
  <c r="BB83" i="3"/>
  <c r="BC53" i="3"/>
  <c r="BC55" i="2" s="1"/>
  <c r="AA55" i="2"/>
  <c r="AA52" i="3"/>
  <c r="BB110" i="3"/>
  <c r="BB34" i="2" s="1"/>
  <c r="AF158" i="3"/>
  <c r="AG86" i="2"/>
  <c r="AG53" i="2"/>
  <c r="BB82" i="3"/>
  <c r="AL49" i="2"/>
  <c r="AL46" i="3"/>
  <c r="AE63" i="2"/>
  <c r="AI33" i="2"/>
  <c r="AH70" i="2"/>
  <c r="AF51" i="2"/>
  <c r="AK70" i="2"/>
  <c r="BB156" i="3"/>
  <c r="BB155" i="3" s="1"/>
  <c r="AD68" i="2"/>
  <c r="AJ38" i="2"/>
  <c r="AC71" i="2"/>
  <c r="BB160" i="3"/>
  <c r="AD66" i="2"/>
  <c r="AD57" i="2"/>
  <c r="AL86" i="2"/>
  <c r="AA121" i="3"/>
  <c r="AA120" i="3" s="1"/>
  <c r="BC122" i="3"/>
  <c r="BC121" i="3" s="1"/>
  <c r="BB159" i="3"/>
  <c r="AD155" i="3"/>
  <c r="AD154" i="3" s="1"/>
  <c r="AJ68" i="2"/>
  <c r="AN79" i="3"/>
  <c r="BA79" i="3"/>
  <c r="AE53" i="2"/>
  <c r="AL46" i="2"/>
  <c r="AL43" i="3"/>
  <c r="AC39" i="2"/>
  <c r="BB36" i="3"/>
  <c r="AG34" i="2"/>
  <c r="AG61" i="2"/>
  <c r="AG85" i="2"/>
  <c r="AG88" i="2" s="1"/>
  <c r="AG191" i="3"/>
  <c r="AN54" i="3"/>
  <c r="BA54" i="3"/>
  <c r="AB121" i="3"/>
  <c r="Z58" i="2"/>
  <c r="AF167" i="3"/>
  <c r="AI77" i="3"/>
  <c r="AE86" i="2"/>
  <c r="AC34" i="2"/>
  <c r="AL40" i="2"/>
  <c r="Z146" i="3"/>
  <c r="AE80" i="2"/>
  <c r="Z66" i="2"/>
  <c r="BB84" i="3"/>
  <c r="BB43" i="2" s="1"/>
  <c r="AC87" i="2"/>
  <c r="BC152" i="3"/>
  <c r="AN94" i="3"/>
  <c r="BA94" i="3"/>
  <c r="AJ98" i="3"/>
  <c r="BB128" i="3"/>
  <c r="AI47" i="2"/>
  <c r="AG132" i="3"/>
  <c r="AE77" i="3"/>
  <c r="AJ77" i="3"/>
  <c r="BA97" i="3"/>
  <c r="AN97" i="3"/>
  <c r="BA160" i="3"/>
  <c r="AN160" i="3"/>
  <c r="AB39" i="2"/>
  <c r="AK34" i="2"/>
  <c r="AI86" i="2"/>
  <c r="BC45" i="3"/>
  <c r="BC47" i="2" s="1"/>
  <c r="AA47" i="2"/>
  <c r="BB149" i="3"/>
  <c r="BB161" i="3"/>
  <c r="AL52" i="3"/>
  <c r="AL55" i="2"/>
  <c r="AN36" i="3"/>
  <c r="BA36" i="3"/>
  <c r="BC66" i="3"/>
  <c r="AA69" i="2"/>
  <c r="AJ112" i="3"/>
  <c r="AJ111" i="3" s="1"/>
  <c r="AJ141" i="3" s="1"/>
  <c r="AJ43" i="3"/>
  <c r="AJ46" i="2"/>
  <c r="AJ45" i="2" s="1"/>
  <c r="AF69" i="2"/>
  <c r="AA40" i="2"/>
  <c r="BC38" i="3"/>
  <c r="AK43" i="3"/>
  <c r="AK42" i="3" s="1"/>
  <c r="AK33" i="3" s="1"/>
  <c r="AK46" i="2"/>
  <c r="AK45" i="2" s="1"/>
  <c r="AD42" i="2"/>
  <c r="Z46" i="2"/>
  <c r="Z45" i="2" s="1"/>
  <c r="Z43" i="3"/>
  <c r="Z42" i="3" s="1"/>
  <c r="Z33" i="3" s="1"/>
  <c r="Z70" i="3" s="1"/>
  <c r="Z72" i="3" s="1"/>
  <c r="Z73" i="3" s="1"/>
  <c r="BC93" i="3"/>
  <c r="AL77" i="3"/>
  <c r="BC136" i="3"/>
  <c r="AD70" i="2"/>
  <c r="AC60" i="2"/>
  <c r="BC119" i="3"/>
  <c r="AF92" i="2"/>
  <c r="AN183" i="3"/>
  <c r="BA183" i="3"/>
  <c r="AN127" i="3"/>
  <c r="BA127" i="3"/>
  <c r="AE58" i="2"/>
  <c r="AI46" i="3"/>
  <c r="AI49" i="2"/>
  <c r="AI48" i="2" s="1"/>
  <c r="AK46" i="3"/>
  <c r="AK49" i="2"/>
  <c r="BC151" i="3"/>
  <c r="AF57" i="2"/>
  <c r="AB63" i="2"/>
  <c r="BC138" i="3"/>
  <c r="AD38" i="2"/>
  <c r="AK60" i="2"/>
  <c r="BB90" i="3"/>
  <c r="BC174" i="3"/>
  <c r="BC167" i="3" s="1"/>
  <c r="AI87" i="2"/>
  <c r="BB49" i="3"/>
  <c r="AN170" i="3"/>
  <c r="BA170" i="3"/>
  <c r="AC53" i="2"/>
  <c r="AN164" i="3"/>
  <c r="BA164" i="3"/>
  <c r="BB188" i="3"/>
  <c r="BB85" i="2" s="1"/>
  <c r="AH155" i="3"/>
  <c r="AH154" i="3" s="1"/>
  <c r="AH145" i="3" s="1"/>
  <c r="AH176" i="3" s="1"/>
  <c r="AI112" i="3"/>
  <c r="AD98" i="3"/>
  <c r="AB69" i="2"/>
  <c r="AF191" i="3"/>
  <c r="AF85" i="2"/>
  <c r="AF88" i="2" s="1"/>
  <c r="AJ69" i="2"/>
  <c r="AD33" i="2"/>
  <c r="BA58" i="3"/>
  <c r="AN58" i="3"/>
  <c r="AL50" i="2"/>
  <c r="AN165" i="3"/>
  <c r="BA165" i="3"/>
  <c r="BB116" i="3"/>
  <c r="BA65" i="3"/>
  <c r="AN65" i="3"/>
  <c r="AG98" i="3"/>
  <c r="AI43" i="3"/>
  <c r="AI42" i="3" s="1"/>
  <c r="AI33" i="3" s="1"/>
  <c r="AI70" i="3" s="1"/>
  <c r="AI72" i="3" s="1"/>
  <c r="AI73" i="3" s="1"/>
  <c r="AI46" i="2"/>
  <c r="AK86" i="2"/>
  <c r="AJ51" i="2"/>
  <c r="AH77" i="3"/>
  <c r="AG42" i="2"/>
  <c r="AN128" i="3"/>
  <c r="BA128" i="3"/>
  <c r="AC89" i="3"/>
  <c r="AC85" i="3" s="1"/>
  <c r="AC76" i="3" s="1"/>
  <c r="AC107" i="3" s="1"/>
  <c r="AN102" i="3"/>
  <c r="BA102" i="3"/>
  <c r="AJ121" i="3"/>
  <c r="AJ120" i="3" s="1"/>
  <c r="AI62" i="2"/>
  <c r="AB67" i="2"/>
  <c r="AL70" i="2"/>
  <c r="AN103" i="3"/>
  <c r="BA103" i="3"/>
  <c r="AB34" i="2"/>
  <c r="AI60" i="2"/>
  <c r="AH80" i="2"/>
  <c r="BB172" i="3"/>
  <c r="BB45" i="3"/>
  <c r="BB47" i="2" s="1"/>
  <c r="AB41" i="2"/>
  <c r="AD87" i="2"/>
  <c r="AK61" i="2"/>
  <c r="AH41" i="2"/>
  <c r="AF66" i="2"/>
  <c r="AD58" i="2"/>
  <c r="AG92" i="2"/>
  <c r="AN35" i="3"/>
  <c r="BA35" i="3"/>
  <c r="AK158" i="3"/>
  <c r="BA152" i="3"/>
  <c r="AN152" i="3"/>
  <c r="AH61" i="3"/>
  <c r="AH65" i="2"/>
  <c r="BB78" i="3"/>
  <c r="BB37" i="2" s="1"/>
  <c r="AB86" i="2"/>
  <c r="AG72" i="2"/>
  <c r="AC59" i="2"/>
  <c r="AK62" i="2"/>
  <c r="AA155" i="3"/>
  <c r="AA154" i="3" s="1"/>
  <c r="AA145" i="3" s="1"/>
  <c r="BC156" i="3"/>
  <c r="AK59" i="2"/>
  <c r="AN137" i="3"/>
  <c r="BA137" i="3"/>
  <c r="AK167" i="3"/>
  <c r="AK98" i="3"/>
  <c r="AL56" i="2"/>
  <c r="AL54" i="2" s="1"/>
  <c r="AJ33" i="2"/>
  <c r="BA188" i="3"/>
  <c r="AN188" i="3"/>
  <c r="BC84" i="3"/>
  <c r="BC77" i="3" s="1"/>
  <c r="AH38" i="2"/>
  <c r="Z158" i="3"/>
  <c r="AE57" i="2"/>
  <c r="AN153" i="3"/>
  <c r="BA153" i="3"/>
  <c r="BB152" i="3"/>
  <c r="AC112" i="3"/>
  <c r="AE67" i="2"/>
  <c r="AB40" i="2"/>
  <c r="BB166" i="3"/>
  <c r="BB118" i="3"/>
  <c r="AI146" i="3"/>
  <c r="AI145" i="3" s="1"/>
  <c r="AI176" i="3" s="1"/>
  <c r="AG58" i="2"/>
  <c r="AJ67" i="2"/>
  <c r="Z86" i="2"/>
  <c r="AF43" i="2"/>
  <c r="AI132" i="3"/>
  <c r="AE37" i="2"/>
  <c r="AE34" i="3"/>
  <c r="AD39" i="2"/>
  <c r="AN134" i="3"/>
  <c r="BA134" i="3"/>
  <c r="AG61" i="3"/>
  <c r="AG65" i="2"/>
  <c r="AG64" i="2" s="1"/>
  <c r="BC164" i="3"/>
  <c r="BC63" i="2" s="1"/>
  <c r="BA122" i="3"/>
  <c r="AN122" i="3"/>
  <c r="AD85" i="2"/>
  <c r="AD88" i="2" s="1"/>
  <c r="AD191" i="3"/>
  <c r="AL60" i="2"/>
  <c r="AC66" i="2"/>
  <c r="AD61" i="3"/>
  <c r="AD70" i="3" s="1"/>
  <c r="AD72" i="3" s="1"/>
  <c r="AD73" i="3" s="1"/>
  <c r="AD65" i="2"/>
  <c r="AI68" i="2"/>
  <c r="AK56" i="2"/>
  <c r="AN68" i="3"/>
  <c r="BA68" i="3"/>
  <c r="AD43" i="3"/>
  <c r="AD42" i="3" s="1"/>
  <c r="AD33" i="3" s="1"/>
  <c r="AD46" i="2"/>
  <c r="AD45" i="2" s="1"/>
  <c r="AF55" i="2"/>
  <c r="AF54" i="2" s="1"/>
  <c r="AF52" i="3"/>
  <c r="BC103" i="3"/>
  <c r="BC69" i="2" s="1"/>
  <c r="BB190" i="3"/>
  <c r="BB87" i="2" s="1"/>
  <c r="AK89" i="3"/>
  <c r="AA71" i="2"/>
  <c r="AA64" i="2" s="1"/>
  <c r="BC68" i="3"/>
  <c r="BC71" i="2" s="1"/>
  <c r="BC104" i="3"/>
  <c r="BC161" i="3"/>
  <c r="BB91" i="3"/>
  <c r="BB89" i="3" s="1"/>
  <c r="AN125" i="3"/>
  <c r="BA125" i="3"/>
  <c r="AC85" i="2"/>
  <c r="AC88" i="2" s="1"/>
  <c r="AC191" i="3"/>
  <c r="AF41" i="2"/>
  <c r="BC118" i="3"/>
  <c r="AK52" i="2"/>
  <c r="BC165" i="3"/>
  <c r="AK61" i="3"/>
  <c r="AK65" i="2"/>
  <c r="AF98" i="3"/>
  <c r="AL167" i="3"/>
  <c r="BB163" i="3"/>
  <c r="BB158" i="3" s="1"/>
  <c r="BB154" i="3" s="1"/>
  <c r="BB104" i="3"/>
  <c r="BB70" i="2" s="1"/>
  <c r="BB139" i="3"/>
  <c r="AB42" i="2"/>
  <c r="AB57" i="2"/>
  <c r="AD41" i="2"/>
  <c r="AK57" i="2"/>
  <c r="AK54" i="2" s="1"/>
  <c r="BA84" i="3"/>
  <c r="AN84" i="3"/>
  <c r="AE155" i="3"/>
  <c r="BB61" i="2"/>
  <c r="BI9" i="44"/>
  <c r="K200" i="50"/>
  <c r="BB66" i="2"/>
  <c r="BC88" i="2"/>
  <c r="AG145" i="3"/>
  <c r="AJ88" i="2"/>
  <c r="AI45" i="2"/>
  <c r="AI44" i="2" s="1"/>
  <c r="AI64" i="2"/>
  <c r="AE88" i="2"/>
  <c r="AJ42" i="3"/>
  <c r="AJ33" i="3" s="1"/>
  <c r="AJ70" i="3" s="1"/>
  <c r="AJ72" i="3" s="1"/>
  <c r="AJ73" i="3" s="1"/>
  <c r="AB54" i="2"/>
  <c r="AG70" i="3"/>
  <c r="AG72" i="3" s="1"/>
  <c r="AE85" i="3"/>
  <c r="AE76" i="3" s="1"/>
  <c r="AE107" i="3" s="1"/>
  <c r="AB36" i="2"/>
  <c r="AC42" i="3"/>
  <c r="AC33" i="3" s="1"/>
  <c r="AC70" i="3" s="1"/>
  <c r="AC72" i="3" s="1"/>
  <c r="BB121" i="3"/>
  <c r="AG54" i="2"/>
  <c r="AK85" i="3"/>
  <c r="AK76" i="3" s="1"/>
  <c r="AK107" i="3" s="1"/>
  <c r="AG120" i="3"/>
  <c r="AG111" i="3" s="1"/>
  <c r="AJ64" i="2"/>
  <c r="AA54" i="2"/>
  <c r="Z54" i="2"/>
  <c r="AR768" i="45"/>
  <c r="AN768" i="45"/>
  <c r="AJ768" i="45"/>
  <c r="AF768" i="45"/>
  <c r="AB768" i="45"/>
  <c r="X768" i="45"/>
  <c r="T768" i="45"/>
  <c r="P768" i="45"/>
  <c r="L768" i="45"/>
  <c r="AU768" i="45"/>
  <c r="AQ768" i="45"/>
  <c r="AM768" i="45"/>
  <c r="AI768" i="45"/>
  <c r="AE768" i="45"/>
  <c r="AA768" i="45"/>
  <c r="W768" i="45"/>
  <c r="S768" i="45"/>
  <c r="O768" i="45"/>
  <c r="AT768" i="45"/>
  <c r="AP768" i="45"/>
  <c r="AL768" i="45"/>
  <c r="AH768" i="45"/>
  <c r="AD768" i="45"/>
  <c r="Z768" i="45"/>
  <c r="V768" i="45"/>
  <c r="R768" i="45"/>
  <c r="N768" i="45"/>
  <c r="AO768" i="45"/>
  <c r="Y768" i="45"/>
  <c r="M768" i="45"/>
  <c r="AK768" i="45"/>
  <c r="U768" i="45"/>
  <c r="AC768" i="45"/>
  <c r="AG768" i="45"/>
  <c r="Q768" i="45"/>
  <c r="AS768" i="45"/>
  <c r="H768" i="45"/>
  <c r="J768" i="45" s="1"/>
  <c r="B873" i="45"/>
  <c r="AT903" i="45"/>
  <c r="AP903" i="45"/>
  <c r="AL903" i="45"/>
  <c r="AH903" i="45"/>
  <c r="AD903" i="45"/>
  <c r="Z903" i="45"/>
  <c r="V903" i="45"/>
  <c r="R903" i="45"/>
  <c r="N903" i="45"/>
  <c r="AS903" i="45"/>
  <c r="AO903" i="45"/>
  <c r="AK903" i="45"/>
  <c r="AG903" i="45"/>
  <c r="AC903" i="45"/>
  <c r="Y903" i="45"/>
  <c r="U903" i="45"/>
  <c r="Q903" i="45"/>
  <c r="M903" i="45"/>
  <c r="AR903" i="45"/>
  <c r="AN903" i="45"/>
  <c r="AJ903" i="45"/>
  <c r="AF903" i="45"/>
  <c r="AB903" i="45"/>
  <c r="X903" i="45"/>
  <c r="T903" i="45"/>
  <c r="P903" i="45"/>
  <c r="L903" i="45"/>
  <c r="AM903" i="45"/>
  <c r="W903" i="45"/>
  <c r="AI903" i="45"/>
  <c r="S903" i="45"/>
  <c r="AU903" i="45"/>
  <c r="AE903" i="45"/>
  <c r="O903" i="45"/>
  <c r="AQ903" i="45"/>
  <c r="AA903" i="45"/>
  <c r="B1008" i="45"/>
  <c r="H903" i="45"/>
  <c r="J903" i="45" s="1"/>
  <c r="AR786" i="45"/>
  <c r="AN786" i="45"/>
  <c r="AJ786" i="45"/>
  <c r="AF786" i="45"/>
  <c r="AB786" i="45"/>
  <c r="X786" i="45"/>
  <c r="T786" i="45"/>
  <c r="P786" i="45"/>
  <c r="L786" i="45"/>
  <c r="AU786" i="45"/>
  <c r="AQ786" i="45"/>
  <c r="AM786" i="45"/>
  <c r="AI786" i="45"/>
  <c r="AE786" i="45"/>
  <c r="AA786" i="45"/>
  <c r="W786" i="45"/>
  <c r="S786" i="45"/>
  <c r="O786" i="45"/>
  <c r="AT786" i="45"/>
  <c r="AP786" i="45"/>
  <c r="AL786" i="45"/>
  <c r="AH786" i="45"/>
  <c r="AD786" i="45"/>
  <c r="Z786" i="45"/>
  <c r="V786" i="45"/>
  <c r="R786" i="45"/>
  <c r="N786" i="45"/>
  <c r="AG786" i="45"/>
  <c r="Q786" i="45"/>
  <c r="AK786" i="45"/>
  <c r="AS786" i="45"/>
  <c r="AC786" i="45"/>
  <c r="M786" i="45"/>
  <c r="U786" i="45"/>
  <c r="AO786" i="45"/>
  <c r="Y786" i="45"/>
  <c r="B891" i="45"/>
  <c r="H786" i="45"/>
  <c r="J786" i="45" s="1"/>
  <c r="AR793" i="45"/>
  <c r="AN793" i="45"/>
  <c r="AJ793" i="45"/>
  <c r="AF793" i="45"/>
  <c r="AB793" i="45"/>
  <c r="X793" i="45"/>
  <c r="T793" i="45"/>
  <c r="P793" i="45"/>
  <c r="L793" i="45"/>
  <c r="AU793" i="45"/>
  <c r="AQ793" i="45"/>
  <c r="AM793" i="45"/>
  <c r="AI793" i="45"/>
  <c r="AE793" i="45"/>
  <c r="AA793" i="45"/>
  <c r="W793" i="45"/>
  <c r="S793" i="45"/>
  <c r="O793" i="45"/>
  <c r="AT793" i="45"/>
  <c r="AP793" i="45"/>
  <c r="AL793" i="45"/>
  <c r="AH793" i="45"/>
  <c r="AD793" i="45"/>
  <c r="Z793" i="45"/>
  <c r="V793" i="45"/>
  <c r="R793" i="45"/>
  <c r="N793" i="45"/>
  <c r="AK793" i="45"/>
  <c r="U793" i="45"/>
  <c r="AG793" i="45"/>
  <c r="Q793" i="45"/>
  <c r="AO793" i="45"/>
  <c r="AS793" i="45"/>
  <c r="AC793" i="45"/>
  <c r="M793" i="45"/>
  <c r="Y793" i="45"/>
  <c r="B898" i="45"/>
  <c r="H793" i="45"/>
  <c r="J793" i="45" s="1"/>
  <c r="AR755" i="45"/>
  <c r="AN755" i="45"/>
  <c r="AJ755" i="45"/>
  <c r="AF755" i="45"/>
  <c r="AB755" i="45"/>
  <c r="X755" i="45"/>
  <c r="T755" i="45"/>
  <c r="P755" i="45"/>
  <c r="L755" i="45"/>
  <c r="AU755" i="45"/>
  <c r="AQ755" i="45"/>
  <c r="AM755" i="45"/>
  <c r="AI755" i="45"/>
  <c r="AE755" i="45"/>
  <c r="AA755" i="45"/>
  <c r="W755" i="45"/>
  <c r="S755" i="45"/>
  <c r="O755" i="45"/>
  <c r="AT755" i="45"/>
  <c r="AP755" i="45"/>
  <c r="AL755" i="45"/>
  <c r="AH755" i="45"/>
  <c r="AD755" i="45"/>
  <c r="Z755" i="45"/>
  <c r="V755" i="45"/>
  <c r="R755" i="45"/>
  <c r="N755" i="45"/>
  <c r="AS755" i="45"/>
  <c r="AC755" i="45"/>
  <c r="M755" i="45"/>
  <c r="AG755" i="45"/>
  <c r="Q755" i="45"/>
  <c r="AO755" i="45"/>
  <c r="Y755" i="45"/>
  <c r="AK755" i="45"/>
  <c r="U755" i="45"/>
  <c r="H755" i="45"/>
  <c r="J755" i="45" s="1"/>
  <c r="B860" i="45"/>
  <c r="AT913" i="45"/>
  <c r="AP913" i="45"/>
  <c r="AL913" i="45"/>
  <c r="AH913" i="45"/>
  <c r="AD913" i="45"/>
  <c r="Z913" i="45"/>
  <c r="V913" i="45"/>
  <c r="R913" i="45"/>
  <c r="N913" i="45"/>
  <c r="AS913" i="45"/>
  <c r="AO913" i="45"/>
  <c r="AK913" i="45"/>
  <c r="AG913" i="45"/>
  <c r="AC913" i="45"/>
  <c r="Y913" i="45"/>
  <c r="U913" i="45"/>
  <c r="Q913" i="45"/>
  <c r="M913" i="45"/>
  <c r="AR913" i="45"/>
  <c r="AN913" i="45"/>
  <c r="AJ913" i="45"/>
  <c r="AF913" i="45"/>
  <c r="AB913" i="45"/>
  <c r="X913" i="45"/>
  <c r="T913" i="45"/>
  <c r="P913" i="45"/>
  <c r="L913" i="45"/>
  <c r="AU913" i="45"/>
  <c r="AE913" i="45"/>
  <c r="O913" i="45"/>
  <c r="AQ913" i="45"/>
  <c r="AA913" i="45"/>
  <c r="AM913" i="45"/>
  <c r="W913" i="45"/>
  <c r="S913" i="45"/>
  <c r="AI913" i="45"/>
  <c r="H913" i="45"/>
  <c r="J913" i="45" s="1"/>
  <c r="B1018" i="45"/>
  <c r="AR729" i="45"/>
  <c r="AN729" i="45"/>
  <c r="AJ729" i="45"/>
  <c r="AF729" i="45"/>
  <c r="AB729" i="45"/>
  <c r="X729" i="45"/>
  <c r="T729" i="45"/>
  <c r="P729" i="45"/>
  <c r="L729" i="45"/>
  <c r="AU729" i="45"/>
  <c r="AQ729" i="45"/>
  <c r="AM729" i="45"/>
  <c r="AI729" i="45"/>
  <c r="AE729" i="45"/>
  <c r="AA729" i="45"/>
  <c r="W729" i="45"/>
  <c r="S729" i="45"/>
  <c r="O729" i="45"/>
  <c r="AT729" i="45"/>
  <c r="AP729" i="45"/>
  <c r="AL729" i="45"/>
  <c r="AH729" i="45"/>
  <c r="AD729" i="45"/>
  <c r="Z729" i="45"/>
  <c r="V729" i="45"/>
  <c r="R729" i="45"/>
  <c r="N729" i="45"/>
  <c r="AK729" i="45"/>
  <c r="U729" i="45"/>
  <c r="Y729" i="45"/>
  <c r="AG729" i="45"/>
  <c r="Q729" i="45"/>
  <c r="AS729" i="45"/>
  <c r="AC729" i="45"/>
  <c r="M729" i="45"/>
  <c r="AO729" i="45"/>
  <c r="H729" i="45"/>
  <c r="J729" i="45" s="1"/>
  <c r="B834" i="45"/>
  <c r="AR757" i="45"/>
  <c r="AN757" i="45"/>
  <c r="AJ757" i="45"/>
  <c r="AF757" i="45"/>
  <c r="AB757" i="45"/>
  <c r="X757" i="45"/>
  <c r="T757" i="45"/>
  <c r="P757" i="45"/>
  <c r="L757" i="45"/>
  <c r="AU757" i="45"/>
  <c r="AQ757" i="45"/>
  <c r="AM757" i="45"/>
  <c r="AI757" i="45"/>
  <c r="AE757" i="45"/>
  <c r="AA757" i="45"/>
  <c r="W757" i="45"/>
  <c r="S757" i="45"/>
  <c r="O757" i="45"/>
  <c r="AT757" i="45"/>
  <c r="AP757" i="45"/>
  <c r="AL757" i="45"/>
  <c r="AH757" i="45"/>
  <c r="AD757" i="45"/>
  <c r="Z757" i="45"/>
  <c r="V757" i="45"/>
  <c r="R757" i="45"/>
  <c r="N757" i="45"/>
  <c r="AK757" i="45"/>
  <c r="U757" i="45"/>
  <c r="AG757" i="45"/>
  <c r="Q757" i="45"/>
  <c r="Y757" i="45"/>
  <c r="AS757" i="45"/>
  <c r="AC757" i="45"/>
  <c r="M757" i="45"/>
  <c r="AO757" i="45"/>
  <c r="B862" i="45"/>
  <c r="H757" i="45"/>
  <c r="J757" i="45" s="1"/>
  <c r="AR720" i="45"/>
  <c r="AN720" i="45"/>
  <c r="AJ720" i="45"/>
  <c r="AF720" i="45"/>
  <c r="AB720" i="45"/>
  <c r="X720" i="45"/>
  <c r="T720" i="45"/>
  <c r="P720" i="45"/>
  <c r="L720" i="45"/>
  <c r="AU720" i="45"/>
  <c r="AQ720" i="45"/>
  <c r="AM720" i="45"/>
  <c r="AI720" i="45"/>
  <c r="AE720" i="45"/>
  <c r="AA720" i="45"/>
  <c r="W720" i="45"/>
  <c r="S720" i="45"/>
  <c r="O720" i="45"/>
  <c r="AT720" i="45"/>
  <c r="AP720" i="45"/>
  <c r="AL720" i="45"/>
  <c r="AH720" i="45"/>
  <c r="AD720" i="45"/>
  <c r="Z720" i="45"/>
  <c r="V720" i="45"/>
  <c r="R720" i="45"/>
  <c r="N720" i="45"/>
  <c r="AO720" i="45"/>
  <c r="Y720" i="45"/>
  <c r="M720" i="45"/>
  <c r="AK720" i="45"/>
  <c r="U720" i="45"/>
  <c r="AC720" i="45"/>
  <c r="AG720" i="45"/>
  <c r="Q720" i="45"/>
  <c r="AS720" i="45"/>
  <c r="H720" i="45"/>
  <c r="J720" i="45" s="1"/>
  <c r="B825" i="45"/>
  <c r="AR781" i="45"/>
  <c r="AN781" i="45"/>
  <c r="AJ781" i="45"/>
  <c r="AF781" i="45"/>
  <c r="AB781" i="45"/>
  <c r="X781" i="45"/>
  <c r="T781" i="45"/>
  <c r="P781" i="45"/>
  <c r="L781" i="45"/>
  <c r="AU781" i="45"/>
  <c r="AQ781" i="45"/>
  <c r="AM781" i="45"/>
  <c r="AI781" i="45"/>
  <c r="AE781" i="45"/>
  <c r="AA781" i="45"/>
  <c r="W781" i="45"/>
  <c r="S781" i="45"/>
  <c r="O781" i="45"/>
  <c r="AT781" i="45"/>
  <c r="AP781" i="45"/>
  <c r="AL781" i="45"/>
  <c r="AH781" i="45"/>
  <c r="AD781" i="45"/>
  <c r="Z781" i="45"/>
  <c r="V781" i="45"/>
  <c r="R781" i="45"/>
  <c r="N781" i="45"/>
  <c r="AK781" i="45"/>
  <c r="U781" i="45"/>
  <c r="Y781" i="45"/>
  <c r="AG781" i="45"/>
  <c r="Q781" i="45"/>
  <c r="AO781" i="45"/>
  <c r="AS781" i="45"/>
  <c r="AC781" i="45"/>
  <c r="M781" i="45"/>
  <c r="B886" i="45"/>
  <c r="H781" i="45"/>
  <c r="J781" i="45" s="1"/>
  <c r="AR788" i="45"/>
  <c r="AN788" i="45"/>
  <c r="AJ788" i="45"/>
  <c r="AF788" i="45"/>
  <c r="AB788" i="45"/>
  <c r="X788" i="45"/>
  <c r="T788" i="45"/>
  <c r="P788" i="45"/>
  <c r="L788" i="45"/>
  <c r="AU788" i="45"/>
  <c r="AQ788" i="45"/>
  <c r="AM788" i="45"/>
  <c r="AI788" i="45"/>
  <c r="AE788" i="45"/>
  <c r="AA788" i="45"/>
  <c r="W788" i="45"/>
  <c r="S788" i="45"/>
  <c r="O788" i="45"/>
  <c r="AT788" i="45"/>
  <c r="AP788" i="45"/>
  <c r="AL788" i="45"/>
  <c r="AH788" i="45"/>
  <c r="AD788" i="45"/>
  <c r="Z788" i="45"/>
  <c r="V788" i="45"/>
  <c r="R788" i="45"/>
  <c r="N788" i="45"/>
  <c r="AO788" i="45"/>
  <c r="Y788" i="45"/>
  <c r="AC788" i="45"/>
  <c r="AK788" i="45"/>
  <c r="U788" i="45"/>
  <c r="AS788" i="45"/>
  <c r="AG788" i="45"/>
  <c r="Q788" i="45"/>
  <c r="M788" i="45"/>
  <c r="B893" i="45"/>
  <c r="H788" i="45"/>
  <c r="J788" i="45" s="1"/>
  <c r="AR725" i="45"/>
  <c r="AN725" i="45"/>
  <c r="AJ725" i="45"/>
  <c r="AF725" i="45"/>
  <c r="AB725" i="45"/>
  <c r="X725" i="45"/>
  <c r="T725" i="45"/>
  <c r="P725" i="45"/>
  <c r="L725" i="45"/>
  <c r="AU725" i="45"/>
  <c r="AQ725" i="45"/>
  <c r="AM725" i="45"/>
  <c r="AI725" i="45"/>
  <c r="AE725" i="45"/>
  <c r="AA725" i="45"/>
  <c r="W725" i="45"/>
  <c r="S725" i="45"/>
  <c r="O725" i="45"/>
  <c r="AT725" i="45"/>
  <c r="AP725" i="45"/>
  <c r="AL725" i="45"/>
  <c r="AH725" i="45"/>
  <c r="AD725" i="45"/>
  <c r="Z725" i="45"/>
  <c r="V725" i="45"/>
  <c r="R725" i="45"/>
  <c r="N725" i="45"/>
  <c r="AK725" i="45"/>
  <c r="U725" i="45"/>
  <c r="Y725" i="45"/>
  <c r="AG725" i="45"/>
  <c r="Q725" i="45"/>
  <c r="AS725" i="45"/>
  <c r="AC725" i="45"/>
  <c r="M725" i="45"/>
  <c r="AO725" i="45"/>
  <c r="H725" i="45"/>
  <c r="J725" i="45" s="1"/>
  <c r="B830" i="45"/>
  <c r="AR750" i="45"/>
  <c r="AN750" i="45"/>
  <c r="AJ750" i="45"/>
  <c r="AF750" i="45"/>
  <c r="AB750" i="45"/>
  <c r="X750" i="45"/>
  <c r="T750" i="45"/>
  <c r="P750" i="45"/>
  <c r="L750" i="45"/>
  <c r="AU750" i="45"/>
  <c r="AQ750" i="45"/>
  <c r="AM750" i="45"/>
  <c r="AI750" i="45"/>
  <c r="AE750" i="45"/>
  <c r="AA750" i="45"/>
  <c r="W750" i="45"/>
  <c r="S750" i="45"/>
  <c r="O750" i="45"/>
  <c r="AT750" i="45"/>
  <c r="AP750" i="45"/>
  <c r="AL750" i="45"/>
  <c r="AH750" i="45"/>
  <c r="AD750" i="45"/>
  <c r="Z750" i="45"/>
  <c r="V750" i="45"/>
  <c r="R750" i="45"/>
  <c r="N750" i="45"/>
  <c r="AG750" i="45"/>
  <c r="Q750" i="45"/>
  <c r="AS750" i="45"/>
  <c r="AC750" i="45"/>
  <c r="M750" i="45"/>
  <c r="AK750" i="45"/>
  <c r="AO750" i="45"/>
  <c r="Y750" i="45"/>
  <c r="U750" i="45"/>
  <c r="B855" i="45"/>
  <c r="H750" i="45"/>
  <c r="J750" i="45" s="1"/>
  <c r="B772" i="45"/>
  <c r="AR667" i="45"/>
  <c r="AN667" i="45"/>
  <c r="AJ667" i="45"/>
  <c r="AF667" i="45"/>
  <c r="AT667" i="45"/>
  <c r="AO667" i="45"/>
  <c r="AI667" i="45"/>
  <c r="AD667" i="45"/>
  <c r="Z667" i="45"/>
  <c r="V667" i="45"/>
  <c r="R667" i="45"/>
  <c r="N667" i="45"/>
  <c r="AS667" i="45"/>
  <c r="AM667" i="45"/>
  <c r="AH667" i="45"/>
  <c r="AC667" i="45"/>
  <c r="Y667" i="45"/>
  <c r="U667" i="45"/>
  <c r="Q667" i="45"/>
  <c r="M667" i="45"/>
  <c r="AQ667" i="45"/>
  <c r="AL667" i="45"/>
  <c r="AG667" i="45"/>
  <c r="AB667" i="45"/>
  <c r="X667" i="45"/>
  <c r="T667" i="45"/>
  <c r="P667" i="45"/>
  <c r="L667" i="45"/>
  <c r="AU667" i="45"/>
  <c r="AP667" i="45"/>
  <c r="AK667" i="45"/>
  <c r="AE667" i="45"/>
  <c r="AA667" i="45"/>
  <c r="W667" i="45"/>
  <c r="S667" i="45"/>
  <c r="O667" i="45"/>
  <c r="AR722" i="45"/>
  <c r="AN722" i="45"/>
  <c r="AJ722" i="45"/>
  <c r="AF722" i="45"/>
  <c r="AB722" i="45"/>
  <c r="X722" i="45"/>
  <c r="T722" i="45"/>
  <c r="P722" i="45"/>
  <c r="L722" i="45"/>
  <c r="AU722" i="45"/>
  <c r="AQ722" i="45"/>
  <c r="AM722" i="45"/>
  <c r="AI722" i="45"/>
  <c r="AE722" i="45"/>
  <c r="AA722" i="45"/>
  <c r="W722" i="45"/>
  <c r="S722" i="45"/>
  <c r="O722" i="45"/>
  <c r="AT722" i="45"/>
  <c r="AP722" i="45"/>
  <c r="AL722" i="45"/>
  <c r="AH722" i="45"/>
  <c r="AD722" i="45"/>
  <c r="Z722" i="45"/>
  <c r="V722" i="45"/>
  <c r="R722" i="45"/>
  <c r="N722" i="45"/>
  <c r="AG722" i="45"/>
  <c r="Q722" i="45"/>
  <c r="AK722" i="45"/>
  <c r="AS722" i="45"/>
  <c r="AC722" i="45"/>
  <c r="M722" i="45"/>
  <c r="AO722" i="45"/>
  <c r="Y722" i="45"/>
  <c r="U722" i="45"/>
  <c r="H722" i="45"/>
  <c r="J722" i="45" s="1"/>
  <c r="B827" i="45"/>
  <c r="AR716" i="45"/>
  <c r="AN716" i="45"/>
  <c r="AJ716" i="45"/>
  <c r="AF716" i="45"/>
  <c r="AB716" i="45"/>
  <c r="X716" i="45"/>
  <c r="T716" i="45"/>
  <c r="P716" i="45"/>
  <c r="L716" i="45"/>
  <c r="AU716" i="45"/>
  <c r="AQ716" i="45"/>
  <c r="AM716" i="45"/>
  <c r="AI716" i="45"/>
  <c r="AE716" i="45"/>
  <c r="AA716" i="45"/>
  <c r="W716" i="45"/>
  <c r="S716" i="45"/>
  <c r="O716" i="45"/>
  <c r="AT716" i="45"/>
  <c r="AP716" i="45"/>
  <c r="AL716" i="45"/>
  <c r="AH716" i="45"/>
  <c r="AD716" i="45"/>
  <c r="Z716" i="45"/>
  <c r="V716" i="45"/>
  <c r="R716" i="45"/>
  <c r="N716" i="45"/>
  <c r="AO716" i="45"/>
  <c r="Y716" i="45"/>
  <c r="AC716" i="45"/>
  <c r="AK716" i="45"/>
  <c r="U716" i="45"/>
  <c r="AS716" i="45"/>
  <c r="AG716" i="45"/>
  <c r="Q716" i="45"/>
  <c r="M716" i="45"/>
  <c r="H716" i="45"/>
  <c r="J716" i="45" s="1"/>
  <c r="B821" i="45"/>
  <c r="AR789" i="45"/>
  <c r="AN789" i="45"/>
  <c r="AJ789" i="45"/>
  <c r="AF789" i="45"/>
  <c r="AB789" i="45"/>
  <c r="X789" i="45"/>
  <c r="T789" i="45"/>
  <c r="P789" i="45"/>
  <c r="L789" i="45"/>
  <c r="AU789" i="45"/>
  <c r="AQ789" i="45"/>
  <c r="AM789" i="45"/>
  <c r="AI789" i="45"/>
  <c r="AE789" i="45"/>
  <c r="AA789" i="45"/>
  <c r="W789" i="45"/>
  <c r="S789" i="45"/>
  <c r="O789" i="45"/>
  <c r="AT789" i="45"/>
  <c r="AP789" i="45"/>
  <c r="AL789" i="45"/>
  <c r="AH789" i="45"/>
  <c r="AD789" i="45"/>
  <c r="Z789" i="45"/>
  <c r="V789" i="45"/>
  <c r="R789" i="45"/>
  <c r="N789" i="45"/>
  <c r="AK789" i="45"/>
  <c r="U789" i="45"/>
  <c r="AO789" i="45"/>
  <c r="AG789" i="45"/>
  <c r="Q789" i="45"/>
  <c r="AS789" i="45"/>
  <c r="AC789" i="45"/>
  <c r="M789" i="45"/>
  <c r="Y789" i="45"/>
  <c r="B894" i="45"/>
  <c r="H789" i="45"/>
  <c r="J789" i="45" s="1"/>
  <c r="B767" i="45"/>
  <c r="AT662" i="45"/>
  <c r="AP662" i="45"/>
  <c r="AL662" i="45"/>
  <c r="AH662" i="45"/>
  <c r="AD662" i="45"/>
  <c r="Z662" i="45"/>
  <c r="V662" i="45"/>
  <c r="R662" i="45"/>
  <c r="N662" i="45"/>
  <c r="AS662" i="45"/>
  <c r="AO662" i="45"/>
  <c r="AK662" i="45"/>
  <c r="AG662" i="45"/>
  <c r="AC662" i="45"/>
  <c r="Y662" i="45"/>
  <c r="U662" i="45"/>
  <c r="Q662" i="45"/>
  <c r="M662" i="45"/>
  <c r="AR662" i="45"/>
  <c r="AN662" i="45"/>
  <c r="AJ662" i="45"/>
  <c r="AF662" i="45"/>
  <c r="AB662" i="45"/>
  <c r="X662" i="45"/>
  <c r="T662" i="45"/>
  <c r="P662" i="45"/>
  <c r="L662" i="45"/>
  <c r="AU662" i="45"/>
  <c r="AQ662" i="45"/>
  <c r="AM662" i="45"/>
  <c r="AI662" i="45"/>
  <c r="AE662" i="45"/>
  <c r="AA662" i="45"/>
  <c r="W662" i="45"/>
  <c r="S662" i="45"/>
  <c r="O662" i="45"/>
  <c r="AR776" i="45"/>
  <c r="AN776" i="45"/>
  <c r="AJ776" i="45"/>
  <c r="AF776" i="45"/>
  <c r="AB776" i="45"/>
  <c r="X776" i="45"/>
  <c r="T776" i="45"/>
  <c r="P776" i="45"/>
  <c r="L776" i="45"/>
  <c r="AU776" i="45"/>
  <c r="AQ776" i="45"/>
  <c r="AM776" i="45"/>
  <c r="AI776" i="45"/>
  <c r="AE776" i="45"/>
  <c r="AA776" i="45"/>
  <c r="W776" i="45"/>
  <c r="S776" i="45"/>
  <c r="O776" i="45"/>
  <c r="AT776" i="45"/>
  <c r="AP776" i="45"/>
  <c r="AL776" i="45"/>
  <c r="AH776" i="45"/>
  <c r="AD776" i="45"/>
  <c r="Z776" i="45"/>
  <c r="V776" i="45"/>
  <c r="R776" i="45"/>
  <c r="N776" i="45"/>
  <c r="AO776" i="45"/>
  <c r="Y776" i="45"/>
  <c r="AS776" i="45"/>
  <c r="AK776" i="45"/>
  <c r="U776" i="45"/>
  <c r="AC776" i="45"/>
  <c r="AG776" i="45"/>
  <c r="Q776" i="45"/>
  <c r="M776" i="45"/>
  <c r="H776" i="45"/>
  <c r="J776" i="45" s="1"/>
  <c r="B881" i="45"/>
  <c r="AR715" i="45"/>
  <c r="AN715" i="45"/>
  <c r="AJ715" i="45"/>
  <c r="AF715" i="45"/>
  <c r="AB715" i="45"/>
  <c r="X715" i="45"/>
  <c r="T715" i="45"/>
  <c r="P715" i="45"/>
  <c r="L715" i="45"/>
  <c r="AU715" i="45"/>
  <c r="AQ715" i="45"/>
  <c r="AM715" i="45"/>
  <c r="AI715" i="45"/>
  <c r="AE715" i="45"/>
  <c r="AA715" i="45"/>
  <c r="W715" i="45"/>
  <c r="S715" i="45"/>
  <c r="O715" i="45"/>
  <c r="AT715" i="45"/>
  <c r="AP715" i="45"/>
  <c r="AL715" i="45"/>
  <c r="AH715" i="45"/>
  <c r="AD715" i="45"/>
  <c r="Z715" i="45"/>
  <c r="V715" i="45"/>
  <c r="R715" i="45"/>
  <c r="N715" i="45"/>
  <c r="AS715" i="45"/>
  <c r="AC715" i="45"/>
  <c r="M715" i="45"/>
  <c r="Q715" i="45"/>
  <c r="AO715" i="45"/>
  <c r="Y715" i="45"/>
  <c r="AG715" i="45"/>
  <c r="AK715" i="45"/>
  <c r="U715" i="45"/>
  <c r="B820" i="45"/>
  <c r="H715" i="45"/>
  <c r="J715" i="45" s="1"/>
  <c r="AR756" i="45"/>
  <c r="AN756" i="45"/>
  <c r="AJ756" i="45"/>
  <c r="AF756" i="45"/>
  <c r="AB756" i="45"/>
  <c r="X756" i="45"/>
  <c r="T756" i="45"/>
  <c r="P756" i="45"/>
  <c r="L756" i="45"/>
  <c r="AU756" i="45"/>
  <c r="AQ756" i="45"/>
  <c r="AM756" i="45"/>
  <c r="AI756" i="45"/>
  <c r="AE756" i="45"/>
  <c r="AA756" i="45"/>
  <c r="W756" i="45"/>
  <c r="S756" i="45"/>
  <c r="O756" i="45"/>
  <c r="AT756" i="45"/>
  <c r="AP756" i="45"/>
  <c r="AL756" i="45"/>
  <c r="AH756" i="45"/>
  <c r="AD756" i="45"/>
  <c r="Z756" i="45"/>
  <c r="V756" i="45"/>
  <c r="R756" i="45"/>
  <c r="N756" i="45"/>
  <c r="AO756" i="45"/>
  <c r="Y756" i="45"/>
  <c r="AS756" i="45"/>
  <c r="AK756" i="45"/>
  <c r="U756" i="45"/>
  <c r="AC756" i="45"/>
  <c r="AG756" i="45"/>
  <c r="Q756" i="45"/>
  <c r="M756" i="45"/>
  <c r="H756" i="45"/>
  <c r="J756" i="45" s="1"/>
  <c r="B861" i="45"/>
  <c r="AR795" i="45"/>
  <c r="AN795" i="45"/>
  <c r="AJ795" i="45"/>
  <c r="AF795" i="45"/>
  <c r="AB795" i="45"/>
  <c r="X795" i="45"/>
  <c r="T795" i="45"/>
  <c r="P795" i="45"/>
  <c r="L795" i="45"/>
  <c r="AU795" i="45"/>
  <c r="AQ795" i="45"/>
  <c r="AM795" i="45"/>
  <c r="AI795" i="45"/>
  <c r="AE795" i="45"/>
  <c r="AA795" i="45"/>
  <c r="W795" i="45"/>
  <c r="S795" i="45"/>
  <c r="O795" i="45"/>
  <c r="AT795" i="45"/>
  <c r="AP795" i="45"/>
  <c r="AL795" i="45"/>
  <c r="AH795" i="45"/>
  <c r="AD795" i="45"/>
  <c r="Z795" i="45"/>
  <c r="V795" i="45"/>
  <c r="R795" i="45"/>
  <c r="N795" i="45"/>
  <c r="AS795" i="45"/>
  <c r="AC795" i="45"/>
  <c r="M795" i="45"/>
  <c r="AO795" i="45"/>
  <c r="Y795" i="45"/>
  <c r="Q795" i="45"/>
  <c r="AK795" i="45"/>
  <c r="U795" i="45"/>
  <c r="AG795" i="45"/>
  <c r="B900" i="45"/>
  <c r="H795" i="45"/>
  <c r="J795" i="45" s="1"/>
  <c r="AR736" i="45"/>
  <c r="AN736" i="45"/>
  <c r="AJ736" i="45"/>
  <c r="AF736" i="45"/>
  <c r="AB736" i="45"/>
  <c r="X736" i="45"/>
  <c r="T736" i="45"/>
  <c r="P736" i="45"/>
  <c r="L736" i="45"/>
  <c r="AU736" i="45"/>
  <c r="AQ736" i="45"/>
  <c r="AM736" i="45"/>
  <c r="AI736" i="45"/>
  <c r="AE736" i="45"/>
  <c r="AA736" i="45"/>
  <c r="W736" i="45"/>
  <c r="S736" i="45"/>
  <c r="O736" i="45"/>
  <c r="AT736" i="45"/>
  <c r="AP736" i="45"/>
  <c r="AL736" i="45"/>
  <c r="AH736" i="45"/>
  <c r="AD736" i="45"/>
  <c r="Z736" i="45"/>
  <c r="V736" i="45"/>
  <c r="R736" i="45"/>
  <c r="N736" i="45"/>
  <c r="AO736" i="45"/>
  <c r="Y736" i="45"/>
  <c r="AK736" i="45"/>
  <c r="U736" i="45"/>
  <c r="AS736" i="45"/>
  <c r="M736" i="45"/>
  <c r="AG736" i="45"/>
  <c r="Q736" i="45"/>
  <c r="AC736" i="45"/>
  <c r="H736" i="45"/>
  <c r="J736" i="45" s="1"/>
  <c r="B841" i="45"/>
  <c r="AR792" i="45"/>
  <c r="AN792" i="45"/>
  <c r="AJ792" i="45"/>
  <c r="AF792" i="45"/>
  <c r="AB792" i="45"/>
  <c r="X792" i="45"/>
  <c r="T792" i="45"/>
  <c r="P792" i="45"/>
  <c r="L792" i="45"/>
  <c r="AU792" i="45"/>
  <c r="AQ792" i="45"/>
  <c r="AM792" i="45"/>
  <c r="AI792" i="45"/>
  <c r="AE792" i="45"/>
  <c r="AA792" i="45"/>
  <c r="W792" i="45"/>
  <c r="S792" i="45"/>
  <c r="O792" i="45"/>
  <c r="AT792" i="45"/>
  <c r="AP792" i="45"/>
  <c r="AL792" i="45"/>
  <c r="AH792" i="45"/>
  <c r="AD792" i="45"/>
  <c r="Z792" i="45"/>
  <c r="V792" i="45"/>
  <c r="R792" i="45"/>
  <c r="N792" i="45"/>
  <c r="AO792" i="45"/>
  <c r="Y792" i="45"/>
  <c r="AS792" i="45"/>
  <c r="AK792" i="45"/>
  <c r="U792" i="45"/>
  <c r="AC792" i="45"/>
  <c r="AG792" i="45"/>
  <c r="Q792" i="45"/>
  <c r="M792" i="45"/>
  <c r="H792" i="45"/>
  <c r="J792" i="45" s="1"/>
  <c r="B897" i="45"/>
  <c r="AT910" i="45"/>
  <c r="AP910" i="45"/>
  <c r="AL910" i="45"/>
  <c r="AH910" i="45"/>
  <c r="AD910" i="45"/>
  <c r="Z910" i="45"/>
  <c r="V910" i="45"/>
  <c r="R910" i="45"/>
  <c r="N910" i="45"/>
  <c r="AS910" i="45"/>
  <c r="AO910" i="45"/>
  <c r="AK910" i="45"/>
  <c r="AG910" i="45"/>
  <c r="AC910" i="45"/>
  <c r="Y910" i="45"/>
  <c r="U910" i="45"/>
  <c r="Q910" i="45"/>
  <c r="M910" i="45"/>
  <c r="AR910" i="45"/>
  <c r="AN910" i="45"/>
  <c r="AJ910" i="45"/>
  <c r="AF910" i="45"/>
  <c r="AB910" i="45"/>
  <c r="X910" i="45"/>
  <c r="T910" i="45"/>
  <c r="P910" i="45"/>
  <c r="L910" i="45"/>
  <c r="AQ910" i="45"/>
  <c r="AA910" i="45"/>
  <c r="AM910" i="45"/>
  <c r="W910" i="45"/>
  <c r="AI910" i="45"/>
  <c r="S910" i="45"/>
  <c r="AU910" i="45"/>
  <c r="AE910" i="45"/>
  <c r="O910" i="45"/>
  <c r="H910" i="45"/>
  <c r="J910" i="45" s="1"/>
  <c r="B1015" i="45"/>
  <c r="AR732" i="45"/>
  <c r="AN732" i="45"/>
  <c r="AJ732" i="45"/>
  <c r="AF732" i="45"/>
  <c r="AB732" i="45"/>
  <c r="X732" i="45"/>
  <c r="T732" i="45"/>
  <c r="P732" i="45"/>
  <c r="L732" i="45"/>
  <c r="AU732" i="45"/>
  <c r="AQ732" i="45"/>
  <c r="AM732" i="45"/>
  <c r="AI732" i="45"/>
  <c r="AE732" i="45"/>
  <c r="AA732" i="45"/>
  <c r="W732" i="45"/>
  <c r="S732" i="45"/>
  <c r="O732" i="45"/>
  <c r="AT732" i="45"/>
  <c r="AP732" i="45"/>
  <c r="AL732" i="45"/>
  <c r="AH732" i="45"/>
  <c r="AD732" i="45"/>
  <c r="Z732" i="45"/>
  <c r="V732" i="45"/>
  <c r="R732" i="45"/>
  <c r="N732" i="45"/>
  <c r="AO732" i="45"/>
  <c r="Y732" i="45"/>
  <c r="M732" i="45"/>
  <c r="AK732" i="45"/>
  <c r="U732" i="45"/>
  <c r="AG732" i="45"/>
  <c r="Q732" i="45"/>
  <c r="AS732" i="45"/>
  <c r="AC732" i="45"/>
  <c r="H732" i="45"/>
  <c r="J732" i="45" s="1"/>
  <c r="B837" i="45"/>
  <c r="AT914" i="45"/>
  <c r="AP914" i="45"/>
  <c r="AL914" i="45"/>
  <c r="AH914" i="45"/>
  <c r="AD914" i="45"/>
  <c r="Z914" i="45"/>
  <c r="V914" i="45"/>
  <c r="R914" i="45"/>
  <c r="N914" i="45"/>
  <c r="AS914" i="45"/>
  <c r="AO914" i="45"/>
  <c r="AK914" i="45"/>
  <c r="AG914" i="45"/>
  <c r="AC914" i="45"/>
  <c r="Y914" i="45"/>
  <c r="U914" i="45"/>
  <c r="Q914" i="45"/>
  <c r="M914" i="45"/>
  <c r="AR914" i="45"/>
  <c r="AN914" i="45"/>
  <c r="AJ914" i="45"/>
  <c r="AF914" i="45"/>
  <c r="AB914" i="45"/>
  <c r="X914" i="45"/>
  <c r="T914" i="45"/>
  <c r="P914" i="45"/>
  <c r="L914" i="45"/>
  <c r="AQ914" i="45"/>
  <c r="AA914" i="45"/>
  <c r="AM914" i="45"/>
  <c r="W914" i="45"/>
  <c r="AI914" i="45"/>
  <c r="S914" i="45"/>
  <c r="AE914" i="45"/>
  <c r="AU914" i="45"/>
  <c r="O914" i="45"/>
  <c r="H914" i="45"/>
  <c r="J914" i="45" s="1"/>
  <c r="B1019" i="45"/>
  <c r="AR785" i="45"/>
  <c r="AN785" i="45"/>
  <c r="AJ785" i="45"/>
  <c r="AF785" i="45"/>
  <c r="AB785" i="45"/>
  <c r="X785" i="45"/>
  <c r="T785" i="45"/>
  <c r="P785" i="45"/>
  <c r="L785" i="45"/>
  <c r="AU785" i="45"/>
  <c r="AQ785" i="45"/>
  <c r="AM785" i="45"/>
  <c r="AI785" i="45"/>
  <c r="AE785" i="45"/>
  <c r="AA785" i="45"/>
  <c r="W785" i="45"/>
  <c r="S785" i="45"/>
  <c r="O785" i="45"/>
  <c r="AT785" i="45"/>
  <c r="AP785" i="45"/>
  <c r="AL785" i="45"/>
  <c r="AH785" i="45"/>
  <c r="AD785" i="45"/>
  <c r="Z785" i="45"/>
  <c r="V785" i="45"/>
  <c r="R785" i="45"/>
  <c r="N785" i="45"/>
  <c r="AK785" i="45"/>
  <c r="U785" i="45"/>
  <c r="Y785" i="45"/>
  <c r="AG785" i="45"/>
  <c r="Q785" i="45"/>
  <c r="AS785" i="45"/>
  <c r="AC785" i="45"/>
  <c r="M785" i="45"/>
  <c r="AO785" i="45"/>
  <c r="B890" i="45"/>
  <c r="H785" i="45"/>
  <c r="J785" i="45" s="1"/>
  <c r="AR738" i="45"/>
  <c r="AN738" i="45"/>
  <c r="AJ738" i="45"/>
  <c r="AF738" i="45"/>
  <c r="AB738" i="45"/>
  <c r="X738" i="45"/>
  <c r="T738" i="45"/>
  <c r="P738" i="45"/>
  <c r="L738" i="45"/>
  <c r="AU738" i="45"/>
  <c r="AQ738" i="45"/>
  <c r="AM738" i="45"/>
  <c r="AI738" i="45"/>
  <c r="AE738" i="45"/>
  <c r="AA738" i="45"/>
  <c r="W738" i="45"/>
  <c r="S738" i="45"/>
  <c r="O738" i="45"/>
  <c r="AT738" i="45"/>
  <c r="AP738" i="45"/>
  <c r="AL738" i="45"/>
  <c r="AH738" i="45"/>
  <c r="AD738" i="45"/>
  <c r="Z738" i="45"/>
  <c r="V738" i="45"/>
  <c r="R738" i="45"/>
  <c r="N738" i="45"/>
  <c r="AG738" i="45"/>
  <c r="Q738" i="45"/>
  <c r="AK738" i="45"/>
  <c r="AS738" i="45"/>
  <c r="AC738" i="45"/>
  <c r="M738" i="45"/>
  <c r="U738" i="45"/>
  <c r="AO738" i="45"/>
  <c r="Y738" i="45"/>
  <c r="H738" i="45"/>
  <c r="J738" i="45" s="1"/>
  <c r="B843" i="45"/>
  <c r="AR743" i="45"/>
  <c r="AN743" i="45"/>
  <c r="AJ743" i="45"/>
  <c r="AF743" i="45"/>
  <c r="AB743" i="45"/>
  <c r="X743" i="45"/>
  <c r="T743" i="45"/>
  <c r="P743" i="45"/>
  <c r="L743" i="45"/>
  <c r="AU743" i="45"/>
  <c r="AQ743" i="45"/>
  <c r="AM743" i="45"/>
  <c r="AI743" i="45"/>
  <c r="AE743" i="45"/>
  <c r="AA743" i="45"/>
  <c r="W743" i="45"/>
  <c r="S743" i="45"/>
  <c r="O743" i="45"/>
  <c r="AT743" i="45"/>
  <c r="AP743" i="45"/>
  <c r="AL743" i="45"/>
  <c r="AH743" i="45"/>
  <c r="AD743" i="45"/>
  <c r="Z743" i="45"/>
  <c r="V743" i="45"/>
  <c r="R743" i="45"/>
  <c r="N743" i="45"/>
  <c r="AS743" i="45"/>
  <c r="AC743" i="45"/>
  <c r="M743" i="45"/>
  <c r="Q743" i="45"/>
  <c r="AO743" i="45"/>
  <c r="Y743" i="45"/>
  <c r="AK743" i="45"/>
  <c r="U743" i="45"/>
  <c r="AG743" i="45"/>
  <c r="H743" i="45"/>
  <c r="J743" i="45" s="1"/>
  <c r="B848" i="45"/>
  <c r="AR790" i="45"/>
  <c r="AN790" i="45"/>
  <c r="AJ790" i="45"/>
  <c r="AF790" i="45"/>
  <c r="AB790" i="45"/>
  <c r="X790" i="45"/>
  <c r="T790" i="45"/>
  <c r="P790" i="45"/>
  <c r="L790" i="45"/>
  <c r="AU790" i="45"/>
  <c r="AQ790" i="45"/>
  <c r="AM790" i="45"/>
  <c r="AI790" i="45"/>
  <c r="AE790" i="45"/>
  <c r="AA790" i="45"/>
  <c r="W790" i="45"/>
  <c r="S790" i="45"/>
  <c r="O790" i="45"/>
  <c r="AT790" i="45"/>
  <c r="AP790" i="45"/>
  <c r="AL790" i="45"/>
  <c r="AH790" i="45"/>
  <c r="AD790" i="45"/>
  <c r="Z790" i="45"/>
  <c r="V790" i="45"/>
  <c r="R790" i="45"/>
  <c r="N790" i="45"/>
  <c r="AG790" i="45"/>
  <c r="Q790" i="45"/>
  <c r="AK790" i="45"/>
  <c r="AS790" i="45"/>
  <c r="AC790" i="45"/>
  <c r="M790" i="45"/>
  <c r="U790" i="45"/>
  <c r="AO790" i="45"/>
  <c r="Y790" i="45"/>
  <c r="H790" i="45"/>
  <c r="J790" i="45" s="1"/>
  <c r="B895" i="45"/>
  <c r="AR783" i="45"/>
  <c r="AN783" i="45"/>
  <c r="AJ783" i="45"/>
  <c r="AF783" i="45"/>
  <c r="AB783" i="45"/>
  <c r="X783" i="45"/>
  <c r="T783" i="45"/>
  <c r="P783" i="45"/>
  <c r="L783" i="45"/>
  <c r="AU783" i="45"/>
  <c r="AQ783" i="45"/>
  <c r="AM783" i="45"/>
  <c r="AI783" i="45"/>
  <c r="AE783" i="45"/>
  <c r="AA783" i="45"/>
  <c r="W783" i="45"/>
  <c r="S783" i="45"/>
  <c r="O783" i="45"/>
  <c r="AT783" i="45"/>
  <c r="AP783" i="45"/>
  <c r="AL783" i="45"/>
  <c r="AH783" i="45"/>
  <c r="AD783" i="45"/>
  <c r="Z783" i="45"/>
  <c r="V783" i="45"/>
  <c r="R783" i="45"/>
  <c r="N783" i="45"/>
  <c r="AS783" i="45"/>
  <c r="AC783" i="45"/>
  <c r="M783" i="45"/>
  <c r="AO783" i="45"/>
  <c r="Y783" i="45"/>
  <c r="AG783" i="45"/>
  <c r="AK783" i="45"/>
  <c r="U783" i="45"/>
  <c r="Q783" i="45"/>
  <c r="B888" i="45"/>
  <c r="H783" i="45"/>
  <c r="J783" i="45" s="1"/>
  <c r="AT912" i="45"/>
  <c r="AP912" i="45"/>
  <c r="AL912" i="45"/>
  <c r="AH912" i="45"/>
  <c r="AD912" i="45"/>
  <c r="Z912" i="45"/>
  <c r="V912" i="45"/>
  <c r="R912" i="45"/>
  <c r="N912" i="45"/>
  <c r="AS912" i="45"/>
  <c r="AO912" i="45"/>
  <c r="AK912" i="45"/>
  <c r="AG912" i="45"/>
  <c r="AC912" i="45"/>
  <c r="Y912" i="45"/>
  <c r="U912" i="45"/>
  <c r="Q912" i="45"/>
  <c r="M912" i="45"/>
  <c r="AR912" i="45"/>
  <c r="AN912" i="45"/>
  <c r="AJ912" i="45"/>
  <c r="AF912" i="45"/>
  <c r="AB912" i="45"/>
  <c r="X912" i="45"/>
  <c r="T912" i="45"/>
  <c r="P912" i="45"/>
  <c r="L912" i="45"/>
  <c r="AI912" i="45"/>
  <c r="S912" i="45"/>
  <c r="AU912" i="45"/>
  <c r="AE912" i="45"/>
  <c r="O912" i="45"/>
  <c r="AQ912" i="45"/>
  <c r="AA912" i="45"/>
  <c r="AM912" i="45"/>
  <c r="W912" i="45"/>
  <c r="B1017" i="45"/>
  <c r="H912" i="45"/>
  <c r="J912" i="45" s="1"/>
  <c r="AR769" i="45"/>
  <c r="AN769" i="45"/>
  <c r="AJ769" i="45"/>
  <c r="AF769" i="45"/>
  <c r="AB769" i="45"/>
  <c r="X769" i="45"/>
  <c r="T769" i="45"/>
  <c r="P769" i="45"/>
  <c r="L769" i="45"/>
  <c r="AU769" i="45"/>
  <c r="AQ769" i="45"/>
  <c r="AM769" i="45"/>
  <c r="AI769" i="45"/>
  <c r="AE769" i="45"/>
  <c r="AA769" i="45"/>
  <c r="W769" i="45"/>
  <c r="S769" i="45"/>
  <c r="O769" i="45"/>
  <c r="AT769" i="45"/>
  <c r="AP769" i="45"/>
  <c r="AL769" i="45"/>
  <c r="AH769" i="45"/>
  <c r="AD769" i="45"/>
  <c r="Z769" i="45"/>
  <c r="V769" i="45"/>
  <c r="R769" i="45"/>
  <c r="N769" i="45"/>
  <c r="AK769" i="45"/>
  <c r="U769" i="45"/>
  <c r="Y769" i="45"/>
  <c r="AG769" i="45"/>
  <c r="Q769" i="45"/>
  <c r="AO769" i="45"/>
  <c r="AS769" i="45"/>
  <c r="AC769" i="45"/>
  <c r="M769" i="45"/>
  <c r="H769" i="45"/>
  <c r="J769" i="45" s="1"/>
  <c r="B874" i="45"/>
  <c r="AR728" i="45"/>
  <c r="AN728" i="45"/>
  <c r="AJ728" i="45"/>
  <c r="AF728" i="45"/>
  <c r="AB728" i="45"/>
  <c r="X728" i="45"/>
  <c r="T728" i="45"/>
  <c r="P728" i="45"/>
  <c r="L728" i="45"/>
  <c r="AU728" i="45"/>
  <c r="AQ728" i="45"/>
  <c r="AM728" i="45"/>
  <c r="AI728" i="45"/>
  <c r="AE728" i="45"/>
  <c r="AA728" i="45"/>
  <c r="W728" i="45"/>
  <c r="S728" i="45"/>
  <c r="O728" i="45"/>
  <c r="AT728" i="45"/>
  <c r="AP728" i="45"/>
  <c r="AL728" i="45"/>
  <c r="AH728" i="45"/>
  <c r="AD728" i="45"/>
  <c r="Z728" i="45"/>
  <c r="V728" i="45"/>
  <c r="R728" i="45"/>
  <c r="N728" i="45"/>
  <c r="AO728" i="45"/>
  <c r="Y728" i="45"/>
  <c r="AC728" i="45"/>
  <c r="AK728" i="45"/>
  <c r="U728" i="45"/>
  <c r="AS728" i="45"/>
  <c r="AG728" i="45"/>
  <c r="Q728" i="45"/>
  <c r="M728" i="45"/>
  <c r="H728" i="45"/>
  <c r="J728" i="45" s="1"/>
  <c r="B833" i="45"/>
  <c r="AR775" i="45"/>
  <c r="AN775" i="45"/>
  <c r="AJ775" i="45"/>
  <c r="AF775" i="45"/>
  <c r="AB775" i="45"/>
  <c r="X775" i="45"/>
  <c r="T775" i="45"/>
  <c r="P775" i="45"/>
  <c r="L775" i="45"/>
  <c r="AU775" i="45"/>
  <c r="AQ775" i="45"/>
  <c r="AM775" i="45"/>
  <c r="AI775" i="45"/>
  <c r="AE775" i="45"/>
  <c r="AA775" i="45"/>
  <c r="W775" i="45"/>
  <c r="S775" i="45"/>
  <c r="O775" i="45"/>
  <c r="AT775" i="45"/>
  <c r="AP775" i="45"/>
  <c r="AL775" i="45"/>
  <c r="AH775" i="45"/>
  <c r="AD775" i="45"/>
  <c r="Z775" i="45"/>
  <c r="V775" i="45"/>
  <c r="R775" i="45"/>
  <c r="N775" i="45"/>
  <c r="AS775" i="45"/>
  <c r="AC775" i="45"/>
  <c r="M775" i="45"/>
  <c r="AO775" i="45"/>
  <c r="Y775" i="45"/>
  <c r="Q775" i="45"/>
  <c r="AK775" i="45"/>
  <c r="U775" i="45"/>
  <c r="AG775" i="45"/>
  <c r="H775" i="45"/>
  <c r="J775" i="45" s="1"/>
  <c r="B880" i="45"/>
  <c r="AR719" i="45"/>
  <c r="AN719" i="45"/>
  <c r="AJ719" i="45"/>
  <c r="AF719" i="45"/>
  <c r="AB719" i="45"/>
  <c r="X719" i="45"/>
  <c r="T719" i="45"/>
  <c r="P719" i="45"/>
  <c r="L719" i="45"/>
  <c r="AU719" i="45"/>
  <c r="AQ719" i="45"/>
  <c r="AM719" i="45"/>
  <c r="AI719" i="45"/>
  <c r="AE719" i="45"/>
  <c r="AA719" i="45"/>
  <c r="W719" i="45"/>
  <c r="S719" i="45"/>
  <c r="O719" i="45"/>
  <c r="AT719" i="45"/>
  <c r="AP719" i="45"/>
  <c r="AL719" i="45"/>
  <c r="AH719" i="45"/>
  <c r="AD719" i="45"/>
  <c r="Z719" i="45"/>
  <c r="V719" i="45"/>
  <c r="R719" i="45"/>
  <c r="N719" i="45"/>
  <c r="AS719" i="45"/>
  <c r="AC719" i="45"/>
  <c r="M719" i="45"/>
  <c r="AO719" i="45"/>
  <c r="Y719" i="45"/>
  <c r="Q719" i="45"/>
  <c r="AK719" i="45"/>
  <c r="U719" i="45"/>
  <c r="AG719" i="45"/>
  <c r="B824" i="45"/>
  <c r="H719" i="45"/>
  <c r="J719" i="45" s="1"/>
  <c r="AT901" i="45"/>
  <c r="AP901" i="45"/>
  <c r="AL901" i="45"/>
  <c r="AH901" i="45"/>
  <c r="AD901" i="45"/>
  <c r="Z901" i="45"/>
  <c r="V901" i="45"/>
  <c r="R901" i="45"/>
  <c r="N901" i="45"/>
  <c r="AS901" i="45"/>
  <c r="AO901" i="45"/>
  <c r="AK901" i="45"/>
  <c r="AG901" i="45"/>
  <c r="AC901" i="45"/>
  <c r="Y901" i="45"/>
  <c r="U901" i="45"/>
  <c r="Q901" i="45"/>
  <c r="M901" i="45"/>
  <c r="AR901" i="45"/>
  <c r="AN901" i="45"/>
  <c r="AJ901" i="45"/>
  <c r="AF901" i="45"/>
  <c r="AB901" i="45"/>
  <c r="X901" i="45"/>
  <c r="T901" i="45"/>
  <c r="P901" i="45"/>
  <c r="L901" i="45"/>
  <c r="AU901" i="45"/>
  <c r="AE901" i="45"/>
  <c r="O901" i="45"/>
  <c r="AQ901" i="45"/>
  <c r="AA901" i="45"/>
  <c r="AM901" i="45"/>
  <c r="W901" i="45"/>
  <c r="AI901" i="45"/>
  <c r="S901" i="45"/>
  <c r="B1006" i="45"/>
  <c r="H901" i="45"/>
  <c r="J901" i="45" s="1"/>
  <c r="AT905" i="45"/>
  <c r="AP905" i="45"/>
  <c r="AL905" i="45"/>
  <c r="AH905" i="45"/>
  <c r="AD905" i="45"/>
  <c r="Z905" i="45"/>
  <c r="V905" i="45"/>
  <c r="R905" i="45"/>
  <c r="N905" i="45"/>
  <c r="AS905" i="45"/>
  <c r="AO905" i="45"/>
  <c r="AK905" i="45"/>
  <c r="AG905" i="45"/>
  <c r="AC905" i="45"/>
  <c r="Y905" i="45"/>
  <c r="U905" i="45"/>
  <c r="Q905" i="45"/>
  <c r="M905" i="45"/>
  <c r="AR905" i="45"/>
  <c r="AN905" i="45"/>
  <c r="AJ905" i="45"/>
  <c r="AF905" i="45"/>
  <c r="AB905" i="45"/>
  <c r="X905" i="45"/>
  <c r="T905" i="45"/>
  <c r="P905" i="45"/>
  <c r="L905" i="45"/>
  <c r="AU905" i="45"/>
  <c r="AE905" i="45"/>
  <c r="O905" i="45"/>
  <c r="AQ905" i="45"/>
  <c r="AA905" i="45"/>
  <c r="AM905" i="45"/>
  <c r="W905" i="45"/>
  <c r="AI905" i="45"/>
  <c r="S905" i="45"/>
  <c r="H905" i="45"/>
  <c r="J905" i="45" s="1"/>
  <c r="B1010" i="45"/>
  <c r="AR739" i="45"/>
  <c r="AN739" i="45"/>
  <c r="AJ739" i="45"/>
  <c r="AF739" i="45"/>
  <c r="AB739" i="45"/>
  <c r="X739" i="45"/>
  <c r="T739" i="45"/>
  <c r="P739" i="45"/>
  <c r="L739" i="45"/>
  <c r="AU739" i="45"/>
  <c r="AQ739" i="45"/>
  <c r="AM739" i="45"/>
  <c r="AI739" i="45"/>
  <c r="AE739" i="45"/>
  <c r="AA739" i="45"/>
  <c r="W739" i="45"/>
  <c r="S739" i="45"/>
  <c r="O739" i="45"/>
  <c r="AT739" i="45"/>
  <c r="AP739" i="45"/>
  <c r="AL739" i="45"/>
  <c r="AH739" i="45"/>
  <c r="AD739" i="45"/>
  <c r="Z739" i="45"/>
  <c r="V739" i="45"/>
  <c r="R739" i="45"/>
  <c r="N739" i="45"/>
  <c r="AS739" i="45"/>
  <c r="AC739" i="45"/>
  <c r="M739" i="45"/>
  <c r="AO739" i="45"/>
  <c r="Y739" i="45"/>
  <c r="Q739" i="45"/>
  <c r="AK739" i="45"/>
  <c r="U739" i="45"/>
  <c r="AG739" i="45"/>
  <c r="H739" i="45"/>
  <c r="J739" i="45" s="1"/>
  <c r="B844" i="45"/>
  <c r="AR758" i="45"/>
  <c r="AN758" i="45"/>
  <c r="AJ758" i="45"/>
  <c r="AF758" i="45"/>
  <c r="AB758" i="45"/>
  <c r="X758" i="45"/>
  <c r="T758" i="45"/>
  <c r="P758" i="45"/>
  <c r="L758" i="45"/>
  <c r="AU758" i="45"/>
  <c r="AQ758" i="45"/>
  <c r="AM758" i="45"/>
  <c r="AI758" i="45"/>
  <c r="AE758" i="45"/>
  <c r="AA758" i="45"/>
  <c r="W758" i="45"/>
  <c r="S758" i="45"/>
  <c r="O758" i="45"/>
  <c r="AT758" i="45"/>
  <c r="AP758" i="45"/>
  <c r="AL758" i="45"/>
  <c r="AH758" i="45"/>
  <c r="AD758" i="45"/>
  <c r="Z758" i="45"/>
  <c r="V758" i="45"/>
  <c r="R758" i="45"/>
  <c r="N758" i="45"/>
  <c r="AG758" i="45"/>
  <c r="Q758" i="45"/>
  <c r="AK758" i="45"/>
  <c r="AS758" i="45"/>
  <c r="AC758" i="45"/>
  <c r="M758" i="45"/>
  <c r="U758" i="45"/>
  <c r="AO758" i="45"/>
  <c r="Y758" i="45"/>
  <c r="B863" i="45"/>
  <c r="H758" i="45"/>
  <c r="J758" i="45" s="1"/>
  <c r="AR721" i="45"/>
  <c r="AN721" i="45"/>
  <c r="AJ721" i="45"/>
  <c r="AF721" i="45"/>
  <c r="AB721" i="45"/>
  <c r="X721" i="45"/>
  <c r="T721" i="45"/>
  <c r="P721" i="45"/>
  <c r="L721" i="45"/>
  <c r="AU721" i="45"/>
  <c r="AQ721" i="45"/>
  <c r="AM721" i="45"/>
  <c r="AI721" i="45"/>
  <c r="AE721" i="45"/>
  <c r="AA721" i="45"/>
  <c r="W721" i="45"/>
  <c r="S721" i="45"/>
  <c r="O721" i="45"/>
  <c r="AT721" i="45"/>
  <c r="AP721" i="45"/>
  <c r="AL721" i="45"/>
  <c r="AH721" i="45"/>
  <c r="AD721" i="45"/>
  <c r="Z721" i="45"/>
  <c r="V721" i="45"/>
  <c r="R721" i="45"/>
  <c r="N721" i="45"/>
  <c r="AK721" i="45"/>
  <c r="U721" i="45"/>
  <c r="Y721" i="45"/>
  <c r="AG721" i="45"/>
  <c r="Q721" i="45"/>
  <c r="AO721" i="45"/>
  <c r="AS721" i="45"/>
  <c r="AC721" i="45"/>
  <c r="M721" i="45"/>
  <c r="H721" i="45"/>
  <c r="J721" i="45" s="1"/>
  <c r="B826" i="45"/>
  <c r="AR754" i="45"/>
  <c r="AN754" i="45"/>
  <c r="AJ754" i="45"/>
  <c r="AF754" i="45"/>
  <c r="AB754" i="45"/>
  <c r="X754" i="45"/>
  <c r="T754" i="45"/>
  <c r="P754" i="45"/>
  <c r="L754" i="45"/>
  <c r="AU754" i="45"/>
  <c r="AQ754" i="45"/>
  <c r="AM754" i="45"/>
  <c r="AI754" i="45"/>
  <c r="AE754" i="45"/>
  <c r="AA754" i="45"/>
  <c r="W754" i="45"/>
  <c r="S754" i="45"/>
  <c r="O754" i="45"/>
  <c r="AT754" i="45"/>
  <c r="AP754" i="45"/>
  <c r="AL754" i="45"/>
  <c r="AH754" i="45"/>
  <c r="AD754" i="45"/>
  <c r="Z754" i="45"/>
  <c r="V754" i="45"/>
  <c r="R754" i="45"/>
  <c r="N754" i="45"/>
  <c r="AG754" i="45"/>
  <c r="Q754" i="45"/>
  <c r="AS754" i="45"/>
  <c r="AC754" i="45"/>
  <c r="M754" i="45"/>
  <c r="U754" i="45"/>
  <c r="AO754" i="45"/>
  <c r="Y754" i="45"/>
  <c r="AK754" i="45"/>
  <c r="H754" i="45"/>
  <c r="J754" i="45" s="1"/>
  <c r="B859" i="45"/>
  <c r="AR713" i="45"/>
  <c r="AN713" i="45"/>
  <c r="AJ713" i="45"/>
  <c r="AF713" i="45"/>
  <c r="AB713" i="45"/>
  <c r="X713" i="45"/>
  <c r="T713" i="45"/>
  <c r="P713" i="45"/>
  <c r="L713" i="45"/>
  <c r="AU713" i="45"/>
  <c r="AQ713" i="45"/>
  <c r="AM713" i="45"/>
  <c r="AI713" i="45"/>
  <c r="AE713" i="45"/>
  <c r="AA713" i="45"/>
  <c r="W713" i="45"/>
  <c r="S713" i="45"/>
  <c r="O713" i="45"/>
  <c r="AT713" i="45"/>
  <c r="AP713" i="45"/>
  <c r="AL713" i="45"/>
  <c r="AH713" i="45"/>
  <c r="AD713" i="45"/>
  <c r="Z713" i="45"/>
  <c r="V713" i="45"/>
  <c r="R713" i="45"/>
  <c r="N713" i="45"/>
  <c r="AK713" i="45"/>
  <c r="U713" i="45"/>
  <c r="AO713" i="45"/>
  <c r="AG713" i="45"/>
  <c r="Q713" i="45"/>
  <c r="AS713" i="45"/>
  <c r="AC713" i="45"/>
  <c r="M713" i="45"/>
  <c r="Y713" i="45"/>
  <c r="H713" i="45"/>
  <c r="J713" i="45" s="1"/>
  <c r="B818" i="45"/>
  <c r="AR734" i="45"/>
  <c r="AN734" i="45"/>
  <c r="AJ734" i="45"/>
  <c r="AF734" i="45"/>
  <c r="AB734" i="45"/>
  <c r="X734" i="45"/>
  <c r="T734" i="45"/>
  <c r="P734" i="45"/>
  <c r="L734" i="45"/>
  <c r="AU734" i="45"/>
  <c r="AQ734" i="45"/>
  <c r="AM734" i="45"/>
  <c r="AI734" i="45"/>
  <c r="AE734" i="45"/>
  <c r="AA734" i="45"/>
  <c r="W734" i="45"/>
  <c r="S734" i="45"/>
  <c r="O734" i="45"/>
  <c r="AT734" i="45"/>
  <c r="AP734" i="45"/>
  <c r="AL734" i="45"/>
  <c r="AH734" i="45"/>
  <c r="AD734" i="45"/>
  <c r="Z734" i="45"/>
  <c r="V734" i="45"/>
  <c r="R734" i="45"/>
  <c r="N734" i="45"/>
  <c r="AG734" i="45"/>
  <c r="Q734" i="45"/>
  <c r="AS734" i="45"/>
  <c r="AC734" i="45"/>
  <c r="M734" i="45"/>
  <c r="AK734" i="45"/>
  <c r="AO734" i="45"/>
  <c r="Y734" i="45"/>
  <c r="U734" i="45"/>
  <c r="H734" i="45"/>
  <c r="J734" i="45" s="1"/>
  <c r="B839" i="45"/>
  <c r="AR748" i="45"/>
  <c r="AN748" i="45"/>
  <c r="AJ748" i="45"/>
  <c r="AF748" i="45"/>
  <c r="AB748" i="45"/>
  <c r="X748" i="45"/>
  <c r="T748" i="45"/>
  <c r="P748" i="45"/>
  <c r="L748" i="45"/>
  <c r="AU748" i="45"/>
  <c r="AQ748" i="45"/>
  <c r="AM748" i="45"/>
  <c r="AI748" i="45"/>
  <c r="AE748" i="45"/>
  <c r="AA748" i="45"/>
  <c r="W748" i="45"/>
  <c r="S748" i="45"/>
  <c r="O748" i="45"/>
  <c r="AT748" i="45"/>
  <c r="AP748" i="45"/>
  <c r="AL748" i="45"/>
  <c r="AH748" i="45"/>
  <c r="AD748" i="45"/>
  <c r="Z748" i="45"/>
  <c r="V748" i="45"/>
  <c r="R748" i="45"/>
  <c r="N748" i="45"/>
  <c r="AO748" i="45"/>
  <c r="Y748" i="45"/>
  <c r="M748" i="45"/>
  <c r="AK748" i="45"/>
  <c r="U748" i="45"/>
  <c r="AC748" i="45"/>
  <c r="AG748" i="45"/>
  <c r="Q748" i="45"/>
  <c r="AS748" i="45"/>
  <c r="B853" i="45"/>
  <c r="H748" i="45"/>
  <c r="J748" i="45" s="1"/>
  <c r="AR777" i="45"/>
  <c r="AN777" i="45"/>
  <c r="AJ777" i="45"/>
  <c r="AF777" i="45"/>
  <c r="AB777" i="45"/>
  <c r="X777" i="45"/>
  <c r="T777" i="45"/>
  <c r="P777" i="45"/>
  <c r="L777" i="45"/>
  <c r="AU777" i="45"/>
  <c r="AQ777" i="45"/>
  <c r="AM777" i="45"/>
  <c r="AI777" i="45"/>
  <c r="AE777" i="45"/>
  <c r="AA777" i="45"/>
  <c r="W777" i="45"/>
  <c r="S777" i="45"/>
  <c r="O777" i="45"/>
  <c r="AT777" i="45"/>
  <c r="AP777" i="45"/>
  <c r="AL777" i="45"/>
  <c r="AH777" i="45"/>
  <c r="AD777" i="45"/>
  <c r="Z777" i="45"/>
  <c r="V777" i="45"/>
  <c r="R777" i="45"/>
  <c r="N777" i="45"/>
  <c r="AK777" i="45"/>
  <c r="U777" i="45"/>
  <c r="AG777" i="45"/>
  <c r="Q777" i="45"/>
  <c r="AO777" i="45"/>
  <c r="AS777" i="45"/>
  <c r="AC777" i="45"/>
  <c r="M777" i="45"/>
  <c r="Y777" i="45"/>
  <c r="B882" i="45"/>
  <c r="H777" i="45"/>
  <c r="J777" i="45" s="1"/>
  <c r="AR787" i="45"/>
  <c r="AN787" i="45"/>
  <c r="AJ787" i="45"/>
  <c r="AF787" i="45"/>
  <c r="AB787" i="45"/>
  <c r="X787" i="45"/>
  <c r="T787" i="45"/>
  <c r="P787" i="45"/>
  <c r="L787" i="45"/>
  <c r="AU787" i="45"/>
  <c r="AQ787" i="45"/>
  <c r="AM787" i="45"/>
  <c r="AI787" i="45"/>
  <c r="AE787" i="45"/>
  <c r="AA787" i="45"/>
  <c r="W787" i="45"/>
  <c r="S787" i="45"/>
  <c r="O787" i="45"/>
  <c r="AT787" i="45"/>
  <c r="AP787" i="45"/>
  <c r="AL787" i="45"/>
  <c r="AH787" i="45"/>
  <c r="AD787" i="45"/>
  <c r="Z787" i="45"/>
  <c r="V787" i="45"/>
  <c r="R787" i="45"/>
  <c r="N787" i="45"/>
  <c r="AS787" i="45"/>
  <c r="AC787" i="45"/>
  <c r="M787" i="45"/>
  <c r="AO787" i="45"/>
  <c r="Y787" i="45"/>
  <c r="AG787" i="45"/>
  <c r="AK787" i="45"/>
  <c r="U787" i="45"/>
  <c r="Q787" i="45"/>
  <c r="B892" i="45"/>
  <c r="H787" i="45"/>
  <c r="J787" i="45" s="1"/>
  <c r="AR794" i="45"/>
  <c r="AN794" i="45"/>
  <c r="AJ794" i="45"/>
  <c r="AF794" i="45"/>
  <c r="AB794" i="45"/>
  <c r="X794" i="45"/>
  <c r="T794" i="45"/>
  <c r="P794" i="45"/>
  <c r="L794" i="45"/>
  <c r="AU794" i="45"/>
  <c r="AQ794" i="45"/>
  <c r="AM794" i="45"/>
  <c r="AI794" i="45"/>
  <c r="AE794" i="45"/>
  <c r="AA794" i="45"/>
  <c r="W794" i="45"/>
  <c r="S794" i="45"/>
  <c r="O794" i="45"/>
  <c r="AT794" i="45"/>
  <c r="AP794" i="45"/>
  <c r="AL794" i="45"/>
  <c r="AH794" i="45"/>
  <c r="AD794" i="45"/>
  <c r="Z794" i="45"/>
  <c r="V794" i="45"/>
  <c r="R794" i="45"/>
  <c r="N794" i="45"/>
  <c r="AG794" i="45"/>
  <c r="Q794" i="45"/>
  <c r="AK794" i="45"/>
  <c r="AS794" i="45"/>
  <c r="AC794" i="45"/>
  <c r="M794" i="45"/>
  <c r="AO794" i="45"/>
  <c r="Y794" i="45"/>
  <c r="U794" i="45"/>
  <c r="H794" i="45"/>
  <c r="J794" i="45" s="1"/>
  <c r="B899" i="45"/>
  <c r="AR712" i="45"/>
  <c r="AN712" i="45"/>
  <c r="AJ712" i="45"/>
  <c r="AF712" i="45"/>
  <c r="AB712" i="45"/>
  <c r="X712" i="45"/>
  <c r="T712" i="45"/>
  <c r="P712" i="45"/>
  <c r="L712" i="45"/>
  <c r="AU712" i="45"/>
  <c r="AQ712" i="45"/>
  <c r="AM712" i="45"/>
  <c r="AI712" i="45"/>
  <c r="AE712" i="45"/>
  <c r="AA712" i="45"/>
  <c r="W712" i="45"/>
  <c r="S712" i="45"/>
  <c r="O712" i="45"/>
  <c r="AT712" i="45"/>
  <c r="AP712" i="45"/>
  <c r="AL712" i="45"/>
  <c r="AH712" i="45"/>
  <c r="AD712" i="45"/>
  <c r="Z712" i="45"/>
  <c r="V712" i="45"/>
  <c r="R712" i="45"/>
  <c r="N712" i="45"/>
  <c r="AO712" i="45"/>
  <c r="Y712" i="45"/>
  <c r="AC712" i="45"/>
  <c r="AK712" i="45"/>
  <c r="U712" i="45"/>
  <c r="AS712" i="45"/>
  <c r="AG712" i="45"/>
  <c r="Q712" i="45"/>
  <c r="M712" i="45"/>
  <c r="H712" i="45"/>
  <c r="J712" i="45" s="1"/>
  <c r="B817" i="45"/>
  <c r="AR744" i="45"/>
  <c r="AN744" i="45"/>
  <c r="AJ744" i="45"/>
  <c r="AF744" i="45"/>
  <c r="AB744" i="45"/>
  <c r="X744" i="45"/>
  <c r="T744" i="45"/>
  <c r="P744" i="45"/>
  <c r="L744" i="45"/>
  <c r="AU744" i="45"/>
  <c r="AQ744" i="45"/>
  <c r="AM744" i="45"/>
  <c r="AI744" i="45"/>
  <c r="AE744" i="45"/>
  <c r="AA744" i="45"/>
  <c r="W744" i="45"/>
  <c r="S744" i="45"/>
  <c r="O744" i="45"/>
  <c r="AT744" i="45"/>
  <c r="AP744" i="45"/>
  <c r="AL744" i="45"/>
  <c r="AH744" i="45"/>
  <c r="AD744" i="45"/>
  <c r="Z744" i="45"/>
  <c r="V744" i="45"/>
  <c r="R744" i="45"/>
  <c r="N744" i="45"/>
  <c r="AO744" i="45"/>
  <c r="Y744" i="45"/>
  <c r="AK744" i="45"/>
  <c r="U744" i="45"/>
  <c r="AC744" i="45"/>
  <c r="M744" i="45"/>
  <c r="AG744" i="45"/>
  <c r="Q744" i="45"/>
  <c r="AS744" i="45"/>
  <c r="H744" i="45"/>
  <c r="J744" i="45" s="1"/>
  <c r="B849" i="45"/>
  <c r="AR724" i="45"/>
  <c r="AN724" i="45"/>
  <c r="AJ724" i="45"/>
  <c r="AF724" i="45"/>
  <c r="AB724" i="45"/>
  <c r="X724" i="45"/>
  <c r="T724" i="45"/>
  <c r="P724" i="45"/>
  <c r="L724" i="45"/>
  <c r="AU724" i="45"/>
  <c r="AQ724" i="45"/>
  <c r="AM724" i="45"/>
  <c r="AI724" i="45"/>
  <c r="AE724" i="45"/>
  <c r="AA724" i="45"/>
  <c r="W724" i="45"/>
  <c r="S724" i="45"/>
  <c r="O724" i="45"/>
  <c r="AT724" i="45"/>
  <c r="AP724" i="45"/>
  <c r="AL724" i="45"/>
  <c r="AH724" i="45"/>
  <c r="AD724" i="45"/>
  <c r="Z724" i="45"/>
  <c r="V724" i="45"/>
  <c r="R724" i="45"/>
  <c r="N724" i="45"/>
  <c r="AO724" i="45"/>
  <c r="Y724" i="45"/>
  <c r="M724" i="45"/>
  <c r="AK724" i="45"/>
  <c r="U724" i="45"/>
  <c r="AS724" i="45"/>
  <c r="AG724" i="45"/>
  <c r="Q724" i="45"/>
  <c r="AC724" i="45"/>
  <c r="B829" i="45"/>
  <c r="H724" i="45"/>
  <c r="J724" i="45" s="1"/>
  <c r="AR726" i="45"/>
  <c r="AN726" i="45"/>
  <c r="AJ726" i="45"/>
  <c r="AF726" i="45"/>
  <c r="AB726" i="45"/>
  <c r="X726" i="45"/>
  <c r="T726" i="45"/>
  <c r="P726" i="45"/>
  <c r="L726" i="45"/>
  <c r="AU726" i="45"/>
  <c r="AQ726" i="45"/>
  <c r="AM726" i="45"/>
  <c r="AI726" i="45"/>
  <c r="AE726" i="45"/>
  <c r="AA726" i="45"/>
  <c r="W726" i="45"/>
  <c r="S726" i="45"/>
  <c r="O726" i="45"/>
  <c r="AT726" i="45"/>
  <c r="AP726" i="45"/>
  <c r="AL726" i="45"/>
  <c r="AH726" i="45"/>
  <c r="AD726" i="45"/>
  <c r="Z726" i="45"/>
  <c r="V726" i="45"/>
  <c r="R726" i="45"/>
  <c r="N726" i="45"/>
  <c r="AG726" i="45"/>
  <c r="Q726" i="45"/>
  <c r="AS726" i="45"/>
  <c r="AC726" i="45"/>
  <c r="M726" i="45"/>
  <c r="U726" i="45"/>
  <c r="AO726" i="45"/>
  <c r="Y726" i="45"/>
  <c r="AK726" i="45"/>
  <c r="H726" i="45"/>
  <c r="J726" i="45" s="1"/>
  <c r="B831" i="45"/>
  <c r="T711" i="45"/>
  <c r="N711" i="45"/>
  <c r="U711" i="45"/>
  <c r="B816" i="45"/>
  <c r="H711" i="45"/>
  <c r="B762" i="45"/>
  <c r="AT657" i="45"/>
  <c r="AP657" i="45"/>
  <c r="AL657" i="45"/>
  <c r="AH657" i="45"/>
  <c r="AD657" i="45"/>
  <c r="Z657" i="45"/>
  <c r="V657" i="45"/>
  <c r="R657" i="45"/>
  <c r="N657" i="45"/>
  <c r="AS657" i="45"/>
  <c r="AO657" i="45"/>
  <c r="AK657" i="45"/>
  <c r="AG657" i="45"/>
  <c r="AC657" i="45"/>
  <c r="Y657" i="45"/>
  <c r="U657" i="45"/>
  <c r="Q657" i="45"/>
  <c r="M657" i="45"/>
  <c r="AR657" i="45"/>
  <c r="AN657" i="45"/>
  <c r="AJ657" i="45"/>
  <c r="AF657" i="45"/>
  <c r="AB657" i="45"/>
  <c r="X657" i="45"/>
  <c r="T657" i="45"/>
  <c r="P657" i="45"/>
  <c r="L657" i="45"/>
  <c r="AU657" i="45"/>
  <c r="AQ657" i="45"/>
  <c r="AM657" i="45"/>
  <c r="AI657" i="45"/>
  <c r="AE657" i="45"/>
  <c r="AA657" i="45"/>
  <c r="W657" i="45"/>
  <c r="S657" i="45"/>
  <c r="O657" i="45"/>
  <c r="AR742" i="45"/>
  <c r="AN742" i="45"/>
  <c r="AJ742" i="45"/>
  <c r="AF742" i="45"/>
  <c r="AB742" i="45"/>
  <c r="X742" i="45"/>
  <c r="T742" i="45"/>
  <c r="P742" i="45"/>
  <c r="L742" i="45"/>
  <c r="AU742" i="45"/>
  <c r="AQ742" i="45"/>
  <c r="AM742" i="45"/>
  <c r="AI742" i="45"/>
  <c r="AE742" i="45"/>
  <c r="AA742" i="45"/>
  <c r="W742" i="45"/>
  <c r="S742" i="45"/>
  <c r="O742" i="45"/>
  <c r="AT742" i="45"/>
  <c r="AP742" i="45"/>
  <c r="AL742" i="45"/>
  <c r="AH742" i="45"/>
  <c r="AD742" i="45"/>
  <c r="Z742" i="45"/>
  <c r="V742" i="45"/>
  <c r="R742" i="45"/>
  <c r="N742" i="45"/>
  <c r="AG742" i="45"/>
  <c r="Q742" i="45"/>
  <c r="AS742" i="45"/>
  <c r="AC742" i="45"/>
  <c r="M742" i="45"/>
  <c r="AK742" i="45"/>
  <c r="AO742" i="45"/>
  <c r="Y742" i="45"/>
  <c r="U742" i="45"/>
  <c r="H742" i="45"/>
  <c r="J742" i="45" s="1"/>
  <c r="B847" i="45"/>
  <c r="AT911" i="45"/>
  <c r="AP911" i="45"/>
  <c r="AL911" i="45"/>
  <c r="AH911" i="45"/>
  <c r="AD911" i="45"/>
  <c r="Z911" i="45"/>
  <c r="V911" i="45"/>
  <c r="R911" i="45"/>
  <c r="N911" i="45"/>
  <c r="AS911" i="45"/>
  <c r="AO911" i="45"/>
  <c r="AK911" i="45"/>
  <c r="AG911" i="45"/>
  <c r="AC911" i="45"/>
  <c r="Y911" i="45"/>
  <c r="U911" i="45"/>
  <c r="Q911" i="45"/>
  <c r="M911" i="45"/>
  <c r="AR911" i="45"/>
  <c r="AN911" i="45"/>
  <c r="AJ911" i="45"/>
  <c r="AF911" i="45"/>
  <c r="AB911" i="45"/>
  <c r="X911" i="45"/>
  <c r="T911" i="45"/>
  <c r="P911" i="45"/>
  <c r="L911" i="45"/>
  <c r="AM911" i="45"/>
  <c r="W911" i="45"/>
  <c r="AI911" i="45"/>
  <c r="S911" i="45"/>
  <c r="AU911" i="45"/>
  <c r="AE911" i="45"/>
  <c r="O911" i="45"/>
  <c r="AQ911" i="45"/>
  <c r="AA911" i="45"/>
  <c r="B1016" i="45"/>
  <c r="H911" i="45"/>
  <c r="J911" i="45" s="1"/>
  <c r="AT904" i="45"/>
  <c r="AP904" i="45"/>
  <c r="AL904" i="45"/>
  <c r="AH904" i="45"/>
  <c r="AD904" i="45"/>
  <c r="Z904" i="45"/>
  <c r="V904" i="45"/>
  <c r="R904" i="45"/>
  <c r="N904" i="45"/>
  <c r="AS904" i="45"/>
  <c r="AO904" i="45"/>
  <c r="AK904" i="45"/>
  <c r="AG904" i="45"/>
  <c r="AC904" i="45"/>
  <c r="Y904" i="45"/>
  <c r="U904" i="45"/>
  <c r="Q904" i="45"/>
  <c r="M904" i="45"/>
  <c r="AR904" i="45"/>
  <c r="AN904" i="45"/>
  <c r="AJ904" i="45"/>
  <c r="AF904" i="45"/>
  <c r="AB904" i="45"/>
  <c r="X904" i="45"/>
  <c r="T904" i="45"/>
  <c r="P904" i="45"/>
  <c r="L904" i="45"/>
  <c r="AI904" i="45"/>
  <c r="S904" i="45"/>
  <c r="AU904" i="45"/>
  <c r="AE904" i="45"/>
  <c r="O904" i="45"/>
  <c r="AQ904" i="45"/>
  <c r="AA904" i="45"/>
  <c r="W904" i="45"/>
  <c r="AM904" i="45"/>
  <c r="H904" i="45"/>
  <c r="J904" i="45" s="1"/>
  <c r="B1009" i="45"/>
  <c r="AR717" i="45"/>
  <c r="AN717" i="45"/>
  <c r="AJ717" i="45"/>
  <c r="AF717" i="45"/>
  <c r="AB717" i="45"/>
  <c r="X717" i="45"/>
  <c r="T717" i="45"/>
  <c r="P717" i="45"/>
  <c r="L717" i="45"/>
  <c r="AU717" i="45"/>
  <c r="AQ717" i="45"/>
  <c r="AM717" i="45"/>
  <c r="AI717" i="45"/>
  <c r="AE717" i="45"/>
  <c r="AA717" i="45"/>
  <c r="W717" i="45"/>
  <c r="S717" i="45"/>
  <c r="O717" i="45"/>
  <c r="AT717" i="45"/>
  <c r="AP717" i="45"/>
  <c r="AL717" i="45"/>
  <c r="AH717" i="45"/>
  <c r="AD717" i="45"/>
  <c r="Z717" i="45"/>
  <c r="V717" i="45"/>
  <c r="R717" i="45"/>
  <c r="N717" i="45"/>
  <c r="AK717" i="45"/>
  <c r="U717" i="45"/>
  <c r="AO717" i="45"/>
  <c r="AG717" i="45"/>
  <c r="Q717" i="45"/>
  <c r="AS717" i="45"/>
  <c r="AC717" i="45"/>
  <c r="M717" i="45"/>
  <c r="Y717" i="45"/>
  <c r="H717" i="45"/>
  <c r="J717" i="45" s="1"/>
  <c r="B822" i="45"/>
  <c r="AR765" i="45"/>
  <c r="AN765" i="45"/>
  <c r="AJ765" i="45"/>
  <c r="AF765" i="45"/>
  <c r="AB765" i="45"/>
  <c r="X765" i="45"/>
  <c r="T765" i="45"/>
  <c r="P765" i="45"/>
  <c r="L765" i="45"/>
  <c r="AU765" i="45"/>
  <c r="AQ765" i="45"/>
  <c r="AM765" i="45"/>
  <c r="AI765" i="45"/>
  <c r="AE765" i="45"/>
  <c r="AA765" i="45"/>
  <c r="W765" i="45"/>
  <c r="S765" i="45"/>
  <c r="O765" i="45"/>
  <c r="AT765" i="45"/>
  <c r="AP765" i="45"/>
  <c r="AL765" i="45"/>
  <c r="AH765" i="45"/>
  <c r="AD765" i="45"/>
  <c r="Z765" i="45"/>
  <c r="V765" i="45"/>
  <c r="R765" i="45"/>
  <c r="N765" i="45"/>
  <c r="AK765" i="45"/>
  <c r="U765" i="45"/>
  <c r="AG765" i="45"/>
  <c r="Q765" i="45"/>
  <c r="AO765" i="45"/>
  <c r="AS765" i="45"/>
  <c r="AC765" i="45"/>
  <c r="M765" i="45"/>
  <c r="Y765" i="45"/>
  <c r="H765" i="45"/>
  <c r="J765" i="45" s="1"/>
  <c r="B870" i="45"/>
  <c r="AR753" i="45"/>
  <c r="AN753" i="45"/>
  <c r="AJ753" i="45"/>
  <c r="AF753" i="45"/>
  <c r="AB753" i="45"/>
  <c r="X753" i="45"/>
  <c r="T753" i="45"/>
  <c r="P753" i="45"/>
  <c r="L753" i="45"/>
  <c r="AU753" i="45"/>
  <c r="AQ753" i="45"/>
  <c r="AM753" i="45"/>
  <c r="AI753" i="45"/>
  <c r="AE753" i="45"/>
  <c r="AA753" i="45"/>
  <c r="W753" i="45"/>
  <c r="S753" i="45"/>
  <c r="O753" i="45"/>
  <c r="AT753" i="45"/>
  <c r="AP753" i="45"/>
  <c r="AL753" i="45"/>
  <c r="AH753" i="45"/>
  <c r="AD753" i="45"/>
  <c r="Z753" i="45"/>
  <c r="V753" i="45"/>
  <c r="R753" i="45"/>
  <c r="N753" i="45"/>
  <c r="AK753" i="45"/>
  <c r="U753" i="45"/>
  <c r="AO753" i="45"/>
  <c r="AG753" i="45"/>
  <c r="Q753" i="45"/>
  <c r="Y753" i="45"/>
  <c r="AS753" i="45"/>
  <c r="AC753" i="45"/>
  <c r="M753" i="45"/>
  <c r="H753" i="45"/>
  <c r="J753" i="45" s="1"/>
  <c r="B858" i="45"/>
  <c r="AR714" i="45"/>
  <c r="AN714" i="45"/>
  <c r="AJ714" i="45"/>
  <c r="AF714" i="45"/>
  <c r="AB714" i="45"/>
  <c r="X714" i="45"/>
  <c r="T714" i="45"/>
  <c r="P714" i="45"/>
  <c r="L714" i="45"/>
  <c r="AU714" i="45"/>
  <c r="AQ714" i="45"/>
  <c r="AM714" i="45"/>
  <c r="AI714" i="45"/>
  <c r="AE714" i="45"/>
  <c r="AA714" i="45"/>
  <c r="W714" i="45"/>
  <c r="S714" i="45"/>
  <c r="O714" i="45"/>
  <c r="AT714" i="45"/>
  <c r="AP714" i="45"/>
  <c r="AL714" i="45"/>
  <c r="AH714" i="45"/>
  <c r="AD714" i="45"/>
  <c r="Z714" i="45"/>
  <c r="V714" i="45"/>
  <c r="R714" i="45"/>
  <c r="N714" i="45"/>
  <c r="AG714" i="45"/>
  <c r="Q714" i="45"/>
  <c r="AS714" i="45"/>
  <c r="AC714" i="45"/>
  <c r="M714" i="45"/>
  <c r="U714" i="45"/>
  <c r="AO714" i="45"/>
  <c r="Y714" i="45"/>
  <c r="AK714" i="45"/>
  <c r="H714" i="45"/>
  <c r="J714" i="45" s="1"/>
  <c r="B819" i="45"/>
  <c r="AR747" i="45"/>
  <c r="AN747" i="45"/>
  <c r="AJ747" i="45"/>
  <c r="AF747" i="45"/>
  <c r="AB747" i="45"/>
  <c r="X747" i="45"/>
  <c r="T747" i="45"/>
  <c r="P747" i="45"/>
  <c r="L747" i="45"/>
  <c r="AU747" i="45"/>
  <c r="AQ747" i="45"/>
  <c r="AM747" i="45"/>
  <c r="AI747" i="45"/>
  <c r="AE747" i="45"/>
  <c r="AA747" i="45"/>
  <c r="W747" i="45"/>
  <c r="S747" i="45"/>
  <c r="O747" i="45"/>
  <c r="AT747" i="45"/>
  <c r="AP747" i="45"/>
  <c r="AL747" i="45"/>
  <c r="AH747" i="45"/>
  <c r="AD747" i="45"/>
  <c r="Z747" i="45"/>
  <c r="V747" i="45"/>
  <c r="R747" i="45"/>
  <c r="N747" i="45"/>
  <c r="AS747" i="45"/>
  <c r="AC747" i="45"/>
  <c r="M747" i="45"/>
  <c r="AO747" i="45"/>
  <c r="Y747" i="45"/>
  <c r="Q747" i="45"/>
  <c r="AK747" i="45"/>
  <c r="U747" i="45"/>
  <c r="AG747" i="45"/>
  <c r="B852" i="45"/>
  <c r="H747" i="45"/>
  <c r="J747" i="45" s="1"/>
  <c r="AR741" i="45"/>
  <c r="AN741" i="45"/>
  <c r="AJ741" i="45"/>
  <c r="AF741" i="45"/>
  <c r="AB741" i="45"/>
  <c r="X741" i="45"/>
  <c r="T741" i="45"/>
  <c r="P741" i="45"/>
  <c r="L741" i="45"/>
  <c r="AU741" i="45"/>
  <c r="AQ741" i="45"/>
  <c r="AM741" i="45"/>
  <c r="AI741" i="45"/>
  <c r="AE741" i="45"/>
  <c r="AA741" i="45"/>
  <c r="W741" i="45"/>
  <c r="S741" i="45"/>
  <c r="O741" i="45"/>
  <c r="AT741" i="45"/>
  <c r="AP741" i="45"/>
  <c r="AL741" i="45"/>
  <c r="AH741" i="45"/>
  <c r="AD741" i="45"/>
  <c r="Z741" i="45"/>
  <c r="V741" i="45"/>
  <c r="R741" i="45"/>
  <c r="N741" i="45"/>
  <c r="AK741" i="45"/>
  <c r="U741" i="45"/>
  <c r="AO741" i="45"/>
  <c r="AG741" i="45"/>
  <c r="Q741" i="45"/>
  <c r="Y741" i="45"/>
  <c r="AS741" i="45"/>
  <c r="AC741" i="45"/>
  <c r="M741" i="45"/>
  <c r="H741" i="45"/>
  <c r="J741" i="45" s="1"/>
  <c r="B846" i="45"/>
  <c r="AR745" i="45"/>
  <c r="AN745" i="45"/>
  <c r="AJ745" i="45"/>
  <c r="AF745" i="45"/>
  <c r="AB745" i="45"/>
  <c r="X745" i="45"/>
  <c r="T745" i="45"/>
  <c r="P745" i="45"/>
  <c r="L745" i="45"/>
  <c r="AU745" i="45"/>
  <c r="AQ745" i="45"/>
  <c r="AM745" i="45"/>
  <c r="AI745" i="45"/>
  <c r="AE745" i="45"/>
  <c r="AA745" i="45"/>
  <c r="W745" i="45"/>
  <c r="S745" i="45"/>
  <c r="O745" i="45"/>
  <c r="AT745" i="45"/>
  <c r="AP745" i="45"/>
  <c r="AL745" i="45"/>
  <c r="AH745" i="45"/>
  <c r="AD745" i="45"/>
  <c r="Z745" i="45"/>
  <c r="V745" i="45"/>
  <c r="R745" i="45"/>
  <c r="N745" i="45"/>
  <c r="AK745" i="45"/>
  <c r="U745" i="45"/>
  <c r="Y745" i="45"/>
  <c r="AG745" i="45"/>
  <c r="Q745" i="45"/>
  <c r="AO745" i="45"/>
  <c r="AS745" i="45"/>
  <c r="AC745" i="45"/>
  <c r="M745" i="45"/>
  <c r="B850" i="45"/>
  <c r="H745" i="45"/>
  <c r="J745" i="45" s="1"/>
  <c r="AR780" i="45"/>
  <c r="AN780" i="45"/>
  <c r="AJ780" i="45"/>
  <c r="AF780" i="45"/>
  <c r="AB780" i="45"/>
  <c r="X780" i="45"/>
  <c r="T780" i="45"/>
  <c r="P780" i="45"/>
  <c r="L780" i="45"/>
  <c r="AU780" i="45"/>
  <c r="AQ780" i="45"/>
  <c r="AM780" i="45"/>
  <c r="AI780" i="45"/>
  <c r="AE780" i="45"/>
  <c r="AA780" i="45"/>
  <c r="W780" i="45"/>
  <c r="S780" i="45"/>
  <c r="O780" i="45"/>
  <c r="AT780" i="45"/>
  <c r="AP780" i="45"/>
  <c r="AL780" i="45"/>
  <c r="AH780" i="45"/>
  <c r="AD780" i="45"/>
  <c r="Z780" i="45"/>
  <c r="V780" i="45"/>
  <c r="R780" i="45"/>
  <c r="N780" i="45"/>
  <c r="AO780" i="45"/>
  <c r="Y780" i="45"/>
  <c r="M780" i="45"/>
  <c r="AK780" i="45"/>
  <c r="U780" i="45"/>
  <c r="AC780" i="45"/>
  <c r="AG780" i="45"/>
  <c r="Q780" i="45"/>
  <c r="AS780" i="45"/>
  <c r="B885" i="45"/>
  <c r="H780" i="45"/>
  <c r="J780" i="45" s="1"/>
  <c r="AR764" i="45"/>
  <c r="AN764" i="45"/>
  <c r="AJ764" i="45"/>
  <c r="AF764" i="45"/>
  <c r="AB764" i="45"/>
  <c r="X764" i="45"/>
  <c r="T764" i="45"/>
  <c r="P764" i="45"/>
  <c r="L764" i="45"/>
  <c r="AU764" i="45"/>
  <c r="AQ764" i="45"/>
  <c r="AM764" i="45"/>
  <c r="AI764" i="45"/>
  <c r="AE764" i="45"/>
  <c r="AA764" i="45"/>
  <c r="W764" i="45"/>
  <c r="S764" i="45"/>
  <c r="O764" i="45"/>
  <c r="AT764" i="45"/>
  <c r="AP764" i="45"/>
  <c r="AL764" i="45"/>
  <c r="AH764" i="45"/>
  <c r="AD764" i="45"/>
  <c r="Z764" i="45"/>
  <c r="V764" i="45"/>
  <c r="R764" i="45"/>
  <c r="N764" i="45"/>
  <c r="AO764" i="45"/>
  <c r="Y764" i="45"/>
  <c r="AK764" i="45"/>
  <c r="U764" i="45"/>
  <c r="AS764" i="45"/>
  <c r="M764" i="45"/>
  <c r="AG764" i="45"/>
  <c r="Q764" i="45"/>
  <c r="AC764" i="45"/>
  <c r="H764" i="45"/>
  <c r="J764" i="45" s="1"/>
  <c r="B869" i="45"/>
  <c r="AR723" i="45"/>
  <c r="AN723" i="45"/>
  <c r="AJ723" i="45"/>
  <c r="AF723" i="45"/>
  <c r="AB723" i="45"/>
  <c r="X723" i="45"/>
  <c r="T723" i="45"/>
  <c r="P723" i="45"/>
  <c r="L723" i="45"/>
  <c r="AU723" i="45"/>
  <c r="AQ723" i="45"/>
  <c r="AM723" i="45"/>
  <c r="AI723" i="45"/>
  <c r="AE723" i="45"/>
  <c r="AA723" i="45"/>
  <c r="W723" i="45"/>
  <c r="S723" i="45"/>
  <c r="O723" i="45"/>
  <c r="AT723" i="45"/>
  <c r="AP723" i="45"/>
  <c r="AL723" i="45"/>
  <c r="AH723" i="45"/>
  <c r="AD723" i="45"/>
  <c r="Z723" i="45"/>
  <c r="V723" i="45"/>
  <c r="R723" i="45"/>
  <c r="N723" i="45"/>
  <c r="AS723" i="45"/>
  <c r="AC723" i="45"/>
  <c r="M723" i="45"/>
  <c r="AO723" i="45"/>
  <c r="Y723" i="45"/>
  <c r="Q723" i="45"/>
  <c r="AK723" i="45"/>
  <c r="U723" i="45"/>
  <c r="AG723" i="45"/>
  <c r="H723" i="45"/>
  <c r="J723" i="45" s="1"/>
  <c r="B828" i="45"/>
  <c r="AR746" i="45"/>
  <c r="AN746" i="45"/>
  <c r="AJ746" i="45"/>
  <c r="AF746" i="45"/>
  <c r="AB746" i="45"/>
  <c r="X746" i="45"/>
  <c r="T746" i="45"/>
  <c r="P746" i="45"/>
  <c r="L746" i="45"/>
  <c r="AU746" i="45"/>
  <c r="AQ746" i="45"/>
  <c r="AM746" i="45"/>
  <c r="AI746" i="45"/>
  <c r="AE746" i="45"/>
  <c r="AA746" i="45"/>
  <c r="W746" i="45"/>
  <c r="S746" i="45"/>
  <c r="O746" i="45"/>
  <c r="AT746" i="45"/>
  <c r="AP746" i="45"/>
  <c r="AL746" i="45"/>
  <c r="AH746" i="45"/>
  <c r="AD746" i="45"/>
  <c r="Z746" i="45"/>
  <c r="V746" i="45"/>
  <c r="R746" i="45"/>
  <c r="N746" i="45"/>
  <c r="AG746" i="45"/>
  <c r="Q746" i="45"/>
  <c r="AK746" i="45"/>
  <c r="AS746" i="45"/>
  <c r="AC746" i="45"/>
  <c r="M746" i="45"/>
  <c r="AO746" i="45"/>
  <c r="Y746" i="45"/>
  <c r="U746" i="45"/>
  <c r="H746" i="45"/>
  <c r="J746" i="45" s="1"/>
  <c r="B851" i="45"/>
  <c r="AR752" i="45"/>
  <c r="AN752" i="45"/>
  <c r="AJ752" i="45"/>
  <c r="AF752" i="45"/>
  <c r="AB752" i="45"/>
  <c r="X752" i="45"/>
  <c r="T752" i="45"/>
  <c r="P752" i="45"/>
  <c r="L752" i="45"/>
  <c r="AU752" i="45"/>
  <c r="AQ752" i="45"/>
  <c r="AM752" i="45"/>
  <c r="AI752" i="45"/>
  <c r="AE752" i="45"/>
  <c r="AA752" i="45"/>
  <c r="W752" i="45"/>
  <c r="S752" i="45"/>
  <c r="O752" i="45"/>
  <c r="AT752" i="45"/>
  <c r="AP752" i="45"/>
  <c r="AL752" i="45"/>
  <c r="AH752" i="45"/>
  <c r="AD752" i="45"/>
  <c r="Z752" i="45"/>
  <c r="V752" i="45"/>
  <c r="R752" i="45"/>
  <c r="N752" i="45"/>
  <c r="AO752" i="45"/>
  <c r="Y752" i="45"/>
  <c r="AC752" i="45"/>
  <c r="AK752" i="45"/>
  <c r="U752" i="45"/>
  <c r="M752" i="45"/>
  <c r="AG752" i="45"/>
  <c r="Q752" i="45"/>
  <c r="AS752" i="45"/>
  <c r="H752" i="45"/>
  <c r="J752" i="45" s="1"/>
  <c r="B857" i="45"/>
  <c r="AR771" i="45"/>
  <c r="AN771" i="45"/>
  <c r="AJ771" i="45"/>
  <c r="AF771" i="45"/>
  <c r="AB771" i="45"/>
  <c r="X771" i="45"/>
  <c r="T771" i="45"/>
  <c r="P771" i="45"/>
  <c r="L771" i="45"/>
  <c r="AU771" i="45"/>
  <c r="AQ771" i="45"/>
  <c r="AM771" i="45"/>
  <c r="AI771" i="45"/>
  <c r="AE771" i="45"/>
  <c r="AA771" i="45"/>
  <c r="W771" i="45"/>
  <c r="S771" i="45"/>
  <c r="O771" i="45"/>
  <c r="AT771" i="45"/>
  <c r="AP771" i="45"/>
  <c r="AL771" i="45"/>
  <c r="AH771" i="45"/>
  <c r="AD771" i="45"/>
  <c r="Z771" i="45"/>
  <c r="V771" i="45"/>
  <c r="R771" i="45"/>
  <c r="N771" i="45"/>
  <c r="AS771" i="45"/>
  <c r="AC771" i="45"/>
  <c r="M771" i="45"/>
  <c r="AO771" i="45"/>
  <c r="Y771" i="45"/>
  <c r="Q771" i="45"/>
  <c r="AK771" i="45"/>
  <c r="U771" i="45"/>
  <c r="AG771" i="45"/>
  <c r="B876" i="45"/>
  <c r="H771" i="45"/>
  <c r="J771" i="45" s="1"/>
  <c r="AR779" i="45"/>
  <c r="AN779" i="45"/>
  <c r="AJ779" i="45"/>
  <c r="AF779" i="45"/>
  <c r="AB779" i="45"/>
  <c r="X779" i="45"/>
  <c r="T779" i="45"/>
  <c r="P779" i="45"/>
  <c r="L779" i="45"/>
  <c r="AU779" i="45"/>
  <c r="AQ779" i="45"/>
  <c r="AM779" i="45"/>
  <c r="AI779" i="45"/>
  <c r="AE779" i="45"/>
  <c r="AA779" i="45"/>
  <c r="W779" i="45"/>
  <c r="S779" i="45"/>
  <c r="O779" i="45"/>
  <c r="AT779" i="45"/>
  <c r="AP779" i="45"/>
  <c r="AL779" i="45"/>
  <c r="AH779" i="45"/>
  <c r="AD779" i="45"/>
  <c r="Z779" i="45"/>
  <c r="V779" i="45"/>
  <c r="R779" i="45"/>
  <c r="N779" i="45"/>
  <c r="AS779" i="45"/>
  <c r="AC779" i="45"/>
  <c r="M779" i="45"/>
  <c r="AO779" i="45"/>
  <c r="Y779" i="45"/>
  <c r="Q779" i="45"/>
  <c r="AK779" i="45"/>
  <c r="U779" i="45"/>
  <c r="AG779" i="45"/>
  <c r="B884" i="45"/>
  <c r="H779" i="45"/>
  <c r="J779" i="45" s="1"/>
  <c r="AT908" i="45"/>
  <c r="AP908" i="45"/>
  <c r="AL908" i="45"/>
  <c r="AH908" i="45"/>
  <c r="AD908" i="45"/>
  <c r="Z908" i="45"/>
  <c r="V908" i="45"/>
  <c r="R908" i="45"/>
  <c r="N908" i="45"/>
  <c r="AS908" i="45"/>
  <c r="AO908" i="45"/>
  <c r="AK908" i="45"/>
  <c r="AG908" i="45"/>
  <c r="AC908" i="45"/>
  <c r="Y908" i="45"/>
  <c r="U908" i="45"/>
  <c r="Q908" i="45"/>
  <c r="M908" i="45"/>
  <c r="AR908" i="45"/>
  <c r="AN908" i="45"/>
  <c r="AJ908" i="45"/>
  <c r="AF908" i="45"/>
  <c r="AB908" i="45"/>
  <c r="X908" i="45"/>
  <c r="T908" i="45"/>
  <c r="P908" i="45"/>
  <c r="L908" i="45"/>
  <c r="AI908" i="45"/>
  <c r="S908" i="45"/>
  <c r="AU908" i="45"/>
  <c r="AE908" i="45"/>
  <c r="O908" i="45"/>
  <c r="AQ908" i="45"/>
  <c r="AA908" i="45"/>
  <c r="AM908" i="45"/>
  <c r="W908" i="45"/>
  <c r="B1013" i="45"/>
  <c r="H908" i="45"/>
  <c r="J908" i="45" s="1"/>
  <c r="AR760" i="45"/>
  <c r="AN760" i="45"/>
  <c r="AJ760" i="45"/>
  <c r="AF760" i="45"/>
  <c r="AB760" i="45"/>
  <c r="X760" i="45"/>
  <c r="T760" i="45"/>
  <c r="P760" i="45"/>
  <c r="L760" i="45"/>
  <c r="AU760" i="45"/>
  <c r="AQ760" i="45"/>
  <c r="AM760" i="45"/>
  <c r="AI760" i="45"/>
  <c r="AE760" i="45"/>
  <c r="AA760" i="45"/>
  <c r="W760" i="45"/>
  <c r="S760" i="45"/>
  <c r="O760" i="45"/>
  <c r="AT760" i="45"/>
  <c r="AP760" i="45"/>
  <c r="AL760" i="45"/>
  <c r="AH760" i="45"/>
  <c r="AD760" i="45"/>
  <c r="Z760" i="45"/>
  <c r="V760" i="45"/>
  <c r="R760" i="45"/>
  <c r="N760" i="45"/>
  <c r="AO760" i="45"/>
  <c r="Y760" i="45"/>
  <c r="M760" i="45"/>
  <c r="AK760" i="45"/>
  <c r="U760" i="45"/>
  <c r="AC760" i="45"/>
  <c r="AG760" i="45"/>
  <c r="Q760" i="45"/>
  <c r="AS760" i="45"/>
  <c r="H760" i="45"/>
  <c r="J760" i="45" s="1"/>
  <c r="B865" i="45"/>
  <c r="AR770" i="45"/>
  <c r="AN770" i="45"/>
  <c r="AJ770" i="45"/>
  <c r="AF770" i="45"/>
  <c r="AB770" i="45"/>
  <c r="X770" i="45"/>
  <c r="T770" i="45"/>
  <c r="P770" i="45"/>
  <c r="L770" i="45"/>
  <c r="AU770" i="45"/>
  <c r="AQ770" i="45"/>
  <c r="AM770" i="45"/>
  <c r="AI770" i="45"/>
  <c r="AE770" i="45"/>
  <c r="AA770" i="45"/>
  <c r="W770" i="45"/>
  <c r="S770" i="45"/>
  <c r="O770" i="45"/>
  <c r="AT770" i="45"/>
  <c r="AP770" i="45"/>
  <c r="AL770" i="45"/>
  <c r="AH770" i="45"/>
  <c r="AD770" i="45"/>
  <c r="Z770" i="45"/>
  <c r="V770" i="45"/>
  <c r="R770" i="45"/>
  <c r="N770" i="45"/>
  <c r="AG770" i="45"/>
  <c r="Q770" i="45"/>
  <c r="AK770" i="45"/>
  <c r="AS770" i="45"/>
  <c r="AC770" i="45"/>
  <c r="M770" i="45"/>
  <c r="AO770" i="45"/>
  <c r="Y770" i="45"/>
  <c r="U770" i="45"/>
  <c r="H770" i="45"/>
  <c r="J770" i="45" s="1"/>
  <c r="B875" i="45"/>
  <c r="AR751" i="45"/>
  <c r="AN751" i="45"/>
  <c r="AJ751" i="45"/>
  <c r="AF751" i="45"/>
  <c r="AB751" i="45"/>
  <c r="X751" i="45"/>
  <c r="T751" i="45"/>
  <c r="P751" i="45"/>
  <c r="L751" i="45"/>
  <c r="AU751" i="45"/>
  <c r="AQ751" i="45"/>
  <c r="AM751" i="45"/>
  <c r="AI751" i="45"/>
  <c r="AE751" i="45"/>
  <c r="AA751" i="45"/>
  <c r="W751" i="45"/>
  <c r="S751" i="45"/>
  <c r="O751" i="45"/>
  <c r="AT751" i="45"/>
  <c r="AP751" i="45"/>
  <c r="AL751" i="45"/>
  <c r="AH751" i="45"/>
  <c r="AD751" i="45"/>
  <c r="Z751" i="45"/>
  <c r="V751" i="45"/>
  <c r="R751" i="45"/>
  <c r="N751" i="45"/>
  <c r="AS751" i="45"/>
  <c r="AC751" i="45"/>
  <c r="M751" i="45"/>
  <c r="Q751" i="45"/>
  <c r="AO751" i="45"/>
  <c r="Y751" i="45"/>
  <c r="AK751" i="45"/>
  <c r="U751" i="45"/>
  <c r="AG751" i="45"/>
  <c r="H751" i="45"/>
  <c r="J751" i="45" s="1"/>
  <c r="B856" i="45"/>
  <c r="AR740" i="45"/>
  <c r="AN740" i="45"/>
  <c r="AJ740" i="45"/>
  <c r="AF740" i="45"/>
  <c r="AB740" i="45"/>
  <c r="X740" i="45"/>
  <c r="T740" i="45"/>
  <c r="P740" i="45"/>
  <c r="L740" i="45"/>
  <c r="AU740" i="45"/>
  <c r="AQ740" i="45"/>
  <c r="AM740" i="45"/>
  <c r="AI740" i="45"/>
  <c r="AE740" i="45"/>
  <c r="AA740" i="45"/>
  <c r="W740" i="45"/>
  <c r="S740" i="45"/>
  <c r="O740" i="45"/>
  <c r="AT740" i="45"/>
  <c r="AP740" i="45"/>
  <c r="AL740" i="45"/>
  <c r="AH740" i="45"/>
  <c r="AD740" i="45"/>
  <c r="Z740" i="45"/>
  <c r="V740" i="45"/>
  <c r="R740" i="45"/>
  <c r="N740" i="45"/>
  <c r="AO740" i="45"/>
  <c r="Y740" i="45"/>
  <c r="M740" i="45"/>
  <c r="AK740" i="45"/>
  <c r="U740" i="45"/>
  <c r="AC740" i="45"/>
  <c r="AG740" i="45"/>
  <c r="Q740" i="45"/>
  <c r="AS740" i="45"/>
  <c r="H740" i="45"/>
  <c r="J740" i="45" s="1"/>
  <c r="B845" i="45"/>
  <c r="AR730" i="45"/>
  <c r="AN730" i="45"/>
  <c r="AJ730" i="45"/>
  <c r="AF730" i="45"/>
  <c r="AB730" i="45"/>
  <c r="X730" i="45"/>
  <c r="T730" i="45"/>
  <c r="P730" i="45"/>
  <c r="L730" i="45"/>
  <c r="AU730" i="45"/>
  <c r="AQ730" i="45"/>
  <c r="AM730" i="45"/>
  <c r="AI730" i="45"/>
  <c r="AE730" i="45"/>
  <c r="AA730" i="45"/>
  <c r="W730" i="45"/>
  <c r="S730" i="45"/>
  <c r="O730" i="45"/>
  <c r="AT730" i="45"/>
  <c r="AP730" i="45"/>
  <c r="AL730" i="45"/>
  <c r="AH730" i="45"/>
  <c r="AD730" i="45"/>
  <c r="Z730" i="45"/>
  <c r="V730" i="45"/>
  <c r="R730" i="45"/>
  <c r="N730" i="45"/>
  <c r="AG730" i="45"/>
  <c r="Q730" i="45"/>
  <c r="AK730" i="45"/>
  <c r="AS730" i="45"/>
  <c r="AC730" i="45"/>
  <c r="M730" i="45"/>
  <c r="U730" i="45"/>
  <c r="AO730" i="45"/>
  <c r="Y730" i="45"/>
  <c r="H730" i="45"/>
  <c r="J730" i="45" s="1"/>
  <c r="B835" i="45"/>
  <c r="AR766" i="45"/>
  <c r="AN766" i="45"/>
  <c r="AJ766" i="45"/>
  <c r="AF766" i="45"/>
  <c r="AB766" i="45"/>
  <c r="X766" i="45"/>
  <c r="T766" i="45"/>
  <c r="P766" i="45"/>
  <c r="L766" i="45"/>
  <c r="AU766" i="45"/>
  <c r="AQ766" i="45"/>
  <c r="AM766" i="45"/>
  <c r="AI766" i="45"/>
  <c r="AE766" i="45"/>
  <c r="AA766" i="45"/>
  <c r="W766" i="45"/>
  <c r="S766" i="45"/>
  <c r="O766" i="45"/>
  <c r="AT766" i="45"/>
  <c r="AP766" i="45"/>
  <c r="AL766" i="45"/>
  <c r="AH766" i="45"/>
  <c r="AD766" i="45"/>
  <c r="Z766" i="45"/>
  <c r="V766" i="45"/>
  <c r="R766" i="45"/>
  <c r="N766" i="45"/>
  <c r="AG766" i="45"/>
  <c r="Q766" i="45"/>
  <c r="AK766" i="45"/>
  <c r="AS766" i="45"/>
  <c r="AC766" i="45"/>
  <c r="M766" i="45"/>
  <c r="AO766" i="45"/>
  <c r="Y766" i="45"/>
  <c r="U766" i="45"/>
  <c r="H766" i="45"/>
  <c r="J766" i="45" s="1"/>
  <c r="B871" i="45"/>
  <c r="AR784" i="45"/>
  <c r="AN784" i="45"/>
  <c r="AJ784" i="45"/>
  <c r="AF784" i="45"/>
  <c r="AB784" i="45"/>
  <c r="X784" i="45"/>
  <c r="T784" i="45"/>
  <c r="P784" i="45"/>
  <c r="L784" i="45"/>
  <c r="AU784" i="45"/>
  <c r="AQ784" i="45"/>
  <c r="AM784" i="45"/>
  <c r="AI784" i="45"/>
  <c r="AE784" i="45"/>
  <c r="AA784" i="45"/>
  <c r="W784" i="45"/>
  <c r="S784" i="45"/>
  <c r="O784" i="45"/>
  <c r="AT784" i="45"/>
  <c r="AP784" i="45"/>
  <c r="AL784" i="45"/>
  <c r="AH784" i="45"/>
  <c r="AD784" i="45"/>
  <c r="Z784" i="45"/>
  <c r="V784" i="45"/>
  <c r="R784" i="45"/>
  <c r="N784" i="45"/>
  <c r="AO784" i="45"/>
  <c r="Y784" i="45"/>
  <c r="M784" i="45"/>
  <c r="AK784" i="45"/>
  <c r="U784" i="45"/>
  <c r="AS784" i="45"/>
  <c r="AG784" i="45"/>
  <c r="Q784" i="45"/>
  <c r="AC784" i="45"/>
  <c r="H784" i="45"/>
  <c r="J784" i="45" s="1"/>
  <c r="B889" i="45"/>
  <c r="AR731" i="45"/>
  <c r="AN731" i="45"/>
  <c r="AJ731" i="45"/>
  <c r="AF731" i="45"/>
  <c r="AB731" i="45"/>
  <c r="X731" i="45"/>
  <c r="T731" i="45"/>
  <c r="P731" i="45"/>
  <c r="L731" i="45"/>
  <c r="AU731" i="45"/>
  <c r="AQ731" i="45"/>
  <c r="AM731" i="45"/>
  <c r="AI731" i="45"/>
  <c r="AE731" i="45"/>
  <c r="AA731" i="45"/>
  <c r="W731" i="45"/>
  <c r="S731" i="45"/>
  <c r="O731" i="45"/>
  <c r="AT731" i="45"/>
  <c r="AP731" i="45"/>
  <c r="AL731" i="45"/>
  <c r="AH731" i="45"/>
  <c r="AD731" i="45"/>
  <c r="Z731" i="45"/>
  <c r="V731" i="45"/>
  <c r="R731" i="45"/>
  <c r="N731" i="45"/>
  <c r="AS731" i="45"/>
  <c r="AC731" i="45"/>
  <c r="M731" i="45"/>
  <c r="AO731" i="45"/>
  <c r="Y731" i="45"/>
  <c r="AG731" i="45"/>
  <c r="AK731" i="45"/>
  <c r="U731" i="45"/>
  <c r="Q731" i="45"/>
  <c r="B836" i="45"/>
  <c r="H731" i="45"/>
  <c r="J731" i="45" s="1"/>
  <c r="AR791" i="45"/>
  <c r="AN791" i="45"/>
  <c r="AJ791" i="45"/>
  <c r="AF791" i="45"/>
  <c r="AB791" i="45"/>
  <c r="X791" i="45"/>
  <c r="T791" i="45"/>
  <c r="P791" i="45"/>
  <c r="L791" i="45"/>
  <c r="AU791" i="45"/>
  <c r="AQ791" i="45"/>
  <c r="AM791" i="45"/>
  <c r="AI791" i="45"/>
  <c r="AE791" i="45"/>
  <c r="AA791" i="45"/>
  <c r="W791" i="45"/>
  <c r="S791" i="45"/>
  <c r="O791" i="45"/>
  <c r="AT791" i="45"/>
  <c r="AP791" i="45"/>
  <c r="AL791" i="45"/>
  <c r="AH791" i="45"/>
  <c r="AD791" i="45"/>
  <c r="Z791" i="45"/>
  <c r="V791" i="45"/>
  <c r="R791" i="45"/>
  <c r="N791" i="45"/>
  <c r="AS791" i="45"/>
  <c r="AC791" i="45"/>
  <c r="M791" i="45"/>
  <c r="AO791" i="45"/>
  <c r="Y791" i="45"/>
  <c r="AG791" i="45"/>
  <c r="AK791" i="45"/>
  <c r="U791" i="45"/>
  <c r="Q791" i="45"/>
  <c r="B896" i="45"/>
  <c r="H791" i="45"/>
  <c r="J791" i="45" s="1"/>
  <c r="AR778" i="45"/>
  <c r="AN778" i="45"/>
  <c r="AJ778" i="45"/>
  <c r="AF778" i="45"/>
  <c r="AB778" i="45"/>
  <c r="X778" i="45"/>
  <c r="T778" i="45"/>
  <c r="P778" i="45"/>
  <c r="L778" i="45"/>
  <c r="AU778" i="45"/>
  <c r="AQ778" i="45"/>
  <c r="AM778" i="45"/>
  <c r="AI778" i="45"/>
  <c r="AE778" i="45"/>
  <c r="AA778" i="45"/>
  <c r="W778" i="45"/>
  <c r="S778" i="45"/>
  <c r="O778" i="45"/>
  <c r="AT778" i="45"/>
  <c r="AP778" i="45"/>
  <c r="AL778" i="45"/>
  <c r="AH778" i="45"/>
  <c r="AD778" i="45"/>
  <c r="Z778" i="45"/>
  <c r="V778" i="45"/>
  <c r="R778" i="45"/>
  <c r="N778" i="45"/>
  <c r="AG778" i="45"/>
  <c r="Q778" i="45"/>
  <c r="U778" i="45"/>
  <c r="AS778" i="45"/>
  <c r="AC778" i="45"/>
  <c r="M778" i="45"/>
  <c r="AO778" i="45"/>
  <c r="Y778" i="45"/>
  <c r="AK778" i="45"/>
  <c r="H778" i="45"/>
  <c r="J778" i="45" s="1"/>
  <c r="B883" i="45"/>
  <c r="AR774" i="45"/>
  <c r="AN774" i="45"/>
  <c r="AJ774" i="45"/>
  <c r="AF774" i="45"/>
  <c r="AB774" i="45"/>
  <c r="X774" i="45"/>
  <c r="T774" i="45"/>
  <c r="P774" i="45"/>
  <c r="L774" i="45"/>
  <c r="AU774" i="45"/>
  <c r="AQ774" i="45"/>
  <c r="AM774" i="45"/>
  <c r="AI774" i="45"/>
  <c r="AE774" i="45"/>
  <c r="AA774" i="45"/>
  <c r="W774" i="45"/>
  <c r="S774" i="45"/>
  <c r="O774" i="45"/>
  <c r="AT774" i="45"/>
  <c r="AP774" i="45"/>
  <c r="AL774" i="45"/>
  <c r="AH774" i="45"/>
  <c r="AD774" i="45"/>
  <c r="Z774" i="45"/>
  <c r="V774" i="45"/>
  <c r="R774" i="45"/>
  <c r="N774" i="45"/>
  <c r="AG774" i="45"/>
  <c r="Q774" i="45"/>
  <c r="AK774" i="45"/>
  <c r="AS774" i="45"/>
  <c r="AC774" i="45"/>
  <c r="M774" i="45"/>
  <c r="U774" i="45"/>
  <c r="AO774" i="45"/>
  <c r="Y774" i="45"/>
  <c r="H774" i="45"/>
  <c r="J774" i="45" s="1"/>
  <c r="B879" i="45"/>
  <c r="AR718" i="45"/>
  <c r="AN718" i="45"/>
  <c r="AJ718" i="45"/>
  <c r="AF718" i="45"/>
  <c r="AB718" i="45"/>
  <c r="X718" i="45"/>
  <c r="T718" i="45"/>
  <c r="P718" i="45"/>
  <c r="L718" i="45"/>
  <c r="AU718" i="45"/>
  <c r="AQ718" i="45"/>
  <c r="AM718" i="45"/>
  <c r="AI718" i="45"/>
  <c r="AE718" i="45"/>
  <c r="AA718" i="45"/>
  <c r="W718" i="45"/>
  <c r="S718" i="45"/>
  <c r="O718" i="45"/>
  <c r="AT718" i="45"/>
  <c r="AP718" i="45"/>
  <c r="AL718" i="45"/>
  <c r="AH718" i="45"/>
  <c r="AD718" i="45"/>
  <c r="Z718" i="45"/>
  <c r="V718" i="45"/>
  <c r="R718" i="45"/>
  <c r="N718" i="45"/>
  <c r="AG718" i="45"/>
  <c r="Q718" i="45"/>
  <c r="AS718" i="45"/>
  <c r="AC718" i="45"/>
  <c r="M718" i="45"/>
  <c r="AK718" i="45"/>
  <c r="AO718" i="45"/>
  <c r="Y718" i="45"/>
  <c r="U718" i="45"/>
  <c r="H718" i="45"/>
  <c r="J718" i="45" s="1"/>
  <c r="B823" i="45"/>
  <c r="AT902" i="45"/>
  <c r="AP902" i="45"/>
  <c r="AL902" i="45"/>
  <c r="AH902" i="45"/>
  <c r="AD902" i="45"/>
  <c r="Z902" i="45"/>
  <c r="V902" i="45"/>
  <c r="R902" i="45"/>
  <c r="N902" i="45"/>
  <c r="AS902" i="45"/>
  <c r="AO902" i="45"/>
  <c r="AK902" i="45"/>
  <c r="AG902" i="45"/>
  <c r="AC902" i="45"/>
  <c r="Y902" i="45"/>
  <c r="U902" i="45"/>
  <c r="Q902" i="45"/>
  <c r="M902" i="45"/>
  <c r="AR902" i="45"/>
  <c r="AN902" i="45"/>
  <c r="AJ902" i="45"/>
  <c r="AF902" i="45"/>
  <c r="AB902" i="45"/>
  <c r="X902" i="45"/>
  <c r="T902" i="45"/>
  <c r="P902" i="45"/>
  <c r="L902" i="45"/>
  <c r="AQ902" i="45"/>
  <c r="AA902" i="45"/>
  <c r="AM902" i="45"/>
  <c r="W902" i="45"/>
  <c r="AI902" i="45"/>
  <c r="S902" i="45"/>
  <c r="O902" i="45"/>
  <c r="AU902" i="45"/>
  <c r="AE902" i="45"/>
  <c r="B1007" i="45"/>
  <c r="H902" i="45"/>
  <c r="J902" i="45" s="1"/>
  <c r="AR759" i="45"/>
  <c r="AN759" i="45"/>
  <c r="AJ759" i="45"/>
  <c r="AF759" i="45"/>
  <c r="AB759" i="45"/>
  <c r="X759" i="45"/>
  <c r="T759" i="45"/>
  <c r="P759" i="45"/>
  <c r="L759" i="45"/>
  <c r="AU759" i="45"/>
  <c r="AQ759" i="45"/>
  <c r="AM759" i="45"/>
  <c r="AI759" i="45"/>
  <c r="AE759" i="45"/>
  <c r="AA759" i="45"/>
  <c r="W759" i="45"/>
  <c r="S759" i="45"/>
  <c r="O759" i="45"/>
  <c r="AT759" i="45"/>
  <c r="AP759" i="45"/>
  <c r="AL759" i="45"/>
  <c r="AH759" i="45"/>
  <c r="AD759" i="45"/>
  <c r="Z759" i="45"/>
  <c r="V759" i="45"/>
  <c r="R759" i="45"/>
  <c r="N759" i="45"/>
  <c r="AS759" i="45"/>
  <c r="AC759" i="45"/>
  <c r="M759" i="45"/>
  <c r="AO759" i="45"/>
  <c r="Y759" i="45"/>
  <c r="AG759" i="45"/>
  <c r="AK759" i="45"/>
  <c r="U759" i="45"/>
  <c r="Q759" i="45"/>
  <c r="H759" i="45"/>
  <c r="J759" i="45" s="1"/>
  <c r="B864" i="45"/>
  <c r="AR773" i="45"/>
  <c r="AN773" i="45"/>
  <c r="AJ773" i="45"/>
  <c r="AF773" i="45"/>
  <c r="AB773" i="45"/>
  <c r="X773" i="45"/>
  <c r="T773" i="45"/>
  <c r="P773" i="45"/>
  <c r="L773" i="45"/>
  <c r="AU773" i="45"/>
  <c r="AQ773" i="45"/>
  <c r="AM773" i="45"/>
  <c r="AI773" i="45"/>
  <c r="AE773" i="45"/>
  <c r="AA773" i="45"/>
  <c r="W773" i="45"/>
  <c r="S773" i="45"/>
  <c r="O773" i="45"/>
  <c r="AT773" i="45"/>
  <c r="AP773" i="45"/>
  <c r="AL773" i="45"/>
  <c r="AH773" i="45"/>
  <c r="AD773" i="45"/>
  <c r="Z773" i="45"/>
  <c r="V773" i="45"/>
  <c r="R773" i="45"/>
  <c r="N773" i="45"/>
  <c r="AK773" i="45"/>
  <c r="U773" i="45"/>
  <c r="Y773" i="45"/>
  <c r="AG773" i="45"/>
  <c r="Q773" i="45"/>
  <c r="AS773" i="45"/>
  <c r="AC773" i="45"/>
  <c r="M773" i="45"/>
  <c r="AO773" i="45"/>
  <c r="B878" i="45"/>
  <c r="H773" i="45"/>
  <c r="J773" i="45" s="1"/>
  <c r="AR749" i="45"/>
  <c r="AN749" i="45"/>
  <c r="AJ749" i="45"/>
  <c r="AF749" i="45"/>
  <c r="AB749" i="45"/>
  <c r="X749" i="45"/>
  <c r="T749" i="45"/>
  <c r="P749" i="45"/>
  <c r="L749" i="45"/>
  <c r="AU749" i="45"/>
  <c r="AQ749" i="45"/>
  <c r="AM749" i="45"/>
  <c r="AI749" i="45"/>
  <c r="AE749" i="45"/>
  <c r="AA749" i="45"/>
  <c r="W749" i="45"/>
  <c r="S749" i="45"/>
  <c r="O749" i="45"/>
  <c r="AT749" i="45"/>
  <c r="AP749" i="45"/>
  <c r="AL749" i="45"/>
  <c r="AH749" i="45"/>
  <c r="AD749" i="45"/>
  <c r="Z749" i="45"/>
  <c r="V749" i="45"/>
  <c r="R749" i="45"/>
  <c r="N749" i="45"/>
  <c r="AK749" i="45"/>
  <c r="U749" i="45"/>
  <c r="Y749" i="45"/>
  <c r="AG749" i="45"/>
  <c r="Q749" i="45"/>
  <c r="AO749" i="45"/>
  <c r="AS749" i="45"/>
  <c r="AC749" i="45"/>
  <c r="M749" i="45"/>
  <c r="B854" i="45"/>
  <c r="H749" i="45"/>
  <c r="J749" i="45" s="1"/>
  <c r="AR782" i="45"/>
  <c r="AN782" i="45"/>
  <c r="AJ782" i="45"/>
  <c r="AF782" i="45"/>
  <c r="AB782" i="45"/>
  <c r="X782" i="45"/>
  <c r="T782" i="45"/>
  <c r="P782" i="45"/>
  <c r="L782" i="45"/>
  <c r="AU782" i="45"/>
  <c r="AQ782" i="45"/>
  <c r="AM782" i="45"/>
  <c r="AI782" i="45"/>
  <c r="AE782" i="45"/>
  <c r="AA782" i="45"/>
  <c r="W782" i="45"/>
  <c r="S782" i="45"/>
  <c r="O782" i="45"/>
  <c r="AT782" i="45"/>
  <c r="AP782" i="45"/>
  <c r="AL782" i="45"/>
  <c r="AH782" i="45"/>
  <c r="AD782" i="45"/>
  <c r="Z782" i="45"/>
  <c r="V782" i="45"/>
  <c r="R782" i="45"/>
  <c r="N782" i="45"/>
  <c r="AG782" i="45"/>
  <c r="Q782" i="45"/>
  <c r="AK782" i="45"/>
  <c r="AS782" i="45"/>
  <c r="AC782" i="45"/>
  <c r="M782" i="45"/>
  <c r="AO782" i="45"/>
  <c r="Y782" i="45"/>
  <c r="U782" i="45"/>
  <c r="H782" i="45"/>
  <c r="J782" i="45" s="1"/>
  <c r="B887" i="45"/>
  <c r="AT906" i="45"/>
  <c r="AP906" i="45"/>
  <c r="AL906" i="45"/>
  <c r="AH906" i="45"/>
  <c r="AD906" i="45"/>
  <c r="Z906" i="45"/>
  <c r="V906" i="45"/>
  <c r="R906" i="45"/>
  <c r="N906" i="45"/>
  <c r="AS906" i="45"/>
  <c r="AO906" i="45"/>
  <c r="AK906" i="45"/>
  <c r="AG906" i="45"/>
  <c r="AC906" i="45"/>
  <c r="Y906" i="45"/>
  <c r="U906" i="45"/>
  <c r="Q906" i="45"/>
  <c r="M906" i="45"/>
  <c r="AR906" i="45"/>
  <c r="AN906" i="45"/>
  <c r="AJ906" i="45"/>
  <c r="AF906" i="45"/>
  <c r="AB906" i="45"/>
  <c r="X906" i="45"/>
  <c r="T906" i="45"/>
  <c r="P906" i="45"/>
  <c r="L906" i="45"/>
  <c r="AQ906" i="45"/>
  <c r="AA906" i="45"/>
  <c r="AM906" i="45"/>
  <c r="W906" i="45"/>
  <c r="AI906" i="45"/>
  <c r="S906" i="45"/>
  <c r="AU906" i="45"/>
  <c r="AE906" i="45"/>
  <c r="O906" i="45"/>
  <c r="H906" i="45"/>
  <c r="J906" i="45" s="1"/>
  <c r="B1011" i="45"/>
  <c r="AR727" i="45"/>
  <c r="AN727" i="45"/>
  <c r="AJ727" i="45"/>
  <c r="AF727" i="45"/>
  <c r="AB727" i="45"/>
  <c r="X727" i="45"/>
  <c r="T727" i="45"/>
  <c r="P727" i="45"/>
  <c r="L727" i="45"/>
  <c r="AU727" i="45"/>
  <c r="AQ727" i="45"/>
  <c r="AM727" i="45"/>
  <c r="AI727" i="45"/>
  <c r="AE727" i="45"/>
  <c r="AA727" i="45"/>
  <c r="W727" i="45"/>
  <c r="S727" i="45"/>
  <c r="O727" i="45"/>
  <c r="AT727" i="45"/>
  <c r="AP727" i="45"/>
  <c r="AL727" i="45"/>
  <c r="AH727" i="45"/>
  <c r="AD727" i="45"/>
  <c r="Z727" i="45"/>
  <c r="V727" i="45"/>
  <c r="R727" i="45"/>
  <c r="N727" i="45"/>
  <c r="AS727" i="45"/>
  <c r="AC727" i="45"/>
  <c r="M727" i="45"/>
  <c r="Q727" i="45"/>
  <c r="AO727" i="45"/>
  <c r="Y727" i="45"/>
  <c r="AG727" i="45"/>
  <c r="AK727" i="45"/>
  <c r="U727" i="45"/>
  <c r="B832" i="45"/>
  <c r="H727" i="45"/>
  <c r="J727" i="45" s="1"/>
  <c r="AR761" i="45"/>
  <c r="AN761" i="45"/>
  <c r="AJ761" i="45"/>
  <c r="AF761" i="45"/>
  <c r="AB761" i="45"/>
  <c r="X761" i="45"/>
  <c r="T761" i="45"/>
  <c r="P761" i="45"/>
  <c r="L761" i="45"/>
  <c r="AU761" i="45"/>
  <c r="AQ761" i="45"/>
  <c r="AM761" i="45"/>
  <c r="AI761" i="45"/>
  <c r="AE761" i="45"/>
  <c r="AA761" i="45"/>
  <c r="W761" i="45"/>
  <c r="S761" i="45"/>
  <c r="O761" i="45"/>
  <c r="AT761" i="45"/>
  <c r="AP761" i="45"/>
  <c r="AL761" i="45"/>
  <c r="AH761" i="45"/>
  <c r="AD761" i="45"/>
  <c r="Z761" i="45"/>
  <c r="V761" i="45"/>
  <c r="R761" i="45"/>
  <c r="N761" i="45"/>
  <c r="AK761" i="45"/>
  <c r="U761" i="45"/>
  <c r="AO761" i="45"/>
  <c r="AG761" i="45"/>
  <c r="Q761" i="45"/>
  <c r="Y761" i="45"/>
  <c r="AS761" i="45"/>
  <c r="AC761" i="45"/>
  <c r="M761" i="45"/>
  <c r="B866" i="45"/>
  <c r="H761" i="45"/>
  <c r="J761" i="45" s="1"/>
  <c r="AR735" i="45"/>
  <c r="AN735" i="45"/>
  <c r="AJ735" i="45"/>
  <c r="AF735" i="45"/>
  <c r="AB735" i="45"/>
  <c r="X735" i="45"/>
  <c r="T735" i="45"/>
  <c r="P735" i="45"/>
  <c r="L735" i="45"/>
  <c r="AU735" i="45"/>
  <c r="AQ735" i="45"/>
  <c r="AM735" i="45"/>
  <c r="AI735" i="45"/>
  <c r="AE735" i="45"/>
  <c r="AA735" i="45"/>
  <c r="W735" i="45"/>
  <c r="S735" i="45"/>
  <c r="O735" i="45"/>
  <c r="AT735" i="45"/>
  <c r="AP735" i="45"/>
  <c r="AL735" i="45"/>
  <c r="AH735" i="45"/>
  <c r="AD735" i="45"/>
  <c r="Z735" i="45"/>
  <c r="V735" i="45"/>
  <c r="R735" i="45"/>
  <c r="N735" i="45"/>
  <c r="AS735" i="45"/>
  <c r="AC735" i="45"/>
  <c r="M735" i="45"/>
  <c r="AG735" i="45"/>
  <c r="AO735" i="45"/>
  <c r="Y735" i="45"/>
  <c r="AK735" i="45"/>
  <c r="U735" i="45"/>
  <c r="Q735" i="45"/>
  <c r="H735" i="45"/>
  <c r="J735" i="45" s="1"/>
  <c r="B840" i="45"/>
  <c r="AR737" i="45"/>
  <c r="AN737" i="45"/>
  <c r="AJ737" i="45"/>
  <c r="AF737" i="45"/>
  <c r="AB737" i="45"/>
  <c r="X737" i="45"/>
  <c r="T737" i="45"/>
  <c r="P737" i="45"/>
  <c r="L737" i="45"/>
  <c r="AU737" i="45"/>
  <c r="AQ737" i="45"/>
  <c r="AM737" i="45"/>
  <c r="AI737" i="45"/>
  <c r="AE737" i="45"/>
  <c r="AA737" i="45"/>
  <c r="W737" i="45"/>
  <c r="S737" i="45"/>
  <c r="O737" i="45"/>
  <c r="AT737" i="45"/>
  <c r="AP737" i="45"/>
  <c r="AL737" i="45"/>
  <c r="AH737" i="45"/>
  <c r="AD737" i="45"/>
  <c r="Z737" i="45"/>
  <c r="V737" i="45"/>
  <c r="R737" i="45"/>
  <c r="N737" i="45"/>
  <c r="AK737" i="45"/>
  <c r="U737" i="45"/>
  <c r="Y737" i="45"/>
  <c r="AG737" i="45"/>
  <c r="Q737" i="45"/>
  <c r="AS737" i="45"/>
  <c r="AC737" i="45"/>
  <c r="M737" i="45"/>
  <c r="AO737" i="45"/>
  <c r="H737" i="45"/>
  <c r="J737" i="45" s="1"/>
  <c r="B842" i="45"/>
  <c r="AT909" i="45"/>
  <c r="AP909" i="45"/>
  <c r="AL909" i="45"/>
  <c r="AH909" i="45"/>
  <c r="AD909" i="45"/>
  <c r="Z909" i="45"/>
  <c r="V909" i="45"/>
  <c r="R909" i="45"/>
  <c r="N909" i="45"/>
  <c r="AS909" i="45"/>
  <c r="AO909" i="45"/>
  <c r="AK909" i="45"/>
  <c r="AG909" i="45"/>
  <c r="AC909" i="45"/>
  <c r="Y909" i="45"/>
  <c r="U909" i="45"/>
  <c r="Q909" i="45"/>
  <c r="M909" i="45"/>
  <c r="AR909" i="45"/>
  <c r="AN909" i="45"/>
  <c r="AJ909" i="45"/>
  <c r="AF909" i="45"/>
  <c r="AB909" i="45"/>
  <c r="X909" i="45"/>
  <c r="T909" i="45"/>
  <c r="P909" i="45"/>
  <c r="L909" i="45"/>
  <c r="AU909" i="45"/>
  <c r="AE909" i="45"/>
  <c r="O909" i="45"/>
  <c r="AQ909" i="45"/>
  <c r="AA909" i="45"/>
  <c r="AM909" i="45"/>
  <c r="W909" i="45"/>
  <c r="S909" i="45"/>
  <c r="AI909" i="45"/>
  <c r="B1014" i="45"/>
  <c r="H909" i="45"/>
  <c r="J909" i="45" s="1"/>
  <c r="AR733" i="45"/>
  <c r="AN733" i="45"/>
  <c r="AJ733" i="45"/>
  <c r="AF733" i="45"/>
  <c r="AB733" i="45"/>
  <c r="X733" i="45"/>
  <c r="T733" i="45"/>
  <c r="P733" i="45"/>
  <c r="L733" i="45"/>
  <c r="AU733" i="45"/>
  <c r="AQ733" i="45"/>
  <c r="AM733" i="45"/>
  <c r="AI733" i="45"/>
  <c r="AE733" i="45"/>
  <c r="AA733" i="45"/>
  <c r="W733" i="45"/>
  <c r="S733" i="45"/>
  <c r="O733" i="45"/>
  <c r="AT733" i="45"/>
  <c r="AP733" i="45"/>
  <c r="AL733" i="45"/>
  <c r="AH733" i="45"/>
  <c r="AD733" i="45"/>
  <c r="Z733" i="45"/>
  <c r="V733" i="45"/>
  <c r="R733" i="45"/>
  <c r="N733" i="45"/>
  <c r="AK733" i="45"/>
  <c r="U733" i="45"/>
  <c r="AO733" i="45"/>
  <c r="AG733" i="45"/>
  <c r="Q733" i="45"/>
  <c r="Y733" i="45"/>
  <c r="AS733" i="45"/>
  <c r="AC733" i="45"/>
  <c r="M733" i="45"/>
  <c r="H733" i="45"/>
  <c r="J733" i="45" s="1"/>
  <c r="B838" i="45"/>
  <c r="AT907" i="45"/>
  <c r="AP907" i="45"/>
  <c r="AL907" i="45"/>
  <c r="AH907" i="45"/>
  <c r="AD907" i="45"/>
  <c r="Z907" i="45"/>
  <c r="V907" i="45"/>
  <c r="R907" i="45"/>
  <c r="N907" i="45"/>
  <c r="AS907" i="45"/>
  <c r="AO907" i="45"/>
  <c r="AK907" i="45"/>
  <c r="AG907" i="45"/>
  <c r="AC907" i="45"/>
  <c r="Y907" i="45"/>
  <c r="U907" i="45"/>
  <c r="Q907" i="45"/>
  <c r="M907" i="45"/>
  <c r="AR907" i="45"/>
  <c r="AN907" i="45"/>
  <c r="AJ907" i="45"/>
  <c r="AF907" i="45"/>
  <c r="AB907" i="45"/>
  <c r="X907" i="45"/>
  <c r="T907" i="45"/>
  <c r="P907" i="45"/>
  <c r="L907" i="45"/>
  <c r="AM907" i="45"/>
  <c r="W907" i="45"/>
  <c r="AI907" i="45"/>
  <c r="S907" i="45"/>
  <c r="AU907" i="45"/>
  <c r="AE907" i="45"/>
  <c r="O907" i="45"/>
  <c r="AA907" i="45"/>
  <c r="AQ907" i="45"/>
  <c r="B1012" i="45"/>
  <c r="H907" i="45"/>
  <c r="J907" i="45" s="1"/>
  <c r="AR763" i="45"/>
  <c r="AN763" i="45"/>
  <c r="AJ763" i="45"/>
  <c r="AF763" i="45"/>
  <c r="AB763" i="45"/>
  <c r="X763" i="45"/>
  <c r="T763" i="45"/>
  <c r="P763" i="45"/>
  <c r="L763" i="45"/>
  <c r="AU763" i="45"/>
  <c r="AQ763" i="45"/>
  <c r="AM763" i="45"/>
  <c r="AI763" i="45"/>
  <c r="AE763" i="45"/>
  <c r="AA763" i="45"/>
  <c r="W763" i="45"/>
  <c r="S763" i="45"/>
  <c r="O763" i="45"/>
  <c r="AT763" i="45"/>
  <c r="AP763" i="45"/>
  <c r="AL763" i="45"/>
  <c r="AH763" i="45"/>
  <c r="AD763" i="45"/>
  <c r="Z763" i="45"/>
  <c r="V763" i="45"/>
  <c r="R763" i="45"/>
  <c r="N763" i="45"/>
  <c r="AS763" i="45"/>
  <c r="AC763" i="45"/>
  <c r="M763" i="45"/>
  <c r="AG763" i="45"/>
  <c r="AO763" i="45"/>
  <c r="Y763" i="45"/>
  <c r="AK763" i="45"/>
  <c r="U763" i="45"/>
  <c r="Q763" i="45"/>
  <c r="B868" i="45"/>
  <c r="H763" i="45"/>
  <c r="J763" i="45" s="1"/>
  <c r="AT916" i="45"/>
  <c r="AP916" i="45"/>
  <c r="AL916" i="45"/>
  <c r="AH916" i="45"/>
  <c r="AD916" i="45"/>
  <c r="Z916" i="45"/>
  <c r="V916" i="45"/>
  <c r="R916" i="45"/>
  <c r="N916" i="45"/>
  <c r="AR916" i="45"/>
  <c r="AN916" i="45"/>
  <c r="AJ916" i="45"/>
  <c r="AF916" i="45"/>
  <c r="AB916" i="45"/>
  <c r="X916" i="45"/>
  <c r="T916" i="45"/>
  <c r="P916" i="45"/>
  <c r="L916" i="45"/>
  <c r="AQ916" i="45"/>
  <c r="AI916" i="45"/>
  <c r="AA916" i="45"/>
  <c r="S916" i="45"/>
  <c r="AO916" i="45"/>
  <c r="AG916" i="45"/>
  <c r="Y916" i="45"/>
  <c r="Q916" i="45"/>
  <c r="AU916" i="45"/>
  <c r="AM916" i="45"/>
  <c r="AE916" i="45"/>
  <c r="W916" i="45"/>
  <c r="O916" i="45"/>
  <c r="AS916" i="45"/>
  <c r="AK916" i="45"/>
  <c r="AC916" i="45"/>
  <c r="U916" i="45"/>
  <c r="M916" i="45"/>
  <c r="AT810" i="45"/>
  <c r="AP810" i="45"/>
  <c r="AL810" i="45"/>
  <c r="AH810" i="45"/>
  <c r="AD810" i="45"/>
  <c r="Z810" i="45"/>
  <c r="V810" i="45"/>
  <c r="R810" i="45"/>
  <c r="N810" i="45"/>
  <c r="AR810" i="45"/>
  <c r="AN810" i="45"/>
  <c r="AJ810" i="45"/>
  <c r="AF810" i="45"/>
  <c r="AB810" i="45"/>
  <c r="X810" i="45"/>
  <c r="T810" i="45"/>
  <c r="P810" i="45"/>
  <c r="L810" i="45"/>
  <c r="AU810" i="45"/>
  <c r="AM810" i="45"/>
  <c r="AE810" i="45"/>
  <c r="W810" i="45"/>
  <c r="O810" i="45"/>
  <c r="AS810" i="45"/>
  <c r="AK810" i="45"/>
  <c r="AC810" i="45"/>
  <c r="U810" i="45"/>
  <c r="M810" i="45"/>
  <c r="AQ810" i="45"/>
  <c r="AI810" i="45"/>
  <c r="AA810" i="45"/>
  <c r="S810" i="45"/>
  <c r="AO810" i="45"/>
  <c r="AG810" i="45"/>
  <c r="Y810" i="45"/>
  <c r="Q810" i="45"/>
  <c r="H810" i="45"/>
  <c r="J810" i="45" s="1"/>
  <c r="B915" i="45"/>
  <c r="B1021" i="45"/>
  <c r="H916" i="45"/>
  <c r="J916" i="45" s="1"/>
  <c r="U227" i="45"/>
  <c r="S8" i="45"/>
  <c r="S12" i="45" s="1"/>
  <c r="U201" i="45"/>
  <c r="BJ6" i="44"/>
  <c r="AY18" i="50"/>
  <c r="AY21" i="50" s="1"/>
  <c r="AY25" i="50" s="1"/>
  <c r="AY28" i="50" s="1"/>
  <c r="AY29" i="50" s="1"/>
  <c r="V199" i="45"/>
  <c r="AP200" i="50"/>
  <c r="Y197" i="45"/>
  <c r="AN205" i="45"/>
  <c r="W217" i="45"/>
  <c r="U209" i="45"/>
  <c r="U207" i="45"/>
  <c r="V206" i="45"/>
  <c r="W189" i="45"/>
  <c r="U195" i="45"/>
  <c r="W279" i="45"/>
  <c r="U271" i="45"/>
  <c r="V277" i="45"/>
  <c r="U275" i="45"/>
  <c r="U273" i="45"/>
  <c r="U272" i="45"/>
  <c r="AB270" i="45"/>
  <c r="V276" i="45"/>
  <c r="W278" i="45"/>
  <c r="AC268" i="45"/>
  <c r="V266" i="45"/>
  <c r="V274" i="45"/>
  <c r="U263" i="45"/>
  <c r="V262" i="45"/>
  <c r="V264" i="45"/>
  <c r="X250" i="45"/>
  <c r="W234" i="45"/>
  <c r="W238" i="45"/>
  <c r="W242" i="45"/>
  <c r="AI254" i="45"/>
  <c r="V246" i="45"/>
  <c r="X258" i="45"/>
  <c r="W208" i="45"/>
  <c r="U218" i="45"/>
  <c r="U221" i="45"/>
  <c r="V239" i="45"/>
  <c r="W204" i="45"/>
  <c r="W191" i="45"/>
  <c r="AA253" i="45"/>
  <c r="V257" i="45"/>
  <c r="V186" i="45"/>
  <c r="V396" i="45" s="1"/>
  <c r="V226" i="45"/>
  <c r="AF243" i="45"/>
  <c r="V236" i="45"/>
  <c r="V198" i="45"/>
  <c r="V245" i="45"/>
  <c r="V259" i="45"/>
  <c r="V213" i="45"/>
  <c r="V223" i="45"/>
  <c r="V215" i="45"/>
  <c r="V194" i="45"/>
  <c r="V233" i="45"/>
  <c r="V230" i="45"/>
  <c r="V196" i="45"/>
  <c r="V248" i="45"/>
  <c r="V232" i="45"/>
  <c r="V224" i="45"/>
  <c r="V225" i="45"/>
  <c r="V190" i="45"/>
  <c r="V237" i="45"/>
  <c r="V261" i="45"/>
  <c r="V200" i="45"/>
  <c r="V210" i="45"/>
  <c r="V256" i="45"/>
  <c r="X193" i="45"/>
  <c r="U203" i="45"/>
  <c r="W231" i="45"/>
  <c r="V260" i="45"/>
  <c r="V192" i="45"/>
  <c r="V249" i="45"/>
  <c r="V211" i="45"/>
  <c r="V255" i="45"/>
  <c r="V212" i="45"/>
  <c r="W216" i="45"/>
  <c r="V222" i="45"/>
  <c r="V214" i="45"/>
  <c r="V252" i="45"/>
  <c r="V244" i="45"/>
  <c r="W220" i="45"/>
  <c r="V187" i="45"/>
  <c r="V219" i="45"/>
  <c r="V229" i="45"/>
  <c r="AP27" i="50"/>
  <c r="AP15" i="50"/>
  <c r="AP20" i="50"/>
  <c r="AP16" i="50"/>
  <c r="AP23" i="50"/>
  <c r="AP13" i="50"/>
  <c r="AP19" i="50"/>
  <c r="AP26" i="50"/>
  <c r="AP17" i="50"/>
  <c r="AP14" i="50"/>
  <c r="P3" i="45"/>
  <c r="BJ9" i="44" a="1"/>
  <c r="BB41" i="2" l="1"/>
  <c r="BB98" i="3"/>
  <c r="BB38" i="2"/>
  <c r="BC68" i="2"/>
  <c r="BC54" i="2"/>
  <c r="BC37" i="2"/>
  <c r="BC53" i="2"/>
  <c r="BC158" i="3"/>
  <c r="BB51" i="2"/>
  <c r="BC46" i="3"/>
  <c r="BC65" i="2"/>
  <c r="BB124" i="3"/>
  <c r="BB120" i="3" s="1"/>
  <c r="BC42" i="2"/>
  <c r="BC34" i="3"/>
  <c r="BC132" i="3"/>
  <c r="BB62" i="2"/>
  <c r="BB53" i="2"/>
  <c r="BC62" i="2"/>
  <c r="BB86" i="3"/>
  <c r="BB85" i="3" s="1"/>
  <c r="BB167" i="3"/>
  <c r="BC43" i="3"/>
  <c r="BB191" i="3"/>
  <c r="BC191" i="3"/>
  <c r="BB71" i="2"/>
  <c r="BC43" i="2"/>
  <c r="BC39" i="2"/>
  <c r="BC89" i="3"/>
  <c r="BC85" i="3" s="1"/>
  <c r="BC76" i="3" s="1"/>
  <c r="BC52" i="3"/>
  <c r="BC46" i="2"/>
  <c r="BC45" i="2" s="1"/>
  <c r="BB40" i="2"/>
  <c r="BB63" i="2"/>
  <c r="BB49" i="2"/>
  <c r="BB68" i="2"/>
  <c r="BB65" i="2"/>
  <c r="BC70" i="2"/>
  <c r="BB43" i="3"/>
  <c r="BC52" i="2"/>
  <c r="BB54" i="2"/>
  <c r="BC51" i="2"/>
  <c r="BC66" i="2"/>
  <c r="BC146" i="3"/>
  <c r="BC61" i="3"/>
  <c r="BC124" i="3"/>
  <c r="BC120" i="3" s="1"/>
  <c r="BC98" i="3"/>
  <c r="BB50" i="2"/>
  <c r="BB112" i="3"/>
  <c r="BB72" i="2"/>
  <c r="BB146" i="3"/>
  <c r="BB145" i="3" s="1"/>
  <c r="BB176" i="3" s="1"/>
  <c r="BB42" i="2"/>
  <c r="BB132" i="3"/>
  <c r="BB34" i="3"/>
  <c r="BC112" i="3"/>
  <c r="BB69" i="2"/>
  <c r="BB52" i="2"/>
  <c r="BC41" i="2"/>
  <c r="AL76" i="3"/>
  <c r="AL107" i="3" s="1"/>
  <c r="AJ178" i="3"/>
  <c r="AJ185" i="3" s="1"/>
  <c r="AI178" i="3"/>
  <c r="AI180" i="3" s="1"/>
  <c r="AI181" i="3" s="1"/>
  <c r="AL45" i="2"/>
  <c r="AL44" i="2" s="1"/>
  <c r="AL35" i="2" s="1"/>
  <c r="AL73" i="2" s="1"/>
  <c r="AL75" i="2" s="1"/>
  <c r="AF64" i="2"/>
  <c r="AE42" i="3"/>
  <c r="AE33" i="3" s="1"/>
  <c r="AE70" i="3" s="1"/>
  <c r="AE72" i="3" s="1"/>
  <c r="AL85" i="3"/>
  <c r="AA36" i="2"/>
  <c r="Z48" i="2"/>
  <c r="Z44" i="2" s="1"/>
  <c r="AG36" i="2"/>
  <c r="AG176" i="3"/>
  <c r="BC40" i="2"/>
  <c r="BB52" i="3"/>
  <c r="BC49" i="2"/>
  <c r="BB61" i="3"/>
  <c r="BB67" i="2"/>
  <c r="BC38" i="2"/>
  <c r="AE154" i="3"/>
  <c r="AK64" i="2"/>
  <c r="BB88" i="2"/>
  <c r="AH64" i="2"/>
  <c r="AE48" i="2"/>
  <c r="Z120" i="3"/>
  <c r="Z111" i="3" s="1"/>
  <c r="Z141" i="3" s="1"/>
  <c r="AG76" i="3"/>
  <c r="AG107" i="3" s="1"/>
  <c r="AK88" i="2"/>
  <c r="BC61" i="2"/>
  <c r="AI36" i="2"/>
  <c r="AI35" i="2" s="1"/>
  <c r="BC155" i="3"/>
  <c r="AH42" i="3"/>
  <c r="AH33" i="3" s="1"/>
  <c r="AH70" i="3" s="1"/>
  <c r="AH72" i="3" s="1"/>
  <c r="AB154" i="3"/>
  <c r="AB145" i="3" s="1"/>
  <c r="AB176" i="3" s="1"/>
  <c r="AB76" i="3"/>
  <c r="AB107" i="3" s="1"/>
  <c r="AC48" i="2"/>
  <c r="AB64" i="2"/>
  <c r="AL120" i="3"/>
  <c r="AL111" i="3" s="1"/>
  <c r="AL141" i="3" s="1"/>
  <c r="AF48" i="2"/>
  <c r="AA45" i="2"/>
  <c r="AL33" i="3"/>
  <c r="AL70" i="3" s="1"/>
  <c r="AL72" i="3" s="1"/>
  <c r="AL178" i="3" s="1"/>
  <c r="AC45" i="2"/>
  <c r="AL154" i="3"/>
  <c r="AL145" i="3" s="1"/>
  <c r="AL176" i="3" s="1"/>
  <c r="AJ73" i="2"/>
  <c r="AJ75" i="2" s="1"/>
  <c r="Z36" i="2"/>
  <c r="AE145" i="3"/>
  <c r="AE176" i="3" s="1"/>
  <c r="AD176" i="3"/>
  <c r="BB77" i="3"/>
  <c r="BB46" i="2"/>
  <c r="BB45" i="2" s="1"/>
  <c r="BB46" i="3"/>
  <c r="AF36" i="2"/>
  <c r="AE36" i="2"/>
  <c r="AK48" i="2"/>
  <c r="AK44" i="2" s="1"/>
  <c r="AK70" i="3"/>
  <c r="AK72" i="3" s="1"/>
  <c r="AB120" i="3"/>
  <c r="AB111" i="3" s="1"/>
  <c r="AB141" i="3" s="1"/>
  <c r="AF145" i="3"/>
  <c r="AF176" i="3" s="1"/>
  <c r="AF178" i="3" s="1"/>
  <c r="AL64" i="2"/>
  <c r="AI111" i="3"/>
  <c r="AI141" i="3" s="1"/>
  <c r="AD48" i="2"/>
  <c r="AD44" i="2" s="1"/>
  <c r="AH45" i="2"/>
  <c r="AH44" i="2" s="1"/>
  <c r="AH35" i="2" s="1"/>
  <c r="AH73" i="2" s="1"/>
  <c r="AH75" i="2" s="1"/>
  <c r="AC54" i="2"/>
  <c r="BC67" i="2"/>
  <c r="AA111" i="3"/>
  <c r="AA141" i="3" s="1"/>
  <c r="AJ85" i="3"/>
  <c r="AJ76" i="3" s="1"/>
  <c r="AJ107" i="3" s="1"/>
  <c r="AE64" i="2"/>
  <c r="AG48" i="2"/>
  <c r="AG44" i="2" s="1"/>
  <c r="AG35" i="2" s="1"/>
  <c r="AG73" i="2" s="1"/>
  <c r="AG75" i="2" s="1"/>
  <c r="AA85" i="3"/>
  <c r="AA76" i="3" s="1"/>
  <c r="AA107" i="3" s="1"/>
  <c r="AB70" i="3"/>
  <c r="AB72" i="3" s="1"/>
  <c r="AK36" i="2"/>
  <c r="AA48" i="2"/>
  <c r="AD36" i="2"/>
  <c r="AD35" i="2" s="1"/>
  <c r="AD73" i="2" s="1"/>
  <c r="AD75" i="2" s="1"/>
  <c r="AL36" i="2"/>
  <c r="AF45" i="2"/>
  <c r="AG141" i="3"/>
  <c r="AA176" i="3"/>
  <c r="AL42" i="3"/>
  <c r="AA88" i="2"/>
  <c r="AE45" i="2"/>
  <c r="AE44" i="2" s="1"/>
  <c r="AE35" i="2" s="1"/>
  <c r="Z76" i="3"/>
  <c r="Z107" i="3" s="1"/>
  <c r="Z178" i="3" s="1"/>
  <c r="Z64" i="2"/>
  <c r="BB39" i="2"/>
  <c r="AK154" i="3"/>
  <c r="AK145" i="3" s="1"/>
  <c r="AK176" i="3" s="1"/>
  <c r="AC154" i="3"/>
  <c r="AC145" i="3" s="1"/>
  <c r="AC176" i="3" s="1"/>
  <c r="AI54" i="2"/>
  <c r="AB48" i="2"/>
  <c r="AB44" i="2" s="1"/>
  <c r="AB35" i="2" s="1"/>
  <c r="AE54" i="2"/>
  <c r="AC64" i="2"/>
  <c r="AA42" i="3"/>
  <c r="AA33" i="3" s="1"/>
  <c r="AA70" i="3" s="1"/>
  <c r="AA72" i="3" s="1"/>
  <c r="AD76" i="3"/>
  <c r="AD107" i="3" s="1"/>
  <c r="Z88" i="2"/>
  <c r="AD120" i="3"/>
  <c r="AD111" i="3" s="1"/>
  <c r="AD141" i="3" s="1"/>
  <c r="AJ54" i="2"/>
  <c r="AJ154" i="3"/>
  <c r="AJ145" i="3" s="1"/>
  <c r="AJ176" i="3" s="1"/>
  <c r="AH54" i="2"/>
  <c r="BJ9" i="44"/>
  <c r="L200" i="50"/>
  <c r="AI185" i="3"/>
  <c r="Z180" i="3"/>
  <c r="Z181" i="3" s="1"/>
  <c r="Z185" i="3"/>
  <c r="Z193" i="3" s="1"/>
  <c r="Z179" i="3"/>
  <c r="AF73" i="3"/>
  <c r="AC178" i="3"/>
  <c r="AC73" i="3"/>
  <c r="AG73" i="3"/>
  <c r="AG178" i="3"/>
  <c r="AD178" i="3"/>
  <c r="Z186" i="3"/>
  <c r="AG82" i="2"/>
  <c r="AG76" i="2"/>
  <c r="AG77" i="2"/>
  <c r="AG78" i="2" s="1"/>
  <c r="M711" i="45"/>
  <c r="R711" i="45"/>
  <c r="O711" i="45"/>
  <c r="V711" i="45"/>
  <c r="S711" i="45"/>
  <c r="L711" i="45"/>
  <c r="Q711" i="45"/>
  <c r="P711" i="45"/>
  <c r="AT838" i="45"/>
  <c r="AP838" i="45"/>
  <c r="AL838" i="45"/>
  <c r="AH838" i="45"/>
  <c r="AD838" i="45"/>
  <c r="Z838" i="45"/>
  <c r="V838" i="45"/>
  <c r="R838" i="45"/>
  <c r="N838" i="45"/>
  <c r="AS838" i="45"/>
  <c r="AO838" i="45"/>
  <c r="AK838" i="45"/>
  <c r="AG838" i="45"/>
  <c r="AC838" i="45"/>
  <c r="Y838" i="45"/>
  <c r="U838" i="45"/>
  <c r="Q838" i="45"/>
  <c r="M838" i="45"/>
  <c r="AR838" i="45"/>
  <c r="AN838" i="45"/>
  <c r="AJ838" i="45"/>
  <c r="AF838" i="45"/>
  <c r="AB838" i="45"/>
  <c r="X838" i="45"/>
  <c r="T838" i="45"/>
  <c r="P838" i="45"/>
  <c r="L838" i="45"/>
  <c r="AQ838" i="45"/>
  <c r="AA838" i="45"/>
  <c r="AM838" i="45"/>
  <c r="W838" i="45"/>
  <c r="AI838" i="45"/>
  <c r="S838" i="45"/>
  <c r="O838" i="45"/>
  <c r="AE838" i="45"/>
  <c r="AU838" i="45"/>
  <c r="H838" i="45"/>
  <c r="J838" i="45" s="1"/>
  <c r="B943" i="45"/>
  <c r="AT842" i="45"/>
  <c r="AP842" i="45"/>
  <c r="AL842" i="45"/>
  <c r="AH842" i="45"/>
  <c r="AD842" i="45"/>
  <c r="Z842" i="45"/>
  <c r="V842" i="45"/>
  <c r="R842" i="45"/>
  <c r="N842" i="45"/>
  <c r="AS842" i="45"/>
  <c r="AO842" i="45"/>
  <c r="AK842" i="45"/>
  <c r="AG842" i="45"/>
  <c r="AC842" i="45"/>
  <c r="Y842" i="45"/>
  <c r="U842" i="45"/>
  <c r="Q842" i="45"/>
  <c r="M842" i="45"/>
  <c r="AR842" i="45"/>
  <c r="AN842" i="45"/>
  <c r="AJ842" i="45"/>
  <c r="AF842" i="45"/>
  <c r="AB842" i="45"/>
  <c r="X842" i="45"/>
  <c r="T842" i="45"/>
  <c r="P842" i="45"/>
  <c r="L842" i="45"/>
  <c r="AQ842" i="45"/>
  <c r="AA842" i="45"/>
  <c r="AM842" i="45"/>
  <c r="W842" i="45"/>
  <c r="AI842" i="45"/>
  <c r="S842" i="45"/>
  <c r="AU842" i="45"/>
  <c r="O842" i="45"/>
  <c r="AE842" i="45"/>
  <c r="B947" i="45"/>
  <c r="H842" i="45"/>
  <c r="J842" i="45" s="1"/>
  <c r="AS1011" i="45"/>
  <c r="AO1011" i="45"/>
  <c r="AK1011" i="45"/>
  <c r="AG1011" i="45"/>
  <c r="AC1011" i="45"/>
  <c r="Y1011" i="45"/>
  <c r="U1011" i="45"/>
  <c r="Q1011" i="45"/>
  <c r="M1011" i="45"/>
  <c r="AR1011" i="45"/>
  <c r="AN1011" i="45"/>
  <c r="AJ1011" i="45"/>
  <c r="AF1011" i="45"/>
  <c r="AB1011" i="45"/>
  <c r="X1011" i="45"/>
  <c r="T1011" i="45"/>
  <c r="P1011" i="45"/>
  <c r="L1011" i="45"/>
  <c r="AU1011" i="45"/>
  <c r="AQ1011" i="45"/>
  <c r="AM1011" i="45"/>
  <c r="AI1011" i="45"/>
  <c r="AE1011" i="45"/>
  <c r="AA1011" i="45"/>
  <c r="W1011" i="45"/>
  <c r="S1011" i="45"/>
  <c r="O1011" i="45"/>
  <c r="AT1011" i="45"/>
  <c r="AD1011" i="45"/>
  <c r="N1011" i="45"/>
  <c r="AP1011" i="45"/>
  <c r="Z1011" i="45"/>
  <c r="AL1011" i="45"/>
  <c r="V1011" i="45"/>
  <c r="AH1011" i="45"/>
  <c r="R1011" i="45"/>
  <c r="H1011" i="45"/>
  <c r="J1011" i="45" s="1"/>
  <c r="B1116" i="45"/>
  <c r="AT864" i="45"/>
  <c r="AP864" i="45"/>
  <c r="AL864" i="45"/>
  <c r="AH864" i="45"/>
  <c r="AD864" i="45"/>
  <c r="Z864" i="45"/>
  <c r="V864" i="45"/>
  <c r="R864" i="45"/>
  <c r="N864" i="45"/>
  <c r="AS864" i="45"/>
  <c r="AO864" i="45"/>
  <c r="AK864" i="45"/>
  <c r="AG864" i="45"/>
  <c r="AC864" i="45"/>
  <c r="Y864" i="45"/>
  <c r="U864" i="45"/>
  <c r="Q864" i="45"/>
  <c r="M864" i="45"/>
  <c r="AR864" i="45"/>
  <c r="AN864" i="45"/>
  <c r="AJ864" i="45"/>
  <c r="AF864" i="45"/>
  <c r="AB864" i="45"/>
  <c r="X864" i="45"/>
  <c r="T864" i="45"/>
  <c r="P864" i="45"/>
  <c r="L864" i="45"/>
  <c r="AI864" i="45"/>
  <c r="S864" i="45"/>
  <c r="AU864" i="45"/>
  <c r="AE864" i="45"/>
  <c r="O864" i="45"/>
  <c r="AQ864" i="45"/>
  <c r="AA864" i="45"/>
  <c r="AM864" i="45"/>
  <c r="W864" i="45"/>
  <c r="H864" i="45"/>
  <c r="J864" i="45" s="1"/>
  <c r="B969" i="45"/>
  <c r="AT823" i="45"/>
  <c r="AP823" i="45"/>
  <c r="AL823" i="45"/>
  <c r="AH823" i="45"/>
  <c r="AD823" i="45"/>
  <c r="Z823" i="45"/>
  <c r="V823" i="45"/>
  <c r="R823" i="45"/>
  <c r="N823" i="45"/>
  <c r="AS823" i="45"/>
  <c r="AO823" i="45"/>
  <c r="AK823" i="45"/>
  <c r="AG823" i="45"/>
  <c r="AC823" i="45"/>
  <c r="Y823" i="45"/>
  <c r="U823" i="45"/>
  <c r="Q823" i="45"/>
  <c r="M823" i="45"/>
  <c r="AU823" i="45"/>
  <c r="AM823" i="45"/>
  <c r="AE823" i="45"/>
  <c r="W823" i="45"/>
  <c r="O823" i="45"/>
  <c r="AR823" i="45"/>
  <c r="AJ823" i="45"/>
  <c r="AB823" i="45"/>
  <c r="T823" i="45"/>
  <c r="L823" i="45"/>
  <c r="AQ823" i="45"/>
  <c r="AI823" i="45"/>
  <c r="AA823" i="45"/>
  <c r="S823" i="45"/>
  <c r="P823" i="45"/>
  <c r="AN823" i="45"/>
  <c r="X823" i="45"/>
  <c r="AF823" i="45"/>
  <c r="H823" i="45"/>
  <c r="J823" i="45" s="1"/>
  <c r="B928" i="45"/>
  <c r="AT883" i="45"/>
  <c r="AP883" i="45"/>
  <c r="AL883" i="45"/>
  <c r="AH883" i="45"/>
  <c r="AD883" i="45"/>
  <c r="Z883" i="45"/>
  <c r="V883" i="45"/>
  <c r="R883" i="45"/>
  <c r="N883" i="45"/>
  <c r="AS883" i="45"/>
  <c r="AO883" i="45"/>
  <c r="AK883" i="45"/>
  <c r="AG883" i="45"/>
  <c r="AC883" i="45"/>
  <c r="Y883" i="45"/>
  <c r="U883" i="45"/>
  <c r="Q883" i="45"/>
  <c r="M883" i="45"/>
  <c r="AR883" i="45"/>
  <c r="AN883" i="45"/>
  <c r="AJ883" i="45"/>
  <c r="AF883" i="45"/>
  <c r="AB883" i="45"/>
  <c r="X883" i="45"/>
  <c r="T883" i="45"/>
  <c r="P883" i="45"/>
  <c r="L883" i="45"/>
  <c r="AM883" i="45"/>
  <c r="W883" i="45"/>
  <c r="AI883" i="45"/>
  <c r="S883" i="45"/>
  <c r="AU883" i="45"/>
  <c r="AE883" i="45"/>
  <c r="O883" i="45"/>
  <c r="AQ883" i="45"/>
  <c r="AA883" i="45"/>
  <c r="B988" i="45"/>
  <c r="H883" i="45"/>
  <c r="J883" i="45" s="1"/>
  <c r="AT871" i="45"/>
  <c r="AP871" i="45"/>
  <c r="AL871" i="45"/>
  <c r="AH871" i="45"/>
  <c r="AD871" i="45"/>
  <c r="Z871" i="45"/>
  <c r="V871" i="45"/>
  <c r="R871" i="45"/>
  <c r="N871" i="45"/>
  <c r="AS871" i="45"/>
  <c r="AO871" i="45"/>
  <c r="AK871" i="45"/>
  <c r="AG871" i="45"/>
  <c r="AC871" i="45"/>
  <c r="Y871" i="45"/>
  <c r="U871" i="45"/>
  <c r="Q871" i="45"/>
  <c r="M871" i="45"/>
  <c r="AR871" i="45"/>
  <c r="AN871" i="45"/>
  <c r="AJ871" i="45"/>
  <c r="AF871" i="45"/>
  <c r="AB871" i="45"/>
  <c r="X871" i="45"/>
  <c r="T871" i="45"/>
  <c r="P871" i="45"/>
  <c r="L871" i="45"/>
  <c r="AM871" i="45"/>
  <c r="W871" i="45"/>
  <c r="AI871" i="45"/>
  <c r="S871" i="45"/>
  <c r="AU871" i="45"/>
  <c r="AE871" i="45"/>
  <c r="O871" i="45"/>
  <c r="AQ871" i="45"/>
  <c r="AA871" i="45"/>
  <c r="H871" i="45"/>
  <c r="J871" i="45" s="1"/>
  <c r="B976" i="45"/>
  <c r="AT845" i="45"/>
  <c r="AP845" i="45"/>
  <c r="AL845" i="45"/>
  <c r="AH845" i="45"/>
  <c r="AD845" i="45"/>
  <c r="Z845" i="45"/>
  <c r="V845" i="45"/>
  <c r="R845" i="45"/>
  <c r="N845" i="45"/>
  <c r="AS845" i="45"/>
  <c r="AO845" i="45"/>
  <c r="AK845" i="45"/>
  <c r="AG845" i="45"/>
  <c r="AC845" i="45"/>
  <c r="Y845" i="45"/>
  <c r="U845" i="45"/>
  <c r="Q845" i="45"/>
  <c r="M845" i="45"/>
  <c r="AR845" i="45"/>
  <c r="AN845" i="45"/>
  <c r="AJ845" i="45"/>
  <c r="AF845" i="45"/>
  <c r="AB845" i="45"/>
  <c r="X845" i="45"/>
  <c r="T845" i="45"/>
  <c r="P845" i="45"/>
  <c r="L845" i="45"/>
  <c r="AU845" i="45"/>
  <c r="AE845" i="45"/>
  <c r="O845" i="45"/>
  <c r="AQ845" i="45"/>
  <c r="AA845" i="45"/>
  <c r="AM845" i="45"/>
  <c r="W845" i="45"/>
  <c r="S845" i="45"/>
  <c r="AI845" i="45"/>
  <c r="B950" i="45"/>
  <c r="H845" i="45"/>
  <c r="J845" i="45" s="1"/>
  <c r="AT875" i="45"/>
  <c r="AP875" i="45"/>
  <c r="AL875" i="45"/>
  <c r="AH875" i="45"/>
  <c r="AD875" i="45"/>
  <c r="Z875" i="45"/>
  <c r="V875" i="45"/>
  <c r="R875" i="45"/>
  <c r="N875" i="45"/>
  <c r="AS875" i="45"/>
  <c r="AO875" i="45"/>
  <c r="AK875" i="45"/>
  <c r="AG875" i="45"/>
  <c r="AC875" i="45"/>
  <c r="Y875" i="45"/>
  <c r="U875" i="45"/>
  <c r="Q875" i="45"/>
  <c r="M875" i="45"/>
  <c r="AR875" i="45"/>
  <c r="AN875" i="45"/>
  <c r="AJ875" i="45"/>
  <c r="AF875" i="45"/>
  <c r="AB875" i="45"/>
  <c r="X875" i="45"/>
  <c r="T875" i="45"/>
  <c r="P875" i="45"/>
  <c r="L875" i="45"/>
  <c r="AM875" i="45"/>
  <c r="W875" i="45"/>
  <c r="AI875" i="45"/>
  <c r="S875" i="45"/>
  <c r="AU875" i="45"/>
  <c r="AE875" i="45"/>
  <c r="O875" i="45"/>
  <c r="AA875" i="45"/>
  <c r="AQ875" i="45"/>
  <c r="H875" i="45"/>
  <c r="J875" i="45" s="1"/>
  <c r="B980" i="45"/>
  <c r="AT851" i="45"/>
  <c r="AP851" i="45"/>
  <c r="AL851" i="45"/>
  <c r="AH851" i="45"/>
  <c r="AD851" i="45"/>
  <c r="Z851" i="45"/>
  <c r="V851" i="45"/>
  <c r="R851" i="45"/>
  <c r="N851" i="45"/>
  <c r="AS851" i="45"/>
  <c r="AO851" i="45"/>
  <c r="AK851" i="45"/>
  <c r="AG851" i="45"/>
  <c r="AC851" i="45"/>
  <c r="Y851" i="45"/>
  <c r="U851" i="45"/>
  <c r="Q851" i="45"/>
  <c r="M851" i="45"/>
  <c r="AR851" i="45"/>
  <c r="AN851" i="45"/>
  <c r="AJ851" i="45"/>
  <c r="AF851" i="45"/>
  <c r="AB851" i="45"/>
  <c r="X851" i="45"/>
  <c r="T851" i="45"/>
  <c r="P851" i="45"/>
  <c r="L851" i="45"/>
  <c r="AM851" i="45"/>
  <c r="W851" i="45"/>
  <c r="AI851" i="45"/>
  <c r="S851" i="45"/>
  <c r="AU851" i="45"/>
  <c r="AE851" i="45"/>
  <c r="O851" i="45"/>
  <c r="AQ851" i="45"/>
  <c r="AA851" i="45"/>
  <c r="B956" i="45"/>
  <c r="H851" i="45"/>
  <c r="J851" i="45" s="1"/>
  <c r="AT869" i="45"/>
  <c r="AP869" i="45"/>
  <c r="AL869" i="45"/>
  <c r="AH869" i="45"/>
  <c r="AD869" i="45"/>
  <c r="Z869" i="45"/>
  <c r="V869" i="45"/>
  <c r="R869" i="45"/>
  <c r="N869" i="45"/>
  <c r="AS869" i="45"/>
  <c r="AO869" i="45"/>
  <c r="AK869" i="45"/>
  <c r="AG869" i="45"/>
  <c r="AC869" i="45"/>
  <c r="Y869" i="45"/>
  <c r="U869" i="45"/>
  <c r="Q869" i="45"/>
  <c r="M869" i="45"/>
  <c r="AR869" i="45"/>
  <c r="AN869" i="45"/>
  <c r="AJ869" i="45"/>
  <c r="AF869" i="45"/>
  <c r="AB869" i="45"/>
  <c r="X869" i="45"/>
  <c r="T869" i="45"/>
  <c r="P869" i="45"/>
  <c r="L869" i="45"/>
  <c r="AU869" i="45"/>
  <c r="AE869" i="45"/>
  <c r="O869" i="45"/>
  <c r="AQ869" i="45"/>
  <c r="AA869" i="45"/>
  <c r="AM869" i="45"/>
  <c r="W869" i="45"/>
  <c r="AI869" i="45"/>
  <c r="S869" i="45"/>
  <c r="B974" i="45"/>
  <c r="H869" i="45"/>
  <c r="J869" i="45" s="1"/>
  <c r="AT858" i="45"/>
  <c r="AP858" i="45"/>
  <c r="AL858" i="45"/>
  <c r="AH858" i="45"/>
  <c r="AD858" i="45"/>
  <c r="Z858" i="45"/>
  <c r="V858" i="45"/>
  <c r="R858" i="45"/>
  <c r="N858" i="45"/>
  <c r="AS858" i="45"/>
  <c r="AO858" i="45"/>
  <c r="AK858" i="45"/>
  <c r="AG858" i="45"/>
  <c r="AC858" i="45"/>
  <c r="Y858" i="45"/>
  <c r="U858" i="45"/>
  <c r="Q858" i="45"/>
  <c r="M858" i="45"/>
  <c r="AR858" i="45"/>
  <c r="AN858" i="45"/>
  <c r="AJ858" i="45"/>
  <c r="AF858" i="45"/>
  <c r="AB858" i="45"/>
  <c r="X858" i="45"/>
  <c r="T858" i="45"/>
  <c r="P858" i="45"/>
  <c r="L858" i="45"/>
  <c r="AQ858" i="45"/>
  <c r="AA858" i="45"/>
  <c r="AM858" i="45"/>
  <c r="W858" i="45"/>
  <c r="AI858" i="45"/>
  <c r="S858" i="45"/>
  <c r="AU858" i="45"/>
  <c r="AE858" i="45"/>
  <c r="O858" i="45"/>
  <c r="B963" i="45"/>
  <c r="H858" i="45"/>
  <c r="J858" i="45" s="1"/>
  <c r="AT822" i="45"/>
  <c r="AP822" i="45"/>
  <c r="AL822" i="45"/>
  <c r="AH822" i="45"/>
  <c r="AD822" i="45"/>
  <c r="Z822" i="45"/>
  <c r="V822" i="45"/>
  <c r="R822" i="45"/>
  <c r="N822" i="45"/>
  <c r="AS822" i="45"/>
  <c r="AO822" i="45"/>
  <c r="AK822" i="45"/>
  <c r="AG822" i="45"/>
  <c r="AC822" i="45"/>
  <c r="Y822" i="45"/>
  <c r="U822" i="45"/>
  <c r="Q822" i="45"/>
  <c r="M822" i="45"/>
  <c r="AQ822" i="45"/>
  <c r="AI822" i="45"/>
  <c r="AA822" i="45"/>
  <c r="S822" i="45"/>
  <c r="AN822" i="45"/>
  <c r="AF822" i="45"/>
  <c r="X822" i="45"/>
  <c r="P822" i="45"/>
  <c r="AU822" i="45"/>
  <c r="AM822" i="45"/>
  <c r="AE822" i="45"/>
  <c r="W822" i="45"/>
  <c r="O822" i="45"/>
  <c r="T822" i="45"/>
  <c r="AB822" i="45"/>
  <c r="AR822" i="45"/>
  <c r="L822" i="45"/>
  <c r="AJ822" i="45"/>
  <c r="H822" i="45"/>
  <c r="J822" i="45" s="1"/>
  <c r="B927" i="45"/>
  <c r="AR762" i="45"/>
  <c r="AN762" i="45"/>
  <c r="AJ762" i="45"/>
  <c r="AF762" i="45"/>
  <c r="AB762" i="45"/>
  <c r="X762" i="45"/>
  <c r="T762" i="45"/>
  <c r="P762" i="45"/>
  <c r="L762" i="45"/>
  <c r="AU762" i="45"/>
  <c r="AQ762" i="45"/>
  <c r="AM762" i="45"/>
  <c r="AI762" i="45"/>
  <c r="AE762" i="45"/>
  <c r="AA762" i="45"/>
  <c r="W762" i="45"/>
  <c r="S762" i="45"/>
  <c r="O762" i="45"/>
  <c r="AT762" i="45"/>
  <c r="AP762" i="45"/>
  <c r="AL762" i="45"/>
  <c r="AH762" i="45"/>
  <c r="AD762" i="45"/>
  <c r="Z762" i="45"/>
  <c r="V762" i="45"/>
  <c r="R762" i="45"/>
  <c r="N762" i="45"/>
  <c r="AG762" i="45"/>
  <c r="Q762" i="45"/>
  <c r="AS762" i="45"/>
  <c r="AC762" i="45"/>
  <c r="M762" i="45"/>
  <c r="AK762" i="45"/>
  <c r="AO762" i="45"/>
  <c r="Y762" i="45"/>
  <c r="U762" i="45"/>
  <c r="H762" i="45"/>
  <c r="J762" i="45" s="1"/>
  <c r="B867" i="45"/>
  <c r="AT882" i="45"/>
  <c r="AP882" i="45"/>
  <c r="AL882" i="45"/>
  <c r="AH882" i="45"/>
  <c r="AD882" i="45"/>
  <c r="Z882" i="45"/>
  <c r="V882" i="45"/>
  <c r="R882" i="45"/>
  <c r="N882" i="45"/>
  <c r="AS882" i="45"/>
  <c r="AO882" i="45"/>
  <c r="AK882" i="45"/>
  <c r="AG882" i="45"/>
  <c r="AC882" i="45"/>
  <c r="Y882" i="45"/>
  <c r="U882" i="45"/>
  <c r="Q882" i="45"/>
  <c r="M882" i="45"/>
  <c r="AR882" i="45"/>
  <c r="AN882" i="45"/>
  <c r="AJ882" i="45"/>
  <c r="AF882" i="45"/>
  <c r="AB882" i="45"/>
  <c r="X882" i="45"/>
  <c r="T882" i="45"/>
  <c r="P882" i="45"/>
  <c r="L882" i="45"/>
  <c r="AQ882" i="45"/>
  <c r="AA882" i="45"/>
  <c r="AM882" i="45"/>
  <c r="W882" i="45"/>
  <c r="AI882" i="45"/>
  <c r="S882" i="45"/>
  <c r="AE882" i="45"/>
  <c r="O882" i="45"/>
  <c r="AU882" i="45"/>
  <c r="B987" i="45"/>
  <c r="H882" i="45"/>
  <c r="J882" i="45" s="1"/>
  <c r="AT863" i="45"/>
  <c r="AP863" i="45"/>
  <c r="AL863" i="45"/>
  <c r="AH863" i="45"/>
  <c r="AD863" i="45"/>
  <c r="Z863" i="45"/>
  <c r="V863" i="45"/>
  <c r="R863" i="45"/>
  <c r="N863" i="45"/>
  <c r="AS863" i="45"/>
  <c r="AO863" i="45"/>
  <c r="AK863" i="45"/>
  <c r="AG863" i="45"/>
  <c r="AC863" i="45"/>
  <c r="Y863" i="45"/>
  <c r="U863" i="45"/>
  <c r="Q863" i="45"/>
  <c r="M863" i="45"/>
  <c r="AR863" i="45"/>
  <c r="AN863" i="45"/>
  <c r="AJ863" i="45"/>
  <c r="AF863" i="45"/>
  <c r="AB863" i="45"/>
  <c r="X863" i="45"/>
  <c r="T863" i="45"/>
  <c r="P863" i="45"/>
  <c r="L863" i="45"/>
  <c r="AM863" i="45"/>
  <c r="W863" i="45"/>
  <c r="AI863" i="45"/>
  <c r="S863" i="45"/>
  <c r="AU863" i="45"/>
  <c r="AE863" i="45"/>
  <c r="O863" i="45"/>
  <c r="AQ863" i="45"/>
  <c r="AA863" i="45"/>
  <c r="H863" i="45"/>
  <c r="J863" i="45" s="1"/>
  <c r="B968" i="45"/>
  <c r="AT824" i="45"/>
  <c r="AP824" i="45"/>
  <c r="AL824" i="45"/>
  <c r="AH824" i="45"/>
  <c r="AD824" i="45"/>
  <c r="Z824" i="45"/>
  <c r="V824" i="45"/>
  <c r="R824" i="45"/>
  <c r="N824" i="45"/>
  <c r="AS824" i="45"/>
  <c r="AO824" i="45"/>
  <c r="AK824" i="45"/>
  <c r="AG824" i="45"/>
  <c r="AC824" i="45"/>
  <c r="Y824" i="45"/>
  <c r="U824" i="45"/>
  <c r="Q824" i="45"/>
  <c r="M824" i="45"/>
  <c r="AR824" i="45"/>
  <c r="AN824" i="45"/>
  <c r="AJ824" i="45"/>
  <c r="AF824" i="45"/>
  <c r="AB824" i="45"/>
  <c r="X824" i="45"/>
  <c r="T824" i="45"/>
  <c r="AI824" i="45"/>
  <c r="S824" i="45"/>
  <c r="AU824" i="45"/>
  <c r="AE824" i="45"/>
  <c r="P824" i="45"/>
  <c r="AQ824" i="45"/>
  <c r="AA824" i="45"/>
  <c r="O824" i="45"/>
  <c r="L824" i="45"/>
  <c r="AM824" i="45"/>
  <c r="W824" i="45"/>
  <c r="H824" i="45"/>
  <c r="J824" i="45" s="1"/>
  <c r="B929" i="45"/>
  <c r="AU1017" i="45"/>
  <c r="AQ1017" i="45"/>
  <c r="AM1017" i="45"/>
  <c r="AI1017" i="45"/>
  <c r="AE1017" i="45"/>
  <c r="AA1017" i="45"/>
  <c r="W1017" i="45"/>
  <c r="S1017" i="45"/>
  <c r="O1017" i="45"/>
  <c r="AT1017" i="45"/>
  <c r="AP1017" i="45"/>
  <c r="AL1017" i="45"/>
  <c r="AH1017" i="45"/>
  <c r="AD1017" i="45"/>
  <c r="Z1017" i="45"/>
  <c r="V1017" i="45"/>
  <c r="R1017" i="45"/>
  <c r="N1017" i="45"/>
  <c r="AR1017" i="45"/>
  <c r="AJ1017" i="45"/>
  <c r="AB1017" i="45"/>
  <c r="T1017" i="45"/>
  <c r="L1017" i="45"/>
  <c r="AO1017" i="45"/>
  <c r="AG1017" i="45"/>
  <c r="Y1017" i="45"/>
  <c r="Q1017" i="45"/>
  <c r="AN1017" i="45"/>
  <c r="AF1017" i="45"/>
  <c r="X1017" i="45"/>
  <c r="P1017" i="45"/>
  <c r="AS1017" i="45"/>
  <c r="M1017" i="45"/>
  <c r="AK1017" i="45"/>
  <c r="AC1017" i="45"/>
  <c r="U1017" i="45"/>
  <c r="B1122" i="45"/>
  <c r="H1017" i="45"/>
  <c r="J1017" i="45" s="1"/>
  <c r="AT821" i="45"/>
  <c r="AP821" i="45"/>
  <c r="AL821" i="45"/>
  <c r="AH821" i="45"/>
  <c r="AD821" i="45"/>
  <c r="Z821" i="45"/>
  <c r="V821" i="45"/>
  <c r="R821" i="45"/>
  <c r="N821" i="45"/>
  <c r="AS821" i="45"/>
  <c r="AO821" i="45"/>
  <c r="AK821" i="45"/>
  <c r="AG821" i="45"/>
  <c r="AC821" i="45"/>
  <c r="Y821" i="45"/>
  <c r="U821" i="45"/>
  <c r="Q821" i="45"/>
  <c r="M821" i="45"/>
  <c r="AU821" i="45"/>
  <c r="AM821" i="45"/>
  <c r="AE821" i="45"/>
  <c r="W821" i="45"/>
  <c r="O821" i="45"/>
  <c r="AR821" i="45"/>
  <c r="AJ821" i="45"/>
  <c r="AB821" i="45"/>
  <c r="T821" i="45"/>
  <c r="L821" i="45"/>
  <c r="AQ821" i="45"/>
  <c r="AI821" i="45"/>
  <c r="AA821" i="45"/>
  <c r="S821" i="45"/>
  <c r="X821" i="45"/>
  <c r="P821" i="45"/>
  <c r="AN821" i="45"/>
  <c r="AF821" i="45"/>
  <c r="H821" i="45"/>
  <c r="J821" i="45" s="1"/>
  <c r="B926" i="45"/>
  <c r="AR772" i="45"/>
  <c r="AN772" i="45"/>
  <c r="AJ772" i="45"/>
  <c r="AF772" i="45"/>
  <c r="AB772" i="45"/>
  <c r="X772" i="45"/>
  <c r="T772" i="45"/>
  <c r="P772" i="45"/>
  <c r="L772" i="45"/>
  <c r="AU772" i="45"/>
  <c r="AQ772" i="45"/>
  <c r="AM772" i="45"/>
  <c r="AI772" i="45"/>
  <c r="AE772" i="45"/>
  <c r="AA772" i="45"/>
  <c r="W772" i="45"/>
  <c r="S772" i="45"/>
  <c r="O772" i="45"/>
  <c r="AT772" i="45"/>
  <c r="AP772" i="45"/>
  <c r="AL772" i="45"/>
  <c r="AH772" i="45"/>
  <c r="AD772" i="45"/>
  <c r="Z772" i="45"/>
  <c r="V772" i="45"/>
  <c r="R772" i="45"/>
  <c r="N772" i="45"/>
  <c r="AO772" i="45"/>
  <c r="Y772" i="45"/>
  <c r="M772" i="45"/>
  <c r="AK772" i="45"/>
  <c r="U772" i="45"/>
  <c r="AS772" i="45"/>
  <c r="AG772" i="45"/>
  <c r="Q772" i="45"/>
  <c r="AC772" i="45"/>
  <c r="B877" i="45"/>
  <c r="H772" i="45"/>
  <c r="J772" i="45" s="1"/>
  <c r="AT886" i="45"/>
  <c r="AP886" i="45"/>
  <c r="AL886" i="45"/>
  <c r="AH886" i="45"/>
  <c r="AD886" i="45"/>
  <c r="Z886" i="45"/>
  <c r="V886" i="45"/>
  <c r="R886" i="45"/>
  <c r="N886" i="45"/>
  <c r="AS886" i="45"/>
  <c r="AO886" i="45"/>
  <c r="AK886" i="45"/>
  <c r="AG886" i="45"/>
  <c r="AC886" i="45"/>
  <c r="Y886" i="45"/>
  <c r="U886" i="45"/>
  <c r="Q886" i="45"/>
  <c r="M886" i="45"/>
  <c r="AR886" i="45"/>
  <c r="AN886" i="45"/>
  <c r="AJ886" i="45"/>
  <c r="AF886" i="45"/>
  <c r="AB886" i="45"/>
  <c r="X886" i="45"/>
  <c r="T886" i="45"/>
  <c r="P886" i="45"/>
  <c r="L886" i="45"/>
  <c r="AQ886" i="45"/>
  <c r="AA886" i="45"/>
  <c r="AM886" i="45"/>
  <c r="W886" i="45"/>
  <c r="AI886" i="45"/>
  <c r="S886" i="45"/>
  <c r="O886" i="45"/>
  <c r="AE886" i="45"/>
  <c r="AU886" i="45"/>
  <c r="B991" i="45"/>
  <c r="H886" i="45"/>
  <c r="J886" i="45" s="1"/>
  <c r="AT862" i="45"/>
  <c r="AP862" i="45"/>
  <c r="AL862" i="45"/>
  <c r="AH862" i="45"/>
  <c r="AD862" i="45"/>
  <c r="Z862" i="45"/>
  <c r="V862" i="45"/>
  <c r="R862" i="45"/>
  <c r="N862" i="45"/>
  <c r="AS862" i="45"/>
  <c r="AO862" i="45"/>
  <c r="AK862" i="45"/>
  <c r="AG862" i="45"/>
  <c r="AC862" i="45"/>
  <c r="Y862" i="45"/>
  <c r="U862" i="45"/>
  <c r="Q862" i="45"/>
  <c r="M862" i="45"/>
  <c r="AR862" i="45"/>
  <c r="AN862" i="45"/>
  <c r="AJ862" i="45"/>
  <c r="AF862" i="45"/>
  <c r="AB862" i="45"/>
  <c r="X862" i="45"/>
  <c r="T862" i="45"/>
  <c r="P862" i="45"/>
  <c r="L862" i="45"/>
  <c r="AQ862" i="45"/>
  <c r="AA862" i="45"/>
  <c r="AM862" i="45"/>
  <c r="W862" i="45"/>
  <c r="AI862" i="45"/>
  <c r="S862" i="45"/>
  <c r="AU862" i="45"/>
  <c r="AE862" i="45"/>
  <c r="O862" i="45"/>
  <c r="H862" i="45"/>
  <c r="J862" i="45" s="1"/>
  <c r="B967" i="45"/>
  <c r="AT898" i="45"/>
  <c r="AP898" i="45"/>
  <c r="AL898" i="45"/>
  <c r="AH898" i="45"/>
  <c r="AD898" i="45"/>
  <c r="Z898" i="45"/>
  <c r="V898" i="45"/>
  <c r="R898" i="45"/>
  <c r="N898" i="45"/>
  <c r="AS898" i="45"/>
  <c r="AO898" i="45"/>
  <c r="AK898" i="45"/>
  <c r="AG898" i="45"/>
  <c r="AC898" i="45"/>
  <c r="Y898" i="45"/>
  <c r="U898" i="45"/>
  <c r="Q898" i="45"/>
  <c r="M898" i="45"/>
  <c r="AR898" i="45"/>
  <c r="AN898" i="45"/>
  <c r="AJ898" i="45"/>
  <c r="AF898" i="45"/>
  <c r="AB898" i="45"/>
  <c r="X898" i="45"/>
  <c r="T898" i="45"/>
  <c r="P898" i="45"/>
  <c r="L898" i="45"/>
  <c r="AQ898" i="45"/>
  <c r="AA898" i="45"/>
  <c r="AM898" i="45"/>
  <c r="W898" i="45"/>
  <c r="AI898" i="45"/>
  <c r="S898" i="45"/>
  <c r="AE898" i="45"/>
  <c r="O898" i="45"/>
  <c r="AU898" i="45"/>
  <c r="B1003" i="45"/>
  <c r="H898" i="45"/>
  <c r="J898" i="45" s="1"/>
  <c r="AS1008" i="45"/>
  <c r="AO1008" i="45"/>
  <c r="AK1008" i="45"/>
  <c r="AG1008" i="45"/>
  <c r="AC1008" i="45"/>
  <c r="Y1008" i="45"/>
  <c r="U1008" i="45"/>
  <c r="Q1008" i="45"/>
  <c r="M1008" i="45"/>
  <c r="AR1008" i="45"/>
  <c r="AN1008" i="45"/>
  <c r="AJ1008" i="45"/>
  <c r="AF1008" i="45"/>
  <c r="AB1008" i="45"/>
  <c r="X1008" i="45"/>
  <c r="T1008" i="45"/>
  <c r="P1008" i="45"/>
  <c r="L1008" i="45"/>
  <c r="AU1008" i="45"/>
  <c r="AQ1008" i="45"/>
  <c r="AM1008" i="45"/>
  <c r="AI1008" i="45"/>
  <c r="AE1008" i="45"/>
  <c r="AA1008" i="45"/>
  <c r="W1008" i="45"/>
  <c r="S1008" i="45"/>
  <c r="O1008" i="45"/>
  <c r="AP1008" i="45"/>
  <c r="Z1008" i="45"/>
  <c r="AL1008" i="45"/>
  <c r="V1008" i="45"/>
  <c r="AH1008" i="45"/>
  <c r="R1008" i="45"/>
  <c r="AD1008" i="45"/>
  <c r="N1008" i="45"/>
  <c r="AT1008" i="45"/>
  <c r="B1113" i="45"/>
  <c r="H1008" i="45"/>
  <c r="J1008" i="45" s="1"/>
  <c r="AT868" i="45"/>
  <c r="AP868" i="45"/>
  <c r="AL868" i="45"/>
  <c r="AH868" i="45"/>
  <c r="AD868" i="45"/>
  <c r="Z868" i="45"/>
  <c r="V868" i="45"/>
  <c r="R868" i="45"/>
  <c r="N868" i="45"/>
  <c r="AS868" i="45"/>
  <c r="AO868" i="45"/>
  <c r="AK868" i="45"/>
  <c r="AG868" i="45"/>
  <c r="AC868" i="45"/>
  <c r="Y868" i="45"/>
  <c r="U868" i="45"/>
  <c r="Q868" i="45"/>
  <c r="M868" i="45"/>
  <c r="AR868" i="45"/>
  <c r="AN868" i="45"/>
  <c r="AJ868" i="45"/>
  <c r="AF868" i="45"/>
  <c r="AB868" i="45"/>
  <c r="X868" i="45"/>
  <c r="T868" i="45"/>
  <c r="P868" i="45"/>
  <c r="L868" i="45"/>
  <c r="AI868" i="45"/>
  <c r="S868" i="45"/>
  <c r="AU868" i="45"/>
  <c r="AE868" i="45"/>
  <c r="O868" i="45"/>
  <c r="AQ868" i="45"/>
  <c r="AA868" i="45"/>
  <c r="W868" i="45"/>
  <c r="AM868" i="45"/>
  <c r="B973" i="45"/>
  <c r="H868" i="45"/>
  <c r="J868" i="45" s="1"/>
  <c r="AT866" i="45"/>
  <c r="AP866" i="45"/>
  <c r="AL866" i="45"/>
  <c r="AH866" i="45"/>
  <c r="AD866" i="45"/>
  <c r="Z866" i="45"/>
  <c r="V866" i="45"/>
  <c r="R866" i="45"/>
  <c r="N866" i="45"/>
  <c r="AS866" i="45"/>
  <c r="AO866" i="45"/>
  <c r="AK866" i="45"/>
  <c r="AG866" i="45"/>
  <c r="AC866" i="45"/>
  <c r="Y866" i="45"/>
  <c r="U866" i="45"/>
  <c r="Q866" i="45"/>
  <c r="M866" i="45"/>
  <c r="AR866" i="45"/>
  <c r="AN866" i="45"/>
  <c r="AJ866" i="45"/>
  <c r="AF866" i="45"/>
  <c r="AB866" i="45"/>
  <c r="X866" i="45"/>
  <c r="T866" i="45"/>
  <c r="P866" i="45"/>
  <c r="L866" i="45"/>
  <c r="AQ866" i="45"/>
  <c r="AA866" i="45"/>
  <c r="AM866" i="45"/>
  <c r="W866" i="45"/>
  <c r="AI866" i="45"/>
  <c r="S866" i="45"/>
  <c r="AE866" i="45"/>
  <c r="AU866" i="45"/>
  <c r="O866" i="45"/>
  <c r="B971" i="45"/>
  <c r="H866" i="45"/>
  <c r="J866" i="45" s="1"/>
  <c r="AT854" i="45"/>
  <c r="AP854" i="45"/>
  <c r="AL854" i="45"/>
  <c r="AH854" i="45"/>
  <c r="AD854" i="45"/>
  <c r="Z854" i="45"/>
  <c r="V854" i="45"/>
  <c r="R854" i="45"/>
  <c r="N854" i="45"/>
  <c r="AS854" i="45"/>
  <c r="AO854" i="45"/>
  <c r="AK854" i="45"/>
  <c r="AG854" i="45"/>
  <c r="AC854" i="45"/>
  <c r="Y854" i="45"/>
  <c r="U854" i="45"/>
  <c r="Q854" i="45"/>
  <c r="M854" i="45"/>
  <c r="AR854" i="45"/>
  <c r="AN854" i="45"/>
  <c r="AJ854" i="45"/>
  <c r="AF854" i="45"/>
  <c r="AB854" i="45"/>
  <c r="X854" i="45"/>
  <c r="T854" i="45"/>
  <c r="P854" i="45"/>
  <c r="L854" i="45"/>
  <c r="AQ854" i="45"/>
  <c r="AA854" i="45"/>
  <c r="AM854" i="45"/>
  <c r="W854" i="45"/>
  <c r="AI854" i="45"/>
  <c r="S854" i="45"/>
  <c r="O854" i="45"/>
  <c r="AE854" i="45"/>
  <c r="AU854" i="45"/>
  <c r="H854" i="45"/>
  <c r="J854" i="45" s="1"/>
  <c r="B959" i="45"/>
  <c r="AT836" i="45"/>
  <c r="AP836" i="45"/>
  <c r="AL836" i="45"/>
  <c r="AH836" i="45"/>
  <c r="AD836" i="45"/>
  <c r="Z836" i="45"/>
  <c r="V836" i="45"/>
  <c r="R836" i="45"/>
  <c r="N836" i="45"/>
  <c r="AS836" i="45"/>
  <c r="AO836" i="45"/>
  <c r="AK836" i="45"/>
  <c r="AG836" i="45"/>
  <c r="AC836" i="45"/>
  <c r="Y836" i="45"/>
  <c r="U836" i="45"/>
  <c r="Q836" i="45"/>
  <c r="M836" i="45"/>
  <c r="AR836" i="45"/>
  <c r="AN836" i="45"/>
  <c r="AJ836" i="45"/>
  <c r="AF836" i="45"/>
  <c r="AB836" i="45"/>
  <c r="X836" i="45"/>
  <c r="T836" i="45"/>
  <c r="P836" i="45"/>
  <c r="L836" i="45"/>
  <c r="AI836" i="45"/>
  <c r="S836" i="45"/>
  <c r="AU836" i="45"/>
  <c r="AE836" i="45"/>
  <c r="O836" i="45"/>
  <c r="AQ836" i="45"/>
  <c r="AA836" i="45"/>
  <c r="W836" i="45"/>
  <c r="AM836" i="45"/>
  <c r="H836" i="45"/>
  <c r="J836" i="45" s="1"/>
  <c r="B941" i="45"/>
  <c r="AS1013" i="45"/>
  <c r="AO1013" i="45"/>
  <c r="AK1013" i="45"/>
  <c r="AG1013" i="45"/>
  <c r="AC1013" i="45"/>
  <c r="Y1013" i="45"/>
  <c r="U1013" i="45"/>
  <c r="Q1013" i="45"/>
  <c r="M1013" i="45"/>
  <c r="AR1013" i="45"/>
  <c r="AN1013" i="45"/>
  <c r="AJ1013" i="45"/>
  <c r="AF1013" i="45"/>
  <c r="AB1013" i="45"/>
  <c r="X1013" i="45"/>
  <c r="T1013" i="45"/>
  <c r="P1013" i="45"/>
  <c r="L1013" i="45"/>
  <c r="AU1013" i="45"/>
  <c r="AQ1013" i="45"/>
  <c r="AM1013" i="45"/>
  <c r="AI1013" i="45"/>
  <c r="AE1013" i="45"/>
  <c r="AA1013" i="45"/>
  <c r="W1013" i="45"/>
  <c r="S1013" i="45"/>
  <c r="O1013" i="45"/>
  <c r="AL1013" i="45"/>
  <c r="V1013" i="45"/>
  <c r="AH1013" i="45"/>
  <c r="R1013" i="45"/>
  <c r="AT1013" i="45"/>
  <c r="AD1013" i="45"/>
  <c r="N1013" i="45"/>
  <c r="AP1013" i="45"/>
  <c r="Z1013" i="45"/>
  <c r="B1118" i="45"/>
  <c r="H1013" i="45"/>
  <c r="J1013" i="45" s="1"/>
  <c r="AT876" i="45"/>
  <c r="AP876" i="45"/>
  <c r="AL876" i="45"/>
  <c r="AH876" i="45"/>
  <c r="AD876" i="45"/>
  <c r="Z876" i="45"/>
  <c r="V876" i="45"/>
  <c r="R876" i="45"/>
  <c r="N876" i="45"/>
  <c r="AS876" i="45"/>
  <c r="AO876" i="45"/>
  <c r="AK876" i="45"/>
  <c r="AG876" i="45"/>
  <c r="AC876" i="45"/>
  <c r="Y876" i="45"/>
  <c r="U876" i="45"/>
  <c r="Q876" i="45"/>
  <c r="M876" i="45"/>
  <c r="AR876" i="45"/>
  <c r="AN876" i="45"/>
  <c r="AJ876" i="45"/>
  <c r="AF876" i="45"/>
  <c r="AB876" i="45"/>
  <c r="X876" i="45"/>
  <c r="T876" i="45"/>
  <c r="P876" i="45"/>
  <c r="L876" i="45"/>
  <c r="AI876" i="45"/>
  <c r="S876" i="45"/>
  <c r="AU876" i="45"/>
  <c r="AE876" i="45"/>
  <c r="O876" i="45"/>
  <c r="AQ876" i="45"/>
  <c r="AA876" i="45"/>
  <c r="AM876" i="45"/>
  <c r="W876" i="45"/>
  <c r="H876" i="45"/>
  <c r="J876" i="45" s="1"/>
  <c r="B981" i="45"/>
  <c r="AT850" i="45"/>
  <c r="AP850" i="45"/>
  <c r="AL850" i="45"/>
  <c r="AH850" i="45"/>
  <c r="AD850" i="45"/>
  <c r="Z850" i="45"/>
  <c r="V850" i="45"/>
  <c r="R850" i="45"/>
  <c r="N850" i="45"/>
  <c r="AS850" i="45"/>
  <c r="AO850" i="45"/>
  <c r="AK850" i="45"/>
  <c r="AG850" i="45"/>
  <c r="AC850" i="45"/>
  <c r="Y850" i="45"/>
  <c r="U850" i="45"/>
  <c r="Q850" i="45"/>
  <c r="M850" i="45"/>
  <c r="AR850" i="45"/>
  <c r="AN850" i="45"/>
  <c r="AJ850" i="45"/>
  <c r="AF850" i="45"/>
  <c r="AB850" i="45"/>
  <c r="X850" i="45"/>
  <c r="T850" i="45"/>
  <c r="P850" i="45"/>
  <c r="L850" i="45"/>
  <c r="AQ850" i="45"/>
  <c r="AA850" i="45"/>
  <c r="AM850" i="45"/>
  <c r="W850" i="45"/>
  <c r="AI850" i="45"/>
  <c r="S850" i="45"/>
  <c r="AE850" i="45"/>
  <c r="O850" i="45"/>
  <c r="AU850" i="45"/>
  <c r="H850" i="45"/>
  <c r="J850" i="45" s="1"/>
  <c r="B955" i="45"/>
  <c r="AT852" i="45"/>
  <c r="AP852" i="45"/>
  <c r="AL852" i="45"/>
  <c r="AH852" i="45"/>
  <c r="AD852" i="45"/>
  <c r="Z852" i="45"/>
  <c r="V852" i="45"/>
  <c r="R852" i="45"/>
  <c r="N852" i="45"/>
  <c r="AS852" i="45"/>
  <c r="AO852" i="45"/>
  <c r="AK852" i="45"/>
  <c r="AG852" i="45"/>
  <c r="AC852" i="45"/>
  <c r="Y852" i="45"/>
  <c r="U852" i="45"/>
  <c r="Q852" i="45"/>
  <c r="M852" i="45"/>
  <c r="AR852" i="45"/>
  <c r="AN852" i="45"/>
  <c r="AJ852" i="45"/>
  <c r="AF852" i="45"/>
  <c r="AB852" i="45"/>
  <c r="X852" i="45"/>
  <c r="T852" i="45"/>
  <c r="P852" i="45"/>
  <c r="L852" i="45"/>
  <c r="AI852" i="45"/>
  <c r="S852" i="45"/>
  <c r="AU852" i="45"/>
  <c r="AE852" i="45"/>
  <c r="O852" i="45"/>
  <c r="AQ852" i="45"/>
  <c r="AA852" i="45"/>
  <c r="W852" i="45"/>
  <c r="AM852" i="45"/>
  <c r="H852" i="45"/>
  <c r="J852" i="45" s="1"/>
  <c r="B957" i="45"/>
  <c r="AU1016" i="45"/>
  <c r="AQ1016" i="45"/>
  <c r="AM1016" i="45"/>
  <c r="AI1016" i="45"/>
  <c r="AE1016" i="45"/>
  <c r="AT1016" i="45"/>
  <c r="AP1016" i="45"/>
  <c r="AN1016" i="45"/>
  <c r="AH1016" i="45"/>
  <c r="AC1016" i="45"/>
  <c r="Y1016" i="45"/>
  <c r="U1016" i="45"/>
  <c r="Q1016" i="45"/>
  <c r="M1016" i="45"/>
  <c r="AS1016" i="45"/>
  <c r="AL1016" i="45"/>
  <c r="AG1016" i="45"/>
  <c r="AB1016" i="45"/>
  <c r="X1016" i="45"/>
  <c r="T1016" i="45"/>
  <c r="P1016" i="45"/>
  <c r="L1016" i="45"/>
  <c r="AR1016" i="45"/>
  <c r="AK1016" i="45"/>
  <c r="AF1016" i="45"/>
  <c r="AA1016" i="45"/>
  <c r="W1016" i="45"/>
  <c r="S1016" i="45"/>
  <c r="O1016" i="45"/>
  <c r="Z1016" i="45"/>
  <c r="AO1016" i="45"/>
  <c r="V1016" i="45"/>
  <c r="AJ1016" i="45"/>
  <c r="R1016" i="45"/>
  <c r="AD1016" i="45"/>
  <c r="N1016" i="45"/>
  <c r="H1016" i="45"/>
  <c r="J1016" i="45" s="1"/>
  <c r="B1121" i="45"/>
  <c r="AR817" i="45"/>
  <c r="AN817" i="45"/>
  <c r="AJ817" i="45"/>
  <c r="AF817" i="45"/>
  <c r="AB817" i="45"/>
  <c r="X817" i="45"/>
  <c r="T817" i="45"/>
  <c r="P817" i="45"/>
  <c r="L817" i="45"/>
  <c r="AU817" i="45"/>
  <c r="AQ817" i="45"/>
  <c r="AM817" i="45"/>
  <c r="AI817" i="45"/>
  <c r="AE817" i="45"/>
  <c r="AA817" i="45"/>
  <c r="W817" i="45"/>
  <c r="S817" i="45"/>
  <c r="O817" i="45"/>
  <c r="AT817" i="45"/>
  <c r="AP817" i="45"/>
  <c r="AL817" i="45"/>
  <c r="AH817" i="45"/>
  <c r="AD817" i="45"/>
  <c r="Z817" i="45"/>
  <c r="V817" i="45"/>
  <c r="R817" i="45"/>
  <c r="N817" i="45"/>
  <c r="AS817" i="45"/>
  <c r="AC817" i="45"/>
  <c r="M817" i="45"/>
  <c r="AG817" i="45"/>
  <c r="AO817" i="45"/>
  <c r="Y817" i="45"/>
  <c r="AK817" i="45"/>
  <c r="U817" i="45"/>
  <c r="Q817" i="45"/>
  <c r="B922" i="45"/>
  <c r="H817" i="45"/>
  <c r="J817" i="45" s="1"/>
  <c r="AR818" i="45"/>
  <c r="AN818" i="45"/>
  <c r="AJ818" i="45"/>
  <c r="AF818" i="45"/>
  <c r="AB818" i="45"/>
  <c r="X818" i="45"/>
  <c r="T818" i="45"/>
  <c r="P818" i="45"/>
  <c r="L818" i="45"/>
  <c r="AU818" i="45"/>
  <c r="AQ818" i="45"/>
  <c r="AM818" i="45"/>
  <c r="AI818" i="45"/>
  <c r="AE818" i="45"/>
  <c r="AA818" i="45"/>
  <c r="W818" i="45"/>
  <c r="S818" i="45"/>
  <c r="O818" i="45"/>
  <c r="AT818" i="45"/>
  <c r="AP818" i="45"/>
  <c r="AL818" i="45"/>
  <c r="AH818" i="45"/>
  <c r="AD818" i="45"/>
  <c r="Z818" i="45"/>
  <c r="V818" i="45"/>
  <c r="R818" i="45"/>
  <c r="N818" i="45"/>
  <c r="AO818" i="45"/>
  <c r="Y818" i="45"/>
  <c r="AS818" i="45"/>
  <c r="AK818" i="45"/>
  <c r="U818" i="45"/>
  <c r="AC818" i="45"/>
  <c r="AG818" i="45"/>
  <c r="Q818" i="45"/>
  <c r="M818" i="45"/>
  <c r="B923" i="45"/>
  <c r="H818" i="45"/>
  <c r="J818" i="45" s="1"/>
  <c r="AT826" i="45"/>
  <c r="AP826" i="45"/>
  <c r="AL826" i="45"/>
  <c r="AH826" i="45"/>
  <c r="AD826" i="45"/>
  <c r="Z826" i="45"/>
  <c r="V826" i="45"/>
  <c r="R826" i="45"/>
  <c r="N826" i="45"/>
  <c r="AS826" i="45"/>
  <c r="AO826" i="45"/>
  <c r="AK826" i="45"/>
  <c r="AG826" i="45"/>
  <c r="AC826" i="45"/>
  <c r="Y826" i="45"/>
  <c r="U826" i="45"/>
  <c r="Q826" i="45"/>
  <c r="M826" i="45"/>
  <c r="AR826" i="45"/>
  <c r="AN826" i="45"/>
  <c r="AJ826" i="45"/>
  <c r="AF826" i="45"/>
  <c r="AB826" i="45"/>
  <c r="X826" i="45"/>
  <c r="T826" i="45"/>
  <c r="P826" i="45"/>
  <c r="L826" i="45"/>
  <c r="AQ826" i="45"/>
  <c r="AA826" i="45"/>
  <c r="AM826" i="45"/>
  <c r="W826" i="45"/>
  <c r="AI826" i="45"/>
  <c r="S826" i="45"/>
  <c r="O826" i="45"/>
  <c r="AU826" i="45"/>
  <c r="AE826" i="45"/>
  <c r="H826" i="45"/>
  <c r="J826" i="45" s="1"/>
  <c r="B931" i="45"/>
  <c r="AT844" i="45"/>
  <c r="AP844" i="45"/>
  <c r="AL844" i="45"/>
  <c r="AH844" i="45"/>
  <c r="AD844" i="45"/>
  <c r="Z844" i="45"/>
  <c r="V844" i="45"/>
  <c r="R844" i="45"/>
  <c r="N844" i="45"/>
  <c r="AS844" i="45"/>
  <c r="AO844" i="45"/>
  <c r="AK844" i="45"/>
  <c r="AG844" i="45"/>
  <c r="AC844" i="45"/>
  <c r="Y844" i="45"/>
  <c r="U844" i="45"/>
  <c r="Q844" i="45"/>
  <c r="M844" i="45"/>
  <c r="AR844" i="45"/>
  <c r="AN844" i="45"/>
  <c r="AJ844" i="45"/>
  <c r="AF844" i="45"/>
  <c r="AB844" i="45"/>
  <c r="X844" i="45"/>
  <c r="T844" i="45"/>
  <c r="P844" i="45"/>
  <c r="L844" i="45"/>
  <c r="AI844" i="45"/>
  <c r="S844" i="45"/>
  <c r="AU844" i="45"/>
  <c r="AE844" i="45"/>
  <c r="O844" i="45"/>
  <c r="AQ844" i="45"/>
  <c r="AA844" i="45"/>
  <c r="AM844" i="45"/>
  <c r="W844" i="45"/>
  <c r="H844" i="45"/>
  <c r="J844" i="45" s="1"/>
  <c r="B949" i="45"/>
  <c r="AT880" i="45"/>
  <c r="AP880" i="45"/>
  <c r="AL880" i="45"/>
  <c r="AH880" i="45"/>
  <c r="AD880" i="45"/>
  <c r="Z880" i="45"/>
  <c r="V880" i="45"/>
  <c r="R880" i="45"/>
  <c r="N880" i="45"/>
  <c r="AS880" i="45"/>
  <c r="AO880" i="45"/>
  <c r="AK880" i="45"/>
  <c r="AG880" i="45"/>
  <c r="AC880" i="45"/>
  <c r="Y880" i="45"/>
  <c r="U880" i="45"/>
  <c r="Q880" i="45"/>
  <c r="M880" i="45"/>
  <c r="AR880" i="45"/>
  <c r="AN880" i="45"/>
  <c r="AJ880" i="45"/>
  <c r="AF880" i="45"/>
  <c r="AB880" i="45"/>
  <c r="X880" i="45"/>
  <c r="T880" i="45"/>
  <c r="P880" i="45"/>
  <c r="L880" i="45"/>
  <c r="AI880" i="45"/>
  <c r="S880" i="45"/>
  <c r="AU880" i="45"/>
  <c r="AE880" i="45"/>
  <c r="O880" i="45"/>
  <c r="AQ880" i="45"/>
  <c r="AA880" i="45"/>
  <c r="AM880" i="45"/>
  <c r="W880" i="45"/>
  <c r="B985" i="45"/>
  <c r="H880" i="45"/>
  <c r="J880" i="45" s="1"/>
  <c r="AT874" i="45"/>
  <c r="AP874" i="45"/>
  <c r="AL874" i="45"/>
  <c r="AH874" i="45"/>
  <c r="AD874" i="45"/>
  <c r="Z874" i="45"/>
  <c r="V874" i="45"/>
  <c r="R874" i="45"/>
  <c r="N874" i="45"/>
  <c r="AS874" i="45"/>
  <c r="AO874" i="45"/>
  <c r="AK874" i="45"/>
  <c r="AG874" i="45"/>
  <c r="AC874" i="45"/>
  <c r="Y874" i="45"/>
  <c r="U874" i="45"/>
  <c r="Q874" i="45"/>
  <c r="M874" i="45"/>
  <c r="AR874" i="45"/>
  <c r="AN874" i="45"/>
  <c r="AJ874" i="45"/>
  <c r="AF874" i="45"/>
  <c r="AB874" i="45"/>
  <c r="X874" i="45"/>
  <c r="T874" i="45"/>
  <c r="P874" i="45"/>
  <c r="L874" i="45"/>
  <c r="AQ874" i="45"/>
  <c r="AA874" i="45"/>
  <c r="AM874" i="45"/>
  <c r="W874" i="45"/>
  <c r="AI874" i="45"/>
  <c r="S874" i="45"/>
  <c r="O874" i="45"/>
  <c r="AU874" i="45"/>
  <c r="AE874" i="45"/>
  <c r="H874" i="45"/>
  <c r="J874" i="45" s="1"/>
  <c r="B979" i="45"/>
  <c r="AT848" i="45"/>
  <c r="AP848" i="45"/>
  <c r="AL848" i="45"/>
  <c r="AH848" i="45"/>
  <c r="AD848" i="45"/>
  <c r="Z848" i="45"/>
  <c r="V848" i="45"/>
  <c r="R848" i="45"/>
  <c r="N848" i="45"/>
  <c r="AS848" i="45"/>
  <c r="AO848" i="45"/>
  <c r="AK848" i="45"/>
  <c r="AG848" i="45"/>
  <c r="AC848" i="45"/>
  <c r="Y848" i="45"/>
  <c r="U848" i="45"/>
  <c r="Q848" i="45"/>
  <c r="M848" i="45"/>
  <c r="AR848" i="45"/>
  <c r="AN848" i="45"/>
  <c r="AJ848" i="45"/>
  <c r="AF848" i="45"/>
  <c r="AB848" i="45"/>
  <c r="X848" i="45"/>
  <c r="T848" i="45"/>
  <c r="P848" i="45"/>
  <c r="L848" i="45"/>
  <c r="AI848" i="45"/>
  <c r="S848" i="45"/>
  <c r="AU848" i="45"/>
  <c r="AE848" i="45"/>
  <c r="O848" i="45"/>
  <c r="AQ848" i="45"/>
  <c r="AA848" i="45"/>
  <c r="AM848" i="45"/>
  <c r="W848" i="45"/>
  <c r="H848" i="45"/>
  <c r="J848" i="45" s="1"/>
  <c r="B953" i="45"/>
  <c r="AT837" i="45"/>
  <c r="AP837" i="45"/>
  <c r="AL837" i="45"/>
  <c r="AH837" i="45"/>
  <c r="AD837" i="45"/>
  <c r="Z837" i="45"/>
  <c r="V837" i="45"/>
  <c r="R837" i="45"/>
  <c r="N837" i="45"/>
  <c r="AS837" i="45"/>
  <c r="AO837" i="45"/>
  <c r="AK837" i="45"/>
  <c r="AG837" i="45"/>
  <c r="AC837" i="45"/>
  <c r="Y837" i="45"/>
  <c r="U837" i="45"/>
  <c r="Q837" i="45"/>
  <c r="M837" i="45"/>
  <c r="AR837" i="45"/>
  <c r="AN837" i="45"/>
  <c r="AJ837" i="45"/>
  <c r="AF837" i="45"/>
  <c r="AB837" i="45"/>
  <c r="X837" i="45"/>
  <c r="T837" i="45"/>
  <c r="P837" i="45"/>
  <c r="L837" i="45"/>
  <c r="AU837" i="45"/>
  <c r="AE837" i="45"/>
  <c r="O837" i="45"/>
  <c r="AQ837" i="45"/>
  <c r="AA837" i="45"/>
  <c r="AM837" i="45"/>
  <c r="W837" i="45"/>
  <c r="AI837" i="45"/>
  <c r="S837" i="45"/>
  <c r="H837" i="45"/>
  <c r="J837" i="45" s="1"/>
  <c r="B942" i="45"/>
  <c r="AT897" i="45"/>
  <c r="AP897" i="45"/>
  <c r="AL897" i="45"/>
  <c r="AH897" i="45"/>
  <c r="AD897" i="45"/>
  <c r="Z897" i="45"/>
  <c r="V897" i="45"/>
  <c r="R897" i="45"/>
  <c r="N897" i="45"/>
  <c r="AS897" i="45"/>
  <c r="AO897" i="45"/>
  <c r="AK897" i="45"/>
  <c r="AG897" i="45"/>
  <c r="AC897" i="45"/>
  <c r="Y897" i="45"/>
  <c r="U897" i="45"/>
  <c r="Q897" i="45"/>
  <c r="M897" i="45"/>
  <c r="AR897" i="45"/>
  <c r="AN897" i="45"/>
  <c r="AJ897" i="45"/>
  <c r="AF897" i="45"/>
  <c r="AB897" i="45"/>
  <c r="X897" i="45"/>
  <c r="T897" i="45"/>
  <c r="P897" i="45"/>
  <c r="L897" i="45"/>
  <c r="AU897" i="45"/>
  <c r="AE897" i="45"/>
  <c r="O897" i="45"/>
  <c r="AQ897" i="45"/>
  <c r="AA897" i="45"/>
  <c r="AM897" i="45"/>
  <c r="W897" i="45"/>
  <c r="S897" i="45"/>
  <c r="AI897" i="45"/>
  <c r="H897" i="45"/>
  <c r="J897" i="45" s="1"/>
  <c r="B1002" i="45"/>
  <c r="AR767" i="45"/>
  <c r="AN767" i="45"/>
  <c r="AJ767" i="45"/>
  <c r="AF767" i="45"/>
  <c r="AB767" i="45"/>
  <c r="X767" i="45"/>
  <c r="T767" i="45"/>
  <c r="P767" i="45"/>
  <c r="L767" i="45"/>
  <c r="AU767" i="45"/>
  <c r="AQ767" i="45"/>
  <c r="AM767" i="45"/>
  <c r="AI767" i="45"/>
  <c r="AE767" i="45"/>
  <c r="AA767" i="45"/>
  <c r="W767" i="45"/>
  <c r="S767" i="45"/>
  <c r="O767" i="45"/>
  <c r="AT767" i="45"/>
  <c r="AP767" i="45"/>
  <c r="AL767" i="45"/>
  <c r="AH767" i="45"/>
  <c r="AD767" i="45"/>
  <c r="Z767" i="45"/>
  <c r="V767" i="45"/>
  <c r="R767" i="45"/>
  <c r="N767" i="45"/>
  <c r="AS767" i="45"/>
  <c r="AC767" i="45"/>
  <c r="M767" i="45"/>
  <c r="AO767" i="45"/>
  <c r="Y767" i="45"/>
  <c r="Q767" i="45"/>
  <c r="AK767" i="45"/>
  <c r="U767" i="45"/>
  <c r="AG767" i="45"/>
  <c r="H767" i="45"/>
  <c r="J767" i="45" s="1"/>
  <c r="B872" i="45"/>
  <c r="AT825" i="45"/>
  <c r="AP825" i="45"/>
  <c r="AL825" i="45"/>
  <c r="AH825" i="45"/>
  <c r="AD825" i="45"/>
  <c r="Z825" i="45"/>
  <c r="V825" i="45"/>
  <c r="R825" i="45"/>
  <c r="N825" i="45"/>
  <c r="AS825" i="45"/>
  <c r="AO825" i="45"/>
  <c r="AK825" i="45"/>
  <c r="AG825" i="45"/>
  <c r="AC825" i="45"/>
  <c r="Y825" i="45"/>
  <c r="U825" i="45"/>
  <c r="Q825" i="45"/>
  <c r="M825" i="45"/>
  <c r="AR825" i="45"/>
  <c r="AN825" i="45"/>
  <c r="AJ825" i="45"/>
  <c r="AF825" i="45"/>
  <c r="AB825" i="45"/>
  <c r="X825" i="45"/>
  <c r="T825" i="45"/>
  <c r="P825" i="45"/>
  <c r="L825" i="45"/>
  <c r="AU825" i="45"/>
  <c r="AE825" i="45"/>
  <c r="O825" i="45"/>
  <c r="AQ825" i="45"/>
  <c r="AA825" i="45"/>
  <c r="AM825" i="45"/>
  <c r="W825" i="45"/>
  <c r="AI825" i="45"/>
  <c r="S825" i="45"/>
  <c r="B930" i="45"/>
  <c r="H825" i="45"/>
  <c r="J825" i="45" s="1"/>
  <c r="AT834" i="45"/>
  <c r="AP834" i="45"/>
  <c r="AL834" i="45"/>
  <c r="AH834" i="45"/>
  <c r="AD834" i="45"/>
  <c r="Z834" i="45"/>
  <c r="V834" i="45"/>
  <c r="R834" i="45"/>
  <c r="N834" i="45"/>
  <c r="AS834" i="45"/>
  <c r="AO834" i="45"/>
  <c r="AK834" i="45"/>
  <c r="AG834" i="45"/>
  <c r="AC834" i="45"/>
  <c r="Y834" i="45"/>
  <c r="U834" i="45"/>
  <c r="Q834" i="45"/>
  <c r="M834" i="45"/>
  <c r="AR834" i="45"/>
  <c r="AN834" i="45"/>
  <c r="AJ834" i="45"/>
  <c r="AF834" i="45"/>
  <c r="AB834" i="45"/>
  <c r="X834" i="45"/>
  <c r="T834" i="45"/>
  <c r="P834" i="45"/>
  <c r="L834" i="45"/>
  <c r="AQ834" i="45"/>
  <c r="AA834" i="45"/>
  <c r="AM834" i="45"/>
  <c r="W834" i="45"/>
  <c r="AI834" i="45"/>
  <c r="S834" i="45"/>
  <c r="AE834" i="45"/>
  <c r="O834" i="45"/>
  <c r="AU834" i="45"/>
  <c r="B939" i="45"/>
  <c r="H834" i="45"/>
  <c r="J834" i="45" s="1"/>
  <c r="AT860" i="45"/>
  <c r="AP860" i="45"/>
  <c r="AL860" i="45"/>
  <c r="AH860" i="45"/>
  <c r="AD860" i="45"/>
  <c r="Z860" i="45"/>
  <c r="V860" i="45"/>
  <c r="R860" i="45"/>
  <c r="N860" i="45"/>
  <c r="AS860" i="45"/>
  <c r="AO860" i="45"/>
  <c r="AK860" i="45"/>
  <c r="AG860" i="45"/>
  <c r="AC860" i="45"/>
  <c r="Y860" i="45"/>
  <c r="U860" i="45"/>
  <c r="Q860" i="45"/>
  <c r="M860" i="45"/>
  <c r="AR860" i="45"/>
  <c r="AN860" i="45"/>
  <c r="AJ860" i="45"/>
  <c r="AF860" i="45"/>
  <c r="AB860" i="45"/>
  <c r="X860" i="45"/>
  <c r="T860" i="45"/>
  <c r="P860" i="45"/>
  <c r="L860" i="45"/>
  <c r="AI860" i="45"/>
  <c r="S860" i="45"/>
  <c r="AU860" i="45"/>
  <c r="AE860" i="45"/>
  <c r="O860" i="45"/>
  <c r="AQ860" i="45"/>
  <c r="AA860" i="45"/>
  <c r="AM860" i="45"/>
  <c r="W860" i="45"/>
  <c r="B965" i="45"/>
  <c r="H860" i="45"/>
  <c r="J860" i="45" s="1"/>
  <c r="AT873" i="45"/>
  <c r="AP873" i="45"/>
  <c r="AL873" i="45"/>
  <c r="AH873" i="45"/>
  <c r="AD873" i="45"/>
  <c r="Z873" i="45"/>
  <c r="V873" i="45"/>
  <c r="R873" i="45"/>
  <c r="N873" i="45"/>
  <c r="AS873" i="45"/>
  <c r="AO873" i="45"/>
  <c r="AK873" i="45"/>
  <c r="AG873" i="45"/>
  <c r="AC873" i="45"/>
  <c r="Y873" i="45"/>
  <c r="U873" i="45"/>
  <c r="Q873" i="45"/>
  <c r="M873" i="45"/>
  <c r="AR873" i="45"/>
  <c r="AN873" i="45"/>
  <c r="AJ873" i="45"/>
  <c r="AF873" i="45"/>
  <c r="AB873" i="45"/>
  <c r="X873" i="45"/>
  <c r="T873" i="45"/>
  <c r="P873" i="45"/>
  <c r="L873" i="45"/>
  <c r="AU873" i="45"/>
  <c r="AE873" i="45"/>
  <c r="O873" i="45"/>
  <c r="AQ873" i="45"/>
  <c r="AA873" i="45"/>
  <c r="AM873" i="45"/>
  <c r="W873" i="45"/>
  <c r="AI873" i="45"/>
  <c r="S873" i="45"/>
  <c r="B978" i="45"/>
  <c r="H873" i="45"/>
  <c r="J873" i="45" s="1"/>
  <c r="AT840" i="45"/>
  <c r="AP840" i="45"/>
  <c r="AL840" i="45"/>
  <c r="AH840" i="45"/>
  <c r="AD840" i="45"/>
  <c r="Z840" i="45"/>
  <c r="V840" i="45"/>
  <c r="R840" i="45"/>
  <c r="N840" i="45"/>
  <c r="AS840" i="45"/>
  <c r="AO840" i="45"/>
  <c r="AK840" i="45"/>
  <c r="AG840" i="45"/>
  <c r="AC840" i="45"/>
  <c r="Y840" i="45"/>
  <c r="U840" i="45"/>
  <c r="Q840" i="45"/>
  <c r="M840" i="45"/>
  <c r="AR840" i="45"/>
  <c r="AN840" i="45"/>
  <c r="AJ840" i="45"/>
  <c r="AF840" i="45"/>
  <c r="AB840" i="45"/>
  <c r="X840" i="45"/>
  <c r="T840" i="45"/>
  <c r="P840" i="45"/>
  <c r="L840" i="45"/>
  <c r="AI840" i="45"/>
  <c r="S840" i="45"/>
  <c r="AU840" i="45"/>
  <c r="AE840" i="45"/>
  <c r="O840" i="45"/>
  <c r="AQ840" i="45"/>
  <c r="AA840" i="45"/>
  <c r="AM840" i="45"/>
  <c r="W840" i="45"/>
  <c r="B945" i="45"/>
  <c r="H840" i="45"/>
  <c r="J840" i="45" s="1"/>
  <c r="AT887" i="45"/>
  <c r="AP887" i="45"/>
  <c r="AL887" i="45"/>
  <c r="AH887" i="45"/>
  <c r="AD887" i="45"/>
  <c r="Z887" i="45"/>
  <c r="V887" i="45"/>
  <c r="R887" i="45"/>
  <c r="N887" i="45"/>
  <c r="AS887" i="45"/>
  <c r="AO887" i="45"/>
  <c r="AK887" i="45"/>
  <c r="AG887" i="45"/>
  <c r="AC887" i="45"/>
  <c r="Y887" i="45"/>
  <c r="U887" i="45"/>
  <c r="Q887" i="45"/>
  <c r="M887" i="45"/>
  <c r="AR887" i="45"/>
  <c r="AN887" i="45"/>
  <c r="AJ887" i="45"/>
  <c r="AF887" i="45"/>
  <c r="AB887" i="45"/>
  <c r="X887" i="45"/>
  <c r="T887" i="45"/>
  <c r="P887" i="45"/>
  <c r="L887" i="45"/>
  <c r="AM887" i="45"/>
  <c r="W887" i="45"/>
  <c r="AI887" i="45"/>
  <c r="S887" i="45"/>
  <c r="AU887" i="45"/>
  <c r="AE887" i="45"/>
  <c r="O887" i="45"/>
  <c r="AQ887" i="45"/>
  <c r="AA887" i="45"/>
  <c r="B992" i="45"/>
  <c r="H887" i="45"/>
  <c r="J887" i="45" s="1"/>
  <c r="AT879" i="45"/>
  <c r="AP879" i="45"/>
  <c r="AL879" i="45"/>
  <c r="AH879" i="45"/>
  <c r="AD879" i="45"/>
  <c r="Z879" i="45"/>
  <c r="V879" i="45"/>
  <c r="R879" i="45"/>
  <c r="N879" i="45"/>
  <c r="AS879" i="45"/>
  <c r="AO879" i="45"/>
  <c r="AK879" i="45"/>
  <c r="AG879" i="45"/>
  <c r="AC879" i="45"/>
  <c r="Y879" i="45"/>
  <c r="U879" i="45"/>
  <c r="Q879" i="45"/>
  <c r="M879" i="45"/>
  <c r="AR879" i="45"/>
  <c r="AN879" i="45"/>
  <c r="AJ879" i="45"/>
  <c r="AF879" i="45"/>
  <c r="AB879" i="45"/>
  <c r="X879" i="45"/>
  <c r="T879" i="45"/>
  <c r="P879" i="45"/>
  <c r="L879" i="45"/>
  <c r="AM879" i="45"/>
  <c r="W879" i="45"/>
  <c r="AI879" i="45"/>
  <c r="S879" i="45"/>
  <c r="AU879" i="45"/>
  <c r="AE879" i="45"/>
  <c r="O879" i="45"/>
  <c r="AA879" i="45"/>
  <c r="AQ879" i="45"/>
  <c r="B984" i="45"/>
  <c r="H879" i="45"/>
  <c r="J879" i="45" s="1"/>
  <c r="AT889" i="45"/>
  <c r="AP889" i="45"/>
  <c r="AL889" i="45"/>
  <c r="AH889" i="45"/>
  <c r="AD889" i="45"/>
  <c r="Z889" i="45"/>
  <c r="V889" i="45"/>
  <c r="R889" i="45"/>
  <c r="N889" i="45"/>
  <c r="AS889" i="45"/>
  <c r="AO889" i="45"/>
  <c r="AK889" i="45"/>
  <c r="AG889" i="45"/>
  <c r="AC889" i="45"/>
  <c r="Y889" i="45"/>
  <c r="U889" i="45"/>
  <c r="Q889" i="45"/>
  <c r="M889" i="45"/>
  <c r="AR889" i="45"/>
  <c r="AN889" i="45"/>
  <c r="AJ889" i="45"/>
  <c r="AF889" i="45"/>
  <c r="AB889" i="45"/>
  <c r="X889" i="45"/>
  <c r="T889" i="45"/>
  <c r="P889" i="45"/>
  <c r="L889" i="45"/>
  <c r="AU889" i="45"/>
  <c r="AE889" i="45"/>
  <c r="O889" i="45"/>
  <c r="AQ889" i="45"/>
  <c r="AA889" i="45"/>
  <c r="AM889" i="45"/>
  <c r="W889" i="45"/>
  <c r="AI889" i="45"/>
  <c r="S889" i="45"/>
  <c r="H889" i="45"/>
  <c r="J889" i="45" s="1"/>
  <c r="B994" i="45"/>
  <c r="AT835" i="45"/>
  <c r="AP835" i="45"/>
  <c r="AL835" i="45"/>
  <c r="AH835" i="45"/>
  <c r="AD835" i="45"/>
  <c r="Z835" i="45"/>
  <c r="V835" i="45"/>
  <c r="R835" i="45"/>
  <c r="N835" i="45"/>
  <c r="AS835" i="45"/>
  <c r="AO835" i="45"/>
  <c r="AK835" i="45"/>
  <c r="AG835" i="45"/>
  <c r="AC835" i="45"/>
  <c r="Y835" i="45"/>
  <c r="U835" i="45"/>
  <c r="Q835" i="45"/>
  <c r="M835" i="45"/>
  <c r="AR835" i="45"/>
  <c r="AN835" i="45"/>
  <c r="AJ835" i="45"/>
  <c r="AF835" i="45"/>
  <c r="AB835" i="45"/>
  <c r="X835" i="45"/>
  <c r="T835" i="45"/>
  <c r="P835" i="45"/>
  <c r="L835" i="45"/>
  <c r="AM835" i="45"/>
  <c r="W835" i="45"/>
  <c r="AI835" i="45"/>
  <c r="S835" i="45"/>
  <c r="AU835" i="45"/>
  <c r="AE835" i="45"/>
  <c r="O835" i="45"/>
  <c r="AQ835" i="45"/>
  <c r="AA835" i="45"/>
  <c r="B940" i="45"/>
  <c r="H835" i="45"/>
  <c r="J835" i="45" s="1"/>
  <c r="AT856" i="45"/>
  <c r="AP856" i="45"/>
  <c r="AL856" i="45"/>
  <c r="AH856" i="45"/>
  <c r="AD856" i="45"/>
  <c r="Z856" i="45"/>
  <c r="V856" i="45"/>
  <c r="R856" i="45"/>
  <c r="N856" i="45"/>
  <c r="AS856" i="45"/>
  <c r="AO856" i="45"/>
  <c r="AK856" i="45"/>
  <c r="AG856" i="45"/>
  <c r="AC856" i="45"/>
  <c r="Y856" i="45"/>
  <c r="U856" i="45"/>
  <c r="Q856" i="45"/>
  <c r="M856" i="45"/>
  <c r="AR856" i="45"/>
  <c r="AN856" i="45"/>
  <c r="AJ856" i="45"/>
  <c r="AF856" i="45"/>
  <c r="AB856" i="45"/>
  <c r="X856" i="45"/>
  <c r="T856" i="45"/>
  <c r="P856" i="45"/>
  <c r="L856" i="45"/>
  <c r="AI856" i="45"/>
  <c r="S856" i="45"/>
  <c r="AU856" i="45"/>
  <c r="AE856" i="45"/>
  <c r="O856" i="45"/>
  <c r="AQ856" i="45"/>
  <c r="AA856" i="45"/>
  <c r="W856" i="45"/>
  <c r="AM856" i="45"/>
  <c r="H856" i="45"/>
  <c r="J856" i="45" s="1"/>
  <c r="B961" i="45"/>
  <c r="AT865" i="45"/>
  <c r="AP865" i="45"/>
  <c r="AL865" i="45"/>
  <c r="AH865" i="45"/>
  <c r="AD865" i="45"/>
  <c r="Z865" i="45"/>
  <c r="V865" i="45"/>
  <c r="R865" i="45"/>
  <c r="N865" i="45"/>
  <c r="AS865" i="45"/>
  <c r="AO865" i="45"/>
  <c r="AK865" i="45"/>
  <c r="AG865" i="45"/>
  <c r="AC865" i="45"/>
  <c r="Y865" i="45"/>
  <c r="U865" i="45"/>
  <c r="Q865" i="45"/>
  <c r="M865" i="45"/>
  <c r="AR865" i="45"/>
  <c r="AN865" i="45"/>
  <c r="AJ865" i="45"/>
  <c r="AF865" i="45"/>
  <c r="AB865" i="45"/>
  <c r="X865" i="45"/>
  <c r="T865" i="45"/>
  <c r="P865" i="45"/>
  <c r="L865" i="45"/>
  <c r="AU865" i="45"/>
  <c r="AE865" i="45"/>
  <c r="O865" i="45"/>
  <c r="AQ865" i="45"/>
  <c r="AA865" i="45"/>
  <c r="AM865" i="45"/>
  <c r="W865" i="45"/>
  <c r="S865" i="45"/>
  <c r="AI865" i="45"/>
  <c r="H865" i="45"/>
  <c r="J865" i="45" s="1"/>
  <c r="B970" i="45"/>
  <c r="AT857" i="45"/>
  <c r="AP857" i="45"/>
  <c r="AL857" i="45"/>
  <c r="AH857" i="45"/>
  <c r="AD857" i="45"/>
  <c r="Z857" i="45"/>
  <c r="V857" i="45"/>
  <c r="R857" i="45"/>
  <c r="N857" i="45"/>
  <c r="AS857" i="45"/>
  <c r="AO857" i="45"/>
  <c r="AK857" i="45"/>
  <c r="AG857" i="45"/>
  <c r="AC857" i="45"/>
  <c r="Y857" i="45"/>
  <c r="U857" i="45"/>
  <c r="Q857" i="45"/>
  <c r="M857" i="45"/>
  <c r="AR857" i="45"/>
  <c r="AN857" i="45"/>
  <c r="AJ857" i="45"/>
  <c r="AF857" i="45"/>
  <c r="AB857" i="45"/>
  <c r="X857" i="45"/>
  <c r="T857" i="45"/>
  <c r="P857" i="45"/>
  <c r="L857" i="45"/>
  <c r="AU857" i="45"/>
  <c r="AE857" i="45"/>
  <c r="O857" i="45"/>
  <c r="AQ857" i="45"/>
  <c r="AA857" i="45"/>
  <c r="AM857" i="45"/>
  <c r="W857" i="45"/>
  <c r="AI857" i="45"/>
  <c r="S857" i="45"/>
  <c r="B962" i="45"/>
  <c r="H857" i="45"/>
  <c r="J857" i="45" s="1"/>
  <c r="AT828" i="45"/>
  <c r="AP828" i="45"/>
  <c r="AL828" i="45"/>
  <c r="AH828" i="45"/>
  <c r="AD828" i="45"/>
  <c r="Z828" i="45"/>
  <c r="V828" i="45"/>
  <c r="R828" i="45"/>
  <c r="N828" i="45"/>
  <c r="AS828" i="45"/>
  <c r="AO828" i="45"/>
  <c r="AK828" i="45"/>
  <c r="AG828" i="45"/>
  <c r="AC828" i="45"/>
  <c r="Y828" i="45"/>
  <c r="U828" i="45"/>
  <c r="Q828" i="45"/>
  <c r="M828" i="45"/>
  <c r="AR828" i="45"/>
  <c r="AN828" i="45"/>
  <c r="AJ828" i="45"/>
  <c r="AF828" i="45"/>
  <c r="AB828" i="45"/>
  <c r="X828" i="45"/>
  <c r="T828" i="45"/>
  <c r="P828" i="45"/>
  <c r="L828" i="45"/>
  <c r="AI828" i="45"/>
  <c r="S828" i="45"/>
  <c r="AU828" i="45"/>
  <c r="AE828" i="45"/>
  <c r="O828" i="45"/>
  <c r="AQ828" i="45"/>
  <c r="AA828" i="45"/>
  <c r="AM828" i="45"/>
  <c r="W828" i="45"/>
  <c r="H828" i="45"/>
  <c r="J828" i="45" s="1"/>
  <c r="B933" i="45"/>
  <c r="AT846" i="45"/>
  <c r="AP846" i="45"/>
  <c r="AL846" i="45"/>
  <c r="AH846" i="45"/>
  <c r="AD846" i="45"/>
  <c r="Z846" i="45"/>
  <c r="V846" i="45"/>
  <c r="R846" i="45"/>
  <c r="N846" i="45"/>
  <c r="AS846" i="45"/>
  <c r="AO846" i="45"/>
  <c r="AK846" i="45"/>
  <c r="AG846" i="45"/>
  <c r="AC846" i="45"/>
  <c r="Y846" i="45"/>
  <c r="U846" i="45"/>
  <c r="Q846" i="45"/>
  <c r="M846" i="45"/>
  <c r="AR846" i="45"/>
  <c r="AN846" i="45"/>
  <c r="AJ846" i="45"/>
  <c r="AF846" i="45"/>
  <c r="AB846" i="45"/>
  <c r="X846" i="45"/>
  <c r="T846" i="45"/>
  <c r="P846" i="45"/>
  <c r="L846" i="45"/>
  <c r="AQ846" i="45"/>
  <c r="AA846" i="45"/>
  <c r="AM846" i="45"/>
  <c r="W846" i="45"/>
  <c r="AI846" i="45"/>
  <c r="S846" i="45"/>
  <c r="AU846" i="45"/>
  <c r="AE846" i="45"/>
  <c r="O846" i="45"/>
  <c r="B951" i="45"/>
  <c r="H846" i="45"/>
  <c r="J846" i="45" s="1"/>
  <c r="AR819" i="45"/>
  <c r="AN819" i="45"/>
  <c r="AJ819" i="45"/>
  <c r="AF819" i="45"/>
  <c r="AB819" i="45"/>
  <c r="X819" i="45"/>
  <c r="T819" i="45"/>
  <c r="P819" i="45"/>
  <c r="L819" i="45"/>
  <c r="AU819" i="45"/>
  <c r="AQ819" i="45"/>
  <c r="AM819" i="45"/>
  <c r="AI819" i="45"/>
  <c r="AE819" i="45"/>
  <c r="AA819" i="45"/>
  <c r="W819" i="45"/>
  <c r="S819" i="45"/>
  <c r="O819" i="45"/>
  <c r="AT819" i="45"/>
  <c r="AP819" i="45"/>
  <c r="AL819" i="45"/>
  <c r="AH819" i="45"/>
  <c r="AD819" i="45"/>
  <c r="Z819" i="45"/>
  <c r="V819" i="45"/>
  <c r="R819" i="45"/>
  <c r="N819" i="45"/>
  <c r="AK819" i="45"/>
  <c r="U819" i="45"/>
  <c r="AG819" i="45"/>
  <c r="Q819" i="45"/>
  <c r="Y819" i="45"/>
  <c r="AS819" i="45"/>
  <c r="AC819" i="45"/>
  <c r="M819" i="45"/>
  <c r="AO819" i="45"/>
  <c r="H819" i="45"/>
  <c r="J819" i="45" s="1"/>
  <c r="B924" i="45"/>
  <c r="AT870" i="45"/>
  <c r="AP870" i="45"/>
  <c r="AL870" i="45"/>
  <c r="AH870" i="45"/>
  <c r="AD870" i="45"/>
  <c r="Z870" i="45"/>
  <c r="V870" i="45"/>
  <c r="R870" i="45"/>
  <c r="N870" i="45"/>
  <c r="AS870" i="45"/>
  <c r="AO870" i="45"/>
  <c r="AK870" i="45"/>
  <c r="AG870" i="45"/>
  <c r="AC870" i="45"/>
  <c r="Y870" i="45"/>
  <c r="U870" i="45"/>
  <c r="Q870" i="45"/>
  <c r="M870" i="45"/>
  <c r="AR870" i="45"/>
  <c r="AN870" i="45"/>
  <c r="AJ870" i="45"/>
  <c r="AF870" i="45"/>
  <c r="AB870" i="45"/>
  <c r="X870" i="45"/>
  <c r="T870" i="45"/>
  <c r="P870" i="45"/>
  <c r="L870" i="45"/>
  <c r="AQ870" i="45"/>
  <c r="AA870" i="45"/>
  <c r="AM870" i="45"/>
  <c r="W870" i="45"/>
  <c r="AI870" i="45"/>
  <c r="S870" i="45"/>
  <c r="O870" i="45"/>
  <c r="AE870" i="45"/>
  <c r="AU870" i="45"/>
  <c r="H870" i="45"/>
  <c r="J870" i="45" s="1"/>
  <c r="B975" i="45"/>
  <c r="AS1009" i="45"/>
  <c r="AO1009" i="45"/>
  <c r="AK1009" i="45"/>
  <c r="AG1009" i="45"/>
  <c r="AC1009" i="45"/>
  <c r="Y1009" i="45"/>
  <c r="U1009" i="45"/>
  <c r="Q1009" i="45"/>
  <c r="M1009" i="45"/>
  <c r="AR1009" i="45"/>
  <c r="AN1009" i="45"/>
  <c r="AJ1009" i="45"/>
  <c r="AF1009" i="45"/>
  <c r="AB1009" i="45"/>
  <c r="X1009" i="45"/>
  <c r="T1009" i="45"/>
  <c r="P1009" i="45"/>
  <c r="L1009" i="45"/>
  <c r="AU1009" i="45"/>
  <c r="AQ1009" i="45"/>
  <c r="AM1009" i="45"/>
  <c r="AI1009" i="45"/>
  <c r="AE1009" i="45"/>
  <c r="AA1009" i="45"/>
  <c r="W1009" i="45"/>
  <c r="S1009" i="45"/>
  <c r="O1009" i="45"/>
  <c r="AL1009" i="45"/>
  <c r="V1009" i="45"/>
  <c r="AH1009" i="45"/>
  <c r="R1009" i="45"/>
  <c r="AT1009" i="45"/>
  <c r="AD1009" i="45"/>
  <c r="N1009" i="45"/>
  <c r="AP1009" i="45"/>
  <c r="Z1009" i="45"/>
  <c r="B1114" i="45"/>
  <c r="H1009" i="45"/>
  <c r="J1009" i="45" s="1"/>
  <c r="AT847" i="45"/>
  <c r="AP847" i="45"/>
  <c r="AL847" i="45"/>
  <c r="AH847" i="45"/>
  <c r="AD847" i="45"/>
  <c r="Z847" i="45"/>
  <c r="V847" i="45"/>
  <c r="R847" i="45"/>
  <c r="N847" i="45"/>
  <c r="AS847" i="45"/>
  <c r="AO847" i="45"/>
  <c r="AK847" i="45"/>
  <c r="AG847" i="45"/>
  <c r="AC847" i="45"/>
  <c r="Y847" i="45"/>
  <c r="U847" i="45"/>
  <c r="Q847" i="45"/>
  <c r="M847" i="45"/>
  <c r="AR847" i="45"/>
  <c r="AN847" i="45"/>
  <c r="AJ847" i="45"/>
  <c r="AF847" i="45"/>
  <c r="AB847" i="45"/>
  <c r="X847" i="45"/>
  <c r="T847" i="45"/>
  <c r="P847" i="45"/>
  <c r="L847" i="45"/>
  <c r="AM847" i="45"/>
  <c r="W847" i="45"/>
  <c r="AI847" i="45"/>
  <c r="S847" i="45"/>
  <c r="AU847" i="45"/>
  <c r="AE847" i="45"/>
  <c r="O847" i="45"/>
  <c r="AA847" i="45"/>
  <c r="AQ847" i="45"/>
  <c r="H847" i="45"/>
  <c r="J847" i="45" s="1"/>
  <c r="B952" i="45"/>
  <c r="H816" i="45"/>
  <c r="B921" i="45"/>
  <c r="AT829" i="45"/>
  <c r="AP829" i="45"/>
  <c r="AL829" i="45"/>
  <c r="AH829" i="45"/>
  <c r="AD829" i="45"/>
  <c r="Z829" i="45"/>
  <c r="V829" i="45"/>
  <c r="R829" i="45"/>
  <c r="N829" i="45"/>
  <c r="AS829" i="45"/>
  <c r="AO829" i="45"/>
  <c r="AK829" i="45"/>
  <c r="AG829" i="45"/>
  <c r="AC829" i="45"/>
  <c r="Y829" i="45"/>
  <c r="U829" i="45"/>
  <c r="Q829" i="45"/>
  <c r="M829" i="45"/>
  <c r="AR829" i="45"/>
  <c r="AN829" i="45"/>
  <c r="AJ829" i="45"/>
  <c r="AF829" i="45"/>
  <c r="AB829" i="45"/>
  <c r="X829" i="45"/>
  <c r="T829" i="45"/>
  <c r="P829" i="45"/>
  <c r="L829" i="45"/>
  <c r="AU829" i="45"/>
  <c r="AE829" i="45"/>
  <c r="O829" i="45"/>
  <c r="AQ829" i="45"/>
  <c r="AA829" i="45"/>
  <c r="AM829" i="45"/>
  <c r="W829" i="45"/>
  <c r="S829" i="45"/>
  <c r="AI829" i="45"/>
  <c r="B934" i="45"/>
  <c r="H829" i="45"/>
  <c r="J829" i="45" s="1"/>
  <c r="AT892" i="45"/>
  <c r="AP892" i="45"/>
  <c r="AL892" i="45"/>
  <c r="AH892" i="45"/>
  <c r="AD892" i="45"/>
  <c r="Z892" i="45"/>
  <c r="V892" i="45"/>
  <c r="R892" i="45"/>
  <c r="N892" i="45"/>
  <c r="AS892" i="45"/>
  <c r="AO892" i="45"/>
  <c r="AK892" i="45"/>
  <c r="AG892" i="45"/>
  <c r="AC892" i="45"/>
  <c r="Y892" i="45"/>
  <c r="U892" i="45"/>
  <c r="Q892" i="45"/>
  <c r="M892" i="45"/>
  <c r="AR892" i="45"/>
  <c r="AN892" i="45"/>
  <c r="AJ892" i="45"/>
  <c r="AF892" i="45"/>
  <c r="AB892" i="45"/>
  <c r="X892" i="45"/>
  <c r="T892" i="45"/>
  <c r="P892" i="45"/>
  <c r="L892" i="45"/>
  <c r="AI892" i="45"/>
  <c r="S892" i="45"/>
  <c r="AU892" i="45"/>
  <c r="AE892" i="45"/>
  <c r="O892" i="45"/>
  <c r="AQ892" i="45"/>
  <c r="AA892" i="45"/>
  <c r="AM892" i="45"/>
  <c r="W892" i="45"/>
  <c r="H892" i="45"/>
  <c r="J892" i="45" s="1"/>
  <c r="B997" i="45"/>
  <c r="AT853" i="45"/>
  <c r="AP853" i="45"/>
  <c r="AL853" i="45"/>
  <c r="AH853" i="45"/>
  <c r="AD853" i="45"/>
  <c r="Z853" i="45"/>
  <c r="V853" i="45"/>
  <c r="R853" i="45"/>
  <c r="N853" i="45"/>
  <c r="AS853" i="45"/>
  <c r="AO853" i="45"/>
  <c r="AK853" i="45"/>
  <c r="AG853" i="45"/>
  <c r="AC853" i="45"/>
  <c r="Y853" i="45"/>
  <c r="U853" i="45"/>
  <c r="Q853" i="45"/>
  <c r="M853" i="45"/>
  <c r="AR853" i="45"/>
  <c r="AN853" i="45"/>
  <c r="AJ853" i="45"/>
  <c r="AF853" i="45"/>
  <c r="AB853" i="45"/>
  <c r="X853" i="45"/>
  <c r="T853" i="45"/>
  <c r="P853" i="45"/>
  <c r="L853" i="45"/>
  <c r="AU853" i="45"/>
  <c r="AE853" i="45"/>
  <c r="O853" i="45"/>
  <c r="AQ853" i="45"/>
  <c r="AA853" i="45"/>
  <c r="AM853" i="45"/>
  <c r="W853" i="45"/>
  <c r="AI853" i="45"/>
  <c r="S853" i="45"/>
  <c r="H853" i="45"/>
  <c r="J853" i="45" s="1"/>
  <c r="B958" i="45"/>
  <c r="AS1006" i="45"/>
  <c r="AO1006" i="45"/>
  <c r="AK1006" i="45"/>
  <c r="AG1006" i="45"/>
  <c r="AC1006" i="45"/>
  <c r="Y1006" i="45"/>
  <c r="U1006" i="45"/>
  <c r="Q1006" i="45"/>
  <c r="M1006" i="45"/>
  <c r="AR1006" i="45"/>
  <c r="AN1006" i="45"/>
  <c r="AJ1006" i="45"/>
  <c r="AF1006" i="45"/>
  <c r="AB1006" i="45"/>
  <c r="X1006" i="45"/>
  <c r="T1006" i="45"/>
  <c r="P1006" i="45"/>
  <c r="L1006" i="45"/>
  <c r="AU1006" i="45"/>
  <c r="AQ1006" i="45"/>
  <c r="AM1006" i="45"/>
  <c r="AI1006" i="45"/>
  <c r="AE1006" i="45"/>
  <c r="AA1006" i="45"/>
  <c r="W1006" i="45"/>
  <c r="S1006" i="45"/>
  <c r="O1006" i="45"/>
  <c r="AH1006" i="45"/>
  <c r="R1006" i="45"/>
  <c r="AT1006" i="45"/>
  <c r="AD1006" i="45"/>
  <c r="N1006" i="45"/>
  <c r="AP1006" i="45"/>
  <c r="Z1006" i="45"/>
  <c r="AL1006" i="45"/>
  <c r="V1006" i="45"/>
  <c r="H1006" i="45"/>
  <c r="J1006" i="45" s="1"/>
  <c r="B1111" i="45"/>
  <c r="AT888" i="45"/>
  <c r="AP888" i="45"/>
  <c r="AL888" i="45"/>
  <c r="AH888" i="45"/>
  <c r="AD888" i="45"/>
  <c r="Z888" i="45"/>
  <c r="V888" i="45"/>
  <c r="R888" i="45"/>
  <c r="N888" i="45"/>
  <c r="AS888" i="45"/>
  <c r="AO888" i="45"/>
  <c r="AK888" i="45"/>
  <c r="AG888" i="45"/>
  <c r="AC888" i="45"/>
  <c r="Y888" i="45"/>
  <c r="U888" i="45"/>
  <c r="Q888" i="45"/>
  <c r="M888" i="45"/>
  <c r="AR888" i="45"/>
  <c r="AN888" i="45"/>
  <c r="AJ888" i="45"/>
  <c r="AF888" i="45"/>
  <c r="AB888" i="45"/>
  <c r="X888" i="45"/>
  <c r="T888" i="45"/>
  <c r="P888" i="45"/>
  <c r="L888" i="45"/>
  <c r="AI888" i="45"/>
  <c r="S888" i="45"/>
  <c r="AU888" i="45"/>
  <c r="AE888" i="45"/>
  <c r="O888" i="45"/>
  <c r="AQ888" i="45"/>
  <c r="AA888" i="45"/>
  <c r="AM888" i="45"/>
  <c r="W888" i="45"/>
  <c r="B993" i="45"/>
  <c r="H888" i="45"/>
  <c r="J888" i="45" s="1"/>
  <c r="AT890" i="45"/>
  <c r="AP890" i="45"/>
  <c r="AL890" i="45"/>
  <c r="AH890" i="45"/>
  <c r="AD890" i="45"/>
  <c r="Z890" i="45"/>
  <c r="V890" i="45"/>
  <c r="R890" i="45"/>
  <c r="N890" i="45"/>
  <c r="AS890" i="45"/>
  <c r="AO890" i="45"/>
  <c r="AK890" i="45"/>
  <c r="AG890" i="45"/>
  <c r="AC890" i="45"/>
  <c r="Y890" i="45"/>
  <c r="U890" i="45"/>
  <c r="Q890" i="45"/>
  <c r="M890" i="45"/>
  <c r="AR890" i="45"/>
  <c r="AN890" i="45"/>
  <c r="AJ890" i="45"/>
  <c r="AF890" i="45"/>
  <c r="AB890" i="45"/>
  <c r="X890" i="45"/>
  <c r="T890" i="45"/>
  <c r="P890" i="45"/>
  <c r="L890" i="45"/>
  <c r="AQ890" i="45"/>
  <c r="AA890" i="45"/>
  <c r="AM890" i="45"/>
  <c r="W890" i="45"/>
  <c r="AI890" i="45"/>
  <c r="S890" i="45"/>
  <c r="AU890" i="45"/>
  <c r="O890" i="45"/>
  <c r="AE890" i="45"/>
  <c r="H890" i="45"/>
  <c r="J890" i="45" s="1"/>
  <c r="B995" i="45"/>
  <c r="AT900" i="45"/>
  <c r="AP900" i="45"/>
  <c r="AL900" i="45"/>
  <c r="AH900" i="45"/>
  <c r="AD900" i="45"/>
  <c r="Z900" i="45"/>
  <c r="V900" i="45"/>
  <c r="R900" i="45"/>
  <c r="N900" i="45"/>
  <c r="AS900" i="45"/>
  <c r="AO900" i="45"/>
  <c r="AK900" i="45"/>
  <c r="AG900" i="45"/>
  <c r="AC900" i="45"/>
  <c r="Y900" i="45"/>
  <c r="U900" i="45"/>
  <c r="Q900" i="45"/>
  <c r="M900" i="45"/>
  <c r="AR900" i="45"/>
  <c r="AN900" i="45"/>
  <c r="AJ900" i="45"/>
  <c r="AF900" i="45"/>
  <c r="AB900" i="45"/>
  <c r="X900" i="45"/>
  <c r="T900" i="45"/>
  <c r="P900" i="45"/>
  <c r="L900" i="45"/>
  <c r="AI900" i="45"/>
  <c r="S900" i="45"/>
  <c r="AU900" i="45"/>
  <c r="AE900" i="45"/>
  <c r="O900" i="45"/>
  <c r="AQ900" i="45"/>
  <c r="AA900" i="45"/>
  <c r="W900" i="45"/>
  <c r="AM900" i="45"/>
  <c r="H900" i="45"/>
  <c r="J900" i="45" s="1"/>
  <c r="B1005" i="45"/>
  <c r="AT820" i="45"/>
  <c r="AP820" i="45"/>
  <c r="AL820" i="45"/>
  <c r="AS820" i="45"/>
  <c r="AO820" i="45"/>
  <c r="AQ820" i="45"/>
  <c r="AJ820" i="45"/>
  <c r="AF820" i="45"/>
  <c r="AB820" i="45"/>
  <c r="X820" i="45"/>
  <c r="T820" i="45"/>
  <c r="P820" i="45"/>
  <c r="L820" i="45"/>
  <c r="AN820" i="45"/>
  <c r="AI820" i="45"/>
  <c r="AE820" i="45"/>
  <c r="AA820" i="45"/>
  <c r="W820" i="45"/>
  <c r="S820" i="45"/>
  <c r="O820" i="45"/>
  <c r="AU820" i="45"/>
  <c r="AM820" i="45"/>
  <c r="AH820" i="45"/>
  <c r="AD820" i="45"/>
  <c r="Z820" i="45"/>
  <c r="V820" i="45"/>
  <c r="R820" i="45"/>
  <c r="N820" i="45"/>
  <c r="AG820" i="45"/>
  <c r="Q820" i="45"/>
  <c r="U820" i="45"/>
  <c r="AC820" i="45"/>
  <c r="M820" i="45"/>
  <c r="AK820" i="45"/>
  <c r="AR820" i="45"/>
  <c r="Y820" i="45"/>
  <c r="H820" i="45"/>
  <c r="J820" i="45" s="1"/>
  <c r="B925" i="45"/>
  <c r="AT827" i="45"/>
  <c r="AP827" i="45"/>
  <c r="AL827" i="45"/>
  <c r="AH827" i="45"/>
  <c r="AD827" i="45"/>
  <c r="Z827" i="45"/>
  <c r="V827" i="45"/>
  <c r="R827" i="45"/>
  <c r="N827" i="45"/>
  <c r="AS827" i="45"/>
  <c r="AO827" i="45"/>
  <c r="AK827" i="45"/>
  <c r="AG827" i="45"/>
  <c r="AC827" i="45"/>
  <c r="Y827" i="45"/>
  <c r="U827" i="45"/>
  <c r="Q827" i="45"/>
  <c r="M827" i="45"/>
  <c r="AR827" i="45"/>
  <c r="AN827" i="45"/>
  <c r="AJ827" i="45"/>
  <c r="AF827" i="45"/>
  <c r="AB827" i="45"/>
  <c r="X827" i="45"/>
  <c r="T827" i="45"/>
  <c r="P827" i="45"/>
  <c r="L827" i="45"/>
  <c r="AM827" i="45"/>
  <c r="W827" i="45"/>
  <c r="AI827" i="45"/>
  <c r="S827" i="45"/>
  <c r="AU827" i="45"/>
  <c r="AE827" i="45"/>
  <c r="O827" i="45"/>
  <c r="AA827" i="45"/>
  <c r="AQ827" i="45"/>
  <c r="B932" i="45"/>
  <c r="H827" i="45"/>
  <c r="J827" i="45" s="1"/>
  <c r="AT855" i="45"/>
  <c r="AP855" i="45"/>
  <c r="AL855" i="45"/>
  <c r="AH855" i="45"/>
  <c r="AD855" i="45"/>
  <c r="Z855" i="45"/>
  <c r="V855" i="45"/>
  <c r="R855" i="45"/>
  <c r="N855" i="45"/>
  <c r="AS855" i="45"/>
  <c r="AO855" i="45"/>
  <c r="AK855" i="45"/>
  <c r="AG855" i="45"/>
  <c r="AC855" i="45"/>
  <c r="Y855" i="45"/>
  <c r="U855" i="45"/>
  <c r="Q855" i="45"/>
  <c r="M855" i="45"/>
  <c r="AR855" i="45"/>
  <c r="AN855" i="45"/>
  <c r="AJ855" i="45"/>
  <c r="AF855" i="45"/>
  <c r="AB855" i="45"/>
  <c r="X855" i="45"/>
  <c r="T855" i="45"/>
  <c r="P855" i="45"/>
  <c r="L855" i="45"/>
  <c r="AM855" i="45"/>
  <c r="W855" i="45"/>
  <c r="AI855" i="45"/>
  <c r="S855" i="45"/>
  <c r="AU855" i="45"/>
  <c r="AE855" i="45"/>
  <c r="O855" i="45"/>
  <c r="AQ855" i="45"/>
  <c r="AA855" i="45"/>
  <c r="H855" i="45"/>
  <c r="J855" i="45" s="1"/>
  <c r="B960" i="45"/>
  <c r="AT893" i="45"/>
  <c r="AP893" i="45"/>
  <c r="AL893" i="45"/>
  <c r="AH893" i="45"/>
  <c r="AD893" i="45"/>
  <c r="Z893" i="45"/>
  <c r="V893" i="45"/>
  <c r="R893" i="45"/>
  <c r="N893" i="45"/>
  <c r="AS893" i="45"/>
  <c r="AO893" i="45"/>
  <c r="AK893" i="45"/>
  <c r="AG893" i="45"/>
  <c r="AC893" i="45"/>
  <c r="Y893" i="45"/>
  <c r="U893" i="45"/>
  <c r="Q893" i="45"/>
  <c r="M893" i="45"/>
  <c r="AR893" i="45"/>
  <c r="AN893" i="45"/>
  <c r="AJ893" i="45"/>
  <c r="AF893" i="45"/>
  <c r="AB893" i="45"/>
  <c r="X893" i="45"/>
  <c r="T893" i="45"/>
  <c r="P893" i="45"/>
  <c r="L893" i="45"/>
  <c r="AU893" i="45"/>
  <c r="AE893" i="45"/>
  <c r="O893" i="45"/>
  <c r="AQ893" i="45"/>
  <c r="AA893" i="45"/>
  <c r="AM893" i="45"/>
  <c r="W893" i="45"/>
  <c r="S893" i="45"/>
  <c r="AI893" i="45"/>
  <c r="B998" i="45"/>
  <c r="H893" i="45"/>
  <c r="J893" i="45" s="1"/>
  <c r="AT891" i="45"/>
  <c r="AP891" i="45"/>
  <c r="AL891" i="45"/>
  <c r="AH891" i="45"/>
  <c r="AD891" i="45"/>
  <c r="Z891" i="45"/>
  <c r="V891" i="45"/>
  <c r="R891" i="45"/>
  <c r="N891" i="45"/>
  <c r="AS891" i="45"/>
  <c r="AO891" i="45"/>
  <c r="AK891" i="45"/>
  <c r="AG891" i="45"/>
  <c r="AC891" i="45"/>
  <c r="Y891" i="45"/>
  <c r="U891" i="45"/>
  <c r="Q891" i="45"/>
  <c r="M891" i="45"/>
  <c r="AR891" i="45"/>
  <c r="AN891" i="45"/>
  <c r="AJ891" i="45"/>
  <c r="AF891" i="45"/>
  <c r="AB891" i="45"/>
  <c r="X891" i="45"/>
  <c r="T891" i="45"/>
  <c r="P891" i="45"/>
  <c r="L891" i="45"/>
  <c r="AM891" i="45"/>
  <c r="W891" i="45"/>
  <c r="AI891" i="45"/>
  <c r="S891" i="45"/>
  <c r="AU891" i="45"/>
  <c r="AE891" i="45"/>
  <c r="O891" i="45"/>
  <c r="AA891" i="45"/>
  <c r="AQ891" i="45"/>
  <c r="B996" i="45"/>
  <c r="H891" i="45"/>
  <c r="J891" i="45" s="1"/>
  <c r="AS1012" i="45"/>
  <c r="AO1012" i="45"/>
  <c r="AK1012" i="45"/>
  <c r="AG1012" i="45"/>
  <c r="AC1012" i="45"/>
  <c r="Y1012" i="45"/>
  <c r="U1012" i="45"/>
  <c r="Q1012" i="45"/>
  <c r="M1012" i="45"/>
  <c r="AR1012" i="45"/>
  <c r="AN1012" i="45"/>
  <c r="AJ1012" i="45"/>
  <c r="AF1012" i="45"/>
  <c r="AB1012" i="45"/>
  <c r="X1012" i="45"/>
  <c r="T1012" i="45"/>
  <c r="P1012" i="45"/>
  <c r="L1012" i="45"/>
  <c r="AU1012" i="45"/>
  <c r="AQ1012" i="45"/>
  <c r="AM1012" i="45"/>
  <c r="AI1012" i="45"/>
  <c r="AE1012" i="45"/>
  <c r="AA1012" i="45"/>
  <c r="W1012" i="45"/>
  <c r="S1012" i="45"/>
  <c r="O1012" i="45"/>
  <c r="AP1012" i="45"/>
  <c r="Z1012" i="45"/>
  <c r="AL1012" i="45"/>
  <c r="V1012" i="45"/>
  <c r="AH1012" i="45"/>
  <c r="R1012" i="45"/>
  <c r="N1012" i="45"/>
  <c r="AT1012" i="45"/>
  <c r="AD1012" i="45"/>
  <c r="H1012" i="45"/>
  <c r="J1012" i="45" s="1"/>
  <c r="B1117" i="45"/>
  <c r="AS1014" i="45"/>
  <c r="AO1014" i="45"/>
  <c r="AK1014" i="45"/>
  <c r="AG1014" i="45"/>
  <c r="AC1014" i="45"/>
  <c r="Y1014" i="45"/>
  <c r="U1014" i="45"/>
  <c r="Q1014" i="45"/>
  <c r="M1014" i="45"/>
  <c r="AR1014" i="45"/>
  <c r="AN1014" i="45"/>
  <c r="AJ1014" i="45"/>
  <c r="AF1014" i="45"/>
  <c r="AB1014" i="45"/>
  <c r="X1014" i="45"/>
  <c r="T1014" i="45"/>
  <c r="P1014" i="45"/>
  <c r="L1014" i="45"/>
  <c r="AU1014" i="45"/>
  <c r="AQ1014" i="45"/>
  <c r="AM1014" i="45"/>
  <c r="AI1014" i="45"/>
  <c r="AE1014" i="45"/>
  <c r="AA1014" i="45"/>
  <c r="W1014" i="45"/>
  <c r="S1014" i="45"/>
  <c r="O1014" i="45"/>
  <c r="AH1014" i="45"/>
  <c r="R1014" i="45"/>
  <c r="AT1014" i="45"/>
  <c r="AD1014" i="45"/>
  <c r="N1014" i="45"/>
  <c r="AP1014" i="45"/>
  <c r="Z1014" i="45"/>
  <c r="AL1014" i="45"/>
  <c r="V1014" i="45"/>
  <c r="B1119" i="45"/>
  <c r="H1014" i="45"/>
  <c r="J1014" i="45" s="1"/>
  <c r="AT832" i="45"/>
  <c r="AP832" i="45"/>
  <c r="AL832" i="45"/>
  <c r="AH832" i="45"/>
  <c r="AD832" i="45"/>
  <c r="Z832" i="45"/>
  <c r="V832" i="45"/>
  <c r="R832" i="45"/>
  <c r="N832" i="45"/>
  <c r="AS832" i="45"/>
  <c r="AO832" i="45"/>
  <c r="AK832" i="45"/>
  <c r="AG832" i="45"/>
  <c r="AC832" i="45"/>
  <c r="Y832" i="45"/>
  <c r="U832" i="45"/>
  <c r="Q832" i="45"/>
  <c r="M832" i="45"/>
  <c r="AR832" i="45"/>
  <c r="AN832" i="45"/>
  <c r="AJ832" i="45"/>
  <c r="AF832" i="45"/>
  <c r="AB832" i="45"/>
  <c r="X832" i="45"/>
  <c r="T832" i="45"/>
  <c r="P832" i="45"/>
  <c r="L832" i="45"/>
  <c r="AI832" i="45"/>
  <c r="S832" i="45"/>
  <c r="AU832" i="45"/>
  <c r="AE832" i="45"/>
  <c r="O832" i="45"/>
  <c r="AQ832" i="45"/>
  <c r="AA832" i="45"/>
  <c r="AM832" i="45"/>
  <c r="W832" i="45"/>
  <c r="B937" i="45"/>
  <c r="H832" i="45"/>
  <c r="J832" i="45" s="1"/>
  <c r="AT878" i="45"/>
  <c r="AP878" i="45"/>
  <c r="AL878" i="45"/>
  <c r="AH878" i="45"/>
  <c r="AD878" i="45"/>
  <c r="Z878" i="45"/>
  <c r="V878" i="45"/>
  <c r="R878" i="45"/>
  <c r="N878" i="45"/>
  <c r="AS878" i="45"/>
  <c r="AO878" i="45"/>
  <c r="AK878" i="45"/>
  <c r="AG878" i="45"/>
  <c r="AC878" i="45"/>
  <c r="Y878" i="45"/>
  <c r="U878" i="45"/>
  <c r="Q878" i="45"/>
  <c r="M878" i="45"/>
  <c r="AR878" i="45"/>
  <c r="AN878" i="45"/>
  <c r="AJ878" i="45"/>
  <c r="AF878" i="45"/>
  <c r="AB878" i="45"/>
  <c r="X878" i="45"/>
  <c r="T878" i="45"/>
  <c r="P878" i="45"/>
  <c r="L878" i="45"/>
  <c r="AQ878" i="45"/>
  <c r="AA878" i="45"/>
  <c r="AM878" i="45"/>
  <c r="W878" i="45"/>
  <c r="AI878" i="45"/>
  <c r="S878" i="45"/>
  <c r="AU878" i="45"/>
  <c r="AE878" i="45"/>
  <c r="O878" i="45"/>
  <c r="H878" i="45"/>
  <c r="J878" i="45" s="1"/>
  <c r="B983" i="45"/>
  <c r="AS1007" i="45"/>
  <c r="AO1007" i="45"/>
  <c r="AK1007" i="45"/>
  <c r="AG1007" i="45"/>
  <c r="AC1007" i="45"/>
  <c r="Y1007" i="45"/>
  <c r="U1007" i="45"/>
  <c r="Q1007" i="45"/>
  <c r="M1007" i="45"/>
  <c r="AR1007" i="45"/>
  <c r="AN1007" i="45"/>
  <c r="AJ1007" i="45"/>
  <c r="AF1007" i="45"/>
  <c r="AB1007" i="45"/>
  <c r="X1007" i="45"/>
  <c r="T1007" i="45"/>
  <c r="P1007" i="45"/>
  <c r="L1007" i="45"/>
  <c r="AU1007" i="45"/>
  <c r="AQ1007" i="45"/>
  <c r="AM1007" i="45"/>
  <c r="AI1007" i="45"/>
  <c r="AE1007" i="45"/>
  <c r="AA1007" i="45"/>
  <c r="W1007" i="45"/>
  <c r="S1007" i="45"/>
  <c r="O1007" i="45"/>
  <c r="AT1007" i="45"/>
  <c r="AD1007" i="45"/>
  <c r="N1007" i="45"/>
  <c r="AP1007" i="45"/>
  <c r="Z1007" i="45"/>
  <c r="AL1007" i="45"/>
  <c r="V1007" i="45"/>
  <c r="AH1007" i="45"/>
  <c r="R1007" i="45"/>
  <c r="B1112" i="45"/>
  <c r="H1007" i="45"/>
  <c r="J1007" i="45" s="1"/>
  <c r="AT896" i="45"/>
  <c r="AP896" i="45"/>
  <c r="AL896" i="45"/>
  <c r="AH896" i="45"/>
  <c r="AD896" i="45"/>
  <c r="Z896" i="45"/>
  <c r="V896" i="45"/>
  <c r="R896" i="45"/>
  <c r="N896" i="45"/>
  <c r="AS896" i="45"/>
  <c r="AO896" i="45"/>
  <c r="AK896" i="45"/>
  <c r="AG896" i="45"/>
  <c r="AC896" i="45"/>
  <c r="Y896" i="45"/>
  <c r="U896" i="45"/>
  <c r="Q896" i="45"/>
  <c r="M896" i="45"/>
  <c r="AR896" i="45"/>
  <c r="AN896" i="45"/>
  <c r="AJ896" i="45"/>
  <c r="AF896" i="45"/>
  <c r="AB896" i="45"/>
  <c r="X896" i="45"/>
  <c r="T896" i="45"/>
  <c r="P896" i="45"/>
  <c r="L896" i="45"/>
  <c r="AI896" i="45"/>
  <c r="S896" i="45"/>
  <c r="AU896" i="45"/>
  <c r="AE896" i="45"/>
  <c r="O896" i="45"/>
  <c r="AQ896" i="45"/>
  <c r="AA896" i="45"/>
  <c r="AM896" i="45"/>
  <c r="W896" i="45"/>
  <c r="H896" i="45"/>
  <c r="J896" i="45" s="1"/>
  <c r="B1001" i="45"/>
  <c r="AT884" i="45"/>
  <c r="AP884" i="45"/>
  <c r="AL884" i="45"/>
  <c r="AH884" i="45"/>
  <c r="AD884" i="45"/>
  <c r="Z884" i="45"/>
  <c r="V884" i="45"/>
  <c r="R884" i="45"/>
  <c r="N884" i="45"/>
  <c r="AS884" i="45"/>
  <c r="AO884" i="45"/>
  <c r="AK884" i="45"/>
  <c r="AG884" i="45"/>
  <c r="AC884" i="45"/>
  <c r="Y884" i="45"/>
  <c r="U884" i="45"/>
  <c r="Q884" i="45"/>
  <c r="M884" i="45"/>
  <c r="AR884" i="45"/>
  <c r="AN884" i="45"/>
  <c r="AJ884" i="45"/>
  <c r="AF884" i="45"/>
  <c r="AB884" i="45"/>
  <c r="X884" i="45"/>
  <c r="T884" i="45"/>
  <c r="P884" i="45"/>
  <c r="L884" i="45"/>
  <c r="AI884" i="45"/>
  <c r="S884" i="45"/>
  <c r="AU884" i="45"/>
  <c r="AE884" i="45"/>
  <c r="O884" i="45"/>
  <c r="AQ884" i="45"/>
  <c r="AA884" i="45"/>
  <c r="W884" i="45"/>
  <c r="AM884" i="45"/>
  <c r="H884" i="45"/>
  <c r="J884" i="45" s="1"/>
  <c r="B989" i="45"/>
  <c r="AT885" i="45"/>
  <c r="AP885" i="45"/>
  <c r="AL885" i="45"/>
  <c r="AH885" i="45"/>
  <c r="AD885" i="45"/>
  <c r="Z885" i="45"/>
  <c r="V885" i="45"/>
  <c r="R885" i="45"/>
  <c r="N885" i="45"/>
  <c r="AS885" i="45"/>
  <c r="AO885" i="45"/>
  <c r="AK885" i="45"/>
  <c r="AG885" i="45"/>
  <c r="AC885" i="45"/>
  <c r="Y885" i="45"/>
  <c r="U885" i="45"/>
  <c r="Q885" i="45"/>
  <c r="M885" i="45"/>
  <c r="AR885" i="45"/>
  <c r="AN885" i="45"/>
  <c r="AJ885" i="45"/>
  <c r="AF885" i="45"/>
  <c r="AB885" i="45"/>
  <c r="X885" i="45"/>
  <c r="T885" i="45"/>
  <c r="P885" i="45"/>
  <c r="L885" i="45"/>
  <c r="AU885" i="45"/>
  <c r="AE885" i="45"/>
  <c r="O885" i="45"/>
  <c r="AQ885" i="45"/>
  <c r="AA885" i="45"/>
  <c r="AM885" i="45"/>
  <c r="W885" i="45"/>
  <c r="AI885" i="45"/>
  <c r="S885" i="45"/>
  <c r="H885" i="45"/>
  <c r="J885" i="45" s="1"/>
  <c r="B990" i="45"/>
  <c r="AT831" i="45"/>
  <c r="AP831" i="45"/>
  <c r="AL831" i="45"/>
  <c r="AH831" i="45"/>
  <c r="AD831" i="45"/>
  <c r="Z831" i="45"/>
  <c r="V831" i="45"/>
  <c r="R831" i="45"/>
  <c r="N831" i="45"/>
  <c r="AS831" i="45"/>
  <c r="AO831" i="45"/>
  <c r="AK831" i="45"/>
  <c r="AG831" i="45"/>
  <c r="AC831" i="45"/>
  <c r="Y831" i="45"/>
  <c r="U831" i="45"/>
  <c r="Q831" i="45"/>
  <c r="M831" i="45"/>
  <c r="AR831" i="45"/>
  <c r="AN831" i="45"/>
  <c r="AJ831" i="45"/>
  <c r="AF831" i="45"/>
  <c r="AB831" i="45"/>
  <c r="X831" i="45"/>
  <c r="T831" i="45"/>
  <c r="P831" i="45"/>
  <c r="L831" i="45"/>
  <c r="AM831" i="45"/>
  <c r="W831" i="45"/>
  <c r="AI831" i="45"/>
  <c r="S831" i="45"/>
  <c r="AU831" i="45"/>
  <c r="AE831" i="45"/>
  <c r="O831" i="45"/>
  <c r="AA831" i="45"/>
  <c r="AQ831" i="45"/>
  <c r="B936" i="45"/>
  <c r="H831" i="45"/>
  <c r="J831" i="45" s="1"/>
  <c r="AT849" i="45"/>
  <c r="AP849" i="45"/>
  <c r="AL849" i="45"/>
  <c r="AH849" i="45"/>
  <c r="AD849" i="45"/>
  <c r="Z849" i="45"/>
  <c r="V849" i="45"/>
  <c r="R849" i="45"/>
  <c r="N849" i="45"/>
  <c r="AS849" i="45"/>
  <c r="AO849" i="45"/>
  <c r="AK849" i="45"/>
  <c r="AG849" i="45"/>
  <c r="AC849" i="45"/>
  <c r="Y849" i="45"/>
  <c r="U849" i="45"/>
  <c r="Q849" i="45"/>
  <c r="M849" i="45"/>
  <c r="AR849" i="45"/>
  <c r="AN849" i="45"/>
  <c r="AJ849" i="45"/>
  <c r="AF849" i="45"/>
  <c r="AB849" i="45"/>
  <c r="X849" i="45"/>
  <c r="T849" i="45"/>
  <c r="P849" i="45"/>
  <c r="L849" i="45"/>
  <c r="AU849" i="45"/>
  <c r="AE849" i="45"/>
  <c r="O849" i="45"/>
  <c r="AQ849" i="45"/>
  <c r="AA849" i="45"/>
  <c r="AM849" i="45"/>
  <c r="W849" i="45"/>
  <c r="S849" i="45"/>
  <c r="AI849" i="45"/>
  <c r="H849" i="45"/>
  <c r="J849" i="45" s="1"/>
  <c r="B954" i="45"/>
  <c r="AT899" i="45"/>
  <c r="AP899" i="45"/>
  <c r="AL899" i="45"/>
  <c r="AH899" i="45"/>
  <c r="AD899" i="45"/>
  <c r="Z899" i="45"/>
  <c r="V899" i="45"/>
  <c r="R899" i="45"/>
  <c r="N899" i="45"/>
  <c r="AS899" i="45"/>
  <c r="AO899" i="45"/>
  <c r="AK899" i="45"/>
  <c r="AG899" i="45"/>
  <c r="AC899" i="45"/>
  <c r="Y899" i="45"/>
  <c r="U899" i="45"/>
  <c r="Q899" i="45"/>
  <c r="M899" i="45"/>
  <c r="AR899" i="45"/>
  <c r="AN899" i="45"/>
  <c r="AJ899" i="45"/>
  <c r="AF899" i="45"/>
  <c r="AB899" i="45"/>
  <c r="X899" i="45"/>
  <c r="T899" i="45"/>
  <c r="P899" i="45"/>
  <c r="L899" i="45"/>
  <c r="AM899" i="45"/>
  <c r="W899" i="45"/>
  <c r="AI899" i="45"/>
  <c r="S899" i="45"/>
  <c r="AU899" i="45"/>
  <c r="AE899" i="45"/>
  <c r="O899" i="45"/>
  <c r="AQ899" i="45"/>
  <c r="AA899" i="45"/>
  <c r="B1004" i="45"/>
  <c r="H899" i="45"/>
  <c r="J899" i="45" s="1"/>
  <c r="AT839" i="45"/>
  <c r="AP839" i="45"/>
  <c r="AL839" i="45"/>
  <c r="AH839" i="45"/>
  <c r="AD839" i="45"/>
  <c r="Z839" i="45"/>
  <c r="V839" i="45"/>
  <c r="R839" i="45"/>
  <c r="N839" i="45"/>
  <c r="AS839" i="45"/>
  <c r="AO839" i="45"/>
  <c r="AK839" i="45"/>
  <c r="AG839" i="45"/>
  <c r="AC839" i="45"/>
  <c r="Y839" i="45"/>
  <c r="U839" i="45"/>
  <c r="Q839" i="45"/>
  <c r="M839" i="45"/>
  <c r="AR839" i="45"/>
  <c r="AN839" i="45"/>
  <c r="AJ839" i="45"/>
  <c r="AF839" i="45"/>
  <c r="AB839" i="45"/>
  <c r="X839" i="45"/>
  <c r="T839" i="45"/>
  <c r="P839" i="45"/>
  <c r="L839" i="45"/>
  <c r="AM839" i="45"/>
  <c r="W839" i="45"/>
  <c r="AI839" i="45"/>
  <c r="S839" i="45"/>
  <c r="AU839" i="45"/>
  <c r="AE839" i="45"/>
  <c r="O839" i="45"/>
  <c r="AQ839" i="45"/>
  <c r="AA839" i="45"/>
  <c r="H839" i="45"/>
  <c r="J839" i="45" s="1"/>
  <c r="B944" i="45"/>
  <c r="AT859" i="45"/>
  <c r="AP859" i="45"/>
  <c r="AL859" i="45"/>
  <c r="AH859" i="45"/>
  <c r="AD859" i="45"/>
  <c r="Z859" i="45"/>
  <c r="V859" i="45"/>
  <c r="R859" i="45"/>
  <c r="N859" i="45"/>
  <c r="AS859" i="45"/>
  <c r="AO859" i="45"/>
  <c r="AK859" i="45"/>
  <c r="AG859" i="45"/>
  <c r="AC859" i="45"/>
  <c r="Y859" i="45"/>
  <c r="U859" i="45"/>
  <c r="Q859" i="45"/>
  <c r="M859" i="45"/>
  <c r="AR859" i="45"/>
  <c r="AN859" i="45"/>
  <c r="AJ859" i="45"/>
  <c r="AF859" i="45"/>
  <c r="AB859" i="45"/>
  <c r="X859" i="45"/>
  <c r="T859" i="45"/>
  <c r="P859" i="45"/>
  <c r="L859" i="45"/>
  <c r="AM859" i="45"/>
  <c r="W859" i="45"/>
  <c r="AI859" i="45"/>
  <c r="S859" i="45"/>
  <c r="AU859" i="45"/>
  <c r="AE859" i="45"/>
  <c r="O859" i="45"/>
  <c r="AA859" i="45"/>
  <c r="AQ859" i="45"/>
  <c r="H859" i="45"/>
  <c r="J859" i="45" s="1"/>
  <c r="B964" i="45"/>
  <c r="AS1010" i="45"/>
  <c r="AO1010" i="45"/>
  <c r="AK1010" i="45"/>
  <c r="AG1010" i="45"/>
  <c r="AC1010" i="45"/>
  <c r="Y1010" i="45"/>
  <c r="U1010" i="45"/>
  <c r="Q1010" i="45"/>
  <c r="M1010" i="45"/>
  <c r="AR1010" i="45"/>
  <c r="AN1010" i="45"/>
  <c r="AJ1010" i="45"/>
  <c r="AF1010" i="45"/>
  <c r="AB1010" i="45"/>
  <c r="X1010" i="45"/>
  <c r="T1010" i="45"/>
  <c r="P1010" i="45"/>
  <c r="L1010" i="45"/>
  <c r="AU1010" i="45"/>
  <c r="AQ1010" i="45"/>
  <c r="AM1010" i="45"/>
  <c r="AI1010" i="45"/>
  <c r="AE1010" i="45"/>
  <c r="AA1010" i="45"/>
  <c r="W1010" i="45"/>
  <c r="S1010" i="45"/>
  <c r="O1010" i="45"/>
  <c r="AH1010" i="45"/>
  <c r="R1010" i="45"/>
  <c r="AT1010" i="45"/>
  <c r="AD1010" i="45"/>
  <c r="N1010" i="45"/>
  <c r="AP1010" i="45"/>
  <c r="Z1010" i="45"/>
  <c r="V1010" i="45"/>
  <c r="AL1010" i="45"/>
  <c r="H1010" i="45"/>
  <c r="J1010" i="45" s="1"/>
  <c r="B1115" i="45"/>
  <c r="AT833" i="45"/>
  <c r="AP833" i="45"/>
  <c r="AL833" i="45"/>
  <c r="AH833" i="45"/>
  <c r="AD833" i="45"/>
  <c r="Z833" i="45"/>
  <c r="V833" i="45"/>
  <c r="R833" i="45"/>
  <c r="N833" i="45"/>
  <c r="AS833" i="45"/>
  <c r="AO833" i="45"/>
  <c r="AK833" i="45"/>
  <c r="AG833" i="45"/>
  <c r="AC833" i="45"/>
  <c r="Y833" i="45"/>
  <c r="U833" i="45"/>
  <c r="Q833" i="45"/>
  <c r="M833" i="45"/>
  <c r="AR833" i="45"/>
  <c r="AN833" i="45"/>
  <c r="AJ833" i="45"/>
  <c r="AF833" i="45"/>
  <c r="AB833" i="45"/>
  <c r="X833" i="45"/>
  <c r="T833" i="45"/>
  <c r="P833" i="45"/>
  <c r="L833" i="45"/>
  <c r="AU833" i="45"/>
  <c r="AE833" i="45"/>
  <c r="O833" i="45"/>
  <c r="AQ833" i="45"/>
  <c r="AA833" i="45"/>
  <c r="AM833" i="45"/>
  <c r="W833" i="45"/>
  <c r="S833" i="45"/>
  <c r="AI833" i="45"/>
  <c r="H833" i="45"/>
  <c r="J833" i="45" s="1"/>
  <c r="B938" i="45"/>
  <c r="AT895" i="45"/>
  <c r="AP895" i="45"/>
  <c r="AL895" i="45"/>
  <c r="AH895" i="45"/>
  <c r="AD895" i="45"/>
  <c r="Z895" i="45"/>
  <c r="V895" i="45"/>
  <c r="R895" i="45"/>
  <c r="N895" i="45"/>
  <c r="AS895" i="45"/>
  <c r="AO895" i="45"/>
  <c r="AK895" i="45"/>
  <c r="AG895" i="45"/>
  <c r="AC895" i="45"/>
  <c r="Y895" i="45"/>
  <c r="U895" i="45"/>
  <c r="Q895" i="45"/>
  <c r="M895" i="45"/>
  <c r="AR895" i="45"/>
  <c r="AN895" i="45"/>
  <c r="AJ895" i="45"/>
  <c r="AF895" i="45"/>
  <c r="AB895" i="45"/>
  <c r="X895" i="45"/>
  <c r="T895" i="45"/>
  <c r="P895" i="45"/>
  <c r="L895" i="45"/>
  <c r="AM895" i="45"/>
  <c r="W895" i="45"/>
  <c r="AI895" i="45"/>
  <c r="S895" i="45"/>
  <c r="AU895" i="45"/>
  <c r="AE895" i="45"/>
  <c r="O895" i="45"/>
  <c r="AA895" i="45"/>
  <c r="AQ895" i="45"/>
  <c r="H895" i="45"/>
  <c r="J895" i="45" s="1"/>
  <c r="B1000" i="45"/>
  <c r="AT843" i="45"/>
  <c r="AP843" i="45"/>
  <c r="AL843" i="45"/>
  <c r="AH843" i="45"/>
  <c r="AD843" i="45"/>
  <c r="Z843" i="45"/>
  <c r="V843" i="45"/>
  <c r="R843" i="45"/>
  <c r="N843" i="45"/>
  <c r="AS843" i="45"/>
  <c r="AO843" i="45"/>
  <c r="AK843" i="45"/>
  <c r="AG843" i="45"/>
  <c r="AC843" i="45"/>
  <c r="Y843" i="45"/>
  <c r="U843" i="45"/>
  <c r="Q843" i="45"/>
  <c r="M843" i="45"/>
  <c r="AR843" i="45"/>
  <c r="AN843" i="45"/>
  <c r="AJ843" i="45"/>
  <c r="AF843" i="45"/>
  <c r="AB843" i="45"/>
  <c r="X843" i="45"/>
  <c r="T843" i="45"/>
  <c r="P843" i="45"/>
  <c r="L843" i="45"/>
  <c r="AM843" i="45"/>
  <c r="W843" i="45"/>
  <c r="AI843" i="45"/>
  <c r="S843" i="45"/>
  <c r="AU843" i="45"/>
  <c r="AE843" i="45"/>
  <c r="O843" i="45"/>
  <c r="AA843" i="45"/>
  <c r="AQ843" i="45"/>
  <c r="B948" i="45"/>
  <c r="H843" i="45"/>
  <c r="J843" i="45" s="1"/>
  <c r="AU1019" i="45"/>
  <c r="AQ1019" i="45"/>
  <c r="AM1019" i="45"/>
  <c r="AI1019" i="45"/>
  <c r="AE1019" i="45"/>
  <c r="AA1019" i="45"/>
  <c r="W1019" i="45"/>
  <c r="S1019" i="45"/>
  <c r="O1019" i="45"/>
  <c r="AT1019" i="45"/>
  <c r="AP1019" i="45"/>
  <c r="AL1019" i="45"/>
  <c r="AH1019" i="45"/>
  <c r="AD1019" i="45"/>
  <c r="Z1019" i="45"/>
  <c r="V1019" i="45"/>
  <c r="R1019" i="45"/>
  <c r="N1019" i="45"/>
  <c r="AR1019" i="45"/>
  <c r="AJ1019" i="45"/>
  <c r="AB1019" i="45"/>
  <c r="T1019" i="45"/>
  <c r="L1019" i="45"/>
  <c r="AO1019" i="45"/>
  <c r="AG1019" i="45"/>
  <c r="Y1019" i="45"/>
  <c r="Q1019" i="45"/>
  <c r="AN1019" i="45"/>
  <c r="AF1019" i="45"/>
  <c r="X1019" i="45"/>
  <c r="P1019" i="45"/>
  <c r="AK1019" i="45"/>
  <c r="AC1019" i="45"/>
  <c r="U1019" i="45"/>
  <c r="AS1019" i="45"/>
  <c r="M1019" i="45"/>
  <c r="H1019" i="45"/>
  <c r="J1019" i="45" s="1"/>
  <c r="B1124" i="45"/>
  <c r="AS1015" i="45"/>
  <c r="AO1015" i="45"/>
  <c r="AK1015" i="45"/>
  <c r="AG1015" i="45"/>
  <c r="AC1015" i="45"/>
  <c r="Y1015" i="45"/>
  <c r="U1015" i="45"/>
  <c r="Q1015" i="45"/>
  <c r="M1015" i="45"/>
  <c r="AR1015" i="45"/>
  <c r="AN1015" i="45"/>
  <c r="AJ1015" i="45"/>
  <c r="AF1015" i="45"/>
  <c r="AB1015" i="45"/>
  <c r="X1015" i="45"/>
  <c r="T1015" i="45"/>
  <c r="P1015" i="45"/>
  <c r="L1015" i="45"/>
  <c r="AU1015" i="45"/>
  <c r="AQ1015" i="45"/>
  <c r="AM1015" i="45"/>
  <c r="AI1015" i="45"/>
  <c r="AE1015" i="45"/>
  <c r="AA1015" i="45"/>
  <c r="W1015" i="45"/>
  <c r="S1015" i="45"/>
  <c r="O1015" i="45"/>
  <c r="AT1015" i="45"/>
  <c r="AD1015" i="45"/>
  <c r="N1015" i="45"/>
  <c r="AP1015" i="45"/>
  <c r="Z1015" i="45"/>
  <c r="AL1015" i="45"/>
  <c r="V1015" i="45"/>
  <c r="AH1015" i="45"/>
  <c r="R1015" i="45"/>
  <c r="B1120" i="45"/>
  <c r="H1015" i="45"/>
  <c r="J1015" i="45" s="1"/>
  <c r="AT841" i="45"/>
  <c r="AP841" i="45"/>
  <c r="AL841" i="45"/>
  <c r="AH841" i="45"/>
  <c r="AD841" i="45"/>
  <c r="Z841" i="45"/>
  <c r="V841" i="45"/>
  <c r="R841" i="45"/>
  <c r="N841" i="45"/>
  <c r="AS841" i="45"/>
  <c r="AO841" i="45"/>
  <c r="AK841" i="45"/>
  <c r="AG841" i="45"/>
  <c r="AC841" i="45"/>
  <c r="Y841" i="45"/>
  <c r="U841" i="45"/>
  <c r="Q841" i="45"/>
  <c r="M841" i="45"/>
  <c r="AR841" i="45"/>
  <c r="AN841" i="45"/>
  <c r="AJ841" i="45"/>
  <c r="AF841" i="45"/>
  <c r="AB841" i="45"/>
  <c r="X841" i="45"/>
  <c r="T841" i="45"/>
  <c r="P841" i="45"/>
  <c r="L841" i="45"/>
  <c r="AU841" i="45"/>
  <c r="AE841" i="45"/>
  <c r="O841" i="45"/>
  <c r="AQ841" i="45"/>
  <c r="AA841" i="45"/>
  <c r="AM841" i="45"/>
  <c r="W841" i="45"/>
  <c r="AI841" i="45"/>
  <c r="S841" i="45"/>
  <c r="H841" i="45"/>
  <c r="J841" i="45" s="1"/>
  <c r="B946" i="45"/>
  <c r="AT861" i="45"/>
  <c r="AP861" i="45"/>
  <c r="AL861" i="45"/>
  <c r="AH861" i="45"/>
  <c r="AD861" i="45"/>
  <c r="Z861" i="45"/>
  <c r="V861" i="45"/>
  <c r="R861" i="45"/>
  <c r="N861" i="45"/>
  <c r="AS861" i="45"/>
  <c r="AO861" i="45"/>
  <c r="AK861" i="45"/>
  <c r="AG861" i="45"/>
  <c r="AC861" i="45"/>
  <c r="Y861" i="45"/>
  <c r="U861" i="45"/>
  <c r="Q861" i="45"/>
  <c r="M861" i="45"/>
  <c r="AR861" i="45"/>
  <c r="AN861" i="45"/>
  <c r="AJ861" i="45"/>
  <c r="AF861" i="45"/>
  <c r="AB861" i="45"/>
  <c r="X861" i="45"/>
  <c r="T861" i="45"/>
  <c r="P861" i="45"/>
  <c r="L861" i="45"/>
  <c r="AU861" i="45"/>
  <c r="AE861" i="45"/>
  <c r="O861" i="45"/>
  <c r="AQ861" i="45"/>
  <c r="AA861" i="45"/>
  <c r="AM861" i="45"/>
  <c r="W861" i="45"/>
  <c r="S861" i="45"/>
  <c r="AI861" i="45"/>
  <c r="H861" i="45"/>
  <c r="J861" i="45" s="1"/>
  <c r="B966" i="45"/>
  <c r="AT881" i="45"/>
  <c r="AP881" i="45"/>
  <c r="AL881" i="45"/>
  <c r="AH881" i="45"/>
  <c r="AD881" i="45"/>
  <c r="Z881" i="45"/>
  <c r="V881" i="45"/>
  <c r="R881" i="45"/>
  <c r="N881" i="45"/>
  <c r="AS881" i="45"/>
  <c r="AO881" i="45"/>
  <c r="AK881" i="45"/>
  <c r="AG881" i="45"/>
  <c r="AC881" i="45"/>
  <c r="Y881" i="45"/>
  <c r="U881" i="45"/>
  <c r="Q881" i="45"/>
  <c r="M881" i="45"/>
  <c r="AR881" i="45"/>
  <c r="AN881" i="45"/>
  <c r="AJ881" i="45"/>
  <c r="AF881" i="45"/>
  <c r="AB881" i="45"/>
  <c r="X881" i="45"/>
  <c r="T881" i="45"/>
  <c r="P881" i="45"/>
  <c r="L881" i="45"/>
  <c r="AU881" i="45"/>
  <c r="AE881" i="45"/>
  <c r="O881" i="45"/>
  <c r="AQ881" i="45"/>
  <c r="AA881" i="45"/>
  <c r="AM881" i="45"/>
  <c r="W881" i="45"/>
  <c r="S881" i="45"/>
  <c r="AI881" i="45"/>
  <c r="H881" i="45"/>
  <c r="J881" i="45" s="1"/>
  <c r="B986" i="45"/>
  <c r="AT894" i="45"/>
  <c r="AP894" i="45"/>
  <c r="AL894" i="45"/>
  <c r="AH894" i="45"/>
  <c r="AD894" i="45"/>
  <c r="Z894" i="45"/>
  <c r="V894" i="45"/>
  <c r="R894" i="45"/>
  <c r="N894" i="45"/>
  <c r="AS894" i="45"/>
  <c r="AO894" i="45"/>
  <c r="AK894" i="45"/>
  <c r="AG894" i="45"/>
  <c r="AC894" i="45"/>
  <c r="Y894" i="45"/>
  <c r="U894" i="45"/>
  <c r="Q894" i="45"/>
  <c r="M894" i="45"/>
  <c r="AR894" i="45"/>
  <c r="AN894" i="45"/>
  <c r="AJ894" i="45"/>
  <c r="AF894" i="45"/>
  <c r="AB894" i="45"/>
  <c r="X894" i="45"/>
  <c r="T894" i="45"/>
  <c r="P894" i="45"/>
  <c r="L894" i="45"/>
  <c r="AQ894" i="45"/>
  <c r="AA894" i="45"/>
  <c r="AM894" i="45"/>
  <c r="W894" i="45"/>
  <c r="AI894" i="45"/>
  <c r="S894" i="45"/>
  <c r="AU894" i="45"/>
  <c r="AE894" i="45"/>
  <c r="O894" i="45"/>
  <c r="H894" i="45"/>
  <c r="J894" i="45" s="1"/>
  <c r="B999" i="45"/>
  <c r="AT830" i="45"/>
  <c r="AP830" i="45"/>
  <c r="AL830" i="45"/>
  <c r="AH830" i="45"/>
  <c r="AD830" i="45"/>
  <c r="Z830" i="45"/>
  <c r="V830" i="45"/>
  <c r="R830" i="45"/>
  <c r="N830" i="45"/>
  <c r="AS830" i="45"/>
  <c r="AO830" i="45"/>
  <c r="AK830" i="45"/>
  <c r="AG830" i="45"/>
  <c r="AC830" i="45"/>
  <c r="Y830" i="45"/>
  <c r="U830" i="45"/>
  <c r="Q830" i="45"/>
  <c r="M830" i="45"/>
  <c r="AR830" i="45"/>
  <c r="AN830" i="45"/>
  <c r="AJ830" i="45"/>
  <c r="AF830" i="45"/>
  <c r="AB830" i="45"/>
  <c r="X830" i="45"/>
  <c r="T830" i="45"/>
  <c r="P830" i="45"/>
  <c r="L830" i="45"/>
  <c r="AQ830" i="45"/>
  <c r="AA830" i="45"/>
  <c r="AM830" i="45"/>
  <c r="W830" i="45"/>
  <c r="AI830" i="45"/>
  <c r="S830" i="45"/>
  <c r="AU830" i="45"/>
  <c r="AE830" i="45"/>
  <c r="O830" i="45"/>
  <c r="B935" i="45"/>
  <c r="H830" i="45"/>
  <c r="J830" i="45" s="1"/>
  <c r="AU1018" i="45"/>
  <c r="AQ1018" i="45"/>
  <c r="AM1018" i="45"/>
  <c r="AI1018" i="45"/>
  <c r="AE1018" i="45"/>
  <c r="AA1018" i="45"/>
  <c r="W1018" i="45"/>
  <c r="S1018" i="45"/>
  <c r="O1018" i="45"/>
  <c r="AT1018" i="45"/>
  <c r="AP1018" i="45"/>
  <c r="AL1018" i="45"/>
  <c r="AH1018" i="45"/>
  <c r="AD1018" i="45"/>
  <c r="Z1018" i="45"/>
  <c r="V1018" i="45"/>
  <c r="R1018" i="45"/>
  <c r="N1018" i="45"/>
  <c r="AN1018" i="45"/>
  <c r="AF1018" i="45"/>
  <c r="X1018" i="45"/>
  <c r="P1018" i="45"/>
  <c r="AS1018" i="45"/>
  <c r="AK1018" i="45"/>
  <c r="AC1018" i="45"/>
  <c r="U1018" i="45"/>
  <c r="M1018" i="45"/>
  <c r="AR1018" i="45"/>
  <c r="AJ1018" i="45"/>
  <c r="AB1018" i="45"/>
  <c r="T1018" i="45"/>
  <c r="L1018" i="45"/>
  <c r="AO1018" i="45"/>
  <c r="AG1018" i="45"/>
  <c r="Y1018" i="45"/>
  <c r="Q1018" i="45"/>
  <c r="H1018" i="45"/>
  <c r="J1018" i="45" s="1"/>
  <c r="B1123" i="45"/>
  <c r="AR1021" i="45"/>
  <c r="AN1021" i="45"/>
  <c r="AJ1021" i="45"/>
  <c r="AF1021" i="45"/>
  <c r="AB1021" i="45"/>
  <c r="X1021" i="45"/>
  <c r="T1021" i="45"/>
  <c r="P1021" i="45"/>
  <c r="L1021" i="45"/>
  <c r="AT1021" i="45"/>
  <c r="AP1021" i="45"/>
  <c r="AL1021" i="45"/>
  <c r="AH1021" i="45"/>
  <c r="AD1021" i="45"/>
  <c r="Z1021" i="45"/>
  <c r="V1021" i="45"/>
  <c r="R1021" i="45"/>
  <c r="N1021" i="45"/>
  <c r="AO1021" i="45"/>
  <c r="AG1021" i="45"/>
  <c r="Y1021" i="45"/>
  <c r="Q1021" i="45"/>
  <c r="AS1021" i="45"/>
  <c r="AK1021" i="45"/>
  <c r="AC1021" i="45"/>
  <c r="U1021" i="45"/>
  <c r="M1021" i="45"/>
  <c r="AQ1021" i="45"/>
  <c r="AA1021" i="45"/>
  <c r="AM1021" i="45"/>
  <c r="W1021" i="45"/>
  <c r="AI1021" i="45"/>
  <c r="S1021" i="45"/>
  <c r="AU1021" i="45"/>
  <c r="AE1021" i="45"/>
  <c r="O1021" i="45"/>
  <c r="AT915" i="45"/>
  <c r="AP915" i="45"/>
  <c r="AL915" i="45"/>
  <c r="AH915" i="45"/>
  <c r="AD915" i="45"/>
  <c r="Z915" i="45"/>
  <c r="V915" i="45"/>
  <c r="R915" i="45"/>
  <c r="N915" i="45"/>
  <c r="AR915" i="45"/>
  <c r="AN915" i="45"/>
  <c r="AJ915" i="45"/>
  <c r="AF915" i="45"/>
  <c r="AB915" i="45"/>
  <c r="X915" i="45"/>
  <c r="T915" i="45"/>
  <c r="P915" i="45"/>
  <c r="L915" i="45"/>
  <c r="AU915" i="45"/>
  <c r="AM915" i="45"/>
  <c r="AE915" i="45"/>
  <c r="W915" i="45"/>
  <c r="O915" i="45"/>
  <c r="AS915" i="45"/>
  <c r="AK915" i="45"/>
  <c r="AC915" i="45"/>
  <c r="U915" i="45"/>
  <c r="M915" i="45"/>
  <c r="AQ915" i="45"/>
  <c r="AI915" i="45"/>
  <c r="AA915" i="45"/>
  <c r="S915" i="45"/>
  <c r="AO915" i="45"/>
  <c r="AG915" i="45"/>
  <c r="Y915" i="45"/>
  <c r="Q915" i="45"/>
  <c r="B1020" i="45"/>
  <c r="H915" i="45"/>
  <c r="J915" i="45" s="1"/>
  <c r="H1021" i="45"/>
  <c r="J1021" i="45" s="1"/>
  <c r="B1126" i="45"/>
  <c r="V227" i="45"/>
  <c r="T8" i="45"/>
  <c r="T12" i="45" s="1"/>
  <c r="V201" i="45"/>
  <c r="BK6" i="44"/>
  <c r="W199" i="45"/>
  <c r="X189" i="45"/>
  <c r="W206" i="45"/>
  <c r="V207" i="45"/>
  <c r="V209" i="45"/>
  <c r="X217" i="45"/>
  <c r="AO205" i="45"/>
  <c r="Z197" i="45"/>
  <c r="V195" i="45"/>
  <c r="X279" i="45"/>
  <c r="X278" i="45"/>
  <c r="W276" i="45"/>
  <c r="V273" i="45"/>
  <c r="W274" i="45"/>
  <c r="AD268" i="45"/>
  <c r="AC270" i="45"/>
  <c r="V272" i="45"/>
  <c r="V275" i="45"/>
  <c r="V271" i="45"/>
  <c r="W266" i="45"/>
  <c r="W277" i="45"/>
  <c r="W262" i="45"/>
  <c r="W264" i="45"/>
  <c r="V263" i="45"/>
  <c r="AJ254" i="45"/>
  <c r="X242" i="45"/>
  <c r="Y258" i="45"/>
  <c r="W246" i="45"/>
  <c r="X238" i="45"/>
  <c r="Y250" i="45"/>
  <c r="X234" i="45"/>
  <c r="W187" i="45"/>
  <c r="X220" i="45"/>
  <c r="W244" i="45"/>
  <c r="Y193" i="45"/>
  <c r="W256" i="45"/>
  <c r="W210" i="45"/>
  <c r="W190" i="45"/>
  <c r="W225" i="45"/>
  <c r="W224" i="45"/>
  <c r="W223" i="45"/>
  <c r="W213" i="45"/>
  <c r="AG243" i="45"/>
  <c r="W252" i="45"/>
  <c r="W260" i="45"/>
  <c r="W200" i="45"/>
  <c r="W232" i="45"/>
  <c r="W248" i="45"/>
  <c r="W196" i="45"/>
  <c r="W230" i="45"/>
  <c r="W233" i="45"/>
  <c r="W259" i="45"/>
  <c r="W226" i="45"/>
  <c r="W214" i="45"/>
  <c r="W222" i="45"/>
  <c r="X216" i="45"/>
  <c r="W212" i="45"/>
  <c r="W255" i="45"/>
  <c r="X231" i="45"/>
  <c r="W261" i="45"/>
  <c r="W194" i="45"/>
  <c r="W245" i="45"/>
  <c r="W198" i="45"/>
  <c r="W186" i="45"/>
  <c r="W396" i="45" s="1"/>
  <c r="W257" i="45"/>
  <c r="AB253" i="45"/>
  <c r="X191" i="45"/>
  <c r="X204" i="45"/>
  <c r="W239" i="45"/>
  <c r="W229" i="45"/>
  <c r="W219" i="45"/>
  <c r="W211" i="45"/>
  <c r="W249" i="45"/>
  <c r="W192" i="45"/>
  <c r="V203" i="45"/>
  <c r="W237" i="45"/>
  <c r="W215" i="45"/>
  <c r="W236" i="45"/>
  <c r="V221" i="45"/>
  <c r="V218" i="45"/>
  <c r="X208" i="45"/>
  <c r="AP18" i="50"/>
  <c r="AP21" i="50" s="1"/>
  <c r="AP25" i="50" s="1"/>
  <c r="AP28" i="50" s="1"/>
  <c r="AP29" i="50" s="1"/>
  <c r="Q3" i="45"/>
  <c r="BK9" i="44" a="1"/>
  <c r="BC154" i="3" l="1"/>
  <c r="BB76" i="3"/>
  <c r="BB107" i="3" s="1"/>
  <c r="BC42" i="3"/>
  <c r="BC33" i="3" s="1"/>
  <c r="BB111" i="3"/>
  <c r="BB141" i="3" s="1"/>
  <c r="BC111" i="3"/>
  <c r="BC141" i="3" s="1"/>
  <c r="BB42" i="3"/>
  <c r="BB33" i="3" s="1"/>
  <c r="BB70" i="3" s="1"/>
  <c r="BC70" i="3"/>
  <c r="BB48" i="2"/>
  <c r="BB44" i="2" s="1"/>
  <c r="BB36" i="2"/>
  <c r="BC48" i="2"/>
  <c r="BC44" i="2" s="1"/>
  <c r="BC36" i="2"/>
  <c r="BB64" i="2"/>
  <c r="BC145" i="3"/>
  <c r="BC176" i="3" s="1"/>
  <c r="BC107" i="3"/>
  <c r="BC64" i="2"/>
  <c r="AH76" i="2"/>
  <c r="AH77" i="2"/>
  <c r="AH78" i="2" s="1"/>
  <c r="AH82" i="2"/>
  <c r="AD82" i="2"/>
  <c r="AD77" i="2"/>
  <c r="AD78" i="2" s="1"/>
  <c r="AD76" i="2"/>
  <c r="AJ186" i="3"/>
  <c r="AJ193" i="3"/>
  <c r="AJ180" i="3"/>
  <c r="AJ181" i="3" s="1"/>
  <c r="AI179" i="3"/>
  <c r="AB73" i="2"/>
  <c r="AB75" i="2" s="1"/>
  <c r="AJ76" i="2"/>
  <c r="AJ82" i="2"/>
  <c r="AJ77" i="2"/>
  <c r="AJ78" i="2" s="1"/>
  <c r="AA44" i="2"/>
  <c r="AA35" i="2"/>
  <c r="AA73" i="2" s="1"/>
  <c r="AA75" i="2" s="1"/>
  <c r="AL73" i="3"/>
  <c r="AJ179" i="3"/>
  <c r="AA178" i="3"/>
  <c r="AA73" i="3"/>
  <c r="AE73" i="2"/>
  <c r="AE75" i="2" s="1"/>
  <c r="AK73" i="3"/>
  <c r="AK178" i="3"/>
  <c r="AF44" i="2"/>
  <c r="AF35" i="2" s="1"/>
  <c r="AF73" i="2" s="1"/>
  <c r="AF75" i="2" s="1"/>
  <c r="AI73" i="2"/>
  <c r="AI75" i="2" s="1"/>
  <c r="AH73" i="3"/>
  <c r="AH178" i="3"/>
  <c r="AB73" i="3"/>
  <c r="AB178" i="3"/>
  <c r="AK35" i="2"/>
  <c r="AK73" i="2" s="1"/>
  <c r="AK75" i="2" s="1"/>
  <c r="Z35" i="2"/>
  <c r="Z73" i="2" s="1"/>
  <c r="Z75" i="2" s="1"/>
  <c r="AC44" i="2"/>
  <c r="AC35" i="2" s="1"/>
  <c r="AC73" i="2" s="1"/>
  <c r="AC75" i="2" s="1"/>
  <c r="AE73" i="3"/>
  <c r="AE178" i="3"/>
  <c r="BK9" i="44"/>
  <c r="AF179" i="3"/>
  <c r="AF180" i="3"/>
  <c r="AF181" i="3" s="1"/>
  <c r="AF185" i="3"/>
  <c r="AL180" i="3"/>
  <c r="AL181" i="3" s="1"/>
  <c r="AL179" i="3"/>
  <c r="AL185" i="3"/>
  <c r="AC185" i="3"/>
  <c r="AC180" i="3"/>
  <c r="AC181" i="3" s="1"/>
  <c r="AC179" i="3"/>
  <c r="AG185" i="3"/>
  <c r="AG179" i="3"/>
  <c r="AG180" i="3"/>
  <c r="AG181" i="3" s="1"/>
  <c r="AL82" i="2"/>
  <c r="AL77" i="2"/>
  <c r="AL78" i="2" s="1"/>
  <c r="AL76" i="2"/>
  <c r="AI186" i="3"/>
  <c r="AI193" i="3"/>
  <c r="AD180" i="3"/>
  <c r="AD181" i="3" s="1"/>
  <c r="AD179" i="3"/>
  <c r="AD185" i="3"/>
  <c r="Z196" i="3"/>
  <c r="Z197" i="3" s="1"/>
  <c r="Z199" i="3"/>
  <c r="AJ199" i="3"/>
  <c r="AJ196" i="3"/>
  <c r="AJ197" i="3" s="1"/>
  <c r="AG83" i="2"/>
  <c r="AG90" i="2"/>
  <c r="L816" i="45"/>
  <c r="W816" i="45"/>
  <c r="P816" i="45"/>
  <c r="M816" i="45"/>
  <c r="V816" i="45"/>
  <c r="S816" i="45"/>
  <c r="N816" i="45"/>
  <c r="T816" i="45"/>
  <c r="Q816" i="45"/>
  <c r="U816" i="45"/>
  <c r="R816" i="45"/>
  <c r="O816" i="45"/>
  <c r="W711" i="45"/>
  <c r="AS986" i="45"/>
  <c r="AO986" i="45"/>
  <c r="AK986" i="45"/>
  <c r="AG986" i="45"/>
  <c r="AC986" i="45"/>
  <c r="Y986" i="45"/>
  <c r="U986" i="45"/>
  <c r="Q986" i="45"/>
  <c r="M986" i="45"/>
  <c r="AR986" i="45"/>
  <c r="AN986" i="45"/>
  <c r="AJ986" i="45"/>
  <c r="AF986" i="45"/>
  <c r="AB986" i="45"/>
  <c r="X986" i="45"/>
  <c r="T986" i="45"/>
  <c r="P986" i="45"/>
  <c r="L986" i="45"/>
  <c r="AU986" i="45"/>
  <c r="AQ986" i="45"/>
  <c r="AM986" i="45"/>
  <c r="AI986" i="45"/>
  <c r="AE986" i="45"/>
  <c r="AA986" i="45"/>
  <c r="W986" i="45"/>
  <c r="S986" i="45"/>
  <c r="O986" i="45"/>
  <c r="AH986" i="45"/>
  <c r="R986" i="45"/>
  <c r="AT986" i="45"/>
  <c r="AD986" i="45"/>
  <c r="N986" i="45"/>
  <c r="AP986" i="45"/>
  <c r="Z986" i="45"/>
  <c r="AL986" i="45"/>
  <c r="V986" i="45"/>
  <c r="H986" i="45"/>
  <c r="J986" i="45" s="1"/>
  <c r="B1091" i="45"/>
  <c r="AS946" i="45"/>
  <c r="AO946" i="45"/>
  <c r="AK946" i="45"/>
  <c r="AG946" i="45"/>
  <c r="AC946" i="45"/>
  <c r="Y946" i="45"/>
  <c r="U946" i="45"/>
  <c r="Q946" i="45"/>
  <c r="M946" i="45"/>
  <c r="AU946" i="45"/>
  <c r="AQ946" i="45"/>
  <c r="AM946" i="45"/>
  <c r="AI946" i="45"/>
  <c r="AE946" i="45"/>
  <c r="AA946" i="45"/>
  <c r="W946" i="45"/>
  <c r="S946" i="45"/>
  <c r="O946" i="45"/>
  <c r="AR946" i="45"/>
  <c r="AJ946" i="45"/>
  <c r="AB946" i="45"/>
  <c r="T946" i="45"/>
  <c r="L946" i="45"/>
  <c r="AP946" i="45"/>
  <c r="AH946" i="45"/>
  <c r="Z946" i="45"/>
  <c r="R946" i="45"/>
  <c r="AN946" i="45"/>
  <c r="AF946" i="45"/>
  <c r="X946" i="45"/>
  <c r="P946" i="45"/>
  <c r="AD946" i="45"/>
  <c r="V946" i="45"/>
  <c r="AT946" i="45"/>
  <c r="N946" i="45"/>
  <c r="AL946" i="45"/>
  <c r="B1051" i="45"/>
  <c r="H946" i="45"/>
  <c r="J946" i="45" s="1"/>
  <c r="AU1124" i="45"/>
  <c r="AQ1124" i="45"/>
  <c r="AM1124" i="45"/>
  <c r="AI1124" i="45"/>
  <c r="AE1124" i="45"/>
  <c r="AA1124" i="45"/>
  <c r="W1124" i="45"/>
  <c r="S1124" i="45"/>
  <c r="O1124" i="45"/>
  <c r="AT1124" i="45"/>
  <c r="AP1124" i="45"/>
  <c r="AL1124" i="45"/>
  <c r="AH1124" i="45"/>
  <c r="AD1124" i="45"/>
  <c r="Z1124" i="45"/>
  <c r="V1124" i="45"/>
  <c r="R1124" i="45"/>
  <c r="N1124" i="45"/>
  <c r="AN1124" i="45"/>
  <c r="AF1124" i="45"/>
  <c r="X1124" i="45"/>
  <c r="P1124" i="45"/>
  <c r="AS1124" i="45"/>
  <c r="AK1124" i="45"/>
  <c r="AC1124" i="45"/>
  <c r="U1124" i="45"/>
  <c r="M1124" i="45"/>
  <c r="AR1124" i="45"/>
  <c r="AJ1124" i="45"/>
  <c r="AB1124" i="45"/>
  <c r="T1124" i="45"/>
  <c r="L1124" i="45"/>
  <c r="Y1124" i="45"/>
  <c r="Q1124" i="45"/>
  <c r="AO1124" i="45"/>
  <c r="AG1124" i="45"/>
  <c r="B1229" i="45"/>
  <c r="H1124" i="45"/>
  <c r="J1124" i="45" s="1"/>
  <c r="AS1000" i="45"/>
  <c r="AO1000" i="45"/>
  <c r="AK1000" i="45"/>
  <c r="AG1000" i="45"/>
  <c r="AC1000" i="45"/>
  <c r="Y1000" i="45"/>
  <c r="U1000" i="45"/>
  <c r="Q1000" i="45"/>
  <c r="M1000" i="45"/>
  <c r="AR1000" i="45"/>
  <c r="AN1000" i="45"/>
  <c r="AJ1000" i="45"/>
  <c r="AF1000" i="45"/>
  <c r="AB1000" i="45"/>
  <c r="X1000" i="45"/>
  <c r="T1000" i="45"/>
  <c r="P1000" i="45"/>
  <c r="L1000" i="45"/>
  <c r="AU1000" i="45"/>
  <c r="AQ1000" i="45"/>
  <c r="AM1000" i="45"/>
  <c r="AI1000" i="45"/>
  <c r="AE1000" i="45"/>
  <c r="AA1000" i="45"/>
  <c r="W1000" i="45"/>
  <c r="S1000" i="45"/>
  <c r="O1000" i="45"/>
  <c r="AP1000" i="45"/>
  <c r="Z1000" i="45"/>
  <c r="AL1000" i="45"/>
  <c r="V1000" i="45"/>
  <c r="AH1000" i="45"/>
  <c r="R1000" i="45"/>
  <c r="AT1000" i="45"/>
  <c r="AD1000" i="45"/>
  <c r="N1000" i="45"/>
  <c r="H1000" i="45"/>
  <c r="J1000" i="45" s="1"/>
  <c r="B1105" i="45"/>
  <c r="AU1115" i="45"/>
  <c r="AQ1115" i="45"/>
  <c r="AM1115" i="45"/>
  <c r="AI1115" i="45"/>
  <c r="AE1115" i="45"/>
  <c r="AA1115" i="45"/>
  <c r="W1115" i="45"/>
  <c r="S1115" i="45"/>
  <c r="O1115" i="45"/>
  <c r="AT1115" i="45"/>
  <c r="AP1115" i="45"/>
  <c r="AL1115" i="45"/>
  <c r="AH1115" i="45"/>
  <c r="AD1115" i="45"/>
  <c r="Z1115" i="45"/>
  <c r="V1115" i="45"/>
  <c r="R1115" i="45"/>
  <c r="N1115" i="45"/>
  <c r="AR1115" i="45"/>
  <c r="AJ1115" i="45"/>
  <c r="AB1115" i="45"/>
  <c r="T1115" i="45"/>
  <c r="L1115" i="45"/>
  <c r="AO1115" i="45"/>
  <c r="AG1115" i="45"/>
  <c r="Y1115" i="45"/>
  <c r="Q1115" i="45"/>
  <c r="AN1115" i="45"/>
  <c r="AF1115" i="45"/>
  <c r="X1115" i="45"/>
  <c r="P1115" i="45"/>
  <c r="AC1115" i="45"/>
  <c r="U1115" i="45"/>
  <c r="AS1115" i="45"/>
  <c r="M1115" i="45"/>
  <c r="AK1115" i="45"/>
  <c r="B1220" i="45"/>
  <c r="H1115" i="45"/>
  <c r="J1115" i="45" s="1"/>
  <c r="AS944" i="45"/>
  <c r="AO944" i="45"/>
  <c r="AK944" i="45"/>
  <c r="AG944" i="45"/>
  <c r="AC944" i="45"/>
  <c r="Y944" i="45"/>
  <c r="U944" i="45"/>
  <c r="Q944" i="45"/>
  <c r="M944" i="45"/>
  <c r="AU944" i="45"/>
  <c r="AQ944" i="45"/>
  <c r="AM944" i="45"/>
  <c r="AI944" i="45"/>
  <c r="AE944" i="45"/>
  <c r="AA944" i="45"/>
  <c r="W944" i="45"/>
  <c r="S944" i="45"/>
  <c r="O944" i="45"/>
  <c r="AR944" i="45"/>
  <c r="AJ944" i="45"/>
  <c r="AB944" i="45"/>
  <c r="T944" i="45"/>
  <c r="L944" i="45"/>
  <c r="AP944" i="45"/>
  <c r="AH944" i="45"/>
  <c r="Z944" i="45"/>
  <c r="R944" i="45"/>
  <c r="AN944" i="45"/>
  <c r="AF944" i="45"/>
  <c r="X944" i="45"/>
  <c r="P944" i="45"/>
  <c r="AL944" i="45"/>
  <c r="AD944" i="45"/>
  <c r="V944" i="45"/>
  <c r="N944" i="45"/>
  <c r="AT944" i="45"/>
  <c r="B1049" i="45"/>
  <c r="H944" i="45"/>
  <c r="J944" i="45" s="1"/>
  <c r="AS954" i="45"/>
  <c r="AO954" i="45"/>
  <c r="AK954" i="45"/>
  <c r="AG954" i="45"/>
  <c r="AC954" i="45"/>
  <c r="Y954" i="45"/>
  <c r="U954" i="45"/>
  <c r="Q954" i="45"/>
  <c r="M954" i="45"/>
  <c r="AR954" i="45"/>
  <c r="AN954" i="45"/>
  <c r="AJ954" i="45"/>
  <c r="AF954" i="45"/>
  <c r="AB954" i="45"/>
  <c r="X954" i="45"/>
  <c r="T954" i="45"/>
  <c r="P954" i="45"/>
  <c r="L954" i="45"/>
  <c r="AU954" i="45"/>
  <c r="AQ954" i="45"/>
  <c r="AM954" i="45"/>
  <c r="AI954" i="45"/>
  <c r="AE954" i="45"/>
  <c r="AA954" i="45"/>
  <c r="W954" i="45"/>
  <c r="S954" i="45"/>
  <c r="O954" i="45"/>
  <c r="AH954" i="45"/>
  <c r="R954" i="45"/>
  <c r="AT954" i="45"/>
  <c r="AD954" i="45"/>
  <c r="N954" i="45"/>
  <c r="AP954" i="45"/>
  <c r="Z954" i="45"/>
  <c r="AL954" i="45"/>
  <c r="V954" i="45"/>
  <c r="B1059" i="45"/>
  <c r="H954" i="45"/>
  <c r="J954" i="45" s="1"/>
  <c r="AS990" i="45"/>
  <c r="AO990" i="45"/>
  <c r="AK990" i="45"/>
  <c r="AG990" i="45"/>
  <c r="AC990" i="45"/>
  <c r="Y990" i="45"/>
  <c r="U990" i="45"/>
  <c r="Q990" i="45"/>
  <c r="M990" i="45"/>
  <c r="AR990" i="45"/>
  <c r="AN990" i="45"/>
  <c r="AJ990" i="45"/>
  <c r="AF990" i="45"/>
  <c r="AB990" i="45"/>
  <c r="X990" i="45"/>
  <c r="T990" i="45"/>
  <c r="P990" i="45"/>
  <c r="L990" i="45"/>
  <c r="AU990" i="45"/>
  <c r="AQ990" i="45"/>
  <c r="AM990" i="45"/>
  <c r="AI990" i="45"/>
  <c r="AE990" i="45"/>
  <c r="AA990" i="45"/>
  <c r="W990" i="45"/>
  <c r="S990" i="45"/>
  <c r="O990" i="45"/>
  <c r="AH990" i="45"/>
  <c r="R990" i="45"/>
  <c r="AT990" i="45"/>
  <c r="AD990" i="45"/>
  <c r="N990" i="45"/>
  <c r="AP990" i="45"/>
  <c r="Z990" i="45"/>
  <c r="AL990" i="45"/>
  <c r="V990" i="45"/>
  <c r="H990" i="45"/>
  <c r="J990" i="45" s="1"/>
  <c r="B1095" i="45"/>
  <c r="AS1001" i="45"/>
  <c r="AO1001" i="45"/>
  <c r="AK1001" i="45"/>
  <c r="AG1001" i="45"/>
  <c r="AC1001" i="45"/>
  <c r="Y1001" i="45"/>
  <c r="U1001" i="45"/>
  <c r="Q1001" i="45"/>
  <c r="M1001" i="45"/>
  <c r="AR1001" i="45"/>
  <c r="AN1001" i="45"/>
  <c r="AJ1001" i="45"/>
  <c r="AF1001" i="45"/>
  <c r="AB1001" i="45"/>
  <c r="X1001" i="45"/>
  <c r="T1001" i="45"/>
  <c r="P1001" i="45"/>
  <c r="L1001" i="45"/>
  <c r="AU1001" i="45"/>
  <c r="AQ1001" i="45"/>
  <c r="AM1001" i="45"/>
  <c r="AI1001" i="45"/>
  <c r="AE1001" i="45"/>
  <c r="AA1001" i="45"/>
  <c r="W1001" i="45"/>
  <c r="S1001" i="45"/>
  <c r="O1001" i="45"/>
  <c r="AL1001" i="45"/>
  <c r="V1001" i="45"/>
  <c r="AH1001" i="45"/>
  <c r="R1001" i="45"/>
  <c r="AT1001" i="45"/>
  <c r="AD1001" i="45"/>
  <c r="N1001" i="45"/>
  <c r="Z1001" i="45"/>
  <c r="AP1001" i="45"/>
  <c r="H1001" i="45"/>
  <c r="J1001" i="45" s="1"/>
  <c r="B1106" i="45"/>
  <c r="AS983" i="45"/>
  <c r="AO983" i="45"/>
  <c r="AK983" i="45"/>
  <c r="AG983" i="45"/>
  <c r="AC983" i="45"/>
  <c r="Y983" i="45"/>
  <c r="U983" i="45"/>
  <c r="Q983" i="45"/>
  <c r="M983" i="45"/>
  <c r="AR983" i="45"/>
  <c r="AN983" i="45"/>
  <c r="AJ983" i="45"/>
  <c r="AF983" i="45"/>
  <c r="AB983" i="45"/>
  <c r="X983" i="45"/>
  <c r="T983" i="45"/>
  <c r="P983" i="45"/>
  <c r="L983" i="45"/>
  <c r="AU983" i="45"/>
  <c r="AQ983" i="45"/>
  <c r="AM983" i="45"/>
  <c r="AI983" i="45"/>
  <c r="AE983" i="45"/>
  <c r="AA983" i="45"/>
  <c r="W983" i="45"/>
  <c r="S983" i="45"/>
  <c r="O983" i="45"/>
  <c r="AT983" i="45"/>
  <c r="AD983" i="45"/>
  <c r="N983" i="45"/>
  <c r="AP983" i="45"/>
  <c r="Z983" i="45"/>
  <c r="AL983" i="45"/>
  <c r="V983" i="45"/>
  <c r="AH983" i="45"/>
  <c r="R983" i="45"/>
  <c r="H983" i="45"/>
  <c r="J983" i="45" s="1"/>
  <c r="B1088" i="45"/>
  <c r="AS960" i="45"/>
  <c r="AO960" i="45"/>
  <c r="AK960" i="45"/>
  <c r="AG960" i="45"/>
  <c r="AC960" i="45"/>
  <c r="Y960" i="45"/>
  <c r="U960" i="45"/>
  <c r="Q960" i="45"/>
  <c r="M960" i="45"/>
  <c r="AR960" i="45"/>
  <c r="AN960" i="45"/>
  <c r="AJ960" i="45"/>
  <c r="AF960" i="45"/>
  <c r="AB960" i="45"/>
  <c r="X960" i="45"/>
  <c r="T960" i="45"/>
  <c r="P960" i="45"/>
  <c r="L960" i="45"/>
  <c r="AU960" i="45"/>
  <c r="AQ960" i="45"/>
  <c r="AM960" i="45"/>
  <c r="AI960" i="45"/>
  <c r="AE960" i="45"/>
  <c r="AA960" i="45"/>
  <c r="W960" i="45"/>
  <c r="S960" i="45"/>
  <c r="O960" i="45"/>
  <c r="AP960" i="45"/>
  <c r="Z960" i="45"/>
  <c r="AL960" i="45"/>
  <c r="V960" i="45"/>
  <c r="AH960" i="45"/>
  <c r="R960" i="45"/>
  <c r="AD960" i="45"/>
  <c r="N960" i="45"/>
  <c r="AT960" i="45"/>
  <c r="B1065" i="45"/>
  <c r="H960" i="45"/>
  <c r="J960" i="45" s="1"/>
  <c r="AT925" i="45"/>
  <c r="AP925" i="45"/>
  <c r="AL925" i="45"/>
  <c r="AH925" i="45"/>
  <c r="AD925" i="45"/>
  <c r="Z925" i="45"/>
  <c r="V925" i="45"/>
  <c r="R925" i="45"/>
  <c r="N925" i="45"/>
  <c r="AS925" i="45"/>
  <c r="AO925" i="45"/>
  <c r="AK925" i="45"/>
  <c r="AG925" i="45"/>
  <c r="AC925" i="45"/>
  <c r="Y925" i="45"/>
  <c r="U925" i="45"/>
  <c r="Q925" i="45"/>
  <c r="M925" i="45"/>
  <c r="AR925" i="45"/>
  <c r="AN925" i="45"/>
  <c r="AJ925" i="45"/>
  <c r="AF925" i="45"/>
  <c r="AB925" i="45"/>
  <c r="X925" i="45"/>
  <c r="T925" i="45"/>
  <c r="P925" i="45"/>
  <c r="L925" i="45"/>
  <c r="AM925" i="45"/>
  <c r="W925" i="45"/>
  <c r="AI925" i="45"/>
  <c r="S925" i="45"/>
  <c r="AU925" i="45"/>
  <c r="AE925" i="45"/>
  <c r="O925" i="45"/>
  <c r="AQ925" i="45"/>
  <c r="AA925" i="45"/>
  <c r="B1030" i="45"/>
  <c r="H925" i="45"/>
  <c r="J925" i="45" s="1"/>
  <c r="AS995" i="45"/>
  <c r="AO995" i="45"/>
  <c r="AK995" i="45"/>
  <c r="AG995" i="45"/>
  <c r="AC995" i="45"/>
  <c r="Y995" i="45"/>
  <c r="U995" i="45"/>
  <c r="Q995" i="45"/>
  <c r="M995" i="45"/>
  <c r="AR995" i="45"/>
  <c r="AN995" i="45"/>
  <c r="AJ995" i="45"/>
  <c r="AF995" i="45"/>
  <c r="AB995" i="45"/>
  <c r="X995" i="45"/>
  <c r="T995" i="45"/>
  <c r="P995" i="45"/>
  <c r="L995" i="45"/>
  <c r="AU995" i="45"/>
  <c r="AQ995" i="45"/>
  <c r="AM995" i="45"/>
  <c r="AI995" i="45"/>
  <c r="AE995" i="45"/>
  <c r="AA995" i="45"/>
  <c r="W995" i="45"/>
  <c r="S995" i="45"/>
  <c r="O995" i="45"/>
  <c r="AT995" i="45"/>
  <c r="AD995" i="45"/>
  <c r="N995" i="45"/>
  <c r="AP995" i="45"/>
  <c r="Z995" i="45"/>
  <c r="AL995" i="45"/>
  <c r="V995" i="45"/>
  <c r="AH995" i="45"/>
  <c r="R995" i="45"/>
  <c r="B1100" i="45"/>
  <c r="H995" i="45"/>
  <c r="J995" i="45" s="1"/>
  <c r="AU1111" i="45"/>
  <c r="AQ1111" i="45"/>
  <c r="AM1111" i="45"/>
  <c r="AI1111" i="45"/>
  <c r="AE1111" i="45"/>
  <c r="AA1111" i="45"/>
  <c r="W1111" i="45"/>
  <c r="S1111" i="45"/>
  <c r="O1111" i="45"/>
  <c r="AT1111" i="45"/>
  <c r="AP1111" i="45"/>
  <c r="AL1111" i="45"/>
  <c r="AH1111" i="45"/>
  <c r="AD1111" i="45"/>
  <c r="Z1111" i="45"/>
  <c r="V1111" i="45"/>
  <c r="R1111" i="45"/>
  <c r="N1111" i="45"/>
  <c r="AR1111" i="45"/>
  <c r="AJ1111" i="45"/>
  <c r="AB1111" i="45"/>
  <c r="T1111" i="45"/>
  <c r="L1111" i="45"/>
  <c r="AO1111" i="45"/>
  <c r="AG1111" i="45"/>
  <c r="Y1111" i="45"/>
  <c r="Q1111" i="45"/>
  <c r="AN1111" i="45"/>
  <c r="AF1111" i="45"/>
  <c r="X1111" i="45"/>
  <c r="P1111" i="45"/>
  <c r="AS1111" i="45"/>
  <c r="M1111" i="45"/>
  <c r="AK1111" i="45"/>
  <c r="AC1111" i="45"/>
  <c r="U1111" i="45"/>
  <c r="H1111" i="45"/>
  <c r="J1111" i="45" s="1"/>
  <c r="B1216" i="45"/>
  <c r="AS997" i="45"/>
  <c r="AO997" i="45"/>
  <c r="AK997" i="45"/>
  <c r="AG997" i="45"/>
  <c r="AC997" i="45"/>
  <c r="Y997" i="45"/>
  <c r="U997" i="45"/>
  <c r="Q997" i="45"/>
  <c r="M997" i="45"/>
  <c r="AR997" i="45"/>
  <c r="AN997" i="45"/>
  <c r="AJ997" i="45"/>
  <c r="AF997" i="45"/>
  <c r="AB997" i="45"/>
  <c r="X997" i="45"/>
  <c r="T997" i="45"/>
  <c r="P997" i="45"/>
  <c r="L997" i="45"/>
  <c r="AU997" i="45"/>
  <c r="AQ997" i="45"/>
  <c r="AM997" i="45"/>
  <c r="AI997" i="45"/>
  <c r="AE997" i="45"/>
  <c r="AA997" i="45"/>
  <c r="W997" i="45"/>
  <c r="S997" i="45"/>
  <c r="O997" i="45"/>
  <c r="AL997" i="45"/>
  <c r="V997" i="45"/>
  <c r="AH997" i="45"/>
  <c r="R997" i="45"/>
  <c r="AT997" i="45"/>
  <c r="AD997" i="45"/>
  <c r="N997" i="45"/>
  <c r="AP997" i="45"/>
  <c r="Z997" i="45"/>
  <c r="H997" i="45"/>
  <c r="J997" i="45" s="1"/>
  <c r="B1102" i="45"/>
  <c r="V921" i="45"/>
  <c r="L921" i="45"/>
  <c r="S921" i="45"/>
  <c r="H921" i="45"/>
  <c r="B1026" i="45"/>
  <c r="AT924" i="45"/>
  <c r="AP924" i="45"/>
  <c r="AL924" i="45"/>
  <c r="AH924" i="45"/>
  <c r="AD924" i="45"/>
  <c r="Z924" i="45"/>
  <c r="V924" i="45"/>
  <c r="R924" i="45"/>
  <c r="N924" i="45"/>
  <c r="AS924" i="45"/>
  <c r="AO924" i="45"/>
  <c r="AK924" i="45"/>
  <c r="AG924" i="45"/>
  <c r="AC924" i="45"/>
  <c r="Y924" i="45"/>
  <c r="U924" i="45"/>
  <c r="Q924" i="45"/>
  <c r="M924" i="45"/>
  <c r="AR924" i="45"/>
  <c r="AN924" i="45"/>
  <c r="AJ924" i="45"/>
  <c r="AF924" i="45"/>
  <c r="AB924" i="45"/>
  <c r="X924" i="45"/>
  <c r="T924" i="45"/>
  <c r="P924" i="45"/>
  <c r="L924" i="45"/>
  <c r="AQ924" i="45"/>
  <c r="AA924" i="45"/>
  <c r="AM924" i="45"/>
  <c r="W924" i="45"/>
  <c r="AI924" i="45"/>
  <c r="S924" i="45"/>
  <c r="O924" i="45"/>
  <c r="AE924" i="45"/>
  <c r="AU924" i="45"/>
  <c r="B1029" i="45"/>
  <c r="H924" i="45"/>
  <c r="J924" i="45" s="1"/>
  <c r="AT933" i="45"/>
  <c r="AP933" i="45"/>
  <c r="AL933" i="45"/>
  <c r="AH933" i="45"/>
  <c r="AD933" i="45"/>
  <c r="Z933" i="45"/>
  <c r="V933" i="45"/>
  <c r="R933" i="45"/>
  <c r="N933" i="45"/>
  <c r="AS933" i="45"/>
  <c r="AO933" i="45"/>
  <c r="AK933" i="45"/>
  <c r="AG933" i="45"/>
  <c r="AC933" i="45"/>
  <c r="Y933" i="45"/>
  <c r="U933" i="45"/>
  <c r="Q933" i="45"/>
  <c r="M933" i="45"/>
  <c r="AR933" i="45"/>
  <c r="AN933" i="45"/>
  <c r="AJ933" i="45"/>
  <c r="AF933" i="45"/>
  <c r="AB933" i="45"/>
  <c r="X933" i="45"/>
  <c r="T933" i="45"/>
  <c r="P933" i="45"/>
  <c r="L933" i="45"/>
  <c r="AM933" i="45"/>
  <c r="W933" i="45"/>
  <c r="AI933" i="45"/>
  <c r="S933" i="45"/>
  <c r="AU933" i="45"/>
  <c r="AE933" i="45"/>
  <c r="O933" i="45"/>
  <c r="AQ933" i="45"/>
  <c r="AA933" i="45"/>
  <c r="B1038" i="45"/>
  <c r="H933" i="45"/>
  <c r="J933" i="45" s="1"/>
  <c r="AS970" i="45"/>
  <c r="AO970" i="45"/>
  <c r="AK970" i="45"/>
  <c r="AG970" i="45"/>
  <c r="AC970" i="45"/>
  <c r="Y970" i="45"/>
  <c r="U970" i="45"/>
  <c r="Q970" i="45"/>
  <c r="M970" i="45"/>
  <c r="AR970" i="45"/>
  <c r="AN970" i="45"/>
  <c r="AJ970" i="45"/>
  <c r="AF970" i="45"/>
  <c r="AB970" i="45"/>
  <c r="X970" i="45"/>
  <c r="T970" i="45"/>
  <c r="P970" i="45"/>
  <c r="L970" i="45"/>
  <c r="AU970" i="45"/>
  <c r="AQ970" i="45"/>
  <c r="AM970" i="45"/>
  <c r="AI970" i="45"/>
  <c r="AE970" i="45"/>
  <c r="AA970" i="45"/>
  <c r="W970" i="45"/>
  <c r="S970" i="45"/>
  <c r="O970" i="45"/>
  <c r="AH970" i="45"/>
  <c r="R970" i="45"/>
  <c r="AT970" i="45"/>
  <c r="AD970" i="45"/>
  <c r="N970" i="45"/>
  <c r="AP970" i="45"/>
  <c r="Z970" i="45"/>
  <c r="AL970" i="45"/>
  <c r="V970" i="45"/>
  <c r="H970" i="45"/>
  <c r="J970" i="45" s="1"/>
  <c r="B1075" i="45"/>
  <c r="AS1002" i="45"/>
  <c r="AO1002" i="45"/>
  <c r="AK1002" i="45"/>
  <c r="AG1002" i="45"/>
  <c r="AC1002" i="45"/>
  <c r="Y1002" i="45"/>
  <c r="U1002" i="45"/>
  <c r="Q1002" i="45"/>
  <c r="M1002" i="45"/>
  <c r="AR1002" i="45"/>
  <c r="AN1002" i="45"/>
  <c r="AJ1002" i="45"/>
  <c r="AF1002" i="45"/>
  <c r="AB1002" i="45"/>
  <c r="X1002" i="45"/>
  <c r="T1002" i="45"/>
  <c r="P1002" i="45"/>
  <c r="L1002" i="45"/>
  <c r="AU1002" i="45"/>
  <c r="AQ1002" i="45"/>
  <c r="AM1002" i="45"/>
  <c r="AI1002" i="45"/>
  <c r="AE1002" i="45"/>
  <c r="AA1002" i="45"/>
  <c r="W1002" i="45"/>
  <c r="S1002" i="45"/>
  <c r="O1002" i="45"/>
  <c r="AH1002" i="45"/>
  <c r="R1002" i="45"/>
  <c r="AT1002" i="45"/>
  <c r="AD1002" i="45"/>
  <c r="N1002" i="45"/>
  <c r="AP1002" i="45"/>
  <c r="Z1002" i="45"/>
  <c r="AL1002" i="45"/>
  <c r="V1002" i="45"/>
  <c r="B1107" i="45"/>
  <c r="H1002" i="45"/>
  <c r="J1002" i="45" s="1"/>
  <c r="AS953" i="45"/>
  <c r="AO953" i="45"/>
  <c r="AK953" i="45"/>
  <c r="AG953" i="45"/>
  <c r="AC953" i="45"/>
  <c r="Y953" i="45"/>
  <c r="U953" i="45"/>
  <c r="Q953" i="45"/>
  <c r="M953" i="45"/>
  <c r="AR953" i="45"/>
  <c r="AU953" i="45"/>
  <c r="AQ953" i="45"/>
  <c r="AM953" i="45"/>
  <c r="AI953" i="45"/>
  <c r="AE953" i="45"/>
  <c r="AA953" i="45"/>
  <c r="W953" i="45"/>
  <c r="S953" i="45"/>
  <c r="O953" i="45"/>
  <c r="AN953" i="45"/>
  <c r="AF953" i="45"/>
  <c r="X953" i="45"/>
  <c r="P953" i="45"/>
  <c r="AL953" i="45"/>
  <c r="AD953" i="45"/>
  <c r="V953" i="45"/>
  <c r="N953" i="45"/>
  <c r="AT953" i="45"/>
  <c r="AJ953" i="45"/>
  <c r="AB953" i="45"/>
  <c r="T953" i="45"/>
  <c r="L953" i="45"/>
  <c r="AH953" i="45"/>
  <c r="Z953" i="45"/>
  <c r="R953" i="45"/>
  <c r="AP953" i="45"/>
  <c r="B1058" i="45"/>
  <c r="H953" i="45"/>
  <c r="J953" i="45" s="1"/>
  <c r="AT931" i="45"/>
  <c r="AP931" i="45"/>
  <c r="AL931" i="45"/>
  <c r="AH931" i="45"/>
  <c r="AD931" i="45"/>
  <c r="Z931" i="45"/>
  <c r="V931" i="45"/>
  <c r="R931" i="45"/>
  <c r="N931" i="45"/>
  <c r="AS931" i="45"/>
  <c r="AO931" i="45"/>
  <c r="AK931" i="45"/>
  <c r="AG931" i="45"/>
  <c r="AC931" i="45"/>
  <c r="Y931" i="45"/>
  <c r="U931" i="45"/>
  <c r="Q931" i="45"/>
  <c r="M931" i="45"/>
  <c r="AR931" i="45"/>
  <c r="AN931" i="45"/>
  <c r="AJ931" i="45"/>
  <c r="AF931" i="45"/>
  <c r="AB931" i="45"/>
  <c r="X931" i="45"/>
  <c r="T931" i="45"/>
  <c r="P931" i="45"/>
  <c r="L931" i="45"/>
  <c r="AU931" i="45"/>
  <c r="AE931" i="45"/>
  <c r="O931" i="45"/>
  <c r="AQ931" i="45"/>
  <c r="AA931" i="45"/>
  <c r="AM931" i="45"/>
  <c r="W931" i="45"/>
  <c r="S931" i="45"/>
  <c r="AI931" i="45"/>
  <c r="B1036" i="45"/>
  <c r="H931" i="45"/>
  <c r="J931" i="45" s="1"/>
  <c r="AS957" i="45"/>
  <c r="AO957" i="45"/>
  <c r="AK957" i="45"/>
  <c r="AG957" i="45"/>
  <c r="AC957" i="45"/>
  <c r="Y957" i="45"/>
  <c r="U957" i="45"/>
  <c r="Q957" i="45"/>
  <c r="M957" i="45"/>
  <c r="AR957" i="45"/>
  <c r="AN957" i="45"/>
  <c r="AJ957" i="45"/>
  <c r="AF957" i="45"/>
  <c r="AB957" i="45"/>
  <c r="X957" i="45"/>
  <c r="T957" i="45"/>
  <c r="P957" i="45"/>
  <c r="L957" i="45"/>
  <c r="AU957" i="45"/>
  <c r="AQ957" i="45"/>
  <c r="AM957" i="45"/>
  <c r="AI957" i="45"/>
  <c r="AE957" i="45"/>
  <c r="AA957" i="45"/>
  <c r="W957" i="45"/>
  <c r="S957" i="45"/>
  <c r="O957" i="45"/>
  <c r="AL957" i="45"/>
  <c r="V957" i="45"/>
  <c r="AH957" i="45"/>
  <c r="R957" i="45"/>
  <c r="AT957" i="45"/>
  <c r="AD957" i="45"/>
  <c r="N957" i="45"/>
  <c r="AP957" i="45"/>
  <c r="Z957" i="45"/>
  <c r="H957" i="45"/>
  <c r="J957" i="45" s="1"/>
  <c r="B1062" i="45"/>
  <c r="AS981" i="45"/>
  <c r="AO981" i="45"/>
  <c r="AK981" i="45"/>
  <c r="AG981" i="45"/>
  <c r="AC981" i="45"/>
  <c r="Y981" i="45"/>
  <c r="U981" i="45"/>
  <c r="Q981" i="45"/>
  <c r="M981" i="45"/>
  <c r="AR981" i="45"/>
  <c r="AN981" i="45"/>
  <c r="AJ981" i="45"/>
  <c r="AF981" i="45"/>
  <c r="AB981" i="45"/>
  <c r="X981" i="45"/>
  <c r="T981" i="45"/>
  <c r="P981" i="45"/>
  <c r="L981" i="45"/>
  <c r="AU981" i="45"/>
  <c r="AQ981" i="45"/>
  <c r="AM981" i="45"/>
  <c r="AI981" i="45"/>
  <c r="AE981" i="45"/>
  <c r="AA981" i="45"/>
  <c r="W981" i="45"/>
  <c r="S981" i="45"/>
  <c r="O981" i="45"/>
  <c r="AL981" i="45"/>
  <c r="V981" i="45"/>
  <c r="AH981" i="45"/>
  <c r="R981" i="45"/>
  <c r="AT981" i="45"/>
  <c r="AD981" i="45"/>
  <c r="N981" i="45"/>
  <c r="AP981" i="45"/>
  <c r="Z981" i="45"/>
  <c r="H981" i="45"/>
  <c r="J981" i="45" s="1"/>
  <c r="B1086" i="45"/>
  <c r="AS941" i="45"/>
  <c r="AO941" i="45"/>
  <c r="AK941" i="45"/>
  <c r="AG941" i="45"/>
  <c r="AC941" i="45"/>
  <c r="Y941" i="45"/>
  <c r="U941" i="45"/>
  <c r="Q941" i="45"/>
  <c r="M941" i="45"/>
  <c r="AU941" i="45"/>
  <c r="AQ941" i="45"/>
  <c r="AM941" i="45"/>
  <c r="AI941" i="45"/>
  <c r="AE941" i="45"/>
  <c r="AA941" i="45"/>
  <c r="W941" i="45"/>
  <c r="S941" i="45"/>
  <c r="O941" i="45"/>
  <c r="AN941" i="45"/>
  <c r="AF941" i="45"/>
  <c r="X941" i="45"/>
  <c r="P941" i="45"/>
  <c r="AT941" i="45"/>
  <c r="AL941" i="45"/>
  <c r="AD941" i="45"/>
  <c r="V941" i="45"/>
  <c r="N941" i="45"/>
  <c r="AR941" i="45"/>
  <c r="AJ941" i="45"/>
  <c r="AB941" i="45"/>
  <c r="T941" i="45"/>
  <c r="L941" i="45"/>
  <c r="R941" i="45"/>
  <c r="AP941" i="45"/>
  <c r="AH941" i="45"/>
  <c r="Z941" i="45"/>
  <c r="B1046" i="45"/>
  <c r="H941" i="45"/>
  <c r="J941" i="45" s="1"/>
  <c r="AS967" i="45"/>
  <c r="AO967" i="45"/>
  <c r="AK967" i="45"/>
  <c r="AG967" i="45"/>
  <c r="AC967" i="45"/>
  <c r="Y967" i="45"/>
  <c r="U967" i="45"/>
  <c r="Q967" i="45"/>
  <c r="M967" i="45"/>
  <c r="AR967" i="45"/>
  <c r="AN967" i="45"/>
  <c r="AJ967" i="45"/>
  <c r="AF967" i="45"/>
  <c r="AB967" i="45"/>
  <c r="X967" i="45"/>
  <c r="T967" i="45"/>
  <c r="P967" i="45"/>
  <c r="L967" i="45"/>
  <c r="AU967" i="45"/>
  <c r="AQ967" i="45"/>
  <c r="AM967" i="45"/>
  <c r="AI967" i="45"/>
  <c r="AE967" i="45"/>
  <c r="AA967" i="45"/>
  <c r="W967" i="45"/>
  <c r="S967" i="45"/>
  <c r="O967" i="45"/>
  <c r="AT967" i="45"/>
  <c r="AD967" i="45"/>
  <c r="N967" i="45"/>
  <c r="AP967" i="45"/>
  <c r="Z967" i="45"/>
  <c r="AL967" i="45"/>
  <c r="V967" i="45"/>
  <c r="AH967" i="45"/>
  <c r="R967" i="45"/>
  <c r="B1072" i="45"/>
  <c r="H967" i="45"/>
  <c r="J967" i="45" s="1"/>
  <c r="AS968" i="45"/>
  <c r="AO968" i="45"/>
  <c r="AK968" i="45"/>
  <c r="AG968" i="45"/>
  <c r="AC968" i="45"/>
  <c r="Y968" i="45"/>
  <c r="U968" i="45"/>
  <c r="Q968" i="45"/>
  <c r="M968" i="45"/>
  <c r="AR968" i="45"/>
  <c r="AN968" i="45"/>
  <c r="AJ968" i="45"/>
  <c r="AF968" i="45"/>
  <c r="AB968" i="45"/>
  <c r="X968" i="45"/>
  <c r="T968" i="45"/>
  <c r="P968" i="45"/>
  <c r="L968" i="45"/>
  <c r="AU968" i="45"/>
  <c r="AQ968" i="45"/>
  <c r="AM968" i="45"/>
  <c r="AI968" i="45"/>
  <c r="AE968" i="45"/>
  <c r="AA968" i="45"/>
  <c r="W968" i="45"/>
  <c r="S968" i="45"/>
  <c r="O968" i="45"/>
  <c r="AP968" i="45"/>
  <c r="Z968" i="45"/>
  <c r="AL968" i="45"/>
  <c r="V968" i="45"/>
  <c r="AH968" i="45"/>
  <c r="R968" i="45"/>
  <c r="AT968" i="45"/>
  <c r="AD968" i="45"/>
  <c r="N968" i="45"/>
  <c r="B1073" i="45"/>
  <c r="H968" i="45"/>
  <c r="J968" i="45" s="1"/>
  <c r="AT867" i="45"/>
  <c r="AP867" i="45"/>
  <c r="AL867" i="45"/>
  <c r="AH867" i="45"/>
  <c r="AD867" i="45"/>
  <c r="Z867" i="45"/>
  <c r="V867" i="45"/>
  <c r="R867" i="45"/>
  <c r="N867" i="45"/>
  <c r="AS867" i="45"/>
  <c r="AO867" i="45"/>
  <c r="AK867" i="45"/>
  <c r="AG867" i="45"/>
  <c r="AC867" i="45"/>
  <c r="Y867" i="45"/>
  <c r="U867" i="45"/>
  <c r="Q867" i="45"/>
  <c r="M867" i="45"/>
  <c r="AR867" i="45"/>
  <c r="AN867" i="45"/>
  <c r="AJ867" i="45"/>
  <c r="AF867" i="45"/>
  <c r="AB867" i="45"/>
  <c r="X867" i="45"/>
  <c r="T867" i="45"/>
  <c r="P867" i="45"/>
  <c r="L867" i="45"/>
  <c r="AM867" i="45"/>
  <c r="W867" i="45"/>
  <c r="AI867" i="45"/>
  <c r="S867" i="45"/>
  <c r="AU867" i="45"/>
  <c r="AE867" i="45"/>
  <c r="O867" i="45"/>
  <c r="AQ867" i="45"/>
  <c r="AA867" i="45"/>
  <c r="H867" i="45"/>
  <c r="J867" i="45" s="1"/>
  <c r="B972" i="45"/>
  <c r="AS969" i="45"/>
  <c r="AO969" i="45"/>
  <c r="AK969" i="45"/>
  <c r="AG969" i="45"/>
  <c r="AC969" i="45"/>
  <c r="Y969" i="45"/>
  <c r="U969" i="45"/>
  <c r="Q969" i="45"/>
  <c r="M969" i="45"/>
  <c r="AR969" i="45"/>
  <c r="AN969" i="45"/>
  <c r="AJ969" i="45"/>
  <c r="AF969" i="45"/>
  <c r="AB969" i="45"/>
  <c r="X969" i="45"/>
  <c r="T969" i="45"/>
  <c r="P969" i="45"/>
  <c r="L969" i="45"/>
  <c r="AU969" i="45"/>
  <c r="AQ969" i="45"/>
  <c r="AM969" i="45"/>
  <c r="AI969" i="45"/>
  <c r="AE969" i="45"/>
  <c r="AA969" i="45"/>
  <c r="W969" i="45"/>
  <c r="S969" i="45"/>
  <c r="O969" i="45"/>
  <c r="AL969" i="45"/>
  <c r="V969" i="45"/>
  <c r="AH969" i="45"/>
  <c r="R969" i="45"/>
  <c r="AT969" i="45"/>
  <c r="AD969" i="45"/>
  <c r="N969" i="45"/>
  <c r="Z969" i="45"/>
  <c r="AP969" i="45"/>
  <c r="B1074" i="45"/>
  <c r="H969" i="45"/>
  <c r="J969" i="45" s="1"/>
  <c r="AT935" i="45"/>
  <c r="AP935" i="45"/>
  <c r="AL935" i="45"/>
  <c r="AH935" i="45"/>
  <c r="AD935" i="45"/>
  <c r="Z935" i="45"/>
  <c r="V935" i="45"/>
  <c r="R935" i="45"/>
  <c r="N935" i="45"/>
  <c r="AS935" i="45"/>
  <c r="AO935" i="45"/>
  <c r="AK935" i="45"/>
  <c r="AG935" i="45"/>
  <c r="AC935" i="45"/>
  <c r="Y935" i="45"/>
  <c r="U935" i="45"/>
  <c r="Q935" i="45"/>
  <c r="M935" i="45"/>
  <c r="AR935" i="45"/>
  <c r="AN935" i="45"/>
  <c r="AJ935" i="45"/>
  <c r="AF935" i="45"/>
  <c r="AB935" i="45"/>
  <c r="X935" i="45"/>
  <c r="T935" i="45"/>
  <c r="P935" i="45"/>
  <c r="L935" i="45"/>
  <c r="AU935" i="45"/>
  <c r="AE935" i="45"/>
  <c r="O935" i="45"/>
  <c r="AQ935" i="45"/>
  <c r="AA935" i="45"/>
  <c r="AM935" i="45"/>
  <c r="W935" i="45"/>
  <c r="S935" i="45"/>
  <c r="AI935" i="45"/>
  <c r="B1040" i="45"/>
  <c r="H935" i="45"/>
  <c r="J935" i="45" s="1"/>
  <c r="AU1119" i="45"/>
  <c r="AQ1119" i="45"/>
  <c r="AM1119" i="45"/>
  <c r="AI1119" i="45"/>
  <c r="AE1119" i="45"/>
  <c r="AA1119" i="45"/>
  <c r="W1119" i="45"/>
  <c r="S1119" i="45"/>
  <c r="O1119" i="45"/>
  <c r="AT1119" i="45"/>
  <c r="AP1119" i="45"/>
  <c r="AL1119" i="45"/>
  <c r="AH1119" i="45"/>
  <c r="AD1119" i="45"/>
  <c r="Z1119" i="45"/>
  <c r="V1119" i="45"/>
  <c r="R1119" i="45"/>
  <c r="N1119" i="45"/>
  <c r="AR1119" i="45"/>
  <c r="AJ1119" i="45"/>
  <c r="AB1119" i="45"/>
  <c r="T1119" i="45"/>
  <c r="L1119" i="45"/>
  <c r="AO1119" i="45"/>
  <c r="AG1119" i="45"/>
  <c r="Y1119" i="45"/>
  <c r="Q1119" i="45"/>
  <c r="AN1119" i="45"/>
  <c r="AF1119" i="45"/>
  <c r="X1119" i="45"/>
  <c r="P1119" i="45"/>
  <c r="AS1119" i="45"/>
  <c r="M1119" i="45"/>
  <c r="AK1119" i="45"/>
  <c r="AC1119" i="45"/>
  <c r="U1119" i="45"/>
  <c r="B1224" i="45"/>
  <c r="H1119" i="45"/>
  <c r="J1119" i="45" s="1"/>
  <c r="AS996" i="45"/>
  <c r="AO996" i="45"/>
  <c r="AK996" i="45"/>
  <c r="AG996" i="45"/>
  <c r="AC996" i="45"/>
  <c r="Y996" i="45"/>
  <c r="U996" i="45"/>
  <c r="Q996" i="45"/>
  <c r="M996" i="45"/>
  <c r="AR996" i="45"/>
  <c r="AN996" i="45"/>
  <c r="AJ996" i="45"/>
  <c r="AF996" i="45"/>
  <c r="AB996" i="45"/>
  <c r="X996" i="45"/>
  <c r="T996" i="45"/>
  <c r="P996" i="45"/>
  <c r="L996" i="45"/>
  <c r="AU996" i="45"/>
  <c r="AQ996" i="45"/>
  <c r="AM996" i="45"/>
  <c r="AI996" i="45"/>
  <c r="AE996" i="45"/>
  <c r="AA996" i="45"/>
  <c r="W996" i="45"/>
  <c r="S996" i="45"/>
  <c r="O996" i="45"/>
  <c r="AP996" i="45"/>
  <c r="Z996" i="45"/>
  <c r="AL996" i="45"/>
  <c r="V996" i="45"/>
  <c r="AH996" i="45"/>
  <c r="R996" i="45"/>
  <c r="N996" i="45"/>
  <c r="AT996" i="45"/>
  <c r="AD996" i="45"/>
  <c r="H996" i="45"/>
  <c r="J996" i="45" s="1"/>
  <c r="B1101" i="45"/>
  <c r="AU1114" i="45"/>
  <c r="AQ1114" i="45"/>
  <c r="AM1114" i="45"/>
  <c r="AI1114" i="45"/>
  <c r="AE1114" i="45"/>
  <c r="AA1114" i="45"/>
  <c r="W1114" i="45"/>
  <c r="S1114" i="45"/>
  <c r="O1114" i="45"/>
  <c r="AT1114" i="45"/>
  <c r="AP1114" i="45"/>
  <c r="AL1114" i="45"/>
  <c r="AH1114" i="45"/>
  <c r="AD1114" i="45"/>
  <c r="Z1114" i="45"/>
  <c r="V1114" i="45"/>
  <c r="R1114" i="45"/>
  <c r="N1114" i="45"/>
  <c r="AN1114" i="45"/>
  <c r="AF1114" i="45"/>
  <c r="X1114" i="45"/>
  <c r="P1114" i="45"/>
  <c r="AS1114" i="45"/>
  <c r="AK1114" i="45"/>
  <c r="AC1114" i="45"/>
  <c r="U1114" i="45"/>
  <c r="M1114" i="45"/>
  <c r="AR1114" i="45"/>
  <c r="AJ1114" i="45"/>
  <c r="AB1114" i="45"/>
  <c r="T1114" i="45"/>
  <c r="L1114" i="45"/>
  <c r="AG1114" i="45"/>
  <c r="Y1114" i="45"/>
  <c r="Q1114" i="45"/>
  <c r="AO1114" i="45"/>
  <c r="B1219" i="45"/>
  <c r="H1114" i="45"/>
  <c r="J1114" i="45" s="1"/>
  <c r="AS940" i="45"/>
  <c r="AO940" i="45"/>
  <c r="AK940" i="45"/>
  <c r="AG940" i="45"/>
  <c r="AC940" i="45"/>
  <c r="Y940" i="45"/>
  <c r="U940" i="45"/>
  <c r="Q940" i="45"/>
  <c r="M940" i="45"/>
  <c r="AU940" i="45"/>
  <c r="AQ940" i="45"/>
  <c r="AM940" i="45"/>
  <c r="AI940" i="45"/>
  <c r="AE940" i="45"/>
  <c r="AA940" i="45"/>
  <c r="W940" i="45"/>
  <c r="S940" i="45"/>
  <c r="O940" i="45"/>
  <c r="AR940" i="45"/>
  <c r="AJ940" i="45"/>
  <c r="AB940" i="45"/>
  <c r="T940" i="45"/>
  <c r="L940" i="45"/>
  <c r="AP940" i="45"/>
  <c r="AH940" i="45"/>
  <c r="Z940" i="45"/>
  <c r="R940" i="45"/>
  <c r="AN940" i="45"/>
  <c r="AF940" i="45"/>
  <c r="X940" i="45"/>
  <c r="P940" i="45"/>
  <c r="V940" i="45"/>
  <c r="AT940" i="45"/>
  <c r="N940" i="45"/>
  <c r="AL940" i="45"/>
  <c r="AD940" i="45"/>
  <c r="H940" i="45"/>
  <c r="J940" i="45" s="1"/>
  <c r="B1045" i="45"/>
  <c r="AS984" i="45"/>
  <c r="AO984" i="45"/>
  <c r="AK984" i="45"/>
  <c r="AG984" i="45"/>
  <c r="AC984" i="45"/>
  <c r="Y984" i="45"/>
  <c r="U984" i="45"/>
  <c r="Q984" i="45"/>
  <c r="M984" i="45"/>
  <c r="AR984" i="45"/>
  <c r="AN984" i="45"/>
  <c r="AJ984" i="45"/>
  <c r="AF984" i="45"/>
  <c r="AB984" i="45"/>
  <c r="X984" i="45"/>
  <c r="T984" i="45"/>
  <c r="P984" i="45"/>
  <c r="L984" i="45"/>
  <c r="AU984" i="45"/>
  <c r="AQ984" i="45"/>
  <c r="AM984" i="45"/>
  <c r="AI984" i="45"/>
  <c r="AE984" i="45"/>
  <c r="AA984" i="45"/>
  <c r="W984" i="45"/>
  <c r="S984" i="45"/>
  <c r="O984" i="45"/>
  <c r="AP984" i="45"/>
  <c r="Z984" i="45"/>
  <c r="AL984" i="45"/>
  <c r="V984" i="45"/>
  <c r="AH984" i="45"/>
  <c r="R984" i="45"/>
  <c r="AT984" i="45"/>
  <c r="AD984" i="45"/>
  <c r="N984" i="45"/>
  <c r="H984" i="45"/>
  <c r="J984" i="45" s="1"/>
  <c r="B1089" i="45"/>
  <c r="AS945" i="45"/>
  <c r="AO945" i="45"/>
  <c r="AK945" i="45"/>
  <c r="AG945" i="45"/>
  <c r="AC945" i="45"/>
  <c r="Y945" i="45"/>
  <c r="U945" i="45"/>
  <c r="Q945" i="45"/>
  <c r="M945" i="45"/>
  <c r="AU945" i="45"/>
  <c r="AQ945" i="45"/>
  <c r="AM945" i="45"/>
  <c r="AI945" i="45"/>
  <c r="AE945" i="45"/>
  <c r="AA945" i="45"/>
  <c r="W945" i="45"/>
  <c r="S945" i="45"/>
  <c r="O945" i="45"/>
  <c r="AN945" i="45"/>
  <c r="AF945" i="45"/>
  <c r="X945" i="45"/>
  <c r="P945" i="45"/>
  <c r="AT945" i="45"/>
  <c r="AL945" i="45"/>
  <c r="AD945" i="45"/>
  <c r="V945" i="45"/>
  <c r="N945" i="45"/>
  <c r="AR945" i="45"/>
  <c r="AJ945" i="45"/>
  <c r="AB945" i="45"/>
  <c r="T945" i="45"/>
  <c r="L945" i="45"/>
  <c r="AH945" i="45"/>
  <c r="Z945" i="45"/>
  <c r="R945" i="45"/>
  <c r="AP945" i="45"/>
  <c r="B1050" i="45"/>
  <c r="H945" i="45"/>
  <c r="J945" i="45" s="1"/>
  <c r="AS965" i="45"/>
  <c r="AO965" i="45"/>
  <c r="AK965" i="45"/>
  <c r="AG965" i="45"/>
  <c r="AC965" i="45"/>
  <c r="Y965" i="45"/>
  <c r="U965" i="45"/>
  <c r="Q965" i="45"/>
  <c r="M965" i="45"/>
  <c r="AR965" i="45"/>
  <c r="AN965" i="45"/>
  <c r="AJ965" i="45"/>
  <c r="AF965" i="45"/>
  <c r="AB965" i="45"/>
  <c r="X965" i="45"/>
  <c r="T965" i="45"/>
  <c r="P965" i="45"/>
  <c r="L965" i="45"/>
  <c r="AU965" i="45"/>
  <c r="AQ965" i="45"/>
  <c r="AM965" i="45"/>
  <c r="AI965" i="45"/>
  <c r="AE965" i="45"/>
  <c r="AA965" i="45"/>
  <c r="W965" i="45"/>
  <c r="S965" i="45"/>
  <c r="O965" i="45"/>
  <c r="AL965" i="45"/>
  <c r="V965" i="45"/>
  <c r="AH965" i="45"/>
  <c r="R965" i="45"/>
  <c r="AT965" i="45"/>
  <c r="AD965" i="45"/>
  <c r="N965" i="45"/>
  <c r="AP965" i="45"/>
  <c r="Z965" i="45"/>
  <c r="B1070" i="45"/>
  <c r="H965" i="45"/>
  <c r="J965" i="45" s="1"/>
  <c r="AT930" i="45"/>
  <c r="AP930" i="45"/>
  <c r="AL930" i="45"/>
  <c r="AH930" i="45"/>
  <c r="AD930" i="45"/>
  <c r="Z930" i="45"/>
  <c r="V930" i="45"/>
  <c r="R930" i="45"/>
  <c r="N930" i="45"/>
  <c r="AS930" i="45"/>
  <c r="AO930" i="45"/>
  <c r="AK930" i="45"/>
  <c r="AG930" i="45"/>
  <c r="AC930" i="45"/>
  <c r="Y930" i="45"/>
  <c r="U930" i="45"/>
  <c r="Q930" i="45"/>
  <c r="M930" i="45"/>
  <c r="AR930" i="45"/>
  <c r="AN930" i="45"/>
  <c r="AJ930" i="45"/>
  <c r="AF930" i="45"/>
  <c r="AB930" i="45"/>
  <c r="X930" i="45"/>
  <c r="T930" i="45"/>
  <c r="P930" i="45"/>
  <c r="L930" i="45"/>
  <c r="AI930" i="45"/>
  <c r="S930" i="45"/>
  <c r="AU930" i="45"/>
  <c r="AE930" i="45"/>
  <c r="O930" i="45"/>
  <c r="AQ930" i="45"/>
  <c r="AA930" i="45"/>
  <c r="AM930" i="45"/>
  <c r="W930" i="45"/>
  <c r="B1035" i="45"/>
  <c r="H930" i="45"/>
  <c r="J930" i="45" s="1"/>
  <c r="AS985" i="45"/>
  <c r="AO985" i="45"/>
  <c r="AK985" i="45"/>
  <c r="AG985" i="45"/>
  <c r="AC985" i="45"/>
  <c r="Y985" i="45"/>
  <c r="U985" i="45"/>
  <c r="Q985" i="45"/>
  <c r="M985" i="45"/>
  <c r="AR985" i="45"/>
  <c r="AN985" i="45"/>
  <c r="AJ985" i="45"/>
  <c r="AF985" i="45"/>
  <c r="AB985" i="45"/>
  <c r="X985" i="45"/>
  <c r="T985" i="45"/>
  <c r="P985" i="45"/>
  <c r="L985" i="45"/>
  <c r="AU985" i="45"/>
  <c r="AQ985" i="45"/>
  <c r="AM985" i="45"/>
  <c r="AI985" i="45"/>
  <c r="AE985" i="45"/>
  <c r="AA985" i="45"/>
  <c r="W985" i="45"/>
  <c r="S985" i="45"/>
  <c r="O985" i="45"/>
  <c r="AL985" i="45"/>
  <c r="V985" i="45"/>
  <c r="AH985" i="45"/>
  <c r="R985" i="45"/>
  <c r="AT985" i="45"/>
  <c r="AD985" i="45"/>
  <c r="N985" i="45"/>
  <c r="Z985" i="45"/>
  <c r="AP985" i="45"/>
  <c r="B1090" i="45"/>
  <c r="H985" i="45"/>
  <c r="J985" i="45" s="1"/>
  <c r="AT922" i="45"/>
  <c r="AP922" i="45"/>
  <c r="AL922" i="45"/>
  <c r="AH922" i="45"/>
  <c r="AD922" i="45"/>
  <c r="Z922" i="45"/>
  <c r="V922" i="45"/>
  <c r="R922" i="45"/>
  <c r="N922" i="45"/>
  <c r="AS922" i="45"/>
  <c r="AO922" i="45"/>
  <c r="AK922" i="45"/>
  <c r="AG922" i="45"/>
  <c r="AC922" i="45"/>
  <c r="Y922" i="45"/>
  <c r="U922" i="45"/>
  <c r="Q922" i="45"/>
  <c r="M922" i="45"/>
  <c r="AR922" i="45"/>
  <c r="AN922" i="45"/>
  <c r="AJ922" i="45"/>
  <c r="AF922" i="45"/>
  <c r="AB922" i="45"/>
  <c r="X922" i="45"/>
  <c r="T922" i="45"/>
  <c r="P922" i="45"/>
  <c r="L922" i="45"/>
  <c r="AI922" i="45"/>
  <c r="S922" i="45"/>
  <c r="AU922" i="45"/>
  <c r="AE922" i="45"/>
  <c r="O922" i="45"/>
  <c r="AQ922" i="45"/>
  <c r="AA922" i="45"/>
  <c r="W922" i="45"/>
  <c r="AM922" i="45"/>
  <c r="B1027" i="45"/>
  <c r="H922" i="45"/>
  <c r="J922" i="45" s="1"/>
  <c r="AS971" i="45"/>
  <c r="AO971" i="45"/>
  <c r="AK971" i="45"/>
  <c r="AG971" i="45"/>
  <c r="AC971" i="45"/>
  <c r="Y971" i="45"/>
  <c r="U971" i="45"/>
  <c r="Q971" i="45"/>
  <c r="M971" i="45"/>
  <c r="AR971" i="45"/>
  <c r="AN971" i="45"/>
  <c r="AJ971" i="45"/>
  <c r="AF971" i="45"/>
  <c r="AB971" i="45"/>
  <c r="X971" i="45"/>
  <c r="T971" i="45"/>
  <c r="P971" i="45"/>
  <c r="L971" i="45"/>
  <c r="AU971" i="45"/>
  <c r="AQ971" i="45"/>
  <c r="AM971" i="45"/>
  <c r="AI971" i="45"/>
  <c r="AE971" i="45"/>
  <c r="AA971" i="45"/>
  <c r="W971" i="45"/>
  <c r="S971" i="45"/>
  <c r="O971" i="45"/>
  <c r="AT971" i="45"/>
  <c r="AD971" i="45"/>
  <c r="N971" i="45"/>
  <c r="AP971" i="45"/>
  <c r="Z971" i="45"/>
  <c r="AL971" i="45"/>
  <c r="V971" i="45"/>
  <c r="R971" i="45"/>
  <c r="AH971" i="45"/>
  <c r="B1076" i="45"/>
  <c r="H971" i="45"/>
  <c r="J971" i="45" s="1"/>
  <c r="AU1113" i="45"/>
  <c r="AQ1113" i="45"/>
  <c r="AM1113" i="45"/>
  <c r="AI1113" i="45"/>
  <c r="AE1113" i="45"/>
  <c r="AA1113" i="45"/>
  <c r="W1113" i="45"/>
  <c r="S1113" i="45"/>
  <c r="O1113" i="45"/>
  <c r="AT1113" i="45"/>
  <c r="AP1113" i="45"/>
  <c r="AL1113" i="45"/>
  <c r="AH1113" i="45"/>
  <c r="AD1113" i="45"/>
  <c r="Z1113" i="45"/>
  <c r="V1113" i="45"/>
  <c r="R1113" i="45"/>
  <c r="N1113" i="45"/>
  <c r="AR1113" i="45"/>
  <c r="AJ1113" i="45"/>
  <c r="AB1113" i="45"/>
  <c r="T1113" i="45"/>
  <c r="L1113" i="45"/>
  <c r="AO1113" i="45"/>
  <c r="AG1113" i="45"/>
  <c r="Y1113" i="45"/>
  <c r="Q1113" i="45"/>
  <c r="AN1113" i="45"/>
  <c r="AF1113" i="45"/>
  <c r="X1113" i="45"/>
  <c r="P1113" i="45"/>
  <c r="AK1113" i="45"/>
  <c r="AC1113" i="45"/>
  <c r="U1113" i="45"/>
  <c r="M1113" i="45"/>
  <c r="AS1113" i="45"/>
  <c r="H1113" i="45"/>
  <c r="J1113" i="45" s="1"/>
  <c r="B1218" i="45"/>
  <c r="AT877" i="45"/>
  <c r="AP877" i="45"/>
  <c r="AL877" i="45"/>
  <c r="AH877" i="45"/>
  <c r="AD877" i="45"/>
  <c r="Z877" i="45"/>
  <c r="V877" i="45"/>
  <c r="R877" i="45"/>
  <c r="N877" i="45"/>
  <c r="AS877" i="45"/>
  <c r="AO877" i="45"/>
  <c r="AK877" i="45"/>
  <c r="AG877" i="45"/>
  <c r="AC877" i="45"/>
  <c r="Y877" i="45"/>
  <c r="U877" i="45"/>
  <c r="Q877" i="45"/>
  <c r="M877" i="45"/>
  <c r="AR877" i="45"/>
  <c r="AN877" i="45"/>
  <c r="AJ877" i="45"/>
  <c r="AF877" i="45"/>
  <c r="AB877" i="45"/>
  <c r="X877" i="45"/>
  <c r="T877" i="45"/>
  <c r="P877" i="45"/>
  <c r="L877" i="45"/>
  <c r="AU877" i="45"/>
  <c r="AE877" i="45"/>
  <c r="O877" i="45"/>
  <c r="AQ877" i="45"/>
  <c r="AA877" i="45"/>
  <c r="AM877" i="45"/>
  <c r="W877" i="45"/>
  <c r="S877" i="45"/>
  <c r="AI877" i="45"/>
  <c r="H877" i="45"/>
  <c r="J877" i="45" s="1"/>
  <c r="B982" i="45"/>
  <c r="AU1122" i="45"/>
  <c r="AQ1122" i="45"/>
  <c r="AM1122" i="45"/>
  <c r="AI1122" i="45"/>
  <c r="AE1122" i="45"/>
  <c r="AA1122" i="45"/>
  <c r="W1122" i="45"/>
  <c r="S1122" i="45"/>
  <c r="O1122" i="45"/>
  <c r="AT1122" i="45"/>
  <c r="AP1122" i="45"/>
  <c r="AL1122" i="45"/>
  <c r="AH1122" i="45"/>
  <c r="AD1122" i="45"/>
  <c r="Z1122" i="45"/>
  <c r="V1122" i="45"/>
  <c r="R1122" i="45"/>
  <c r="N1122" i="45"/>
  <c r="AN1122" i="45"/>
  <c r="AF1122" i="45"/>
  <c r="X1122" i="45"/>
  <c r="P1122" i="45"/>
  <c r="AS1122" i="45"/>
  <c r="AK1122" i="45"/>
  <c r="AC1122" i="45"/>
  <c r="U1122" i="45"/>
  <c r="M1122" i="45"/>
  <c r="AR1122" i="45"/>
  <c r="AJ1122" i="45"/>
  <c r="AB1122" i="45"/>
  <c r="T1122" i="45"/>
  <c r="L1122" i="45"/>
  <c r="AG1122" i="45"/>
  <c r="Y1122" i="45"/>
  <c r="Q1122" i="45"/>
  <c r="AO1122" i="45"/>
  <c r="B1227" i="45"/>
  <c r="H1122" i="45"/>
  <c r="J1122" i="45" s="1"/>
  <c r="AS963" i="45"/>
  <c r="AO963" i="45"/>
  <c r="AK963" i="45"/>
  <c r="AG963" i="45"/>
  <c r="AC963" i="45"/>
  <c r="Y963" i="45"/>
  <c r="U963" i="45"/>
  <c r="Q963" i="45"/>
  <c r="M963" i="45"/>
  <c r="AR963" i="45"/>
  <c r="AN963" i="45"/>
  <c r="AJ963" i="45"/>
  <c r="AF963" i="45"/>
  <c r="AB963" i="45"/>
  <c r="X963" i="45"/>
  <c r="T963" i="45"/>
  <c r="P963" i="45"/>
  <c r="L963" i="45"/>
  <c r="AU963" i="45"/>
  <c r="AQ963" i="45"/>
  <c r="AM963" i="45"/>
  <c r="AI963" i="45"/>
  <c r="AE963" i="45"/>
  <c r="AA963" i="45"/>
  <c r="W963" i="45"/>
  <c r="S963" i="45"/>
  <c r="O963" i="45"/>
  <c r="AT963" i="45"/>
  <c r="AD963" i="45"/>
  <c r="N963" i="45"/>
  <c r="AP963" i="45"/>
  <c r="Z963" i="45"/>
  <c r="AL963" i="45"/>
  <c r="V963" i="45"/>
  <c r="AH963" i="45"/>
  <c r="R963" i="45"/>
  <c r="H963" i="45"/>
  <c r="J963" i="45" s="1"/>
  <c r="B1068" i="45"/>
  <c r="AS956" i="45"/>
  <c r="AO956" i="45"/>
  <c r="AK956" i="45"/>
  <c r="AG956" i="45"/>
  <c r="AC956" i="45"/>
  <c r="Y956" i="45"/>
  <c r="U956" i="45"/>
  <c r="Q956" i="45"/>
  <c r="M956" i="45"/>
  <c r="AR956" i="45"/>
  <c r="AN956" i="45"/>
  <c r="AJ956" i="45"/>
  <c r="AF956" i="45"/>
  <c r="AB956" i="45"/>
  <c r="X956" i="45"/>
  <c r="T956" i="45"/>
  <c r="P956" i="45"/>
  <c r="L956" i="45"/>
  <c r="AU956" i="45"/>
  <c r="AQ956" i="45"/>
  <c r="AM956" i="45"/>
  <c r="AI956" i="45"/>
  <c r="AE956" i="45"/>
  <c r="AA956" i="45"/>
  <c r="W956" i="45"/>
  <c r="S956" i="45"/>
  <c r="O956" i="45"/>
  <c r="AP956" i="45"/>
  <c r="Z956" i="45"/>
  <c r="AL956" i="45"/>
  <c r="V956" i="45"/>
  <c r="AH956" i="45"/>
  <c r="R956" i="45"/>
  <c r="AT956" i="45"/>
  <c r="AD956" i="45"/>
  <c r="N956" i="45"/>
  <c r="B1061" i="45"/>
  <c r="H956" i="45"/>
  <c r="J956" i="45" s="1"/>
  <c r="AS950" i="45"/>
  <c r="AO950" i="45"/>
  <c r="AK950" i="45"/>
  <c r="AG950" i="45"/>
  <c r="AC950" i="45"/>
  <c r="Y950" i="45"/>
  <c r="U950" i="45"/>
  <c r="Q950" i="45"/>
  <c r="M950" i="45"/>
  <c r="AU950" i="45"/>
  <c r="AQ950" i="45"/>
  <c r="AM950" i="45"/>
  <c r="AI950" i="45"/>
  <c r="AE950" i="45"/>
  <c r="AA950" i="45"/>
  <c r="W950" i="45"/>
  <c r="S950" i="45"/>
  <c r="O950" i="45"/>
  <c r="AR950" i="45"/>
  <c r="AJ950" i="45"/>
  <c r="AB950" i="45"/>
  <c r="T950" i="45"/>
  <c r="L950" i="45"/>
  <c r="AP950" i="45"/>
  <c r="AH950" i="45"/>
  <c r="Z950" i="45"/>
  <c r="R950" i="45"/>
  <c r="AN950" i="45"/>
  <c r="AF950" i="45"/>
  <c r="X950" i="45"/>
  <c r="P950" i="45"/>
  <c r="AT950" i="45"/>
  <c r="N950" i="45"/>
  <c r="AL950" i="45"/>
  <c r="AD950" i="45"/>
  <c r="V950" i="45"/>
  <c r="B1055" i="45"/>
  <c r="H950" i="45"/>
  <c r="J950" i="45" s="1"/>
  <c r="AS988" i="45"/>
  <c r="AO988" i="45"/>
  <c r="AK988" i="45"/>
  <c r="AG988" i="45"/>
  <c r="AC988" i="45"/>
  <c r="Y988" i="45"/>
  <c r="U988" i="45"/>
  <c r="Q988" i="45"/>
  <c r="M988" i="45"/>
  <c r="AR988" i="45"/>
  <c r="AN988" i="45"/>
  <c r="AJ988" i="45"/>
  <c r="AF988" i="45"/>
  <c r="AB988" i="45"/>
  <c r="X988" i="45"/>
  <c r="T988" i="45"/>
  <c r="P988" i="45"/>
  <c r="L988" i="45"/>
  <c r="AU988" i="45"/>
  <c r="AQ988" i="45"/>
  <c r="AM988" i="45"/>
  <c r="AI988" i="45"/>
  <c r="AE988" i="45"/>
  <c r="AA988" i="45"/>
  <c r="W988" i="45"/>
  <c r="S988" i="45"/>
  <c r="O988" i="45"/>
  <c r="AP988" i="45"/>
  <c r="Z988" i="45"/>
  <c r="AL988" i="45"/>
  <c r="V988" i="45"/>
  <c r="AH988" i="45"/>
  <c r="R988" i="45"/>
  <c r="AT988" i="45"/>
  <c r="AD988" i="45"/>
  <c r="N988" i="45"/>
  <c r="B1093" i="45"/>
  <c r="H988" i="45"/>
  <c r="J988" i="45" s="1"/>
  <c r="AS947" i="45"/>
  <c r="AO947" i="45"/>
  <c r="AK947" i="45"/>
  <c r="AG947" i="45"/>
  <c r="AC947" i="45"/>
  <c r="Y947" i="45"/>
  <c r="U947" i="45"/>
  <c r="Q947" i="45"/>
  <c r="M947" i="45"/>
  <c r="AU947" i="45"/>
  <c r="AQ947" i="45"/>
  <c r="AM947" i="45"/>
  <c r="AI947" i="45"/>
  <c r="AE947" i="45"/>
  <c r="AA947" i="45"/>
  <c r="W947" i="45"/>
  <c r="S947" i="45"/>
  <c r="O947" i="45"/>
  <c r="AN947" i="45"/>
  <c r="AF947" i="45"/>
  <c r="X947" i="45"/>
  <c r="P947" i="45"/>
  <c r="AT947" i="45"/>
  <c r="AL947" i="45"/>
  <c r="AD947" i="45"/>
  <c r="V947" i="45"/>
  <c r="N947" i="45"/>
  <c r="AR947" i="45"/>
  <c r="AJ947" i="45"/>
  <c r="AB947" i="45"/>
  <c r="T947" i="45"/>
  <c r="L947" i="45"/>
  <c r="Z947" i="45"/>
  <c r="R947" i="45"/>
  <c r="AP947" i="45"/>
  <c r="AH947" i="45"/>
  <c r="B1052" i="45"/>
  <c r="H947" i="45"/>
  <c r="J947" i="45" s="1"/>
  <c r="AU1123" i="45"/>
  <c r="AQ1123" i="45"/>
  <c r="AM1123" i="45"/>
  <c r="AI1123" i="45"/>
  <c r="AE1123" i="45"/>
  <c r="AA1123" i="45"/>
  <c r="W1123" i="45"/>
  <c r="S1123" i="45"/>
  <c r="O1123" i="45"/>
  <c r="AT1123" i="45"/>
  <c r="AP1123" i="45"/>
  <c r="AL1123" i="45"/>
  <c r="AH1123" i="45"/>
  <c r="AD1123" i="45"/>
  <c r="Z1123" i="45"/>
  <c r="V1123" i="45"/>
  <c r="R1123" i="45"/>
  <c r="N1123" i="45"/>
  <c r="AR1123" i="45"/>
  <c r="AJ1123" i="45"/>
  <c r="AB1123" i="45"/>
  <c r="T1123" i="45"/>
  <c r="L1123" i="45"/>
  <c r="AO1123" i="45"/>
  <c r="AG1123" i="45"/>
  <c r="Y1123" i="45"/>
  <c r="Q1123" i="45"/>
  <c r="AN1123" i="45"/>
  <c r="AF1123" i="45"/>
  <c r="X1123" i="45"/>
  <c r="P1123" i="45"/>
  <c r="AC1123" i="45"/>
  <c r="U1123" i="45"/>
  <c r="AS1123" i="45"/>
  <c r="M1123" i="45"/>
  <c r="AK1123" i="45"/>
  <c r="B1228" i="45"/>
  <c r="H1123" i="45"/>
  <c r="J1123" i="45" s="1"/>
  <c r="AS999" i="45"/>
  <c r="AO999" i="45"/>
  <c r="AK999" i="45"/>
  <c r="AG999" i="45"/>
  <c r="AC999" i="45"/>
  <c r="Y999" i="45"/>
  <c r="U999" i="45"/>
  <c r="Q999" i="45"/>
  <c r="M999" i="45"/>
  <c r="AR999" i="45"/>
  <c r="AN999" i="45"/>
  <c r="AJ999" i="45"/>
  <c r="AF999" i="45"/>
  <c r="AB999" i="45"/>
  <c r="X999" i="45"/>
  <c r="T999" i="45"/>
  <c r="P999" i="45"/>
  <c r="L999" i="45"/>
  <c r="AU999" i="45"/>
  <c r="AQ999" i="45"/>
  <c r="AM999" i="45"/>
  <c r="AI999" i="45"/>
  <c r="AE999" i="45"/>
  <c r="AA999" i="45"/>
  <c r="W999" i="45"/>
  <c r="S999" i="45"/>
  <c r="O999" i="45"/>
  <c r="AT999" i="45"/>
  <c r="AD999" i="45"/>
  <c r="N999" i="45"/>
  <c r="AP999" i="45"/>
  <c r="Z999" i="45"/>
  <c r="AL999" i="45"/>
  <c r="V999" i="45"/>
  <c r="AH999" i="45"/>
  <c r="R999" i="45"/>
  <c r="H999" i="45"/>
  <c r="J999" i="45" s="1"/>
  <c r="B1104" i="45"/>
  <c r="AS966" i="45"/>
  <c r="AO966" i="45"/>
  <c r="AK966" i="45"/>
  <c r="AG966" i="45"/>
  <c r="AC966" i="45"/>
  <c r="Y966" i="45"/>
  <c r="U966" i="45"/>
  <c r="Q966" i="45"/>
  <c r="M966" i="45"/>
  <c r="AR966" i="45"/>
  <c r="AN966" i="45"/>
  <c r="AJ966" i="45"/>
  <c r="AF966" i="45"/>
  <c r="AB966" i="45"/>
  <c r="X966" i="45"/>
  <c r="T966" i="45"/>
  <c r="P966" i="45"/>
  <c r="L966" i="45"/>
  <c r="AU966" i="45"/>
  <c r="AQ966" i="45"/>
  <c r="AM966" i="45"/>
  <c r="AI966" i="45"/>
  <c r="AE966" i="45"/>
  <c r="AA966" i="45"/>
  <c r="W966" i="45"/>
  <c r="S966" i="45"/>
  <c r="O966" i="45"/>
  <c r="AH966" i="45"/>
  <c r="R966" i="45"/>
  <c r="AT966" i="45"/>
  <c r="AD966" i="45"/>
  <c r="N966" i="45"/>
  <c r="AP966" i="45"/>
  <c r="Z966" i="45"/>
  <c r="AL966" i="45"/>
  <c r="V966" i="45"/>
  <c r="H966" i="45"/>
  <c r="J966" i="45" s="1"/>
  <c r="B1071" i="45"/>
  <c r="AS938" i="45"/>
  <c r="AO938" i="45"/>
  <c r="AK938" i="45"/>
  <c r="AG938" i="45"/>
  <c r="AC938" i="45"/>
  <c r="Y938" i="45"/>
  <c r="U938" i="45"/>
  <c r="Q938" i="45"/>
  <c r="M938" i="45"/>
  <c r="AU938" i="45"/>
  <c r="AQ938" i="45"/>
  <c r="AM938" i="45"/>
  <c r="AI938" i="45"/>
  <c r="AE938" i="45"/>
  <c r="AA938" i="45"/>
  <c r="W938" i="45"/>
  <c r="S938" i="45"/>
  <c r="O938" i="45"/>
  <c r="AR938" i="45"/>
  <c r="AJ938" i="45"/>
  <c r="AB938" i="45"/>
  <c r="T938" i="45"/>
  <c r="L938" i="45"/>
  <c r="AP938" i="45"/>
  <c r="AH938" i="45"/>
  <c r="Z938" i="45"/>
  <c r="R938" i="45"/>
  <c r="AN938" i="45"/>
  <c r="AF938" i="45"/>
  <c r="X938" i="45"/>
  <c r="P938" i="45"/>
  <c r="AD938" i="45"/>
  <c r="V938" i="45"/>
  <c r="AT938" i="45"/>
  <c r="N938" i="45"/>
  <c r="AL938" i="45"/>
  <c r="B1043" i="45"/>
  <c r="H938" i="45"/>
  <c r="J938" i="45" s="1"/>
  <c r="AS964" i="45"/>
  <c r="AO964" i="45"/>
  <c r="AK964" i="45"/>
  <c r="AG964" i="45"/>
  <c r="AC964" i="45"/>
  <c r="Y964" i="45"/>
  <c r="U964" i="45"/>
  <c r="Q964" i="45"/>
  <c r="M964" i="45"/>
  <c r="AR964" i="45"/>
  <c r="AN964" i="45"/>
  <c r="AJ964" i="45"/>
  <c r="AF964" i="45"/>
  <c r="AB964" i="45"/>
  <c r="X964" i="45"/>
  <c r="T964" i="45"/>
  <c r="P964" i="45"/>
  <c r="L964" i="45"/>
  <c r="AU964" i="45"/>
  <c r="AQ964" i="45"/>
  <c r="AM964" i="45"/>
  <c r="AI964" i="45"/>
  <c r="AE964" i="45"/>
  <c r="AA964" i="45"/>
  <c r="W964" i="45"/>
  <c r="S964" i="45"/>
  <c r="O964" i="45"/>
  <c r="AP964" i="45"/>
  <c r="Z964" i="45"/>
  <c r="AL964" i="45"/>
  <c r="V964" i="45"/>
  <c r="AH964" i="45"/>
  <c r="R964" i="45"/>
  <c r="N964" i="45"/>
  <c r="AT964" i="45"/>
  <c r="AD964" i="45"/>
  <c r="B1069" i="45"/>
  <c r="H964" i="45"/>
  <c r="J964" i="45" s="1"/>
  <c r="AS989" i="45"/>
  <c r="AO989" i="45"/>
  <c r="AK989" i="45"/>
  <c r="AG989" i="45"/>
  <c r="AC989" i="45"/>
  <c r="Y989" i="45"/>
  <c r="U989" i="45"/>
  <c r="Q989" i="45"/>
  <c r="M989" i="45"/>
  <c r="AR989" i="45"/>
  <c r="AN989" i="45"/>
  <c r="AJ989" i="45"/>
  <c r="AF989" i="45"/>
  <c r="AB989" i="45"/>
  <c r="X989" i="45"/>
  <c r="T989" i="45"/>
  <c r="P989" i="45"/>
  <c r="L989" i="45"/>
  <c r="AU989" i="45"/>
  <c r="AQ989" i="45"/>
  <c r="AM989" i="45"/>
  <c r="AI989" i="45"/>
  <c r="AE989" i="45"/>
  <c r="AA989" i="45"/>
  <c r="W989" i="45"/>
  <c r="S989" i="45"/>
  <c r="O989" i="45"/>
  <c r="AL989" i="45"/>
  <c r="V989" i="45"/>
  <c r="AH989" i="45"/>
  <c r="R989" i="45"/>
  <c r="AT989" i="45"/>
  <c r="AD989" i="45"/>
  <c r="N989" i="45"/>
  <c r="AP989" i="45"/>
  <c r="Z989" i="45"/>
  <c r="B1094" i="45"/>
  <c r="H989" i="45"/>
  <c r="J989" i="45" s="1"/>
  <c r="AU1117" i="45"/>
  <c r="AQ1117" i="45"/>
  <c r="AM1117" i="45"/>
  <c r="AI1117" i="45"/>
  <c r="AE1117" i="45"/>
  <c r="AA1117" i="45"/>
  <c r="W1117" i="45"/>
  <c r="S1117" i="45"/>
  <c r="O1117" i="45"/>
  <c r="AT1117" i="45"/>
  <c r="AP1117" i="45"/>
  <c r="AL1117" i="45"/>
  <c r="AH1117" i="45"/>
  <c r="AD1117" i="45"/>
  <c r="Z1117" i="45"/>
  <c r="V1117" i="45"/>
  <c r="R1117" i="45"/>
  <c r="N1117" i="45"/>
  <c r="AR1117" i="45"/>
  <c r="AJ1117" i="45"/>
  <c r="AB1117" i="45"/>
  <c r="T1117" i="45"/>
  <c r="L1117" i="45"/>
  <c r="AO1117" i="45"/>
  <c r="AG1117" i="45"/>
  <c r="Y1117" i="45"/>
  <c r="Q1117" i="45"/>
  <c r="AN1117" i="45"/>
  <c r="AF1117" i="45"/>
  <c r="X1117" i="45"/>
  <c r="P1117" i="45"/>
  <c r="U1117" i="45"/>
  <c r="AS1117" i="45"/>
  <c r="M1117" i="45"/>
  <c r="AK1117" i="45"/>
  <c r="AC1117" i="45"/>
  <c r="B1222" i="45"/>
  <c r="H1117" i="45"/>
  <c r="J1117" i="45" s="1"/>
  <c r="AS1005" i="45"/>
  <c r="AO1005" i="45"/>
  <c r="AK1005" i="45"/>
  <c r="AG1005" i="45"/>
  <c r="AC1005" i="45"/>
  <c r="Y1005" i="45"/>
  <c r="U1005" i="45"/>
  <c r="Q1005" i="45"/>
  <c r="M1005" i="45"/>
  <c r="AR1005" i="45"/>
  <c r="AN1005" i="45"/>
  <c r="AJ1005" i="45"/>
  <c r="AF1005" i="45"/>
  <c r="AB1005" i="45"/>
  <c r="X1005" i="45"/>
  <c r="T1005" i="45"/>
  <c r="P1005" i="45"/>
  <c r="L1005" i="45"/>
  <c r="AU1005" i="45"/>
  <c r="AQ1005" i="45"/>
  <c r="AM1005" i="45"/>
  <c r="AI1005" i="45"/>
  <c r="AE1005" i="45"/>
  <c r="AA1005" i="45"/>
  <c r="W1005" i="45"/>
  <c r="S1005" i="45"/>
  <c r="O1005" i="45"/>
  <c r="AL1005" i="45"/>
  <c r="V1005" i="45"/>
  <c r="AH1005" i="45"/>
  <c r="R1005" i="45"/>
  <c r="AT1005" i="45"/>
  <c r="AD1005" i="45"/>
  <c r="N1005" i="45"/>
  <c r="AP1005" i="45"/>
  <c r="Z1005" i="45"/>
  <c r="B1110" i="45"/>
  <c r="H1005" i="45"/>
  <c r="J1005" i="45" s="1"/>
  <c r="AS958" i="45"/>
  <c r="AO958" i="45"/>
  <c r="AK958" i="45"/>
  <c r="AG958" i="45"/>
  <c r="AC958" i="45"/>
  <c r="Y958" i="45"/>
  <c r="U958" i="45"/>
  <c r="Q958" i="45"/>
  <c r="M958" i="45"/>
  <c r="AR958" i="45"/>
  <c r="AN958" i="45"/>
  <c r="AJ958" i="45"/>
  <c r="AF958" i="45"/>
  <c r="AB958" i="45"/>
  <c r="X958" i="45"/>
  <c r="T958" i="45"/>
  <c r="P958" i="45"/>
  <c r="L958" i="45"/>
  <c r="AU958" i="45"/>
  <c r="AQ958" i="45"/>
  <c r="AM958" i="45"/>
  <c r="AI958" i="45"/>
  <c r="AE958" i="45"/>
  <c r="AA958" i="45"/>
  <c r="W958" i="45"/>
  <c r="S958" i="45"/>
  <c r="O958" i="45"/>
  <c r="AH958" i="45"/>
  <c r="R958" i="45"/>
  <c r="AT958" i="45"/>
  <c r="AD958" i="45"/>
  <c r="N958" i="45"/>
  <c r="AP958" i="45"/>
  <c r="Z958" i="45"/>
  <c r="AL958" i="45"/>
  <c r="V958" i="45"/>
  <c r="H958" i="45"/>
  <c r="J958" i="45" s="1"/>
  <c r="B1063" i="45"/>
  <c r="AS952" i="45"/>
  <c r="AO952" i="45"/>
  <c r="AK952" i="45"/>
  <c r="AG952" i="45"/>
  <c r="AC952" i="45"/>
  <c r="Y952" i="45"/>
  <c r="U952" i="45"/>
  <c r="Q952" i="45"/>
  <c r="M952" i="45"/>
  <c r="AU952" i="45"/>
  <c r="AQ952" i="45"/>
  <c r="AM952" i="45"/>
  <c r="AI952" i="45"/>
  <c r="AE952" i="45"/>
  <c r="AA952" i="45"/>
  <c r="W952" i="45"/>
  <c r="S952" i="45"/>
  <c r="O952" i="45"/>
  <c r="AR952" i="45"/>
  <c r="AJ952" i="45"/>
  <c r="AB952" i="45"/>
  <c r="T952" i="45"/>
  <c r="L952" i="45"/>
  <c r="AP952" i="45"/>
  <c r="AH952" i="45"/>
  <c r="Z952" i="45"/>
  <c r="R952" i="45"/>
  <c r="AN952" i="45"/>
  <c r="AF952" i="45"/>
  <c r="X952" i="45"/>
  <c r="P952" i="45"/>
  <c r="AL952" i="45"/>
  <c r="AD952" i="45"/>
  <c r="V952" i="45"/>
  <c r="N952" i="45"/>
  <c r="AT952" i="45"/>
  <c r="B1057" i="45"/>
  <c r="H952" i="45"/>
  <c r="J952" i="45" s="1"/>
  <c r="AS975" i="45"/>
  <c r="AO975" i="45"/>
  <c r="AK975" i="45"/>
  <c r="AG975" i="45"/>
  <c r="AC975" i="45"/>
  <c r="Y975" i="45"/>
  <c r="U975" i="45"/>
  <c r="Q975" i="45"/>
  <c r="M975" i="45"/>
  <c r="AR975" i="45"/>
  <c r="AN975" i="45"/>
  <c r="AJ975" i="45"/>
  <c r="AF975" i="45"/>
  <c r="AB975" i="45"/>
  <c r="X975" i="45"/>
  <c r="T975" i="45"/>
  <c r="P975" i="45"/>
  <c r="L975" i="45"/>
  <c r="AU975" i="45"/>
  <c r="AQ975" i="45"/>
  <c r="AM975" i="45"/>
  <c r="AI975" i="45"/>
  <c r="AE975" i="45"/>
  <c r="AA975" i="45"/>
  <c r="W975" i="45"/>
  <c r="S975" i="45"/>
  <c r="O975" i="45"/>
  <c r="AT975" i="45"/>
  <c r="AD975" i="45"/>
  <c r="N975" i="45"/>
  <c r="AP975" i="45"/>
  <c r="Z975" i="45"/>
  <c r="AL975" i="45"/>
  <c r="V975" i="45"/>
  <c r="AH975" i="45"/>
  <c r="R975" i="45"/>
  <c r="H975" i="45"/>
  <c r="J975" i="45" s="1"/>
  <c r="B1080" i="45"/>
  <c r="AS961" i="45"/>
  <c r="AO961" i="45"/>
  <c r="AK961" i="45"/>
  <c r="AG961" i="45"/>
  <c r="AC961" i="45"/>
  <c r="Y961" i="45"/>
  <c r="U961" i="45"/>
  <c r="Q961" i="45"/>
  <c r="M961" i="45"/>
  <c r="AR961" i="45"/>
  <c r="AN961" i="45"/>
  <c r="AJ961" i="45"/>
  <c r="AF961" i="45"/>
  <c r="AB961" i="45"/>
  <c r="X961" i="45"/>
  <c r="T961" i="45"/>
  <c r="P961" i="45"/>
  <c r="L961" i="45"/>
  <c r="AU961" i="45"/>
  <c r="AQ961" i="45"/>
  <c r="AM961" i="45"/>
  <c r="AI961" i="45"/>
  <c r="AE961" i="45"/>
  <c r="AA961" i="45"/>
  <c r="W961" i="45"/>
  <c r="S961" i="45"/>
  <c r="O961" i="45"/>
  <c r="AL961" i="45"/>
  <c r="V961" i="45"/>
  <c r="AH961" i="45"/>
  <c r="R961" i="45"/>
  <c r="AT961" i="45"/>
  <c r="AD961" i="45"/>
  <c r="N961" i="45"/>
  <c r="AP961" i="45"/>
  <c r="Z961" i="45"/>
  <c r="B1066" i="45"/>
  <c r="H961" i="45"/>
  <c r="J961" i="45" s="1"/>
  <c r="AS994" i="45"/>
  <c r="AO994" i="45"/>
  <c r="AK994" i="45"/>
  <c r="AG994" i="45"/>
  <c r="AC994" i="45"/>
  <c r="Y994" i="45"/>
  <c r="U994" i="45"/>
  <c r="Q994" i="45"/>
  <c r="M994" i="45"/>
  <c r="AR994" i="45"/>
  <c r="AN994" i="45"/>
  <c r="AJ994" i="45"/>
  <c r="AF994" i="45"/>
  <c r="AB994" i="45"/>
  <c r="X994" i="45"/>
  <c r="T994" i="45"/>
  <c r="P994" i="45"/>
  <c r="L994" i="45"/>
  <c r="AU994" i="45"/>
  <c r="AQ994" i="45"/>
  <c r="AM994" i="45"/>
  <c r="AI994" i="45"/>
  <c r="AE994" i="45"/>
  <c r="AA994" i="45"/>
  <c r="W994" i="45"/>
  <c r="S994" i="45"/>
  <c r="O994" i="45"/>
  <c r="AH994" i="45"/>
  <c r="R994" i="45"/>
  <c r="AT994" i="45"/>
  <c r="AD994" i="45"/>
  <c r="N994" i="45"/>
  <c r="AP994" i="45"/>
  <c r="Z994" i="45"/>
  <c r="V994" i="45"/>
  <c r="AL994" i="45"/>
  <c r="B1099" i="45"/>
  <c r="H994" i="45"/>
  <c r="J994" i="45" s="1"/>
  <c r="AT872" i="45"/>
  <c r="AP872" i="45"/>
  <c r="AL872" i="45"/>
  <c r="AH872" i="45"/>
  <c r="AD872" i="45"/>
  <c r="Z872" i="45"/>
  <c r="V872" i="45"/>
  <c r="R872" i="45"/>
  <c r="N872" i="45"/>
  <c r="AS872" i="45"/>
  <c r="AO872" i="45"/>
  <c r="AK872" i="45"/>
  <c r="AG872" i="45"/>
  <c r="AC872" i="45"/>
  <c r="Y872" i="45"/>
  <c r="U872" i="45"/>
  <c r="Q872" i="45"/>
  <c r="M872" i="45"/>
  <c r="AR872" i="45"/>
  <c r="AN872" i="45"/>
  <c r="AJ872" i="45"/>
  <c r="AF872" i="45"/>
  <c r="AB872" i="45"/>
  <c r="X872" i="45"/>
  <c r="T872" i="45"/>
  <c r="P872" i="45"/>
  <c r="L872" i="45"/>
  <c r="AI872" i="45"/>
  <c r="S872" i="45"/>
  <c r="AU872" i="45"/>
  <c r="AE872" i="45"/>
  <c r="O872" i="45"/>
  <c r="AQ872" i="45"/>
  <c r="AA872" i="45"/>
  <c r="AM872" i="45"/>
  <c r="W872" i="45"/>
  <c r="H872" i="45"/>
  <c r="J872" i="45" s="1"/>
  <c r="B977" i="45"/>
  <c r="AS942" i="45"/>
  <c r="AO942" i="45"/>
  <c r="AK942" i="45"/>
  <c r="AG942" i="45"/>
  <c r="AC942" i="45"/>
  <c r="Y942" i="45"/>
  <c r="U942" i="45"/>
  <c r="Q942" i="45"/>
  <c r="M942" i="45"/>
  <c r="AU942" i="45"/>
  <c r="AQ942" i="45"/>
  <c r="AM942" i="45"/>
  <c r="AI942" i="45"/>
  <c r="AE942" i="45"/>
  <c r="AA942" i="45"/>
  <c r="W942" i="45"/>
  <c r="S942" i="45"/>
  <c r="O942" i="45"/>
  <c r="AR942" i="45"/>
  <c r="AJ942" i="45"/>
  <c r="AB942" i="45"/>
  <c r="T942" i="45"/>
  <c r="L942" i="45"/>
  <c r="AP942" i="45"/>
  <c r="AH942" i="45"/>
  <c r="Z942" i="45"/>
  <c r="R942" i="45"/>
  <c r="AN942" i="45"/>
  <c r="AF942" i="45"/>
  <c r="X942" i="45"/>
  <c r="P942" i="45"/>
  <c r="AT942" i="45"/>
  <c r="N942" i="45"/>
  <c r="AL942" i="45"/>
  <c r="AD942" i="45"/>
  <c r="V942" i="45"/>
  <c r="B1047" i="45"/>
  <c r="H942" i="45"/>
  <c r="J942" i="45" s="1"/>
  <c r="AS979" i="45"/>
  <c r="AO979" i="45"/>
  <c r="AK979" i="45"/>
  <c r="AG979" i="45"/>
  <c r="AC979" i="45"/>
  <c r="Y979" i="45"/>
  <c r="U979" i="45"/>
  <c r="Q979" i="45"/>
  <c r="M979" i="45"/>
  <c r="AR979" i="45"/>
  <c r="AN979" i="45"/>
  <c r="AJ979" i="45"/>
  <c r="AF979" i="45"/>
  <c r="AB979" i="45"/>
  <c r="X979" i="45"/>
  <c r="T979" i="45"/>
  <c r="P979" i="45"/>
  <c r="L979" i="45"/>
  <c r="AU979" i="45"/>
  <c r="AQ979" i="45"/>
  <c r="AM979" i="45"/>
  <c r="AI979" i="45"/>
  <c r="AE979" i="45"/>
  <c r="AA979" i="45"/>
  <c r="W979" i="45"/>
  <c r="S979" i="45"/>
  <c r="O979" i="45"/>
  <c r="AT979" i="45"/>
  <c r="AD979" i="45"/>
  <c r="N979" i="45"/>
  <c r="AP979" i="45"/>
  <c r="Z979" i="45"/>
  <c r="AL979" i="45"/>
  <c r="V979" i="45"/>
  <c r="AH979" i="45"/>
  <c r="R979" i="45"/>
  <c r="B1084" i="45"/>
  <c r="H979" i="45"/>
  <c r="J979" i="45" s="1"/>
  <c r="AS949" i="45"/>
  <c r="AO949" i="45"/>
  <c r="AK949" i="45"/>
  <c r="AG949" i="45"/>
  <c r="AC949" i="45"/>
  <c r="Y949" i="45"/>
  <c r="U949" i="45"/>
  <c r="Q949" i="45"/>
  <c r="M949" i="45"/>
  <c r="AU949" i="45"/>
  <c r="AQ949" i="45"/>
  <c r="AM949" i="45"/>
  <c r="AI949" i="45"/>
  <c r="AE949" i="45"/>
  <c r="AA949" i="45"/>
  <c r="W949" i="45"/>
  <c r="S949" i="45"/>
  <c r="O949" i="45"/>
  <c r="AN949" i="45"/>
  <c r="AF949" i="45"/>
  <c r="X949" i="45"/>
  <c r="P949" i="45"/>
  <c r="AT949" i="45"/>
  <c r="AL949" i="45"/>
  <c r="AD949" i="45"/>
  <c r="V949" i="45"/>
  <c r="N949" i="45"/>
  <c r="AR949" i="45"/>
  <c r="AJ949" i="45"/>
  <c r="AB949" i="45"/>
  <c r="T949" i="45"/>
  <c r="L949" i="45"/>
  <c r="R949" i="45"/>
  <c r="AP949" i="45"/>
  <c r="AH949" i="45"/>
  <c r="Z949" i="45"/>
  <c r="B1054" i="45"/>
  <c r="H949" i="45"/>
  <c r="J949" i="45" s="1"/>
  <c r="AU1121" i="45"/>
  <c r="AQ1121" i="45"/>
  <c r="AM1121" i="45"/>
  <c r="AI1121" i="45"/>
  <c r="AE1121" i="45"/>
  <c r="AA1121" i="45"/>
  <c r="W1121" i="45"/>
  <c r="S1121" i="45"/>
  <c r="O1121" i="45"/>
  <c r="AT1121" i="45"/>
  <c r="AP1121" i="45"/>
  <c r="AL1121" i="45"/>
  <c r="AH1121" i="45"/>
  <c r="AD1121" i="45"/>
  <c r="Z1121" i="45"/>
  <c r="V1121" i="45"/>
  <c r="R1121" i="45"/>
  <c r="N1121" i="45"/>
  <c r="AR1121" i="45"/>
  <c r="AJ1121" i="45"/>
  <c r="AB1121" i="45"/>
  <c r="T1121" i="45"/>
  <c r="L1121" i="45"/>
  <c r="AO1121" i="45"/>
  <c r="AG1121" i="45"/>
  <c r="Y1121" i="45"/>
  <c r="Q1121" i="45"/>
  <c r="AN1121" i="45"/>
  <c r="AF1121" i="45"/>
  <c r="X1121" i="45"/>
  <c r="P1121" i="45"/>
  <c r="AK1121" i="45"/>
  <c r="AC1121" i="45"/>
  <c r="U1121" i="45"/>
  <c r="AS1121" i="45"/>
  <c r="M1121" i="45"/>
  <c r="H1121" i="45"/>
  <c r="J1121" i="45" s="1"/>
  <c r="B1226" i="45"/>
  <c r="AS955" i="45"/>
  <c r="AO955" i="45"/>
  <c r="AK955" i="45"/>
  <c r="AG955" i="45"/>
  <c r="AC955" i="45"/>
  <c r="Y955" i="45"/>
  <c r="U955" i="45"/>
  <c r="Q955" i="45"/>
  <c r="M955" i="45"/>
  <c r="AR955" i="45"/>
  <c r="AN955" i="45"/>
  <c r="AJ955" i="45"/>
  <c r="AF955" i="45"/>
  <c r="AB955" i="45"/>
  <c r="X955" i="45"/>
  <c r="T955" i="45"/>
  <c r="P955" i="45"/>
  <c r="L955" i="45"/>
  <c r="AU955" i="45"/>
  <c r="AQ955" i="45"/>
  <c r="AM955" i="45"/>
  <c r="AI955" i="45"/>
  <c r="AE955" i="45"/>
  <c r="AA955" i="45"/>
  <c r="W955" i="45"/>
  <c r="S955" i="45"/>
  <c r="O955" i="45"/>
  <c r="AT955" i="45"/>
  <c r="AD955" i="45"/>
  <c r="N955" i="45"/>
  <c r="AP955" i="45"/>
  <c r="Z955" i="45"/>
  <c r="AL955" i="45"/>
  <c r="V955" i="45"/>
  <c r="R955" i="45"/>
  <c r="AH955" i="45"/>
  <c r="B1060" i="45"/>
  <c r="H955" i="45"/>
  <c r="J955" i="45" s="1"/>
  <c r="AS959" i="45"/>
  <c r="AO959" i="45"/>
  <c r="AK959" i="45"/>
  <c r="AG959" i="45"/>
  <c r="AC959" i="45"/>
  <c r="Y959" i="45"/>
  <c r="U959" i="45"/>
  <c r="Q959" i="45"/>
  <c r="M959" i="45"/>
  <c r="AR959" i="45"/>
  <c r="AN959" i="45"/>
  <c r="AJ959" i="45"/>
  <c r="AF959" i="45"/>
  <c r="AB959" i="45"/>
  <c r="X959" i="45"/>
  <c r="T959" i="45"/>
  <c r="P959" i="45"/>
  <c r="L959" i="45"/>
  <c r="AU959" i="45"/>
  <c r="AQ959" i="45"/>
  <c r="AM959" i="45"/>
  <c r="AI959" i="45"/>
  <c r="AE959" i="45"/>
  <c r="AA959" i="45"/>
  <c r="W959" i="45"/>
  <c r="S959" i="45"/>
  <c r="O959" i="45"/>
  <c r="AT959" i="45"/>
  <c r="AD959" i="45"/>
  <c r="N959" i="45"/>
  <c r="AP959" i="45"/>
  <c r="Z959" i="45"/>
  <c r="AL959" i="45"/>
  <c r="V959" i="45"/>
  <c r="AH959" i="45"/>
  <c r="R959" i="45"/>
  <c r="B1064" i="45"/>
  <c r="H959" i="45"/>
  <c r="J959" i="45" s="1"/>
  <c r="AT926" i="45"/>
  <c r="AP926" i="45"/>
  <c r="AL926" i="45"/>
  <c r="AH926" i="45"/>
  <c r="AD926" i="45"/>
  <c r="Z926" i="45"/>
  <c r="V926" i="45"/>
  <c r="R926" i="45"/>
  <c r="N926" i="45"/>
  <c r="AS926" i="45"/>
  <c r="AO926" i="45"/>
  <c r="AK926" i="45"/>
  <c r="AG926" i="45"/>
  <c r="AC926" i="45"/>
  <c r="Y926" i="45"/>
  <c r="U926" i="45"/>
  <c r="Q926" i="45"/>
  <c r="M926" i="45"/>
  <c r="AR926" i="45"/>
  <c r="AN926" i="45"/>
  <c r="AJ926" i="45"/>
  <c r="AF926" i="45"/>
  <c r="AB926" i="45"/>
  <c r="X926" i="45"/>
  <c r="T926" i="45"/>
  <c r="P926" i="45"/>
  <c r="L926" i="45"/>
  <c r="AI926" i="45"/>
  <c r="S926" i="45"/>
  <c r="AU926" i="45"/>
  <c r="AE926" i="45"/>
  <c r="O926" i="45"/>
  <c r="AQ926" i="45"/>
  <c r="AA926" i="45"/>
  <c r="W926" i="45"/>
  <c r="AM926" i="45"/>
  <c r="B1031" i="45"/>
  <c r="H926" i="45"/>
  <c r="J926" i="45" s="1"/>
  <c r="AT929" i="45"/>
  <c r="AP929" i="45"/>
  <c r="AL929" i="45"/>
  <c r="AH929" i="45"/>
  <c r="AD929" i="45"/>
  <c r="Z929" i="45"/>
  <c r="V929" i="45"/>
  <c r="R929" i="45"/>
  <c r="N929" i="45"/>
  <c r="AS929" i="45"/>
  <c r="AO929" i="45"/>
  <c r="AK929" i="45"/>
  <c r="AG929" i="45"/>
  <c r="AC929" i="45"/>
  <c r="Y929" i="45"/>
  <c r="U929" i="45"/>
  <c r="Q929" i="45"/>
  <c r="M929" i="45"/>
  <c r="AR929" i="45"/>
  <c r="AN929" i="45"/>
  <c r="AJ929" i="45"/>
  <c r="AF929" i="45"/>
  <c r="AB929" i="45"/>
  <c r="X929" i="45"/>
  <c r="T929" i="45"/>
  <c r="P929" i="45"/>
  <c r="L929" i="45"/>
  <c r="AM929" i="45"/>
  <c r="W929" i="45"/>
  <c r="AI929" i="45"/>
  <c r="S929" i="45"/>
  <c r="AU929" i="45"/>
  <c r="AE929" i="45"/>
  <c r="O929" i="45"/>
  <c r="AA929" i="45"/>
  <c r="AQ929" i="45"/>
  <c r="B1034" i="45"/>
  <c r="H929" i="45"/>
  <c r="J929" i="45" s="1"/>
  <c r="AT927" i="45"/>
  <c r="AP927" i="45"/>
  <c r="AL927" i="45"/>
  <c r="AH927" i="45"/>
  <c r="AD927" i="45"/>
  <c r="Z927" i="45"/>
  <c r="V927" i="45"/>
  <c r="R927" i="45"/>
  <c r="N927" i="45"/>
  <c r="AS927" i="45"/>
  <c r="AO927" i="45"/>
  <c r="AK927" i="45"/>
  <c r="AG927" i="45"/>
  <c r="AC927" i="45"/>
  <c r="Y927" i="45"/>
  <c r="U927" i="45"/>
  <c r="Q927" i="45"/>
  <c r="M927" i="45"/>
  <c r="AR927" i="45"/>
  <c r="AN927" i="45"/>
  <c r="AJ927" i="45"/>
  <c r="AF927" i="45"/>
  <c r="AB927" i="45"/>
  <c r="X927" i="45"/>
  <c r="T927" i="45"/>
  <c r="P927" i="45"/>
  <c r="L927" i="45"/>
  <c r="AU927" i="45"/>
  <c r="AE927" i="45"/>
  <c r="O927" i="45"/>
  <c r="AQ927" i="45"/>
  <c r="AA927" i="45"/>
  <c r="AM927" i="45"/>
  <c r="W927" i="45"/>
  <c r="AI927" i="45"/>
  <c r="S927" i="45"/>
  <c r="B1032" i="45"/>
  <c r="H927" i="45"/>
  <c r="J927" i="45" s="1"/>
  <c r="AS980" i="45"/>
  <c r="AO980" i="45"/>
  <c r="AK980" i="45"/>
  <c r="AG980" i="45"/>
  <c r="AC980" i="45"/>
  <c r="Y980" i="45"/>
  <c r="U980" i="45"/>
  <c r="Q980" i="45"/>
  <c r="M980" i="45"/>
  <c r="AR980" i="45"/>
  <c r="AN980" i="45"/>
  <c r="AJ980" i="45"/>
  <c r="AF980" i="45"/>
  <c r="AB980" i="45"/>
  <c r="X980" i="45"/>
  <c r="T980" i="45"/>
  <c r="P980" i="45"/>
  <c r="L980" i="45"/>
  <c r="AU980" i="45"/>
  <c r="AQ980" i="45"/>
  <c r="AM980" i="45"/>
  <c r="AI980" i="45"/>
  <c r="AE980" i="45"/>
  <c r="AA980" i="45"/>
  <c r="W980" i="45"/>
  <c r="S980" i="45"/>
  <c r="O980" i="45"/>
  <c r="AP980" i="45"/>
  <c r="Z980" i="45"/>
  <c r="AL980" i="45"/>
  <c r="V980" i="45"/>
  <c r="AH980" i="45"/>
  <c r="R980" i="45"/>
  <c r="N980" i="45"/>
  <c r="AT980" i="45"/>
  <c r="AD980" i="45"/>
  <c r="H980" i="45"/>
  <c r="J980" i="45" s="1"/>
  <c r="B1085" i="45"/>
  <c r="AS976" i="45"/>
  <c r="AO976" i="45"/>
  <c r="AK976" i="45"/>
  <c r="AG976" i="45"/>
  <c r="AC976" i="45"/>
  <c r="Y976" i="45"/>
  <c r="U976" i="45"/>
  <c r="Q976" i="45"/>
  <c r="M976" i="45"/>
  <c r="AR976" i="45"/>
  <c r="AN976" i="45"/>
  <c r="AJ976" i="45"/>
  <c r="AF976" i="45"/>
  <c r="AB976" i="45"/>
  <c r="X976" i="45"/>
  <c r="T976" i="45"/>
  <c r="P976" i="45"/>
  <c r="L976" i="45"/>
  <c r="AU976" i="45"/>
  <c r="AQ976" i="45"/>
  <c r="AM976" i="45"/>
  <c r="AI976" i="45"/>
  <c r="AE976" i="45"/>
  <c r="AA976" i="45"/>
  <c r="W976" i="45"/>
  <c r="S976" i="45"/>
  <c r="O976" i="45"/>
  <c r="AP976" i="45"/>
  <c r="Z976" i="45"/>
  <c r="AL976" i="45"/>
  <c r="V976" i="45"/>
  <c r="AH976" i="45"/>
  <c r="R976" i="45"/>
  <c r="AD976" i="45"/>
  <c r="N976" i="45"/>
  <c r="AT976" i="45"/>
  <c r="H976" i="45"/>
  <c r="J976" i="45" s="1"/>
  <c r="B1081" i="45"/>
  <c r="AT928" i="45"/>
  <c r="AP928" i="45"/>
  <c r="AL928" i="45"/>
  <c r="AH928" i="45"/>
  <c r="AD928" i="45"/>
  <c r="Z928" i="45"/>
  <c r="V928" i="45"/>
  <c r="R928" i="45"/>
  <c r="N928" i="45"/>
  <c r="AS928" i="45"/>
  <c r="AO928" i="45"/>
  <c r="AK928" i="45"/>
  <c r="AG928" i="45"/>
  <c r="AC928" i="45"/>
  <c r="Y928" i="45"/>
  <c r="U928" i="45"/>
  <c r="Q928" i="45"/>
  <c r="M928" i="45"/>
  <c r="AR928" i="45"/>
  <c r="AN928" i="45"/>
  <c r="AJ928" i="45"/>
  <c r="AF928" i="45"/>
  <c r="AB928" i="45"/>
  <c r="X928" i="45"/>
  <c r="T928" i="45"/>
  <c r="P928" i="45"/>
  <c r="L928" i="45"/>
  <c r="AQ928" i="45"/>
  <c r="AA928" i="45"/>
  <c r="AM928" i="45"/>
  <c r="W928" i="45"/>
  <c r="AI928" i="45"/>
  <c r="S928" i="45"/>
  <c r="AU928" i="45"/>
  <c r="AE928" i="45"/>
  <c r="O928" i="45"/>
  <c r="B1033" i="45"/>
  <c r="H928" i="45"/>
  <c r="J928" i="45" s="1"/>
  <c r="AU1116" i="45"/>
  <c r="AQ1116" i="45"/>
  <c r="AM1116" i="45"/>
  <c r="AI1116" i="45"/>
  <c r="AE1116" i="45"/>
  <c r="AA1116" i="45"/>
  <c r="W1116" i="45"/>
  <c r="S1116" i="45"/>
  <c r="O1116" i="45"/>
  <c r="AT1116" i="45"/>
  <c r="AP1116" i="45"/>
  <c r="AL1116" i="45"/>
  <c r="AH1116" i="45"/>
  <c r="AD1116" i="45"/>
  <c r="Z1116" i="45"/>
  <c r="V1116" i="45"/>
  <c r="R1116" i="45"/>
  <c r="N1116" i="45"/>
  <c r="AN1116" i="45"/>
  <c r="AF1116" i="45"/>
  <c r="X1116" i="45"/>
  <c r="P1116" i="45"/>
  <c r="AS1116" i="45"/>
  <c r="AK1116" i="45"/>
  <c r="AC1116" i="45"/>
  <c r="U1116" i="45"/>
  <c r="M1116" i="45"/>
  <c r="AR1116" i="45"/>
  <c r="AJ1116" i="45"/>
  <c r="AB1116" i="45"/>
  <c r="T1116" i="45"/>
  <c r="L1116" i="45"/>
  <c r="Y1116" i="45"/>
  <c r="Q1116" i="45"/>
  <c r="AO1116" i="45"/>
  <c r="AG1116" i="45"/>
  <c r="B1221" i="45"/>
  <c r="H1116" i="45"/>
  <c r="J1116" i="45" s="1"/>
  <c r="AS943" i="45"/>
  <c r="AO943" i="45"/>
  <c r="AK943" i="45"/>
  <c r="AG943" i="45"/>
  <c r="AC943" i="45"/>
  <c r="Y943" i="45"/>
  <c r="U943" i="45"/>
  <c r="Q943" i="45"/>
  <c r="M943" i="45"/>
  <c r="AU943" i="45"/>
  <c r="AQ943" i="45"/>
  <c r="AM943" i="45"/>
  <c r="AI943" i="45"/>
  <c r="AE943" i="45"/>
  <c r="AA943" i="45"/>
  <c r="W943" i="45"/>
  <c r="S943" i="45"/>
  <c r="O943" i="45"/>
  <c r="AN943" i="45"/>
  <c r="AF943" i="45"/>
  <c r="X943" i="45"/>
  <c r="P943" i="45"/>
  <c r="AT943" i="45"/>
  <c r="AL943" i="45"/>
  <c r="AD943" i="45"/>
  <c r="V943" i="45"/>
  <c r="N943" i="45"/>
  <c r="AR943" i="45"/>
  <c r="AJ943" i="45"/>
  <c r="AB943" i="45"/>
  <c r="T943" i="45"/>
  <c r="L943" i="45"/>
  <c r="AP943" i="45"/>
  <c r="AH943" i="45"/>
  <c r="Z943" i="45"/>
  <c r="R943" i="45"/>
  <c r="H943" i="45"/>
  <c r="J943" i="45" s="1"/>
  <c r="B1048" i="45"/>
  <c r="AU1120" i="45"/>
  <c r="AQ1120" i="45"/>
  <c r="AM1120" i="45"/>
  <c r="AI1120" i="45"/>
  <c r="AE1120" i="45"/>
  <c r="AA1120" i="45"/>
  <c r="W1120" i="45"/>
  <c r="S1120" i="45"/>
  <c r="O1120" i="45"/>
  <c r="AT1120" i="45"/>
  <c r="AP1120" i="45"/>
  <c r="AL1120" i="45"/>
  <c r="AH1120" i="45"/>
  <c r="AD1120" i="45"/>
  <c r="Z1120" i="45"/>
  <c r="V1120" i="45"/>
  <c r="R1120" i="45"/>
  <c r="N1120" i="45"/>
  <c r="AN1120" i="45"/>
  <c r="AF1120" i="45"/>
  <c r="X1120" i="45"/>
  <c r="P1120" i="45"/>
  <c r="AS1120" i="45"/>
  <c r="AK1120" i="45"/>
  <c r="AC1120" i="45"/>
  <c r="U1120" i="45"/>
  <c r="M1120" i="45"/>
  <c r="AR1120" i="45"/>
  <c r="AJ1120" i="45"/>
  <c r="AB1120" i="45"/>
  <c r="T1120" i="45"/>
  <c r="L1120" i="45"/>
  <c r="AO1120" i="45"/>
  <c r="AG1120" i="45"/>
  <c r="Y1120" i="45"/>
  <c r="Q1120" i="45"/>
  <c r="B1225" i="45"/>
  <c r="H1120" i="45"/>
  <c r="J1120" i="45" s="1"/>
  <c r="AS948" i="45"/>
  <c r="AO948" i="45"/>
  <c r="AK948" i="45"/>
  <c r="AG948" i="45"/>
  <c r="AC948" i="45"/>
  <c r="Y948" i="45"/>
  <c r="U948" i="45"/>
  <c r="Q948" i="45"/>
  <c r="M948" i="45"/>
  <c r="AU948" i="45"/>
  <c r="AQ948" i="45"/>
  <c r="AM948" i="45"/>
  <c r="AI948" i="45"/>
  <c r="AE948" i="45"/>
  <c r="AA948" i="45"/>
  <c r="W948" i="45"/>
  <c r="S948" i="45"/>
  <c r="O948" i="45"/>
  <c r="AR948" i="45"/>
  <c r="AJ948" i="45"/>
  <c r="AB948" i="45"/>
  <c r="T948" i="45"/>
  <c r="L948" i="45"/>
  <c r="AP948" i="45"/>
  <c r="AH948" i="45"/>
  <c r="Z948" i="45"/>
  <c r="R948" i="45"/>
  <c r="AN948" i="45"/>
  <c r="AF948" i="45"/>
  <c r="X948" i="45"/>
  <c r="P948" i="45"/>
  <c r="V948" i="45"/>
  <c r="AT948" i="45"/>
  <c r="N948" i="45"/>
  <c r="AL948" i="45"/>
  <c r="AD948" i="45"/>
  <c r="H948" i="45"/>
  <c r="J948" i="45" s="1"/>
  <c r="B1053" i="45"/>
  <c r="AS1004" i="45"/>
  <c r="AO1004" i="45"/>
  <c r="AK1004" i="45"/>
  <c r="AG1004" i="45"/>
  <c r="AC1004" i="45"/>
  <c r="Y1004" i="45"/>
  <c r="U1004" i="45"/>
  <c r="Q1004" i="45"/>
  <c r="M1004" i="45"/>
  <c r="AR1004" i="45"/>
  <c r="AN1004" i="45"/>
  <c r="AJ1004" i="45"/>
  <c r="AF1004" i="45"/>
  <c r="AB1004" i="45"/>
  <c r="X1004" i="45"/>
  <c r="T1004" i="45"/>
  <c r="P1004" i="45"/>
  <c r="L1004" i="45"/>
  <c r="AU1004" i="45"/>
  <c r="AQ1004" i="45"/>
  <c r="AM1004" i="45"/>
  <c r="AI1004" i="45"/>
  <c r="AE1004" i="45"/>
  <c r="AA1004" i="45"/>
  <c r="W1004" i="45"/>
  <c r="S1004" i="45"/>
  <c r="O1004" i="45"/>
  <c r="AP1004" i="45"/>
  <c r="Z1004" i="45"/>
  <c r="AL1004" i="45"/>
  <c r="V1004" i="45"/>
  <c r="AH1004" i="45"/>
  <c r="R1004" i="45"/>
  <c r="AT1004" i="45"/>
  <c r="AD1004" i="45"/>
  <c r="N1004" i="45"/>
  <c r="B1109" i="45"/>
  <c r="H1004" i="45"/>
  <c r="J1004" i="45" s="1"/>
  <c r="AS936" i="45"/>
  <c r="AO936" i="45"/>
  <c r="AK936" i="45"/>
  <c r="AG936" i="45"/>
  <c r="AC936" i="45"/>
  <c r="Y936" i="45"/>
  <c r="U936" i="45"/>
  <c r="Q936" i="45"/>
  <c r="AU936" i="45"/>
  <c r="AQ936" i="45"/>
  <c r="AM936" i="45"/>
  <c r="AI936" i="45"/>
  <c r="AE936" i="45"/>
  <c r="AA936" i="45"/>
  <c r="W936" i="45"/>
  <c r="S936" i="45"/>
  <c r="AR936" i="45"/>
  <c r="AJ936" i="45"/>
  <c r="AB936" i="45"/>
  <c r="T936" i="45"/>
  <c r="N936" i="45"/>
  <c r="AP936" i="45"/>
  <c r="AH936" i="45"/>
  <c r="Z936" i="45"/>
  <c r="R936" i="45"/>
  <c r="M936" i="45"/>
  <c r="AN936" i="45"/>
  <c r="AF936" i="45"/>
  <c r="X936" i="45"/>
  <c r="P936" i="45"/>
  <c r="L936" i="45"/>
  <c r="AL936" i="45"/>
  <c r="AD936" i="45"/>
  <c r="V936" i="45"/>
  <c r="AT936" i="45"/>
  <c r="O936" i="45"/>
  <c r="B1041" i="45"/>
  <c r="H936" i="45"/>
  <c r="J936" i="45" s="1"/>
  <c r="AU1112" i="45"/>
  <c r="AQ1112" i="45"/>
  <c r="AM1112" i="45"/>
  <c r="AI1112" i="45"/>
  <c r="AE1112" i="45"/>
  <c r="AA1112" i="45"/>
  <c r="W1112" i="45"/>
  <c r="S1112" i="45"/>
  <c r="O1112" i="45"/>
  <c r="AT1112" i="45"/>
  <c r="AP1112" i="45"/>
  <c r="AL1112" i="45"/>
  <c r="AH1112" i="45"/>
  <c r="AD1112" i="45"/>
  <c r="Z1112" i="45"/>
  <c r="V1112" i="45"/>
  <c r="R1112" i="45"/>
  <c r="N1112" i="45"/>
  <c r="AN1112" i="45"/>
  <c r="AF1112" i="45"/>
  <c r="X1112" i="45"/>
  <c r="P1112" i="45"/>
  <c r="AS1112" i="45"/>
  <c r="AK1112" i="45"/>
  <c r="AC1112" i="45"/>
  <c r="U1112" i="45"/>
  <c r="M1112" i="45"/>
  <c r="AR1112" i="45"/>
  <c r="AJ1112" i="45"/>
  <c r="AB1112" i="45"/>
  <c r="T1112" i="45"/>
  <c r="L1112" i="45"/>
  <c r="AO1112" i="45"/>
  <c r="AG1112" i="45"/>
  <c r="Y1112" i="45"/>
  <c r="Q1112" i="45"/>
  <c r="B1217" i="45"/>
  <c r="H1112" i="45"/>
  <c r="J1112" i="45" s="1"/>
  <c r="AS937" i="45"/>
  <c r="AO937" i="45"/>
  <c r="AK937" i="45"/>
  <c r="AG937" i="45"/>
  <c r="AC937" i="45"/>
  <c r="Y937" i="45"/>
  <c r="U937" i="45"/>
  <c r="Q937" i="45"/>
  <c r="M937" i="45"/>
  <c r="AU937" i="45"/>
  <c r="AQ937" i="45"/>
  <c r="AM937" i="45"/>
  <c r="AI937" i="45"/>
  <c r="AE937" i="45"/>
  <c r="AA937" i="45"/>
  <c r="W937" i="45"/>
  <c r="S937" i="45"/>
  <c r="O937" i="45"/>
  <c r="AN937" i="45"/>
  <c r="AF937" i="45"/>
  <c r="X937" i="45"/>
  <c r="P937" i="45"/>
  <c r="AT937" i="45"/>
  <c r="AL937" i="45"/>
  <c r="AD937" i="45"/>
  <c r="V937" i="45"/>
  <c r="N937" i="45"/>
  <c r="AR937" i="45"/>
  <c r="AJ937" i="45"/>
  <c r="AB937" i="45"/>
  <c r="T937" i="45"/>
  <c r="L937" i="45"/>
  <c r="AH937" i="45"/>
  <c r="Z937" i="45"/>
  <c r="R937" i="45"/>
  <c r="AP937" i="45"/>
  <c r="H937" i="45"/>
  <c r="J937" i="45" s="1"/>
  <c r="B1042" i="45"/>
  <c r="AS998" i="45"/>
  <c r="AO998" i="45"/>
  <c r="AK998" i="45"/>
  <c r="AG998" i="45"/>
  <c r="AC998" i="45"/>
  <c r="Y998" i="45"/>
  <c r="U998" i="45"/>
  <c r="Q998" i="45"/>
  <c r="M998" i="45"/>
  <c r="AR998" i="45"/>
  <c r="AN998" i="45"/>
  <c r="AJ998" i="45"/>
  <c r="AF998" i="45"/>
  <c r="AB998" i="45"/>
  <c r="X998" i="45"/>
  <c r="T998" i="45"/>
  <c r="P998" i="45"/>
  <c r="L998" i="45"/>
  <c r="AU998" i="45"/>
  <c r="AQ998" i="45"/>
  <c r="AM998" i="45"/>
  <c r="AI998" i="45"/>
  <c r="AE998" i="45"/>
  <c r="AA998" i="45"/>
  <c r="W998" i="45"/>
  <c r="S998" i="45"/>
  <c r="O998" i="45"/>
  <c r="AH998" i="45"/>
  <c r="R998" i="45"/>
  <c r="AT998" i="45"/>
  <c r="AD998" i="45"/>
  <c r="N998" i="45"/>
  <c r="AP998" i="45"/>
  <c r="Z998" i="45"/>
  <c r="AL998" i="45"/>
  <c r="V998" i="45"/>
  <c r="B1103" i="45"/>
  <c r="H998" i="45"/>
  <c r="J998" i="45" s="1"/>
  <c r="AT932" i="45"/>
  <c r="AP932" i="45"/>
  <c r="AL932" i="45"/>
  <c r="AH932" i="45"/>
  <c r="AD932" i="45"/>
  <c r="Z932" i="45"/>
  <c r="V932" i="45"/>
  <c r="R932" i="45"/>
  <c r="N932" i="45"/>
  <c r="AS932" i="45"/>
  <c r="AO932" i="45"/>
  <c r="AK932" i="45"/>
  <c r="AG932" i="45"/>
  <c r="AC932" i="45"/>
  <c r="Y932" i="45"/>
  <c r="U932" i="45"/>
  <c r="Q932" i="45"/>
  <c r="M932" i="45"/>
  <c r="AR932" i="45"/>
  <c r="AN932" i="45"/>
  <c r="AJ932" i="45"/>
  <c r="AF932" i="45"/>
  <c r="AB932" i="45"/>
  <c r="X932" i="45"/>
  <c r="T932" i="45"/>
  <c r="P932" i="45"/>
  <c r="L932" i="45"/>
  <c r="AQ932" i="45"/>
  <c r="AA932" i="45"/>
  <c r="AM932" i="45"/>
  <c r="W932" i="45"/>
  <c r="AI932" i="45"/>
  <c r="S932" i="45"/>
  <c r="AU932" i="45"/>
  <c r="AE932" i="45"/>
  <c r="O932" i="45"/>
  <c r="H932" i="45"/>
  <c r="J932" i="45" s="1"/>
  <c r="B1037" i="45"/>
  <c r="AS993" i="45"/>
  <c r="AO993" i="45"/>
  <c r="AK993" i="45"/>
  <c r="AG993" i="45"/>
  <c r="AC993" i="45"/>
  <c r="Y993" i="45"/>
  <c r="U993" i="45"/>
  <c r="Q993" i="45"/>
  <c r="M993" i="45"/>
  <c r="AR993" i="45"/>
  <c r="AN993" i="45"/>
  <c r="AJ993" i="45"/>
  <c r="AF993" i="45"/>
  <c r="AB993" i="45"/>
  <c r="X993" i="45"/>
  <c r="T993" i="45"/>
  <c r="P993" i="45"/>
  <c r="L993" i="45"/>
  <c r="AU993" i="45"/>
  <c r="AQ993" i="45"/>
  <c r="AM993" i="45"/>
  <c r="AI993" i="45"/>
  <c r="AE993" i="45"/>
  <c r="AA993" i="45"/>
  <c r="W993" i="45"/>
  <c r="S993" i="45"/>
  <c r="O993" i="45"/>
  <c r="AL993" i="45"/>
  <c r="V993" i="45"/>
  <c r="AH993" i="45"/>
  <c r="R993" i="45"/>
  <c r="AT993" i="45"/>
  <c r="AD993" i="45"/>
  <c r="N993" i="45"/>
  <c r="AP993" i="45"/>
  <c r="Z993" i="45"/>
  <c r="H993" i="45"/>
  <c r="J993" i="45" s="1"/>
  <c r="B1098" i="45"/>
  <c r="AT934" i="45"/>
  <c r="AP934" i="45"/>
  <c r="AL934" i="45"/>
  <c r="AH934" i="45"/>
  <c r="AD934" i="45"/>
  <c r="Z934" i="45"/>
  <c r="V934" i="45"/>
  <c r="R934" i="45"/>
  <c r="N934" i="45"/>
  <c r="AS934" i="45"/>
  <c r="AO934" i="45"/>
  <c r="AK934" i="45"/>
  <c r="AG934" i="45"/>
  <c r="AC934" i="45"/>
  <c r="Y934" i="45"/>
  <c r="U934" i="45"/>
  <c r="Q934" i="45"/>
  <c r="M934" i="45"/>
  <c r="AR934" i="45"/>
  <c r="AN934" i="45"/>
  <c r="AJ934" i="45"/>
  <c r="AF934" i="45"/>
  <c r="AB934" i="45"/>
  <c r="X934" i="45"/>
  <c r="T934" i="45"/>
  <c r="P934" i="45"/>
  <c r="L934" i="45"/>
  <c r="AI934" i="45"/>
  <c r="S934" i="45"/>
  <c r="AU934" i="45"/>
  <c r="AE934" i="45"/>
  <c r="O934" i="45"/>
  <c r="AQ934" i="45"/>
  <c r="AA934" i="45"/>
  <c r="AM934" i="45"/>
  <c r="W934" i="45"/>
  <c r="H934" i="45"/>
  <c r="J934" i="45" s="1"/>
  <c r="B1039" i="45"/>
  <c r="AS951" i="45"/>
  <c r="AO951" i="45"/>
  <c r="AK951" i="45"/>
  <c r="AG951" i="45"/>
  <c r="AC951" i="45"/>
  <c r="Y951" i="45"/>
  <c r="U951" i="45"/>
  <c r="Q951" i="45"/>
  <c r="M951" i="45"/>
  <c r="AU951" i="45"/>
  <c r="AQ951" i="45"/>
  <c r="AM951" i="45"/>
  <c r="AI951" i="45"/>
  <c r="AE951" i="45"/>
  <c r="AA951" i="45"/>
  <c r="W951" i="45"/>
  <c r="S951" i="45"/>
  <c r="O951" i="45"/>
  <c r="AN951" i="45"/>
  <c r="AF951" i="45"/>
  <c r="X951" i="45"/>
  <c r="P951" i="45"/>
  <c r="AT951" i="45"/>
  <c r="AL951" i="45"/>
  <c r="AD951" i="45"/>
  <c r="V951" i="45"/>
  <c r="N951" i="45"/>
  <c r="AR951" i="45"/>
  <c r="AJ951" i="45"/>
  <c r="AB951" i="45"/>
  <c r="T951" i="45"/>
  <c r="L951" i="45"/>
  <c r="AP951" i="45"/>
  <c r="AH951" i="45"/>
  <c r="Z951" i="45"/>
  <c r="R951" i="45"/>
  <c r="B1056" i="45"/>
  <c r="H951" i="45"/>
  <c r="J951" i="45" s="1"/>
  <c r="AS962" i="45"/>
  <c r="AO962" i="45"/>
  <c r="AK962" i="45"/>
  <c r="AG962" i="45"/>
  <c r="AC962" i="45"/>
  <c r="Y962" i="45"/>
  <c r="U962" i="45"/>
  <c r="Q962" i="45"/>
  <c r="M962" i="45"/>
  <c r="AR962" i="45"/>
  <c r="AN962" i="45"/>
  <c r="AJ962" i="45"/>
  <c r="AF962" i="45"/>
  <c r="AB962" i="45"/>
  <c r="X962" i="45"/>
  <c r="T962" i="45"/>
  <c r="P962" i="45"/>
  <c r="L962" i="45"/>
  <c r="AU962" i="45"/>
  <c r="AQ962" i="45"/>
  <c r="AM962" i="45"/>
  <c r="AI962" i="45"/>
  <c r="AE962" i="45"/>
  <c r="AA962" i="45"/>
  <c r="W962" i="45"/>
  <c r="S962" i="45"/>
  <c r="O962" i="45"/>
  <c r="AH962" i="45"/>
  <c r="R962" i="45"/>
  <c r="AT962" i="45"/>
  <c r="AD962" i="45"/>
  <c r="N962" i="45"/>
  <c r="AP962" i="45"/>
  <c r="Z962" i="45"/>
  <c r="V962" i="45"/>
  <c r="AL962" i="45"/>
  <c r="B1067" i="45"/>
  <c r="H962" i="45"/>
  <c r="J962" i="45" s="1"/>
  <c r="AS992" i="45"/>
  <c r="AO992" i="45"/>
  <c r="AK992" i="45"/>
  <c r="AG992" i="45"/>
  <c r="AC992" i="45"/>
  <c r="Y992" i="45"/>
  <c r="U992" i="45"/>
  <c r="Q992" i="45"/>
  <c r="M992" i="45"/>
  <c r="AR992" i="45"/>
  <c r="AN992" i="45"/>
  <c r="AJ992" i="45"/>
  <c r="AF992" i="45"/>
  <c r="AB992" i="45"/>
  <c r="X992" i="45"/>
  <c r="T992" i="45"/>
  <c r="P992" i="45"/>
  <c r="L992" i="45"/>
  <c r="AU992" i="45"/>
  <c r="AQ992" i="45"/>
  <c r="AM992" i="45"/>
  <c r="AI992" i="45"/>
  <c r="AE992" i="45"/>
  <c r="AA992" i="45"/>
  <c r="W992" i="45"/>
  <c r="S992" i="45"/>
  <c r="O992" i="45"/>
  <c r="AP992" i="45"/>
  <c r="Z992" i="45"/>
  <c r="AL992" i="45"/>
  <c r="V992" i="45"/>
  <c r="AH992" i="45"/>
  <c r="R992" i="45"/>
  <c r="AD992" i="45"/>
  <c r="N992" i="45"/>
  <c r="AT992" i="45"/>
  <c r="H992" i="45"/>
  <c r="J992" i="45" s="1"/>
  <c r="B1097" i="45"/>
  <c r="AS978" i="45"/>
  <c r="AO978" i="45"/>
  <c r="AK978" i="45"/>
  <c r="AG978" i="45"/>
  <c r="AC978" i="45"/>
  <c r="Y978" i="45"/>
  <c r="U978" i="45"/>
  <c r="Q978" i="45"/>
  <c r="M978" i="45"/>
  <c r="AR978" i="45"/>
  <c r="AN978" i="45"/>
  <c r="AJ978" i="45"/>
  <c r="AF978" i="45"/>
  <c r="AB978" i="45"/>
  <c r="X978" i="45"/>
  <c r="T978" i="45"/>
  <c r="P978" i="45"/>
  <c r="L978" i="45"/>
  <c r="AU978" i="45"/>
  <c r="AQ978" i="45"/>
  <c r="AM978" i="45"/>
  <c r="AI978" i="45"/>
  <c r="AE978" i="45"/>
  <c r="AA978" i="45"/>
  <c r="W978" i="45"/>
  <c r="S978" i="45"/>
  <c r="O978" i="45"/>
  <c r="AH978" i="45"/>
  <c r="R978" i="45"/>
  <c r="AT978" i="45"/>
  <c r="AD978" i="45"/>
  <c r="N978" i="45"/>
  <c r="AP978" i="45"/>
  <c r="Z978" i="45"/>
  <c r="V978" i="45"/>
  <c r="AL978" i="45"/>
  <c r="B1083" i="45"/>
  <c r="H978" i="45"/>
  <c r="J978" i="45" s="1"/>
  <c r="AS939" i="45"/>
  <c r="AO939" i="45"/>
  <c r="AK939" i="45"/>
  <c r="AG939" i="45"/>
  <c r="AC939" i="45"/>
  <c r="Y939" i="45"/>
  <c r="U939" i="45"/>
  <c r="Q939" i="45"/>
  <c r="M939" i="45"/>
  <c r="AU939" i="45"/>
  <c r="AQ939" i="45"/>
  <c r="AM939" i="45"/>
  <c r="AI939" i="45"/>
  <c r="AE939" i="45"/>
  <c r="AA939" i="45"/>
  <c r="W939" i="45"/>
  <c r="S939" i="45"/>
  <c r="O939" i="45"/>
  <c r="AN939" i="45"/>
  <c r="AF939" i="45"/>
  <c r="X939" i="45"/>
  <c r="P939" i="45"/>
  <c r="AT939" i="45"/>
  <c r="AL939" i="45"/>
  <c r="AD939" i="45"/>
  <c r="V939" i="45"/>
  <c r="N939" i="45"/>
  <c r="AR939" i="45"/>
  <c r="AJ939" i="45"/>
  <c r="AB939" i="45"/>
  <c r="T939" i="45"/>
  <c r="L939" i="45"/>
  <c r="Z939" i="45"/>
  <c r="R939" i="45"/>
  <c r="AP939" i="45"/>
  <c r="AH939" i="45"/>
  <c r="B1044" i="45"/>
  <c r="H939" i="45"/>
  <c r="J939" i="45" s="1"/>
  <c r="AT923" i="45"/>
  <c r="AP923" i="45"/>
  <c r="AL923" i="45"/>
  <c r="AH923" i="45"/>
  <c r="AD923" i="45"/>
  <c r="Z923" i="45"/>
  <c r="V923" i="45"/>
  <c r="R923" i="45"/>
  <c r="N923" i="45"/>
  <c r="AS923" i="45"/>
  <c r="AO923" i="45"/>
  <c r="AK923" i="45"/>
  <c r="AG923" i="45"/>
  <c r="AC923" i="45"/>
  <c r="Y923" i="45"/>
  <c r="U923" i="45"/>
  <c r="Q923" i="45"/>
  <c r="M923" i="45"/>
  <c r="AR923" i="45"/>
  <c r="AN923" i="45"/>
  <c r="AJ923" i="45"/>
  <c r="AF923" i="45"/>
  <c r="AB923" i="45"/>
  <c r="X923" i="45"/>
  <c r="T923" i="45"/>
  <c r="P923" i="45"/>
  <c r="L923" i="45"/>
  <c r="AU923" i="45"/>
  <c r="AE923" i="45"/>
  <c r="O923" i="45"/>
  <c r="AQ923" i="45"/>
  <c r="AA923" i="45"/>
  <c r="AM923" i="45"/>
  <c r="W923" i="45"/>
  <c r="AI923" i="45"/>
  <c r="S923" i="45"/>
  <c r="B1028" i="45"/>
  <c r="H923" i="45"/>
  <c r="J923" i="45" s="1"/>
  <c r="AU1118" i="45"/>
  <c r="AQ1118" i="45"/>
  <c r="AM1118" i="45"/>
  <c r="AI1118" i="45"/>
  <c r="AE1118" i="45"/>
  <c r="AA1118" i="45"/>
  <c r="W1118" i="45"/>
  <c r="S1118" i="45"/>
  <c r="O1118" i="45"/>
  <c r="AT1118" i="45"/>
  <c r="AP1118" i="45"/>
  <c r="AL1118" i="45"/>
  <c r="AH1118" i="45"/>
  <c r="AD1118" i="45"/>
  <c r="Z1118" i="45"/>
  <c r="V1118" i="45"/>
  <c r="R1118" i="45"/>
  <c r="N1118" i="45"/>
  <c r="AN1118" i="45"/>
  <c r="AF1118" i="45"/>
  <c r="X1118" i="45"/>
  <c r="P1118" i="45"/>
  <c r="AS1118" i="45"/>
  <c r="AK1118" i="45"/>
  <c r="AC1118" i="45"/>
  <c r="U1118" i="45"/>
  <c r="M1118" i="45"/>
  <c r="AR1118" i="45"/>
  <c r="AJ1118" i="45"/>
  <c r="AB1118" i="45"/>
  <c r="T1118" i="45"/>
  <c r="L1118" i="45"/>
  <c r="Q1118" i="45"/>
  <c r="AO1118" i="45"/>
  <c r="AG1118" i="45"/>
  <c r="Y1118" i="45"/>
  <c r="B1223" i="45"/>
  <c r="H1118" i="45"/>
  <c r="J1118" i="45" s="1"/>
  <c r="AS973" i="45"/>
  <c r="AO973" i="45"/>
  <c r="AK973" i="45"/>
  <c r="AG973" i="45"/>
  <c r="AC973" i="45"/>
  <c r="Y973" i="45"/>
  <c r="U973" i="45"/>
  <c r="Q973" i="45"/>
  <c r="M973" i="45"/>
  <c r="AR973" i="45"/>
  <c r="AN973" i="45"/>
  <c r="AJ973" i="45"/>
  <c r="AF973" i="45"/>
  <c r="AB973" i="45"/>
  <c r="X973" i="45"/>
  <c r="T973" i="45"/>
  <c r="P973" i="45"/>
  <c r="L973" i="45"/>
  <c r="AU973" i="45"/>
  <c r="AQ973" i="45"/>
  <c r="AM973" i="45"/>
  <c r="AI973" i="45"/>
  <c r="AE973" i="45"/>
  <c r="AA973" i="45"/>
  <c r="W973" i="45"/>
  <c r="S973" i="45"/>
  <c r="O973" i="45"/>
  <c r="AL973" i="45"/>
  <c r="V973" i="45"/>
  <c r="AH973" i="45"/>
  <c r="R973" i="45"/>
  <c r="AT973" i="45"/>
  <c r="AD973" i="45"/>
  <c r="N973" i="45"/>
  <c r="AP973" i="45"/>
  <c r="Z973" i="45"/>
  <c r="H973" i="45"/>
  <c r="J973" i="45" s="1"/>
  <c r="B1078" i="45"/>
  <c r="AS1003" i="45"/>
  <c r="AO1003" i="45"/>
  <c r="AK1003" i="45"/>
  <c r="AG1003" i="45"/>
  <c r="AC1003" i="45"/>
  <c r="Y1003" i="45"/>
  <c r="U1003" i="45"/>
  <c r="Q1003" i="45"/>
  <c r="M1003" i="45"/>
  <c r="AR1003" i="45"/>
  <c r="AN1003" i="45"/>
  <c r="AJ1003" i="45"/>
  <c r="AF1003" i="45"/>
  <c r="AB1003" i="45"/>
  <c r="X1003" i="45"/>
  <c r="T1003" i="45"/>
  <c r="P1003" i="45"/>
  <c r="L1003" i="45"/>
  <c r="AU1003" i="45"/>
  <c r="AQ1003" i="45"/>
  <c r="AM1003" i="45"/>
  <c r="AI1003" i="45"/>
  <c r="AE1003" i="45"/>
  <c r="AA1003" i="45"/>
  <c r="W1003" i="45"/>
  <c r="S1003" i="45"/>
  <c r="O1003" i="45"/>
  <c r="AT1003" i="45"/>
  <c r="AD1003" i="45"/>
  <c r="N1003" i="45"/>
  <c r="AP1003" i="45"/>
  <c r="Z1003" i="45"/>
  <c r="AL1003" i="45"/>
  <c r="V1003" i="45"/>
  <c r="R1003" i="45"/>
  <c r="AH1003" i="45"/>
  <c r="B1108" i="45"/>
  <c r="H1003" i="45"/>
  <c r="J1003" i="45" s="1"/>
  <c r="AS991" i="45"/>
  <c r="AO991" i="45"/>
  <c r="AK991" i="45"/>
  <c r="AG991" i="45"/>
  <c r="AC991" i="45"/>
  <c r="Y991" i="45"/>
  <c r="U991" i="45"/>
  <c r="Q991" i="45"/>
  <c r="M991" i="45"/>
  <c r="AR991" i="45"/>
  <c r="AN991" i="45"/>
  <c r="AJ991" i="45"/>
  <c r="AF991" i="45"/>
  <c r="AB991" i="45"/>
  <c r="X991" i="45"/>
  <c r="T991" i="45"/>
  <c r="P991" i="45"/>
  <c r="L991" i="45"/>
  <c r="AU991" i="45"/>
  <c r="AQ991" i="45"/>
  <c r="AM991" i="45"/>
  <c r="AI991" i="45"/>
  <c r="AE991" i="45"/>
  <c r="AA991" i="45"/>
  <c r="W991" i="45"/>
  <c r="S991" i="45"/>
  <c r="O991" i="45"/>
  <c r="AT991" i="45"/>
  <c r="AD991" i="45"/>
  <c r="N991" i="45"/>
  <c r="AP991" i="45"/>
  <c r="Z991" i="45"/>
  <c r="AL991" i="45"/>
  <c r="V991" i="45"/>
  <c r="AH991" i="45"/>
  <c r="R991" i="45"/>
  <c r="H991" i="45"/>
  <c r="J991" i="45" s="1"/>
  <c r="B1096" i="45"/>
  <c r="AS987" i="45"/>
  <c r="AO987" i="45"/>
  <c r="AK987" i="45"/>
  <c r="AG987" i="45"/>
  <c r="AC987" i="45"/>
  <c r="Y987" i="45"/>
  <c r="U987" i="45"/>
  <c r="Q987" i="45"/>
  <c r="M987" i="45"/>
  <c r="AR987" i="45"/>
  <c r="AN987" i="45"/>
  <c r="AJ987" i="45"/>
  <c r="AF987" i="45"/>
  <c r="AB987" i="45"/>
  <c r="X987" i="45"/>
  <c r="T987" i="45"/>
  <c r="P987" i="45"/>
  <c r="L987" i="45"/>
  <c r="AU987" i="45"/>
  <c r="AQ987" i="45"/>
  <c r="AM987" i="45"/>
  <c r="AI987" i="45"/>
  <c r="AE987" i="45"/>
  <c r="AA987" i="45"/>
  <c r="W987" i="45"/>
  <c r="S987" i="45"/>
  <c r="O987" i="45"/>
  <c r="AT987" i="45"/>
  <c r="AD987" i="45"/>
  <c r="N987" i="45"/>
  <c r="AP987" i="45"/>
  <c r="Z987" i="45"/>
  <c r="AL987" i="45"/>
  <c r="V987" i="45"/>
  <c r="R987" i="45"/>
  <c r="AH987" i="45"/>
  <c r="B1092" i="45"/>
  <c r="H987" i="45"/>
  <c r="J987" i="45" s="1"/>
  <c r="AS974" i="45"/>
  <c r="AO974" i="45"/>
  <c r="AK974" i="45"/>
  <c r="AG974" i="45"/>
  <c r="AC974" i="45"/>
  <c r="Y974" i="45"/>
  <c r="U974" i="45"/>
  <c r="Q974" i="45"/>
  <c r="M974" i="45"/>
  <c r="AR974" i="45"/>
  <c r="AN974" i="45"/>
  <c r="AJ974" i="45"/>
  <c r="AF974" i="45"/>
  <c r="AB974" i="45"/>
  <c r="X974" i="45"/>
  <c r="T974" i="45"/>
  <c r="P974" i="45"/>
  <c r="L974" i="45"/>
  <c r="AU974" i="45"/>
  <c r="AQ974" i="45"/>
  <c r="AM974" i="45"/>
  <c r="AI974" i="45"/>
  <c r="AE974" i="45"/>
  <c r="AA974" i="45"/>
  <c r="W974" i="45"/>
  <c r="S974" i="45"/>
  <c r="O974" i="45"/>
  <c r="AH974" i="45"/>
  <c r="R974" i="45"/>
  <c r="AT974" i="45"/>
  <c r="AD974" i="45"/>
  <c r="N974" i="45"/>
  <c r="AP974" i="45"/>
  <c r="Z974" i="45"/>
  <c r="AL974" i="45"/>
  <c r="V974" i="45"/>
  <c r="B1079" i="45"/>
  <c r="H974" i="45"/>
  <c r="J974" i="45" s="1"/>
  <c r="AR1126" i="45"/>
  <c r="AN1126" i="45"/>
  <c r="AJ1126" i="45"/>
  <c r="AF1126" i="45"/>
  <c r="AB1126" i="45"/>
  <c r="X1126" i="45"/>
  <c r="T1126" i="45"/>
  <c r="P1126" i="45"/>
  <c r="L1126" i="45"/>
  <c r="AT1126" i="45"/>
  <c r="AP1126" i="45"/>
  <c r="AL1126" i="45"/>
  <c r="AH1126" i="45"/>
  <c r="AD1126" i="45"/>
  <c r="Z1126" i="45"/>
  <c r="V1126" i="45"/>
  <c r="R1126" i="45"/>
  <c r="N1126" i="45"/>
  <c r="AO1126" i="45"/>
  <c r="AG1126" i="45"/>
  <c r="Y1126" i="45"/>
  <c r="Q1126" i="45"/>
  <c r="AS1126" i="45"/>
  <c r="AK1126" i="45"/>
  <c r="AC1126" i="45"/>
  <c r="U1126" i="45"/>
  <c r="M1126" i="45"/>
  <c r="AI1126" i="45"/>
  <c r="S1126" i="45"/>
  <c r="AU1126" i="45"/>
  <c r="AE1126" i="45"/>
  <c r="O1126" i="45"/>
  <c r="AQ1126" i="45"/>
  <c r="AA1126" i="45"/>
  <c r="AM1126" i="45"/>
  <c r="W1126" i="45"/>
  <c r="AR1020" i="45"/>
  <c r="AN1020" i="45"/>
  <c r="AJ1020" i="45"/>
  <c r="AF1020" i="45"/>
  <c r="AT1020" i="45"/>
  <c r="AP1020" i="45"/>
  <c r="AL1020" i="45"/>
  <c r="AH1020" i="45"/>
  <c r="AS1020" i="45"/>
  <c r="AK1020" i="45"/>
  <c r="AD1020" i="45"/>
  <c r="Z1020" i="45"/>
  <c r="V1020" i="45"/>
  <c r="R1020" i="45"/>
  <c r="N1020" i="45"/>
  <c r="AO1020" i="45"/>
  <c r="AG1020" i="45"/>
  <c r="AB1020" i="45"/>
  <c r="X1020" i="45"/>
  <c r="T1020" i="45"/>
  <c r="P1020" i="45"/>
  <c r="L1020" i="45"/>
  <c r="AU1020" i="45"/>
  <c r="AE1020" i="45"/>
  <c r="W1020" i="45"/>
  <c r="O1020" i="45"/>
  <c r="AQ1020" i="45"/>
  <c r="AC1020" i="45"/>
  <c r="U1020" i="45"/>
  <c r="M1020" i="45"/>
  <c r="AM1020" i="45"/>
  <c r="AA1020" i="45"/>
  <c r="S1020" i="45"/>
  <c r="AI1020" i="45"/>
  <c r="Y1020" i="45"/>
  <c r="Q1020" i="45"/>
  <c r="B1125" i="45"/>
  <c r="H1020" i="45"/>
  <c r="J1020" i="45" s="1"/>
  <c r="B1231" i="45"/>
  <c r="H1126" i="45"/>
  <c r="J1126" i="45" s="1"/>
  <c r="M200" i="50"/>
  <c r="W227" i="45"/>
  <c r="U8" i="45"/>
  <c r="U12" i="45" s="1"/>
  <c r="W201" i="45"/>
  <c r="BL6" i="44"/>
  <c r="X199" i="45"/>
  <c r="AA197" i="45"/>
  <c r="X206" i="45"/>
  <c r="AP205" i="45"/>
  <c r="W207" i="45"/>
  <c r="Y189" i="45"/>
  <c r="Y217" i="45"/>
  <c r="W209" i="45"/>
  <c r="W195" i="45"/>
  <c r="Y279" i="45"/>
  <c r="X276" i="45"/>
  <c r="X266" i="45"/>
  <c r="W272" i="45"/>
  <c r="X274" i="45"/>
  <c r="W273" i="45"/>
  <c r="AD270" i="45"/>
  <c r="AE268" i="45"/>
  <c r="Y278" i="45"/>
  <c r="X277" i="45"/>
  <c r="W271" i="45"/>
  <c r="W275" i="45"/>
  <c r="W263" i="45"/>
  <c r="X264" i="45"/>
  <c r="X262" i="45"/>
  <c r="Y238" i="45"/>
  <c r="Y242" i="45"/>
  <c r="Y234" i="45"/>
  <c r="X246" i="45"/>
  <c r="AK254" i="45"/>
  <c r="Z250" i="45"/>
  <c r="Z258" i="45"/>
  <c r="W218" i="45"/>
  <c r="W221" i="45"/>
  <c r="X236" i="45"/>
  <c r="X215" i="45"/>
  <c r="X219" i="45"/>
  <c r="X229" i="45"/>
  <c r="Y191" i="45"/>
  <c r="X198" i="45"/>
  <c r="X245" i="45"/>
  <c r="Y216" i="45"/>
  <c r="X230" i="45"/>
  <c r="X213" i="45"/>
  <c r="X223" i="45"/>
  <c r="X256" i="45"/>
  <c r="Z193" i="45"/>
  <c r="X237" i="45"/>
  <c r="W203" i="45"/>
  <c r="AC253" i="45"/>
  <c r="X194" i="45"/>
  <c r="X261" i="45"/>
  <c r="Y231" i="45"/>
  <c r="X222" i="45"/>
  <c r="X214" i="45"/>
  <c r="X226" i="45"/>
  <c r="X259" i="45"/>
  <c r="X196" i="45"/>
  <c r="X224" i="45"/>
  <c r="X192" i="45"/>
  <c r="X239" i="45"/>
  <c r="X255" i="45"/>
  <c r="X248" i="45"/>
  <c r="X232" i="45"/>
  <c r="X225" i="45"/>
  <c r="X190" i="45"/>
  <c r="X244" i="45"/>
  <c r="Y208" i="45"/>
  <c r="X249" i="45"/>
  <c r="X211" i="45"/>
  <c r="Y204" i="45"/>
  <c r="X257" i="45"/>
  <c r="X186" i="45"/>
  <c r="X212" i="45"/>
  <c r="X233" i="45"/>
  <c r="X200" i="45"/>
  <c r="X260" i="45"/>
  <c r="X252" i="45"/>
  <c r="AH243" i="45"/>
  <c r="X210" i="45"/>
  <c r="Y220" i="45"/>
  <c r="X187" i="45"/>
  <c r="R3" i="45"/>
  <c r="BL9" i="44" a="1"/>
  <c r="BB35" i="2" l="1"/>
  <c r="BB73" i="2" s="1"/>
  <c r="BC35" i="2"/>
  <c r="BC73" i="2" s="1"/>
  <c r="AK82" i="2"/>
  <c r="AK77" i="2"/>
  <c r="AK78" i="2" s="1"/>
  <c r="AK76" i="2"/>
  <c r="AF76" i="2"/>
  <c r="AF82" i="2"/>
  <c r="AF77" i="2"/>
  <c r="AF78" i="2" s="1"/>
  <c r="Z76" i="2"/>
  <c r="Z82" i="2"/>
  <c r="Z77" i="2"/>
  <c r="Z78" i="2" s="1"/>
  <c r="AH185" i="3"/>
  <c r="AH180" i="3"/>
  <c r="AH181" i="3" s="1"/>
  <c r="AH179" i="3"/>
  <c r="AK185" i="3"/>
  <c r="AK180" i="3"/>
  <c r="AK181" i="3" s="1"/>
  <c r="AK179" i="3"/>
  <c r="AA180" i="3"/>
  <c r="AA181" i="3" s="1"/>
  <c r="AA185" i="3"/>
  <c r="AA179" i="3"/>
  <c r="AB179" i="3"/>
  <c r="AB185" i="3"/>
  <c r="AB180" i="3"/>
  <c r="AB181" i="3" s="1"/>
  <c r="AH90" i="2"/>
  <c r="AH83" i="2"/>
  <c r="AC76" i="2"/>
  <c r="AC82" i="2"/>
  <c r="AC77" i="2"/>
  <c r="AC78" i="2" s="1"/>
  <c r="AI82" i="2"/>
  <c r="AI77" i="2"/>
  <c r="AI78" i="2" s="1"/>
  <c r="AI76" i="2"/>
  <c r="AE76" i="2"/>
  <c r="AE77" i="2"/>
  <c r="AE78" i="2" s="1"/>
  <c r="AE82" i="2"/>
  <c r="AB82" i="2"/>
  <c r="AB77" i="2"/>
  <c r="AB78" i="2" s="1"/>
  <c r="AB76" i="2"/>
  <c r="AE179" i="3"/>
  <c r="AE185" i="3"/>
  <c r="AE180" i="3"/>
  <c r="AE181" i="3" s="1"/>
  <c r="AA76" i="2"/>
  <c r="AA82" i="2"/>
  <c r="AA77" i="2"/>
  <c r="AA78" i="2" s="1"/>
  <c r="AJ90" i="2"/>
  <c r="AJ83" i="2"/>
  <c r="AD90" i="2"/>
  <c r="AD83" i="2"/>
  <c r="BL9" i="44"/>
  <c r="AI196" i="3"/>
  <c r="AI197" i="3" s="1"/>
  <c r="AI199" i="3"/>
  <c r="AC186" i="3"/>
  <c r="AC193" i="3"/>
  <c r="AF193" i="3"/>
  <c r="AF186" i="3"/>
  <c r="AD193" i="3"/>
  <c r="AD186" i="3"/>
  <c r="AG193" i="3"/>
  <c r="AG186" i="3"/>
  <c r="AL186" i="3"/>
  <c r="AL193" i="3"/>
  <c r="AL83" i="2"/>
  <c r="AL90" i="2"/>
  <c r="AG96" i="2"/>
  <c r="AG93" i="2"/>
  <c r="AG94" i="2" s="1"/>
  <c r="O921" i="45"/>
  <c r="P921" i="45"/>
  <c r="M921" i="45"/>
  <c r="W921" i="45"/>
  <c r="T921" i="45"/>
  <c r="Q921" i="45"/>
  <c r="N921" i="45"/>
  <c r="X396" i="45"/>
  <c r="X816" i="45" s="1"/>
  <c r="X711" i="45"/>
  <c r="U921" i="45"/>
  <c r="R921" i="45"/>
  <c r="AU1097" i="45"/>
  <c r="AQ1097" i="45"/>
  <c r="AM1097" i="45"/>
  <c r="AI1097" i="45"/>
  <c r="AE1097" i="45"/>
  <c r="AA1097" i="45"/>
  <c r="W1097" i="45"/>
  <c r="S1097" i="45"/>
  <c r="O1097" i="45"/>
  <c r="AT1097" i="45"/>
  <c r="AP1097" i="45"/>
  <c r="AL1097" i="45"/>
  <c r="AH1097" i="45"/>
  <c r="AD1097" i="45"/>
  <c r="Z1097" i="45"/>
  <c r="V1097" i="45"/>
  <c r="R1097" i="45"/>
  <c r="N1097" i="45"/>
  <c r="AR1097" i="45"/>
  <c r="AJ1097" i="45"/>
  <c r="AB1097" i="45"/>
  <c r="T1097" i="45"/>
  <c r="L1097" i="45"/>
  <c r="AO1097" i="45"/>
  <c r="AG1097" i="45"/>
  <c r="Y1097" i="45"/>
  <c r="Q1097" i="45"/>
  <c r="AN1097" i="45"/>
  <c r="AF1097" i="45"/>
  <c r="X1097" i="45"/>
  <c r="P1097" i="45"/>
  <c r="AK1097" i="45"/>
  <c r="AC1097" i="45"/>
  <c r="U1097" i="45"/>
  <c r="AS1097" i="45"/>
  <c r="M1097" i="45"/>
  <c r="B1202" i="45"/>
  <c r="H1097" i="45"/>
  <c r="J1097" i="45" s="1"/>
  <c r="AU1098" i="45"/>
  <c r="AQ1098" i="45"/>
  <c r="AM1098" i="45"/>
  <c r="AI1098" i="45"/>
  <c r="AE1098" i="45"/>
  <c r="AA1098" i="45"/>
  <c r="W1098" i="45"/>
  <c r="S1098" i="45"/>
  <c r="O1098" i="45"/>
  <c r="AT1098" i="45"/>
  <c r="AP1098" i="45"/>
  <c r="AL1098" i="45"/>
  <c r="AH1098" i="45"/>
  <c r="AD1098" i="45"/>
  <c r="Z1098" i="45"/>
  <c r="V1098" i="45"/>
  <c r="R1098" i="45"/>
  <c r="N1098" i="45"/>
  <c r="AN1098" i="45"/>
  <c r="AF1098" i="45"/>
  <c r="X1098" i="45"/>
  <c r="P1098" i="45"/>
  <c r="AS1098" i="45"/>
  <c r="AK1098" i="45"/>
  <c r="AC1098" i="45"/>
  <c r="U1098" i="45"/>
  <c r="M1098" i="45"/>
  <c r="AR1098" i="45"/>
  <c r="AJ1098" i="45"/>
  <c r="AB1098" i="45"/>
  <c r="T1098" i="45"/>
  <c r="L1098" i="45"/>
  <c r="AG1098" i="45"/>
  <c r="Y1098" i="45"/>
  <c r="Q1098" i="45"/>
  <c r="AO1098" i="45"/>
  <c r="H1098" i="45"/>
  <c r="J1098" i="45" s="1"/>
  <c r="B1203" i="45"/>
  <c r="AU1081" i="45"/>
  <c r="AQ1081" i="45"/>
  <c r="AM1081" i="45"/>
  <c r="AI1081" i="45"/>
  <c r="AE1081" i="45"/>
  <c r="AA1081" i="45"/>
  <c r="W1081" i="45"/>
  <c r="S1081" i="45"/>
  <c r="O1081" i="45"/>
  <c r="AT1081" i="45"/>
  <c r="AP1081" i="45"/>
  <c r="AL1081" i="45"/>
  <c r="AH1081" i="45"/>
  <c r="AD1081" i="45"/>
  <c r="Z1081" i="45"/>
  <c r="V1081" i="45"/>
  <c r="R1081" i="45"/>
  <c r="N1081" i="45"/>
  <c r="AR1081" i="45"/>
  <c r="AJ1081" i="45"/>
  <c r="AB1081" i="45"/>
  <c r="T1081" i="45"/>
  <c r="L1081" i="45"/>
  <c r="AO1081" i="45"/>
  <c r="AG1081" i="45"/>
  <c r="Y1081" i="45"/>
  <c r="Q1081" i="45"/>
  <c r="AN1081" i="45"/>
  <c r="AF1081" i="45"/>
  <c r="X1081" i="45"/>
  <c r="P1081" i="45"/>
  <c r="AK1081" i="45"/>
  <c r="AC1081" i="45"/>
  <c r="U1081" i="45"/>
  <c r="M1081" i="45"/>
  <c r="AS1081" i="45"/>
  <c r="B1186" i="45"/>
  <c r="H1081" i="45"/>
  <c r="J1081" i="45" s="1"/>
  <c r="AU1080" i="45"/>
  <c r="AQ1080" i="45"/>
  <c r="AM1080" i="45"/>
  <c r="AI1080" i="45"/>
  <c r="AE1080" i="45"/>
  <c r="AA1080" i="45"/>
  <c r="W1080" i="45"/>
  <c r="S1080" i="45"/>
  <c r="O1080" i="45"/>
  <c r="AT1080" i="45"/>
  <c r="AP1080" i="45"/>
  <c r="AL1080" i="45"/>
  <c r="AH1080" i="45"/>
  <c r="AD1080" i="45"/>
  <c r="Z1080" i="45"/>
  <c r="V1080" i="45"/>
  <c r="R1080" i="45"/>
  <c r="N1080" i="45"/>
  <c r="AN1080" i="45"/>
  <c r="AF1080" i="45"/>
  <c r="X1080" i="45"/>
  <c r="P1080" i="45"/>
  <c r="AS1080" i="45"/>
  <c r="AK1080" i="45"/>
  <c r="AC1080" i="45"/>
  <c r="U1080" i="45"/>
  <c r="M1080" i="45"/>
  <c r="AR1080" i="45"/>
  <c r="AJ1080" i="45"/>
  <c r="AB1080" i="45"/>
  <c r="T1080" i="45"/>
  <c r="L1080" i="45"/>
  <c r="AO1080" i="45"/>
  <c r="AG1080" i="45"/>
  <c r="Y1080" i="45"/>
  <c r="Q1080" i="45"/>
  <c r="H1080" i="45"/>
  <c r="J1080" i="45" s="1"/>
  <c r="B1185" i="45"/>
  <c r="AU1063" i="45"/>
  <c r="AQ1063" i="45"/>
  <c r="AM1063" i="45"/>
  <c r="AI1063" i="45"/>
  <c r="AE1063" i="45"/>
  <c r="AA1063" i="45"/>
  <c r="W1063" i="45"/>
  <c r="S1063" i="45"/>
  <c r="O1063" i="45"/>
  <c r="AT1063" i="45"/>
  <c r="AP1063" i="45"/>
  <c r="AL1063" i="45"/>
  <c r="AH1063" i="45"/>
  <c r="AD1063" i="45"/>
  <c r="Z1063" i="45"/>
  <c r="V1063" i="45"/>
  <c r="R1063" i="45"/>
  <c r="N1063" i="45"/>
  <c r="AR1063" i="45"/>
  <c r="AJ1063" i="45"/>
  <c r="AB1063" i="45"/>
  <c r="T1063" i="45"/>
  <c r="L1063" i="45"/>
  <c r="AO1063" i="45"/>
  <c r="AG1063" i="45"/>
  <c r="Y1063" i="45"/>
  <c r="Q1063" i="45"/>
  <c r="AN1063" i="45"/>
  <c r="AF1063" i="45"/>
  <c r="X1063" i="45"/>
  <c r="P1063" i="45"/>
  <c r="AS1063" i="45"/>
  <c r="M1063" i="45"/>
  <c r="AK1063" i="45"/>
  <c r="AC1063" i="45"/>
  <c r="U1063" i="45"/>
  <c r="B1168" i="45"/>
  <c r="H1063" i="45"/>
  <c r="J1063" i="45" s="1"/>
  <c r="AU1071" i="45"/>
  <c r="AQ1071" i="45"/>
  <c r="AM1071" i="45"/>
  <c r="AI1071" i="45"/>
  <c r="AE1071" i="45"/>
  <c r="AA1071" i="45"/>
  <c r="W1071" i="45"/>
  <c r="S1071" i="45"/>
  <c r="O1071" i="45"/>
  <c r="AT1071" i="45"/>
  <c r="AP1071" i="45"/>
  <c r="AL1071" i="45"/>
  <c r="AH1071" i="45"/>
  <c r="AD1071" i="45"/>
  <c r="Z1071" i="45"/>
  <c r="V1071" i="45"/>
  <c r="R1071" i="45"/>
  <c r="N1071" i="45"/>
  <c r="AR1071" i="45"/>
  <c r="AJ1071" i="45"/>
  <c r="AB1071" i="45"/>
  <c r="T1071" i="45"/>
  <c r="L1071" i="45"/>
  <c r="AO1071" i="45"/>
  <c r="AG1071" i="45"/>
  <c r="Y1071" i="45"/>
  <c r="Q1071" i="45"/>
  <c r="AN1071" i="45"/>
  <c r="AF1071" i="45"/>
  <c r="X1071" i="45"/>
  <c r="P1071" i="45"/>
  <c r="AS1071" i="45"/>
  <c r="M1071" i="45"/>
  <c r="AK1071" i="45"/>
  <c r="AC1071" i="45"/>
  <c r="U1071" i="45"/>
  <c r="H1071" i="45"/>
  <c r="J1071" i="45" s="1"/>
  <c r="B1176" i="45"/>
  <c r="AR1218" i="45"/>
  <c r="AN1218" i="45"/>
  <c r="AJ1218" i="45"/>
  <c r="AF1218" i="45"/>
  <c r="AB1218" i="45"/>
  <c r="X1218" i="45"/>
  <c r="AU1218" i="45"/>
  <c r="AQ1218" i="45"/>
  <c r="AM1218" i="45"/>
  <c r="AI1218" i="45"/>
  <c r="AE1218" i="45"/>
  <c r="AA1218" i="45"/>
  <c r="W1218" i="45"/>
  <c r="AT1218" i="45"/>
  <c r="AP1218" i="45"/>
  <c r="AL1218" i="45"/>
  <c r="AH1218" i="45"/>
  <c r="AD1218" i="45"/>
  <c r="Z1218" i="45"/>
  <c r="V1218" i="45"/>
  <c r="R1218" i="45"/>
  <c r="AK1218" i="45"/>
  <c r="U1218" i="45"/>
  <c r="P1218" i="45"/>
  <c r="L1218" i="45"/>
  <c r="AG1218" i="45"/>
  <c r="T1218" i="45"/>
  <c r="O1218" i="45"/>
  <c r="AS1218" i="45"/>
  <c r="AC1218" i="45"/>
  <c r="S1218" i="45"/>
  <c r="N1218" i="45"/>
  <c r="Y1218" i="45"/>
  <c r="Q1218" i="45"/>
  <c r="M1218" i="45"/>
  <c r="AO1218" i="45"/>
  <c r="B1323" i="45"/>
  <c r="H1218" i="45"/>
  <c r="J1218" i="45" s="1"/>
  <c r="AU1045" i="45"/>
  <c r="AQ1045" i="45"/>
  <c r="AM1045" i="45"/>
  <c r="AI1045" i="45"/>
  <c r="AE1045" i="45"/>
  <c r="AA1045" i="45"/>
  <c r="W1045" i="45"/>
  <c r="S1045" i="45"/>
  <c r="O1045" i="45"/>
  <c r="AT1045" i="45"/>
  <c r="AP1045" i="45"/>
  <c r="AL1045" i="45"/>
  <c r="AH1045" i="45"/>
  <c r="AD1045" i="45"/>
  <c r="Z1045" i="45"/>
  <c r="V1045" i="45"/>
  <c r="R1045" i="45"/>
  <c r="N1045" i="45"/>
  <c r="AR1045" i="45"/>
  <c r="AJ1045" i="45"/>
  <c r="AB1045" i="45"/>
  <c r="T1045" i="45"/>
  <c r="L1045" i="45"/>
  <c r="AO1045" i="45"/>
  <c r="AG1045" i="45"/>
  <c r="Y1045" i="45"/>
  <c r="Q1045" i="45"/>
  <c r="AN1045" i="45"/>
  <c r="AF1045" i="45"/>
  <c r="X1045" i="45"/>
  <c r="P1045" i="45"/>
  <c r="U1045" i="45"/>
  <c r="AS1045" i="45"/>
  <c r="M1045" i="45"/>
  <c r="AK1045" i="45"/>
  <c r="AC1045" i="45"/>
  <c r="H1045" i="45"/>
  <c r="J1045" i="45" s="1"/>
  <c r="B1150" i="45"/>
  <c r="AU1101" i="45"/>
  <c r="AQ1101" i="45"/>
  <c r="AM1101" i="45"/>
  <c r="AI1101" i="45"/>
  <c r="AE1101" i="45"/>
  <c r="AA1101" i="45"/>
  <c r="W1101" i="45"/>
  <c r="S1101" i="45"/>
  <c r="O1101" i="45"/>
  <c r="AT1101" i="45"/>
  <c r="AP1101" i="45"/>
  <c r="AL1101" i="45"/>
  <c r="AH1101" i="45"/>
  <c r="AD1101" i="45"/>
  <c r="Z1101" i="45"/>
  <c r="V1101" i="45"/>
  <c r="R1101" i="45"/>
  <c r="N1101" i="45"/>
  <c r="AR1101" i="45"/>
  <c r="AJ1101" i="45"/>
  <c r="AB1101" i="45"/>
  <c r="T1101" i="45"/>
  <c r="L1101" i="45"/>
  <c r="AO1101" i="45"/>
  <c r="AG1101" i="45"/>
  <c r="Y1101" i="45"/>
  <c r="Q1101" i="45"/>
  <c r="AN1101" i="45"/>
  <c r="AF1101" i="45"/>
  <c r="X1101" i="45"/>
  <c r="P1101" i="45"/>
  <c r="U1101" i="45"/>
  <c r="AS1101" i="45"/>
  <c r="M1101" i="45"/>
  <c r="AK1101" i="45"/>
  <c r="AC1101" i="45"/>
  <c r="H1101" i="45"/>
  <c r="J1101" i="45" s="1"/>
  <c r="B1206" i="45"/>
  <c r="AS972" i="45"/>
  <c r="AO972" i="45"/>
  <c r="AK972" i="45"/>
  <c r="AG972" i="45"/>
  <c r="AC972" i="45"/>
  <c r="Y972" i="45"/>
  <c r="U972" i="45"/>
  <c r="Q972" i="45"/>
  <c r="M972" i="45"/>
  <c r="AR972" i="45"/>
  <c r="AN972" i="45"/>
  <c r="AJ972" i="45"/>
  <c r="AF972" i="45"/>
  <c r="AB972" i="45"/>
  <c r="X972" i="45"/>
  <c r="T972" i="45"/>
  <c r="P972" i="45"/>
  <c r="L972" i="45"/>
  <c r="AU972" i="45"/>
  <c r="AQ972" i="45"/>
  <c r="AM972" i="45"/>
  <c r="AI972" i="45"/>
  <c r="AE972" i="45"/>
  <c r="AA972" i="45"/>
  <c r="W972" i="45"/>
  <c r="S972" i="45"/>
  <c r="O972" i="45"/>
  <c r="AP972" i="45"/>
  <c r="Z972" i="45"/>
  <c r="AL972" i="45"/>
  <c r="V972" i="45"/>
  <c r="AH972" i="45"/>
  <c r="R972" i="45"/>
  <c r="AT972" i="45"/>
  <c r="AD972" i="45"/>
  <c r="N972" i="45"/>
  <c r="B1077" i="45"/>
  <c r="H972" i="45"/>
  <c r="J972" i="45" s="1"/>
  <c r="AU1086" i="45"/>
  <c r="AQ1086" i="45"/>
  <c r="AM1086" i="45"/>
  <c r="AI1086" i="45"/>
  <c r="AE1086" i="45"/>
  <c r="AA1086" i="45"/>
  <c r="W1086" i="45"/>
  <c r="S1086" i="45"/>
  <c r="O1086" i="45"/>
  <c r="AT1086" i="45"/>
  <c r="AP1086" i="45"/>
  <c r="AL1086" i="45"/>
  <c r="AH1086" i="45"/>
  <c r="AD1086" i="45"/>
  <c r="Z1086" i="45"/>
  <c r="V1086" i="45"/>
  <c r="R1086" i="45"/>
  <c r="N1086" i="45"/>
  <c r="AN1086" i="45"/>
  <c r="AF1086" i="45"/>
  <c r="X1086" i="45"/>
  <c r="P1086" i="45"/>
  <c r="AS1086" i="45"/>
  <c r="AK1086" i="45"/>
  <c r="AC1086" i="45"/>
  <c r="U1086" i="45"/>
  <c r="M1086" i="45"/>
  <c r="AR1086" i="45"/>
  <c r="AJ1086" i="45"/>
  <c r="AB1086" i="45"/>
  <c r="T1086" i="45"/>
  <c r="L1086" i="45"/>
  <c r="Q1086" i="45"/>
  <c r="AO1086" i="45"/>
  <c r="AG1086" i="45"/>
  <c r="Y1086" i="45"/>
  <c r="H1086" i="45"/>
  <c r="J1086" i="45" s="1"/>
  <c r="B1191" i="45"/>
  <c r="W1026" i="45"/>
  <c r="S1026" i="45"/>
  <c r="V1026" i="45"/>
  <c r="M1026" i="45"/>
  <c r="T1026" i="45"/>
  <c r="L1026" i="45"/>
  <c r="Q1026" i="45"/>
  <c r="H1026" i="45"/>
  <c r="B1131" i="45"/>
  <c r="AR1216" i="45"/>
  <c r="AN1216" i="45"/>
  <c r="AJ1216" i="45"/>
  <c r="AF1216" i="45"/>
  <c r="AB1216" i="45"/>
  <c r="X1216" i="45"/>
  <c r="T1216" i="45"/>
  <c r="P1216" i="45"/>
  <c r="L1216" i="45"/>
  <c r="AU1216" i="45"/>
  <c r="AQ1216" i="45"/>
  <c r="AM1216" i="45"/>
  <c r="AI1216" i="45"/>
  <c r="AE1216" i="45"/>
  <c r="AA1216" i="45"/>
  <c r="W1216" i="45"/>
  <c r="S1216" i="45"/>
  <c r="O1216" i="45"/>
  <c r="AT1216" i="45"/>
  <c r="AP1216" i="45"/>
  <c r="AL1216" i="45"/>
  <c r="AH1216" i="45"/>
  <c r="AD1216" i="45"/>
  <c r="Z1216" i="45"/>
  <c r="V1216" i="45"/>
  <c r="R1216" i="45"/>
  <c r="N1216" i="45"/>
  <c r="AS1216" i="45"/>
  <c r="AC1216" i="45"/>
  <c r="M1216" i="45"/>
  <c r="AO1216" i="45"/>
  <c r="Y1216" i="45"/>
  <c r="AK1216" i="45"/>
  <c r="U1216" i="45"/>
  <c r="AG1216" i="45"/>
  <c r="Q1216" i="45"/>
  <c r="H1216" i="45"/>
  <c r="J1216" i="45" s="1"/>
  <c r="B1321" i="45"/>
  <c r="AU1088" i="45"/>
  <c r="AQ1088" i="45"/>
  <c r="AM1088" i="45"/>
  <c r="AI1088" i="45"/>
  <c r="AE1088" i="45"/>
  <c r="AA1088" i="45"/>
  <c r="W1088" i="45"/>
  <c r="S1088" i="45"/>
  <c r="O1088" i="45"/>
  <c r="AT1088" i="45"/>
  <c r="AP1088" i="45"/>
  <c r="AL1088" i="45"/>
  <c r="AH1088" i="45"/>
  <c r="AD1088" i="45"/>
  <c r="Z1088" i="45"/>
  <c r="V1088" i="45"/>
  <c r="R1088" i="45"/>
  <c r="N1088" i="45"/>
  <c r="AN1088" i="45"/>
  <c r="AF1088" i="45"/>
  <c r="X1088" i="45"/>
  <c r="P1088" i="45"/>
  <c r="AS1088" i="45"/>
  <c r="AK1088" i="45"/>
  <c r="AC1088" i="45"/>
  <c r="U1088" i="45"/>
  <c r="M1088" i="45"/>
  <c r="AR1088" i="45"/>
  <c r="AJ1088" i="45"/>
  <c r="AB1088" i="45"/>
  <c r="T1088" i="45"/>
  <c r="L1088" i="45"/>
  <c r="AO1088" i="45"/>
  <c r="AG1088" i="45"/>
  <c r="Y1088" i="45"/>
  <c r="Q1088" i="45"/>
  <c r="H1088" i="45"/>
  <c r="J1088" i="45" s="1"/>
  <c r="B1193" i="45"/>
  <c r="AU1095" i="45"/>
  <c r="AQ1095" i="45"/>
  <c r="AM1095" i="45"/>
  <c r="AI1095" i="45"/>
  <c r="AE1095" i="45"/>
  <c r="AA1095" i="45"/>
  <c r="W1095" i="45"/>
  <c r="S1095" i="45"/>
  <c r="O1095" i="45"/>
  <c r="AT1095" i="45"/>
  <c r="AP1095" i="45"/>
  <c r="AL1095" i="45"/>
  <c r="AH1095" i="45"/>
  <c r="AD1095" i="45"/>
  <c r="Z1095" i="45"/>
  <c r="V1095" i="45"/>
  <c r="R1095" i="45"/>
  <c r="N1095" i="45"/>
  <c r="AR1095" i="45"/>
  <c r="AJ1095" i="45"/>
  <c r="AB1095" i="45"/>
  <c r="T1095" i="45"/>
  <c r="L1095" i="45"/>
  <c r="AO1095" i="45"/>
  <c r="AG1095" i="45"/>
  <c r="Y1095" i="45"/>
  <c r="Q1095" i="45"/>
  <c r="AN1095" i="45"/>
  <c r="AF1095" i="45"/>
  <c r="X1095" i="45"/>
  <c r="P1095" i="45"/>
  <c r="AS1095" i="45"/>
  <c r="M1095" i="45"/>
  <c r="AK1095" i="45"/>
  <c r="AC1095" i="45"/>
  <c r="U1095" i="45"/>
  <c r="H1095" i="45"/>
  <c r="J1095" i="45" s="1"/>
  <c r="B1200" i="45"/>
  <c r="AU1105" i="45"/>
  <c r="AQ1105" i="45"/>
  <c r="AM1105" i="45"/>
  <c r="AI1105" i="45"/>
  <c r="AE1105" i="45"/>
  <c r="AA1105" i="45"/>
  <c r="W1105" i="45"/>
  <c r="S1105" i="45"/>
  <c r="O1105" i="45"/>
  <c r="AT1105" i="45"/>
  <c r="AP1105" i="45"/>
  <c r="AL1105" i="45"/>
  <c r="AH1105" i="45"/>
  <c r="AD1105" i="45"/>
  <c r="Z1105" i="45"/>
  <c r="V1105" i="45"/>
  <c r="R1105" i="45"/>
  <c r="N1105" i="45"/>
  <c r="AR1105" i="45"/>
  <c r="AJ1105" i="45"/>
  <c r="AB1105" i="45"/>
  <c r="T1105" i="45"/>
  <c r="L1105" i="45"/>
  <c r="AO1105" i="45"/>
  <c r="AG1105" i="45"/>
  <c r="Y1105" i="45"/>
  <c r="Q1105" i="45"/>
  <c r="AN1105" i="45"/>
  <c r="AF1105" i="45"/>
  <c r="X1105" i="45"/>
  <c r="P1105" i="45"/>
  <c r="AK1105" i="45"/>
  <c r="AC1105" i="45"/>
  <c r="U1105" i="45"/>
  <c r="AS1105" i="45"/>
  <c r="M1105" i="45"/>
  <c r="H1105" i="45"/>
  <c r="J1105" i="45" s="1"/>
  <c r="B1210" i="45"/>
  <c r="AU1092" i="45"/>
  <c r="AQ1092" i="45"/>
  <c r="AM1092" i="45"/>
  <c r="AI1092" i="45"/>
  <c r="AE1092" i="45"/>
  <c r="AA1092" i="45"/>
  <c r="W1092" i="45"/>
  <c r="S1092" i="45"/>
  <c r="O1092" i="45"/>
  <c r="AT1092" i="45"/>
  <c r="AP1092" i="45"/>
  <c r="AL1092" i="45"/>
  <c r="AH1092" i="45"/>
  <c r="AD1092" i="45"/>
  <c r="Z1092" i="45"/>
  <c r="V1092" i="45"/>
  <c r="R1092" i="45"/>
  <c r="N1092" i="45"/>
  <c r="AN1092" i="45"/>
  <c r="AF1092" i="45"/>
  <c r="X1092" i="45"/>
  <c r="P1092" i="45"/>
  <c r="AS1092" i="45"/>
  <c r="AK1092" i="45"/>
  <c r="AC1092" i="45"/>
  <c r="U1092" i="45"/>
  <c r="M1092" i="45"/>
  <c r="AR1092" i="45"/>
  <c r="AJ1092" i="45"/>
  <c r="AB1092" i="45"/>
  <c r="T1092" i="45"/>
  <c r="L1092" i="45"/>
  <c r="Y1092" i="45"/>
  <c r="Q1092" i="45"/>
  <c r="AO1092" i="45"/>
  <c r="AG1092" i="45"/>
  <c r="B1197" i="45"/>
  <c r="H1092" i="45"/>
  <c r="J1092" i="45" s="1"/>
  <c r="AU1108" i="45"/>
  <c r="AQ1108" i="45"/>
  <c r="AM1108" i="45"/>
  <c r="AI1108" i="45"/>
  <c r="AE1108" i="45"/>
  <c r="AA1108" i="45"/>
  <c r="W1108" i="45"/>
  <c r="S1108" i="45"/>
  <c r="O1108" i="45"/>
  <c r="AT1108" i="45"/>
  <c r="AP1108" i="45"/>
  <c r="AL1108" i="45"/>
  <c r="AH1108" i="45"/>
  <c r="AD1108" i="45"/>
  <c r="Z1108" i="45"/>
  <c r="V1108" i="45"/>
  <c r="R1108" i="45"/>
  <c r="N1108" i="45"/>
  <c r="AN1108" i="45"/>
  <c r="AF1108" i="45"/>
  <c r="X1108" i="45"/>
  <c r="P1108" i="45"/>
  <c r="AS1108" i="45"/>
  <c r="AK1108" i="45"/>
  <c r="AC1108" i="45"/>
  <c r="U1108" i="45"/>
  <c r="M1108" i="45"/>
  <c r="AR1108" i="45"/>
  <c r="AJ1108" i="45"/>
  <c r="AB1108" i="45"/>
  <c r="T1108" i="45"/>
  <c r="L1108" i="45"/>
  <c r="Y1108" i="45"/>
  <c r="Q1108" i="45"/>
  <c r="AO1108" i="45"/>
  <c r="AG1108" i="45"/>
  <c r="H1108" i="45"/>
  <c r="J1108" i="45" s="1"/>
  <c r="B1213" i="45"/>
  <c r="AR1223" i="45"/>
  <c r="AN1223" i="45"/>
  <c r="AJ1223" i="45"/>
  <c r="AF1223" i="45"/>
  <c r="AB1223" i="45"/>
  <c r="X1223" i="45"/>
  <c r="T1223" i="45"/>
  <c r="P1223" i="45"/>
  <c r="L1223" i="45"/>
  <c r="AU1223" i="45"/>
  <c r="AQ1223" i="45"/>
  <c r="AM1223" i="45"/>
  <c r="AI1223" i="45"/>
  <c r="AE1223" i="45"/>
  <c r="AA1223" i="45"/>
  <c r="W1223" i="45"/>
  <c r="S1223" i="45"/>
  <c r="O1223" i="45"/>
  <c r="AT1223" i="45"/>
  <c r="AP1223" i="45"/>
  <c r="AL1223" i="45"/>
  <c r="AH1223" i="45"/>
  <c r="AD1223" i="45"/>
  <c r="Z1223" i="45"/>
  <c r="V1223" i="45"/>
  <c r="R1223" i="45"/>
  <c r="N1223" i="45"/>
  <c r="AG1223" i="45"/>
  <c r="Q1223" i="45"/>
  <c r="AS1223" i="45"/>
  <c r="AC1223" i="45"/>
  <c r="M1223" i="45"/>
  <c r="AO1223" i="45"/>
  <c r="Y1223" i="45"/>
  <c r="AK1223" i="45"/>
  <c r="U1223" i="45"/>
  <c r="H1223" i="45"/>
  <c r="J1223" i="45" s="1"/>
  <c r="B1328" i="45"/>
  <c r="AU1044" i="45"/>
  <c r="AQ1044" i="45"/>
  <c r="AM1044" i="45"/>
  <c r="AI1044" i="45"/>
  <c r="AE1044" i="45"/>
  <c r="AA1044" i="45"/>
  <c r="W1044" i="45"/>
  <c r="S1044" i="45"/>
  <c r="O1044" i="45"/>
  <c r="AT1044" i="45"/>
  <c r="AP1044" i="45"/>
  <c r="AL1044" i="45"/>
  <c r="AH1044" i="45"/>
  <c r="AD1044" i="45"/>
  <c r="Z1044" i="45"/>
  <c r="V1044" i="45"/>
  <c r="R1044" i="45"/>
  <c r="N1044" i="45"/>
  <c r="AN1044" i="45"/>
  <c r="AF1044" i="45"/>
  <c r="X1044" i="45"/>
  <c r="P1044" i="45"/>
  <c r="AS1044" i="45"/>
  <c r="AK1044" i="45"/>
  <c r="AC1044" i="45"/>
  <c r="U1044" i="45"/>
  <c r="M1044" i="45"/>
  <c r="AR1044" i="45"/>
  <c r="AJ1044" i="45"/>
  <c r="AB1044" i="45"/>
  <c r="T1044" i="45"/>
  <c r="L1044" i="45"/>
  <c r="Y1044" i="45"/>
  <c r="Q1044" i="45"/>
  <c r="AO1044" i="45"/>
  <c r="AG1044" i="45"/>
  <c r="B1149" i="45"/>
  <c r="H1044" i="45"/>
  <c r="J1044" i="45" s="1"/>
  <c r="AU1056" i="45"/>
  <c r="AQ1056" i="45"/>
  <c r="AM1056" i="45"/>
  <c r="AI1056" i="45"/>
  <c r="AE1056" i="45"/>
  <c r="AA1056" i="45"/>
  <c r="W1056" i="45"/>
  <c r="S1056" i="45"/>
  <c r="O1056" i="45"/>
  <c r="AT1056" i="45"/>
  <c r="AP1056" i="45"/>
  <c r="AL1056" i="45"/>
  <c r="AH1056" i="45"/>
  <c r="AD1056" i="45"/>
  <c r="Z1056" i="45"/>
  <c r="V1056" i="45"/>
  <c r="R1056" i="45"/>
  <c r="N1056" i="45"/>
  <c r="AN1056" i="45"/>
  <c r="AF1056" i="45"/>
  <c r="X1056" i="45"/>
  <c r="P1056" i="45"/>
  <c r="AS1056" i="45"/>
  <c r="AK1056" i="45"/>
  <c r="AC1056" i="45"/>
  <c r="U1056" i="45"/>
  <c r="M1056" i="45"/>
  <c r="AR1056" i="45"/>
  <c r="AJ1056" i="45"/>
  <c r="AB1056" i="45"/>
  <c r="T1056" i="45"/>
  <c r="L1056" i="45"/>
  <c r="AO1056" i="45"/>
  <c r="AG1056" i="45"/>
  <c r="Y1056" i="45"/>
  <c r="Q1056" i="45"/>
  <c r="H1056" i="45"/>
  <c r="J1056" i="45" s="1"/>
  <c r="B1161" i="45"/>
  <c r="AU1103" i="45"/>
  <c r="AQ1103" i="45"/>
  <c r="AM1103" i="45"/>
  <c r="AI1103" i="45"/>
  <c r="AE1103" i="45"/>
  <c r="AA1103" i="45"/>
  <c r="W1103" i="45"/>
  <c r="S1103" i="45"/>
  <c r="O1103" i="45"/>
  <c r="AT1103" i="45"/>
  <c r="AP1103" i="45"/>
  <c r="AL1103" i="45"/>
  <c r="AH1103" i="45"/>
  <c r="AD1103" i="45"/>
  <c r="Z1103" i="45"/>
  <c r="V1103" i="45"/>
  <c r="R1103" i="45"/>
  <c r="N1103" i="45"/>
  <c r="AR1103" i="45"/>
  <c r="AJ1103" i="45"/>
  <c r="AB1103" i="45"/>
  <c r="T1103" i="45"/>
  <c r="L1103" i="45"/>
  <c r="AO1103" i="45"/>
  <c r="AG1103" i="45"/>
  <c r="Y1103" i="45"/>
  <c r="Q1103" i="45"/>
  <c r="AN1103" i="45"/>
  <c r="AF1103" i="45"/>
  <c r="X1103" i="45"/>
  <c r="P1103" i="45"/>
  <c r="AS1103" i="45"/>
  <c r="M1103" i="45"/>
  <c r="AK1103" i="45"/>
  <c r="AC1103" i="45"/>
  <c r="U1103" i="45"/>
  <c r="H1103" i="45"/>
  <c r="J1103" i="45" s="1"/>
  <c r="B1208" i="45"/>
  <c r="AR1217" i="45"/>
  <c r="AN1217" i="45"/>
  <c r="AJ1217" i="45"/>
  <c r="AF1217" i="45"/>
  <c r="AB1217" i="45"/>
  <c r="X1217" i="45"/>
  <c r="T1217" i="45"/>
  <c r="P1217" i="45"/>
  <c r="L1217" i="45"/>
  <c r="AU1217" i="45"/>
  <c r="AQ1217" i="45"/>
  <c r="AM1217" i="45"/>
  <c r="AI1217" i="45"/>
  <c r="AE1217" i="45"/>
  <c r="AA1217" i="45"/>
  <c r="W1217" i="45"/>
  <c r="S1217" i="45"/>
  <c r="O1217" i="45"/>
  <c r="AT1217" i="45"/>
  <c r="AP1217" i="45"/>
  <c r="AL1217" i="45"/>
  <c r="AH1217" i="45"/>
  <c r="AD1217" i="45"/>
  <c r="Z1217" i="45"/>
  <c r="V1217" i="45"/>
  <c r="R1217" i="45"/>
  <c r="N1217" i="45"/>
  <c r="AO1217" i="45"/>
  <c r="Y1217" i="45"/>
  <c r="AK1217" i="45"/>
  <c r="U1217" i="45"/>
  <c r="AG1217" i="45"/>
  <c r="Q1217" i="45"/>
  <c r="AS1217" i="45"/>
  <c r="AC1217" i="45"/>
  <c r="M1217" i="45"/>
  <c r="B1322" i="45"/>
  <c r="H1217" i="45"/>
  <c r="J1217" i="45" s="1"/>
  <c r="AU1109" i="45"/>
  <c r="AQ1109" i="45"/>
  <c r="AM1109" i="45"/>
  <c r="AI1109" i="45"/>
  <c r="AE1109" i="45"/>
  <c r="AA1109" i="45"/>
  <c r="W1109" i="45"/>
  <c r="S1109" i="45"/>
  <c r="O1109" i="45"/>
  <c r="AT1109" i="45"/>
  <c r="AP1109" i="45"/>
  <c r="AL1109" i="45"/>
  <c r="AH1109" i="45"/>
  <c r="AD1109" i="45"/>
  <c r="Z1109" i="45"/>
  <c r="V1109" i="45"/>
  <c r="R1109" i="45"/>
  <c r="N1109" i="45"/>
  <c r="AR1109" i="45"/>
  <c r="AJ1109" i="45"/>
  <c r="AB1109" i="45"/>
  <c r="T1109" i="45"/>
  <c r="L1109" i="45"/>
  <c r="AO1109" i="45"/>
  <c r="AG1109" i="45"/>
  <c r="Y1109" i="45"/>
  <c r="Q1109" i="45"/>
  <c r="AN1109" i="45"/>
  <c r="AF1109" i="45"/>
  <c r="X1109" i="45"/>
  <c r="P1109" i="45"/>
  <c r="U1109" i="45"/>
  <c r="AS1109" i="45"/>
  <c r="M1109" i="45"/>
  <c r="AK1109" i="45"/>
  <c r="AC1109" i="45"/>
  <c r="B1214" i="45"/>
  <c r="H1109" i="45"/>
  <c r="J1109" i="45" s="1"/>
  <c r="AR1225" i="45"/>
  <c r="AN1225" i="45"/>
  <c r="AJ1225" i="45"/>
  <c r="AF1225" i="45"/>
  <c r="AB1225" i="45"/>
  <c r="X1225" i="45"/>
  <c r="T1225" i="45"/>
  <c r="P1225" i="45"/>
  <c r="L1225" i="45"/>
  <c r="AU1225" i="45"/>
  <c r="AQ1225" i="45"/>
  <c r="AM1225" i="45"/>
  <c r="AI1225" i="45"/>
  <c r="AE1225" i="45"/>
  <c r="AA1225" i="45"/>
  <c r="W1225" i="45"/>
  <c r="S1225" i="45"/>
  <c r="O1225" i="45"/>
  <c r="AT1225" i="45"/>
  <c r="AP1225" i="45"/>
  <c r="AL1225" i="45"/>
  <c r="AH1225" i="45"/>
  <c r="AD1225" i="45"/>
  <c r="Z1225" i="45"/>
  <c r="V1225" i="45"/>
  <c r="R1225" i="45"/>
  <c r="N1225" i="45"/>
  <c r="AO1225" i="45"/>
  <c r="Y1225" i="45"/>
  <c r="AK1225" i="45"/>
  <c r="U1225" i="45"/>
  <c r="AG1225" i="45"/>
  <c r="Q1225" i="45"/>
  <c r="AC1225" i="45"/>
  <c r="M1225" i="45"/>
  <c r="AS1225" i="45"/>
  <c r="B1330" i="45"/>
  <c r="H1225" i="45"/>
  <c r="J1225" i="45" s="1"/>
  <c r="AR1221" i="45"/>
  <c r="AN1221" i="45"/>
  <c r="AJ1221" i="45"/>
  <c r="AF1221" i="45"/>
  <c r="AB1221" i="45"/>
  <c r="X1221" i="45"/>
  <c r="T1221" i="45"/>
  <c r="P1221" i="45"/>
  <c r="L1221" i="45"/>
  <c r="AU1221" i="45"/>
  <c r="AQ1221" i="45"/>
  <c r="AM1221" i="45"/>
  <c r="AI1221" i="45"/>
  <c r="AE1221" i="45"/>
  <c r="AA1221" i="45"/>
  <c r="W1221" i="45"/>
  <c r="S1221" i="45"/>
  <c r="O1221" i="45"/>
  <c r="AT1221" i="45"/>
  <c r="AP1221" i="45"/>
  <c r="AL1221" i="45"/>
  <c r="AH1221" i="45"/>
  <c r="AD1221" i="45"/>
  <c r="Z1221" i="45"/>
  <c r="V1221" i="45"/>
  <c r="R1221" i="45"/>
  <c r="N1221" i="45"/>
  <c r="AO1221" i="45"/>
  <c r="Y1221" i="45"/>
  <c r="AK1221" i="45"/>
  <c r="U1221" i="45"/>
  <c r="AG1221" i="45"/>
  <c r="Q1221" i="45"/>
  <c r="AS1221" i="45"/>
  <c r="AC1221" i="45"/>
  <c r="M1221" i="45"/>
  <c r="H1221" i="45"/>
  <c r="J1221" i="45" s="1"/>
  <c r="B1326" i="45"/>
  <c r="AU1032" i="45"/>
  <c r="AQ1032" i="45"/>
  <c r="AM1032" i="45"/>
  <c r="AI1032" i="45"/>
  <c r="AE1032" i="45"/>
  <c r="AA1032" i="45"/>
  <c r="W1032" i="45"/>
  <c r="S1032" i="45"/>
  <c r="O1032" i="45"/>
  <c r="AT1032" i="45"/>
  <c r="AP1032" i="45"/>
  <c r="AL1032" i="45"/>
  <c r="AH1032" i="45"/>
  <c r="AD1032" i="45"/>
  <c r="Z1032" i="45"/>
  <c r="V1032" i="45"/>
  <c r="R1032" i="45"/>
  <c r="N1032" i="45"/>
  <c r="AN1032" i="45"/>
  <c r="AF1032" i="45"/>
  <c r="X1032" i="45"/>
  <c r="P1032" i="45"/>
  <c r="AS1032" i="45"/>
  <c r="AK1032" i="45"/>
  <c r="AC1032" i="45"/>
  <c r="U1032" i="45"/>
  <c r="M1032" i="45"/>
  <c r="AR1032" i="45"/>
  <c r="AJ1032" i="45"/>
  <c r="AB1032" i="45"/>
  <c r="T1032" i="45"/>
  <c r="L1032" i="45"/>
  <c r="AO1032" i="45"/>
  <c r="AG1032" i="45"/>
  <c r="Y1032" i="45"/>
  <c r="Q1032" i="45"/>
  <c r="H1032" i="45"/>
  <c r="J1032" i="45" s="1"/>
  <c r="B1137" i="45"/>
  <c r="AU1031" i="45"/>
  <c r="AQ1031" i="45"/>
  <c r="AM1031" i="45"/>
  <c r="AI1031" i="45"/>
  <c r="AE1031" i="45"/>
  <c r="AA1031" i="45"/>
  <c r="W1031" i="45"/>
  <c r="S1031" i="45"/>
  <c r="O1031" i="45"/>
  <c r="AT1031" i="45"/>
  <c r="AP1031" i="45"/>
  <c r="AL1031" i="45"/>
  <c r="AH1031" i="45"/>
  <c r="AD1031" i="45"/>
  <c r="Z1031" i="45"/>
  <c r="V1031" i="45"/>
  <c r="R1031" i="45"/>
  <c r="N1031" i="45"/>
  <c r="AR1031" i="45"/>
  <c r="AJ1031" i="45"/>
  <c r="AB1031" i="45"/>
  <c r="T1031" i="45"/>
  <c r="L1031" i="45"/>
  <c r="AO1031" i="45"/>
  <c r="AG1031" i="45"/>
  <c r="Y1031" i="45"/>
  <c r="Q1031" i="45"/>
  <c r="AN1031" i="45"/>
  <c r="AF1031" i="45"/>
  <c r="X1031" i="45"/>
  <c r="P1031" i="45"/>
  <c r="AS1031" i="45"/>
  <c r="M1031" i="45"/>
  <c r="AK1031" i="45"/>
  <c r="AC1031" i="45"/>
  <c r="U1031" i="45"/>
  <c r="B1136" i="45"/>
  <c r="H1031" i="45"/>
  <c r="J1031" i="45" s="1"/>
  <c r="AU1060" i="45"/>
  <c r="AQ1060" i="45"/>
  <c r="AM1060" i="45"/>
  <c r="AI1060" i="45"/>
  <c r="AE1060" i="45"/>
  <c r="AA1060" i="45"/>
  <c r="W1060" i="45"/>
  <c r="S1060" i="45"/>
  <c r="O1060" i="45"/>
  <c r="AT1060" i="45"/>
  <c r="AP1060" i="45"/>
  <c r="AL1060" i="45"/>
  <c r="AH1060" i="45"/>
  <c r="AD1060" i="45"/>
  <c r="Z1060" i="45"/>
  <c r="V1060" i="45"/>
  <c r="R1060" i="45"/>
  <c r="N1060" i="45"/>
  <c r="AN1060" i="45"/>
  <c r="AF1060" i="45"/>
  <c r="X1060" i="45"/>
  <c r="P1060" i="45"/>
  <c r="AS1060" i="45"/>
  <c r="AK1060" i="45"/>
  <c r="AC1060" i="45"/>
  <c r="U1060" i="45"/>
  <c r="M1060" i="45"/>
  <c r="AR1060" i="45"/>
  <c r="AJ1060" i="45"/>
  <c r="AB1060" i="45"/>
  <c r="T1060" i="45"/>
  <c r="L1060" i="45"/>
  <c r="Y1060" i="45"/>
  <c r="Q1060" i="45"/>
  <c r="AO1060" i="45"/>
  <c r="AG1060" i="45"/>
  <c r="H1060" i="45"/>
  <c r="J1060" i="45" s="1"/>
  <c r="B1165" i="45"/>
  <c r="AU1054" i="45"/>
  <c r="AQ1054" i="45"/>
  <c r="AM1054" i="45"/>
  <c r="AI1054" i="45"/>
  <c r="AE1054" i="45"/>
  <c r="AA1054" i="45"/>
  <c r="W1054" i="45"/>
  <c r="S1054" i="45"/>
  <c r="O1054" i="45"/>
  <c r="AT1054" i="45"/>
  <c r="AP1054" i="45"/>
  <c r="AL1054" i="45"/>
  <c r="AH1054" i="45"/>
  <c r="AD1054" i="45"/>
  <c r="Z1054" i="45"/>
  <c r="V1054" i="45"/>
  <c r="R1054" i="45"/>
  <c r="N1054" i="45"/>
  <c r="AN1054" i="45"/>
  <c r="AF1054" i="45"/>
  <c r="X1054" i="45"/>
  <c r="P1054" i="45"/>
  <c r="AS1054" i="45"/>
  <c r="AK1054" i="45"/>
  <c r="AC1054" i="45"/>
  <c r="U1054" i="45"/>
  <c r="M1054" i="45"/>
  <c r="AR1054" i="45"/>
  <c r="AJ1054" i="45"/>
  <c r="AB1054" i="45"/>
  <c r="T1054" i="45"/>
  <c r="L1054" i="45"/>
  <c r="Q1054" i="45"/>
  <c r="AO1054" i="45"/>
  <c r="AG1054" i="45"/>
  <c r="Y1054" i="45"/>
  <c r="H1054" i="45"/>
  <c r="J1054" i="45" s="1"/>
  <c r="B1159" i="45"/>
  <c r="AU1047" i="45"/>
  <c r="AQ1047" i="45"/>
  <c r="AM1047" i="45"/>
  <c r="AI1047" i="45"/>
  <c r="AE1047" i="45"/>
  <c r="AA1047" i="45"/>
  <c r="W1047" i="45"/>
  <c r="S1047" i="45"/>
  <c r="O1047" i="45"/>
  <c r="AT1047" i="45"/>
  <c r="AP1047" i="45"/>
  <c r="AL1047" i="45"/>
  <c r="AH1047" i="45"/>
  <c r="AD1047" i="45"/>
  <c r="Z1047" i="45"/>
  <c r="V1047" i="45"/>
  <c r="R1047" i="45"/>
  <c r="N1047" i="45"/>
  <c r="AR1047" i="45"/>
  <c r="AJ1047" i="45"/>
  <c r="AB1047" i="45"/>
  <c r="T1047" i="45"/>
  <c r="L1047" i="45"/>
  <c r="AO1047" i="45"/>
  <c r="AG1047" i="45"/>
  <c r="Y1047" i="45"/>
  <c r="Q1047" i="45"/>
  <c r="AN1047" i="45"/>
  <c r="AF1047" i="45"/>
  <c r="X1047" i="45"/>
  <c r="P1047" i="45"/>
  <c r="AS1047" i="45"/>
  <c r="M1047" i="45"/>
  <c r="AK1047" i="45"/>
  <c r="AC1047" i="45"/>
  <c r="U1047" i="45"/>
  <c r="B1152" i="45"/>
  <c r="H1047" i="45"/>
  <c r="J1047" i="45" s="1"/>
  <c r="AU1099" i="45"/>
  <c r="AQ1099" i="45"/>
  <c r="AM1099" i="45"/>
  <c r="AI1099" i="45"/>
  <c r="AE1099" i="45"/>
  <c r="AA1099" i="45"/>
  <c r="W1099" i="45"/>
  <c r="S1099" i="45"/>
  <c r="O1099" i="45"/>
  <c r="AT1099" i="45"/>
  <c r="AP1099" i="45"/>
  <c r="AL1099" i="45"/>
  <c r="AH1099" i="45"/>
  <c r="AD1099" i="45"/>
  <c r="Z1099" i="45"/>
  <c r="V1099" i="45"/>
  <c r="R1099" i="45"/>
  <c r="N1099" i="45"/>
  <c r="AR1099" i="45"/>
  <c r="AJ1099" i="45"/>
  <c r="AB1099" i="45"/>
  <c r="T1099" i="45"/>
  <c r="L1099" i="45"/>
  <c r="AO1099" i="45"/>
  <c r="AG1099" i="45"/>
  <c r="Y1099" i="45"/>
  <c r="Q1099" i="45"/>
  <c r="AN1099" i="45"/>
  <c r="AF1099" i="45"/>
  <c r="X1099" i="45"/>
  <c r="P1099" i="45"/>
  <c r="AC1099" i="45"/>
  <c r="U1099" i="45"/>
  <c r="AS1099" i="45"/>
  <c r="M1099" i="45"/>
  <c r="AK1099" i="45"/>
  <c r="H1099" i="45"/>
  <c r="J1099" i="45" s="1"/>
  <c r="B1204" i="45"/>
  <c r="AR1222" i="45"/>
  <c r="AN1222" i="45"/>
  <c r="AJ1222" i="45"/>
  <c r="AF1222" i="45"/>
  <c r="AB1222" i="45"/>
  <c r="X1222" i="45"/>
  <c r="T1222" i="45"/>
  <c r="P1222" i="45"/>
  <c r="L1222" i="45"/>
  <c r="AU1222" i="45"/>
  <c r="AQ1222" i="45"/>
  <c r="AM1222" i="45"/>
  <c r="AI1222" i="45"/>
  <c r="AE1222" i="45"/>
  <c r="AA1222" i="45"/>
  <c r="W1222" i="45"/>
  <c r="S1222" i="45"/>
  <c r="O1222" i="45"/>
  <c r="AT1222" i="45"/>
  <c r="AP1222" i="45"/>
  <c r="AL1222" i="45"/>
  <c r="AH1222" i="45"/>
  <c r="AD1222" i="45"/>
  <c r="Z1222" i="45"/>
  <c r="V1222" i="45"/>
  <c r="R1222" i="45"/>
  <c r="N1222" i="45"/>
  <c r="AK1222" i="45"/>
  <c r="U1222" i="45"/>
  <c r="AG1222" i="45"/>
  <c r="Q1222" i="45"/>
  <c r="AS1222" i="45"/>
  <c r="AC1222" i="45"/>
  <c r="M1222" i="45"/>
  <c r="AO1222" i="45"/>
  <c r="Y1222" i="45"/>
  <c r="H1222" i="45"/>
  <c r="J1222" i="45" s="1"/>
  <c r="B1327" i="45"/>
  <c r="AU1069" i="45"/>
  <c r="AQ1069" i="45"/>
  <c r="AM1069" i="45"/>
  <c r="AI1069" i="45"/>
  <c r="AE1069" i="45"/>
  <c r="AA1069" i="45"/>
  <c r="W1069" i="45"/>
  <c r="S1069" i="45"/>
  <c r="O1069" i="45"/>
  <c r="AT1069" i="45"/>
  <c r="AP1069" i="45"/>
  <c r="AL1069" i="45"/>
  <c r="AH1069" i="45"/>
  <c r="AD1069" i="45"/>
  <c r="Z1069" i="45"/>
  <c r="V1069" i="45"/>
  <c r="R1069" i="45"/>
  <c r="N1069" i="45"/>
  <c r="AR1069" i="45"/>
  <c r="AJ1069" i="45"/>
  <c r="AB1069" i="45"/>
  <c r="T1069" i="45"/>
  <c r="L1069" i="45"/>
  <c r="AO1069" i="45"/>
  <c r="AG1069" i="45"/>
  <c r="Y1069" i="45"/>
  <c r="Q1069" i="45"/>
  <c r="AN1069" i="45"/>
  <c r="AF1069" i="45"/>
  <c r="X1069" i="45"/>
  <c r="P1069" i="45"/>
  <c r="U1069" i="45"/>
  <c r="AS1069" i="45"/>
  <c r="M1069" i="45"/>
  <c r="AK1069" i="45"/>
  <c r="AC1069" i="45"/>
  <c r="H1069" i="45"/>
  <c r="J1069" i="45" s="1"/>
  <c r="B1174" i="45"/>
  <c r="AR1228" i="45"/>
  <c r="AN1228" i="45"/>
  <c r="AJ1228" i="45"/>
  <c r="AF1228" i="45"/>
  <c r="AB1228" i="45"/>
  <c r="X1228" i="45"/>
  <c r="T1228" i="45"/>
  <c r="P1228" i="45"/>
  <c r="L1228" i="45"/>
  <c r="AU1228" i="45"/>
  <c r="AQ1228" i="45"/>
  <c r="AM1228" i="45"/>
  <c r="AI1228" i="45"/>
  <c r="AE1228" i="45"/>
  <c r="AA1228" i="45"/>
  <c r="W1228" i="45"/>
  <c r="S1228" i="45"/>
  <c r="O1228" i="45"/>
  <c r="AT1228" i="45"/>
  <c r="AP1228" i="45"/>
  <c r="AL1228" i="45"/>
  <c r="AH1228" i="45"/>
  <c r="AD1228" i="45"/>
  <c r="Z1228" i="45"/>
  <c r="V1228" i="45"/>
  <c r="R1228" i="45"/>
  <c r="N1228" i="45"/>
  <c r="AS1228" i="45"/>
  <c r="AC1228" i="45"/>
  <c r="M1228" i="45"/>
  <c r="AO1228" i="45"/>
  <c r="Y1228" i="45"/>
  <c r="AK1228" i="45"/>
  <c r="U1228" i="45"/>
  <c r="AG1228" i="45"/>
  <c r="Q1228" i="45"/>
  <c r="H1228" i="45"/>
  <c r="J1228" i="45" s="1"/>
  <c r="B1333" i="45"/>
  <c r="AU1093" i="45"/>
  <c r="AQ1093" i="45"/>
  <c r="AM1093" i="45"/>
  <c r="AI1093" i="45"/>
  <c r="AE1093" i="45"/>
  <c r="AA1093" i="45"/>
  <c r="W1093" i="45"/>
  <c r="S1093" i="45"/>
  <c r="O1093" i="45"/>
  <c r="AT1093" i="45"/>
  <c r="AP1093" i="45"/>
  <c r="AL1093" i="45"/>
  <c r="AH1093" i="45"/>
  <c r="AD1093" i="45"/>
  <c r="Z1093" i="45"/>
  <c r="V1093" i="45"/>
  <c r="R1093" i="45"/>
  <c r="N1093" i="45"/>
  <c r="AR1093" i="45"/>
  <c r="AJ1093" i="45"/>
  <c r="AB1093" i="45"/>
  <c r="T1093" i="45"/>
  <c r="L1093" i="45"/>
  <c r="AO1093" i="45"/>
  <c r="AG1093" i="45"/>
  <c r="Y1093" i="45"/>
  <c r="Q1093" i="45"/>
  <c r="AN1093" i="45"/>
  <c r="AF1093" i="45"/>
  <c r="X1093" i="45"/>
  <c r="P1093" i="45"/>
  <c r="U1093" i="45"/>
  <c r="AS1093" i="45"/>
  <c r="M1093" i="45"/>
  <c r="AK1093" i="45"/>
  <c r="AC1093" i="45"/>
  <c r="B1198" i="45"/>
  <c r="H1093" i="45"/>
  <c r="J1093" i="45" s="1"/>
  <c r="AU1061" i="45"/>
  <c r="AQ1061" i="45"/>
  <c r="AM1061" i="45"/>
  <c r="AI1061" i="45"/>
  <c r="AE1061" i="45"/>
  <c r="AA1061" i="45"/>
  <c r="W1061" i="45"/>
  <c r="S1061" i="45"/>
  <c r="O1061" i="45"/>
  <c r="AT1061" i="45"/>
  <c r="AP1061" i="45"/>
  <c r="AL1061" i="45"/>
  <c r="AH1061" i="45"/>
  <c r="AD1061" i="45"/>
  <c r="Z1061" i="45"/>
  <c r="V1061" i="45"/>
  <c r="R1061" i="45"/>
  <c r="N1061" i="45"/>
  <c r="AR1061" i="45"/>
  <c r="AJ1061" i="45"/>
  <c r="AB1061" i="45"/>
  <c r="T1061" i="45"/>
  <c r="L1061" i="45"/>
  <c r="AO1061" i="45"/>
  <c r="AG1061" i="45"/>
  <c r="Y1061" i="45"/>
  <c r="Q1061" i="45"/>
  <c r="AN1061" i="45"/>
  <c r="AF1061" i="45"/>
  <c r="X1061" i="45"/>
  <c r="P1061" i="45"/>
  <c r="U1061" i="45"/>
  <c r="AS1061" i="45"/>
  <c r="M1061" i="45"/>
  <c r="AK1061" i="45"/>
  <c r="AC1061" i="45"/>
  <c r="B1166" i="45"/>
  <c r="H1061" i="45"/>
  <c r="J1061" i="45" s="1"/>
  <c r="AR1227" i="45"/>
  <c r="AN1227" i="45"/>
  <c r="AJ1227" i="45"/>
  <c r="AF1227" i="45"/>
  <c r="AB1227" i="45"/>
  <c r="X1227" i="45"/>
  <c r="T1227" i="45"/>
  <c r="P1227" i="45"/>
  <c r="L1227" i="45"/>
  <c r="AU1227" i="45"/>
  <c r="AQ1227" i="45"/>
  <c r="AM1227" i="45"/>
  <c r="AI1227" i="45"/>
  <c r="AE1227" i="45"/>
  <c r="AA1227" i="45"/>
  <c r="W1227" i="45"/>
  <c r="S1227" i="45"/>
  <c r="O1227" i="45"/>
  <c r="AT1227" i="45"/>
  <c r="AP1227" i="45"/>
  <c r="AL1227" i="45"/>
  <c r="AH1227" i="45"/>
  <c r="AD1227" i="45"/>
  <c r="Z1227" i="45"/>
  <c r="V1227" i="45"/>
  <c r="R1227" i="45"/>
  <c r="N1227" i="45"/>
  <c r="AG1227" i="45"/>
  <c r="Q1227" i="45"/>
  <c r="AS1227" i="45"/>
  <c r="AC1227" i="45"/>
  <c r="M1227" i="45"/>
  <c r="AO1227" i="45"/>
  <c r="Y1227" i="45"/>
  <c r="U1227" i="45"/>
  <c r="AK1227" i="45"/>
  <c r="B1332" i="45"/>
  <c r="H1227" i="45"/>
  <c r="J1227" i="45" s="1"/>
  <c r="AU1027" i="45"/>
  <c r="AQ1027" i="45"/>
  <c r="AM1027" i="45"/>
  <c r="AI1027" i="45"/>
  <c r="AE1027" i="45"/>
  <c r="AA1027" i="45"/>
  <c r="W1027" i="45"/>
  <c r="S1027" i="45"/>
  <c r="O1027" i="45"/>
  <c r="AT1027" i="45"/>
  <c r="AP1027" i="45"/>
  <c r="AL1027" i="45"/>
  <c r="AH1027" i="45"/>
  <c r="AD1027" i="45"/>
  <c r="Z1027" i="45"/>
  <c r="V1027" i="45"/>
  <c r="R1027" i="45"/>
  <c r="N1027" i="45"/>
  <c r="AR1027" i="45"/>
  <c r="AJ1027" i="45"/>
  <c r="AB1027" i="45"/>
  <c r="T1027" i="45"/>
  <c r="L1027" i="45"/>
  <c r="AO1027" i="45"/>
  <c r="AG1027" i="45"/>
  <c r="Y1027" i="45"/>
  <c r="Q1027" i="45"/>
  <c r="AN1027" i="45"/>
  <c r="AF1027" i="45"/>
  <c r="X1027" i="45"/>
  <c r="P1027" i="45"/>
  <c r="AC1027" i="45"/>
  <c r="U1027" i="45"/>
  <c r="AS1027" i="45"/>
  <c r="M1027" i="45"/>
  <c r="AK1027" i="45"/>
  <c r="B1132" i="45"/>
  <c r="H1027" i="45"/>
  <c r="J1027" i="45" s="1"/>
  <c r="AU1035" i="45"/>
  <c r="AQ1035" i="45"/>
  <c r="AM1035" i="45"/>
  <c r="AI1035" i="45"/>
  <c r="AE1035" i="45"/>
  <c r="AA1035" i="45"/>
  <c r="W1035" i="45"/>
  <c r="S1035" i="45"/>
  <c r="O1035" i="45"/>
  <c r="AT1035" i="45"/>
  <c r="AP1035" i="45"/>
  <c r="AL1035" i="45"/>
  <c r="AH1035" i="45"/>
  <c r="AD1035" i="45"/>
  <c r="Z1035" i="45"/>
  <c r="V1035" i="45"/>
  <c r="R1035" i="45"/>
  <c r="N1035" i="45"/>
  <c r="AR1035" i="45"/>
  <c r="AJ1035" i="45"/>
  <c r="AB1035" i="45"/>
  <c r="T1035" i="45"/>
  <c r="L1035" i="45"/>
  <c r="AO1035" i="45"/>
  <c r="AG1035" i="45"/>
  <c r="Y1035" i="45"/>
  <c r="Q1035" i="45"/>
  <c r="AN1035" i="45"/>
  <c r="AF1035" i="45"/>
  <c r="X1035" i="45"/>
  <c r="P1035" i="45"/>
  <c r="AC1035" i="45"/>
  <c r="U1035" i="45"/>
  <c r="AS1035" i="45"/>
  <c r="M1035" i="45"/>
  <c r="AK1035" i="45"/>
  <c r="B1140" i="45"/>
  <c r="H1035" i="45"/>
  <c r="J1035" i="45" s="1"/>
  <c r="AU1050" i="45"/>
  <c r="AQ1050" i="45"/>
  <c r="AM1050" i="45"/>
  <c r="AI1050" i="45"/>
  <c r="AE1050" i="45"/>
  <c r="AA1050" i="45"/>
  <c r="W1050" i="45"/>
  <c r="S1050" i="45"/>
  <c r="O1050" i="45"/>
  <c r="AT1050" i="45"/>
  <c r="AP1050" i="45"/>
  <c r="AL1050" i="45"/>
  <c r="AH1050" i="45"/>
  <c r="AD1050" i="45"/>
  <c r="Z1050" i="45"/>
  <c r="V1050" i="45"/>
  <c r="R1050" i="45"/>
  <c r="N1050" i="45"/>
  <c r="AN1050" i="45"/>
  <c r="AF1050" i="45"/>
  <c r="X1050" i="45"/>
  <c r="P1050" i="45"/>
  <c r="AS1050" i="45"/>
  <c r="AK1050" i="45"/>
  <c r="AC1050" i="45"/>
  <c r="U1050" i="45"/>
  <c r="M1050" i="45"/>
  <c r="AR1050" i="45"/>
  <c r="AJ1050" i="45"/>
  <c r="AB1050" i="45"/>
  <c r="T1050" i="45"/>
  <c r="L1050" i="45"/>
  <c r="AG1050" i="45"/>
  <c r="Y1050" i="45"/>
  <c r="Q1050" i="45"/>
  <c r="AO1050" i="45"/>
  <c r="B1155" i="45"/>
  <c r="H1050" i="45"/>
  <c r="J1050" i="45" s="1"/>
  <c r="AU1040" i="45"/>
  <c r="AQ1040" i="45"/>
  <c r="AM1040" i="45"/>
  <c r="AI1040" i="45"/>
  <c r="AE1040" i="45"/>
  <c r="AA1040" i="45"/>
  <c r="W1040" i="45"/>
  <c r="S1040" i="45"/>
  <c r="O1040" i="45"/>
  <c r="AT1040" i="45"/>
  <c r="AP1040" i="45"/>
  <c r="AL1040" i="45"/>
  <c r="AH1040" i="45"/>
  <c r="AD1040" i="45"/>
  <c r="Z1040" i="45"/>
  <c r="V1040" i="45"/>
  <c r="R1040" i="45"/>
  <c r="N1040" i="45"/>
  <c r="AN1040" i="45"/>
  <c r="AF1040" i="45"/>
  <c r="X1040" i="45"/>
  <c r="P1040" i="45"/>
  <c r="AS1040" i="45"/>
  <c r="AK1040" i="45"/>
  <c r="AC1040" i="45"/>
  <c r="U1040" i="45"/>
  <c r="M1040" i="45"/>
  <c r="AR1040" i="45"/>
  <c r="AJ1040" i="45"/>
  <c r="AB1040" i="45"/>
  <c r="T1040" i="45"/>
  <c r="L1040" i="45"/>
  <c r="AO1040" i="45"/>
  <c r="AG1040" i="45"/>
  <c r="Y1040" i="45"/>
  <c r="Q1040" i="45"/>
  <c r="B1145" i="45"/>
  <c r="H1040" i="45"/>
  <c r="J1040" i="45" s="1"/>
  <c r="AU1072" i="45"/>
  <c r="AQ1072" i="45"/>
  <c r="AM1072" i="45"/>
  <c r="AI1072" i="45"/>
  <c r="AE1072" i="45"/>
  <c r="AA1072" i="45"/>
  <c r="W1072" i="45"/>
  <c r="S1072" i="45"/>
  <c r="O1072" i="45"/>
  <c r="AT1072" i="45"/>
  <c r="AP1072" i="45"/>
  <c r="AL1072" i="45"/>
  <c r="AH1072" i="45"/>
  <c r="AD1072" i="45"/>
  <c r="Z1072" i="45"/>
  <c r="V1072" i="45"/>
  <c r="R1072" i="45"/>
  <c r="N1072" i="45"/>
  <c r="AN1072" i="45"/>
  <c r="AF1072" i="45"/>
  <c r="X1072" i="45"/>
  <c r="P1072" i="45"/>
  <c r="AS1072" i="45"/>
  <c r="AK1072" i="45"/>
  <c r="AC1072" i="45"/>
  <c r="U1072" i="45"/>
  <c r="M1072" i="45"/>
  <c r="AR1072" i="45"/>
  <c r="AJ1072" i="45"/>
  <c r="AB1072" i="45"/>
  <c r="T1072" i="45"/>
  <c r="L1072" i="45"/>
  <c r="AO1072" i="45"/>
  <c r="AG1072" i="45"/>
  <c r="Y1072" i="45"/>
  <c r="Q1072" i="45"/>
  <c r="B1177" i="45"/>
  <c r="H1072" i="45"/>
  <c r="J1072" i="45" s="1"/>
  <c r="AU1036" i="45"/>
  <c r="AQ1036" i="45"/>
  <c r="AM1036" i="45"/>
  <c r="AI1036" i="45"/>
  <c r="AE1036" i="45"/>
  <c r="AA1036" i="45"/>
  <c r="W1036" i="45"/>
  <c r="S1036" i="45"/>
  <c r="O1036" i="45"/>
  <c r="AT1036" i="45"/>
  <c r="AP1036" i="45"/>
  <c r="AL1036" i="45"/>
  <c r="AH1036" i="45"/>
  <c r="AD1036" i="45"/>
  <c r="Z1036" i="45"/>
  <c r="V1036" i="45"/>
  <c r="R1036" i="45"/>
  <c r="N1036" i="45"/>
  <c r="AN1036" i="45"/>
  <c r="AF1036" i="45"/>
  <c r="X1036" i="45"/>
  <c r="P1036" i="45"/>
  <c r="AS1036" i="45"/>
  <c r="AK1036" i="45"/>
  <c r="AC1036" i="45"/>
  <c r="U1036" i="45"/>
  <c r="M1036" i="45"/>
  <c r="AR1036" i="45"/>
  <c r="AJ1036" i="45"/>
  <c r="AB1036" i="45"/>
  <c r="T1036" i="45"/>
  <c r="L1036" i="45"/>
  <c r="Y1036" i="45"/>
  <c r="Q1036" i="45"/>
  <c r="AO1036" i="45"/>
  <c r="AG1036" i="45"/>
  <c r="B1141" i="45"/>
  <c r="H1036" i="45"/>
  <c r="J1036" i="45" s="1"/>
  <c r="AU1107" i="45"/>
  <c r="AQ1107" i="45"/>
  <c r="AM1107" i="45"/>
  <c r="AI1107" i="45"/>
  <c r="AE1107" i="45"/>
  <c r="AA1107" i="45"/>
  <c r="W1107" i="45"/>
  <c r="S1107" i="45"/>
  <c r="O1107" i="45"/>
  <c r="AT1107" i="45"/>
  <c r="AP1107" i="45"/>
  <c r="AL1107" i="45"/>
  <c r="AH1107" i="45"/>
  <c r="AD1107" i="45"/>
  <c r="Z1107" i="45"/>
  <c r="V1107" i="45"/>
  <c r="R1107" i="45"/>
  <c r="N1107" i="45"/>
  <c r="AR1107" i="45"/>
  <c r="AJ1107" i="45"/>
  <c r="AB1107" i="45"/>
  <c r="T1107" i="45"/>
  <c r="L1107" i="45"/>
  <c r="AO1107" i="45"/>
  <c r="AG1107" i="45"/>
  <c r="Y1107" i="45"/>
  <c r="Q1107" i="45"/>
  <c r="AN1107" i="45"/>
  <c r="AF1107" i="45"/>
  <c r="X1107" i="45"/>
  <c r="P1107" i="45"/>
  <c r="AC1107" i="45"/>
  <c r="U1107" i="45"/>
  <c r="AS1107" i="45"/>
  <c r="M1107" i="45"/>
  <c r="AK1107" i="45"/>
  <c r="H1107" i="45"/>
  <c r="J1107" i="45" s="1"/>
  <c r="B1212" i="45"/>
  <c r="AU1038" i="45"/>
  <c r="AQ1038" i="45"/>
  <c r="AM1038" i="45"/>
  <c r="AI1038" i="45"/>
  <c r="AE1038" i="45"/>
  <c r="AA1038" i="45"/>
  <c r="W1038" i="45"/>
  <c r="S1038" i="45"/>
  <c r="O1038" i="45"/>
  <c r="AT1038" i="45"/>
  <c r="AP1038" i="45"/>
  <c r="AL1038" i="45"/>
  <c r="AH1038" i="45"/>
  <c r="AD1038" i="45"/>
  <c r="Z1038" i="45"/>
  <c r="V1038" i="45"/>
  <c r="R1038" i="45"/>
  <c r="N1038" i="45"/>
  <c r="AN1038" i="45"/>
  <c r="AF1038" i="45"/>
  <c r="X1038" i="45"/>
  <c r="P1038" i="45"/>
  <c r="AS1038" i="45"/>
  <c r="AK1038" i="45"/>
  <c r="AC1038" i="45"/>
  <c r="U1038" i="45"/>
  <c r="M1038" i="45"/>
  <c r="AR1038" i="45"/>
  <c r="AJ1038" i="45"/>
  <c r="AB1038" i="45"/>
  <c r="T1038" i="45"/>
  <c r="L1038" i="45"/>
  <c r="Q1038" i="45"/>
  <c r="AO1038" i="45"/>
  <c r="AG1038" i="45"/>
  <c r="Y1038" i="45"/>
  <c r="B1143" i="45"/>
  <c r="H1038" i="45"/>
  <c r="J1038" i="45" s="1"/>
  <c r="AU1030" i="45"/>
  <c r="AQ1030" i="45"/>
  <c r="AM1030" i="45"/>
  <c r="AI1030" i="45"/>
  <c r="AE1030" i="45"/>
  <c r="AA1030" i="45"/>
  <c r="W1030" i="45"/>
  <c r="S1030" i="45"/>
  <c r="O1030" i="45"/>
  <c r="AT1030" i="45"/>
  <c r="AP1030" i="45"/>
  <c r="AL1030" i="45"/>
  <c r="AH1030" i="45"/>
  <c r="AD1030" i="45"/>
  <c r="Z1030" i="45"/>
  <c r="V1030" i="45"/>
  <c r="R1030" i="45"/>
  <c r="N1030" i="45"/>
  <c r="AN1030" i="45"/>
  <c r="AF1030" i="45"/>
  <c r="X1030" i="45"/>
  <c r="P1030" i="45"/>
  <c r="AS1030" i="45"/>
  <c r="AK1030" i="45"/>
  <c r="AC1030" i="45"/>
  <c r="U1030" i="45"/>
  <c r="M1030" i="45"/>
  <c r="AR1030" i="45"/>
  <c r="AJ1030" i="45"/>
  <c r="AB1030" i="45"/>
  <c r="T1030" i="45"/>
  <c r="L1030" i="45"/>
  <c r="Q1030" i="45"/>
  <c r="AO1030" i="45"/>
  <c r="AG1030" i="45"/>
  <c r="Y1030" i="45"/>
  <c r="H1030" i="45"/>
  <c r="J1030" i="45" s="1"/>
  <c r="B1135" i="45"/>
  <c r="AU1049" i="45"/>
  <c r="AQ1049" i="45"/>
  <c r="AM1049" i="45"/>
  <c r="AI1049" i="45"/>
  <c r="AE1049" i="45"/>
  <c r="AA1049" i="45"/>
  <c r="W1049" i="45"/>
  <c r="S1049" i="45"/>
  <c r="O1049" i="45"/>
  <c r="AT1049" i="45"/>
  <c r="AP1049" i="45"/>
  <c r="AL1049" i="45"/>
  <c r="AH1049" i="45"/>
  <c r="AD1049" i="45"/>
  <c r="Z1049" i="45"/>
  <c r="V1049" i="45"/>
  <c r="R1049" i="45"/>
  <c r="N1049" i="45"/>
  <c r="AR1049" i="45"/>
  <c r="AJ1049" i="45"/>
  <c r="AB1049" i="45"/>
  <c r="T1049" i="45"/>
  <c r="L1049" i="45"/>
  <c r="AO1049" i="45"/>
  <c r="AG1049" i="45"/>
  <c r="Y1049" i="45"/>
  <c r="Q1049" i="45"/>
  <c r="AN1049" i="45"/>
  <c r="AF1049" i="45"/>
  <c r="X1049" i="45"/>
  <c r="P1049" i="45"/>
  <c r="AK1049" i="45"/>
  <c r="AC1049" i="45"/>
  <c r="U1049" i="45"/>
  <c r="M1049" i="45"/>
  <c r="AS1049" i="45"/>
  <c r="B1154" i="45"/>
  <c r="H1049" i="45"/>
  <c r="J1049" i="45" s="1"/>
  <c r="AU1051" i="45"/>
  <c r="AQ1051" i="45"/>
  <c r="AM1051" i="45"/>
  <c r="AI1051" i="45"/>
  <c r="AE1051" i="45"/>
  <c r="AA1051" i="45"/>
  <c r="W1051" i="45"/>
  <c r="S1051" i="45"/>
  <c r="O1051" i="45"/>
  <c r="AT1051" i="45"/>
  <c r="AP1051" i="45"/>
  <c r="AL1051" i="45"/>
  <c r="AH1051" i="45"/>
  <c r="AD1051" i="45"/>
  <c r="Z1051" i="45"/>
  <c r="V1051" i="45"/>
  <c r="R1051" i="45"/>
  <c r="N1051" i="45"/>
  <c r="AR1051" i="45"/>
  <c r="AJ1051" i="45"/>
  <c r="AB1051" i="45"/>
  <c r="T1051" i="45"/>
  <c r="L1051" i="45"/>
  <c r="AO1051" i="45"/>
  <c r="AG1051" i="45"/>
  <c r="Y1051" i="45"/>
  <c r="Q1051" i="45"/>
  <c r="AN1051" i="45"/>
  <c r="AF1051" i="45"/>
  <c r="X1051" i="45"/>
  <c r="P1051" i="45"/>
  <c r="AC1051" i="45"/>
  <c r="U1051" i="45"/>
  <c r="AS1051" i="45"/>
  <c r="M1051" i="45"/>
  <c r="AK1051" i="45"/>
  <c r="H1051" i="45"/>
  <c r="J1051" i="45" s="1"/>
  <c r="B1156" i="45"/>
  <c r="AU1096" i="45"/>
  <c r="AQ1096" i="45"/>
  <c r="AM1096" i="45"/>
  <c r="AI1096" i="45"/>
  <c r="AE1096" i="45"/>
  <c r="AA1096" i="45"/>
  <c r="W1096" i="45"/>
  <c r="S1096" i="45"/>
  <c r="O1096" i="45"/>
  <c r="AT1096" i="45"/>
  <c r="AP1096" i="45"/>
  <c r="AL1096" i="45"/>
  <c r="AH1096" i="45"/>
  <c r="AD1096" i="45"/>
  <c r="Z1096" i="45"/>
  <c r="V1096" i="45"/>
  <c r="R1096" i="45"/>
  <c r="N1096" i="45"/>
  <c r="AN1096" i="45"/>
  <c r="AF1096" i="45"/>
  <c r="X1096" i="45"/>
  <c r="P1096" i="45"/>
  <c r="AS1096" i="45"/>
  <c r="AK1096" i="45"/>
  <c r="AC1096" i="45"/>
  <c r="U1096" i="45"/>
  <c r="M1096" i="45"/>
  <c r="AR1096" i="45"/>
  <c r="AJ1096" i="45"/>
  <c r="AB1096" i="45"/>
  <c r="T1096" i="45"/>
  <c r="L1096" i="45"/>
  <c r="AO1096" i="45"/>
  <c r="AG1096" i="45"/>
  <c r="Y1096" i="45"/>
  <c r="Q1096" i="45"/>
  <c r="B1201" i="45"/>
  <c r="H1096" i="45"/>
  <c r="J1096" i="45" s="1"/>
  <c r="AU1078" i="45"/>
  <c r="AQ1078" i="45"/>
  <c r="AM1078" i="45"/>
  <c r="AI1078" i="45"/>
  <c r="AE1078" i="45"/>
  <c r="AA1078" i="45"/>
  <c r="W1078" i="45"/>
  <c r="S1078" i="45"/>
  <c r="O1078" i="45"/>
  <c r="AT1078" i="45"/>
  <c r="AP1078" i="45"/>
  <c r="AL1078" i="45"/>
  <c r="AH1078" i="45"/>
  <c r="AD1078" i="45"/>
  <c r="Z1078" i="45"/>
  <c r="V1078" i="45"/>
  <c r="R1078" i="45"/>
  <c r="N1078" i="45"/>
  <c r="AN1078" i="45"/>
  <c r="AF1078" i="45"/>
  <c r="X1078" i="45"/>
  <c r="P1078" i="45"/>
  <c r="AS1078" i="45"/>
  <c r="AK1078" i="45"/>
  <c r="AC1078" i="45"/>
  <c r="U1078" i="45"/>
  <c r="M1078" i="45"/>
  <c r="AR1078" i="45"/>
  <c r="AJ1078" i="45"/>
  <c r="AB1078" i="45"/>
  <c r="T1078" i="45"/>
  <c r="L1078" i="45"/>
  <c r="Q1078" i="45"/>
  <c r="AO1078" i="45"/>
  <c r="AG1078" i="45"/>
  <c r="Y1078" i="45"/>
  <c r="B1183" i="45"/>
  <c r="H1078" i="45"/>
  <c r="J1078" i="45" s="1"/>
  <c r="AU1039" i="45"/>
  <c r="AQ1039" i="45"/>
  <c r="AM1039" i="45"/>
  <c r="AI1039" i="45"/>
  <c r="AE1039" i="45"/>
  <c r="AA1039" i="45"/>
  <c r="W1039" i="45"/>
  <c r="S1039" i="45"/>
  <c r="O1039" i="45"/>
  <c r="AT1039" i="45"/>
  <c r="AP1039" i="45"/>
  <c r="AL1039" i="45"/>
  <c r="AH1039" i="45"/>
  <c r="AD1039" i="45"/>
  <c r="Z1039" i="45"/>
  <c r="V1039" i="45"/>
  <c r="R1039" i="45"/>
  <c r="N1039" i="45"/>
  <c r="AR1039" i="45"/>
  <c r="AJ1039" i="45"/>
  <c r="AB1039" i="45"/>
  <c r="T1039" i="45"/>
  <c r="L1039" i="45"/>
  <c r="AO1039" i="45"/>
  <c r="AG1039" i="45"/>
  <c r="Y1039" i="45"/>
  <c r="Q1039" i="45"/>
  <c r="AN1039" i="45"/>
  <c r="AF1039" i="45"/>
  <c r="X1039" i="45"/>
  <c r="P1039" i="45"/>
  <c r="AS1039" i="45"/>
  <c r="M1039" i="45"/>
  <c r="AK1039" i="45"/>
  <c r="AC1039" i="45"/>
  <c r="U1039" i="45"/>
  <c r="B1144" i="45"/>
  <c r="H1039" i="45"/>
  <c r="J1039" i="45" s="1"/>
  <c r="AU1037" i="45"/>
  <c r="AQ1037" i="45"/>
  <c r="AM1037" i="45"/>
  <c r="AI1037" i="45"/>
  <c r="AE1037" i="45"/>
  <c r="AA1037" i="45"/>
  <c r="W1037" i="45"/>
  <c r="S1037" i="45"/>
  <c r="O1037" i="45"/>
  <c r="AT1037" i="45"/>
  <c r="AP1037" i="45"/>
  <c r="AL1037" i="45"/>
  <c r="AH1037" i="45"/>
  <c r="AD1037" i="45"/>
  <c r="Z1037" i="45"/>
  <c r="V1037" i="45"/>
  <c r="R1037" i="45"/>
  <c r="N1037" i="45"/>
  <c r="AR1037" i="45"/>
  <c r="AJ1037" i="45"/>
  <c r="AB1037" i="45"/>
  <c r="T1037" i="45"/>
  <c r="L1037" i="45"/>
  <c r="AO1037" i="45"/>
  <c r="AG1037" i="45"/>
  <c r="Y1037" i="45"/>
  <c r="Q1037" i="45"/>
  <c r="AN1037" i="45"/>
  <c r="AF1037" i="45"/>
  <c r="X1037" i="45"/>
  <c r="P1037" i="45"/>
  <c r="U1037" i="45"/>
  <c r="AS1037" i="45"/>
  <c r="M1037" i="45"/>
  <c r="AK1037" i="45"/>
  <c r="AC1037" i="45"/>
  <c r="H1037" i="45"/>
  <c r="J1037" i="45" s="1"/>
  <c r="B1142" i="45"/>
  <c r="AU1042" i="45"/>
  <c r="AQ1042" i="45"/>
  <c r="AM1042" i="45"/>
  <c r="AI1042" i="45"/>
  <c r="AE1042" i="45"/>
  <c r="AA1042" i="45"/>
  <c r="W1042" i="45"/>
  <c r="S1042" i="45"/>
  <c r="O1042" i="45"/>
  <c r="AT1042" i="45"/>
  <c r="AP1042" i="45"/>
  <c r="AL1042" i="45"/>
  <c r="AH1042" i="45"/>
  <c r="AD1042" i="45"/>
  <c r="Z1042" i="45"/>
  <c r="V1042" i="45"/>
  <c r="R1042" i="45"/>
  <c r="N1042" i="45"/>
  <c r="AN1042" i="45"/>
  <c r="AF1042" i="45"/>
  <c r="X1042" i="45"/>
  <c r="P1042" i="45"/>
  <c r="AS1042" i="45"/>
  <c r="AK1042" i="45"/>
  <c r="AC1042" i="45"/>
  <c r="U1042" i="45"/>
  <c r="M1042" i="45"/>
  <c r="AR1042" i="45"/>
  <c r="AJ1042" i="45"/>
  <c r="AB1042" i="45"/>
  <c r="T1042" i="45"/>
  <c r="L1042" i="45"/>
  <c r="AG1042" i="45"/>
  <c r="Y1042" i="45"/>
  <c r="Q1042" i="45"/>
  <c r="AO1042" i="45"/>
  <c r="B1147" i="45"/>
  <c r="H1042" i="45"/>
  <c r="J1042" i="45" s="1"/>
  <c r="AU1053" i="45"/>
  <c r="AQ1053" i="45"/>
  <c r="AM1053" i="45"/>
  <c r="AI1053" i="45"/>
  <c r="AE1053" i="45"/>
  <c r="AA1053" i="45"/>
  <c r="W1053" i="45"/>
  <c r="S1053" i="45"/>
  <c r="O1053" i="45"/>
  <c r="AT1053" i="45"/>
  <c r="AP1053" i="45"/>
  <c r="AL1053" i="45"/>
  <c r="AH1053" i="45"/>
  <c r="AD1053" i="45"/>
  <c r="Z1053" i="45"/>
  <c r="V1053" i="45"/>
  <c r="R1053" i="45"/>
  <c r="N1053" i="45"/>
  <c r="AR1053" i="45"/>
  <c r="AJ1053" i="45"/>
  <c r="AB1053" i="45"/>
  <c r="T1053" i="45"/>
  <c r="L1053" i="45"/>
  <c r="AO1053" i="45"/>
  <c r="AG1053" i="45"/>
  <c r="Y1053" i="45"/>
  <c r="Q1053" i="45"/>
  <c r="AN1053" i="45"/>
  <c r="AF1053" i="45"/>
  <c r="X1053" i="45"/>
  <c r="P1053" i="45"/>
  <c r="U1053" i="45"/>
  <c r="AS1053" i="45"/>
  <c r="M1053" i="45"/>
  <c r="AK1053" i="45"/>
  <c r="AC1053" i="45"/>
  <c r="B1158" i="45"/>
  <c r="H1053" i="45"/>
  <c r="J1053" i="45" s="1"/>
  <c r="AU1048" i="45"/>
  <c r="AQ1048" i="45"/>
  <c r="AM1048" i="45"/>
  <c r="AI1048" i="45"/>
  <c r="AE1048" i="45"/>
  <c r="AA1048" i="45"/>
  <c r="W1048" i="45"/>
  <c r="S1048" i="45"/>
  <c r="O1048" i="45"/>
  <c r="AT1048" i="45"/>
  <c r="AP1048" i="45"/>
  <c r="AL1048" i="45"/>
  <c r="AH1048" i="45"/>
  <c r="AD1048" i="45"/>
  <c r="Z1048" i="45"/>
  <c r="V1048" i="45"/>
  <c r="R1048" i="45"/>
  <c r="N1048" i="45"/>
  <c r="AN1048" i="45"/>
  <c r="AF1048" i="45"/>
  <c r="X1048" i="45"/>
  <c r="P1048" i="45"/>
  <c r="AS1048" i="45"/>
  <c r="AK1048" i="45"/>
  <c r="AC1048" i="45"/>
  <c r="U1048" i="45"/>
  <c r="M1048" i="45"/>
  <c r="AR1048" i="45"/>
  <c r="AJ1048" i="45"/>
  <c r="AB1048" i="45"/>
  <c r="T1048" i="45"/>
  <c r="L1048" i="45"/>
  <c r="AO1048" i="45"/>
  <c r="AG1048" i="45"/>
  <c r="Y1048" i="45"/>
  <c r="Q1048" i="45"/>
  <c r="H1048" i="45"/>
  <c r="J1048" i="45" s="1"/>
  <c r="B1153" i="45"/>
  <c r="AU1085" i="45"/>
  <c r="AQ1085" i="45"/>
  <c r="AM1085" i="45"/>
  <c r="AI1085" i="45"/>
  <c r="AE1085" i="45"/>
  <c r="AA1085" i="45"/>
  <c r="W1085" i="45"/>
  <c r="S1085" i="45"/>
  <c r="O1085" i="45"/>
  <c r="AT1085" i="45"/>
  <c r="AP1085" i="45"/>
  <c r="AL1085" i="45"/>
  <c r="AH1085" i="45"/>
  <c r="AD1085" i="45"/>
  <c r="Z1085" i="45"/>
  <c r="V1085" i="45"/>
  <c r="R1085" i="45"/>
  <c r="N1085" i="45"/>
  <c r="AR1085" i="45"/>
  <c r="AJ1085" i="45"/>
  <c r="AB1085" i="45"/>
  <c r="T1085" i="45"/>
  <c r="L1085" i="45"/>
  <c r="AO1085" i="45"/>
  <c r="AG1085" i="45"/>
  <c r="Y1085" i="45"/>
  <c r="Q1085" i="45"/>
  <c r="AN1085" i="45"/>
  <c r="AF1085" i="45"/>
  <c r="X1085" i="45"/>
  <c r="P1085" i="45"/>
  <c r="U1085" i="45"/>
  <c r="AS1085" i="45"/>
  <c r="M1085" i="45"/>
  <c r="AK1085" i="45"/>
  <c r="AC1085" i="45"/>
  <c r="H1085" i="45"/>
  <c r="J1085" i="45" s="1"/>
  <c r="B1190" i="45"/>
  <c r="AR1226" i="45"/>
  <c r="AN1226" i="45"/>
  <c r="AJ1226" i="45"/>
  <c r="AF1226" i="45"/>
  <c r="AB1226" i="45"/>
  <c r="X1226" i="45"/>
  <c r="T1226" i="45"/>
  <c r="P1226" i="45"/>
  <c r="L1226" i="45"/>
  <c r="AU1226" i="45"/>
  <c r="AQ1226" i="45"/>
  <c r="AM1226" i="45"/>
  <c r="AI1226" i="45"/>
  <c r="AE1226" i="45"/>
  <c r="AA1226" i="45"/>
  <c r="W1226" i="45"/>
  <c r="S1226" i="45"/>
  <c r="O1226" i="45"/>
  <c r="AT1226" i="45"/>
  <c r="AP1226" i="45"/>
  <c r="AL1226" i="45"/>
  <c r="AH1226" i="45"/>
  <c r="AD1226" i="45"/>
  <c r="Z1226" i="45"/>
  <c r="V1226" i="45"/>
  <c r="R1226" i="45"/>
  <c r="N1226" i="45"/>
  <c r="AK1226" i="45"/>
  <c r="U1226" i="45"/>
  <c r="AG1226" i="45"/>
  <c r="Q1226" i="45"/>
  <c r="AS1226" i="45"/>
  <c r="AC1226" i="45"/>
  <c r="M1226" i="45"/>
  <c r="AO1226" i="45"/>
  <c r="Y1226" i="45"/>
  <c r="B1331" i="45"/>
  <c r="H1226" i="45"/>
  <c r="J1226" i="45" s="1"/>
  <c r="AS977" i="45"/>
  <c r="AO977" i="45"/>
  <c r="AK977" i="45"/>
  <c r="AG977" i="45"/>
  <c r="AC977" i="45"/>
  <c r="Y977" i="45"/>
  <c r="U977" i="45"/>
  <c r="Q977" i="45"/>
  <c r="M977" i="45"/>
  <c r="AR977" i="45"/>
  <c r="AN977" i="45"/>
  <c r="AJ977" i="45"/>
  <c r="AF977" i="45"/>
  <c r="AB977" i="45"/>
  <c r="X977" i="45"/>
  <c r="T977" i="45"/>
  <c r="P977" i="45"/>
  <c r="L977" i="45"/>
  <c r="AU977" i="45"/>
  <c r="AQ977" i="45"/>
  <c r="AM977" i="45"/>
  <c r="AI977" i="45"/>
  <c r="AE977" i="45"/>
  <c r="AA977" i="45"/>
  <c r="W977" i="45"/>
  <c r="S977" i="45"/>
  <c r="O977" i="45"/>
  <c r="AL977" i="45"/>
  <c r="V977" i="45"/>
  <c r="AH977" i="45"/>
  <c r="R977" i="45"/>
  <c r="AT977" i="45"/>
  <c r="AD977" i="45"/>
  <c r="N977" i="45"/>
  <c r="AP977" i="45"/>
  <c r="Z977" i="45"/>
  <c r="H977" i="45"/>
  <c r="J977" i="45" s="1"/>
  <c r="B1082" i="45"/>
  <c r="AU1104" i="45"/>
  <c r="AQ1104" i="45"/>
  <c r="AM1104" i="45"/>
  <c r="AI1104" i="45"/>
  <c r="AE1104" i="45"/>
  <c r="AA1104" i="45"/>
  <c r="W1104" i="45"/>
  <c r="S1104" i="45"/>
  <c r="O1104" i="45"/>
  <c r="AT1104" i="45"/>
  <c r="AP1104" i="45"/>
  <c r="AL1104" i="45"/>
  <c r="AH1104" i="45"/>
  <c r="AD1104" i="45"/>
  <c r="Z1104" i="45"/>
  <c r="V1104" i="45"/>
  <c r="R1104" i="45"/>
  <c r="N1104" i="45"/>
  <c r="AN1104" i="45"/>
  <c r="AF1104" i="45"/>
  <c r="X1104" i="45"/>
  <c r="P1104" i="45"/>
  <c r="AS1104" i="45"/>
  <c r="AK1104" i="45"/>
  <c r="AC1104" i="45"/>
  <c r="U1104" i="45"/>
  <c r="M1104" i="45"/>
  <c r="AR1104" i="45"/>
  <c r="AJ1104" i="45"/>
  <c r="AB1104" i="45"/>
  <c r="T1104" i="45"/>
  <c r="L1104" i="45"/>
  <c r="AO1104" i="45"/>
  <c r="AG1104" i="45"/>
  <c r="Y1104" i="45"/>
  <c r="Q1104" i="45"/>
  <c r="H1104" i="45"/>
  <c r="J1104" i="45" s="1"/>
  <c r="B1209" i="45"/>
  <c r="AU1068" i="45"/>
  <c r="AQ1068" i="45"/>
  <c r="AM1068" i="45"/>
  <c r="AI1068" i="45"/>
  <c r="AE1068" i="45"/>
  <c r="AA1068" i="45"/>
  <c r="W1068" i="45"/>
  <c r="S1068" i="45"/>
  <c r="O1068" i="45"/>
  <c r="AT1068" i="45"/>
  <c r="AP1068" i="45"/>
  <c r="AL1068" i="45"/>
  <c r="AH1068" i="45"/>
  <c r="AD1068" i="45"/>
  <c r="Z1068" i="45"/>
  <c r="V1068" i="45"/>
  <c r="R1068" i="45"/>
  <c r="N1068" i="45"/>
  <c r="AN1068" i="45"/>
  <c r="AF1068" i="45"/>
  <c r="X1068" i="45"/>
  <c r="P1068" i="45"/>
  <c r="AS1068" i="45"/>
  <c r="AK1068" i="45"/>
  <c r="AC1068" i="45"/>
  <c r="U1068" i="45"/>
  <c r="M1068" i="45"/>
  <c r="AR1068" i="45"/>
  <c r="AJ1068" i="45"/>
  <c r="AB1068" i="45"/>
  <c r="T1068" i="45"/>
  <c r="L1068" i="45"/>
  <c r="Y1068" i="45"/>
  <c r="Q1068" i="45"/>
  <c r="AO1068" i="45"/>
  <c r="AG1068" i="45"/>
  <c r="H1068" i="45"/>
  <c r="J1068" i="45" s="1"/>
  <c r="B1173" i="45"/>
  <c r="AS982" i="45"/>
  <c r="AO982" i="45"/>
  <c r="AK982" i="45"/>
  <c r="AG982" i="45"/>
  <c r="AC982" i="45"/>
  <c r="Y982" i="45"/>
  <c r="U982" i="45"/>
  <c r="Q982" i="45"/>
  <c r="M982" i="45"/>
  <c r="AR982" i="45"/>
  <c r="AN982" i="45"/>
  <c r="AJ982" i="45"/>
  <c r="AF982" i="45"/>
  <c r="AB982" i="45"/>
  <c r="X982" i="45"/>
  <c r="T982" i="45"/>
  <c r="P982" i="45"/>
  <c r="L982" i="45"/>
  <c r="AU982" i="45"/>
  <c r="AQ982" i="45"/>
  <c r="AM982" i="45"/>
  <c r="AI982" i="45"/>
  <c r="AE982" i="45"/>
  <c r="AA982" i="45"/>
  <c r="W982" i="45"/>
  <c r="S982" i="45"/>
  <c r="O982" i="45"/>
  <c r="AH982" i="45"/>
  <c r="R982" i="45"/>
  <c r="AT982" i="45"/>
  <c r="AD982" i="45"/>
  <c r="N982" i="45"/>
  <c r="AP982" i="45"/>
  <c r="Z982" i="45"/>
  <c r="AL982" i="45"/>
  <c r="V982" i="45"/>
  <c r="H982" i="45"/>
  <c r="J982" i="45" s="1"/>
  <c r="B1087" i="45"/>
  <c r="AU1089" i="45"/>
  <c r="AQ1089" i="45"/>
  <c r="AM1089" i="45"/>
  <c r="AI1089" i="45"/>
  <c r="AE1089" i="45"/>
  <c r="AA1089" i="45"/>
  <c r="W1089" i="45"/>
  <c r="S1089" i="45"/>
  <c r="O1089" i="45"/>
  <c r="AT1089" i="45"/>
  <c r="AP1089" i="45"/>
  <c r="AL1089" i="45"/>
  <c r="AH1089" i="45"/>
  <c r="AD1089" i="45"/>
  <c r="Z1089" i="45"/>
  <c r="V1089" i="45"/>
  <c r="R1089" i="45"/>
  <c r="N1089" i="45"/>
  <c r="AR1089" i="45"/>
  <c r="AJ1089" i="45"/>
  <c r="AB1089" i="45"/>
  <c r="T1089" i="45"/>
  <c r="L1089" i="45"/>
  <c r="AO1089" i="45"/>
  <c r="AG1089" i="45"/>
  <c r="Y1089" i="45"/>
  <c r="Q1089" i="45"/>
  <c r="AN1089" i="45"/>
  <c r="AF1089" i="45"/>
  <c r="X1089" i="45"/>
  <c r="P1089" i="45"/>
  <c r="AK1089" i="45"/>
  <c r="AC1089" i="45"/>
  <c r="U1089" i="45"/>
  <c r="AS1089" i="45"/>
  <c r="M1089" i="45"/>
  <c r="H1089" i="45"/>
  <c r="J1089" i="45" s="1"/>
  <c r="B1194" i="45"/>
  <c r="AU1062" i="45"/>
  <c r="AQ1062" i="45"/>
  <c r="AM1062" i="45"/>
  <c r="AI1062" i="45"/>
  <c r="AE1062" i="45"/>
  <c r="AA1062" i="45"/>
  <c r="W1062" i="45"/>
  <c r="S1062" i="45"/>
  <c r="O1062" i="45"/>
  <c r="AT1062" i="45"/>
  <c r="AP1062" i="45"/>
  <c r="AL1062" i="45"/>
  <c r="AH1062" i="45"/>
  <c r="AD1062" i="45"/>
  <c r="Z1062" i="45"/>
  <c r="V1062" i="45"/>
  <c r="R1062" i="45"/>
  <c r="N1062" i="45"/>
  <c r="AN1062" i="45"/>
  <c r="AF1062" i="45"/>
  <c r="X1062" i="45"/>
  <c r="P1062" i="45"/>
  <c r="AS1062" i="45"/>
  <c r="AK1062" i="45"/>
  <c r="AC1062" i="45"/>
  <c r="U1062" i="45"/>
  <c r="M1062" i="45"/>
  <c r="AR1062" i="45"/>
  <c r="AJ1062" i="45"/>
  <c r="AB1062" i="45"/>
  <c r="T1062" i="45"/>
  <c r="L1062" i="45"/>
  <c r="Q1062" i="45"/>
  <c r="AO1062" i="45"/>
  <c r="AG1062" i="45"/>
  <c r="Y1062" i="45"/>
  <c r="B1167" i="45"/>
  <c r="H1062" i="45"/>
  <c r="J1062" i="45" s="1"/>
  <c r="AU1075" i="45"/>
  <c r="AQ1075" i="45"/>
  <c r="AM1075" i="45"/>
  <c r="AI1075" i="45"/>
  <c r="AE1075" i="45"/>
  <c r="AA1075" i="45"/>
  <c r="W1075" i="45"/>
  <c r="S1075" i="45"/>
  <c r="O1075" i="45"/>
  <c r="AT1075" i="45"/>
  <c r="AP1075" i="45"/>
  <c r="AL1075" i="45"/>
  <c r="AH1075" i="45"/>
  <c r="AD1075" i="45"/>
  <c r="Z1075" i="45"/>
  <c r="V1075" i="45"/>
  <c r="R1075" i="45"/>
  <c r="N1075" i="45"/>
  <c r="AR1075" i="45"/>
  <c r="AJ1075" i="45"/>
  <c r="AB1075" i="45"/>
  <c r="T1075" i="45"/>
  <c r="L1075" i="45"/>
  <c r="AO1075" i="45"/>
  <c r="AG1075" i="45"/>
  <c r="Y1075" i="45"/>
  <c r="Q1075" i="45"/>
  <c r="AN1075" i="45"/>
  <c r="AF1075" i="45"/>
  <c r="X1075" i="45"/>
  <c r="P1075" i="45"/>
  <c r="AC1075" i="45"/>
  <c r="U1075" i="45"/>
  <c r="AS1075" i="45"/>
  <c r="M1075" i="45"/>
  <c r="AK1075" i="45"/>
  <c r="H1075" i="45"/>
  <c r="J1075" i="45" s="1"/>
  <c r="B1180" i="45"/>
  <c r="AU1102" i="45"/>
  <c r="AQ1102" i="45"/>
  <c r="AM1102" i="45"/>
  <c r="AI1102" i="45"/>
  <c r="AE1102" i="45"/>
  <c r="AA1102" i="45"/>
  <c r="W1102" i="45"/>
  <c r="S1102" i="45"/>
  <c r="O1102" i="45"/>
  <c r="AT1102" i="45"/>
  <c r="AP1102" i="45"/>
  <c r="AL1102" i="45"/>
  <c r="AH1102" i="45"/>
  <c r="AD1102" i="45"/>
  <c r="Z1102" i="45"/>
  <c r="V1102" i="45"/>
  <c r="R1102" i="45"/>
  <c r="N1102" i="45"/>
  <c r="AN1102" i="45"/>
  <c r="AF1102" i="45"/>
  <c r="X1102" i="45"/>
  <c r="P1102" i="45"/>
  <c r="AS1102" i="45"/>
  <c r="AK1102" i="45"/>
  <c r="AC1102" i="45"/>
  <c r="U1102" i="45"/>
  <c r="M1102" i="45"/>
  <c r="AR1102" i="45"/>
  <c r="AJ1102" i="45"/>
  <c r="AB1102" i="45"/>
  <c r="T1102" i="45"/>
  <c r="L1102" i="45"/>
  <c r="Q1102" i="45"/>
  <c r="AO1102" i="45"/>
  <c r="AG1102" i="45"/>
  <c r="Y1102" i="45"/>
  <c r="H1102" i="45"/>
  <c r="J1102" i="45" s="1"/>
  <c r="B1207" i="45"/>
  <c r="AU1106" i="45"/>
  <c r="AQ1106" i="45"/>
  <c r="AM1106" i="45"/>
  <c r="AI1106" i="45"/>
  <c r="AE1106" i="45"/>
  <c r="AA1106" i="45"/>
  <c r="W1106" i="45"/>
  <c r="S1106" i="45"/>
  <c r="O1106" i="45"/>
  <c r="AT1106" i="45"/>
  <c r="AP1106" i="45"/>
  <c r="AL1106" i="45"/>
  <c r="AH1106" i="45"/>
  <c r="AD1106" i="45"/>
  <c r="Z1106" i="45"/>
  <c r="V1106" i="45"/>
  <c r="R1106" i="45"/>
  <c r="N1106" i="45"/>
  <c r="AN1106" i="45"/>
  <c r="AF1106" i="45"/>
  <c r="X1106" i="45"/>
  <c r="P1106" i="45"/>
  <c r="AS1106" i="45"/>
  <c r="AK1106" i="45"/>
  <c r="AC1106" i="45"/>
  <c r="U1106" i="45"/>
  <c r="M1106" i="45"/>
  <c r="AR1106" i="45"/>
  <c r="AJ1106" i="45"/>
  <c r="AB1106" i="45"/>
  <c r="T1106" i="45"/>
  <c r="L1106" i="45"/>
  <c r="AG1106" i="45"/>
  <c r="Y1106" i="45"/>
  <c r="Q1106" i="45"/>
  <c r="AO1106" i="45"/>
  <c r="H1106" i="45"/>
  <c r="J1106" i="45" s="1"/>
  <c r="B1211" i="45"/>
  <c r="AU1091" i="45"/>
  <c r="AQ1091" i="45"/>
  <c r="AM1091" i="45"/>
  <c r="AI1091" i="45"/>
  <c r="AE1091" i="45"/>
  <c r="AA1091" i="45"/>
  <c r="W1091" i="45"/>
  <c r="S1091" i="45"/>
  <c r="O1091" i="45"/>
  <c r="AT1091" i="45"/>
  <c r="AP1091" i="45"/>
  <c r="AL1091" i="45"/>
  <c r="AH1091" i="45"/>
  <c r="AD1091" i="45"/>
  <c r="Z1091" i="45"/>
  <c r="V1091" i="45"/>
  <c r="R1091" i="45"/>
  <c r="N1091" i="45"/>
  <c r="AR1091" i="45"/>
  <c r="AJ1091" i="45"/>
  <c r="AB1091" i="45"/>
  <c r="T1091" i="45"/>
  <c r="L1091" i="45"/>
  <c r="AO1091" i="45"/>
  <c r="AG1091" i="45"/>
  <c r="Y1091" i="45"/>
  <c r="Q1091" i="45"/>
  <c r="AN1091" i="45"/>
  <c r="AF1091" i="45"/>
  <c r="X1091" i="45"/>
  <c r="P1091" i="45"/>
  <c r="AC1091" i="45"/>
  <c r="U1091" i="45"/>
  <c r="AS1091" i="45"/>
  <c r="M1091" i="45"/>
  <c r="AK1091" i="45"/>
  <c r="B1196" i="45"/>
  <c r="H1091" i="45"/>
  <c r="J1091" i="45" s="1"/>
  <c r="AU1079" i="45"/>
  <c r="AQ1079" i="45"/>
  <c r="AM1079" i="45"/>
  <c r="AI1079" i="45"/>
  <c r="AE1079" i="45"/>
  <c r="AA1079" i="45"/>
  <c r="W1079" i="45"/>
  <c r="S1079" i="45"/>
  <c r="O1079" i="45"/>
  <c r="AT1079" i="45"/>
  <c r="AP1079" i="45"/>
  <c r="AL1079" i="45"/>
  <c r="AH1079" i="45"/>
  <c r="AD1079" i="45"/>
  <c r="Z1079" i="45"/>
  <c r="V1079" i="45"/>
  <c r="R1079" i="45"/>
  <c r="N1079" i="45"/>
  <c r="AR1079" i="45"/>
  <c r="AJ1079" i="45"/>
  <c r="AB1079" i="45"/>
  <c r="T1079" i="45"/>
  <c r="L1079" i="45"/>
  <c r="AO1079" i="45"/>
  <c r="AG1079" i="45"/>
  <c r="Y1079" i="45"/>
  <c r="Q1079" i="45"/>
  <c r="AN1079" i="45"/>
  <c r="AF1079" i="45"/>
  <c r="X1079" i="45"/>
  <c r="P1079" i="45"/>
  <c r="AS1079" i="45"/>
  <c r="M1079" i="45"/>
  <c r="AK1079" i="45"/>
  <c r="AC1079" i="45"/>
  <c r="U1079" i="45"/>
  <c r="H1079" i="45"/>
  <c r="J1079" i="45" s="1"/>
  <c r="B1184" i="45"/>
  <c r="AU1028" i="45"/>
  <c r="AQ1028" i="45"/>
  <c r="AM1028" i="45"/>
  <c r="AI1028" i="45"/>
  <c r="AE1028" i="45"/>
  <c r="AA1028" i="45"/>
  <c r="W1028" i="45"/>
  <c r="S1028" i="45"/>
  <c r="O1028" i="45"/>
  <c r="AT1028" i="45"/>
  <c r="AP1028" i="45"/>
  <c r="AL1028" i="45"/>
  <c r="AH1028" i="45"/>
  <c r="AD1028" i="45"/>
  <c r="Z1028" i="45"/>
  <c r="V1028" i="45"/>
  <c r="R1028" i="45"/>
  <c r="N1028" i="45"/>
  <c r="AN1028" i="45"/>
  <c r="AF1028" i="45"/>
  <c r="X1028" i="45"/>
  <c r="P1028" i="45"/>
  <c r="AS1028" i="45"/>
  <c r="AK1028" i="45"/>
  <c r="AC1028" i="45"/>
  <c r="U1028" i="45"/>
  <c r="M1028" i="45"/>
  <c r="AR1028" i="45"/>
  <c r="AJ1028" i="45"/>
  <c r="AB1028" i="45"/>
  <c r="T1028" i="45"/>
  <c r="L1028" i="45"/>
  <c r="Y1028" i="45"/>
  <c r="Q1028" i="45"/>
  <c r="AO1028" i="45"/>
  <c r="AG1028" i="45"/>
  <c r="B1133" i="45"/>
  <c r="H1028" i="45"/>
  <c r="J1028" i="45" s="1"/>
  <c r="AU1083" i="45"/>
  <c r="AQ1083" i="45"/>
  <c r="AM1083" i="45"/>
  <c r="AI1083" i="45"/>
  <c r="AE1083" i="45"/>
  <c r="AA1083" i="45"/>
  <c r="W1083" i="45"/>
  <c r="S1083" i="45"/>
  <c r="O1083" i="45"/>
  <c r="AT1083" i="45"/>
  <c r="AP1083" i="45"/>
  <c r="AL1083" i="45"/>
  <c r="AH1083" i="45"/>
  <c r="AD1083" i="45"/>
  <c r="Z1083" i="45"/>
  <c r="V1083" i="45"/>
  <c r="R1083" i="45"/>
  <c r="N1083" i="45"/>
  <c r="AR1083" i="45"/>
  <c r="AJ1083" i="45"/>
  <c r="AB1083" i="45"/>
  <c r="T1083" i="45"/>
  <c r="L1083" i="45"/>
  <c r="AO1083" i="45"/>
  <c r="AG1083" i="45"/>
  <c r="Y1083" i="45"/>
  <c r="Q1083" i="45"/>
  <c r="AN1083" i="45"/>
  <c r="AF1083" i="45"/>
  <c r="X1083" i="45"/>
  <c r="P1083" i="45"/>
  <c r="AC1083" i="45"/>
  <c r="U1083" i="45"/>
  <c r="AS1083" i="45"/>
  <c r="M1083" i="45"/>
  <c r="AK1083" i="45"/>
  <c r="B1188" i="45"/>
  <c r="H1083" i="45"/>
  <c r="J1083" i="45" s="1"/>
  <c r="AU1067" i="45"/>
  <c r="AQ1067" i="45"/>
  <c r="AM1067" i="45"/>
  <c r="AI1067" i="45"/>
  <c r="AE1067" i="45"/>
  <c r="AA1067" i="45"/>
  <c r="W1067" i="45"/>
  <c r="S1067" i="45"/>
  <c r="O1067" i="45"/>
  <c r="AT1067" i="45"/>
  <c r="AP1067" i="45"/>
  <c r="AL1067" i="45"/>
  <c r="AH1067" i="45"/>
  <c r="AD1067" i="45"/>
  <c r="Z1067" i="45"/>
  <c r="V1067" i="45"/>
  <c r="R1067" i="45"/>
  <c r="N1067" i="45"/>
  <c r="AR1067" i="45"/>
  <c r="AJ1067" i="45"/>
  <c r="AB1067" i="45"/>
  <c r="T1067" i="45"/>
  <c r="L1067" i="45"/>
  <c r="AO1067" i="45"/>
  <c r="AG1067" i="45"/>
  <c r="Y1067" i="45"/>
  <c r="Q1067" i="45"/>
  <c r="AN1067" i="45"/>
  <c r="AF1067" i="45"/>
  <c r="X1067" i="45"/>
  <c r="P1067" i="45"/>
  <c r="AC1067" i="45"/>
  <c r="U1067" i="45"/>
  <c r="AS1067" i="45"/>
  <c r="M1067" i="45"/>
  <c r="AK1067" i="45"/>
  <c r="B1172" i="45"/>
  <c r="H1067" i="45"/>
  <c r="J1067" i="45" s="1"/>
  <c r="AU1041" i="45"/>
  <c r="AQ1041" i="45"/>
  <c r="AM1041" i="45"/>
  <c r="AI1041" i="45"/>
  <c r="AE1041" i="45"/>
  <c r="AA1041" i="45"/>
  <c r="W1041" i="45"/>
  <c r="S1041" i="45"/>
  <c r="O1041" i="45"/>
  <c r="AT1041" i="45"/>
  <c r="AP1041" i="45"/>
  <c r="AL1041" i="45"/>
  <c r="AH1041" i="45"/>
  <c r="AD1041" i="45"/>
  <c r="Z1041" i="45"/>
  <c r="V1041" i="45"/>
  <c r="R1041" i="45"/>
  <c r="N1041" i="45"/>
  <c r="AR1041" i="45"/>
  <c r="AJ1041" i="45"/>
  <c r="AB1041" i="45"/>
  <c r="T1041" i="45"/>
  <c r="L1041" i="45"/>
  <c r="AO1041" i="45"/>
  <c r="AG1041" i="45"/>
  <c r="Y1041" i="45"/>
  <c r="Q1041" i="45"/>
  <c r="AN1041" i="45"/>
  <c r="AF1041" i="45"/>
  <c r="X1041" i="45"/>
  <c r="P1041" i="45"/>
  <c r="AK1041" i="45"/>
  <c r="AC1041" i="45"/>
  <c r="U1041" i="45"/>
  <c r="AS1041" i="45"/>
  <c r="M1041" i="45"/>
  <c r="B1146" i="45"/>
  <c r="H1041" i="45"/>
  <c r="J1041" i="45" s="1"/>
  <c r="AU1033" i="45"/>
  <c r="AQ1033" i="45"/>
  <c r="AM1033" i="45"/>
  <c r="AI1033" i="45"/>
  <c r="AE1033" i="45"/>
  <c r="AA1033" i="45"/>
  <c r="W1033" i="45"/>
  <c r="S1033" i="45"/>
  <c r="O1033" i="45"/>
  <c r="AT1033" i="45"/>
  <c r="AP1033" i="45"/>
  <c r="AL1033" i="45"/>
  <c r="AH1033" i="45"/>
  <c r="AD1033" i="45"/>
  <c r="Z1033" i="45"/>
  <c r="V1033" i="45"/>
  <c r="R1033" i="45"/>
  <c r="N1033" i="45"/>
  <c r="AR1033" i="45"/>
  <c r="AJ1033" i="45"/>
  <c r="AB1033" i="45"/>
  <c r="T1033" i="45"/>
  <c r="L1033" i="45"/>
  <c r="AO1033" i="45"/>
  <c r="AG1033" i="45"/>
  <c r="Y1033" i="45"/>
  <c r="Q1033" i="45"/>
  <c r="AN1033" i="45"/>
  <c r="AF1033" i="45"/>
  <c r="X1033" i="45"/>
  <c r="P1033" i="45"/>
  <c r="AK1033" i="45"/>
  <c r="AC1033" i="45"/>
  <c r="U1033" i="45"/>
  <c r="AS1033" i="45"/>
  <c r="M1033" i="45"/>
  <c r="B1138" i="45"/>
  <c r="H1033" i="45"/>
  <c r="J1033" i="45" s="1"/>
  <c r="AU1034" i="45"/>
  <c r="AQ1034" i="45"/>
  <c r="AM1034" i="45"/>
  <c r="AI1034" i="45"/>
  <c r="AE1034" i="45"/>
  <c r="AA1034" i="45"/>
  <c r="W1034" i="45"/>
  <c r="S1034" i="45"/>
  <c r="O1034" i="45"/>
  <c r="AT1034" i="45"/>
  <c r="AP1034" i="45"/>
  <c r="AL1034" i="45"/>
  <c r="AH1034" i="45"/>
  <c r="AD1034" i="45"/>
  <c r="Z1034" i="45"/>
  <c r="V1034" i="45"/>
  <c r="R1034" i="45"/>
  <c r="N1034" i="45"/>
  <c r="AN1034" i="45"/>
  <c r="AF1034" i="45"/>
  <c r="X1034" i="45"/>
  <c r="P1034" i="45"/>
  <c r="AS1034" i="45"/>
  <c r="AK1034" i="45"/>
  <c r="AC1034" i="45"/>
  <c r="U1034" i="45"/>
  <c r="M1034" i="45"/>
  <c r="AR1034" i="45"/>
  <c r="AJ1034" i="45"/>
  <c r="AB1034" i="45"/>
  <c r="T1034" i="45"/>
  <c r="L1034" i="45"/>
  <c r="AG1034" i="45"/>
  <c r="Y1034" i="45"/>
  <c r="Q1034" i="45"/>
  <c r="AO1034" i="45"/>
  <c r="B1139" i="45"/>
  <c r="H1034" i="45"/>
  <c r="J1034" i="45" s="1"/>
  <c r="AU1064" i="45"/>
  <c r="AQ1064" i="45"/>
  <c r="AM1064" i="45"/>
  <c r="AI1064" i="45"/>
  <c r="AE1064" i="45"/>
  <c r="AA1064" i="45"/>
  <c r="W1064" i="45"/>
  <c r="S1064" i="45"/>
  <c r="O1064" i="45"/>
  <c r="AT1064" i="45"/>
  <c r="AP1064" i="45"/>
  <c r="AL1064" i="45"/>
  <c r="AH1064" i="45"/>
  <c r="AD1064" i="45"/>
  <c r="Z1064" i="45"/>
  <c r="V1064" i="45"/>
  <c r="R1064" i="45"/>
  <c r="N1064" i="45"/>
  <c r="AN1064" i="45"/>
  <c r="AF1064" i="45"/>
  <c r="X1064" i="45"/>
  <c r="P1064" i="45"/>
  <c r="AS1064" i="45"/>
  <c r="AK1064" i="45"/>
  <c r="AC1064" i="45"/>
  <c r="U1064" i="45"/>
  <c r="M1064" i="45"/>
  <c r="AR1064" i="45"/>
  <c r="AJ1064" i="45"/>
  <c r="AB1064" i="45"/>
  <c r="T1064" i="45"/>
  <c r="L1064" i="45"/>
  <c r="AO1064" i="45"/>
  <c r="AG1064" i="45"/>
  <c r="Y1064" i="45"/>
  <c r="Q1064" i="45"/>
  <c r="H1064" i="45"/>
  <c r="J1064" i="45" s="1"/>
  <c r="B1169" i="45"/>
  <c r="AU1084" i="45"/>
  <c r="AQ1084" i="45"/>
  <c r="AM1084" i="45"/>
  <c r="AI1084" i="45"/>
  <c r="AE1084" i="45"/>
  <c r="AA1084" i="45"/>
  <c r="W1084" i="45"/>
  <c r="S1084" i="45"/>
  <c r="O1084" i="45"/>
  <c r="AT1084" i="45"/>
  <c r="AP1084" i="45"/>
  <c r="AL1084" i="45"/>
  <c r="AH1084" i="45"/>
  <c r="AD1084" i="45"/>
  <c r="Z1084" i="45"/>
  <c r="V1084" i="45"/>
  <c r="R1084" i="45"/>
  <c r="N1084" i="45"/>
  <c r="AN1084" i="45"/>
  <c r="AF1084" i="45"/>
  <c r="X1084" i="45"/>
  <c r="P1084" i="45"/>
  <c r="AS1084" i="45"/>
  <c r="AK1084" i="45"/>
  <c r="AC1084" i="45"/>
  <c r="U1084" i="45"/>
  <c r="M1084" i="45"/>
  <c r="AR1084" i="45"/>
  <c r="AJ1084" i="45"/>
  <c r="AB1084" i="45"/>
  <c r="T1084" i="45"/>
  <c r="L1084" i="45"/>
  <c r="Y1084" i="45"/>
  <c r="Q1084" i="45"/>
  <c r="AO1084" i="45"/>
  <c r="AG1084" i="45"/>
  <c r="H1084" i="45"/>
  <c r="J1084" i="45" s="1"/>
  <c r="B1189" i="45"/>
  <c r="AU1066" i="45"/>
  <c r="AQ1066" i="45"/>
  <c r="AM1066" i="45"/>
  <c r="AI1066" i="45"/>
  <c r="AE1066" i="45"/>
  <c r="AA1066" i="45"/>
  <c r="W1066" i="45"/>
  <c r="S1066" i="45"/>
  <c r="O1066" i="45"/>
  <c r="AT1066" i="45"/>
  <c r="AP1066" i="45"/>
  <c r="AL1066" i="45"/>
  <c r="AH1066" i="45"/>
  <c r="AD1066" i="45"/>
  <c r="Z1066" i="45"/>
  <c r="V1066" i="45"/>
  <c r="R1066" i="45"/>
  <c r="N1066" i="45"/>
  <c r="AN1066" i="45"/>
  <c r="AF1066" i="45"/>
  <c r="X1066" i="45"/>
  <c r="P1066" i="45"/>
  <c r="AS1066" i="45"/>
  <c r="AK1066" i="45"/>
  <c r="AC1066" i="45"/>
  <c r="U1066" i="45"/>
  <c r="M1066" i="45"/>
  <c r="AR1066" i="45"/>
  <c r="AJ1066" i="45"/>
  <c r="AB1066" i="45"/>
  <c r="T1066" i="45"/>
  <c r="L1066" i="45"/>
  <c r="AG1066" i="45"/>
  <c r="Y1066" i="45"/>
  <c r="Q1066" i="45"/>
  <c r="AO1066" i="45"/>
  <c r="H1066" i="45"/>
  <c r="J1066" i="45" s="1"/>
  <c r="B1171" i="45"/>
  <c r="AU1057" i="45"/>
  <c r="AQ1057" i="45"/>
  <c r="AM1057" i="45"/>
  <c r="AI1057" i="45"/>
  <c r="AE1057" i="45"/>
  <c r="AA1057" i="45"/>
  <c r="W1057" i="45"/>
  <c r="S1057" i="45"/>
  <c r="O1057" i="45"/>
  <c r="AT1057" i="45"/>
  <c r="AP1057" i="45"/>
  <c r="AL1057" i="45"/>
  <c r="AH1057" i="45"/>
  <c r="AD1057" i="45"/>
  <c r="Z1057" i="45"/>
  <c r="V1057" i="45"/>
  <c r="R1057" i="45"/>
  <c r="N1057" i="45"/>
  <c r="AR1057" i="45"/>
  <c r="AJ1057" i="45"/>
  <c r="AB1057" i="45"/>
  <c r="T1057" i="45"/>
  <c r="L1057" i="45"/>
  <c r="AO1057" i="45"/>
  <c r="AG1057" i="45"/>
  <c r="Y1057" i="45"/>
  <c r="Q1057" i="45"/>
  <c r="AN1057" i="45"/>
  <c r="AF1057" i="45"/>
  <c r="X1057" i="45"/>
  <c r="P1057" i="45"/>
  <c r="AK1057" i="45"/>
  <c r="AC1057" i="45"/>
  <c r="U1057" i="45"/>
  <c r="AS1057" i="45"/>
  <c r="M1057" i="45"/>
  <c r="H1057" i="45"/>
  <c r="J1057" i="45" s="1"/>
  <c r="B1162" i="45"/>
  <c r="AU1110" i="45"/>
  <c r="AQ1110" i="45"/>
  <c r="AM1110" i="45"/>
  <c r="AI1110" i="45"/>
  <c r="AE1110" i="45"/>
  <c r="AA1110" i="45"/>
  <c r="W1110" i="45"/>
  <c r="S1110" i="45"/>
  <c r="O1110" i="45"/>
  <c r="AT1110" i="45"/>
  <c r="AP1110" i="45"/>
  <c r="AL1110" i="45"/>
  <c r="AH1110" i="45"/>
  <c r="AD1110" i="45"/>
  <c r="Z1110" i="45"/>
  <c r="V1110" i="45"/>
  <c r="R1110" i="45"/>
  <c r="N1110" i="45"/>
  <c r="AN1110" i="45"/>
  <c r="AF1110" i="45"/>
  <c r="X1110" i="45"/>
  <c r="P1110" i="45"/>
  <c r="AS1110" i="45"/>
  <c r="AK1110" i="45"/>
  <c r="AC1110" i="45"/>
  <c r="U1110" i="45"/>
  <c r="M1110" i="45"/>
  <c r="AR1110" i="45"/>
  <c r="AJ1110" i="45"/>
  <c r="AB1110" i="45"/>
  <c r="T1110" i="45"/>
  <c r="L1110" i="45"/>
  <c r="Q1110" i="45"/>
  <c r="AO1110" i="45"/>
  <c r="AG1110" i="45"/>
  <c r="Y1110" i="45"/>
  <c r="H1110" i="45"/>
  <c r="J1110" i="45" s="1"/>
  <c r="B1215" i="45"/>
  <c r="AU1094" i="45"/>
  <c r="AQ1094" i="45"/>
  <c r="AM1094" i="45"/>
  <c r="AI1094" i="45"/>
  <c r="AE1094" i="45"/>
  <c r="AA1094" i="45"/>
  <c r="W1094" i="45"/>
  <c r="S1094" i="45"/>
  <c r="O1094" i="45"/>
  <c r="AT1094" i="45"/>
  <c r="AP1094" i="45"/>
  <c r="AL1094" i="45"/>
  <c r="AH1094" i="45"/>
  <c r="AD1094" i="45"/>
  <c r="Z1094" i="45"/>
  <c r="V1094" i="45"/>
  <c r="R1094" i="45"/>
  <c r="N1094" i="45"/>
  <c r="AN1094" i="45"/>
  <c r="AF1094" i="45"/>
  <c r="X1094" i="45"/>
  <c r="P1094" i="45"/>
  <c r="AS1094" i="45"/>
  <c r="AK1094" i="45"/>
  <c r="AC1094" i="45"/>
  <c r="U1094" i="45"/>
  <c r="M1094" i="45"/>
  <c r="AR1094" i="45"/>
  <c r="AJ1094" i="45"/>
  <c r="AB1094" i="45"/>
  <c r="T1094" i="45"/>
  <c r="L1094" i="45"/>
  <c r="Q1094" i="45"/>
  <c r="AO1094" i="45"/>
  <c r="AG1094" i="45"/>
  <c r="Y1094" i="45"/>
  <c r="B1199" i="45"/>
  <c r="H1094" i="45"/>
  <c r="J1094" i="45" s="1"/>
  <c r="AU1043" i="45"/>
  <c r="AQ1043" i="45"/>
  <c r="AM1043" i="45"/>
  <c r="AI1043" i="45"/>
  <c r="AE1043" i="45"/>
  <c r="AA1043" i="45"/>
  <c r="W1043" i="45"/>
  <c r="S1043" i="45"/>
  <c r="O1043" i="45"/>
  <c r="AT1043" i="45"/>
  <c r="AP1043" i="45"/>
  <c r="AL1043" i="45"/>
  <c r="AH1043" i="45"/>
  <c r="AD1043" i="45"/>
  <c r="Z1043" i="45"/>
  <c r="V1043" i="45"/>
  <c r="R1043" i="45"/>
  <c r="N1043" i="45"/>
  <c r="AR1043" i="45"/>
  <c r="AJ1043" i="45"/>
  <c r="AB1043" i="45"/>
  <c r="T1043" i="45"/>
  <c r="L1043" i="45"/>
  <c r="AO1043" i="45"/>
  <c r="AG1043" i="45"/>
  <c r="Y1043" i="45"/>
  <c r="Q1043" i="45"/>
  <c r="AN1043" i="45"/>
  <c r="AF1043" i="45"/>
  <c r="X1043" i="45"/>
  <c r="P1043" i="45"/>
  <c r="AC1043" i="45"/>
  <c r="U1043" i="45"/>
  <c r="AS1043" i="45"/>
  <c r="M1043" i="45"/>
  <c r="AK1043" i="45"/>
  <c r="B1148" i="45"/>
  <c r="H1043" i="45"/>
  <c r="J1043" i="45" s="1"/>
  <c r="AU1052" i="45"/>
  <c r="AQ1052" i="45"/>
  <c r="AM1052" i="45"/>
  <c r="AI1052" i="45"/>
  <c r="AE1052" i="45"/>
  <c r="AA1052" i="45"/>
  <c r="W1052" i="45"/>
  <c r="S1052" i="45"/>
  <c r="O1052" i="45"/>
  <c r="AT1052" i="45"/>
  <c r="AP1052" i="45"/>
  <c r="AL1052" i="45"/>
  <c r="AH1052" i="45"/>
  <c r="AD1052" i="45"/>
  <c r="Z1052" i="45"/>
  <c r="V1052" i="45"/>
  <c r="R1052" i="45"/>
  <c r="N1052" i="45"/>
  <c r="AN1052" i="45"/>
  <c r="AF1052" i="45"/>
  <c r="X1052" i="45"/>
  <c r="P1052" i="45"/>
  <c r="AS1052" i="45"/>
  <c r="AK1052" i="45"/>
  <c r="AC1052" i="45"/>
  <c r="U1052" i="45"/>
  <c r="M1052" i="45"/>
  <c r="AR1052" i="45"/>
  <c r="AJ1052" i="45"/>
  <c r="AB1052" i="45"/>
  <c r="T1052" i="45"/>
  <c r="L1052" i="45"/>
  <c r="Y1052" i="45"/>
  <c r="Q1052" i="45"/>
  <c r="AO1052" i="45"/>
  <c r="AG1052" i="45"/>
  <c r="H1052" i="45"/>
  <c r="J1052" i="45" s="1"/>
  <c r="B1157" i="45"/>
  <c r="AU1055" i="45"/>
  <c r="AQ1055" i="45"/>
  <c r="AM1055" i="45"/>
  <c r="AI1055" i="45"/>
  <c r="AE1055" i="45"/>
  <c r="AA1055" i="45"/>
  <c r="W1055" i="45"/>
  <c r="S1055" i="45"/>
  <c r="O1055" i="45"/>
  <c r="AT1055" i="45"/>
  <c r="AP1055" i="45"/>
  <c r="AL1055" i="45"/>
  <c r="AH1055" i="45"/>
  <c r="AD1055" i="45"/>
  <c r="Z1055" i="45"/>
  <c r="V1055" i="45"/>
  <c r="R1055" i="45"/>
  <c r="N1055" i="45"/>
  <c r="AR1055" i="45"/>
  <c r="AJ1055" i="45"/>
  <c r="AB1055" i="45"/>
  <c r="T1055" i="45"/>
  <c r="L1055" i="45"/>
  <c r="AO1055" i="45"/>
  <c r="AG1055" i="45"/>
  <c r="Y1055" i="45"/>
  <c r="Q1055" i="45"/>
  <c r="AN1055" i="45"/>
  <c r="AF1055" i="45"/>
  <c r="X1055" i="45"/>
  <c r="P1055" i="45"/>
  <c r="AS1055" i="45"/>
  <c r="M1055" i="45"/>
  <c r="AK1055" i="45"/>
  <c r="AC1055" i="45"/>
  <c r="U1055" i="45"/>
  <c r="B1160" i="45"/>
  <c r="H1055" i="45"/>
  <c r="J1055" i="45" s="1"/>
  <c r="AU1076" i="45"/>
  <c r="AQ1076" i="45"/>
  <c r="AM1076" i="45"/>
  <c r="AI1076" i="45"/>
  <c r="AE1076" i="45"/>
  <c r="AA1076" i="45"/>
  <c r="W1076" i="45"/>
  <c r="S1076" i="45"/>
  <c r="O1076" i="45"/>
  <c r="AT1076" i="45"/>
  <c r="AP1076" i="45"/>
  <c r="AL1076" i="45"/>
  <c r="AH1076" i="45"/>
  <c r="AD1076" i="45"/>
  <c r="Z1076" i="45"/>
  <c r="V1076" i="45"/>
  <c r="R1076" i="45"/>
  <c r="N1076" i="45"/>
  <c r="AN1076" i="45"/>
  <c r="AF1076" i="45"/>
  <c r="X1076" i="45"/>
  <c r="P1076" i="45"/>
  <c r="AS1076" i="45"/>
  <c r="AK1076" i="45"/>
  <c r="AC1076" i="45"/>
  <c r="U1076" i="45"/>
  <c r="M1076" i="45"/>
  <c r="AR1076" i="45"/>
  <c r="AJ1076" i="45"/>
  <c r="AB1076" i="45"/>
  <c r="T1076" i="45"/>
  <c r="L1076" i="45"/>
  <c r="Y1076" i="45"/>
  <c r="Q1076" i="45"/>
  <c r="AO1076" i="45"/>
  <c r="AG1076" i="45"/>
  <c r="B1181" i="45"/>
  <c r="H1076" i="45"/>
  <c r="J1076" i="45" s="1"/>
  <c r="AU1090" i="45"/>
  <c r="AQ1090" i="45"/>
  <c r="AM1090" i="45"/>
  <c r="AI1090" i="45"/>
  <c r="AE1090" i="45"/>
  <c r="AA1090" i="45"/>
  <c r="W1090" i="45"/>
  <c r="S1090" i="45"/>
  <c r="O1090" i="45"/>
  <c r="AT1090" i="45"/>
  <c r="AP1090" i="45"/>
  <c r="AL1090" i="45"/>
  <c r="AH1090" i="45"/>
  <c r="AD1090" i="45"/>
  <c r="Z1090" i="45"/>
  <c r="V1090" i="45"/>
  <c r="R1090" i="45"/>
  <c r="N1090" i="45"/>
  <c r="AN1090" i="45"/>
  <c r="AF1090" i="45"/>
  <c r="X1090" i="45"/>
  <c r="P1090" i="45"/>
  <c r="AS1090" i="45"/>
  <c r="AK1090" i="45"/>
  <c r="AC1090" i="45"/>
  <c r="U1090" i="45"/>
  <c r="M1090" i="45"/>
  <c r="AR1090" i="45"/>
  <c r="AJ1090" i="45"/>
  <c r="AB1090" i="45"/>
  <c r="T1090" i="45"/>
  <c r="L1090" i="45"/>
  <c r="AG1090" i="45"/>
  <c r="Y1090" i="45"/>
  <c r="Q1090" i="45"/>
  <c r="AO1090" i="45"/>
  <c r="H1090" i="45"/>
  <c r="J1090" i="45" s="1"/>
  <c r="B1195" i="45"/>
  <c r="AU1070" i="45"/>
  <c r="AQ1070" i="45"/>
  <c r="AM1070" i="45"/>
  <c r="AI1070" i="45"/>
  <c r="AE1070" i="45"/>
  <c r="AA1070" i="45"/>
  <c r="W1070" i="45"/>
  <c r="S1070" i="45"/>
  <c r="O1070" i="45"/>
  <c r="AT1070" i="45"/>
  <c r="AP1070" i="45"/>
  <c r="AL1070" i="45"/>
  <c r="AH1070" i="45"/>
  <c r="AD1070" i="45"/>
  <c r="Z1070" i="45"/>
  <c r="V1070" i="45"/>
  <c r="R1070" i="45"/>
  <c r="N1070" i="45"/>
  <c r="AN1070" i="45"/>
  <c r="AF1070" i="45"/>
  <c r="X1070" i="45"/>
  <c r="P1070" i="45"/>
  <c r="AS1070" i="45"/>
  <c r="AK1070" i="45"/>
  <c r="AC1070" i="45"/>
  <c r="U1070" i="45"/>
  <c r="M1070" i="45"/>
  <c r="AR1070" i="45"/>
  <c r="AJ1070" i="45"/>
  <c r="AB1070" i="45"/>
  <c r="T1070" i="45"/>
  <c r="L1070" i="45"/>
  <c r="Q1070" i="45"/>
  <c r="AO1070" i="45"/>
  <c r="AG1070" i="45"/>
  <c r="Y1070" i="45"/>
  <c r="B1175" i="45"/>
  <c r="H1070" i="45"/>
  <c r="J1070" i="45" s="1"/>
  <c r="AR1219" i="45"/>
  <c r="AN1219" i="45"/>
  <c r="AJ1219" i="45"/>
  <c r="AF1219" i="45"/>
  <c r="AB1219" i="45"/>
  <c r="X1219" i="45"/>
  <c r="T1219" i="45"/>
  <c r="P1219" i="45"/>
  <c r="L1219" i="45"/>
  <c r="AU1219" i="45"/>
  <c r="AQ1219" i="45"/>
  <c r="AM1219" i="45"/>
  <c r="AI1219" i="45"/>
  <c r="AE1219" i="45"/>
  <c r="AA1219" i="45"/>
  <c r="W1219" i="45"/>
  <c r="S1219" i="45"/>
  <c r="O1219" i="45"/>
  <c r="AT1219" i="45"/>
  <c r="AP1219" i="45"/>
  <c r="AL1219" i="45"/>
  <c r="AH1219" i="45"/>
  <c r="AD1219" i="45"/>
  <c r="Z1219" i="45"/>
  <c r="V1219" i="45"/>
  <c r="R1219" i="45"/>
  <c r="N1219" i="45"/>
  <c r="AG1219" i="45"/>
  <c r="Q1219" i="45"/>
  <c r="AS1219" i="45"/>
  <c r="AC1219" i="45"/>
  <c r="M1219" i="45"/>
  <c r="AO1219" i="45"/>
  <c r="Y1219" i="45"/>
  <c r="AK1219" i="45"/>
  <c r="U1219" i="45"/>
  <c r="H1219" i="45"/>
  <c r="J1219" i="45" s="1"/>
  <c r="B1324" i="45"/>
  <c r="AR1224" i="45"/>
  <c r="AN1224" i="45"/>
  <c r="AJ1224" i="45"/>
  <c r="AF1224" i="45"/>
  <c r="AB1224" i="45"/>
  <c r="X1224" i="45"/>
  <c r="T1224" i="45"/>
  <c r="P1224" i="45"/>
  <c r="L1224" i="45"/>
  <c r="AU1224" i="45"/>
  <c r="AQ1224" i="45"/>
  <c r="AM1224" i="45"/>
  <c r="AI1224" i="45"/>
  <c r="AE1224" i="45"/>
  <c r="AA1224" i="45"/>
  <c r="W1224" i="45"/>
  <c r="S1224" i="45"/>
  <c r="O1224" i="45"/>
  <c r="AT1224" i="45"/>
  <c r="AP1224" i="45"/>
  <c r="AL1224" i="45"/>
  <c r="AH1224" i="45"/>
  <c r="AD1224" i="45"/>
  <c r="Z1224" i="45"/>
  <c r="V1224" i="45"/>
  <c r="R1224" i="45"/>
  <c r="N1224" i="45"/>
  <c r="AS1224" i="45"/>
  <c r="AC1224" i="45"/>
  <c r="M1224" i="45"/>
  <c r="AO1224" i="45"/>
  <c r="Y1224" i="45"/>
  <c r="AK1224" i="45"/>
  <c r="U1224" i="45"/>
  <c r="AG1224" i="45"/>
  <c r="Q1224" i="45"/>
  <c r="B1329" i="45"/>
  <c r="H1224" i="45"/>
  <c r="J1224" i="45" s="1"/>
  <c r="AU1074" i="45"/>
  <c r="AQ1074" i="45"/>
  <c r="AM1074" i="45"/>
  <c r="AI1074" i="45"/>
  <c r="AE1074" i="45"/>
  <c r="AA1074" i="45"/>
  <c r="W1074" i="45"/>
  <c r="S1074" i="45"/>
  <c r="O1074" i="45"/>
  <c r="AT1074" i="45"/>
  <c r="AP1074" i="45"/>
  <c r="AL1074" i="45"/>
  <c r="AH1074" i="45"/>
  <c r="AD1074" i="45"/>
  <c r="Z1074" i="45"/>
  <c r="V1074" i="45"/>
  <c r="R1074" i="45"/>
  <c r="N1074" i="45"/>
  <c r="AN1074" i="45"/>
  <c r="AF1074" i="45"/>
  <c r="X1074" i="45"/>
  <c r="P1074" i="45"/>
  <c r="AS1074" i="45"/>
  <c r="AK1074" i="45"/>
  <c r="AC1074" i="45"/>
  <c r="U1074" i="45"/>
  <c r="M1074" i="45"/>
  <c r="AR1074" i="45"/>
  <c r="AJ1074" i="45"/>
  <c r="AB1074" i="45"/>
  <c r="T1074" i="45"/>
  <c r="L1074" i="45"/>
  <c r="AG1074" i="45"/>
  <c r="Y1074" i="45"/>
  <c r="Q1074" i="45"/>
  <c r="AO1074" i="45"/>
  <c r="H1074" i="45"/>
  <c r="J1074" i="45" s="1"/>
  <c r="B1179" i="45"/>
  <c r="AU1073" i="45"/>
  <c r="AQ1073" i="45"/>
  <c r="AM1073" i="45"/>
  <c r="AI1073" i="45"/>
  <c r="AE1073" i="45"/>
  <c r="AA1073" i="45"/>
  <c r="W1073" i="45"/>
  <c r="S1073" i="45"/>
  <c r="O1073" i="45"/>
  <c r="AT1073" i="45"/>
  <c r="AP1073" i="45"/>
  <c r="AL1073" i="45"/>
  <c r="AH1073" i="45"/>
  <c r="AD1073" i="45"/>
  <c r="Z1073" i="45"/>
  <c r="V1073" i="45"/>
  <c r="R1073" i="45"/>
  <c r="N1073" i="45"/>
  <c r="AR1073" i="45"/>
  <c r="AJ1073" i="45"/>
  <c r="AB1073" i="45"/>
  <c r="T1073" i="45"/>
  <c r="L1073" i="45"/>
  <c r="AO1073" i="45"/>
  <c r="AG1073" i="45"/>
  <c r="Y1073" i="45"/>
  <c r="Q1073" i="45"/>
  <c r="AN1073" i="45"/>
  <c r="AF1073" i="45"/>
  <c r="X1073" i="45"/>
  <c r="P1073" i="45"/>
  <c r="AK1073" i="45"/>
  <c r="AC1073" i="45"/>
  <c r="U1073" i="45"/>
  <c r="AS1073" i="45"/>
  <c r="M1073" i="45"/>
  <c r="B1178" i="45"/>
  <c r="H1073" i="45"/>
  <c r="J1073" i="45" s="1"/>
  <c r="AU1046" i="45"/>
  <c r="AQ1046" i="45"/>
  <c r="AM1046" i="45"/>
  <c r="AI1046" i="45"/>
  <c r="AE1046" i="45"/>
  <c r="AA1046" i="45"/>
  <c r="W1046" i="45"/>
  <c r="S1046" i="45"/>
  <c r="O1046" i="45"/>
  <c r="AT1046" i="45"/>
  <c r="AP1046" i="45"/>
  <c r="AL1046" i="45"/>
  <c r="AH1046" i="45"/>
  <c r="AD1046" i="45"/>
  <c r="Z1046" i="45"/>
  <c r="V1046" i="45"/>
  <c r="R1046" i="45"/>
  <c r="N1046" i="45"/>
  <c r="AN1046" i="45"/>
  <c r="AF1046" i="45"/>
  <c r="X1046" i="45"/>
  <c r="P1046" i="45"/>
  <c r="AS1046" i="45"/>
  <c r="AK1046" i="45"/>
  <c r="AC1046" i="45"/>
  <c r="U1046" i="45"/>
  <c r="M1046" i="45"/>
  <c r="AR1046" i="45"/>
  <c r="AJ1046" i="45"/>
  <c r="AB1046" i="45"/>
  <c r="T1046" i="45"/>
  <c r="L1046" i="45"/>
  <c r="Q1046" i="45"/>
  <c r="AO1046" i="45"/>
  <c r="AG1046" i="45"/>
  <c r="Y1046" i="45"/>
  <c r="B1151" i="45"/>
  <c r="H1046" i="45"/>
  <c r="J1046" i="45" s="1"/>
  <c r="AU1058" i="45"/>
  <c r="AQ1058" i="45"/>
  <c r="AM1058" i="45"/>
  <c r="AI1058" i="45"/>
  <c r="AE1058" i="45"/>
  <c r="AA1058" i="45"/>
  <c r="W1058" i="45"/>
  <c r="S1058" i="45"/>
  <c r="O1058" i="45"/>
  <c r="AT1058" i="45"/>
  <c r="AP1058" i="45"/>
  <c r="AL1058" i="45"/>
  <c r="AH1058" i="45"/>
  <c r="AD1058" i="45"/>
  <c r="Z1058" i="45"/>
  <c r="V1058" i="45"/>
  <c r="R1058" i="45"/>
  <c r="N1058" i="45"/>
  <c r="AN1058" i="45"/>
  <c r="AF1058" i="45"/>
  <c r="X1058" i="45"/>
  <c r="P1058" i="45"/>
  <c r="AS1058" i="45"/>
  <c r="AK1058" i="45"/>
  <c r="AC1058" i="45"/>
  <c r="U1058" i="45"/>
  <c r="M1058" i="45"/>
  <c r="AR1058" i="45"/>
  <c r="AJ1058" i="45"/>
  <c r="AB1058" i="45"/>
  <c r="T1058" i="45"/>
  <c r="L1058" i="45"/>
  <c r="AG1058" i="45"/>
  <c r="Y1058" i="45"/>
  <c r="Q1058" i="45"/>
  <c r="AO1058" i="45"/>
  <c r="H1058" i="45"/>
  <c r="J1058" i="45" s="1"/>
  <c r="B1163" i="45"/>
  <c r="AU1029" i="45"/>
  <c r="AQ1029" i="45"/>
  <c r="AM1029" i="45"/>
  <c r="AI1029" i="45"/>
  <c r="AE1029" i="45"/>
  <c r="AA1029" i="45"/>
  <c r="W1029" i="45"/>
  <c r="S1029" i="45"/>
  <c r="O1029" i="45"/>
  <c r="AT1029" i="45"/>
  <c r="AP1029" i="45"/>
  <c r="AL1029" i="45"/>
  <c r="AH1029" i="45"/>
  <c r="AD1029" i="45"/>
  <c r="Z1029" i="45"/>
  <c r="V1029" i="45"/>
  <c r="R1029" i="45"/>
  <c r="N1029" i="45"/>
  <c r="AR1029" i="45"/>
  <c r="AJ1029" i="45"/>
  <c r="AB1029" i="45"/>
  <c r="T1029" i="45"/>
  <c r="L1029" i="45"/>
  <c r="AO1029" i="45"/>
  <c r="AG1029" i="45"/>
  <c r="Y1029" i="45"/>
  <c r="Q1029" i="45"/>
  <c r="AN1029" i="45"/>
  <c r="AF1029" i="45"/>
  <c r="X1029" i="45"/>
  <c r="P1029" i="45"/>
  <c r="U1029" i="45"/>
  <c r="AS1029" i="45"/>
  <c r="M1029" i="45"/>
  <c r="AK1029" i="45"/>
  <c r="AC1029" i="45"/>
  <c r="H1029" i="45"/>
  <c r="J1029" i="45" s="1"/>
  <c r="B1134" i="45"/>
  <c r="AU1100" i="45"/>
  <c r="AQ1100" i="45"/>
  <c r="AM1100" i="45"/>
  <c r="AI1100" i="45"/>
  <c r="AE1100" i="45"/>
  <c r="AA1100" i="45"/>
  <c r="W1100" i="45"/>
  <c r="S1100" i="45"/>
  <c r="O1100" i="45"/>
  <c r="AT1100" i="45"/>
  <c r="AP1100" i="45"/>
  <c r="AL1100" i="45"/>
  <c r="AH1100" i="45"/>
  <c r="AD1100" i="45"/>
  <c r="Z1100" i="45"/>
  <c r="V1100" i="45"/>
  <c r="R1100" i="45"/>
  <c r="N1100" i="45"/>
  <c r="AN1100" i="45"/>
  <c r="AF1100" i="45"/>
  <c r="X1100" i="45"/>
  <c r="P1100" i="45"/>
  <c r="AS1100" i="45"/>
  <c r="AK1100" i="45"/>
  <c r="AC1100" i="45"/>
  <c r="U1100" i="45"/>
  <c r="M1100" i="45"/>
  <c r="AR1100" i="45"/>
  <c r="AJ1100" i="45"/>
  <c r="AB1100" i="45"/>
  <c r="T1100" i="45"/>
  <c r="L1100" i="45"/>
  <c r="Y1100" i="45"/>
  <c r="Q1100" i="45"/>
  <c r="AO1100" i="45"/>
  <c r="AG1100" i="45"/>
  <c r="B1205" i="45"/>
  <c r="H1100" i="45"/>
  <c r="J1100" i="45" s="1"/>
  <c r="AU1065" i="45"/>
  <c r="AQ1065" i="45"/>
  <c r="AM1065" i="45"/>
  <c r="AI1065" i="45"/>
  <c r="AE1065" i="45"/>
  <c r="AA1065" i="45"/>
  <c r="W1065" i="45"/>
  <c r="S1065" i="45"/>
  <c r="O1065" i="45"/>
  <c r="AT1065" i="45"/>
  <c r="AP1065" i="45"/>
  <c r="AL1065" i="45"/>
  <c r="AH1065" i="45"/>
  <c r="AD1065" i="45"/>
  <c r="Z1065" i="45"/>
  <c r="V1065" i="45"/>
  <c r="R1065" i="45"/>
  <c r="N1065" i="45"/>
  <c r="AR1065" i="45"/>
  <c r="AJ1065" i="45"/>
  <c r="AB1065" i="45"/>
  <c r="T1065" i="45"/>
  <c r="L1065" i="45"/>
  <c r="AO1065" i="45"/>
  <c r="AG1065" i="45"/>
  <c r="Y1065" i="45"/>
  <c r="Q1065" i="45"/>
  <c r="AN1065" i="45"/>
  <c r="AF1065" i="45"/>
  <c r="X1065" i="45"/>
  <c r="P1065" i="45"/>
  <c r="AK1065" i="45"/>
  <c r="AC1065" i="45"/>
  <c r="U1065" i="45"/>
  <c r="AS1065" i="45"/>
  <c r="M1065" i="45"/>
  <c r="B1170" i="45"/>
  <c r="H1065" i="45"/>
  <c r="J1065" i="45" s="1"/>
  <c r="AU1059" i="45"/>
  <c r="AQ1059" i="45"/>
  <c r="AM1059" i="45"/>
  <c r="AI1059" i="45"/>
  <c r="AE1059" i="45"/>
  <c r="AA1059" i="45"/>
  <c r="W1059" i="45"/>
  <c r="S1059" i="45"/>
  <c r="O1059" i="45"/>
  <c r="AT1059" i="45"/>
  <c r="AP1059" i="45"/>
  <c r="AL1059" i="45"/>
  <c r="AH1059" i="45"/>
  <c r="AD1059" i="45"/>
  <c r="Z1059" i="45"/>
  <c r="V1059" i="45"/>
  <c r="R1059" i="45"/>
  <c r="N1059" i="45"/>
  <c r="AR1059" i="45"/>
  <c r="AJ1059" i="45"/>
  <c r="AB1059" i="45"/>
  <c r="T1059" i="45"/>
  <c r="L1059" i="45"/>
  <c r="AO1059" i="45"/>
  <c r="AG1059" i="45"/>
  <c r="Y1059" i="45"/>
  <c r="Q1059" i="45"/>
  <c r="AN1059" i="45"/>
  <c r="AF1059" i="45"/>
  <c r="X1059" i="45"/>
  <c r="P1059" i="45"/>
  <c r="AC1059" i="45"/>
  <c r="U1059" i="45"/>
  <c r="AS1059" i="45"/>
  <c r="M1059" i="45"/>
  <c r="AK1059" i="45"/>
  <c r="B1164" i="45"/>
  <c r="H1059" i="45"/>
  <c r="J1059" i="45" s="1"/>
  <c r="AR1220" i="45"/>
  <c r="AN1220" i="45"/>
  <c r="AJ1220" i="45"/>
  <c r="AF1220" i="45"/>
  <c r="AB1220" i="45"/>
  <c r="X1220" i="45"/>
  <c r="T1220" i="45"/>
  <c r="P1220" i="45"/>
  <c r="L1220" i="45"/>
  <c r="AU1220" i="45"/>
  <c r="AQ1220" i="45"/>
  <c r="AM1220" i="45"/>
  <c r="AI1220" i="45"/>
  <c r="AE1220" i="45"/>
  <c r="AA1220" i="45"/>
  <c r="W1220" i="45"/>
  <c r="S1220" i="45"/>
  <c r="O1220" i="45"/>
  <c r="AT1220" i="45"/>
  <c r="AP1220" i="45"/>
  <c r="AL1220" i="45"/>
  <c r="AH1220" i="45"/>
  <c r="AD1220" i="45"/>
  <c r="Z1220" i="45"/>
  <c r="V1220" i="45"/>
  <c r="R1220" i="45"/>
  <c r="N1220" i="45"/>
  <c r="AS1220" i="45"/>
  <c r="AC1220" i="45"/>
  <c r="M1220" i="45"/>
  <c r="AO1220" i="45"/>
  <c r="Y1220" i="45"/>
  <c r="AK1220" i="45"/>
  <c r="U1220" i="45"/>
  <c r="Q1220" i="45"/>
  <c r="AG1220" i="45"/>
  <c r="B1325" i="45"/>
  <c r="H1220" i="45"/>
  <c r="J1220" i="45" s="1"/>
  <c r="AR1229" i="45"/>
  <c r="AN1229" i="45"/>
  <c r="AJ1229" i="45"/>
  <c r="AF1229" i="45"/>
  <c r="AB1229" i="45"/>
  <c r="X1229" i="45"/>
  <c r="T1229" i="45"/>
  <c r="P1229" i="45"/>
  <c r="L1229" i="45"/>
  <c r="AU1229" i="45"/>
  <c r="AQ1229" i="45"/>
  <c r="AM1229" i="45"/>
  <c r="AI1229" i="45"/>
  <c r="AE1229" i="45"/>
  <c r="AA1229" i="45"/>
  <c r="W1229" i="45"/>
  <c r="S1229" i="45"/>
  <c r="O1229" i="45"/>
  <c r="AT1229" i="45"/>
  <c r="AP1229" i="45"/>
  <c r="AL1229" i="45"/>
  <c r="AH1229" i="45"/>
  <c r="AD1229" i="45"/>
  <c r="Z1229" i="45"/>
  <c r="V1229" i="45"/>
  <c r="R1229" i="45"/>
  <c r="N1229" i="45"/>
  <c r="AO1229" i="45"/>
  <c r="Y1229" i="45"/>
  <c r="AK1229" i="45"/>
  <c r="U1229" i="45"/>
  <c r="AG1229" i="45"/>
  <c r="Q1229" i="45"/>
  <c r="M1229" i="45"/>
  <c r="AS1229" i="45"/>
  <c r="AC1229" i="45"/>
  <c r="H1229" i="45"/>
  <c r="J1229" i="45" s="1"/>
  <c r="B1334" i="45"/>
  <c r="AR1125" i="45"/>
  <c r="AN1125" i="45"/>
  <c r="AJ1125" i="45"/>
  <c r="AF1125" i="45"/>
  <c r="AB1125" i="45"/>
  <c r="X1125" i="45"/>
  <c r="T1125" i="45"/>
  <c r="P1125" i="45"/>
  <c r="L1125" i="45"/>
  <c r="AT1125" i="45"/>
  <c r="AP1125" i="45"/>
  <c r="AL1125" i="45"/>
  <c r="AH1125" i="45"/>
  <c r="AD1125" i="45"/>
  <c r="Z1125" i="45"/>
  <c r="V1125" i="45"/>
  <c r="R1125" i="45"/>
  <c r="N1125" i="45"/>
  <c r="AS1125" i="45"/>
  <c r="AK1125" i="45"/>
  <c r="AC1125" i="45"/>
  <c r="U1125" i="45"/>
  <c r="M1125" i="45"/>
  <c r="AO1125" i="45"/>
  <c r="AG1125" i="45"/>
  <c r="Y1125" i="45"/>
  <c r="Q1125" i="45"/>
  <c r="AM1125" i="45"/>
  <c r="W1125" i="45"/>
  <c r="AI1125" i="45"/>
  <c r="S1125" i="45"/>
  <c r="AU1125" i="45"/>
  <c r="AE1125" i="45"/>
  <c r="O1125" i="45"/>
  <c r="AQ1125" i="45"/>
  <c r="AA1125" i="45"/>
  <c r="H1125" i="45"/>
  <c r="B1230" i="45"/>
  <c r="AR1231" i="45"/>
  <c r="AN1231" i="45"/>
  <c r="AJ1231" i="45"/>
  <c r="AF1231" i="45"/>
  <c r="AB1231" i="45"/>
  <c r="X1231" i="45"/>
  <c r="T1231" i="45"/>
  <c r="P1231" i="45"/>
  <c r="L1231" i="45"/>
  <c r="AT1231" i="45"/>
  <c r="AP1231" i="45"/>
  <c r="AL1231" i="45"/>
  <c r="AH1231" i="45"/>
  <c r="AD1231" i="45"/>
  <c r="Z1231" i="45"/>
  <c r="V1231" i="45"/>
  <c r="R1231" i="45"/>
  <c r="N1231" i="45"/>
  <c r="AO1231" i="45"/>
  <c r="AG1231" i="45"/>
  <c r="Y1231" i="45"/>
  <c r="Q1231" i="45"/>
  <c r="AU1231" i="45"/>
  <c r="AM1231" i="45"/>
  <c r="AE1231" i="45"/>
  <c r="W1231" i="45"/>
  <c r="O1231" i="45"/>
  <c r="AS1231" i="45"/>
  <c r="AK1231" i="45"/>
  <c r="AC1231" i="45"/>
  <c r="U1231" i="45"/>
  <c r="M1231" i="45"/>
  <c r="AQ1231" i="45"/>
  <c r="AI1231" i="45"/>
  <c r="AA1231" i="45"/>
  <c r="S1231" i="45"/>
  <c r="H1231" i="45"/>
  <c r="J1231" i="45" s="1"/>
  <c r="B1336" i="45"/>
  <c r="X227" i="45"/>
  <c r="N200" i="50"/>
  <c r="V8" i="45"/>
  <c r="V12" i="45" s="1"/>
  <c r="X201" i="45"/>
  <c r="BM6" i="44"/>
  <c r="Y199" i="45"/>
  <c r="Z189" i="45"/>
  <c r="X207" i="45"/>
  <c r="Y206" i="45"/>
  <c r="X209" i="45"/>
  <c r="Z217" i="45"/>
  <c r="AQ205" i="45"/>
  <c r="AB197" i="45"/>
  <c r="X195" i="45"/>
  <c r="Z279" i="45"/>
  <c r="X273" i="45"/>
  <c r="Y274" i="45"/>
  <c r="Y266" i="45"/>
  <c r="Y276" i="45"/>
  <c r="AF268" i="45"/>
  <c r="X272" i="45"/>
  <c r="X275" i="45"/>
  <c r="X271" i="45"/>
  <c r="Y277" i="45"/>
  <c r="Z278" i="45"/>
  <c r="AE270" i="45"/>
  <c r="Y262" i="45"/>
  <c r="Y264" i="45"/>
  <c r="X263" i="45"/>
  <c r="Z234" i="45"/>
  <c r="Z238" i="45"/>
  <c r="AA258" i="45"/>
  <c r="Y246" i="45"/>
  <c r="AA250" i="45"/>
  <c r="AL254" i="45"/>
  <c r="Z242" i="45"/>
  <c r="AI243" i="45"/>
  <c r="Y186" i="45"/>
  <c r="Y257" i="45"/>
  <c r="Z204" i="45"/>
  <c r="Y259" i="45"/>
  <c r="Y261" i="45"/>
  <c r="Y229" i="45"/>
  <c r="Y219" i="45"/>
  <c r="Y252" i="45"/>
  <c r="Y211" i="45"/>
  <c r="Y249" i="45"/>
  <c r="Z208" i="45"/>
  <c r="Y244" i="45"/>
  <c r="Y226" i="45"/>
  <c r="Y194" i="45"/>
  <c r="AD253" i="45"/>
  <c r="AA193" i="45"/>
  <c r="Y256" i="45"/>
  <c r="Y215" i="45"/>
  <c r="Y260" i="45"/>
  <c r="Y190" i="45"/>
  <c r="Y225" i="45"/>
  <c r="Y214" i="45"/>
  <c r="Y222" i="45"/>
  <c r="X203" i="45"/>
  <c r="Y223" i="45"/>
  <c r="Y213" i="45"/>
  <c r="Y230" i="45"/>
  <c r="Z216" i="45"/>
  <c r="Y236" i="45"/>
  <c r="Y187" i="45"/>
  <c r="Z220" i="45"/>
  <c r="Y210" i="45"/>
  <c r="Y200" i="45"/>
  <c r="Y233" i="45"/>
  <c r="Y212" i="45"/>
  <c r="Y232" i="45"/>
  <c r="Y248" i="45"/>
  <c r="Y255" i="45"/>
  <c r="Y239" i="45"/>
  <c r="Y192" i="45"/>
  <c r="Y224" i="45"/>
  <c r="Y196" i="45"/>
  <c r="Z231" i="45"/>
  <c r="Y237" i="45"/>
  <c r="Y245" i="45"/>
  <c r="Y198" i="45"/>
  <c r="Z191" i="45"/>
  <c r="X221" i="45"/>
  <c r="X218" i="45"/>
  <c r="AQ19" i="50"/>
  <c r="AQ23" i="50"/>
  <c r="AQ17" i="50"/>
  <c r="AQ20" i="50"/>
  <c r="AQ13" i="50"/>
  <c r="AQ27" i="50"/>
  <c r="AQ14" i="50"/>
  <c r="AQ26" i="50"/>
  <c r="AQ15" i="50"/>
  <c r="AQ16" i="50"/>
  <c r="S3" i="45"/>
  <c r="BM9" i="44" a="1"/>
  <c r="AI83" i="2" l="1"/>
  <c r="AI90" i="2"/>
  <c r="AD96" i="2"/>
  <c r="AD93" i="2"/>
  <c r="AD94" i="2" s="1"/>
  <c r="Z90" i="2"/>
  <c r="Z83" i="2"/>
  <c r="AJ93" i="2"/>
  <c r="AJ94" i="2" s="1"/>
  <c r="AJ96" i="2"/>
  <c r="AH93" i="2"/>
  <c r="AH94" i="2" s="1"/>
  <c r="AH96" i="2"/>
  <c r="AH193" i="3"/>
  <c r="AH186" i="3"/>
  <c r="AA83" i="2"/>
  <c r="AA90" i="2"/>
  <c r="AE90" i="2"/>
  <c r="AE83" i="2"/>
  <c r="AB186" i="3"/>
  <c r="AB193" i="3"/>
  <c r="AE193" i="3"/>
  <c r="AE186" i="3"/>
  <c r="AB90" i="2"/>
  <c r="AB83" i="2"/>
  <c r="AC83" i="2"/>
  <c r="AC90" i="2"/>
  <c r="AA193" i="3"/>
  <c r="AA186" i="3"/>
  <c r="AK193" i="3"/>
  <c r="AK186" i="3"/>
  <c r="AF90" i="2"/>
  <c r="AF83" i="2"/>
  <c r="AK83" i="2"/>
  <c r="AK90" i="2"/>
  <c r="BM9" i="44"/>
  <c r="AL96" i="2"/>
  <c r="AL93" i="2"/>
  <c r="AL94" i="2" s="1"/>
  <c r="AG196" i="3"/>
  <c r="AG197" i="3" s="1"/>
  <c r="AG199" i="3"/>
  <c r="AF196" i="3"/>
  <c r="AF197" i="3" s="1"/>
  <c r="AF199" i="3"/>
  <c r="AL196" i="3"/>
  <c r="AL197" i="3" s="1"/>
  <c r="AL199" i="3"/>
  <c r="AC196" i="3"/>
  <c r="AC197" i="3" s="1"/>
  <c r="AC199" i="3"/>
  <c r="AD196" i="3"/>
  <c r="AD197" i="3" s="1"/>
  <c r="AD199" i="3"/>
  <c r="Y1026" i="45"/>
  <c r="U1026" i="45"/>
  <c r="P1026" i="45"/>
  <c r="N1026" i="45"/>
  <c r="Y396" i="45"/>
  <c r="Y711" i="45"/>
  <c r="X1026" i="45"/>
  <c r="R1026" i="45"/>
  <c r="O1026" i="45"/>
  <c r="X921" i="45"/>
  <c r="AT1334" i="45"/>
  <c r="AP1334" i="45"/>
  <c r="AL1334" i="45"/>
  <c r="AH1334" i="45"/>
  <c r="AD1334" i="45"/>
  <c r="Z1334" i="45"/>
  <c r="V1334" i="45"/>
  <c r="R1334" i="45"/>
  <c r="N1334" i="45"/>
  <c r="AS1334" i="45"/>
  <c r="AO1334" i="45"/>
  <c r="AK1334" i="45"/>
  <c r="AG1334" i="45"/>
  <c r="AC1334" i="45"/>
  <c r="Y1334" i="45"/>
  <c r="U1334" i="45"/>
  <c r="Q1334" i="45"/>
  <c r="M1334" i="45"/>
  <c r="AR1334" i="45"/>
  <c r="AN1334" i="45"/>
  <c r="AJ1334" i="45"/>
  <c r="AF1334" i="45"/>
  <c r="AB1334" i="45"/>
  <c r="X1334" i="45"/>
  <c r="T1334" i="45"/>
  <c r="P1334" i="45"/>
  <c r="L1334" i="45"/>
  <c r="AM1334" i="45"/>
  <c r="W1334" i="45"/>
  <c r="AI1334" i="45"/>
  <c r="S1334" i="45"/>
  <c r="AU1334" i="45"/>
  <c r="AE1334" i="45"/>
  <c r="O1334" i="45"/>
  <c r="AA1334" i="45"/>
  <c r="AQ1334" i="45"/>
  <c r="B1439" i="45"/>
  <c r="H1334" i="45"/>
  <c r="J1334" i="45" s="1"/>
  <c r="AR1163" i="45"/>
  <c r="AN1163" i="45"/>
  <c r="AJ1163" i="45"/>
  <c r="AF1163" i="45"/>
  <c r="AB1163" i="45"/>
  <c r="X1163" i="45"/>
  <c r="T1163" i="45"/>
  <c r="P1163" i="45"/>
  <c r="L1163" i="45"/>
  <c r="AU1163" i="45"/>
  <c r="AQ1163" i="45"/>
  <c r="AM1163" i="45"/>
  <c r="AI1163" i="45"/>
  <c r="AE1163" i="45"/>
  <c r="AA1163" i="45"/>
  <c r="W1163" i="45"/>
  <c r="S1163" i="45"/>
  <c r="O1163" i="45"/>
  <c r="AT1163" i="45"/>
  <c r="AP1163" i="45"/>
  <c r="AL1163" i="45"/>
  <c r="AH1163" i="45"/>
  <c r="AD1163" i="45"/>
  <c r="Z1163" i="45"/>
  <c r="V1163" i="45"/>
  <c r="R1163" i="45"/>
  <c r="N1163" i="45"/>
  <c r="AG1163" i="45"/>
  <c r="Q1163" i="45"/>
  <c r="AS1163" i="45"/>
  <c r="AC1163" i="45"/>
  <c r="M1163" i="45"/>
  <c r="AO1163" i="45"/>
  <c r="Y1163" i="45"/>
  <c r="U1163" i="45"/>
  <c r="AK1163" i="45"/>
  <c r="B1268" i="45"/>
  <c r="H1163" i="45"/>
  <c r="J1163" i="45" s="1"/>
  <c r="AU1157" i="45"/>
  <c r="AQ1157" i="45"/>
  <c r="AM1157" i="45"/>
  <c r="AI1157" i="45"/>
  <c r="AE1157" i="45"/>
  <c r="AA1157" i="45"/>
  <c r="W1157" i="45"/>
  <c r="S1157" i="45"/>
  <c r="O1157" i="45"/>
  <c r="AT1157" i="45"/>
  <c r="AP1157" i="45"/>
  <c r="AL1157" i="45"/>
  <c r="AH1157" i="45"/>
  <c r="AD1157" i="45"/>
  <c r="Z1157" i="45"/>
  <c r="V1157" i="45"/>
  <c r="R1157" i="45"/>
  <c r="N1157" i="45"/>
  <c r="AR1157" i="45"/>
  <c r="AJ1157" i="45"/>
  <c r="AB1157" i="45"/>
  <c r="T1157" i="45"/>
  <c r="L1157" i="45"/>
  <c r="AO1157" i="45"/>
  <c r="AG1157" i="45"/>
  <c r="Y1157" i="45"/>
  <c r="Q1157" i="45"/>
  <c r="AN1157" i="45"/>
  <c r="AF1157" i="45"/>
  <c r="X1157" i="45"/>
  <c r="P1157" i="45"/>
  <c r="AS1157" i="45"/>
  <c r="M1157" i="45"/>
  <c r="AK1157" i="45"/>
  <c r="AC1157" i="45"/>
  <c r="U1157" i="45"/>
  <c r="B1262" i="45"/>
  <c r="H1157" i="45"/>
  <c r="J1157" i="45" s="1"/>
  <c r="AR1162" i="45"/>
  <c r="AN1162" i="45"/>
  <c r="AJ1162" i="45"/>
  <c r="AF1162" i="45"/>
  <c r="AB1162" i="45"/>
  <c r="X1162" i="45"/>
  <c r="T1162" i="45"/>
  <c r="P1162" i="45"/>
  <c r="L1162" i="45"/>
  <c r="AU1162" i="45"/>
  <c r="AQ1162" i="45"/>
  <c r="AM1162" i="45"/>
  <c r="AI1162" i="45"/>
  <c r="AE1162" i="45"/>
  <c r="AA1162" i="45"/>
  <c r="W1162" i="45"/>
  <c r="S1162" i="45"/>
  <c r="O1162" i="45"/>
  <c r="AT1162" i="45"/>
  <c r="AP1162" i="45"/>
  <c r="AL1162" i="45"/>
  <c r="AH1162" i="45"/>
  <c r="AD1162" i="45"/>
  <c r="Z1162" i="45"/>
  <c r="V1162" i="45"/>
  <c r="R1162" i="45"/>
  <c r="N1162" i="45"/>
  <c r="AK1162" i="45"/>
  <c r="U1162" i="45"/>
  <c r="AG1162" i="45"/>
  <c r="Q1162" i="45"/>
  <c r="Y1162" i="45"/>
  <c r="AS1162" i="45"/>
  <c r="M1162" i="45"/>
  <c r="AO1162" i="45"/>
  <c r="AC1162" i="45"/>
  <c r="B1267" i="45"/>
  <c r="H1162" i="45"/>
  <c r="J1162" i="45" s="1"/>
  <c r="AR1189" i="45"/>
  <c r="AN1189" i="45"/>
  <c r="AJ1189" i="45"/>
  <c r="AF1189" i="45"/>
  <c r="AB1189" i="45"/>
  <c r="X1189" i="45"/>
  <c r="T1189" i="45"/>
  <c r="P1189" i="45"/>
  <c r="L1189" i="45"/>
  <c r="AU1189" i="45"/>
  <c r="AQ1189" i="45"/>
  <c r="AM1189" i="45"/>
  <c r="AI1189" i="45"/>
  <c r="AE1189" i="45"/>
  <c r="AA1189" i="45"/>
  <c r="W1189" i="45"/>
  <c r="S1189" i="45"/>
  <c r="O1189" i="45"/>
  <c r="AT1189" i="45"/>
  <c r="AP1189" i="45"/>
  <c r="AL1189" i="45"/>
  <c r="AH1189" i="45"/>
  <c r="AD1189" i="45"/>
  <c r="Z1189" i="45"/>
  <c r="V1189" i="45"/>
  <c r="R1189" i="45"/>
  <c r="N1189" i="45"/>
  <c r="AO1189" i="45"/>
  <c r="Y1189" i="45"/>
  <c r="AK1189" i="45"/>
  <c r="U1189" i="45"/>
  <c r="AG1189" i="45"/>
  <c r="Q1189" i="45"/>
  <c r="AS1189" i="45"/>
  <c r="AC1189" i="45"/>
  <c r="M1189" i="45"/>
  <c r="B1294" i="45"/>
  <c r="H1189" i="45"/>
  <c r="J1189" i="45" s="1"/>
  <c r="AR1184" i="45"/>
  <c r="AN1184" i="45"/>
  <c r="AJ1184" i="45"/>
  <c r="AF1184" i="45"/>
  <c r="AB1184" i="45"/>
  <c r="X1184" i="45"/>
  <c r="T1184" i="45"/>
  <c r="P1184" i="45"/>
  <c r="L1184" i="45"/>
  <c r="AU1184" i="45"/>
  <c r="AQ1184" i="45"/>
  <c r="AM1184" i="45"/>
  <c r="AI1184" i="45"/>
  <c r="AE1184" i="45"/>
  <c r="AA1184" i="45"/>
  <c r="W1184" i="45"/>
  <c r="S1184" i="45"/>
  <c r="O1184" i="45"/>
  <c r="AT1184" i="45"/>
  <c r="AP1184" i="45"/>
  <c r="AL1184" i="45"/>
  <c r="AH1184" i="45"/>
  <c r="AD1184" i="45"/>
  <c r="Z1184" i="45"/>
  <c r="V1184" i="45"/>
  <c r="R1184" i="45"/>
  <c r="N1184" i="45"/>
  <c r="AS1184" i="45"/>
  <c r="AC1184" i="45"/>
  <c r="M1184" i="45"/>
  <c r="AO1184" i="45"/>
  <c r="Y1184" i="45"/>
  <c r="AK1184" i="45"/>
  <c r="U1184" i="45"/>
  <c r="AG1184" i="45"/>
  <c r="Q1184" i="45"/>
  <c r="B1289" i="45"/>
  <c r="H1184" i="45"/>
  <c r="J1184" i="45" s="1"/>
  <c r="AR1196" i="45"/>
  <c r="AN1196" i="45"/>
  <c r="AJ1196" i="45"/>
  <c r="AF1196" i="45"/>
  <c r="AB1196" i="45"/>
  <c r="X1196" i="45"/>
  <c r="T1196" i="45"/>
  <c r="P1196" i="45"/>
  <c r="L1196" i="45"/>
  <c r="AU1196" i="45"/>
  <c r="AQ1196" i="45"/>
  <c r="AM1196" i="45"/>
  <c r="AI1196" i="45"/>
  <c r="AE1196" i="45"/>
  <c r="AA1196" i="45"/>
  <c r="W1196" i="45"/>
  <c r="S1196" i="45"/>
  <c r="O1196" i="45"/>
  <c r="AT1196" i="45"/>
  <c r="AP1196" i="45"/>
  <c r="AL1196" i="45"/>
  <c r="AH1196" i="45"/>
  <c r="AD1196" i="45"/>
  <c r="Z1196" i="45"/>
  <c r="V1196" i="45"/>
  <c r="R1196" i="45"/>
  <c r="N1196" i="45"/>
  <c r="AS1196" i="45"/>
  <c r="AC1196" i="45"/>
  <c r="M1196" i="45"/>
  <c r="AO1196" i="45"/>
  <c r="Y1196" i="45"/>
  <c r="AK1196" i="45"/>
  <c r="U1196" i="45"/>
  <c r="AG1196" i="45"/>
  <c r="Q1196" i="45"/>
  <c r="H1196" i="45"/>
  <c r="J1196" i="45" s="1"/>
  <c r="B1301" i="45"/>
  <c r="AR1167" i="45"/>
  <c r="AN1167" i="45"/>
  <c r="AJ1167" i="45"/>
  <c r="AF1167" i="45"/>
  <c r="AB1167" i="45"/>
  <c r="X1167" i="45"/>
  <c r="T1167" i="45"/>
  <c r="P1167" i="45"/>
  <c r="L1167" i="45"/>
  <c r="AU1167" i="45"/>
  <c r="AQ1167" i="45"/>
  <c r="AM1167" i="45"/>
  <c r="AI1167" i="45"/>
  <c r="AE1167" i="45"/>
  <c r="AA1167" i="45"/>
  <c r="W1167" i="45"/>
  <c r="S1167" i="45"/>
  <c r="O1167" i="45"/>
  <c r="AT1167" i="45"/>
  <c r="AP1167" i="45"/>
  <c r="AL1167" i="45"/>
  <c r="AH1167" i="45"/>
  <c r="AD1167" i="45"/>
  <c r="Z1167" i="45"/>
  <c r="V1167" i="45"/>
  <c r="R1167" i="45"/>
  <c r="N1167" i="45"/>
  <c r="AG1167" i="45"/>
  <c r="Q1167" i="45"/>
  <c r="AS1167" i="45"/>
  <c r="AC1167" i="45"/>
  <c r="M1167" i="45"/>
  <c r="AO1167" i="45"/>
  <c r="Y1167" i="45"/>
  <c r="AK1167" i="45"/>
  <c r="U1167" i="45"/>
  <c r="H1167" i="45"/>
  <c r="J1167" i="45" s="1"/>
  <c r="B1272" i="45"/>
  <c r="AT1331" i="45"/>
  <c r="AP1331" i="45"/>
  <c r="AL1331" i="45"/>
  <c r="AH1331" i="45"/>
  <c r="AD1331" i="45"/>
  <c r="Z1331" i="45"/>
  <c r="V1331" i="45"/>
  <c r="R1331" i="45"/>
  <c r="N1331" i="45"/>
  <c r="AS1331" i="45"/>
  <c r="AO1331" i="45"/>
  <c r="AK1331" i="45"/>
  <c r="AG1331" i="45"/>
  <c r="AC1331" i="45"/>
  <c r="Y1331" i="45"/>
  <c r="U1331" i="45"/>
  <c r="Q1331" i="45"/>
  <c r="M1331" i="45"/>
  <c r="AR1331" i="45"/>
  <c r="AN1331" i="45"/>
  <c r="AJ1331" i="45"/>
  <c r="AF1331" i="45"/>
  <c r="AB1331" i="45"/>
  <c r="X1331" i="45"/>
  <c r="T1331" i="45"/>
  <c r="P1331" i="45"/>
  <c r="L1331" i="45"/>
  <c r="AI1331" i="45"/>
  <c r="S1331" i="45"/>
  <c r="AU1331" i="45"/>
  <c r="AE1331" i="45"/>
  <c r="O1331" i="45"/>
  <c r="AQ1331" i="45"/>
  <c r="AA1331" i="45"/>
  <c r="AM1331" i="45"/>
  <c r="W1331" i="45"/>
  <c r="B1436" i="45"/>
  <c r="H1331" i="45"/>
  <c r="J1331" i="45" s="1"/>
  <c r="AU1147" i="45"/>
  <c r="AQ1147" i="45"/>
  <c r="AM1147" i="45"/>
  <c r="AI1147" i="45"/>
  <c r="AE1147" i="45"/>
  <c r="AA1147" i="45"/>
  <c r="W1147" i="45"/>
  <c r="S1147" i="45"/>
  <c r="O1147" i="45"/>
  <c r="AT1147" i="45"/>
  <c r="AP1147" i="45"/>
  <c r="AL1147" i="45"/>
  <c r="AH1147" i="45"/>
  <c r="AD1147" i="45"/>
  <c r="Z1147" i="45"/>
  <c r="V1147" i="45"/>
  <c r="R1147" i="45"/>
  <c r="N1147" i="45"/>
  <c r="AR1147" i="45"/>
  <c r="AJ1147" i="45"/>
  <c r="AB1147" i="45"/>
  <c r="T1147" i="45"/>
  <c r="L1147" i="45"/>
  <c r="AO1147" i="45"/>
  <c r="AG1147" i="45"/>
  <c r="Y1147" i="45"/>
  <c r="Q1147" i="45"/>
  <c r="AN1147" i="45"/>
  <c r="AF1147" i="45"/>
  <c r="X1147" i="45"/>
  <c r="P1147" i="45"/>
  <c r="U1147" i="45"/>
  <c r="AS1147" i="45"/>
  <c r="M1147" i="45"/>
  <c r="AK1147" i="45"/>
  <c r="AC1147" i="45"/>
  <c r="B1252" i="45"/>
  <c r="H1147" i="45"/>
  <c r="J1147" i="45" s="1"/>
  <c r="AU1144" i="45"/>
  <c r="AQ1144" i="45"/>
  <c r="AM1144" i="45"/>
  <c r="AI1144" i="45"/>
  <c r="AE1144" i="45"/>
  <c r="AA1144" i="45"/>
  <c r="W1144" i="45"/>
  <c r="S1144" i="45"/>
  <c r="O1144" i="45"/>
  <c r="AT1144" i="45"/>
  <c r="AP1144" i="45"/>
  <c r="AL1144" i="45"/>
  <c r="AH1144" i="45"/>
  <c r="AD1144" i="45"/>
  <c r="Z1144" i="45"/>
  <c r="V1144" i="45"/>
  <c r="R1144" i="45"/>
  <c r="N1144" i="45"/>
  <c r="AN1144" i="45"/>
  <c r="AF1144" i="45"/>
  <c r="X1144" i="45"/>
  <c r="P1144" i="45"/>
  <c r="AS1144" i="45"/>
  <c r="AK1144" i="45"/>
  <c r="AC1144" i="45"/>
  <c r="U1144" i="45"/>
  <c r="M1144" i="45"/>
  <c r="AR1144" i="45"/>
  <c r="AJ1144" i="45"/>
  <c r="AB1144" i="45"/>
  <c r="T1144" i="45"/>
  <c r="L1144" i="45"/>
  <c r="AG1144" i="45"/>
  <c r="Y1144" i="45"/>
  <c r="Q1144" i="45"/>
  <c r="AO1144" i="45"/>
  <c r="H1144" i="45"/>
  <c r="J1144" i="45" s="1"/>
  <c r="B1249" i="45"/>
  <c r="AR1201" i="45"/>
  <c r="AN1201" i="45"/>
  <c r="AJ1201" i="45"/>
  <c r="AF1201" i="45"/>
  <c r="AB1201" i="45"/>
  <c r="X1201" i="45"/>
  <c r="T1201" i="45"/>
  <c r="P1201" i="45"/>
  <c r="L1201" i="45"/>
  <c r="AU1201" i="45"/>
  <c r="AQ1201" i="45"/>
  <c r="AM1201" i="45"/>
  <c r="AI1201" i="45"/>
  <c r="AE1201" i="45"/>
  <c r="AA1201" i="45"/>
  <c r="W1201" i="45"/>
  <c r="S1201" i="45"/>
  <c r="O1201" i="45"/>
  <c r="AT1201" i="45"/>
  <c r="AP1201" i="45"/>
  <c r="AL1201" i="45"/>
  <c r="AH1201" i="45"/>
  <c r="AD1201" i="45"/>
  <c r="Z1201" i="45"/>
  <c r="V1201" i="45"/>
  <c r="R1201" i="45"/>
  <c r="N1201" i="45"/>
  <c r="AO1201" i="45"/>
  <c r="Y1201" i="45"/>
  <c r="AK1201" i="45"/>
  <c r="U1201" i="45"/>
  <c r="AG1201" i="45"/>
  <c r="Q1201" i="45"/>
  <c r="AS1201" i="45"/>
  <c r="AC1201" i="45"/>
  <c r="M1201" i="45"/>
  <c r="B1306" i="45"/>
  <c r="H1201" i="45"/>
  <c r="J1201" i="45" s="1"/>
  <c r="AU1154" i="45"/>
  <c r="AQ1154" i="45"/>
  <c r="AM1154" i="45"/>
  <c r="AI1154" i="45"/>
  <c r="AE1154" i="45"/>
  <c r="AA1154" i="45"/>
  <c r="W1154" i="45"/>
  <c r="S1154" i="45"/>
  <c r="O1154" i="45"/>
  <c r="AT1154" i="45"/>
  <c r="AP1154" i="45"/>
  <c r="AL1154" i="45"/>
  <c r="AH1154" i="45"/>
  <c r="AD1154" i="45"/>
  <c r="Z1154" i="45"/>
  <c r="V1154" i="45"/>
  <c r="R1154" i="45"/>
  <c r="N1154" i="45"/>
  <c r="AN1154" i="45"/>
  <c r="AF1154" i="45"/>
  <c r="X1154" i="45"/>
  <c r="P1154" i="45"/>
  <c r="AS1154" i="45"/>
  <c r="AK1154" i="45"/>
  <c r="AC1154" i="45"/>
  <c r="U1154" i="45"/>
  <c r="M1154" i="45"/>
  <c r="AR1154" i="45"/>
  <c r="AJ1154" i="45"/>
  <c r="AB1154" i="45"/>
  <c r="T1154" i="45"/>
  <c r="L1154" i="45"/>
  <c r="Y1154" i="45"/>
  <c r="Q1154" i="45"/>
  <c r="AO1154" i="45"/>
  <c r="AG1154" i="45"/>
  <c r="B1259" i="45"/>
  <c r="H1154" i="45"/>
  <c r="J1154" i="45" s="1"/>
  <c r="AU1143" i="45"/>
  <c r="AQ1143" i="45"/>
  <c r="AM1143" i="45"/>
  <c r="AI1143" i="45"/>
  <c r="AE1143" i="45"/>
  <c r="AA1143" i="45"/>
  <c r="W1143" i="45"/>
  <c r="S1143" i="45"/>
  <c r="O1143" i="45"/>
  <c r="AT1143" i="45"/>
  <c r="AP1143" i="45"/>
  <c r="AL1143" i="45"/>
  <c r="AH1143" i="45"/>
  <c r="AD1143" i="45"/>
  <c r="Z1143" i="45"/>
  <c r="V1143" i="45"/>
  <c r="R1143" i="45"/>
  <c r="N1143" i="45"/>
  <c r="AR1143" i="45"/>
  <c r="AJ1143" i="45"/>
  <c r="AB1143" i="45"/>
  <c r="T1143" i="45"/>
  <c r="L1143" i="45"/>
  <c r="AO1143" i="45"/>
  <c r="AG1143" i="45"/>
  <c r="Y1143" i="45"/>
  <c r="Q1143" i="45"/>
  <c r="AN1143" i="45"/>
  <c r="AF1143" i="45"/>
  <c r="X1143" i="45"/>
  <c r="P1143" i="45"/>
  <c r="AK1143" i="45"/>
  <c r="AC1143" i="45"/>
  <c r="U1143" i="45"/>
  <c r="AS1143" i="45"/>
  <c r="M1143" i="45"/>
  <c r="H1143" i="45"/>
  <c r="J1143" i="45" s="1"/>
  <c r="B1248" i="45"/>
  <c r="AU1141" i="45"/>
  <c r="AQ1141" i="45"/>
  <c r="AM1141" i="45"/>
  <c r="AI1141" i="45"/>
  <c r="AE1141" i="45"/>
  <c r="AA1141" i="45"/>
  <c r="W1141" i="45"/>
  <c r="S1141" i="45"/>
  <c r="O1141" i="45"/>
  <c r="AT1141" i="45"/>
  <c r="AP1141" i="45"/>
  <c r="AL1141" i="45"/>
  <c r="AH1141" i="45"/>
  <c r="AD1141" i="45"/>
  <c r="Z1141" i="45"/>
  <c r="V1141" i="45"/>
  <c r="R1141" i="45"/>
  <c r="N1141" i="45"/>
  <c r="AR1141" i="45"/>
  <c r="AJ1141" i="45"/>
  <c r="AB1141" i="45"/>
  <c r="T1141" i="45"/>
  <c r="L1141" i="45"/>
  <c r="AO1141" i="45"/>
  <c r="AG1141" i="45"/>
  <c r="Y1141" i="45"/>
  <c r="Q1141" i="45"/>
  <c r="AN1141" i="45"/>
  <c r="AF1141" i="45"/>
  <c r="X1141" i="45"/>
  <c r="P1141" i="45"/>
  <c r="AS1141" i="45"/>
  <c r="M1141" i="45"/>
  <c r="AK1141" i="45"/>
  <c r="AC1141" i="45"/>
  <c r="U1141" i="45"/>
  <c r="H1141" i="45"/>
  <c r="J1141" i="45" s="1"/>
  <c r="B1246" i="45"/>
  <c r="AR1174" i="45"/>
  <c r="AN1174" i="45"/>
  <c r="AJ1174" i="45"/>
  <c r="AF1174" i="45"/>
  <c r="AB1174" i="45"/>
  <c r="X1174" i="45"/>
  <c r="T1174" i="45"/>
  <c r="P1174" i="45"/>
  <c r="L1174" i="45"/>
  <c r="AU1174" i="45"/>
  <c r="AQ1174" i="45"/>
  <c r="AM1174" i="45"/>
  <c r="AI1174" i="45"/>
  <c r="AE1174" i="45"/>
  <c r="AA1174" i="45"/>
  <c r="W1174" i="45"/>
  <c r="S1174" i="45"/>
  <c r="O1174" i="45"/>
  <c r="AT1174" i="45"/>
  <c r="AP1174" i="45"/>
  <c r="AL1174" i="45"/>
  <c r="AH1174" i="45"/>
  <c r="AD1174" i="45"/>
  <c r="Z1174" i="45"/>
  <c r="V1174" i="45"/>
  <c r="R1174" i="45"/>
  <c r="N1174" i="45"/>
  <c r="AK1174" i="45"/>
  <c r="U1174" i="45"/>
  <c r="AG1174" i="45"/>
  <c r="Q1174" i="45"/>
  <c r="AS1174" i="45"/>
  <c r="AC1174" i="45"/>
  <c r="M1174" i="45"/>
  <c r="AO1174" i="45"/>
  <c r="Y1174" i="45"/>
  <c r="B1279" i="45"/>
  <c r="H1174" i="45"/>
  <c r="J1174" i="45" s="1"/>
  <c r="AR1204" i="45"/>
  <c r="AN1204" i="45"/>
  <c r="AJ1204" i="45"/>
  <c r="AF1204" i="45"/>
  <c r="AB1204" i="45"/>
  <c r="X1204" i="45"/>
  <c r="T1204" i="45"/>
  <c r="P1204" i="45"/>
  <c r="L1204" i="45"/>
  <c r="AU1204" i="45"/>
  <c r="AQ1204" i="45"/>
  <c r="AM1204" i="45"/>
  <c r="AI1204" i="45"/>
  <c r="AE1204" i="45"/>
  <c r="AA1204" i="45"/>
  <c r="W1204" i="45"/>
  <c r="S1204" i="45"/>
  <c r="O1204" i="45"/>
  <c r="AT1204" i="45"/>
  <c r="AP1204" i="45"/>
  <c r="AL1204" i="45"/>
  <c r="AH1204" i="45"/>
  <c r="AD1204" i="45"/>
  <c r="Z1204" i="45"/>
  <c r="V1204" i="45"/>
  <c r="R1204" i="45"/>
  <c r="N1204" i="45"/>
  <c r="AS1204" i="45"/>
  <c r="AC1204" i="45"/>
  <c r="M1204" i="45"/>
  <c r="AO1204" i="45"/>
  <c r="Y1204" i="45"/>
  <c r="AK1204" i="45"/>
  <c r="U1204" i="45"/>
  <c r="Q1204" i="45"/>
  <c r="AG1204" i="45"/>
  <c r="H1204" i="45"/>
  <c r="J1204" i="45" s="1"/>
  <c r="B1309" i="45"/>
  <c r="AU1159" i="45"/>
  <c r="AQ1159" i="45"/>
  <c r="AM1159" i="45"/>
  <c r="AI1159" i="45"/>
  <c r="AE1159" i="45"/>
  <c r="AA1159" i="45"/>
  <c r="W1159" i="45"/>
  <c r="S1159" i="45"/>
  <c r="O1159" i="45"/>
  <c r="AT1159" i="45"/>
  <c r="AP1159" i="45"/>
  <c r="AL1159" i="45"/>
  <c r="AH1159" i="45"/>
  <c r="AD1159" i="45"/>
  <c r="Z1159" i="45"/>
  <c r="V1159" i="45"/>
  <c r="R1159" i="45"/>
  <c r="N1159" i="45"/>
  <c r="AR1159" i="45"/>
  <c r="AJ1159" i="45"/>
  <c r="AB1159" i="45"/>
  <c r="T1159" i="45"/>
  <c r="L1159" i="45"/>
  <c r="AO1159" i="45"/>
  <c r="AG1159" i="45"/>
  <c r="Y1159" i="45"/>
  <c r="Q1159" i="45"/>
  <c r="AN1159" i="45"/>
  <c r="AF1159" i="45"/>
  <c r="X1159" i="45"/>
  <c r="P1159" i="45"/>
  <c r="AK1159" i="45"/>
  <c r="AC1159" i="45"/>
  <c r="U1159" i="45"/>
  <c r="AS1159" i="45"/>
  <c r="M1159" i="45"/>
  <c r="H1159" i="45"/>
  <c r="J1159" i="45" s="1"/>
  <c r="B1264" i="45"/>
  <c r="AT1326" i="45"/>
  <c r="AP1326" i="45"/>
  <c r="AL1326" i="45"/>
  <c r="AH1326" i="45"/>
  <c r="AD1326" i="45"/>
  <c r="Z1326" i="45"/>
  <c r="V1326" i="45"/>
  <c r="R1326" i="45"/>
  <c r="N1326" i="45"/>
  <c r="AS1326" i="45"/>
  <c r="AO1326" i="45"/>
  <c r="AK1326" i="45"/>
  <c r="AG1326" i="45"/>
  <c r="AC1326" i="45"/>
  <c r="Y1326" i="45"/>
  <c r="U1326" i="45"/>
  <c r="Q1326" i="45"/>
  <c r="M1326" i="45"/>
  <c r="AR1326" i="45"/>
  <c r="AN1326" i="45"/>
  <c r="AJ1326" i="45"/>
  <c r="AF1326" i="45"/>
  <c r="AB1326" i="45"/>
  <c r="X1326" i="45"/>
  <c r="T1326" i="45"/>
  <c r="P1326" i="45"/>
  <c r="L1326" i="45"/>
  <c r="AM1326" i="45"/>
  <c r="W1326" i="45"/>
  <c r="AI1326" i="45"/>
  <c r="S1326" i="45"/>
  <c r="AU1326" i="45"/>
  <c r="AE1326" i="45"/>
  <c r="O1326" i="45"/>
  <c r="AQ1326" i="45"/>
  <c r="AA1326" i="45"/>
  <c r="B1431" i="45"/>
  <c r="H1326" i="45"/>
  <c r="J1326" i="45" s="1"/>
  <c r="AR1208" i="45"/>
  <c r="AN1208" i="45"/>
  <c r="AJ1208" i="45"/>
  <c r="AF1208" i="45"/>
  <c r="AB1208" i="45"/>
  <c r="X1208" i="45"/>
  <c r="T1208" i="45"/>
  <c r="P1208" i="45"/>
  <c r="L1208" i="45"/>
  <c r="AU1208" i="45"/>
  <c r="AQ1208" i="45"/>
  <c r="AM1208" i="45"/>
  <c r="AI1208" i="45"/>
  <c r="AE1208" i="45"/>
  <c r="AA1208" i="45"/>
  <c r="W1208" i="45"/>
  <c r="S1208" i="45"/>
  <c r="O1208" i="45"/>
  <c r="AT1208" i="45"/>
  <c r="AP1208" i="45"/>
  <c r="AL1208" i="45"/>
  <c r="AH1208" i="45"/>
  <c r="AD1208" i="45"/>
  <c r="Z1208" i="45"/>
  <c r="V1208" i="45"/>
  <c r="R1208" i="45"/>
  <c r="N1208" i="45"/>
  <c r="AS1208" i="45"/>
  <c r="AC1208" i="45"/>
  <c r="M1208" i="45"/>
  <c r="AO1208" i="45"/>
  <c r="Y1208" i="45"/>
  <c r="AK1208" i="45"/>
  <c r="U1208" i="45"/>
  <c r="AG1208" i="45"/>
  <c r="Q1208" i="45"/>
  <c r="H1208" i="45"/>
  <c r="J1208" i="45" s="1"/>
  <c r="B1313" i="45"/>
  <c r="AR1213" i="45"/>
  <c r="AN1213" i="45"/>
  <c r="AJ1213" i="45"/>
  <c r="AF1213" i="45"/>
  <c r="AB1213" i="45"/>
  <c r="X1213" i="45"/>
  <c r="T1213" i="45"/>
  <c r="P1213" i="45"/>
  <c r="L1213" i="45"/>
  <c r="AU1213" i="45"/>
  <c r="AQ1213" i="45"/>
  <c r="AM1213" i="45"/>
  <c r="AI1213" i="45"/>
  <c r="AE1213" i="45"/>
  <c r="AA1213" i="45"/>
  <c r="W1213" i="45"/>
  <c r="S1213" i="45"/>
  <c r="O1213" i="45"/>
  <c r="AT1213" i="45"/>
  <c r="AP1213" i="45"/>
  <c r="AL1213" i="45"/>
  <c r="AH1213" i="45"/>
  <c r="AD1213" i="45"/>
  <c r="Z1213" i="45"/>
  <c r="V1213" i="45"/>
  <c r="R1213" i="45"/>
  <c r="N1213" i="45"/>
  <c r="AO1213" i="45"/>
  <c r="Y1213" i="45"/>
  <c r="AK1213" i="45"/>
  <c r="U1213" i="45"/>
  <c r="AG1213" i="45"/>
  <c r="Q1213" i="45"/>
  <c r="M1213" i="45"/>
  <c r="AS1213" i="45"/>
  <c r="AC1213" i="45"/>
  <c r="B1318" i="45"/>
  <c r="H1213" i="45"/>
  <c r="J1213" i="45" s="1"/>
  <c r="AR1210" i="45"/>
  <c r="AN1210" i="45"/>
  <c r="AJ1210" i="45"/>
  <c r="AF1210" i="45"/>
  <c r="AB1210" i="45"/>
  <c r="X1210" i="45"/>
  <c r="T1210" i="45"/>
  <c r="P1210" i="45"/>
  <c r="L1210" i="45"/>
  <c r="AU1210" i="45"/>
  <c r="AQ1210" i="45"/>
  <c r="AM1210" i="45"/>
  <c r="AI1210" i="45"/>
  <c r="AE1210" i="45"/>
  <c r="AA1210" i="45"/>
  <c r="W1210" i="45"/>
  <c r="S1210" i="45"/>
  <c r="O1210" i="45"/>
  <c r="AT1210" i="45"/>
  <c r="AP1210" i="45"/>
  <c r="AL1210" i="45"/>
  <c r="AH1210" i="45"/>
  <c r="AD1210" i="45"/>
  <c r="Z1210" i="45"/>
  <c r="V1210" i="45"/>
  <c r="R1210" i="45"/>
  <c r="N1210" i="45"/>
  <c r="AK1210" i="45"/>
  <c r="U1210" i="45"/>
  <c r="AG1210" i="45"/>
  <c r="Q1210" i="45"/>
  <c r="AS1210" i="45"/>
  <c r="AC1210" i="45"/>
  <c r="M1210" i="45"/>
  <c r="AO1210" i="45"/>
  <c r="Y1210" i="45"/>
  <c r="B1315" i="45"/>
  <c r="H1210" i="45"/>
  <c r="J1210" i="45" s="1"/>
  <c r="AR1193" i="45"/>
  <c r="AN1193" i="45"/>
  <c r="AJ1193" i="45"/>
  <c r="AF1193" i="45"/>
  <c r="AB1193" i="45"/>
  <c r="X1193" i="45"/>
  <c r="T1193" i="45"/>
  <c r="P1193" i="45"/>
  <c r="L1193" i="45"/>
  <c r="AU1193" i="45"/>
  <c r="AQ1193" i="45"/>
  <c r="AM1193" i="45"/>
  <c r="AI1193" i="45"/>
  <c r="AE1193" i="45"/>
  <c r="AA1193" i="45"/>
  <c r="W1193" i="45"/>
  <c r="S1193" i="45"/>
  <c r="O1193" i="45"/>
  <c r="AT1193" i="45"/>
  <c r="AP1193" i="45"/>
  <c r="AL1193" i="45"/>
  <c r="AH1193" i="45"/>
  <c r="AD1193" i="45"/>
  <c r="Z1193" i="45"/>
  <c r="V1193" i="45"/>
  <c r="R1193" i="45"/>
  <c r="N1193" i="45"/>
  <c r="AO1193" i="45"/>
  <c r="Y1193" i="45"/>
  <c r="AK1193" i="45"/>
  <c r="U1193" i="45"/>
  <c r="AG1193" i="45"/>
  <c r="Q1193" i="45"/>
  <c r="AC1193" i="45"/>
  <c r="M1193" i="45"/>
  <c r="AS1193" i="45"/>
  <c r="B1298" i="45"/>
  <c r="H1193" i="45"/>
  <c r="J1193" i="45" s="1"/>
  <c r="B1236" i="45"/>
  <c r="H1131" i="45"/>
  <c r="O1131" i="45" s="1"/>
  <c r="AU1150" i="45"/>
  <c r="AQ1150" i="45"/>
  <c r="AM1150" i="45"/>
  <c r="AI1150" i="45"/>
  <c r="AE1150" i="45"/>
  <c r="AA1150" i="45"/>
  <c r="W1150" i="45"/>
  <c r="S1150" i="45"/>
  <c r="O1150" i="45"/>
  <c r="AT1150" i="45"/>
  <c r="AP1150" i="45"/>
  <c r="AL1150" i="45"/>
  <c r="AH1150" i="45"/>
  <c r="AD1150" i="45"/>
  <c r="Z1150" i="45"/>
  <c r="V1150" i="45"/>
  <c r="R1150" i="45"/>
  <c r="N1150" i="45"/>
  <c r="AN1150" i="45"/>
  <c r="AF1150" i="45"/>
  <c r="X1150" i="45"/>
  <c r="P1150" i="45"/>
  <c r="AS1150" i="45"/>
  <c r="AK1150" i="45"/>
  <c r="AC1150" i="45"/>
  <c r="U1150" i="45"/>
  <c r="M1150" i="45"/>
  <c r="AR1150" i="45"/>
  <c r="AJ1150" i="45"/>
  <c r="AB1150" i="45"/>
  <c r="T1150" i="45"/>
  <c r="L1150" i="45"/>
  <c r="AO1150" i="45"/>
  <c r="AG1150" i="45"/>
  <c r="Y1150" i="45"/>
  <c r="Q1150" i="45"/>
  <c r="H1150" i="45"/>
  <c r="J1150" i="45" s="1"/>
  <c r="B1255" i="45"/>
  <c r="AR1176" i="45"/>
  <c r="AN1176" i="45"/>
  <c r="AJ1176" i="45"/>
  <c r="AF1176" i="45"/>
  <c r="AB1176" i="45"/>
  <c r="X1176" i="45"/>
  <c r="T1176" i="45"/>
  <c r="P1176" i="45"/>
  <c r="L1176" i="45"/>
  <c r="AU1176" i="45"/>
  <c r="AQ1176" i="45"/>
  <c r="AM1176" i="45"/>
  <c r="AI1176" i="45"/>
  <c r="AE1176" i="45"/>
  <c r="AA1176" i="45"/>
  <c r="W1176" i="45"/>
  <c r="S1176" i="45"/>
  <c r="O1176" i="45"/>
  <c r="AT1176" i="45"/>
  <c r="AP1176" i="45"/>
  <c r="AL1176" i="45"/>
  <c r="AH1176" i="45"/>
  <c r="AD1176" i="45"/>
  <c r="Z1176" i="45"/>
  <c r="V1176" i="45"/>
  <c r="R1176" i="45"/>
  <c r="N1176" i="45"/>
  <c r="AS1176" i="45"/>
  <c r="AC1176" i="45"/>
  <c r="M1176" i="45"/>
  <c r="AO1176" i="45"/>
  <c r="Y1176" i="45"/>
  <c r="AK1176" i="45"/>
  <c r="U1176" i="45"/>
  <c r="AG1176" i="45"/>
  <c r="Q1176" i="45"/>
  <c r="B1281" i="45"/>
  <c r="H1176" i="45"/>
  <c r="J1176" i="45" s="1"/>
  <c r="AR1185" i="45"/>
  <c r="AN1185" i="45"/>
  <c r="AJ1185" i="45"/>
  <c r="AF1185" i="45"/>
  <c r="AB1185" i="45"/>
  <c r="X1185" i="45"/>
  <c r="T1185" i="45"/>
  <c r="P1185" i="45"/>
  <c r="L1185" i="45"/>
  <c r="AU1185" i="45"/>
  <c r="AQ1185" i="45"/>
  <c r="AM1185" i="45"/>
  <c r="AI1185" i="45"/>
  <c r="AE1185" i="45"/>
  <c r="AA1185" i="45"/>
  <c r="W1185" i="45"/>
  <c r="S1185" i="45"/>
  <c r="O1185" i="45"/>
  <c r="AT1185" i="45"/>
  <c r="AP1185" i="45"/>
  <c r="AL1185" i="45"/>
  <c r="AH1185" i="45"/>
  <c r="AD1185" i="45"/>
  <c r="Z1185" i="45"/>
  <c r="V1185" i="45"/>
  <c r="R1185" i="45"/>
  <c r="N1185" i="45"/>
  <c r="AO1185" i="45"/>
  <c r="Y1185" i="45"/>
  <c r="AK1185" i="45"/>
  <c r="U1185" i="45"/>
  <c r="AG1185" i="45"/>
  <c r="Q1185" i="45"/>
  <c r="AS1185" i="45"/>
  <c r="AC1185" i="45"/>
  <c r="M1185" i="45"/>
  <c r="B1290" i="45"/>
  <c r="H1185" i="45"/>
  <c r="J1185" i="45" s="1"/>
  <c r="AR1203" i="45"/>
  <c r="AN1203" i="45"/>
  <c r="AJ1203" i="45"/>
  <c r="AF1203" i="45"/>
  <c r="AB1203" i="45"/>
  <c r="X1203" i="45"/>
  <c r="T1203" i="45"/>
  <c r="P1203" i="45"/>
  <c r="L1203" i="45"/>
  <c r="AU1203" i="45"/>
  <c r="AQ1203" i="45"/>
  <c r="AM1203" i="45"/>
  <c r="AI1203" i="45"/>
  <c r="AE1203" i="45"/>
  <c r="AA1203" i="45"/>
  <c r="W1203" i="45"/>
  <c r="S1203" i="45"/>
  <c r="O1203" i="45"/>
  <c r="AT1203" i="45"/>
  <c r="AP1203" i="45"/>
  <c r="AL1203" i="45"/>
  <c r="AH1203" i="45"/>
  <c r="AD1203" i="45"/>
  <c r="Z1203" i="45"/>
  <c r="V1203" i="45"/>
  <c r="R1203" i="45"/>
  <c r="N1203" i="45"/>
  <c r="AG1203" i="45"/>
  <c r="Q1203" i="45"/>
  <c r="AS1203" i="45"/>
  <c r="AC1203" i="45"/>
  <c r="M1203" i="45"/>
  <c r="AO1203" i="45"/>
  <c r="Y1203" i="45"/>
  <c r="AK1203" i="45"/>
  <c r="U1203" i="45"/>
  <c r="B1308" i="45"/>
  <c r="H1203" i="45"/>
  <c r="J1203" i="45" s="1"/>
  <c r="AR1164" i="45"/>
  <c r="AN1164" i="45"/>
  <c r="AJ1164" i="45"/>
  <c r="AF1164" i="45"/>
  <c r="AB1164" i="45"/>
  <c r="X1164" i="45"/>
  <c r="T1164" i="45"/>
  <c r="P1164" i="45"/>
  <c r="L1164" i="45"/>
  <c r="AU1164" i="45"/>
  <c r="AQ1164" i="45"/>
  <c r="AM1164" i="45"/>
  <c r="AI1164" i="45"/>
  <c r="AE1164" i="45"/>
  <c r="AA1164" i="45"/>
  <c r="W1164" i="45"/>
  <c r="S1164" i="45"/>
  <c r="O1164" i="45"/>
  <c r="AT1164" i="45"/>
  <c r="AP1164" i="45"/>
  <c r="AL1164" i="45"/>
  <c r="AH1164" i="45"/>
  <c r="AD1164" i="45"/>
  <c r="Z1164" i="45"/>
  <c r="V1164" i="45"/>
  <c r="R1164" i="45"/>
  <c r="N1164" i="45"/>
  <c r="AS1164" i="45"/>
  <c r="AC1164" i="45"/>
  <c r="M1164" i="45"/>
  <c r="AO1164" i="45"/>
  <c r="Y1164" i="45"/>
  <c r="AK1164" i="45"/>
  <c r="U1164" i="45"/>
  <c r="AG1164" i="45"/>
  <c r="Q1164" i="45"/>
  <c r="H1164" i="45"/>
  <c r="J1164" i="45" s="1"/>
  <c r="B1269" i="45"/>
  <c r="AR1205" i="45"/>
  <c r="AN1205" i="45"/>
  <c r="AJ1205" i="45"/>
  <c r="AF1205" i="45"/>
  <c r="AB1205" i="45"/>
  <c r="X1205" i="45"/>
  <c r="T1205" i="45"/>
  <c r="P1205" i="45"/>
  <c r="L1205" i="45"/>
  <c r="AU1205" i="45"/>
  <c r="AQ1205" i="45"/>
  <c r="AM1205" i="45"/>
  <c r="AI1205" i="45"/>
  <c r="AE1205" i="45"/>
  <c r="AA1205" i="45"/>
  <c r="W1205" i="45"/>
  <c r="S1205" i="45"/>
  <c r="O1205" i="45"/>
  <c r="AT1205" i="45"/>
  <c r="AP1205" i="45"/>
  <c r="AL1205" i="45"/>
  <c r="AH1205" i="45"/>
  <c r="AD1205" i="45"/>
  <c r="Z1205" i="45"/>
  <c r="V1205" i="45"/>
  <c r="R1205" i="45"/>
  <c r="N1205" i="45"/>
  <c r="AO1205" i="45"/>
  <c r="Y1205" i="45"/>
  <c r="AK1205" i="45"/>
  <c r="U1205" i="45"/>
  <c r="AG1205" i="45"/>
  <c r="Q1205" i="45"/>
  <c r="AS1205" i="45"/>
  <c r="AC1205" i="45"/>
  <c r="M1205" i="45"/>
  <c r="B1310" i="45"/>
  <c r="H1205" i="45"/>
  <c r="J1205" i="45" s="1"/>
  <c r="AR1178" i="45"/>
  <c r="AN1178" i="45"/>
  <c r="AJ1178" i="45"/>
  <c r="AF1178" i="45"/>
  <c r="AB1178" i="45"/>
  <c r="X1178" i="45"/>
  <c r="T1178" i="45"/>
  <c r="P1178" i="45"/>
  <c r="L1178" i="45"/>
  <c r="AU1178" i="45"/>
  <c r="AQ1178" i="45"/>
  <c r="AM1178" i="45"/>
  <c r="AI1178" i="45"/>
  <c r="AE1178" i="45"/>
  <c r="AA1178" i="45"/>
  <c r="W1178" i="45"/>
  <c r="S1178" i="45"/>
  <c r="O1178" i="45"/>
  <c r="AT1178" i="45"/>
  <c r="AP1178" i="45"/>
  <c r="AL1178" i="45"/>
  <c r="AH1178" i="45"/>
  <c r="AD1178" i="45"/>
  <c r="Z1178" i="45"/>
  <c r="V1178" i="45"/>
  <c r="R1178" i="45"/>
  <c r="N1178" i="45"/>
  <c r="AK1178" i="45"/>
  <c r="U1178" i="45"/>
  <c r="AG1178" i="45"/>
  <c r="Q1178" i="45"/>
  <c r="AS1178" i="45"/>
  <c r="AC1178" i="45"/>
  <c r="M1178" i="45"/>
  <c r="AO1178" i="45"/>
  <c r="Y1178" i="45"/>
  <c r="H1178" i="45"/>
  <c r="J1178" i="45" s="1"/>
  <c r="B1283" i="45"/>
  <c r="AT1329" i="45"/>
  <c r="AP1329" i="45"/>
  <c r="AL1329" i="45"/>
  <c r="AH1329" i="45"/>
  <c r="AD1329" i="45"/>
  <c r="Z1329" i="45"/>
  <c r="V1329" i="45"/>
  <c r="R1329" i="45"/>
  <c r="N1329" i="45"/>
  <c r="AS1329" i="45"/>
  <c r="AO1329" i="45"/>
  <c r="AK1329" i="45"/>
  <c r="AG1329" i="45"/>
  <c r="AC1329" i="45"/>
  <c r="Y1329" i="45"/>
  <c r="U1329" i="45"/>
  <c r="Q1329" i="45"/>
  <c r="M1329" i="45"/>
  <c r="AR1329" i="45"/>
  <c r="AN1329" i="45"/>
  <c r="AJ1329" i="45"/>
  <c r="AF1329" i="45"/>
  <c r="AB1329" i="45"/>
  <c r="X1329" i="45"/>
  <c r="T1329" i="45"/>
  <c r="P1329" i="45"/>
  <c r="L1329" i="45"/>
  <c r="AQ1329" i="45"/>
  <c r="AA1329" i="45"/>
  <c r="AM1329" i="45"/>
  <c r="W1329" i="45"/>
  <c r="AI1329" i="45"/>
  <c r="S1329" i="45"/>
  <c r="O1329" i="45"/>
  <c r="AU1329" i="45"/>
  <c r="AE1329" i="45"/>
  <c r="H1329" i="45"/>
  <c r="J1329" i="45" s="1"/>
  <c r="B1434" i="45"/>
  <c r="AR1175" i="45"/>
  <c r="AN1175" i="45"/>
  <c r="AJ1175" i="45"/>
  <c r="AF1175" i="45"/>
  <c r="AB1175" i="45"/>
  <c r="X1175" i="45"/>
  <c r="T1175" i="45"/>
  <c r="P1175" i="45"/>
  <c r="L1175" i="45"/>
  <c r="AU1175" i="45"/>
  <c r="AQ1175" i="45"/>
  <c r="AM1175" i="45"/>
  <c r="AI1175" i="45"/>
  <c r="AE1175" i="45"/>
  <c r="AA1175" i="45"/>
  <c r="W1175" i="45"/>
  <c r="S1175" i="45"/>
  <c r="O1175" i="45"/>
  <c r="AT1175" i="45"/>
  <c r="AP1175" i="45"/>
  <c r="AL1175" i="45"/>
  <c r="AH1175" i="45"/>
  <c r="AD1175" i="45"/>
  <c r="Z1175" i="45"/>
  <c r="V1175" i="45"/>
  <c r="R1175" i="45"/>
  <c r="N1175" i="45"/>
  <c r="AG1175" i="45"/>
  <c r="Q1175" i="45"/>
  <c r="AS1175" i="45"/>
  <c r="AC1175" i="45"/>
  <c r="M1175" i="45"/>
  <c r="AO1175" i="45"/>
  <c r="Y1175" i="45"/>
  <c r="AK1175" i="45"/>
  <c r="U1175" i="45"/>
  <c r="B1280" i="45"/>
  <c r="H1175" i="45"/>
  <c r="J1175" i="45" s="1"/>
  <c r="AR1181" i="45"/>
  <c r="AN1181" i="45"/>
  <c r="AJ1181" i="45"/>
  <c r="AF1181" i="45"/>
  <c r="AB1181" i="45"/>
  <c r="X1181" i="45"/>
  <c r="T1181" i="45"/>
  <c r="P1181" i="45"/>
  <c r="L1181" i="45"/>
  <c r="AU1181" i="45"/>
  <c r="AQ1181" i="45"/>
  <c r="AM1181" i="45"/>
  <c r="AI1181" i="45"/>
  <c r="AE1181" i="45"/>
  <c r="AA1181" i="45"/>
  <c r="W1181" i="45"/>
  <c r="S1181" i="45"/>
  <c r="O1181" i="45"/>
  <c r="AT1181" i="45"/>
  <c r="AP1181" i="45"/>
  <c r="AL1181" i="45"/>
  <c r="AH1181" i="45"/>
  <c r="AD1181" i="45"/>
  <c r="Z1181" i="45"/>
  <c r="V1181" i="45"/>
  <c r="R1181" i="45"/>
  <c r="N1181" i="45"/>
  <c r="AO1181" i="45"/>
  <c r="Y1181" i="45"/>
  <c r="AK1181" i="45"/>
  <c r="U1181" i="45"/>
  <c r="AG1181" i="45"/>
  <c r="Q1181" i="45"/>
  <c r="M1181" i="45"/>
  <c r="AS1181" i="45"/>
  <c r="AC1181" i="45"/>
  <c r="B1286" i="45"/>
  <c r="H1181" i="45"/>
  <c r="J1181" i="45" s="1"/>
  <c r="AR1199" i="45"/>
  <c r="AN1199" i="45"/>
  <c r="AJ1199" i="45"/>
  <c r="AF1199" i="45"/>
  <c r="AB1199" i="45"/>
  <c r="X1199" i="45"/>
  <c r="T1199" i="45"/>
  <c r="P1199" i="45"/>
  <c r="L1199" i="45"/>
  <c r="AU1199" i="45"/>
  <c r="AQ1199" i="45"/>
  <c r="AM1199" i="45"/>
  <c r="AI1199" i="45"/>
  <c r="AE1199" i="45"/>
  <c r="AA1199" i="45"/>
  <c r="W1199" i="45"/>
  <c r="S1199" i="45"/>
  <c r="O1199" i="45"/>
  <c r="AT1199" i="45"/>
  <c r="AP1199" i="45"/>
  <c r="AL1199" i="45"/>
  <c r="AH1199" i="45"/>
  <c r="AD1199" i="45"/>
  <c r="Z1199" i="45"/>
  <c r="V1199" i="45"/>
  <c r="R1199" i="45"/>
  <c r="N1199" i="45"/>
  <c r="AG1199" i="45"/>
  <c r="Q1199" i="45"/>
  <c r="AS1199" i="45"/>
  <c r="AC1199" i="45"/>
  <c r="M1199" i="45"/>
  <c r="AO1199" i="45"/>
  <c r="Y1199" i="45"/>
  <c r="AK1199" i="45"/>
  <c r="U1199" i="45"/>
  <c r="B1304" i="45"/>
  <c r="H1199" i="45"/>
  <c r="J1199" i="45" s="1"/>
  <c r="AU1139" i="45"/>
  <c r="AQ1139" i="45"/>
  <c r="AM1139" i="45"/>
  <c r="AI1139" i="45"/>
  <c r="AE1139" i="45"/>
  <c r="AA1139" i="45"/>
  <c r="W1139" i="45"/>
  <c r="S1139" i="45"/>
  <c r="O1139" i="45"/>
  <c r="AT1139" i="45"/>
  <c r="AP1139" i="45"/>
  <c r="AL1139" i="45"/>
  <c r="AH1139" i="45"/>
  <c r="AD1139" i="45"/>
  <c r="Z1139" i="45"/>
  <c r="V1139" i="45"/>
  <c r="R1139" i="45"/>
  <c r="N1139" i="45"/>
  <c r="AR1139" i="45"/>
  <c r="AJ1139" i="45"/>
  <c r="AB1139" i="45"/>
  <c r="T1139" i="45"/>
  <c r="L1139" i="45"/>
  <c r="AO1139" i="45"/>
  <c r="AG1139" i="45"/>
  <c r="Y1139" i="45"/>
  <c r="Q1139" i="45"/>
  <c r="AN1139" i="45"/>
  <c r="AF1139" i="45"/>
  <c r="X1139" i="45"/>
  <c r="P1139" i="45"/>
  <c r="U1139" i="45"/>
  <c r="AS1139" i="45"/>
  <c r="M1139" i="45"/>
  <c r="AK1139" i="45"/>
  <c r="AC1139" i="45"/>
  <c r="B1244" i="45"/>
  <c r="H1139" i="45"/>
  <c r="J1139" i="45" s="1"/>
  <c r="AU1146" i="45"/>
  <c r="AQ1146" i="45"/>
  <c r="AM1146" i="45"/>
  <c r="AI1146" i="45"/>
  <c r="AE1146" i="45"/>
  <c r="AA1146" i="45"/>
  <c r="W1146" i="45"/>
  <c r="S1146" i="45"/>
  <c r="O1146" i="45"/>
  <c r="AT1146" i="45"/>
  <c r="AP1146" i="45"/>
  <c r="AL1146" i="45"/>
  <c r="AH1146" i="45"/>
  <c r="AD1146" i="45"/>
  <c r="Z1146" i="45"/>
  <c r="V1146" i="45"/>
  <c r="R1146" i="45"/>
  <c r="N1146" i="45"/>
  <c r="AN1146" i="45"/>
  <c r="AF1146" i="45"/>
  <c r="X1146" i="45"/>
  <c r="P1146" i="45"/>
  <c r="AS1146" i="45"/>
  <c r="AK1146" i="45"/>
  <c r="AC1146" i="45"/>
  <c r="U1146" i="45"/>
  <c r="M1146" i="45"/>
  <c r="AR1146" i="45"/>
  <c r="AJ1146" i="45"/>
  <c r="AB1146" i="45"/>
  <c r="T1146" i="45"/>
  <c r="L1146" i="45"/>
  <c r="Y1146" i="45"/>
  <c r="Q1146" i="45"/>
  <c r="AO1146" i="45"/>
  <c r="AG1146" i="45"/>
  <c r="B1251" i="45"/>
  <c r="H1146" i="45"/>
  <c r="J1146" i="45" s="1"/>
  <c r="AR1188" i="45"/>
  <c r="AN1188" i="45"/>
  <c r="AJ1188" i="45"/>
  <c r="AF1188" i="45"/>
  <c r="AB1188" i="45"/>
  <c r="X1188" i="45"/>
  <c r="T1188" i="45"/>
  <c r="P1188" i="45"/>
  <c r="L1188" i="45"/>
  <c r="AU1188" i="45"/>
  <c r="AQ1188" i="45"/>
  <c r="AM1188" i="45"/>
  <c r="AI1188" i="45"/>
  <c r="AE1188" i="45"/>
  <c r="AA1188" i="45"/>
  <c r="W1188" i="45"/>
  <c r="S1188" i="45"/>
  <c r="O1188" i="45"/>
  <c r="AT1188" i="45"/>
  <c r="AP1188" i="45"/>
  <c r="AL1188" i="45"/>
  <c r="AH1188" i="45"/>
  <c r="AD1188" i="45"/>
  <c r="Z1188" i="45"/>
  <c r="V1188" i="45"/>
  <c r="R1188" i="45"/>
  <c r="N1188" i="45"/>
  <c r="AS1188" i="45"/>
  <c r="AC1188" i="45"/>
  <c r="M1188" i="45"/>
  <c r="AO1188" i="45"/>
  <c r="Y1188" i="45"/>
  <c r="AK1188" i="45"/>
  <c r="U1188" i="45"/>
  <c r="Q1188" i="45"/>
  <c r="AG1188" i="45"/>
  <c r="B1293" i="45"/>
  <c r="H1188" i="45"/>
  <c r="J1188" i="45" s="1"/>
  <c r="AR1211" i="45"/>
  <c r="AN1211" i="45"/>
  <c r="AJ1211" i="45"/>
  <c r="AF1211" i="45"/>
  <c r="AB1211" i="45"/>
  <c r="X1211" i="45"/>
  <c r="T1211" i="45"/>
  <c r="P1211" i="45"/>
  <c r="L1211" i="45"/>
  <c r="AU1211" i="45"/>
  <c r="AQ1211" i="45"/>
  <c r="AM1211" i="45"/>
  <c r="AI1211" i="45"/>
  <c r="AE1211" i="45"/>
  <c r="AA1211" i="45"/>
  <c r="W1211" i="45"/>
  <c r="S1211" i="45"/>
  <c r="O1211" i="45"/>
  <c r="AT1211" i="45"/>
  <c r="AP1211" i="45"/>
  <c r="AL1211" i="45"/>
  <c r="AH1211" i="45"/>
  <c r="AD1211" i="45"/>
  <c r="Z1211" i="45"/>
  <c r="V1211" i="45"/>
  <c r="R1211" i="45"/>
  <c r="N1211" i="45"/>
  <c r="AG1211" i="45"/>
  <c r="Q1211" i="45"/>
  <c r="AS1211" i="45"/>
  <c r="AC1211" i="45"/>
  <c r="M1211" i="45"/>
  <c r="AO1211" i="45"/>
  <c r="Y1211" i="45"/>
  <c r="U1211" i="45"/>
  <c r="AK1211" i="45"/>
  <c r="H1211" i="45"/>
  <c r="J1211" i="45" s="1"/>
  <c r="B1316" i="45"/>
  <c r="AR1180" i="45"/>
  <c r="AN1180" i="45"/>
  <c r="AJ1180" i="45"/>
  <c r="AF1180" i="45"/>
  <c r="AB1180" i="45"/>
  <c r="X1180" i="45"/>
  <c r="T1180" i="45"/>
  <c r="P1180" i="45"/>
  <c r="L1180" i="45"/>
  <c r="AU1180" i="45"/>
  <c r="AQ1180" i="45"/>
  <c r="AM1180" i="45"/>
  <c r="AI1180" i="45"/>
  <c r="AE1180" i="45"/>
  <c r="AA1180" i="45"/>
  <c r="W1180" i="45"/>
  <c r="S1180" i="45"/>
  <c r="O1180" i="45"/>
  <c r="AT1180" i="45"/>
  <c r="AP1180" i="45"/>
  <c r="AL1180" i="45"/>
  <c r="AH1180" i="45"/>
  <c r="AD1180" i="45"/>
  <c r="Z1180" i="45"/>
  <c r="V1180" i="45"/>
  <c r="R1180" i="45"/>
  <c r="N1180" i="45"/>
  <c r="AS1180" i="45"/>
  <c r="AC1180" i="45"/>
  <c r="M1180" i="45"/>
  <c r="AO1180" i="45"/>
  <c r="Y1180" i="45"/>
  <c r="AK1180" i="45"/>
  <c r="U1180" i="45"/>
  <c r="AG1180" i="45"/>
  <c r="Q1180" i="45"/>
  <c r="H1180" i="45"/>
  <c r="J1180" i="45" s="1"/>
  <c r="B1285" i="45"/>
  <c r="AR1194" i="45"/>
  <c r="AN1194" i="45"/>
  <c r="AJ1194" i="45"/>
  <c r="AF1194" i="45"/>
  <c r="AB1194" i="45"/>
  <c r="X1194" i="45"/>
  <c r="T1194" i="45"/>
  <c r="P1194" i="45"/>
  <c r="L1194" i="45"/>
  <c r="AU1194" i="45"/>
  <c r="AQ1194" i="45"/>
  <c r="AM1194" i="45"/>
  <c r="AI1194" i="45"/>
  <c r="AE1194" i="45"/>
  <c r="AA1194" i="45"/>
  <c r="W1194" i="45"/>
  <c r="S1194" i="45"/>
  <c r="O1194" i="45"/>
  <c r="AT1194" i="45"/>
  <c r="AP1194" i="45"/>
  <c r="AL1194" i="45"/>
  <c r="AH1194" i="45"/>
  <c r="AD1194" i="45"/>
  <c r="Z1194" i="45"/>
  <c r="V1194" i="45"/>
  <c r="R1194" i="45"/>
  <c r="N1194" i="45"/>
  <c r="AK1194" i="45"/>
  <c r="U1194" i="45"/>
  <c r="AG1194" i="45"/>
  <c r="Q1194" i="45"/>
  <c r="AS1194" i="45"/>
  <c r="AC1194" i="45"/>
  <c r="M1194" i="45"/>
  <c r="AO1194" i="45"/>
  <c r="Y1194" i="45"/>
  <c r="B1299" i="45"/>
  <c r="H1194" i="45"/>
  <c r="J1194" i="45" s="1"/>
  <c r="AR1173" i="45"/>
  <c r="AN1173" i="45"/>
  <c r="AJ1173" i="45"/>
  <c r="AF1173" i="45"/>
  <c r="AB1173" i="45"/>
  <c r="X1173" i="45"/>
  <c r="T1173" i="45"/>
  <c r="P1173" i="45"/>
  <c r="L1173" i="45"/>
  <c r="AU1173" i="45"/>
  <c r="AQ1173" i="45"/>
  <c r="AM1173" i="45"/>
  <c r="AI1173" i="45"/>
  <c r="AE1173" i="45"/>
  <c r="AA1173" i="45"/>
  <c r="W1173" i="45"/>
  <c r="S1173" i="45"/>
  <c r="O1173" i="45"/>
  <c r="AT1173" i="45"/>
  <c r="AP1173" i="45"/>
  <c r="AL1173" i="45"/>
  <c r="AH1173" i="45"/>
  <c r="AD1173" i="45"/>
  <c r="Z1173" i="45"/>
  <c r="V1173" i="45"/>
  <c r="R1173" i="45"/>
  <c r="N1173" i="45"/>
  <c r="AO1173" i="45"/>
  <c r="Y1173" i="45"/>
  <c r="AK1173" i="45"/>
  <c r="U1173" i="45"/>
  <c r="AG1173" i="45"/>
  <c r="Q1173" i="45"/>
  <c r="AS1173" i="45"/>
  <c r="AC1173" i="45"/>
  <c r="M1173" i="45"/>
  <c r="B1278" i="45"/>
  <c r="H1173" i="45"/>
  <c r="J1173" i="45" s="1"/>
  <c r="AU1082" i="45"/>
  <c r="AQ1082" i="45"/>
  <c r="AM1082" i="45"/>
  <c r="AI1082" i="45"/>
  <c r="AE1082" i="45"/>
  <c r="AA1082" i="45"/>
  <c r="W1082" i="45"/>
  <c r="S1082" i="45"/>
  <c r="O1082" i="45"/>
  <c r="AT1082" i="45"/>
  <c r="AP1082" i="45"/>
  <c r="AL1082" i="45"/>
  <c r="AH1082" i="45"/>
  <c r="AD1082" i="45"/>
  <c r="Z1082" i="45"/>
  <c r="V1082" i="45"/>
  <c r="R1082" i="45"/>
  <c r="N1082" i="45"/>
  <c r="AN1082" i="45"/>
  <c r="AF1082" i="45"/>
  <c r="X1082" i="45"/>
  <c r="P1082" i="45"/>
  <c r="AS1082" i="45"/>
  <c r="AK1082" i="45"/>
  <c r="AC1082" i="45"/>
  <c r="U1082" i="45"/>
  <c r="M1082" i="45"/>
  <c r="AR1082" i="45"/>
  <c r="AJ1082" i="45"/>
  <c r="AB1082" i="45"/>
  <c r="T1082" i="45"/>
  <c r="L1082" i="45"/>
  <c r="AG1082" i="45"/>
  <c r="Y1082" i="45"/>
  <c r="Q1082" i="45"/>
  <c r="AO1082" i="45"/>
  <c r="H1082" i="45"/>
  <c r="J1082" i="45" s="1"/>
  <c r="B1187" i="45"/>
  <c r="AR1190" i="45"/>
  <c r="AN1190" i="45"/>
  <c r="AJ1190" i="45"/>
  <c r="AF1190" i="45"/>
  <c r="AB1190" i="45"/>
  <c r="X1190" i="45"/>
  <c r="T1190" i="45"/>
  <c r="P1190" i="45"/>
  <c r="L1190" i="45"/>
  <c r="AU1190" i="45"/>
  <c r="AQ1190" i="45"/>
  <c r="AM1190" i="45"/>
  <c r="AI1190" i="45"/>
  <c r="AE1190" i="45"/>
  <c r="AA1190" i="45"/>
  <c r="W1190" i="45"/>
  <c r="S1190" i="45"/>
  <c r="O1190" i="45"/>
  <c r="AT1190" i="45"/>
  <c r="AP1190" i="45"/>
  <c r="AL1190" i="45"/>
  <c r="AH1190" i="45"/>
  <c r="AD1190" i="45"/>
  <c r="Z1190" i="45"/>
  <c r="V1190" i="45"/>
  <c r="R1190" i="45"/>
  <c r="N1190" i="45"/>
  <c r="AK1190" i="45"/>
  <c r="U1190" i="45"/>
  <c r="AG1190" i="45"/>
  <c r="Q1190" i="45"/>
  <c r="AS1190" i="45"/>
  <c r="AC1190" i="45"/>
  <c r="M1190" i="45"/>
  <c r="AO1190" i="45"/>
  <c r="Y1190" i="45"/>
  <c r="H1190" i="45"/>
  <c r="J1190" i="45" s="1"/>
  <c r="B1295" i="45"/>
  <c r="AU1142" i="45"/>
  <c r="AQ1142" i="45"/>
  <c r="AM1142" i="45"/>
  <c r="AI1142" i="45"/>
  <c r="AE1142" i="45"/>
  <c r="AA1142" i="45"/>
  <c r="W1142" i="45"/>
  <c r="S1142" i="45"/>
  <c r="O1142" i="45"/>
  <c r="AT1142" i="45"/>
  <c r="AP1142" i="45"/>
  <c r="AL1142" i="45"/>
  <c r="AH1142" i="45"/>
  <c r="AD1142" i="45"/>
  <c r="Z1142" i="45"/>
  <c r="V1142" i="45"/>
  <c r="R1142" i="45"/>
  <c r="N1142" i="45"/>
  <c r="AN1142" i="45"/>
  <c r="AF1142" i="45"/>
  <c r="X1142" i="45"/>
  <c r="P1142" i="45"/>
  <c r="AS1142" i="45"/>
  <c r="AK1142" i="45"/>
  <c r="AC1142" i="45"/>
  <c r="U1142" i="45"/>
  <c r="M1142" i="45"/>
  <c r="AR1142" i="45"/>
  <c r="AJ1142" i="45"/>
  <c r="AB1142" i="45"/>
  <c r="T1142" i="45"/>
  <c r="L1142" i="45"/>
  <c r="AO1142" i="45"/>
  <c r="AG1142" i="45"/>
  <c r="Y1142" i="45"/>
  <c r="Q1142" i="45"/>
  <c r="H1142" i="45"/>
  <c r="J1142" i="45" s="1"/>
  <c r="B1247" i="45"/>
  <c r="AU1156" i="45"/>
  <c r="AQ1156" i="45"/>
  <c r="AM1156" i="45"/>
  <c r="AI1156" i="45"/>
  <c r="AE1156" i="45"/>
  <c r="AA1156" i="45"/>
  <c r="W1156" i="45"/>
  <c r="S1156" i="45"/>
  <c r="O1156" i="45"/>
  <c r="AT1156" i="45"/>
  <c r="AP1156" i="45"/>
  <c r="AL1156" i="45"/>
  <c r="AH1156" i="45"/>
  <c r="AD1156" i="45"/>
  <c r="Z1156" i="45"/>
  <c r="V1156" i="45"/>
  <c r="R1156" i="45"/>
  <c r="N1156" i="45"/>
  <c r="AN1156" i="45"/>
  <c r="AF1156" i="45"/>
  <c r="X1156" i="45"/>
  <c r="P1156" i="45"/>
  <c r="AS1156" i="45"/>
  <c r="AK1156" i="45"/>
  <c r="AC1156" i="45"/>
  <c r="U1156" i="45"/>
  <c r="M1156" i="45"/>
  <c r="AR1156" i="45"/>
  <c r="AJ1156" i="45"/>
  <c r="AB1156" i="45"/>
  <c r="T1156" i="45"/>
  <c r="L1156" i="45"/>
  <c r="Q1156" i="45"/>
  <c r="AO1156" i="45"/>
  <c r="AG1156" i="45"/>
  <c r="Y1156" i="45"/>
  <c r="B1261" i="45"/>
  <c r="H1156" i="45"/>
  <c r="J1156" i="45" s="1"/>
  <c r="AU1135" i="45"/>
  <c r="AQ1135" i="45"/>
  <c r="AM1135" i="45"/>
  <c r="AI1135" i="45"/>
  <c r="AE1135" i="45"/>
  <c r="AA1135" i="45"/>
  <c r="W1135" i="45"/>
  <c r="S1135" i="45"/>
  <c r="O1135" i="45"/>
  <c r="AT1135" i="45"/>
  <c r="AP1135" i="45"/>
  <c r="AL1135" i="45"/>
  <c r="AH1135" i="45"/>
  <c r="AD1135" i="45"/>
  <c r="Z1135" i="45"/>
  <c r="V1135" i="45"/>
  <c r="R1135" i="45"/>
  <c r="N1135" i="45"/>
  <c r="AR1135" i="45"/>
  <c r="AJ1135" i="45"/>
  <c r="AB1135" i="45"/>
  <c r="T1135" i="45"/>
  <c r="L1135" i="45"/>
  <c r="AO1135" i="45"/>
  <c r="AG1135" i="45"/>
  <c r="Y1135" i="45"/>
  <c r="Q1135" i="45"/>
  <c r="AN1135" i="45"/>
  <c r="AF1135" i="45"/>
  <c r="X1135" i="45"/>
  <c r="P1135" i="45"/>
  <c r="AK1135" i="45"/>
  <c r="AC1135" i="45"/>
  <c r="U1135" i="45"/>
  <c r="AS1135" i="45"/>
  <c r="M1135" i="45"/>
  <c r="H1135" i="45"/>
  <c r="J1135" i="45" s="1"/>
  <c r="B1240" i="45"/>
  <c r="AR1212" i="45"/>
  <c r="AN1212" i="45"/>
  <c r="AJ1212" i="45"/>
  <c r="AF1212" i="45"/>
  <c r="AB1212" i="45"/>
  <c r="X1212" i="45"/>
  <c r="T1212" i="45"/>
  <c r="P1212" i="45"/>
  <c r="L1212" i="45"/>
  <c r="AU1212" i="45"/>
  <c r="AQ1212" i="45"/>
  <c r="AM1212" i="45"/>
  <c r="AI1212" i="45"/>
  <c r="AE1212" i="45"/>
  <c r="AA1212" i="45"/>
  <c r="W1212" i="45"/>
  <c r="S1212" i="45"/>
  <c r="O1212" i="45"/>
  <c r="AT1212" i="45"/>
  <c r="AP1212" i="45"/>
  <c r="AL1212" i="45"/>
  <c r="AH1212" i="45"/>
  <c r="AD1212" i="45"/>
  <c r="Z1212" i="45"/>
  <c r="V1212" i="45"/>
  <c r="R1212" i="45"/>
  <c r="N1212" i="45"/>
  <c r="AS1212" i="45"/>
  <c r="AC1212" i="45"/>
  <c r="M1212" i="45"/>
  <c r="AO1212" i="45"/>
  <c r="Y1212" i="45"/>
  <c r="AK1212" i="45"/>
  <c r="U1212" i="45"/>
  <c r="AG1212" i="45"/>
  <c r="Q1212" i="45"/>
  <c r="B1317" i="45"/>
  <c r="H1212" i="45"/>
  <c r="J1212" i="45" s="1"/>
  <c r="AU1145" i="45"/>
  <c r="AQ1145" i="45"/>
  <c r="AM1145" i="45"/>
  <c r="AI1145" i="45"/>
  <c r="AE1145" i="45"/>
  <c r="AA1145" i="45"/>
  <c r="W1145" i="45"/>
  <c r="S1145" i="45"/>
  <c r="O1145" i="45"/>
  <c r="AT1145" i="45"/>
  <c r="AP1145" i="45"/>
  <c r="AL1145" i="45"/>
  <c r="AH1145" i="45"/>
  <c r="AD1145" i="45"/>
  <c r="Z1145" i="45"/>
  <c r="V1145" i="45"/>
  <c r="R1145" i="45"/>
  <c r="N1145" i="45"/>
  <c r="AR1145" i="45"/>
  <c r="AJ1145" i="45"/>
  <c r="AB1145" i="45"/>
  <c r="T1145" i="45"/>
  <c r="L1145" i="45"/>
  <c r="AO1145" i="45"/>
  <c r="AG1145" i="45"/>
  <c r="Y1145" i="45"/>
  <c r="Q1145" i="45"/>
  <c r="AN1145" i="45"/>
  <c r="AF1145" i="45"/>
  <c r="X1145" i="45"/>
  <c r="P1145" i="45"/>
  <c r="AC1145" i="45"/>
  <c r="U1145" i="45"/>
  <c r="AS1145" i="45"/>
  <c r="M1145" i="45"/>
  <c r="AK1145" i="45"/>
  <c r="H1145" i="45"/>
  <c r="J1145" i="45" s="1"/>
  <c r="B1250" i="45"/>
  <c r="AU1140" i="45"/>
  <c r="AQ1140" i="45"/>
  <c r="AM1140" i="45"/>
  <c r="AI1140" i="45"/>
  <c r="AE1140" i="45"/>
  <c r="AA1140" i="45"/>
  <c r="W1140" i="45"/>
  <c r="S1140" i="45"/>
  <c r="O1140" i="45"/>
  <c r="AT1140" i="45"/>
  <c r="AP1140" i="45"/>
  <c r="AL1140" i="45"/>
  <c r="AH1140" i="45"/>
  <c r="AD1140" i="45"/>
  <c r="Z1140" i="45"/>
  <c r="V1140" i="45"/>
  <c r="R1140" i="45"/>
  <c r="N1140" i="45"/>
  <c r="AN1140" i="45"/>
  <c r="AF1140" i="45"/>
  <c r="X1140" i="45"/>
  <c r="P1140" i="45"/>
  <c r="AS1140" i="45"/>
  <c r="AK1140" i="45"/>
  <c r="AC1140" i="45"/>
  <c r="U1140" i="45"/>
  <c r="M1140" i="45"/>
  <c r="AR1140" i="45"/>
  <c r="AJ1140" i="45"/>
  <c r="AB1140" i="45"/>
  <c r="T1140" i="45"/>
  <c r="L1140" i="45"/>
  <c r="Q1140" i="45"/>
  <c r="AO1140" i="45"/>
  <c r="AG1140" i="45"/>
  <c r="Y1140" i="45"/>
  <c r="B1245" i="45"/>
  <c r="H1140" i="45"/>
  <c r="J1140" i="45" s="1"/>
  <c r="AT1332" i="45"/>
  <c r="AP1332" i="45"/>
  <c r="AL1332" i="45"/>
  <c r="AH1332" i="45"/>
  <c r="AD1332" i="45"/>
  <c r="Z1332" i="45"/>
  <c r="V1332" i="45"/>
  <c r="R1332" i="45"/>
  <c r="N1332" i="45"/>
  <c r="AS1332" i="45"/>
  <c r="AO1332" i="45"/>
  <c r="AK1332" i="45"/>
  <c r="AG1332" i="45"/>
  <c r="AC1332" i="45"/>
  <c r="Y1332" i="45"/>
  <c r="U1332" i="45"/>
  <c r="Q1332" i="45"/>
  <c r="M1332" i="45"/>
  <c r="AR1332" i="45"/>
  <c r="AN1332" i="45"/>
  <c r="AJ1332" i="45"/>
  <c r="AF1332" i="45"/>
  <c r="AB1332" i="45"/>
  <c r="X1332" i="45"/>
  <c r="T1332" i="45"/>
  <c r="P1332" i="45"/>
  <c r="L1332" i="45"/>
  <c r="AU1332" i="45"/>
  <c r="AE1332" i="45"/>
  <c r="O1332" i="45"/>
  <c r="AQ1332" i="45"/>
  <c r="AA1332" i="45"/>
  <c r="AM1332" i="45"/>
  <c r="W1332" i="45"/>
  <c r="AI1332" i="45"/>
  <c r="S1332" i="45"/>
  <c r="B1437" i="45"/>
  <c r="H1332" i="45"/>
  <c r="J1332" i="45" s="1"/>
  <c r="AR1198" i="45"/>
  <c r="AN1198" i="45"/>
  <c r="AJ1198" i="45"/>
  <c r="AF1198" i="45"/>
  <c r="AB1198" i="45"/>
  <c r="X1198" i="45"/>
  <c r="T1198" i="45"/>
  <c r="P1198" i="45"/>
  <c r="L1198" i="45"/>
  <c r="AU1198" i="45"/>
  <c r="AQ1198" i="45"/>
  <c r="AM1198" i="45"/>
  <c r="AI1198" i="45"/>
  <c r="AE1198" i="45"/>
  <c r="AA1198" i="45"/>
  <c r="W1198" i="45"/>
  <c r="S1198" i="45"/>
  <c r="O1198" i="45"/>
  <c r="AT1198" i="45"/>
  <c r="AP1198" i="45"/>
  <c r="AL1198" i="45"/>
  <c r="AH1198" i="45"/>
  <c r="AD1198" i="45"/>
  <c r="Z1198" i="45"/>
  <c r="V1198" i="45"/>
  <c r="R1198" i="45"/>
  <c r="N1198" i="45"/>
  <c r="AK1198" i="45"/>
  <c r="U1198" i="45"/>
  <c r="AG1198" i="45"/>
  <c r="Q1198" i="45"/>
  <c r="AS1198" i="45"/>
  <c r="AC1198" i="45"/>
  <c r="M1198" i="45"/>
  <c r="AO1198" i="45"/>
  <c r="Y1198" i="45"/>
  <c r="B1303" i="45"/>
  <c r="H1198" i="45"/>
  <c r="J1198" i="45" s="1"/>
  <c r="AU1136" i="45"/>
  <c r="AQ1136" i="45"/>
  <c r="AM1136" i="45"/>
  <c r="AI1136" i="45"/>
  <c r="AE1136" i="45"/>
  <c r="AA1136" i="45"/>
  <c r="W1136" i="45"/>
  <c r="S1136" i="45"/>
  <c r="O1136" i="45"/>
  <c r="AT1136" i="45"/>
  <c r="AP1136" i="45"/>
  <c r="AL1136" i="45"/>
  <c r="AH1136" i="45"/>
  <c r="AD1136" i="45"/>
  <c r="Z1136" i="45"/>
  <c r="V1136" i="45"/>
  <c r="R1136" i="45"/>
  <c r="N1136" i="45"/>
  <c r="AN1136" i="45"/>
  <c r="AF1136" i="45"/>
  <c r="X1136" i="45"/>
  <c r="P1136" i="45"/>
  <c r="AS1136" i="45"/>
  <c r="AK1136" i="45"/>
  <c r="AC1136" i="45"/>
  <c r="U1136" i="45"/>
  <c r="M1136" i="45"/>
  <c r="AR1136" i="45"/>
  <c r="AJ1136" i="45"/>
  <c r="AB1136" i="45"/>
  <c r="T1136" i="45"/>
  <c r="L1136" i="45"/>
  <c r="AG1136" i="45"/>
  <c r="Y1136" i="45"/>
  <c r="Q1136" i="45"/>
  <c r="AO1136" i="45"/>
  <c r="B1241" i="45"/>
  <c r="H1136" i="45"/>
  <c r="J1136" i="45" s="1"/>
  <c r="AR1214" i="45"/>
  <c r="AN1214" i="45"/>
  <c r="AJ1214" i="45"/>
  <c r="AF1214" i="45"/>
  <c r="AB1214" i="45"/>
  <c r="X1214" i="45"/>
  <c r="T1214" i="45"/>
  <c r="P1214" i="45"/>
  <c r="L1214" i="45"/>
  <c r="AU1214" i="45"/>
  <c r="AQ1214" i="45"/>
  <c r="AM1214" i="45"/>
  <c r="AI1214" i="45"/>
  <c r="AE1214" i="45"/>
  <c r="AA1214" i="45"/>
  <c r="W1214" i="45"/>
  <c r="S1214" i="45"/>
  <c r="O1214" i="45"/>
  <c r="AT1214" i="45"/>
  <c r="AP1214" i="45"/>
  <c r="AL1214" i="45"/>
  <c r="AH1214" i="45"/>
  <c r="AD1214" i="45"/>
  <c r="Z1214" i="45"/>
  <c r="V1214" i="45"/>
  <c r="R1214" i="45"/>
  <c r="N1214" i="45"/>
  <c r="AK1214" i="45"/>
  <c r="U1214" i="45"/>
  <c r="AG1214" i="45"/>
  <c r="Q1214" i="45"/>
  <c r="AS1214" i="45"/>
  <c r="AC1214" i="45"/>
  <c r="M1214" i="45"/>
  <c r="AO1214" i="45"/>
  <c r="Y1214" i="45"/>
  <c r="B1319" i="45"/>
  <c r="H1214" i="45"/>
  <c r="J1214" i="45" s="1"/>
  <c r="AU1149" i="45"/>
  <c r="AQ1149" i="45"/>
  <c r="AM1149" i="45"/>
  <c r="AI1149" i="45"/>
  <c r="AE1149" i="45"/>
  <c r="AA1149" i="45"/>
  <c r="W1149" i="45"/>
  <c r="S1149" i="45"/>
  <c r="O1149" i="45"/>
  <c r="AT1149" i="45"/>
  <c r="AP1149" i="45"/>
  <c r="AL1149" i="45"/>
  <c r="AH1149" i="45"/>
  <c r="AD1149" i="45"/>
  <c r="Z1149" i="45"/>
  <c r="V1149" i="45"/>
  <c r="R1149" i="45"/>
  <c r="N1149" i="45"/>
  <c r="AR1149" i="45"/>
  <c r="AJ1149" i="45"/>
  <c r="AB1149" i="45"/>
  <c r="T1149" i="45"/>
  <c r="L1149" i="45"/>
  <c r="AO1149" i="45"/>
  <c r="AG1149" i="45"/>
  <c r="Y1149" i="45"/>
  <c r="Q1149" i="45"/>
  <c r="AN1149" i="45"/>
  <c r="AF1149" i="45"/>
  <c r="X1149" i="45"/>
  <c r="P1149" i="45"/>
  <c r="AS1149" i="45"/>
  <c r="M1149" i="45"/>
  <c r="AK1149" i="45"/>
  <c r="AC1149" i="45"/>
  <c r="U1149" i="45"/>
  <c r="B1254" i="45"/>
  <c r="H1149" i="45"/>
  <c r="J1149" i="45" s="1"/>
  <c r="AU1077" i="45"/>
  <c r="AQ1077" i="45"/>
  <c r="AM1077" i="45"/>
  <c r="AI1077" i="45"/>
  <c r="AE1077" i="45"/>
  <c r="AA1077" i="45"/>
  <c r="W1077" i="45"/>
  <c r="S1077" i="45"/>
  <c r="O1077" i="45"/>
  <c r="AT1077" i="45"/>
  <c r="AP1077" i="45"/>
  <c r="AL1077" i="45"/>
  <c r="AH1077" i="45"/>
  <c r="AD1077" i="45"/>
  <c r="Z1077" i="45"/>
  <c r="V1077" i="45"/>
  <c r="R1077" i="45"/>
  <c r="N1077" i="45"/>
  <c r="AR1077" i="45"/>
  <c r="AJ1077" i="45"/>
  <c r="AB1077" i="45"/>
  <c r="T1077" i="45"/>
  <c r="L1077" i="45"/>
  <c r="AO1077" i="45"/>
  <c r="AG1077" i="45"/>
  <c r="Y1077" i="45"/>
  <c r="Q1077" i="45"/>
  <c r="AN1077" i="45"/>
  <c r="AF1077" i="45"/>
  <c r="X1077" i="45"/>
  <c r="P1077" i="45"/>
  <c r="U1077" i="45"/>
  <c r="AS1077" i="45"/>
  <c r="M1077" i="45"/>
  <c r="AK1077" i="45"/>
  <c r="AC1077" i="45"/>
  <c r="H1077" i="45"/>
  <c r="J1077" i="45" s="1"/>
  <c r="B1182" i="45"/>
  <c r="AU1134" i="45"/>
  <c r="AQ1134" i="45"/>
  <c r="AM1134" i="45"/>
  <c r="AI1134" i="45"/>
  <c r="AE1134" i="45"/>
  <c r="AA1134" i="45"/>
  <c r="W1134" i="45"/>
  <c r="S1134" i="45"/>
  <c r="O1134" i="45"/>
  <c r="AT1134" i="45"/>
  <c r="AP1134" i="45"/>
  <c r="AL1134" i="45"/>
  <c r="AH1134" i="45"/>
  <c r="AD1134" i="45"/>
  <c r="Z1134" i="45"/>
  <c r="V1134" i="45"/>
  <c r="R1134" i="45"/>
  <c r="N1134" i="45"/>
  <c r="AN1134" i="45"/>
  <c r="AF1134" i="45"/>
  <c r="X1134" i="45"/>
  <c r="P1134" i="45"/>
  <c r="AS1134" i="45"/>
  <c r="AK1134" i="45"/>
  <c r="AC1134" i="45"/>
  <c r="U1134" i="45"/>
  <c r="M1134" i="45"/>
  <c r="AR1134" i="45"/>
  <c r="AJ1134" i="45"/>
  <c r="AB1134" i="45"/>
  <c r="T1134" i="45"/>
  <c r="L1134" i="45"/>
  <c r="AO1134" i="45"/>
  <c r="AG1134" i="45"/>
  <c r="Y1134" i="45"/>
  <c r="Q1134" i="45"/>
  <c r="B1239" i="45"/>
  <c r="H1134" i="45"/>
  <c r="J1134" i="45" s="1"/>
  <c r="AR1179" i="45"/>
  <c r="AN1179" i="45"/>
  <c r="AJ1179" i="45"/>
  <c r="AF1179" i="45"/>
  <c r="AB1179" i="45"/>
  <c r="X1179" i="45"/>
  <c r="T1179" i="45"/>
  <c r="P1179" i="45"/>
  <c r="L1179" i="45"/>
  <c r="AU1179" i="45"/>
  <c r="AQ1179" i="45"/>
  <c r="AM1179" i="45"/>
  <c r="AI1179" i="45"/>
  <c r="AE1179" i="45"/>
  <c r="AA1179" i="45"/>
  <c r="W1179" i="45"/>
  <c r="S1179" i="45"/>
  <c r="O1179" i="45"/>
  <c r="AT1179" i="45"/>
  <c r="AP1179" i="45"/>
  <c r="AL1179" i="45"/>
  <c r="AH1179" i="45"/>
  <c r="AD1179" i="45"/>
  <c r="Z1179" i="45"/>
  <c r="V1179" i="45"/>
  <c r="R1179" i="45"/>
  <c r="N1179" i="45"/>
  <c r="AG1179" i="45"/>
  <c r="Q1179" i="45"/>
  <c r="AS1179" i="45"/>
  <c r="AC1179" i="45"/>
  <c r="M1179" i="45"/>
  <c r="AO1179" i="45"/>
  <c r="Y1179" i="45"/>
  <c r="U1179" i="45"/>
  <c r="AK1179" i="45"/>
  <c r="H1179" i="45"/>
  <c r="J1179" i="45" s="1"/>
  <c r="B1284" i="45"/>
  <c r="AT1324" i="45"/>
  <c r="AP1324" i="45"/>
  <c r="AL1324" i="45"/>
  <c r="AH1324" i="45"/>
  <c r="AD1324" i="45"/>
  <c r="Z1324" i="45"/>
  <c r="V1324" i="45"/>
  <c r="R1324" i="45"/>
  <c r="N1324" i="45"/>
  <c r="AS1324" i="45"/>
  <c r="AO1324" i="45"/>
  <c r="AK1324" i="45"/>
  <c r="AG1324" i="45"/>
  <c r="AC1324" i="45"/>
  <c r="Y1324" i="45"/>
  <c r="U1324" i="45"/>
  <c r="Q1324" i="45"/>
  <c r="M1324" i="45"/>
  <c r="AR1324" i="45"/>
  <c r="AN1324" i="45"/>
  <c r="AJ1324" i="45"/>
  <c r="AF1324" i="45"/>
  <c r="AB1324" i="45"/>
  <c r="X1324" i="45"/>
  <c r="T1324" i="45"/>
  <c r="P1324" i="45"/>
  <c r="L1324" i="45"/>
  <c r="AU1324" i="45"/>
  <c r="AE1324" i="45"/>
  <c r="O1324" i="45"/>
  <c r="AQ1324" i="45"/>
  <c r="AA1324" i="45"/>
  <c r="AM1324" i="45"/>
  <c r="W1324" i="45"/>
  <c r="AI1324" i="45"/>
  <c r="S1324" i="45"/>
  <c r="B1429" i="45"/>
  <c r="H1324" i="45"/>
  <c r="J1324" i="45" s="1"/>
  <c r="AR1195" i="45"/>
  <c r="AN1195" i="45"/>
  <c r="AJ1195" i="45"/>
  <c r="AF1195" i="45"/>
  <c r="AB1195" i="45"/>
  <c r="X1195" i="45"/>
  <c r="T1195" i="45"/>
  <c r="P1195" i="45"/>
  <c r="L1195" i="45"/>
  <c r="AU1195" i="45"/>
  <c r="AQ1195" i="45"/>
  <c r="AM1195" i="45"/>
  <c r="AI1195" i="45"/>
  <c r="AE1195" i="45"/>
  <c r="AA1195" i="45"/>
  <c r="W1195" i="45"/>
  <c r="S1195" i="45"/>
  <c r="O1195" i="45"/>
  <c r="AT1195" i="45"/>
  <c r="AP1195" i="45"/>
  <c r="AL1195" i="45"/>
  <c r="AH1195" i="45"/>
  <c r="AD1195" i="45"/>
  <c r="Z1195" i="45"/>
  <c r="V1195" i="45"/>
  <c r="R1195" i="45"/>
  <c r="N1195" i="45"/>
  <c r="AG1195" i="45"/>
  <c r="Q1195" i="45"/>
  <c r="AS1195" i="45"/>
  <c r="AC1195" i="45"/>
  <c r="M1195" i="45"/>
  <c r="AO1195" i="45"/>
  <c r="Y1195" i="45"/>
  <c r="U1195" i="45"/>
  <c r="AK1195" i="45"/>
  <c r="B1300" i="45"/>
  <c r="H1195" i="45"/>
  <c r="J1195" i="45" s="1"/>
  <c r="AR1215" i="45"/>
  <c r="AN1215" i="45"/>
  <c r="AJ1215" i="45"/>
  <c r="AF1215" i="45"/>
  <c r="AB1215" i="45"/>
  <c r="X1215" i="45"/>
  <c r="T1215" i="45"/>
  <c r="P1215" i="45"/>
  <c r="L1215" i="45"/>
  <c r="AU1215" i="45"/>
  <c r="AQ1215" i="45"/>
  <c r="AM1215" i="45"/>
  <c r="AI1215" i="45"/>
  <c r="AE1215" i="45"/>
  <c r="AA1215" i="45"/>
  <c r="W1215" i="45"/>
  <c r="S1215" i="45"/>
  <c r="O1215" i="45"/>
  <c r="AT1215" i="45"/>
  <c r="AP1215" i="45"/>
  <c r="AL1215" i="45"/>
  <c r="AH1215" i="45"/>
  <c r="AD1215" i="45"/>
  <c r="Z1215" i="45"/>
  <c r="V1215" i="45"/>
  <c r="R1215" i="45"/>
  <c r="N1215" i="45"/>
  <c r="AG1215" i="45"/>
  <c r="Q1215" i="45"/>
  <c r="AS1215" i="45"/>
  <c r="AC1215" i="45"/>
  <c r="M1215" i="45"/>
  <c r="AO1215" i="45"/>
  <c r="Y1215" i="45"/>
  <c r="AK1215" i="45"/>
  <c r="U1215" i="45"/>
  <c r="B1320" i="45"/>
  <c r="H1215" i="45"/>
  <c r="J1215" i="45" s="1"/>
  <c r="AR1171" i="45"/>
  <c r="AN1171" i="45"/>
  <c r="AJ1171" i="45"/>
  <c r="AF1171" i="45"/>
  <c r="AB1171" i="45"/>
  <c r="X1171" i="45"/>
  <c r="T1171" i="45"/>
  <c r="P1171" i="45"/>
  <c r="L1171" i="45"/>
  <c r="AU1171" i="45"/>
  <c r="AQ1171" i="45"/>
  <c r="AM1171" i="45"/>
  <c r="AI1171" i="45"/>
  <c r="AE1171" i="45"/>
  <c r="AA1171" i="45"/>
  <c r="W1171" i="45"/>
  <c r="S1171" i="45"/>
  <c r="O1171" i="45"/>
  <c r="AT1171" i="45"/>
  <c r="AP1171" i="45"/>
  <c r="AL1171" i="45"/>
  <c r="AH1171" i="45"/>
  <c r="AD1171" i="45"/>
  <c r="Z1171" i="45"/>
  <c r="V1171" i="45"/>
  <c r="R1171" i="45"/>
  <c r="N1171" i="45"/>
  <c r="AG1171" i="45"/>
  <c r="Q1171" i="45"/>
  <c r="AS1171" i="45"/>
  <c r="AC1171" i="45"/>
  <c r="M1171" i="45"/>
  <c r="AO1171" i="45"/>
  <c r="Y1171" i="45"/>
  <c r="AK1171" i="45"/>
  <c r="U1171" i="45"/>
  <c r="H1171" i="45"/>
  <c r="J1171" i="45" s="1"/>
  <c r="B1276" i="45"/>
  <c r="AR1169" i="45"/>
  <c r="AN1169" i="45"/>
  <c r="AJ1169" i="45"/>
  <c r="AF1169" i="45"/>
  <c r="AB1169" i="45"/>
  <c r="X1169" i="45"/>
  <c r="T1169" i="45"/>
  <c r="P1169" i="45"/>
  <c r="L1169" i="45"/>
  <c r="AU1169" i="45"/>
  <c r="AQ1169" i="45"/>
  <c r="AM1169" i="45"/>
  <c r="AI1169" i="45"/>
  <c r="AE1169" i="45"/>
  <c r="AA1169" i="45"/>
  <c r="W1169" i="45"/>
  <c r="S1169" i="45"/>
  <c r="O1169" i="45"/>
  <c r="AT1169" i="45"/>
  <c r="AP1169" i="45"/>
  <c r="AL1169" i="45"/>
  <c r="AH1169" i="45"/>
  <c r="AD1169" i="45"/>
  <c r="Z1169" i="45"/>
  <c r="V1169" i="45"/>
  <c r="R1169" i="45"/>
  <c r="N1169" i="45"/>
  <c r="AO1169" i="45"/>
  <c r="Y1169" i="45"/>
  <c r="AK1169" i="45"/>
  <c r="U1169" i="45"/>
  <c r="AG1169" i="45"/>
  <c r="Q1169" i="45"/>
  <c r="AS1169" i="45"/>
  <c r="AC1169" i="45"/>
  <c r="M1169" i="45"/>
  <c r="H1169" i="45"/>
  <c r="J1169" i="45" s="1"/>
  <c r="B1274" i="45"/>
  <c r="AU1158" i="45"/>
  <c r="AQ1158" i="45"/>
  <c r="AM1158" i="45"/>
  <c r="AI1158" i="45"/>
  <c r="AE1158" i="45"/>
  <c r="AA1158" i="45"/>
  <c r="W1158" i="45"/>
  <c r="S1158" i="45"/>
  <c r="O1158" i="45"/>
  <c r="AT1158" i="45"/>
  <c r="AP1158" i="45"/>
  <c r="AL1158" i="45"/>
  <c r="AH1158" i="45"/>
  <c r="AD1158" i="45"/>
  <c r="Z1158" i="45"/>
  <c r="V1158" i="45"/>
  <c r="R1158" i="45"/>
  <c r="N1158" i="45"/>
  <c r="AN1158" i="45"/>
  <c r="AF1158" i="45"/>
  <c r="X1158" i="45"/>
  <c r="P1158" i="45"/>
  <c r="AS1158" i="45"/>
  <c r="AK1158" i="45"/>
  <c r="AC1158" i="45"/>
  <c r="U1158" i="45"/>
  <c r="M1158" i="45"/>
  <c r="AR1158" i="45"/>
  <c r="AJ1158" i="45"/>
  <c r="AB1158" i="45"/>
  <c r="T1158" i="45"/>
  <c r="L1158" i="45"/>
  <c r="AO1158" i="45"/>
  <c r="AG1158" i="45"/>
  <c r="Y1158" i="45"/>
  <c r="Q1158" i="45"/>
  <c r="B1263" i="45"/>
  <c r="H1158" i="45"/>
  <c r="J1158" i="45" s="1"/>
  <c r="AR1183" i="45"/>
  <c r="AN1183" i="45"/>
  <c r="AJ1183" i="45"/>
  <c r="AF1183" i="45"/>
  <c r="AB1183" i="45"/>
  <c r="X1183" i="45"/>
  <c r="T1183" i="45"/>
  <c r="P1183" i="45"/>
  <c r="L1183" i="45"/>
  <c r="AU1183" i="45"/>
  <c r="AQ1183" i="45"/>
  <c r="AM1183" i="45"/>
  <c r="AI1183" i="45"/>
  <c r="AE1183" i="45"/>
  <c r="AA1183" i="45"/>
  <c r="W1183" i="45"/>
  <c r="S1183" i="45"/>
  <c r="O1183" i="45"/>
  <c r="AT1183" i="45"/>
  <c r="AP1183" i="45"/>
  <c r="AL1183" i="45"/>
  <c r="AH1183" i="45"/>
  <c r="AD1183" i="45"/>
  <c r="Z1183" i="45"/>
  <c r="V1183" i="45"/>
  <c r="R1183" i="45"/>
  <c r="N1183" i="45"/>
  <c r="AG1183" i="45"/>
  <c r="Q1183" i="45"/>
  <c r="AS1183" i="45"/>
  <c r="AC1183" i="45"/>
  <c r="M1183" i="45"/>
  <c r="AO1183" i="45"/>
  <c r="Y1183" i="45"/>
  <c r="AK1183" i="45"/>
  <c r="U1183" i="45"/>
  <c r="B1288" i="45"/>
  <c r="H1183" i="45"/>
  <c r="J1183" i="45" s="1"/>
  <c r="AR1177" i="45"/>
  <c r="AN1177" i="45"/>
  <c r="AJ1177" i="45"/>
  <c r="AF1177" i="45"/>
  <c r="AB1177" i="45"/>
  <c r="X1177" i="45"/>
  <c r="T1177" i="45"/>
  <c r="P1177" i="45"/>
  <c r="L1177" i="45"/>
  <c r="AU1177" i="45"/>
  <c r="AQ1177" i="45"/>
  <c r="AM1177" i="45"/>
  <c r="AI1177" i="45"/>
  <c r="AE1177" i="45"/>
  <c r="AA1177" i="45"/>
  <c r="W1177" i="45"/>
  <c r="S1177" i="45"/>
  <c r="O1177" i="45"/>
  <c r="AT1177" i="45"/>
  <c r="AP1177" i="45"/>
  <c r="AL1177" i="45"/>
  <c r="AH1177" i="45"/>
  <c r="AD1177" i="45"/>
  <c r="Z1177" i="45"/>
  <c r="V1177" i="45"/>
  <c r="R1177" i="45"/>
  <c r="N1177" i="45"/>
  <c r="AO1177" i="45"/>
  <c r="Y1177" i="45"/>
  <c r="AK1177" i="45"/>
  <c r="U1177" i="45"/>
  <c r="AG1177" i="45"/>
  <c r="Q1177" i="45"/>
  <c r="AC1177" i="45"/>
  <c r="M1177" i="45"/>
  <c r="AS1177" i="45"/>
  <c r="H1177" i="45"/>
  <c r="J1177" i="45" s="1"/>
  <c r="B1282" i="45"/>
  <c r="AT1333" i="45"/>
  <c r="AP1333" i="45"/>
  <c r="AL1333" i="45"/>
  <c r="AH1333" i="45"/>
  <c r="AD1333" i="45"/>
  <c r="Z1333" i="45"/>
  <c r="V1333" i="45"/>
  <c r="R1333" i="45"/>
  <c r="N1333" i="45"/>
  <c r="AS1333" i="45"/>
  <c r="AO1333" i="45"/>
  <c r="AK1333" i="45"/>
  <c r="AG1333" i="45"/>
  <c r="AC1333" i="45"/>
  <c r="Y1333" i="45"/>
  <c r="U1333" i="45"/>
  <c r="Q1333" i="45"/>
  <c r="M1333" i="45"/>
  <c r="AR1333" i="45"/>
  <c r="AN1333" i="45"/>
  <c r="AJ1333" i="45"/>
  <c r="AF1333" i="45"/>
  <c r="AB1333" i="45"/>
  <c r="X1333" i="45"/>
  <c r="T1333" i="45"/>
  <c r="P1333" i="45"/>
  <c r="L1333" i="45"/>
  <c r="AQ1333" i="45"/>
  <c r="AA1333" i="45"/>
  <c r="AM1333" i="45"/>
  <c r="W1333" i="45"/>
  <c r="AI1333" i="45"/>
  <c r="S1333" i="45"/>
  <c r="AU1333" i="45"/>
  <c r="AE1333" i="45"/>
  <c r="O1333" i="45"/>
  <c r="B1438" i="45"/>
  <c r="H1333" i="45"/>
  <c r="J1333" i="45" s="1"/>
  <c r="AT1327" i="45"/>
  <c r="AP1327" i="45"/>
  <c r="AL1327" i="45"/>
  <c r="AH1327" i="45"/>
  <c r="AD1327" i="45"/>
  <c r="Z1327" i="45"/>
  <c r="V1327" i="45"/>
  <c r="R1327" i="45"/>
  <c r="N1327" i="45"/>
  <c r="AS1327" i="45"/>
  <c r="AO1327" i="45"/>
  <c r="AK1327" i="45"/>
  <c r="AG1327" i="45"/>
  <c r="AC1327" i="45"/>
  <c r="Y1327" i="45"/>
  <c r="U1327" i="45"/>
  <c r="Q1327" i="45"/>
  <c r="M1327" i="45"/>
  <c r="AR1327" i="45"/>
  <c r="AN1327" i="45"/>
  <c r="AJ1327" i="45"/>
  <c r="AF1327" i="45"/>
  <c r="AB1327" i="45"/>
  <c r="X1327" i="45"/>
  <c r="T1327" i="45"/>
  <c r="P1327" i="45"/>
  <c r="L1327" i="45"/>
  <c r="AI1327" i="45"/>
  <c r="S1327" i="45"/>
  <c r="AU1327" i="45"/>
  <c r="AE1327" i="45"/>
  <c r="O1327" i="45"/>
  <c r="AQ1327" i="45"/>
  <c r="AA1327" i="45"/>
  <c r="W1327" i="45"/>
  <c r="AM1327" i="45"/>
  <c r="B1432" i="45"/>
  <c r="H1327" i="45"/>
  <c r="J1327" i="45" s="1"/>
  <c r="AR1165" i="45"/>
  <c r="AN1165" i="45"/>
  <c r="AJ1165" i="45"/>
  <c r="AF1165" i="45"/>
  <c r="AB1165" i="45"/>
  <c r="X1165" i="45"/>
  <c r="T1165" i="45"/>
  <c r="P1165" i="45"/>
  <c r="L1165" i="45"/>
  <c r="AU1165" i="45"/>
  <c r="AQ1165" i="45"/>
  <c r="AM1165" i="45"/>
  <c r="AI1165" i="45"/>
  <c r="AE1165" i="45"/>
  <c r="AA1165" i="45"/>
  <c r="W1165" i="45"/>
  <c r="S1165" i="45"/>
  <c r="O1165" i="45"/>
  <c r="AT1165" i="45"/>
  <c r="AP1165" i="45"/>
  <c r="AL1165" i="45"/>
  <c r="AH1165" i="45"/>
  <c r="AD1165" i="45"/>
  <c r="Z1165" i="45"/>
  <c r="V1165" i="45"/>
  <c r="R1165" i="45"/>
  <c r="N1165" i="45"/>
  <c r="AO1165" i="45"/>
  <c r="Y1165" i="45"/>
  <c r="AK1165" i="45"/>
  <c r="U1165" i="45"/>
  <c r="AG1165" i="45"/>
  <c r="Q1165" i="45"/>
  <c r="M1165" i="45"/>
  <c r="AS1165" i="45"/>
  <c r="AC1165" i="45"/>
  <c r="H1165" i="45"/>
  <c r="J1165" i="45" s="1"/>
  <c r="B1270" i="45"/>
  <c r="AU1137" i="45"/>
  <c r="AQ1137" i="45"/>
  <c r="AM1137" i="45"/>
  <c r="AI1137" i="45"/>
  <c r="AE1137" i="45"/>
  <c r="AA1137" i="45"/>
  <c r="W1137" i="45"/>
  <c r="S1137" i="45"/>
  <c r="O1137" i="45"/>
  <c r="AT1137" i="45"/>
  <c r="AP1137" i="45"/>
  <c r="AL1137" i="45"/>
  <c r="AH1137" i="45"/>
  <c r="AD1137" i="45"/>
  <c r="Z1137" i="45"/>
  <c r="V1137" i="45"/>
  <c r="R1137" i="45"/>
  <c r="N1137" i="45"/>
  <c r="AR1137" i="45"/>
  <c r="AJ1137" i="45"/>
  <c r="AB1137" i="45"/>
  <c r="T1137" i="45"/>
  <c r="L1137" i="45"/>
  <c r="AO1137" i="45"/>
  <c r="AG1137" i="45"/>
  <c r="Y1137" i="45"/>
  <c r="Q1137" i="45"/>
  <c r="AN1137" i="45"/>
  <c r="AF1137" i="45"/>
  <c r="X1137" i="45"/>
  <c r="P1137" i="45"/>
  <c r="AC1137" i="45"/>
  <c r="U1137" i="45"/>
  <c r="AS1137" i="45"/>
  <c r="M1137" i="45"/>
  <c r="AK1137" i="45"/>
  <c r="B1242" i="45"/>
  <c r="H1137" i="45"/>
  <c r="J1137" i="45" s="1"/>
  <c r="AR1161" i="45"/>
  <c r="AN1161" i="45"/>
  <c r="AJ1161" i="45"/>
  <c r="AF1161" i="45"/>
  <c r="AB1161" i="45"/>
  <c r="X1161" i="45"/>
  <c r="T1161" i="45"/>
  <c r="P1161" i="45"/>
  <c r="AU1161" i="45"/>
  <c r="AQ1161" i="45"/>
  <c r="AM1161" i="45"/>
  <c r="AI1161" i="45"/>
  <c r="AE1161" i="45"/>
  <c r="AA1161" i="45"/>
  <c r="AT1161" i="45"/>
  <c r="AP1161" i="45"/>
  <c r="AL1161" i="45"/>
  <c r="AH1161" i="45"/>
  <c r="AD1161" i="45"/>
  <c r="Z1161" i="45"/>
  <c r="V1161" i="45"/>
  <c r="R1161" i="45"/>
  <c r="N1161" i="45"/>
  <c r="AO1161" i="45"/>
  <c r="Y1161" i="45"/>
  <c r="Q1161" i="45"/>
  <c r="AK1161" i="45"/>
  <c r="W1161" i="45"/>
  <c r="O1161" i="45"/>
  <c r="AC1161" i="45"/>
  <c r="L1161" i="45"/>
  <c r="U1161" i="45"/>
  <c r="AS1161" i="45"/>
  <c r="S1161" i="45"/>
  <c r="AG1161" i="45"/>
  <c r="M1161" i="45"/>
  <c r="B1266" i="45"/>
  <c r="H1161" i="45"/>
  <c r="J1161" i="45" s="1"/>
  <c r="AT1328" i="45"/>
  <c r="AP1328" i="45"/>
  <c r="AL1328" i="45"/>
  <c r="AH1328" i="45"/>
  <c r="AD1328" i="45"/>
  <c r="Z1328" i="45"/>
  <c r="V1328" i="45"/>
  <c r="R1328" i="45"/>
  <c r="N1328" i="45"/>
  <c r="AS1328" i="45"/>
  <c r="AO1328" i="45"/>
  <c r="AK1328" i="45"/>
  <c r="AG1328" i="45"/>
  <c r="AC1328" i="45"/>
  <c r="Y1328" i="45"/>
  <c r="U1328" i="45"/>
  <c r="Q1328" i="45"/>
  <c r="M1328" i="45"/>
  <c r="AR1328" i="45"/>
  <c r="AN1328" i="45"/>
  <c r="AJ1328" i="45"/>
  <c r="AF1328" i="45"/>
  <c r="AB1328" i="45"/>
  <c r="X1328" i="45"/>
  <c r="T1328" i="45"/>
  <c r="P1328" i="45"/>
  <c r="L1328" i="45"/>
  <c r="AU1328" i="45"/>
  <c r="AE1328" i="45"/>
  <c r="O1328" i="45"/>
  <c r="AQ1328" i="45"/>
  <c r="AA1328" i="45"/>
  <c r="AM1328" i="45"/>
  <c r="W1328" i="45"/>
  <c r="AI1328" i="45"/>
  <c r="S1328" i="45"/>
  <c r="B1433" i="45"/>
  <c r="H1328" i="45"/>
  <c r="J1328" i="45" s="1"/>
  <c r="AR1200" i="45"/>
  <c r="AN1200" i="45"/>
  <c r="AJ1200" i="45"/>
  <c r="AF1200" i="45"/>
  <c r="AB1200" i="45"/>
  <c r="X1200" i="45"/>
  <c r="T1200" i="45"/>
  <c r="P1200" i="45"/>
  <c r="L1200" i="45"/>
  <c r="AU1200" i="45"/>
  <c r="AQ1200" i="45"/>
  <c r="AM1200" i="45"/>
  <c r="AI1200" i="45"/>
  <c r="AE1200" i="45"/>
  <c r="AA1200" i="45"/>
  <c r="W1200" i="45"/>
  <c r="S1200" i="45"/>
  <c r="O1200" i="45"/>
  <c r="AT1200" i="45"/>
  <c r="AP1200" i="45"/>
  <c r="AL1200" i="45"/>
  <c r="AH1200" i="45"/>
  <c r="AD1200" i="45"/>
  <c r="Z1200" i="45"/>
  <c r="V1200" i="45"/>
  <c r="R1200" i="45"/>
  <c r="N1200" i="45"/>
  <c r="AS1200" i="45"/>
  <c r="AC1200" i="45"/>
  <c r="M1200" i="45"/>
  <c r="AO1200" i="45"/>
  <c r="Y1200" i="45"/>
  <c r="AK1200" i="45"/>
  <c r="U1200" i="45"/>
  <c r="AG1200" i="45"/>
  <c r="Q1200" i="45"/>
  <c r="B1305" i="45"/>
  <c r="H1200" i="45"/>
  <c r="J1200" i="45" s="1"/>
  <c r="AT1321" i="45"/>
  <c r="AP1321" i="45"/>
  <c r="AL1321" i="45"/>
  <c r="AH1321" i="45"/>
  <c r="AD1321" i="45"/>
  <c r="Z1321" i="45"/>
  <c r="V1321" i="45"/>
  <c r="R1321" i="45"/>
  <c r="N1321" i="45"/>
  <c r="AS1321" i="45"/>
  <c r="AO1321" i="45"/>
  <c r="AK1321" i="45"/>
  <c r="AG1321" i="45"/>
  <c r="AC1321" i="45"/>
  <c r="Y1321" i="45"/>
  <c r="U1321" i="45"/>
  <c r="Q1321" i="45"/>
  <c r="M1321" i="45"/>
  <c r="AR1321" i="45"/>
  <c r="AN1321" i="45"/>
  <c r="AJ1321" i="45"/>
  <c r="AF1321" i="45"/>
  <c r="AB1321" i="45"/>
  <c r="X1321" i="45"/>
  <c r="T1321" i="45"/>
  <c r="P1321" i="45"/>
  <c r="L1321" i="45"/>
  <c r="AQ1321" i="45"/>
  <c r="AA1321" i="45"/>
  <c r="AM1321" i="45"/>
  <c r="W1321" i="45"/>
  <c r="AI1321" i="45"/>
  <c r="S1321" i="45"/>
  <c r="AU1321" i="45"/>
  <c r="AE1321" i="45"/>
  <c r="O1321" i="45"/>
  <c r="B1426" i="45"/>
  <c r="H1321" i="45"/>
  <c r="J1321" i="45" s="1"/>
  <c r="AR1191" i="45"/>
  <c r="AN1191" i="45"/>
  <c r="AJ1191" i="45"/>
  <c r="AF1191" i="45"/>
  <c r="AB1191" i="45"/>
  <c r="X1191" i="45"/>
  <c r="T1191" i="45"/>
  <c r="P1191" i="45"/>
  <c r="L1191" i="45"/>
  <c r="AU1191" i="45"/>
  <c r="AQ1191" i="45"/>
  <c r="AM1191" i="45"/>
  <c r="AI1191" i="45"/>
  <c r="AE1191" i="45"/>
  <c r="AA1191" i="45"/>
  <c r="W1191" i="45"/>
  <c r="S1191" i="45"/>
  <c r="O1191" i="45"/>
  <c r="AT1191" i="45"/>
  <c r="AP1191" i="45"/>
  <c r="AL1191" i="45"/>
  <c r="AH1191" i="45"/>
  <c r="AD1191" i="45"/>
  <c r="Z1191" i="45"/>
  <c r="V1191" i="45"/>
  <c r="R1191" i="45"/>
  <c r="N1191" i="45"/>
  <c r="AG1191" i="45"/>
  <c r="Q1191" i="45"/>
  <c r="AS1191" i="45"/>
  <c r="AC1191" i="45"/>
  <c r="M1191" i="45"/>
  <c r="AO1191" i="45"/>
  <c r="Y1191" i="45"/>
  <c r="AK1191" i="45"/>
  <c r="U1191" i="45"/>
  <c r="H1191" i="45"/>
  <c r="J1191" i="45" s="1"/>
  <c r="B1296" i="45"/>
  <c r="AR1206" i="45"/>
  <c r="AN1206" i="45"/>
  <c r="AJ1206" i="45"/>
  <c r="AF1206" i="45"/>
  <c r="AB1206" i="45"/>
  <c r="X1206" i="45"/>
  <c r="T1206" i="45"/>
  <c r="P1206" i="45"/>
  <c r="L1206" i="45"/>
  <c r="AU1206" i="45"/>
  <c r="AQ1206" i="45"/>
  <c r="AM1206" i="45"/>
  <c r="AI1206" i="45"/>
  <c r="AE1206" i="45"/>
  <c r="AA1206" i="45"/>
  <c r="W1206" i="45"/>
  <c r="S1206" i="45"/>
  <c r="O1206" i="45"/>
  <c r="AT1206" i="45"/>
  <c r="AP1206" i="45"/>
  <c r="AL1206" i="45"/>
  <c r="AH1206" i="45"/>
  <c r="AD1206" i="45"/>
  <c r="Z1206" i="45"/>
  <c r="V1206" i="45"/>
  <c r="R1206" i="45"/>
  <c r="N1206" i="45"/>
  <c r="AK1206" i="45"/>
  <c r="U1206" i="45"/>
  <c r="AG1206" i="45"/>
  <c r="Q1206" i="45"/>
  <c r="AS1206" i="45"/>
  <c r="AC1206" i="45"/>
  <c r="M1206" i="45"/>
  <c r="AO1206" i="45"/>
  <c r="Y1206" i="45"/>
  <c r="B1311" i="45"/>
  <c r="H1206" i="45"/>
  <c r="J1206" i="45" s="1"/>
  <c r="AT1325" i="45"/>
  <c r="AP1325" i="45"/>
  <c r="AL1325" i="45"/>
  <c r="AH1325" i="45"/>
  <c r="AD1325" i="45"/>
  <c r="Z1325" i="45"/>
  <c r="V1325" i="45"/>
  <c r="R1325" i="45"/>
  <c r="N1325" i="45"/>
  <c r="AS1325" i="45"/>
  <c r="AO1325" i="45"/>
  <c r="AK1325" i="45"/>
  <c r="AG1325" i="45"/>
  <c r="AC1325" i="45"/>
  <c r="Y1325" i="45"/>
  <c r="U1325" i="45"/>
  <c r="Q1325" i="45"/>
  <c r="M1325" i="45"/>
  <c r="AR1325" i="45"/>
  <c r="AN1325" i="45"/>
  <c r="AJ1325" i="45"/>
  <c r="AF1325" i="45"/>
  <c r="AB1325" i="45"/>
  <c r="X1325" i="45"/>
  <c r="T1325" i="45"/>
  <c r="P1325" i="45"/>
  <c r="L1325" i="45"/>
  <c r="AQ1325" i="45"/>
  <c r="AA1325" i="45"/>
  <c r="AM1325" i="45"/>
  <c r="W1325" i="45"/>
  <c r="AI1325" i="45"/>
  <c r="S1325" i="45"/>
  <c r="AE1325" i="45"/>
  <c r="O1325" i="45"/>
  <c r="AU1325" i="45"/>
  <c r="H1325" i="45"/>
  <c r="J1325" i="45" s="1"/>
  <c r="B1430" i="45"/>
  <c r="AR1170" i="45"/>
  <c r="AN1170" i="45"/>
  <c r="AJ1170" i="45"/>
  <c r="AF1170" i="45"/>
  <c r="AB1170" i="45"/>
  <c r="X1170" i="45"/>
  <c r="T1170" i="45"/>
  <c r="P1170" i="45"/>
  <c r="L1170" i="45"/>
  <c r="AU1170" i="45"/>
  <c r="AQ1170" i="45"/>
  <c r="AM1170" i="45"/>
  <c r="AI1170" i="45"/>
  <c r="AE1170" i="45"/>
  <c r="AA1170" i="45"/>
  <c r="W1170" i="45"/>
  <c r="S1170" i="45"/>
  <c r="O1170" i="45"/>
  <c r="AT1170" i="45"/>
  <c r="AP1170" i="45"/>
  <c r="AL1170" i="45"/>
  <c r="AH1170" i="45"/>
  <c r="AD1170" i="45"/>
  <c r="Z1170" i="45"/>
  <c r="V1170" i="45"/>
  <c r="R1170" i="45"/>
  <c r="N1170" i="45"/>
  <c r="AK1170" i="45"/>
  <c r="U1170" i="45"/>
  <c r="AG1170" i="45"/>
  <c r="Q1170" i="45"/>
  <c r="AS1170" i="45"/>
  <c r="AC1170" i="45"/>
  <c r="M1170" i="45"/>
  <c r="Y1170" i="45"/>
  <c r="AO1170" i="45"/>
  <c r="H1170" i="45"/>
  <c r="J1170" i="45" s="1"/>
  <c r="B1275" i="45"/>
  <c r="AU1151" i="45"/>
  <c r="AQ1151" i="45"/>
  <c r="AM1151" i="45"/>
  <c r="AI1151" i="45"/>
  <c r="AE1151" i="45"/>
  <c r="AA1151" i="45"/>
  <c r="W1151" i="45"/>
  <c r="S1151" i="45"/>
  <c r="O1151" i="45"/>
  <c r="AT1151" i="45"/>
  <c r="AP1151" i="45"/>
  <c r="AL1151" i="45"/>
  <c r="AH1151" i="45"/>
  <c r="AD1151" i="45"/>
  <c r="Z1151" i="45"/>
  <c r="V1151" i="45"/>
  <c r="R1151" i="45"/>
  <c r="N1151" i="45"/>
  <c r="AR1151" i="45"/>
  <c r="AJ1151" i="45"/>
  <c r="AB1151" i="45"/>
  <c r="T1151" i="45"/>
  <c r="L1151" i="45"/>
  <c r="AO1151" i="45"/>
  <c r="AG1151" i="45"/>
  <c r="Y1151" i="45"/>
  <c r="Q1151" i="45"/>
  <c r="AN1151" i="45"/>
  <c r="AF1151" i="45"/>
  <c r="X1151" i="45"/>
  <c r="P1151" i="45"/>
  <c r="AK1151" i="45"/>
  <c r="AC1151" i="45"/>
  <c r="U1151" i="45"/>
  <c r="M1151" i="45"/>
  <c r="AS1151" i="45"/>
  <c r="B1256" i="45"/>
  <c r="H1151" i="45"/>
  <c r="J1151" i="45" s="1"/>
  <c r="AU1160" i="45"/>
  <c r="AQ1160" i="45"/>
  <c r="AM1160" i="45"/>
  <c r="AI1160" i="45"/>
  <c r="AE1160" i="45"/>
  <c r="AA1160" i="45"/>
  <c r="W1160" i="45"/>
  <c r="S1160" i="45"/>
  <c r="O1160" i="45"/>
  <c r="AT1160" i="45"/>
  <c r="AP1160" i="45"/>
  <c r="AL1160" i="45"/>
  <c r="AH1160" i="45"/>
  <c r="AD1160" i="45"/>
  <c r="Z1160" i="45"/>
  <c r="V1160" i="45"/>
  <c r="R1160" i="45"/>
  <c r="N1160" i="45"/>
  <c r="AN1160" i="45"/>
  <c r="AF1160" i="45"/>
  <c r="X1160" i="45"/>
  <c r="P1160" i="45"/>
  <c r="AS1160" i="45"/>
  <c r="AK1160" i="45"/>
  <c r="AC1160" i="45"/>
  <c r="U1160" i="45"/>
  <c r="M1160" i="45"/>
  <c r="AR1160" i="45"/>
  <c r="AJ1160" i="45"/>
  <c r="AB1160" i="45"/>
  <c r="T1160" i="45"/>
  <c r="L1160" i="45"/>
  <c r="AG1160" i="45"/>
  <c r="Y1160" i="45"/>
  <c r="Q1160" i="45"/>
  <c r="AO1160" i="45"/>
  <c r="H1160" i="45"/>
  <c r="J1160" i="45" s="1"/>
  <c r="B1265" i="45"/>
  <c r="AU1148" i="45"/>
  <c r="AQ1148" i="45"/>
  <c r="AM1148" i="45"/>
  <c r="AI1148" i="45"/>
  <c r="AE1148" i="45"/>
  <c r="AA1148" i="45"/>
  <c r="W1148" i="45"/>
  <c r="S1148" i="45"/>
  <c r="O1148" i="45"/>
  <c r="AT1148" i="45"/>
  <c r="AP1148" i="45"/>
  <c r="AL1148" i="45"/>
  <c r="AH1148" i="45"/>
  <c r="AD1148" i="45"/>
  <c r="Z1148" i="45"/>
  <c r="V1148" i="45"/>
  <c r="R1148" i="45"/>
  <c r="N1148" i="45"/>
  <c r="AN1148" i="45"/>
  <c r="AF1148" i="45"/>
  <c r="X1148" i="45"/>
  <c r="P1148" i="45"/>
  <c r="AS1148" i="45"/>
  <c r="AK1148" i="45"/>
  <c r="AC1148" i="45"/>
  <c r="U1148" i="45"/>
  <c r="M1148" i="45"/>
  <c r="AR1148" i="45"/>
  <c r="AJ1148" i="45"/>
  <c r="AB1148" i="45"/>
  <c r="T1148" i="45"/>
  <c r="L1148" i="45"/>
  <c r="Q1148" i="45"/>
  <c r="AO1148" i="45"/>
  <c r="AG1148" i="45"/>
  <c r="Y1148" i="45"/>
  <c r="B1253" i="45"/>
  <c r="H1148" i="45"/>
  <c r="J1148" i="45" s="1"/>
  <c r="AU1138" i="45"/>
  <c r="AQ1138" i="45"/>
  <c r="AM1138" i="45"/>
  <c r="AI1138" i="45"/>
  <c r="AE1138" i="45"/>
  <c r="AA1138" i="45"/>
  <c r="W1138" i="45"/>
  <c r="S1138" i="45"/>
  <c r="O1138" i="45"/>
  <c r="AT1138" i="45"/>
  <c r="AP1138" i="45"/>
  <c r="AL1138" i="45"/>
  <c r="AH1138" i="45"/>
  <c r="AD1138" i="45"/>
  <c r="Z1138" i="45"/>
  <c r="V1138" i="45"/>
  <c r="R1138" i="45"/>
  <c r="N1138" i="45"/>
  <c r="AN1138" i="45"/>
  <c r="AF1138" i="45"/>
  <c r="X1138" i="45"/>
  <c r="P1138" i="45"/>
  <c r="AS1138" i="45"/>
  <c r="AK1138" i="45"/>
  <c r="AC1138" i="45"/>
  <c r="U1138" i="45"/>
  <c r="M1138" i="45"/>
  <c r="AR1138" i="45"/>
  <c r="AJ1138" i="45"/>
  <c r="AB1138" i="45"/>
  <c r="T1138" i="45"/>
  <c r="L1138" i="45"/>
  <c r="Y1138" i="45"/>
  <c r="Q1138" i="45"/>
  <c r="AO1138" i="45"/>
  <c r="AG1138" i="45"/>
  <c r="H1138" i="45"/>
  <c r="J1138" i="45" s="1"/>
  <c r="B1243" i="45"/>
  <c r="AR1172" i="45"/>
  <c r="AN1172" i="45"/>
  <c r="AJ1172" i="45"/>
  <c r="AF1172" i="45"/>
  <c r="AB1172" i="45"/>
  <c r="X1172" i="45"/>
  <c r="T1172" i="45"/>
  <c r="P1172" i="45"/>
  <c r="L1172" i="45"/>
  <c r="AU1172" i="45"/>
  <c r="AQ1172" i="45"/>
  <c r="AM1172" i="45"/>
  <c r="AI1172" i="45"/>
  <c r="AE1172" i="45"/>
  <c r="AA1172" i="45"/>
  <c r="W1172" i="45"/>
  <c r="S1172" i="45"/>
  <c r="O1172" i="45"/>
  <c r="AT1172" i="45"/>
  <c r="AP1172" i="45"/>
  <c r="AL1172" i="45"/>
  <c r="AH1172" i="45"/>
  <c r="AD1172" i="45"/>
  <c r="Z1172" i="45"/>
  <c r="V1172" i="45"/>
  <c r="R1172" i="45"/>
  <c r="N1172" i="45"/>
  <c r="AS1172" i="45"/>
  <c r="AC1172" i="45"/>
  <c r="M1172" i="45"/>
  <c r="AO1172" i="45"/>
  <c r="Y1172" i="45"/>
  <c r="AK1172" i="45"/>
  <c r="U1172" i="45"/>
  <c r="Q1172" i="45"/>
  <c r="AG1172" i="45"/>
  <c r="H1172" i="45"/>
  <c r="J1172" i="45" s="1"/>
  <c r="B1277" i="45"/>
  <c r="AU1133" i="45"/>
  <c r="AQ1133" i="45"/>
  <c r="AM1133" i="45"/>
  <c r="AI1133" i="45"/>
  <c r="AE1133" i="45"/>
  <c r="AA1133" i="45"/>
  <c r="W1133" i="45"/>
  <c r="S1133" i="45"/>
  <c r="O1133" i="45"/>
  <c r="AT1133" i="45"/>
  <c r="AP1133" i="45"/>
  <c r="AL1133" i="45"/>
  <c r="AH1133" i="45"/>
  <c r="AD1133" i="45"/>
  <c r="Z1133" i="45"/>
  <c r="V1133" i="45"/>
  <c r="R1133" i="45"/>
  <c r="N1133" i="45"/>
  <c r="AR1133" i="45"/>
  <c r="AJ1133" i="45"/>
  <c r="AB1133" i="45"/>
  <c r="T1133" i="45"/>
  <c r="L1133" i="45"/>
  <c r="AO1133" i="45"/>
  <c r="AG1133" i="45"/>
  <c r="Y1133" i="45"/>
  <c r="Q1133" i="45"/>
  <c r="AN1133" i="45"/>
  <c r="AF1133" i="45"/>
  <c r="X1133" i="45"/>
  <c r="P1133" i="45"/>
  <c r="AS1133" i="45"/>
  <c r="M1133" i="45"/>
  <c r="AK1133" i="45"/>
  <c r="AC1133" i="45"/>
  <c r="U1133" i="45"/>
  <c r="B1238" i="45"/>
  <c r="H1133" i="45"/>
  <c r="J1133" i="45" s="1"/>
  <c r="AR1207" i="45"/>
  <c r="AN1207" i="45"/>
  <c r="AJ1207" i="45"/>
  <c r="AF1207" i="45"/>
  <c r="AB1207" i="45"/>
  <c r="X1207" i="45"/>
  <c r="T1207" i="45"/>
  <c r="P1207" i="45"/>
  <c r="L1207" i="45"/>
  <c r="AU1207" i="45"/>
  <c r="AQ1207" i="45"/>
  <c r="AM1207" i="45"/>
  <c r="AI1207" i="45"/>
  <c r="AE1207" i="45"/>
  <c r="AA1207" i="45"/>
  <c r="W1207" i="45"/>
  <c r="S1207" i="45"/>
  <c r="O1207" i="45"/>
  <c r="AT1207" i="45"/>
  <c r="AP1207" i="45"/>
  <c r="AL1207" i="45"/>
  <c r="AH1207" i="45"/>
  <c r="AD1207" i="45"/>
  <c r="Z1207" i="45"/>
  <c r="V1207" i="45"/>
  <c r="R1207" i="45"/>
  <c r="N1207" i="45"/>
  <c r="AG1207" i="45"/>
  <c r="Q1207" i="45"/>
  <c r="AS1207" i="45"/>
  <c r="AC1207" i="45"/>
  <c r="M1207" i="45"/>
  <c r="AO1207" i="45"/>
  <c r="Y1207" i="45"/>
  <c r="AK1207" i="45"/>
  <c r="U1207" i="45"/>
  <c r="H1207" i="45"/>
  <c r="J1207" i="45" s="1"/>
  <c r="B1312" i="45"/>
  <c r="AU1087" i="45"/>
  <c r="AQ1087" i="45"/>
  <c r="AM1087" i="45"/>
  <c r="AI1087" i="45"/>
  <c r="AE1087" i="45"/>
  <c r="AA1087" i="45"/>
  <c r="W1087" i="45"/>
  <c r="S1087" i="45"/>
  <c r="O1087" i="45"/>
  <c r="AT1087" i="45"/>
  <c r="AP1087" i="45"/>
  <c r="AL1087" i="45"/>
  <c r="AH1087" i="45"/>
  <c r="AD1087" i="45"/>
  <c r="Z1087" i="45"/>
  <c r="V1087" i="45"/>
  <c r="R1087" i="45"/>
  <c r="N1087" i="45"/>
  <c r="AR1087" i="45"/>
  <c r="AJ1087" i="45"/>
  <c r="AB1087" i="45"/>
  <c r="T1087" i="45"/>
  <c r="L1087" i="45"/>
  <c r="AO1087" i="45"/>
  <c r="AG1087" i="45"/>
  <c r="Y1087" i="45"/>
  <c r="Q1087" i="45"/>
  <c r="AN1087" i="45"/>
  <c r="AF1087" i="45"/>
  <c r="X1087" i="45"/>
  <c r="P1087" i="45"/>
  <c r="AS1087" i="45"/>
  <c r="M1087" i="45"/>
  <c r="AK1087" i="45"/>
  <c r="AC1087" i="45"/>
  <c r="U1087" i="45"/>
  <c r="H1087" i="45"/>
  <c r="J1087" i="45" s="1"/>
  <c r="B1192" i="45"/>
  <c r="AR1209" i="45"/>
  <c r="AN1209" i="45"/>
  <c r="AJ1209" i="45"/>
  <c r="AF1209" i="45"/>
  <c r="AB1209" i="45"/>
  <c r="X1209" i="45"/>
  <c r="T1209" i="45"/>
  <c r="P1209" i="45"/>
  <c r="L1209" i="45"/>
  <c r="AU1209" i="45"/>
  <c r="AQ1209" i="45"/>
  <c r="AM1209" i="45"/>
  <c r="AI1209" i="45"/>
  <c r="AE1209" i="45"/>
  <c r="AA1209" i="45"/>
  <c r="W1209" i="45"/>
  <c r="S1209" i="45"/>
  <c r="O1209" i="45"/>
  <c r="AT1209" i="45"/>
  <c r="AP1209" i="45"/>
  <c r="AL1209" i="45"/>
  <c r="AH1209" i="45"/>
  <c r="AD1209" i="45"/>
  <c r="Z1209" i="45"/>
  <c r="V1209" i="45"/>
  <c r="R1209" i="45"/>
  <c r="N1209" i="45"/>
  <c r="AO1209" i="45"/>
  <c r="Y1209" i="45"/>
  <c r="AK1209" i="45"/>
  <c r="U1209" i="45"/>
  <c r="AG1209" i="45"/>
  <c r="Q1209" i="45"/>
  <c r="AC1209" i="45"/>
  <c r="M1209" i="45"/>
  <c r="AS1209" i="45"/>
  <c r="B1314" i="45"/>
  <c r="H1209" i="45"/>
  <c r="J1209" i="45" s="1"/>
  <c r="AU1153" i="45"/>
  <c r="AQ1153" i="45"/>
  <c r="AM1153" i="45"/>
  <c r="AI1153" i="45"/>
  <c r="AE1153" i="45"/>
  <c r="AA1153" i="45"/>
  <c r="W1153" i="45"/>
  <c r="S1153" i="45"/>
  <c r="O1153" i="45"/>
  <c r="AT1153" i="45"/>
  <c r="AP1153" i="45"/>
  <c r="AL1153" i="45"/>
  <c r="AH1153" i="45"/>
  <c r="AD1153" i="45"/>
  <c r="Z1153" i="45"/>
  <c r="V1153" i="45"/>
  <c r="R1153" i="45"/>
  <c r="N1153" i="45"/>
  <c r="AR1153" i="45"/>
  <c r="AJ1153" i="45"/>
  <c r="AB1153" i="45"/>
  <c r="T1153" i="45"/>
  <c r="L1153" i="45"/>
  <c r="AO1153" i="45"/>
  <c r="AG1153" i="45"/>
  <c r="Y1153" i="45"/>
  <c r="Q1153" i="45"/>
  <c r="AN1153" i="45"/>
  <c r="AF1153" i="45"/>
  <c r="X1153" i="45"/>
  <c r="P1153" i="45"/>
  <c r="AC1153" i="45"/>
  <c r="U1153" i="45"/>
  <c r="AS1153" i="45"/>
  <c r="M1153" i="45"/>
  <c r="AK1153" i="45"/>
  <c r="B1258" i="45"/>
  <c r="H1153" i="45"/>
  <c r="J1153" i="45" s="1"/>
  <c r="AU1155" i="45"/>
  <c r="AQ1155" i="45"/>
  <c r="AM1155" i="45"/>
  <c r="AI1155" i="45"/>
  <c r="AE1155" i="45"/>
  <c r="AA1155" i="45"/>
  <c r="W1155" i="45"/>
  <c r="S1155" i="45"/>
  <c r="O1155" i="45"/>
  <c r="AT1155" i="45"/>
  <c r="AP1155" i="45"/>
  <c r="AL1155" i="45"/>
  <c r="AH1155" i="45"/>
  <c r="AD1155" i="45"/>
  <c r="Z1155" i="45"/>
  <c r="V1155" i="45"/>
  <c r="R1155" i="45"/>
  <c r="N1155" i="45"/>
  <c r="AR1155" i="45"/>
  <c r="AJ1155" i="45"/>
  <c r="AB1155" i="45"/>
  <c r="T1155" i="45"/>
  <c r="L1155" i="45"/>
  <c r="AO1155" i="45"/>
  <c r="AG1155" i="45"/>
  <c r="Y1155" i="45"/>
  <c r="Q1155" i="45"/>
  <c r="AN1155" i="45"/>
  <c r="AF1155" i="45"/>
  <c r="X1155" i="45"/>
  <c r="P1155" i="45"/>
  <c r="U1155" i="45"/>
  <c r="AS1155" i="45"/>
  <c r="M1155" i="45"/>
  <c r="AK1155" i="45"/>
  <c r="AC1155" i="45"/>
  <c r="B1260" i="45"/>
  <c r="H1155" i="45"/>
  <c r="J1155" i="45" s="1"/>
  <c r="AU1132" i="45"/>
  <c r="AQ1132" i="45"/>
  <c r="AM1132" i="45"/>
  <c r="AI1132" i="45"/>
  <c r="AE1132" i="45"/>
  <c r="AA1132" i="45"/>
  <c r="W1132" i="45"/>
  <c r="S1132" i="45"/>
  <c r="O1132" i="45"/>
  <c r="AT1132" i="45"/>
  <c r="AP1132" i="45"/>
  <c r="AL1132" i="45"/>
  <c r="AH1132" i="45"/>
  <c r="AD1132" i="45"/>
  <c r="Z1132" i="45"/>
  <c r="V1132" i="45"/>
  <c r="R1132" i="45"/>
  <c r="N1132" i="45"/>
  <c r="AN1132" i="45"/>
  <c r="AF1132" i="45"/>
  <c r="X1132" i="45"/>
  <c r="P1132" i="45"/>
  <c r="AS1132" i="45"/>
  <c r="AK1132" i="45"/>
  <c r="AC1132" i="45"/>
  <c r="U1132" i="45"/>
  <c r="M1132" i="45"/>
  <c r="AR1132" i="45"/>
  <c r="AJ1132" i="45"/>
  <c r="AB1132" i="45"/>
  <c r="T1132" i="45"/>
  <c r="L1132" i="45"/>
  <c r="Q1132" i="45"/>
  <c r="AO1132" i="45"/>
  <c r="AG1132" i="45"/>
  <c r="Y1132" i="45"/>
  <c r="B1237" i="45"/>
  <c r="H1132" i="45"/>
  <c r="J1132" i="45" s="1"/>
  <c r="AR1166" i="45"/>
  <c r="AN1166" i="45"/>
  <c r="AJ1166" i="45"/>
  <c r="AF1166" i="45"/>
  <c r="AB1166" i="45"/>
  <c r="X1166" i="45"/>
  <c r="T1166" i="45"/>
  <c r="P1166" i="45"/>
  <c r="L1166" i="45"/>
  <c r="AU1166" i="45"/>
  <c r="AQ1166" i="45"/>
  <c r="AM1166" i="45"/>
  <c r="AI1166" i="45"/>
  <c r="AE1166" i="45"/>
  <c r="AA1166" i="45"/>
  <c r="W1166" i="45"/>
  <c r="S1166" i="45"/>
  <c r="O1166" i="45"/>
  <c r="AT1166" i="45"/>
  <c r="AP1166" i="45"/>
  <c r="AL1166" i="45"/>
  <c r="AH1166" i="45"/>
  <c r="AD1166" i="45"/>
  <c r="Z1166" i="45"/>
  <c r="V1166" i="45"/>
  <c r="R1166" i="45"/>
  <c r="N1166" i="45"/>
  <c r="AK1166" i="45"/>
  <c r="U1166" i="45"/>
  <c r="AG1166" i="45"/>
  <c r="Q1166" i="45"/>
  <c r="AS1166" i="45"/>
  <c r="AC1166" i="45"/>
  <c r="M1166" i="45"/>
  <c r="AO1166" i="45"/>
  <c r="Y1166" i="45"/>
  <c r="H1166" i="45"/>
  <c r="J1166" i="45" s="1"/>
  <c r="B1271" i="45"/>
  <c r="AU1152" i="45"/>
  <c r="AQ1152" i="45"/>
  <c r="AM1152" i="45"/>
  <c r="AI1152" i="45"/>
  <c r="AE1152" i="45"/>
  <c r="AA1152" i="45"/>
  <c r="W1152" i="45"/>
  <c r="S1152" i="45"/>
  <c r="O1152" i="45"/>
  <c r="AT1152" i="45"/>
  <c r="AP1152" i="45"/>
  <c r="AL1152" i="45"/>
  <c r="AH1152" i="45"/>
  <c r="AD1152" i="45"/>
  <c r="Z1152" i="45"/>
  <c r="V1152" i="45"/>
  <c r="R1152" i="45"/>
  <c r="N1152" i="45"/>
  <c r="AN1152" i="45"/>
  <c r="AF1152" i="45"/>
  <c r="X1152" i="45"/>
  <c r="P1152" i="45"/>
  <c r="AS1152" i="45"/>
  <c r="AK1152" i="45"/>
  <c r="AC1152" i="45"/>
  <c r="U1152" i="45"/>
  <c r="M1152" i="45"/>
  <c r="AR1152" i="45"/>
  <c r="AJ1152" i="45"/>
  <c r="AB1152" i="45"/>
  <c r="T1152" i="45"/>
  <c r="L1152" i="45"/>
  <c r="AG1152" i="45"/>
  <c r="Y1152" i="45"/>
  <c r="Q1152" i="45"/>
  <c r="AO1152" i="45"/>
  <c r="H1152" i="45"/>
  <c r="J1152" i="45" s="1"/>
  <c r="B1257" i="45"/>
  <c r="AT1330" i="45"/>
  <c r="AP1330" i="45"/>
  <c r="AL1330" i="45"/>
  <c r="AH1330" i="45"/>
  <c r="AD1330" i="45"/>
  <c r="Z1330" i="45"/>
  <c r="V1330" i="45"/>
  <c r="R1330" i="45"/>
  <c r="N1330" i="45"/>
  <c r="AS1330" i="45"/>
  <c r="AO1330" i="45"/>
  <c r="AK1330" i="45"/>
  <c r="AG1330" i="45"/>
  <c r="AC1330" i="45"/>
  <c r="Y1330" i="45"/>
  <c r="U1330" i="45"/>
  <c r="Q1330" i="45"/>
  <c r="M1330" i="45"/>
  <c r="AR1330" i="45"/>
  <c r="AN1330" i="45"/>
  <c r="AJ1330" i="45"/>
  <c r="AF1330" i="45"/>
  <c r="AB1330" i="45"/>
  <c r="X1330" i="45"/>
  <c r="T1330" i="45"/>
  <c r="P1330" i="45"/>
  <c r="L1330" i="45"/>
  <c r="AM1330" i="45"/>
  <c r="W1330" i="45"/>
  <c r="AI1330" i="45"/>
  <c r="S1330" i="45"/>
  <c r="AU1330" i="45"/>
  <c r="AE1330" i="45"/>
  <c r="O1330" i="45"/>
  <c r="AQ1330" i="45"/>
  <c r="AA1330" i="45"/>
  <c r="B1435" i="45"/>
  <c r="H1330" i="45"/>
  <c r="J1330" i="45" s="1"/>
  <c r="AT1322" i="45"/>
  <c r="AP1322" i="45"/>
  <c r="AL1322" i="45"/>
  <c r="AH1322" i="45"/>
  <c r="AD1322" i="45"/>
  <c r="Z1322" i="45"/>
  <c r="V1322" i="45"/>
  <c r="R1322" i="45"/>
  <c r="N1322" i="45"/>
  <c r="AS1322" i="45"/>
  <c r="AO1322" i="45"/>
  <c r="AK1322" i="45"/>
  <c r="AG1322" i="45"/>
  <c r="AC1322" i="45"/>
  <c r="Y1322" i="45"/>
  <c r="U1322" i="45"/>
  <c r="Q1322" i="45"/>
  <c r="M1322" i="45"/>
  <c r="AR1322" i="45"/>
  <c r="AN1322" i="45"/>
  <c r="AJ1322" i="45"/>
  <c r="AF1322" i="45"/>
  <c r="AB1322" i="45"/>
  <c r="X1322" i="45"/>
  <c r="T1322" i="45"/>
  <c r="P1322" i="45"/>
  <c r="L1322" i="45"/>
  <c r="AM1322" i="45"/>
  <c r="W1322" i="45"/>
  <c r="AI1322" i="45"/>
  <c r="S1322" i="45"/>
  <c r="AU1322" i="45"/>
  <c r="AE1322" i="45"/>
  <c r="O1322" i="45"/>
  <c r="AQ1322" i="45"/>
  <c r="AA1322" i="45"/>
  <c r="B1427" i="45"/>
  <c r="H1322" i="45"/>
  <c r="J1322" i="45" s="1"/>
  <c r="AR1197" i="45"/>
  <c r="AN1197" i="45"/>
  <c r="AJ1197" i="45"/>
  <c r="AF1197" i="45"/>
  <c r="AB1197" i="45"/>
  <c r="X1197" i="45"/>
  <c r="T1197" i="45"/>
  <c r="P1197" i="45"/>
  <c r="L1197" i="45"/>
  <c r="AU1197" i="45"/>
  <c r="AQ1197" i="45"/>
  <c r="AM1197" i="45"/>
  <c r="AI1197" i="45"/>
  <c r="AE1197" i="45"/>
  <c r="AA1197" i="45"/>
  <c r="W1197" i="45"/>
  <c r="S1197" i="45"/>
  <c r="O1197" i="45"/>
  <c r="AT1197" i="45"/>
  <c r="AP1197" i="45"/>
  <c r="AL1197" i="45"/>
  <c r="AH1197" i="45"/>
  <c r="AD1197" i="45"/>
  <c r="Z1197" i="45"/>
  <c r="V1197" i="45"/>
  <c r="R1197" i="45"/>
  <c r="N1197" i="45"/>
  <c r="AO1197" i="45"/>
  <c r="Y1197" i="45"/>
  <c r="AK1197" i="45"/>
  <c r="U1197" i="45"/>
  <c r="AG1197" i="45"/>
  <c r="Q1197" i="45"/>
  <c r="M1197" i="45"/>
  <c r="AS1197" i="45"/>
  <c r="AC1197" i="45"/>
  <c r="H1197" i="45"/>
  <c r="J1197" i="45" s="1"/>
  <c r="B1302" i="45"/>
  <c r="AT1323" i="45"/>
  <c r="AP1323" i="45"/>
  <c r="AL1323" i="45"/>
  <c r="AH1323" i="45"/>
  <c r="AD1323" i="45"/>
  <c r="Z1323" i="45"/>
  <c r="V1323" i="45"/>
  <c r="R1323" i="45"/>
  <c r="N1323" i="45"/>
  <c r="AS1323" i="45"/>
  <c r="AO1323" i="45"/>
  <c r="AK1323" i="45"/>
  <c r="AG1323" i="45"/>
  <c r="AC1323" i="45"/>
  <c r="Y1323" i="45"/>
  <c r="U1323" i="45"/>
  <c r="Q1323" i="45"/>
  <c r="M1323" i="45"/>
  <c r="AR1323" i="45"/>
  <c r="AN1323" i="45"/>
  <c r="AJ1323" i="45"/>
  <c r="AF1323" i="45"/>
  <c r="AB1323" i="45"/>
  <c r="X1323" i="45"/>
  <c r="T1323" i="45"/>
  <c r="P1323" i="45"/>
  <c r="L1323" i="45"/>
  <c r="AI1323" i="45"/>
  <c r="S1323" i="45"/>
  <c r="AU1323" i="45"/>
  <c r="AE1323" i="45"/>
  <c r="O1323" i="45"/>
  <c r="AQ1323" i="45"/>
  <c r="AA1323" i="45"/>
  <c r="AM1323" i="45"/>
  <c r="W1323" i="45"/>
  <c r="H1323" i="45"/>
  <c r="J1323" i="45" s="1"/>
  <c r="B1428" i="45"/>
  <c r="AR1168" i="45"/>
  <c r="AN1168" i="45"/>
  <c r="AJ1168" i="45"/>
  <c r="AF1168" i="45"/>
  <c r="AB1168" i="45"/>
  <c r="X1168" i="45"/>
  <c r="T1168" i="45"/>
  <c r="P1168" i="45"/>
  <c r="L1168" i="45"/>
  <c r="AU1168" i="45"/>
  <c r="AQ1168" i="45"/>
  <c r="AM1168" i="45"/>
  <c r="AI1168" i="45"/>
  <c r="AE1168" i="45"/>
  <c r="AA1168" i="45"/>
  <c r="W1168" i="45"/>
  <c r="S1168" i="45"/>
  <c r="O1168" i="45"/>
  <c r="AT1168" i="45"/>
  <c r="AP1168" i="45"/>
  <c r="AL1168" i="45"/>
  <c r="AH1168" i="45"/>
  <c r="AD1168" i="45"/>
  <c r="Z1168" i="45"/>
  <c r="V1168" i="45"/>
  <c r="R1168" i="45"/>
  <c r="N1168" i="45"/>
  <c r="AS1168" i="45"/>
  <c r="AC1168" i="45"/>
  <c r="M1168" i="45"/>
  <c r="AO1168" i="45"/>
  <c r="Y1168" i="45"/>
  <c r="AK1168" i="45"/>
  <c r="U1168" i="45"/>
  <c r="AG1168" i="45"/>
  <c r="Q1168" i="45"/>
  <c r="B1273" i="45"/>
  <c r="H1168" i="45"/>
  <c r="J1168" i="45" s="1"/>
  <c r="AR1186" i="45"/>
  <c r="AN1186" i="45"/>
  <c r="AJ1186" i="45"/>
  <c r="AF1186" i="45"/>
  <c r="AB1186" i="45"/>
  <c r="X1186" i="45"/>
  <c r="T1186" i="45"/>
  <c r="P1186" i="45"/>
  <c r="L1186" i="45"/>
  <c r="AU1186" i="45"/>
  <c r="AQ1186" i="45"/>
  <c r="AM1186" i="45"/>
  <c r="AI1186" i="45"/>
  <c r="AE1186" i="45"/>
  <c r="AA1186" i="45"/>
  <c r="W1186" i="45"/>
  <c r="S1186" i="45"/>
  <c r="O1186" i="45"/>
  <c r="AT1186" i="45"/>
  <c r="AP1186" i="45"/>
  <c r="AL1186" i="45"/>
  <c r="AH1186" i="45"/>
  <c r="AD1186" i="45"/>
  <c r="Z1186" i="45"/>
  <c r="V1186" i="45"/>
  <c r="R1186" i="45"/>
  <c r="N1186" i="45"/>
  <c r="AK1186" i="45"/>
  <c r="U1186" i="45"/>
  <c r="AG1186" i="45"/>
  <c r="Q1186" i="45"/>
  <c r="AS1186" i="45"/>
  <c r="AC1186" i="45"/>
  <c r="M1186" i="45"/>
  <c r="Y1186" i="45"/>
  <c r="AO1186" i="45"/>
  <c r="B1291" i="45"/>
  <c r="H1186" i="45"/>
  <c r="J1186" i="45" s="1"/>
  <c r="AR1202" i="45"/>
  <c r="AN1202" i="45"/>
  <c r="AJ1202" i="45"/>
  <c r="AF1202" i="45"/>
  <c r="AB1202" i="45"/>
  <c r="X1202" i="45"/>
  <c r="T1202" i="45"/>
  <c r="P1202" i="45"/>
  <c r="L1202" i="45"/>
  <c r="AU1202" i="45"/>
  <c r="AQ1202" i="45"/>
  <c r="AM1202" i="45"/>
  <c r="AI1202" i="45"/>
  <c r="AE1202" i="45"/>
  <c r="AA1202" i="45"/>
  <c r="W1202" i="45"/>
  <c r="S1202" i="45"/>
  <c r="O1202" i="45"/>
  <c r="AT1202" i="45"/>
  <c r="AP1202" i="45"/>
  <c r="AL1202" i="45"/>
  <c r="AH1202" i="45"/>
  <c r="AD1202" i="45"/>
  <c r="Z1202" i="45"/>
  <c r="V1202" i="45"/>
  <c r="R1202" i="45"/>
  <c r="N1202" i="45"/>
  <c r="AK1202" i="45"/>
  <c r="U1202" i="45"/>
  <c r="AG1202" i="45"/>
  <c r="Q1202" i="45"/>
  <c r="AS1202" i="45"/>
  <c r="AC1202" i="45"/>
  <c r="M1202" i="45"/>
  <c r="Y1202" i="45"/>
  <c r="AO1202" i="45"/>
  <c r="B1307" i="45"/>
  <c r="H1202" i="45"/>
  <c r="J1202" i="45" s="1"/>
  <c r="J1125" i="45"/>
  <c r="AR1230" i="45"/>
  <c r="AN1230" i="45"/>
  <c r="AJ1230" i="45"/>
  <c r="AF1230" i="45"/>
  <c r="AB1230" i="45"/>
  <c r="X1230" i="45"/>
  <c r="T1230" i="45"/>
  <c r="P1230" i="45"/>
  <c r="L1230" i="45"/>
  <c r="AT1230" i="45"/>
  <c r="AP1230" i="45"/>
  <c r="AL1230" i="45"/>
  <c r="AH1230" i="45"/>
  <c r="AD1230" i="45"/>
  <c r="Z1230" i="45"/>
  <c r="V1230" i="45"/>
  <c r="R1230" i="45"/>
  <c r="N1230" i="45"/>
  <c r="AS1230" i="45"/>
  <c r="AK1230" i="45"/>
  <c r="AC1230" i="45"/>
  <c r="U1230" i="45"/>
  <c r="M1230" i="45"/>
  <c r="AQ1230" i="45"/>
  <c r="AI1230" i="45"/>
  <c r="AA1230" i="45"/>
  <c r="S1230" i="45"/>
  <c r="AO1230" i="45"/>
  <c r="AG1230" i="45"/>
  <c r="Y1230" i="45"/>
  <c r="Q1230" i="45"/>
  <c r="AU1230" i="45"/>
  <c r="AM1230" i="45"/>
  <c r="AE1230" i="45"/>
  <c r="W1230" i="45"/>
  <c r="O1230" i="45"/>
  <c r="H1230" i="45"/>
  <c r="J1230" i="45" s="1"/>
  <c r="B1335" i="45"/>
  <c r="AR1336" i="45"/>
  <c r="AN1336" i="45"/>
  <c r="AJ1336" i="45"/>
  <c r="AF1336" i="45"/>
  <c r="AB1336" i="45"/>
  <c r="X1336" i="45"/>
  <c r="T1336" i="45"/>
  <c r="P1336" i="45"/>
  <c r="L1336" i="45"/>
  <c r="AT1336" i="45"/>
  <c r="AP1336" i="45"/>
  <c r="AL1336" i="45"/>
  <c r="AH1336" i="45"/>
  <c r="AD1336" i="45"/>
  <c r="Z1336" i="45"/>
  <c r="V1336" i="45"/>
  <c r="R1336" i="45"/>
  <c r="N1336" i="45"/>
  <c r="AO1336" i="45"/>
  <c r="AG1336" i="45"/>
  <c r="Y1336" i="45"/>
  <c r="Q1336" i="45"/>
  <c r="AU1336" i="45"/>
  <c r="AM1336" i="45"/>
  <c r="AE1336" i="45"/>
  <c r="W1336" i="45"/>
  <c r="O1336" i="45"/>
  <c r="AS1336" i="45"/>
  <c r="AK1336" i="45"/>
  <c r="AC1336" i="45"/>
  <c r="U1336" i="45"/>
  <c r="M1336" i="45"/>
  <c r="AQ1336" i="45"/>
  <c r="AI1336" i="45"/>
  <c r="AA1336" i="45"/>
  <c r="S1336" i="45"/>
  <c r="B1441" i="45"/>
  <c r="H1336" i="45"/>
  <c r="J1336" i="45" s="1"/>
  <c r="O200" i="50"/>
  <c r="Y227" i="45"/>
  <c r="W8" i="45"/>
  <c r="W12" i="45" s="1"/>
  <c r="BA200" i="50"/>
  <c r="AQ200" i="50"/>
  <c r="BN6" i="44"/>
  <c r="Y201" i="45"/>
  <c r="Z199" i="45"/>
  <c r="AA217" i="45"/>
  <c r="Y207" i="45"/>
  <c r="AC197" i="45"/>
  <c r="AA189" i="45"/>
  <c r="Y209" i="45"/>
  <c r="AR205" i="45"/>
  <c r="Z206" i="45"/>
  <c r="Y195" i="45"/>
  <c r="AA279" i="45"/>
  <c r="AF270" i="45"/>
  <c r="AA278" i="45"/>
  <c r="Z277" i="45"/>
  <c r="Y271" i="45"/>
  <c r="Y275" i="45"/>
  <c r="AG268" i="45"/>
  <c r="Y273" i="45"/>
  <c r="Z276" i="45"/>
  <c r="Y272" i="45"/>
  <c r="Z266" i="45"/>
  <c r="Z274" i="45"/>
  <c r="Y263" i="45"/>
  <c r="Z264" i="45"/>
  <c r="Z262" i="45"/>
  <c r="AA242" i="45"/>
  <c r="AB250" i="45"/>
  <c r="Z246" i="45"/>
  <c r="AM254" i="45"/>
  <c r="AA234" i="45"/>
  <c r="AB258" i="45"/>
  <c r="AA238" i="45"/>
  <c r="AA191" i="45"/>
  <c r="Z224" i="45"/>
  <c r="Z212" i="45"/>
  <c r="AA220" i="45"/>
  <c r="Z187" i="45"/>
  <c r="Z236" i="45"/>
  <c r="Z222" i="45"/>
  <c r="Z214" i="45"/>
  <c r="AE253" i="45"/>
  <c r="Z249" i="45"/>
  <c r="Z211" i="45"/>
  <c r="Z252" i="45"/>
  <c r="Z198" i="45"/>
  <c r="Z245" i="45"/>
  <c r="Z255" i="45"/>
  <c r="Z233" i="45"/>
  <c r="AA216" i="45"/>
  <c r="Z225" i="45"/>
  <c r="Z190" i="45"/>
  <c r="Z260" i="45"/>
  <c r="Z215" i="45"/>
  <c r="Z194" i="45"/>
  <c r="Z226" i="45"/>
  <c r="Z219" i="45"/>
  <c r="Z229" i="45"/>
  <c r="Z261" i="45"/>
  <c r="Z259" i="45"/>
  <c r="Z237" i="45"/>
  <c r="AA231" i="45"/>
  <c r="Z192" i="45"/>
  <c r="Z200" i="45"/>
  <c r="Z230" i="45"/>
  <c r="Z256" i="45"/>
  <c r="AB193" i="45"/>
  <c r="Z244" i="45"/>
  <c r="AA204" i="45"/>
  <c r="Y218" i="45"/>
  <c r="Y221" i="45"/>
  <c r="Z196" i="45"/>
  <c r="Z239" i="45"/>
  <c r="Z248" i="45"/>
  <c r="Z232" i="45"/>
  <c r="Z210" i="45"/>
  <c r="Z213" i="45"/>
  <c r="Z223" i="45"/>
  <c r="Y203" i="45"/>
  <c r="AA208" i="45"/>
  <c r="Z257" i="45"/>
  <c r="Z186" i="45"/>
  <c r="AJ243" i="45"/>
  <c r="AQ18" i="50"/>
  <c r="AQ21" i="50" s="1"/>
  <c r="AQ25" i="50" s="1"/>
  <c r="AQ28" i="50" s="1"/>
  <c r="T3" i="45"/>
  <c r="CP5" i="44"/>
  <c r="N59" i="44"/>
  <c r="BN9" i="44" a="1"/>
  <c r="AC96" i="2" l="1"/>
  <c r="AC93" i="2"/>
  <c r="AC94" i="2" s="1"/>
  <c r="AK199" i="3"/>
  <c r="AK196" i="3"/>
  <c r="AK197" i="3" s="1"/>
  <c r="AE196" i="3"/>
  <c r="AE197" i="3" s="1"/>
  <c r="AE199" i="3"/>
  <c r="AE93" i="2"/>
  <c r="AE94" i="2" s="1"/>
  <c r="AE96" i="2"/>
  <c r="AH196" i="3"/>
  <c r="AH197" i="3" s="1"/>
  <c r="AH199" i="3"/>
  <c r="AK93" i="2"/>
  <c r="AK94" i="2" s="1"/>
  <c r="AK96" i="2"/>
  <c r="AB199" i="3"/>
  <c r="AB196" i="3"/>
  <c r="AB197" i="3" s="1"/>
  <c r="AA96" i="2"/>
  <c r="AA93" i="2"/>
  <c r="AA94" i="2" s="1"/>
  <c r="AI96" i="2"/>
  <c r="AI93" i="2"/>
  <c r="AI94" i="2" s="1"/>
  <c r="AF96" i="2"/>
  <c r="AF93" i="2"/>
  <c r="AF94" i="2" s="1"/>
  <c r="AA199" i="3"/>
  <c r="AA196" i="3"/>
  <c r="AA197" i="3" s="1"/>
  <c r="AB96" i="2"/>
  <c r="AB93" i="2"/>
  <c r="AB94" i="2" s="1"/>
  <c r="Z93" i="2"/>
  <c r="Z94" i="2" s="1"/>
  <c r="Z96" i="2"/>
  <c r="BN9" i="44"/>
  <c r="M1131" i="45"/>
  <c r="X1131" i="45"/>
  <c r="Y1131" i="45"/>
  <c r="N1131" i="45"/>
  <c r="R1131" i="45"/>
  <c r="T1131" i="45"/>
  <c r="Z396" i="45"/>
  <c r="Z711" i="45"/>
  <c r="Z1026" i="45"/>
  <c r="U1131" i="45"/>
  <c r="V1131" i="45"/>
  <c r="S1131" i="45"/>
  <c r="Y921" i="45"/>
  <c r="Y816" i="45"/>
  <c r="P1131" i="45"/>
  <c r="Q1131" i="45"/>
  <c r="L1131" i="45"/>
  <c r="Z1131" i="45"/>
  <c r="W1131" i="45"/>
  <c r="AR1428" i="45"/>
  <c r="AN1428" i="45"/>
  <c r="AJ1428" i="45"/>
  <c r="AF1428" i="45"/>
  <c r="AB1428" i="45"/>
  <c r="X1428" i="45"/>
  <c r="T1428" i="45"/>
  <c r="P1428" i="45"/>
  <c r="L1428" i="45"/>
  <c r="AU1428" i="45"/>
  <c r="AQ1428" i="45"/>
  <c r="AM1428" i="45"/>
  <c r="AI1428" i="45"/>
  <c r="AE1428" i="45"/>
  <c r="AA1428" i="45"/>
  <c r="W1428" i="45"/>
  <c r="S1428" i="45"/>
  <c r="O1428" i="45"/>
  <c r="AT1428" i="45"/>
  <c r="AL1428" i="45"/>
  <c r="AD1428" i="45"/>
  <c r="V1428" i="45"/>
  <c r="N1428" i="45"/>
  <c r="AS1428" i="45"/>
  <c r="AK1428" i="45"/>
  <c r="AC1428" i="45"/>
  <c r="U1428" i="45"/>
  <c r="M1428" i="45"/>
  <c r="AP1428" i="45"/>
  <c r="AH1428" i="45"/>
  <c r="Z1428" i="45"/>
  <c r="R1428" i="45"/>
  <c r="AG1428" i="45"/>
  <c r="Y1428" i="45"/>
  <c r="Q1428" i="45"/>
  <c r="AO1428" i="45"/>
  <c r="H1428" i="45"/>
  <c r="J1428" i="45" s="1"/>
  <c r="AR1257" i="45"/>
  <c r="AN1257" i="45"/>
  <c r="AJ1257" i="45"/>
  <c r="AF1257" i="45"/>
  <c r="AB1257" i="45"/>
  <c r="X1257" i="45"/>
  <c r="T1257" i="45"/>
  <c r="P1257" i="45"/>
  <c r="L1257" i="45"/>
  <c r="AU1257" i="45"/>
  <c r="AQ1257" i="45"/>
  <c r="AM1257" i="45"/>
  <c r="AI1257" i="45"/>
  <c r="AE1257" i="45"/>
  <c r="AA1257" i="45"/>
  <c r="W1257" i="45"/>
  <c r="S1257" i="45"/>
  <c r="O1257" i="45"/>
  <c r="AT1257" i="45"/>
  <c r="AP1257" i="45"/>
  <c r="AL1257" i="45"/>
  <c r="AH1257" i="45"/>
  <c r="AD1257" i="45"/>
  <c r="Z1257" i="45"/>
  <c r="V1257" i="45"/>
  <c r="R1257" i="45"/>
  <c r="N1257" i="45"/>
  <c r="AG1257" i="45"/>
  <c r="Q1257" i="45"/>
  <c r="AS1257" i="45"/>
  <c r="AC1257" i="45"/>
  <c r="M1257" i="45"/>
  <c r="AO1257" i="45"/>
  <c r="Y1257" i="45"/>
  <c r="AK1257" i="45"/>
  <c r="U1257" i="45"/>
  <c r="H1257" i="45"/>
  <c r="J1257" i="45" s="1"/>
  <c r="B1362" i="45"/>
  <c r="AR1192" i="45"/>
  <c r="AN1192" i="45"/>
  <c r="AJ1192" i="45"/>
  <c r="AF1192" i="45"/>
  <c r="AB1192" i="45"/>
  <c r="X1192" i="45"/>
  <c r="T1192" i="45"/>
  <c r="P1192" i="45"/>
  <c r="L1192" i="45"/>
  <c r="AU1192" i="45"/>
  <c r="AQ1192" i="45"/>
  <c r="AM1192" i="45"/>
  <c r="AI1192" i="45"/>
  <c r="AE1192" i="45"/>
  <c r="AA1192" i="45"/>
  <c r="W1192" i="45"/>
  <c r="S1192" i="45"/>
  <c r="O1192" i="45"/>
  <c r="AT1192" i="45"/>
  <c r="AP1192" i="45"/>
  <c r="AL1192" i="45"/>
  <c r="AH1192" i="45"/>
  <c r="AD1192" i="45"/>
  <c r="Z1192" i="45"/>
  <c r="V1192" i="45"/>
  <c r="R1192" i="45"/>
  <c r="N1192" i="45"/>
  <c r="AS1192" i="45"/>
  <c r="AC1192" i="45"/>
  <c r="M1192" i="45"/>
  <c r="AO1192" i="45"/>
  <c r="Y1192" i="45"/>
  <c r="AK1192" i="45"/>
  <c r="U1192" i="45"/>
  <c r="AG1192" i="45"/>
  <c r="Q1192" i="45"/>
  <c r="B1297" i="45"/>
  <c r="H1192" i="45"/>
  <c r="J1192" i="45" s="1"/>
  <c r="AR1243" i="45"/>
  <c r="AN1243" i="45"/>
  <c r="AJ1243" i="45"/>
  <c r="AF1243" i="45"/>
  <c r="AB1243" i="45"/>
  <c r="X1243" i="45"/>
  <c r="T1243" i="45"/>
  <c r="P1243" i="45"/>
  <c r="L1243" i="45"/>
  <c r="AU1243" i="45"/>
  <c r="AQ1243" i="45"/>
  <c r="AM1243" i="45"/>
  <c r="AI1243" i="45"/>
  <c r="AE1243" i="45"/>
  <c r="AA1243" i="45"/>
  <c r="W1243" i="45"/>
  <c r="S1243" i="45"/>
  <c r="O1243" i="45"/>
  <c r="AT1243" i="45"/>
  <c r="AP1243" i="45"/>
  <c r="AL1243" i="45"/>
  <c r="AH1243" i="45"/>
  <c r="AD1243" i="45"/>
  <c r="Z1243" i="45"/>
  <c r="V1243" i="45"/>
  <c r="R1243" i="45"/>
  <c r="N1243" i="45"/>
  <c r="AO1243" i="45"/>
  <c r="Y1243" i="45"/>
  <c r="AK1243" i="45"/>
  <c r="U1243" i="45"/>
  <c r="AG1243" i="45"/>
  <c r="Q1243" i="45"/>
  <c r="AS1243" i="45"/>
  <c r="AC1243" i="45"/>
  <c r="M1243" i="45"/>
  <c r="B1348" i="45"/>
  <c r="H1243" i="45"/>
  <c r="J1243" i="45" s="1"/>
  <c r="AR1265" i="45"/>
  <c r="AN1265" i="45"/>
  <c r="AJ1265" i="45"/>
  <c r="AF1265" i="45"/>
  <c r="AB1265" i="45"/>
  <c r="X1265" i="45"/>
  <c r="T1265" i="45"/>
  <c r="P1265" i="45"/>
  <c r="L1265" i="45"/>
  <c r="AU1265" i="45"/>
  <c r="AQ1265" i="45"/>
  <c r="AM1265" i="45"/>
  <c r="AI1265" i="45"/>
  <c r="AE1265" i="45"/>
  <c r="AA1265" i="45"/>
  <c r="W1265" i="45"/>
  <c r="S1265" i="45"/>
  <c r="O1265" i="45"/>
  <c r="AT1265" i="45"/>
  <c r="AP1265" i="45"/>
  <c r="AL1265" i="45"/>
  <c r="AH1265" i="45"/>
  <c r="AD1265" i="45"/>
  <c r="Z1265" i="45"/>
  <c r="V1265" i="45"/>
  <c r="R1265" i="45"/>
  <c r="N1265" i="45"/>
  <c r="AG1265" i="45"/>
  <c r="Q1265" i="45"/>
  <c r="AS1265" i="45"/>
  <c r="AC1265" i="45"/>
  <c r="M1265" i="45"/>
  <c r="AO1265" i="45"/>
  <c r="Y1265" i="45"/>
  <c r="U1265" i="45"/>
  <c r="AK1265" i="45"/>
  <c r="B1370" i="45"/>
  <c r="H1265" i="45"/>
  <c r="J1265" i="45" s="1"/>
  <c r="AR1275" i="45"/>
  <c r="AN1275" i="45"/>
  <c r="AJ1275" i="45"/>
  <c r="AF1275" i="45"/>
  <c r="AB1275" i="45"/>
  <c r="X1275" i="45"/>
  <c r="T1275" i="45"/>
  <c r="P1275" i="45"/>
  <c r="L1275" i="45"/>
  <c r="AU1275" i="45"/>
  <c r="AQ1275" i="45"/>
  <c r="AM1275" i="45"/>
  <c r="AI1275" i="45"/>
  <c r="AE1275" i="45"/>
  <c r="AA1275" i="45"/>
  <c r="W1275" i="45"/>
  <c r="S1275" i="45"/>
  <c r="O1275" i="45"/>
  <c r="AT1275" i="45"/>
  <c r="AP1275" i="45"/>
  <c r="AL1275" i="45"/>
  <c r="AH1275" i="45"/>
  <c r="AD1275" i="45"/>
  <c r="Z1275" i="45"/>
  <c r="V1275" i="45"/>
  <c r="R1275" i="45"/>
  <c r="N1275" i="45"/>
  <c r="AO1275" i="45"/>
  <c r="Y1275" i="45"/>
  <c r="AK1275" i="45"/>
  <c r="U1275" i="45"/>
  <c r="AG1275" i="45"/>
  <c r="Q1275" i="45"/>
  <c r="AS1275" i="45"/>
  <c r="AC1275" i="45"/>
  <c r="M1275" i="45"/>
  <c r="H1275" i="45"/>
  <c r="J1275" i="45" s="1"/>
  <c r="B1380" i="45"/>
  <c r="AT1282" i="45"/>
  <c r="AP1282" i="45"/>
  <c r="AL1282" i="45"/>
  <c r="AH1282" i="45"/>
  <c r="AD1282" i="45"/>
  <c r="Z1282" i="45"/>
  <c r="V1282" i="45"/>
  <c r="R1282" i="45"/>
  <c r="N1282" i="45"/>
  <c r="AS1282" i="45"/>
  <c r="AO1282" i="45"/>
  <c r="AK1282" i="45"/>
  <c r="AG1282" i="45"/>
  <c r="AC1282" i="45"/>
  <c r="Y1282" i="45"/>
  <c r="U1282" i="45"/>
  <c r="Q1282" i="45"/>
  <c r="M1282" i="45"/>
  <c r="AR1282" i="45"/>
  <c r="AN1282" i="45"/>
  <c r="AJ1282" i="45"/>
  <c r="AF1282" i="45"/>
  <c r="AB1282" i="45"/>
  <c r="X1282" i="45"/>
  <c r="T1282" i="45"/>
  <c r="P1282" i="45"/>
  <c r="L1282" i="45"/>
  <c r="AM1282" i="45"/>
  <c r="W1282" i="45"/>
  <c r="AI1282" i="45"/>
  <c r="S1282" i="45"/>
  <c r="AU1282" i="45"/>
  <c r="AE1282" i="45"/>
  <c r="O1282" i="45"/>
  <c r="AQ1282" i="45"/>
  <c r="AA1282" i="45"/>
  <c r="B1387" i="45"/>
  <c r="H1282" i="45"/>
  <c r="J1282" i="45" s="1"/>
  <c r="AR1276" i="45"/>
  <c r="AN1276" i="45"/>
  <c r="AJ1276" i="45"/>
  <c r="AF1276" i="45"/>
  <c r="AB1276" i="45"/>
  <c r="X1276" i="45"/>
  <c r="T1276" i="45"/>
  <c r="P1276" i="45"/>
  <c r="L1276" i="45"/>
  <c r="AU1276" i="45"/>
  <c r="AQ1276" i="45"/>
  <c r="AM1276" i="45"/>
  <c r="AI1276" i="45"/>
  <c r="AE1276" i="45"/>
  <c r="AA1276" i="45"/>
  <c r="W1276" i="45"/>
  <c r="S1276" i="45"/>
  <c r="O1276" i="45"/>
  <c r="AT1276" i="45"/>
  <c r="AP1276" i="45"/>
  <c r="AL1276" i="45"/>
  <c r="AH1276" i="45"/>
  <c r="AD1276" i="45"/>
  <c r="Z1276" i="45"/>
  <c r="V1276" i="45"/>
  <c r="R1276" i="45"/>
  <c r="N1276" i="45"/>
  <c r="AK1276" i="45"/>
  <c r="U1276" i="45"/>
  <c r="AG1276" i="45"/>
  <c r="Q1276" i="45"/>
  <c r="AS1276" i="45"/>
  <c r="AC1276" i="45"/>
  <c r="M1276" i="45"/>
  <c r="AO1276" i="45"/>
  <c r="Y1276" i="45"/>
  <c r="B1381" i="45"/>
  <c r="H1276" i="45"/>
  <c r="J1276" i="45" s="1"/>
  <c r="AT1284" i="45"/>
  <c r="AP1284" i="45"/>
  <c r="AL1284" i="45"/>
  <c r="AH1284" i="45"/>
  <c r="AD1284" i="45"/>
  <c r="Z1284" i="45"/>
  <c r="V1284" i="45"/>
  <c r="R1284" i="45"/>
  <c r="N1284" i="45"/>
  <c r="AS1284" i="45"/>
  <c r="AO1284" i="45"/>
  <c r="AK1284" i="45"/>
  <c r="AG1284" i="45"/>
  <c r="AC1284" i="45"/>
  <c r="Y1284" i="45"/>
  <c r="U1284" i="45"/>
  <c r="Q1284" i="45"/>
  <c r="M1284" i="45"/>
  <c r="AR1284" i="45"/>
  <c r="AN1284" i="45"/>
  <c r="AJ1284" i="45"/>
  <c r="AF1284" i="45"/>
  <c r="AB1284" i="45"/>
  <c r="X1284" i="45"/>
  <c r="T1284" i="45"/>
  <c r="P1284" i="45"/>
  <c r="L1284" i="45"/>
  <c r="AU1284" i="45"/>
  <c r="AE1284" i="45"/>
  <c r="O1284" i="45"/>
  <c r="AQ1284" i="45"/>
  <c r="AA1284" i="45"/>
  <c r="AM1284" i="45"/>
  <c r="W1284" i="45"/>
  <c r="AI1284" i="45"/>
  <c r="S1284" i="45"/>
  <c r="B1389" i="45"/>
  <c r="H1284" i="45"/>
  <c r="J1284" i="45" s="1"/>
  <c r="AR1182" i="45"/>
  <c r="AN1182" i="45"/>
  <c r="AJ1182" i="45"/>
  <c r="AF1182" i="45"/>
  <c r="AB1182" i="45"/>
  <c r="X1182" i="45"/>
  <c r="T1182" i="45"/>
  <c r="P1182" i="45"/>
  <c r="L1182" i="45"/>
  <c r="AU1182" i="45"/>
  <c r="AQ1182" i="45"/>
  <c r="AM1182" i="45"/>
  <c r="AI1182" i="45"/>
  <c r="AE1182" i="45"/>
  <c r="AA1182" i="45"/>
  <c r="W1182" i="45"/>
  <c r="S1182" i="45"/>
  <c r="O1182" i="45"/>
  <c r="AT1182" i="45"/>
  <c r="AP1182" i="45"/>
  <c r="AL1182" i="45"/>
  <c r="AH1182" i="45"/>
  <c r="AD1182" i="45"/>
  <c r="Z1182" i="45"/>
  <c r="V1182" i="45"/>
  <c r="R1182" i="45"/>
  <c r="N1182" i="45"/>
  <c r="AK1182" i="45"/>
  <c r="U1182" i="45"/>
  <c r="AG1182" i="45"/>
  <c r="Q1182" i="45"/>
  <c r="AS1182" i="45"/>
  <c r="AC1182" i="45"/>
  <c r="M1182" i="45"/>
  <c r="AO1182" i="45"/>
  <c r="Y1182" i="45"/>
  <c r="B1287" i="45"/>
  <c r="H1182" i="45"/>
  <c r="J1182" i="45" s="1"/>
  <c r="AT1295" i="45"/>
  <c r="AP1295" i="45"/>
  <c r="AL1295" i="45"/>
  <c r="AH1295" i="45"/>
  <c r="AD1295" i="45"/>
  <c r="Z1295" i="45"/>
  <c r="V1295" i="45"/>
  <c r="R1295" i="45"/>
  <c r="N1295" i="45"/>
  <c r="AS1295" i="45"/>
  <c r="AO1295" i="45"/>
  <c r="AK1295" i="45"/>
  <c r="AG1295" i="45"/>
  <c r="AC1295" i="45"/>
  <c r="Y1295" i="45"/>
  <c r="U1295" i="45"/>
  <c r="Q1295" i="45"/>
  <c r="M1295" i="45"/>
  <c r="AR1295" i="45"/>
  <c r="AN1295" i="45"/>
  <c r="AJ1295" i="45"/>
  <c r="AF1295" i="45"/>
  <c r="AB1295" i="45"/>
  <c r="X1295" i="45"/>
  <c r="T1295" i="45"/>
  <c r="P1295" i="45"/>
  <c r="L1295" i="45"/>
  <c r="AI1295" i="45"/>
  <c r="S1295" i="45"/>
  <c r="AU1295" i="45"/>
  <c r="AE1295" i="45"/>
  <c r="O1295" i="45"/>
  <c r="AQ1295" i="45"/>
  <c r="AA1295" i="45"/>
  <c r="W1295" i="45"/>
  <c r="AM1295" i="45"/>
  <c r="B1400" i="45"/>
  <c r="H1295" i="45"/>
  <c r="J1295" i="45" s="1"/>
  <c r="AT1285" i="45"/>
  <c r="AP1285" i="45"/>
  <c r="AL1285" i="45"/>
  <c r="AH1285" i="45"/>
  <c r="AD1285" i="45"/>
  <c r="Z1285" i="45"/>
  <c r="V1285" i="45"/>
  <c r="R1285" i="45"/>
  <c r="N1285" i="45"/>
  <c r="AS1285" i="45"/>
  <c r="AO1285" i="45"/>
  <c r="AK1285" i="45"/>
  <c r="AG1285" i="45"/>
  <c r="AC1285" i="45"/>
  <c r="Y1285" i="45"/>
  <c r="U1285" i="45"/>
  <c r="Q1285" i="45"/>
  <c r="M1285" i="45"/>
  <c r="AR1285" i="45"/>
  <c r="AN1285" i="45"/>
  <c r="AJ1285" i="45"/>
  <c r="AF1285" i="45"/>
  <c r="AB1285" i="45"/>
  <c r="X1285" i="45"/>
  <c r="T1285" i="45"/>
  <c r="P1285" i="45"/>
  <c r="L1285" i="45"/>
  <c r="AQ1285" i="45"/>
  <c r="AA1285" i="45"/>
  <c r="AM1285" i="45"/>
  <c r="W1285" i="45"/>
  <c r="AI1285" i="45"/>
  <c r="S1285" i="45"/>
  <c r="AU1285" i="45"/>
  <c r="AE1285" i="45"/>
  <c r="O1285" i="45"/>
  <c r="B1390" i="45"/>
  <c r="H1285" i="45"/>
  <c r="J1285" i="45" s="1"/>
  <c r="AS1434" i="45"/>
  <c r="AO1434" i="45"/>
  <c r="AK1434" i="45"/>
  <c r="AG1434" i="45"/>
  <c r="AC1434" i="45"/>
  <c r="Y1434" i="45"/>
  <c r="U1434" i="45"/>
  <c r="AR1434" i="45"/>
  <c r="AN1434" i="45"/>
  <c r="AJ1434" i="45"/>
  <c r="AF1434" i="45"/>
  <c r="AB1434" i="45"/>
  <c r="X1434" i="45"/>
  <c r="T1434" i="45"/>
  <c r="P1434" i="45"/>
  <c r="L1434" i="45"/>
  <c r="AU1434" i="45"/>
  <c r="AQ1434" i="45"/>
  <c r="AM1434" i="45"/>
  <c r="AI1434" i="45"/>
  <c r="AE1434" i="45"/>
  <c r="AA1434" i="45"/>
  <c r="W1434" i="45"/>
  <c r="S1434" i="45"/>
  <c r="O1434" i="45"/>
  <c r="AP1434" i="45"/>
  <c r="Z1434" i="45"/>
  <c r="N1434" i="45"/>
  <c r="AL1434" i="45"/>
  <c r="V1434" i="45"/>
  <c r="M1434" i="45"/>
  <c r="AH1434" i="45"/>
  <c r="R1434" i="45"/>
  <c r="AT1434" i="45"/>
  <c r="AD1434" i="45"/>
  <c r="Q1434" i="45"/>
  <c r="H1434" i="45"/>
  <c r="J1434" i="45" s="1"/>
  <c r="AT1309" i="45"/>
  <c r="AP1309" i="45"/>
  <c r="AL1309" i="45"/>
  <c r="AH1309" i="45"/>
  <c r="AD1309" i="45"/>
  <c r="Z1309" i="45"/>
  <c r="V1309" i="45"/>
  <c r="R1309" i="45"/>
  <c r="N1309" i="45"/>
  <c r="AS1309" i="45"/>
  <c r="AO1309" i="45"/>
  <c r="AK1309" i="45"/>
  <c r="AG1309" i="45"/>
  <c r="AC1309" i="45"/>
  <c r="Y1309" i="45"/>
  <c r="U1309" i="45"/>
  <c r="Q1309" i="45"/>
  <c r="M1309" i="45"/>
  <c r="AR1309" i="45"/>
  <c r="AN1309" i="45"/>
  <c r="AJ1309" i="45"/>
  <c r="AF1309" i="45"/>
  <c r="AB1309" i="45"/>
  <c r="X1309" i="45"/>
  <c r="T1309" i="45"/>
  <c r="P1309" i="45"/>
  <c r="L1309" i="45"/>
  <c r="AQ1309" i="45"/>
  <c r="AA1309" i="45"/>
  <c r="AM1309" i="45"/>
  <c r="W1309" i="45"/>
  <c r="AI1309" i="45"/>
  <c r="S1309" i="45"/>
  <c r="AE1309" i="45"/>
  <c r="O1309" i="45"/>
  <c r="AU1309" i="45"/>
  <c r="B1414" i="45"/>
  <c r="H1309" i="45"/>
  <c r="J1309" i="45" s="1"/>
  <c r="AR1246" i="45"/>
  <c r="AN1246" i="45"/>
  <c r="AJ1246" i="45"/>
  <c r="AF1246" i="45"/>
  <c r="AB1246" i="45"/>
  <c r="X1246" i="45"/>
  <c r="T1246" i="45"/>
  <c r="P1246" i="45"/>
  <c r="L1246" i="45"/>
  <c r="AU1246" i="45"/>
  <c r="AQ1246" i="45"/>
  <c r="AM1246" i="45"/>
  <c r="AI1246" i="45"/>
  <c r="AE1246" i="45"/>
  <c r="AA1246" i="45"/>
  <c r="W1246" i="45"/>
  <c r="S1246" i="45"/>
  <c r="O1246" i="45"/>
  <c r="AT1246" i="45"/>
  <c r="AP1246" i="45"/>
  <c r="AL1246" i="45"/>
  <c r="AH1246" i="45"/>
  <c r="AD1246" i="45"/>
  <c r="Z1246" i="45"/>
  <c r="V1246" i="45"/>
  <c r="R1246" i="45"/>
  <c r="N1246" i="45"/>
  <c r="AS1246" i="45"/>
  <c r="AC1246" i="45"/>
  <c r="M1246" i="45"/>
  <c r="AO1246" i="45"/>
  <c r="Y1246" i="45"/>
  <c r="AK1246" i="45"/>
  <c r="U1246" i="45"/>
  <c r="AG1246" i="45"/>
  <c r="Q1246" i="45"/>
  <c r="B1351" i="45"/>
  <c r="H1246" i="45"/>
  <c r="J1246" i="45" s="1"/>
  <c r="AR1249" i="45"/>
  <c r="AN1249" i="45"/>
  <c r="AJ1249" i="45"/>
  <c r="AF1249" i="45"/>
  <c r="AB1249" i="45"/>
  <c r="X1249" i="45"/>
  <c r="T1249" i="45"/>
  <c r="P1249" i="45"/>
  <c r="L1249" i="45"/>
  <c r="AU1249" i="45"/>
  <c r="AQ1249" i="45"/>
  <c r="AM1249" i="45"/>
  <c r="AI1249" i="45"/>
  <c r="AE1249" i="45"/>
  <c r="AA1249" i="45"/>
  <c r="W1249" i="45"/>
  <c r="S1249" i="45"/>
  <c r="O1249" i="45"/>
  <c r="AT1249" i="45"/>
  <c r="AP1249" i="45"/>
  <c r="AL1249" i="45"/>
  <c r="AH1249" i="45"/>
  <c r="AD1249" i="45"/>
  <c r="Z1249" i="45"/>
  <c r="V1249" i="45"/>
  <c r="R1249" i="45"/>
  <c r="N1249" i="45"/>
  <c r="AG1249" i="45"/>
  <c r="Q1249" i="45"/>
  <c r="AS1249" i="45"/>
  <c r="AC1249" i="45"/>
  <c r="M1249" i="45"/>
  <c r="AO1249" i="45"/>
  <c r="Y1249" i="45"/>
  <c r="U1249" i="45"/>
  <c r="AK1249" i="45"/>
  <c r="B1354" i="45"/>
  <c r="H1249" i="45"/>
  <c r="J1249" i="45" s="1"/>
  <c r="AT1301" i="45"/>
  <c r="AP1301" i="45"/>
  <c r="AL1301" i="45"/>
  <c r="AH1301" i="45"/>
  <c r="AD1301" i="45"/>
  <c r="Z1301" i="45"/>
  <c r="V1301" i="45"/>
  <c r="R1301" i="45"/>
  <c r="N1301" i="45"/>
  <c r="AS1301" i="45"/>
  <c r="AO1301" i="45"/>
  <c r="AK1301" i="45"/>
  <c r="AG1301" i="45"/>
  <c r="AC1301" i="45"/>
  <c r="Y1301" i="45"/>
  <c r="U1301" i="45"/>
  <c r="Q1301" i="45"/>
  <c r="M1301" i="45"/>
  <c r="AR1301" i="45"/>
  <c r="AN1301" i="45"/>
  <c r="AJ1301" i="45"/>
  <c r="AF1301" i="45"/>
  <c r="AB1301" i="45"/>
  <c r="X1301" i="45"/>
  <c r="T1301" i="45"/>
  <c r="P1301" i="45"/>
  <c r="L1301" i="45"/>
  <c r="AQ1301" i="45"/>
  <c r="AA1301" i="45"/>
  <c r="AM1301" i="45"/>
  <c r="W1301" i="45"/>
  <c r="AI1301" i="45"/>
  <c r="S1301" i="45"/>
  <c r="AU1301" i="45"/>
  <c r="AE1301" i="45"/>
  <c r="O1301" i="45"/>
  <c r="B1406" i="45"/>
  <c r="H1301" i="45"/>
  <c r="J1301" i="45" s="1"/>
  <c r="AT1291" i="45"/>
  <c r="AP1291" i="45"/>
  <c r="AL1291" i="45"/>
  <c r="AH1291" i="45"/>
  <c r="AD1291" i="45"/>
  <c r="Z1291" i="45"/>
  <c r="V1291" i="45"/>
  <c r="R1291" i="45"/>
  <c r="N1291" i="45"/>
  <c r="AS1291" i="45"/>
  <c r="AO1291" i="45"/>
  <c r="AK1291" i="45"/>
  <c r="AG1291" i="45"/>
  <c r="AC1291" i="45"/>
  <c r="Y1291" i="45"/>
  <c r="U1291" i="45"/>
  <c r="Q1291" i="45"/>
  <c r="M1291" i="45"/>
  <c r="AR1291" i="45"/>
  <c r="AN1291" i="45"/>
  <c r="AJ1291" i="45"/>
  <c r="AF1291" i="45"/>
  <c r="AB1291" i="45"/>
  <c r="X1291" i="45"/>
  <c r="T1291" i="45"/>
  <c r="P1291" i="45"/>
  <c r="L1291" i="45"/>
  <c r="AI1291" i="45"/>
  <c r="S1291" i="45"/>
  <c r="AU1291" i="45"/>
  <c r="AE1291" i="45"/>
  <c r="O1291" i="45"/>
  <c r="AQ1291" i="45"/>
  <c r="AA1291" i="45"/>
  <c r="AM1291" i="45"/>
  <c r="W1291" i="45"/>
  <c r="H1291" i="45"/>
  <c r="J1291" i="45" s="1"/>
  <c r="B1396" i="45"/>
  <c r="AR1427" i="45"/>
  <c r="AN1427" i="45"/>
  <c r="AJ1427" i="45"/>
  <c r="AF1427" i="45"/>
  <c r="AB1427" i="45"/>
  <c r="X1427" i="45"/>
  <c r="T1427" i="45"/>
  <c r="P1427" i="45"/>
  <c r="L1427" i="45"/>
  <c r="AU1427" i="45"/>
  <c r="AQ1427" i="45"/>
  <c r="AM1427" i="45"/>
  <c r="AI1427" i="45"/>
  <c r="AE1427" i="45"/>
  <c r="AA1427" i="45"/>
  <c r="W1427" i="45"/>
  <c r="S1427" i="45"/>
  <c r="O1427" i="45"/>
  <c r="AP1427" i="45"/>
  <c r="AH1427" i="45"/>
  <c r="Z1427" i="45"/>
  <c r="R1427" i="45"/>
  <c r="AO1427" i="45"/>
  <c r="AG1427" i="45"/>
  <c r="Y1427" i="45"/>
  <c r="Q1427" i="45"/>
  <c r="AT1427" i="45"/>
  <c r="AL1427" i="45"/>
  <c r="AD1427" i="45"/>
  <c r="V1427" i="45"/>
  <c r="N1427" i="45"/>
  <c r="AK1427" i="45"/>
  <c r="AC1427" i="45"/>
  <c r="U1427" i="45"/>
  <c r="AS1427" i="45"/>
  <c r="M1427" i="45"/>
  <c r="H1427" i="45"/>
  <c r="J1427" i="45" s="1"/>
  <c r="AR1237" i="45"/>
  <c r="AN1237" i="45"/>
  <c r="AJ1237" i="45"/>
  <c r="AF1237" i="45"/>
  <c r="AB1237" i="45"/>
  <c r="X1237" i="45"/>
  <c r="T1237" i="45"/>
  <c r="P1237" i="45"/>
  <c r="L1237" i="45"/>
  <c r="AU1237" i="45"/>
  <c r="AQ1237" i="45"/>
  <c r="AM1237" i="45"/>
  <c r="AI1237" i="45"/>
  <c r="AE1237" i="45"/>
  <c r="AA1237" i="45"/>
  <c r="W1237" i="45"/>
  <c r="S1237" i="45"/>
  <c r="O1237" i="45"/>
  <c r="AT1237" i="45"/>
  <c r="AP1237" i="45"/>
  <c r="AL1237" i="45"/>
  <c r="AH1237" i="45"/>
  <c r="AD1237" i="45"/>
  <c r="Z1237" i="45"/>
  <c r="V1237" i="45"/>
  <c r="R1237" i="45"/>
  <c r="N1237" i="45"/>
  <c r="AG1237" i="45"/>
  <c r="Q1237" i="45"/>
  <c r="AS1237" i="45"/>
  <c r="AC1237" i="45"/>
  <c r="M1237" i="45"/>
  <c r="AO1237" i="45"/>
  <c r="Y1237" i="45"/>
  <c r="AK1237" i="45"/>
  <c r="U1237" i="45"/>
  <c r="B1342" i="45"/>
  <c r="H1237" i="45"/>
  <c r="J1237" i="45" s="1"/>
  <c r="AR1258" i="45"/>
  <c r="AN1258" i="45"/>
  <c r="AJ1258" i="45"/>
  <c r="AF1258" i="45"/>
  <c r="AB1258" i="45"/>
  <c r="X1258" i="45"/>
  <c r="T1258" i="45"/>
  <c r="P1258" i="45"/>
  <c r="L1258" i="45"/>
  <c r="AU1258" i="45"/>
  <c r="AQ1258" i="45"/>
  <c r="AM1258" i="45"/>
  <c r="AI1258" i="45"/>
  <c r="AE1258" i="45"/>
  <c r="AA1258" i="45"/>
  <c r="W1258" i="45"/>
  <c r="S1258" i="45"/>
  <c r="O1258" i="45"/>
  <c r="AT1258" i="45"/>
  <c r="AP1258" i="45"/>
  <c r="AL1258" i="45"/>
  <c r="AH1258" i="45"/>
  <c r="AD1258" i="45"/>
  <c r="Z1258" i="45"/>
  <c r="V1258" i="45"/>
  <c r="R1258" i="45"/>
  <c r="N1258" i="45"/>
  <c r="AS1258" i="45"/>
  <c r="AC1258" i="45"/>
  <c r="M1258" i="45"/>
  <c r="AO1258" i="45"/>
  <c r="Y1258" i="45"/>
  <c r="AK1258" i="45"/>
  <c r="U1258" i="45"/>
  <c r="Q1258" i="45"/>
  <c r="AG1258" i="45"/>
  <c r="B1363" i="45"/>
  <c r="H1258" i="45"/>
  <c r="J1258" i="45" s="1"/>
  <c r="AR1238" i="45"/>
  <c r="AN1238" i="45"/>
  <c r="AJ1238" i="45"/>
  <c r="AF1238" i="45"/>
  <c r="AB1238" i="45"/>
  <c r="X1238" i="45"/>
  <c r="T1238" i="45"/>
  <c r="P1238" i="45"/>
  <c r="L1238" i="45"/>
  <c r="AU1238" i="45"/>
  <c r="AQ1238" i="45"/>
  <c r="AM1238" i="45"/>
  <c r="AI1238" i="45"/>
  <c r="AE1238" i="45"/>
  <c r="AA1238" i="45"/>
  <c r="W1238" i="45"/>
  <c r="S1238" i="45"/>
  <c r="O1238" i="45"/>
  <c r="AT1238" i="45"/>
  <c r="AP1238" i="45"/>
  <c r="AL1238" i="45"/>
  <c r="AH1238" i="45"/>
  <c r="AD1238" i="45"/>
  <c r="Z1238" i="45"/>
  <c r="V1238" i="45"/>
  <c r="R1238" i="45"/>
  <c r="N1238" i="45"/>
  <c r="AS1238" i="45"/>
  <c r="AC1238" i="45"/>
  <c r="M1238" i="45"/>
  <c r="AO1238" i="45"/>
  <c r="Y1238" i="45"/>
  <c r="AK1238" i="45"/>
  <c r="U1238" i="45"/>
  <c r="AG1238" i="45"/>
  <c r="Q1238" i="45"/>
  <c r="B1343" i="45"/>
  <c r="H1238" i="45"/>
  <c r="J1238" i="45" s="1"/>
  <c r="AT1311" i="45"/>
  <c r="AP1311" i="45"/>
  <c r="AL1311" i="45"/>
  <c r="AH1311" i="45"/>
  <c r="AD1311" i="45"/>
  <c r="Z1311" i="45"/>
  <c r="V1311" i="45"/>
  <c r="R1311" i="45"/>
  <c r="N1311" i="45"/>
  <c r="AS1311" i="45"/>
  <c r="AO1311" i="45"/>
  <c r="AK1311" i="45"/>
  <c r="AG1311" i="45"/>
  <c r="AC1311" i="45"/>
  <c r="Y1311" i="45"/>
  <c r="U1311" i="45"/>
  <c r="Q1311" i="45"/>
  <c r="M1311" i="45"/>
  <c r="AR1311" i="45"/>
  <c r="AN1311" i="45"/>
  <c r="AJ1311" i="45"/>
  <c r="AF1311" i="45"/>
  <c r="AB1311" i="45"/>
  <c r="X1311" i="45"/>
  <c r="T1311" i="45"/>
  <c r="P1311" i="45"/>
  <c r="L1311" i="45"/>
  <c r="AI1311" i="45"/>
  <c r="S1311" i="45"/>
  <c r="AU1311" i="45"/>
  <c r="AE1311" i="45"/>
  <c r="O1311" i="45"/>
  <c r="AQ1311" i="45"/>
  <c r="AA1311" i="45"/>
  <c r="W1311" i="45"/>
  <c r="AM1311" i="45"/>
  <c r="B1416" i="45"/>
  <c r="H1311" i="45"/>
  <c r="J1311" i="45" s="1"/>
  <c r="AR1426" i="45"/>
  <c r="AN1426" i="45"/>
  <c r="AJ1426" i="45"/>
  <c r="AF1426" i="45"/>
  <c r="AB1426" i="45"/>
  <c r="X1426" i="45"/>
  <c r="T1426" i="45"/>
  <c r="P1426" i="45"/>
  <c r="L1426" i="45"/>
  <c r="AU1426" i="45"/>
  <c r="AQ1426" i="45"/>
  <c r="AM1426" i="45"/>
  <c r="AI1426" i="45"/>
  <c r="AE1426" i="45"/>
  <c r="AA1426" i="45"/>
  <c r="W1426" i="45"/>
  <c r="S1426" i="45"/>
  <c r="O1426" i="45"/>
  <c r="AT1426" i="45"/>
  <c r="AL1426" i="45"/>
  <c r="AD1426" i="45"/>
  <c r="V1426" i="45"/>
  <c r="N1426" i="45"/>
  <c r="AS1426" i="45"/>
  <c r="AK1426" i="45"/>
  <c r="AC1426" i="45"/>
  <c r="U1426" i="45"/>
  <c r="M1426" i="45"/>
  <c r="AP1426" i="45"/>
  <c r="AH1426" i="45"/>
  <c r="Z1426" i="45"/>
  <c r="R1426" i="45"/>
  <c r="AO1426" i="45"/>
  <c r="AG1426" i="45"/>
  <c r="Y1426" i="45"/>
  <c r="Q1426" i="45"/>
  <c r="H1426" i="45"/>
  <c r="J1426" i="45" s="1"/>
  <c r="AR1433" i="45"/>
  <c r="AN1433" i="45"/>
  <c r="AJ1433" i="45"/>
  <c r="AF1433" i="45"/>
  <c r="AB1433" i="45"/>
  <c r="X1433" i="45"/>
  <c r="T1433" i="45"/>
  <c r="P1433" i="45"/>
  <c r="L1433" i="45"/>
  <c r="AU1433" i="45"/>
  <c r="AQ1433" i="45"/>
  <c r="AM1433" i="45"/>
  <c r="AI1433" i="45"/>
  <c r="AE1433" i="45"/>
  <c r="AA1433" i="45"/>
  <c r="W1433" i="45"/>
  <c r="S1433" i="45"/>
  <c r="O1433" i="45"/>
  <c r="AP1433" i="45"/>
  <c r="AH1433" i="45"/>
  <c r="Z1433" i="45"/>
  <c r="R1433" i="45"/>
  <c r="AO1433" i="45"/>
  <c r="AG1433" i="45"/>
  <c r="Y1433" i="45"/>
  <c r="Q1433" i="45"/>
  <c r="AT1433" i="45"/>
  <c r="AL1433" i="45"/>
  <c r="AD1433" i="45"/>
  <c r="V1433" i="45"/>
  <c r="N1433" i="45"/>
  <c r="AS1433" i="45"/>
  <c r="M1433" i="45"/>
  <c r="AK1433" i="45"/>
  <c r="AC1433" i="45"/>
  <c r="U1433" i="45"/>
  <c r="H1433" i="45"/>
  <c r="J1433" i="45" s="1"/>
  <c r="AR1242" i="45"/>
  <c r="AN1242" i="45"/>
  <c r="AJ1242" i="45"/>
  <c r="AF1242" i="45"/>
  <c r="AB1242" i="45"/>
  <c r="X1242" i="45"/>
  <c r="T1242" i="45"/>
  <c r="P1242" i="45"/>
  <c r="L1242" i="45"/>
  <c r="AU1242" i="45"/>
  <c r="AQ1242" i="45"/>
  <c r="AM1242" i="45"/>
  <c r="AI1242" i="45"/>
  <c r="AE1242" i="45"/>
  <c r="AA1242" i="45"/>
  <c r="W1242" i="45"/>
  <c r="S1242" i="45"/>
  <c r="O1242" i="45"/>
  <c r="AT1242" i="45"/>
  <c r="AP1242" i="45"/>
  <c r="AL1242" i="45"/>
  <c r="AH1242" i="45"/>
  <c r="AD1242" i="45"/>
  <c r="Z1242" i="45"/>
  <c r="V1242" i="45"/>
  <c r="R1242" i="45"/>
  <c r="N1242" i="45"/>
  <c r="AS1242" i="45"/>
  <c r="AC1242" i="45"/>
  <c r="M1242" i="45"/>
  <c r="AO1242" i="45"/>
  <c r="Y1242" i="45"/>
  <c r="AK1242" i="45"/>
  <c r="U1242" i="45"/>
  <c r="Q1242" i="45"/>
  <c r="AG1242" i="45"/>
  <c r="B1347" i="45"/>
  <c r="H1242" i="45"/>
  <c r="J1242" i="45" s="1"/>
  <c r="AR1432" i="45"/>
  <c r="AN1432" i="45"/>
  <c r="AJ1432" i="45"/>
  <c r="AF1432" i="45"/>
  <c r="AB1432" i="45"/>
  <c r="X1432" i="45"/>
  <c r="T1432" i="45"/>
  <c r="P1432" i="45"/>
  <c r="L1432" i="45"/>
  <c r="AU1432" i="45"/>
  <c r="AQ1432" i="45"/>
  <c r="AM1432" i="45"/>
  <c r="AI1432" i="45"/>
  <c r="AE1432" i="45"/>
  <c r="AA1432" i="45"/>
  <c r="W1432" i="45"/>
  <c r="S1432" i="45"/>
  <c r="O1432" i="45"/>
  <c r="AT1432" i="45"/>
  <c r="AL1432" i="45"/>
  <c r="AD1432" i="45"/>
  <c r="V1432" i="45"/>
  <c r="N1432" i="45"/>
  <c r="AS1432" i="45"/>
  <c r="AK1432" i="45"/>
  <c r="AC1432" i="45"/>
  <c r="U1432" i="45"/>
  <c r="M1432" i="45"/>
  <c r="AP1432" i="45"/>
  <c r="AH1432" i="45"/>
  <c r="Z1432" i="45"/>
  <c r="R1432" i="45"/>
  <c r="Q1432" i="45"/>
  <c r="AO1432" i="45"/>
  <c r="AG1432" i="45"/>
  <c r="Y1432" i="45"/>
  <c r="H1432" i="45"/>
  <c r="J1432" i="45" s="1"/>
  <c r="AR1263" i="45"/>
  <c r="AN1263" i="45"/>
  <c r="AJ1263" i="45"/>
  <c r="AF1263" i="45"/>
  <c r="AB1263" i="45"/>
  <c r="X1263" i="45"/>
  <c r="T1263" i="45"/>
  <c r="P1263" i="45"/>
  <c r="L1263" i="45"/>
  <c r="AU1263" i="45"/>
  <c r="AQ1263" i="45"/>
  <c r="AM1263" i="45"/>
  <c r="AI1263" i="45"/>
  <c r="AE1263" i="45"/>
  <c r="AA1263" i="45"/>
  <c r="W1263" i="45"/>
  <c r="S1263" i="45"/>
  <c r="O1263" i="45"/>
  <c r="AT1263" i="45"/>
  <c r="AP1263" i="45"/>
  <c r="AL1263" i="45"/>
  <c r="AH1263" i="45"/>
  <c r="AD1263" i="45"/>
  <c r="Z1263" i="45"/>
  <c r="V1263" i="45"/>
  <c r="R1263" i="45"/>
  <c r="N1263" i="45"/>
  <c r="AO1263" i="45"/>
  <c r="Y1263" i="45"/>
  <c r="AK1263" i="45"/>
  <c r="U1263" i="45"/>
  <c r="AG1263" i="45"/>
  <c r="Q1263" i="45"/>
  <c r="AC1263" i="45"/>
  <c r="M1263" i="45"/>
  <c r="AS1263" i="45"/>
  <c r="B1368" i="45"/>
  <c r="H1263" i="45"/>
  <c r="J1263" i="45" s="1"/>
  <c r="AT1300" i="45"/>
  <c r="AP1300" i="45"/>
  <c r="AL1300" i="45"/>
  <c r="AH1300" i="45"/>
  <c r="AD1300" i="45"/>
  <c r="Z1300" i="45"/>
  <c r="V1300" i="45"/>
  <c r="R1300" i="45"/>
  <c r="N1300" i="45"/>
  <c r="AS1300" i="45"/>
  <c r="AO1300" i="45"/>
  <c r="AK1300" i="45"/>
  <c r="AG1300" i="45"/>
  <c r="AC1300" i="45"/>
  <c r="Y1300" i="45"/>
  <c r="U1300" i="45"/>
  <c r="Q1300" i="45"/>
  <c r="M1300" i="45"/>
  <c r="AR1300" i="45"/>
  <c r="AN1300" i="45"/>
  <c r="AJ1300" i="45"/>
  <c r="AF1300" i="45"/>
  <c r="AB1300" i="45"/>
  <c r="X1300" i="45"/>
  <c r="T1300" i="45"/>
  <c r="P1300" i="45"/>
  <c r="L1300" i="45"/>
  <c r="AU1300" i="45"/>
  <c r="AE1300" i="45"/>
  <c r="O1300" i="45"/>
  <c r="AQ1300" i="45"/>
  <c r="AA1300" i="45"/>
  <c r="AM1300" i="45"/>
  <c r="W1300" i="45"/>
  <c r="AI1300" i="45"/>
  <c r="S1300" i="45"/>
  <c r="B1405" i="45"/>
  <c r="H1300" i="45"/>
  <c r="J1300" i="45" s="1"/>
  <c r="AT1319" i="45"/>
  <c r="AP1319" i="45"/>
  <c r="AL1319" i="45"/>
  <c r="AH1319" i="45"/>
  <c r="AD1319" i="45"/>
  <c r="Z1319" i="45"/>
  <c r="V1319" i="45"/>
  <c r="R1319" i="45"/>
  <c r="N1319" i="45"/>
  <c r="AS1319" i="45"/>
  <c r="AO1319" i="45"/>
  <c r="AK1319" i="45"/>
  <c r="AG1319" i="45"/>
  <c r="AC1319" i="45"/>
  <c r="Y1319" i="45"/>
  <c r="U1319" i="45"/>
  <c r="Q1319" i="45"/>
  <c r="M1319" i="45"/>
  <c r="AR1319" i="45"/>
  <c r="AN1319" i="45"/>
  <c r="AJ1319" i="45"/>
  <c r="AF1319" i="45"/>
  <c r="AB1319" i="45"/>
  <c r="X1319" i="45"/>
  <c r="T1319" i="45"/>
  <c r="P1319" i="45"/>
  <c r="L1319" i="45"/>
  <c r="AI1319" i="45"/>
  <c r="S1319" i="45"/>
  <c r="AU1319" i="45"/>
  <c r="AE1319" i="45"/>
  <c r="O1319" i="45"/>
  <c r="AQ1319" i="45"/>
  <c r="AA1319" i="45"/>
  <c r="AM1319" i="45"/>
  <c r="W1319" i="45"/>
  <c r="B1424" i="45"/>
  <c r="H1319" i="45"/>
  <c r="J1319" i="45" s="1"/>
  <c r="AT1303" i="45"/>
  <c r="AP1303" i="45"/>
  <c r="AL1303" i="45"/>
  <c r="AH1303" i="45"/>
  <c r="AD1303" i="45"/>
  <c r="Z1303" i="45"/>
  <c r="V1303" i="45"/>
  <c r="R1303" i="45"/>
  <c r="N1303" i="45"/>
  <c r="AS1303" i="45"/>
  <c r="AO1303" i="45"/>
  <c r="AK1303" i="45"/>
  <c r="AG1303" i="45"/>
  <c r="AC1303" i="45"/>
  <c r="Y1303" i="45"/>
  <c r="U1303" i="45"/>
  <c r="Q1303" i="45"/>
  <c r="M1303" i="45"/>
  <c r="AR1303" i="45"/>
  <c r="AN1303" i="45"/>
  <c r="AJ1303" i="45"/>
  <c r="AF1303" i="45"/>
  <c r="AB1303" i="45"/>
  <c r="X1303" i="45"/>
  <c r="T1303" i="45"/>
  <c r="P1303" i="45"/>
  <c r="L1303" i="45"/>
  <c r="AI1303" i="45"/>
  <c r="S1303" i="45"/>
  <c r="AU1303" i="45"/>
  <c r="AE1303" i="45"/>
  <c r="O1303" i="45"/>
  <c r="AQ1303" i="45"/>
  <c r="AA1303" i="45"/>
  <c r="AM1303" i="45"/>
  <c r="W1303" i="45"/>
  <c r="B1408" i="45"/>
  <c r="H1303" i="45"/>
  <c r="J1303" i="45" s="1"/>
  <c r="AR1245" i="45"/>
  <c r="AN1245" i="45"/>
  <c r="AJ1245" i="45"/>
  <c r="AF1245" i="45"/>
  <c r="AB1245" i="45"/>
  <c r="X1245" i="45"/>
  <c r="T1245" i="45"/>
  <c r="P1245" i="45"/>
  <c r="L1245" i="45"/>
  <c r="AU1245" i="45"/>
  <c r="AQ1245" i="45"/>
  <c r="AM1245" i="45"/>
  <c r="AI1245" i="45"/>
  <c r="AE1245" i="45"/>
  <c r="AA1245" i="45"/>
  <c r="W1245" i="45"/>
  <c r="S1245" i="45"/>
  <c r="O1245" i="45"/>
  <c r="AT1245" i="45"/>
  <c r="AP1245" i="45"/>
  <c r="AL1245" i="45"/>
  <c r="AH1245" i="45"/>
  <c r="AD1245" i="45"/>
  <c r="Z1245" i="45"/>
  <c r="V1245" i="45"/>
  <c r="R1245" i="45"/>
  <c r="N1245" i="45"/>
  <c r="AG1245" i="45"/>
  <c r="Q1245" i="45"/>
  <c r="AS1245" i="45"/>
  <c r="AC1245" i="45"/>
  <c r="M1245" i="45"/>
  <c r="AO1245" i="45"/>
  <c r="Y1245" i="45"/>
  <c r="AK1245" i="45"/>
  <c r="U1245" i="45"/>
  <c r="B1350" i="45"/>
  <c r="H1245" i="45"/>
  <c r="J1245" i="45" s="1"/>
  <c r="AT1317" i="45"/>
  <c r="AP1317" i="45"/>
  <c r="AL1317" i="45"/>
  <c r="AH1317" i="45"/>
  <c r="AD1317" i="45"/>
  <c r="Z1317" i="45"/>
  <c r="V1317" i="45"/>
  <c r="R1317" i="45"/>
  <c r="N1317" i="45"/>
  <c r="AS1317" i="45"/>
  <c r="AO1317" i="45"/>
  <c r="AK1317" i="45"/>
  <c r="AG1317" i="45"/>
  <c r="AC1317" i="45"/>
  <c r="Y1317" i="45"/>
  <c r="U1317" i="45"/>
  <c r="Q1317" i="45"/>
  <c r="M1317" i="45"/>
  <c r="AR1317" i="45"/>
  <c r="AN1317" i="45"/>
  <c r="AJ1317" i="45"/>
  <c r="AF1317" i="45"/>
  <c r="AB1317" i="45"/>
  <c r="X1317" i="45"/>
  <c r="T1317" i="45"/>
  <c r="P1317" i="45"/>
  <c r="L1317" i="45"/>
  <c r="AQ1317" i="45"/>
  <c r="AA1317" i="45"/>
  <c r="AM1317" i="45"/>
  <c r="W1317" i="45"/>
  <c r="AI1317" i="45"/>
  <c r="S1317" i="45"/>
  <c r="AU1317" i="45"/>
  <c r="AE1317" i="45"/>
  <c r="O1317" i="45"/>
  <c r="B1422" i="45"/>
  <c r="H1317" i="45"/>
  <c r="J1317" i="45" s="1"/>
  <c r="AR1261" i="45"/>
  <c r="AN1261" i="45"/>
  <c r="AJ1261" i="45"/>
  <c r="AF1261" i="45"/>
  <c r="AB1261" i="45"/>
  <c r="X1261" i="45"/>
  <c r="T1261" i="45"/>
  <c r="P1261" i="45"/>
  <c r="L1261" i="45"/>
  <c r="AU1261" i="45"/>
  <c r="AQ1261" i="45"/>
  <c r="AM1261" i="45"/>
  <c r="AI1261" i="45"/>
  <c r="AE1261" i="45"/>
  <c r="AA1261" i="45"/>
  <c r="W1261" i="45"/>
  <c r="S1261" i="45"/>
  <c r="O1261" i="45"/>
  <c r="AT1261" i="45"/>
  <c r="AP1261" i="45"/>
  <c r="AL1261" i="45"/>
  <c r="AH1261" i="45"/>
  <c r="AD1261" i="45"/>
  <c r="Z1261" i="45"/>
  <c r="V1261" i="45"/>
  <c r="R1261" i="45"/>
  <c r="N1261" i="45"/>
  <c r="AG1261" i="45"/>
  <c r="Q1261" i="45"/>
  <c r="AS1261" i="45"/>
  <c r="AC1261" i="45"/>
  <c r="M1261" i="45"/>
  <c r="AO1261" i="45"/>
  <c r="Y1261" i="45"/>
  <c r="AK1261" i="45"/>
  <c r="U1261" i="45"/>
  <c r="B1366" i="45"/>
  <c r="H1261" i="45"/>
  <c r="J1261" i="45" s="1"/>
  <c r="AR1278" i="45"/>
  <c r="AN1278" i="45"/>
  <c r="AJ1278" i="45"/>
  <c r="AF1278" i="45"/>
  <c r="AB1278" i="45"/>
  <c r="X1278" i="45"/>
  <c r="T1278" i="45"/>
  <c r="P1278" i="45"/>
  <c r="L1278" i="45"/>
  <c r="AU1278" i="45"/>
  <c r="AQ1278" i="45"/>
  <c r="AM1278" i="45"/>
  <c r="AI1278" i="45"/>
  <c r="AE1278" i="45"/>
  <c r="AA1278" i="45"/>
  <c r="W1278" i="45"/>
  <c r="S1278" i="45"/>
  <c r="O1278" i="45"/>
  <c r="AT1278" i="45"/>
  <c r="AP1278" i="45"/>
  <c r="AL1278" i="45"/>
  <c r="AH1278" i="45"/>
  <c r="AD1278" i="45"/>
  <c r="Z1278" i="45"/>
  <c r="V1278" i="45"/>
  <c r="R1278" i="45"/>
  <c r="N1278" i="45"/>
  <c r="AS1278" i="45"/>
  <c r="AC1278" i="45"/>
  <c r="M1278" i="45"/>
  <c r="AO1278" i="45"/>
  <c r="Y1278" i="45"/>
  <c r="AK1278" i="45"/>
  <c r="U1278" i="45"/>
  <c r="AG1278" i="45"/>
  <c r="Q1278" i="45"/>
  <c r="B1383" i="45"/>
  <c r="H1278" i="45"/>
  <c r="J1278" i="45" s="1"/>
  <c r="AT1293" i="45"/>
  <c r="AP1293" i="45"/>
  <c r="AL1293" i="45"/>
  <c r="AH1293" i="45"/>
  <c r="AD1293" i="45"/>
  <c r="Z1293" i="45"/>
  <c r="V1293" i="45"/>
  <c r="R1293" i="45"/>
  <c r="N1293" i="45"/>
  <c r="AS1293" i="45"/>
  <c r="AO1293" i="45"/>
  <c r="AK1293" i="45"/>
  <c r="AG1293" i="45"/>
  <c r="AC1293" i="45"/>
  <c r="Y1293" i="45"/>
  <c r="U1293" i="45"/>
  <c r="Q1293" i="45"/>
  <c r="M1293" i="45"/>
  <c r="AR1293" i="45"/>
  <c r="AN1293" i="45"/>
  <c r="AJ1293" i="45"/>
  <c r="AF1293" i="45"/>
  <c r="AB1293" i="45"/>
  <c r="X1293" i="45"/>
  <c r="T1293" i="45"/>
  <c r="P1293" i="45"/>
  <c r="L1293" i="45"/>
  <c r="AQ1293" i="45"/>
  <c r="AA1293" i="45"/>
  <c r="AM1293" i="45"/>
  <c r="W1293" i="45"/>
  <c r="AI1293" i="45"/>
  <c r="S1293" i="45"/>
  <c r="AE1293" i="45"/>
  <c r="O1293" i="45"/>
  <c r="AU1293" i="45"/>
  <c r="B1398" i="45"/>
  <c r="H1293" i="45"/>
  <c r="J1293" i="45" s="1"/>
  <c r="AR1244" i="45"/>
  <c r="AN1244" i="45"/>
  <c r="AJ1244" i="45"/>
  <c r="AF1244" i="45"/>
  <c r="AB1244" i="45"/>
  <c r="X1244" i="45"/>
  <c r="T1244" i="45"/>
  <c r="P1244" i="45"/>
  <c r="L1244" i="45"/>
  <c r="AU1244" i="45"/>
  <c r="AQ1244" i="45"/>
  <c r="AM1244" i="45"/>
  <c r="AI1244" i="45"/>
  <c r="AE1244" i="45"/>
  <c r="AA1244" i="45"/>
  <c r="W1244" i="45"/>
  <c r="S1244" i="45"/>
  <c r="O1244" i="45"/>
  <c r="AT1244" i="45"/>
  <c r="AP1244" i="45"/>
  <c r="AL1244" i="45"/>
  <c r="AH1244" i="45"/>
  <c r="AD1244" i="45"/>
  <c r="Z1244" i="45"/>
  <c r="V1244" i="45"/>
  <c r="R1244" i="45"/>
  <c r="N1244" i="45"/>
  <c r="AK1244" i="45"/>
  <c r="U1244" i="45"/>
  <c r="AG1244" i="45"/>
  <c r="Q1244" i="45"/>
  <c r="AS1244" i="45"/>
  <c r="AC1244" i="45"/>
  <c r="M1244" i="45"/>
  <c r="AO1244" i="45"/>
  <c r="Y1244" i="45"/>
  <c r="B1349" i="45"/>
  <c r="H1244" i="45"/>
  <c r="J1244" i="45" s="1"/>
  <c r="AT1286" i="45"/>
  <c r="AP1286" i="45"/>
  <c r="AL1286" i="45"/>
  <c r="AH1286" i="45"/>
  <c r="AD1286" i="45"/>
  <c r="Z1286" i="45"/>
  <c r="V1286" i="45"/>
  <c r="R1286" i="45"/>
  <c r="N1286" i="45"/>
  <c r="AS1286" i="45"/>
  <c r="AO1286" i="45"/>
  <c r="AK1286" i="45"/>
  <c r="AG1286" i="45"/>
  <c r="AC1286" i="45"/>
  <c r="Y1286" i="45"/>
  <c r="U1286" i="45"/>
  <c r="Q1286" i="45"/>
  <c r="M1286" i="45"/>
  <c r="AR1286" i="45"/>
  <c r="AN1286" i="45"/>
  <c r="AJ1286" i="45"/>
  <c r="AF1286" i="45"/>
  <c r="AB1286" i="45"/>
  <c r="X1286" i="45"/>
  <c r="T1286" i="45"/>
  <c r="P1286" i="45"/>
  <c r="L1286" i="45"/>
  <c r="AM1286" i="45"/>
  <c r="W1286" i="45"/>
  <c r="AI1286" i="45"/>
  <c r="S1286" i="45"/>
  <c r="AU1286" i="45"/>
  <c r="AE1286" i="45"/>
  <c r="O1286" i="45"/>
  <c r="AA1286" i="45"/>
  <c r="AQ1286" i="45"/>
  <c r="B1391" i="45"/>
  <c r="H1286" i="45"/>
  <c r="J1286" i="45" s="1"/>
  <c r="AT1310" i="45"/>
  <c r="AP1310" i="45"/>
  <c r="AL1310" i="45"/>
  <c r="AH1310" i="45"/>
  <c r="AD1310" i="45"/>
  <c r="Z1310" i="45"/>
  <c r="V1310" i="45"/>
  <c r="R1310" i="45"/>
  <c r="N1310" i="45"/>
  <c r="AS1310" i="45"/>
  <c r="AO1310" i="45"/>
  <c r="AK1310" i="45"/>
  <c r="AG1310" i="45"/>
  <c r="AC1310" i="45"/>
  <c r="Y1310" i="45"/>
  <c r="U1310" i="45"/>
  <c r="Q1310" i="45"/>
  <c r="M1310" i="45"/>
  <c r="AR1310" i="45"/>
  <c r="AN1310" i="45"/>
  <c r="AJ1310" i="45"/>
  <c r="AF1310" i="45"/>
  <c r="AB1310" i="45"/>
  <c r="X1310" i="45"/>
  <c r="T1310" i="45"/>
  <c r="P1310" i="45"/>
  <c r="L1310" i="45"/>
  <c r="AM1310" i="45"/>
  <c r="W1310" i="45"/>
  <c r="AI1310" i="45"/>
  <c r="S1310" i="45"/>
  <c r="AU1310" i="45"/>
  <c r="AE1310" i="45"/>
  <c r="O1310" i="45"/>
  <c r="AQ1310" i="45"/>
  <c r="AA1310" i="45"/>
  <c r="B1415" i="45"/>
  <c r="H1310" i="45"/>
  <c r="J1310" i="45" s="1"/>
  <c r="AT1308" i="45"/>
  <c r="AP1308" i="45"/>
  <c r="AL1308" i="45"/>
  <c r="AH1308" i="45"/>
  <c r="AD1308" i="45"/>
  <c r="Z1308" i="45"/>
  <c r="V1308" i="45"/>
  <c r="R1308" i="45"/>
  <c r="N1308" i="45"/>
  <c r="AS1308" i="45"/>
  <c r="AO1308" i="45"/>
  <c r="AK1308" i="45"/>
  <c r="AG1308" i="45"/>
  <c r="AC1308" i="45"/>
  <c r="Y1308" i="45"/>
  <c r="U1308" i="45"/>
  <c r="Q1308" i="45"/>
  <c r="M1308" i="45"/>
  <c r="AR1308" i="45"/>
  <c r="AN1308" i="45"/>
  <c r="AJ1308" i="45"/>
  <c r="AF1308" i="45"/>
  <c r="AB1308" i="45"/>
  <c r="X1308" i="45"/>
  <c r="T1308" i="45"/>
  <c r="P1308" i="45"/>
  <c r="L1308" i="45"/>
  <c r="AU1308" i="45"/>
  <c r="AE1308" i="45"/>
  <c r="O1308" i="45"/>
  <c r="AQ1308" i="45"/>
  <c r="AA1308" i="45"/>
  <c r="AM1308" i="45"/>
  <c r="W1308" i="45"/>
  <c r="AI1308" i="45"/>
  <c r="S1308" i="45"/>
  <c r="B1413" i="45"/>
  <c r="H1308" i="45"/>
  <c r="J1308" i="45" s="1"/>
  <c r="AT1281" i="45"/>
  <c r="AP1281" i="45"/>
  <c r="AL1281" i="45"/>
  <c r="AH1281" i="45"/>
  <c r="AD1281" i="45"/>
  <c r="Z1281" i="45"/>
  <c r="V1281" i="45"/>
  <c r="R1281" i="45"/>
  <c r="N1281" i="45"/>
  <c r="AS1281" i="45"/>
  <c r="AO1281" i="45"/>
  <c r="AK1281" i="45"/>
  <c r="AG1281" i="45"/>
  <c r="AC1281" i="45"/>
  <c r="AR1281" i="45"/>
  <c r="AN1281" i="45"/>
  <c r="AJ1281" i="45"/>
  <c r="AF1281" i="45"/>
  <c r="AB1281" i="45"/>
  <c r="X1281" i="45"/>
  <c r="T1281" i="45"/>
  <c r="P1281" i="45"/>
  <c r="AQ1281" i="45"/>
  <c r="AA1281" i="45"/>
  <c r="S1281" i="45"/>
  <c r="L1281" i="45"/>
  <c r="AM1281" i="45"/>
  <c r="Y1281" i="45"/>
  <c r="Q1281" i="45"/>
  <c r="AI1281" i="45"/>
  <c r="W1281" i="45"/>
  <c r="O1281" i="45"/>
  <c r="U1281" i="45"/>
  <c r="M1281" i="45"/>
  <c r="AU1281" i="45"/>
  <c r="AE1281" i="45"/>
  <c r="B1386" i="45"/>
  <c r="H1281" i="45"/>
  <c r="J1281" i="45" s="1"/>
  <c r="AT1298" i="45"/>
  <c r="AP1298" i="45"/>
  <c r="AL1298" i="45"/>
  <c r="AH1298" i="45"/>
  <c r="AD1298" i="45"/>
  <c r="Z1298" i="45"/>
  <c r="V1298" i="45"/>
  <c r="R1298" i="45"/>
  <c r="N1298" i="45"/>
  <c r="AS1298" i="45"/>
  <c r="AO1298" i="45"/>
  <c r="AK1298" i="45"/>
  <c r="AG1298" i="45"/>
  <c r="AC1298" i="45"/>
  <c r="Y1298" i="45"/>
  <c r="U1298" i="45"/>
  <c r="Q1298" i="45"/>
  <c r="M1298" i="45"/>
  <c r="AR1298" i="45"/>
  <c r="AN1298" i="45"/>
  <c r="AJ1298" i="45"/>
  <c r="AF1298" i="45"/>
  <c r="AB1298" i="45"/>
  <c r="X1298" i="45"/>
  <c r="T1298" i="45"/>
  <c r="P1298" i="45"/>
  <c r="L1298" i="45"/>
  <c r="AM1298" i="45"/>
  <c r="W1298" i="45"/>
  <c r="AI1298" i="45"/>
  <c r="S1298" i="45"/>
  <c r="AU1298" i="45"/>
  <c r="AE1298" i="45"/>
  <c r="O1298" i="45"/>
  <c r="AQ1298" i="45"/>
  <c r="AA1298" i="45"/>
  <c r="B1403" i="45"/>
  <c r="H1298" i="45"/>
  <c r="J1298" i="45" s="1"/>
  <c r="AT1318" i="45"/>
  <c r="AP1318" i="45"/>
  <c r="AL1318" i="45"/>
  <c r="AH1318" i="45"/>
  <c r="AD1318" i="45"/>
  <c r="Z1318" i="45"/>
  <c r="V1318" i="45"/>
  <c r="R1318" i="45"/>
  <c r="N1318" i="45"/>
  <c r="AS1318" i="45"/>
  <c r="AO1318" i="45"/>
  <c r="AK1318" i="45"/>
  <c r="AG1318" i="45"/>
  <c r="AC1318" i="45"/>
  <c r="Y1318" i="45"/>
  <c r="U1318" i="45"/>
  <c r="Q1318" i="45"/>
  <c r="M1318" i="45"/>
  <c r="AR1318" i="45"/>
  <c r="AN1318" i="45"/>
  <c r="AJ1318" i="45"/>
  <c r="AF1318" i="45"/>
  <c r="AB1318" i="45"/>
  <c r="X1318" i="45"/>
  <c r="T1318" i="45"/>
  <c r="P1318" i="45"/>
  <c r="L1318" i="45"/>
  <c r="AM1318" i="45"/>
  <c r="W1318" i="45"/>
  <c r="AI1318" i="45"/>
  <c r="S1318" i="45"/>
  <c r="AU1318" i="45"/>
  <c r="AE1318" i="45"/>
  <c r="O1318" i="45"/>
  <c r="AA1318" i="45"/>
  <c r="AQ1318" i="45"/>
  <c r="B1423" i="45"/>
  <c r="H1318" i="45"/>
  <c r="J1318" i="45" s="1"/>
  <c r="AR1431" i="45"/>
  <c r="AN1431" i="45"/>
  <c r="AJ1431" i="45"/>
  <c r="AF1431" i="45"/>
  <c r="AB1431" i="45"/>
  <c r="X1431" i="45"/>
  <c r="T1431" i="45"/>
  <c r="P1431" i="45"/>
  <c r="L1431" i="45"/>
  <c r="AU1431" i="45"/>
  <c r="AQ1431" i="45"/>
  <c r="AM1431" i="45"/>
  <c r="AI1431" i="45"/>
  <c r="AE1431" i="45"/>
  <c r="AA1431" i="45"/>
  <c r="W1431" i="45"/>
  <c r="S1431" i="45"/>
  <c r="O1431" i="45"/>
  <c r="AP1431" i="45"/>
  <c r="AH1431" i="45"/>
  <c r="Z1431" i="45"/>
  <c r="R1431" i="45"/>
  <c r="AO1431" i="45"/>
  <c r="AG1431" i="45"/>
  <c r="Y1431" i="45"/>
  <c r="Q1431" i="45"/>
  <c r="AT1431" i="45"/>
  <c r="AL1431" i="45"/>
  <c r="AD1431" i="45"/>
  <c r="V1431" i="45"/>
  <c r="N1431" i="45"/>
  <c r="U1431" i="45"/>
  <c r="AS1431" i="45"/>
  <c r="M1431" i="45"/>
  <c r="AK1431" i="45"/>
  <c r="AC1431" i="45"/>
  <c r="H1431" i="45"/>
  <c r="J1431" i="45" s="1"/>
  <c r="AR1259" i="45"/>
  <c r="AN1259" i="45"/>
  <c r="AJ1259" i="45"/>
  <c r="AF1259" i="45"/>
  <c r="AB1259" i="45"/>
  <c r="X1259" i="45"/>
  <c r="T1259" i="45"/>
  <c r="P1259" i="45"/>
  <c r="L1259" i="45"/>
  <c r="AU1259" i="45"/>
  <c r="AQ1259" i="45"/>
  <c r="AM1259" i="45"/>
  <c r="AI1259" i="45"/>
  <c r="AE1259" i="45"/>
  <c r="AA1259" i="45"/>
  <c r="W1259" i="45"/>
  <c r="S1259" i="45"/>
  <c r="O1259" i="45"/>
  <c r="AT1259" i="45"/>
  <c r="AP1259" i="45"/>
  <c r="AL1259" i="45"/>
  <c r="AH1259" i="45"/>
  <c r="AD1259" i="45"/>
  <c r="Z1259" i="45"/>
  <c r="V1259" i="45"/>
  <c r="R1259" i="45"/>
  <c r="N1259" i="45"/>
  <c r="AO1259" i="45"/>
  <c r="Y1259" i="45"/>
  <c r="AK1259" i="45"/>
  <c r="U1259" i="45"/>
  <c r="AG1259" i="45"/>
  <c r="Q1259" i="45"/>
  <c r="AS1259" i="45"/>
  <c r="AC1259" i="45"/>
  <c r="M1259" i="45"/>
  <c r="B1364" i="45"/>
  <c r="H1259" i="45"/>
  <c r="J1259" i="45" s="1"/>
  <c r="AS1436" i="45"/>
  <c r="AO1436" i="45"/>
  <c r="AK1436" i="45"/>
  <c r="AG1436" i="45"/>
  <c r="AC1436" i="45"/>
  <c r="Y1436" i="45"/>
  <c r="U1436" i="45"/>
  <c r="Q1436" i="45"/>
  <c r="M1436" i="45"/>
  <c r="AR1436" i="45"/>
  <c r="AN1436" i="45"/>
  <c r="AJ1436" i="45"/>
  <c r="AF1436" i="45"/>
  <c r="AB1436" i="45"/>
  <c r="X1436" i="45"/>
  <c r="T1436" i="45"/>
  <c r="P1436" i="45"/>
  <c r="L1436" i="45"/>
  <c r="AU1436" i="45"/>
  <c r="AQ1436" i="45"/>
  <c r="AM1436" i="45"/>
  <c r="AI1436" i="45"/>
  <c r="AE1436" i="45"/>
  <c r="AA1436" i="45"/>
  <c r="W1436" i="45"/>
  <c r="S1436" i="45"/>
  <c r="O1436" i="45"/>
  <c r="AH1436" i="45"/>
  <c r="R1436" i="45"/>
  <c r="AT1436" i="45"/>
  <c r="AD1436" i="45"/>
  <c r="N1436" i="45"/>
  <c r="AP1436" i="45"/>
  <c r="Z1436" i="45"/>
  <c r="AL1436" i="45"/>
  <c r="V1436" i="45"/>
  <c r="H1436" i="45"/>
  <c r="J1436" i="45" s="1"/>
  <c r="AT1294" i="45"/>
  <c r="AP1294" i="45"/>
  <c r="AL1294" i="45"/>
  <c r="AH1294" i="45"/>
  <c r="AD1294" i="45"/>
  <c r="Z1294" i="45"/>
  <c r="V1294" i="45"/>
  <c r="R1294" i="45"/>
  <c r="N1294" i="45"/>
  <c r="AS1294" i="45"/>
  <c r="AO1294" i="45"/>
  <c r="AK1294" i="45"/>
  <c r="AG1294" i="45"/>
  <c r="AC1294" i="45"/>
  <c r="Y1294" i="45"/>
  <c r="U1294" i="45"/>
  <c r="Q1294" i="45"/>
  <c r="M1294" i="45"/>
  <c r="AR1294" i="45"/>
  <c r="AN1294" i="45"/>
  <c r="AJ1294" i="45"/>
  <c r="AF1294" i="45"/>
  <c r="AB1294" i="45"/>
  <c r="X1294" i="45"/>
  <c r="T1294" i="45"/>
  <c r="P1294" i="45"/>
  <c r="L1294" i="45"/>
  <c r="AM1294" i="45"/>
  <c r="W1294" i="45"/>
  <c r="AI1294" i="45"/>
  <c r="S1294" i="45"/>
  <c r="AU1294" i="45"/>
  <c r="AE1294" i="45"/>
  <c r="O1294" i="45"/>
  <c r="AQ1294" i="45"/>
  <c r="AA1294" i="45"/>
  <c r="H1294" i="45"/>
  <c r="J1294" i="45" s="1"/>
  <c r="B1399" i="45"/>
  <c r="AR1262" i="45"/>
  <c r="AN1262" i="45"/>
  <c r="AJ1262" i="45"/>
  <c r="AF1262" i="45"/>
  <c r="AB1262" i="45"/>
  <c r="X1262" i="45"/>
  <c r="T1262" i="45"/>
  <c r="P1262" i="45"/>
  <c r="L1262" i="45"/>
  <c r="AU1262" i="45"/>
  <c r="AQ1262" i="45"/>
  <c r="AM1262" i="45"/>
  <c r="AI1262" i="45"/>
  <c r="AE1262" i="45"/>
  <c r="AA1262" i="45"/>
  <c r="W1262" i="45"/>
  <c r="S1262" i="45"/>
  <c r="O1262" i="45"/>
  <c r="AT1262" i="45"/>
  <c r="AP1262" i="45"/>
  <c r="AL1262" i="45"/>
  <c r="AH1262" i="45"/>
  <c r="AD1262" i="45"/>
  <c r="Z1262" i="45"/>
  <c r="V1262" i="45"/>
  <c r="R1262" i="45"/>
  <c r="N1262" i="45"/>
  <c r="AS1262" i="45"/>
  <c r="AC1262" i="45"/>
  <c r="M1262" i="45"/>
  <c r="AO1262" i="45"/>
  <c r="Y1262" i="45"/>
  <c r="AK1262" i="45"/>
  <c r="U1262" i="45"/>
  <c r="AG1262" i="45"/>
  <c r="Q1262" i="45"/>
  <c r="B1367" i="45"/>
  <c r="H1262" i="45"/>
  <c r="J1262" i="45" s="1"/>
  <c r="AS1439" i="45"/>
  <c r="AO1439" i="45"/>
  <c r="AK1439" i="45"/>
  <c r="AG1439" i="45"/>
  <c r="AC1439" i="45"/>
  <c r="Y1439" i="45"/>
  <c r="U1439" i="45"/>
  <c r="Q1439" i="45"/>
  <c r="M1439" i="45"/>
  <c r="AR1439" i="45"/>
  <c r="AN1439" i="45"/>
  <c r="AJ1439" i="45"/>
  <c r="AF1439" i="45"/>
  <c r="AB1439" i="45"/>
  <c r="X1439" i="45"/>
  <c r="T1439" i="45"/>
  <c r="P1439" i="45"/>
  <c r="L1439" i="45"/>
  <c r="AU1439" i="45"/>
  <c r="AQ1439" i="45"/>
  <c r="AM1439" i="45"/>
  <c r="AI1439" i="45"/>
  <c r="AE1439" i="45"/>
  <c r="AA1439" i="45"/>
  <c r="W1439" i="45"/>
  <c r="S1439" i="45"/>
  <c r="O1439" i="45"/>
  <c r="AL1439" i="45"/>
  <c r="V1439" i="45"/>
  <c r="AH1439" i="45"/>
  <c r="R1439" i="45"/>
  <c r="AT1439" i="45"/>
  <c r="AD1439" i="45"/>
  <c r="N1439" i="45"/>
  <c r="AP1439" i="45"/>
  <c r="Z1439" i="45"/>
  <c r="H1439" i="45"/>
  <c r="J1439" i="45" s="1"/>
  <c r="AT1302" i="45"/>
  <c r="AP1302" i="45"/>
  <c r="AL1302" i="45"/>
  <c r="AH1302" i="45"/>
  <c r="AD1302" i="45"/>
  <c r="Z1302" i="45"/>
  <c r="V1302" i="45"/>
  <c r="R1302" i="45"/>
  <c r="N1302" i="45"/>
  <c r="AS1302" i="45"/>
  <c r="AO1302" i="45"/>
  <c r="AK1302" i="45"/>
  <c r="AG1302" i="45"/>
  <c r="AC1302" i="45"/>
  <c r="Y1302" i="45"/>
  <c r="U1302" i="45"/>
  <c r="Q1302" i="45"/>
  <c r="M1302" i="45"/>
  <c r="AR1302" i="45"/>
  <c r="AN1302" i="45"/>
  <c r="AJ1302" i="45"/>
  <c r="AF1302" i="45"/>
  <c r="AB1302" i="45"/>
  <c r="X1302" i="45"/>
  <c r="T1302" i="45"/>
  <c r="P1302" i="45"/>
  <c r="L1302" i="45"/>
  <c r="AM1302" i="45"/>
  <c r="W1302" i="45"/>
  <c r="AI1302" i="45"/>
  <c r="S1302" i="45"/>
  <c r="AU1302" i="45"/>
  <c r="AE1302" i="45"/>
  <c r="O1302" i="45"/>
  <c r="AA1302" i="45"/>
  <c r="AQ1302" i="45"/>
  <c r="H1302" i="45"/>
  <c r="J1302" i="45" s="1"/>
  <c r="B1407" i="45"/>
  <c r="AR1271" i="45"/>
  <c r="AN1271" i="45"/>
  <c r="AJ1271" i="45"/>
  <c r="AF1271" i="45"/>
  <c r="AB1271" i="45"/>
  <c r="X1271" i="45"/>
  <c r="T1271" i="45"/>
  <c r="P1271" i="45"/>
  <c r="L1271" i="45"/>
  <c r="AU1271" i="45"/>
  <c r="AQ1271" i="45"/>
  <c r="AM1271" i="45"/>
  <c r="AI1271" i="45"/>
  <c r="AE1271" i="45"/>
  <c r="AA1271" i="45"/>
  <c r="W1271" i="45"/>
  <c r="S1271" i="45"/>
  <c r="O1271" i="45"/>
  <c r="AT1271" i="45"/>
  <c r="AP1271" i="45"/>
  <c r="AL1271" i="45"/>
  <c r="AH1271" i="45"/>
  <c r="AD1271" i="45"/>
  <c r="Z1271" i="45"/>
  <c r="V1271" i="45"/>
  <c r="R1271" i="45"/>
  <c r="N1271" i="45"/>
  <c r="AO1271" i="45"/>
  <c r="Y1271" i="45"/>
  <c r="AK1271" i="45"/>
  <c r="U1271" i="45"/>
  <c r="AG1271" i="45"/>
  <c r="Q1271" i="45"/>
  <c r="AS1271" i="45"/>
  <c r="AC1271" i="45"/>
  <c r="M1271" i="45"/>
  <c r="H1271" i="45"/>
  <c r="J1271" i="45" s="1"/>
  <c r="B1376" i="45"/>
  <c r="AT1312" i="45"/>
  <c r="AP1312" i="45"/>
  <c r="AL1312" i="45"/>
  <c r="AH1312" i="45"/>
  <c r="AD1312" i="45"/>
  <c r="Z1312" i="45"/>
  <c r="V1312" i="45"/>
  <c r="R1312" i="45"/>
  <c r="N1312" i="45"/>
  <c r="AS1312" i="45"/>
  <c r="AO1312" i="45"/>
  <c r="AK1312" i="45"/>
  <c r="AG1312" i="45"/>
  <c r="AC1312" i="45"/>
  <c r="Y1312" i="45"/>
  <c r="U1312" i="45"/>
  <c r="Q1312" i="45"/>
  <c r="M1312" i="45"/>
  <c r="AR1312" i="45"/>
  <c r="AN1312" i="45"/>
  <c r="AJ1312" i="45"/>
  <c r="AF1312" i="45"/>
  <c r="AB1312" i="45"/>
  <c r="X1312" i="45"/>
  <c r="T1312" i="45"/>
  <c r="P1312" i="45"/>
  <c r="L1312" i="45"/>
  <c r="AU1312" i="45"/>
  <c r="AE1312" i="45"/>
  <c r="O1312" i="45"/>
  <c r="AQ1312" i="45"/>
  <c r="AA1312" i="45"/>
  <c r="AM1312" i="45"/>
  <c r="W1312" i="45"/>
  <c r="AI1312" i="45"/>
  <c r="S1312" i="45"/>
  <c r="B1417" i="45"/>
  <c r="H1312" i="45"/>
  <c r="J1312" i="45" s="1"/>
  <c r="AR1277" i="45"/>
  <c r="AN1277" i="45"/>
  <c r="AJ1277" i="45"/>
  <c r="AF1277" i="45"/>
  <c r="AB1277" i="45"/>
  <c r="X1277" i="45"/>
  <c r="T1277" i="45"/>
  <c r="P1277" i="45"/>
  <c r="L1277" i="45"/>
  <c r="AU1277" i="45"/>
  <c r="AQ1277" i="45"/>
  <c r="AM1277" i="45"/>
  <c r="AI1277" i="45"/>
  <c r="AE1277" i="45"/>
  <c r="AA1277" i="45"/>
  <c r="W1277" i="45"/>
  <c r="S1277" i="45"/>
  <c r="O1277" i="45"/>
  <c r="AT1277" i="45"/>
  <c r="AP1277" i="45"/>
  <c r="AL1277" i="45"/>
  <c r="AH1277" i="45"/>
  <c r="AD1277" i="45"/>
  <c r="Z1277" i="45"/>
  <c r="V1277" i="45"/>
  <c r="R1277" i="45"/>
  <c r="N1277" i="45"/>
  <c r="AG1277" i="45"/>
  <c r="Q1277" i="45"/>
  <c r="AS1277" i="45"/>
  <c r="AC1277" i="45"/>
  <c r="M1277" i="45"/>
  <c r="AO1277" i="45"/>
  <c r="Y1277" i="45"/>
  <c r="AK1277" i="45"/>
  <c r="U1277" i="45"/>
  <c r="B1382" i="45"/>
  <c r="H1277" i="45"/>
  <c r="J1277" i="45" s="1"/>
  <c r="AR1430" i="45"/>
  <c r="AN1430" i="45"/>
  <c r="AJ1430" i="45"/>
  <c r="AF1430" i="45"/>
  <c r="AB1430" i="45"/>
  <c r="X1430" i="45"/>
  <c r="T1430" i="45"/>
  <c r="P1430" i="45"/>
  <c r="L1430" i="45"/>
  <c r="AU1430" i="45"/>
  <c r="AQ1430" i="45"/>
  <c r="AM1430" i="45"/>
  <c r="AI1430" i="45"/>
  <c r="AE1430" i="45"/>
  <c r="AA1430" i="45"/>
  <c r="W1430" i="45"/>
  <c r="S1430" i="45"/>
  <c r="O1430" i="45"/>
  <c r="AT1430" i="45"/>
  <c r="AL1430" i="45"/>
  <c r="AD1430" i="45"/>
  <c r="V1430" i="45"/>
  <c r="N1430" i="45"/>
  <c r="AS1430" i="45"/>
  <c r="AK1430" i="45"/>
  <c r="AC1430" i="45"/>
  <c r="U1430" i="45"/>
  <c r="M1430" i="45"/>
  <c r="AP1430" i="45"/>
  <c r="AH1430" i="45"/>
  <c r="Z1430" i="45"/>
  <c r="R1430" i="45"/>
  <c r="Y1430" i="45"/>
  <c r="Q1430" i="45"/>
  <c r="AO1430" i="45"/>
  <c r="AG1430" i="45"/>
  <c r="H1430" i="45"/>
  <c r="J1430" i="45" s="1"/>
  <c r="AT1296" i="45"/>
  <c r="AP1296" i="45"/>
  <c r="AL1296" i="45"/>
  <c r="AH1296" i="45"/>
  <c r="AD1296" i="45"/>
  <c r="Z1296" i="45"/>
  <c r="V1296" i="45"/>
  <c r="R1296" i="45"/>
  <c r="N1296" i="45"/>
  <c r="AS1296" i="45"/>
  <c r="AO1296" i="45"/>
  <c r="AK1296" i="45"/>
  <c r="AG1296" i="45"/>
  <c r="AC1296" i="45"/>
  <c r="Y1296" i="45"/>
  <c r="U1296" i="45"/>
  <c r="Q1296" i="45"/>
  <c r="M1296" i="45"/>
  <c r="AR1296" i="45"/>
  <c r="AN1296" i="45"/>
  <c r="AJ1296" i="45"/>
  <c r="AF1296" i="45"/>
  <c r="AB1296" i="45"/>
  <c r="X1296" i="45"/>
  <c r="T1296" i="45"/>
  <c r="P1296" i="45"/>
  <c r="L1296" i="45"/>
  <c r="AU1296" i="45"/>
  <c r="AE1296" i="45"/>
  <c r="O1296" i="45"/>
  <c r="AQ1296" i="45"/>
  <c r="AA1296" i="45"/>
  <c r="AM1296" i="45"/>
  <c r="W1296" i="45"/>
  <c r="AI1296" i="45"/>
  <c r="S1296" i="45"/>
  <c r="B1401" i="45"/>
  <c r="H1296" i="45"/>
  <c r="J1296" i="45" s="1"/>
  <c r="AR1270" i="45"/>
  <c r="AN1270" i="45"/>
  <c r="AJ1270" i="45"/>
  <c r="AF1270" i="45"/>
  <c r="AB1270" i="45"/>
  <c r="X1270" i="45"/>
  <c r="T1270" i="45"/>
  <c r="P1270" i="45"/>
  <c r="L1270" i="45"/>
  <c r="AU1270" i="45"/>
  <c r="AQ1270" i="45"/>
  <c r="AM1270" i="45"/>
  <c r="AI1270" i="45"/>
  <c r="AE1270" i="45"/>
  <c r="AA1270" i="45"/>
  <c r="W1270" i="45"/>
  <c r="S1270" i="45"/>
  <c r="O1270" i="45"/>
  <c r="AT1270" i="45"/>
  <c r="AP1270" i="45"/>
  <c r="AL1270" i="45"/>
  <c r="AH1270" i="45"/>
  <c r="AD1270" i="45"/>
  <c r="Z1270" i="45"/>
  <c r="V1270" i="45"/>
  <c r="R1270" i="45"/>
  <c r="N1270" i="45"/>
  <c r="AS1270" i="45"/>
  <c r="AC1270" i="45"/>
  <c r="M1270" i="45"/>
  <c r="AO1270" i="45"/>
  <c r="Y1270" i="45"/>
  <c r="AK1270" i="45"/>
  <c r="U1270" i="45"/>
  <c r="AG1270" i="45"/>
  <c r="Q1270" i="45"/>
  <c r="H1270" i="45"/>
  <c r="J1270" i="45" s="1"/>
  <c r="B1375" i="45"/>
  <c r="AR1274" i="45"/>
  <c r="AN1274" i="45"/>
  <c r="AJ1274" i="45"/>
  <c r="AF1274" i="45"/>
  <c r="AB1274" i="45"/>
  <c r="X1274" i="45"/>
  <c r="T1274" i="45"/>
  <c r="P1274" i="45"/>
  <c r="L1274" i="45"/>
  <c r="AU1274" i="45"/>
  <c r="AQ1274" i="45"/>
  <c r="AM1274" i="45"/>
  <c r="AI1274" i="45"/>
  <c r="AE1274" i="45"/>
  <c r="AA1274" i="45"/>
  <c r="W1274" i="45"/>
  <c r="S1274" i="45"/>
  <c r="O1274" i="45"/>
  <c r="AT1274" i="45"/>
  <c r="AP1274" i="45"/>
  <c r="AL1274" i="45"/>
  <c r="AH1274" i="45"/>
  <c r="AD1274" i="45"/>
  <c r="Z1274" i="45"/>
  <c r="V1274" i="45"/>
  <c r="R1274" i="45"/>
  <c r="N1274" i="45"/>
  <c r="AS1274" i="45"/>
  <c r="AC1274" i="45"/>
  <c r="M1274" i="45"/>
  <c r="AO1274" i="45"/>
  <c r="Y1274" i="45"/>
  <c r="AK1274" i="45"/>
  <c r="U1274" i="45"/>
  <c r="Q1274" i="45"/>
  <c r="AG1274" i="45"/>
  <c r="B1379" i="45"/>
  <c r="H1274" i="45"/>
  <c r="J1274" i="45" s="1"/>
  <c r="AR1250" i="45"/>
  <c r="AN1250" i="45"/>
  <c r="AJ1250" i="45"/>
  <c r="AF1250" i="45"/>
  <c r="AB1250" i="45"/>
  <c r="X1250" i="45"/>
  <c r="T1250" i="45"/>
  <c r="P1250" i="45"/>
  <c r="L1250" i="45"/>
  <c r="AU1250" i="45"/>
  <c r="AQ1250" i="45"/>
  <c r="AM1250" i="45"/>
  <c r="AI1250" i="45"/>
  <c r="AE1250" i="45"/>
  <c r="AA1250" i="45"/>
  <c r="W1250" i="45"/>
  <c r="S1250" i="45"/>
  <c r="O1250" i="45"/>
  <c r="AT1250" i="45"/>
  <c r="AP1250" i="45"/>
  <c r="AL1250" i="45"/>
  <c r="AH1250" i="45"/>
  <c r="AD1250" i="45"/>
  <c r="Z1250" i="45"/>
  <c r="V1250" i="45"/>
  <c r="R1250" i="45"/>
  <c r="N1250" i="45"/>
  <c r="AS1250" i="45"/>
  <c r="AC1250" i="45"/>
  <c r="M1250" i="45"/>
  <c r="AO1250" i="45"/>
  <c r="Y1250" i="45"/>
  <c r="AK1250" i="45"/>
  <c r="U1250" i="45"/>
  <c r="AG1250" i="45"/>
  <c r="Q1250" i="45"/>
  <c r="H1250" i="45"/>
  <c r="J1250" i="45" s="1"/>
  <c r="B1355" i="45"/>
  <c r="AR1240" i="45"/>
  <c r="AN1240" i="45"/>
  <c r="AJ1240" i="45"/>
  <c r="AF1240" i="45"/>
  <c r="AB1240" i="45"/>
  <c r="X1240" i="45"/>
  <c r="T1240" i="45"/>
  <c r="P1240" i="45"/>
  <c r="L1240" i="45"/>
  <c r="AU1240" i="45"/>
  <c r="AQ1240" i="45"/>
  <c r="AM1240" i="45"/>
  <c r="AI1240" i="45"/>
  <c r="AE1240" i="45"/>
  <c r="AA1240" i="45"/>
  <c r="W1240" i="45"/>
  <c r="S1240" i="45"/>
  <c r="O1240" i="45"/>
  <c r="AT1240" i="45"/>
  <c r="AP1240" i="45"/>
  <c r="AL1240" i="45"/>
  <c r="AH1240" i="45"/>
  <c r="AD1240" i="45"/>
  <c r="Z1240" i="45"/>
  <c r="V1240" i="45"/>
  <c r="R1240" i="45"/>
  <c r="N1240" i="45"/>
  <c r="AK1240" i="45"/>
  <c r="U1240" i="45"/>
  <c r="AG1240" i="45"/>
  <c r="Q1240" i="45"/>
  <c r="AS1240" i="45"/>
  <c r="AC1240" i="45"/>
  <c r="M1240" i="45"/>
  <c r="Y1240" i="45"/>
  <c r="AO1240" i="45"/>
  <c r="B1345" i="45"/>
  <c r="H1240" i="45"/>
  <c r="J1240" i="45" s="1"/>
  <c r="AR1247" i="45"/>
  <c r="AN1247" i="45"/>
  <c r="AJ1247" i="45"/>
  <c r="AF1247" i="45"/>
  <c r="AB1247" i="45"/>
  <c r="X1247" i="45"/>
  <c r="T1247" i="45"/>
  <c r="P1247" i="45"/>
  <c r="L1247" i="45"/>
  <c r="AU1247" i="45"/>
  <c r="AQ1247" i="45"/>
  <c r="AM1247" i="45"/>
  <c r="AI1247" i="45"/>
  <c r="AE1247" i="45"/>
  <c r="AA1247" i="45"/>
  <c r="W1247" i="45"/>
  <c r="S1247" i="45"/>
  <c r="O1247" i="45"/>
  <c r="AT1247" i="45"/>
  <c r="AP1247" i="45"/>
  <c r="AL1247" i="45"/>
  <c r="AH1247" i="45"/>
  <c r="AD1247" i="45"/>
  <c r="Z1247" i="45"/>
  <c r="V1247" i="45"/>
  <c r="R1247" i="45"/>
  <c r="N1247" i="45"/>
  <c r="AO1247" i="45"/>
  <c r="Y1247" i="45"/>
  <c r="AK1247" i="45"/>
  <c r="U1247" i="45"/>
  <c r="AG1247" i="45"/>
  <c r="Q1247" i="45"/>
  <c r="AC1247" i="45"/>
  <c r="M1247" i="45"/>
  <c r="AS1247" i="45"/>
  <c r="H1247" i="45"/>
  <c r="J1247" i="45" s="1"/>
  <c r="B1352" i="45"/>
  <c r="AR1187" i="45"/>
  <c r="AN1187" i="45"/>
  <c r="AJ1187" i="45"/>
  <c r="AF1187" i="45"/>
  <c r="AB1187" i="45"/>
  <c r="X1187" i="45"/>
  <c r="T1187" i="45"/>
  <c r="P1187" i="45"/>
  <c r="L1187" i="45"/>
  <c r="AU1187" i="45"/>
  <c r="AQ1187" i="45"/>
  <c r="AM1187" i="45"/>
  <c r="AI1187" i="45"/>
  <c r="AE1187" i="45"/>
  <c r="AA1187" i="45"/>
  <c r="W1187" i="45"/>
  <c r="S1187" i="45"/>
  <c r="O1187" i="45"/>
  <c r="AT1187" i="45"/>
  <c r="AP1187" i="45"/>
  <c r="AL1187" i="45"/>
  <c r="AH1187" i="45"/>
  <c r="AD1187" i="45"/>
  <c r="Z1187" i="45"/>
  <c r="V1187" i="45"/>
  <c r="R1187" i="45"/>
  <c r="N1187" i="45"/>
  <c r="AG1187" i="45"/>
  <c r="Q1187" i="45"/>
  <c r="AS1187" i="45"/>
  <c r="AC1187" i="45"/>
  <c r="M1187" i="45"/>
  <c r="AO1187" i="45"/>
  <c r="Y1187" i="45"/>
  <c r="AK1187" i="45"/>
  <c r="U1187" i="45"/>
  <c r="H1187" i="45"/>
  <c r="J1187" i="45" s="1"/>
  <c r="B1292" i="45"/>
  <c r="AT1316" i="45"/>
  <c r="AP1316" i="45"/>
  <c r="AL1316" i="45"/>
  <c r="AH1316" i="45"/>
  <c r="AD1316" i="45"/>
  <c r="Z1316" i="45"/>
  <c r="V1316" i="45"/>
  <c r="R1316" i="45"/>
  <c r="N1316" i="45"/>
  <c r="AS1316" i="45"/>
  <c r="AO1316" i="45"/>
  <c r="AK1316" i="45"/>
  <c r="AG1316" i="45"/>
  <c r="AC1316" i="45"/>
  <c r="Y1316" i="45"/>
  <c r="U1316" i="45"/>
  <c r="Q1316" i="45"/>
  <c r="M1316" i="45"/>
  <c r="AR1316" i="45"/>
  <c r="AN1316" i="45"/>
  <c r="AJ1316" i="45"/>
  <c r="AF1316" i="45"/>
  <c r="AB1316" i="45"/>
  <c r="X1316" i="45"/>
  <c r="T1316" i="45"/>
  <c r="P1316" i="45"/>
  <c r="L1316" i="45"/>
  <c r="AU1316" i="45"/>
  <c r="AE1316" i="45"/>
  <c r="O1316" i="45"/>
  <c r="AQ1316" i="45"/>
  <c r="AA1316" i="45"/>
  <c r="AM1316" i="45"/>
  <c r="W1316" i="45"/>
  <c r="AI1316" i="45"/>
  <c r="S1316" i="45"/>
  <c r="B1421" i="45"/>
  <c r="H1316" i="45"/>
  <c r="J1316" i="45" s="1"/>
  <c r="AT1283" i="45"/>
  <c r="AP1283" i="45"/>
  <c r="AL1283" i="45"/>
  <c r="AH1283" i="45"/>
  <c r="AD1283" i="45"/>
  <c r="Z1283" i="45"/>
  <c r="V1283" i="45"/>
  <c r="R1283" i="45"/>
  <c r="N1283" i="45"/>
  <c r="AS1283" i="45"/>
  <c r="AO1283" i="45"/>
  <c r="AK1283" i="45"/>
  <c r="AG1283" i="45"/>
  <c r="AC1283" i="45"/>
  <c r="Y1283" i="45"/>
  <c r="U1283" i="45"/>
  <c r="Q1283" i="45"/>
  <c r="M1283" i="45"/>
  <c r="AR1283" i="45"/>
  <c r="AN1283" i="45"/>
  <c r="AJ1283" i="45"/>
  <c r="AF1283" i="45"/>
  <c r="AB1283" i="45"/>
  <c r="X1283" i="45"/>
  <c r="T1283" i="45"/>
  <c r="P1283" i="45"/>
  <c r="L1283" i="45"/>
  <c r="AI1283" i="45"/>
  <c r="S1283" i="45"/>
  <c r="AU1283" i="45"/>
  <c r="AE1283" i="45"/>
  <c r="O1283" i="45"/>
  <c r="AQ1283" i="45"/>
  <c r="AA1283" i="45"/>
  <c r="AM1283" i="45"/>
  <c r="W1283" i="45"/>
  <c r="B1388" i="45"/>
  <c r="H1283" i="45"/>
  <c r="J1283" i="45" s="1"/>
  <c r="AR1269" i="45"/>
  <c r="AN1269" i="45"/>
  <c r="AJ1269" i="45"/>
  <c r="AF1269" i="45"/>
  <c r="AB1269" i="45"/>
  <c r="X1269" i="45"/>
  <c r="T1269" i="45"/>
  <c r="P1269" i="45"/>
  <c r="L1269" i="45"/>
  <c r="AU1269" i="45"/>
  <c r="AQ1269" i="45"/>
  <c r="AM1269" i="45"/>
  <c r="AI1269" i="45"/>
  <c r="AE1269" i="45"/>
  <c r="AA1269" i="45"/>
  <c r="W1269" i="45"/>
  <c r="S1269" i="45"/>
  <c r="O1269" i="45"/>
  <c r="AT1269" i="45"/>
  <c r="AP1269" i="45"/>
  <c r="AL1269" i="45"/>
  <c r="AH1269" i="45"/>
  <c r="AD1269" i="45"/>
  <c r="Z1269" i="45"/>
  <c r="V1269" i="45"/>
  <c r="R1269" i="45"/>
  <c r="N1269" i="45"/>
  <c r="AG1269" i="45"/>
  <c r="Q1269" i="45"/>
  <c r="AS1269" i="45"/>
  <c r="AC1269" i="45"/>
  <c r="M1269" i="45"/>
  <c r="AO1269" i="45"/>
  <c r="Y1269" i="45"/>
  <c r="AK1269" i="45"/>
  <c r="U1269" i="45"/>
  <c r="B1374" i="45"/>
  <c r="H1269" i="45"/>
  <c r="J1269" i="45" s="1"/>
  <c r="AR1255" i="45"/>
  <c r="AN1255" i="45"/>
  <c r="AJ1255" i="45"/>
  <c r="AF1255" i="45"/>
  <c r="AB1255" i="45"/>
  <c r="X1255" i="45"/>
  <c r="T1255" i="45"/>
  <c r="P1255" i="45"/>
  <c r="L1255" i="45"/>
  <c r="AU1255" i="45"/>
  <c r="AQ1255" i="45"/>
  <c r="AM1255" i="45"/>
  <c r="AI1255" i="45"/>
  <c r="AE1255" i="45"/>
  <c r="AA1255" i="45"/>
  <c r="W1255" i="45"/>
  <c r="S1255" i="45"/>
  <c r="O1255" i="45"/>
  <c r="AT1255" i="45"/>
  <c r="AP1255" i="45"/>
  <c r="AL1255" i="45"/>
  <c r="AH1255" i="45"/>
  <c r="AD1255" i="45"/>
  <c r="Z1255" i="45"/>
  <c r="V1255" i="45"/>
  <c r="R1255" i="45"/>
  <c r="N1255" i="45"/>
  <c r="AO1255" i="45"/>
  <c r="Y1255" i="45"/>
  <c r="AK1255" i="45"/>
  <c r="U1255" i="45"/>
  <c r="AG1255" i="45"/>
  <c r="Q1255" i="45"/>
  <c r="AS1255" i="45"/>
  <c r="AC1255" i="45"/>
  <c r="M1255" i="45"/>
  <c r="B1360" i="45"/>
  <c r="H1255" i="45"/>
  <c r="J1255" i="45" s="1"/>
  <c r="AT1313" i="45"/>
  <c r="AP1313" i="45"/>
  <c r="AL1313" i="45"/>
  <c r="AH1313" i="45"/>
  <c r="AD1313" i="45"/>
  <c r="Z1313" i="45"/>
  <c r="V1313" i="45"/>
  <c r="R1313" i="45"/>
  <c r="N1313" i="45"/>
  <c r="AS1313" i="45"/>
  <c r="AO1313" i="45"/>
  <c r="AK1313" i="45"/>
  <c r="AG1313" i="45"/>
  <c r="AC1313" i="45"/>
  <c r="Y1313" i="45"/>
  <c r="U1313" i="45"/>
  <c r="Q1313" i="45"/>
  <c r="M1313" i="45"/>
  <c r="AR1313" i="45"/>
  <c r="AN1313" i="45"/>
  <c r="AJ1313" i="45"/>
  <c r="AF1313" i="45"/>
  <c r="AB1313" i="45"/>
  <c r="X1313" i="45"/>
  <c r="T1313" i="45"/>
  <c r="P1313" i="45"/>
  <c r="L1313" i="45"/>
  <c r="AQ1313" i="45"/>
  <c r="AA1313" i="45"/>
  <c r="AM1313" i="45"/>
  <c r="W1313" i="45"/>
  <c r="AI1313" i="45"/>
  <c r="S1313" i="45"/>
  <c r="O1313" i="45"/>
  <c r="AU1313" i="45"/>
  <c r="AE1313" i="45"/>
  <c r="B1418" i="45"/>
  <c r="H1313" i="45"/>
  <c r="J1313" i="45" s="1"/>
  <c r="AR1264" i="45"/>
  <c r="AN1264" i="45"/>
  <c r="AJ1264" i="45"/>
  <c r="AF1264" i="45"/>
  <c r="AB1264" i="45"/>
  <c r="X1264" i="45"/>
  <c r="T1264" i="45"/>
  <c r="P1264" i="45"/>
  <c r="L1264" i="45"/>
  <c r="AU1264" i="45"/>
  <c r="AQ1264" i="45"/>
  <c r="AM1264" i="45"/>
  <c r="AI1264" i="45"/>
  <c r="AE1264" i="45"/>
  <c r="AA1264" i="45"/>
  <c r="W1264" i="45"/>
  <c r="S1264" i="45"/>
  <c r="O1264" i="45"/>
  <c r="AT1264" i="45"/>
  <c r="AP1264" i="45"/>
  <c r="AL1264" i="45"/>
  <c r="AH1264" i="45"/>
  <c r="AD1264" i="45"/>
  <c r="Z1264" i="45"/>
  <c r="V1264" i="45"/>
  <c r="R1264" i="45"/>
  <c r="N1264" i="45"/>
  <c r="AK1264" i="45"/>
  <c r="U1264" i="45"/>
  <c r="AG1264" i="45"/>
  <c r="Q1264" i="45"/>
  <c r="AS1264" i="45"/>
  <c r="AC1264" i="45"/>
  <c r="M1264" i="45"/>
  <c r="AO1264" i="45"/>
  <c r="Y1264" i="45"/>
  <c r="B1369" i="45"/>
  <c r="H1264" i="45"/>
  <c r="J1264" i="45" s="1"/>
  <c r="AR1248" i="45"/>
  <c r="AN1248" i="45"/>
  <c r="AJ1248" i="45"/>
  <c r="AF1248" i="45"/>
  <c r="AB1248" i="45"/>
  <c r="X1248" i="45"/>
  <c r="T1248" i="45"/>
  <c r="P1248" i="45"/>
  <c r="L1248" i="45"/>
  <c r="AU1248" i="45"/>
  <c r="AQ1248" i="45"/>
  <c r="AM1248" i="45"/>
  <c r="AI1248" i="45"/>
  <c r="AE1248" i="45"/>
  <c r="AA1248" i="45"/>
  <c r="W1248" i="45"/>
  <c r="S1248" i="45"/>
  <c r="O1248" i="45"/>
  <c r="AT1248" i="45"/>
  <c r="AP1248" i="45"/>
  <c r="AL1248" i="45"/>
  <c r="AH1248" i="45"/>
  <c r="AD1248" i="45"/>
  <c r="Z1248" i="45"/>
  <c r="V1248" i="45"/>
  <c r="R1248" i="45"/>
  <c r="N1248" i="45"/>
  <c r="AK1248" i="45"/>
  <c r="U1248" i="45"/>
  <c r="AG1248" i="45"/>
  <c r="Q1248" i="45"/>
  <c r="AS1248" i="45"/>
  <c r="AC1248" i="45"/>
  <c r="M1248" i="45"/>
  <c r="AO1248" i="45"/>
  <c r="Y1248" i="45"/>
  <c r="B1353" i="45"/>
  <c r="H1248" i="45"/>
  <c r="J1248" i="45" s="1"/>
  <c r="AR1272" i="45"/>
  <c r="AN1272" i="45"/>
  <c r="AJ1272" i="45"/>
  <c r="AF1272" i="45"/>
  <c r="AB1272" i="45"/>
  <c r="X1272" i="45"/>
  <c r="T1272" i="45"/>
  <c r="P1272" i="45"/>
  <c r="L1272" i="45"/>
  <c r="AU1272" i="45"/>
  <c r="AQ1272" i="45"/>
  <c r="AM1272" i="45"/>
  <c r="AI1272" i="45"/>
  <c r="AE1272" i="45"/>
  <c r="AA1272" i="45"/>
  <c r="W1272" i="45"/>
  <c r="S1272" i="45"/>
  <c r="O1272" i="45"/>
  <c r="AT1272" i="45"/>
  <c r="AP1272" i="45"/>
  <c r="AL1272" i="45"/>
  <c r="AH1272" i="45"/>
  <c r="AD1272" i="45"/>
  <c r="Z1272" i="45"/>
  <c r="V1272" i="45"/>
  <c r="R1272" i="45"/>
  <c r="N1272" i="45"/>
  <c r="AK1272" i="45"/>
  <c r="U1272" i="45"/>
  <c r="AG1272" i="45"/>
  <c r="Q1272" i="45"/>
  <c r="AS1272" i="45"/>
  <c r="AC1272" i="45"/>
  <c r="M1272" i="45"/>
  <c r="Y1272" i="45"/>
  <c r="AO1272" i="45"/>
  <c r="B1377" i="45"/>
  <c r="H1272" i="45"/>
  <c r="J1272" i="45" s="1"/>
  <c r="AT1307" i="45"/>
  <c r="AP1307" i="45"/>
  <c r="AL1307" i="45"/>
  <c r="AH1307" i="45"/>
  <c r="AD1307" i="45"/>
  <c r="Z1307" i="45"/>
  <c r="V1307" i="45"/>
  <c r="R1307" i="45"/>
  <c r="N1307" i="45"/>
  <c r="AS1307" i="45"/>
  <c r="AO1307" i="45"/>
  <c r="AK1307" i="45"/>
  <c r="AG1307" i="45"/>
  <c r="AC1307" i="45"/>
  <c r="Y1307" i="45"/>
  <c r="U1307" i="45"/>
  <c r="Q1307" i="45"/>
  <c r="M1307" i="45"/>
  <c r="AR1307" i="45"/>
  <c r="AN1307" i="45"/>
  <c r="AJ1307" i="45"/>
  <c r="AF1307" i="45"/>
  <c r="AB1307" i="45"/>
  <c r="X1307" i="45"/>
  <c r="T1307" i="45"/>
  <c r="P1307" i="45"/>
  <c r="L1307" i="45"/>
  <c r="AI1307" i="45"/>
  <c r="S1307" i="45"/>
  <c r="AU1307" i="45"/>
  <c r="AE1307" i="45"/>
  <c r="O1307" i="45"/>
  <c r="AQ1307" i="45"/>
  <c r="AA1307" i="45"/>
  <c r="AM1307" i="45"/>
  <c r="W1307" i="45"/>
  <c r="B1412" i="45"/>
  <c r="H1307" i="45"/>
  <c r="J1307" i="45" s="1"/>
  <c r="AR1273" i="45"/>
  <c r="AN1273" i="45"/>
  <c r="AJ1273" i="45"/>
  <c r="AF1273" i="45"/>
  <c r="AB1273" i="45"/>
  <c r="X1273" i="45"/>
  <c r="T1273" i="45"/>
  <c r="P1273" i="45"/>
  <c r="L1273" i="45"/>
  <c r="AU1273" i="45"/>
  <c r="AQ1273" i="45"/>
  <c r="AM1273" i="45"/>
  <c r="AI1273" i="45"/>
  <c r="AE1273" i="45"/>
  <c r="AA1273" i="45"/>
  <c r="W1273" i="45"/>
  <c r="S1273" i="45"/>
  <c r="O1273" i="45"/>
  <c r="AT1273" i="45"/>
  <c r="AP1273" i="45"/>
  <c r="AL1273" i="45"/>
  <c r="AH1273" i="45"/>
  <c r="AD1273" i="45"/>
  <c r="Z1273" i="45"/>
  <c r="V1273" i="45"/>
  <c r="R1273" i="45"/>
  <c r="N1273" i="45"/>
  <c r="AG1273" i="45"/>
  <c r="Q1273" i="45"/>
  <c r="AS1273" i="45"/>
  <c r="AC1273" i="45"/>
  <c r="M1273" i="45"/>
  <c r="AO1273" i="45"/>
  <c r="Y1273" i="45"/>
  <c r="AK1273" i="45"/>
  <c r="U1273" i="45"/>
  <c r="B1378" i="45"/>
  <c r="H1273" i="45"/>
  <c r="J1273" i="45" s="1"/>
  <c r="AS1435" i="45"/>
  <c r="AO1435" i="45"/>
  <c r="AK1435" i="45"/>
  <c r="AG1435" i="45"/>
  <c r="AC1435" i="45"/>
  <c r="Y1435" i="45"/>
  <c r="U1435" i="45"/>
  <c r="Q1435" i="45"/>
  <c r="M1435" i="45"/>
  <c r="AR1435" i="45"/>
  <c r="AN1435" i="45"/>
  <c r="AJ1435" i="45"/>
  <c r="AF1435" i="45"/>
  <c r="AB1435" i="45"/>
  <c r="X1435" i="45"/>
  <c r="T1435" i="45"/>
  <c r="P1435" i="45"/>
  <c r="L1435" i="45"/>
  <c r="AU1435" i="45"/>
  <c r="AQ1435" i="45"/>
  <c r="AM1435" i="45"/>
  <c r="AI1435" i="45"/>
  <c r="AE1435" i="45"/>
  <c r="AA1435" i="45"/>
  <c r="W1435" i="45"/>
  <c r="S1435" i="45"/>
  <c r="O1435" i="45"/>
  <c r="AL1435" i="45"/>
  <c r="V1435" i="45"/>
  <c r="AH1435" i="45"/>
  <c r="R1435" i="45"/>
  <c r="AT1435" i="45"/>
  <c r="AD1435" i="45"/>
  <c r="N1435" i="45"/>
  <c r="Z1435" i="45"/>
  <c r="AP1435" i="45"/>
  <c r="H1435" i="45"/>
  <c r="J1435" i="45" s="1"/>
  <c r="AR1260" i="45"/>
  <c r="AN1260" i="45"/>
  <c r="AJ1260" i="45"/>
  <c r="AF1260" i="45"/>
  <c r="AB1260" i="45"/>
  <c r="X1260" i="45"/>
  <c r="T1260" i="45"/>
  <c r="P1260" i="45"/>
  <c r="L1260" i="45"/>
  <c r="AU1260" i="45"/>
  <c r="AQ1260" i="45"/>
  <c r="AM1260" i="45"/>
  <c r="AI1260" i="45"/>
  <c r="AE1260" i="45"/>
  <c r="AA1260" i="45"/>
  <c r="W1260" i="45"/>
  <c r="S1260" i="45"/>
  <c r="O1260" i="45"/>
  <c r="AT1260" i="45"/>
  <c r="AP1260" i="45"/>
  <c r="AL1260" i="45"/>
  <c r="AH1260" i="45"/>
  <c r="AD1260" i="45"/>
  <c r="Z1260" i="45"/>
  <c r="V1260" i="45"/>
  <c r="R1260" i="45"/>
  <c r="N1260" i="45"/>
  <c r="AK1260" i="45"/>
  <c r="U1260" i="45"/>
  <c r="AG1260" i="45"/>
  <c r="Q1260" i="45"/>
  <c r="AS1260" i="45"/>
  <c r="AC1260" i="45"/>
  <c r="M1260" i="45"/>
  <c r="AO1260" i="45"/>
  <c r="Y1260" i="45"/>
  <c r="B1365" i="45"/>
  <c r="H1260" i="45"/>
  <c r="J1260" i="45" s="1"/>
  <c r="AT1314" i="45"/>
  <c r="AP1314" i="45"/>
  <c r="AL1314" i="45"/>
  <c r="AH1314" i="45"/>
  <c r="AD1314" i="45"/>
  <c r="Z1314" i="45"/>
  <c r="V1314" i="45"/>
  <c r="R1314" i="45"/>
  <c r="N1314" i="45"/>
  <c r="AS1314" i="45"/>
  <c r="AO1314" i="45"/>
  <c r="AK1314" i="45"/>
  <c r="AG1314" i="45"/>
  <c r="AC1314" i="45"/>
  <c r="Y1314" i="45"/>
  <c r="U1314" i="45"/>
  <c r="Q1314" i="45"/>
  <c r="M1314" i="45"/>
  <c r="AR1314" i="45"/>
  <c r="AN1314" i="45"/>
  <c r="AJ1314" i="45"/>
  <c r="AF1314" i="45"/>
  <c r="AB1314" i="45"/>
  <c r="X1314" i="45"/>
  <c r="T1314" i="45"/>
  <c r="P1314" i="45"/>
  <c r="L1314" i="45"/>
  <c r="AM1314" i="45"/>
  <c r="W1314" i="45"/>
  <c r="AI1314" i="45"/>
  <c r="S1314" i="45"/>
  <c r="AU1314" i="45"/>
  <c r="AE1314" i="45"/>
  <c r="O1314" i="45"/>
  <c r="AQ1314" i="45"/>
  <c r="AA1314" i="45"/>
  <c r="B1419" i="45"/>
  <c r="H1314" i="45"/>
  <c r="J1314" i="45" s="1"/>
  <c r="AR1253" i="45"/>
  <c r="AN1253" i="45"/>
  <c r="AJ1253" i="45"/>
  <c r="AF1253" i="45"/>
  <c r="AB1253" i="45"/>
  <c r="X1253" i="45"/>
  <c r="T1253" i="45"/>
  <c r="P1253" i="45"/>
  <c r="L1253" i="45"/>
  <c r="AU1253" i="45"/>
  <c r="AQ1253" i="45"/>
  <c r="AM1253" i="45"/>
  <c r="AI1253" i="45"/>
  <c r="AE1253" i="45"/>
  <c r="AA1253" i="45"/>
  <c r="W1253" i="45"/>
  <c r="S1253" i="45"/>
  <c r="O1253" i="45"/>
  <c r="AT1253" i="45"/>
  <c r="AP1253" i="45"/>
  <c r="AL1253" i="45"/>
  <c r="AH1253" i="45"/>
  <c r="AD1253" i="45"/>
  <c r="Z1253" i="45"/>
  <c r="V1253" i="45"/>
  <c r="R1253" i="45"/>
  <c r="N1253" i="45"/>
  <c r="AG1253" i="45"/>
  <c r="Q1253" i="45"/>
  <c r="AS1253" i="45"/>
  <c r="AC1253" i="45"/>
  <c r="M1253" i="45"/>
  <c r="AO1253" i="45"/>
  <c r="Y1253" i="45"/>
  <c r="AK1253" i="45"/>
  <c r="U1253" i="45"/>
  <c r="B1358" i="45"/>
  <c r="H1253" i="45"/>
  <c r="J1253" i="45" s="1"/>
  <c r="AR1256" i="45"/>
  <c r="AN1256" i="45"/>
  <c r="AJ1256" i="45"/>
  <c r="AF1256" i="45"/>
  <c r="AB1256" i="45"/>
  <c r="X1256" i="45"/>
  <c r="T1256" i="45"/>
  <c r="P1256" i="45"/>
  <c r="L1256" i="45"/>
  <c r="AU1256" i="45"/>
  <c r="AQ1256" i="45"/>
  <c r="AM1256" i="45"/>
  <c r="AI1256" i="45"/>
  <c r="AE1256" i="45"/>
  <c r="AA1256" i="45"/>
  <c r="W1256" i="45"/>
  <c r="S1256" i="45"/>
  <c r="O1256" i="45"/>
  <c r="AT1256" i="45"/>
  <c r="AP1256" i="45"/>
  <c r="AL1256" i="45"/>
  <c r="AH1256" i="45"/>
  <c r="AD1256" i="45"/>
  <c r="Z1256" i="45"/>
  <c r="V1256" i="45"/>
  <c r="R1256" i="45"/>
  <c r="N1256" i="45"/>
  <c r="AK1256" i="45"/>
  <c r="U1256" i="45"/>
  <c r="AG1256" i="45"/>
  <c r="Q1256" i="45"/>
  <c r="AS1256" i="45"/>
  <c r="AC1256" i="45"/>
  <c r="M1256" i="45"/>
  <c r="Y1256" i="45"/>
  <c r="AO1256" i="45"/>
  <c r="H1256" i="45"/>
  <c r="J1256" i="45" s="1"/>
  <c r="B1361" i="45"/>
  <c r="AT1305" i="45"/>
  <c r="AP1305" i="45"/>
  <c r="AL1305" i="45"/>
  <c r="AH1305" i="45"/>
  <c r="AD1305" i="45"/>
  <c r="Z1305" i="45"/>
  <c r="V1305" i="45"/>
  <c r="R1305" i="45"/>
  <c r="N1305" i="45"/>
  <c r="AS1305" i="45"/>
  <c r="AO1305" i="45"/>
  <c r="AK1305" i="45"/>
  <c r="AG1305" i="45"/>
  <c r="AC1305" i="45"/>
  <c r="Y1305" i="45"/>
  <c r="U1305" i="45"/>
  <c r="Q1305" i="45"/>
  <c r="M1305" i="45"/>
  <c r="AR1305" i="45"/>
  <c r="AN1305" i="45"/>
  <c r="AJ1305" i="45"/>
  <c r="AF1305" i="45"/>
  <c r="AB1305" i="45"/>
  <c r="X1305" i="45"/>
  <c r="T1305" i="45"/>
  <c r="P1305" i="45"/>
  <c r="L1305" i="45"/>
  <c r="AQ1305" i="45"/>
  <c r="AA1305" i="45"/>
  <c r="AM1305" i="45"/>
  <c r="W1305" i="45"/>
  <c r="AI1305" i="45"/>
  <c r="S1305" i="45"/>
  <c r="AU1305" i="45"/>
  <c r="AE1305" i="45"/>
  <c r="O1305" i="45"/>
  <c r="B1410" i="45"/>
  <c r="H1305" i="45"/>
  <c r="J1305" i="45" s="1"/>
  <c r="AR1266" i="45"/>
  <c r="AN1266" i="45"/>
  <c r="AJ1266" i="45"/>
  <c r="AF1266" i="45"/>
  <c r="AB1266" i="45"/>
  <c r="X1266" i="45"/>
  <c r="T1266" i="45"/>
  <c r="P1266" i="45"/>
  <c r="L1266" i="45"/>
  <c r="AU1266" i="45"/>
  <c r="AQ1266" i="45"/>
  <c r="AM1266" i="45"/>
  <c r="AI1266" i="45"/>
  <c r="AE1266" i="45"/>
  <c r="AA1266" i="45"/>
  <c r="W1266" i="45"/>
  <c r="S1266" i="45"/>
  <c r="O1266" i="45"/>
  <c r="AT1266" i="45"/>
  <c r="AP1266" i="45"/>
  <c r="AL1266" i="45"/>
  <c r="AH1266" i="45"/>
  <c r="AD1266" i="45"/>
  <c r="Z1266" i="45"/>
  <c r="V1266" i="45"/>
  <c r="R1266" i="45"/>
  <c r="N1266" i="45"/>
  <c r="AS1266" i="45"/>
  <c r="AC1266" i="45"/>
  <c r="M1266" i="45"/>
  <c r="AO1266" i="45"/>
  <c r="Y1266" i="45"/>
  <c r="AK1266" i="45"/>
  <c r="U1266" i="45"/>
  <c r="AG1266" i="45"/>
  <c r="Q1266" i="45"/>
  <c r="B1371" i="45"/>
  <c r="H1266" i="45"/>
  <c r="J1266" i="45" s="1"/>
  <c r="AS1438" i="45"/>
  <c r="AO1438" i="45"/>
  <c r="AK1438" i="45"/>
  <c r="AG1438" i="45"/>
  <c r="AC1438" i="45"/>
  <c r="Y1438" i="45"/>
  <c r="U1438" i="45"/>
  <c r="Q1438" i="45"/>
  <c r="M1438" i="45"/>
  <c r="AR1438" i="45"/>
  <c r="AN1438" i="45"/>
  <c r="AJ1438" i="45"/>
  <c r="AF1438" i="45"/>
  <c r="AB1438" i="45"/>
  <c r="X1438" i="45"/>
  <c r="T1438" i="45"/>
  <c r="P1438" i="45"/>
  <c r="L1438" i="45"/>
  <c r="AU1438" i="45"/>
  <c r="AQ1438" i="45"/>
  <c r="AM1438" i="45"/>
  <c r="AI1438" i="45"/>
  <c r="AE1438" i="45"/>
  <c r="AA1438" i="45"/>
  <c r="W1438" i="45"/>
  <c r="S1438" i="45"/>
  <c r="O1438" i="45"/>
  <c r="AP1438" i="45"/>
  <c r="Z1438" i="45"/>
  <c r="AL1438" i="45"/>
  <c r="V1438" i="45"/>
  <c r="AH1438" i="45"/>
  <c r="R1438" i="45"/>
  <c r="AT1438" i="45"/>
  <c r="AD1438" i="45"/>
  <c r="N1438" i="45"/>
  <c r="H1438" i="45"/>
  <c r="J1438" i="45" s="1"/>
  <c r="AT1288" i="45"/>
  <c r="AP1288" i="45"/>
  <c r="AL1288" i="45"/>
  <c r="AH1288" i="45"/>
  <c r="AD1288" i="45"/>
  <c r="Z1288" i="45"/>
  <c r="V1288" i="45"/>
  <c r="R1288" i="45"/>
  <c r="N1288" i="45"/>
  <c r="AS1288" i="45"/>
  <c r="AO1288" i="45"/>
  <c r="AK1288" i="45"/>
  <c r="AG1288" i="45"/>
  <c r="AC1288" i="45"/>
  <c r="Y1288" i="45"/>
  <c r="U1288" i="45"/>
  <c r="Q1288" i="45"/>
  <c r="M1288" i="45"/>
  <c r="AR1288" i="45"/>
  <c r="AN1288" i="45"/>
  <c r="AJ1288" i="45"/>
  <c r="AF1288" i="45"/>
  <c r="AB1288" i="45"/>
  <c r="X1288" i="45"/>
  <c r="T1288" i="45"/>
  <c r="P1288" i="45"/>
  <c r="L1288" i="45"/>
  <c r="AU1288" i="45"/>
  <c r="AE1288" i="45"/>
  <c r="O1288" i="45"/>
  <c r="AQ1288" i="45"/>
  <c r="AA1288" i="45"/>
  <c r="AM1288" i="45"/>
  <c r="W1288" i="45"/>
  <c r="S1288" i="45"/>
  <c r="AI1288" i="45"/>
  <c r="B1393" i="45"/>
  <c r="H1288" i="45"/>
  <c r="J1288" i="45" s="1"/>
  <c r="AT1320" i="45"/>
  <c r="AP1320" i="45"/>
  <c r="AL1320" i="45"/>
  <c r="AH1320" i="45"/>
  <c r="AD1320" i="45"/>
  <c r="Z1320" i="45"/>
  <c r="V1320" i="45"/>
  <c r="R1320" i="45"/>
  <c r="N1320" i="45"/>
  <c r="AS1320" i="45"/>
  <c r="AO1320" i="45"/>
  <c r="AK1320" i="45"/>
  <c r="AG1320" i="45"/>
  <c r="AC1320" i="45"/>
  <c r="Y1320" i="45"/>
  <c r="U1320" i="45"/>
  <c r="Q1320" i="45"/>
  <c r="M1320" i="45"/>
  <c r="AR1320" i="45"/>
  <c r="AN1320" i="45"/>
  <c r="AJ1320" i="45"/>
  <c r="AF1320" i="45"/>
  <c r="AB1320" i="45"/>
  <c r="X1320" i="45"/>
  <c r="T1320" i="45"/>
  <c r="P1320" i="45"/>
  <c r="L1320" i="45"/>
  <c r="AU1320" i="45"/>
  <c r="AE1320" i="45"/>
  <c r="O1320" i="45"/>
  <c r="AQ1320" i="45"/>
  <c r="AA1320" i="45"/>
  <c r="AM1320" i="45"/>
  <c r="W1320" i="45"/>
  <c r="S1320" i="45"/>
  <c r="AI1320" i="45"/>
  <c r="B1425" i="45"/>
  <c r="H1320" i="45"/>
  <c r="J1320" i="45" s="1"/>
  <c r="AR1429" i="45"/>
  <c r="AN1429" i="45"/>
  <c r="AJ1429" i="45"/>
  <c r="AF1429" i="45"/>
  <c r="AB1429" i="45"/>
  <c r="X1429" i="45"/>
  <c r="T1429" i="45"/>
  <c r="P1429" i="45"/>
  <c r="L1429" i="45"/>
  <c r="AU1429" i="45"/>
  <c r="AQ1429" i="45"/>
  <c r="AM1429" i="45"/>
  <c r="AI1429" i="45"/>
  <c r="AE1429" i="45"/>
  <c r="AA1429" i="45"/>
  <c r="W1429" i="45"/>
  <c r="S1429" i="45"/>
  <c r="O1429" i="45"/>
  <c r="AP1429" i="45"/>
  <c r="AH1429" i="45"/>
  <c r="Z1429" i="45"/>
  <c r="R1429" i="45"/>
  <c r="AO1429" i="45"/>
  <c r="AG1429" i="45"/>
  <c r="Y1429" i="45"/>
  <c r="Q1429" i="45"/>
  <c r="AT1429" i="45"/>
  <c r="AL1429" i="45"/>
  <c r="AD1429" i="45"/>
  <c r="V1429" i="45"/>
  <c r="N1429" i="45"/>
  <c r="AC1429" i="45"/>
  <c r="U1429" i="45"/>
  <c r="AS1429" i="45"/>
  <c r="M1429" i="45"/>
  <c r="AK1429" i="45"/>
  <c r="H1429" i="45"/>
  <c r="J1429" i="45" s="1"/>
  <c r="AR1239" i="45"/>
  <c r="AN1239" i="45"/>
  <c r="AJ1239" i="45"/>
  <c r="AF1239" i="45"/>
  <c r="AB1239" i="45"/>
  <c r="X1239" i="45"/>
  <c r="T1239" i="45"/>
  <c r="P1239" i="45"/>
  <c r="L1239" i="45"/>
  <c r="AU1239" i="45"/>
  <c r="AQ1239" i="45"/>
  <c r="AM1239" i="45"/>
  <c r="AI1239" i="45"/>
  <c r="AE1239" i="45"/>
  <c r="AA1239" i="45"/>
  <c r="W1239" i="45"/>
  <c r="S1239" i="45"/>
  <c r="O1239" i="45"/>
  <c r="AT1239" i="45"/>
  <c r="AP1239" i="45"/>
  <c r="AL1239" i="45"/>
  <c r="AH1239" i="45"/>
  <c r="AD1239" i="45"/>
  <c r="Z1239" i="45"/>
  <c r="V1239" i="45"/>
  <c r="R1239" i="45"/>
  <c r="N1239" i="45"/>
  <c r="AO1239" i="45"/>
  <c r="Y1239" i="45"/>
  <c r="AK1239" i="45"/>
  <c r="U1239" i="45"/>
  <c r="AG1239" i="45"/>
  <c r="Q1239" i="45"/>
  <c r="AS1239" i="45"/>
  <c r="AC1239" i="45"/>
  <c r="M1239" i="45"/>
  <c r="H1239" i="45"/>
  <c r="J1239" i="45" s="1"/>
  <c r="B1344" i="45"/>
  <c r="AR1254" i="45"/>
  <c r="AN1254" i="45"/>
  <c r="AJ1254" i="45"/>
  <c r="AF1254" i="45"/>
  <c r="AB1254" i="45"/>
  <c r="X1254" i="45"/>
  <c r="T1254" i="45"/>
  <c r="P1254" i="45"/>
  <c r="L1254" i="45"/>
  <c r="AU1254" i="45"/>
  <c r="AQ1254" i="45"/>
  <c r="AM1254" i="45"/>
  <c r="AI1254" i="45"/>
  <c r="AE1254" i="45"/>
  <c r="AA1254" i="45"/>
  <c r="W1254" i="45"/>
  <c r="S1254" i="45"/>
  <c r="O1254" i="45"/>
  <c r="AT1254" i="45"/>
  <c r="AP1254" i="45"/>
  <c r="AL1254" i="45"/>
  <c r="AH1254" i="45"/>
  <c r="AD1254" i="45"/>
  <c r="Z1254" i="45"/>
  <c r="V1254" i="45"/>
  <c r="R1254" i="45"/>
  <c r="N1254" i="45"/>
  <c r="AS1254" i="45"/>
  <c r="AC1254" i="45"/>
  <c r="M1254" i="45"/>
  <c r="AO1254" i="45"/>
  <c r="Y1254" i="45"/>
  <c r="AK1254" i="45"/>
  <c r="U1254" i="45"/>
  <c r="AG1254" i="45"/>
  <c r="Q1254" i="45"/>
  <c r="B1359" i="45"/>
  <c r="H1254" i="45"/>
  <c r="J1254" i="45" s="1"/>
  <c r="AR1241" i="45"/>
  <c r="AN1241" i="45"/>
  <c r="AJ1241" i="45"/>
  <c r="AF1241" i="45"/>
  <c r="AB1241" i="45"/>
  <c r="X1241" i="45"/>
  <c r="T1241" i="45"/>
  <c r="P1241" i="45"/>
  <c r="L1241" i="45"/>
  <c r="AU1241" i="45"/>
  <c r="AQ1241" i="45"/>
  <c r="AM1241" i="45"/>
  <c r="AI1241" i="45"/>
  <c r="AE1241" i="45"/>
  <c r="AA1241" i="45"/>
  <c r="W1241" i="45"/>
  <c r="S1241" i="45"/>
  <c r="O1241" i="45"/>
  <c r="AT1241" i="45"/>
  <c r="AP1241" i="45"/>
  <c r="AL1241" i="45"/>
  <c r="AH1241" i="45"/>
  <c r="AD1241" i="45"/>
  <c r="Z1241" i="45"/>
  <c r="V1241" i="45"/>
  <c r="R1241" i="45"/>
  <c r="N1241" i="45"/>
  <c r="AG1241" i="45"/>
  <c r="Q1241" i="45"/>
  <c r="AS1241" i="45"/>
  <c r="AC1241" i="45"/>
  <c r="M1241" i="45"/>
  <c r="AO1241" i="45"/>
  <c r="Y1241" i="45"/>
  <c r="AK1241" i="45"/>
  <c r="U1241" i="45"/>
  <c r="B1346" i="45"/>
  <c r="H1241" i="45"/>
  <c r="J1241" i="45" s="1"/>
  <c r="AS1437" i="45"/>
  <c r="AO1437" i="45"/>
  <c r="AK1437" i="45"/>
  <c r="AG1437" i="45"/>
  <c r="AC1437" i="45"/>
  <c r="Y1437" i="45"/>
  <c r="U1437" i="45"/>
  <c r="Q1437" i="45"/>
  <c r="M1437" i="45"/>
  <c r="AR1437" i="45"/>
  <c r="AN1437" i="45"/>
  <c r="AJ1437" i="45"/>
  <c r="AF1437" i="45"/>
  <c r="AB1437" i="45"/>
  <c r="X1437" i="45"/>
  <c r="T1437" i="45"/>
  <c r="P1437" i="45"/>
  <c r="L1437" i="45"/>
  <c r="AU1437" i="45"/>
  <c r="AQ1437" i="45"/>
  <c r="AM1437" i="45"/>
  <c r="AI1437" i="45"/>
  <c r="AE1437" i="45"/>
  <c r="AA1437" i="45"/>
  <c r="W1437" i="45"/>
  <c r="S1437" i="45"/>
  <c r="O1437" i="45"/>
  <c r="AT1437" i="45"/>
  <c r="AD1437" i="45"/>
  <c r="N1437" i="45"/>
  <c r="AP1437" i="45"/>
  <c r="Z1437" i="45"/>
  <c r="AL1437" i="45"/>
  <c r="V1437" i="45"/>
  <c r="R1437" i="45"/>
  <c r="AH1437" i="45"/>
  <c r="H1437" i="45"/>
  <c r="J1437" i="45" s="1"/>
  <c r="AT1299" i="45"/>
  <c r="AP1299" i="45"/>
  <c r="AL1299" i="45"/>
  <c r="AH1299" i="45"/>
  <c r="AD1299" i="45"/>
  <c r="Z1299" i="45"/>
  <c r="V1299" i="45"/>
  <c r="R1299" i="45"/>
  <c r="N1299" i="45"/>
  <c r="AS1299" i="45"/>
  <c r="AO1299" i="45"/>
  <c r="AK1299" i="45"/>
  <c r="AG1299" i="45"/>
  <c r="AC1299" i="45"/>
  <c r="Y1299" i="45"/>
  <c r="U1299" i="45"/>
  <c r="Q1299" i="45"/>
  <c r="M1299" i="45"/>
  <c r="AR1299" i="45"/>
  <c r="AN1299" i="45"/>
  <c r="AJ1299" i="45"/>
  <c r="AF1299" i="45"/>
  <c r="AB1299" i="45"/>
  <c r="X1299" i="45"/>
  <c r="T1299" i="45"/>
  <c r="P1299" i="45"/>
  <c r="L1299" i="45"/>
  <c r="AI1299" i="45"/>
  <c r="S1299" i="45"/>
  <c r="AU1299" i="45"/>
  <c r="AE1299" i="45"/>
  <c r="O1299" i="45"/>
  <c r="AQ1299" i="45"/>
  <c r="AA1299" i="45"/>
  <c r="AM1299" i="45"/>
  <c r="W1299" i="45"/>
  <c r="H1299" i="45"/>
  <c r="J1299" i="45" s="1"/>
  <c r="B1404" i="45"/>
  <c r="AR1251" i="45"/>
  <c r="AN1251" i="45"/>
  <c r="AJ1251" i="45"/>
  <c r="AF1251" i="45"/>
  <c r="AB1251" i="45"/>
  <c r="X1251" i="45"/>
  <c r="T1251" i="45"/>
  <c r="P1251" i="45"/>
  <c r="L1251" i="45"/>
  <c r="AU1251" i="45"/>
  <c r="AQ1251" i="45"/>
  <c r="AM1251" i="45"/>
  <c r="AI1251" i="45"/>
  <c r="AE1251" i="45"/>
  <c r="AA1251" i="45"/>
  <c r="W1251" i="45"/>
  <c r="S1251" i="45"/>
  <c r="O1251" i="45"/>
  <c r="AT1251" i="45"/>
  <c r="AP1251" i="45"/>
  <c r="AL1251" i="45"/>
  <c r="AH1251" i="45"/>
  <c r="AD1251" i="45"/>
  <c r="Z1251" i="45"/>
  <c r="V1251" i="45"/>
  <c r="R1251" i="45"/>
  <c r="N1251" i="45"/>
  <c r="AO1251" i="45"/>
  <c r="Y1251" i="45"/>
  <c r="AK1251" i="45"/>
  <c r="U1251" i="45"/>
  <c r="AG1251" i="45"/>
  <c r="Q1251" i="45"/>
  <c r="M1251" i="45"/>
  <c r="AS1251" i="45"/>
  <c r="AC1251" i="45"/>
  <c r="B1356" i="45"/>
  <c r="H1251" i="45"/>
  <c r="J1251" i="45" s="1"/>
  <c r="AT1304" i="45"/>
  <c r="AP1304" i="45"/>
  <c r="AL1304" i="45"/>
  <c r="AH1304" i="45"/>
  <c r="AD1304" i="45"/>
  <c r="Z1304" i="45"/>
  <c r="V1304" i="45"/>
  <c r="R1304" i="45"/>
  <c r="N1304" i="45"/>
  <c r="AS1304" i="45"/>
  <c r="AO1304" i="45"/>
  <c r="AK1304" i="45"/>
  <c r="AG1304" i="45"/>
  <c r="AC1304" i="45"/>
  <c r="Y1304" i="45"/>
  <c r="U1304" i="45"/>
  <c r="Q1304" i="45"/>
  <c r="M1304" i="45"/>
  <c r="AR1304" i="45"/>
  <c r="AN1304" i="45"/>
  <c r="AJ1304" i="45"/>
  <c r="AF1304" i="45"/>
  <c r="AB1304" i="45"/>
  <c r="X1304" i="45"/>
  <c r="T1304" i="45"/>
  <c r="P1304" i="45"/>
  <c r="L1304" i="45"/>
  <c r="AU1304" i="45"/>
  <c r="AE1304" i="45"/>
  <c r="O1304" i="45"/>
  <c r="AQ1304" i="45"/>
  <c r="AA1304" i="45"/>
  <c r="AM1304" i="45"/>
  <c r="W1304" i="45"/>
  <c r="S1304" i="45"/>
  <c r="AI1304" i="45"/>
  <c r="B1409" i="45"/>
  <c r="H1304" i="45"/>
  <c r="J1304" i="45" s="1"/>
  <c r="AR1280" i="45"/>
  <c r="AN1280" i="45"/>
  <c r="AJ1280" i="45"/>
  <c r="AF1280" i="45"/>
  <c r="AB1280" i="45"/>
  <c r="X1280" i="45"/>
  <c r="T1280" i="45"/>
  <c r="P1280" i="45"/>
  <c r="L1280" i="45"/>
  <c r="AU1280" i="45"/>
  <c r="AQ1280" i="45"/>
  <c r="AM1280" i="45"/>
  <c r="AI1280" i="45"/>
  <c r="AE1280" i="45"/>
  <c r="AA1280" i="45"/>
  <c r="W1280" i="45"/>
  <c r="S1280" i="45"/>
  <c r="O1280" i="45"/>
  <c r="AT1280" i="45"/>
  <c r="AP1280" i="45"/>
  <c r="AL1280" i="45"/>
  <c r="AH1280" i="45"/>
  <c r="AD1280" i="45"/>
  <c r="Z1280" i="45"/>
  <c r="V1280" i="45"/>
  <c r="R1280" i="45"/>
  <c r="N1280" i="45"/>
  <c r="AK1280" i="45"/>
  <c r="U1280" i="45"/>
  <c r="AG1280" i="45"/>
  <c r="Q1280" i="45"/>
  <c r="AS1280" i="45"/>
  <c r="AC1280" i="45"/>
  <c r="M1280" i="45"/>
  <c r="AO1280" i="45"/>
  <c r="Y1280" i="45"/>
  <c r="H1280" i="45"/>
  <c r="J1280" i="45" s="1"/>
  <c r="B1385" i="45"/>
  <c r="AT1290" i="45"/>
  <c r="AP1290" i="45"/>
  <c r="AL1290" i="45"/>
  <c r="AH1290" i="45"/>
  <c r="AD1290" i="45"/>
  <c r="Z1290" i="45"/>
  <c r="V1290" i="45"/>
  <c r="R1290" i="45"/>
  <c r="N1290" i="45"/>
  <c r="AS1290" i="45"/>
  <c r="AO1290" i="45"/>
  <c r="AK1290" i="45"/>
  <c r="AG1290" i="45"/>
  <c r="AC1290" i="45"/>
  <c r="Y1290" i="45"/>
  <c r="U1290" i="45"/>
  <c r="Q1290" i="45"/>
  <c r="M1290" i="45"/>
  <c r="AR1290" i="45"/>
  <c r="AN1290" i="45"/>
  <c r="AJ1290" i="45"/>
  <c r="AF1290" i="45"/>
  <c r="AB1290" i="45"/>
  <c r="X1290" i="45"/>
  <c r="T1290" i="45"/>
  <c r="P1290" i="45"/>
  <c r="L1290" i="45"/>
  <c r="AM1290" i="45"/>
  <c r="W1290" i="45"/>
  <c r="AI1290" i="45"/>
  <c r="S1290" i="45"/>
  <c r="AU1290" i="45"/>
  <c r="AE1290" i="45"/>
  <c r="O1290" i="45"/>
  <c r="AQ1290" i="45"/>
  <c r="AA1290" i="45"/>
  <c r="B1395" i="45"/>
  <c r="H1290" i="45"/>
  <c r="J1290" i="45" s="1"/>
  <c r="L1236" i="45"/>
  <c r="S1236" i="45"/>
  <c r="Z1236" i="45"/>
  <c r="V1236" i="45"/>
  <c r="U1236" i="45"/>
  <c r="Y1236" i="45"/>
  <c r="B1341" i="45"/>
  <c r="H1236" i="45"/>
  <c r="AT1315" i="45"/>
  <c r="AP1315" i="45"/>
  <c r="AL1315" i="45"/>
  <c r="AH1315" i="45"/>
  <c r="AD1315" i="45"/>
  <c r="Z1315" i="45"/>
  <c r="V1315" i="45"/>
  <c r="R1315" i="45"/>
  <c r="N1315" i="45"/>
  <c r="AS1315" i="45"/>
  <c r="AO1315" i="45"/>
  <c r="AK1315" i="45"/>
  <c r="AG1315" i="45"/>
  <c r="AC1315" i="45"/>
  <c r="Y1315" i="45"/>
  <c r="U1315" i="45"/>
  <c r="Q1315" i="45"/>
  <c r="M1315" i="45"/>
  <c r="AR1315" i="45"/>
  <c r="AN1315" i="45"/>
  <c r="AJ1315" i="45"/>
  <c r="AF1315" i="45"/>
  <c r="AB1315" i="45"/>
  <c r="X1315" i="45"/>
  <c r="T1315" i="45"/>
  <c r="P1315" i="45"/>
  <c r="L1315" i="45"/>
  <c r="AI1315" i="45"/>
  <c r="S1315" i="45"/>
  <c r="AU1315" i="45"/>
  <c r="AE1315" i="45"/>
  <c r="O1315" i="45"/>
  <c r="AQ1315" i="45"/>
  <c r="AA1315" i="45"/>
  <c r="AM1315" i="45"/>
  <c r="W1315" i="45"/>
  <c r="B1420" i="45"/>
  <c r="H1315" i="45"/>
  <c r="J1315" i="45" s="1"/>
  <c r="AR1279" i="45"/>
  <c r="AN1279" i="45"/>
  <c r="AJ1279" i="45"/>
  <c r="AF1279" i="45"/>
  <c r="AB1279" i="45"/>
  <c r="X1279" i="45"/>
  <c r="T1279" i="45"/>
  <c r="P1279" i="45"/>
  <c r="L1279" i="45"/>
  <c r="AU1279" i="45"/>
  <c r="AQ1279" i="45"/>
  <c r="AM1279" i="45"/>
  <c r="AI1279" i="45"/>
  <c r="AE1279" i="45"/>
  <c r="AA1279" i="45"/>
  <c r="W1279" i="45"/>
  <c r="S1279" i="45"/>
  <c r="O1279" i="45"/>
  <c r="AT1279" i="45"/>
  <c r="AP1279" i="45"/>
  <c r="AL1279" i="45"/>
  <c r="AH1279" i="45"/>
  <c r="AD1279" i="45"/>
  <c r="Z1279" i="45"/>
  <c r="V1279" i="45"/>
  <c r="R1279" i="45"/>
  <c r="N1279" i="45"/>
  <c r="AO1279" i="45"/>
  <c r="Y1279" i="45"/>
  <c r="AK1279" i="45"/>
  <c r="U1279" i="45"/>
  <c r="AG1279" i="45"/>
  <c r="Q1279" i="45"/>
  <c r="AC1279" i="45"/>
  <c r="M1279" i="45"/>
  <c r="AS1279" i="45"/>
  <c r="B1384" i="45"/>
  <c r="H1279" i="45"/>
  <c r="J1279" i="45" s="1"/>
  <c r="AT1306" i="45"/>
  <c r="AP1306" i="45"/>
  <c r="AL1306" i="45"/>
  <c r="AH1306" i="45"/>
  <c r="AD1306" i="45"/>
  <c r="Z1306" i="45"/>
  <c r="V1306" i="45"/>
  <c r="R1306" i="45"/>
  <c r="N1306" i="45"/>
  <c r="AS1306" i="45"/>
  <c r="AO1306" i="45"/>
  <c r="AK1306" i="45"/>
  <c r="AG1306" i="45"/>
  <c r="AC1306" i="45"/>
  <c r="Y1306" i="45"/>
  <c r="U1306" i="45"/>
  <c r="Q1306" i="45"/>
  <c r="M1306" i="45"/>
  <c r="AR1306" i="45"/>
  <c r="AN1306" i="45"/>
  <c r="AJ1306" i="45"/>
  <c r="AF1306" i="45"/>
  <c r="AB1306" i="45"/>
  <c r="X1306" i="45"/>
  <c r="T1306" i="45"/>
  <c r="P1306" i="45"/>
  <c r="L1306" i="45"/>
  <c r="AM1306" i="45"/>
  <c r="W1306" i="45"/>
  <c r="AI1306" i="45"/>
  <c r="S1306" i="45"/>
  <c r="AU1306" i="45"/>
  <c r="AE1306" i="45"/>
  <c r="O1306" i="45"/>
  <c r="AQ1306" i="45"/>
  <c r="AA1306" i="45"/>
  <c r="B1411" i="45"/>
  <c r="H1306" i="45"/>
  <c r="J1306" i="45" s="1"/>
  <c r="AR1252" i="45"/>
  <c r="AN1252" i="45"/>
  <c r="AJ1252" i="45"/>
  <c r="AF1252" i="45"/>
  <c r="AB1252" i="45"/>
  <c r="X1252" i="45"/>
  <c r="T1252" i="45"/>
  <c r="P1252" i="45"/>
  <c r="L1252" i="45"/>
  <c r="AU1252" i="45"/>
  <c r="AQ1252" i="45"/>
  <c r="AM1252" i="45"/>
  <c r="AI1252" i="45"/>
  <c r="AE1252" i="45"/>
  <c r="AA1252" i="45"/>
  <c r="W1252" i="45"/>
  <c r="S1252" i="45"/>
  <c r="O1252" i="45"/>
  <c r="AT1252" i="45"/>
  <c r="AP1252" i="45"/>
  <c r="AL1252" i="45"/>
  <c r="AH1252" i="45"/>
  <c r="AD1252" i="45"/>
  <c r="Z1252" i="45"/>
  <c r="V1252" i="45"/>
  <c r="R1252" i="45"/>
  <c r="N1252" i="45"/>
  <c r="AK1252" i="45"/>
  <c r="U1252" i="45"/>
  <c r="AG1252" i="45"/>
  <c r="Q1252" i="45"/>
  <c r="AS1252" i="45"/>
  <c r="AC1252" i="45"/>
  <c r="M1252" i="45"/>
  <c r="AO1252" i="45"/>
  <c r="Y1252" i="45"/>
  <c r="H1252" i="45"/>
  <c r="J1252" i="45" s="1"/>
  <c r="B1357" i="45"/>
  <c r="AT1289" i="45"/>
  <c r="AP1289" i="45"/>
  <c r="AL1289" i="45"/>
  <c r="AH1289" i="45"/>
  <c r="AD1289" i="45"/>
  <c r="Z1289" i="45"/>
  <c r="V1289" i="45"/>
  <c r="R1289" i="45"/>
  <c r="N1289" i="45"/>
  <c r="AS1289" i="45"/>
  <c r="AO1289" i="45"/>
  <c r="AK1289" i="45"/>
  <c r="AG1289" i="45"/>
  <c r="AC1289" i="45"/>
  <c r="Y1289" i="45"/>
  <c r="U1289" i="45"/>
  <c r="Q1289" i="45"/>
  <c r="M1289" i="45"/>
  <c r="AR1289" i="45"/>
  <c r="AN1289" i="45"/>
  <c r="AJ1289" i="45"/>
  <c r="AF1289" i="45"/>
  <c r="AB1289" i="45"/>
  <c r="X1289" i="45"/>
  <c r="T1289" i="45"/>
  <c r="P1289" i="45"/>
  <c r="L1289" i="45"/>
  <c r="AQ1289" i="45"/>
  <c r="AA1289" i="45"/>
  <c r="AM1289" i="45"/>
  <c r="W1289" i="45"/>
  <c r="AI1289" i="45"/>
  <c r="S1289" i="45"/>
  <c r="AU1289" i="45"/>
  <c r="AE1289" i="45"/>
  <c r="O1289" i="45"/>
  <c r="B1394" i="45"/>
  <c r="H1289" i="45"/>
  <c r="J1289" i="45" s="1"/>
  <c r="AR1267" i="45"/>
  <c r="AN1267" i="45"/>
  <c r="AJ1267" i="45"/>
  <c r="AF1267" i="45"/>
  <c r="AB1267" i="45"/>
  <c r="X1267" i="45"/>
  <c r="T1267" i="45"/>
  <c r="P1267" i="45"/>
  <c r="L1267" i="45"/>
  <c r="AU1267" i="45"/>
  <c r="AQ1267" i="45"/>
  <c r="AM1267" i="45"/>
  <c r="AI1267" i="45"/>
  <c r="AE1267" i="45"/>
  <c r="AA1267" i="45"/>
  <c r="W1267" i="45"/>
  <c r="S1267" i="45"/>
  <c r="O1267" i="45"/>
  <c r="AT1267" i="45"/>
  <c r="AP1267" i="45"/>
  <c r="AL1267" i="45"/>
  <c r="AH1267" i="45"/>
  <c r="AD1267" i="45"/>
  <c r="Z1267" i="45"/>
  <c r="V1267" i="45"/>
  <c r="R1267" i="45"/>
  <c r="N1267" i="45"/>
  <c r="AO1267" i="45"/>
  <c r="Y1267" i="45"/>
  <c r="AK1267" i="45"/>
  <c r="U1267" i="45"/>
  <c r="AG1267" i="45"/>
  <c r="Q1267" i="45"/>
  <c r="M1267" i="45"/>
  <c r="AS1267" i="45"/>
  <c r="AC1267" i="45"/>
  <c r="B1372" i="45"/>
  <c r="H1267" i="45"/>
  <c r="J1267" i="45" s="1"/>
  <c r="AR1268" i="45"/>
  <c r="AN1268" i="45"/>
  <c r="AJ1268" i="45"/>
  <c r="AF1268" i="45"/>
  <c r="AB1268" i="45"/>
  <c r="X1268" i="45"/>
  <c r="T1268" i="45"/>
  <c r="P1268" i="45"/>
  <c r="L1268" i="45"/>
  <c r="AU1268" i="45"/>
  <c r="AQ1268" i="45"/>
  <c r="AM1268" i="45"/>
  <c r="AI1268" i="45"/>
  <c r="AE1268" i="45"/>
  <c r="AA1268" i="45"/>
  <c r="W1268" i="45"/>
  <c r="S1268" i="45"/>
  <c r="O1268" i="45"/>
  <c r="AT1268" i="45"/>
  <c r="AP1268" i="45"/>
  <c r="AL1268" i="45"/>
  <c r="AH1268" i="45"/>
  <c r="AD1268" i="45"/>
  <c r="Z1268" i="45"/>
  <c r="V1268" i="45"/>
  <c r="R1268" i="45"/>
  <c r="N1268" i="45"/>
  <c r="AK1268" i="45"/>
  <c r="U1268" i="45"/>
  <c r="AG1268" i="45"/>
  <c r="Q1268" i="45"/>
  <c r="AS1268" i="45"/>
  <c r="AC1268" i="45"/>
  <c r="M1268" i="45"/>
  <c r="AO1268" i="45"/>
  <c r="Y1268" i="45"/>
  <c r="B1373" i="45"/>
  <c r="H1268" i="45"/>
  <c r="J1268" i="45" s="1"/>
  <c r="AR1335" i="45"/>
  <c r="AN1335" i="45"/>
  <c r="AJ1335" i="45"/>
  <c r="AF1335" i="45"/>
  <c r="AB1335" i="45"/>
  <c r="X1335" i="45"/>
  <c r="T1335" i="45"/>
  <c r="P1335" i="45"/>
  <c r="L1335" i="45"/>
  <c r="AT1335" i="45"/>
  <c r="AP1335" i="45"/>
  <c r="AL1335" i="45"/>
  <c r="AH1335" i="45"/>
  <c r="AD1335" i="45"/>
  <c r="Z1335" i="45"/>
  <c r="V1335" i="45"/>
  <c r="R1335" i="45"/>
  <c r="N1335" i="45"/>
  <c r="AS1335" i="45"/>
  <c r="AK1335" i="45"/>
  <c r="AC1335" i="45"/>
  <c r="U1335" i="45"/>
  <c r="M1335" i="45"/>
  <c r="AQ1335" i="45"/>
  <c r="AI1335" i="45"/>
  <c r="AA1335" i="45"/>
  <c r="S1335" i="45"/>
  <c r="AO1335" i="45"/>
  <c r="AG1335" i="45"/>
  <c r="Y1335" i="45"/>
  <c r="Q1335" i="45"/>
  <c r="AU1335" i="45"/>
  <c r="AM1335" i="45"/>
  <c r="AE1335" i="45"/>
  <c r="W1335" i="45"/>
  <c r="O1335" i="45"/>
  <c r="B1440" i="45"/>
  <c r="H1335" i="45"/>
  <c r="AR1441" i="45"/>
  <c r="AN1441" i="45"/>
  <c r="AJ1441" i="45"/>
  <c r="AF1441" i="45"/>
  <c r="AB1441" i="45"/>
  <c r="X1441" i="45"/>
  <c r="T1441" i="45"/>
  <c r="P1441" i="45"/>
  <c r="L1441" i="45"/>
  <c r="AT1441" i="45"/>
  <c r="AP1441" i="45"/>
  <c r="AL1441" i="45"/>
  <c r="AH1441" i="45"/>
  <c r="AD1441" i="45"/>
  <c r="Z1441" i="45"/>
  <c r="V1441" i="45"/>
  <c r="R1441" i="45"/>
  <c r="N1441" i="45"/>
  <c r="AO1441" i="45"/>
  <c r="AG1441" i="45"/>
  <c r="Y1441" i="45"/>
  <c r="Q1441" i="45"/>
  <c r="AU1441" i="45"/>
  <c r="AM1441" i="45"/>
  <c r="AE1441" i="45"/>
  <c r="W1441" i="45"/>
  <c r="O1441" i="45"/>
  <c r="AS1441" i="45"/>
  <c r="AK1441" i="45"/>
  <c r="AC1441" i="45"/>
  <c r="U1441" i="45"/>
  <c r="M1441" i="45"/>
  <c r="AQ1441" i="45"/>
  <c r="AI1441" i="45"/>
  <c r="AA1441" i="45"/>
  <c r="S1441" i="45"/>
  <c r="H1441" i="45"/>
  <c r="J1441" i="45" s="1"/>
  <c r="X8" i="45"/>
  <c r="X12" i="45" s="1"/>
  <c r="Z227" i="45"/>
  <c r="P200" i="50"/>
  <c r="Z201" i="45"/>
  <c r="BO6" i="44"/>
  <c r="AA199" i="45"/>
  <c r="AA206" i="45"/>
  <c r="Z209" i="45"/>
  <c r="AD197" i="45"/>
  <c r="AS205" i="45"/>
  <c r="AB189" i="45"/>
  <c r="Z207" i="45"/>
  <c r="AB217" i="45"/>
  <c r="Z195" i="45"/>
  <c r="AB279" i="45"/>
  <c r="AA276" i="45"/>
  <c r="Z273" i="45"/>
  <c r="AA274" i="45"/>
  <c r="AH268" i="45"/>
  <c r="Z275" i="45"/>
  <c r="Z271" i="45"/>
  <c r="AA277" i="45"/>
  <c r="Z272" i="45"/>
  <c r="AB278" i="45"/>
  <c r="AA266" i="45"/>
  <c r="AG270" i="45"/>
  <c r="AA264" i="45"/>
  <c r="Z263" i="45"/>
  <c r="AA262" i="45"/>
  <c r="AK243" i="45"/>
  <c r="AB234" i="45"/>
  <c r="AN254" i="45"/>
  <c r="AA246" i="45"/>
  <c r="AB238" i="45"/>
  <c r="AC258" i="45"/>
  <c r="AC250" i="45"/>
  <c r="AB242" i="45"/>
  <c r="AA186" i="45"/>
  <c r="AA1131" i="45" s="1"/>
  <c r="AA257" i="45"/>
  <c r="AB208" i="45"/>
  <c r="Z221" i="45"/>
  <c r="Z218" i="45"/>
  <c r="AB204" i="45"/>
  <c r="AA244" i="45"/>
  <c r="AA237" i="45"/>
  <c r="AA229" i="45"/>
  <c r="AA219" i="45"/>
  <c r="AA260" i="45"/>
  <c r="AA211" i="45"/>
  <c r="AA249" i="45"/>
  <c r="AF253" i="45"/>
  <c r="Z203" i="45"/>
  <c r="AC193" i="45"/>
  <c r="AA256" i="45"/>
  <c r="AA230" i="45"/>
  <c r="AA259" i="45"/>
  <c r="AA226" i="45"/>
  <c r="AA190" i="45"/>
  <c r="AA225" i="45"/>
  <c r="AB216" i="45"/>
  <c r="AA233" i="45"/>
  <c r="AA255" i="45"/>
  <c r="AA214" i="45"/>
  <c r="AA222" i="45"/>
  <c r="AA223" i="45"/>
  <c r="AA213" i="45"/>
  <c r="AA210" i="45"/>
  <c r="AA200" i="45"/>
  <c r="AA192" i="45"/>
  <c r="AA261" i="45"/>
  <c r="AA194" i="45"/>
  <c r="AA245" i="45"/>
  <c r="AA198" i="45"/>
  <c r="AA236" i="45"/>
  <c r="AA232" i="45"/>
  <c r="AA248" i="45"/>
  <c r="AA239" i="45"/>
  <c r="AA196" i="45"/>
  <c r="AB231" i="45"/>
  <c r="AA215" i="45"/>
  <c r="AA252" i="45"/>
  <c r="AA187" i="45"/>
  <c r="AB220" i="45"/>
  <c r="AA212" i="45"/>
  <c r="AA224" i="45"/>
  <c r="AB191" i="45"/>
  <c r="AQ29" i="50"/>
  <c r="U3" i="45"/>
  <c r="BO9" i="44" a="1"/>
  <c r="BO9" i="44" l="1"/>
  <c r="W1236" i="45"/>
  <c r="P1236" i="45"/>
  <c r="Q1236" i="45"/>
  <c r="N1236" i="45"/>
  <c r="AA1236" i="45"/>
  <c r="T1236" i="45"/>
  <c r="Z816" i="45"/>
  <c r="Z921" i="45"/>
  <c r="AA396" i="45"/>
  <c r="AA711" i="45"/>
  <c r="AA1026" i="45"/>
  <c r="M1236" i="45"/>
  <c r="R1236" i="45"/>
  <c r="O1236" i="45"/>
  <c r="X1236" i="45"/>
  <c r="AS1357" i="45"/>
  <c r="AO1357" i="45"/>
  <c r="AK1357" i="45"/>
  <c r="AG1357" i="45"/>
  <c r="AC1357" i="45"/>
  <c r="Y1357" i="45"/>
  <c r="U1357" i="45"/>
  <c r="Q1357" i="45"/>
  <c r="M1357" i="45"/>
  <c r="AR1357" i="45"/>
  <c r="AN1357" i="45"/>
  <c r="AJ1357" i="45"/>
  <c r="AF1357" i="45"/>
  <c r="AB1357" i="45"/>
  <c r="X1357" i="45"/>
  <c r="T1357" i="45"/>
  <c r="P1357" i="45"/>
  <c r="L1357" i="45"/>
  <c r="AU1357" i="45"/>
  <c r="AQ1357" i="45"/>
  <c r="AM1357" i="45"/>
  <c r="AI1357" i="45"/>
  <c r="AE1357" i="45"/>
  <c r="AA1357" i="45"/>
  <c r="W1357" i="45"/>
  <c r="S1357" i="45"/>
  <c r="O1357" i="45"/>
  <c r="AL1357" i="45"/>
  <c r="V1357" i="45"/>
  <c r="AH1357" i="45"/>
  <c r="R1357" i="45"/>
  <c r="AT1357" i="45"/>
  <c r="AD1357" i="45"/>
  <c r="N1357" i="45"/>
  <c r="AP1357" i="45"/>
  <c r="Z1357" i="45"/>
  <c r="H1357" i="45"/>
  <c r="J1357" i="45" s="1"/>
  <c r="AU1385" i="45"/>
  <c r="AQ1385" i="45"/>
  <c r="AM1385" i="45"/>
  <c r="AI1385" i="45"/>
  <c r="AE1385" i="45"/>
  <c r="AA1385" i="45"/>
  <c r="W1385" i="45"/>
  <c r="S1385" i="45"/>
  <c r="O1385" i="45"/>
  <c r="AT1385" i="45"/>
  <c r="AP1385" i="45"/>
  <c r="AL1385" i="45"/>
  <c r="AH1385" i="45"/>
  <c r="AD1385" i="45"/>
  <c r="Z1385" i="45"/>
  <c r="V1385" i="45"/>
  <c r="R1385" i="45"/>
  <c r="N1385" i="45"/>
  <c r="AS1385" i="45"/>
  <c r="AO1385" i="45"/>
  <c r="AK1385" i="45"/>
  <c r="AG1385" i="45"/>
  <c r="AC1385" i="45"/>
  <c r="Y1385" i="45"/>
  <c r="U1385" i="45"/>
  <c r="Q1385" i="45"/>
  <c r="M1385" i="45"/>
  <c r="AF1385" i="45"/>
  <c r="P1385" i="45"/>
  <c r="AR1385" i="45"/>
  <c r="AB1385" i="45"/>
  <c r="L1385" i="45"/>
  <c r="AN1385" i="45"/>
  <c r="X1385" i="45"/>
  <c r="AJ1385" i="45"/>
  <c r="T1385" i="45"/>
  <c r="H1385" i="45"/>
  <c r="J1385" i="45" s="1"/>
  <c r="AS1359" i="45"/>
  <c r="AO1359" i="45"/>
  <c r="AK1359" i="45"/>
  <c r="AG1359" i="45"/>
  <c r="AC1359" i="45"/>
  <c r="Y1359" i="45"/>
  <c r="U1359" i="45"/>
  <c r="Q1359" i="45"/>
  <c r="M1359" i="45"/>
  <c r="AR1359" i="45"/>
  <c r="AN1359" i="45"/>
  <c r="AJ1359" i="45"/>
  <c r="AF1359" i="45"/>
  <c r="AB1359" i="45"/>
  <c r="X1359" i="45"/>
  <c r="T1359" i="45"/>
  <c r="P1359" i="45"/>
  <c r="L1359" i="45"/>
  <c r="AU1359" i="45"/>
  <c r="AQ1359" i="45"/>
  <c r="AM1359" i="45"/>
  <c r="AI1359" i="45"/>
  <c r="AE1359" i="45"/>
  <c r="AA1359" i="45"/>
  <c r="W1359" i="45"/>
  <c r="S1359" i="45"/>
  <c r="O1359" i="45"/>
  <c r="AT1359" i="45"/>
  <c r="AD1359" i="45"/>
  <c r="N1359" i="45"/>
  <c r="AP1359" i="45"/>
  <c r="Z1359" i="45"/>
  <c r="AL1359" i="45"/>
  <c r="V1359" i="45"/>
  <c r="AH1359" i="45"/>
  <c r="R1359" i="45"/>
  <c r="H1359" i="45"/>
  <c r="J1359" i="45" s="1"/>
  <c r="AR1410" i="45"/>
  <c r="AN1410" i="45"/>
  <c r="AJ1410" i="45"/>
  <c r="AF1410" i="45"/>
  <c r="AB1410" i="45"/>
  <c r="X1410" i="45"/>
  <c r="T1410" i="45"/>
  <c r="P1410" i="45"/>
  <c r="L1410" i="45"/>
  <c r="AU1410" i="45"/>
  <c r="AQ1410" i="45"/>
  <c r="AM1410" i="45"/>
  <c r="AI1410" i="45"/>
  <c r="AE1410" i="45"/>
  <c r="AA1410" i="45"/>
  <c r="W1410" i="45"/>
  <c r="S1410" i="45"/>
  <c r="O1410" i="45"/>
  <c r="AT1410" i="45"/>
  <c r="AL1410" i="45"/>
  <c r="AD1410" i="45"/>
  <c r="V1410" i="45"/>
  <c r="N1410" i="45"/>
  <c r="AS1410" i="45"/>
  <c r="AK1410" i="45"/>
  <c r="AC1410" i="45"/>
  <c r="U1410" i="45"/>
  <c r="M1410" i="45"/>
  <c r="AP1410" i="45"/>
  <c r="AH1410" i="45"/>
  <c r="Z1410" i="45"/>
  <c r="R1410" i="45"/>
  <c r="AO1410" i="45"/>
  <c r="AG1410" i="45"/>
  <c r="Y1410" i="45"/>
  <c r="Q1410" i="45"/>
  <c r="H1410" i="45"/>
  <c r="J1410" i="45" s="1"/>
  <c r="AS1358" i="45"/>
  <c r="AO1358" i="45"/>
  <c r="AK1358" i="45"/>
  <c r="AG1358" i="45"/>
  <c r="AC1358" i="45"/>
  <c r="Y1358" i="45"/>
  <c r="U1358" i="45"/>
  <c r="Q1358" i="45"/>
  <c r="M1358" i="45"/>
  <c r="AR1358" i="45"/>
  <c r="AN1358" i="45"/>
  <c r="AJ1358" i="45"/>
  <c r="AF1358" i="45"/>
  <c r="AB1358" i="45"/>
  <c r="X1358" i="45"/>
  <c r="T1358" i="45"/>
  <c r="P1358" i="45"/>
  <c r="L1358" i="45"/>
  <c r="AU1358" i="45"/>
  <c r="AQ1358" i="45"/>
  <c r="AM1358" i="45"/>
  <c r="AI1358" i="45"/>
  <c r="AE1358" i="45"/>
  <c r="AA1358" i="45"/>
  <c r="W1358" i="45"/>
  <c r="S1358" i="45"/>
  <c r="O1358" i="45"/>
  <c r="AH1358" i="45"/>
  <c r="R1358" i="45"/>
  <c r="AT1358" i="45"/>
  <c r="AD1358" i="45"/>
  <c r="N1358" i="45"/>
  <c r="AP1358" i="45"/>
  <c r="Z1358" i="45"/>
  <c r="AL1358" i="45"/>
  <c r="V1358" i="45"/>
  <c r="H1358" i="45"/>
  <c r="J1358" i="45" s="1"/>
  <c r="AS1365" i="45"/>
  <c r="AO1365" i="45"/>
  <c r="AK1365" i="45"/>
  <c r="AG1365" i="45"/>
  <c r="AC1365" i="45"/>
  <c r="Y1365" i="45"/>
  <c r="U1365" i="45"/>
  <c r="Q1365" i="45"/>
  <c r="M1365" i="45"/>
  <c r="AR1365" i="45"/>
  <c r="AN1365" i="45"/>
  <c r="AJ1365" i="45"/>
  <c r="AF1365" i="45"/>
  <c r="AB1365" i="45"/>
  <c r="X1365" i="45"/>
  <c r="T1365" i="45"/>
  <c r="P1365" i="45"/>
  <c r="L1365" i="45"/>
  <c r="AU1365" i="45"/>
  <c r="AQ1365" i="45"/>
  <c r="AM1365" i="45"/>
  <c r="AI1365" i="45"/>
  <c r="AE1365" i="45"/>
  <c r="AA1365" i="45"/>
  <c r="W1365" i="45"/>
  <c r="S1365" i="45"/>
  <c r="O1365" i="45"/>
  <c r="AL1365" i="45"/>
  <c r="V1365" i="45"/>
  <c r="AH1365" i="45"/>
  <c r="R1365" i="45"/>
  <c r="AT1365" i="45"/>
  <c r="AD1365" i="45"/>
  <c r="N1365" i="45"/>
  <c r="AP1365" i="45"/>
  <c r="Z1365" i="45"/>
  <c r="H1365" i="45"/>
  <c r="J1365" i="45" s="1"/>
  <c r="AS1352" i="45"/>
  <c r="AO1352" i="45"/>
  <c r="AU1352" i="45"/>
  <c r="AQ1352" i="45"/>
  <c r="AR1352" i="45"/>
  <c r="AL1352" i="45"/>
  <c r="AH1352" i="45"/>
  <c r="AD1352" i="45"/>
  <c r="Z1352" i="45"/>
  <c r="V1352" i="45"/>
  <c r="R1352" i="45"/>
  <c r="N1352" i="45"/>
  <c r="AP1352" i="45"/>
  <c r="AK1352" i="45"/>
  <c r="AG1352" i="45"/>
  <c r="AC1352" i="45"/>
  <c r="Y1352" i="45"/>
  <c r="U1352" i="45"/>
  <c r="Q1352" i="45"/>
  <c r="M1352" i="45"/>
  <c r="AN1352" i="45"/>
  <c r="AJ1352" i="45"/>
  <c r="AF1352" i="45"/>
  <c r="AB1352" i="45"/>
  <c r="X1352" i="45"/>
  <c r="T1352" i="45"/>
  <c r="P1352" i="45"/>
  <c r="L1352" i="45"/>
  <c r="AM1352" i="45"/>
  <c r="W1352" i="45"/>
  <c r="AI1352" i="45"/>
  <c r="S1352" i="45"/>
  <c r="AE1352" i="45"/>
  <c r="O1352" i="45"/>
  <c r="AT1352" i="45"/>
  <c r="AA1352" i="45"/>
  <c r="H1352" i="45"/>
  <c r="J1352" i="45" s="1"/>
  <c r="AS1355" i="45"/>
  <c r="AO1355" i="45"/>
  <c r="AK1355" i="45"/>
  <c r="AG1355" i="45"/>
  <c r="AC1355" i="45"/>
  <c r="Y1355" i="45"/>
  <c r="U1355" i="45"/>
  <c r="Q1355" i="45"/>
  <c r="M1355" i="45"/>
  <c r="AR1355" i="45"/>
  <c r="AN1355" i="45"/>
  <c r="AJ1355" i="45"/>
  <c r="AF1355" i="45"/>
  <c r="AB1355" i="45"/>
  <c r="X1355" i="45"/>
  <c r="T1355" i="45"/>
  <c r="P1355" i="45"/>
  <c r="L1355" i="45"/>
  <c r="AU1355" i="45"/>
  <c r="AQ1355" i="45"/>
  <c r="AM1355" i="45"/>
  <c r="AI1355" i="45"/>
  <c r="AE1355" i="45"/>
  <c r="AA1355" i="45"/>
  <c r="W1355" i="45"/>
  <c r="S1355" i="45"/>
  <c r="O1355" i="45"/>
  <c r="AT1355" i="45"/>
  <c r="AD1355" i="45"/>
  <c r="N1355" i="45"/>
  <c r="AP1355" i="45"/>
  <c r="Z1355" i="45"/>
  <c r="AL1355" i="45"/>
  <c r="V1355" i="45"/>
  <c r="R1355" i="45"/>
  <c r="AH1355" i="45"/>
  <c r="H1355" i="45"/>
  <c r="J1355" i="45" s="1"/>
  <c r="AS1375" i="45"/>
  <c r="AO1375" i="45"/>
  <c r="AK1375" i="45"/>
  <c r="AG1375" i="45"/>
  <c r="AC1375" i="45"/>
  <c r="Y1375" i="45"/>
  <c r="U1375" i="45"/>
  <c r="Q1375" i="45"/>
  <c r="M1375" i="45"/>
  <c r="AR1375" i="45"/>
  <c r="AN1375" i="45"/>
  <c r="AJ1375" i="45"/>
  <c r="AF1375" i="45"/>
  <c r="AB1375" i="45"/>
  <c r="X1375" i="45"/>
  <c r="T1375" i="45"/>
  <c r="P1375" i="45"/>
  <c r="L1375" i="45"/>
  <c r="AU1375" i="45"/>
  <c r="AQ1375" i="45"/>
  <c r="AM1375" i="45"/>
  <c r="AI1375" i="45"/>
  <c r="AE1375" i="45"/>
  <c r="AA1375" i="45"/>
  <c r="W1375" i="45"/>
  <c r="S1375" i="45"/>
  <c r="O1375" i="45"/>
  <c r="AT1375" i="45"/>
  <c r="AD1375" i="45"/>
  <c r="N1375" i="45"/>
  <c r="AP1375" i="45"/>
  <c r="Z1375" i="45"/>
  <c r="AL1375" i="45"/>
  <c r="V1375" i="45"/>
  <c r="AH1375" i="45"/>
  <c r="R1375" i="45"/>
  <c r="H1375" i="45"/>
  <c r="J1375" i="45" s="1"/>
  <c r="AR1417" i="45"/>
  <c r="AN1417" i="45"/>
  <c r="AJ1417" i="45"/>
  <c r="AF1417" i="45"/>
  <c r="AB1417" i="45"/>
  <c r="X1417" i="45"/>
  <c r="T1417" i="45"/>
  <c r="P1417" i="45"/>
  <c r="L1417" i="45"/>
  <c r="AU1417" i="45"/>
  <c r="AQ1417" i="45"/>
  <c r="AM1417" i="45"/>
  <c r="AI1417" i="45"/>
  <c r="AE1417" i="45"/>
  <c r="AA1417" i="45"/>
  <c r="W1417" i="45"/>
  <c r="S1417" i="45"/>
  <c r="O1417" i="45"/>
  <c r="AP1417" i="45"/>
  <c r="AH1417" i="45"/>
  <c r="Z1417" i="45"/>
  <c r="R1417" i="45"/>
  <c r="AO1417" i="45"/>
  <c r="AG1417" i="45"/>
  <c r="Y1417" i="45"/>
  <c r="Q1417" i="45"/>
  <c r="AT1417" i="45"/>
  <c r="AL1417" i="45"/>
  <c r="AD1417" i="45"/>
  <c r="V1417" i="45"/>
  <c r="N1417" i="45"/>
  <c r="AS1417" i="45"/>
  <c r="M1417" i="45"/>
  <c r="AK1417" i="45"/>
  <c r="AC1417" i="45"/>
  <c r="U1417" i="45"/>
  <c r="H1417" i="45"/>
  <c r="J1417" i="45" s="1"/>
  <c r="AT1343" i="45"/>
  <c r="AP1343" i="45"/>
  <c r="AL1343" i="45"/>
  <c r="AH1343" i="45"/>
  <c r="AD1343" i="45"/>
  <c r="Z1343" i="45"/>
  <c r="V1343" i="45"/>
  <c r="R1343" i="45"/>
  <c r="N1343" i="45"/>
  <c r="AS1343" i="45"/>
  <c r="AO1343" i="45"/>
  <c r="AK1343" i="45"/>
  <c r="AG1343" i="45"/>
  <c r="AC1343" i="45"/>
  <c r="Y1343" i="45"/>
  <c r="U1343" i="45"/>
  <c r="Q1343" i="45"/>
  <c r="M1343" i="45"/>
  <c r="AR1343" i="45"/>
  <c r="AN1343" i="45"/>
  <c r="AJ1343" i="45"/>
  <c r="AF1343" i="45"/>
  <c r="AB1343" i="45"/>
  <c r="X1343" i="45"/>
  <c r="T1343" i="45"/>
  <c r="P1343" i="45"/>
  <c r="L1343" i="45"/>
  <c r="AQ1343" i="45"/>
  <c r="AA1343" i="45"/>
  <c r="AM1343" i="45"/>
  <c r="W1343" i="45"/>
  <c r="AI1343" i="45"/>
  <c r="S1343" i="45"/>
  <c r="AU1343" i="45"/>
  <c r="AE1343" i="45"/>
  <c r="O1343" i="45"/>
  <c r="H1343" i="45"/>
  <c r="J1343" i="45" s="1"/>
  <c r="AT1342" i="45"/>
  <c r="AP1342" i="45"/>
  <c r="AL1342" i="45"/>
  <c r="AH1342" i="45"/>
  <c r="AD1342" i="45"/>
  <c r="Z1342" i="45"/>
  <c r="V1342" i="45"/>
  <c r="R1342" i="45"/>
  <c r="N1342" i="45"/>
  <c r="AS1342" i="45"/>
  <c r="AO1342" i="45"/>
  <c r="AK1342" i="45"/>
  <c r="AG1342" i="45"/>
  <c r="AC1342" i="45"/>
  <c r="Y1342" i="45"/>
  <c r="U1342" i="45"/>
  <c r="Q1342" i="45"/>
  <c r="M1342" i="45"/>
  <c r="AR1342" i="45"/>
  <c r="AN1342" i="45"/>
  <c r="AJ1342" i="45"/>
  <c r="AF1342" i="45"/>
  <c r="AB1342" i="45"/>
  <c r="X1342" i="45"/>
  <c r="T1342" i="45"/>
  <c r="P1342" i="45"/>
  <c r="L1342" i="45"/>
  <c r="AU1342" i="45"/>
  <c r="AE1342" i="45"/>
  <c r="O1342" i="45"/>
  <c r="AQ1342" i="45"/>
  <c r="AA1342" i="45"/>
  <c r="AM1342" i="45"/>
  <c r="W1342" i="45"/>
  <c r="S1342" i="45"/>
  <c r="AI1342" i="45"/>
  <c r="H1342" i="45"/>
  <c r="J1342" i="45" s="1"/>
  <c r="AU1400" i="45"/>
  <c r="AQ1400" i="45"/>
  <c r="AM1400" i="45"/>
  <c r="AI1400" i="45"/>
  <c r="AE1400" i="45"/>
  <c r="AA1400" i="45"/>
  <c r="W1400" i="45"/>
  <c r="S1400" i="45"/>
  <c r="O1400" i="45"/>
  <c r="AT1400" i="45"/>
  <c r="AP1400" i="45"/>
  <c r="AL1400" i="45"/>
  <c r="AH1400" i="45"/>
  <c r="AD1400" i="45"/>
  <c r="Z1400" i="45"/>
  <c r="V1400" i="45"/>
  <c r="R1400" i="45"/>
  <c r="N1400" i="45"/>
  <c r="AS1400" i="45"/>
  <c r="AO1400" i="45"/>
  <c r="AK1400" i="45"/>
  <c r="AG1400" i="45"/>
  <c r="AC1400" i="45"/>
  <c r="Y1400" i="45"/>
  <c r="U1400" i="45"/>
  <c r="Q1400" i="45"/>
  <c r="M1400" i="45"/>
  <c r="AJ1400" i="45"/>
  <c r="T1400" i="45"/>
  <c r="AF1400" i="45"/>
  <c r="P1400" i="45"/>
  <c r="AR1400" i="45"/>
  <c r="AB1400" i="45"/>
  <c r="L1400" i="45"/>
  <c r="AN1400" i="45"/>
  <c r="X1400" i="45"/>
  <c r="H1400" i="45"/>
  <c r="J1400" i="45" s="1"/>
  <c r="AU1389" i="45"/>
  <c r="AQ1389" i="45"/>
  <c r="AM1389" i="45"/>
  <c r="AI1389" i="45"/>
  <c r="AE1389" i="45"/>
  <c r="AA1389" i="45"/>
  <c r="W1389" i="45"/>
  <c r="S1389" i="45"/>
  <c r="O1389" i="45"/>
  <c r="AT1389" i="45"/>
  <c r="AP1389" i="45"/>
  <c r="AL1389" i="45"/>
  <c r="AH1389" i="45"/>
  <c r="AD1389" i="45"/>
  <c r="Z1389" i="45"/>
  <c r="V1389" i="45"/>
  <c r="R1389" i="45"/>
  <c r="N1389" i="45"/>
  <c r="AS1389" i="45"/>
  <c r="AO1389" i="45"/>
  <c r="AK1389" i="45"/>
  <c r="AG1389" i="45"/>
  <c r="AC1389" i="45"/>
  <c r="Y1389" i="45"/>
  <c r="U1389" i="45"/>
  <c r="Q1389" i="45"/>
  <c r="M1389" i="45"/>
  <c r="AF1389" i="45"/>
  <c r="P1389" i="45"/>
  <c r="AR1389" i="45"/>
  <c r="AB1389" i="45"/>
  <c r="L1389" i="45"/>
  <c r="AN1389" i="45"/>
  <c r="X1389" i="45"/>
  <c r="AJ1389" i="45"/>
  <c r="T1389" i="45"/>
  <c r="H1389" i="45"/>
  <c r="J1389" i="45" s="1"/>
  <c r="AU1387" i="45"/>
  <c r="AQ1387" i="45"/>
  <c r="AM1387" i="45"/>
  <c r="AI1387" i="45"/>
  <c r="AE1387" i="45"/>
  <c r="AA1387" i="45"/>
  <c r="W1387" i="45"/>
  <c r="S1387" i="45"/>
  <c r="O1387" i="45"/>
  <c r="AT1387" i="45"/>
  <c r="AP1387" i="45"/>
  <c r="AL1387" i="45"/>
  <c r="AH1387" i="45"/>
  <c r="AD1387" i="45"/>
  <c r="Z1387" i="45"/>
  <c r="V1387" i="45"/>
  <c r="R1387" i="45"/>
  <c r="N1387" i="45"/>
  <c r="AS1387" i="45"/>
  <c r="AO1387" i="45"/>
  <c r="AK1387" i="45"/>
  <c r="AG1387" i="45"/>
  <c r="AC1387" i="45"/>
  <c r="Y1387" i="45"/>
  <c r="U1387" i="45"/>
  <c r="Q1387" i="45"/>
  <c r="M1387" i="45"/>
  <c r="AN1387" i="45"/>
  <c r="X1387" i="45"/>
  <c r="AJ1387" i="45"/>
  <c r="T1387" i="45"/>
  <c r="AF1387" i="45"/>
  <c r="P1387" i="45"/>
  <c r="AR1387" i="45"/>
  <c r="AB1387" i="45"/>
  <c r="L1387" i="45"/>
  <c r="H1387" i="45"/>
  <c r="J1387" i="45" s="1"/>
  <c r="AS1370" i="45"/>
  <c r="AO1370" i="45"/>
  <c r="AK1370" i="45"/>
  <c r="AG1370" i="45"/>
  <c r="AC1370" i="45"/>
  <c r="Y1370" i="45"/>
  <c r="U1370" i="45"/>
  <c r="Q1370" i="45"/>
  <c r="M1370" i="45"/>
  <c r="AR1370" i="45"/>
  <c r="AN1370" i="45"/>
  <c r="AJ1370" i="45"/>
  <c r="AF1370" i="45"/>
  <c r="AB1370" i="45"/>
  <c r="X1370" i="45"/>
  <c r="T1370" i="45"/>
  <c r="P1370" i="45"/>
  <c r="L1370" i="45"/>
  <c r="AU1370" i="45"/>
  <c r="AQ1370" i="45"/>
  <c r="AM1370" i="45"/>
  <c r="AI1370" i="45"/>
  <c r="AE1370" i="45"/>
  <c r="AA1370" i="45"/>
  <c r="W1370" i="45"/>
  <c r="S1370" i="45"/>
  <c r="O1370" i="45"/>
  <c r="AH1370" i="45"/>
  <c r="R1370" i="45"/>
  <c r="AT1370" i="45"/>
  <c r="AD1370" i="45"/>
  <c r="N1370" i="45"/>
  <c r="AP1370" i="45"/>
  <c r="Z1370" i="45"/>
  <c r="AL1370" i="45"/>
  <c r="V1370" i="45"/>
  <c r="H1370" i="45"/>
  <c r="J1370" i="45" s="1"/>
  <c r="AT1297" i="45"/>
  <c r="AP1297" i="45"/>
  <c r="AL1297" i="45"/>
  <c r="AH1297" i="45"/>
  <c r="AD1297" i="45"/>
  <c r="Z1297" i="45"/>
  <c r="V1297" i="45"/>
  <c r="R1297" i="45"/>
  <c r="N1297" i="45"/>
  <c r="AS1297" i="45"/>
  <c r="AO1297" i="45"/>
  <c r="AK1297" i="45"/>
  <c r="AG1297" i="45"/>
  <c r="AC1297" i="45"/>
  <c r="Y1297" i="45"/>
  <c r="U1297" i="45"/>
  <c r="Q1297" i="45"/>
  <c r="M1297" i="45"/>
  <c r="AR1297" i="45"/>
  <c r="AN1297" i="45"/>
  <c r="AJ1297" i="45"/>
  <c r="AF1297" i="45"/>
  <c r="AB1297" i="45"/>
  <c r="X1297" i="45"/>
  <c r="T1297" i="45"/>
  <c r="P1297" i="45"/>
  <c r="L1297" i="45"/>
  <c r="AQ1297" i="45"/>
  <c r="AA1297" i="45"/>
  <c r="AM1297" i="45"/>
  <c r="W1297" i="45"/>
  <c r="AI1297" i="45"/>
  <c r="S1297" i="45"/>
  <c r="O1297" i="45"/>
  <c r="AU1297" i="45"/>
  <c r="AE1297" i="45"/>
  <c r="B1402" i="45"/>
  <c r="H1297" i="45"/>
  <c r="J1297" i="45" s="1"/>
  <c r="AS1372" i="45"/>
  <c r="AO1372" i="45"/>
  <c r="AK1372" i="45"/>
  <c r="AG1372" i="45"/>
  <c r="AC1372" i="45"/>
  <c r="Y1372" i="45"/>
  <c r="U1372" i="45"/>
  <c r="Q1372" i="45"/>
  <c r="M1372" i="45"/>
  <c r="AR1372" i="45"/>
  <c r="AN1372" i="45"/>
  <c r="AJ1372" i="45"/>
  <c r="AF1372" i="45"/>
  <c r="AB1372" i="45"/>
  <c r="X1372" i="45"/>
  <c r="T1372" i="45"/>
  <c r="P1372" i="45"/>
  <c r="L1372" i="45"/>
  <c r="AU1372" i="45"/>
  <c r="AQ1372" i="45"/>
  <c r="AM1372" i="45"/>
  <c r="AI1372" i="45"/>
  <c r="AE1372" i="45"/>
  <c r="AA1372" i="45"/>
  <c r="W1372" i="45"/>
  <c r="S1372" i="45"/>
  <c r="O1372" i="45"/>
  <c r="AP1372" i="45"/>
  <c r="Z1372" i="45"/>
  <c r="AL1372" i="45"/>
  <c r="V1372" i="45"/>
  <c r="AH1372" i="45"/>
  <c r="R1372" i="45"/>
  <c r="AT1372" i="45"/>
  <c r="AD1372" i="45"/>
  <c r="N1372" i="45"/>
  <c r="H1372" i="45"/>
  <c r="J1372" i="45" s="1"/>
  <c r="AU1384" i="45"/>
  <c r="AQ1384" i="45"/>
  <c r="AM1384" i="45"/>
  <c r="AI1384" i="45"/>
  <c r="AE1384" i="45"/>
  <c r="AA1384" i="45"/>
  <c r="W1384" i="45"/>
  <c r="S1384" i="45"/>
  <c r="O1384" i="45"/>
  <c r="AT1384" i="45"/>
  <c r="AP1384" i="45"/>
  <c r="AL1384" i="45"/>
  <c r="AH1384" i="45"/>
  <c r="AD1384" i="45"/>
  <c r="Z1384" i="45"/>
  <c r="V1384" i="45"/>
  <c r="AS1384" i="45"/>
  <c r="AO1384" i="45"/>
  <c r="AK1384" i="45"/>
  <c r="AG1384" i="45"/>
  <c r="AC1384" i="45"/>
  <c r="Y1384" i="45"/>
  <c r="U1384" i="45"/>
  <c r="Q1384" i="45"/>
  <c r="M1384" i="45"/>
  <c r="AJ1384" i="45"/>
  <c r="T1384" i="45"/>
  <c r="L1384" i="45"/>
  <c r="AF1384" i="45"/>
  <c r="R1384" i="45"/>
  <c r="AR1384" i="45"/>
  <c r="AB1384" i="45"/>
  <c r="P1384" i="45"/>
  <c r="AN1384" i="45"/>
  <c r="X1384" i="45"/>
  <c r="N1384" i="45"/>
  <c r="H1384" i="45"/>
  <c r="J1384" i="45" s="1"/>
  <c r="H1341" i="45"/>
  <c r="AS1356" i="45"/>
  <c r="AO1356" i="45"/>
  <c r="AK1356" i="45"/>
  <c r="AG1356" i="45"/>
  <c r="AC1356" i="45"/>
  <c r="Y1356" i="45"/>
  <c r="U1356" i="45"/>
  <c r="Q1356" i="45"/>
  <c r="M1356" i="45"/>
  <c r="AR1356" i="45"/>
  <c r="AN1356" i="45"/>
  <c r="AJ1356" i="45"/>
  <c r="AF1356" i="45"/>
  <c r="AB1356" i="45"/>
  <c r="X1356" i="45"/>
  <c r="T1356" i="45"/>
  <c r="P1356" i="45"/>
  <c r="L1356" i="45"/>
  <c r="AU1356" i="45"/>
  <c r="AQ1356" i="45"/>
  <c r="AM1356" i="45"/>
  <c r="AI1356" i="45"/>
  <c r="AE1356" i="45"/>
  <c r="AA1356" i="45"/>
  <c r="W1356" i="45"/>
  <c r="S1356" i="45"/>
  <c r="O1356" i="45"/>
  <c r="AP1356" i="45"/>
  <c r="Z1356" i="45"/>
  <c r="AL1356" i="45"/>
  <c r="V1356" i="45"/>
  <c r="AH1356" i="45"/>
  <c r="R1356" i="45"/>
  <c r="AT1356" i="45"/>
  <c r="AD1356" i="45"/>
  <c r="N1356" i="45"/>
  <c r="H1356" i="45"/>
  <c r="J1356" i="45" s="1"/>
  <c r="AT1344" i="45"/>
  <c r="AP1344" i="45"/>
  <c r="AL1344" i="45"/>
  <c r="AH1344" i="45"/>
  <c r="AD1344" i="45"/>
  <c r="Z1344" i="45"/>
  <c r="V1344" i="45"/>
  <c r="R1344" i="45"/>
  <c r="N1344" i="45"/>
  <c r="AS1344" i="45"/>
  <c r="AO1344" i="45"/>
  <c r="AK1344" i="45"/>
  <c r="AG1344" i="45"/>
  <c r="AC1344" i="45"/>
  <c r="Y1344" i="45"/>
  <c r="U1344" i="45"/>
  <c r="Q1344" i="45"/>
  <c r="M1344" i="45"/>
  <c r="AR1344" i="45"/>
  <c r="AN1344" i="45"/>
  <c r="AJ1344" i="45"/>
  <c r="AF1344" i="45"/>
  <c r="AB1344" i="45"/>
  <c r="X1344" i="45"/>
  <c r="T1344" i="45"/>
  <c r="P1344" i="45"/>
  <c r="L1344" i="45"/>
  <c r="AM1344" i="45"/>
  <c r="W1344" i="45"/>
  <c r="AI1344" i="45"/>
  <c r="S1344" i="45"/>
  <c r="AU1344" i="45"/>
  <c r="AE1344" i="45"/>
  <c r="O1344" i="45"/>
  <c r="AQ1344" i="45"/>
  <c r="AA1344" i="45"/>
  <c r="H1344" i="45"/>
  <c r="J1344" i="45" s="1"/>
  <c r="AR1425" i="45"/>
  <c r="AN1425" i="45"/>
  <c r="AJ1425" i="45"/>
  <c r="AF1425" i="45"/>
  <c r="AB1425" i="45"/>
  <c r="X1425" i="45"/>
  <c r="T1425" i="45"/>
  <c r="P1425" i="45"/>
  <c r="L1425" i="45"/>
  <c r="AU1425" i="45"/>
  <c r="AQ1425" i="45"/>
  <c r="AM1425" i="45"/>
  <c r="AI1425" i="45"/>
  <c r="AE1425" i="45"/>
  <c r="AA1425" i="45"/>
  <c r="W1425" i="45"/>
  <c r="S1425" i="45"/>
  <c r="O1425" i="45"/>
  <c r="AP1425" i="45"/>
  <c r="AH1425" i="45"/>
  <c r="Z1425" i="45"/>
  <c r="R1425" i="45"/>
  <c r="AO1425" i="45"/>
  <c r="AG1425" i="45"/>
  <c r="Y1425" i="45"/>
  <c r="Q1425" i="45"/>
  <c r="AT1425" i="45"/>
  <c r="AL1425" i="45"/>
  <c r="AD1425" i="45"/>
  <c r="V1425" i="45"/>
  <c r="N1425" i="45"/>
  <c r="AS1425" i="45"/>
  <c r="M1425" i="45"/>
  <c r="AK1425" i="45"/>
  <c r="AC1425" i="45"/>
  <c r="U1425" i="45"/>
  <c r="H1425" i="45"/>
  <c r="J1425" i="45" s="1"/>
  <c r="AS1361" i="45"/>
  <c r="AO1361" i="45"/>
  <c r="AK1361" i="45"/>
  <c r="AG1361" i="45"/>
  <c r="AC1361" i="45"/>
  <c r="Y1361" i="45"/>
  <c r="U1361" i="45"/>
  <c r="Q1361" i="45"/>
  <c r="M1361" i="45"/>
  <c r="AR1361" i="45"/>
  <c r="AN1361" i="45"/>
  <c r="AJ1361" i="45"/>
  <c r="AF1361" i="45"/>
  <c r="AB1361" i="45"/>
  <c r="X1361" i="45"/>
  <c r="T1361" i="45"/>
  <c r="P1361" i="45"/>
  <c r="L1361" i="45"/>
  <c r="AU1361" i="45"/>
  <c r="AQ1361" i="45"/>
  <c r="AM1361" i="45"/>
  <c r="AI1361" i="45"/>
  <c r="AE1361" i="45"/>
  <c r="AA1361" i="45"/>
  <c r="W1361" i="45"/>
  <c r="S1361" i="45"/>
  <c r="O1361" i="45"/>
  <c r="AL1361" i="45"/>
  <c r="V1361" i="45"/>
  <c r="AH1361" i="45"/>
  <c r="R1361" i="45"/>
  <c r="AT1361" i="45"/>
  <c r="AD1361" i="45"/>
  <c r="N1361" i="45"/>
  <c r="AP1361" i="45"/>
  <c r="Z1361" i="45"/>
  <c r="H1361" i="45"/>
  <c r="J1361" i="45" s="1"/>
  <c r="AR1412" i="45"/>
  <c r="AN1412" i="45"/>
  <c r="AJ1412" i="45"/>
  <c r="AF1412" i="45"/>
  <c r="AB1412" i="45"/>
  <c r="X1412" i="45"/>
  <c r="T1412" i="45"/>
  <c r="P1412" i="45"/>
  <c r="L1412" i="45"/>
  <c r="AU1412" i="45"/>
  <c r="AQ1412" i="45"/>
  <c r="AM1412" i="45"/>
  <c r="AI1412" i="45"/>
  <c r="AE1412" i="45"/>
  <c r="AA1412" i="45"/>
  <c r="W1412" i="45"/>
  <c r="S1412" i="45"/>
  <c r="O1412" i="45"/>
  <c r="AT1412" i="45"/>
  <c r="AL1412" i="45"/>
  <c r="AD1412" i="45"/>
  <c r="V1412" i="45"/>
  <c r="N1412" i="45"/>
  <c r="AS1412" i="45"/>
  <c r="AK1412" i="45"/>
  <c r="AC1412" i="45"/>
  <c r="U1412" i="45"/>
  <c r="M1412" i="45"/>
  <c r="AP1412" i="45"/>
  <c r="AH1412" i="45"/>
  <c r="Z1412" i="45"/>
  <c r="R1412" i="45"/>
  <c r="AG1412" i="45"/>
  <c r="Y1412" i="45"/>
  <c r="Q1412" i="45"/>
  <c r="AO1412" i="45"/>
  <c r="H1412" i="45"/>
  <c r="J1412" i="45" s="1"/>
  <c r="AS1353" i="45"/>
  <c r="AO1353" i="45"/>
  <c r="AK1353" i="45"/>
  <c r="AG1353" i="45"/>
  <c r="AC1353" i="45"/>
  <c r="Y1353" i="45"/>
  <c r="U1353" i="45"/>
  <c r="Q1353" i="45"/>
  <c r="M1353" i="45"/>
  <c r="AR1353" i="45"/>
  <c r="AU1353" i="45"/>
  <c r="AQ1353" i="45"/>
  <c r="AM1353" i="45"/>
  <c r="AI1353" i="45"/>
  <c r="AE1353" i="45"/>
  <c r="AA1353" i="45"/>
  <c r="W1353" i="45"/>
  <c r="S1353" i="45"/>
  <c r="O1353" i="45"/>
  <c r="AN1353" i="45"/>
  <c r="AF1353" i="45"/>
  <c r="X1353" i="45"/>
  <c r="P1353" i="45"/>
  <c r="AL1353" i="45"/>
  <c r="AD1353" i="45"/>
  <c r="V1353" i="45"/>
  <c r="N1353" i="45"/>
  <c r="AT1353" i="45"/>
  <c r="AJ1353" i="45"/>
  <c r="AB1353" i="45"/>
  <c r="T1353" i="45"/>
  <c r="L1353" i="45"/>
  <c r="AH1353" i="45"/>
  <c r="Z1353" i="45"/>
  <c r="R1353" i="45"/>
  <c r="AP1353" i="45"/>
  <c r="H1353" i="45"/>
  <c r="J1353" i="45" s="1"/>
  <c r="AR1418" i="45"/>
  <c r="AN1418" i="45"/>
  <c r="AJ1418" i="45"/>
  <c r="AF1418" i="45"/>
  <c r="AB1418" i="45"/>
  <c r="X1418" i="45"/>
  <c r="T1418" i="45"/>
  <c r="P1418" i="45"/>
  <c r="L1418" i="45"/>
  <c r="AU1418" i="45"/>
  <c r="AQ1418" i="45"/>
  <c r="AM1418" i="45"/>
  <c r="AI1418" i="45"/>
  <c r="AE1418" i="45"/>
  <c r="AA1418" i="45"/>
  <c r="W1418" i="45"/>
  <c r="S1418" i="45"/>
  <c r="O1418" i="45"/>
  <c r="AT1418" i="45"/>
  <c r="AL1418" i="45"/>
  <c r="AD1418" i="45"/>
  <c r="V1418" i="45"/>
  <c r="N1418" i="45"/>
  <c r="AS1418" i="45"/>
  <c r="AK1418" i="45"/>
  <c r="AC1418" i="45"/>
  <c r="U1418" i="45"/>
  <c r="M1418" i="45"/>
  <c r="AP1418" i="45"/>
  <c r="AH1418" i="45"/>
  <c r="Z1418" i="45"/>
  <c r="R1418" i="45"/>
  <c r="AO1418" i="45"/>
  <c r="AG1418" i="45"/>
  <c r="Y1418" i="45"/>
  <c r="Q1418" i="45"/>
  <c r="H1418" i="45"/>
  <c r="J1418" i="45" s="1"/>
  <c r="AS1374" i="45"/>
  <c r="AO1374" i="45"/>
  <c r="AK1374" i="45"/>
  <c r="AG1374" i="45"/>
  <c r="AC1374" i="45"/>
  <c r="Y1374" i="45"/>
  <c r="U1374" i="45"/>
  <c r="Q1374" i="45"/>
  <c r="M1374" i="45"/>
  <c r="AR1374" i="45"/>
  <c r="AN1374" i="45"/>
  <c r="AJ1374" i="45"/>
  <c r="AF1374" i="45"/>
  <c r="AB1374" i="45"/>
  <c r="X1374" i="45"/>
  <c r="T1374" i="45"/>
  <c r="P1374" i="45"/>
  <c r="L1374" i="45"/>
  <c r="AU1374" i="45"/>
  <c r="AQ1374" i="45"/>
  <c r="AM1374" i="45"/>
  <c r="AI1374" i="45"/>
  <c r="AE1374" i="45"/>
  <c r="AA1374" i="45"/>
  <c r="W1374" i="45"/>
  <c r="S1374" i="45"/>
  <c r="O1374" i="45"/>
  <c r="AH1374" i="45"/>
  <c r="R1374" i="45"/>
  <c r="AT1374" i="45"/>
  <c r="AD1374" i="45"/>
  <c r="N1374" i="45"/>
  <c r="AP1374" i="45"/>
  <c r="Z1374" i="45"/>
  <c r="AL1374" i="45"/>
  <c r="V1374" i="45"/>
  <c r="H1374" i="45"/>
  <c r="J1374" i="45" s="1"/>
  <c r="AR1421" i="45"/>
  <c r="AN1421" i="45"/>
  <c r="AJ1421" i="45"/>
  <c r="AF1421" i="45"/>
  <c r="AB1421" i="45"/>
  <c r="X1421" i="45"/>
  <c r="T1421" i="45"/>
  <c r="P1421" i="45"/>
  <c r="L1421" i="45"/>
  <c r="AU1421" i="45"/>
  <c r="AQ1421" i="45"/>
  <c r="AM1421" i="45"/>
  <c r="AI1421" i="45"/>
  <c r="AE1421" i="45"/>
  <c r="AA1421" i="45"/>
  <c r="W1421" i="45"/>
  <c r="S1421" i="45"/>
  <c r="O1421" i="45"/>
  <c r="AP1421" i="45"/>
  <c r="AH1421" i="45"/>
  <c r="Z1421" i="45"/>
  <c r="R1421" i="45"/>
  <c r="AO1421" i="45"/>
  <c r="AG1421" i="45"/>
  <c r="Y1421" i="45"/>
  <c r="Q1421" i="45"/>
  <c r="AT1421" i="45"/>
  <c r="AL1421" i="45"/>
  <c r="AD1421" i="45"/>
  <c r="V1421" i="45"/>
  <c r="N1421" i="45"/>
  <c r="AC1421" i="45"/>
  <c r="U1421" i="45"/>
  <c r="AS1421" i="45"/>
  <c r="M1421" i="45"/>
  <c r="AK1421" i="45"/>
  <c r="H1421" i="45"/>
  <c r="J1421" i="45" s="1"/>
  <c r="AS1376" i="45"/>
  <c r="AO1376" i="45"/>
  <c r="AK1376" i="45"/>
  <c r="AG1376" i="45"/>
  <c r="AC1376" i="45"/>
  <c r="Y1376" i="45"/>
  <c r="U1376" i="45"/>
  <c r="Q1376" i="45"/>
  <c r="M1376" i="45"/>
  <c r="AR1376" i="45"/>
  <c r="AN1376" i="45"/>
  <c r="AJ1376" i="45"/>
  <c r="AF1376" i="45"/>
  <c r="AB1376" i="45"/>
  <c r="X1376" i="45"/>
  <c r="T1376" i="45"/>
  <c r="P1376" i="45"/>
  <c r="L1376" i="45"/>
  <c r="AU1376" i="45"/>
  <c r="AQ1376" i="45"/>
  <c r="AM1376" i="45"/>
  <c r="AI1376" i="45"/>
  <c r="AE1376" i="45"/>
  <c r="AA1376" i="45"/>
  <c r="W1376" i="45"/>
  <c r="S1376" i="45"/>
  <c r="O1376" i="45"/>
  <c r="AP1376" i="45"/>
  <c r="Z1376" i="45"/>
  <c r="AL1376" i="45"/>
  <c r="V1376" i="45"/>
  <c r="AH1376" i="45"/>
  <c r="R1376" i="45"/>
  <c r="AD1376" i="45"/>
  <c r="N1376" i="45"/>
  <c r="AT1376" i="45"/>
  <c r="H1376" i="45"/>
  <c r="J1376" i="45" s="1"/>
  <c r="AS1367" i="45"/>
  <c r="AO1367" i="45"/>
  <c r="AK1367" i="45"/>
  <c r="AG1367" i="45"/>
  <c r="AC1367" i="45"/>
  <c r="Y1367" i="45"/>
  <c r="U1367" i="45"/>
  <c r="Q1367" i="45"/>
  <c r="M1367" i="45"/>
  <c r="AR1367" i="45"/>
  <c r="AN1367" i="45"/>
  <c r="AJ1367" i="45"/>
  <c r="AF1367" i="45"/>
  <c r="AB1367" i="45"/>
  <c r="X1367" i="45"/>
  <c r="T1367" i="45"/>
  <c r="P1367" i="45"/>
  <c r="L1367" i="45"/>
  <c r="AU1367" i="45"/>
  <c r="AQ1367" i="45"/>
  <c r="AM1367" i="45"/>
  <c r="AI1367" i="45"/>
  <c r="AE1367" i="45"/>
  <c r="AA1367" i="45"/>
  <c r="W1367" i="45"/>
  <c r="S1367" i="45"/>
  <c r="O1367" i="45"/>
  <c r="AT1367" i="45"/>
  <c r="AD1367" i="45"/>
  <c r="N1367" i="45"/>
  <c r="AP1367" i="45"/>
  <c r="Z1367" i="45"/>
  <c r="AL1367" i="45"/>
  <c r="V1367" i="45"/>
  <c r="AH1367" i="45"/>
  <c r="R1367" i="45"/>
  <c r="H1367" i="45"/>
  <c r="J1367" i="45" s="1"/>
  <c r="AR1423" i="45"/>
  <c r="AN1423" i="45"/>
  <c r="AJ1423" i="45"/>
  <c r="AF1423" i="45"/>
  <c r="AB1423" i="45"/>
  <c r="X1423" i="45"/>
  <c r="T1423" i="45"/>
  <c r="P1423" i="45"/>
  <c r="L1423" i="45"/>
  <c r="AU1423" i="45"/>
  <c r="AQ1423" i="45"/>
  <c r="AM1423" i="45"/>
  <c r="AI1423" i="45"/>
  <c r="AE1423" i="45"/>
  <c r="AA1423" i="45"/>
  <c r="W1423" i="45"/>
  <c r="S1423" i="45"/>
  <c r="O1423" i="45"/>
  <c r="AP1423" i="45"/>
  <c r="AH1423" i="45"/>
  <c r="Z1423" i="45"/>
  <c r="R1423" i="45"/>
  <c r="AO1423" i="45"/>
  <c r="AG1423" i="45"/>
  <c r="Y1423" i="45"/>
  <c r="Q1423" i="45"/>
  <c r="AT1423" i="45"/>
  <c r="AL1423" i="45"/>
  <c r="AD1423" i="45"/>
  <c r="V1423" i="45"/>
  <c r="N1423" i="45"/>
  <c r="U1423" i="45"/>
  <c r="AS1423" i="45"/>
  <c r="M1423" i="45"/>
  <c r="AK1423" i="45"/>
  <c r="AC1423" i="45"/>
  <c r="H1423" i="45"/>
  <c r="J1423" i="45" s="1"/>
  <c r="AU1386" i="45"/>
  <c r="AQ1386" i="45"/>
  <c r="AM1386" i="45"/>
  <c r="AI1386" i="45"/>
  <c r="AE1386" i="45"/>
  <c r="AA1386" i="45"/>
  <c r="W1386" i="45"/>
  <c r="S1386" i="45"/>
  <c r="O1386" i="45"/>
  <c r="AT1386" i="45"/>
  <c r="AP1386" i="45"/>
  <c r="AL1386" i="45"/>
  <c r="AH1386" i="45"/>
  <c r="AD1386" i="45"/>
  <c r="Z1386" i="45"/>
  <c r="V1386" i="45"/>
  <c r="R1386" i="45"/>
  <c r="N1386" i="45"/>
  <c r="AS1386" i="45"/>
  <c r="AO1386" i="45"/>
  <c r="AK1386" i="45"/>
  <c r="AG1386" i="45"/>
  <c r="AC1386" i="45"/>
  <c r="Y1386" i="45"/>
  <c r="U1386" i="45"/>
  <c r="Q1386" i="45"/>
  <c r="M1386" i="45"/>
  <c r="AR1386" i="45"/>
  <c r="AB1386" i="45"/>
  <c r="L1386" i="45"/>
  <c r="AN1386" i="45"/>
  <c r="X1386" i="45"/>
  <c r="AJ1386" i="45"/>
  <c r="T1386" i="45"/>
  <c r="AF1386" i="45"/>
  <c r="P1386" i="45"/>
  <c r="H1386" i="45"/>
  <c r="J1386" i="45" s="1"/>
  <c r="AR1415" i="45"/>
  <c r="AN1415" i="45"/>
  <c r="AJ1415" i="45"/>
  <c r="AF1415" i="45"/>
  <c r="AB1415" i="45"/>
  <c r="X1415" i="45"/>
  <c r="T1415" i="45"/>
  <c r="P1415" i="45"/>
  <c r="L1415" i="45"/>
  <c r="AU1415" i="45"/>
  <c r="AQ1415" i="45"/>
  <c r="AM1415" i="45"/>
  <c r="AI1415" i="45"/>
  <c r="AE1415" i="45"/>
  <c r="AA1415" i="45"/>
  <c r="W1415" i="45"/>
  <c r="S1415" i="45"/>
  <c r="O1415" i="45"/>
  <c r="AP1415" i="45"/>
  <c r="AH1415" i="45"/>
  <c r="Z1415" i="45"/>
  <c r="R1415" i="45"/>
  <c r="AO1415" i="45"/>
  <c r="AG1415" i="45"/>
  <c r="Y1415" i="45"/>
  <c r="Q1415" i="45"/>
  <c r="AT1415" i="45"/>
  <c r="AL1415" i="45"/>
  <c r="AD1415" i="45"/>
  <c r="V1415" i="45"/>
  <c r="N1415" i="45"/>
  <c r="U1415" i="45"/>
  <c r="AS1415" i="45"/>
  <c r="M1415" i="45"/>
  <c r="AK1415" i="45"/>
  <c r="AC1415" i="45"/>
  <c r="H1415" i="45"/>
  <c r="J1415" i="45" s="1"/>
  <c r="AT1349" i="45"/>
  <c r="AP1349" i="45"/>
  <c r="AL1349" i="45"/>
  <c r="AH1349" i="45"/>
  <c r="AD1349" i="45"/>
  <c r="Z1349" i="45"/>
  <c r="V1349" i="45"/>
  <c r="R1349" i="45"/>
  <c r="N1349" i="45"/>
  <c r="AS1349" i="45"/>
  <c r="AO1349" i="45"/>
  <c r="AK1349" i="45"/>
  <c r="AG1349" i="45"/>
  <c r="AC1349" i="45"/>
  <c r="Y1349" i="45"/>
  <c r="U1349" i="45"/>
  <c r="Q1349" i="45"/>
  <c r="M1349" i="45"/>
  <c r="AR1349" i="45"/>
  <c r="AN1349" i="45"/>
  <c r="AJ1349" i="45"/>
  <c r="AF1349" i="45"/>
  <c r="AB1349" i="45"/>
  <c r="X1349" i="45"/>
  <c r="T1349" i="45"/>
  <c r="P1349" i="45"/>
  <c r="L1349" i="45"/>
  <c r="AI1349" i="45"/>
  <c r="S1349" i="45"/>
  <c r="AU1349" i="45"/>
  <c r="AE1349" i="45"/>
  <c r="O1349" i="45"/>
  <c r="AQ1349" i="45"/>
  <c r="AA1349" i="45"/>
  <c r="W1349" i="45"/>
  <c r="AM1349" i="45"/>
  <c r="H1349" i="45"/>
  <c r="J1349" i="45" s="1"/>
  <c r="AU1383" i="45"/>
  <c r="AQ1383" i="45"/>
  <c r="AM1383" i="45"/>
  <c r="AI1383" i="45"/>
  <c r="AE1383" i="45"/>
  <c r="AA1383" i="45"/>
  <c r="W1383" i="45"/>
  <c r="S1383" i="45"/>
  <c r="O1383" i="45"/>
  <c r="AS1383" i="45"/>
  <c r="AO1383" i="45"/>
  <c r="AK1383" i="45"/>
  <c r="AG1383" i="45"/>
  <c r="AC1383" i="45"/>
  <c r="Y1383" i="45"/>
  <c r="U1383" i="45"/>
  <c r="Q1383" i="45"/>
  <c r="M1383" i="45"/>
  <c r="AN1383" i="45"/>
  <c r="AF1383" i="45"/>
  <c r="X1383" i="45"/>
  <c r="P1383" i="45"/>
  <c r="AT1383" i="45"/>
  <c r="AL1383" i="45"/>
  <c r="AD1383" i="45"/>
  <c r="V1383" i="45"/>
  <c r="N1383" i="45"/>
  <c r="AR1383" i="45"/>
  <c r="AJ1383" i="45"/>
  <c r="AB1383" i="45"/>
  <c r="T1383" i="45"/>
  <c r="L1383" i="45"/>
  <c r="AH1383" i="45"/>
  <c r="Z1383" i="45"/>
  <c r="R1383" i="45"/>
  <c r="AP1383" i="45"/>
  <c r="H1383" i="45"/>
  <c r="J1383" i="45" s="1"/>
  <c r="AR1422" i="45"/>
  <c r="AN1422" i="45"/>
  <c r="AJ1422" i="45"/>
  <c r="AF1422" i="45"/>
  <c r="AB1422" i="45"/>
  <c r="X1422" i="45"/>
  <c r="T1422" i="45"/>
  <c r="P1422" i="45"/>
  <c r="L1422" i="45"/>
  <c r="AU1422" i="45"/>
  <c r="AQ1422" i="45"/>
  <c r="AM1422" i="45"/>
  <c r="AI1422" i="45"/>
  <c r="AE1422" i="45"/>
  <c r="AA1422" i="45"/>
  <c r="W1422" i="45"/>
  <c r="S1422" i="45"/>
  <c r="O1422" i="45"/>
  <c r="AT1422" i="45"/>
  <c r="AL1422" i="45"/>
  <c r="AD1422" i="45"/>
  <c r="V1422" i="45"/>
  <c r="N1422" i="45"/>
  <c r="AS1422" i="45"/>
  <c r="AK1422" i="45"/>
  <c r="AC1422" i="45"/>
  <c r="U1422" i="45"/>
  <c r="M1422" i="45"/>
  <c r="AP1422" i="45"/>
  <c r="AH1422" i="45"/>
  <c r="Z1422" i="45"/>
  <c r="R1422" i="45"/>
  <c r="Y1422" i="45"/>
  <c r="Q1422" i="45"/>
  <c r="AO1422" i="45"/>
  <c r="AG1422" i="45"/>
  <c r="H1422" i="45"/>
  <c r="J1422" i="45" s="1"/>
  <c r="AR1408" i="45"/>
  <c r="AN1408" i="45"/>
  <c r="AJ1408" i="45"/>
  <c r="AF1408" i="45"/>
  <c r="AB1408" i="45"/>
  <c r="X1408" i="45"/>
  <c r="T1408" i="45"/>
  <c r="P1408" i="45"/>
  <c r="L1408" i="45"/>
  <c r="AU1408" i="45"/>
  <c r="AQ1408" i="45"/>
  <c r="AM1408" i="45"/>
  <c r="AI1408" i="45"/>
  <c r="AE1408" i="45"/>
  <c r="AA1408" i="45"/>
  <c r="W1408" i="45"/>
  <c r="S1408" i="45"/>
  <c r="O1408" i="45"/>
  <c r="AT1408" i="45"/>
  <c r="AL1408" i="45"/>
  <c r="AD1408" i="45"/>
  <c r="V1408" i="45"/>
  <c r="N1408" i="45"/>
  <c r="AS1408" i="45"/>
  <c r="AK1408" i="45"/>
  <c r="AC1408" i="45"/>
  <c r="U1408" i="45"/>
  <c r="M1408" i="45"/>
  <c r="AP1408" i="45"/>
  <c r="AH1408" i="45"/>
  <c r="Z1408" i="45"/>
  <c r="R1408" i="45"/>
  <c r="Q1408" i="45"/>
  <c r="AO1408" i="45"/>
  <c r="AG1408" i="45"/>
  <c r="Y1408" i="45"/>
  <c r="H1408" i="45"/>
  <c r="J1408" i="45" s="1"/>
  <c r="AR1405" i="45"/>
  <c r="AN1405" i="45"/>
  <c r="AJ1405" i="45"/>
  <c r="AF1405" i="45"/>
  <c r="AB1405" i="45"/>
  <c r="X1405" i="45"/>
  <c r="T1405" i="45"/>
  <c r="P1405" i="45"/>
  <c r="L1405" i="45"/>
  <c r="AU1405" i="45"/>
  <c r="AQ1405" i="45"/>
  <c r="AM1405" i="45"/>
  <c r="AI1405" i="45"/>
  <c r="AE1405" i="45"/>
  <c r="AA1405" i="45"/>
  <c r="W1405" i="45"/>
  <c r="S1405" i="45"/>
  <c r="O1405" i="45"/>
  <c r="AP1405" i="45"/>
  <c r="AH1405" i="45"/>
  <c r="Z1405" i="45"/>
  <c r="R1405" i="45"/>
  <c r="AO1405" i="45"/>
  <c r="AG1405" i="45"/>
  <c r="Y1405" i="45"/>
  <c r="Q1405" i="45"/>
  <c r="AT1405" i="45"/>
  <c r="AL1405" i="45"/>
  <c r="AD1405" i="45"/>
  <c r="V1405" i="45"/>
  <c r="N1405" i="45"/>
  <c r="AC1405" i="45"/>
  <c r="U1405" i="45"/>
  <c r="AS1405" i="45"/>
  <c r="M1405" i="45"/>
  <c r="AK1405" i="45"/>
  <c r="H1405" i="45"/>
  <c r="J1405" i="45" s="1"/>
  <c r="AR1406" i="45"/>
  <c r="AN1406" i="45"/>
  <c r="AJ1406" i="45"/>
  <c r="AF1406" i="45"/>
  <c r="AB1406" i="45"/>
  <c r="X1406" i="45"/>
  <c r="T1406" i="45"/>
  <c r="P1406" i="45"/>
  <c r="L1406" i="45"/>
  <c r="AU1406" i="45"/>
  <c r="AQ1406" i="45"/>
  <c r="AM1406" i="45"/>
  <c r="AI1406" i="45"/>
  <c r="AE1406" i="45"/>
  <c r="AA1406" i="45"/>
  <c r="W1406" i="45"/>
  <c r="S1406" i="45"/>
  <c r="O1406" i="45"/>
  <c r="AT1406" i="45"/>
  <c r="AL1406" i="45"/>
  <c r="AD1406" i="45"/>
  <c r="V1406" i="45"/>
  <c r="N1406" i="45"/>
  <c r="AS1406" i="45"/>
  <c r="AK1406" i="45"/>
  <c r="AC1406" i="45"/>
  <c r="U1406" i="45"/>
  <c r="M1406" i="45"/>
  <c r="AP1406" i="45"/>
  <c r="AH1406" i="45"/>
  <c r="Z1406" i="45"/>
  <c r="R1406" i="45"/>
  <c r="Y1406" i="45"/>
  <c r="Q1406" i="45"/>
  <c r="AO1406" i="45"/>
  <c r="AG1406" i="45"/>
  <c r="H1406" i="45"/>
  <c r="J1406" i="45" s="1"/>
  <c r="AT1351" i="45"/>
  <c r="AP1351" i="45"/>
  <c r="AL1351" i="45"/>
  <c r="AH1351" i="45"/>
  <c r="AD1351" i="45"/>
  <c r="Z1351" i="45"/>
  <c r="V1351" i="45"/>
  <c r="R1351" i="45"/>
  <c r="N1351" i="45"/>
  <c r="AS1351" i="45"/>
  <c r="AO1351" i="45"/>
  <c r="AK1351" i="45"/>
  <c r="AG1351" i="45"/>
  <c r="AC1351" i="45"/>
  <c r="Y1351" i="45"/>
  <c r="U1351" i="45"/>
  <c r="Q1351" i="45"/>
  <c r="M1351" i="45"/>
  <c r="AR1351" i="45"/>
  <c r="AN1351" i="45"/>
  <c r="AJ1351" i="45"/>
  <c r="AF1351" i="45"/>
  <c r="AB1351" i="45"/>
  <c r="X1351" i="45"/>
  <c r="T1351" i="45"/>
  <c r="P1351" i="45"/>
  <c r="L1351" i="45"/>
  <c r="AQ1351" i="45"/>
  <c r="AA1351" i="45"/>
  <c r="AM1351" i="45"/>
  <c r="W1351" i="45"/>
  <c r="AI1351" i="45"/>
  <c r="S1351" i="45"/>
  <c r="O1351" i="45"/>
  <c r="AU1351" i="45"/>
  <c r="AE1351" i="45"/>
  <c r="H1351" i="45"/>
  <c r="J1351" i="45" s="1"/>
  <c r="AS1380" i="45"/>
  <c r="AO1380" i="45"/>
  <c r="AK1380" i="45"/>
  <c r="AG1380" i="45"/>
  <c r="AC1380" i="45"/>
  <c r="Y1380" i="45"/>
  <c r="U1380" i="45"/>
  <c r="Q1380" i="45"/>
  <c r="M1380" i="45"/>
  <c r="AR1380" i="45"/>
  <c r="AN1380" i="45"/>
  <c r="AJ1380" i="45"/>
  <c r="AF1380" i="45"/>
  <c r="AB1380" i="45"/>
  <c r="X1380" i="45"/>
  <c r="T1380" i="45"/>
  <c r="P1380" i="45"/>
  <c r="L1380" i="45"/>
  <c r="AU1380" i="45"/>
  <c r="AQ1380" i="45"/>
  <c r="AM1380" i="45"/>
  <c r="AI1380" i="45"/>
  <c r="AE1380" i="45"/>
  <c r="AA1380" i="45"/>
  <c r="W1380" i="45"/>
  <c r="S1380" i="45"/>
  <c r="O1380" i="45"/>
  <c r="AP1380" i="45"/>
  <c r="Z1380" i="45"/>
  <c r="AL1380" i="45"/>
  <c r="V1380" i="45"/>
  <c r="AH1380" i="45"/>
  <c r="R1380" i="45"/>
  <c r="N1380" i="45"/>
  <c r="AT1380" i="45"/>
  <c r="AD1380" i="45"/>
  <c r="H1380" i="45"/>
  <c r="J1380" i="45" s="1"/>
  <c r="AS1362" i="45"/>
  <c r="AO1362" i="45"/>
  <c r="AK1362" i="45"/>
  <c r="AG1362" i="45"/>
  <c r="AC1362" i="45"/>
  <c r="Y1362" i="45"/>
  <c r="U1362" i="45"/>
  <c r="Q1362" i="45"/>
  <c r="M1362" i="45"/>
  <c r="AR1362" i="45"/>
  <c r="AN1362" i="45"/>
  <c r="AJ1362" i="45"/>
  <c r="AF1362" i="45"/>
  <c r="AB1362" i="45"/>
  <c r="X1362" i="45"/>
  <c r="T1362" i="45"/>
  <c r="P1362" i="45"/>
  <c r="L1362" i="45"/>
  <c r="AU1362" i="45"/>
  <c r="AQ1362" i="45"/>
  <c r="AM1362" i="45"/>
  <c r="AI1362" i="45"/>
  <c r="AE1362" i="45"/>
  <c r="AA1362" i="45"/>
  <c r="W1362" i="45"/>
  <c r="S1362" i="45"/>
  <c r="O1362" i="45"/>
  <c r="AH1362" i="45"/>
  <c r="R1362" i="45"/>
  <c r="AT1362" i="45"/>
  <c r="AD1362" i="45"/>
  <c r="N1362" i="45"/>
  <c r="AP1362" i="45"/>
  <c r="Z1362" i="45"/>
  <c r="V1362" i="45"/>
  <c r="AL1362" i="45"/>
  <c r="H1362" i="45"/>
  <c r="J1362" i="45" s="1"/>
  <c r="AR1404" i="45"/>
  <c r="AN1404" i="45"/>
  <c r="AJ1404" i="45"/>
  <c r="AF1404" i="45"/>
  <c r="AB1404" i="45"/>
  <c r="X1404" i="45"/>
  <c r="T1404" i="45"/>
  <c r="P1404" i="45"/>
  <c r="L1404" i="45"/>
  <c r="AU1404" i="45"/>
  <c r="AQ1404" i="45"/>
  <c r="AM1404" i="45"/>
  <c r="AI1404" i="45"/>
  <c r="AE1404" i="45"/>
  <c r="AA1404" i="45"/>
  <c r="W1404" i="45"/>
  <c r="S1404" i="45"/>
  <c r="O1404" i="45"/>
  <c r="AT1404" i="45"/>
  <c r="AL1404" i="45"/>
  <c r="AD1404" i="45"/>
  <c r="V1404" i="45"/>
  <c r="N1404" i="45"/>
  <c r="AS1404" i="45"/>
  <c r="AK1404" i="45"/>
  <c r="AC1404" i="45"/>
  <c r="U1404" i="45"/>
  <c r="M1404" i="45"/>
  <c r="AP1404" i="45"/>
  <c r="AH1404" i="45"/>
  <c r="Z1404" i="45"/>
  <c r="R1404" i="45"/>
  <c r="AG1404" i="45"/>
  <c r="Y1404" i="45"/>
  <c r="Q1404" i="45"/>
  <c r="AO1404" i="45"/>
  <c r="H1404" i="45"/>
  <c r="J1404" i="45" s="1"/>
  <c r="AT1346" i="45"/>
  <c r="AP1346" i="45"/>
  <c r="AL1346" i="45"/>
  <c r="AH1346" i="45"/>
  <c r="AD1346" i="45"/>
  <c r="Z1346" i="45"/>
  <c r="V1346" i="45"/>
  <c r="R1346" i="45"/>
  <c r="N1346" i="45"/>
  <c r="AS1346" i="45"/>
  <c r="AO1346" i="45"/>
  <c r="AK1346" i="45"/>
  <c r="AG1346" i="45"/>
  <c r="AC1346" i="45"/>
  <c r="Y1346" i="45"/>
  <c r="U1346" i="45"/>
  <c r="Q1346" i="45"/>
  <c r="M1346" i="45"/>
  <c r="AR1346" i="45"/>
  <c r="AN1346" i="45"/>
  <c r="AJ1346" i="45"/>
  <c r="AF1346" i="45"/>
  <c r="AB1346" i="45"/>
  <c r="X1346" i="45"/>
  <c r="T1346" i="45"/>
  <c r="P1346" i="45"/>
  <c r="L1346" i="45"/>
  <c r="AU1346" i="45"/>
  <c r="AE1346" i="45"/>
  <c r="O1346" i="45"/>
  <c r="AQ1346" i="45"/>
  <c r="AA1346" i="45"/>
  <c r="AM1346" i="45"/>
  <c r="W1346" i="45"/>
  <c r="AI1346" i="45"/>
  <c r="S1346" i="45"/>
  <c r="H1346" i="45"/>
  <c r="J1346" i="45" s="1"/>
  <c r="AS1371" i="45"/>
  <c r="AO1371" i="45"/>
  <c r="AK1371" i="45"/>
  <c r="AG1371" i="45"/>
  <c r="AC1371" i="45"/>
  <c r="Y1371" i="45"/>
  <c r="U1371" i="45"/>
  <c r="Q1371" i="45"/>
  <c r="M1371" i="45"/>
  <c r="AR1371" i="45"/>
  <c r="AN1371" i="45"/>
  <c r="AJ1371" i="45"/>
  <c r="AF1371" i="45"/>
  <c r="AB1371" i="45"/>
  <c r="X1371" i="45"/>
  <c r="T1371" i="45"/>
  <c r="P1371" i="45"/>
  <c r="L1371" i="45"/>
  <c r="AU1371" i="45"/>
  <c r="AQ1371" i="45"/>
  <c r="AM1371" i="45"/>
  <c r="AI1371" i="45"/>
  <c r="AE1371" i="45"/>
  <c r="AA1371" i="45"/>
  <c r="W1371" i="45"/>
  <c r="S1371" i="45"/>
  <c r="O1371" i="45"/>
  <c r="AT1371" i="45"/>
  <c r="AD1371" i="45"/>
  <c r="N1371" i="45"/>
  <c r="AP1371" i="45"/>
  <c r="Z1371" i="45"/>
  <c r="AL1371" i="45"/>
  <c r="V1371" i="45"/>
  <c r="R1371" i="45"/>
  <c r="AH1371" i="45"/>
  <c r="H1371" i="45"/>
  <c r="J1371" i="45" s="1"/>
  <c r="AR1419" i="45"/>
  <c r="AN1419" i="45"/>
  <c r="AJ1419" i="45"/>
  <c r="AF1419" i="45"/>
  <c r="AB1419" i="45"/>
  <c r="X1419" i="45"/>
  <c r="T1419" i="45"/>
  <c r="P1419" i="45"/>
  <c r="L1419" i="45"/>
  <c r="AU1419" i="45"/>
  <c r="AQ1419" i="45"/>
  <c r="AM1419" i="45"/>
  <c r="AI1419" i="45"/>
  <c r="AE1419" i="45"/>
  <c r="AA1419" i="45"/>
  <c r="W1419" i="45"/>
  <c r="S1419" i="45"/>
  <c r="O1419" i="45"/>
  <c r="AP1419" i="45"/>
  <c r="AH1419" i="45"/>
  <c r="Z1419" i="45"/>
  <c r="R1419" i="45"/>
  <c r="AO1419" i="45"/>
  <c r="AG1419" i="45"/>
  <c r="Y1419" i="45"/>
  <c r="Q1419" i="45"/>
  <c r="AT1419" i="45"/>
  <c r="AL1419" i="45"/>
  <c r="AD1419" i="45"/>
  <c r="V1419" i="45"/>
  <c r="N1419" i="45"/>
  <c r="AK1419" i="45"/>
  <c r="AC1419" i="45"/>
  <c r="U1419" i="45"/>
  <c r="AS1419" i="45"/>
  <c r="M1419" i="45"/>
  <c r="H1419" i="45"/>
  <c r="J1419" i="45" s="1"/>
  <c r="AT1292" i="45"/>
  <c r="AP1292" i="45"/>
  <c r="AL1292" i="45"/>
  <c r="AH1292" i="45"/>
  <c r="AD1292" i="45"/>
  <c r="Z1292" i="45"/>
  <c r="V1292" i="45"/>
  <c r="R1292" i="45"/>
  <c r="N1292" i="45"/>
  <c r="AS1292" i="45"/>
  <c r="AO1292" i="45"/>
  <c r="AK1292" i="45"/>
  <c r="AG1292" i="45"/>
  <c r="AC1292" i="45"/>
  <c r="Y1292" i="45"/>
  <c r="U1292" i="45"/>
  <c r="Q1292" i="45"/>
  <c r="M1292" i="45"/>
  <c r="AR1292" i="45"/>
  <c r="AN1292" i="45"/>
  <c r="AJ1292" i="45"/>
  <c r="AF1292" i="45"/>
  <c r="AB1292" i="45"/>
  <c r="X1292" i="45"/>
  <c r="T1292" i="45"/>
  <c r="P1292" i="45"/>
  <c r="L1292" i="45"/>
  <c r="AU1292" i="45"/>
  <c r="AE1292" i="45"/>
  <c r="O1292" i="45"/>
  <c r="AQ1292" i="45"/>
  <c r="AA1292" i="45"/>
  <c r="AM1292" i="45"/>
  <c r="W1292" i="45"/>
  <c r="AI1292" i="45"/>
  <c r="S1292" i="45"/>
  <c r="B1397" i="45"/>
  <c r="H1292" i="45"/>
  <c r="J1292" i="45" s="1"/>
  <c r="AU1382" i="45"/>
  <c r="AQ1382" i="45"/>
  <c r="AM1382" i="45"/>
  <c r="AI1382" i="45"/>
  <c r="AE1382" i="45"/>
  <c r="AA1382" i="45"/>
  <c r="W1382" i="45"/>
  <c r="S1382" i="45"/>
  <c r="O1382" i="45"/>
  <c r="AS1382" i="45"/>
  <c r="AO1382" i="45"/>
  <c r="AK1382" i="45"/>
  <c r="AG1382" i="45"/>
  <c r="AC1382" i="45"/>
  <c r="Y1382" i="45"/>
  <c r="U1382" i="45"/>
  <c r="Q1382" i="45"/>
  <c r="M1382" i="45"/>
  <c r="AR1382" i="45"/>
  <c r="AJ1382" i="45"/>
  <c r="AB1382" i="45"/>
  <c r="T1382" i="45"/>
  <c r="L1382" i="45"/>
  <c r="AP1382" i="45"/>
  <c r="AH1382" i="45"/>
  <c r="Z1382" i="45"/>
  <c r="R1382" i="45"/>
  <c r="AN1382" i="45"/>
  <c r="AF1382" i="45"/>
  <c r="X1382" i="45"/>
  <c r="P1382" i="45"/>
  <c r="AL1382" i="45"/>
  <c r="AD1382" i="45"/>
  <c r="V1382" i="45"/>
  <c r="N1382" i="45"/>
  <c r="AT1382" i="45"/>
  <c r="H1382" i="45"/>
  <c r="J1382" i="45" s="1"/>
  <c r="AU1399" i="45"/>
  <c r="AQ1399" i="45"/>
  <c r="AM1399" i="45"/>
  <c r="AI1399" i="45"/>
  <c r="AE1399" i="45"/>
  <c r="AA1399" i="45"/>
  <c r="W1399" i="45"/>
  <c r="S1399" i="45"/>
  <c r="O1399" i="45"/>
  <c r="AT1399" i="45"/>
  <c r="AP1399" i="45"/>
  <c r="AL1399" i="45"/>
  <c r="AH1399" i="45"/>
  <c r="AD1399" i="45"/>
  <c r="Z1399" i="45"/>
  <c r="V1399" i="45"/>
  <c r="R1399" i="45"/>
  <c r="N1399" i="45"/>
  <c r="AS1399" i="45"/>
  <c r="AO1399" i="45"/>
  <c r="AK1399" i="45"/>
  <c r="AG1399" i="45"/>
  <c r="AC1399" i="45"/>
  <c r="Y1399" i="45"/>
  <c r="U1399" i="45"/>
  <c r="Q1399" i="45"/>
  <c r="M1399" i="45"/>
  <c r="AN1399" i="45"/>
  <c r="X1399" i="45"/>
  <c r="AJ1399" i="45"/>
  <c r="T1399" i="45"/>
  <c r="AF1399" i="45"/>
  <c r="P1399" i="45"/>
  <c r="L1399" i="45"/>
  <c r="AR1399" i="45"/>
  <c r="AB1399" i="45"/>
  <c r="H1399" i="45"/>
  <c r="J1399" i="45" s="1"/>
  <c r="AS1364" i="45"/>
  <c r="AO1364" i="45"/>
  <c r="AK1364" i="45"/>
  <c r="AG1364" i="45"/>
  <c r="AC1364" i="45"/>
  <c r="Y1364" i="45"/>
  <c r="U1364" i="45"/>
  <c r="Q1364" i="45"/>
  <c r="M1364" i="45"/>
  <c r="AR1364" i="45"/>
  <c r="AN1364" i="45"/>
  <c r="AJ1364" i="45"/>
  <c r="AF1364" i="45"/>
  <c r="AB1364" i="45"/>
  <c r="X1364" i="45"/>
  <c r="T1364" i="45"/>
  <c r="P1364" i="45"/>
  <c r="L1364" i="45"/>
  <c r="AU1364" i="45"/>
  <c r="AQ1364" i="45"/>
  <c r="AM1364" i="45"/>
  <c r="AI1364" i="45"/>
  <c r="AE1364" i="45"/>
  <c r="AA1364" i="45"/>
  <c r="W1364" i="45"/>
  <c r="S1364" i="45"/>
  <c r="O1364" i="45"/>
  <c r="AP1364" i="45"/>
  <c r="Z1364" i="45"/>
  <c r="AL1364" i="45"/>
  <c r="V1364" i="45"/>
  <c r="AH1364" i="45"/>
  <c r="R1364" i="45"/>
  <c r="N1364" i="45"/>
  <c r="AT1364" i="45"/>
  <c r="AD1364" i="45"/>
  <c r="H1364" i="45"/>
  <c r="J1364" i="45" s="1"/>
  <c r="AT1347" i="45"/>
  <c r="AP1347" i="45"/>
  <c r="AL1347" i="45"/>
  <c r="AH1347" i="45"/>
  <c r="AD1347" i="45"/>
  <c r="Z1347" i="45"/>
  <c r="V1347" i="45"/>
  <c r="R1347" i="45"/>
  <c r="N1347" i="45"/>
  <c r="AS1347" i="45"/>
  <c r="AO1347" i="45"/>
  <c r="AK1347" i="45"/>
  <c r="AG1347" i="45"/>
  <c r="AC1347" i="45"/>
  <c r="Y1347" i="45"/>
  <c r="U1347" i="45"/>
  <c r="Q1347" i="45"/>
  <c r="M1347" i="45"/>
  <c r="AR1347" i="45"/>
  <c r="AN1347" i="45"/>
  <c r="AJ1347" i="45"/>
  <c r="AF1347" i="45"/>
  <c r="AB1347" i="45"/>
  <c r="X1347" i="45"/>
  <c r="T1347" i="45"/>
  <c r="P1347" i="45"/>
  <c r="L1347" i="45"/>
  <c r="AQ1347" i="45"/>
  <c r="AA1347" i="45"/>
  <c r="AM1347" i="45"/>
  <c r="W1347" i="45"/>
  <c r="AI1347" i="45"/>
  <c r="S1347" i="45"/>
  <c r="AE1347" i="45"/>
  <c r="O1347" i="45"/>
  <c r="AU1347" i="45"/>
  <c r="H1347" i="45"/>
  <c r="J1347" i="45" s="1"/>
  <c r="AR1416" i="45"/>
  <c r="AN1416" i="45"/>
  <c r="AJ1416" i="45"/>
  <c r="AF1416" i="45"/>
  <c r="AB1416" i="45"/>
  <c r="X1416" i="45"/>
  <c r="T1416" i="45"/>
  <c r="P1416" i="45"/>
  <c r="L1416" i="45"/>
  <c r="AU1416" i="45"/>
  <c r="AQ1416" i="45"/>
  <c r="AM1416" i="45"/>
  <c r="AI1416" i="45"/>
  <c r="AE1416" i="45"/>
  <c r="AA1416" i="45"/>
  <c r="W1416" i="45"/>
  <c r="S1416" i="45"/>
  <c r="O1416" i="45"/>
  <c r="AT1416" i="45"/>
  <c r="AL1416" i="45"/>
  <c r="AD1416" i="45"/>
  <c r="V1416" i="45"/>
  <c r="N1416" i="45"/>
  <c r="AS1416" i="45"/>
  <c r="AK1416" i="45"/>
  <c r="AC1416" i="45"/>
  <c r="U1416" i="45"/>
  <c r="M1416" i="45"/>
  <c r="AP1416" i="45"/>
  <c r="AH1416" i="45"/>
  <c r="Z1416" i="45"/>
  <c r="R1416" i="45"/>
  <c r="Q1416" i="45"/>
  <c r="AO1416" i="45"/>
  <c r="AG1416" i="45"/>
  <c r="Y1416" i="45"/>
  <c r="H1416" i="45"/>
  <c r="J1416" i="45" s="1"/>
  <c r="AS1363" i="45"/>
  <c r="AO1363" i="45"/>
  <c r="AK1363" i="45"/>
  <c r="AG1363" i="45"/>
  <c r="AC1363" i="45"/>
  <c r="Y1363" i="45"/>
  <c r="U1363" i="45"/>
  <c r="Q1363" i="45"/>
  <c r="M1363" i="45"/>
  <c r="AR1363" i="45"/>
  <c r="AN1363" i="45"/>
  <c r="AJ1363" i="45"/>
  <c r="AF1363" i="45"/>
  <c r="AB1363" i="45"/>
  <c r="X1363" i="45"/>
  <c r="T1363" i="45"/>
  <c r="P1363" i="45"/>
  <c r="L1363" i="45"/>
  <c r="AU1363" i="45"/>
  <c r="AQ1363" i="45"/>
  <c r="AM1363" i="45"/>
  <c r="AI1363" i="45"/>
  <c r="AE1363" i="45"/>
  <c r="AA1363" i="45"/>
  <c r="W1363" i="45"/>
  <c r="S1363" i="45"/>
  <c r="O1363" i="45"/>
  <c r="AT1363" i="45"/>
  <c r="AD1363" i="45"/>
  <c r="N1363" i="45"/>
  <c r="AP1363" i="45"/>
  <c r="Z1363" i="45"/>
  <c r="AL1363" i="45"/>
  <c r="V1363" i="45"/>
  <c r="AH1363" i="45"/>
  <c r="R1363" i="45"/>
  <c r="H1363" i="45"/>
  <c r="J1363" i="45" s="1"/>
  <c r="AU1396" i="45"/>
  <c r="AQ1396" i="45"/>
  <c r="AM1396" i="45"/>
  <c r="AI1396" i="45"/>
  <c r="AE1396" i="45"/>
  <c r="AA1396" i="45"/>
  <c r="W1396" i="45"/>
  <c r="S1396" i="45"/>
  <c r="O1396" i="45"/>
  <c r="AT1396" i="45"/>
  <c r="AP1396" i="45"/>
  <c r="AL1396" i="45"/>
  <c r="AH1396" i="45"/>
  <c r="AD1396" i="45"/>
  <c r="Z1396" i="45"/>
  <c r="V1396" i="45"/>
  <c r="R1396" i="45"/>
  <c r="N1396" i="45"/>
  <c r="AS1396" i="45"/>
  <c r="AO1396" i="45"/>
  <c r="AK1396" i="45"/>
  <c r="AG1396" i="45"/>
  <c r="AC1396" i="45"/>
  <c r="Y1396" i="45"/>
  <c r="U1396" i="45"/>
  <c r="Q1396" i="45"/>
  <c r="M1396" i="45"/>
  <c r="AJ1396" i="45"/>
  <c r="T1396" i="45"/>
  <c r="AF1396" i="45"/>
  <c r="P1396" i="45"/>
  <c r="AR1396" i="45"/>
  <c r="AB1396" i="45"/>
  <c r="L1396" i="45"/>
  <c r="AN1396" i="45"/>
  <c r="X1396" i="45"/>
  <c r="H1396" i="45"/>
  <c r="J1396" i="45" s="1"/>
  <c r="AU1390" i="45"/>
  <c r="AQ1390" i="45"/>
  <c r="AM1390" i="45"/>
  <c r="AI1390" i="45"/>
  <c r="AE1390" i="45"/>
  <c r="AA1390" i="45"/>
  <c r="W1390" i="45"/>
  <c r="S1390" i="45"/>
  <c r="O1390" i="45"/>
  <c r="AT1390" i="45"/>
  <c r="AP1390" i="45"/>
  <c r="AL1390" i="45"/>
  <c r="AH1390" i="45"/>
  <c r="AD1390" i="45"/>
  <c r="Z1390" i="45"/>
  <c r="V1390" i="45"/>
  <c r="R1390" i="45"/>
  <c r="N1390" i="45"/>
  <c r="AS1390" i="45"/>
  <c r="AO1390" i="45"/>
  <c r="AK1390" i="45"/>
  <c r="AG1390" i="45"/>
  <c r="AC1390" i="45"/>
  <c r="Y1390" i="45"/>
  <c r="U1390" i="45"/>
  <c r="Q1390" i="45"/>
  <c r="M1390" i="45"/>
  <c r="AR1390" i="45"/>
  <c r="AB1390" i="45"/>
  <c r="L1390" i="45"/>
  <c r="AN1390" i="45"/>
  <c r="X1390" i="45"/>
  <c r="AJ1390" i="45"/>
  <c r="T1390" i="45"/>
  <c r="P1390" i="45"/>
  <c r="AF1390" i="45"/>
  <c r="H1390" i="45"/>
  <c r="J1390" i="45" s="1"/>
  <c r="AT1287" i="45"/>
  <c r="AP1287" i="45"/>
  <c r="AL1287" i="45"/>
  <c r="AH1287" i="45"/>
  <c r="AD1287" i="45"/>
  <c r="Z1287" i="45"/>
  <c r="V1287" i="45"/>
  <c r="R1287" i="45"/>
  <c r="N1287" i="45"/>
  <c r="AS1287" i="45"/>
  <c r="AO1287" i="45"/>
  <c r="AK1287" i="45"/>
  <c r="AG1287" i="45"/>
  <c r="AC1287" i="45"/>
  <c r="Y1287" i="45"/>
  <c r="U1287" i="45"/>
  <c r="Q1287" i="45"/>
  <c r="M1287" i="45"/>
  <c r="AR1287" i="45"/>
  <c r="AN1287" i="45"/>
  <c r="AJ1287" i="45"/>
  <c r="AF1287" i="45"/>
  <c r="AB1287" i="45"/>
  <c r="X1287" i="45"/>
  <c r="T1287" i="45"/>
  <c r="P1287" i="45"/>
  <c r="L1287" i="45"/>
  <c r="AI1287" i="45"/>
  <c r="S1287" i="45"/>
  <c r="AU1287" i="45"/>
  <c r="AE1287" i="45"/>
  <c r="O1287" i="45"/>
  <c r="AQ1287" i="45"/>
  <c r="AA1287" i="45"/>
  <c r="AM1287" i="45"/>
  <c r="W1287" i="45"/>
  <c r="H1287" i="45"/>
  <c r="J1287" i="45" s="1"/>
  <c r="B1392" i="45"/>
  <c r="AU1381" i="45"/>
  <c r="AQ1381" i="45"/>
  <c r="AM1381" i="45"/>
  <c r="AS1381" i="45"/>
  <c r="AO1381" i="45"/>
  <c r="AK1381" i="45"/>
  <c r="AG1381" i="45"/>
  <c r="AN1381" i="45"/>
  <c r="AH1381" i="45"/>
  <c r="AC1381" i="45"/>
  <c r="Y1381" i="45"/>
  <c r="U1381" i="45"/>
  <c r="Q1381" i="45"/>
  <c r="M1381" i="45"/>
  <c r="AT1381" i="45"/>
  <c r="AL1381" i="45"/>
  <c r="AF1381" i="45"/>
  <c r="AB1381" i="45"/>
  <c r="X1381" i="45"/>
  <c r="T1381" i="45"/>
  <c r="P1381" i="45"/>
  <c r="L1381" i="45"/>
  <c r="AR1381" i="45"/>
  <c r="AJ1381" i="45"/>
  <c r="AE1381" i="45"/>
  <c r="AA1381" i="45"/>
  <c r="W1381" i="45"/>
  <c r="S1381" i="45"/>
  <c r="O1381" i="45"/>
  <c r="AP1381" i="45"/>
  <c r="V1381" i="45"/>
  <c r="AI1381" i="45"/>
  <c r="R1381" i="45"/>
  <c r="AD1381" i="45"/>
  <c r="N1381" i="45"/>
  <c r="Z1381" i="45"/>
  <c r="H1381" i="45"/>
  <c r="J1381" i="45" s="1"/>
  <c r="AT1348" i="45"/>
  <c r="AP1348" i="45"/>
  <c r="AL1348" i="45"/>
  <c r="AH1348" i="45"/>
  <c r="AD1348" i="45"/>
  <c r="Z1348" i="45"/>
  <c r="V1348" i="45"/>
  <c r="R1348" i="45"/>
  <c r="N1348" i="45"/>
  <c r="AS1348" i="45"/>
  <c r="AO1348" i="45"/>
  <c r="AK1348" i="45"/>
  <c r="AG1348" i="45"/>
  <c r="AC1348" i="45"/>
  <c r="Y1348" i="45"/>
  <c r="U1348" i="45"/>
  <c r="Q1348" i="45"/>
  <c r="M1348" i="45"/>
  <c r="AR1348" i="45"/>
  <c r="AN1348" i="45"/>
  <c r="AJ1348" i="45"/>
  <c r="AF1348" i="45"/>
  <c r="AB1348" i="45"/>
  <c r="X1348" i="45"/>
  <c r="T1348" i="45"/>
  <c r="P1348" i="45"/>
  <c r="L1348" i="45"/>
  <c r="AM1348" i="45"/>
  <c r="W1348" i="45"/>
  <c r="AI1348" i="45"/>
  <c r="S1348" i="45"/>
  <c r="AU1348" i="45"/>
  <c r="AE1348" i="45"/>
  <c r="O1348" i="45"/>
  <c r="AQ1348" i="45"/>
  <c r="AA1348" i="45"/>
  <c r="H1348" i="45"/>
  <c r="J1348" i="45" s="1"/>
  <c r="AS1373" i="45"/>
  <c r="AO1373" i="45"/>
  <c r="AK1373" i="45"/>
  <c r="AG1373" i="45"/>
  <c r="AC1373" i="45"/>
  <c r="Y1373" i="45"/>
  <c r="U1373" i="45"/>
  <c r="Q1373" i="45"/>
  <c r="M1373" i="45"/>
  <c r="AR1373" i="45"/>
  <c r="AN1373" i="45"/>
  <c r="AJ1373" i="45"/>
  <c r="AF1373" i="45"/>
  <c r="AB1373" i="45"/>
  <c r="X1373" i="45"/>
  <c r="T1373" i="45"/>
  <c r="P1373" i="45"/>
  <c r="L1373" i="45"/>
  <c r="AU1373" i="45"/>
  <c r="AQ1373" i="45"/>
  <c r="AM1373" i="45"/>
  <c r="AI1373" i="45"/>
  <c r="AE1373" i="45"/>
  <c r="AA1373" i="45"/>
  <c r="W1373" i="45"/>
  <c r="S1373" i="45"/>
  <c r="O1373" i="45"/>
  <c r="AL1373" i="45"/>
  <c r="V1373" i="45"/>
  <c r="AH1373" i="45"/>
  <c r="R1373" i="45"/>
  <c r="AT1373" i="45"/>
  <c r="AD1373" i="45"/>
  <c r="N1373" i="45"/>
  <c r="AP1373" i="45"/>
  <c r="Z1373" i="45"/>
  <c r="H1373" i="45"/>
  <c r="J1373" i="45" s="1"/>
  <c r="AU1394" i="45"/>
  <c r="AQ1394" i="45"/>
  <c r="AM1394" i="45"/>
  <c r="AI1394" i="45"/>
  <c r="AE1394" i="45"/>
  <c r="AA1394" i="45"/>
  <c r="W1394" i="45"/>
  <c r="S1394" i="45"/>
  <c r="O1394" i="45"/>
  <c r="AT1394" i="45"/>
  <c r="AP1394" i="45"/>
  <c r="AL1394" i="45"/>
  <c r="AH1394" i="45"/>
  <c r="AD1394" i="45"/>
  <c r="Z1394" i="45"/>
  <c r="V1394" i="45"/>
  <c r="R1394" i="45"/>
  <c r="N1394" i="45"/>
  <c r="AS1394" i="45"/>
  <c r="AO1394" i="45"/>
  <c r="AK1394" i="45"/>
  <c r="AG1394" i="45"/>
  <c r="AC1394" i="45"/>
  <c r="Y1394" i="45"/>
  <c r="U1394" i="45"/>
  <c r="Q1394" i="45"/>
  <c r="M1394" i="45"/>
  <c r="AR1394" i="45"/>
  <c r="AB1394" i="45"/>
  <c r="L1394" i="45"/>
  <c r="AN1394" i="45"/>
  <c r="X1394" i="45"/>
  <c r="AJ1394" i="45"/>
  <c r="T1394" i="45"/>
  <c r="AF1394" i="45"/>
  <c r="P1394" i="45"/>
  <c r="H1394" i="45"/>
  <c r="J1394" i="45" s="1"/>
  <c r="AR1411" i="45"/>
  <c r="AN1411" i="45"/>
  <c r="AJ1411" i="45"/>
  <c r="AF1411" i="45"/>
  <c r="AB1411" i="45"/>
  <c r="X1411" i="45"/>
  <c r="T1411" i="45"/>
  <c r="P1411" i="45"/>
  <c r="L1411" i="45"/>
  <c r="AU1411" i="45"/>
  <c r="AQ1411" i="45"/>
  <c r="AM1411" i="45"/>
  <c r="AI1411" i="45"/>
  <c r="AE1411" i="45"/>
  <c r="AA1411" i="45"/>
  <c r="W1411" i="45"/>
  <c r="S1411" i="45"/>
  <c r="O1411" i="45"/>
  <c r="AP1411" i="45"/>
  <c r="AH1411" i="45"/>
  <c r="Z1411" i="45"/>
  <c r="R1411" i="45"/>
  <c r="AO1411" i="45"/>
  <c r="AG1411" i="45"/>
  <c r="Y1411" i="45"/>
  <c r="Q1411" i="45"/>
  <c r="AT1411" i="45"/>
  <c r="AL1411" i="45"/>
  <c r="AD1411" i="45"/>
  <c r="V1411" i="45"/>
  <c r="N1411" i="45"/>
  <c r="AK1411" i="45"/>
  <c r="AC1411" i="45"/>
  <c r="U1411" i="45"/>
  <c r="AS1411" i="45"/>
  <c r="M1411" i="45"/>
  <c r="H1411" i="45"/>
  <c r="J1411" i="45" s="1"/>
  <c r="AR1420" i="45"/>
  <c r="AN1420" i="45"/>
  <c r="AJ1420" i="45"/>
  <c r="AF1420" i="45"/>
  <c r="AB1420" i="45"/>
  <c r="X1420" i="45"/>
  <c r="T1420" i="45"/>
  <c r="P1420" i="45"/>
  <c r="L1420" i="45"/>
  <c r="AU1420" i="45"/>
  <c r="AQ1420" i="45"/>
  <c r="AM1420" i="45"/>
  <c r="AI1420" i="45"/>
  <c r="AE1420" i="45"/>
  <c r="AA1420" i="45"/>
  <c r="W1420" i="45"/>
  <c r="S1420" i="45"/>
  <c r="O1420" i="45"/>
  <c r="AT1420" i="45"/>
  <c r="AL1420" i="45"/>
  <c r="AD1420" i="45"/>
  <c r="V1420" i="45"/>
  <c r="N1420" i="45"/>
  <c r="AS1420" i="45"/>
  <c r="AK1420" i="45"/>
  <c r="AC1420" i="45"/>
  <c r="U1420" i="45"/>
  <c r="M1420" i="45"/>
  <c r="AP1420" i="45"/>
  <c r="AH1420" i="45"/>
  <c r="Z1420" i="45"/>
  <c r="R1420" i="45"/>
  <c r="AG1420" i="45"/>
  <c r="Y1420" i="45"/>
  <c r="Q1420" i="45"/>
  <c r="AO1420" i="45"/>
  <c r="H1420" i="45"/>
  <c r="J1420" i="45" s="1"/>
  <c r="AU1395" i="45"/>
  <c r="AQ1395" i="45"/>
  <c r="AM1395" i="45"/>
  <c r="AI1395" i="45"/>
  <c r="AE1395" i="45"/>
  <c r="AA1395" i="45"/>
  <c r="W1395" i="45"/>
  <c r="S1395" i="45"/>
  <c r="O1395" i="45"/>
  <c r="AT1395" i="45"/>
  <c r="AP1395" i="45"/>
  <c r="AL1395" i="45"/>
  <c r="AH1395" i="45"/>
  <c r="AD1395" i="45"/>
  <c r="Z1395" i="45"/>
  <c r="V1395" i="45"/>
  <c r="R1395" i="45"/>
  <c r="N1395" i="45"/>
  <c r="AS1395" i="45"/>
  <c r="AO1395" i="45"/>
  <c r="AK1395" i="45"/>
  <c r="AG1395" i="45"/>
  <c r="AC1395" i="45"/>
  <c r="Y1395" i="45"/>
  <c r="U1395" i="45"/>
  <c r="Q1395" i="45"/>
  <c r="M1395" i="45"/>
  <c r="AN1395" i="45"/>
  <c r="X1395" i="45"/>
  <c r="AJ1395" i="45"/>
  <c r="T1395" i="45"/>
  <c r="AF1395" i="45"/>
  <c r="P1395" i="45"/>
  <c r="AB1395" i="45"/>
  <c r="L1395" i="45"/>
  <c r="AR1395" i="45"/>
  <c r="H1395" i="45"/>
  <c r="J1395" i="45" s="1"/>
  <c r="AR1409" i="45"/>
  <c r="AN1409" i="45"/>
  <c r="AJ1409" i="45"/>
  <c r="AF1409" i="45"/>
  <c r="AB1409" i="45"/>
  <c r="X1409" i="45"/>
  <c r="T1409" i="45"/>
  <c r="P1409" i="45"/>
  <c r="L1409" i="45"/>
  <c r="AU1409" i="45"/>
  <c r="AQ1409" i="45"/>
  <c r="AM1409" i="45"/>
  <c r="AI1409" i="45"/>
  <c r="AE1409" i="45"/>
  <c r="AA1409" i="45"/>
  <c r="W1409" i="45"/>
  <c r="S1409" i="45"/>
  <c r="O1409" i="45"/>
  <c r="AP1409" i="45"/>
  <c r="AH1409" i="45"/>
  <c r="Z1409" i="45"/>
  <c r="R1409" i="45"/>
  <c r="AO1409" i="45"/>
  <c r="AG1409" i="45"/>
  <c r="Y1409" i="45"/>
  <c r="Q1409" i="45"/>
  <c r="AT1409" i="45"/>
  <c r="AL1409" i="45"/>
  <c r="AD1409" i="45"/>
  <c r="V1409" i="45"/>
  <c r="N1409" i="45"/>
  <c r="AS1409" i="45"/>
  <c r="M1409" i="45"/>
  <c r="AK1409" i="45"/>
  <c r="AC1409" i="45"/>
  <c r="U1409" i="45"/>
  <c r="H1409" i="45"/>
  <c r="J1409" i="45" s="1"/>
  <c r="AU1393" i="45"/>
  <c r="AQ1393" i="45"/>
  <c r="AM1393" i="45"/>
  <c r="AI1393" i="45"/>
  <c r="AE1393" i="45"/>
  <c r="AA1393" i="45"/>
  <c r="W1393" i="45"/>
  <c r="S1393" i="45"/>
  <c r="O1393" i="45"/>
  <c r="AT1393" i="45"/>
  <c r="AP1393" i="45"/>
  <c r="AL1393" i="45"/>
  <c r="AH1393" i="45"/>
  <c r="AD1393" i="45"/>
  <c r="Z1393" i="45"/>
  <c r="V1393" i="45"/>
  <c r="R1393" i="45"/>
  <c r="N1393" i="45"/>
  <c r="AS1393" i="45"/>
  <c r="AO1393" i="45"/>
  <c r="AK1393" i="45"/>
  <c r="AG1393" i="45"/>
  <c r="AC1393" i="45"/>
  <c r="Y1393" i="45"/>
  <c r="U1393" i="45"/>
  <c r="Q1393" i="45"/>
  <c r="M1393" i="45"/>
  <c r="AF1393" i="45"/>
  <c r="P1393" i="45"/>
  <c r="AR1393" i="45"/>
  <c r="AB1393" i="45"/>
  <c r="L1393" i="45"/>
  <c r="AN1393" i="45"/>
  <c r="X1393" i="45"/>
  <c r="AJ1393" i="45"/>
  <c r="T1393" i="45"/>
  <c r="H1393" i="45"/>
  <c r="J1393" i="45" s="1"/>
  <c r="AS1378" i="45"/>
  <c r="AO1378" i="45"/>
  <c r="AK1378" i="45"/>
  <c r="AG1378" i="45"/>
  <c r="AC1378" i="45"/>
  <c r="Y1378" i="45"/>
  <c r="U1378" i="45"/>
  <c r="Q1378" i="45"/>
  <c r="M1378" i="45"/>
  <c r="AR1378" i="45"/>
  <c r="AN1378" i="45"/>
  <c r="AJ1378" i="45"/>
  <c r="AF1378" i="45"/>
  <c r="AB1378" i="45"/>
  <c r="X1378" i="45"/>
  <c r="T1378" i="45"/>
  <c r="P1378" i="45"/>
  <c r="L1378" i="45"/>
  <c r="AU1378" i="45"/>
  <c r="AQ1378" i="45"/>
  <c r="AM1378" i="45"/>
  <c r="AI1378" i="45"/>
  <c r="AE1378" i="45"/>
  <c r="AA1378" i="45"/>
  <c r="W1378" i="45"/>
  <c r="S1378" i="45"/>
  <c r="O1378" i="45"/>
  <c r="AH1378" i="45"/>
  <c r="R1378" i="45"/>
  <c r="AT1378" i="45"/>
  <c r="AD1378" i="45"/>
  <c r="N1378" i="45"/>
  <c r="AP1378" i="45"/>
  <c r="Z1378" i="45"/>
  <c r="V1378" i="45"/>
  <c r="AL1378" i="45"/>
  <c r="H1378" i="45"/>
  <c r="J1378" i="45" s="1"/>
  <c r="AS1377" i="45"/>
  <c r="AO1377" i="45"/>
  <c r="AK1377" i="45"/>
  <c r="AG1377" i="45"/>
  <c r="AC1377" i="45"/>
  <c r="Y1377" i="45"/>
  <c r="U1377" i="45"/>
  <c r="Q1377" i="45"/>
  <c r="M1377" i="45"/>
  <c r="AR1377" i="45"/>
  <c r="AN1377" i="45"/>
  <c r="AJ1377" i="45"/>
  <c r="AF1377" i="45"/>
  <c r="AB1377" i="45"/>
  <c r="X1377" i="45"/>
  <c r="T1377" i="45"/>
  <c r="P1377" i="45"/>
  <c r="L1377" i="45"/>
  <c r="AU1377" i="45"/>
  <c r="AQ1377" i="45"/>
  <c r="AM1377" i="45"/>
  <c r="AI1377" i="45"/>
  <c r="AE1377" i="45"/>
  <c r="AA1377" i="45"/>
  <c r="W1377" i="45"/>
  <c r="S1377" i="45"/>
  <c r="O1377" i="45"/>
  <c r="AL1377" i="45"/>
  <c r="V1377" i="45"/>
  <c r="AH1377" i="45"/>
  <c r="R1377" i="45"/>
  <c r="AT1377" i="45"/>
  <c r="AD1377" i="45"/>
  <c r="N1377" i="45"/>
  <c r="AP1377" i="45"/>
  <c r="Z1377" i="45"/>
  <c r="H1377" i="45"/>
  <c r="J1377" i="45" s="1"/>
  <c r="AS1369" i="45"/>
  <c r="AO1369" i="45"/>
  <c r="AK1369" i="45"/>
  <c r="AG1369" i="45"/>
  <c r="AC1369" i="45"/>
  <c r="Y1369" i="45"/>
  <c r="U1369" i="45"/>
  <c r="Q1369" i="45"/>
  <c r="M1369" i="45"/>
  <c r="AR1369" i="45"/>
  <c r="AN1369" i="45"/>
  <c r="AJ1369" i="45"/>
  <c r="AF1369" i="45"/>
  <c r="AB1369" i="45"/>
  <c r="X1369" i="45"/>
  <c r="T1369" i="45"/>
  <c r="P1369" i="45"/>
  <c r="L1369" i="45"/>
  <c r="AU1369" i="45"/>
  <c r="AQ1369" i="45"/>
  <c r="AM1369" i="45"/>
  <c r="AI1369" i="45"/>
  <c r="AE1369" i="45"/>
  <c r="AA1369" i="45"/>
  <c r="W1369" i="45"/>
  <c r="S1369" i="45"/>
  <c r="O1369" i="45"/>
  <c r="AL1369" i="45"/>
  <c r="V1369" i="45"/>
  <c r="AH1369" i="45"/>
  <c r="R1369" i="45"/>
  <c r="AT1369" i="45"/>
  <c r="AD1369" i="45"/>
  <c r="N1369" i="45"/>
  <c r="Z1369" i="45"/>
  <c r="AP1369" i="45"/>
  <c r="H1369" i="45"/>
  <c r="J1369" i="45" s="1"/>
  <c r="AS1360" i="45"/>
  <c r="AO1360" i="45"/>
  <c r="AK1360" i="45"/>
  <c r="AG1360" i="45"/>
  <c r="AC1360" i="45"/>
  <c r="Y1360" i="45"/>
  <c r="U1360" i="45"/>
  <c r="Q1360" i="45"/>
  <c r="M1360" i="45"/>
  <c r="AR1360" i="45"/>
  <c r="AN1360" i="45"/>
  <c r="AJ1360" i="45"/>
  <c r="AF1360" i="45"/>
  <c r="AB1360" i="45"/>
  <c r="X1360" i="45"/>
  <c r="T1360" i="45"/>
  <c r="P1360" i="45"/>
  <c r="L1360" i="45"/>
  <c r="AU1360" i="45"/>
  <c r="AQ1360" i="45"/>
  <c r="AM1360" i="45"/>
  <c r="AI1360" i="45"/>
  <c r="AE1360" i="45"/>
  <c r="AA1360" i="45"/>
  <c r="W1360" i="45"/>
  <c r="S1360" i="45"/>
  <c r="O1360" i="45"/>
  <c r="AP1360" i="45"/>
  <c r="Z1360" i="45"/>
  <c r="AL1360" i="45"/>
  <c r="V1360" i="45"/>
  <c r="AH1360" i="45"/>
  <c r="R1360" i="45"/>
  <c r="AD1360" i="45"/>
  <c r="N1360" i="45"/>
  <c r="AT1360" i="45"/>
  <c r="H1360" i="45"/>
  <c r="J1360" i="45" s="1"/>
  <c r="AU1388" i="45"/>
  <c r="AQ1388" i="45"/>
  <c r="AM1388" i="45"/>
  <c r="AI1388" i="45"/>
  <c r="AE1388" i="45"/>
  <c r="AA1388" i="45"/>
  <c r="W1388" i="45"/>
  <c r="S1388" i="45"/>
  <c r="O1388" i="45"/>
  <c r="AT1388" i="45"/>
  <c r="AP1388" i="45"/>
  <c r="AL1388" i="45"/>
  <c r="AH1388" i="45"/>
  <c r="AD1388" i="45"/>
  <c r="Z1388" i="45"/>
  <c r="V1388" i="45"/>
  <c r="R1388" i="45"/>
  <c r="N1388" i="45"/>
  <c r="AS1388" i="45"/>
  <c r="AO1388" i="45"/>
  <c r="AK1388" i="45"/>
  <c r="AG1388" i="45"/>
  <c r="AC1388" i="45"/>
  <c r="Y1388" i="45"/>
  <c r="U1388" i="45"/>
  <c r="Q1388" i="45"/>
  <c r="M1388" i="45"/>
  <c r="AJ1388" i="45"/>
  <c r="T1388" i="45"/>
  <c r="AF1388" i="45"/>
  <c r="P1388" i="45"/>
  <c r="AR1388" i="45"/>
  <c r="AB1388" i="45"/>
  <c r="L1388" i="45"/>
  <c r="X1388" i="45"/>
  <c r="AN1388" i="45"/>
  <c r="H1388" i="45"/>
  <c r="J1388" i="45" s="1"/>
  <c r="AT1345" i="45"/>
  <c r="AP1345" i="45"/>
  <c r="AL1345" i="45"/>
  <c r="AH1345" i="45"/>
  <c r="AD1345" i="45"/>
  <c r="Z1345" i="45"/>
  <c r="V1345" i="45"/>
  <c r="R1345" i="45"/>
  <c r="N1345" i="45"/>
  <c r="AS1345" i="45"/>
  <c r="AO1345" i="45"/>
  <c r="AK1345" i="45"/>
  <c r="AG1345" i="45"/>
  <c r="AC1345" i="45"/>
  <c r="Y1345" i="45"/>
  <c r="U1345" i="45"/>
  <c r="Q1345" i="45"/>
  <c r="M1345" i="45"/>
  <c r="AR1345" i="45"/>
  <c r="AN1345" i="45"/>
  <c r="AJ1345" i="45"/>
  <c r="AF1345" i="45"/>
  <c r="AB1345" i="45"/>
  <c r="X1345" i="45"/>
  <c r="T1345" i="45"/>
  <c r="P1345" i="45"/>
  <c r="L1345" i="45"/>
  <c r="AI1345" i="45"/>
  <c r="S1345" i="45"/>
  <c r="AU1345" i="45"/>
  <c r="AE1345" i="45"/>
  <c r="O1345" i="45"/>
  <c r="AQ1345" i="45"/>
  <c r="AA1345" i="45"/>
  <c r="AM1345" i="45"/>
  <c r="W1345" i="45"/>
  <c r="H1345" i="45"/>
  <c r="J1345" i="45" s="1"/>
  <c r="AS1379" i="45"/>
  <c r="AO1379" i="45"/>
  <c r="AK1379" i="45"/>
  <c r="AG1379" i="45"/>
  <c r="AC1379" i="45"/>
  <c r="Y1379" i="45"/>
  <c r="U1379" i="45"/>
  <c r="Q1379" i="45"/>
  <c r="M1379" i="45"/>
  <c r="AR1379" i="45"/>
  <c r="AN1379" i="45"/>
  <c r="AJ1379" i="45"/>
  <c r="AF1379" i="45"/>
  <c r="AB1379" i="45"/>
  <c r="X1379" i="45"/>
  <c r="T1379" i="45"/>
  <c r="P1379" i="45"/>
  <c r="L1379" i="45"/>
  <c r="AU1379" i="45"/>
  <c r="AQ1379" i="45"/>
  <c r="AM1379" i="45"/>
  <c r="AI1379" i="45"/>
  <c r="AE1379" i="45"/>
  <c r="AA1379" i="45"/>
  <c r="W1379" i="45"/>
  <c r="S1379" i="45"/>
  <c r="O1379" i="45"/>
  <c r="AT1379" i="45"/>
  <c r="AD1379" i="45"/>
  <c r="N1379" i="45"/>
  <c r="AP1379" i="45"/>
  <c r="Z1379" i="45"/>
  <c r="AL1379" i="45"/>
  <c r="V1379" i="45"/>
  <c r="AH1379" i="45"/>
  <c r="R1379" i="45"/>
  <c r="H1379" i="45"/>
  <c r="J1379" i="45" s="1"/>
  <c r="AU1401" i="45"/>
  <c r="AQ1401" i="45"/>
  <c r="AM1401" i="45"/>
  <c r="AI1401" i="45"/>
  <c r="AE1401" i="45"/>
  <c r="AA1401" i="45"/>
  <c r="W1401" i="45"/>
  <c r="S1401" i="45"/>
  <c r="O1401" i="45"/>
  <c r="AT1401" i="45"/>
  <c r="AP1401" i="45"/>
  <c r="AL1401" i="45"/>
  <c r="AH1401" i="45"/>
  <c r="AD1401" i="45"/>
  <c r="Z1401" i="45"/>
  <c r="V1401" i="45"/>
  <c r="R1401" i="45"/>
  <c r="N1401" i="45"/>
  <c r="AS1401" i="45"/>
  <c r="AO1401" i="45"/>
  <c r="AK1401" i="45"/>
  <c r="AG1401" i="45"/>
  <c r="AC1401" i="45"/>
  <c r="Y1401" i="45"/>
  <c r="U1401" i="45"/>
  <c r="Q1401" i="45"/>
  <c r="M1401" i="45"/>
  <c r="AF1401" i="45"/>
  <c r="P1401" i="45"/>
  <c r="AR1401" i="45"/>
  <c r="AB1401" i="45"/>
  <c r="L1401" i="45"/>
  <c r="AN1401" i="45"/>
  <c r="X1401" i="45"/>
  <c r="AJ1401" i="45"/>
  <c r="T1401" i="45"/>
  <c r="H1401" i="45"/>
  <c r="J1401" i="45" s="1"/>
  <c r="AR1407" i="45"/>
  <c r="AN1407" i="45"/>
  <c r="AJ1407" i="45"/>
  <c r="AF1407" i="45"/>
  <c r="AB1407" i="45"/>
  <c r="X1407" i="45"/>
  <c r="T1407" i="45"/>
  <c r="P1407" i="45"/>
  <c r="L1407" i="45"/>
  <c r="AU1407" i="45"/>
  <c r="AQ1407" i="45"/>
  <c r="AM1407" i="45"/>
  <c r="AI1407" i="45"/>
  <c r="AE1407" i="45"/>
  <c r="AA1407" i="45"/>
  <c r="W1407" i="45"/>
  <c r="S1407" i="45"/>
  <c r="O1407" i="45"/>
  <c r="AP1407" i="45"/>
  <c r="AH1407" i="45"/>
  <c r="Z1407" i="45"/>
  <c r="R1407" i="45"/>
  <c r="AO1407" i="45"/>
  <c r="AG1407" i="45"/>
  <c r="Y1407" i="45"/>
  <c r="Q1407" i="45"/>
  <c r="AT1407" i="45"/>
  <c r="AL1407" i="45"/>
  <c r="AD1407" i="45"/>
  <c r="V1407" i="45"/>
  <c r="N1407" i="45"/>
  <c r="U1407" i="45"/>
  <c r="AS1407" i="45"/>
  <c r="M1407" i="45"/>
  <c r="AK1407" i="45"/>
  <c r="AC1407" i="45"/>
  <c r="H1407" i="45"/>
  <c r="J1407" i="45" s="1"/>
  <c r="AR1403" i="45"/>
  <c r="AN1403" i="45"/>
  <c r="AJ1403" i="45"/>
  <c r="AF1403" i="45"/>
  <c r="AB1403" i="45"/>
  <c r="X1403" i="45"/>
  <c r="T1403" i="45"/>
  <c r="P1403" i="45"/>
  <c r="L1403" i="45"/>
  <c r="AU1403" i="45"/>
  <c r="AQ1403" i="45"/>
  <c r="AM1403" i="45"/>
  <c r="AI1403" i="45"/>
  <c r="AE1403" i="45"/>
  <c r="AA1403" i="45"/>
  <c r="W1403" i="45"/>
  <c r="S1403" i="45"/>
  <c r="O1403" i="45"/>
  <c r="AP1403" i="45"/>
  <c r="AH1403" i="45"/>
  <c r="Z1403" i="45"/>
  <c r="R1403" i="45"/>
  <c r="AO1403" i="45"/>
  <c r="AG1403" i="45"/>
  <c r="Y1403" i="45"/>
  <c r="Q1403" i="45"/>
  <c r="AT1403" i="45"/>
  <c r="AL1403" i="45"/>
  <c r="AD1403" i="45"/>
  <c r="V1403" i="45"/>
  <c r="N1403" i="45"/>
  <c r="AK1403" i="45"/>
  <c r="AC1403" i="45"/>
  <c r="U1403" i="45"/>
  <c r="M1403" i="45"/>
  <c r="AS1403" i="45"/>
  <c r="H1403" i="45"/>
  <c r="J1403" i="45" s="1"/>
  <c r="AR1413" i="45"/>
  <c r="AN1413" i="45"/>
  <c r="AJ1413" i="45"/>
  <c r="AF1413" i="45"/>
  <c r="AB1413" i="45"/>
  <c r="X1413" i="45"/>
  <c r="T1413" i="45"/>
  <c r="P1413" i="45"/>
  <c r="L1413" i="45"/>
  <c r="AU1413" i="45"/>
  <c r="AQ1413" i="45"/>
  <c r="AM1413" i="45"/>
  <c r="AI1413" i="45"/>
  <c r="AE1413" i="45"/>
  <c r="AA1413" i="45"/>
  <c r="W1413" i="45"/>
  <c r="S1413" i="45"/>
  <c r="O1413" i="45"/>
  <c r="AP1413" i="45"/>
  <c r="AH1413" i="45"/>
  <c r="Z1413" i="45"/>
  <c r="R1413" i="45"/>
  <c r="AO1413" i="45"/>
  <c r="AG1413" i="45"/>
  <c r="Y1413" i="45"/>
  <c r="Q1413" i="45"/>
  <c r="AT1413" i="45"/>
  <c r="AL1413" i="45"/>
  <c r="AD1413" i="45"/>
  <c r="V1413" i="45"/>
  <c r="N1413" i="45"/>
  <c r="AC1413" i="45"/>
  <c r="U1413" i="45"/>
  <c r="AS1413" i="45"/>
  <c r="M1413" i="45"/>
  <c r="AK1413" i="45"/>
  <c r="H1413" i="45"/>
  <c r="J1413" i="45" s="1"/>
  <c r="AU1391" i="45"/>
  <c r="AQ1391" i="45"/>
  <c r="AM1391" i="45"/>
  <c r="AI1391" i="45"/>
  <c r="AE1391" i="45"/>
  <c r="AA1391" i="45"/>
  <c r="W1391" i="45"/>
  <c r="S1391" i="45"/>
  <c r="O1391" i="45"/>
  <c r="AT1391" i="45"/>
  <c r="AP1391" i="45"/>
  <c r="AL1391" i="45"/>
  <c r="AH1391" i="45"/>
  <c r="AD1391" i="45"/>
  <c r="Z1391" i="45"/>
  <c r="V1391" i="45"/>
  <c r="R1391" i="45"/>
  <c r="N1391" i="45"/>
  <c r="AS1391" i="45"/>
  <c r="AO1391" i="45"/>
  <c r="AK1391" i="45"/>
  <c r="AG1391" i="45"/>
  <c r="AC1391" i="45"/>
  <c r="Y1391" i="45"/>
  <c r="U1391" i="45"/>
  <c r="Q1391" i="45"/>
  <c r="M1391" i="45"/>
  <c r="AN1391" i="45"/>
  <c r="X1391" i="45"/>
  <c r="AJ1391" i="45"/>
  <c r="T1391" i="45"/>
  <c r="AF1391" i="45"/>
  <c r="P1391" i="45"/>
  <c r="AR1391" i="45"/>
  <c r="AB1391" i="45"/>
  <c r="L1391" i="45"/>
  <c r="H1391" i="45"/>
  <c r="J1391" i="45" s="1"/>
  <c r="AU1398" i="45"/>
  <c r="AQ1398" i="45"/>
  <c r="AM1398" i="45"/>
  <c r="AI1398" i="45"/>
  <c r="AE1398" i="45"/>
  <c r="AA1398" i="45"/>
  <c r="W1398" i="45"/>
  <c r="S1398" i="45"/>
  <c r="O1398" i="45"/>
  <c r="AT1398" i="45"/>
  <c r="AP1398" i="45"/>
  <c r="AL1398" i="45"/>
  <c r="AH1398" i="45"/>
  <c r="AD1398" i="45"/>
  <c r="Z1398" i="45"/>
  <c r="V1398" i="45"/>
  <c r="R1398" i="45"/>
  <c r="N1398" i="45"/>
  <c r="AS1398" i="45"/>
  <c r="AO1398" i="45"/>
  <c r="AK1398" i="45"/>
  <c r="AG1398" i="45"/>
  <c r="AC1398" i="45"/>
  <c r="Y1398" i="45"/>
  <c r="U1398" i="45"/>
  <c r="Q1398" i="45"/>
  <c r="M1398" i="45"/>
  <c r="AR1398" i="45"/>
  <c r="AB1398" i="45"/>
  <c r="L1398" i="45"/>
  <c r="AN1398" i="45"/>
  <c r="X1398" i="45"/>
  <c r="AJ1398" i="45"/>
  <c r="T1398" i="45"/>
  <c r="AF1398" i="45"/>
  <c r="P1398" i="45"/>
  <c r="H1398" i="45"/>
  <c r="J1398" i="45" s="1"/>
  <c r="AS1366" i="45"/>
  <c r="AO1366" i="45"/>
  <c r="AK1366" i="45"/>
  <c r="AG1366" i="45"/>
  <c r="AC1366" i="45"/>
  <c r="Y1366" i="45"/>
  <c r="U1366" i="45"/>
  <c r="Q1366" i="45"/>
  <c r="M1366" i="45"/>
  <c r="AR1366" i="45"/>
  <c r="AN1366" i="45"/>
  <c r="AJ1366" i="45"/>
  <c r="AF1366" i="45"/>
  <c r="AB1366" i="45"/>
  <c r="X1366" i="45"/>
  <c r="T1366" i="45"/>
  <c r="P1366" i="45"/>
  <c r="L1366" i="45"/>
  <c r="AU1366" i="45"/>
  <c r="AQ1366" i="45"/>
  <c r="AM1366" i="45"/>
  <c r="AI1366" i="45"/>
  <c r="AE1366" i="45"/>
  <c r="AA1366" i="45"/>
  <c r="W1366" i="45"/>
  <c r="S1366" i="45"/>
  <c r="O1366" i="45"/>
  <c r="AH1366" i="45"/>
  <c r="R1366" i="45"/>
  <c r="AT1366" i="45"/>
  <c r="AD1366" i="45"/>
  <c r="N1366" i="45"/>
  <c r="AP1366" i="45"/>
  <c r="Z1366" i="45"/>
  <c r="AL1366" i="45"/>
  <c r="V1366" i="45"/>
  <c r="H1366" i="45"/>
  <c r="J1366" i="45" s="1"/>
  <c r="AT1350" i="45"/>
  <c r="AP1350" i="45"/>
  <c r="AL1350" i="45"/>
  <c r="AH1350" i="45"/>
  <c r="AD1350" i="45"/>
  <c r="Z1350" i="45"/>
  <c r="V1350" i="45"/>
  <c r="R1350" i="45"/>
  <c r="N1350" i="45"/>
  <c r="AS1350" i="45"/>
  <c r="AO1350" i="45"/>
  <c r="AK1350" i="45"/>
  <c r="AG1350" i="45"/>
  <c r="AC1350" i="45"/>
  <c r="Y1350" i="45"/>
  <c r="U1350" i="45"/>
  <c r="Q1350" i="45"/>
  <c r="M1350" i="45"/>
  <c r="AR1350" i="45"/>
  <c r="AN1350" i="45"/>
  <c r="AJ1350" i="45"/>
  <c r="AF1350" i="45"/>
  <c r="AB1350" i="45"/>
  <c r="X1350" i="45"/>
  <c r="T1350" i="45"/>
  <c r="P1350" i="45"/>
  <c r="L1350" i="45"/>
  <c r="AU1350" i="45"/>
  <c r="AE1350" i="45"/>
  <c r="O1350" i="45"/>
  <c r="AQ1350" i="45"/>
  <c r="AA1350" i="45"/>
  <c r="AM1350" i="45"/>
  <c r="W1350" i="45"/>
  <c r="AI1350" i="45"/>
  <c r="S1350" i="45"/>
  <c r="H1350" i="45"/>
  <c r="J1350" i="45" s="1"/>
  <c r="AR1424" i="45"/>
  <c r="AN1424" i="45"/>
  <c r="AJ1424" i="45"/>
  <c r="AF1424" i="45"/>
  <c r="AB1424" i="45"/>
  <c r="X1424" i="45"/>
  <c r="T1424" i="45"/>
  <c r="P1424" i="45"/>
  <c r="L1424" i="45"/>
  <c r="AU1424" i="45"/>
  <c r="AQ1424" i="45"/>
  <c r="AM1424" i="45"/>
  <c r="AI1424" i="45"/>
  <c r="AE1424" i="45"/>
  <c r="AA1424" i="45"/>
  <c r="W1424" i="45"/>
  <c r="S1424" i="45"/>
  <c r="O1424" i="45"/>
  <c r="AT1424" i="45"/>
  <c r="AL1424" i="45"/>
  <c r="AD1424" i="45"/>
  <c r="V1424" i="45"/>
  <c r="N1424" i="45"/>
  <c r="AS1424" i="45"/>
  <c r="AK1424" i="45"/>
  <c r="AC1424" i="45"/>
  <c r="U1424" i="45"/>
  <c r="M1424" i="45"/>
  <c r="AP1424" i="45"/>
  <c r="AH1424" i="45"/>
  <c r="Z1424" i="45"/>
  <c r="R1424" i="45"/>
  <c r="Q1424" i="45"/>
  <c r="AO1424" i="45"/>
  <c r="AG1424" i="45"/>
  <c r="Y1424" i="45"/>
  <c r="H1424" i="45"/>
  <c r="J1424" i="45" s="1"/>
  <c r="AS1368" i="45"/>
  <c r="AO1368" i="45"/>
  <c r="AK1368" i="45"/>
  <c r="AG1368" i="45"/>
  <c r="AC1368" i="45"/>
  <c r="Y1368" i="45"/>
  <c r="U1368" i="45"/>
  <c r="Q1368" i="45"/>
  <c r="M1368" i="45"/>
  <c r="AR1368" i="45"/>
  <c r="AN1368" i="45"/>
  <c r="AJ1368" i="45"/>
  <c r="AF1368" i="45"/>
  <c r="AB1368" i="45"/>
  <c r="X1368" i="45"/>
  <c r="T1368" i="45"/>
  <c r="P1368" i="45"/>
  <c r="L1368" i="45"/>
  <c r="AU1368" i="45"/>
  <c r="AQ1368" i="45"/>
  <c r="AM1368" i="45"/>
  <c r="AI1368" i="45"/>
  <c r="AE1368" i="45"/>
  <c r="AA1368" i="45"/>
  <c r="W1368" i="45"/>
  <c r="S1368" i="45"/>
  <c r="O1368" i="45"/>
  <c r="AP1368" i="45"/>
  <c r="Z1368" i="45"/>
  <c r="AL1368" i="45"/>
  <c r="V1368" i="45"/>
  <c r="AH1368" i="45"/>
  <c r="R1368" i="45"/>
  <c r="AT1368" i="45"/>
  <c r="AD1368" i="45"/>
  <c r="N1368" i="45"/>
  <c r="H1368" i="45"/>
  <c r="J1368" i="45" s="1"/>
  <c r="AS1354" i="45"/>
  <c r="AO1354" i="45"/>
  <c r="AK1354" i="45"/>
  <c r="AG1354" i="45"/>
  <c r="AC1354" i="45"/>
  <c r="Y1354" i="45"/>
  <c r="U1354" i="45"/>
  <c r="Q1354" i="45"/>
  <c r="M1354" i="45"/>
  <c r="AR1354" i="45"/>
  <c r="AN1354" i="45"/>
  <c r="AJ1354" i="45"/>
  <c r="AF1354" i="45"/>
  <c r="AB1354" i="45"/>
  <c r="X1354" i="45"/>
  <c r="T1354" i="45"/>
  <c r="P1354" i="45"/>
  <c r="L1354" i="45"/>
  <c r="AU1354" i="45"/>
  <c r="AQ1354" i="45"/>
  <c r="AM1354" i="45"/>
  <c r="AI1354" i="45"/>
  <c r="AE1354" i="45"/>
  <c r="AA1354" i="45"/>
  <c r="W1354" i="45"/>
  <c r="S1354" i="45"/>
  <c r="O1354" i="45"/>
  <c r="AH1354" i="45"/>
  <c r="R1354" i="45"/>
  <c r="AT1354" i="45"/>
  <c r="AD1354" i="45"/>
  <c r="N1354" i="45"/>
  <c r="AP1354" i="45"/>
  <c r="Z1354" i="45"/>
  <c r="AL1354" i="45"/>
  <c r="V1354" i="45"/>
  <c r="H1354" i="45"/>
  <c r="J1354" i="45" s="1"/>
  <c r="AR1414" i="45"/>
  <c r="AN1414" i="45"/>
  <c r="AJ1414" i="45"/>
  <c r="AF1414" i="45"/>
  <c r="AB1414" i="45"/>
  <c r="X1414" i="45"/>
  <c r="T1414" i="45"/>
  <c r="P1414" i="45"/>
  <c r="L1414" i="45"/>
  <c r="AU1414" i="45"/>
  <c r="AQ1414" i="45"/>
  <c r="AM1414" i="45"/>
  <c r="AI1414" i="45"/>
  <c r="AE1414" i="45"/>
  <c r="AA1414" i="45"/>
  <c r="W1414" i="45"/>
  <c r="S1414" i="45"/>
  <c r="O1414" i="45"/>
  <c r="AT1414" i="45"/>
  <c r="AL1414" i="45"/>
  <c r="AD1414" i="45"/>
  <c r="V1414" i="45"/>
  <c r="N1414" i="45"/>
  <c r="AS1414" i="45"/>
  <c r="AK1414" i="45"/>
  <c r="AC1414" i="45"/>
  <c r="U1414" i="45"/>
  <c r="M1414" i="45"/>
  <c r="AP1414" i="45"/>
  <c r="AH1414" i="45"/>
  <c r="Z1414" i="45"/>
  <c r="R1414" i="45"/>
  <c r="Y1414" i="45"/>
  <c r="Q1414" i="45"/>
  <c r="AO1414" i="45"/>
  <c r="AG1414" i="45"/>
  <c r="H1414" i="45"/>
  <c r="J1414" i="45" s="1"/>
  <c r="J1335" i="45"/>
  <c r="AR1440" i="45"/>
  <c r="AN1440" i="45"/>
  <c r="AJ1440" i="45"/>
  <c r="AF1440" i="45"/>
  <c r="AB1440" i="45"/>
  <c r="X1440" i="45"/>
  <c r="T1440" i="45"/>
  <c r="P1440" i="45"/>
  <c r="L1440" i="45"/>
  <c r="AT1440" i="45"/>
  <c r="AP1440" i="45"/>
  <c r="AL1440" i="45"/>
  <c r="AH1440" i="45"/>
  <c r="AD1440" i="45"/>
  <c r="Z1440" i="45"/>
  <c r="V1440" i="45"/>
  <c r="R1440" i="45"/>
  <c r="N1440" i="45"/>
  <c r="AS1440" i="45"/>
  <c r="AK1440" i="45"/>
  <c r="AC1440" i="45"/>
  <c r="U1440" i="45"/>
  <c r="M1440" i="45"/>
  <c r="AQ1440" i="45"/>
  <c r="AI1440" i="45"/>
  <c r="AA1440" i="45"/>
  <c r="S1440" i="45"/>
  <c r="AO1440" i="45"/>
  <c r="AG1440" i="45"/>
  <c r="Y1440" i="45"/>
  <c r="Q1440" i="45"/>
  <c r="AU1440" i="45"/>
  <c r="AM1440" i="45"/>
  <c r="AE1440" i="45"/>
  <c r="W1440" i="45"/>
  <c r="O1440" i="45"/>
  <c r="H1440" i="45"/>
  <c r="Q200" i="50"/>
  <c r="AR200" i="50" s="1"/>
  <c r="AA227" i="45"/>
  <c r="Y8" i="45"/>
  <c r="Y12" i="45" s="1"/>
  <c r="AA201" i="45"/>
  <c r="BP6" i="44"/>
  <c r="AB199" i="45"/>
  <c r="AC217" i="45"/>
  <c r="AE197" i="45"/>
  <c r="AA209" i="45"/>
  <c r="AA207" i="45"/>
  <c r="AC189" i="45"/>
  <c r="AT205" i="45"/>
  <c r="AB206" i="45"/>
  <c r="AA195" i="45"/>
  <c r="AC279" i="45"/>
  <c r="AA271" i="45"/>
  <c r="AA275" i="45"/>
  <c r="AH270" i="45"/>
  <c r="AA272" i="45"/>
  <c r="AI268" i="45"/>
  <c r="AB274" i="45"/>
  <c r="AB266" i="45"/>
  <c r="AC278" i="45"/>
  <c r="AB277" i="45"/>
  <c r="AA273" i="45"/>
  <c r="AB276" i="45"/>
  <c r="AA263" i="45"/>
  <c r="AB264" i="45"/>
  <c r="AB262" i="45"/>
  <c r="AL243" i="45"/>
  <c r="AO254" i="45"/>
  <c r="AC242" i="45"/>
  <c r="AC234" i="45"/>
  <c r="AD250" i="45"/>
  <c r="AD258" i="45"/>
  <c r="AC238" i="45"/>
  <c r="AB246" i="45"/>
  <c r="AB224" i="45"/>
  <c r="AB196" i="45"/>
  <c r="AB194" i="45"/>
  <c r="AB261" i="45"/>
  <c r="AB210" i="45"/>
  <c r="AB255" i="45"/>
  <c r="AB230" i="45"/>
  <c r="AB219" i="45"/>
  <c r="AB229" i="45"/>
  <c r="AA218" i="45"/>
  <c r="AA221" i="45"/>
  <c r="AB239" i="45"/>
  <c r="AB192" i="45"/>
  <c r="AB213" i="45"/>
  <c r="AB223" i="45"/>
  <c r="AB233" i="45"/>
  <c r="AB256" i="45"/>
  <c r="AD193" i="45"/>
  <c r="AA203" i="45"/>
  <c r="AB237" i="45"/>
  <c r="AB212" i="45"/>
  <c r="AB248" i="45"/>
  <c r="AB232" i="45"/>
  <c r="AB236" i="45"/>
  <c r="AB222" i="45"/>
  <c r="AB214" i="45"/>
  <c r="AC216" i="45"/>
  <c r="AG253" i="45"/>
  <c r="AB244" i="45"/>
  <c r="AC208" i="45"/>
  <c r="AC191" i="45"/>
  <c r="AC220" i="45"/>
  <c r="AB187" i="45"/>
  <c r="AB252" i="45"/>
  <c r="AB215" i="45"/>
  <c r="AC231" i="45"/>
  <c r="AB198" i="45"/>
  <c r="AB245" i="45"/>
  <c r="AB200" i="45"/>
  <c r="AB225" i="45"/>
  <c r="AB190" i="45"/>
  <c r="AB226" i="45"/>
  <c r="AB259" i="45"/>
  <c r="AB249" i="45"/>
  <c r="AB211" i="45"/>
  <c r="AB260" i="45"/>
  <c r="AC204" i="45"/>
  <c r="AB257" i="45"/>
  <c r="AB186" i="45"/>
  <c r="AR20" i="50"/>
  <c r="AR23" i="50"/>
  <c r="AR26" i="50"/>
  <c r="AR13" i="50"/>
  <c r="AR15" i="50"/>
  <c r="AR17" i="50"/>
  <c r="AR19" i="50"/>
  <c r="AR16" i="50"/>
  <c r="AR27" i="50"/>
  <c r="AR14" i="50"/>
  <c r="V3" i="45"/>
  <c r="BP9" i="44" a="1"/>
  <c r="BP9" i="44" l="1"/>
  <c r="AA816" i="45"/>
  <c r="AA921" i="45"/>
  <c r="AB396" i="45"/>
  <c r="AB711" i="45"/>
  <c r="AB1026" i="45"/>
  <c r="AB1131" i="45"/>
  <c r="AB1236" i="45"/>
  <c r="AU1392" i="45"/>
  <c r="AQ1392" i="45"/>
  <c r="AM1392" i="45"/>
  <c r="AI1392" i="45"/>
  <c r="AE1392" i="45"/>
  <c r="AA1392" i="45"/>
  <c r="W1392" i="45"/>
  <c r="S1392" i="45"/>
  <c r="O1392" i="45"/>
  <c r="AT1392" i="45"/>
  <c r="AP1392" i="45"/>
  <c r="AL1392" i="45"/>
  <c r="AH1392" i="45"/>
  <c r="AD1392" i="45"/>
  <c r="Z1392" i="45"/>
  <c r="V1392" i="45"/>
  <c r="R1392" i="45"/>
  <c r="N1392" i="45"/>
  <c r="AS1392" i="45"/>
  <c r="AO1392" i="45"/>
  <c r="AK1392" i="45"/>
  <c r="AG1392" i="45"/>
  <c r="AC1392" i="45"/>
  <c r="Y1392" i="45"/>
  <c r="U1392" i="45"/>
  <c r="Q1392" i="45"/>
  <c r="M1392" i="45"/>
  <c r="AJ1392" i="45"/>
  <c r="T1392" i="45"/>
  <c r="AF1392" i="45"/>
  <c r="P1392" i="45"/>
  <c r="AR1392" i="45"/>
  <c r="AB1392" i="45"/>
  <c r="L1392" i="45"/>
  <c r="AN1392" i="45"/>
  <c r="X1392" i="45"/>
  <c r="H1392" i="45"/>
  <c r="J1392" i="45" s="1"/>
  <c r="AR1402" i="45"/>
  <c r="AN1402" i="45"/>
  <c r="AJ1402" i="45"/>
  <c r="AF1402" i="45"/>
  <c r="AB1402" i="45"/>
  <c r="X1402" i="45"/>
  <c r="T1402" i="45"/>
  <c r="P1402" i="45"/>
  <c r="AU1402" i="45"/>
  <c r="AQ1402" i="45"/>
  <c r="AM1402" i="45"/>
  <c r="AI1402" i="45"/>
  <c r="AE1402" i="45"/>
  <c r="AA1402" i="45"/>
  <c r="W1402" i="45"/>
  <c r="S1402" i="45"/>
  <c r="AT1402" i="45"/>
  <c r="AL1402" i="45"/>
  <c r="AD1402" i="45"/>
  <c r="V1402" i="45"/>
  <c r="O1402" i="45"/>
  <c r="AS1402" i="45"/>
  <c r="AK1402" i="45"/>
  <c r="AC1402" i="45"/>
  <c r="U1402" i="45"/>
  <c r="N1402" i="45"/>
  <c r="AP1402" i="45"/>
  <c r="AH1402" i="45"/>
  <c r="Z1402" i="45"/>
  <c r="R1402" i="45"/>
  <c r="M1402" i="45"/>
  <c r="AO1402" i="45"/>
  <c r="L1402" i="45"/>
  <c r="AG1402" i="45"/>
  <c r="Y1402" i="45"/>
  <c r="Q1402" i="45"/>
  <c r="H1402" i="45"/>
  <c r="J1402" i="45" s="1"/>
  <c r="AU1397" i="45"/>
  <c r="AQ1397" i="45"/>
  <c r="AM1397" i="45"/>
  <c r="AI1397" i="45"/>
  <c r="AE1397" i="45"/>
  <c r="AA1397" i="45"/>
  <c r="W1397" i="45"/>
  <c r="S1397" i="45"/>
  <c r="O1397" i="45"/>
  <c r="AT1397" i="45"/>
  <c r="AP1397" i="45"/>
  <c r="AL1397" i="45"/>
  <c r="AH1397" i="45"/>
  <c r="AD1397" i="45"/>
  <c r="Z1397" i="45"/>
  <c r="V1397" i="45"/>
  <c r="R1397" i="45"/>
  <c r="N1397" i="45"/>
  <c r="AS1397" i="45"/>
  <c r="AO1397" i="45"/>
  <c r="AK1397" i="45"/>
  <c r="AG1397" i="45"/>
  <c r="AC1397" i="45"/>
  <c r="Y1397" i="45"/>
  <c r="U1397" i="45"/>
  <c r="Q1397" i="45"/>
  <c r="M1397" i="45"/>
  <c r="AF1397" i="45"/>
  <c r="P1397" i="45"/>
  <c r="AR1397" i="45"/>
  <c r="AB1397" i="45"/>
  <c r="L1397" i="45"/>
  <c r="AN1397" i="45"/>
  <c r="X1397" i="45"/>
  <c r="T1397" i="45"/>
  <c r="AJ1397" i="45"/>
  <c r="H1397" i="45"/>
  <c r="J1397" i="45" s="1"/>
  <c r="J1440" i="45"/>
  <c r="AB227" i="45"/>
  <c r="R200" i="50"/>
  <c r="Z8" i="45"/>
  <c r="Z12" i="45" s="1"/>
  <c r="AB201" i="45"/>
  <c r="BQ6" i="44"/>
  <c r="AC199" i="45"/>
  <c r="AB207" i="45"/>
  <c r="AF197" i="45"/>
  <c r="AD217" i="45"/>
  <c r="AU205" i="45"/>
  <c r="AC206" i="45"/>
  <c r="AD189" i="45"/>
  <c r="AB209" i="45"/>
  <c r="AB195" i="45"/>
  <c r="AD279" i="45"/>
  <c r="AD278" i="45"/>
  <c r="AC266" i="45"/>
  <c r="AC274" i="45"/>
  <c r="AI270" i="45"/>
  <c r="AB271" i="45"/>
  <c r="AB273" i="45"/>
  <c r="AC277" i="45"/>
  <c r="AB275" i="45"/>
  <c r="AC276" i="45"/>
  <c r="AJ268" i="45"/>
  <c r="AB272" i="45"/>
  <c r="AC262" i="45"/>
  <c r="AC264" i="45"/>
  <c r="AB263" i="45"/>
  <c r="AM243" i="45"/>
  <c r="AC246" i="45"/>
  <c r="AD234" i="45"/>
  <c r="AD242" i="45"/>
  <c r="AD238" i="45"/>
  <c r="AE258" i="45"/>
  <c r="AE250" i="45"/>
  <c r="AP254" i="45"/>
  <c r="AR18" i="50"/>
  <c r="AR21" i="50" s="1"/>
  <c r="AR25" i="50" s="1"/>
  <c r="AR28" i="50" s="1"/>
  <c r="AR29" i="50" s="1"/>
  <c r="AC259" i="45"/>
  <c r="AC245" i="45"/>
  <c r="AC198" i="45"/>
  <c r="AC187" i="45"/>
  <c r="AD220" i="45"/>
  <c r="AD191" i="45"/>
  <c r="AD208" i="45"/>
  <c r="AC244" i="45"/>
  <c r="AH253" i="45"/>
  <c r="AD216" i="45"/>
  <c r="AC237" i="45"/>
  <c r="AB221" i="45"/>
  <c r="AB218" i="45"/>
  <c r="AC186" i="45"/>
  <c r="AC257" i="45"/>
  <c r="AD204" i="45"/>
  <c r="AC226" i="45"/>
  <c r="AD231" i="45"/>
  <c r="AC214" i="45"/>
  <c r="AC222" i="45"/>
  <c r="AB203" i="45"/>
  <c r="AC229" i="45"/>
  <c r="AC219" i="45"/>
  <c r="AC230" i="45"/>
  <c r="AC255" i="45"/>
  <c r="AC210" i="45"/>
  <c r="AC260" i="45"/>
  <c r="AC190" i="45"/>
  <c r="AC225" i="45"/>
  <c r="AC215" i="45"/>
  <c r="AC236" i="45"/>
  <c r="AE193" i="45"/>
  <c r="AC256" i="45"/>
  <c r="AC233" i="45"/>
  <c r="AC261" i="45"/>
  <c r="AC211" i="45"/>
  <c r="AC249" i="45"/>
  <c r="AC200" i="45"/>
  <c r="AC252" i="45"/>
  <c r="AC232" i="45"/>
  <c r="AC248" i="45"/>
  <c r="AC212" i="45"/>
  <c r="AC223" i="45"/>
  <c r="AC213" i="45"/>
  <c r="AC192" i="45"/>
  <c r="AC239" i="45"/>
  <c r="AC194" i="45"/>
  <c r="AC196" i="45"/>
  <c r="AC224" i="45"/>
  <c r="W3" i="45"/>
  <c r="BQ9" i="44" a="1"/>
  <c r="BQ9" i="44" l="1"/>
  <c r="AC396" i="45"/>
  <c r="AC711" i="45"/>
  <c r="AC1026" i="45"/>
  <c r="AC1131" i="45"/>
  <c r="AC1236" i="45"/>
  <c r="AB816" i="45"/>
  <c r="AB921" i="45"/>
  <c r="AC227" i="45"/>
  <c r="S200" i="50"/>
  <c r="AA8" i="45"/>
  <c r="AA12" i="45" s="1"/>
  <c r="AC201" i="45"/>
  <c r="BR6" i="44"/>
  <c r="AD199" i="45"/>
  <c r="AE189" i="45"/>
  <c r="AD206" i="45"/>
  <c r="AG197" i="45"/>
  <c r="AC207" i="45"/>
  <c r="AC209" i="45"/>
  <c r="AE217" i="45"/>
  <c r="AC195" i="45"/>
  <c r="AE279" i="45"/>
  <c r="AD274" i="45"/>
  <c r="AD276" i="45"/>
  <c r="AD277" i="45"/>
  <c r="AC273" i="45"/>
  <c r="AE278" i="45"/>
  <c r="AC272" i="45"/>
  <c r="AC271" i="45"/>
  <c r="AJ270" i="45"/>
  <c r="AD266" i="45"/>
  <c r="AK268" i="45"/>
  <c r="AC275" i="45"/>
  <c r="AD262" i="45"/>
  <c r="AC263" i="45"/>
  <c r="AD264" i="45"/>
  <c r="AN243" i="45"/>
  <c r="AQ254" i="45"/>
  <c r="AF250" i="45"/>
  <c r="AE242" i="45"/>
  <c r="AD246" i="45"/>
  <c r="AE234" i="45"/>
  <c r="AF258" i="45"/>
  <c r="AE238" i="45"/>
  <c r="AD196" i="45"/>
  <c r="AD192" i="45"/>
  <c r="AD248" i="45"/>
  <c r="AD232" i="45"/>
  <c r="AD252" i="45"/>
  <c r="AD256" i="45"/>
  <c r="AF193" i="45"/>
  <c r="AD236" i="45"/>
  <c r="AD215" i="45"/>
  <c r="AD255" i="45"/>
  <c r="AD222" i="45"/>
  <c r="AD214" i="45"/>
  <c r="AE231" i="45"/>
  <c r="AD226" i="45"/>
  <c r="AD237" i="45"/>
  <c r="AE208" i="45"/>
  <c r="AD194" i="45"/>
  <c r="AD213" i="45"/>
  <c r="AD223" i="45"/>
  <c r="AD200" i="45"/>
  <c r="AD230" i="45"/>
  <c r="AE204" i="45"/>
  <c r="AE216" i="45"/>
  <c r="AE191" i="45"/>
  <c r="AD249" i="45"/>
  <c r="AD211" i="45"/>
  <c r="AD261" i="45"/>
  <c r="AD225" i="45"/>
  <c r="AD190" i="45"/>
  <c r="AD260" i="45"/>
  <c r="AD219" i="45"/>
  <c r="AD229" i="45"/>
  <c r="AC203" i="45"/>
  <c r="AD257" i="45"/>
  <c r="AD186" i="45"/>
  <c r="AI253" i="45"/>
  <c r="AE220" i="45"/>
  <c r="AD187" i="45"/>
  <c r="AD224" i="45"/>
  <c r="AD239" i="45"/>
  <c r="AD212" i="45"/>
  <c r="AD233" i="45"/>
  <c r="AD210" i="45"/>
  <c r="AC218" i="45"/>
  <c r="AC221" i="45"/>
  <c r="AD244" i="45"/>
  <c r="AD198" i="45"/>
  <c r="AD245" i="45"/>
  <c r="AD259" i="45"/>
  <c r="X3" i="45"/>
  <c r="BR9" i="44" a="1"/>
  <c r="BR9" i="44" l="1"/>
  <c r="AD396" i="45"/>
  <c r="AD711" i="45"/>
  <c r="AD1026" i="45"/>
  <c r="AD1131" i="45"/>
  <c r="AD1236" i="45"/>
  <c r="AC816" i="45"/>
  <c r="AC921" i="45"/>
  <c r="AD227" i="45"/>
  <c r="T200" i="50"/>
  <c r="AS200" i="50" s="1"/>
  <c r="AB8" i="45"/>
  <c r="AB12" i="45" s="1"/>
  <c r="AD201" i="45"/>
  <c r="BS6" i="44"/>
  <c r="AE199" i="45"/>
  <c r="AD207" i="45"/>
  <c r="AH197" i="45"/>
  <c r="AE206" i="45"/>
  <c r="AF217" i="45"/>
  <c r="AF189" i="45"/>
  <c r="AD209" i="45"/>
  <c r="AD195" i="45"/>
  <c r="AF279" i="45"/>
  <c r="AD275" i="45"/>
  <c r="AL268" i="45"/>
  <c r="AK270" i="45"/>
  <c r="AD271" i="45"/>
  <c r="AD273" i="45"/>
  <c r="AE276" i="45"/>
  <c r="AE266" i="45"/>
  <c r="AF278" i="45"/>
  <c r="AE274" i="45"/>
  <c r="AD272" i="45"/>
  <c r="AE277" i="45"/>
  <c r="AE264" i="45"/>
  <c r="AD263" i="45"/>
  <c r="AE262" i="45"/>
  <c r="AO243" i="45"/>
  <c r="AE246" i="45"/>
  <c r="AG250" i="45"/>
  <c r="AF238" i="45"/>
  <c r="AG258" i="45"/>
  <c r="AR254" i="45"/>
  <c r="AF234" i="45"/>
  <c r="AF242" i="45"/>
  <c r="AD221" i="45"/>
  <c r="AD218" i="45"/>
  <c r="AE210" i="45"/>
  <c r="AE233" i="45"/>
  <c r="AE212" i="45"/>
  <c r="AE239" i="45"/>
  <c r="AE224" i="45"/>
  <c r="AE229" i="45"/>
  <c r="AE219" i="45"/>
  <c r="AE211" i="45"/>
  <c r="AE249" i="45"/>
  <c r="AF191" i="45"/>
  <c r="AF216" i="45"/>
  <c r="AF204" i="45"/>
  <c r="AE230" i="45"/>
  <c r="AE226" i="45"/>
  <c r="AE236" i="45"/>
  <c r="AE187" i="45"/>
  <c r="AF220" i="45"/>
  <c r="AJ253" i="45"/>
  <c r="AE260" i="45"/>
  <c r="AE200" i="45"/>
  <c r="AF231" i="45"/>
  <c r="AG193" i="45"/>
  <c r="AE256" i="45"/>
  <c r="AE259" i="45"/>
  <c r="AE186" i="45"/>
  <c r="AE257" i="45"/>
  <c r="AE190" i="45"/>
  <c r="AE225" i="45"/>
  <c r="AE223" i="45"/>
  <c r="AE213" i="45"/>
  <c r="AE194" i="45"/>
  <c r="AF208" i="45"/>
  <c r="AE214" i="45"/>
  <c r="AE222" i="45"/>
  <c r="AE255" i="45"/>
  <c r="AE252" i="45"/>
  <c r="AE245" i="45"/>
  <c r="AE198" i="45"/>
  <c r="AE244" i="45"/>
  <c r="AD203" i="45"/>
  <c r="AE261" i="45"/>
  <c r="AE237" i="45"/>
  <c r="AE215" i="45"/>
  <c r="AE232" i="45"/>
  <c r="AE248" i="45"/>
  <c r="AE192" i="45"/>
  <c r="AE196" i="45"/>
  <c r="AS16" i="50"/>
  <c r="AS13" i="50"/>
  <c r="AS20" i="50"/>
  <c r="AS15" i="50"/>
  <c r="AS27" i="50"/>
  <c r="AS23" i="50"/>
  <c r="AS17" i="50"/>
  <c r="AS14" i="50"/>
  <c r="AS26" i="50"/>
  <c r="AS19" i="50"/>
  <c r="Y3" i="45"/>
  <c r="BS9" i="44" a="1"/>
  <c r="BS9" i="44" l="1"/>
  <c r="AE396" i="45"/>
  <c r="AE711" i="45"/>
  <c r="AE1131" i="45"/>
  <c r="AE1026" i="45"/>
  <c r="AE1236" i="45"/>
  <c r="AD816" i="45"/>
  <c r="AD921" i="45"/>
  <c r="AE227" i="45"/>
  <c r="U200" i="50"/>
  <c r="AC8" i="45"/>
  <c r="AC12" i="45" s="1"/>
  <c r="AE201" i="45"/>
  <c r="BT6" i="44"/>
  <c r="AF199" i="45"/>
  <c r="AG189" i="45"/>
  <c r="AF206" i="45"/>
  <c r="AG217" i="45"/>
  <c r="AI197" i="45"/>
  <c r="AE209" i="45"/>
  <c r="AE207" i="45"/>
  <c r="AE195" i="45"/>
  <c r="AG279" i="45"/>
  <c r="AE272" i="45"/>
  <c r="AG278" i="45"/>
  <c r="AF266" i="45"/>
  <c r="AL270" i="45"/>
  <c r="AM268" i="45"/>
  <c r="AF277" i="45"/>
  <c r="AE273" i="45"/>
  <c r="AE271" i="45"/>
  <c r="AK253" i="45"/>
  <c r="AF274" i="45"/>
  <c r="AF276" i="45"/>
  <c r="AE275" i="45"/>
  <c r="AE263" i="45"/>
  <c r="AF264" i="45"/>
  <c r="AF262" i="45"/>
  <c r="AP243" i="45"/>
  <c r="AG242" i="45"/>
  <c r="AG234" i="45"/>
  <c r="AH258" i="45"/>
  <c r="AG238" i="45"/>
  <c r="AF246" i="45"/>
  <c r="AS254" i="45"/>
  <c r="AH250" i="45"/>
  <c r="AS18" i="50"/>
  <c r="AS21" i="50" s="1"/>
  <c r="AS25" i="50" s="1"/>
  <c r="AS28" i="50" s="1"/>
  <c r="AF192" i="45"/>
  <c r="AF198" i="45"/>
  <c r="AF245" i="45"/>
  <c r="AF252" i="45"/>
  <c r="AF194" i="45"/>
  <c r="AF256" i="45"/>
  <c r="AH193" i="45"/>
  <c r="AG231" i="45"/>
  <c r="AG191" i="45"/>
  <c r="AF219" i="45"/>
  <c r="AF229" i="45"/>
  <c r="AF233" i="45"/>
  <c r="AF248" i="45"/>
  <c r="AF232" i="45"/>
  <c r="AF215" i="45"/>
  <c r="AF255" i="45"/>
  <c r="AF213" i="45"/>
  <c r="AF223" i="45"/>
  <c r="AF200" i="45"/>
  <c r="AF260" i="45"/>
  <c r="AF230" i="45"/>
  <c r="AF224" i="45"/>
  <c r="AF210" i="45"/>
  <c r="AF237" i="45"/>
  <c r="AF261" i="45"/>
  <c r="AE203" i="45"/>
  <c r="AF222" i="45"/>
  <c r="AF214" i="45"/>
  <c r="AF225" i="45"/>
  <c r="AF190" i="45"/>
  <c r="AG204" i="45"/>
  <c r="AF239" i="45"/>
  <c r="AF196" i="45"/>
  <c r="AF244" i="45"/>
  <c r="AG208" i="45"/>
  <c r="AF257" i="45"/>
  <c r="AF186" i="45"/>
  <c r="AF259" i="45"/>
  <c r="AG220" i="45"/>
  <c r="AF187" i="45"/>
  <c r="AF236" i="45"/>
  <c r="AF226" i="45"/>
  <c r="AG216" i="45"/>
  <c r="AF249" i="45"/>
  <c r="AF211" i="45"/>
  <c r="AF212" i="45"/>
  <c r="AE218" i="45"/>
  <c r="AE221" i="45"/>
  <c r="Z3" i="45"/>
  <c r="BT9" i="44" a="1"/>
  <c r="BT9" i="44" l="1"/>
  <c r="AF396" i="45"/>
  <c r="AF711" i="45"/>
  <c r="AF1026" i="45"/>
  <c r="AF1131" i="45"/>
  <c r="AF1236" i="45"/>
  <c r="AE816" i="45"/>
  <c r="AE921" i="45"/>
  <c r="V200" i="50"/>
  <c r="AF227" i="45"/>
  <c r="AD8" i="45"/>
  <c r="AD12" i="45" s="1"/>
  <c r="AF201" i="45"/>
  <c r="BU6" i="44"/>
  <c r="AG199" i="45"/>
  <c r="AJ197" i="45"/>
  <c r="AG206" i="45"/>
  <c r="AF209" i="45"/>
  <c r="AH217" i="45"/>
  <c r="AH189" i="45"/>
  <c r="AF207" i="45"/>
  <c r="AF195" i="45"/>
  <c r="AH279" i="45"/>
  <c r="AF275" i="45"/>
  <c r="AG276" i="45"/>
  <c r="AN268" i="45"/>
  <c r="AM270" i="45"/>
  <c r="AG274" i="45"/>
  <c r="AG266" i="45"/>
  <c r="AH278" i="45"/>
  <c r="AF272" i="45"/>
  <c r="AL253" i="45"/>
  <c r="AG277" i="45"/>
  <c r="AF271" i="45"/>
  <c r="AF273" i="45"/>
  <c r="AG262" i="45"/>
  <c r="AG264" i="45"/>
  <c r="AF263" i="45"/>
  <c r="AQ243" i="45"/>
  <c r="AG246" i="45"/>
  <c r="AH234" i="45"/>
  <c r="AI250" i="45"/>
  <c r="AH238" i="45"/>
  <c r="AI258" i="45"/>
  <c r="AT254" i="45"/>
  <c r="AH242" i="45"/>
  <c r="AG226" i="45"/>
  <c r="AG186" i="45"/>
  <c r="AG257" i="45"/>
  <c r="AH208" i="45"/>
  <c r="AG244" i="45"/>
  <c r="AG196" i="45"/>
  <c r="AG239" i="45"/>
  <c r="AH204" i="45"/>
  <c r="AG261" i="45"/>
  <c r="AG223" i="45"/>
  <c r="AG213" i="45"/>
  <c r="AG255" i="45"/>
  <c r="AH231" i="45"/>
  <c r="AG236" i="45"/>
  <c r="AG190" i="45"/>
  <c r="AG225" i="45"/>
  <c r="AG237" i="45"/>
  <c r="AG210" i="45"/>
  <c r="AG224" i="45"/>
  <c r="AG230" i="45"/>
  <c r="AG215" i="45"/>
  <c r="AI193" i="45"/>
  <c r="AG256" i="45"/>
  <c r="AG194" i="45"/>
  <c r="AF221" i="45"/>
  <c r="AF218" i="45"/>
  <c r="AG212" i="45"/>
  <c r="AG187" i="45"/>
  <c r="AH220" i="45"/>
  <c r="AG214" i="45"/>
  <c r="AG222" i="45"/>
  <c r="AG260" i="45"/>
  <c r="AG232" i="45"/>
  <c r="AG248" i="45"/>
  <c r="AG233" i="45"/>
  <c r="AG252" i="45"/>
  <c r="AG211" i="45"/>
  <c r="AG249" i="45"/>
  <c r="AH216" i="45"/>
  <c r="AG259" i="45"/>
  <c r="AF203" i="45"/>
  <c r="AG200" i="45"/>
  <c r="AG229" i="45"/>
  <c r="AG219" i="45"/>
  <c r="AH191" i="45"/>
  <c r="AG245" i="45"/>
  <c r="AG198" i="45"/>
  <c r="AG192" i="45"/>
  <c r="AS29" i="50"/>
  <c r="AA3" i="45"/>
  <c r="BU9" i="44" a="1"/>
  <c r="BU9" i="44" l="1"/>
  <c r="AG396" i="45"/>
  <c r="AG711" i="45"/>
  <c r="AG1026" i="45"/>
  <c r="AG1131" i="45"/>
  <c r="AG1236" i="45"/>
  <c r="AF816" i="45"/>
  <c r="AF921" i="45"/>
  <c r="W200" i="50"/>
  <c r="AT200" i="50" s="1"/>
  <c r="AG227" i="45"/>
  <c r="AE8" i="45"/>
  <c r="AE12" i="45" s="1"/>
  <c r="AG201" i="45"/>
  <c r="BV6" i="44"/>
  <c r="AH199" i="45"/>
  <c r="AI217" i="45"/>
  <c r="AG209" i="45"/>
  <c r="AH206" i="45"/>
  <c r="AG207" i="45"/>
  <c r="AI189" i="45"/>
  <c r="AK197" i="45"/>
  <c r="AG195" i="45"/>
  <c r="AI279" i="45"/>
  <c r="AH266" i="45"/>
  <c r="AG275" i="45"/>
  <c r="AG273" i="45"/>
  <c r="AM253" i="45"/>
  <c r="AI278" i="45"/>
  <c r="AN270" i="45"/>
  <c r="AO268" i="45"/>
  <c r="AG271" i="45"/>
  <c r="AH277" i="45"/>
  <c r="AG272" i="45"/>
  <c r="AH274" i="45"/>
  <c r="AH276" i="45"/>
  <c r="AG263" i="45"/>
  <c r="AH264" i="45"/>
  <c r="AH262" i="45"/>
  <c r="AR243" i="45"/>
  <c r="AJ258" i="45"/>
  <c r="AI238" i="45"/>
  <c r="AI242" i="45"/>
  <c r="AJ250" i="45"/>
  <c r="AI234" i="45"/>
  <c r="AU254" i="45"/>
  <c r="AH246" i="45"/>
  <c r="AI191" i="45"/>
  <c r="AH249" i="45"/>
  <c r="AH211" i="45"/>
  <c r="AH252" i="45"/>
  <c r="AI220" i="45"/>
  <c r="AH187" i="45"/>
  <c r="AH256" i="45"/>
  <c r="AJ193" i="45"/>
  <c r="AH215" i="45"/>
  <c r="AH237" i="45"/>
  <c r="AI204" i="45"/>
  <c r="AH196" i="45"/>
  <c r="AH192" i="45"/>
  <c r="AH219" i="45"/>
  <c r="AH229" i="45"/>
  <c r="AH233" i="45"/>
  <c r="AH212" i="45"/>
  <c r="AH230" i="45"/>
  <c r="AH225" i="45"/>
  <c r="AH190" i="45"/>
  <c r="AH236" i="45"/>
  <c r="AI231" i="45"/>
  <c r="AH244" i="45"/>
  <c r="AH198" i="45"/>
  <c r="AH245" i="45"/>
  <c r="AH200" i="45"/>
  <c r="AG203" i="45"/>
  <c r="AH259" i="45"/>
  <c r="AH248" i="45"/>
  <c r="AH232" i="45"/>
  <c r="AH260" i="45"/>
  <c r="AG218" i="45"/>
  <c r="AG221" i="45"/>
  <c r="AH224" i="45"/>
  <c r="AH255" i="45"/>
  <c r="AH239" i="45"/>
  <c r="AI208" i="45"/>
  <c r="AI216" i="45"/>
  <c r="AH222" i="45"/>
  <c r="AH214" i="45"/>
  <c r="AH194" i="45"/>
  <c r="AH210" i="45"/>
  <c r="AH213" i="45"/>
  <c r="AH223" i="45"/>
  <c r="AH261" i="45"/>
  <c r="AH257" i="45"/>
  <c r="AH186" i="45"/>
  <c r="AH226" i="45"/>
  <c r="AT14" i="50"/>
  <c r="AT13" i="50"/>
  <c r="AT20" i="50"/>
  <c r="AT17" i="50"/>
  <c r="AT15" i="50"/>
  <c r="AT26" i="50"/>
  <c r="AT27" i="50"/>
  <c r="AT19" i="50"/>
  <c r="AT23" i="50"/>
  <c r="AT16" i="50"/>
  <c r="AB3" i="45"/>
  <c r="BV9" i="44" a="1"/>
  <c r="BV9" i="44" l="1"/>
  <c r="AH396" i="45"/>
  <c r="AH711" i="45"/>
  <c r="AH1026" i="45"/>
  <c r="AH1131" i="45"/>
  <c r="AH1236" i="45"/>
  <c r="AG816" i="45"/>
  <c r="AG921" i="45"/>
  <c r="X200" i="50"/>
  <c r="AH227" i="45"/>
  <c r="AF8" i="45"/>
  <c r="AF12" i="45" s="1"/>
  <c r="AH201" i="45"/>
  <c r="BW6" i="44"/>
  <c r="AI199" i="45"/>
  <c r="AJ189" i="45"/>
  <c r="AI206" i="45"/>
  <c r="AK193" i="45"/>
  <c r="AL197" i="45"/>
  <c r="AH207" i="45"/>
  <c r="AH209" i="45"/>
  <c r="AJ217" i="45"/>
  <c r="AH195" i="45"/>
  <c r="AJ279" i="45"/>
  <c r="AH271" i="45"/>
  <c r="AP268" i="45"/>
  <c r="AO270" i="45"/>
  <c r="AH275" i="45"/>
  <c r="AI266" i="45"/>
  <c r="AI274" i="45"/>
  <c r="AJ278" i="45"/>
  <c r="AN253" i="45"/>
  <c r="AH273" i="45"/>
  <c r="AH272" i="45"/>
  <c r="AI276" i="45"/>
  <c r="AI277" i="45"/>
  <c r="AI264" i="45"/>
  <c r="AH263" i="45"/>
  <c r="AI262" i="45"/>
  <c r="AS243" i="45"/>
  <c r="AI246" i="45"/>
  <c r="AJ234" i="45"/>
  <c r="AJ238" i="45"/>
  <c r="AK258" i="45"/>
  <c r="AK250" i="45"/>
  <c r="AJ242" i="45"/>
  <c r="AI186" i="45"/>
  <c r="AI257" i="45"/>
  <c r="AH221" i="45"/>
  <c r="AH218" i="45"/>
  <c r="AH203" i="45"/>
  <c r="AI200" i="45"/>
  <c r="AI190" i="45"/>
  <c r="AI225" i="45"/>
  <c r="AI230" i="45"/>
  <c r="AI212" i="45"/>
  <c r="AI233" i="45"/>
  <c r="AI256" i="45"/>
  <c r="AI261" i="45"/>
  <c r="AI260" i="45"/>
  <c r="AI245" i="45"/>
  <c r="AI198" i="45"/>
  <c r="AI244" i="45"/>
  <c r="AI229" i="45"/>
  <c r="AI219" i="45"/>
  <c r="AI192" i="45"/>
  <c r="AI196" i="45"/>
  <c r="AJ204" i="45"/>
  <c r="AI187" i="45"/>
  <c r="AJ220" i="45"/>
  <c r="AI223" i="45"/>
  <c r="AI213" i="45"/>
  <c r="AI210" i="45"/>
  <c r="AI194" i="45"/>
  <c r="AI232" i="45"/>
  <c r="AI248" i="45"/>
  <c r="AJ231" i="45"/>
  <c r="AI237" i="45"/>
  <c r="AI252" i="45"/>
  <c r="AI226" i="45"/>
  <c r="AI214" i="45"/>
  <c r="AI222" i="45"/>
  <c r="AJ216" i="45"/>
  <c r="AJ208" i="45"/>
  <c r="AI239" i="45"/>
  <c r="AI255" i="45"/>
  <c r="AI224" i="45"/>
  <c r="AI259" i="45"/>
  <c r="AI236" i="45"/>
  <c r="AI215" i="45"/>
  <c r="AI211" i="45"/>
  <c r="AI249" i="45"/>
  <c r="AJ191" i="45"/>
  <c r="AT18" i="50"/>
  <c r="AT21" i="50" s="1"/>
  <c r="AT25" i="50" s="1"/>
  <c r="AT28" i="50" s="1"/>
  <c r="AU29" i="50" s="1"/>
  <c r="AC3" i="45"/>
  <c r="Y13" i="2"/>
  <c r="X13" i="2"/>
  <c r="W13" i="2"/>
  <c r="V13" i="2"/>
  <c r="U13" i="2"/>
  <c r="T13" i="2"/>
  <c r="S13" i="2"/>
  <c r="R13" i="2"/>
  <c r="Q13" i="2"/>
  <c r="P13" i="2"/>
  <c r="O13" i="2"/>
  <c r="N13" i="2"/>
  <c r="M13" i="2"/>
  <c r="L13" i="2"/>
  <c r="K13" i="2"/>
  <c r="J13" i="2"/>
  <c r="I13" i="2"/>
  <c r="H13" i="2"/>
  <c r="G13" i="2"/>
  <c r="F13" i="2"/>
  <c r="E13" i="2"/>
  <c r="D13" i="2"/>
  <c r="C13" i="2"/>
  <c r="BW9" i="44" a="1"/>
  <c r="BW9" i="44" l="1"/>
  <c r="AH816" i="45"/>
  <c r="AH921" i="45"/>
  <c r="AI396" i="45"/>
  <c r="AI711" i="45"/>
  <c r="AI1026" i="45"/>
  <c r="AI1131" i="45"/>
  <c r="AI1236" i="45"/>
  <c r="AI227" i="45"/>
  <c r="Y200" i="50"/>
  <c r="AG8" i="45"/>
  <c r="AG12" i="45" s="1"/>
  <c r="AI201" i="45"/>
  <c r="BX6" i="44"/>
  <c r="AJ199" i="45"/>
  <c r="AK204" i="45"/>
  <c r="AK191" i="45"/>
  <c r="AK217" i="45"/>
  <c r="AK208" i="45"/>
  <c r="AK220" i="45"/>
  <c r="AK216" i="45"/>
  <c r="AK231" i="45"/>
  <c r="AI209" i="45"/>
  <c r="AL193" i="45"/>
  <c r="AJ206" i="45"/>
  <c r="AK189" i="45"/>
  <c r="AI207" i="45"/>
  <c r="AM197" i="45"/>
  <c r="AI195" i="45"/>
  <c r="AK279" i="45"/>
  <c r="AJ276" i="45"/>
  <c r="AI272" i="45"/>
  <c r="AJ266" i="45"/>
  <c r="AI275" i="45"/>
  <c r="AJ277" i="45"/>
  <c r="AK278" i="45"/>
  <c r="AI273" i="45"/>
  <c r="AO253" i="45"/>
  <c r="AJ274" i="45"/>
  <c r="AP270" i="45"/>
  <c r="AQ268" i="45"/>
  <c r="AI271" i="45"/>
  <c r="AJ262" i="45"/>
  <c r="AI263" i="45"/>
  <c r="AJ264" i="45"/>
  <c r="AT243" i="45"/>
  <c r="AL250" i="45"/>
  <c r="AJ246" i="45"/>
  <c r="AL258" i="45"/>
  <c r="AK238" i="45"/>
  <c r="AK242" i="45"/>
  <c r="AK234" i="45"/>
  <c r="AJ224" i="45"/>
  <c r="AJ248" i="45"/>
  <c r="AK248" i="45" s="1"/>
  <c r="AL248" i="45" s="1"/>
  <c r="AM248" i="45" s="1"/>
  <c r="AN248" i="45" s="1"/>
  <c r="AO248" i="45" s="1"/>
  <c r="AP248" i="45" s="1"/>
  <c r="AQ248" i="45" s="1"/>
  <c r="AR248" i="45" s="1"/>
  <c r="AS248" i="45" s="1"/>
  <c r="AT248" i="45" s="1"/>
  <c r="AU248" i="45" s="1"/>
  <c r="AJ232" i="45"/>
  <c r="AJ187" i="45"/>
  <c r="AJ219" i="45"/>
  <c r="AJ229" i="45"/>
  <c r="AJ233" i="45"/>
  <c r="AK233" i="45" s="1"/>
  <c r="AL233" i="45" s="1"/>
  <c r="AM233" i="45" s="1"/>
  <c r="AN233" i="45" s="1"/>
  <c r="AO233" i="45" s="1"/>
  <c r="AP233" i="45" s="1"/>
  <c r="AQ233" i="45" s="1"/>
  <c r="AR233" i="45" s="1"/>
  <c r="AS233" i="45" s="1"/>
  <c r="AT233" i="45" s="1"/>
  <c r="AU233" i="45" s="1"/>
  <c r="AJ200" i="45"/>
  <c r="AI203" i="45"/>
  <c r="AJ255" i="45"/>
  <c r="AJ194" i="45"/>
  <c r="AJ244" i="45"/>
  <c r="AJ212" i="45"/>
  <c r="AI218" i="45"/>
  <c r="AI221" i="45"/>
  <c r="AJ239" i="45"/>
  <c r="AJ222" i="45"/>
  <c r="AJ214" i="45"/>
  <c r="AJ226" i="45"/>
  <c r="AJ252" i="45"/>
  <c r="AK252" i="45" s="1"/>
  <c r="AL252" i="45" s="1"/>
  <c r="AM252" i="45" s="1"/>
  <c r="AN252" i="45" s="1"/>
  <c r="AO252" i="45" s="1"/>
  <c r="AP252" i="45" s="1"/>
  <c r="AQ252" i="45" s="1"/>
  <c r="AR252" i="45" s="1"/>
  <c r="AS252" i="45" s="1"/>
  <c r="AT252" i="45" s="1"/>
  <c r="AU252" i="45" s="1"/>
  <c r="AJ210" i="45"/>
  <c r="AJ196" i="45"/>
  <c r="AJ198" i="45"/>
  <c r="AJ245" i="45"/>
  <c r="AJ260" i="45"/>
  <c r="AJ261" i="45"/>
  <c r="AJ230" i="45"/>
  <c r="AJ249" i="45"/>
  <c r="AJ211" i="45"/>
  <c r="AJ215" i="45"/>
  <c r="AJ236" i="45"/>
  <c r="AK236" i="45" s="1"/>
  <c r="AL236" i="45" s="1"/>
  <c r="AM236" i="45" s="1"/>
  <c r="AN236" i="45" s="1"/>
  <c r="AO236" i="45" s="1"/>
  <c r="AP236" i="45" s="1"/>
  <c r="AQ236" i="45" s="1"/>
  <c r="AJ259" i="45"/>
  <c r="AJ237" i="45"/>
  <c r="AK237" i="45" s="1"/>
  <c r="AL237" i="45" s="1"/>
  <c r="AM237" i="45" s="1"/>
  <c r="AN237" i="45" s="1"/>
  <c r="AO237" i="45" s="1"/>
  <c r="AP237" i="45" s="1"/>
  <c r="AQ237" i="45" s="1"/>
  <c r="AR237" i="45" s="1"/>
  <c r="AS237" i="45" s="1"/>
  <c r="AT237" i="45" s="1"/>
  <c r="AU237" i="45" s="1"/>
  <c r="AJ213" i="45"/>
  <c r="AJ223" i="45"/>
  <c r="AJ192" i="45"/>
  <c r="AJ256" i="45"/>
  <c r="AJ225" i="45"/>
  <c r="AJ190" i="45"/>
  <c r="AJ257" i="45"/>
  <c r="AJ186" i="45"/>
  <c r="AT29" i="50"/>
  <c r="AD3" i="45"/>
  <c r="I11" i="40"/>
  <c r="I12" i="40"/>
  <c r="H16" i="38"/>
  <c r="G15" i="38"/>
  <c r="F15" i="38" s="1"/>
  <c r="B1" i="38"/>
  <c r="B3" i="38"/>
  <c r="Q16" i="38"/>
  <c r="Q12" i="40" s="1"/>
  <c r="H11" i="40"/>
  <c r="BX9" i="44" a="1"/>
  <c r="BX9" i="44" l="1"/>
  <c r="AI816" i="45"/>
  <c r="AI921" i="45"/>
  <c r="AJ396" i="45"/>
  <c r="AJ711" i="45"/>
  <c r="AJ1026" i="45"/>
  <c r="AJ1131" i="45"/>
  <c r="AJ1236" i="45"/>
  <c r="Z200" i="50"/>
  <c r="AJ227" i="45"/>
  <c r="AH8" i="45"/>
  <c r="AH12" i="45" s="1"/>
  <c r="AJ201" i="45"/>
  <c r="BY6" i="44"/>
  <c r="P11" i="40"/>
  <c r="AK199" i="45"/>
  <c r="AK186" i="45"/>
  <c r="AK226" i="45"/>
  <c r="AK211" i="45"/>
  <c r="AK210" i="45"/>
  <c r="AK225" i="45"/>
  <c r="AK215" i="45"/>
  <c r="AK222" i="45"/>
  <c r="AK219" i="45"/>
  <c r="AL217" i="45"/>
  <c r="AK223" i="45"/>
  <c r="AK224" i="45"/>
  <c r="AK187" i="45"/>
  <c r="AK232" i="45"/>
  <c r="AK190" i="45"/>
  <c r="AK213" i="45"/>
  <c r="AK214" i="45"/>
  <c r="AK212" i="45"/>
  <c r="AK229" i="45"/>
  <c r="AJ207" i="45"/>
  <c r="AL220" i="45"/>
  <c r="AL191" i="45"/>
  <c r="AL204" i="45"/>
  <c r="AL189" i="45"/>
  <c r="AK206" i="45"/>
  <c r="AM193" i="45"/>
  <c r="AJ209" i="45"/>
  <c r="AL231" i="45"/>
  <c r="AL216" i="45"/>
  <c r="AL208" i="45"/>
  <c r="AK230" i="45"/>
  <c r="AK192" i="45"/>
  <c r="AN197" i="45"/>
  <c r="AR236" i="45"/>
  <c r="AK198" i="45"/>
  <c r="AK200" i="45"/>
  <c r="AK196" i="45"/>
  <c r="AK194" i="45"/>
  <c r="AJ195" i="45"/>
  <c r="AL279" i="45"/>
  <c r="AP253" i="45"/>
  <c r="AK277" i="45"/>
  <c r="AK266" i="45"/>
  <c r="AJ272" i="45"/>
  <c r="AK257" i="45"/>
  <c r="AK256" i="45"/>
  <c r="AK255" i="45"/>
  <c r="AR268" i="45"/>
  <c r="AQ270" i="45"/>
  <c r="AK274" i="45"/>
  <c r="AL278" i="45"/>
  <c r="AJ275" i="45"/>
  <c r="AJ271" i="45"/>
  <c r="AJ273" i="45"/>
  <c r="AK276" i="45"/>
  <c r="AK261" i="45"/>
  <c r="AK260" i="45"/>
  <c r="AK264" i="45"/>
  <c r="AK249" i="45"/>
  <c r="AK259" i="45"/>
  <c r="AJ263" i="45"/>
  <c r="AK262" i="45"/>
  <c r="AK245" i="45"/>
  <c r="AK239" i="45"/>
  <c r="AU243" i="45"/>
  <c r="AK244" i="45"/>
  <c r="AK246" i="45"/>
  <c r="AM250" i="45"/>
  <c r="AL234" i="45"/>
  <c r="AL238" i="45"/>
  <c r="AM258" i="45"/>
  <c r="AL242" i="45"/>
  <c r="AJ203" i="45"/>
  <c r="AJ221" i="45"/>
  <c r="AJ218" i="45"/>
  <c r="AE3" i="45"/>
  <c r="G11" i="40"/>
  <c r="E15" i="38"/>
  <c r="F11" i="40"/>
  <c r="O15" i="38"/>
  <c r="BY9" i="44" a="1"/>
  <c r="BY9" i="44" l="1"/>
  <c r="AJ816" i="45"/>
  <c r="AJ921" i="45"/>
  <c r="AK396" i="45"/>
  <c r="AK711" i="45"/>
  <c r="AK1026" i="45"/>
  <c r="AK1131" i="45"/>
  <c r="AK1236" i="45"/>
  <c r="AA200" i="50"/>
  <c r="AK227" i="45"/>
  <c r="AI8" i="45"/>
  <c r="AI12" i="45" s="1"/>
  <c r="BB200" i="50"/>
  <c r="AU200" i="50"/>
  <c r="AK201" i="45"/>
  <c r="BZ6" i="44"/>
  <c r="O11" i="40"/>
  <c r="AL199" i="45"/>
  <c r="AK203" i="45"/>
  <c r="AK218" i="45"/>
  <c r="AM208" i="45"/>
  <c r="AL206" i="45"/>
  <c r="AM220" i="45"/>
  <c r="AL229" i="45"/>
  <c r="AL212" i="45"/>
  <c r="AL214" i="45"/>
  <c r="AL213" i="45"/>
  <c r="AL190" i="45"/>
  <c r="AL232" i="45"/>
  <c r="AL187" i="45"/>
  <c r="AL219" i="45"/>
  <c r="AL222" i="45"/>
  <c r="AL215" i="45"/>
  <c r="AL225" i="45"/>
  <c r="AL210" i="45"/>
  <c r="AL211" i="45"/>
  <c r="AL192" i="45"/>
  <c r="AL230" i="45"/>
  <c r="AM189" i="45"/>
  <c r="AM217" i="45"/>
  <c r="AL226" i="45"/>
  <c r="AL186" i="45"/>
  <c r="AM216" i="45"/>
  <c r="AM231" i="45"/>
  <c r="AK209" i="45"/>
  <c r="AN193" i="45"/>
  <c r="AM204" i="45"/>
  <c r="AM191" i="45"/>
  <c r="AK207" i="45"/>
  <c r="AL224" i="45"/>
  <c r="AL223" i="45"/>
  <c r="AK221" i="45"/>
  <c r="AO197" i="45"/>
  <c r="AS236" i="45"/>
  <c r="AK195" i="45"/>
  <c r="AL200" i="45"/>
  <c r="AL194" i="45"/>
  <c r="AL196" i="45"/>
  <c r="AL198" i="45"/>
  <c r="AM279" i="45"/>
  <c r="AL276" i="45"/>
  <c r="AM278" i="45"/>
  <c r="AL274" i="45"/>
  <c r="AL277" i="45"/>
  <c r="AK275" i="45"/>
  <c r="AL255" i="45"/>
  <c r="AL256" i="45"/>
  <c r="AL257" i="45"/>
  <c r="AL266" i="45"/>
  <c r="AK273" i="45"/>
  <c r="AR270" i="45"/>
  <c r="AS268" i="45"/>
  <c r="AK271" i="45"/>
  <c r="AK272" i="45"/>
  <c r="AQ253" i="45"/>
  <c r="AK263" i="45"/>
  <c r="AL249" i="45"/>
  <c r="AL262" i="45"/>
  <c r="AL259" i="45"/>
  <c r="AL264" i="45"/>
  <c r="AL260" i="45"/>
  <c r="AL261" i="45"/>
  <c r="AL239" i="45"/>
  <c r="AL245" i="45"/>
  <c r="AL244" i="45"/>
  <c r="AM242" i="45"/>
  <c r="AN258" i="45"/>
  <c r="AM238" i="45"/>
  <c r="AM234" i="45"/>
  <c r="AL246" i="45"/>
  <c r="AN250" i="45"/>
  <c r="AF3" i="45"/>
  <c r="N15" i="38"/>
  <c r="D15" i="38"/>
  <c r="E11" i="40"/>
  <c r="BZ9" i="44" a="1"/>
  <c r="BZ9" i="44" l="1"/>
  <c r="AL396" i="45"/>
  <c r="AL711" i="45"/>
  <c r="AL1026" i="45"/>
  <c r="AL1131" i="45"/>
  <c r="AL1236" i="45"/>
  <c r="AK816" i="45"/>
  <c r="AK921" i="45"/>
  <c r="AL227" i="45"/>
  <c r="AB200" i="50"/>
  <c r="AJ8" i="45"/>
  <c r="AJ12" i="45" s="1"/>
  <c r="AL201" i="45"/>
  <c r="CA6" i="44"/>
  <c r="N11" i="40"/>
  <c r="AM199" i="45"/>
  <c r="AL221" i="45"/>
  <c r="AN191" i="45"/>
  <c r="AO193" i="45"/>
  <c r="AN189" i="45"/>
  <c r="AM211" i="45"/>
  <c r="AM210" i="45"/>
  <c r="AM225" i="45"/>
  <c r="AM215" i="45"/>
  <c r="AM222" i="45"/>
  <c r="AM219" i="45"/>
  <c r="AM187" i="45"/>
  <c r="AM232" i="45"/>
  <c r="AM190" i="45"/>
  <c r="AM213" i="45"/>
  <c r="AM214" i="45"/>
  <c r="AM212" i="45"/>
  <c r="AM229" i="45"/>
  <c r="AP197" i="45"/>
  <c r="AL207" i="45"/>
  <c r="AN204" i="45"/>
  <c r="AL209" i="45"/>
  <c r="AN231" i="45"/>
  <c r="AN220" i="45"/>
  <c r="AN216" i="45"/>
  <c r="AM186" i="45"/>
  <c r="AM226" i="45"/>
  <c r="AM230" i="45"/>
  <c r="AM192" i="45"/>
  <c r="AN208" i="45"/>
  <c r="AL218" i="45"/>
  <c r="AL203" i="45"/>
  <c r="AM223" i="45"/>
  <c r="AM224" i="45"/>
  <c r="AN217" i="45"/>
  <c r="AM206" i="45"/>
  <c r="AT236" i="45"/>
  <c r="AM200" i="45"/>
  <c r="AM198" i="45"/>
  <c r="AL195" i="45"/>
  <c r="AM196" i="45"/>
  <c r="AM194" i="45"/>
  <c r="AN279" i="45"/>
  <c r="AL272" i="45"/>
  <c r="AL275" i="45"/>
  <c r="AM274" i="45"/>
  <c r="AN278" i="45"/>
  <c r="AL273" i="45"/>
  <c r="AT268" i="45"/>
  <c r="AS270" i="45"/>
  <c r="AM276" i="45"/>
  <c r="AR253" i="45"/>
  <c r="AL271" i="45"/>
  <c r="AM266" i="45"/>
  <c r="AM257" i="45"/>
  <c r="AM256" i="45"/>
  <c r="AM255" i="45"/>
  <c r="AM277" i="45"/>
  <c r="AM264" i="45"/>
  <c r="AM259" i="45"/>
  <c r="AM261" i="45"/>
  <c r="AM260" i="45"/>
  <c r="AM262" i="45"/>
  <c r="AM249" i="45"/>
  <c r="AL263" i="45"/>
  <c r="AM244" i="45"/>
  <c r="AM245" i="45"/>
  <c r="AM239" i="45"/>
  <c r="AO250" i="45"/>
  <c r="AM246" i="45"/>
  <c r="AN234" i="45"/>
  <c r="AN238" i="45"/>
  <c r="AO258" i="45"/>
  <c r="AN242" i="45"/>
  <c r="AG3" i="45"/>
  <c r="C15" i="38"/>
  <c r="C11" i="40" s="1"/>
  <c r="D11" i="40"/>
  <c r="CA9" i="44" a="1"/>
  <c r="CA9" i="44" l="1"/>
  <c r="AM396" i="45"/>
  <c r="AM711" i="45"/>
  <c r="AM1026" i="45"/>
  <c r="AM1131" i="45"/>
  <c r="AM1236" i="45"/>
  <c r="AL816" i="45"/>
  <c r="AL921" i="45"/>
  <c r="AM227" i="45"/>
  <c r="AC200" i="50"/>
  <c r="AV200" i="50" s="1"/>
  <c r="AK8" i="45"/>
  <c r="AK12" i="45" s="1"/>
  <c r="AM201" i="45"/>
  <c r="CB6" i="44"/>
  <c r="AN199" i="45"/>
  <c r="AO204" i="45"/>
  <c r="AQ197" i="45"/>
  <c r="AN229" i="45"/>
  <c r="AN187" i="45"/>
  <c r="AN225" i="45"/>
  <c r="AO189" i="45"/>
  <c r="AN224" i="45"/>
  <c r="AN223" i="45"/>
  <c r="AM207" i="45"/>
  <c r="AN212" i="45"/>
  <c r="AN214" i="45"/>
  <c r="AN219" i="45"/>
  <c r="AN210" i="45"/>
  <c r="AP193" i="45"/>
  <c r="AO191" i="45"/>
  <c r="AM221" i="45"/>
  <c r="AM203" i="45"/>
  <c r="AM218" i="45"/>
  <c r="AO208" i="45"/>
  <c r="AN192" i="45"/>
  <c r="AN230" i="45"/>
  <c r="AN226" i="45"/>
  <c r="AO231" i="45"/>
  <c r="AM209" i="45"/>
  <c r="AN213" i="45"/>
  <c r="AN190" i="45"/>
  <c r="AN222" i="45"/>
  <c r="AN211" i="45"/>
  <c r="AN206" i="45"/>
  <c r="AO217" i="45"/>
  <c r="AN186" i="45"/>
  <c r="AO216" i="45"/>
  <c r="AO220" i="45"/>
  <c r="AN232" i="45"/>
  <c r="AN215" i="45"/>
  <c r="AU236" i="45"/>
  <c r="AM195" i="45"/>
  <c r="AN198" i="45"/>
  <c r="AN200" i="45"/>
  <c r="AN194" i="45"/>
  <c r="AN196" i="45"/>
  <c r="AO279" i="45"/>
  <c r="AN277" i="45"/>
  <c r="AN255" i="45"/>
  <c r="AS253" i="45"/>
  <c r="AN276" i="45"/>
  <c r="AT270" i="45"/>
  <c r="AU268" i="45"/>
  <c r="AN256" i="45"/>
  <c r="AN257" i="45"/>
  <c r="AN266" i="45"/>
  <c r="AM273" i="45"/>
  <c r="AM271" i="45"/>
  <c r="AO278" i="45"/>
  <c r="AN274" i="45"/>
  <c r="AM275" i="45"/>
  <c r="AM272" i="45"/>
  <c r="AN264" i="45"/>
  <c r="AM263" i="45"/>
  <c r="AN260" i="45"/>
  <c r="AN259" i="45"/>
  <c r="AN249" i="45"/>
  <c r="AN262" i="45"/>
  <c r="AN261" i="45"/>
  <c r="AN239" i="45"/>
  <c r="AN245" i="45"/>
  <c r="AN244" i="45"/>
  <c r="AO242" i="45"/>
  <c r="AN246" i="45"/>
  <c r="AP258" i="45"/>
  <c r="AO238" i="45"/>
  <c r="AP250" i="45"/>
  <c r="AO234" i="45"/>
  <c r="AH3" i="45"/>
  <c r="P16" i="38"/>
  <c r="O16" i="38" s="1"/>
  <c r="N16" i="38" s="1"/>
  <c r="G16" i="38"/>
  <c r="F16" i="38" s="1"/>
  <c r="E16" i="38" s="1"/>
  <c r="D16" i="38" s="1"/>
  <c r="C16" i="38" s="1"/>
  <c r="CB9" i="44" a="1"/>
  <c r="CB9" i="44" l="1"/>
  <c r="AN396" i="45"/>
  <c r="AN711" i="45"/>
  <c r="AN1026" i="45"/>
  <c r="AN1131" i="45"/>
  <c r="AN1236" i="45"/>
  <c r="AM816" i="45"/>
  <c r="AM921" i="45"/>
  <c r="AD200" i="50"/>
  <c r="AN227" i="45"/>
  <c r="AL8" i="45"/>
  <c r="AL12" i="45" s="1"/>
  <c r="AN201" i="45"/>
  <c r="CC6" i="44"/>
  <c r="AO199" i="45"/>
  <c r="AP208" i="45"/>
  <c r="AP191" i="45"/>
  <c r="AQ193" i="45"/>
  <c r="AO223" i="45"/>
  <c r="AP189" i="45"/>
  <c r="AR197" i="45"/>
  <c r="AO215" i="45"/>
  <c r="AO232" i="45"/>
  <c r="AO190" i="45"/>
  <c r="AO213" i="45"/>
  <c r="AN218" i="45"/>
  <c r="AO214" i="45"/>
  <c r="AO212" i="45"/>
  <c r="AN207" i="45"/>
  <c r="AO224" i="45"/>
  <c r="AP220" i="45"/>
  <c r="AP217" i="45"/>
  <c r="AO211" i="45"/>
  <c r="AO222" i="45"/>
  <c r="AN209" i="45"/>
  <c r="AP231" i="45"/>
  <c r="AO226" i="45"/>
  <c r="AN203" i="45"/>
  <c r="AO210" i="45"/>
  <c r="AO219" i="45"/>
  <c r="AO225" i="45"/>
  <c r="AO187" i="45"/>
  <c r="AO229" i="45"/>
  <c r="AP216" i="45"/>
  <c r="AO186" i="45"/>
  <c r="AO206" i="45"/>
  <c r="AO230" i="45"/>
  <c r="AO192" i="45"/>
  <c r="AN221" i="45"/>
  <c r="AP204" i="45"/>
  <c r="AO194" i="45"/>
  <c r="AO198" i="45"/>
  <c r="AN195" i="45"/>
  <c r="AO196" i="45"/>
  <c r="AO200" i="45"/>
  <c r="AP279" i="45"/>
  <c r="AN275" i="45"/>
  <c r="AU270" i="45"/>
  <c r="AO277" i="45"/>
  <c r="AO274" i="45"/>
  <c r="AP278" i="45"/>
  <c r="AT253" i="45"/>
  <c r="AO255" i="45"/>
  <c r="AN271" i="45"/>
  <c r="AN272" i="45"/>
  <c r="AN273" i="45"/>
  <c r="AO266" i="45"/>
  <c r="AO257" i="45"/>
  <c r="AO256" i="45"/>
  <c r="AO276" i="45"/>
  <c r="AO262" i="45"/>
  <c r="AO249" i="45"/>
  <c r="AO259" i="45"/>
  <c r="AO260" i="45"/>
  <c r="AO264" i="45"/>
  <c r="AO261" i="45"/>
  <c r="AN263" i="45"/>
  <c r="AO244" i="45"/>
  <c r="AO245" i="45"/>
  <c r="AO239" i="45"/>
  <c r="AO246" i="45"/>
  <c r="AP234" i="45"/>
  <c r="AP238" i="45"/>
  <c r="AQ258" i="45"/>
  <c r="AQ250" i="45"/>
  <c r="AP242" i="45"/>
  <c r="AI3" i="45"/>
  <c r="H10" i="40"/>
  <c r="P12" i="40"/>
  <c r="O12" i="40"/>
  <c r="N12" i="40"/>
  <c r="H12" i="40"/>
  <c r="G12" i="40"/>
  <c r="F12" i="40"/>
  <c r="E12" i="40"/>
  <c r="D12" i="40"/>
  <c r="C12" i="40"/>
  <c r="CC9" i="44" a="1"/>
  <c r="CC9" i="44" l="1"/>
  <c r="AO396" i="45"/>
  <c r="AO711" i="45"/>
  <c r="AO1026" i="45"/>
  <c r="AO1131" i="45"/>
  <c r="AO1236" i="45"/>
  <c r="AN816" i="45"/>
  <c r="AN921" i="45"/>
  <c r="AE200" i="50"/>
  <c r="AO227" i="45"/>
  <c r="AM8" i="45"/>
  <c r="AM12" i="45" s="1"/>
  <c r="AO201" i="45"/>
  <c r="CD6" i="44"/>
  <c r="AP199" i="45"/>
  <c r="AP186" i="45"/>
  <c r="AQ216" i="45"/>
  <c r="AP187" i="45"/>
  <c r="AP210" i="45"/>
  <c r="AO203" i="45"/>
  <c r="AP232" i="45"/>
  <c r="AP192" i="45"/>
  <c r="AP230" i="45"/>
  <c r="AP225" i="45"/>
  <c r="AP226" i="45"/>
  <c r="AP222" i="45"/>
  <c r="AO207" i="45"/>
  <c r="AP215" i="45"/>
  <c r="AR193" i="45"/>
  <c r="AQ191" i="45"/>
  <c r="AQ208" i="45"/>
  <c r="AQ204" i="45"/>
  <c r="AQ231" i="45"/>
  <c r="AO209" i="45"/>
  <c r="AP211" i="45"/>
  <c r="AQ217" i="45"/>
  <c r="AQ220" i="45"/>
  <c r="AP224" i="45"/>
  <c r="AP212" i="45"/>
  <c r="AP214" i="45"/>
  <c r="AO218" i="45"/>
  <c r="AS197" i="45"/>
  <c r="AQ189" i="45"/>
  <c r="AP223" i="45"/>
  <c r="AO221" i="45"/>
  <c r="AP206" i="45"/>
  <c r="AP229" i="45"/>
  <c r="AP219" i="45"/>
  <c r="AP213" i="45"/>
  <c r="AP190" i="45"/>
  <c r="AP196" i="45"/>
  <c r="AP198" i="45"/>
  <c r="AO195" i="45"/>
  <c r="AP200" i="45"/>
  <c r="AP194" i="45"/>
  <c r="AQ279" i="45"/>
  <c r="AO272" i="45"/>
  <c r="AP277" i="45"/>
  <c r="AO275" i="45"/>
  <c r="AP276" i="45"/>
  <c r="AP255" i="45"/>
  <c r="AU253" i="45"/>
  <c r="AO273" i="45"/>
  <c r="AQ278" i="45"/>
  <c r="AP274" i="45"/>
  <c r="AP256" i="45"/>
  <c r="AP257" i="45"/>
  <c r="AP266" i="45"/>
  <c r="AO271" i="45"/>
  <c r="AP264" i="45"/>
  <c r="AO263" i="45"/>
  <c r="AP260" i="45"/>
  <c r="AP261" i="45"/>
  <c r="AP259" i="45"/>
  <c r="AP249" i="45"/>
  <c r="AP262" i="45"/>
  <c r="AP239" i="45"/>
  <c r="AP245" i="45"/>
  <c r="AP244" i="45"/>
  <c r="AQ242" i="45"/>
  <c r="AR258" i="45"/>
  <c r="AQ238" i="45"/>
  <c r="AQ234" i="45"/>
  <c r="AR250" i="45"/>
  <c r="AP246" i="45"/>
  <c r="AJ3" i="45"/>
  <c r="B6" i="38"/>
  <c r="B6" i="40" s="1"/>
  <c r="B5" i="38"/>
  <c r="B5" i="40" s="1"/>
  <c r="B4" i="38"/>
  <c r="B4" i="40" s="1"/>
  <c r="B3" i="40"/>
  <c r="B2" i="38"/>
  <c r="B2" i="40" s="1"/>
  <c r="B1" i="40"/>
  <c r="P10" i="38"/>
  <c r="P9" i="38" s="1"/>
  <c r="P10" i="40"/>
  <c r="G11" i="38"/>
  <c r="G10" i="38" s="1"/>
  <c r="CD9" i="44" a="1"/>
  <c r="CD9" i="44" l="1"/>
  <c r="AP396" i="45"/>
  <c r="AP711" i="45"/>
  <c r="AP1026" i="45"/>
  <c r="AP1131" i="45"/>
  <c r="AP1236" i="45"/>
  <c r="AO816" i="45"/>
  <c r="AO921" i="45"/>
  <c r="AP227" i="45"/>
  <c r="AF200" i="50"/>
  <c r="AW200" i="50" s="1"/>
  <c r="AN8" i="45"/>
  <c r="AN12" i="45" s="1"/>
  <c r="AP201" i="45"/>
  <c r="CE6" i="44"/>
  <c r="Q11" i="40"/>
  <c r="AQ199" i="45"/>
  <c r="AQ190" i="45"/>
  <c r="AQ213" i="45"/>
  <c r="AQ219" i="45"/>
  <c r="AQ224" i="45"/>
  <c r="AR204" i="45"/>
  <c r="AQ232" i="45"/>
  <c r="AR189" i="45"/>
  <c r="AT197" i="45"/>
  <c r="AR220" i="45"/>
  <c r="AP209" i="45"/>
  <c r="AR231" i="45"/>
  <c r="AR208" i="45"/>
  <c r="AQ187" i="45"/>
  <c r="AQ229" i="45"/>
  <c r="AQ223" i="45"/>
  <c r="AP218" i="45"/>
  <c r="AR217" i="45"/>
  <c r="AQ211" i="45"/>
  <c r="AR191" i="45"/>
  <c r="AS193" i="45"/>
  <c r="AQ215" i="45"/>
  <c r="AP207" i="45"/>
  <c r="AQ222" i="45"/>
  <c r="AQ226" i="45"/>
  <c r="AQ225" i="45"/>
  <c r="AR216" i="45"/>
  <c r="AQ186" i="45"/>
  <c r="AQ206" i="45"/>
  <c r="AP221" i="45"/>
  <c r="AQ214" i="45"/>
  <c r="AQ212" i="45"/>
  <c r="AQ230" i="45"/>
  <c r="AQ192" i="45"/>
  <c r="AP203" i="45"/>
  <c r="AQ210" i="45"/>
  <c r="AQ200" i="45"/>
  <c r="AQ198" i="45"/>
  <c r="AQ196" i="45"/>
  <c r="AQ194" i="45"/>
  <c r="AP195" i="45"/>
  <c r="AR279" i="45"/>
  <c r="AQ255" i="45"/>
  <c r="AP272" i="45"/>
  <c r="AQ266" i="45"/>
  <c r="AQ274" i="45"/>
  <c r="AR278" i="45"/>
  <c r="AQ276" i="45"/>
  <c r="AQ257" i="45"/>
  <c r="AQ256" i="45"/>
  <c r="AP273" i="45"/>
  <c r="AP275" i="45"/>
  <c r="AP271" i="45"/>
  <c r="AQ277" i="45"/>
  <c r="AP263" i="45"/>
  <c r="AQ261" i="45"/>
  <c r="AQ264" i="45"/>
  <c r="AQ262" i="45"/>
  <c r="AQ249" i="45"/>
  <c r="AQ259" i="45"/>
  <c r="AQ260" i="45"/>
  <c r="AQ245" i="45"/>
  <c r="AQ239" i="45"/>
  <c r="AQ244" i="45"/>
  <c r="AS250" i="45"/>
  <c r="AR238" i="45"/>
  <c r="AS258" i="45"/>
  <c r="AQ246" i="45"/>
  <c r="AR234" i="45"/>
  <c r="AR242" i="45"/>
  <c r="AK3" i="45"/>
  <c r="O10" i="38"/>
  <c r="N10" i="38" s="1"/>
  <c r="N11" i="38" s="1"/>
  <c r="N9" i="38" s="1"/>
  <c r="G10" i="40"/>
  <c r="Q10" i="38"/>
  <c r="S10" i="38" s="1"/>
  <c r="T14" i="38" s="1"/>
  <c r="F11" i="38"/>
  <c r="F10" i="38" s="1"/>
  <c r="G121" i="38"/>
  <c r="G88" i="38"/>
  <c r="G107" i="38"/>
  <c r="G73" i="38"/>
  <c r="G40" i="38"/>
  <c r="G57" i="38"/>
  <c r="G44" i="38"/>
  <c r="G153" i="38"/>
  <c r="G119" i="38"/>
  <c r="G101" i="38"/>
  <c r="G127" i="38"/>
  <c r="G138" i="38"/>
  <c r="G48" i="38"/>
  <c r="G154" i="38"/>
  <c r="G179" i="38"/>
  <c r="G83" i="38"/>
  <c r="G91" i="38"/>
  <c r="G22" i="38"/>
  <c r="G104" i="38"/>
  <c r="G205" i="38"/>
  <c r="G141" i="38"/>
  <c r="G177" i="38"/>
  <c r="G187" i="38"/>
  <c r="G95" i="38"/>
  <c r="G169" i="38"/>
  <c r="G72" i="38"/>
  <c r="G24" i="38"/>
  <c r="G68" i="38"/>
  <c r="G64" i="38"/>
  <c r="G109" i="38"/>
  <c r="G99" i="38"/>
  <c r="G55" i="38"/>
  <c r="G60" i="38"/>
  <c r="G31" i="38"/>
  <c r="G160" i="38"/>
  <c r="G144" i="38"/>
  <c r="G106" i="38"/>
  <c r="G41" i="38"/>
  <c r="G32" i="38"/>
  <c r="G105" i="38"/>
  <c r="G165" i="38"/>
  <c r="G132" i="38"/>
  <c r="G96" i="38"/>
  <c r="G174" i="38"/>
  <c r="G143" i="38"/>
  <c r="G70" i="38"/>
  <c r="G54" i="38"/>
  <c r="G134" i="38"/>
  <c r="G20" i="38"/>
  <c r="G61" i="38"/>
  <c r="G135" i="38"/>
  <c r="G71" i="38"/>
  <c r="G18" i="38"/>
  <c r="G172" i="38"/>
  <c r="G148" i="38"/>
  <c r="G92" i="38"/>
  <c r="G114" i="38"/>
  <c r="G45" i="38"/>
  <c r="G39" i="38"/>
  <c r="G51" i="38"/>
  <c r="G133" i="38"/>
  <c r="G42" i="38"/>
  <c r="G86" i="38"/>
  <c r="G110" i="38"/>
  <c r="G58" i="38"/>
  <c r="G67" i="38"/>
  <c r="G137" i="38"/>
  <c r="G140" i="38"/>
  <c r="G19" i="38"/>
  <c r="G84" i="38"/>
  <c r="G176" i="38"/>
  <c r="G28" i="38"/>
  <c r="G129" i="38"/>
  <c r="G170" i="38"/>
  <c r="G152" i="38"/>
  <c r="G157" i="38"/>
  <c r="G155" i="38"/>
  <c r="G103" i="38"/>
  <c r="G69" i="38"/>
  <c r="G97" i="38"/>
  <c r="G142" i="38"/>
  <c r="G21" i="38"/>
  <c r="G192" i="38"/>
  <c r="G117" i="38"/>
  <c r="G164" i="38"/>
  <c r="G194" i="38"/>
  <c r="G62" i="38"/>
  <c r="G43" i="38"/>
  <c r="G131" i="38"/>
  <c r="G100" i="38"/>
  <c r="G52" i="38"/>
  <c r="G167" i="38"/>
  <c r="G126" i="38"/>
  <c r="G87" i="38"/>
  <c r="G178" i="38"/>
  <c r="G66" i="38"/>
  <c r="G94" i="38"/>
  <c r="G49" i="38"/>
  <c r="G98" i="38"/>
  <c r="G193" i="38"/>
  <c r="G108" i="38"/>
  <c r="G53" i="38"/>
  <c r="G122" i="38"/>
  <c r="G173" i="38"/>
  <c r="G139" i="38"/>
  <c r="G156" i="38"/>
  <c r="G151" i="38"/>
  <c r="G120" i="38"/>
  <c r="G199" i="38"/>
  <c r="G82" i="38"/>
  <c r="G166" i="38"/>
  <c r="G118" i="38"/>
  <c r="G161" i="38"/>
  <c r="G85" i="38"/>
  <c r="G25" i="38"/>
  <c r="G63" i="38"/>
  <c r="G168" i="38"/>
  <c r="G130" i="38"/>
  <c r="G59" i="38"/>
  <c r="G175" i="38"/>
  <c r="G123" i="38"/>
  <c r="G163" i="38"/>
  <c r="CE9" i="44" a="1"/>
  <c r="CE9" i="44" l="1"/>
  <c r="S9" i="38"/>
  <c r="AQ396" i="45"/>
  <c r="AQ711" i="45"/>
  <c r="AQ1026" i="45"/>
  <c r="AQ1131" i="45"/>
  <c r="AQ1236" i="45"/>
  <c r="AP816" i="45"/>
  <c r="AP921" i="45"/>
  <c r="T10" i="38"/>
  <c r="T15" i="38" s="1"/>
  <c r="Q9" i="38"/>
  <c r="AQ227" i="45"/>
  <c r="AG200" i="50"/>
  <c r="AO8" i="45"/>
  <c r="AO12" i="45" s="1"/>
  <c r="AQ201" i="45"/>
  <c r="CF6" i="44"/>
  <c r="F10" i="40"/>
  <c r="AR199" i="45"/>
  <c r="AR212" i="45"/>
  <c r="AR214" i="45"/>
  <c r="AR225" i="45"/>
  <c r="AR215" i="45"/>
  <c r="AR213" i="45"/>
  <c r="AR190" i="45"/>
  <c r="AR226" i="45"/>
  <c r="AT193" i="45"/>
  <c r="AS191" i="45"/>
  <c r="AR187" i="45"/>
  <c r="AR232" i="45"/>
  <c r="AR222" i="45"/>
  <c r="AR211" i="45"/>
  <c r="AS217" i="45"/>
  <c r="AQ218" i="45"/>
  <c r="AR223" i="45"/>
  <c r="AS231" i="45"/>
  <c r="AQ209" i="45"/>
  <c r="AS220" i="45"/>
  <c r="AU197" i="45"/>
  <c r="AS189" i="45"/>
  <c r="AR210" i="45"/>
  <c r="AQ203" i="45"/>
  <c r="AR192" i="45"/>
  <c r="AR230" i="45"/>
  <c r="AQ221" i="45"/>
  <c r="AR206" i="45"/>
  <c r="AR186" i="45"/>
  <c r="AS216" i="45"/>
  <c r="AQ207" i="45"/>
  <c r="AR229" i="45"/>
  <c r="AS208" i="45"/>
  <c r="AS204" i="45"/>
  <c r="AR224" i="45"/>
  <c r="AR219" i="45"/>
  <c r="AR194" i="45"/>
  <c r="AQ195" i="45"/>
  <c r="AR196" i="45"/>
  <c r="AR198" i="45"/>
  <c r="AR200" i="45"/>
  <c r="AS279" i="45"/>
  <c r="AR256" i="45"/>
  <c r="AR257" i="45"/>
  <c r="AQ275" i="45"/>
  <c r="AQ273" i="45"/>
  <c r="AR276" i="45"/>
  <c r="AR266" i="45"/>
  <c r="AR277" i="45"/>
  <c r="AS278" i="45"/>
  <c r="AR274" i="45"/>
  <c r="AQ272" i="45"/>
  <c r="AR255" i="45"/>
  <c r="AQ271" i="45"/>
  <c r="AR261" i="45"/>
  <c r="AQ263" i="45"/>
  <c r="AR260" i="45"/>
  <c r="AR259" i="45"/>
  <c r="AR249" i="45"/>
  <c r="AR262" i="45"/>
  <c r="AR264" i="45"/>
  <c r="AR239" i="45"/>
  <c r="AR245" i="45"/>
  <c r="AR244" i="45"/>
  <c r="AS242" i="45"/>
  <c r="AT258" i="45"/>
  <c r="AS238" i="45"/>
  <c r="AR246" i="45"/>
  <c r="AS234" i="45"/>
  <c r="AT250" i="45"/>
  <c r="AL3" i="45"/>
  <c r="O11" i="38"/>
  <c r="O9" i="38" s="1"/>
  <c r="N10" i="40"/>
  <c r="E11" i="38"/>
  <c r="E10" i="38" s="1"/>
  <c r="F84" i="38"/>
  <c r="F61" i="38"/>
  <c r="F177" i="38"/>
  <c r="F97" i="38"/>
  <c r="F40" i="38"/>
  <c r="F85" i="38"/>
  <c r="F62" i="38"/>
  <c r="F91" i="38"/>
  <c r="F69" i="38"/>
  <c r="F119" i="38"/>
  <c r="F187" i="38"/>
  <c r="F151" i="38"/>
  <c r="F130" i="38"/>
  <c r="F143" i="38"/>
  <c r="F114" i="38"/>
  <c r="F66" i="38"/>
  <c r="F176" i="38"/>
  <c r="F152" i="38"/>
  <c r="F142" i="38"/>
  <c r="F95" i="38"/>
  <c r="F106" i="38"/>
  <c r="F68" i="38"/>
  <c r="F161" i="38"/>
  <c r="F55" i="38"/>
  <c r="F178" i="38"/>
  <c r="F132" i="38"/>
  <c r="F52" i="38"/>
  <c r="F133" i="38"/>
  <c r="F155" i="38"/>
  <c r="F172" i="38"/>
  <c r="F134" i="38"/>
  <c r="F137" i="38"/>
  <c r="F167" i="38"/>
  <c r="F164" i="38"/>
  <c r="F72" i="38"/>
  <c r="F51" i="38"/>
  <c r="F153" i="38"/>
  <c r="F168" i="38"/>
  <c r="F140" i="38"/>
  <c r="F199" i="38"/>
  <c r="F96" i="38"/>
  <c r="F100" i="38"/>
  <c r="F165" i="38"/>
  <c r="F144" i="38"/>
  <c r="F87" i="38"/>
  <c r="F43" i="38"/>
  <c r="F41" i="38"/>
  <c r="F83" i="38"/>
  <c r="F44" i="38"/>
  <c r="F92" i="38"/>
  <c r="F99" i="38"/>
  <c r="F117" i="38"/>
  <c r="F88" i="38"/>
  <c r="F94" i="38"/>
  <c r="F192" i="38"/>
  <c r="F108" i="38"/>
  <c r="F63" i="38"/>
  <c r="F194" i="38"/>
  <c r="F193" i="38"/>
  <c r="F135" i="38"/>
  <c r="F59" i="38"/>
  <c r="F73" i="38"/>
  <c r="F160" i="38"/>
  <c r="F53" i="38"/>
  <c r="F86" i="38"/>
  <c r="F175" i="38"/>
  <c r="F141" i="38"/>
  <c r="F101" i="38"/>
  <c r="F123" i="38"/>
  <c r="F107" i="38"/>
  <c r="F64" i="38"/>
  <c r="F122" i="38"/>
  <c r="F174" i="38"/>
  <c r="F126" i="38"/>
  <c r="F121" i="38"/>
  <c r="F129" i="38"/>
  <c r="F48" i="38"/>
  <c r="F104" i="38"/>
  <c r="F166" i="38"/>
  <c r="F148" i="38"/>
  <c r="F157" i="38"/>
  <c r="F118" i="38"/>
  <c r="F205" i="38"/>
  <c r="F67" i="38"/>
  <c r="F70" i="38"/>
  <c r="F39" i="38"/>
  <c r="F156" i="38"/>
  <c r="F109" i="38"/>
  <c r="F58" i="38"/>
  <c r="F179" i="38"/>
  <c r="F82" i="38"/>
  <c r="F127" i="38"/>
  <c r="F42" i="38"/>
  <c r="F57" i="38"/>
  <c r="F110" i="38"/>
  <c r="F169" i="38"/>
  <c r="F71" i="38"/>
  <c r="F60" i="38"/>
  <c r="F120" i="38"/>
  <c r="F45" i="38"/>
  <c r="F105" i="38"/>
  <c r="F173" i="38"/>
  <c r="F170" i="38"/>
  <c r="F49" i="38"/>
  <c r="F131" i="38"/>
  <c r="F98" i="38"/>
  <c r="F163" i="38"/>
  <c r="F154" i="38"/>
  <c r="F103" i="38"/>
  <c r="F138" i="38"/>
  <c r="F139" i="38"/>
  <c r="F54" i="38"/>
  <c r="N110" i="38"/>
  <c r="N55" i="38"/>
  <c r="N154" i="38"/>
  <c r="N140" i="38"/>
  <c r="N170" i="38"/>
  <c r="N32" i="38"/>
  <c r="N63" i="38"/>
  <c r="N103" i="38"/>
  <c r="N67" i="38"/>
  <c r="N73" i="38"/>
  <c r="N104" i="38"/>
  <c r="N118" i="38"/>
  <c r="N43" i="38"/>
  <c r="N199" i="38"/>
  <c r="N168" i="38"/>
  <c r="N177" i="38"/>
  <c r="N144" i="38"/>
  <c r="N131" i="38"/>
  <c r="N105" i="38"/>
  <c r="N166" i="38"/>
  <c r="N175" i="38"/>
  <c r="N151" i="38"/>
  <c r="N71" i="38"/>
  <c r="N172" i="38"/>
  <c r="N64" i="38"/>
  <c r="N142" i="38"/>
  <c r="N174" i="38"/>
  <c r="N143" i="38"/>
  <c r="N108" i="38"/>
  <c r="N94" i="38"/>
  <c r="N126" i="38"/>
  <c r="N62" i="38"/>
  <c r="N164" i="38"/>
  <c r="N167" i="38"/>
  <c r="N82" i="38"/>
  <c r="N85" i="38"/>
  <c r="N117" i="38"/>
  <c r="N156" i="38"/>
  <c r="N139" i="38"/>
  <c r="N41" i="38"/>
  <c r="N54" i="38"/>
  <c r="N121" i="38"/>
  <c r="N69" i="38"/>
  <c r="N39" i="38"/>
  <c r="N114" i="38"/>
  <c r="N132" i="38"/>
  <c r="N59" i="38"/>
  <c r="N160" i="38"/>
  <c r="N109" i="38"/>
  <c r="N87" i="38"/>
  <c r="N51" i="38"/>
  <c r="N193" i="38"/>
  <c r="N57" i="38"/>
  <c r="N135" i="38"/>
  <c r="N92" i="38"/>
  <c r="N83" i="38"/>
  <c r="N40" i="38"/>
  <c r="N137" i="38"/>
  <c r="N101" i="38"/>
  <c r="N155" i="38"/>
  <c r="N88" i="38"/>
  <c r="N96" i="38"/>
  <c r="N72" i="38"/>
  <c r="N60" i="38"/>
  <c r="N119" i="38"/>
  <c r="N58" i="38"/>
  <c r="N123" i="38"/>
  <c r="N106" i="38"/>
  <c r="N148" i="38"/>
  <c r="N120" i="38"/>
  <c r="N163" i="38"/>
  <c r="N165" i="38"/>
  <c r="N176" i="38"/>
  <c r="N141" i="38"/>
  <c r="N205" i="38"/>
  <c r="N19" i="38"/>
  <c r="N52" i="38"/>
  <c r="N100" i="38"/>
  <c r="N22" i="38"/>
  <c r="N70" i="38"/>
  <c r="N192" i="38"/>
  <c r="N53" i="38"/>
  <c r="N152" i="38"/>
  <c r="N157" i="38"/>
  <c r="N134" i="38"/>
  <c r="N187" i="38"/>
  <c r="N84" i="38"/>
  <c r="N49" i="38"/>
  <c r="N95" i="38"/>
  <c r="N44" i="38"/>
  <c r="N107" i="38"/>
  <c r="N179" i="38"/>
  <c r="N18" i="38"/>
  <c r="N194" i="38"/>
  <c r="N61" i="38"/>
  <c r="N138" i="38"/>
  <c r="N169" i="38"/>
  <c r="N178" i="38"/>
  <c r="N122" i="38"/>
  <c r="N133" i="38"/>
  <c r="N97" i="38"/>
  <c r="N161" i="38"/>
  <c r="N173" i="38"/>
  <c r="N129" i="38"/>
  <c r="N99" i="38"/>
  <c r="N127" i="38"/>
  <c r="N68" i="38"/>
  <c r="N98" i="38"/>
  <c r="N42" i="38"/>
  <c r="N91" i="38"/>
  <c r="N48" i="38"/>
  <c r="N66" i="38"/>
  <c r="N86" i="38"/>
  <c r="N130" i="38"/>
  <c r="N20" i="38"/>
  <c r="N153" i="38"/>
  <c r="N45" i="38"/>
  <c r="CF9" i="44" a="1"/>
  <c r="CF9" i="44" l="1"/>
  <c r="T9" i="38"/>
  <c r="AR396" i="45"/>
  <c r="AR711" i="45"/>
  <c r="AR1026" i="45"/>
  <c r="AR1236" i="45"/>
  <c r="AR1131" i="45"/>
  <c r="AQ921" i="45"/>
  <c r="AQ816" i="45"/>
  <c r="AH200" i="50"/>
  <c r="AR227" i="45"/>
  <c r="AP8" i="45"/>
  <c r="AP12" i="45" s="1"/>
  <c r="AR201" i="45"/>
  <c r="CG6" i="44"/>
  <c r="E10" i="40"/>
  <c r="AS199" i="45"/>
  <c r="AS219" i="45"/>
  <c r="AT216" i="45"/>
  <c r="AS186" i="45"/>
  <c r="AT189" i="45"/>
  <c r="AR209" i="45"/>
  <c r="AT231" i="45"/>
  <c r="AR218" i="45"/>
  <c r="AT191" i="45"/>
  <c r="AU193" i="45"/>
  <c r="AS226" i="45"/>
  <c r="AS215" i="45"/>
  <c r="AS224" i="45"/>
  <c r="AT208" i="45"/>
  <c r="AS229" i="45"/>
  <c r="AR207" i="45"/>
  <c r="AS206" i="45"/>
  <c r="AR221" i="45"/>
  <c r="AT217" i="45"/>
  <c r="AS211" i="45"/>
  <c r="AS222" i="45"/>
  <c r="AS232" i="45"/>
  <c r="AS214" i="45"/>
  <c r="AS212" i="45"/>
  <c r="AT204" i="45"/>
  <c r="AS230" i="45"/>
  <c r="AS192" i="45"/>
  <c r="AS225" i="45"/>
  <c r="AR203" i="45"/>
  <c r="AS210" i="45"/>
  <c r="AT220" i="45"/>
  <c r="AS223" i="45"/>
  <c r="AS187" i="45"/>
  <c r="AS190" i="45"/>
  <c r="AS213" i="45"/>
  <c r="AS198" i="45"/>
  <c r="AS200" i="45"/>
  <c r="AS196" i="45"/>
  <c r="AR195" i="45"/>
  <c r="AS194" i="45"/>
  <c r="AT279" i="45"/>
  <c r="AS255" i="45"/>
  <c r="AS277" i="45"/>
  <c r="AS274" i="45"/>
  <c r="AT278" i="45"/>
  <c r="AS276" i="45"/>
  <c r="AR273" i="45"/>
  <c r="AR275" i="45"/>
  <c r="AS266" i="45"/>
  <c r="AR271" i="45"/>
  <c r="AR272" i="45"/>
  <c r="AS257" i="45"/>
  <c r="AS256" i="45"/>
  <c r="AS262" i="45"/>
  <c r="AS249" i="45"/>
  <c r="AS259" i="45"/>
  <c r="AS264" i="45"/>
  <c r="AS260" i="45"/>
  <c r="AR263" i="45"/>
  <c r="AS261" i="45"/>
  <c r="AS244" i="45"/>
  <c r="AS245" i="45"/>
  <c r="AS239" i="45"/>
  <c r="AS246" i="45"/>
  <c r="AU250" i="45"/>
  <c r="AT234" i="45"/>
  <c r="AT238" i="45"/>
  <c r="AU258" i="45"/>
  <c r="AT242" i="45"/>
  <c r="AM3" i="45"/>
  <c r="O10" i="40"/>
  <c r="D11" i="38"/>
  <c r="D10" i="38" s="1"/>
  <c r="E63" i="38"/>
  <c r="Q105" i="38"/>
  <c r="E51" i="38"/>
  <c r="Q160" i="38"/>
  <c r="Q167" i="38"/>
  <c r="E165" i="38"/>
  <c r="E176" i="38"/>
  <c r="E154" i="38"/>
  <c r="Q131" i="38"/>
  <c r="Q44" i="38"/>
  <c r="Q91" i="38"/>
  <c r="E61" i="38"/>
  <c r="Q28" i="38"/>
  <c r="Q21" i="38"/>
  <c r="Q95" i="38"/>
  <c r="E92" i="38"/>
  <c r="Q20" i="38"/>
  <c r="Q101" i="38"/>
  <c r="Q194" i="38"/>
  <c r="Q144" i="38"/>
  <c r="E95" i="38"/>
  <c r="Q24" i="38"/>
  <c r="Q133" i="38"/>
  <c r="Q174" i="38"/>
  <c r="Q61" i="38"/>
  <c r="Q84" i="38"/>
  <c r="E117" i="38"/>
  <c r="Q104" i="38"/>
  <c r="E109" i="38"/>
  <c r="E120" i="38"/>
  <c r="E140" i="38"/>
  <c r="E83" i="38"/>
  <c r="Q54" i="38"/>
  <c r="E155" i="38"/>
  <c r="Q137" i="38"/>
  <c r="E58" i="38"/>
  <c r="E129" i="38"/>
  <c r="Q179" i="38"/>
  <c r="E91" i="38"/>
  <c r="Q122" i="38"/>
  <c r="E73" i="38"/>
  <c r="E160" i="38"/>
  <c r="Q108" i="38"/>
  <c r="Q106" i="38"/>
  <c r="E151" i="38"/>
  <c r="Q57" i="38"/>
  <c r="Q172" i="38"/>
  <c r="Q141" i="38"/>
  <c r="E98" i="38"/>
  <c r="E103" i="38"/>
  <c r="E142" i="38"/>
  <c r="E87" i="38"/>
  <c r="Q43" i="38"/>
  <c r="Q151" i="38"/>
  <c r="Q25" i="38"/>
  <c r="E39" i="38"/>
  <c r="E53" i="38"/>
  <c r="Q168" i="38"/>
  <c r="Q143" i="38"/>
  <c r="E104" i="38"/>
  <c r="Q138" i="38"/>
  <c r="Q64" i="38"/>
  <c r="E148" i="38"/>
  <c r="Q19" i="38"/>
  <c r="E101" i="38"/>
  <c r="Q60" i="38"/>
  <c r="E119" i="38"/>
  <c r="Q148" i="38"/>
  <c r="E193" i="38"/>
  <c r="Q82" i="38"/>
  <c r="Q192" i="38"/>
  <c r="Q166" i="38"/>
  <c r="E48" i="38"/>
  <c r="E164" i="38"/>
  <c r="Q123" i="38"/>
  <c r="Q135" i="38"/>
  <c r="E99" i="38"/>
  <c r="E161" i="38"/>
  <c r="Q51" i="38"/>
  <c r="Q152" i="38"/>
  <c r="E60" i="38"/>
  <c r="Q41" i="38"/>
  <c r="E135" i="38"/>
  <c r="Q134" i="38"/>
  <c r="E86" i="38"/>
  <c r="E157" i="38"/>
  <c r="Q83" i="38"/>
  <c r="E85" i="38"/>
  <c r="Q100" i="38"/>
  <c r="Q165" i="38"/>
  <c r="E152" i="38"/>
  <c r="Q97" i="38"/>
  <c r="E72" i="38"/>
  <c r="E138" i="38"/>
  <c r="E126" i="38"/>
  <c r="Q114" i="38"/>
  <c r="Q121" i="38"/>
  <c r="Q42" i="38"/>
  <c r="E163" i="38"/>
  <c r="Q88" i="38"/>
  <c r="E57" i="38"/>
  <c r="Q86" i="38"/>
  <c r="E143" i="38"/>
  <c r="Q31" i="38"/>
  <c r="Q169" i="38"/>
  <c r="E173" i="38"/>
  <c r="Q109" i="38"/>
  <c r="Q94" i="38"/>
  <c r="E167" i="38"/>
  <c r="Q142" i="38"/>
  <c r="E67" i="38"/>
  <c r="Q67" i="38"/>
  <c r="Q98" i="38"/>
  <c r="E170" i="38"/>
  <c r="Q161" i="38"/>
  <c r="Q55" i="38"/>
  <c r="E144" i="38"/>
  <c r="E110" i="38"/>
  <c r="E121" i="38"/>
  <c r="E84" i="38"/>
  <c r="Q73" i="38"/>
  <c r="Q175" i="38"/>
  <c r="E54" i="38"/>
  <c r="Q176" i="38"/>
  <c r="E68" i="38"/>
  <c r="Q63" i="38"/>
  <c r="E168" i="38"/>
  <c r="Q164" i="38"/>
  <c r="Q170" i="38"/>
  <c r="E130" i="38"/>
  <c r="Q120" i="38"/>
  <c r="Q156" i="38"/>
  <c r="Q130" i="38"/>
  <c r="E205" i="38"/>
  <c r="Q39" i="38"/>
  <c r="Q45" i="38"/>
  <c r="E41" i="38"/>
  <c r="Q66" i="38"/>
  <c r="E179" i="38"/>
  <c r="E97" i="38"/>
  <c r="E133" i="38"/>
  <c r="E114" i="38"/>
  <c r="Q48" i="38"/>
  <c r="E169" i="38"/>
  <c r="Q107" i="38"/>
  <c r="E44" i="38"/>
  <c r="E106" i="38"/>
  <c r="Q187" i="38"/>
  <c r="Q22" i="38"/>
  <c r="E178" i="38"/>
  <c r="Q177" i="38"/>
  <c r="E64" i="38"/>
  <c r="Q140" i="38"/>
  <c r="Q32" i="38"/>
  <c r="E105" i="38"/>
  <c r="Q153" i="38"/>
  <c r="E55" i="38"/>
  <c r="E42" i="38"/>
  <c r="Q163" i="38"/>
  <c r="E108" i="38"/>
  <c r="Q68" i="38"/>
  <c r="E49" i="38"/>
  <c r="E192" i="38"/>
  <c r="E127" i="38"/>
  <c r="E88" i="38"/>
  <c r="E166" i="38"/>
  <c r="Q85" i="38"/>
  <c r="E62" i="38"/>
  <c r="E137" i="38"/>
  <c r="Q72" i="38"/>
  <c r="E187" i="38"/>
  <c r="E71" i="38"/>
  <c r="E59" i="38"/>
  <c r="Q69" i="38"/>
  <c r="E132" i="38"/>
  <c r="E122" i="38"/>
  <c r="Q129" i="38"/>
  <c r="Q193" i="38"/>
  <c r="E107" i="38"/>
  <c r="Q127" i="38"/>
  <c r="E66" i="38"/>
  <c r="Q99" i="38"/>
  <c r="E141" i="38"/>
  <c r="E45" i="38"/>
  <c r="Q53" i="38"/>
  <c r="E156" i="38"/>
  <c r="Q178" i="38"/>
  <c r="Q199" i="38"/>
  <c r="Q119" i="38"/>
  <c r="E175" i="38"/>
  <c r="E194" i="38"/>
  <c r="E199" i="38"/>
  <c r="Q139" i="38"/>
  <c r="Q92" i="38"/>
  <c r="Q126" i="38"/>
  <c r="Q58" i="38"/>
  <c r="E94" i="38"/>
  <c r="Q52" i="38"/>
  <c r="E172" i="38"/>
  <c r="Q59" i="38"/>
  <c r="E43" i="38"/>
  <c r="Q173" i="38"/>
  <c r="Q157" i="38"/>
  <c r="E40" i="38"/>
  <c r="Q40" i="38"/>
  <c r="Q118" i="38"/>
  <c r="E174" i="38"/>
  <c r="Q62" i="38"/>
  <c r="E131" i="38"/>
  <c r="Q49" i="38"/>
  <c r="E70" i="38"/>
  <c r="Q117" i="38"/>
  <c r="E69" i="38"/>
  <c r="Q96" i="38"/>
  <c r="E153" i="38"/>
  <c r="Q132" i="38"/>
  <c r="Q110" i="38"/>
  <c r="E134" i="38"/>
  <c r="E96" i="38"/>
  <c r="Q87" i="38"/>
  <c r="E177" i="38"/>
  <c r="Q71" i="38"/>
  <c r="Q103" i="38"/>
  <c r="E52" i="38"/>
  <c r="Q155" i="38"/>
  <c r="E100" i="38"/>
  <c r="E82" i="38"/>
  <c r="Q70" i="38"/>
  <c r="E118" i="38"/>
  <c r="Q18" i="38"/>
  <c r="E139" i="38"/>
  <c r="E123" i="38"/>
  <c r="Q154" i="38"/>
  <c r="P172" i="38"/>
  <c r="P118" i="38"/>
  <c r="P144" i="38"/>
  <c r="O133" i="38"/>
  <c r="O68" i="38"/>
  <c r="P41" i="38"/>
  <c r="P106" i="38"/>
  <c r="O84" i="38"/>
  <c r="P199" i="38"/>
  <c r="P82" i="38"/>
  <c r="O164" i="38"/>
  <c r="O82" i="38"/>
  <c r="O165" i="38"/>
  <c r="O155" i="38"/>
  <c r="O148" i="38"/>
  <c r="P154" i="38"/>
  <c r="O177" i="38"/>
  <c r="O126" i="38"/>
  <c r="O179" i="38"/>
  <c r="O156" i="38"/>
  <c r="P52" i="38"/>
  <c r="P176" i="38"/>
  <c r="O174" i="38"/>
  <c r="O107" i="38"/>
  <c r="O151" i="38"/>
  <c r="P54" i="38"/>
  <c r="P32" i="38"/>
  <c r="P129" i="38"/>
  <c r="P21" i="38"/>
  <c r="P83" i="38"/>
  <c r="O161" i="38"/>
  <c r="P64" i="38"/>
  <c r="P160" i="38"/>
  <c r="O127" i="38"/>
  <c r="O99" i="38"/>
  <c r="O98" i="38"/>
  <c r="O135" i="38"/>
  <c r="O172" i="38"/>
  <c r="P152" i="38"/>
  <c r="P107" i="38"/>
  <c r="P70" i="38"/>
  <c r="P97" i="38"/>
  <c r="P67" i="38"/>
  <c r="O104" i="38"/>
  <c r="O118" i="38"/>
  <c r="O92" i="38"/>
  <c r="O66" i="38"/>
  <c r="P139" i="38"/>
  <c r="P121" i="38"/>
  <c r="O175" i="38"/>
  <c r="O123" i="38"/>
  <c r="P87" i="38"/>
  <c r="O94" i="38"/>
  <c r="O160" i="38"/>
  <c r="O40" i="38"/>
  <c r="P88" i="38"/>
  <c r="P169" i="38"/>
  <c r="P96" i="38"/>
  <c r="P132" i="38"/>
  <c r="P168" i="38"/>
  <c r="O60" i="38"/>
  <c r="P100" i="38"/>
  <c r="O72" i="38"/>
  <c r="O95" i="38"/>
  <c r="O132" i="38"/>
  <c r="P164" i="38"/>
  <c r="P98" i="38"/>
  <c r="P120" i="38"/>
  <c r="O59" i="38"/>
  <c r="O167" i="38"/>
  <c r="O88" i="38"/>
  <c r="O166" i="38"/>
  <c r="P66" i="38"/>
  <c r="P42" i="38"/>
  <c r="P131" i="38"/>
  <c r="P92" i="38"/>
  <c r="P178" i="38"/>
  <c r="P194" i="38"/>
  <c r="O54" i="38"/>
  <c r="P167" i="38"/>
  <c r="O91" i="38"/>
  <c r="P55" i="38"/>
  <c r="P122" i="38"/>
  <c r="O53" i="38"/>
  <c r="O157" i="38"/>
  <c r="O140" i="38"/>
  <c r="P166" i="38"/>
  <c r="P110" i="38"/>
  <c r="O41" i="38"/>
  <c r="P28" i="38"/>
  <c r="O106" i="38"/>
  <c r="O141" i="38"/>
  <c r="O100" i="38"/>
  <c r="P179" i="38"/>
  <c r="O178" i="38"/>
  <c r="P103" i="38"/>
  <c r="P60" i="38"/>
  <c r="P49" i="38"/>
  <c r="O176" i="38"/>
  <c r="O101" i="38"/>
  <c r="O119" i="38"/>
  <c r="O139" i="38"/>
  <c r="O67" i="38"/>
  <c r="O55" i="38"/>
  <c r="O168" i="38"/>
  <c r="P157" i="38"/>
  <c r="P48" i="38"/>
  <c r="P156" i="38"/>
  <c r="O134" i="38"/>
  <c r="P130" i="38"/>
  <c r="P114" i="38"/>
  <c r="O122" i="38"/>
  <c r="P119" i="38"/>
  <c r="P20" i="38"/>
  <c r="O97" i="38"/>
  <c r="O43" i="38"/>
  <c r="O69" i="38"/>
  <c r="P69" i="38"/>
  <c r="P39" i="38"/>
  <c r="P59" i="38"/>
  <c r="O143" i="38"/>
  <c r="P44" i="38"/>
  <c r="P31" i="38"/>
  <c r="P174" i="38"/>
  <c r="O137" i="38"/>
  <c r="P123" i="38"/>
  <c r="P19" i="38"/>
  <c r="O194" i="38"/>
  <c r="O63" i="38"/>
  <c r="P175" i="38"/>
  <c r="P155" i="38"/>
  <c r="O205" i="38"/>
  <c r="O57" i="38"/>
  <c r="O144" i="38"/>
  <c r="O120" i="38"/>
  <c r="P153" i="38"/>
  <c r="O52" i="38"/>
  <c r="P43" i="38"/>
  <c r="P91" i="38"/>
  <c r="P109" i="38"/>
  <c r="O109" i="38"/>
  <c r="O49" i="38"/>
  <c r="O138" i="38"/>
  <c r="P24" i="38"/>
  <c r="P193" i="38"/>
  <c r="P165" i="38"/>
  <c r="O170" i="38"/>
  <c r="O42" i="38"/>
  <c r="O142" i="38"/>
  <c r="O187" i="38"/>
  <c r="P105" i="38"/>
  <c r="O86" i="38"/>
  <c r="O169" i="38"/>
  <c r="O121" i="38"/>
  <c r="P170" i="38"/>
  <c r="O71" i="38"/>
  <c r="P177" i="38"/>
  <c r="P40" i="38"/>
  <c r="P148" i="38"/>
  <c r="P173" i="38"/>
  <c r="O61" i="38"/>
  <c r="P51" i="38"/>
  <c r="O163" i="38"/>
  <c r="O114" i="38"/>
  <c r="O44" i="38"/>
  <c r="P61" i="38"/>
  <c r="P163" i="38"/>
  <c r="O173" i="38"/>
  <c r="P84" i="38"/>
  <c r="P138" i="38"/>
  <c r="P58" i="38"/>
  <c r="P161" i="38"/>
  <c r="O39" i="38"/>
  <c r="P135" i="38"/>
  <c r="O117" i="38"/>
  <c r="P104" i="38"/>
  <c r="P143" i="38"/>
  <c r="O96" i="38"/>
  <c r="O154" i="38"/>
  <c r="O62" i="38"/>
  <c r="P140" i="38"/>
  <c r="O51" i="38"/>
  <c r="O73" i="38"/>
  <c r="O64" i="38"/>
  <c r="P63" i="38"/>
  <c r="O152" i="38"/>
  <c r="P94" i="38"/>
  <c r="O45" i="38"/>
  <c r="O193" i="38"/>
  <c r="P192" i="38"/>
  <c r="P133" i="38"/>
  <c r="P108" i="38"/>
  <c r="O85" i="38"/>
  <c r="P95" i="38"/>
  <c r="P117" i="38"/>
  <c r="P53" i="38"/>
  <c r="P71" i="38"/>
  <c r="P187" i="38"/>
  <c r="O199" i="38"/>
  <c r="O131" i="38"/>
  <c r="O108" i="38"/>
  <c r="P18" i="38"/>
  <c r="O105" i="38"/>
  <c r="O110" i="38"/>
  <c r="P101" i="38"/>
  <c r="P85" i="38"/>
  <c r="P73" i="38"/>
  <c r="O103" i="38"/>
  <c r="P68" i="38"/>
  <c r="P141" i="38"/>
  <c r="P25" i="38"/>
  <c r="P151" i="38"/>
  <c r="P137" i="38"/>
  <c r="P57" i="38"/>
  <c r="P126" i="38"/>
  <c r="O87" i="38"/>
  <c r="O192" i="38"/>
  <c r="O130" i="38"/>
  <c r="P62" i="38"/>
  <c r="O83" i="38"/>
  <c r="P142" i="38"/>
  <c r="P99" i="38"/>
  <c r="O48" i="38"/>
  <c r="P22" i="38"/>
  <c r="O129" i="38"/>
  <c r="P127" i="38"/>
  <c r="P45" i="38"/>
  <c r="O58" i="38"/>
  <c r="P86" i="38"/>
  <c r="P72" i="38"/>
  <c r="O153" i="38"/>
  <c r="O70" i="38"/>
  <c r="P134" i="38"/>
  <c r="CG9" i="44" a="1"/>
  <c r="CG9" i="44" l="1"/>
  <c r="AS396" i="45"/>
  <c r="AS711" i="45"/>
  <c r="AS1026" i="45"/>
  <c r="AS1131" i="45"/>
  <c r="AS1236" i="45"/>
  <c r="AR921" i="45"/>
  <c r="AR816" i="45"/>
  <c r="AI200" i="50"/>
  <c r="AX200" i="50" s="1"/>
  <c r="AS227" i="45"/>
  <c r="AQ8" i="45"/>
  <c r="AQ12" i="45" s="1"/>
  <c r="AS201" i="45"/>
  <c r="CH6" i="44"/>
  <c r="D10" i="40"/>
  <c r="AT199" i="45"/>
  <c r="AT187" i="45"/>
  <c r="AT232" i="45"/>
  <c r="AS207" i="45"/>
  <c r="AS218" i="45"/>
  <c r="AT186" i="45"/>
  <c r="AU216" i="45"/>
  <c r="AT222" i="45"/>
  <c r="AS221" i="45"/>
  <c r="AT206" i="45"/>
  <c r="AT229" i="45"/>
  <c r="AU208" i="45"/>
  <c r="AT224" i="45"/>
  <c r="AT226" i="45"/>
  <c r="AU231" i="45"/>
  <c r="AS209" i="45"/>
  <c r="AT219" i="45"/>
  <c r="AT223" i="45"/>
  <c r="AU220" i="45"/>
  <c r="AT225" i="45"/>
  <c r="AT192" i="45"/>
  <c r="AT230" i="45"/>
  <c r="AU204" i="45"/>
  <c r="AT211" i="45"/>
  <c r="AU217" i="45"/>
  <c r="AT215" i="45"/>
  <c r="AU191" i="45"/>
  <c r="AT213" i="45"/>
  <c r="AT190" i="45"/>
  <c r="AT210" i="45"/>
  <c r="AS203" i="45"/>
  <c r="AT212" i="45"/>
  <c r="AT214" i="45"/>
  <c r="AU189" i="45"/>
  <c r="AT200" i="45"/>
  <c r="AT194" i="45"/>
  <c r="AT196" i="45"/>
  <c r="AS195" i="45"/>
  <c r="AT198" i="45"/>
  <c r="AU279" i="45"/>
  <c r="AS271" i="45"/>
  <c r="AU278" i="45"/>
  <c r="AT266" i="45"/>
  <c r="AS275" i="45"/>
  <c r="AT274" i="45"/>
  <c r="AT277" i="45"/>
  <c r="AS273" i="45"/>
  <c r="AT256" i="45"/>
  <c r="AT257" i="45"/>
  <c r="AS272" i="45"/>
  <c r="AT276" i="45"/>
  <c r="AT255" i="45"/>
  <c r="AT259" i="45"/>
  <c r="AT262" i="45"/>
  <c r="AT261" i="45"/>
  <c r="AS263" i="45"/>
  <c r="AT260" i="45"/>
  <c r="AT264" i="45"/>
  <c r="AT249" i="45"/>
  <c r="AT245" i="45"/>
  <c r="AT244" i="45"/>
  <c r="AT239" i="45"/>
  <c r="AU242" i="45"/>
  <c r="AU234" i="45"/>
  <c r="AU238" i="45"/>
  <c r="AT246" i="45"/>
  <c r="AN3" i="45"/>
  <c r="C11" i="38"/>
  <c r="C10" i="38" s="1"/>
  <c r="P205" i="38"/>
  <c r="Q205" i="38"/>
  <c r="D66" i="38"/>
  <c r="D154" i="38"/>
  <c r="D156" i="38"/>
  <c r="D121" i="38"/>
  <c r="D42" i="38"/>
  <c r="D118" i="38"/>
  <c r="D110" i="38"/>
  <c r="D135" i="38"/>
  <c r="D45" i="38"/>
  <c r="D129" i="38"/>
  <c r="D99" i="38"/>
  <c r="D53" i="38"/>
  <c r="D67" i="38"/>
  <c r="D137" i="38"/>
  <c r="D179" i="38"/>
  <c r="D84" i="38"/>
  <c r="D131" i="38"/>
  <c r="D172" i="38"/>
  <c r="D205" i="38"/>
  <c r="D86" i="38"/>
  <c r="D104" i="38"/>
  <c r="D68" i="38"/>
  <c r="D173" i="38"/>
  <c r="D100" i="38"/>
  <c r="D141" i="38"/>
  <c r="D164" i="38"/>
  <c r="D51" i="38"/>
  <c r="D44" i="38"/>
  <c r="D132" i="38"/>
  <c r="D160" i="38"/>
  <c r="D39" i="38"/>
  <c r="D91" i="38"/>
  <c r="D199" i="38"/>
  <c r="D178" i="38"/>
  <c r="D49" i="38"/>
  <c r="D127" i="38"/>
  <c r="D107" i="38"/>
  <c r="D151" i="38"/>
  <c r="D71" i="38"/>
  <c r="D117" i="38"/>
  <c r="D59" i="38"/>
  <c r="D40" i="38"/>
  <c r="D88" i="38"/>
  <c r="D55" i="38"/>
  <c r="D193" i="38"/>
  <c r="D52" i="38"/>
  <c r="D85" i="38"/>
  <c r="D174" i="38"/>
  <c r="D144" i="38"/>
  <c r="D72" i="38"/>
  <c r="D138" i="38"/>
  <c r="D134" i="38"/>
  <c r="D82" i="38"/>
  <c r="D176" i="38"/>
  <c r="D114" i="38"/>
  <c r="D62" i="38"/>
  <c r="D57" i="38"/>
  <c r="D87" i="38"/>
  <c r="D119" i="38"/>
  <c r="D170" i="38"/>
  <c r="D58" i="38"/>
  <c r="D148" i="38"/>
  <c r="D165" i="38"/>
  <c r="D63" i="38"/>
  <c r="D106" i="38"/>
  <c r="D94" i="38"/>
  <c r="D101" i="38"/>
  <c r="D175" i="38"/>
  <c r="D168" i="38"/>
  <c r="D177" i="38"/>
  <c r="D157" i="38"/>
  <c r="D161" i="38"/>
  <c r="D130" i="38"/>
  <c r="D133" i="38"/>
  <c r="D54" i="38"/>
  <c r="D166" i="38"/>
  <c r="D169" i="38"/>
  <c r="D192" i="38"/>
  <c r="D73" i="38"/>
  <c r="D152" i="38"/>
  <c r="D60" i="38"/>
  <c r="D43" i="38"/>
  <c r="D109" i="38"/>
  <c r="D187" i="38"/>
  <c r="D140" i="38"/>
  <c r="D61" i="38"/>
  <c r="D95" i="38"/>
  <c r="D103" i="38"/>
  <c r="D163" i="38"/>
  <c r="D122" i="38"/>
  <c r="D143" i="38"/>
  <c r="D194" i="38"/>
  <c r="D153" i="38"/>
  <c r="D120" i="38"/>
  <c r="D41" i="38"/>
  <c r="D105" i="38"/>
  <c r="D139" i="38"/>
  <c r="D155" i="38"/>
  <c r="D48" i="38"/>
  <c r="D108" i="38"/>
  <c r="D98" i="38"/>
  <c r="D126" i="38"/>
  <c r="D69" i="38"/>
  <c r="D83" i="38"/>
  <c r="D123" i="38"/>
  <c r="D64" i="38"/>
  <c r="D70" i="38"/>
  <c r="D97" i="38"/>
  <c r="D96" i="38"/>
  <c r="D92" i="38"/>
  <c r="D142" i="38"/>
  <c r="D167" i="38"/>
  <c r="CH9" i="44" a="1"/>
  <c r="CH9" i="44" l="1"/>
  <c r="AS816" i="45"/>
  <c r="AS921" i="45"/>
  <c r="AT396" i="45"/>
  <c r="AT711" i="45"/>
  <c r="AT1026" i="45"/>
  <c r="AT1131" i="45"/>
  <c r="AT1236" i="45"/>
  <c r="AT227" i="45"/>
  <c r="AJ200" i="50"/>
  <c r="AR8" i="45"/>
  <c r="AR12" i="45" s="1"/>
  <c r="AT201" i="45"/>
  <c r="CI6" i="44"/>
  <c r="C10" i="40"/>
  <c r="AU199" i="45"/>
  <c r="AT203" i="45"/>
  <c r="AU210" i="45"/>
  <c r="AU226" i="45"/>
  <c r="AU214" i="45"/>
  <c r="AU212" i="45"/>
  <c r="AU223" i="45"/>
  <c r="AU219" i="45"/>
  <c r="AU224" i="45"/>
  <c r="AU206" i="45"/>
  <c r="AT221" i="45"/>
  <c r="AU222" i="45"/>
  <c r="AT207" i="45"/>
  <c r="AU187" i="45"/>
  <c r="AU215" i="45"/>
  <c r="AT209" i="45"/>
  <c r="AU229" i="45"/>
  <c r="AU186" i="45"/>
  <c r="AU190" i="45"/>
  <c r="AU213" i="45"/>
  <c r="AU211" i="45"/>
  <c r="AU230" i="45"/>
  <c r="AU192" i="45"/>
  <c r="AU225" i="45"/>
  <c r="AT218" i="45"/>
  <c r="AU232" i="45"/>
  <c r="AU198" i="45"/>
  <c r="AT195" i="45"/>
  <c r="AU196" i="45"/>
  <c r="AU194" i="45"/>
  <c r="AU200" i="45"/>
  <c r="AT275" i="45"/>
  <c r="AT271" i="45"/>
  <c r="AU255" i="45"/>
  <c r="AU257" i="45"/>
  <c r="AU256" i="45"/>
  <c r="AU277" i="45"/>
  <c r="AU274" i="45"/>
  <c r="AU266" i="45"/>
  <c r="AU276" i="45"/>
  <c r="AT272" i="45"/>
  <c r="AT273" i="45"/>
  <c r="AT263" i="45"/>
  <c r="AU261" i="45"/>
  <c r="AU249" i="45"/>
  <c r="AU264" i="45"/>
  <c r="AU260" i="45"/>
  <c r="AU262" i="45"/>
  <c r="AU259" i="45"/>
  <c r="AU245" i="45"/>
  <c r="AU239" i="45"/>
  <c r="AU244" i="45"/>
  <c r="AU246" i="45"/>
  <c r="AO3" i="45"/>
  <c r="C96" i="38"/>
  <c r="C21" i="38"/>
  <c r="C166" i="38"/>
  <c r="C117" i="38"/>
  <c r="E20" i="38"/>
  <c r="C151" i="38"/>
  <c r="C52" i="38"/>
  <c r="C174" i="38"/>
  <c r="C66" i="38"/>
  <c r="F28" i="38"/>
  <c r="C18" i="38"/>
  <c r="E32" i="38"/>
  <c r="D19" i="38"/>
  <c r="C135" i="38"/>
  <c r="C69" i="38"/>
  <c r="F31" i="38"/>
  <c r="C137" i="38"/>
  <c r="C92" i="38"/>
  <c r="C71" i="38"/>
  <c r="C82" i="38"/>
  <c r="C105" i="38"/>
  <c r="C157" i="38"/>
  <c r="C70" i="38"/>
  <c r="D28" i="38"/>
  <c r="C25" i="38"/>
  <c r="C126" i="38"/>
  <c r="C156" i="38"/>
  <c r="C61" i="38"/>
  <c r="C41" i="38"/>
  <c r="C40" i="38"/>
  <c r="C172" i="38"/>
  <c r="D24" i="38"/>
  <c r="C141" i="38"/>
  <c r="C132" i="38"/>
  <c r="C64" i="38"/>
  <c r="C170" i="38"/>
  <c r="C22" i="38"/>
  <c r="E18" i="38"/>
  <c r="C192" i="38"/>
  <c r="C199" i="38"/>
  <c r="E28" i="38"/>
  <c r="C48" i="38"/>
  <c r="C161" i="38"/>
  <c r="C39" i="38"/>
  <c r="C95" i="38"/>
  <c r="C44" i="38"/>
  <c r="C49" i="38"/>
  <c r="C97" i="38"/>
  <c r="C58" i="38"/>
  <c r="C88" i="38"/>
  <c r="C121" i="38"/>
  <c r="C94" i="38"/>
  <c r="C67" i="38"/>
  <c r="E19" i="38"/>
  <c r="C43" i="38"/>
  <c r="C194" i="38"/>
  <c r="E25" i="38"/>
  <c r="C163" i="38"/>
  <c r="C63" i="38"/>
  <c r="C114" i="38"/>
  <c r="C42" i="38"/>
  <c r="D31" i="38"/>
  <c r="D22" i="38"/>
  <c r="C177" i="38"/>
  <c r="C20" i="38"/>
  <c r="C176" i="38"/>
  <c r="C109" i="38"/>
  <c r="C122" i="38"/>
  <c r="C28" i="38"/>
  <c r="C57" i="38"/>
  <c r="C167" i="38"/>
  <c r="C118" i="38"/>
  <c r="C83" i="38"/>
  <c r="E21" i="38"/>
  <c r="C53" i="38"/>
  <c r="C60" i="38"/>
  <c r="C98" i="38"/>
  <c r="C133" i="38"/>
  <c r="C51" i="38"/>
  <c r="C72" i="38"/>
  <c r="C173" i="38"/>
  <c r="C91" i="38"/>
  <c r="C73" i="38"/>
  <c r="C165" i="38"/>
  <c r="F18" i="38"/>
  <c r="C123" i="38"/>
  <c r="C140" i="38"/>
  <c r="C68" i="38"/>
  <c r="C134" i="38"/>
  <c r="C59" i="38"/>
  <c r="C45" i="38"/>
  <c r="C85" i="38"/>
  <c r="C120" i="38"/>
  <c r="C169" i="38"/>
  <c r="C101" i="38"/>
  <c r="C179" i="38"/>
  <c r="C193" i="38"/>
  <c r="C119" i="38"/>
  <c r="C175" i="38"/>
  <c r="C31" i="38"/>
  <c r="C153" i="38"/>
  <c r="D18" i="38"/>
  <c r="C155" i="38"/>
  <c r="C62" i="38"/>
  <c r="C32" i="38"/>
  <c r="C106" i="38"/>
  <c r="C129" i="38"/>
  <c r="C108" i="38"/>
  <c r="D32" i="38"/>
  <c r="C131" i="38"/>
  <c r="C130" i="38"/>
  <c r="F21" i="38"/>
  <c r="D21" i="38"/>
  <c r="C84" i="38"/>
  <c r="C160" i="38"/>
  <c r="C87" i="38"/>
  <c r="C24" i="38"/>
  <c r="E24" i="38"/>
  <c r="C143" i="38"/>
  <c r="C168" i="38"/>
  <c r="F32" i="38"/>
  <c r="C142" i="38"/>
  <c r="E22" i="38"/>
  <c r="D25" i="38"/>
  <c r="C144" i="38"/>
  <c r="C104" i="38"/>
  <c r="C148" i="38"/>
  <c r="C154" i="38"/>
  <c r="C152" i="38"/>
  <c r="C139" i="38"/>
  <c r="C127" i="38"/>
  <c r="F22" i="38"/>
  <c r="C99" i="38"/>
  <c r="C138" i="38"/>
  <c r="E31" i="38"/>
  <c r="F20" i="38"/>
  <c r="F25" i="38"/>
  <c r="C187" i="38"/>
  <c r="C55" i="38"/>
  <c r="C100" i="38"/>
  <c r="D20" i="38"/>
  <c r="C164" i="38"/>
  <c r="C107" i="38"/>
  <c r="C205" i="38"/>
  <c r="C54" i="38"/>
  <c r="C110" i="38"/>
  <c r="C178" i="38"/>
  <c r="C19" i="38"/>
  <c r="F19" i="38"/>
  <c r="F24" i="38"/>
  <c r="C103" i="38"/>
  <c r="C86" i="38"/>
  <c r="O25" i="38"/>
  <c r="O20" i="38"/>
  <c r="N25" i="38"/>
  <c r="N24" i="38"/>
  <c r="N31" i="38"/>
  <c r="N28" i="38"/>
  <c r="O28" i="38"/>
  <c r="O24" i="38"/>
  <c r="O32" i="38"/>
  <c r="N21" i="38"/>
  <c r="O21" i="38"/>
  <c r="O31" i="38"/>
  <c r="O22" i="38"/>
  <c r="O19" i="38"/>
  <c r="O18" i="38"/>
  <c r="CI9" i="44" a="1"/>
  <c r="CI9" i="44" l="1"/>
  <c r="S131" i="38"/>
  <c r="T131" i="38" s="1"/>
  <c r="S82" i="38"/>
  <c r="T82" i="38" s="1"/>
  <c r="S45" i="38"/>
  <c r="T45" i="38" s="1"/>
  <c r="S44" i="38"/>
  <c r="T44" i="38" s="1"/>
  <c r="S53" i="38"/>
  <c r="T53" i="38" s="1"/>
  <c r="S169" i="38"/>
  <c r="T169" i="38" s="1"/>
  <c r="S61" i="38"/>
  <c r="T61" i="38" s="1"/>
  <c r="S129" i="38"/>
  <c r="T129" i="38" s="1"/>
  <c r="S57" i="38"/>
  <c r="T57" i="38" s="1"/>
  <c r="S134" i="38"/>
  <c r="T134" i="38" s="1"/>
  <c r="S133" i="38"/>
  <c r="T133" i="38" s="1"/>
  <c r="S39" i="38"/>
  <c r="T39" i="38" s="1"/>
  <c r="S18" i="38"/>
  <c r="T18" i="38" s="1"/>
  <c r="S55" i="38"/>
  <c r="T55" i="38" s="1"/>
  <c r="S160" i="38"/>
  <c r="T160" i="38" s="1"/>
  <c r="S91" i="38"/>
  <c r="T91" i="38" s="1"/>
  <c r="S97" i="38"/>
  <c r="T97" i="38" s="1"/>
  <c r="S155" i="38"/>
  <c r="T155" i="38" s="1"/>
  <c r="S42" i="38"/>
  <c r="T42" i="38" s="1"/>
  <c r="S199" i="38"/>
  <c r="T199" i="38" s="1"/>
  <c r="S126" i="38"/>
  <c r="T126" i="38" s="1"/>
  <c r="S174" i="38"/>
  <c r="T174" i="38" s="1"/>
  <c r="S103" i="38"/>
  <c r="T103" i="38" s="1"/>
  <c r="S95" i="38"/>
  <c r="T95" i="38" s="1"/>
  <c r="S66" i="38"/>
  <c r="T66" i="38" s="1"/>
  <c r="S142" i="38"/>
  <c r="T142" i="38" s="1"/>
  <c r="S28" i="38"/>
  <c r="T28" i="38" s="1"/>
  <c r="S94" i="38"/>
  <c r="T94" i="38" s="1"/>
  <c r="S85" i="38"/>
  <c r="T85" i="38" s="1"/>
  <c r="S83" i="38"/>
  <c r="T83" i="38" s="1"/>
  <c r="S157" i="38"/>
  <c r="T157" i="38" s="1"/>
  <c r="S167" i="38"/>
  <c r="T167" i="38" s="1"/>
  <c r="S139" i="38"/>
  <c r="T139" i="38" s="1"/>
  <c r="S121" i="38"/>
  <c r="T121" i="38" s="1"/>
  <c r="S20" i="38"/>
  <c r="T20" i="38" s="1"/>
  <c r="S163" i="38"/>
  <c r="T163" i="38" s="1"/>
  <c r="S140" i="38"/>
  <c r="T140" i="38" s="1"/>
  <c r="S170" i="38"/>
  <c r="T170" i="38" s="1"/>
  <c r="S161" i="38"/>
  <c r="T161" i="38" s="1"/>
  <c r="S107" i="38"/>
  <c r="T107" i="38" s="1"/>
  <c r="S143" i="38"/>
  <c r="T143" i="38" s="1"/>
  <c r="S135" i="38"/>
  <c r="T135" i="38" s="1"/>
  <c r="S187" i="38"/>
  <c r="T187" i="38" s="1"/>
  <c r="S63" i="38"/>
  <c r="T63" i="38" s="1"/>
  <c r="S119" i="38"/>
  <c r="T119" i="38" s="1"/>
  <c r="S84" i="38"/>
  <c r="T84" i="38" s="1"/>
  <c r="S109" i="38"/>
  <c r="T109" i="38" s="1"/>
  <c r="S24" i="38"/>
  <c r="T24" i="38" s="1"/>
  <c r="S70" i="38"/>
  <c r="T70" i="38" s="1"/>
  <c r="S21" i="38"/>
  <c r="T21" i="38" s="1"/>
  <c r="S175" i="38"/>
  <c r="T175" i="38" s="1"/>
  <c r="S138" i="38"/>
  <c r="T138" i="38" s="1"/>
  <c r="S92" i="38"/>
  <c r="T92" i="38" s="1"/>
  <c r="S69" i="38"/>
  <c r="T69" i="38" s="1"/>
  <c r="S71" i="38"/>
  <c r="T71" i="38" s="1"/>
  <c r="S40" i="38"/>
  <c r="T40" i="38" s="1"/>
  <c r="S144" i="38"/>
  <c r="T144" i="38" s="1"/>
  <c r="S54" i="38"/>
  <c r="T54" i="38" s="1"/>
  <c r="S64" i="38"/>
  <c r="T64" i="38" s="1"/>
  <c r="S86" i="38"/>
  <c r="T86" i="38" s="1"/>
  <c r="S165" i="38"/>
  <c r="T165" i="38" s="1"/>
  <c r="S41" i="38"/>
  <c r="T41" i="38" s="1"/>
  <c r="S148" i="38"/>
  <c r="T148" i="38" s="1"/>
  <c r="S48" i="38"/>
  <c r="T48" i="38" s="1"/>
  <c r="S152" i="38"/>
  <c r="T152" i="38" s="1"/>
  <c r="S31" i="38"/>
  <c r="T31" i="38" s="1"/>
  <c r="S194" i="38"/>
  <c r="T194" i="38" s="1"/>
  <c r="S62" i="38"/>
  <c r="T62" i="38" s="1"/>
  <c r="S52" i="38"/>
  <c r="T52" i="38" s="1"/>
  <c r="S114" i="38"/>
  <c r="T114" i="38" s="1"/>
  <c r="S51" i="38"/>
  <c r="T51" i="38" s="1"/>
  <c r="S19" i="38"/>
  <c r="T19" i="38" s="1"/>
  <c r="S99" i="38"/>
  <c r="T99" i="38" s="1"/>
  <c r="S73" i="38"/>
  <c r="T73" i="38" s="1"/>
  <c r="S179" i="38"/>
  <c r="T179" i="38" s="1"/>
  <c r="S154" i="38"/>
  <c r="T154" i="38" s="1"/>
  <c r="S58" i="38"/>
  <c r="T58" i="38" s="1"/>
  <c r="S22" i="38"/>
  <c r="T22" i="38" s="1"/>
  <c r="S192" i="38"/>
  <c r="T192" i="38" s="1"/>
  <c r="S59" i="38"/>
  <c r="T59" i="38" s="1"/>
  <c r="S117" i="38"/>
  <c r="T117" i="38" s="1"/>
  <c r="S122" i="38"/>
  <c r="T122" i="38" s="1"/>
  <c r="S177" i="38"/>
  <c r="T177" i="38" s="1"/>
  <c r="S153" i="38"/>
  <c r="T153" i="38" s="1"/>
  <c r="S108" i="38"/>
  <c r="T108" i="38" s="1"/>
  <c r="S132" i="38"/>
  <c r="T132" i="38" s="1"/>
  <c r="S123" i="38"/>
  <c r="T123" i="38" s="1"/>
  <c r="S173" i="38"/>
  <c r="T173" i="38" s="1"/>
  <c r="S176" i="38"/>
  <c r="T176" i="38" s="1"/>
  <c r="S104" i="38"/>
  <c r="T104" i="38" s="1"/>
  <c r="S118" i="38"/>
  <c r="T118" i="38" s="1"/>
  <c r="S101" i="38"/>
  <c r="T101" i="38" s="1"/>
  <c r="S25" i="38"/>
  <c r="T25" i="38" s="1"/>
  <c r="S164" i="38"/>
  <c r="T164" i="38" s="1"/>
  <c r="S32" i="38"/>
  <c r="T32" i="38" s="1"/>
  <c r="S88" i="38"/>
  <c r="T88" i="38" s="1"/>
  <c r="S87" i="38"/>
  <c r="T87" i="38" s="1"/>
  <c r="S127" i="38"/>
  <c r="T127" i="38" s="1"/>
  <c r="S110" i="38"/>
  <c r="T110" i="38" s="1"/>
  <c r="S100" i="38"/>
  <c r="T100" i="38" s="1"/>
  <c r="S105" i="38"/>
  <c r="T105" i="38" s="1"/>
  <c r="S60" i="38"/>
  <c r="T60" i="38" s="1"/>
  <c r="S130" i="38"/>
  <c r="T130" i="38" s="1"/>
  <c r="S72" i="38"/>
  <c r="T72" i="38" s="1"/>
  <c r="S43" i="38"/>
  <c r="T43" i="38" s="1"/>
  <c r="S141" i="38"/>
  <c r="T141" i="38" s="1"/>
  <c r="S49" i="38"/>
  <c r="T49" i="38" s="1"/>
  <c r="S156" i="38"/>
  <c r="T156" i="38" s="1"/>
  <c r="S193" i="38"/>
  <c r="T193" i="38" s="1"/>
  <c r="S168" i="38"/>
  <c r="T168" i="38" s="1"/>
  <c r="S96" i="38"/>
  <c r="T96" i="38" s="1"/>
  <c r="S98" i="38"/>
  <c r="T98" i="38" s="1"/>
  <c r="S178" i="38"/>
  <c r="T178" i="38" s="1"/>
  <c r="S120" i="38"/>
  <c r="T120" i="38" s="1"/>
  <c r="S137" i="38"/>
  <c r="T137" i="38" s="1"/>
  <c r="S172" i="38"/>
  <c r="T172" i="38" s="1"/>
  <c r="S166" i="38"/>
  <c r="T166" i="38" s="1"/>
  <c r="S68" i="38"/>
  <c r="T68" i="38" s="1"/>
  <c r="S106" i="38"/>
  <c r="T106" i="38" s="1"/>
  <c r="S67" i="38"/>
  <c r="T67" i="38" s="1"/>
  <c r="S151" i="38"/>
  <c r="T151" i="38" s="1"/>
  <c r="AU396" i="45"/>
  <c r="AU711" i="45"/>
  <c r="AU1026" i="45"/>
  <c r="AU1131" i="45"/>
  <c r="AU1236" i="45"/>
  <c r="AT816" i="45"/>
  <c r="AT921" i="45"/>
  <c r="AU227" i="45"/>
  <c r="AK200" i="50"/>
  <c r="AS8" i="45"/>
  <c r="AS12" i="45" s="1"/>
  <c r="AU201" i="45"/>
  <c r="CJ6" i="44"/>
  <c r="AU207" i="45"/>
  <c r="AU218" i="45"/>
  <c r="AU209" i="45"/>
  <c r="AU221" i="45"/>
  <c r="AU203" i="45"/>
  <c r="AU195" i="45"/>
  <c r="AU273" i="45"/>
  <c r="AU271" i="45"/>
  <c r="AU275" i="45"/>
  <c r="AU272" i="45"/>
  <c r="AU263" i="45"/>
  <c r="AP3" i="45"/>
  <c r="BA10" i="3"/>
  <c r="AN10" i="3"/>
  <c r="AO9" i="3"/>
  <c r="D10" i="3"/>
  <c r="E10" i="3" s="1"/>
  <c r="F10" i="3" s="1"/>
  <c r="G10" i="3" s="1"/>
  <c r="H10" i="3" s="1"/>
  <c r="I10" i="3" s="1"/>
  <c r="J10" i="3" s="1"/>
  <c r="K10" i="3" s="1"/>
  <c r="L10" i="3" s="1"/>
  <c r="M10" i="3" s="1"/>
  <c r="N10" i="3" s="1"/>
  <c r="O10" i="3" s="1"/>
  <c r="P10" i="3" s="1"/>
  <c r="Q10" i="3" s="1"/>
  <c r="R10" i="3" s="1"/>
  <c r="S10" i="3" s="1"/>
  <c r="T10" i="3" s="1"/>
  <c r="U10" i="3" s="1"/>
  <c r="V10" i="3" s="1"/>
  <c r="W10" i="3" s="1"/>
  <c r="X10" i="3" s="1"/>
  <c r="Y10" i="3" s="1"/>
  <c r="Z10" i="3" s="1"/>
  <c r="B6" i="3"/>
  <c r="B5" i="3"/>
  <c r="B4" i="3"/>
  <c r="B3" i="3"/>
  <c r="B2" i="3"/>
  <c r="B1" i="3"/>
  <c r="C27" i="3"/>
  <c r="C24" i="3"/>
  <c r="C16" i="3"/>
  <c r="C28" i="3"/>
  <c r="C14" i="3"/>
  <c r="C18" i="3"/>
  <c r="C17" i="3"/>
  <c r="C15" i="3"/>
  <c r="C201" i="3"/>
  <c r="C20" i="3"/>
  <c r="C21" i="3"/>
  <c r="CJ9" i="44" a="1"/>
  <c r="CJ9" i="44" l="1"/>
  <c r="AU816" i="45"/>
  <c r="AU921" i="45"/>
  <c r="AL200" i="50"/>
  <c r="AT8" i="45"/>
  <c r="AT12" i="45" s="1"/>
  <c r="CK6" i="44"/>
  <c r="AA10" i="3"/>
  <c r="Z10" i="2"/>
  <c r="AQ3" i="45"/>
  <c r="H98" i="40"/>
  <c r="AP9" i="3"/>
  <c r="AO10" i="3"/>
  <c r="AO195" i="3"/>
  <c r="AO183" i="3"/>
  <c r="AO172" i="3"/>
  <c r="AO168" i="3"/>
  <c r="AO163" i="3"/>
  <c r="AO159" i="3"/>
  <c r="AO152" i="3"/>
  <c r="AO147" i="3"/>
  <c r="AO134" i="3"/>
  <c r="AO144" i="3"/>
  <c r="AO133" i="3"/>
  <c r="AO119" i="3"/>
  <c r="AO115" i="3"/>
  <c r="AO106" i="3"/>
  <c r="AO102" i="3"/>
  <c r="AO97" i="3"/>
  <c r="AO93" i="3"/>
  <c r="AO88" i="3"/>
  <c r="AO82" i="3"/>
  <c r="AO78" i="3"/>
  <c r="AO127" i="3"/>
  <c r="AO64" i="3"/>
  <c r="AO59" i="3"/>
  <c r="AO55" i="3"/>
  <c r="AO50" i="3"/>
  <c r="AO45" i="3"/>
  <c r="AO39" i="3"/>
  <c r="AO35" i="3"/>
  <c r="AO190" i="3"/>
  <c r="AO175" i="3"/>
  <c r="AO171" i="3"/>
  <c r="AO166" i="3"/>
  <c r="AO162" i="3"/>
  <c r="AO157" i="3"/>
  <c r="AO151" i="3"/>
  <c r="AO140" i="3"/>
  <c r="AO128" i="3"/>
  <c r="AO139" i="3"/>
  <c r="AO130" i="3"/>
  <c r="AO118" i="3"/>
  <c r="AO114" i="3"/>
  <c r="AO105" i="3"/>
  <c r="AO101" i="3"/>
  <c r="AO96" i="3"/>
  <c r="AO92" i="3"/>
  <c r="AO87" i="3"/>
  <c r="AO81" i="3"/>
  <c r="AO69" i="3"/>
  <c r="AO125" i="3"/>
  <c r="AO63" i="3"/>
  <c r="AO58" i="3"/>
  <c r="AO54" i="3"/>
  <c r="AO49" i="3"/>
  <c r="AO44" i="3"/>
  <c r="AO38" i="3"/>
  <c r="AO131" i="3"/>
  <c r="AO189" i="3"/>
  <c r="AO174" i="3"/>
  <c r="AO170" i="3"/>
  <c r="AO165" i="3"/>
  <c r="AO161" i="3"/>
  <c r="AO156" i="3"/>
  <c r="AO150" i="3"/>
  <c r="AO138" i="3"/>
  <c r="AO123" i="3"/>
  <c r="AO137" i="3"/>
  <c r="AO126" i="3"/>
  <c r="AO117" i="3"/>
  <c r="AO113" i="3"/>
  <c r="AO104" i="3"/>
  <c r="AO100" i="3"/>
  <c r="AO95" i="3"/>
  <c r="AO91" i="3"/>
  <c r="AO84" i="3"/>
  <c r="AO80" i="3"/>
  <c r="AO68" i="3"/>
  <c r="AO66" i="3"/>
  <c r="AO62" i="3"/>
  <c r="AO57" i="3"/>
  <c r="AO53" i="3"/>
  <c r="AO48" i="3"/>
  <c r="AO41" i="3"/>
  <c r="AO37" i="3"/>
  <c r="AO188" i="3"/>
  <c r="AO173" i="3"/>
  <c r="AO169" i="3"/>
  <c r="AO164" i="3"/>
  <c r="AO160" i="3"/>
  <c r="AO153" i="3"/>
  <c r="AO149" i="3"/>
  <c r="AO136" i="3"/>
  <c r="AO148" i="3"/>
  <c r="AO135" i="3"/>
  <c r="AO122" i="3"/>
  <c r="AO116" i="3"/>
  <c r="AO110" i="3"/>
  <c r="AO103" i="3"/>
  <c r="AO99" i="3"/>
  <c r="AO94" i="3"/>
  <c r="AO90" i="3"/>
  <c r="AO83" i="3"/>
  <c r="AO79" i="3"/>
  <c r="AO67" i="3"/>
  <c r="AO65" i="3"/>
  <c r="AO60" i="3"/>
  <c r="AO56" i="3"/>
  <c r="AO51" i="3"/>
  <c r="AO47" i="3"/>
  <c r="AO40" i="3"/>
  <c r="AO36" i="3"/>
  <c r="AO129" i="3"/>
  <c r="P15" i="3"/>
  <c r="X27" i="3"/>
  <c r="T16" i="3"/>
  <c r="J17" i="3"/>
  <c r="J27" i="3"/>
  <c r="W16" i="3"/>
  <c r="H201" i="3"/>
  <c r="H24" i="3"/>
  <c r="J20" i="3"/>
  <c r="Y14" i="3"/>
  <c r="G201" i="3"/>
  <c r="S20" i="3"/>
  <c r="R15" i="3"/>
  <c r="O27" i="3"/>
  <c r="U20" i="3"/>
  <c r="R21" i="3"/>
  <c r="R16" i="3"/>
  <c r="H20" i="3"/>
  <c r="F20" i="3"/>
  <c r="L24" i="3"/>
  <c r="W14" i="3"/>
  <c r="S17" i="3"/>
  <c r="O21" i="3"/>
  <c r="L14" i="3"/>
  <c r="K201" i="3"/>
  <c r="P20" i="3"/>
  <c r="M17" i="3"/>
  <c r="W201" i="3"/>
  <c r="V21" i="3"/>
  <c r="I17" i="3"/>
  <c r="J18" i="3"/>
  <c r="Q17" i="3"/>
  <c r="J28" i="3"/>
  <c r="M201" i="3"/>
  <c r="E15" i="3"/>
  <c r="P27" i="3"/>
  <c r="E14" i="3"/>
  <c r="K15" i="3"/>
  <c r="F16" i="3"/>
  <c r="T17" i="3"/>
  <c r="O24" i="3"/>
  <c r="G21" i="3"/>
  <c r="Y21" i="3"/>
  <c r="Y17" i="3"/>
  <c r="Q15" i="3"/>
  <c r="L17" i="3"/>
  <c r="E21" i="3"/>
  <c r="V14" i="3"/>
  <c r="Q201" i="3"/>
  <c r="G27" i="3"/>
  <c r="U15" i="3"/>
  <c r="I28" i="3"/>
  <c r="I20" i="3"/>
  <c r="D21" i="3"/>
  <c r="Q28" i="3"/>
  <c r="X14" i="3"/>
  <c r="O18" i="3"/>
  <c r="L21" i="3"/>
  <c r="L18" i="3"/>
  <c r="U28" i="3"/>
  <c r="J14" i="3"/>
  <c r="N18" i="3"/>
  <c r="S16" i="3"/>
  <c r="U16" i="3"/>
  <c r="I24" i="3"/>
  <c r="V201" i="3"/>
  <c r="F201" i="3"/>
  <c r="S14" i="3"/>
  <c r="O17" i="3"/>
  <c r="N28" i="3"/>
  <c r="P28" i="3"/>
  <c r="E201" i="3"/>
  <c r="T21" i="3"/>
  <c r="K17" i="3"/>
  <c r="P18" i="3"/>
  <c r="X20" i="3"/>
  <c r="M20" i="3"/>
  <c r="U14" i="3"/>
  <c r="S28" i="3"/>
  <c r="U201" i="3"/>
  <c r="Y28" i="3"/>
  <c r="D27" i="3"/>
  <c r="Y16" i="3"/>
  <c r="J15" i="3"/>
  <c r="S27" i="3"/>
  <c r="V27" i="3"/>
  <c r="K28" i="3"/>
  <c r="J24" i="3"/>
  <c r="K20" i="3"/>
  <c r="G18" i="3"/>
  <c r="E18" i="3"/>
  <c r="S24" i="3"/>
  <c r="D28" i="3"/>
  <c r="U17" i="3"/>
  <c r="S201" i="3"/>
  <c r="U27" i="3"/>
  <c r="P21" i="3"/>
  <c r="L15" i="3"/>
  <c r="M28" i="3"/>
  <c r="V17" i="3"/>
  <c r="L16" i="3"/>
  <c r="X21" i="3"/>
  <c r="W17" i="3"/>
  <c r="P24" i="3"/>
  <c r="Y20" i="3"/>
  <c r="O28" i="3"/>
  <c r="D17" i="3"/>
  <c r="M21" i="3"/>
  <c r="N15" i="3"/>
  <c r="W20" i="3"/>
  <c r="F17" i="3"/>
  <c r="F14" i="3"/>
  <c r="D16" i="3"/>
  <c r="G14" i="3"/>
  <c r="P201" i="3"/>
  <c r="I21" i="3"/>
  <c r="N17" i="3"/>
  <c r="H14" i="3"/>
  <c r="H17" i="3"/>
  <c r="F27" i="3"/>
  <c r="K18" i="3"/>
  <c r="D24" i="3"/>
  <c r="X16" i="3"/>
  <c r="H18" i="3"/>
  <c r="O14" i="3"/>
  <c r="N20" i="3"/>
  <c r="T27" i="3"/>
  <c r="K27" i="3"/>
  <c r="N27" i="3"/>
  <c r="R17" i="3"/>
  <c r="F21" i="3"/>
  <c r="P17" i="3"/>
  <c r="X201" i="3"/>
  <c r="M27" i="3"/>
  <c r="T201" i="3"/>
  <c r="D201" i="3"/>
  <c r="K16" i="3"/>
  <c r="U18" i="3"/>
  <c r="Y18" i="3"/>
  <c r="R14" i="3"/>
  <c r="E27" i="3"/>
  <c r="T14" i="3"/>
  <c r="N14" i="3"/>
  <c r="V24" i="3"/>
  <c r="S21" i="3"/>
  <c r="F28" i="3"/>
  <c r="E16" i="3"/>
  <c r="U24" i="3"/>
  <c r="H28" i="3"/>
  <c r="Q20" i="3"/>
  <c r="G15" i="3"/>
  <c r="D20" i="3"/>
  <c r="H16" i="3"/>
  <c r="I201" i="3"/>
  <c r="J16" i="3"/>
  <c r="E24" i="3"/>
  <c r="R18" i="3"/>
  <c r="H21" i="3"/>
  <c r="G20" i="3"/>
  <c r="K14" i="3"/>
  <c r="G16" i="3"/>
  <c r="Q18" i="3"/>
  <c r="W27" i="3"/>
  <c r="W15" i="3"/>
  <c r="N21" i="3"/>
  <c r="O20" i="3"/>
  <c r="O15" i="3"/>
  <c r="M18" i="3"/>
  <c r="M24" i="3"/>
  <c r="H27" i="3"/>
  <c r="K21" i="3"/>
  <c r="Y24" i="3"/>
  <c r="T24" i="3"/>
  <c r="G24" i="3"/>
  <c r="W24" i="3"/>
  <c r="Y15" i="3"/>
  <c r="V18" i="3"/>
  <c r="Q16" i="3"/>
  <c r="T20" i="3"/>
  <c r="P14" i="3"/>
  <c r="X24" i="3"/>
  <c r="V15" i="3"/>
  <c r="P16" i="3"/>
  <c r="K24" i="3"/>
  <c r="J21" i="3"/>
  <c r="E28" i="3"/>
  <c r="R27" i="3"/>
  <c r="L20" i="3"/>
  <c r="R201" i="3"/>
  <c r="I15" i="3"/>
  <c r="D15" i="3"/>
  <c r="U21" i="3"/>
  <c r="E20" i="3"/>
  <c r="F15" i="3"/>
  <c r="V20" i="3"/>
  <c r="N201" i="3"/>
  <c r="H15" i="3"/>
  <c r="G17" i="3"/>
  <c r="X15" i="3"/>
  <c r="R24" i="3"/>
  <c r="R28" i="3"/>
  <c r="F18" i="3"/>
  <c r="X18" i="3"/>
  <c r="N16" i="3"/>
  <c r="S18" i="3"/>
  <c r="Q24" i="3"/>
  <c r="W28" i="3"/>
  <c r="M15" i="3"/>
  <c r="T15" i="3"/>
  <c r="O16" i="3"/>
  <c r="V28" i="3"/>
  <c r="N24" i="3"/>
  <c r="Y201" i="3"/>
  <c r="F24" i="3"/>
  <c r="L28" i="3"/>
  <c r="I27" i="3"/>
  <c r="W21" i="3"/>
  <c r="Q14" i="3"/>
  <c r="Q27" i="3"/>
  <c r="I16" i="3"/>
  <c r="T28" i="3"/>
  <c r="I18" i="3"/>
  <c r="L201" i="3"/>
  <c r="T18" i="3"/>
  <c r="E17" i="3"/>
  <c r="V16" i="3"/>
  <c r="X28" i="3"/>
  <c r="Y27" i="3"/>
  <c r="O201" i="3"/>
  <c r="S15" i="3"/>
  <c r="M16" i="3"/>
  <c r="L27" i="3"/>
  <c r="Q21" i="3"/>
  <c r="D14" i="3"/>
  <c r="M14" i="3"/>
  <c r="R20" i="3"/>
  <c r="W18" i="3"/>
  <c r="X17" i="3"/>
  <c r="D18" i="3"/>
  <c r="G28" i="3"/>
  <c r="J201" i="3"/>
  <c r="I14" i="3"/>
  <c r="CK9" i="44" a="1"/>
  <c r="CK9" i="44" l="1"/>
  <c r="CN9" i="44" s="1" a="1"/>
  <c r="CN9" i="44" s="1"/>
  <c r="CP9" i="44"/>
  <c r="AO24" i="3"/>
  <c r="AO14" i="3"/>
  <c r="BA16" i="3"/>
  <c r="AN16" i="3"/>
  <c r="BA18" i="3"/>
  <c r="AN18" i="3"/>
  <c r="AO18" i="3"/>
  <c r="BB18" i="3"/>
  <c r="BB18" i="2" s="1"/>
  <c r="AO21" i="3"/>
  <c r="BA27" i="3"/>
  <c r="AN27" i="3"/>
  <c r="BB24" i="3"/>
  <c r="BB24" i="2" s="1"/>
  <c r="BB20" i="3"/>
  <c r="BA14" i="3"/>
  <c r="AN14" i="3"/>
  <c r="AO15" i="3"/>
  <c r="AO16" i="3"/>
  <c r="AN20" i="3"/>
  <c r="BA20" i="3"/>
  <c r="BB27" i="3"/>
  <c r="BB27" i="2" s="1"/>
  <c r="BA21" i="3"/>
  <c r="AN21" i="3"/>
  <c r="AO27" i="3"/>
  <c r="AO28" i="3"/>
  <c r="BB21" i="3"/>
  <c r="BB21" i="2" s="1"/>
  <c r="AN17" i="3"/>
  <c r="BA17" i="3"/>
  <c r="BB15" i="3"/>
  <c r="BB15" i="2" s="1"/>
  <c r="AO20" i="3"/>
  <c r="AN24" i="3"/>
  <c r="BA24" i="3"/>
  <c r="BB14" i="3"/>
  <c r="BB14" i="2" s="1"/>
  <c r="AN28" i="3"/>
  <c r="BA28" i="3"/>
  <c r="AN15" i="3"/>
  <c r="BA15" i="3"/>
  <c r="AO17" i="3"/>
  <c r="BB28" i="3"/>
  <c r="BB28" i="2" s="1"/>
  <c r="BB16" i="3"/>
  <c r="BB16" i="2" s="1"/>
  <c r="BB17" i="3"/>
  <c r="BB17" i="2" s="1"/>
  <c r="AP24" i="3"/>
  <c r="AP17" i="3"/>
  <c r="AP27" i="3"/>
  <c r="AP21" i="3"/>
  <c r="AP18" i="3"/>
  <c r="AP16" i="3"/>
  <c r="AP14" i="3"/>
  <c r="AP28" i="3"/>
  <c r="AP20" i="3"/>
  <c r="AP15" i="3"/>
  <c r="AU8" i="45"/>
  <c r="AU12" i="45" s="1"/>
  <c r="BC200" i="50"/>
  <c r="AY200" i="50"/>
  <c r="BA201" i="3"/>
  <c r="AN201" i="3"/>
  <c r="AO201" i="3"/>
  <c r="AP201" i="3"/>
  <c r="AB10" i="3"/>
  <c r="AA10" i="2"/>
  <c r="BC19" i="3"/>
  <c r="BC22" i="3" s="1"/>
  <c r="BC26" i="3" s="1"/>
  <c r="AR3" i="45"/>
  <c r="AQ9" i="3"/>
  <c r="AQ28" i="3" s="1"/>
  <c r="AP10" i="3"/>
  <c r="AP195" i="3"/>
  <c r="AP183" i="3"/>
  <c r="AP172" i="3"/>
  <c r="AP168" i="3"/>
  <c r="AP162" i="3"/>
  <c r="AP147" i="3"/>
  <c r="AP138" i="3"/>
  <c r="AP134" i="3"/>
  <c r="AP149" i="3"/>
  <c r="AP127" i="3"/>
  <c r="AP126" i="3"/>
  <c r="AP113" i="3"/>
  <c r="AP123" i="3"/>
  <c r="AP84" i="3"/>
  <c r="AP122" i="3"/>
  <c r="AP102" i="3"/>
  <c r="AP82" i="3"/>
  <c r="AP105" i="3"/>
  <c r="AP79" i="3"/>
  <c r="AP97" i="3"/>
  <c r="AP63" i="3"/>
  <c r="AP54" i="3"/>
  <c r="AP44" i="3"/>
  <c r="AP152" i="3"/>
  <c r="AP62" i="3"/>
  <c r="AP190" i="3"/>
  <c r="AP175" i="3"/>
  <c r="AP171" i="3"/>
  <c r="AP166" i="3"/>
  <c r="AP157" i="3"/>
  <c r="AP144" i="3"/>
  <c r="AP137" i="3"/>
  <c r="AP133" i="3"/>
  <c r="AP161" i="3"/>
  <c r="AP156" i="3"/>
  <c r="AP119" i="3"/>
  <c r="AP106" i="3"/>
  <c r="AP100" i="3"/>
  <c r="AP80" i="3"/>
  <c r="AP116" i="3"/>
  <c r="AP101" i="3"/>
  <c r="AP69" i="3"/>
  <c r="AP96" i="3"/>
  <c r="AP67" i="3"/>
  <c r="AP81" i="3"/>
  <c r="AP60" i="3"/>
  <c r="AP51" i="3"/>
  <c r="AP40" i="3"/>
  <c r="AP92" i="3"/>
  <c r="AP94" i="3"/>
  <c r="AP59" i="3"/>
  <c r="AP50" i="3"/>
  <c r="AP189" i="3"/>
  <c r="AP174" i="3"/>
  <c r="AP170" i="3"/>
  <c r="AP165" i="3"/>
  <c r="AP151" i="3"/>
  <c r="AP140" i="3"/>
  <c r="AP136" i="3"/>
  <c r="AP160" i="3"/>
  <c r="AP150" i="3"/>
  <c r="AP129" i="3"/>
  <c r="AP117" i="3"/>
  <c r="AP104" i="3"/>
  <c r="AP95" i="3"/>
  <c r="AP159" i="3"/>
  <c r="AP110" i="3"/>
  <c r="AP99" i="3"/>
  <c r="AP118" i="3"/>
  <c r="AP93" i="3"/>
  <c r="AP128" i="3"/>
  <c r="AP78" i="3"/>
  <c r="AP58" i="3"/>
  <c r="AP49" i="3"/>
  <c r="AP38" i="3"/>
  <c r="AP83" i="3"/>
  <c r="AP66" i="3"/>
  <c r="AP57" i="3"/>
  <c r="AP48" i="3"/>
  <c r="AP37" i="3"/>
  <c r="AP188" i="3"/>
  <c r="AP173" i="3"/>
  <c r="AP169" i="3"/>
  <c r="AP164" i="3"/>
  <c r="AP148" i="3"/>
  <c r="AP139" i="3"/>
  <c r="AP135" i="3"/>
  <c r="AP153" i="3"/>
  <c r="AP131" i="3"/>
  <c r="AP125" i="3"/>
  <c r="AP115" i="3"/>
  <c r="AP163" i="3"/>
  <c r="AP91" i="3"/>
  <c r="AP130" i="3"/>
  <c r="AP103" i="3"/>
  <c r="AP87" i="3"/>
  <c r="AP114" i="3"/>
  <c r="AP90" i="3"/>
  <c r="AP88" i="3"/>
  <c r="AP65" i="3"/>
  <c r="AP56" i="3"/>
  <c r="AP47" i="3"/>
  <c r="AP36" i="3"/>
  <c r="AP68" i="3"/>
  <c r="AP64" i="3"/>
  <c r="AP55" i="3"/>
  <c r="AP45" i="3"/>
  <c r="AP35" i="3"/>
  <c r="AP53" i="3"/>
  <c r="AP41" i="3"/>
  <c r="AP39" i="3"/>
  <c r="AQ20" i="3"/>
  <c r="AQ18" i="3"/>
  <c r="AQ27" i="3"/>
  <c r="AQ21" i="3"/>
  <c r="AQ24" i="3" l="1"/>
  <c r="AQ16" i="3"/>
  <c r="AQ17" i="3"/>
  <c r="AQ15" i="3"/>
  <c r="AQ14" i="3"/>
  <c r="AQ201" i="3"/>
  <c r="AC10" i="3"/>
  <c r="AB10" i="2"/>
  <c r="BC29" i="3"/>
  <c r="BC29" i="2" s="1"/>
  <c r="BC26" i="2"/>
  <c r="BB19" i="3"/>
  <c r="BB22" i="3" s="1"/>
  <c r="BB26" i="3" s="1"/>
  <c r="BB20" i="2"/>
  <c r="BB19" i="2" s="1"/>
  <c r="BB22" i="2" s="1"/>
  <c r="AS3" i="45"/>
  <c r="AR9" i="3"/>
  <c r="AQ10" i="3"/>
  <c r="AQ189" i="3"/>
  <c r="AQ170" i="3"/>
  <c r="AQ156" i="3"/>
  <c r="AQ175" i="3"/>
  <c r="AQ166" i="3"/>
  <c r="AQ152" i="3"/>
  <c r="AQ126" i="3"/>
  <c r="AQ117" i="3"/>
  <c r="AQ113" i="3"/>
  <c r="AQ104" i="3"/>
  <c r="AQ153" i="3"/>
  <c r="AQ148" i="3"/>
  <c r="AQ151" i="3"/>
  <c r="AQ99" i="3"/>
  <c r="AQ144" i="3"/>
  <c r="AQ88" i="3"/>
  <c r="AQ97" i="3"/>
  <c r="AQ66" i="3"/>
  <c r="AQ62" i="3"/>
  <c r="AQ57" i="3"/>
  <c r="AQ53" i="3"/>
  <c r="AQ48" i="3"/>
  <c r="AQ41" i="3"/>
  <c r="AQ37" i="3"/>
  <c r="AQ96" i="3"/>
  <c r="AQ127" i="3"/>
  <c r="AQ162" i="3"/>
  <c r="AQ134" i="3"/>
  <c r="AQ168" i="3"/>
  <c r="AQ173" i="3"/>
  <c r="AQ160" i="3"/>
  <c r="AQ116" i="3"/>
  <c r="AQ103" i="3"/>
  <c r="AQ140" i="3"/>
  <c r="AQ133" i="3"/>
  <c r="AQ84" i="3"/>
  <c r="AQ60" i="3"/>
  <c r="AQ51" i="3"/>
  <c r="AQ40" i="3"/>
  <c r="AQ80" i="3"/>
  <c r="AQ100" i="3"/>
  <c r="AQ174" i="3"/>
  <c r="AQ165" i="3"/>
  <c r="AQ190" i="3"/>
  <c r="AQ171" i="3"/>
  <c r="AQ163" i="3"/>
  <c r="AQ149" i="3"/>
  <c r="AQ119" i="3"/>
  <c r="AQ115" i="3"/>
  <c r="AQ106" i="3"/>
  <c r="AQ102" i="3"/>
  <c r="AQ123" i="3"/>
  <c r="AQ135" i="3"/>
  <c r="AQ136" i="3"/>
  <c r="AQ90" i="3"/>
  <c r="AQ95" i="3"/>
  <c r="AQ137" i="3"/>
  <c r="AQ81" i="3"/>
  <c r="AQ64" i="3"/>
  <c r="AQ59" i="3"/>
  <c r="AQ55" i="3"/>
  <c r="AQ50" i="3"/>
  <c r="AQ45" i="3"/>
  <c r="AQ39" i="3"/>
  <c r="AQ35" i="3"/>
  <c r="AQ79" i="3"/>
  <c r="AQ82" i="3"/>
  <c r="AQ93" i="3"/>
  <c r="AQ195" i="3"/>
  <c r="AQ172" i="3"/>
  <c r="AQ161" i="3"/>
  <c r="AQ188" i="3"/>
  <c r="AQ169" i="3"/>
  <c r="AQ159" i="3"/>
  <c r="AQ130" i="3"/>
  <c r="AQ118" i="3"/>
  <c r="AQ114" i="3"/>
  <c r="AQ105" i="3"/>
  <c r="AQ101" i="3"/>
  <c r="AQ157" i="3"/>
  <c r="AQ125" i="3"/>
  <c r="AQ131" i="3"/>
  <c r="AQ83" i="3"/>
  <c r="AQ92" i="3"/>
  <c r="AQ129" i="3"/>
  <c r="AQ78" i="3"/>
  <c r="AQ63" i="3"/>
  <c r="AQ58" i="3"/>
  <c r="AQ54" i="3"/>
  <c r="AQ49" i="3"/>
  <c r="AQ44" i="3"/>
  <c r="AQ38" i="3"/>
  <c r="AQ138" i="3"/>
  <c r="AQ147" i="3"/>
  <c r="AQ69" i="3"/>
  <c r="AQ67" i="3"/>
  <c r="AQ183" i="3"/>
  <c r="AQ150" i="3"/>
  <c r="AQ164" i="3"/>
  <c r="AQ122" i="3"/>
  <c r="AQ110" i="3"/>
  <c r="AQ128" i="3"/>
  <c r="AQ139" i="3"/>
  <c r="AQ94" i="3"/>
  <c r="AQ68" i="3"/>
  <c r="AQ65" i="3"/>
  <c r="AQ56" i="3"/>
  <c r="AQ47" i="3"/>
  <c r="AQ36" i="3"/>
  <c r="AQ91" i="3"/>
  <c r="AQ87" i="3"/>
  <c r="AR201" i="3" l="1"/>
  <c r="AR27" i="3"/>
  <c r="AR21" i="3"/>
  <c r="AR18" i="3"/>
  <c r="AR16" i="3"/>
  <c r="AR14" i="3"/>
  <c r="AR28" i="3"/>
  <c r="AR24" i="3"/>
  <c r="AR20" i="3"/>
  <c r="AR17" i="3"/>
  <c r="AR15" i="3"/>
  <c r="AD10" i="3"/>
  <c r="AC10" i="2"/>
  <c r="BC72" i="3"/>
  <c r="BC73" i="3" s="1"/>
  <c r="BB29" i="3"/>
  <c r="BB26" i="2"/>
  <c r="BC75" i="2"/>
  <c r="G98" i="40"/>
  <c r="AT3" i="45"/>
  <c r="AS9" i="3"/>
  <c r="AR10" i="3"/>
  <c r="AR160" i="3"/>
  <c r="AR157" i="3"/>
  <c r="AR144" i="3"/>
  <c r="AR137" i="3"/>
  <c r="AR133" i="3"/>
  <c r="AR128" i="3"/>
  <c r="AR123" i="3"/>
  <c r="AR166" i="3"/>
  <c r="AR169" i="3"/>
  <c r="AR195" i="3"/>
  <c r="AR161" i="3"/>
  <c r="AR114" i="3"/>
  <c r="AR101" i="3"/>
  <c r="AR82" i="3"/>
  <c r="AR83" i="3"/>
  <c r="AR183" i="3"/>
  <c r="AR87" i="3"/>
  <c r="AR90" i="3"/>
  <c r="AR63" i="3"/>
  <c r="AR54" i="3"/>
  <c r="AR44" i="3"/>
  <c r="AR115" i="3"/>
  <c r="AR68" i="3"/>
  <c r="AR84" i="3"/>
  <c r="AR59" i="3"/>
  <c r="AR50" i="3"/>
  <c r="AR39" i="3"/>
  <c r="AR170" i="3"/>
  <c r="AR95" i="3"/>
  <c r="AR113" i="3"/>
  <c r="AR47" i="3"/>
  <c r="AR92" i="3"/>
  <c r="AR104" i="3"/>
  <c r="AR41" i="3"/>
  <c r="AR153" i="3"/>
  <c r="AR151" i="3"/>
  <c r="AR140" i="3"/>
  <c r="AR136" i="3"/>
  <c r="AR131" i="3"/>
  <c r="AR127" i="3"/>
  <c r="AR190" i="3"/>
  <c r="AR159" i="3"/>
  <c r="AR164" i="3"/>
  <c r="AR172" i="3"/>
  <c r="AR122" i="3"/>
  <c r="AR110" i="3"/>
  <c r="AR97" i="3"/>
  <c r="AR168" i="3"/>
  <c r="AR80" i="3"/>
  <c r="AR156" i="3"/>
  <c r="AR69" i="3"/>
  <c r="AR81" i="3"/>
  <c r="AR60" i="3"/>
  <c r="AR51" i="3"/>
  <c r="AR40" i="3"/>
  <c r="AR102" i="3"/>
  <c r="AR66" i="3"/>
  <c r="AR57" i="3"/>
  <c r="AR48" i="3"/>
  <c r="AR37" i="3"/>
  <c r="AR150" i="3"/>
  <c r="AR162" i="3"/>
  <c r="AR134" i="3"/>
  <c r="AR125" i="3"/>
  <c r="AR173" i="3"/>
  <c r="AR165" i="3"/>
  <c r="AR116" i="3"/>
  <c r="AR88" i="3"/>
  <c r="AR91" i="3"/>
  <c r="AR65" i="3"/>
  <c r="AR36" i="3"/>
  <c r="AR62" i="3"/>
  <c r="AR149" i="3"/>
  <c r="AR148" i="3"/>
  <c r="AR139" i="3"/>
  <c r="AR135" i="3"/>
  <c r="AR130" i="3"/>
  <c r="AR126" i="3"/>
  <c r="AR175" i="3"/>
  <c r="AR188" i="3"/>
  <c r="AR163" i="3"/>
  <c r="AR174" i="3"/>
  <c r="AR118" i="3"/>
  <c r="AR105" i="3"/>
  <c r="AR93" i="3"/>
  <c r="AR100" i="3"/>
  <c r="AR79" i="3"/>
  <c r="AR94" i="3"/>
  <c r="AR189" i="3"/>
  <c r="AR78" i="3"/>
  <c r="AR58" i="3"/>
  <c r="AR49" i="3"/>
  <c r="AR38" i="3"/>
  <c r="AR99" i="3"/>
  <c r="AR117" i="3"/>
  <c r="AR64" i="3"/>
  <c r="AR55" i="3"/>
  <c r="AR45" i="3"/>
  <c r="AR35" i="3"/>
  <c r="AR119" i="3"/>
  <c r="AR147" i="3"/>
  <c r="AR138" i="3"/>
  <c r="AR129" i="3"/>
  <c r="AR171" i="3"/>
  <c r="AR152" i="3"/>
  <c r="AR103" i="3"/>
  <c r="AR96" i="3"/>
  <c r="AR67" i="3"/>
  <c r="AR56" i="3"/>
  <c r="AR53" i="3"/>
  <c r="AR106" i="3"/>
  <c r="AS201" i="3" l="1"/>
  <c r="AS18" i="3"/>
  <c r="AS28" i="3"/>
  <c r="AS24" i="3"/>
  <c r="AS20" i="3"/>
  <c r="AS17" i="3"/>
  <c r="AS15" i="3"/>
  <c r="AS27" i="3"/>
  <c r="AS21" i="3"/>
  <c r="AS16" i="3"/>
  <c r="AS14" i="3"/>
  <c r="BC178" i="3"/>
  <c r="BC179" i="3" s="1"/>
  <c r="AE10" i="3"/>
  <c r="AD10" i="2"/>
  <c r="BC77" i="2"/>
  <c r="BC78" i="2" s="1"/>
  <c r="BC82" i="2"/>
  <c r="BC76" i="2"/>
  <c r="BB72" i="3"/>
  <c r="BB29" i="2"/>
  <c r="BC30" i="3"/>
  <c r="AU3" i="45"/>
  <c r="AT9" i="3"/>
  <c r="AS10" i="3"/>
  <c r="AS195" i="3"/>
  <c r="AS183" i="3"/>
  <c r="AS172" i="3"/>
  <c r="AS168" i="3"/>
  <c r="AS163" i="3"/>
  <c r="AS159" i="3"/>
  <c r="AS152" i="3"/>
  <c r="AS148" i="3"/>
  <c r="AS135" i="3"/>
  <c r="AS147" i="3"/>
  <c r="AS134" i="3"/>
  <c r="AS115" i="3"/>
  <c r="AS97" i="3"/>
  <c r="AS82" i="3"/>
  <c r="AS60" i="3"/>
  <c r="AS47" i="3"/>
  <c r="AS59" i="3"/>
  <c r="AS35" i="3"/>
  <c r="AS190" i="3"/>
  <c r="AS175" i="3"/>
  <c r="AS171" i="3"/>
  <c r="AS166" i="3"/>
  <c r="AS162" i="3"/>
  <c r="AS157" i="3"/>
  <c r="AS151" i="3"/>
  <c r="AS144" i="3"/>
  <c r="AS133" i="3"/>
  <c r="AS140" i="3"/>
  <c r="AS131" i="3"/>
  <c r="AS118" i="3"/>
  <c r="AS114" i="3"/>
  <c r="AS105" i="3"/>
  <c r="AS101" i="3"/>
  <c r="AS96" i="3"/>
  <c r="AS92" i="3"/>
  <c r="AS87" i="3"/>
  <c r="AS81" i="3"/>
  <c r="AS69" i="3"/>
  <c r="AS64" i="3"/>
  <c r="AS50" i="3"/>
  <c r="AS189" i="3"/>
  <c r="AS174" i="3"/>
  <c r="AS170" i="3"/>
  <c r="AS165" i="3"/>
  <c r="AS161" i="3"/>
  <c r="AS156" i="3"/>
  <c r="AS150" i="3"/>
  <c r="AS139" i="3"/>
  <c r="AS129" i="3"/>
  <c r="AS138" i="3"/>
  <c r="AS127" i="3"/>
  <c r="AS117" i="3"/>
  <c r="AS113" i="3"/>
  <c r="AS104" i="3"/>
  <c r="AS100" i="3"/>
  <c r="AS95" i="3"/>
  <c r="AS91" i="3"/>
  <c r="AS84" i="3"/>
  <c r="AS80" i="3"/>
  <c r="AS68" i="3"/>
  <c r="AS130" i="3"/>
  <c r="AS63" i="3"/>
  <c r="AS58" i="3"/>
  <c r="AS54" i="3"/>
  <c r="AS49" i="3"/>
  <c r="AS44" i="3"/>
  <c r="AS38" i="3"/>
  <c r="AS188" i="3"/>
  <c r="AS173" i="3"/>
  <c r="AS169" i="3"/>
  <c r="AS164" i="3"/>
  <c r="AS160" i="3"/>
  <c r="AS153" i="3"/>
  <c r="AS149" i="3"/>
  <c r="AS137" i="3"/>
  <c r="AS125" i="3"/>
  <c r="AS136" i="3"/>
  <c r="AS122" i="3"/>
  <c r="AS116" i="3"/>
  <c r="AS110" i="3"/>
  <c r="AS103" i="3"/>
  <c r="AS99" i="3"/>
  <c r="AS94" i="3"/>
  <c r="AS90" i="3"/>
  <c r="AS83" i="3"/>
  <c r="AS79" i="3"/>
  <c r="AS67" i="3"/>
  <c r="AS128" i="3"/>
  <c r="AS62" i="3"/>
  <c r="AS57" i="3"/>
  <c r="AS53" i="3"/>
  <c r="AS48" i="3"/>
  <c r="AS41" i="3"/>
  <c r="AS37" i="3"/>
  <c r="AS126" i="3"/>
  <c r="AS119" i="3"/>
  <c r="AS106" i="3"/>
  <c r="AS102" i="3"/>
  <c r="AS93" i="3"/>
  <c r="AS88" i="3"/>
  <c r="AS78" i="3"/>
  <c r="AS66" i="3"/>
  <c r="AS65" i="3"/>
  <c r="AS56" i="3"/>
  <c r="AS51" i="3"/>
  <c r="AS40" i="3"/>
  <c r="AS36" i="3"/>
  <c r="AS123" i="3"/>
  <c r="AS55" i="3"/>
  <c r="AS45" i="3"/>
  <c r="AS39" i="3"/>
  <c r="AT201" i="3" l="1"/>
  <c r="AT28" i="3"/>
  <c r="AT24" i="3"/>
  <c r="AT20" i="3"/>
  <c r="AT17" i="3"/>
  <c r="AT15" i="3"/>
  <c r="AT27" i="3"/>
  <c r="AT21" i="3"/>
  <c r="AT18" i="3"/>
  <c r="AT16" i="3"/>
  <c r="AT14" i="3"/>
  <c r="BC185" i="3"/>
  <c r="BC193" i="3" s="1"/>
  <c r="BC180" i="3"/>
  <c r="BC181" i="3" s="1"/>
  <c r="AF10" i="3"/>
  <c r="AE10" i="2"/>
  <c r="BC83" i="2"/>
  <c r="BC90" i="2"/>
  <c r="BB75" i="2"/>
  <c r="BC30" i="2"/>
  <c r="BB178" i="3"/>
  <c r="BB73" i="3"/>
  <c r="AU9" i="3"/>
  <c r="AT10" i="3"/>
  <c r="AT188" i="3"/>
  <c r="AT173" i="3"/>
  <c r="AT169" i="3"/>
  <c r="AT164" i="3"/>
  <c r="AT148" i="3"/>
  <c r="AT139" i="3"/>
  <c r="AT135" i="3"/>
  <c r="AT161" i="3"/>
  <c r="AT128" i="3"/>
  <c r="AT130" i="3"/>
  <c r="AT118" i="3"/>
  <c r="AT105" i="3"/>
  <c r="AT96" i="3"/>
  <c r="AT117" i="3"/>
  <c r="AT90" i="3"/>
  <c r="AT127" i="3"/>
  <c r="AT102" i="3"/>
  <c r="AT68" i="3"/>
  <c r="AT64" i="3"/>
  <c r="AT55" i="3"/>
  <c r="AT45" i="3"/>
  <c r="AT35" i="3"/>
  <c r="AT101" i="3"/>
  <c r="AT65" i="3"/>
  <c r="AT56" i="3"/>
  <c r="AT47" i="3"/>
  <c r="AT36" i="3"/>
  <c r="AT157" i="3"/>
  <c r="AT81" i="3"/>
  <c r="AT93" i="3"/>
  <c r="AT82" i="3"/>
  <c r="AT67" i="3"/>
  <c r="AT48" i="3"/>
  <c r="AT125" i="3"/>
  <c r="AT49" i="3"/>
  <c r="AT38" i="3"/>
  <c r="AT195" i="3"/>
  <c r="AT183" i="3"/>
  <c r="AT172" i="3"/>
  <c r="AT168" i="3"/>
  <c r="AT163" i="3"/>
  <c r="AT147" i="3"/>
  <c r="AT138" i="3"/>
  <c r="AT134" i="3"/>
  <c r="AT156" i="3"/>
  <c r="AT123" i="3"/>
  <c r="AT126" i="3"/>
  <c r="AT116" i="3"/>
  <c r="AT103" i="3"/>
  <c r="AT92" i="3"/>
  <c r="AT113" i="3"/>
  <c r="AT84" i="3"/>
  <c r="AT119" i="3"/>
  <c r="AT99" i="3"/>
  <c r="AT97" i="3"/>
  <c r="AT100" i="3"/>
  <c r="AT62" i="3"/>
  <c r="AT53" i="3"/>
  <c r="AT41" i="3"/>
  <c r="AT94" i="3"/>
  <c r="AT88" i="3"/>
  <c r="AT63" i="3"/>
  <c r="AT54" i="3"/>
  <c r="AT44" i="3"/>
  <c r="AT174" i="3"/>
  <c r="AT170" i="3"/>
  <c r="AT140" i="3"/>
  <c r="AT131" i="3"/>
  <c r="AT151" i="3"/>
  <c r="AT129" i="3"/>
  <c r="AT66" i="3"/>
  <c r="AT69" i="3"/>
  <c r="AT37" i="3"/>
  <c r="AT79" i="3"/>
  <c r="AT190" i="3"/>
  <c r="AT175" i="3"/>
  <c r="AT171" i="3"/>
  <c r="AT166" i="3"/>
  <c r="AT159" i="3"/>
  <c r="AT144" i="3"/>
  <c r="AT137" i="3"/>
  <c r="AT133" i="3"/>
  <c r="AT150" i="3"/>
  <c r="AT162" i="3"/>
  <c r="AT153" i="3"/>
  <c r="AT114" i="3"/>
  <c r="AT149" i="3"/>
  <c r="AT87" i="3"/>
  <c r="AT104" i="3"/>
  <c r="AT78" i="3"/>
  <c r="AT115" i="3"/>
  <c r="AT95" i="3"/>
  <c r="AT91" i="3"/>
  <c r="AT83" i="3"/>
  <c r="AT59" i="3"/>
  <c r="AT50" i="3"/>
  <c r="AT39" i="3"/>
  <c r="AT160" i="3"/>
  <c r="AT80" i="3"/>
  <c r="AT60" i="3"/>
  <c r="AT51" i="3"/>
  <c r="AT40" i="3"/>
  <c r="AT189" i="3"/>
  <c r="AT165" i="3"/>
  <c r="AT152" i="3"/>
  <c r="AT136" i="3"/>
  <c r="AT122" i="3"/>
  <c r="AT110" i="3"/>
  <c r="AT106" i="3"/>
  <c r="AT57" i="3"/>
  <c r="AT58" i="3"/>
  <c r="AU201" i="3" l="1"/>
  <c r="AU98" i="2" s="1"/>
  <c r="AU28" i="3"/>
  <c r="AU20" i="3"/>
  <c r="AU27" i="3"/>
  <c r="AU21" i="3"/>
  <c r="AU18" i="3"/>
  <c r="AU16" i="3"/>
  <c r="AU14" i="3"/>
  <c r="AU24" i="3"/>
  <c r="AU17" i="3"/>
  <c r="AU15" i="3"/>
  <c r="AV9" i="3"/>
  <c r="AU10" i="3"/>
  <c r="AU10" i="2" s="1"/>
  <c r="BC186" i="3"/>
  <c r="AG10" i="3"/>
  <c r="AF10" i="2"/>
  <c r="BB185" i="3"/>
  <c r="BB180" i="3"/>
  <c r="BB181" i="3" s="1"/>
  <c r="BB179" i="3"/>
  <c r="BC93" i="2"/>
  <c r="BC94" i="2" s="1"/>
  <c r="BC96" i="2"/>
  <c r="BB82" i="2"/>
  <c r="BB76" i="2"/>
  <c r="BB77" i="2"/>
  <c r="BB78" i="2" s="1"/>
  <c r="BC196" i="3"/>
  <c r="BC197" i="3" s="1"/>
  <c r="BC199" i="3"/>
  <c r="F98" i="40"/>
  <c r="P98" i="40"/>
  <c r="AU173" i="3"/>
  <c r="AU164" i="3"/>
  <c r="AU195" i="3"/>
  <c r="AU172" i="3"/>
  <c r="AU160" i="3"/>
  <c r="AU127" i="3"/>
  <c r="AU117" i="3"/>
  <c r="AU113" i="3"/>
  <c r="AU104" i="3"/>
  <c r="AU100" i="3"/>
  <c r="AU125" i="3"/>
  <c r="AU131" i="3"/>
  <c r="AU137" i="3"/>
  <c r="AU91" i="3"/>
  <c r="AU138" i="3"/>
  <c r="AU81" i="3"/>
  <c r="AU92" i="3"/>
  <c r="AU67" i="3"/>
  <c r="AU62" i="3"/>
  <c r="AU57" i="3"/>
  <c r="AU53" i="3"/>
  <c r="AU48" i="3"/>
  <c r="AU41" i="3"/>
  <c r="AU37" i="3"/>
  <c r="AU82" i="3"/>
  <c r="AU135" i="3"/>
  <c r="AU90" i="3"/>
  <c r="AU78" i="3"/>
  <c r="AU175" i="3"/>
  <c r="AU166" i="3"/>
  <c r="AU165" i="3"/>
  <c r="AU114" i="3"/>
  <c r="AU105" i="3"/>
  <c r="AU136" i="3"/>
  <c r="AU152" i="3"/>
  <c r="AU94" i="3"/>
  <c r="AU63" i="3"/>
  <c r="AU49" i="3"/>
  <c r="AU44" i="3"/>
  <c r="AU96" i="3"/>
  <c r="AU190" i="3"/>
  <c r="AU171" i="3"/>
  <c r="AU162" i="3"/>
  <c r="AU189" i="3"/>
  <c r="AU170" i="3"/>
  <c r="AU153" i="3"/>
  <c r="AU122" i="3"/>
  <c r="AU116" i="3"/>
  <c r="AU110" i="3"/>
  <c r="AU103" i="3"/>
  <c r="AU161" i="3"/>
  <c r="AU163" i="3"/>
  <c r="AU130" i="3"/>
  <c r="AU133" i="3"/>
  <c r="AU84" i="3"/>
  <c r="AU126" i="3"/>
  <c r="AU69" i="3"/>
  <c r="AU88" i="3"/>
  <c r="AU65" i="3"/>
  <c r="AU60" i="3"/>
  <c r="AU56" i="3"/>
  <c r="AU51" i="3"/>
  <c r="AU47" i="3"/>
  <c r="AU40" i="3"/>
  <c r="AU36" i="3"/>
  <c r="AU148" i="3"/>
  <c r="AU68" i="3"/>
  <c r="AU87" i="3"/>
  <c r="AU151" i="3"/>
  <c r="AU156" i="3"/>
  <c r="AU101" i="3"/>
  <c r="AU95" i="3"/>
  <c r="AU79" i="3"/>
  <c r="AU54" i="3"/>
  <c r="AU99" i="3"/>
  <c r="AU188" i="3"/>
  <c r="AU169" i="3"/>
  <c r="AU157" i="3"/>
  <c r="AU183" i="3"/>
  <c r="AU168" i="3"/>
  <c r="AU149" i="3"/>
  <c r="AU119" i="3"/>
  <c r="AU115" i="3"/>
  <c r="AU106" i="3"/>
  <c r="AU102" i="3"/>
  <c r="AU150" i="3"/>
  <c r="AU140" i="3"/>
  <c r="AU159" i="3"/>
  <c r="AU128" i="3"/>
  <c r="AU80" i="3"/>
  <c r="AU97" i="3"/>
  <c r="AU147" i="3"/>
  <c r="AU83" i="3"/>
  <c r="AU64" i="3"/>
  <c r="AU59" i="3"/>
  <c r="AU55" i="3"/>
  <c r="AU50" i="3"/>
  <c r="AU45" i="3"/>
  <c r="AU39" i="3"/>
  <c r="AU35" i="3"/>
  <c r="AU123" i="3"/>
  <c r="AU93" i="3"/>
  <c r="AU139" i="3"/>
  <c r="AU174" i="3"/>
  <c r="AU118" i="3"/>
  <c r="AU129" i="3"/>
  <c r="AU144" i="3"/>
  <c r="AU134" i="3"/>
  <c r="AU58" i="3"/>
  <c r="AU38" i="3"/>
  <c r="AU66" i="3"/>
  <c r="AV201" i="3" l="1"/>
  <c r="AV98" i="2" s="1"/>
  <c r="AV27" i="3"/>
  <c r="AV27" i="2" s="1"/>
  <c r="AV21" i="3"/>
  <c r="AV21" i="2" s="1"/>
  <c r="AV18" i="3"/>
  <c r="AV18" i="2" s="1"/>
  <c r="AV16" i="3"/>
  <c r="AV16" i="2" s="1"/>
  <c r="AV14" i="3"/>
  <c r="AV14" i="2" s="1"/>
  <c r="AV28" i="3"/>
  <c r="AV28" i="2" s="1"/>
  <c r="AV24" i="3"/>
  <c r="AV24" i="2" s="1"/>
  <c r="AV20" i="3"/>
  <c r="AV20" i="2" s="1"/>
  <c r="AV17" i="3"/>
  <c r="AV17" i="2" s="1"/>
  <c r="AV15" i="3"/>
  <c r="AV15" i="2" s="1"/>
  <c r="AV175" i="3"/>
  <c r="AV82" i="3"/>
  <c r="AV139" i="3"/>
  <c r="AV114" i="3"/>
  <c r="AV113" i="3"/>
  <c r="AV88" i="3"/>
  <c r="AV57" i="3"/>
  <c r="AV59" i="2" s="1"/>
  <c r="AV137" i="3"/>
  <c r="AV92" i="3"/>
  <c r="AV134" i="3"/>
  <c r="AV81" i="3"/>
  <c r="AV54" i="3"/>
  <c r="AV56" i="2" s="1"/>
  <c r="AV105" i="3"/>
  <c r="AV173" i="3"/>
  <c r="AV169" i="3"/>
  <c r="AV126" i="3"/>
  <c r="AV148" i="3"/>
  <c r="AV110" i="3"/>
  <c r="AV34" i="2" s="1"/>
  <c r="AV189" i="3"/>
  <c r="AV86" i="2" s="1"/>
  <c r="AV47" i="3"/>
  <c r="AV64" i="3"/>
  <c r="AV87" i="3"/>
  <c r="AV171" i="3"/>
  <c r="AV122" i="3"/>
  <c r="AV140" i="3"/>
  <c r="AV39" i="3"/>
  <c r="AV94" i="3"/>
  <c r="AV163" i="3"/>
  <c r="AV49" i="3"/>
  <c r="AV67" i="3"/>
  <c r="AV91" i="3"/>
  <c r="AV190" i="3"/>
  <c r="AV87" i="2" s="1"/>
  <c r="AV123" i="3"/>
  <c r="AV144" i="3"/>
  <c r="AV33" i="2" s="1"/>
  <c r="AV44" i="3"/>
  <c r="AV119" i="3"/>
  <c r="AV36" i="3"/>
  <c r="AV101" i="3"/>
  <c r="AV136" i="3"/>
  <c r="AV84" i="3"/>
  <c r="AV164" i="3"/>
  <c r="AV172" i="3"/>
  <c r="AV69" i="3"/>
  <c r="AV68" i="3"/>
  <c r="AV138" i="3"/>
  <c r="AV63" i="3"/>
  <c r="AV41" i="3"/>
  <c r="AV66" i="3"/>
  <c r="AV99" i="3"/>
  <c r="AV165" i="3"/>
  <c r="AV130" i="3"/>
  <c r="AV150" i="3"/>
  <c r="AV59" i="3"/>
  <c r="AV129" i="3"/>
  <c r="AV97" i="3"/>
  <c r="AV56" i="3"/>
  <c r="AV58" i="2" s="1"/>
  <c r="AV35" i="3"/>
  <c r="AV118" i="3"/>
  <c r="AV83" i="3"/>
  <c r="AV188" i="3"/>
  <c r="AV85" i="2" s="1"/>
  <c r="AV127" i="3"/>
  <c r="AV152" i="3"/>
  <c r="AV50" i="3"/>
  <c r="AV151" i="3"/>
  <c r="AV103" i="3"/>
  <c r="AV58" i="3"/>
  <c r="AV60" i="2" s="1"/>
  <c r="AV37" i="3"/>
  <c r="AV157" i="3"/>
  <c r="AV90" i="3"/>
  <c r="AV149" i="3"/>
  <c r="AV128" i="3"/>
  <c r="AV159" i="3"/>
  <c r="AW9" i="3"/>
  <c r="AW10" i="3" s="1"/>
  <c r="AW10" i="2" s="1"/>
  <c r="AV160" i="3"/>
  <c r="AV62" i="3"/>
  <c r="AV195" i="3"/>
  <c r="AV92" i="2" s="1"/>
  <c r="AV60" i="3"/>
  <c r="AV117" i="3"/>
  <c r="AV55" i="3"/>
  <c r="AV57" i="2" s="1"/>
  <c r="AV168" i="3"/>
  <c r="AV162" i="3"/>
  <c r="AV125" i="3"/>
  <c r="AV38" i="3"/>
  <c r="AV115" i="3"/>
  <c r="AV51" i="3"/>
  <c r="AV104" i="3"/>
  <c r="AV95" i="3"/>
  <c r="AV53" i="3"/>
  <c r="AV55" i="2" s="1"/>
  <c r="AV96" i="3"/>
  <c r="AV106" i="3"/>
  <c r="AV153" i="3"/>
  <c r="AV135" i="3"/>
  <c r="AV116" i="3"/>
  <c r="AV93" i="3"/>
  <c r="AV147" i="3"/>
  <c r="AV65" i="3"/>
  <c r="AV45" i="3"/>
  <c r="AV78" i="3"/>
  <c r="AV100" i="3"/>
  <c r="AV170" i="3"/>
  <c r="AV131" i="3"/>
  <c r="AV156" i="3"/>
  <c r="AV40" i="3"/>
  <c r="AV166" i="3"/>
  <c r="AV183" i="3"/>
  <c r="AV80" i="2" s="1"/>
  <c r="AV79" i="3"/>
  <c r="AV48" i="3"/>
  <c r="AV80" i="3"/>
  <c r="AV102" i="3"/>
  <c r="AV174" i="3"/>
  <c r="AV133" i="3"/>
  <c r="AV161" i="3"/>
  <c r="AV10" i="3"/>
  <c r="AV10" i="2" s="1"/>
  <c r="AH10" i="3"/>
  <c r="AG10" i="2"/>
  <c r="AU69" i="2"/>
  <c r="AU40" i="2"/>
  <c r="AU60" i="2"/>
  <c r="AU33" i="2"/>
  <c r="AU16" i="2"/>
  <c r="AU21" i="2"/>
  <c r="AU37" i="2"/>
  <c r="AU41" i="2"/>
  <c r="AU47" i="2"/>
  <c r="AU52" i="2"/>
  <c r="AU57" i="2"/>
  <c r="AU61" i="2"/>
  <c r="AU67" i="2"/>
  <c r="AU80" i="2"/>
  <c r="AU85" i="2"/>
  <c r="AU28" i="2"/>
  <c r="AU56" i="2"/>
  <c r="AU63" i="2"/>
  <c r="AU71" i="2"/>
  <c r="AU17" i="2"/>
  <c r="AU24" i="2"/>
  <c r="AU38" i="2"/>
  <c r="AU42" i="2"/>
  <c r="AU49" i="2"/>
  <c r="AU53" i="2"/>
  <c r="AU58" i="2"/>
  <c r="AU62" i="2"/>
  <c r="AU68" i="2"/>
  <c r="AU72" i="2"/>
  <c r="AU34" i="2"/>
  <c r="AU86" i="2"/>
  <c r="AU87" i="2"/>
  <c r="AU15" i="2"/>
  <c r="AU20" i="2"/>
  <c r="AU46" i="2"/>
  <c r="AU51" i="2"/>
  <c r="AU66" i="2"/>
  <c r="AU14" i="2"/>
  <c r="AU18" i="2"/>
  <c r="AU27" i="2"/>
  <c r="AU39" i="2"/>
  <c r="AU43" i="2"/>
  <c r="AU50" i="2"/>
  <c r="AU55" i="2"/>
  <c r="AU59" i="2"/>
  <c r="AU65" i="2"/>
  <c r="AU70" i="2"/>
  <c r="AU92" i="2"/>
  <c r="BB90" i="2"/>
  <c r="BB83" i="2"/>
  <c r="BB186" i="3"/>
  <c r="BB193" i="3"/>
  <c r="AU98" i="3"/>
  <c r="AU61" i="3"/>
  <c r="AU89" i="3"/>
  <c r="AU124" i="3"/>
  <c r="AU146" i="3"/>
  <c r="AU191" i="3"/>
  <c r="AU46" i="3"/>
  <c r="AU34" i="3"/>
  <c r="AU43" i="3"/>
  <c r="AU77" i="3"/>
  <c r="AU86" i="3"/>
  <c r="AU52" i="3"/>
  <c r="AU112" i="3"/>
  <c r="AU19" i="3"/>
  <c r="AU22" i="3" s="1"/>
  <c r="AU26" i="3" s="1"/>
  <c r="AU132" i="3"/>
  <c r="AU158" i="3"/>
  <c r="AU167" i="3"/>
  <c r="AU121" i="3"/>
  <c r="AU155" i="3"/>
  <c r="BA12" i="2"/>
  <c r="AT12" i="2"/>
  <c r="AS12" i="2"/>
  <c r="AR12" i="2"/>
  <c r="AQ12" i="2"/>
  <c r="AP12" i="2"/>
  <c r="AO12" i="2"/>
  <c r="AN12" i="2"/>
  <c r="Y12" i="2"/>
  <c r="X12" i="2"/>
  <c r="W12" i="2"/>
  <c r="V12" i="2"/>
  <c r="U12" i="2"/>
  <c r="T12" i="2"/>
  <c r="S12" i="2"/>
  <c r="R12" i="2"/>
  <c r="Q12" i="2"/>
  <c r="P12" i="2"/>
  <c r="O12" i="2"/>
  <c r="N12" i="2"/>
  <c r="M12" i="2"/>
  <c r="L12" i="2"/>
  <c r="K12" i="2"/>
  <c r="J12" i="2"/>
  <c r="I12" i="2"/>
  <c r="H12" i="2"/>
  <c r="G12" i="2"/>
  <c r="F12" i="2"/>
  <c r="E12" i="2"/>
  <c r="D12" i="2"/>
  <c r="C12" i="2"/>
  <c r="AW201" i="3" l="1"/>
  <c r="AW98" i="2" s="1"/>
  <c r="AW27" i="3"/>
  <c r="AW27" i="2" s="1"/>
  <c r="AW21" i="3"/>
  <c r="AW21" i="2" s="1"/>
  <c r="AW16" i="3"/>
  <c r="AW16" i="2" s="1"/>
  <c r="AW28" i="3"/>
  <c r="AW28" i="2" s="1"/>
  <c r="AW24" i="3"/>
  <c r="AW24" i="2" s="1"/>
  <c r="AW20" i="3"/>
  <c r="AW20" i="2" s="1"/>
  <c r="AW17" i="3"/>
  <c r="AW17" i="2" s="1"/>
  <c r="AW15" i="3"/>
  <c r="AW15" i="2" s="1"/>
  <c r="AW18" i="3"/>
  <c r="AW18" i="2" s="1"/>
  <c r="AW14" i="3"/>
  <c r="AW14" i="2" s="1"/>
  <c r="AW140" i="3"/>
  <c r="AW162" i="3"/>
  <c r="AW137" i="3"/>
  <c r="AW40" i="3"/>
  <c r="AW129" i="3"/>
  <c r="AW53" i="3"/>
  <c r="AW55" i="2" s="1"/>
  <c r="AW102" i="3"/>
  <c r="AW60" i="3"/>
  <c r="AW153" i="3"/>
  <c r="AW68" i="3"/>
  <c r="AW165" i="3"/>
  <c r="AW92" i="3"/>
  <c r="AW190" i="3"/>
  <c r="AW87" i="2" s="1"/>
  <c r="AW135" i="3"/>
  <c r="AW83" i="3"/>
  <c r="AW173" i="3"/>
  <c r="AW95" i="3"/>
  <c r="AW114" i="3"/>
  <c r="AW59" i="3"/>
  <c r="AW152" i="3"/>
  <c r="AW122" i="3"/>
  <c r="AW103" i="3"/>
  <c r="AW117" i="3"/>
  <c r="AW49" i="3"/>
  <c r="AW134" i="3"/>
  <c r="AW82" i="3"/>
  <c r="AW172" i="3"/>
  <c r="AW39" i="3"/>
  <c r="AW65" i="3"/>
  <c r="AW130" i="3"/>
  <c r="AW160" i="3"/>
  <c r="AW188" i="3"/>
  <c r="AW85" i="2" s="1"/>
  <c r="AW37" i="3"/>
  <c r="AW57" i="3"/>
  <c r="AW59" i="2" s="1"/>
  <c r="AW80" i="3"/>
  <c r="AW100" i="3"/>
  <c r="AW128" i="3"/>
  <c r="AW150" i="3"/>
  <c r="AW170" i="3"/>
  <c r="AW54" i="3"/>
  <c r="AW56" i="2" s="1"/>
  <c r="AW69" i="3"/>
  <c r="AW96" i="3"/>
  <c r="AW118" i="3"/>
  <c r="AW147" i="3"/>
  <c r="AW166" i="3"/>
  <c r="AW64" i="3"/>
  <c r="AW88" i="3"/>
  <c r="AW106" i="3"/>
  <c r="AW126" i="3"/>
  <c r="AW159" i="3"/>
  <c r="AW183" i="3"/>
  <c r="AW80" i="2" s="1"/>
  <c r="AW90" i="3"/>
  <c r="AW45" i="3"/>
  <c r="AW51" i="3"/>
  <c r="AW116" i="3"/>
  <c r="AW164" i="3"/>
  <c r="AW125" i="3"/>
  <c r="AW41" i="3"/>
  <c r="AW62" i="3"/>
  <c r="AW84" i="3"/>
  <c r="AW104" i="3"/>
  <c r="AW139" i="3"/>
  <c r="AW156" i="3"/>
  <c r="AW174" i="3"/>
  <c r="AW38" i="3"/>
  <c r="AW58" i="3"/>
  <c r="AW60" i="2" s="1"/>
  <c r="AW81" i="3"/>
  <c r="AW101" i="3"/>
  <c r="AW133" i="3"/>
  <c r="AW151" i="3"/>
  <c r="AW171" i="3"/>
  <c r="AW35" i="3"/>
  <c r="AW66" i="3"/>
  <c r="AW93" i="3"/>
  <c r="AW115" i="3"/>
  <c r="AW136" i="3"/>
  <c r="AW163" i="3"/>
  <c r="AW195" i="3"/>
  <c r="AW92" i="2" s="1"/>
  <c r="AW47" i="3"/>
  <c r="AW110" i="3"/>
  <c r="AW34" i="2" s="1"/>
  <c r="AW67" i="3"/>
  <c r="AW94" i="3"/>
  <c r="AW138" i="3"/>
  <c r="AW55" i="3"/>
  <c r="AW57" i="2" s="1"/>
  <c r="AW36" i="3"/>
  <c r="AW56" i="3"/>
  <c r="AW58" i="2" s="1"/>
  <c r="AW79" i="3"/>
  <c r="AW99" i="3"/>
  <c r="AW123" i="3"/>
  <c r="AW149" i="3"/>
  <c r="AW169" i="3"/>
  <c r="AW48" i="3"/>
  <c r="AW127" i="3"/>
  <c r="AW91" i="3"/>
  <c r="AW113" i="3"/>
  <c r="AW131" i="3"/>
  <c r="AW161" i="3"/>
  <c r="AW189" i="3"/>
  <c r="AW86" i="2" s="1"/>
  <c r="AW44" i="3"/>
  <c r="AW63" i="3"/>
  <c r="AW87" i="3"/>
  <c r="AW105" i="3"/>
  <c r="AW144" i="3"/>
  <c r="AW33" i="2" s="1"/>
  <c r="AW157" i="3"/>
  <c r="AW175" i="3"/>
  <c r="AW50" i="3"/>
  <c r="AW78" i="3"/>
  <c r="AW97" i="3"/>
  <c r="AW119" i="3"/>
  <c r="AW148" i="3"/>
  <c r="AW168" i="3"/>
  <c r="AX9" i="3"/>
  <c r="AX173" i="3" s="1"/>
  <c r="AV38" i="2"/>
  <c r="AV37" i="2"/>
  <c r="AV69" i="2"/>
  <c r="AV50" i="2"/>
  <c r="AV63" i="2"/>
  <c r="AV52" i="2"/>
  <c r="AV65" i="2"/>
  <c r="AV40" i="2"/>
  <c r="AV70" i="2"/>
  <c r="AV39" i="2"/>
  <c r="AV62" i="2"/>
  <c r="AV43" i="2"/>
  <c r="AV49" i="2"/>
  <c r="AV66" i="2"/>
  <c r="AV46" i="2"/>
  <c r="AV41" i="2"/>
  <c r="AV67" i="2"/>
  <c r="AV68" i="2"/>
  <c r="AV61" i="2"/>
  <c r="AV42" i="2"/>
  <c r="AV71" i="2"/>
  <c r="AV47" i="2"/>
  <c r="AV53" i="2"/>
  <c r="AV51" i="2"/>
  <c r="AV72" i="2"/>
  <c r="AI10" i="3"/>
  <c r="AH10" i="2"/>
  <c r="AU19" i="2"/>
  <c r="AU22" i="2" s="1"/>
  <c r="AU85" i="3"/>
  <c r="AU76" i="3" s="1"/>
  <c r="AU107" i="3" s="1"/>
  <c r="AV19" i="2"/>
  <c r="AV22" i="2" s="1"/>
  <c r="AU45" i="2"/>
  <c r="AU54" i="2"/>
  <c r="AU48" i="2"/>
  <c r="AU64" i="2"/>
  <c r="BB196" i="3"/>
  <c r="BB197" i="3" s="1"/>
  <c r="BB199" i="3"/>
  <c r="AV54" i="2"/>
  <c r="AV88" i="2"/>
  <c r="AU88" i="2"/>
  <c r="AU36" i="2"/>
  <c r="AU29" i="3"/>
  <c r="AU29" i="2" s="1"/>
  <c r="AU26" i="2"/>
  <c r="BB93" i="2"/>
  <c r="BB94" i="2" s="1"/>
  <c r="BB96" i="2"/>
  <c r="AU42" i="3"/>
  <c r="AU33" i="3" s="1"/>
  <c r="AU70" i="3" s="1"/>
  <c r="AU154" i="3"/>
  <c r="AU145" i="3" s="1"/>
  <c r="AU176" i="3" s="1"/>
  <c r="AU120" i="3"/>
  <c r="AU111" i="3" s="1"/>
  <c r="AU141" i="3" s="1"/>
  <c r="AV146" i="3"/>
  <c r="AV112" i="3"/>
  <c r="AV167" i="3"/>
  <c r="AV46" i="3"/>
  <c r="AV52" i="3"/>
  <c r="AV155" i="3"/>
  <c r="AV191" i="3"/>
  <c r="AV158" i="3"/>
  <c r="AV19" i="3"/>
  <c r="AV22" i="3" s="1"/>
  <c r="AV26" i="3" s="1"/>
  <c r="AV34" i="3"/>
  <c r="AV61" i="3"/>
  <c r="AV89" i="3"/>
  <c r="AV121" i="3"/>
  <c r="AV98" i="3"/>
  <c r="AV132" i="3"/>
  <c r="AV124" i="3"/>
  <c r="AV77" i="3"/>
  <c r="AV43" i="3"/>
  <c r="AV86" i="3"/>
  <c r="AN10" i="2"/>
  <c r="B6" i="2"/>
  <c r="B4" i="2"/>
  <c r="B3" i="2"/>
  <c r="B2" i="2"/>
  <c r="B1" i="2"/>
  <c r="B5" i="2"/>
  <c r="AX49" i="3" l="1"/>
  <c r="AX126" i="3"/>
  <c r="AX166" i="3"/>
  <c r="AX128" i="3"/>
  <c r="AX201" i="3"/>
  <c r="AX98" i="2" s="1"/>
  <c r="AX28" i="3"/>
  <c r="AX28" i="2" s="1"/>
  <c r="AX24" i="3"/>
  <c r="AX24" i="2" s="1"/>
  <c r="AX20" i="3"/>
  <c r="AX20" i="2" s="1"/>
  <c r="AX17" i="3"/>
  <c r="AX17" i="2" s="1"/>
  <c r="AX15" i="3"/>
  <c r="AX15" i="2" s="1"/>
  <c r="AX27" i="3"/>
  <c r="AX27" i="2" s="1"/>
  <c r="AX21" i="3"/>
  <c r="AX21" i="2" s="1"/>
  <c r="AX18" i="3"/>
  <c r="AX16" i="3"/>
  <c r="AX16" i="2" s="1"/>
  <c r="AX14" i="3"/>
  <c r="AX14" i="2" s="1"/>
  <c r="AX65" i="3"/>
  <c r="AX129" i="3"/>
  <c r="AX48" i="3"/>
  <c r="AX90" i="3"/>
  <c r="AX135" i="3"/>
  <c r="AX130" i="3"/>
  <c r="AX35" i="3"/>
  <c r="AX84" i="3"/>
  <c r="AX157" i="3"/>
  <c r="AX57" i="3"/>
  <c r="AX59" i="2" s="1"/>
  <c r="AX92" i="3"/>
  <c r="AX139" i="3"/>
  <c r="AX94" i="3"/>
  <c r="AX99" i="3"/>
  <c r="AX80" i="3"/>
  <c r="AX82" i="3"/>
  <c r="AX164" i="3"/>
  <c r="AX38" i="3"/>
  <c r="AX113" i="3"/>
  <c r="AX174" i="3"/>
  <c r="AX131" i="3"/>
  <c r="AX168" i="3"/>
  <c r="AY9" i="3"/>
  <c r="AY172" i="3" s="1"/>
  <c r="AW37" i="2"/>
  <c r="AW72" i="2"/>
  <c r="AW41" i="2"/>
  <c r="AW68" i="2"/>
  <c r="AW52" i="2"/>
  <c r="AW42" i="2"/>
  <c r="AW69" i="2"/>
  <c r="AW46" i="2"/>
  <c r="AW67" i="2"/>
  <c r="AW62" i="2"/>
  <c r="AW51" i="2"/>
  <c r="AW66" i="2"/>
  <c r="AW50" i="2"/>
  <c r="AW38" i="2"/>
  <c r="AW65" i="2"/>
  <c r="AW40" i="2"/>
  <c r="AW47" i="2"/>
  <c r="AW39" i="2"/>
  <c r="AW63" i="2"/>
  <c r="AW71" i="2"/>
  <c r="AW43" i="2"/>
  <c r="AW70" i="2"/>
  <c r="AX45" i="3"/>
  <c r="AX47" i="3"/>
  <c r="AX110" i="3"/>
  <c r="AX34" i="2" s="1"/>
  <c r="AX106" i="3"/>
  <c r="AX138" i="3"/>
  <c r="AX188" i="3"/>
  <c r="AX85" i="2" s="1"/>
  <c r="AX68" i="3"/>
  <c r="AX87" i="3"/>
  <c r="AX114" i="3"/>
  <c r="AX148" i="3"/>
  <c r="AX165" i="3"/>
  <c r="AX39" i="3"/>
  <c r="AX95" i="3"/>
  <c r="AX36" i="3"/>
  <c r="AX117" i="3"/>
  <c r="AW53" i="2"/>
  <c r="AW49" i="2"/>
  <c r="AW61" i="2"/>
  <c r="AX41" i="3"/>
  <c r="AX64" i="3"/>
  <c r="AX56" i="3"/>
  <c r="AX58" i="2" s="1"/>
  <c r="AX79" i="3"/>
  <c r="AX127" i="3"/>
  <c r="AX147" i="3"/>
  <c r="AX18" i="2"/>
  <c r="AX83" i="3"/>
  <c r="AX88" i="3"/>
  <c r="AX162" i="3"/>
  <c r="AX170" i="3"/>
  <c r="AX50" i="3"/>
  <c r="AX115" i="3"/>
  <c r="AX133" i="3"/>
  <c r="AX62" i="3"/>
  <c r="AX55" i="3"/>
  <c r="AX57" i="2" s="1"/>
  <c r="AX66" i="3"/>
  <c r="AX105" i="3"/>
  <c r="AX119" i="3"/>
  <c r="AX134" i="3"/>
  <c r="AX169" i="3"/>
  <c r="AX37" i="3"/>
  <c r="AX96" i="3"/>
  <c r="AX58" i="3"/>
  <c r="AX60" i="2" s="1"/>
  <c r="AX116" i="3"/>
  <c r="AX156" i="3"/>
  <c r="AX152" i="3"/>
  <c r="AX149" i="3"/>
  <c r="AX189" i="3"/>
  <c r="AX86" i="2" s="1"/>
  <c r="AX59" i="3"/>
  <c r="AX40" i="3"/>
  <c r="AX69" i="3"/>
  <c r="AX118" i="3"/>
  <c r="AX161" i="3"/>
  <c r="AX136" i="3"/>
  <c r="AX171" i="3"/>
  <c r="AX53" i="3"/>
  <c r="AX55" i="2" s="1"/>
  <c r="AX44" i="3"/>
  <c r="AX81" i="3"/>
  <c r="AX123" i="3"/>
  <c r="AX122" i="3"/>
  <c r="AX137" i="3"/>
  <c r="AX172" i="3"/>
  <c r="AX91" i="3"/>
  <c r="AX51" i="3"/>
  <c r="AX100" i="3"/>
  <c r="AX93" i="3"/>
  <c r="AX159" i="3"/>
  <c r="AX140" i="3"/>
  <c r="AX175" i="3"/>
  <c r="AX78" i="3"/>
  <c r="AX54" i="3"/>
  <c r="AX56" i="2" s="1"/>
  <c r="AX103" i="3"/>
  <c r="AX97" i="3"/>
  <c r="AX125" i="3"/>
  <c r="AX144" i="3"/>
  <c r="AX33" i="2" s="1"/>
  <c r="AX183" i="3"/>
  <c r="AX80" i="2" s="1"/>
  <c r="AX101" i="3"/>
  <c r="AX60" i="3"/>
  <c r="AX150" i="3"/>
  <c r="AX102" i="3"/>
  <c r="AX163" i="3"/>
  <c r="AX153" i="3"/>
  <c r="AX190" i="3"/>
  <c r="AX87" i="2" s="1"/>
  <c r="AX63" i="3"/>
  <c r="AX67" i="3"/>
  <c r="AX104" i="3"/>
  <c r="AX151" i="3"/>
  <c r="AX160" i="3"/>
  <c r="AX195" i="3"/>
  <c r="AX92" i="2" s="1"/>
  <c r="AX10" i="3"/>
  <c r="AX10" i="2" s="1"/>
  <c r="AV36" i="2"/>
  <c r="AV45" i="2"/>
  <c r="AV64" i="2"/>
  <c r="AV48" i="2"/>
  <c r="AJ10" i="3"/>
  <c r="AI10" i="2"/>
  <c r="AU44" i="2"/>
  <c r="AU35" i="2" s="1"/>
  <c r="AU73" i="2" s="1"/>
  <c r="AU75" i="2" s="1"/>
  <c r="AW19" i="2"/>
  <c r="AW22" i="2" s="1"/>
  <c r="AU72" i="3"/>
  <c r="AU178" i="3" s="1"/>
  <c r="AW54" i="2"/>
  <c r="AV29" i="3"/>
  <c r="AV29" i="2" s="1"/>
  <c r="AV26" i="2"/>
  <c r="AW88" i="2"/>
  <c r="AV85" i="3"/>
  <c r="AV76" i="3" s="1"/>
  <c r="AV107" i="3" s="1"/>
  <c r="AV42" i="3"/>
  <c r="AV33" i="3" s="1"/>
  <c r="AV70" i="3" s="1"/>
  <c r="AW86" i="3"/>
  <c r="AW43" i="3"/>
  <c r="AW34" i="3"/>
  <c r="AW155" i="3"/>
  <c r="AW98" i="3"/>
  <c r="AW46" i="3"/>
  <c r="AW89" i="3"/>
  <c r="AW61" i="3"/>
  <c r="AW167" i="3"/>
  <c r="AW112" i="3"/>
  <c r="AW158" i="3"/>
  <c r="AW121" i="3"/>
  <c r="AW146" i="3"/>
  <c r="AW52" i="3"/>
  <c r="AW124" i="3"/>
  <c r="AW191" i="3"/>
  <c r="AW132" i="3"/>
  <c r="AW77" i="3"/>
  <c r="AW19" i="3"/>
  <c r="AW22" i="3" s="1"/>
  <c r="AW26" i="3" s="1"/>
  <c r="AY10" i="3"/>
  <c r="AY10" i="2" s="1"/>
  <c r="AV120" i="3"/>
  <c r="AV111" i="3" s="1"/>
  <c r="AV141" i="3" s="1"/>
  <c r="AV154" i="3"/>
  <c r="AV145" i="3" s="1"/>
  <c r="AV176" i="3" s="1"/>
  <c r="BA10" i="2"/>
  <c r="AY195" i="3"/>
  <c r="AY39" i="3"/>
  <c r="AY35" i="3"/>
  <c r="AY188" i="3"/>
  <c r="AY117" i="3"/>
  <c r="AY84" i="3"/>
  <c r="AY174" i="3"/>
  <c r="AY144" i="3"/>
  <c r="AY147" i="3"/>
  <c r="AY66" i="3"/>
  <c r="AY37" i="3" l="1"/>
  <c r="AY175" i="3"/>
  <c r="AY139" i="3"/>
  <c r="AY56" i="3"/>
  <c r="AY58" i="2" s="1"/>
  <c r="AY83" i="3"/>
  <c r="AY53" i="3"/>
  <c r="AY55" i="2" s="1"/>
  <c r="AY129" i="3"/>
  <c r="AY80" i="3"/>
  <c r="AY138" i="3"/>
  <c r="AY126" i="3"/>
  <c r="AY162" i="3"/>
  <c r="AY57" i="3"/>
  <c r="AY59" i="2" s="1"/>
  <c r="AY116" i="3"/>
  <c r="AY88" i="3"/>
  <c r="AY38" i="3"/>
  <c r="AY149" i="3"/>
  <c r="AY189" i="3"/>
  <c r="AY86" i="2" s="1"/>
  <c r="AY102" i="3"/>
  <c r="AY59" i="3"/>
  <c r="AY114" i="3"/>
  <c r="AY165" i="3"/>
  <c r="AY78" i="3"/>
  <c r="AY166" i="3"/>
  <c r="AY130" i="3"/>
  <c r="AY58" i="3"/>
  <c r="AY113" i="3"/>
  <c r="AY136" i="3"/>
  <c r="AY90" i="3"/>
  <c r="AY160" i="3"/>
  <c r="AY118" i="3"/>
  <c r="AY60" i="3"/>
  <c r="AY153" i="3"/>
  <c r="AY122" i="3"/>
  <c r="AY110" i="3"/>
  <c r="AY34" i="2" s="1"/>
  <c r="AY183" i="3"/>
  <c r="AY80" i="2" s="1"/>
  <c r="AY173" i="3"/>
  <c r="AY54" i="3"/>
  <c r="AY56" i="2" s="1"/>
  <c r="AY127" i="3"/>
  <c r="AY169" i="3"/>
  <c r="AY51" i="3"/>
  <c r="AY67" i="3"/>
  <c r="AY55" i="3"/>
  <c r="AY57" i="2" s="1"/>
  <c r="AY133" i="3"/>
  <c r="AY171" i="3"/>
  <c r="AY190" i="3"/>
  <c r="AY87" i="2" s="1"/>
  <c r="AY82" i="3"/>
  <c r="AY137" i="3"/>
  <c r="AY99" i="3"/>
  <c r="AY41" i="3"/>
  <c r="AY62" i="3"/>
  <c r="AY135" i="3"/>
  <c r="AY157" i="3"/>
  <c r="AY123" i="3"/>
  <c r="AY152" i="3"/>
  <c r="AY47" i="3"/>
  <c r="AY115" i="3"/>
  <c r="AY69" i="3"/>
  <c r="AY44" i="3"/>
  <c r="AY63" i="3"/>
  <c r="AY81" i="3"/>
  <c r="AY100" i="3"/>
  <c r="AY128" i="3"/>
  <c r="AY159" i="3"/>
  <c r="AY131" i="3"/>
  <c r="AY97" i="3"/>
  <c r="AY119" i="3"/>
  <c r="AY95" i="3"/>
  <c r="AY45" i="3"/>
  <c r="AY64" i="3"/>
  <c r="AY87" i="3"/>
  <c r="AY101" i="3"/>
  <c r="AY151" i="3"/>
  <c r="AY163" i="3"/>
  <c r="AY40" i="3"/>
  <c r="AY106" i="3"/>
  <c r="AY140" i="3"/>
  <c r="AY48" i="3"/>
  <c r="AY68" i="3"/>
  <c r="AY96" i="3"/>
  <c r="AY103" i="3"/>
  <c r="AY150" i="3"/>
  <c r="AY168" i="3"/>
  <c r="AY65" i="3"/>
  <c r="AY164" i="3"/>
  <c r="AY79" i="3"/>
  <c r="AY49" i="3"/>
  <c r="AY91" i="3"/>
  <c r="AY125" i="3"/>
  <c r="AY104" i="3"/>
  <c r="AY156" i="3"/>
  <c r="AY170" i="3"/>
  <c r="AY36" i="3"/>
  <c r="AY92" i="3"/>
  <c r="AY148" i="3"/>
  <c r="AY93" i="3"/>
  <c r="AY50" i="3"/>
  <c r="AY94" i="3"/>
  <c r="AY134" i="3"/>
  <c r="AY105" i="3"/>
  <c r="AY161" i="3"/>
  <c r="AY201" i="3"/>
  <c r="AY98" i="2" s="1"/>
  <c r="AY17" i="3"/>
  <c r="AY17" i="2" s="1"/>
  <c r="AY27" i="3"/>
  <c r="AY27" i="2" s="1"/>
  <c r="AY21" i="3"/>
  <c r="AY21" i="2" s="1"/>
  <c r="AY18" i="3"/>
  <c r="AY18" i="2" s="1"/>
  <c r="AY16" i="3"/>
  <c r="AY16" i="2" s="1"/>
  <c r="AY14" i="3"/>
  <c r="AY14" i="2" s="1"/>
  <c r="AY28" i="3"/>
  <c r="AY28" i="2" s="1"/>
  <c r="AY24" i="3"/>
  <c r="AY24" i="2" s="1"/>
  <c r="AY20" i="3"/>
  <c r="AY20" i="2" s="1"/>
  <c r="AY15" i="3"/>
  <c r="AY15" i="2" s="1"/>
  <c r="AX37" i="2"/>
  <c r="AX63" i="2"/>
  <c r="AX47" i="2"/>
  <c r="AW45" i="2"/>
  <c r="AW48" i="2"/>
  <c r="AX50" i="2"/>
  <c r="AX62" i="2"/>
  <c r="AX61" i="2"/>
  <c r="AX39" i="2"/>
  <c r="AX52" i="2"/>
  <c r="AX43" i="2"/>
  <c r="AW64" i="2"/>
  <c r="AW36" i="2"/>
  <c r="AX68" i="2"/>
  <c r="AX71" i="2"/>
  <c r="AX51" i="2"/>
  <c r="AX70" i="2"/>
  <c r="AX49" i="2"/>
  <c r="AX41" i="2"/>
  <c r="AX72" i="2"/>
  <c r="AX53" i="2"/>
  <c r="AX46" i="2"/>
  <c r="AX42" i="2"/>
  <c r="AX40" i="2"/>
  <c r="AX69" i="2"/>
  <c r="AX65" i="2"/>
  <c r="AX38" i="2"/>
  <c r="AX66" i="2"/>
  <c r="AX67" i="2"/>
  <c r="AV44" i="2"/>
  <c r="AV35" i="2" s="1"/>
  <c r="AV73" i="2" s="1"/>
  <c r="AV75" i="2" s="1"/>
  <c r="AK10" i="3"/>
  <c r="AJ10" i="2"/>
  <c r="AX19" i="2"/>
  <c r="AX22" i="2" s="1"/>
  <c r="AU73" i="3"/>
  <c r="AV30" i="3"/>
  <c r="AV72" i="3"/>
  <c r="AV178" i="3" s="1"/>
  <c r="AY33" i="2"/>
  <c r="AY60" i="2"/>
  <c r="AY85" i="2"/>
  <c r="AY92" i="2"/>
  <c r="AU77" i="2"/>
  <c r="AU78" i="2" s="1"/>
  <c r="AU76" i="2"/>
  <c r="AU82" i="2"/>
  <c r="AX88" i="2"/>
  <c r="AW29" i="3"/>
  <c r="AW29" i="2" s="1"/>
  <c r="AW26" i="2"/>
  <c r="AX54" i="2"/>
  <c r="AV30" i="2"/>
  <c r="AW154" i="3"/>
  <c r="AW145" i="3" s="1"/>
  <c r="AW176" i="3" s="1"/>
  <c r="AX112" i="3"/>
  <c r="AX191" i="3"/>
  <c r="AX46" i="3"/>
  <c r="AX121" i="3"/>
  <c r="AX158" i="3"/>
  <c r="AX34" i="3"/>
  <c r="AX61" i="3"/>
  <c r="AX98" i="3"/>
  <c r="AX167" i="3"/>
  <c r="AX19" i="3"/>
  <c r="AX22" i="3" s="1"/>
  <c r="AX26" i="3" s="1"/>
  <c r="AX89" i="3"/>
  <c r="AX146" i="3"/>
  <c r="AX52" i="3"/>
  <c r="AX86" i="3"/>
  <c r="AX43" i="3"/>
  <c r="AX77" i="3"/>
  <c r="AX124" i="3"/>
  <c r="AX132" i="3"/>
  <c r="AX155" i="3"/>
  <c r="AU180" i="3"/>
  <c r="AU181" i="3" s="1"/>
  <c r="AU185" i="3"/>
  <c r="AU179" i="3"/>
  <c r="AW120" i="3"/>
  <c r="AW111" i="3" s="1"/>
  <c r="AW141" i="3" s="1"/>
  <c r="AW42" i="3"/>
  <c r="AW33" i="3" s="1"/>
  <c r="AW70" i="3" s="1"/>
  <c r="AW85" i="3"/>
  <c r="AW76" i="3" s="1"/>
  <c r="AW107" i="3" s="1"/>
  <c r="O98" i="40" l="1"/>
  <c r="C98" i="40"/>
  <c r="N98" i="40"/>
  <c r="I98" i="40"/>
  <c r="K98" i="40" s="1"/>
  <c r="L98" i="40" s="1"/>
  <c r="S205" i="38"/>
  <c r="T205" i="38" s="1"/>
  <c r="K205" i="38"/>
  <c r="D98" i="40"/>
  <c r="E98" i="40"/>
  <c r="AY42" i="2"/>
  <c r="AY39" i="2"/>
  <c r="AY37" i="2"/>
  <c r="AY53" i="2"/>
  <c r="AY70" i="2"/>
  <c r="AY46" i="2"/>
  <c r="AY68" i="2"/>
  <c r="AY61" i="2"/>
  <c r="AY71" i="2"/>
  <c r="AY41" i="2"/>
  <c r="AY49" i="2"/>
  <c r="AY52" i="2"/>
  <c r="AY63" i="2"/>
  <c r="AY69" i="2"/>
  <c r="AY65" i="2"/>
  <c r="AY51" i="2"/>
  <c r="AY50" i="2"/>
  <c r="AY67" i="2"/>
  <c r="AY62" i="2"/>
  <c r="AY66" i="2"/>
  <c r="AY72" i="2"/>
  <c r="AY43" i="2"/>
  <c r="AY38" i="2"/>
  <c r="AY47" i="2"/>
  <c r="AY40" i="2"/>
  <c r="AX45" i="2"/>
  <c r="AW44" i="2"/>
  <c r="AW35" i="2" s="1"/>
  <c r="AW73" i="2" s="1"/>
  <c r="AW75" i="2" s="1"/>
  <c r="AX64" i="2"/>
  <c r="AX36" i="2"/>
  <c r="AX48" i="2"/>
  <c r="AL10" i="3"/>
  <c r="AL10" i="2" s="1"/>
  <c r="AK10" i="2"/>
  <c r="AW30" i="3"/>
  <c r="AV73" i="3"/>
  <c r="AW72" i="3"/>
  <c r="AW73" i="3" s="1"/>
  <c r="AU83" i="2"/>
  <c r="AU90" i="2"/>
  <c r="AY88" i="2"/>
  <c r="AY19" i="2"/>
  <c r="AY22" i="2" s="1"/>
  <c r="AY54" i="2"/>
  <c r="AX29" i="3"/>
  <c r="AX29" i="2" s="1"/>
  <c r="AX26" i="2"/>
  <c r="AV82" i="2"/>
  <c r="AV76" i="2"/>
  <c r="AV77" i="2"/>
  <c r="AV78" i="2" s="1"/>
  <c r="AW30" i="2"/>
  <c r="AX120" i="3"/>
  <c r="AX111" i="3" s="1"/>
  <c r="AX141" i="3" s="1"/>
  <c r="AX85" i="3"/>
  <c r="AX76" i="3" s="1"/>
  <c r="AX107" i="3" s="1"/>
  <c r="AX154" i="3"/>
  <c r="AX145" i="3" s="1"/>
  <c r="AX176" i="3" s="1"/>
  <c r="AY112" i="3"/>
  <c r="AY19" i="3"/>
  <c r="AY22" i="3" s="1"/>
  <c r="AY26" i="3" s="1"/>
  <c r="AY46" i="3"/>
  <c r="AY121" i="3"/>
  <c r="AY155" i="3"/>
  <c r="AY43" i="3"/>
  <c r="AY77" i="3"/>
  <c r="AY124" i="3"/>
  <c r="AY146" i="3"/>
  <c r="AY191" i="3"/>
  <c r="AY34" i="3"/>
  <c r="AY86" i="3"/>
  <c r="AY98" i="3"/>
  <c r="AY89" i="3"/>
  <c r="AY61" i="3"/>
  <c r="AY52" i="3"/>
  <c r="AY132" i="3"/>
  <c r="AY158" i="3"/>
  <c r="AY167" i="3"/>
  <c r="AU193" i="3"/>
  <c r="AU186" i="3"/>
  <c r="AV180" i="3"/>
  <c r="AV181" i="3" s="1"/>
  <c r="AV185" i="3"/>
  <c r="AV179" i="3"/>
  <c r="AX42" i="3"/>
  <c r="AX33" i="3" s="1"/>
  <c r="AX70" i="3" s="1"/>
  <c r="Q98" i="40" l="1"/>
  <c r="S98" i="40" s="1"/>
  <c r="T98" i="40" s="1"/>
  <c r="AY45" i="2"/>
  <c r="AY48" i="2"/>
  <c r="AY64" i="2"/>
  <c r="AY36" i="2"/>
  <c r="AX44" i="2"/>
  <c r="AX35" i="2" s="1"/>
  <c r="AX73" i="2" s="1"/>
  <c r="AX75" i="2" s="1"/>
  <c r="AW178" i="3"/>
  <c r="AW180" i="3" s="1"/>
  <c r="AW181" i="3" s="1"/>
  <c r="AX30" i="2"/>
  <c r="AX30" i="3"/>
  <c r="AY29" i="3"/>
  <c r="AY29" i="2" s="1"/>
  <c r="AY26" i="2"/>
  <c r="AV90" i="2"/>
  <c r="AV83" i="2"/>
  <c r="AU93" i="2"/>
  <c r="AU94" i="2" s="1"/>
  <c r="AU96" i="2"/>
  <c r="AX72" i="3"/>
  <c r="AX178" i="3" s="1"/>
  <c r="AW77" i="2"/>
  <c r="AW78" i="2" s="1"/>
  <c r="AW82" i="2"/>
  <c r="AW76" i="2"/>
  <c r="AY85" i="3"/>
  <c r="AY76" i="3" s="1"/>
  <c r="AY107" i="3" s="1"/>
  <c r="AY42" i="3"/>
  <c r="AY33" i="3" s="1"/>
  <c r="AY70" i="3" s="1"/>
  <c r="AY154" i="3"/>
  <c r="AY145" i="3" s="1"/>
  <c r="AY176" i="3" s="1"/>
  <c r="AU196" i="3"/>
  <c r="AU197" i="3" s="1"/>
  <c r="AU199" i="3"/>
  <c r="AY120" i="3"/>
  <c r="AY111" i="3" s="1"/>
  <c r="AY141" i="3" s="1"/>
  <c r="AV186" i="3"/>
  <c r="AV193" i="3"/>
  <c r="C10" i="2"/>
  <c r="AY44" i="2" l="1"/>
  <c r="AY35" i="2" s="1"/>
  <c r="AY73" i="2" s="1"/>
  <c r="AY75" i="2" s="1"/>
  <c r="AW179" i="3"/>
  <c r="AW185" i="3"/>
  <c r="AW193" i="3" s="1"/>
  <c r="AY30" i="3"/>
  <c r="AY72" i="3"/>
  <c r="AY178" i="3" s="1"/>
  <c r="AX73" i="3"/>
  <c r="AV93" i="2"/>
  <c r="AV94" i="2" s="1"/>
  <c r="AV96" i="2"/>
  <c r="AW83" i="2"/>
  <c r="AW90" i="2"/>
  <c r="AY30" i="2"/>
  <c r="AX82" i="2"/>
  <c r="AX76" i="2"/>
  <c r="AX77" i="2"/>
  <c r="AX78" i="2" s="1"/>
  <c r="AX185" i="3"/>
  <c r="AX179" i="3"/>
  <c r="AX180" i="3"/>
  <c r="AX181" i="3" s="1"/>
  <c r="AV196" i="3"/>
  <c r="AV197" i="3" s="1"/>
  <c r="AV199" i="3"/>
  <c r="B5" i="44"/>
  <c r="P71" i="40"/>
  <c r="I50" i="38"/>
  <c r="I49" i="40"/>
  <c r="K51" i="38"/>
  <c r="L51" i="38" s="1"/>
  <c r="F128" i="38"/>
  <c r="N63" i="40"/>
  <c r="Q52" i="40"/>
  <c r="C40" i="40"/>
  <c r="O15" i="40"/>
  <c r="G93" i="38"/>
  <c r="F43" i="40"/>
  <c r="D38" i="38"/>
  <c r="D37" i="40"/>
  <c r="K86" i="38"/>
  <c r="L86" i="38" s="1"/>
  <c r="E63" i="40"/>
  <c r="C69" i="40"/>
  <c r="K96" i="38"/>
  <c r="L96" i="38" s="1"/>
  <c r="N24" i="40"/>
  <c r="C85" i="40"/>
  <c r="C195" i="38"/>
  <c r="H62" i="40"/>
  <c r="F66" i="40"/>
  <c r="P18" i="40"/>
  <c r="K83" i="38"/>
  <c r="L83" i="38" s="1"/>
  <c r="H52" i="40"/>
  <c r="O37" i="40"/>
  <c r="O38" i="38"/>
  <c r="G86" i="40"/>
  <c r="O195" i="38"/>
  <c r="O85" i="40"/>
  <c r="Q50" i="40"/>
  <c r="K84" i="38"/>
  <c r="L84" i="38" s="1"/>
  <c r="O42" i="40"/>
  <c r="O125" i="38"/>
  <c r="G34" i="40"/>
  <c r="K105" i="38"/>
  <c r="L105" i="38" s="1"/>
  <c r="O59" i="40"/>
  <c r="E56" i="40"/>
  <c r="K165" i="38"/>
  <c r="L165" i="38" s="1"/>
  <c r="N67" i="40"/>
  <c r="C52" i="40"/>
  <c r="Q15" i="40"/>
  <c r="H63" i="40"/>
  <c r="H61" i="40"/>
  <c r="P125" i="38"/>
  <c r="N57" i="40"/>
  <c r="Q58" i="40"/>
  <c r="Q66" i="40"/>
  <c r="K107" i="38"/>
  <c r="L107" i="38" s="1"/>
  <c r="K130" i="38"/>
  <c r="L130" i="38" s="1"/>
  <c r="I14" i="40"/>
  <c r="E68" i="40"/>
  <c r="I59" i="40"/>
  <c r="K61" i="38"/>
  <c r="L61" i="38" s="1"/>
  <c r="P93" i="38"/>
  <c r="K152" i="38"/>
  <c r="L152" i="38" s="1"/>
  <c r="H70" i="40"/>
  <c r="E52" i="40"/>
  <c r="G81" i="38"/>
  <c r="E50" i="40"/>
  <c r="K108" i="38"/>
  <c r="L108" i="38" s="1"/>
  <c r="N51" i="40"/>
  <c r="F159" i="38"/>
  <c r="F50" i="38"/>
  <c r="F49" i="40"/>
  <c r="O65" i="38"/>
  <c r="O65" i="40"/>
  <c r="G128" i="38"/>
  <c r="H60" i="40"/>
  <c r="Q37" i="40"/>
  <c r="Q38" i="38"/>
  <c r="O61" i="40"/>
  <c r="Q65" i="38"/>
  <c r="Q65" i="40"/>
  <c r="Q93" i="38"/>
  <c r="S93" i="38" s="1"/>
  <c r="T93" i="38" s="1"/>
  <c r="F116" i="38"/>
  <c r="I33" i="40"/>
  <c r="K148" i="38"/>
  <c r="L148" i="38" s="1"/>
  <c r="I42" i="40"/>
  <c r="K44" i="38"/>
  <c r="L44" i="38" s="1"/>
  <c r="F41" i="40"/>
  <c r="C58" i="40"/>
  <c r="I46" i="40"/>
  <c r="K48" i="38"/>
  <c r="L48" i="38" s="1"/>
  <c r="I47" i="38"/>
  <c r="O57" i="40"/>
  <c r="K109" i="38"/>
  <c r="L109" i="38" s="1"/>
  <c r="F38" i="40"/>
  <c r="G125" i="38"/>
  <c r="P67" i="40"/>
  <c r="Q53" i="40"/>
  <c r="O52" i="40"/>
  <c r="K156" i="38"/>
  <c r="L156" i="38" s="1"/>
  <c r="O51" i="40"/>
  <c r="O47" i="38"/>
  <c r="O46" i="40"/>
  <c r="D87" i="40"/>
  <c r="F102" i="38"/>
  <c r="K170" i="38"/>
  <c r="L170" i="38" s="1"/>
  <c r="N69" i="40"/>
  <c r="D56" i="40"/>
  <c r="Q47" i="38"/>
  <c r="Q46" i="40"/>
  <c r="P80" i="40"/>
  <c r="F69" i="40"/>
  <c r="K68" i="38"/>
  <c r="L68" i="38" s="1"/>
  <c r="I67" i="40"/>
  <c r="O39" i="40"/>
  <c r="H47" i="40"/>
  <c r="H136" i="38"/>
  <c r="H86" i="40"/>
  <c r="I21" i="40"/>
  <c r="P53" i="40"/>
  <c r="N47" i="40"/>
  <c r="H34" i="40"/>
  <c r="F34" i="40"/>
  <c r="P21" i="40"/>
  <c r="Q69" i="40"/>
  <c r="K129" i="38"/>
  <c r="L129" i="38" s="1"/>
  <c r="I128" i="38"/>
  <c r="E171" i="38"/>
  <c r="D33" i="40"/>
  <c r="D14" i="40"/>
  <c r="N33" i="40"/>
  <c r="H72" i="40"/>
  <c r="H195" i="38"/>
  <c r="H85" i="40"/>
  <c r="P41" i="40"/>
  <c r="E159" i="38"/>
  <c r="H53" i="40"/>
  <c r="O38" i="40"/>
  <c r="Q71" i="40"/>
  <c r="S71" i="40" s="1"/>
  <c r="T71" i="40" s="1"/>
  <c r="N28" i="40"/>
  <c r="C20" i="40"/>
  <c r="C23" i="38"/>
  <c r="C19" i="40" s="1"/>
  <c r="O60" i="40"/>
  <c r="P87" i="40"/>
  <c r="I65" i="40"/>
  <c r="K66" i="38"/>
  <c r="L66" i="38" s="1"/>
  <c r="I65" i="38"/>
  <c r="N40" i="40"/>
  <c r="N20" i="40"/>
  <c r="N23" i="38"/>
  <c r="N19" i="40" s="1"/>
  <c r="G24" i="40"/>
  <c r="P23" i="38"/>
  <c r="P20" i="40"/>
  <c r="Q38" i="40"/>
  <c r="I87" i="40"/>
  <c r="K194" i="38"/>
  <c r="L194" i="38" s="1"/>
  <c r="H42" i="40"/>
  <c r="H150" i="38"/>
  <c r="K41" i="38"/>
  <c r="L41" i="38" s="1"/>
  <c r="I39" i="40"/>
  <c r="F16" i="40"/>
  <c r="N16" i="40"/>
  <c r="K71" i="38"/>
  <c r="L71" i="38" s="1"/>
  <c r="I70" i="40"/>
  <c r="D159" i="38"/>
  <c r="D34" i="40"/>
  <c r="P60" i="40"/>
  <c r="H68" i="40"/>
  <c r="C102" i="38"/>
  <c r="E18" i="40"/>
  <c r="F14" i="40"/>
  <c r="K153" i="38"/>
  <c r="L153" i="38" s="1"/>
  <c r="N90" i="38"/>
  <c r="P51" i="40"/>
  <c r="F61" i="40"/>
  <c r="Q14" i="40"/>
  <c r="G47" i="40"/>
  <c r="K88" i="38"/>
  <c r="L88" i="38" s="1"/>
  <c r="O41" i="40"/>
  <c r="N60" i="40"/>
  <c r="F72" i="40"/>
  <c r="K127" i="38"/>
  <c r="L127" i="38" s="1"/>
  <c r="P150" i="38"/>
  <c r="Q162" i="38"/>
  <c r="Q128" i="38"/>
  <c r="K45" i="38"/>
  <c r="L45" i="38" s="1"/>
  <c r="I43" i="40"/>
  <c r="O87" i="40"/>
  <c r="E47" i="40"/>
  <c r="K64" i="38"/>
  <c r="L64" i="38" s="1"/>
  <c r="I62" i="40"/>
  <c r="H171" i="38"/>
  <c r="O159" i="38"/>
  <c r="H39" i="40"/>
  <c r="K160" i="38"/>
  <c r="L160" i="38" s="1"/>
  <c r="I159" i="38"/>
  <c r="P49" i="40"/>
  <c r="P50" i="38"/>
  <c r="Q42" i="40"/>
  <c r="E51" i="40"/>
  <c r="Q92" i="40"/>
  <c r="Q80" i="40"/>
  <c r="N159" i="38"/>
  <c r="Q51" i="40"/>
  <c r="F87" i="40"/>
  <c r="Q56" i="40"/>
  <c r="K123" i="38"/>
  <c r="L123" i="38" s="1"/>
  <c r="N125" i="38"/>
  <c r="N116" i="38"/>
  <c r="F67" i="40"/>
  <c r="F86" i="40"/>
  <c r="H16" i="40"/>
  <c r="K20" i="38"/>
  <c r="L20" i="38" s="1"/>
  <c r="N56" i="40"/>
  <c r="I27" i="40"/>
  <c r="K18" i="38"/>
  <c r="L18" i="38" s="1"/>
  <c r="H14" i="40"/>
  <c r="N93" i="38"/>
  <c r="H125" i="38"/>
  <c r="O20" i="40"/>
  <c r="O23" i="38"/>
  <c r="O19" i="40" s="1"/>
  <c r="C38" i="40"/>
  <c r="D92" i="40"/>
  <c r="G50" i="40"/>
  <c r="H47" i="38"/>
  <c r="H46" i="40"/>
  <c r="P102" i="38"/>
  <c r="F125" i="38"/>
  <c r="H92" i="40"/>
  <c r="N53" i="40"/>
  <c r="E136" i="38"/>
  <c r="O17" i="40"/>
  <c r="K144" i="38"/>
  <c r="L144" i="38" s="1"/>
  <c r="D86" i="40"/>
  <c r="I47" i="40"/>
  <c r="K49" i="38"/>
  <c r="L49" i="38" s="1"/>
  <c r="D38" i="40"/>
  <c r="D57" i="40"/>
  <c r="N81" i="38"/>
  <c r="K101" i="38"/>
  <c r="L101" i="38" s="1"/>
  <c r="F92" i="40"/>
  <c r="K176" i="38"/>
  <c r="L176" i="38" s="1"/>
  <c r="I24" i="40"/>
  <c r="F52" i="40"/>
  <c r="H59" i="40"/>
  <c r="K173" i="38"/>
  <c r="L173" i="38" s="1"/>
  <c r="P39" i="40"/>
  <c r="O21" i="40"/>
  <c r="G18" i="40"/>
  <c r="N59" i="40"/>
  <c r="P92" i="40"/>
  <c r="N195" i="38"/>
  <c r="N85" i="40"/>
  <c r="N15" i="40"/>
  <c r="Q136" i="38"/>
  <c r="C38" i="38"/>
  <c r="C37" i="40"/>
  <c r="G55" i="40"/>
  <c r="G56" i="38"/>
  <c r="O71" i="40"/>
  <c r="C171" i="38"/>
  <c r="H40" i="40"/>
  <c r="F65" i="38"/>
  <c r="F65" i="40"/>
  <c r="N66" i="40"/>
  <c r="I52" i="40"/>
  <c r="K54" i="38"/>
  <c r="L54" i="38" s="1"/>
  <c r="D90" i="38"/>
  <c r="C62" i="40"/>
  <c r="N50" i="38"/>
  <c r="N49" i="40"/>
  <c r="F59" i="40"/>
  <c r="Q60" i="40"/>
  <c r="C43" i="40"/>
  <c r="O67" i="40"/>
  <c r="O62" i="40"/>
  <c r="N86" i="40"/>
  <c r="K168" i="38"/>
  <c r="L168" i="38" s="1"/>
  <c r="I80" i="40"/>
  <c r="K187" i="38"/>
  <c r="L187" i="38" s="1"/>
  <c r="E60" i="40"/>
  <c r="K151" i="38"/>
  <c r="L151" i="38" s="1"/>
  <c r="I150" i="38"/>
  <c r="G72" i="40"/>
  <c r="N52" i="40"/>
  <c r="N171" i="38"/>
  <c r="P81" i="38"/>
  <c r="Q28" i="40"/>
  <c r="P17" i="40"/>
  <c r="C159" i="38"/>
  <c r="P69" i="40"/>
  <c r="N92" i="40"/>
  <c r="C70" i="40"/>
  <c r="C51" i="40"/>
  <c r="C53" i="40"/>
  <c r="E38" i="40"/>
  <c r="P56" i="40"/>
  <c r="P28" i="40"/>
  <c r="H81" i="38"/>
  <c r="G87" i="40"/>
  <c r="E27" i="40"/>
  <c r="C47" i="40"/>
  <c r="H18" i="40"/>
  <c r="K22" i="38"/>
  <c r="L22" i="38" s="1"/>
  <c r="K140" i="38"/>
  <c r="L140" i="38" s="1"/>
  <c r="G33" i="40"/>
  <c r="K132" i="38"/>
  <c r="L132" i="38" s="1"/>
  <c r="E80" i="40"/>
  <c r="Q62" i="40"/>
  <c r="O150" i="38"/>
  <c r="D69" i="40"/>
  <c r="K72" i="38"/>
  <c r="L72" i="38" s="1"/>
  <c r="I71" i="40"/>
  <c r="N102" i="38"/>
  <c r="O128" i="38"/>
  <c r="E41" i="40"/>
  <c r="D62" i="40"/>
  <c r="K133" i="38"/>
  <c r="L133" i="38" s="1"/>
  <c r="D50" i="40"/>
  <c r="K21" i="38"/>
  <c r="L21" i="38" s="1"/>
  <c r="H17" i="40"/>
  <c r="P70" i="40"/>
  <c r="C57" i="40"/>
  <c r="Q102" i="38"/>
  <c r="H38" i="38"/>
  <c r="H37" i="40"/>
  <c r="C46" i="40"/>
  <c r="C47" i="38"/>
  <c r="F90" i="38"/>
  <c r="C116" i="38"/>
  <c r="G59" i="40"/>
  <c r="P14" i="40"/>
  <c r="S14" i="40" s="1"/>
  <c r="T14" i="40" s="1"/>
  <c r="P58" i="40"/>
  <c r="F18" i="40"/>
  <c r="C72" i="40"/>
  <c r="K178" i="38"/>
  <c r="L178" i="38" s="1"/>
  <c r="D28" i="40"/>
  <c r="H162" i="38"/>
  <c r="P52" i="40"/>
  <c r="G90" i="38"/>
  <c r="K69" i="38"/>
  <c r="L69" i="38" s="1"/>
  <c r="I68" i="40"/>
  <c r="G70" i="40"/>
  <c r="P27" i="40"/>
  <c r="C56" i="40"/>
  <c r="C136" i="38"/>
  <c r="N46" i="40"/>
  <c r="N47" i="38"/>
  <c r="O171" i="38"/>
  <c r="O58" i="40"/>
  <c r="Q81" i="38"/>
  <c r="S81" i="38" s="1"/>
  <c r="T81" i="38" s="1"/>
  <c r="K110" i="38"/>
  <c r="L110" i="38" s="1"/>
  <c r="G57" i="40"/>
  <c r="E17" i="40"/>
  <c r="C150" i="38"/>
  <c r="O50" i="38"/>
  <c r="O49" i="40"/>
  <c r="E150" i="38"/>
  <c r="K87" i="38"/>
  <c r="L87" i="38" s="1"/>
  <c r="Q59" i="40"/>
  <c r="K179" i="38"/>
  <c r="L179" i="38" s="1"/>
  <c r="H15" i="40"/>
  <c r="K19" i="38"/>
  <c r="L19" i="38" s="1"/>
  <c r="E125" i="38"/>
  <c r="H56" i="40"/>
  <c r="H20" i="40"/>
  <c r="K24" i="38"/>
  <c r="L24" i="38" s="1"/>
  <c r="H23" i="38"/>
  <c r="H19" i="40" s="1"/>
  <c r="N42" i="40"/>
  <c r="O27" i="40"/>
  <c r="P90" i="38"/>
  <c r="G150" i="38"/>
  <c r="K166" i="38"/>
  <c r="L166" i="38" s="1"/>
  <c r="C81" i="38"/>
  <c r="H51" i="40"/>
  <c r="O81" i="38"/>
  <c r="I66" i="40"/>
  <c r="K67" i="38"/>
  <c r="L67" i="38" s="1"/>
  <c r="E102" i="38"/>
  <c r="C28" i="40"/>
  <c r="K98" i="38"/>
  <c r="L98" i="38" s="1"/>
  <c r="Q47" i="40"/>
  <c r="F40" i="40"/>
  <c r="G71" i="40"/>
  <c r="C27" i="40"/>
  <c r="Q159" i="38"/>
  <c r="O70" i="40"/>
  <c r="N38" i="40"/>
  <c r="N72" i="40"/>
  <c r="K174" i="38"/>
  <c r="L174" i="38" s="1"/>
  <c r="K167" i="38"/>
  <c r="L167" i="38" s="1"/>
  <c r="G62" i="40"/>
  <c r="C41" i="40"/>
  <c r="D21" i="40"/>
  <c r="F171" i="38"/>
  <c r="H87" i="40"/>
  <c r="P57" i="40"/>
  <c r="D102" i="38"/>
  <c r="F47" i="40"/>
  <c r="O28" i="40"/>
  <c r="C60" i="40"/>
  <c r="K126" i="38"/>
  <c r="L126" i="38" s="1"/>
  <c r="I125" i="38"/>
  <c r="H93" i="38"/>
  <c r="P136" i="38"/>
  <c r="E38" i="38"/>
  <c r="E37" i="40"/>
  <c r="H43" i="40"/>
  <c r="G80" i="40"/>
  <c r="D71" i="40"/>
  <c r="K143" i="38"/>
  <c r="L143" i="38" s="1"/>
  <c r="Q171" i="38"/>
  <c r="Q21" i="40"/>
  <c r="K163" i="38"/>
  <c r="L163" i="38" s="1"/>
  <c r="I162" i="38"/>
  <c r="P85" i="40"/>
  <c r="P195" i="38"/>
  <c r="O93" i="38"/>
  <c r="Q90" i="38"/>
  <c r="S90" i="38" s="1"/>
  <c r="T90" i="38" s="1"/>
  <c r="E162" i="38"/>
  <c r="Q34" i="40"/>
  <c r="I136" i="38"/>
  <c r="K137" i="38"/>
  <c r="L137" i="38" s="1"/>
  <c r="P33" i="40"/>
  <c r="N61" i="40"/>
  <c r="K59" i="38"/>
  <c r="L59" i="38" s="1"/>
  <c r="I57" i="40"/>
  <c r="Q72" i="40"/>
  <c r="E15" i="40"/>
  <c r="I93" i="38"/>
  <c r="K94" i="38"/>
  <c r="L94" i="38" s="1"/>
  <c r="I69" i="40"/>
  <c r="K70" i="38"/>
  <c r="L70" i="38" s="1"/>
  <c r="K139" i="38"/>
  <c r="L139" i="38" s="1"/>
  <c r="N150" i="38"/>
  <c r="H67" i="40"/>
  <c r="P66" i="40"/>
  <c r="N162" i="38"/>
  <c r="E90" i="38"/>
  <c r="K92" i="38"/>
  <c r="L92" i="38" s="1"/>
  <c r="I56" i="40"/>
  <c r="K58" i="38"/>
  <c r="L58" i="38" s="1"/>
  <c r="K28" i="38"/>
  <c r="L28" i="38" s="1"/>
  <c r="H24" i="40"/>
  <c r="K131" i="38"/>
  <c r="L131" i="38" s="1"/>
  <c r="N17" i="40"/>
  <c r="N128" i="38"/>
  <c r="P56" i="38"/>
  <c r="P55" i="40"/>
  <c r="D67" i="40"/>
  <c r="O136" i="38"/>
  <c r="Q67" i="40"/>
  <c r="S67" i="40" s="1"/>
  <c r="T67" i="40" s="1"/>
  <c r="O116" i="38"/>
  <c r="H38" i="40"/>
  <c r="I28" i="40"/>
  <c r="D51" i="40"/>
  <c r="C93" i="38"/>
  <c r="G116" i="38"/>
  <c r="K106" i="38"/>
  <c r="L106" i="38" s="1"/>
  <c r="H66" i="40"/>
  <c r="K119" i="38"/>
  <c r="L119" i="38" s="1"/>
  <c r="F37" i="40"/>
  <c r="F38" i="38"/>
  <c r="F57" i="40"/>
  <c r="Q57" i="40"/>
  <c r="S57" i="40" s="1"/>
  <c r="T57" i="40" s="1"/>
  <c r="P43" i="40"/>
  <c r="E49" i="40"/>
  <c r="E50" i="38"/>
  <c r="N34" i="40"/>
  <c r="H69" i="40"/>
  <c r="C65" i="38"/>
  <c r="C65" i="40"/>
  <c r="N18" i="40"/>
  <c r="E43" i="40"/>
  <c r="I17" i="40"/>
  <c r="G39" i="40"/>
  <c r="E86" i="40"/>
  <c r="F58" i="40"/>
  <c r="K161" i="38"/>
  <c r="L161" i="38" s="1"/>
  <c r="K42" i="38"/>
  <c r="L42" i="38" s="1"/>
  <c r="I40" i="40"/>
  <c r="K177" i="38"/>
  <c r="L177" i="38" s="1"/>
  <c r="C24" i="40"/>
  <c r="P15" i="40"/>
  <c r="S15" i="40" s="1"/>
  <c r="T15" i="40" s="1"/>
  <c r="C21" i="40"/>
  <c r="E67" i="40"/>
  <c r="C49" i="40"/>
  <c r="C50" i="38"/>
  <c r="P59" i="40"/>
  <c r="G38" i="40"/>
  <c r="O43" i="40"/>
  <c r="F51" i="40"/>
  <c r="Q20" i="40"/>
  <c r="Q23" i="38"/>
  <c r="Q19" i="40" s="1"/>
  <c r="P116" i="38"/>
  <c r="Q24" i="40"/>
  <c r="F33" i="40"/>
  <c r="C34" i="40"/>
  <c r="G85" i="40"/>
  <c r="G195" i="38"/>
  <c r="K95" i="38"/>
  <c r="L95" i="38" s="1"/>
  <c r="N58" i="40"/>
  <c r="D66" i="40"/>
  <c r="K25" i="38"/>
  <c r="L25" i="38" s="1"/>
  <c r="H21" i="40"/>
  <c r="P62" i="40"/>
  <c r="F46" i="40"/>
  <c r="F47" i="38"/>
  <c r="G38" i="38"/>
  <c r="G37" i="40"/>
  <c r="D63" i="40"/>
  <c r="C33" i="40"/>
  <c r="G23" i="38"/>
  <c r="G19" i="40" s="1"/>
  <c r="G20" i="40"/>
  <c r="C66" i="40"/>
  <c r="C42" i="40"/>
  <c r="G136" i="38"/>
  <c r="N70" i="40"/>
  <c r="K192" i="38"/>
  <c r="L192" i="38" s="1"/>
  <c r="I85" i="40"/>
  <c r="I195" i="38"/>
  <c r="D136" i="38"/>
  <c r="Q125" i="38"/>
  <c r="S125" i="38" s="1"/>
  <c r="T125" i="38" s="1"/>
  <c r="N65" i="40"/>
  <c r="N65" i="38"/>
  <c r="K154" i="38"/>
  <c r="L154" i="38" s="1"/>
  <c r="K104" i="38"/>
  <c r="L104" i="38" s="1"/>
  <c r="E58" i="40"/>
  <c r="F56" i="40"/>
  <c r="H128" i="38"/>
  <c r="P34" i="40"/>
  <c r="H27" i="40"/>
  <c r="F68" i="40"/>
  <c r="F17" i="40"/>
  <c r="K55" i="38"/>
  <c r="L55" i="38" s="1"/>
  <c r="I53" i="40"/>
  <c r="E128" i="38"/>
  <c r="G17" i="40"/>
  <c r="C16" i="40"/>
  <c r="C55" i="40"/>
  <c r="C56" i="38"/>
  <c r="N21" i="40"/>
  <c r="D58" i="40"/>
  <c r="K134" i="38"/>
  <c r="L134" i="38" s="1"/>
  <c r="P128" i="38"/>
  <c r="D18" i="40"/>
  <c r="G162" i="38"/>
  <c r="D56" i="38"/>
  <c r="D55" i="40"/>
  <c r="E116" i="38"/>
  <c r="P38" i="40"/>
  <c r="F60" i="40"/>
  <c r="D128" i="38"/>
  <c r="D59" i="40"/>
  <c r="G47" i="38"/>
  <c r="G46" i="40"/>
  <c r="I86" i="40"/>
  <c r="H33" i="40"/>
  <c r="C162" i="38"/>
  <c r="C86" i="40"/>
  <c r="N14" i="40"/>
  <c r="K82" i="38"/>
  <c r="L82" i="38" s="1"/>
  <c r="I81" i="38"/>
  <c r="D47" i="38"/>
  <c r="D46" i="40"/>
  <c r="G53" i="40"/>
  <c r="F81" i="38"/>
  <c r="H102" i="38"/>
  <c r="P68" i="40"/>
  <c r="F15" i="40"/>
  <c r="K97" i="38"/>
  <c r="L97" i="38" s="1"/>
  <c r="K40" i="38"/>
  <c r="L40" i="38" s="1"/>
  <c r="I38" i="40"/>
  <c r="K39" i="38"/>
  <c r="L39" i="38" s="1"/>
  <c r="I37" i="40"/>
  <c r="I38" i="38"/>
  <c r="C50" i="40"/>
  <c r="D150" i="38"/>
  <c r="E53" i="40"/>
  <c r="E71" i="40"/>
  <c r="O40" i="40"/>
  <c r="E92" i="40"/>
  <c r="K60" i="38"/>
  <c r="L60" i="38" s="1"/>
  <c r="I58" i="40"/>
  <c r="P50" i="40"/>
  <c r="C39" i="40"/>
  <c r="G49" i="40"/>
  <c r="G50" i="38"/>
  <c r="I56" i="38"/>
  <c r="I55" i="40"/>
  <c r="K57" i="38"/>
  <c r="L57" i="38" s="1"/>
  <c r="O92" i="40"/>
  <c r="Q70" i="40"/>
  <c r="N62" i="40"/>
  <c r="F150" i="38"/>
  <c r="D16" i="40"/>
  <c r="K175" i="38"/>
  <c r="L175" i="38" s="1"/>
  <c r="H71" i="40"/>
  <c r="E81" i="38"/>
  <c r="O14" i="40"/>
  <c r="E59" i="40"/>
  <c r="P171" i="38"/>
  <c r="K85" i="38"/>
  <c r="L85" i="38" s="1"/>
  <c r="O24" i="40"/>
  <c r="C59" i="40"/>
  <c r="K155" i="38"/>
  <c r="L155" i="38" s="1"/>
  <c r="G159" i="38"/>
  <c r="Q43" i="40"/>
  <c r="D68" i="40"/>
  <c r="D40" i="40"/>
  <c r="G58" i="40"/>
  <c r="H116" i="38"/>
  <c r="P42" i="40"/>
  <c r="C71" i="40"/>
  <c r="D17" i="40"/>
  <c r="N37" i="40"/>
  <c r="N38" i="38"/>
  <c r="P47" i="38"/>
  <c r="P46" i="40"/>
  <c r="E20" i="40"/>
  <c r="E23" i="38"/>
  <c r="E19" i="40" s="1"/>
  <c r="N136" i="38"/>
  <c r="K141" i="38"/>
  <c r="L141" i="38" s="1"/>
  <c r="Q63" i="40"/>
  <c r="D162" i="38"/>
  <c r="Q27" i="40"/>
  <c r="S27" i="40" s="1"/>
  <c r="T27" i="40" s="1"/>
  <c r="D47" i="40"/>
  <c r="Q40" i="40"/>
  <c r="H58" i="40"/>
  <c r="C67" i="40"/>
  <c r="O33" i="40"/>
  <c r="D60" i="40"/>
  <c r="Q39" i="40"/>
  <c r="Q49" i="40"/>
  <c r="S49" i="40" s="1"/>
  <c r="T49" i="40" s="1"/>
  <c r="Q50" i="38"/>
  <c r="S50" i="38" s="1"/>
  <c r="T50" i="38" s="1"/>
  <c r="D80" i="40"/>
  <c r="G21" i="40"/>
  <c r="K100" i="38"/>
  <c r="L100" i="38" s="1"/>
  <c r="H65" i="40"/>
  <c r="H65" i="38"/>
  <c r="I18" i="40"/>
  <c r="D52" i="40"/>
  <c r="N50" i="40"/>
  <c r="N71" i="40"/>
  <c r="E66" i="40"/>
  <c r="C61" i="40"/>
  <c r="P24" i="40"/>
  <c r="S24" i="40" s="1"/>
  <c r="T24" i="40" s="1"/>
  <c r="K99" i="38"/>
  <c r="L99" i="38" s="1"/>
  <c r="I63" i="40"/>
  <c r="K169" i="38"/>
  <c r="L169" i="38" s="1"/>
  <c r="I90" i="38"/>
  <c r="K91" i="38"/>
  <c r="L91" i="38" s="1"/>
  <c r="G52" i="40"/>
  <c r="P40" i="40"/>
  <c r="O80" i="40"/>
  <c r="I20" i="40"/>
  <c r="I23" i="38"/>
  <c r="I19" i="40" s="1"/>
  <c r="D72" i="40"/>
  <c r="G43" i="40"/>
  <c r="H41" i="40"/>
  <c r="K118" i="38"/>
  <c r="L118" i="38" s="1"/>
  <c r="D171" i="38"/>
  <c r="E61" i="40"/>
  <c r="Q41" i="40"/>
  <c r="O56" i="40"/>
  <c r="O86" i="40"/>
  <c r="K121" i="38"/>
  <c r="L121" i="38" s="1"/>
  <c r="E87" i="40"/>
  <c r="O69" i="40"/>
  <c r="Q68" i="40"/>
  <c r="S68" i="40" s="1"/>
  <c r="T68" i="40" s="1"/>
  <c r="K164" i="38"/>
  <c r="L164" i="38" s="1"/>
  <c r="E34" i="40"/>
  <c r="O47" i="40"/>
  <c r="G92" i="40"/>
  <c r="K122" i="38"/>
  <c r="L122" i="38" s="1"/>
  <c r="N68" i="40"/>
  <c r="F39" i="40"/>
  <c r="K157" i="38"/>
  <c r="L157" i="38" s="1"/>
  <c r="Q18" i="40"/>
  <c r="D42" i="40"/>
  <c r="O68" i="40"/>
  <c r="E70" i="40"/>
  <c r="E93" i="38"/>
  <c r="K53" i="38"/>
  <c r="L53" i="38" s="1"/>
  <c r="I51" i="40"/>
  <c r="E42" i="40"/>
  <c r="E14" i="40"/>
  <c r="D53" i="40"/>
  <c r="E69" i="40"/>
  <c r="O90" i="38"/>
  <c r="K32" i="38"/>
  <c r="L32" i="38" s="1"/>
  <c r="H28" i="40"/>
  <c r="N87" i="40"/>
  <c r="O66" i="40"/>
  <c r="I50" i="40"/>
  <c r="K52" i="38"/>
  <c r="L52" i="38" s="1"/>
  <c r="H50" i="40"/>
  <c r="K142" i="38"/>
  <c r="L142" i="38" s="1"/>
  <c r="E55" i="40"/>
  <c r="E56" i="38"/>
  <c r="I34" i="40"/>
  <c r="K114" i="38"/>
  <c r="L114" i="38" s="1"/>
  <c r="E57" i="40"/>
  <c r="E39" i="40"/>
  <c r="F93" i="38"/>
  <c r="H49" i="40"/>
  <c r="H50" i="38"/>
  <c r="O63" i="40"/>
  <c r="F136" i="38"/>
  <c r="P38" i="38"/>
  <c r="P37" i="40"/>
  <c r="N39" i="40"/>
  <c r="I16" i="40"/>
  <c r="F53" i="40"/>
  <c r="Q56" i="38"/>
  <c r="S56" i="38" s="1"/>
  <c r="T56" i="38" s="1"/>
  <c r="Q55" i="40"/>
  <c r="S55" i="40" s="1"/>
  <c r="T55" i="40" s="1"/>
  <c r="C128" i="38"/>
  <c r="E47" i="38"/>
  <c r="E46" i="40"/>
  <c r="O56" i="38"/>
  <c r="O55" i="40"/>
  <c r="Q195" i="38"/>
  <c r="S195" i="38" s="1"/>
  <c r="T195" i="38" s="1"/>
  <c r="Q85" i="40"/>
  <c r="S85" i="40" s="1"/>
  <c r="T85" i="40" s="1"/>
  <c r="K172" i="38"/>
  <c r="L172" i="38" s="1"/>
  <c r="I171" i="38"/>
  <c r="E85" i="40"/>
  <c r="E195" i="38"/>
  <c r="E62" i="40"/>
  <c r="I15" i="40"/>
  <c r="O102" i="38"/>
  <c r="O162" i="38"/>
  <c r="N27" i="40"/>
  <c r="K199" i="38"/>
  <c r="L199" i="38" s="1"/>
  <c r="I92" i="40"/>
  <c r="P159" i="38"/>
  <c r="Q86" i="40"/>
  <c r="F62" i="40"/>
  <c r="F20" i="40"/>
  <c r="F23" i="38"/>
  <c r="F19" i="40" s="1"/>
  <c r="O50" i="40"/>
  <c r="P65" i="38"/>
  <c r="P65" i="40"/>
  <c r="N55" i="40"/>
  <c r="N56" i="38"/>
  <c r="C15" i="40"/>
  <c r="G69" i="40"/>
  <c r="D24" i="40"/>
  <c r="H57" i="40"/>
  <c r="F24" i="40"/>
  <c r="G67" i="40"/>
  <c r="P86" i="40"/>
  <c r="P61" i="40"/>
  <c r="K138" i="38"/>
  <c r="L138" i="38" s="1"/>
  <c r="C90" i="38"/>
  <c r="G27" i="40"/>
  <c r="N43" i="40"/>
  <c r="O53" i="40"/>
  <c r="H80" i="40"/>
  <c r="E28" i="40"/>
  <c r="Q33" i="40"/>
  <c r="S33" i="40" s="1"/>
  <c r="T33" i="40" s="1"/>
  <c r="C63" i="40"/>
  <c r="K62" i="38"/>
  <c r="L62" i="38" s="1"/>
  <c r="I60" i="40"/>
  <c r="Q17" i="40"/>
  <c r="I102" i="38"/>
  <c r="K103" i="38"/>
  <c r="L103" i="38" s="1"/>
  <c r="O16" i="40"/>
  <c r="G14" i="40"/>
  <c r="O18" i="40"/>
  <c r="D65" i="40"/>
  <c r="D65" i="38"/>
  <c r="Q61" i="40"/>
  <c r="S61" i="40" s="1"/>
  <c r="T61" i="40" s="1"/>
  <c r="G15" i="40"/>
  <c r="N41" i="40"/>
  <c r="G28" i="40"/>
  <c r="I61" i="40"/>
  <c r="K63" i="38"/>
  <c r="L63" i="38" s="1"/>
  <c r="D39" i="40"/>
  <c r="C68" i="40"/>
  <c r="D195" i="38"/>
  <c r="D85" i="40"/>
  <c r="G66" i="40"/>
  <c r="G56" i="40"/>
  <c r="E65" i="40"/>
  <c r="E65" i="38"/>
  <c r="G42" i="40"/>
  <c r="D61" i="40"/>
  <c r="E16" i="40"/>
  <c r="D43" i="40"/>
  <c r="E72" i="40"/>
  <c r="K120" i="38"/>
  <c r="L120" i="38" s="1"/>
  <c r="P47" i="40"/>
  <c r="P16" i="40"/>
  <c r="P63" i="40"/>
  <c r="F195" i="38"/>
  <c r="F85" i="40"/>
  <c r="E24" i="40"/>
  <c r="G61" i="40"/>
  <c r="P72" i="40"/>
  <c r="F56" i="38"/>
  <c r="F55" i="40"/>
  <c r="D81" i="38"/>
  <c r="C18" i="40"/>
  <c r="F50" i="40"/>
  <c r="C87" i="40"/>
  <c r="D125" i="38"/>
  <c r="H90" i="38"/>
  <c r="F42" i="40"/>
  <c r="F70" i="40"/>
  <c r="O34" i="40"/>
  <c r="K135" i="38"/>
  <c r="L135" i="38" s="1"/>
  <c r="Q116" i="38"/>
  <c r="H56" i="38"/>
  <c r="H55" i="40"/>
  <c r="K117" i="38"/>
  <c r="L117" i="38" s="1"/>
  <c r="I116" i="38"/>
  <c r="F63" i="40"/>
  <c r="G171" i="38"/>
  <c r="G51" i="40"/>
  <c r="N80" i="40"/>
  <c r="F80" i="40"/>
  <c r="G68" i="40"/>
  <c r="D50" i="38"/>
  <c r="D49" i="40"/>
  <c r="C14" i="40"/>
  <c r="D70" i="40"/>
  <c r="Q16" i="40"/>
  <c r="O72" i="40"/>
  <c r="G40" i="40"/>
  <c r="Q87" i="40"/>
  <c r="S87" i="40" s="1"/>
  <c r="T87" i="40" s="1"/>
  <c r="C80" i="40"/>
  <c r="E33" i="40"/>
  <c r="D15" i="40"/>
  <c r="E21" i="40"/>
  <c r="Q150" i="38"/>
  <c r="S150" i="38" s="1"/>
  <c r="T150" i="38" s="1"/>
  <c r="G60" i="40"/>
  <c r="G41" i="40"/>
  <c r="G63" i="40"/>
  <c r="G65" i="40"/>
  <c r="G65" i="38"/>
  <c r="I72" i="40"/>
  <c r="K73" i="38"/>
  <c r="L73" i="38" s="1"/>
  <c r="F28" i="40"/>
  <c r="P162" i="38"/>
  <c r="F21" i="40"/>
  <c r="D20" i="40"/>
  <c r="D23" i="38"/>
  <c r="D19" i="40" s="1"/>
  <c r="C92" i="40"/>
  <c r="E40" i="40"/>
  <c r="D27" i="40"/>
  <c r="F71" i="40"/>
  <c r="C17" i="40"/>
  <c r="G16" i="40"/>
  <c r="K43" i="38"/>
  <c r="L43" i="38" s="1"/>
  <c r="I41" i="40"/>
  <c r="F27" i="40"/>
  <c r="C125" i="38"/>
  <c r="F162" i="38"/>
  <c r="D116" i="38"/>
  <c r="H159" i="38"/>
  <c r="D41" i="40"/>
  <c r="D93" i="38"/>
  <c r="G102" i="38"/>
  <c r="D10" i="2"/>
  <c r="S70" i="40" l="1"/>
  <c r="T70" i="40" s="1"/>
  <c r="K86" i="40"/>
  <c r="L86" i="40" s="1"/>
  <c r="S43" i="40"/>
  <c r="T43" i="40" s="1"/>
  <c r="S51" i="40"/>
  <c r="T51" i="40" s="1"/>
  <c r="S136" i="38"/>
  <c r="T136" i="38" s="1"/>
  <c r="K27" i="40"/>
  <c r="L27" i="40" s="1"/>
  <c r="S42" i="40"/>
  <c r="T42" i="40" s="1"/>
  <c r="S66" i="40"/>
  <c r="T66" i="40" s="1"/>
  <c r="S28" i="40"/>
  <c r="T28" i="40" s="1"/>
  <c r="S159" i="38"/>
  <c r="T159" i="38" s="1"/>
  <c r="S47" i="40"/>
  <c r="T47" i="40" s="1"/>
  <c r="S56" i="40"/>
  <c r="T56" i="40" s="1"/>
  <c r="S80" i="40"/>
  <c r="T80" i="40" s="1"/>
  <c r="S38" i="40"/>
  <c r="T38" i="40" s="1"/>
  <c r="S46" i="40"/>
  <c r="T46" i="40" s="1"/>
  <c r="S53" i="40"/>
  <c r="T53" i="40" s="1"/>
  <c r="S38" i="38"/>
  <c r="T38" i="38" s="1"/>
  <c r="S58" i="40"/>
  <c r="T58" i="40" s="1"/>
  <c r="S50" i="40"/>
  <c r="T50" i="40" s="1"/>
  <c r="S18" i="40"/>
  <c r="T18" i="40" s="1"/>
  <c r="S52" i="40"/>
  <c r="T52" i="40" s="1"/>
  <c r="S16" i="40"/>
  <c r="T16" i="40" s="1"/>
  <c r="S39" i="40"/>
  <c r="T39" i="40" s="1"/>
  <c r="S34" i="40"/>
  <c r="T34" i="40" s="1"/>
  <c r="S62" i="40"/>
  <c r="T62" i="40" s="1"/>
  <c r="S17" i="40"/>
  <c r="T17" i="40" s="1"/>
  <c r="S60" i="40"/>
  <c r="T60" i="40" s="1"/>
  <c r="S92" i="40"/>
  <c r="T92" i="40" s="1"/>
  <c r="S128" i="38"/>
  <c r="T128" i="38" s="1"/>
  <c r="S20" i="40"/>
  <c r="T20" i="40" s="1"/>
  <c r="S69" i="40"/>
  <c r="T69" i="40" s="1"/>
  <c r="S47" i="38"/>
  <c r="T47" i="38" s="1"/>
  <c r="S65" i="40"/>
  <c r="T65" i="40" s="1"/>
  <c r="S37" i="40"/>
  <c r="T37" i="40" s="1"/>
  <c r="S116" i="38"/>
  <c r="T116" i="38" s="1"/>
  <c r="S86" i="40"/>
  <c r="T86" i="40" s="1"/>
  <c r="S41" i="40"/>
  <c r="T41" i="40" s="1"/>
  <c r="S40" i="40"/>
  <c r="T40" i="40" s="1"/>
  <c r="S63" i="40"/>
  <c r="T63" i="40" s="1"/>
  <c r="S72" i="40"/>
  <c r="T72" i="40" s="1"/>
  <c r="S171" i="38"/>
  <c r="T171" i="38" s="1"/>
  <c r="S59" i="40"/>
  <c r="T59" i="40" s="1"/>
  <c r="S102" i="38"/>
  <c r="T102" i="38" s="1"/>
  <c r="S162" i="38"/>
  <c r="T162" i="38" s="1"/>
  <c r="P26" i="38"/>
  <c r="S23" i="38"/>
  <c r="T23" i="38" s="1"/>
  <c r="S21" i="40"/>
  <c r="T21" i="40" s="1"/>
  <c r="S65" i="38"/>
  <c r="T65" i="38" s="1"/>
  <c r="D19" i="44" a="1"/>
  <c r="D19" i="44" s="1"/>
  <c r="D30" i="44" a="1"/>
  <c r="D30" i="44" s="1"/>
  <c r="D29" i="44" a="1"/>
  <c r="D29" i="44" s="1"/>
  <c r="D27" i="44" a="1"/>
  <c r="D27" i="44" s="1"/>
  <c r="D8" i="44" a="1"/>
  <c r="D8" i="44" s="1"/>
  <c r="D9" i="44" a="1"/>
  <c r="D9" i="44" s="1"/>
  <c r="D22" i="44" a="1"/>
  <c r="D22" i="44" s="1"/>
  <c r="D21" i="44" a="1"/>
  <c r="D21" i="44" s="1"/>
  <c r="D20" i="44" a="1"/>
  <c r="D20" i="44" s="1"/>
  <c r="D26" i="44" a="1"/>
  <c r="D26" i="44" s="1"/>
  <c r="D25" i="44" a="1"/>
  <c r="D25" i="44" s="1"/>
  <c r="AW186" i="3"/>
  <c r="AY73" i="3"/>
  <c r="AW93" i="2"/>
  <c r="AW94" i="2" s="1"/>
  <c r="AW96" i="2"/>
  <c r="AX90" i="2"/>
  <c r="AX83" i="2"/>
  <c r="AY77" i="2"/>
  <c r="AY78" i="2" s="1"/>
  <c r="AY82" i="2"/>
  <c r="AY76" i="2"/>
  <c r="AY180" i="3"/>
  <c r="AY181" i="3" s="1"/>
  <c r="AY179" i="3"/>
  <c r="AY185" i="3"/>
  <c r="AX193" i="3"/>
  <c r="AX186" i="3"/>
  <c r="AW196" i="3"/>
  <c r="AW197" i="3" s="1"/>
  <c r="AW199" i="3"/>
  <c r="F45" i="40"/>
  <c r="K14" i="40"/>
  <c r="L14" i="40" s="1"/>
  <c r="Q124" i="38"/>
  <c r="K21" i="40"/>
  <c r="L21" i="40" s="1"/>
  <c r="K24" i="40"/>
  <c r="L24" i="40" s="1"/>
  <c r="C89" i="38"/>
  <c r="C80" i="38" s="1"/>
  <c r="C111" i="38" s="1"/>
  <c r="D89" i="38"/>
  <c r="D80" i="38" s="1"/>
  <c r="D111" i="38" s="1"/>
  <c r="E46" i="38"/>
  <c r="E37" i="38" s="1"/>
  <c r="E74" i="38" s="1"/>
  <c r="Q158" i="38"/>
  <c r="G45" i="40"/>
  <c r="O88" i="40"/>
  <c r="K28" i="40"/>
  <c r="L28" i="40" s="1"/>
  <c r="K80" i="40"/>
  <c r="L80" i="40" s="1"/>
  <c r="K125" i="38"/>
  <c r="L125" i="38" s="1"/>
  <c r="F124" i="38"/>
  <c r="F115" i="38" s="1"/>
  <c r="F145" i="38" s="1"/>
  <c r="H89" i="38"/>
  <c r="H80" i="38" s="1"/>
  <c r="H111" i="38" s="1"/>
  <c r="P46" i="38"/>
  <c r="P37" i="38" s="1"/>
  <c r="P74" i="38" s="1"/>
  <c r="K87" i="40"/>
  <c r="L87" i="40" s="1"/>
  <c r="K90" i="38"/>
  <c r="L90" i="38" s="1"/>
  <c r="F46" i="38"/>
  <c r="F37" i="38" s="1"/>
  <c r="F74" i="38" s="1"/>
  <c r="K61" i="40"/>
  <c r="L61" i="40" s="1"/>
  <c r="C26" i="38"/>
  <c r="C30" i="38" s="1"/>
  <c r="C33" i="38" s="1"/>
  <c r="C29" i="40" s="1"/>
  <c r="C30" i="40" s="1"/>
  <c r="E45" i="40"/>
  <c r="K128" i="38"/>
  <c r="L128" i="38" s="1"/>
  <c r="I45" i="40"/>
  <c r="G124" i="38"/>
  <c r="G115" i="38" s="1"/>
  <c r="G145" i="38" s="1"/>
  <c r="O45" i="40"/>
  <c r="K70" i="40"/>
  <c r="L70" i="40" s="1"/>
  <c r="D88" i="40"/>
  <c r="K34" i="40"/>
  <c r="L34" i="40" s="1"/>
  <c r="K63" i="40"/>
  <c r="L63" i="40" s="1"/>
  <c r="H45" i="40"/>
  <c r="N89" i="38"/>
  <c r="N80" i="38" s="1"/>
  <c r="N111" i="38" s="1"/>
  <c r="K39" i="40"/>
  <c r="L39" i="40" s="1"/>
  <c r="K42" i="40"/>
  <c r="L42" i="40" s="1"/>
  <c r="Q46" i="38"/>
  <c r="I54" i="40"/>
  <c r="K37" i="40"/>
  <c r="L37" i="40" s="1"/>
  <c r="K38" i="38"/>
  <c r="L38" i="38" s="1"/>
  <c r="K52" i="40"/>
  <c r="L52" i="40" s="1"/>
  <c r="N124" i="38"/>
  <c r="N115" i="38" s="1"/>
  <c r="N145" i="38" s="1"/>
  <c r="D158" i="38"/>
  <c r="D149" i="38" s="1"/>
  <c r="D180" i="38" s="1"/>
  <c r="K53" i="40"/>
  <c r="L53" i="40" s="1"/>
  <c r="H88" i="40"/>
  <c r="K47" i="38"/>
  <c r="L47" i="38" s="1"/>
  <c r="K171" i="38"/>
  <c r="L171" i="38" s="1"/>
  <c r="K18" i="40"/>
  <c r="L18" i="40" s="1"/>
  <c r="K56" i="38"/>
  <c r="L56" i="38" s="1"/>
  <c r="O36" i="40"/>
  <c r="K102" i="38"/>
  <c r="L102" i="38" s="1"/>
  <c r="K85" i="40"/>
  <c r="L85" i="40" s="1"/>
  <c r="F48" i="40"/>
  <c r="C46" i="38"/>
  <c r="C37" i="38" s="1"/>
  <c r="C74" i="38" s="1"/>
  <c r="K59" i="40"/>
  <c r="L59" i="40" s="1"/>
  <c r="K159" i="38"/>
  <c r="L159" i="38" s="1"/>
  <c r="F158" i="38"/>
  <c r="F149" i="38" s="1"/>
  <c r="F180" i="38" s="1"/>
  <c r="D48" i="40"/>
  <c r="K71" i="40"/>
  <c r="L71" i="40" s="1"/>
  <c r="G88" i="40"/>
  <c r="N158" i="38"/>
  <c r="N149" i="38" s="1"/>
  <c r="N180" i="38" s="1"/>
  <c r="O46" i="38"/>
  <c r="O37" i="38" s="1"/>
  <c r="O74" i="38" s="1"/>
  <c r="K47" i="40"/>
  <c r="L47" i="40" s="1"/>
  <c r="G64" i="40"/>
  <c r="K93" i="38"/>
  <c r="L93" i="38" s="1"/>
  <c r="F89" i="38"/>
  <c r="F80" i="38" s="1"/>
  <c r="F111" i="38" s="1"/>
  <c r="D124" i="38"/>
  <c r="D115" i="38" s="1"/>
  <c r="D145" i="38" s="1"/>
  <c r="D54" i="40"/>
  <c r="C45" i="40"/>
  <c r="C64" i="40"/>
  <c r="C158" i="38"/>
  <c r="C149" i="38" s="1"/>
  <c r="C180" i="38" s="1"/>
  <c r="G158" i="38"/>
  <c r="G149" i="38" s="1"/>
  <c r="G180" i="38" s="1"/>
  <c r="F88" i="40"/>
  <c r="D26" i="38"/>
  <c r="D22" i="40" s="1"/>
  <c r="I124" i="38"/>
  <c r="I115" i="38" s="1"/>
  <c r="H124" i="38"/>
  <c r="K16" i="40"/>
  <c r="L16" i="40" s="1"/>
  <c r="N26" i="38"/>
  <c r="N30" i="38" s="1"/>
  <c r="O26" i="38"/>
  <c r="O22" i="40" s="1"/>
  <c r="K50" i="38"/>
  <c r="L50" i="38" s="1"/>
  <c r="K195" i="38"/>
  <c r="L195" i="38" s="1"/>
  <c r="K62" i="40"/>
  <c r="L62" i="40" s="1"/>
  <c r="Q54" i="40"/>
  <c r="P88" i="40"/>
  <c r="K40" i="40"/>
  <c r="L40" i="40" s="1"/>
  <c r="P158" i="38"/>
  <c r="P149" i="38" s="1"/>
  <c r="P180" i="38" s="1"/>
  <c r="O54" i="40"/>
  <c r="K65" i="38"/>
  <c r="L65" i="38" s="1"/>
  <c r="N64" i="40"/>
  <c r="N54" i="40"/>
  <c r="K69" i="40"/>
  <c r="L69" i="40" s="1"/>
  <c r="N45" i="40"/>
  <c r="H46" i="38"/>
  <c r="H37" i="38" s="1"/>
  <c r="H74" i="38" s="1"/>
  <c r="O158" i="38"/>
  <c r="O149" i="38" s="1"/>
  <c r="O180" i="38" s="1"/>
  <c r="O124" i="38"/>
  <c r="O115" i="38" s="1"/>
  <c r="O145" i="38" s="1"/>
  <c r="N36" i="40"/>
  <c r="N46" i="38"/>
  <c r="N37" i="38" s="1"/>
  <c r="N74" i="38" s="1"/>
  <c r="K17" i="40"/>
  <c r="L17" i="40" s="1"/>
  <c r="K68" i="40"/>
  <c r="L68" i="40" s="1"/>
  <c r="N88" i="40"/>
  <c r="K43" i="40"/>
  <c r="L43" i="40" s="1"/>
  <c r="N48" i="40"/>
  <c r="F26" i="38"/>
  <c r="F30" i="38" s="1"/>
  <c r="I64" i="40"/>
  <c r="E26" i="38"/>
  <c r="E22" i="40" s="1"/>
  <c r="H54" i="40"/>
  <c r="F54" i="40"/>
  <c r="E64" i="40"/>
  <c r="H48" i="40"/>
  <c r="K41" i="40"/>
  <c r="L41" i="40" s="1"/>
  <c r="K38" i="40"/>
  <c r="L38" i="40" s="1"/>
  <c r="I88" i="40"/>
  <c r="F64" i="40"/>
  <c r="E88" i="40"/>
  <c r="E48" i="40"/>
  <c r="G89" i="38"/>
  <c r="G80" i="38" s="1"/>
  <c r="G111" i="38" s="1"/>
  <c r="P54" i="40"/>
  <c r="O64" i="40"/>
  <c r="G54" i="40"/>
  <c r="K33" i="40"/>
  <c r="L33" i="40" s="1"/>
  <c r="D36" i="40"/>
  <c r="I48" i="40"/>
  <c r="I36" i="40"/>
  <c r="K23" i="38"/>
  <c r="L23" i="38" s="1"/>
  <c r="K55" i="40"/>
  <c r="L55" i="40" s="1"/>
  <c r="C124" i="38"/>
  <c r="C115" i="38" s="1"/>
  <c r="C145" i="38" s="1"/>
  <c r="K72" i="40"/>
  <c r="L72" i="40" s="1"/>
  <c r="K92" i="40"/>
  <c r="L92" i="40" s="1"/>
  <c r="E54" i="40"/>
  <c r="H64" i="40"/>
  <c r="G48" i="40"/>
  <c r="C54" i="40"/>
  <c r="C48" i="40"/>
  <c r="G36" i="40"/>
  <c r="K66" i="40"/>
  <c r="L66" i="40" s="1"/>
  <c r="K136" i="38"/>
  <c r="L136" i="38" s="1"/>
  <c r="O89" i="38"/>
  <c r="O80" i="38" s="1"/>
  <c r="O111" i="38" s="1"/>
  <c r="P89" i="38"/>
  <c r="P80" i="38" s="1"/>
  <c r="P111" i="38" s="1"/>
  <c r="K19" i="40"/>
  <c r="L19" i="40" s="1"/>
  <c r="P48" i="40"/>
  <c r="O48" i="40"/>
  <c r="F36" i="40"/>
  <c r="D64" i="40"/>
  <c r="P64" i="40"/>
  <c r="E36" i="40"/>
  <c r="K20" i="40"/>
  <c r="L20" i="40" s="1"/>
  <c r="G46" i="38"/>
  <c r="G37" i="38" s="1"/>
  <c r="G74" i="38" s="1"/>
  <c r="K57" i="40"/>
  <c r="L57" i="40" s="1"/>
  <c r="K162" i="38"/>
  <c r="L162" i="38" s="1"/>
  <c r="K15" i="40"/>
  <c r="L15" i="40" s="1"/>
  <c r="I158" i="38"/>
  <c r="I149" i="38" s="1"/>
  <c r="I26" i="38"/>
  <c r="I22" i="40" s="1"/>
  <c r="K46" i="40"/>
  <c r="L46" i="40" s="1"/>
  <c r="H158" i="38"/>
  <c r="H149" i="38" s="1"/>
  <c r="H180" i="38" s="1"/>
  <c r="P22" i="40"/>
  <c r="K58" i="40"/>
  <c r="L58" i="40" s="1"/>
  <c r="K67" i="40"/>
  <c r="L67" i="40" s="1"/>
  <c r="K150" i="38"/>
  <c r="L150" i="38" s="1"/>
  <c r="Q48" i="40"/>
  <c r="S48" i="40" s="1"/>
  <c r="T48" i="40" s="1"/>
  <c r="D46" i="38"/>
  <c r="D37" i="38" s="1"/>
  <c r="D74" i="38" s="1"/>
  <c r="Q36" i="40"/>
  <c r="E124" i="38"/>
  <c r="E115" i="38" s="1"/>
  <c r="E145" i="38" s="1"/>
  <c r="H36" i="40"/>
  <c r="K49" i="40"/>
  <c r="L49" i="40" s="1"/>
  <c r="H26" i="38"/>
  <c r="H22" i="40" s="1"/>
  <c r="P36" i="40"/>
  <c r="P19" i="40"/>
  <c r="S19" i="40" s="1"/>
  <c r="T19" i="40" s="1"/>
  <c r="K65" i="40"/>
  <c r="L65" i="40" s="1"/>
  <c r="G26" i="38"/>
  <c r="G30" i="38" s="1"/>
  <c r="Q26" i="38"/>
  <c r="K116" i="38"/>
  <c r="L116" i="38" s="1"/>
  <c r="Q88" i="40"/>
  <c r="S88" i="40" s="1"/>
  <c r="T88" i="40" s="1"/>
  <c r="K50" i="40"/>
  <c r="L50" i="40" s="1"/>
  <c r="K81" i="38"/>
  <c r="L81" i="38" s="1"/>
  <c r="C36" i="40"/>
  <c r="P124" i="38"/>
  <c r="C88" i="40"/>
  <c r="I46" i="38"/>
  <c r="I89" i="38"/>
  <c r="Q64" i="40"/>
  <c r="S64" i="40" s="1"/>
  <c r="T64" i="40" s="1"/>
  <c r="P45" i="40"/>
  <c r="K56" i="40"/>
  <c r="L56" i="40" s="1"/>
  <c r="E158" i="38"/>
  <c r="E149" i="38" s="1"/>
  <c r="E180" i="38" s="1"/>
  <c r="Q45" i="40"/>
  <c r="K60" i="40"/>
  <c r="L60" i="40" s="1"/>
  <c r="K51" i="40"/>
  <c r="L51" i="40" s="1"/>
  <c r="D45" i="40"/>
  <c r="E89" i="38"/>
  <c r="E80" i="38" s="1"/>
  <c r="E111" i="38" s="1"/>
  <c r="Q89" i="38"/>
  <c r="C14" i="2"/>
  <c r="C16" i="2"/>
  <c r="C28" i="2"/>
  <c r="C27" i="2"/>
  <c r="C17" i="2"/>
  <c r="C15" i="2"/>
  <c r="C18" i="2"/>
  <c r="C21" i="2"/>
  <c r="C20" i="2"/>
  <c r="C19" i="3"/>
  <c r="C22" i="3" s="1"/>
  <c r="C26" i="3" s="1"/>
  <c r="C29" i="3" s="1"/>
  <c r="C30" i="3" s="1"/>
  <c r="E10" i="2"/>
  <c r="D10" i="44" a="1"/>
  <c r="D11" i="44" a="1"/>
  <c r="D13" i="44" a="1"/>
  <c r="D14" i="44" a="1"/>
  <c r="D15" i="44" a="1"/>
  <c r="S54" i="40" l="1"/>
  <c r="T54" i="40" s="1"/>
  <c r="S45" i="40"/>
  <c r="T45" i="40" s="1"/>
  <c r="S89" i="38"/>
  <c r="T89" i="38" s="1"/>
  <c r="S36" i="40"/>
  <c r="T36" i="40" s="1"/>
  <c r="C76" i="38"/>
  <c r="C77" i="38" s="1"/>
  <c r="Q149" i="38"/>
  <c r="S158" i="38"/>
  <c r="T158" i="38" s="1"/>
  <c r="Q37" i="38"/>
  <c r="S37" i="38" s="1"/>
  <c r="T37" i="38" s="1"/>
  <c r="S46" i="38"/>
  <c r="T46" i="38" s="1"/>
  <c r="S26" i="38"/>
  <c r="T26" i="38" s="1"/>
  <c r="P30" i="38"/>
  <c r="Q115" i="38"/>
  <c r="S124" i="38"/>
  <c r="T124" i="38" s="1"/>
  <c r="D13" i="44"/>
  <c r="D10" i="44"/>
  <c r="D14" i="44"/>
  <c r="D15" i="44"/>
  <c r="D11" i="44"/>
  <c r="AX93" i="2"/>
  <c r="AX94" i="2" s="1"/>
  <c r="AX96" i="2"/>
  <c r="AY83" i="2"/>
  <c r="AY90" i="2"/>
  <c r="F44" i="40"/>
  <c r="AX196" i="3"/>
  <c r="AX197" i="3" s="1"/>
  <c r="AX199" i="3"/>
  <c r="AY193" i="3"/>
  <c r="AY186" i="3"/>
  <c r="D44" i="40"/>
  <c r="D35" i="40" s="1"/>
  <c r="D73" i="40" s="1"/>
  <c r="G44" i="40"/>
  <c r="G35" i="40" s="1"/>
  <c r="G73" i="40" s="1"/>
  <c r="K89" i="38"/>
  <c r="L89" i="38" s="1"/>
  <c r="C22" i="40"/>
  <c r="C26" i="40"/>
  <c r="C34" i="38"/>
  <c r="K45" i="40"/>
  <c r="L45" i="40" s="1"/>
  <c r="O44" i="40"/>
  <c r="O35" i="40" s="1"/>
  <c r="O73" i="40" s="1"/>
  <c r="P26" i="40"/>
  <c r="C44" i="40"/>
  <c r="C35" i="40" s="1"/>
  <c r="C73" i="40" s="1"/>
  <c r="C75" i="40" s="1"/>
  <c r="C76" i="40" s="1"/>
  <c r="I44" i="40"/>
  <c r="I35" i="40" s="1"/>
  <c r="I73" i="40" s="1"/>
  <c r="E44" i="40"/>
  <c r="E35" i="40" s="1"/>
  <c r="E73" i="40" s="1"/>
  <c r="G22" i="40"/>
  <c r="D30" i="38"/>
  <c r="D33" i="38" s="1"/>
  <c r="O30" i="38"/>
  <c r="O33" i="38" s="1"/>
  <c r="O29" i="40" s="1"/>
  <c r="K54" i="40"/>
  <c r="L54" i="40" s="1"/>
  <c r="K88" i="40"/>
  <c r="L88" i="40" s="1"/>
  <c r="K124" i="38"/>
  <c r="L124" i="38" s="1"/>
  <c r="I30" i="38"/>
  <c r="I33" i="38" s="1"/>
  <c r="Q44" i="40"/>
  <c r="F35" i="40"/>
  <c r="F73" i="40" s="1"/>
  <c r="H115" i="38"/>
  <c r="H145" i="38" s="1"/>
  <c r="K48" i="40"/>
  <c r="L48" i="40" s="1"/>
  <c r="E30" i="38"/>
  <c r="K64" i="40"/>
  <c r="L64" i="40" s="1"/>
  <c r="N22" i="40"/>
  <c r="K26" i="38"/>
  <c r="L26" i="38" s="1"/>
  <c r="P44" i="40"/>
  <c r="P35" i="40" s="1"/>
  <c r="P73" i="40" s="1"/>
  <c r="K46" i="38"/>
  <c r="L46" i="38" s="1"/>
  <c r="K36" i="40"/>
  <c r="L36" i="40" s="1"/>
  <c r="H44" i="40"/>
  <c r="H35" i="40" s="1"/>
  <c r="H73" i="40" s="1"/>
  <c r="I37" i="38"/>
  <c r="I74" i="38" s="1"/>
  <c r="K74" i="38" s="1"/>
  <c r="L74" i="38" s="1"/>
  <c r="N44" i="40"/>
  <c r="N35" i="40" s="1"/>
  <c r="N73" i="40" s="1"/>
  <c r="K149" i="38"/>
  <c r="L149" i="38" s="1"/>
  <c r="F22" i="40"/>
  <c r="P115" i="38"/>
  <c r="K158" i="38"/>
  <c r="L158" i="38" s="1"/>
  <c r="I180" i="38"/>
  <c r="K180" i="38" s="1"/>
  <c r="L180" i="38" s="1"/>
  <c r="Q30" i="38"/>
  <c r="H30" i="38"/>
  <c r="I80" i="38"/>
  <c r="Q22" i="40"/>
  <c r="S22" i="40" s="1"/>
  <c r="T22" i="40" s="1"/>
  <c r="F33" i="38"/>
  <c r="F26" i="40"/>
  <c r="Q80" i="38"/>
  <c r="S80" i="38" s="1"/>
  <c r="T80" i="38" s="1"/>
  <c r="N26" i="40"/>
  <c r="N33" i="38"/>
  <c r="G33" i="38"/>
  <c r="G26" i="40"/>
  <c r="K22" i="40"/>
  <c r="L22" i="40" s="1"/>
  <c r="I145" i="38"/>
  <c r="C26" i="2"/>
  <c r="AO10" i="2"/>
  <c r="C24" i="2"/>
  <c r="D14" i="2"/>
  <c r="D15" i="2"/>
  <c r="D17" i="2"/>
  <c r="D20" i="2"/>
  <c r="D19" i="3"/>
  <c r="D22" i="3" s="1"/>
  <c r="D26" i="3" s="1"/>
  <c r="D29" i="3" s="1"/>
  <c r="D18" i="2"/>
  <c r="D21" i="2"/>
  <c r="D27" i="2"/>
  <c r="D28" i="2"/>
  <c r="D16" i="2"/>
  <c r="F10" i="2"/>
  <c r="C19" i="2"/>
  <c r="C22" i="2" s="1"/>
  <c r="Q74" i="38" l="1"/>
  <c r="S74" i="38" s="1"/>
  <c r="T74" i="38" s="1"/>
  <c r="C182" i="38"/>
  <c r="C184" i="38" s="1"/>
  <c r="C185" i="38" s="1"/>
  <c r="I34" i="38"/>
  <c r="Q180" i="38"/>
  <c r="S180" i="38" s="1"/>
  <c r="T180" i="38" s="1"/>
  <c r="S149" i="38"/>
  <c r="T149" i="38" s="1"/>
  <c r="Q145" i="38"/>
  <c r="S115" i="38"/>
  <c r="T115" i="38" s="1"/>
  <c r="Q35" i="40"/>
  <c r="S35" i="40" s="1"/>
  <c r="T35" i="40" s="1"/>
  <c r="S44" i="40"/>
  <c r="T44" i="40" s="1"/>
  <c r="P33" i="38"/>
  <c r="P34" i="38" s="1"/>
  <c r="S30" i="38"/>
  <c r="T30" i="38" s="1"/>
  <c r="AY93" i="2"/>
  <c r="AY94" i="2" s="1"/>
  <c r="AY96" i="2"/>
  <c r="AY196" i="3"/>
  <c r="AY197" i="3" s="1"/>
  <c r="AY199" i="3"/>
  <c r="I26" i="40"/>
  <c r="K30" i="38"/>
  <c r="L30" i="38" s="1"/>
  <c r="O75" i="40"/>
  <c r="O77" i="40" s="1"/>
  <c r="O78" i="40" s="1"/>
  <c r="O26" i="40"/>
  <c r="O76" i="38"/>
  <c r="D26" i="40"/>
  <c r="K115" i="38"/>
  <c r="L115" i="38" s="1"/>
  <c r="E33" i="38"/>
  <c r="F34" i="38" s="1"/>
  <c r="E26" i="40"/>
  <c r="C77" i="40"/>
  <c r="C78" i="40" s="1"/>
  <c r="K145" i="38"/>
  <c r="L145" i="38" s="1"/>
  <c r="Q26" i="40"/>
  <c r="S26" i="40" s="1"/>
  <c r="T26" i="40" s="1"/>
  <c r="K37" i="38"/>
  <c r="L37" i="38" s="1"/>
  <c r="K44" i="40"/>
  <c r="L44" i="40" s="1"/>
  <c r="Q33" i="38"/>
  <c r="K73" i="40"/>
  <c r="L73" i="40" s="1"/>
  <c r="C82" i="40"/>
  <c r="C90" i="40" s="1"/>
  <c r="H33" i="38"/>
  <c r="H34" i="38" s="1"/>
  <c r="P145" i="38"/>
  <c r="H26" i="40"/>
  <c r="K35" i="40"/>
  <c r="L35" i="40" s="1"/>
  <c r="K80" i="38"/>
  <c r="L80" i="38" s="1"/>
  <c r="I111" i="38"/>
  <c r="K111" i="38" s="1"/>
  <c r="L111" i="38" s="1"/>
  <c r="F29" i="40"/>
  <c r="F75" i="40" s="1"/>
  <c r="F77" i="40" s="1"/>
  <c r="F78" i="40" s="1"/>
  <c r="F76" i="38"/>
  <c r="Q111" i="38"/>
  <c r="S111" i="38" s="1"/>
  <c r="T111" i="38" s="1"/>
  <c r="G76" i="38"/>
  <c r="G29" i="40"/>
  <c r="G34" i="38"/>
  <c r="N76" i="38"/>
  <c r="N34" i="38"/>
  <c r="N29" i="40"/>
  <c r="N75" i="40" s="1"/>
  <c r="O34" i="38"/>
  <c r="I76" i="38"/>
  <c r="I29" i="40"/>
  <c r="D34" i="38"/>
  <c r="D29" i="40"/>
  <c r="D76" i="38"/>
  <c r="C29" i="2"/>
  <c r="C30" i="2" s="1"/>
  <c r="D26" i="2"/>
  <c r="AN98" i="2"/>
  <c r="E20" i="2"/>
  <c r="E19" i="3"/>
  <c r="E22" i="3" s="1"/>
  <c r="E26" i="3" s="1"/>
  <c r="E29" i="3" s="1"/>
  <c r="E28" i="2"/>
  <c r="E15" i="2"/>
  <c r="E27" i="2"/>
  <c r="E16" i="2"/>
  <c r="E17" i="2"/>
  <c r="D24" i="2"/>
  <c r="E14" i="2"/>
  <c r="E18" i="2"/>
  <c r="E21" i="2"/>
  <c r="G10" i="2"/>
  <c r="D19" i="2"/>
  <c r="D22" i="2" s="1"/>
  <c r="C189" i="38" l="1"/>
  <c r="C197" i="38" s="1"/>
  <c r="C183" i="38"/>
  <c r="Q29" i="40"/>
  <c r="Q34" i="38"/>
  <c r="Q73" i="40"/>
  <c r="S73" i="40" s="1"/>
  <c r="T73" i="40" s="1"/>
  <c r="I75" i="40"/>
  <c r="I82" i="40" s="1"/>
  <c r="I90" i="40" s="1"/>
  <c r="I30" i="40"/>
  <c r="K26" i="40"/>
  <c r="L26" i="40" s="1"/>
  <c r="S33" i="38"/>
  <c r="T33" i="38" s="1"/>
  <c r="P29" i="40"/>
  <c r="P76" i="38"/>
  <c r="P182" i="38" s="1"/>
  <c r="S145" i="38"/>
  <c r="T145" i="38" s="1"/>
  <c r="O30" i="40"/>
  <c r="C83" i="40"/>
  <c r="O182" i="38"/>
  <c r="O77" i="38"/>
  <c r="O82" i="40"/>
  <c r="O90" i="40" s="1"/>
  <c r="O96" i="40" s="1"/>
  <c r="O76" i="40"/>
  <c r="E34" i="38"/>
  <c r="K33" i="38"/>
  <c r="L33" i="38" s="1"/>
  <c r="H29" i="40"/>
  <c r="H75" i="40" s="1"/>
  <c r="K75" i="40" s="1"/>
  <c r="L75" i="40" s="1"/>
  <c r="E29" i="40"/>
  <c r="E75" i="40" s="1"/>
  <c r="E76" i="38"/>
  <c r="Q76" i="38"/>
  <c r="H76" i="38"/>
  <c r="K76" i="38" s="1"/>
  <c r="L76" i="38" s="1"/>
  <c r="F76" i="40"/>
  <c r="K34" i="38"/>
  <c r="L34" i="38" s="1"/>
  <c r="F82" i="40"/>
  <c r="F90" i="40" s="1"/>
  <c r="F77" i="38"/>
  <c r="F182" i="38"/>
  <c r="N82" i="40"/>
  <c r="N77" i="40"/>
  <c r="N78" i="40" s="1"/>
  <c r="N76" i="40"/>
  <c r="G75" i="40"/>
  <c r="G30" i="40"/>
  <c r="G77" i="38"/>
  <c r="G182" i="38"/>
  <c r="N77" i="38"/>
  <c r="N182" i="38"/>
  <c r="I182" i="38"/>
  <c r="I77" i="38"/>
  <c r="D182" i="38"/>
  <c r="D77" i="38"/>
  <c r="D75" i="40"/>
  <c r="D30" i="40"/>
  <c r="D30" i="3"/>
  <c r="D29" i="2"/>
  <c r="D30" i="2" s="1"/>
  <c r="E26" i="2"/>
  <c r="C96" i="40"/>
  <c r="C93" i="40"/>
  <c r="C94" i="40" s="1"/>
  <c r="C203" i="38"/>
  <c r="C200" i="38"/>
  <c r="C201" i="38" s="1"/>
  <c r="F17" i="2"/>
  <c r="F19" i="3"/>
  <c r="F22" i="3" s="1"/>
  <c r="F26" i="3" s="1"/>
  <c r="F29" i="3" s="1"/>
  <c r="F20" i="2"/>
  <c r="E24" i="2"/>
  <c r="F16" i="2"/>
  <c r="F14" i="2"/>
  <c r="F15" i="2"/>
  <c r="F27" i="2"/>
  <c r="F18" i="2"/>
  <c r="F28" i="2"/>
  <c r="F21" i="2"/>
  <c r="E19" i="2"/>
  <c r="E22" i="2" s="1"/>
  <c r="H10" i="2"/>
  <c r="Q75" i="40" l="1"/>
  <c r="C190" i="38"/>
  <c r="I83" i="40"/>
  <c r="I76" i="40"/>
  <c r="S34" i="38"/>
  <c r="T34" i="38" s="1"/>
  <c r="Q30" i="40"/>
  <c r="I77" i="40"/>
  <c r="I78" i="40" s="1"/>
  <c r="S76" i="38"/>
  <c r="T76" i="38" s="1"/>
  <c r="P77" i="38"/>
  <c r="P189" i="38"/>
  <c r="P190" i="38" s="1"/>
  <c r="S29" i="40"/>
  <c r="T29" i="40" s="1"/>
  <c r="P30" i="40"/>
  <c r="P75" i="40"/>
  <c r="O93" i="40"/>
  <c r="O94" i="40" s="1"/>
  <c r="O184" i="38"/>
  <c r="O185" i="38" s="1"/>
  <c r="O183" i="38"/>
  <c r="O189" i="38"/>
  <c r="O83" i="40"/>
  <c r="F83" i="40"/>
  <c r="Q77" i="38"/>
  <c r="P184" i="38"/>
  <c r="E30" i="40"/>
  <c r="K29" i="40"/>
  <c r="L29" i="40" s="1"/>
  <c r="H30" i="40"/>
  <c r="K30" i="40" s="1"/>
  <c r="L30" i="40" s="1"/>
  <c r="E182" i="38"/>
  <c r="E77" i="38"/>
  <c r="E82" i="40"/>
  <c r="E76" i="40"/>
  <c r="E77" i="40"/>
  <c r="E78" i="40" s="1"/>
  <c r="F30" i="40"/>
  <c r="Q182" i="38"/>
  <c r="S182" i="38" s="1"/>
  <c r="T182" i="38" s="1"/>
  <c r="P183" i="38"/>
  <c r="H77" i="38"/>
  <c r="K77" i="38" s="1"/>
  <c r="L77" i="38" s="1"/>
  <c r="H182" i="38"/>
  <c r="H184" i="38" s="1"/>
  <c r="F183" i="38"/>
  <c r="F184" i="38"/>
  <c r="F185" i="38" s="1"/>
  <c r="F189" i="38"/>
  <c r="N189" i="38"/>
  <c r="N183" i="38"/>
  <c r="N184" i="38"/>
  <c r="N185" i="38" s="1"/>
  <c r="G183" i="38"/>
  <c r="G189" i="38"/>
  <c r="G184" i="38"/>
  <c r="G185" i="38" s="1"/>
  <c r="G77" i="40"/>
  <c r="G78" i="40" s="1"/>
  <c r="G82" i="40"/>
  <c r="G76" i="40"/>
  <c r="N83" i="40"/>
  <c r="N90" i="40"/>
  <c r="H82" i="40"/>
  <c r="K82" i="40" s="1"/>
  <c r="L82" i="40" s="1"/>
  <c r="H77" i="40"/>
  <c r="H76" i="40"/>
  <c r="K76" i="40" s="1"/>
  <c r="L76" i="40" s="1"/>
  <c r="Q76" i="40"/>
  <c r="Q77" i="40"/>
  <c r="Q78" i="40" s="1"/>
  <c r="Q82" i="40"/>
  <c r="I183" i="38"/>
  <c r="I189" i="38"/>
  <c r="I184" i="38"/>
  <c r="I185" i="38" s="1"/>
  <c r="D183" i="38"/>
  <c r="D189" i="38"/>
  <c r="D184" i="38"/>
  <c r="D185" i="38" s="1"/>
  <c r="D82" i="40"/>
  <c r="D76" i="40"/>
  <c r="D77" i="40"/>
  <c r="D78" i="40" s="1"/>
  <c r="E30" i="3"/>
  <c r="E29" i="2"/>
  <c r="E30" i="2" s="1"/>
  <c r="F26" i="2"/>
  <c r="F96" i="40"/>
  <c r="F93" i="40"/>
  <c r="F94" i="40" s="1"/>
  <c r="I93" i="40"/>
  <c r="I96" i="40"/>
  <c r="AP10" i="2"/>
  <c r="G17" i="2"/>
  <c r="G16" i="2"/>
  <c r="G28" i="2"/>
  <c r="F24" i="2"/>
  <c r="G18" i="2"/>
  <c r="G15" i="2"/>
  <c r="G21" i="2"/>
  <c r="G20" i="2"/>
  <c r="G19" i="3"/>
  <c r="G22" i="3" s="1"/>
  <c r="G26" i="3" s="1"/>
  <c r="G29" i="3" s="1"/>
  <c r="G27" i="2"/>
  <c r="G14" i="2"/>
  <c r="I10" i="2"/>
  <c r="F19" i="2"/>
  <c r="F22" i="2" s="1"/>
  <c r="K77" i="40" l="1"/>
  <c r="L77" i="40" s="1"/>
  <c r="S30" i="40"/>
  <c r="T30" i="40" s="1"/>
  <c r="S75" i="40"/>
  <c r="T75" i="40" s="1"/>
  <c r="P82" i="40"/>
  <c r="P77" i="40"/>
  <c r="P76" i="40"/>
  <c r="S76" i="40" s="1"/>
  <c r="T76" i="40" s="1"/>
  <c r="S77" i="38"/>
  <c r="T77" i="38" s="1"/>
  <c r="P185" i="38"/>
  <c r="P197" i="38"/>
  <c r="O190" i="38"/>
  <c r="O197" i="38"/>
  <c r="K182" i="38"/>
  <c r="L182" i="38" s="1"/>
  <c r="H183" i="38"/>
  <c r="K183" i="38" s="1"/>
  <c r="L183" i="38" s="1"/>
  <c r="Q183" i="38"/>
  <c r="S183" i="38" s="1"/>
  <c r="T183" i="38" s="1"/>
  <c r="Q189" i="38"/>
  <c r="S189" i="38" s="1"/>
  <c r="T189" i="38" s="1"/>
  <c r="E83" i="40"/>
  <c r="E90" i="40"/>
  <c r="Q184" i="38"/>
  <c r="Q185" i="38" s="1"/>
  <c r="E189" i="38"/>
  <c r="E183" i="38"/>
  <c r="E184" i="38"/>
  <c r="E185" i="38" s="1"/>
  <c r="H189" i="38"/>
  <c r="H190" i="38" s="1"/>
  <c r="F190" i="38"/>
  <c r="F197" i="38"/>
  <c r="N93" i="40"/>
  <c r="N94" i="40" s="1"/>
  <c r="N96" i="40"/>
  <c r="G83" i="40"/>
  <c r="G90" i="40"/>
  <c r="G190" i="38"/>
  <c r="G197" i="38"/>
  <c r="N190" i="38"/>
  <c r="N197" i="38"/>
  <c r="I190" i="38"/>
  <c r="I197" i="38"/>
  <c r="K184" i="38"/>
  <c r="L184" i="38" s="1"/>
  <c r="H185" i="38"/>
  <c r="K185" i="38" s="1"/>
  <c r="L185" i="38" s="1"/>
  <c r="H78" i="40"/>
  <c r="K78" i="40" s="1"/>
  <c r="L78" i="40" s="1"/>
  <c r="D197" i="38"/>
  <c r="D190" i="38"/>
  <c r="D90" i="40"/>
  <c r="D83" i="40"/>
  <c r="Q83" i="40"/>
  <c r="Q90" i="40"/>
  <c r="H90" i="40"/>
  <c r="K90" i="40" s="1"/>
  <c r="L90" i="40" s="1"/>
  <c r="H83" i="40"/>
  <c r="K83" i="40" s="1"/>
  <c r="L83" i="40" s="1"/>
  <c r="P200" i="38"/>
  <c r="P203" i="38"/>
  <c r="G29" i="2"/>
  <c r="F30" i="3"/>
  <c r="F29" i="2"/>
  <c r="F30" i="2" s="1"/>
  <c r="I94" i="40"/>
  <c r="G26" i="2"/>
  <c r="G24" i="2"/>
  <c r="H17" i="2"/>
  <c r="H18" i="2"/>
  <c r="H20" i="2"/>
  <c r="H19" i="3"/>
  <c r="H22" i="3" s="1"/>
  <c r="H26" i="3" s="1"/>
  <c r="H29" i="3" s="1"/>
  <c r="H27" i="2"/>
  <c r="H16" i="2"/>
  <c r="H15" i="2"/>
  <c r="H21" i="2"/>
  <c r="H28" i="2"/>
  <c r="H14" i="2"/>
  <c r="J10" i="2"/>
  <c r="G19" i="2"/>
  <c r="G22" i="2" s="1"/>
  <c r="S184" i="38" l="1"/>
  <c r="T184" i="38" s="1"/>
  <c r="S77" i="40"/>
  <c r="T77" i="40" s="1"/>
  <c r="P78" i="40"/>
  <c r="S78" i="40" s="1"/>
  <c r="T78" i="40" s="1"/>
  <c r="S185" i="38"/>
  <c r="T185" i="38" s="1"/>
  <c r="S82" i="40"/>
  <c r="T82" i="40" s="1"/>
  <c r="P83" i="40"/>
  <c r="S83" i="40" s="1"/>
  <c r="T83" i="40" s="1"/>
  <c r="P90" i="40"/>
  <c r="O200" i="38"/>
  <c r="O201" i="38" s="1"/>
  <c r="O203" i="38"/>
  <c r="Q190" i="38"/>
  <c r="S190" i="38" s="1"/>
  <c r="T190" i="38" s="1"/>
  <c r="Q197" i="38"/>
  <c r="Q203" i="38" s="1"/>
  <c r="S203" i="38" s="1"/>
  <c r="T203" i="38" s="1"/>
  <c r="E96" i="40"/>
  <c r="E93" i="40"/>
  <c r="E94" i="40" s="1"/>
  <c r="K189" i="38"/>
  <c r="L189" i="38" s="1"/>
  <c r="E197" i="38"/>
  <c r="E190" i="38"/>
  <c r="H197" i="38"/>
  <c r="K197" i="38" s="1"/>
  <c r="L197" i="38" s="1"/>
  <c r="G30" i="3"/>
  <c r="F200" i="38"/>
  <c r="F201" i="38" s="1"/>
  <c r="F203" i="38"/>
  <c r="K190" i="38"/>
  <c r="L190" i="38" s="1"/>
  <c r="G200" i="38"/>
  <c r="G201" i="38" s="1"/>
  <c r="G203" i="38"/>
  <c r="N200" i="38"/>
  <c r="N201" i="38" s="1"/>
  <c r="N203" i="38"/>
  <c r="G93" i="40"/>
  <c r="G94" i="40" s="1"/>
  <c r="G96" i="40"/>
  <c r="D93" i="40"/>
  <c r="D94" i="40" s="1"/>
  <c r="D96" i="40"/>
  <c r="Q93" i="40"/>
  <c r="Q94" i="40" s="1"/>
  <c r="Q96" i="40"/>
  <c r="D203" i="38"/>
  <c r="D200" i="38"/>
  <c r="D201" i="38" s="1"/>
  <c r="I203" i="38"/>
  <c r="I200" i="38"/>
  <c r="I201" i="38" s="1"/>
  <c r="H96" i="40"/>
  <c r="K96" i="40" s="1"/>
  <c r="L96" i="40" s="1"/>
  <c r="H93" i="40"/>
  <c r="K93" i="40" s="1"/>
  <c r="L93" i="40" s="1"/>
  <c r="P201" i="38"/>
  <c r="H26" i="2"/>
  <c r="AO98" i="2"/>
  <c r="H19" i="2"/>
  <c r="H22" i="2" s="1"/>
  <c r="I14" i="2"/>
  <c r="I18" i="2"/>
  <c r="I21" i="2"/>
  <c r="H24" i="2"/>
  <c r="I28" i="2"/>
  <c r="I16" i="2"/>
  <c r="I27" i="2"/>
  <c r="I20" i="2"/>
  <c r="I19" i="3"/>
  <c r="I22" i="3" s="1"/>
  <c r="I26" i="3" s="1"/>
  <c r="I29" i="3" s="1"/>
  <c r="I15" i="2"/>
  <c r="I17" i="2"/>
  <c r="G30" i="2"/>
  <c r="K10" i="2"/>
  <c r="S90" i="40" l="1"/>
  <c r="T90" i="40" s="1"/>
  <c r="P96" i="40"/>
  <c r="S96" i="40" s="1"/>
  <c r="T96" i="40" s="1"/>
  <c r="P93" i="40"/>
  <c r="S197" i="38"/>
  <c r="T197" i="38" s="1"/>
  <c r="H200" i="38"/>
  <c r="K200" i="38" s="1"/>
  <c r="L200" i="38" s="1"/>
  <c r="Q200" i="38"/>
  <c r="H203" i="38"/>
  <c r="K203" i="38" s="1"/>
  <c r="L203" i="38" s="1"/>
  <c r="E200" i="38"/>
  <c r="E201" i="38" s="1"/>
  <c r="E203" i="38"/>
  <c r="H94" i="40"/>
  <c r="K94" i="40" s="1"/>
  <c r="L94" i="40" s="1"/>
  <c r="I29" i="2"/>
  <c r="H30" i="3"/>
  <c r="H29" i="2"/>
  <c r="H30" i="2" s="1"/>
  <c r="I26" i="2"/>
  <c r="AQ10" i="2"/>
  <c r="I19" i="2"/>
  <c r="I22" i="2" s="1"/>
  <c r="I24" i="2"/>
  <c r="J17" i="2"/>
  <c r="J16" i="2"/>
  <c r="J18" i="2"/>
  <c r="J14" i="2"/>
  <c r="J27" i="2"/>
  <c r="J21" i="2"/>
  <c r="J20" i="2"/>
  <c r="J19" i="3"/>
  <c r="J22" i="3" s="1"/>
  <c r="J26" i="3" s="1"/>
  <c r="J29" i="3" s="1"/>
  <c r="J15" i="2"/>
  <c r="J28" i="2"/>
  <c r="L10" i="2"/>
  <c r="S93" i="40" l="1"/>
  <c r="T93" i="40" s="1"/>
  <c r="P94" i="40"/>
  <c r="S94" i="40" s="1"/>
  <c r="T94" i="40" s="1"/>
  <c r="Q201" i="38"/>
  <c r="S201" i="38" s="1"/>
  <c r="T201" i="38" s="1"/>
  <c r="S200" i="38"/>
  <c r="T200" i="38" s="1"/>
  <c r="H201" i="38"/>
  <c r="K201" i="38" s="1"/>
  <c r="L201" i="38" s="1"/>
  <c r="I30" i="3"/>
  <c r="J26" i="2"/>
  <c r="AP98" i="2"/>
  <c r="J24" i="2"/>
  <c r="K15" i="2"/>
  <c r="K14" i="2"/>
  <c r="K21" i="2"/>
  <c r="K16" i="2"/>
  <c r="K28" i="2"/>
  <c r="K17" i="2"/>
  <c r="K18" i="2"/>
  <c r="K27" i="2"/>
  <c r="K19" i="3"/>
  <c r="K22" i="3" s="1"/>
  <c r="K26" i="3" s="1"/>
  <c r="K29" i="3" s="1"/>
  <c r="K20" i="2"/>
  <c r="M10" i="2"/>
  <c r="J19" i="2"/>
  <c r="J22" i="2" s="1"/>
  <c r="I30" i="2"/>
  <c r="J30" i="3" l="1"/>
  <c r="J29" i="2"/>
  <c r="J30" i="2" s="1"/>
  <c r="K26" i="2"/>
  <c r="K19" i="2"/>
  <c r="K22" i="2" s="1"/>
  <c r="L18" i="2"/>
  <c r="L14" i="2"/>
  <c r="L20" i="2"/>
  <c r="L19" i="3"/>
  <c r="L22" i="3" s="1"/>
  <c r="L26" i="3" s="1"/>
  <c r="L29" i="3" s="1"/>
  <c r="L21" i="2"/>
  <c r="L27" i="2"/>
  <c r="L16" i="2"/>
  <c r="L28" i="2"/>
  <c r="L17" i="2"/>
  <c r="L15" i="2"/>
  <c r="N10" i="2"/>
  <c r="K30" i="3" l="1"/>
  <c r="K29" i="2"/>
  <c r="K30" i="2" s="1"/>
  <c r="L26" i="2"/>
  <c r="AR10" i="2"/>
  <c r="L24" i="2"/>
  <c r="M15" i="2"/>
  <c r="M20" i="2"/>
  <c r="M19" i="3"/>
  <c r="M22" i="3" s="1"/>
  <c r="M26" i="3" s="1"/>
  <c r="M29" i="3" s="1"/>
  <c r="M17" i="2"/>
  <c r="M27" i="2"/>
  <c r="M28" i="2"/>
  <c r="M16" i="2"/>
  <c r="M21" i="2"/>
  <c r="M18" i="2"/>
  <c r="M14" i="2"/>
  <c r="L19" i="2"/>
  <c r="L22" i="2" s="1"/>
  <c r="O10" i="2"/>
  <c r="L30" i="3" l="1"/>
  <c r="L29" i="2"/>
  <c r="L30" i="2" s="1"/>
  <c r="M26" i="2"/>
  <c r="M29" i="2"/>
  <c r="AQ98" i="2"/>
  <c r="AQ16" i="2"/>
  <c r="AQ19" i="3"/>
  <c r="AQ22" i="3" s="1"/>
  <c r="AQ26" i="3" s="1"/>
  <c r="AQ29" i="3" s="1"/>
  <c r="AQ20" i="2"/>
  <c r="AQ21" i="2"/>
  <c r="AQ18" i="2"/>
  <c r="AQ27" i="2"/>
  <c r="AQ17" i="2"/>
  <c r="AQ28" i="2"/>
  <c r="AQ15" i="2"/>
  <c r="AQ14" i="2"/>
  <c r="N27" i="2"/>
  <c r="N15" i="2"/>
  <c r="N18" i="2"/>
  <c r="N17" i="2"/>
  <c r="N14" i="2"/>
  <c r="N16" i="2"/>
  <c r="M24" i="2"/>
  <c r="N21" i="2"/>
  <c r="N28" i="2"/>
  <c r="N20" i="2"/>
  <c r="N19" i="3"/>
  <c r="N22" i="3" s="1"/>
  <c r="N26" i="3" s="1"/>
  <c r="N29" i="3" s="1"/>
  <c r="P10" i="2"/>
  <c r="M19" i="2"/>
  <c r="M22" i="2" s="1"/>
  <c r="N29" i="2" l="1"/>
  <c r="M30" i="3"/>
  <c r="AQ26" i="2"/>
  <c r="N26" i="2"/>
  <c r="AQ19" i="2"/>
  <c r="AQ22" i="2" s="1"/>
  <c r="N19" i="2"/>
  <c r="N22" i="2" s="1"/>
  <c r="N24" i="2"/>
  <c r="O14" i="2"/>
  <c r="O16" i="2"/>
  <c r="O28" i="2"/>
  <c r="O21" i="2"/>
  <c r="O15" i="2"/>
  <c r="O17" i="2"/>
  <c r="O18" i="2"/>
  <c r="O27" i="2"/>
  <c r="O20" i="2"/>
  <c r="O19" i="3"/>
  <c r="O22" i="3" s="1"/>
  <c r="O26" i="3" s="1"/>
  <c r="O29" i="3" s="1"/>
  <c r="Q10" i="2"/>
  <c r="M30" i="2"/>
  <c r="AO155" i="3" l="1"/>
  <c r="AN38" i="2"/>
  <c r="AO62" i="2"/>
  <c r="AT68" i="2"/>
  <c r="AP80" i="2"/>
  <c r="AN46" i="2"/>
  <c r="AN43" i="3"/>
  <c r="AP15" i="2"/>
  <c r="AO60" i="2"/>
  <c r="AN27" i="2"/>
  <c r="AO132" i="3"/>
  <c r="AN61" i="2"/>
  <c r="AT70" i="2"/>
  <c r="AN62" i="2"/>
  <c r="AO69" i="2"/>
  <c r="AP50" i="2"/>
  <c r="AR72" i="2"/>
  <c r="AO37" i="2"/>
  <c r="AO34" i="3"/>
  <c r="AN17" i="2"/>
  <c r="AO72" i="2"/>
  <c r="AO86" i="2"/>
  <c r="AO66" i="2"/>
  <c r="AT67" i="2"/>
  <c r="AN28" i="2"/>
  <c r="AP62" i="2"/>
  <c r="AP61" i="2"/>
  <c r="AO55" i="2"/>
  <c r="AO52" i="3"/>
  <c r="AP58" i="2"/>
  <c r="AN60" i="2"/>
  <c r="AN59" i="2"/>
  <c r="AN16" i="2"/>
  <c r="AO61" i="2"/>
  <c r="AO98" i="3"/>
  <c r="AP70" i="2"/>
  <c r="AP59" i="2"/>
  <c r="AS67" i="2"/>
  <c r="AO40" i="2"/>
  <c r="AO24" i="2"/>
  <c r="BA69" i="2"/>
  <c r="AS70" i="2"/>
  <c r="AR70" i="2"/>
  <c r="AN52" i="3"/>
  <c r="AN55" i="2"/>
  <c r="AN47" i="2"/>
  <c r="AO167" i="3"/>
  <c r="AP21" i="2"/>
  <c r="AP66" i="2"/>
  <c r="AN112" i="3"/>
  <c r="AN67" i="2"/>
  <c r="AT72" i="2"/>
  <c r="AN43" i="2"/>
  <c r="AN124" i="3"/>
  <c r="AO146" i="3"/>
  <c r="AS69" i="2"/>
  <c r="AN14" i="2"/>
  <c r="AP42" i="2"/>
  <c r="AO87" i="2"/>
  <c r="AN20" i="2"/>
  <c r="AN19" i="3"/>
  <c r="AN22" i="3" s="1"/>
  <c r="AN26" i="3" s="1"/>
  <c r="AN26" i="2" s="1"/>
  <c r="AO51" i="2"/>
  <c r="AO58" i="2"/>
  <c r="AN15" i="2"/>
  <c r="AS72" i="2"/>
  <c r="AO14" i="2"/>
  <c r="AO38" i="2"/>
  <c r="AP87" i="2"/>
  <c r="AR65" i="2"/>
  <c r="AO86" i="3"/>
  <c r="AP155" i="3"/>
  <c r="AO33" i="2"/>
  <c r="AR69" i="2"/>
  <c r="AO65" i="2"/>
  <c r="AO61" i="3"/>
  <c r="AO53" i="2"/>
  <c r="AO71" i="2"/>
  <c r="AR71" i="2"/>
  <c r="AP53" i="2"/>
  <c r="AP65" i="2"/>
  <c r="AP61" i="3"/>
  <c r="AO124" i="3"/>
  <c r="BA65" i="2"/>
  <c r="AR68" i="2"/>
  <c r="AO50" i="2"/>
  <c r="AP63" i="2"/>
  <c r="AP14" i="2"/>
  <c r="AP24" i="2"/>
  <c r="AS68" i="2"/>
  <c r="AO63" i="2"/>
  <c r="AP46" i="3"/>
  <c r="AP49" i="2"/>
  <c r="AN89" i="3"/>
  <c r="AP124" i="3"/>
  <c r="AN21" i="2"/>
  <c r="AP47" i="2"/>
  <c r="AO77" i="3"/>
  <c r="AN68" i="2"/>
  <c r="AP37" i="2"/>
  <c r="AP34" i="3"/>
  <c r="AN69" i="2"/>
  <c r="AO46" i="3"/>
  <c r="AO49" i="2"/>
  <c r="AT71" i="2"/>
  <c r="AN52" i="2"/>
  <c r="AP71" i="2"/>
  <c r="AO158" i="3"/>
  <c r="AR66" i="2"/>
  <c r="AN61" i="3"/>
  <c r="AN65" i="2"/>
  <c r="AN72" i="2"/>
  <c r="AP27" i="2"/>
  <c r="AS66" i="2"/>
  <c r="AT66" i="2"/>
  <c r="AO68" i="2"/>
  <c r="AN86" i="2"/>
  <c r="AO112" i="3"/>
  <c r="AP40" i="2"/>
  <c r="AN50" i="2"/>
  <c r="AN58" i="2"/>
  <c r="AO34" i="2"/>
  <c r="AO89" i="3"/>
  <c r="AP86" i="3"/>
  <c r="AN87" i="2"/>
  <c r="AP98" i="3"/>
  <c r="AP158" i="3"/>
  <c r="AO47" i="2"/>
  <c r="AO52" i="2"/>
  <c r="AN121" i="3"/>
  <c r="AN24" i="2"/>
  <c r="AN92" i="2"/>
  <c r="AP17" i="2"/>
  <c r="AP43" i="2"/>
  <c r="AO59" i="2"/>
  <c r="AR67" i="2"/>
  <c r="AN39" i="2"/>
  <c r="AP68" i="2"/>
  <c r="AO19" i="3"/>
  <c r="AO22" i="3" s="1"/>
  <c r="AO26" i="3" s="1"/>
  <c r="AO29" i="3" s="1"/>
  <c r="AO29" i="2" s="1"/>
  <c r="AO20" i="2"/>
  <c r="BA66" i="2"/>
  <c r="AP121" i="3"/>
  <c r="AO80" i="2"/>
  <c r="AP60" i="2"/>
  <c r="AP86" i="2"/>
  <c r="AN85" i="2"/>
  <c r="AN191" i="3"/>
  <c r="AP43" i="3"/>
  <c r="AP42" i="3" s="1"/>
  <c r="AP46" i="2"/>
  <c r="AN155" i="3"/>
  <c r="AO70" i="2"/>
  <c r="AO41" i="2"/>
  <c r="AN86" i="3"/>
  <c r="AO28" i="2"/>
  <c r="AO16" i="2"/>
  <c r="BA68" i="2"/>
  <c r="AP16" i="2"/>
  <c r="AP52" i="2"/>
  <c r="AP41" i="2"/>
  <c r="AN132" i="3"/>
  <c r="AP56" i="2"/>
  <c r="AP39" i="2"/>
  <c r="AO121" i="3"/>
  <c r="AO120" i="3" s="1"/>
  <c r="AP57" i="2"/>
  <c r="AP51" i="2"/>
  <c r="AO21" i="2"/>
  <c r="AN98" i="3"/>
  <c r="AN42" i="2"/>
  <c r="AO43" i="2"/>
  <c r="AP33" i="2"/>
  <c r="AP72" i="2"/>
  <c r="AN49" i="2"/>
  <c r="AN46" i="3"/>
  <c r="AP146" i="3"/>
  <c r="AS71" i="2"/>
  <c r="AO15" i="2"/>
  <c r="AP67" i="2"/>
  <c r="AN167" i="3"/>
  <c r="BA72" i="2"/>
  <c r="AP167" i="3"/>
  <c r="AP112" i="3"/>
  <c r="AN37" i="2"/>
  <c r="AN34" i="3"/>
  <c r="AO42" i="2"/>
  <c r="AO92" i="2"/>
  <c r="BA67" i="2"/>
  <c r="AO17" i="2"/>
  <c r="AN40" i="2"/>
  <c r="AO57" i="2"/>
  <c r="AN63" i="2"/>
  <c r="AN18" i="2"/>
  <c r="AP20" i="2"/>
  <c r="AP19" i="3"/>
  <c r="AP22" i="3" s="1"/>
  <c r="AP26" i="3" s="1"/>
  <c r="AP29" i="3" s="1"/>
  <c r="AQ30" i="3" s="1"/>
  <c r="AN56" i="2"/>
  <c r="AN70" i="2"/>
  <c r="AS65" i="2"/>
  <c r="AN34" i="2"/>
  <c r="AT65" i="2"/>
  <c r="AO18" i="2"/>
  <c r="AP85" i="2"/>
  <c r="AP191" i="3"/>
  <c r="AP69" i="2"/>
  <c r="BA71" i="2"/>
  <c r="AP132" i="3"/>
  <c r="AO56" i="2"/>
  <c r="AN41" i="2"/>
  <c r="AP77" i="3"/>
  <c r="AN146" i="3"/>
  <c r="AN158" i="3"/>
  <c r="AO27" i="2"/>
  <c r="AN77" i="3"/>
  <c r="AP34" i="2"/>
  <c r="AO43" i="3"/>
  <c r="AO46" i="2"/>
  <c r="AN57" i="2"/>
  <c r="AT69" i="2"/>
  <c r="AP55" i="2"/>
  <c r="AP52" i="3"/>
  <c r="AN53" i="2"/>
  <c r="AP89" i="3"/>
  <c r="BA70" i="2"/>
  <c r="AP92" i="2"/>
  <c r="AN71" i="2"/>
  <c r="AN66" i="2"/>
  <c r="AP38" i="2"/>
  <c r="AN51" i="2"/>
  <c r="AN33" i="2"/>
  <c r="AP28" i="2"/>
  <c r="AO67" i="2"/>
  <c r="AO85" i="2"/>
  <c r="AO191" i="3"/>
  <c r="AN80" i="2"/>
  <c r="AO39" i="2"/>
  <c r="AP18" i="2"/>
  <c r="N30" i="3"/>
  <c r="O29" i="2"/>
  <c r="AQ29" i="2"/>
  <c r="O26" i="2"/>
  <c r="AS10" i="2"/>
  <c r="AQ24" i="2"/>
  <c r="O19" i="2"/>
  <c r="O22" i="2" s="1"/>
  <c r="O24" i="2"/>
  <c r="P17" i="2"/>
  <c r="P14" i="2"/>
  <c r="P27" i="2"/>
  <c r="P21" i="2"/>
  <c r="P16" i="2"/>
  <c r="P28" i="2"/>
  <c r="P19" i="3"/>
  <c r="P22" i="3" s="1"/>
  <c r="P26" i="3" s="1"/>
  <c r="P29" i="3" s="1"/>
  <c r="P20" i="2"/>
  <c r="P15" i="2"/>
  <c r="P18" i="2"/>
  <c r="O30" i="3"/>
  <c r="N30" i="2"/>
  <c r="R10" i="2"/>
  <c r="AN29" i="3" l="1"/>
  <c r="AO30" i="3" s="1"/>
  <c r="AN85" i="3"/>
  <c r="AN76" i="3" s="1"/>
  <c r="AN107" i="3" s="1"/>
  <c r="AO154" i="3"/>
  <c r="AO145" i="3" s="1"/>
  <c r="AO176" i="3" s="1"/>
  <c r="AN45" i="2"/>
  <c r="AN88" i="2"/>
  <c r="AP45" i="2"/>
  <c r="AP154" i="3"/>
  <c r="AP145" i="3" s="1"/>
  <c r="AP176" i="3" s="1"/>
  <c r="AO111" i="3"/>
  <c r="AO141" i="3" s="1"/>
  <c r="AP120" i="3"/>
  <c r="AP111" i="3" s="1"/>
  <c r="AP141" i="3" s="1"/>
  <c r="AO36" i="2"/>
  <c r="AN19" i="2"/>
  <c r="AN22" i="2" s="1"/>
  <c r="AO42" i="3"/>
  <c r="AO33" i="3" s="1"/>
  <c r="AO70" i="3" s="1"/>
  <c r="AO72" i="3" s="1"/>
  <c r="AO19" i="2"/>
  <c r="AO22" i="2" s="1"/>
  <c r="AP54" i="2"/>
  <c r="AP48" i="2"/>
  <c r="AN42" i="3"/>
  <c r="AN33" i="3" s="1"/>
  <c r="AN70" i="3" s="1"/>
  <c r="AO26" i="2"/>
  <c r="AP85" i="3"/>
  <c r="AP76" i="3" s="1"/>
  <c r="AP107" i="3" s="1"/>
  <c r="AP36" i="2"/>
  <c r="AO85" i="3"/>
  <c r="AO76" i="3" s="1"/>
  <c r="AO107" i="3" s="1"/>
  <c r="AN120" i="3"/>
  <c r="AN111" i="3" s="1"/>
  <c r="AN141" i="3" s="1"/>
  <c r="AP88" i="2"/>
  <c r="AN64" i="2"/>
  <c r="AO54" i="2"/>
  <c r="AN36" i="2"/>
  <c r="AN48" i="2"/>
  <c r="AO48" i="2"/>
  <c r="AO88" i="2"/>
  <c r="AP64" i="2"/>
  <c r="AN54" i="2"/>
  <c r="AN154" i="3"/>
  <c r="AN145" i="3" s="1"/>
  <c r="AN176" i="3" s="1"/>
  <c r="AO64" i="2"/>
  <c r="AP26" i="2"/>
  <c r="AO45" i="2"/>
  <c r="AP33" i="3"/>
  <c r="AP70" i="3" s="1"/>
  <c r="AP72" i="3" s="1"/>
  <c r="AP19" i="2"/>
  <c r="AP22" i="2" s="1"/>
  <c r="AP29" i="2"/>
  <c r="AP30" i="2" s="1"/>
  <c r="AP30" i="3"/>
  <c r="P26" i="2"/>
  <c r="AR52" i="2"/>
  <c r="AR16" i="2"/>
  <c r="AR21" i="2"/>
  <c r="AR55" i="2"/>
  <c r="AR52" i="3"/>
  <c r="AR40" i="2"/>
  <c r="AR53" i="2"/>
  <c r="AR112" i="3"/>
  <c r="AR146" i="3"/>
  <c r="AR46" i="2"/>
  <c r="AR43" i="3"/>
  <c r="AR56" i="2"/>
  <c r="AR63" i="2"/>
  <c r="AR34" i="2"/>
  <c r="AR92" i="2"/>
  <c r="AR50" i="2"/>
  <c r="AR15" i="2"/>
  <c r="AR19" i="3"/>
  <c r="AR22" i="3" s="1"/>
  <c r="AR26" i="3" s="1"/>
  <c r="AR29" i="3" s="1"/>
  <c r="AR20" i="2"/>
  <c r="AR28" i="2"/>
  <c r="AR41" i="2"/>
  <c r="AR61" i="3"/>
  <c r="AR51" i="2"/>
  <c r="AR60" i="2"/>
  <c r="AR89" i="3"/>
  <c r="AR132" i="3"/>
  <c r="AR80" i="2"/>
  <c r="AR37" i="2"/>
  <c r="AR34" i="3"/>
  <c r="AR77" i="3"/>
  <c r="AR62" i="2"/>
  <c r="AR33" i="2"/>
  <c r="AR158" i="3"/>
  <c r="AR191" i="3"/>
  <c r="AR85" i="2"/>
  <c r="AR86" i="2"/>
  <c r="AR42" i="2"/>
  <c r="AR59" i="2"/>
  <c r="AR17" i="2"/>
  <c r="AR38" i="2"/>
  <c r="AR57" i="2"/>
  <c r="AR98" i="3"/>
  <c r="AR121" i="3"/>
  <c r="AR87" i="2"/>
  <c r="AR47" i="2"/>
  <c r="AR14" i="2"/>
  <c r="AR18" i="2"/>
  <c r="AR27" i="2"/>
  <c r="AR39" i="2"/>
  <c r="AR61" i="2"/>
  <c r="AR43" i="2"/>
  <c r="AR49" i="2"/>
  <c r="AR46" i="3"/>
  <c r="AR58" i="2"/>
  <c r="AR86" i="3"/>
  <c r="AR124" i="3"/>
  <c r="AR155" i="3"/>
  <c r="AR167" i="3"/>
  <c r="P19" i="2"/>
  <c r="P22" i="2" s="1"/>
  <c r="P24" i="2"/>
  <c r="Q21" i="2"/>
  <c r="Q16" i="2"/>
  <c r="Q14" i="2"/>
  <c r="Q17" i="2"/>
  <c r="Q20" i="2"/>
  <c r="Q19" i="3"/>
  <c r="Q22" i="3" s="1"/>
  <c r="Q26" i="3" s="1"/>
  <c r="Q29" i="3" s="1"/>
  <c r="Q18" i="2"/>
  <c r="Q28" i="2"/>
  <c r="Q15" i="2"/>
  <c r="Q27" i="2"/>
  <c r="O30" i="2"/>
  <c r="S10" i="2"/>
  <c r="AN30" i="3" l="1"/>
  <c r="AN29" i="2"/>
  <c r="AO30" i="2" s="1"/>
  <c r="AN72" i="3"/>
  <c r="AN73" i="3" s="1"/>
  <c r="AN44" i="2"/>
  <c r="AN35" i="2" s="1"/>
  <c r="AN73" i="2" s="1"/>
  <c r="AP44" i="2"/>
  <c r="AP35" i="2" s="1"/>
  <c r="AP73" i="2" s="1"/>
  <c r="AP75" i="2" s="1"/>
  <c r="AO44" i="2"/>
  <c r="AO35" i="2" s="1"/>
  <c r="AO73" i="2" s="1"/>
  <c r="AO75" i="2" s="1"/>
  <c r="AO77" i="2" s="1"/>
  <c r="AO78" i="2" s="1"/>
  <c r="AQ30" i="2"/>
  <c r="AO73" i="3"/>
  <c r="AO178" i="3"/>
  <c r="AP73" i="3"/>
  <c r="AP178" i="3"/>
  <c r="Q29" i="2"/>
  <c r="P30" i="3"/>
  <c r="P29" i="2"/>
  <c r="P30" i="2" s="1"/>
  <c r="AR26" i="2"/>
  <c r="Q26" i="2"/>
  <c r="AR85" i="3"/>
  <c r="AR76" i="3" s="1"/>
  <c r="AR107" i="3" s="1"/>
  <c r="AR120" i="3"/>
  <c r="AR111" i="3" s="1"/>
  <c r="AR141" i="3" s="1"/>
  <c r="AR64" i="2"/>
  <c r="AR45" i="2"/>
  <c r="AR88" i="2"/>
  <c r="AR19" i="2"/>
  <c r="AR22" i="2" s="1"/>
  <c r="AR98" i="2"/>
  <c r="AR154" i="3"/>
  <c r="AR145" i="3" s="1"/>
  <c r="AR176" i="3" s="1"/>
  <c r="AR48" i="2"/>
  <c r="AR36" i="2"/>
  <c r="AR42" i="3"/>
  <c r="AR33" i="3" s="1"/>
  <c r="AR70" i="3" s="1"/>
  <c r="AR54" i="2"/>
  <c r="Q19" i="2"/>
  <c r="Q22" i="2" s="1"/>
  <c r="Q24" i="2"/>
  <c r="R20" i="2"/>
  <c r="R19" i="3"/>
  <c r="R22" i="3" s="1"/>
  <c r="R26" i="3" s="1"/>
  <c r="R29" i="3" s="1"/>
  <c r="R14" i="2"/>
  <c r="R17" i="2"/>
  <c r="R15" i="2"/>
  <c r="R21" i="2"/>
  <c r="R27" i="2"/>
  <c r="R28" i="2"/>
  <c r="R18" i="2"/>
  <c r="R16" i="2"/>
  <c r="T10" i="2"/>
  <c r="AN178" i="3" l="1"/>
  <c r="AN180" i="3" s="1"/>
  <c r="AN181" i="3" s="1"/>
  <c r="AN30" i="2"/>
  <c r="AN75" i="2"/>
  <c r="AN77" i="2" s="1"/>
  <c r="AN78" i="2" s="1"/>
  <c r="AO76" i="2"/>
  <c r="AO82" i="2"/>
  <c r="AO90" i="2" s="1"/>
  <c r="AO96" i="2" s="1"/>
  <c r="AP82" i="2"/>
  <c r="AP76" i="2"/>
  <c r="AP77" i="2"/>
  <c r="AP78" i="2" s="1"/>
  <c r="AP179" i="3"/>
  <c r="AP185" i="3"/>
  <c r="AP180" i="3"/>
  <c r="AP181" i="3" s="1"/>
  <c r="AO179" i="3"/>
  <c r="AO180" i="3"/>
  <c r="AO181" i="3" s="1"/>
  <c r="AO185" i="3"/>
  <c r="Q30" i="3"/>
  <c r="Q30" i="2"/>
  <c r="AR30" i="3"/>
  <c r="AR29" i="2"/>
  <c r="AR30" i="2" s="1"/>
  <c r="R26" i="2"/>
  <c r="AR44" i="2"/>
  <c r="AR35" i="2" s="1"/>
  <c r="AR73" i="2" s="1"/>
  <c r="AT10" i="2"/>
  <c r="AR72" i="3"/>
  <c r="AR24" i="2"/>
  <c r="R24" i="2"/>
  <c r="S21" i="2"/>
  <c r="S14" i="2"/>
  <c r="S20" i="2"/>
  <c r="S19" i="3"/>
  <c r="S22" i="3" s="1"/>
  <c r="S26" i="3" s="1"/>
  <c r="S29" i="3" s="1"/>
  <c r="S16" i="2"/>
  <c r="S28" i="2"/>
  <c r="S17" i="2"/>
  <c r="S27" i="2"/>
  <c r="S15" i="2"/>
  <c r="S18" i="2"/>
  <c r="U10" i="2"/>
  <c r="R19" i="2"/>
  <c r="R22" i="2" s="1"/>
  <c r="AN185" i="3" l="1"/>
  <c r="AN193" i="3" s="1"/>
  <c r="AN179" i="3"/>
  <c r="AN82" i="2"/>
  <c r="AN83" i="2" s="1"/>
  <c r="AN76" i="2"/>
  <c r="AO83" i="2"/>
  <c r="AO93" i="2"/>
  <c r="AO94" i="2" s="1"/>
  <c r="AP90" i="2"/>
  <c r="AP83" i="2"/>
  <c r="AP186" i="3"/>
  <c r="AP193" i="3"/>
  <c r="AO193" i="3"/>
  <c r="AO186" i="3"/>
  <c r="S29" i="2"/>
  <c r="R30" i="3"/>
  <c r="R29" i="2"/>
  <c r="R30" i="2" s="1"/>
  <c r="S26" i="2"/>
  <c r="AR75" i="2"/>
  <c r="AR77" i="2" s="1"/>
  <c r="AR78" i="2" s="1"/>
  <c r="AS98" i="2"/>
  <c r="AS52" i="2"/>
  <c r="AS58" i="2"/>
  <c r="AS16" i="2"/>
  <c r="AS37" i="2"/>
  <c r="AS34" i="3"/>
  <c r="AS63" i="2"/>
  <c r="AS33" i="2"/>
  <c r="AS47" i="2"/>
  <c r="AS43" i="3"/>
  <c r="AS46" i="2"/>
  <c r="AS56" i="2"/>
  <c r="AS57" i="2"/>
  <c r="AS15" i="2"/>
  <c r="AS20" i="2"/>
  <c r="AS19" i="3"/>
  <c r="AS22" i="3" s="1"/>
  <c r="AS26" i="3" s="1"/>
  <c r="AS29" i="3" s="1"/>
  <c r="AS28" i="2"/>
  <c r="AS42" i="2"/>
  <c r="AS89" i="3"/>
  <c r="AS98" i="3"/>
  <c r="AS34" i="2"/>
  <c r="AS121" i="3"/>
  <c r="AS155" i="3"/>
  <c r="AS86" i="2"/>
  <c r="AS167" i="3"/>
  <c r="AS191" i="3"/>
  <c r="AS85" i="2"/>
  <c r="AS46" i="3"/>
  <c r="AS49" i="2"/>
  <c r="AS59" i="2"/>
  <c r="AS124" i="3"/>
  <c r="AS112" i="3"/>
  <c r="AS92" i="2"/>
  <c r="AS87" i="2"/>
  <c r="AS61" i="3"/>
  <c r="AS51" i="2"/>
  <c r="AS60" i="2"/>
  <c r="AS50" i="2"/>
  <c r="AS61" i="2"/>
  <c r="AS17" i="2"/>
  <c r="AS38" i="2"/>
  <c r="AS132" i="3"/>
  <c r="AS86" i="3"/>
  <c r="AS146" i="3"/>
  <c r="AS158" i="3"/>
  <c r="AR73" i="3"/>
  <c r="AR178" i="3"/>
  <c r="AS40" i="2"/>
  <c r="AS21" i="2"/>
  <c r="AS41" i="2"/>
  <c r="AS43" i="2"/>
  <c r="AS53" i="2"/>
  <c r="AS62" i="2"/>
  <c r="AS52" i="3"/>
  <c r="AS55" i="2"/>
  <c r="AS14" i="2"/>
  <c r="AS18" i="2"/>
  <c r="AS27" i="2"/>
  <c r="AS39" i="2"/>
  <c r="AS77" i="3"/>
  <c r="AS80" i="2"/>
  <c r="S19" i="2"/>
  <c r="S22" i="2" s="1"/>
  <c r="S24" i="2"/>
  <c r="T28" i="2"/>
  <c r="T18" i="2"/>
  <c r="T15" i="2"/>
  <c r="T27" i="2"/>
  <c r="T21" i="2"/>
  <c r="T16" i="2"/>
  <c r="T14" i="2"/>
  <c r="T19" i="3"/>
  <c r="T22" i="3" s="1"/>
  <c r="T26" i="3" s="1"/>
  <c r="T29" i="3" s="1"/>
  <c r="T20" i="2"/>
  <c r="T17" i="2"/>
  <c r="V10" i="2"/>
  <c r="AN186" i="3" l="1"/>
  <c r="AN90" i="2"/>
  <c r="AN93" i="2" s="1"/>
  <c r="AN94" i="2" s="1"/>
  <c r="AP96" i="2"/>
  <c r="AP93" i="2"/>
  <c r="AP94" i="2" s="1"/>
  <c r="AP199" i="3"/>
  <c r="AP196" i="3"/>
  <c r="AP197" i="3" s="1"/>
  <c r="AN199" i="3"/>
  <c r="AN196" i="3"/>
  <c r="AN197" i="3" s="1"/>
  <c r="AO199" i="3"/>
  <c r="AO196" i="3"/>
  <c r="AO197" i="3" s="1"/>
  <c r="S30" i="3"/>
  <c r="AS29" i="2"/>
  <c r="T26" i="2"/>
  <c r="T29" i="2"/>
  <c r="T30" i="3"/>
  <c r="AS26" i="2"/>
  <c r="AR82" i="2"/>
  <c r="AR90" i="2" s="1"/>
  <c r="AR76" i="2"/>
  <c r="AS120" i="3"/>
  <c r="AS111" i="3" s="1"/>
  <c r="AS141" i="3" s="1"/>
  <c r="AS85" i="3"/>
  <c r="AS76" i="3" s="1"/>
  <c r="AS107" i="3" s="1"/>
  <c r="AS54" i="2"/>
  <c r="AS64" i="2"/>
  <c r="AS48" i="2"/>
  <c r="AS19" i="2"/>
  <c r="AS22" i="2" s="1"/>
  <c r="AS36" i="2"/>
  <c r="AS45" i="2"/>
  <c r="AR185" i="3"/>
  <c r="AR180" i="3"/>
  <c r="AR181" i="3" s="1"/>
  <c r="AR179" i="3"/>
  <c r="AS88" i="2"/>
  <c r="AS154" i="3"/>
  <c r="AS145" i="3" s="1"/>
  <c r="AS176" i="3" s="1"/>
  <c r="AS42" i="3"/>
  <c r="AS33" i="3" s="1"/>
  <c r="AS70" i="3" s="1"/>
  <c r="T19" i="2"/>
  <c r="T22" i="2" s="1"/>
  <c r="T24" i="2"/>
  <c r="U20" i="2"/>
  <c r="U19" i="3"/>
  <c r="U22" i="3" s="1"/>
  <c r="U26" i="3" s="1"/>
  <c r="U29" i="3" s="1"/>
  <c r="U17" i="2"/>
  <c r="U16" i="2"/>
  <c r="U18" i="2"/>
  <c r="U21" i="2"/>
  <c r="U28" i="2"/>
  <c r="U14" i="2"/>
  <c r="U15" i="2"/>
  <c r="U27" i="2"/>
  <c r="S30" i="2"/>
  <c r="W10" i="2"/>
  <c r="AN96" i="2" l="1"/>
  <c r="AS30" i="3"/>
  <c r="U29" i="2"/>
  <c r="U26" i="2"/>
  <c r="AR83" i="2"/>
  <c r="AS44" i="2"/>
  <c r="AS35" i="2" s="1"/>
  <c r="AS73" i="2" s="1"/>
  <c r="AS30" i="2"/>
  <c r="AS72" i="3"/>
  <c r="AR186" i="3"/>
  <c r="AR193" i="3"/>
  <c r="AR96" i="2"/>
  <c r="AR93" i="2"/>
  <c r="AR94" i="2" s="1"/>
  <c r="AS24" i="2"/>
  <c r="U19" i="2"/>
  <c r="U22" i="2" s="1"/>
  <c r="V19" i="3"/>
  <c r="V22" i="3" s="1"/>
  <c r="V26" i="3" s="1"/>
  <c r="V29" i="3" s="1"/>
  <c r="V20" i="2"/>
  <c r="U24" i="2"/>
  <c r="V14" i="2"/>
  <c r="V17" i="2"/>
  <c r="V27" i="2"/>
  <c r="V16" i="2"/>
  <c r="V21" i="2"/>
  <c r="V15" i="2"/>
  <c r="V18" i="2"/>
  <c r="V28" i="2"/>
  <c r="X10" i="2"/>
  <c r="T30" i="2"/>
  <c r="U30" i="3" l="1"/>
  <c r="V29" i="2"/>
  <c r="V26" i="2"/>
  <c r="AT98" i="2"/>
  <c r="AT43" i="3"/>
  <c r="AT46" i="2"/>
  <c r="AT51" i="2"/>
  <c r="AT87" i="2"/>
  <c r="AS75" i="2"/>
  <c r="AT16" i="2"/>
  <c r="AT42" i="2"/>
  <c r="AT46" i="3"/>
  <c r="AT49" i="2"/>
  <c r="AT58" i="2"/>
  <c r="AT18" i="2"/>
  <c r="AT37" i="2"/>
  <c r="AT34" i="3"/>
  <c r="AT27" i="2"/>
  <c r="AT155" i="3"/>
  <c r="AT43" i="2"/>
  <c r="AT50" i="2"/>
  <c r="AT55" i="2"/>
  <c r="AT52" i="3"/>
  <c r="AT59" i="2"/>
  <c r="AT61" i="3"/>
  <c r="AT132" i="3"/>
  <c r="AT89" i="3"/>
  <c r="AT33" i="2"/>
  <c r="AT86" i="2"/>
  <c r="AR196" i="3"/>
  <c r="AR197" i="3" s="1"/>
  <c r="AR199" i="3"/>
  <c r="AT19" i="3"/>
  <c r="AT22" i="3" s="1"/>
  <c r="AT26" i="3" s="1"/>
  <c r="AT29" i="3" s="1"/>
  <c r="AU30" i="3" s="1"/>
  <c r="AT20" i="2"/>
  <c r="AT28" i="2"/>
  <c r="AT56" i="2"/>
  <c r="AS73" i="3"/>
  <c r="AS178" i="3"/>
  <c r="AT15" i="2"/>
  <c r="AT21" i="2"/>
  <c r="AT14" i="2"/>
  <c r="AT38" i="2"/>
  <c r="AT41" i="2"/>
  <c r="AT47" i="2"/>
  <c r="AT52" i="2"/>
  <c r="AT57" i="2"/>
  <c r="AT61" i="2"/>
  <c r="AT86" i="3"/>
  <c r="AT98" i="3"/>
  <c r="AT34" i="2"/>
  <c r="AT121" i="3"/>
  <c r="AT80" i="2"/>
  <c r="AT92" i="2"/>
  <c r="AT40" i="2"/>
  <c r="AT60" i="2"/>
  <c r="AT158" i="3"/>
  <c r="AT146" i="3"/>
  <c r="AT17" i="2"/>
  <c r="AT39" i="2"/>
  <c r="AT53" i="2"/>
  <c r="AT62" i="2"/>
  <c r="AT77" i="3"/>
  <c r="AT63" i="2"/>
  <c r="AT112" i="3"/>
  <c r="AT124" i="3"/>
  <c r="AT167" i="3"/>
  <c r="AT191" i="3"/>
  <c r="AT85" i="2"/>
  <c r="W15" i="2"/>
  <c r="W27" i="2"/>
  <c r="W14" i="2"/>
  <c r="V24" i="2"/>
  <c r="W20" i="2"/>
  <c r="W19" i="3"/>
  <c r="W22" i="3" s="1"/>
  <c r="W26" i="3" s="1"/>
  <c r="W29" i="3" s="1"/>
  <c r="W17" i="2"/>
  <c r="W16" i="2"/>
  <c r="W28" i="2"/>
  <c r="W21" i="2"/>
  <c r="W18" i="2"/>
  <c r="U30" i="2"/>
  <c r="V19" i="2"/>
  <c r="V22" i="2" s="1"/>
  <c r="Y10" i="2"/>
  <c r="V30" i="3" l="1"/>
  <c r="AT29" i="2"/>
  <c r="AU30" i="2" s="1"/>
  <c r="W26" i="2"/>
  <c r="W29" i="2"/>
  <c r="W30" i="3"/>
  <c r="AT26" i="2"/>
  <c r="AT88" i="2"/>
  <c r="AT120" i="3"/>
  <c r="AT111" i="3" s="1"/>
  <c r="AT141" i="3" s="1"/>
  <c r="AT85" i="3"/>
  <c r="AT76" i="3" s="1"/>
  <c r="AT107" i="3" s="1"/>
  <c r="AT54" i="2"/>
  <c r="AT48" i="2"/>
  <c r="AT45" i="2"/>
  <c r="AS82" i="2"/>
  <c r="AS77" i="2"/>
  <c r="AS78" i="2" s="1"/>
  <c r="AS76" i="2"/>
  <c r="AT64" i="2"/>
  <c r="AT154" i="3"/>
  <c r="AT145" i="3" s="1"/>
  <c r="AT176" i="3" s="1"/>
  <c r="AS179" i="3"/>
  <c r="AS180" i="3"/>
  <c r="AS181" i="3" s="1"/>
  <c r="AS185" i="3"/>
  <c r="AT42" i="3"/>
  <c r="AT33" i="3" s="1"/>
  <c r="AT70" i="3" s="1"/>
  <c r="AT19" i="2"/>
  <c r="AT22" i="2" s="1"/>
  <c r="AT36" i="2"/>
  <c r="W24" i="2"/>
  <c r="X28" i="2"/>
  <c r="X17" i="2"/>
  <c r="X15" i="2"/>
  <c r="X27" i="2"/>
  <c r="X21" i="2"/>
  <c r="X16" i="2"/>
  <c r="X18" i="2"/>
  <c r="X20" i="2"/>
  <c r="X19" i="3"/>
  <c r="X22" i="3" s="1"/>
  <c r="X26" i="3" s="1"/>
  <c r="X29" i="3" s="1"/>
  <c r="X14" i="2"/>
  <c r="V30" i="2"/>
  <c r="BA98" i="2"/>
  <c r="W19" i="2"/>
  <c r="W22" i="2" s="1"/>
  <c r="AT30" i="3" l="1"/>
  <c r="AT72" i="3"/>
  <c r="AT178" i="3" s="1"/>
  <c r="X29" i="2"/>
  <c r="X26" i="2"/>
  <c r="BA59" i="2"/>
  <c r="BA28" i="2"/>
  <c r="BA21" i="2"/>
  <c r="BA56" i="2"/>
  <c r="AT30" i="2"/>
  <c r="BA17" i="2"/>
  <c r="BA58" i="2"/>
  <c r="BA80" i="2"/>
  <c r="AT44" i="2"/>
  <c r="AT35" i="2" s="1"/>
  <c r="AT73" i="2" s="1"/>
  <c r="BA87" i="2"/>
  <c r="BA57" i="2"/>
  <c r="BA15" i="2"/>
  <c r="BA24" i="2"/>
  <c r="BA86" i="2"/>
  <c r="BA18" i="2"/>
  <c r="AS90" i="2"/>
  <c r="AS83" i="2"/>
  <c r="BA16" i="2"/>
  <c r="BA27" i="2"/>
  <c r="BA33" i="2"/>
  <c r="BA34" i="2"/>
  <c r="AS186" i="3"/>
  <c r="AS193" i="3"/>
  <c r="AT24" i="2"/>
  <c r="X19" i="2"/>
  <c r="X22" i="2" s="1"/>
  <c r="Y28" i="2"/>
  <c r="Y21" i="2"/>
  <c r="Y18" i="2"/>
  <c r="Y16" i="2"/>
  <c r="Y20" i="2"/>
  <c r="Y19" i="3"/>
  <c r="Y22" i="3" s="1"/>
  <c r="Y26" i="3" s="1"/>
  <c r="Y29" i="3" s="1"/>
  <c r="Z30" i="3" s="1"/>
  <c r="Y15" i="2"/>
  <c r="Y27" i="2"/>
  <c r="X24" i="2"/>
  <c r="Y14" i="2"/>
  <c r="Y17" i="2"/>
  <c r="BA60" i="2"/>
  <c r="BA61" i="3"/>
  <c r="BA46" i="2"/>
  <c r="BA43" i="3"/>
  <c r="BA63" i="2"/>
  <c r="BA14" i="2"/>
  <c r="BA20" i="2"/>
  <c r="BA19" i="3"/>
  <c r="BA22" i="3" s="1"/>
  <c r="BA26" i="3" s="1"/>
  <c r="BA29" i="3" s="1"/>
  <c r="BB30" i="3" s="1"/>
  <c r="BA34" i="3"/>
  <c r="BA37" i="2"/>
  <c r="BA85" i="2"/>
  <c r="BA191" i="3"/>
  <c r="BA92" i="2"/>
  <c r="X30" i="3"/>
  <c r="W30" i="2"/>
  <c r="BA55" i="2"/>
  <c r="BA52" i="3"/>
  <c r="BA46" i="3"/>
  <c r="BA49" i="2"/>
  <c r="X30" i="2" l="1"/>
  <c r="AT73" i="3"/>
  <c r="Y29" i="2"/>
  <c r="Z30" i="2" s="1"/>
  <c r="BA26" i="2"/>
  <c r="Y19" i="2"/>
  <c r="Y22" i="2" s="1"/>
  <c r="Y26" i="2"/>
  <c r="BA19" i="2"/>
  <c r="BA22" i="2" s="1"/>
  <c r="BA88" i="2"/>
  <c r="AT75" i="2"/>
  <c r="AT180" i="3"/>
  <c r="AT181" i="3" s="1"/>
  <c r="AT185" i="3"/>
  <c r="AT179" i="3"/>
  <c r="AS93" i="2"/>
  <c r="AS94" i="2" s="1"/>
  <c r="AS96" i="2"/>
  <c r="BA54" i="2"/>
  <c r="AS196" i="3"/>
  <c r="AS197" i="3" s="1"/>
  <c r="AS199" i="3"/>
  <c r="Y24" i="2"/>
  <c r="BA42" i="3"/>
  <c r="BA33" i="3" s="1"/>
  <c r="BA70" i="3" s="1"/>
  <c r="Y30" i="3" l="1"/>
  <c r="BA30" i="3"/>
  <c r="BA29" i="2"/>
  <c r="AT77" i="2"/>
  <c r="AT78" i="2" s="1"/>
  <c r="AT76" i="2"/>
  <c r="AT82" i="2"/>
  <c r="AT193" i="3"/>
  <c r="AT186" i="3"/>
  <c r="BA72" i="3"/>
  <c r="Y30" i="2"/>
  <c r="BA30" i="2" l="1"/>
  <c r="BB30" i="2"/>
  <c r="BA155" i="3"/>
  <c r="AT196" i="3"/>
  <c r="AT197" i="3" s="1"/>
  <c r="AT199" i="3"/>
  <c r="BA121" i="3"/>
  <c r="AT83" i="2"/>
  <c r="AT90" i="2"/>
  <c r="BA62" i="2"/>
  <c r="BA39" i="2"/>
  <c r="BA43" i="2"/>
  <c r="BA132" i="3"/>
  <c r="BA86" i="3"/>
  <c r="BA47" i="2"/>
  <c r="BA45" i="2" s="1"/>
  <c r="BA146" i="3"/>
  <c r="BA89" i="3"/>
  <c r="BA50" i="2"/>
  <c r="BA73" i="3"/>
  <c r="BA167" i="3"/>
  <c r="BA52" i="2"/>
  <c r="BA158" i="3"/>
  <c r="BA38" i="2"/>
  <c r="BA77" i="3"/>
  <c r="BA98" i="3"/>
  <c r="BA112" i="3"/>
  <c r="BA53" i="2"/>
  <c r="BA40" i="2"/>
  <c r="BA41" i="2"/>
  <c r="BA61" i="2"/>
  <c r="BA51" i="2"/>
  <c r="BA42" i="2"/>
  <c r="BA124" i="3"/>
  <c r="BA154" i="3" l="1"/>
  <c r="BA145" i="3" s="1"/>
  <c r="BA176" i="3" s="1"/>
  <c r="BA120" i="3"/>
  <c r="BA111" i="3" s="1"/>
  <c r="BA141" i="3" s="1"/>
  <c r="AT93" i="2"/>
  <c r="AT94" i="2" s="1"/>
  <c r="AT96" i="2"/>
  <c r="BA85" i="3"/>
  <c r="BA76" i="3" s="1"/>
  <c r="BA107" i="3" s="1"/>
  <c r="BA64" i="2"/>
  <c r="BA36" i="2"/>
  <c r="BA48" i="2"/>
  <c r="BA44" i="2" s="1"/>
  <c r="BA178" i="3" l="1"/>
  <c r="BA35" i="2"/>
  <c r="BA73" i="2" s="1"/>
  <c r="BA75" i="2" l="1"/>
  <c r="BA179" i="3"/>
  <c r="BA180" i="3"/>
  <c r="BA181" i="3" s="1"/>
  <c r="BA185" i="3"/>
  <c r="BA186" i="3" l="1"/>
  <c r="BA193" i="3"/>
  <c r="BA77" i="2"/>
  <c r="BA78" i="2" s="1"/>
  <c r="BA82" i="2"/>
  <c r="BA76" i="2"/>
  <c r="BA196" i="3" l="1"/>
  <c r="BA197" i="3" s="1"/>
  <c r="BA199" i="3"/>
  <c r="BA83" i="2"/>
  <c r="BA90" i="2"/>
  <c r="BA93" i="2" l="1"/>
  <c r="BA94" i="2" s="1"/>
  <c r="BA96" i="2"/>
  <c r="K24" i="2" l="1"/>
  <c r="V98" i="2" l="1"/>
  <c r="R98" i="2"/>
  <c r="N98" i="2"/>
  <c r="J98" i="2"/>
  <c r="F98" i="2"/>
  <c r="Y98" i="2"/>
  <c r="T98" i="2"/>
  <c r="O98" i="2"/>
  <c r="I98" i="2"/>
  <c r="D98" i="2"/>
  <c r="W98" i="2"/>
  <c r="Q98" i="2"/>
  <c r="L98" i="2"/>
  <c r="G98" i="2"/>
  <c r="S98" i="2"/>
  <c r="K98" i="2"/>
  <c r="C98" i="2"/>
  <c r="U98" i="2"/>
  <c r="M98" i="2"/>
  <c r="E98" i="2"/>
  <c r="X98" i="2"/>
  <c r="P98" i="2"/>
  <c r="H98" i="2"/>
  <c r="Y92" i="2" l="1"/>
  <c r="Y69" i="2"/>
  <c r="O57" i="2"/>
  <c r="P53" i="2"/>
  <c r="S92" i="2"/>
  <c r="W39" i="2"/>
  <c r="R63" i="2"/>
  <c r="M68" i="2"/>
  <c r="E52" i="2"/>
  <c r="Y87" i="2"/>
  <c r="T34" i="2"/>
  <c r="L112" i="3"/>
  <c r="E47" i="2"/>
  <c r="Y41" i="2"/>
  <c r="O66" i="2"/>
  <c r="T92" i="2"/>
  <c r="X86" i="2"/>
  <c r="S89" i="3"/>
  <c r="N38" i="2"/>
  <c r="V77" i="3"/>
  <c r="U43" i="2"/>
  <c r="T167" i="3"/>
  <c r="R98" i="3"/>
  <c r="P52" i="2"/>
  <c r="I121" i="3"/>
  <c r="X121" i="3"/>
  <c r="U56" i="2"/>
  <c r="P62" i="2"/>
  <c r="G155" i="3"/>
  <c r="X40" i="2"/>
  <c r="X63" i="2"/>
  <c r="R55" i="2"/>
  <c r="R52" i="3"/>
  <c r="O68" i="2"/>
  <c r="D34" i="2"/>
  <c r="Y33" i="2"/>
  <c r="X155" i="3"/>
  <c r="W50" i="2"/>
  <c r="Q146" i="3"/>
  <c r="F65" i="2"/>
  <c r="F61" i="3"/>
  <c r="X167" i="3"/>
  <c r="V86" i="2"/>
  <c r="U50" i="2"/>
  <c r="T80" i="2"/>
  <c r="O43" i="2"/>
  <c r="V43" i="3"/>
  <c r="V46" i="2"/>
  <c r="T41" i="2"/>
  <c r="S87" i="2"/>
  <c r="W38" i="2"/>
  <c r="P34" i="3"/>
  <c r="P37" i="2"/>
  <c r="N72" i="2"/>
  <c r="W60" i="2"/>
  <c r="T58" i="2"/>
  <c r="Y98" i="3"/>
  <c r="U52" i="2"/>
  <c r="P52" i="3"/>
  <c r="P55" i="2"/>
  <c r="F46" i="2"/>
  <c r="F43" i="3"/>
  <c r="W98" i="3"/>
  <c r="W67" i="2"/>
  <c r="T155" i="3"/>
  <c r="S55" i="2"/>
  <c r="S52" i="3"/>
  <c r="Q63" i="2"/>
  <c r="N124" i="3"/>
  <c r="U39" i="2"/>
  <c r="X46" i="2"/>
  <c r="X43" i="3"/>
  <c r="W77" i="3"/>
  <c r="R85" i="2"/>
  <c r="R191" i="3"/>
  <c r="L42" i="2"/>
  <c r="I61" i="3"/>
  <c r="I65" i="2"/>
  <c r="X52" i="3"/>
  <c r="X55" i="2"/>
  <c r="V167" i="3"/>
  <c r="Q57" i="2"/>
  <c r="D92" i="2"/>
  <c r="Y86" i="3"/>
  <c r="R60" i="2"/>
  <c r="O87" i="2"/>
  <c r="W43" i="2"/>
  <c r="U85" i="2"/>
  <c r="U191" i="3"/>
  <c r="T39" i="2"/>
  <c r="S61" i="2"/>
  <c r="R72" i="2"/>
  <c r="N132" i="3"/>
  <c r="S63" i="2"/>
  <c r="R57" i="2"/>
  <c r="Q33" i="2"/>
  <c r="R71" i="2"/>
  <c r="P132" i="3"/>
  <c r="N146" i="3"/>
  <c r="O51" i="2"/>
  <c r="M112" i="3"/>
  <c r="L56" i="2"/>
  <c r="AQ56" i="2"/>
  <c r="M56" i="2"/>
  <c r="K34" i="2"/>
  <c r="I167" i="3"/>
  <c r="G167" i="3"/>
  <c r="D80" i="2"/>
  <c r="Y71" i="2"/>
  <c r="V80" i="2"/>
  <c r="W72" i="2"/>
  <c r="U33" i="2"/>
  <c r="U89" i="3"/>
  <c r="U72" i="2"/>
  <c r="R121" i="3"/>
  <c r="M60" i="2"/>
  <c r="S66" i="2"/>
  <c r="Q87" i="2"/>
  <c r="Q53" i="2"/>
  <c r="Q71" i="2"/>
  <c r="M34" i="3"/>
  <c r="M37" i="2"/>
  <c r="N55" i="2"/>
  <c r="N52" i="3"/>
  <c r="L66" i="2"/>
  <c r="G65" i="2"/>
  <c r="G61" i="3"/>
  <c r="K38" i="2"/>
  <c r="W121" i="3"/>
  <c r="V65" i="2"/>
  <c r="V61" i="3"/>
  <c r="Y52" i="3"/>
  <c r="Y55" i="2"/>
  <c r="X68" i="2"/>
  <c r="U49" i="2"/>
  <c r="U46" i="3"/>
  <c r="T47" i="2"/>
  <c r="L60" i="2"/>
  <c r="AQ60" i="2"/>
  <c r="P46" i="2"/>
  <c r="P43" i="3"/>
  <c r="Q56" i="2"/>
  <c r="L121" i="3"/>
  <c r="L58" i="2"/>
  <c r="AQ58" i="2"/>
  <c r="M52" i="2"/>
  <c r="J89" i="3"/>
  <c r="L49" i="2"/>
  <c r="L46" i="3"/>
  <c r="M167" i="3"/>
  <c r="J158" i="3"/>
  <c r="H80" i="2"/>
  <c r="F72" i="2"/>
  <c r="I87" i="2"/>
  <c r="F62" i="2"/>
  <c r="C167" i="3"/>
  <c r="I68" i="2"/>
  <c r="D155" i="3"/>
  <c r="E67" i="2"/>
  <c r="C41" i="2"/>
  <c r="C50" i="2"/>
  <c r="D43" i="2"/>
  <c r="X86" i="3"/>
  <c r="R67" i="2"/>
  <c r="Y47" i="2"/>
  <c r="X69" i="2"/>
  <c r="R33" i="2"/>
  <c r="O39" i="2"/>
  <c r="K112" i="3"/>
  <c r="C56" i="2"/>
  <c r="T77" i="3"/>
  <c r="C61" i="3"/>
  <c r="C65" i="2"/>
  <c r="U61" i="3"/>
  <c r="U65" i="2"/>
  <c r="W41" i="2"/>
  <c r="M61" i="3"/>
  <c r="M65" i="2"/>
  <c r="L46" i="2"/>
  <c r="L43" i="3"/>
  <c r="M61" i="2"/>
  <c r="F86" i="2"/>
  <c r="X92" i="2"/>
  <c r="Y43" i="2"/>
  <c r="T89" i="3"/>
  <c r="N53" i="2"/>
  <c r="W65" i="2"/>
  <c r="W61" i="3"/>
  <c r="Y158" i="3"/>
  <c r="X38" i="2"/>
  <c r="Q65" i="2"/>
  <c r="Q61" i="3"/>
  <c r="S39" i="2"/>
  <c r="Q59" i="2"/>
  <c r="H92" i="2"/>
  <c r="J42" i="2"/>
  <c r="W42" i="2"/>
  <c r="W89" i="3"/>
  <c r="P92" i="2"/>
  <c r="V40" i="2"/>
  <c r="S43" i="3"/>
  <c r="S46" i="2"/>
  <c r="T43" i="2"/>
  <c r="T62" i="2"/>
  <c r="S158" i="3"/>
  <c r="Q85" i="2"/>
  <c r="Q191" i="3"/>
  <c r="R34" i="2"/>
  <c r="K92" i="2"/>
  <c r="Q50" i="2"/>
  <c r="L34" i="3"/>
  <c r="L37" i="2"/>
  <c r="L155" i="3"/>
  <c r="H60" i="2"/>
  <c r="AQ34" i="2"/>
  <c r="L34" i="2"/>
  <c r="L70" i="2"/>
  <c r="K146" i="3"/>
  <c r="K86" i="2"/>
  <c r="J68" i="2"/>
  <c r="F51" i="2"/>
  <c r="X124" i="3"/>
  <c r="W167" i="3"/>
  <c r="V98" i="3"/>
  <c r="U62" i="2"/>
  <c r="S146" i="3"/>
  <c r="T59" i="2"/>
  <c r="R77" i="3"/>
  <c r="S50" i="2"/>
  <c r="R87" i="2"/>
  <c r="Q61" i="2"/>
  <c r="O155" i="3"/>
  <c r="O98" i="3"/>
  <c r="N158" i="3"/>
  <c r="N39" i="2"/>
  <c r="K86" i="3"/>
  <c r="H42" i="2"/>
  <c r="X50" i="2"/>
  <c r="Y155" i="3"/>
  <c r="Y57" i="2"/>
  <c r="X80" i="2"/>
  <c r="W56" i="2"/>
  <c r="U38" i="2"/>
  <c r="T52" i="2"/>
  <c r="T72" i="2"/>
  <c r="R58" i="2"/>
  <c r="P57" i="2"/>
  <c r="L86" i="3"/>
  <c r="AQ87" i="2"/>
  <c r="L87" i="2"/>
  <c r="M66" i="2"/>
  <c r="H167" i="3"/>
  <c r="O56" i="2"/>
  <c r="N71" i="2"/>
  <c r="D60" i="2"/>
  <c r="G42" i="2"/>
  <c r="C112" i="3"/>
  <c r="G77" i="3"/>
  <c r="E86" i="3"/>
  <c r="J59" i="2"/>
  <c r="H67" i="2"/>
  <c r="F71" i="2"/>
  <c r="C33" i="2"/>
  <c r="C132" i="3"/>
  <c r="K46" i="2"/>
  <c r="K43" i="3"/>
  <c r="K77" i="3"/>
  <c r="K158" i="3"/>
  <c r="H43" i="2"/>
  <c r="E89" i="3"/>
  <c r="Y66" i="2"/>
  <c r="V121" i="3"/>
  <c r="V42" i="2"/>
  <c r="U51" i="2"/>
  <c r="T146" i="3"/>
  <c r="T124" i="3"/>
  <c r="T50" i="2"/>
  <c r="S53" i="2"/>
  <c r="R80" i="2"/>
  <c r="Q55" i="2"/>
  <c r="Q52" i="3"/>
  <c r="Q98" i="3"/>
  <c r="O77" i="3"/>
  <c r="O46" i="3"/>
  <c r="O49" i="2"/>
  <c r="L146" i="3"/>
  <c r="N52" i="2"/>
  <c r="L62" i="2"/>
  <c r="J43" i="3"/>
  <c r="J46" i="2"/>
  <c r="H63" i="2"/>
  <c r="W158" i="3"/>
  <c r="Y80" i="2"/>
  <c r="X53" i="2"/>
  <c r="W59" i="2"/>
  <c r="U47" i="2"/>
  <c r="T132" i="3"/>
  <c r="Q43" i="3"/>
  <c r="Q46" i="2"/>
  <c r="R41" i="2"/>
  <c r="P56" i="2"/>
  <c r="O86" i="2"/>
  <c r="L63" i="2"/>
  <c r="K56" i="2"/>
  <c r="D46" i="3"/>
  <c r="D49" i="2"/>
  <c r="Q67" i="2"/>
  <c r="L61" i="2"/>
  <c r="E92" i="2"/>
  <c r="I132" i="3"/>
  <c r="F43" i="2"/>
  <c r="J132" i="3"/>
  <c r="H41" i="2"/>
  <c r="E33" i="2"/>
  <c r="J70" i="2"/>
  <c r="F77" i="3"/>
  <c r="D158" i="3"/>
  <c r="W68" i="2"/>
  <c r="K52" i="3"/>
  <c r="K55" i="2"/>
  <c r="Y62" i="2"/>
  <c r="Y70" i="2"/>
  <c r="W66" i="2"/>
  <c r="S167" i="3"/>
  <c r="Q39" i="2"/>
  <c r="M85" i="2"/>
  <c r="M191" i="3"/>
  <c r="H85" i="2"/>
  <c r="H191" i="3"/>
  <c r="Q72" i="2"/>
  <c r="X60" i="2"/>
  <c r="R61" i="3"/>
  <c r="R65" i="2"/>
  <c r="W70" i="2"/>
  <c r="T33" i="2"/>
  <c r="Q52" i="2"/>
  <c r="M77" i="3"/>
  <c r="Y85" i="2"/>
  <c r="Y191" i="3"/>
  <c r="W87" i="2"/>
  <c r="R42" i="2"/>
  <c r="H61" i="2"/>
  <c r="V60" i="2"/>
  <c r="Y56" i="2"/>
  <c r="Y146" i="3"/>
  <c r="Y58" i="2"/>
  <c r="W132" i="3"/>
  <c r="V67" i="2"/>
  <c r="Q86" i="3"/>
  <c r="P69" i="2"/>
  <c r="M53" i="2"/>
  <c r="D41" i="2"/>
  <c r="Y67" i="2"/>
  <c r="W58" i="2"/>
  <c r="V57" i="2"/>
  <c r="U55" i="2"/>
  <c r="U52" i="3"/>
  <c r="U80" i="2"/>
  <c r="U63" i="2"/>
  <c r="T158" i="3"/>
  <c r="N61" i="3"/>
  <c r="N65" i="2"/>
  <c r="R146" i="3"/>
  <c r="S72" i="2"/>
  <c r="S68" i="2"/>
  <c r="P155" i="3"/>
  <c r="Q66" i="2"/>
  <c r="N85" i="2"/>
  <c r="N191" i="3"/>
  <c r="O71" i="2"/>
  <c r="O72" i="2"/>
  <c r="M80" i="2"/>
  <c r="I37" i="2"/>
  <c r="I34" i="3"/>
  <c r="I155" i="3"/>
  <c r="F55" i="2"/>
  <c r="F52" i="3"/>
  <c r="E56" i="2"/>
  <c r="X52" i="2"/>
  <c r="W124" i="3"/>
  <c r="V51" i="2"/>
  <c r="V69" i="2"/>
  <c r="V66" i="2"/>
  <c r="R37" i="2"/>
  <c r="R34" i="3"/>
  <c r="T69" i="2"/>
  <c r="S42" i="2"/>
  <c r="Q49" i="2"/>
  <c r="Q46" i="3"/>
  <c r="R61" i="2"/>
  <c r="R66" i="2"/>
  <c r="P87" i="2"/>
  <c r="N46" i="3"/>
  <c r="N49" i="2"/>
  <c r="P66" i="2"/>
  <c r="L51" i="2"/>
  <c r="K34" i="3"/>
  <c r="K37" i="2"/>
  <c r="K58" i="2"/>
  <c r="E39" i="2"/>
  <c r="X191" i="3"/>
  <c r="X85" i="2"/>
  <c r="X61" i="3"/>
  <c r="X65" i="2"/>
  <c r="W112" i="3"/>
  <c r="W51" i="2"/>
  <c r="V39" i="2"/>
  <c r="U66" i="2"/>
  <c r="S86" i="2"/>
  <c r="R59" i="2"/>
  <c r="P146" i="3"/>
  <c r="P38" i="2"/>
  <c r="M43" i="2"/>
  <c r="J98" i="3"/>
  <c r="O121" i="3"/>
  <c r="N51" i="2"/>
  <c r="K43" i="2"/>
  <c r="H47" i="2"/>
  <c r="E158" i="3"/>
  <c r="D71" i="2"/>
  <c r="J50" i="2"/>
  <c r="G89" i="3"/>
  <c r="C121" i="3"/>
  <c r="I158" i="3"/>
  <c r="F50" i="2"/>
  <c r="C67" i="2"/>
  <c r="C61" i="2"/>
  <c r="E34" i="3"/>
  <c r="E37" i="2"/>
  <c r="P59" i="2"/>
  <c r="O132" i="3"/>
  <c r="N167" i="3"/>
  <c r="M51" i="2"/>
  <c r="K51" i="2"/>
  <c r="I63" i="2"/>
  <c r="H53" i="2"/>
  <c r="H70" i="2"/>
  <c r="F40" i="2"/>
  <c r="J167" i="3"/>
  <c r="H52" i="2"/>
  <c r="G61" i="2"/>
  <c r="E61" i="2"/>
  <c r="D56" i="2"/>
  <c r="D69" i="2"/>
  <c r="I49" i="2"/>
  <c r="I46" i="3"/>
  <c r="G41" i="2"/>
  <c r="D37" i="2"/>
  <c r="D34" i="3"/>
  <c r="D191" i="3"/>
  <c r="D85" i="2"/>
  <c r="C52" i="2"/>
  <c r="D50" i="2"/>
  <c r="C39" i="2"/>
  <c r="E71" i="2"/>
  <c r="C53" i="2"/>
  <c r="R92" i="2"/>
  <c r="S132" i="3"/>
  <c r="O59" i="2"/>
  <c r="G52" i="2"/>
  <c r="Y46" i="2"/>
  <c r="Y45" i="2" s="1"/>
  <c r="Y43" i="3"/>
  <c r="T61" i="3"/>
  <c r="T65" i="2"/>
  <c r="Y132" i="3"/>
  <c r="Y72" i="2"/>
  <c r="U112" i="3"/>
  <c r="U86" i="2"/>
  <c r="S46" i="3"/>
  <c r="S49" i="2"/>
  <c r="S58" i="2"/>
  <c r="Q167" i="3"/>
  <c r="N37" i="2"/>
  <c r="N34" i="3"/>
  <c r="H65" i="2"/>
  <c r="H61" i="3"/>
  <c r="M124" i="3"/>
  <c r="J77" i="3"/>
  <c r="E55" i="2"/>
  <c r="E52" i="3"/>
  <c r="Y63" i="2"/>
  <c r="V86" i="3"/>
  <c r="R62" i="2"/>
  <c r="N62" i="2"/>
  <c r="Y39" i="2"/>
  <c r="X47" i="2"/>
  <c r="X56" i="2"/>
  <c r="W57" i="2"/>
  <c r="V58" i="2"/>
  <c r="T51" i="2"/>
  <c r="T70" i="2"/>
  <c r="R132" i="3"/>
  <c r="Q51" i="2"/>
  <c r="O167" i="3"/>
  <c r="O69" i="2"/>
  <c r="K155" i="3"/>
  <c r="I47" i="2"/>
  <c r="Y52" i="2"/>
  <c r="X59" i="2"/>
  <c r="V132" i="3"/>
  <c r="M92" i="2"/>
  <c r="P34" i="2"/>
  <c r="G60" i="2"/>
  <c r="U92" i="2"/>
  <c r="Y112" i="3"/>
  <c r="Y34" i="2"/>
  <c r="Y40" i="2"/>
  <c r="W146" i="3"/>
  <c r="V155" i="3"/>
  <c r="V87" i="2"/>
  <c r="U87" i="2"/>
  <c r="T87" i="2"/>
  <c r="R155" i="3"/>
  <c r="K60" i="2"/>
  <c r="P124" i="3"/>
  <c r="N121" i="3"/>
  <c r="L39" i="2"/>
  <c r="E65" i="2"/>
  <c r="E61" i="3"/>
  <c r="V146" i="3"/>
  <c r="W86" i="2"/>
  <c r="U46" i="2"/>
  <c r="U43" i="3"/>
  <c r="W80" i="2"/>
  <c r="V62" i="2"/>
  <c r="P61" i="3"/>
  <c r="P65" i="2"/>
  <c r="V34" i="2"/>
  <c r="U58" i="2"/>
  <c r="T121" i="3"/>
  <c r="U40" i="2"/>
  <c r="T42" i="2"/>
  <c r="S86" i="3"/>
  <c r="S41" i="2"/>
  <c r="S62" i="2"/>
  <c r="S40" i="2"/>
  <c r="T68" i="2"/>
  <c r="R56" i="2"/>
  <c r="S69" i="2"/>
  <c r="P85" i="2"/>
  <c r="P191" i="3"/>
  <c r="P46" i="3"/>
  <c r="P49" i="2"/>
  <c r="Q47" i="2"/>
  <c r="P42" i="2"/>
  <c r="P41" i="2"/>
  <c r="P80" i="2"/>
  <c r="O34" i="2"/>
  <c r="O62" i="2"/>
  <c r="M155" i="3"/>
  <c r="N61" i="2"/>
  <c r="N50" i="2"/>
  <c r="L57" i="2"/>
  <c r="AQ57" i="2"/>
  <c r="M47" i="2"/>
  <c r="M58" i="2"/>
  <c r="M67" i="2"/>
  <c r="K50" i="2"/>
  <c r="J43" i="2"/>
  <c r="H52" i="3"/>
  <c r="H55" i="2"/>
  <c r="G112" i="3"/>
  <c r="G50" i="2"/>
  <c r="F98" i="3"/>
  <c r="D98" i="3"/>
  <c r="C68" i="2"/>
  <c r="W55" i="2"/>
  <c r="W52" i="3"/>
  <c r="V46" i="3"/>
  <c r="V49" i="2"/>
  <c r="U86" i="3"/>
  <c r="V41" i="2"/>
  <c r="P60" i="2"/>
  <c r="T46" i="2"/>
  <c r="T43" i="3"/>
  <c r="T55" i="2"/>
  <c r="T52" i="3"/>
  <c r="U132" i="3"/>
  <c r="V71" i="2"/>
  <c r="U59" i="2"/>
  <c r="T57" i="2"/>
  <c r="U68" i="2"/>
  <c r="U70" i="2"/>
  <c r="S47" i="2"/>
  <c r="S33" i="2"/>
  <c r="S59" i="2"/>
  <c r="R47" i="2"/>
  <c r="S67" i="2"/>
  <c r="R38" i="2"/>
  <c r="R68" i="2"/>
  <c r="R69" i="2"/>
  <c r="Q132" i="3"/>
  <c r="P61" i="2"/>
  <c r="P39" i="2"/>
  <c r="P33" i="2"/>
  <c r="O42" i="2"/>
  <c r="I60" i="2"/>
  <c r="N98" i="3"/>
  <c r="M121" i="3"/>
  <c r="L50" i="2"/>
  <c r="M50" i="2"/>
  <c r="K98" i="3"/>
  <c r="I56" i="2"/>
  <c r="F191" i="3"/>
  <c r="F85" i="2"/>
  <c r="X34" i="2"/>
  <c r="X66" i="2"/>
  <c r="Y46" i="3"/>
  <c r="Y49" i="2"/>
  <c r="Y89" i="3"/>
  <c r="T60" i="2"/>
  <c r="W191" i="3"/>
  <c r="W85" i="2"/>
  <c r="X132" i="3"/>
  <c r="X67" i="2"/>
  <c r="V59" i="2"/>
  <c r="V61" i="2"/>
  <c r="U42" i="2"/>
  <c r="U53" i="2"/>
  <c r="U71" i="2"/>
  <c r="R86" i="3"/>
  <c r="S51" i="2"/>
  <c r="Q77" i="3"/>
  <c r="O34" i="3"/>
  <c r="O37" i="2"/>
  <c r="P121" i="3"/>
  <c r="Q68" i="2"/>
  <c r="O33" i="2"/>
  <c r="P68" i="2"/>
  <c r="N86" i="2"/>
  <c r="M89" i="3"/>
  <c r="N70" i="2"/>
  <c r="J155" i="3"/>
  <c r="I57" i="2"/>
  <c r="H69" i="2"/>
  <c r="D68" i="2"/>
  <c r="Q62" i="2"/>
  <c r="N43" i="3"/>
  <c r="N46" i="2"/>
  <c r="M43" i="3"/>
  <c r="M46" i="2"/>
  <c r="N86" i="3"/>
  <c r="M49" i="2"/>
  <c r="M46" i="3"/>
  <c r="N41" i="2"/>
  <c r="L69" i="2"/>
  <c r="M42" i="2"/>
  <c r="K80" i="2"/>
  <c r="J80" i="2"/>
  <c r="I146" i="3"/>
  <c r="I34" i="2"/>
  <c r="J71" i="2"/>
  <c r="G46" i="3"/>
  <c r="G49" i="2"/>
  <c r="G132" i="3"/>
  <c r="H72" i="2"/>
  <c r="F61" i="2"/>
  <c r="E43" i="2"/>
  <c r="E34" i="2"/>
  <c r="D124" i="3"/>
  <c r="D42" i="2"/>
  <c r="E60" i="2"/>
  <c r="J40" i="2"/>
  <c r="I98" i="3"/>
  <c r="C60" i="2"/>
  <c r="G56" i="2"/>
  <c r="G63" i="2"/>
  <c r="F33" i="2"/>
  <c r="G71" i="2"/>
  <c r="E98" i="3"/>
  <c r="D38" i="2"/>
  <c r="J56" i="2"/>
  <c r="K68" i="2"/>
  <c r="I52" i="2"/>
  <c r="H34" i="2"/>
  <c r="G146" i="3"/>
  <c r="G58" i="2"/>
  <c r="F53" i="2"/>
  <c r="G68" i="2"/>
  <c r="D86" i="3"/>
  <c r="D132" i="3"/>
  <c r="D63" i="2"/>
  <c r="D51" i="2"/>
  <c r="C42" i="2"/>
  <c r="C34" i="2"/>
  <c r="C40" i="2"/>
  <c r="C59" i="2"/>
  <c r="D67" i="2"/>
  <c r="C38" i="2"/>
  <c r="C86" i="2"/>
  <c r="E38" i="2"/>
  <c r="P63" i="2"/>
  <c r="O47" i="2"/>
  <c r="L47" i="2"/>
  <c r="M86" i="2"/>
  <c r="I46" i="2"/>
  <c r="I43" i="3"/>
  <c r="K66" i="2"/>
  <c r="H121" i="3"/>
  <c r="I71" i="2"/>
  <c r="F89" i="3"/>
  <c r="E57" i="2"/>
  <c r="E72" i="2"/>
  <c r="J47" i="2"/>
  <c r="H86" i="3"/>
  <c r="H158" i="3"/>
  <c r="F56" i="2"/>
  <c r="E86" i="2"/>
  <c r="J61" i="2"/>
  <c r="I51" i="2"/>
  <c r="H56" i="2"/>
  <c r="G98" i="3"/>
  <c r="F38" i="2"/>
  <c r="C86" i="3"/>
  <c r="D70" i="2"/>
  <c r="C87" i="2"/>
  <c r="D52" i="2"/>
  <c r="D47" i="2"/>
  <c r="W62" i="2"/>
  <c r="S80" i="2"/>
  <c r="N47" i="2"/>
  <c r="Y53" i="2"/>
  <c r="Y86" i="2"/>
  <c r="X57" i="2"/>
  <c r="W52" i="2"/>
  <c r="V89" i="3"/>
  <c r="S121" i="3"/>
  <c r="L92" i="2"/>
  <c r="R158" i="3"/>
  <c r="K65" i="2"/>
  <c r="K61" i="3"/>
  <c r="Q70" i="2"/>
  <c r="L41" i="2"/>
  <c r="M34" i="2"/>
  <c r="I85" i="2"/>
  <c r="I191" i="3"/>
  <c r="E63" i="2"/>
  <c r="X112" i="3"/>
  <c r="O92" i="2"/>
  <c r="Q80" i="2"/>
  <c r="M132" i="3"/>
  <c r="W92" i="2"/>
  <c r="X37" i="2"/>
  <c r="X34" i="3"/>
  <c r="Y42" i="2"/>
  <c r="V34" i="3"/>
  <c r="V37" i="2"/>
  <c r="X62" i="2"/>
  <c r="U155" i="3"/>
  <c r="U98" i="3"/>
  <c r="T40" i="2"/>
  <c r="Q37" i="2"/>
  <c r="Q34" i="3"/>
  <c r="S70" i="2"/>
  <c r="P51" i="2"/>
  <c r="O124" i="3"/>
  <c r="L98" i="3"/>
  <c r="J52" i="3"/>
  <c r="J55" i="2"/>
  <c r="G43" i="2"/>
  <c r="S60" i="2"/>
  <c r="O65" i="2"/>
  <c r="O61" i="3"/>
  <c r="Q112" i="3"/>
  <c r="O41" i="2"/>
  <c r="K124" i="3"/>
  <c r="V92" i="2"/>
  <c r="Y61" i="3"/>
  <c r="Y65" i="2"/>
  <c r="Y77" i="3"/>
  <c r="Y167" i="3"/>
  <c r="Y60" i="2"/>
  <c r="U60" i="2"/>
  <c r="Y59" i="2"/>
  <c r="X77" i="3"/>
  <c r="X158" i="3"/>
  <c r="W40" i="2"/>
  <c r="V43" i="2"/>
  <c r="V68" i="2"/>
  <c r="T53" i="2"/>
  <c r="R39" i="2"/>
  <c r="Q34" i="2"/>
  <c r="J60" i="2"/>
  <c r="N34" i="2"/>
  <c r="M87" i="2"/>
  <c r="K167" i="3"/>
  <c r="D146" i="3"/>
  <c r="W49" i="2"/>
  <c r="W46" i="3"/>
  <c r="W47" i="2"/>
  <c r="Q92" i="2"/>
  <c r="V112" i="3"/>
  <c r="U77" i="3"/>
  <c r="V52" i="2"/>
  <c r="V33" i="2"/>
  <c r="T37" i="2"/>
  <c r="T34" i="3"/>
  <c r="U158" i="3"/>
  <c r="T112" i="3"/>
  <c r="S112" i="3"/>
  <c r="S155" i="3"/>
  <c r="S154" i="3" s="1"/>
  <c r="T38" i="2"/>
  <c r="N60" i="2"/>
  <c r="T67" i="2"/>
  <c r="S98" i="3"/>
  <c r="S38" i="2"/>
  <c r="S52" i="2"/>
  <c r="R167" i="3"/>
  <c r="R124" i="3"/>
  <c r="R52" i="2"/>
  <c r="Q124" i="3"/>
  <c r="Q58" i="2"/>
  <c r="Q43" i="2"/>
  <c r="P89" i="3"/>
  <c r="O146" i="3"/>
  <c r="O40" i="2"/>
  <c r="L52" i="3"/>
  <c r="L55" i="2"/>
  <c r="O50" i="2"/>
  <c r="N57" i="2"/>
  <c r="L38" i="2"/>
  <c r="AQ80" i="2"/>
  <c r="L80" i="2"/>
  <c r="AQ59" i="2"/>
  <c r="L59" i="2"/>
  <c r="M62" i="2"/>
  <c r="M158" i="3"/>
  <c r="K121" i="3"/>
  <c r="K89" i="3"/>
  <c r="J86" i="3"/>
  <c r="J53" i="2"/>
  <c r="I41" i="2"/>
  <c r="H39" i="2"/>
  <c r="F42" i="2"/>
  <c r="E167" i="3"/>
  <c r="C51" i="2"/>
  <c r="X61" i="2"/>
  <c r="X72" i="2"/>
  <c r="X70" i="2"/>
  <c r="U121" i="3"/>
  <c r="V47" i="2"/>
  <c r="V56" i="2"/>
  <c r="U41" i="2"/>
  <c r="U61" i="2"/>
  <c r="T191" i="3"/>
  <c r="T85" i="2"/>
  <c r="T56" i="2"/>
  <c r="U67" i="2"/>
  <c r="S77" i="3"/>
  <c r="N92" i="2"/>
  <c r="S57" i="2"/>
  <c r="R49" i="2"/>
  <c r="R46" i="3"/>
  <c r="T71" i="2"/>
  <c r="R51" i="2"/>
  <c r="R43" i="2"/>
  <c r="R86" i="2"/>
  <c r="O43" i="3"/>
  <c r="O46" i="2"/>
  <c r="Q41" i="2"/>
  <c r="Q158" i="3"/>
  <c r="P158" i="3"/>
  <c r="Q69" i="2"/>
  <c r="P47" i="2"/>
  <c r="I92" i="2"/>
  <c r="N77" i="3"/>
  <c r="L191" i="3"/>
  <c r="L85" i="2"/>
  <c r="M146" i="3"/>
  <c r="N59" i="2"/>
  <c r="O70" i="2"/>
  <c r="M40" i="2"/>
  <c r="J46" i="3"/>
  <c r="J49" i="2"/>
  <c r="I42" i="2"/>
  <c r="G59" i="2"/>
  <c r="Y51" i="2"/>
  <c r="Y68" i="2"/>
  <c r="U34" i="3"/>
  <c r="U37" i="2"/>
  <c r="Y38" i="2"/>
  <c r="X49" i="2"/>
  <c r="X46" i="3"/>
  <c r="X87" i="2"/>
  <c r="V52" i="3"/>
  <c r="V55" i="2"/>
  <c r="X71" i="2"/>
  <c r="W71" i="2"/>
  <c r="V53" i="2"/>
  <c r="U34" i="2"/>
  <c r="S191" i="3"/>
  <c r="S85" i="2"/>
  <c r="T98" i="3"/>
  <c r="L61" i="3"/>
  <c r="L65" i="2"/>
  <c r="S43" i="2"/>
  <c r="Q121" i="3"/>
  <c r="Q86" i="2"/>
  <c r="Q40" i="2"/>
  <c r="P43" i="2"/>
  <c r="P72" i="2"/>
  <c r="N56" i="2"/>
  <c r="L86" i="2"/>
  <c r="AQ86" i="2"/>
  <c r="M39" i="2"/>
  <c r="K191" i="3"/>
  <c r="K85" i="2"/>
  <c r="K40" i="2"/>
  <c r="H112" i="3"/>
  <c r="G67" i="2"/>
  <c r="P50" i="2"/>
  <c r="O52" i="3"/>
  <c r="O55" i="2"/>
  <c r="N155" i="3"/>
  <c r="L77" i="3"/>
  <c r="N87" i="2"/>
  <c r="L43" i="2"/>
  <c r="L132" i="3"/>
  <c r="M33" i="2"/>
  <c r="M71" i="2"/>
  <c r="K63" i="2"/>
  <c r="J124" i="3"/>
  <c r="J39" i="2"/>
  <c r="I86" i="2"/>
  <c r="H57" i="2"/>
  <c r="H58" i="2"/>
  <c r="H71" i="2"/>
  <c r="E146" i="3"/>
  <c r="E121" i="3"/>
  <c r="C46" i="2"/>
  <c r="C43" i="3"/>
  <c r="D121" i="3"/>
  <c r="J57" i="2"/>
  <c r="I53" i="2"/>
  <c r="J67" i="2"/>
  <c r="H38" i="2"/>
  <c r="G39" i="2"/>
  <c r="E155" i="3"/>
  <c r="G70" i="2"/>
  <c r="E40" i="2"/>
  <c r="C155" i="3"/>
  <c r="K41" i="2"/>
  <c r="J41" i="2"/>
  <c r="K67" i="2"/>
  <c r="G46" i="2"/>
  <c r="G43" i="3"/>
  <c r="I66" i="2"/>
  <c r="H62" i="2"/>
  <c r="G34" i="2"/>
  <c r="F59" i="2"/>
  <c r="F167" i="3"/>
  <c r="F70" i="2"/>
  <c r="D86" i="2"/>
  <c r="C69" i="2"/>
  <c r="D87" i="2"/>
  <c r="C43" i="2"/>
  <c r="D40" i="2"/>
  <c r="C62" i="2"/>
  <c r="L52" i="2"/>
  <c r="L167" i="3"/>
  <c r="M86" i="3"/>
  <c r="M63" i="2"/>
  <c r="K57" i="2"/>
  <c r="K59" i="2"/>
  <c r="H34" i="3"/>
  <c r="H37" i="2"/>
  <c r="I124" i="3"/>
  <c r="E191" i="3"/>
  <c r="E85" i="2"/>
  <c r="E42" i="2"/>
  <c r="W46" i="2"/>
  <c r="W43" i="3"/>
  <c r="W155" i="3"/>
  <c r="W86" i="3"/>
  <c r="W63" i="2"/>
  <c r="Y121" i="3"/>
  <c r="Y61" i="2"/>
  <c r="Y50" i="2"/>
  <c r="X33" i="2"/>
  <c r="X42" i="2"/>
  <c r="X39" i="2"/>
  <c r="W34" i="2"/>
  <c r="W33" i="2"/>
  <c r="W61" i="2"/>
  <c r="U146" i="3"/>
  <c r="V63" i="2"/>
  <c r="V50" i="2"/>
  <c r="U57" i="2"/>
  <c r="V72" i="2"/>
  <c r="T86" i="3"/>
  <c r="U124" i="3"/>
  <c r="T86" i="2"/>
  <c r="U69" i="2"/>
  <c r="T63" i="2"/>
  <c r="R112" i="3"/>
  <c r="T66" i="2"/>
  <c r="S34" i="2"/>
  <c r="S71" i="2"/>
  <c r="R53" i="2"/>
  <c r="Q155" i="3"/>
  <c r="P77" i="3"/>
  <c r="Q89" i="3"/>
  <c r="Q38" i="2"/>
  <c r="O86" i="3"/>
  <c r="P58" i="2"/>
  <c r="O112" i="3"/>
  <c r="P67" i="2"/>
  <c r="O52" i="2"/>
  <c r="N43" i="2"/>
  <c r="L72" i="2"/>
  <c r="N40" i="2"/>
  <c r="L124" i="3"/>
  <c r="N66" i="2"/>
  <c r="M57" i="2"/>
  <c r="M70" i="2"/>
  <c r="K132" i="3"/>
  <c r="J191" i="3"/>
  <c r="J85" i="2"/>
  <c r="J87" i="2"/>
  <c r="G86" i="3"/>
  <c r="F132" i="3"/>
  <c r="R70" i="2"/>
  <c r="P98" i="3"/>
  <c r="O158" i="3"/>
  <c r="O61" i="2"/>
  <c r="P70" i="2"/>
  <c r="P71" i="2"/>
  <c r="N63" i="2"/>
  <c r="M52" i="3"/>
  <c r="M55" i="2"/>
  <c r="L89" i="3"/>
  <c r="L158" i="3"/>
  <c r="L40" i="2"/>
  <c r="M98" i="3"/>
  <c r="M59" i="2"/>
  <c r="K46" i="3"/>
  <c r="K49" i="2"/>
  <c r="M69" i="2"/>
  <c r="K42" i="2"/>
  <c r="J146" i="3"/>
  <c r="J112" i="3"/>
  <c r="J51" i="2"/>
  <c r="K69" i="2"/>
  <c r="J34" i="2"/>
  <c r="H146" i="3"/>
  <c r="H49" i="2"/>
  <c r="H46" i="3"/>
  <c r="I58" i="2"/>
  <c r="G191" i="3"/>
  <c r="G85" i="2"/>
  <c r="H132" i="3"/>
  <c r="I70" i="2"/>
  <c r="G124" i="3"/>
  <c r="G62" i="2"/>
  <c r="G86" i="2"/>
  <c r="F158" i="3"/>
  <c r="F80" i="2"/>
  <c r="E59" i="2"/>
  <c r="D77" i="3"/>
  <c r="F69" i="2"/>
  <c r="C55" i="2"/>
  <c r="C52" i="3"/>
  <c r="C49" i="2"/>
  <c r="C46" i="3"/>
  <c r="D39" i="2"/>
  <c r="J52" i="2"/>
  <c r="J63" i="2"/>
  <c r="I40" i="2"/>
  <c r="I61" i="2"/>
  <c r="I43" i="2"/>
  <c r="I33" i="2"/>
  <c r="H50" i="2"/>
  <c r="H59" i="2"/>
  <c r="H124" i="3"/>
  <c r="F155" i="3"/>
  <c r="G47" i="2"/>
  <c r="F46" i="3"/>
  <c r="F49" i="2"/>
  <c r="F57" i="2"/>
  <c r="E112" i="3"/>
  <c r="E132" i="3"/>
  <c r="F47" i="2"/>
  <c r="E87" i="2"/>
  <c r="E53" i="2"/>
  <c r="D53" i="2"/>
  <c r="E68" i="2"/>
  <c r="K52" i="2"/>
  <c r="J33" i="2"/>
  <c r="H43" i="3"/>
  <c r="H46" i="2"/>
  <c r="D65" i="2"/>
  <c r="D61" i="3"/>
  <c r="I59" i="2"/>
  <c r="J72" i="2"/>
  <c r="I89" i="3"/>
  <c r="I50" i="2"/>
  <c r="F34" i="3"/>
  <c r="F37" i="2"/>
  <c r="H98" i="3"/>
  <c r="G52" i="3"/>
  <c r="G55" i="2"/>
  <c r="F146" i="3"/>
  <c r="G158" i="3"/>
  <c r="G80" i="2"/>
  <c r="F34" i="2"/>
  <c r="E77" i="3"/>
  <c r="G66" i="2"/>
  <c r="E41" i="2"/>
  <c r="E124" i="3"/>
  <c r="D112" i="3"/>
  <c r="E69" i="2"/>
  <c r="C146" i="3"/>
  <c r="D66" i="2"/>
  <c r="E66" i="2"/>
  <c r="C89" i="3"/>
  <c r="C124" i="3"/>
  <c r="C98" i="3"/>
  <c r="D57" i="2"/>
  <c r="D61" i="2"/>
  <c r="C158" i="3"/>
  <c r="D59" i="2"/>
  <c r="C71" i="2"/>
  <c r="C58" i="2"/>
  <c r="C70" i="2"/>
  <c r="C66" i="2"/>
  <c r="L67" i="2"/>
  <c r="L53" i="2"/>
  <c r="M38" i="2"/>
  <c r="M41" i="2"/>
  <c r="F60" i="2"/>
  <c r="K47" i="2"/>
  <c r="K39" i="2"/>
  <c r="J86" i="2"/>
  <c r="H51" i="2"/>
  <c r="G38" i="2"/>
  <c r="G69" i="2"/>
  <c r="D52" i="3"/>
  <c r="D55" i="2"/>
  <c r="Y124" i="3"/>
  <c r="X89" i="3"/>
  <c r="X43" i="2"/>
  <c r="V85" i="2"/>
  <c r="V191" i="3"/>
  <c r="Y34" i="3"/>
  <c r="Y37" i="2"/>
  <c r="X146" i="3"/>
  <c r="S61" i="3"/>
  <c r="S65" i="2"/>
  <c r="W34" i="3"/>
  <c r="W37" i="2"/>
  <c r="X51" i="2"/>
  <c r="X41" i="2"/>
  <c r="X98" i="3"/>
  <c r="X58" i="2"/>
  <c r="W53" i="2"/>
  <c r="Q60" i="2"/>
  <c r="W69" i="2"/>
  <c r="V158" i="3"/>
  <c r="V124" i="3"/>
  <c r="V38" i="2"/>
  <c r="V70" i="2"/>
  <c r="U167" i="3"/>
  <c r="S34" i="3"/>
  <c r="S37" i="2"/>
  <c r="T46" i="3"/>
  <c r="T49" i="2"/>
  <c r="R46" i="2"/>
  <c r="R43" i="3"/>
  <c r="T61" i="2"/>
  <c r="O60" i="2"/>
  <c r="S124" i="3"/>
  <c r="S56" i="2"/>
  <c r="R50" i="2"/>
  <c r="R89" i="3"/>
  <c r="R40" i="2"/>
  <c r="P86" i="3"/>
  <c r="Q42" i="2"/>
  <c r="P112" i="3"/>
  <c r="P86" i="2"/>
  <c r="J92" i="2"/>
  <c r="P167" i="3"/>
  <c r="O58" i="2"/>
  <c r="O89" i="3"/>
  <c r="N112" i="3"/>
  <c r="N42" i="2"/>
  <c r="N58" i="2"/>
  <c r="N89" i="3"/>
  <c r="L33" i="2"/>
  <c r="AQ33" i="2"/>
  <c r="N69" i="2"/>
  <c r="G92" i="2"/>
  <c r="M72" i="2"/>
  <c r="K62" i="2"/>
  <c r="K87" i="2"/>
  <c r="H155" i="3"/>
  <c r="H33" i="2"/>
  <c r="G33" i="2"/>
  <c r="F58" i="2"/>
  <c r="D89" i="3"/>
  <c r="O191" i="3"/>
  <c r="O85" i="2"/>
  <c r="P40" i="2"/>
  <c r="J61" i="3"/>
  <c r="J65" i="2"/>
  <c r="O80" i="2"/>
  <c r="O38" i="2"/>
  <c r="O63" i="2"/>
  <c r="O53" i="2"/>
  <c r="N80" i="2"/>
  <c r="N33" i="2"/>
  <c r="L71" i="2"/>
  <c r="O67" i="2"/>
  <c r="L68" i="2"/>
  <c r="N67" i="2"/>
  <c r="N68" i="2"/>
  <c r="F92" i="2"/>
  <c r="J37" i="2"/>
  <c r="J34" i="3"/>
  <c r="K61" i="2"/>
  <c r="K53" i="2"/>
  <c r="I112" i="3"/>
  <c r="J58" i="2"/>
  <c r="J62" i="2"/>
  <c r="I77" i="3"/>
  <c r="I80" i="2"/>
  <c r="H77" i="3"/>
  <c r="J69" i="2"/>
  <c r="I67" i="2"/>
  <c r="G121" i="3"/>
  <c r="G120" i="3" s="1"/>
  <c r="H89" i="3"/>
  <c r="G57" i="2"/>
  <c r="G87" i="2"/>
  <c r="G51" i="2"/>
  <c r="F63" i="2"/>
  <c r="F41" i="2"/>
  <c r="F52" i="2"/>
  <c r="E62" i="2"/>
  <c r="E80" i="2"/>
  <c r="E51" i="2"/>
  <c r="D58" i="2"/>
  <c r="C77" i="3"/>
  <c r="J121" i="3"/>
  <c r="J120" i="3" s="1"/>
  <c r="K72" i="2"/>
  <c r="I55" i="2"/>
  <c r="I52" i="3"/>
  <c r="J38" i="2"/>
  <c r="C92" i="2"/>
  <c r="I62" i="2"/>
  <c r="I39" i="2"/>
  <c r="I72" i="2"/>
  <c r="H87" i="2"/>
  <c r="G40" i="2"/>
  <c r="F112" i="3"/>
  <c r="H68" i="2"/>
  <c r="G53" i="2"/>
  <c r="F39" i="2"/>
  <c r="E46" i="3"/>
  <c r="E49" i="2"/>
  <c r="G72" i="2"/>
  <c r="C34" i="3"/>
  <c r="C37" i="2"/>
  <c r="E58" i="2"/>
  <c r="F67" i="2"/>
  <c r="C191" i="3"/>
  <c r="C85" i="2"/>
  <c r="D62" i="2"/>
  <c r="K33" i="2"/>
  <c r="K70" i="2"/>
  <c r="K71" i="2"/>
  <c r="I86" i="3"/>
  <c r="I38" i="2"/>
  <c r="J66" i="2"/>
  <c r="G37" i="2"/>
  <c r="G34" i="3"/>
  <c r="H86" i="2"/>
  <c r="H40" i="2"/>
  <c r="I69" i="2"/>
  <c r="E43" i="3"/>
  <c r="E46" i="2"/>
  <c r="F121" i="3"/>
  <c r="H66" i="2"/>
  <c r="F86" i="3"/>
  <c r="D46" i="2"/>
  <c r="D43" i="3"/>
  <c r="F124" i="3"/>
  <c r="F87" i="2"/>
  <c r="F68" i="2"/>
  <c r="E50" i="2"/>
  <c r="F66" i="2"/>
  <c r="D167" i="3"/>
  <c r="C72" i="2"/>
  <c r="C57" i="2"/>
  <c r="C47" i="2"/>
  <c r="C80" i="2"/>
  <c r="D33" i="2"/>
  <c r="C63" i="2"/>
  <c r="E70" i="2"/>
  <c r="D72" i="2"/>
  <c r="N120" i="3" l="1"/>
  <c r="N111" i="3" s="1"/>
  <c r="N141" i="3" s="1"/>
  <c r="M120" i="3"/>
  <c r="E45" i="2"/>
  <c r="J111" i="3"/>
  <c r="P120" i="3"/>
  <c r="P111" i="3" s="1"/>
  <c r="P141" i="3" s="1"/>
  <c r="J154" i="3"/>
  <c r="S85" i="3"/>
  <c r="S76" i="3" s="1"/>
  <c r="S107" i="3" s="1"/>
  <c r="T120" i="3"/>
  <c r="T111" i="3" s="1"/>
  <c r="T141" i="3" s="1"/>
  <c r="R45" i="2"/>
  <c r="S145" i="3"/>
  <c r="S176" i="3" s="1"/>
  <c r="G85" i="3"/>
  <c r="G76" i="3" s="1"/>
  <c r="G107" i="3" s="1"/>
  <c r="G111" i="3"/>
  <c r="G141" i="3" s="1"/>
  <c r="O88" i="2"/>
  <c r="H42" i="3"/>
  <c r="H33" i="3" s="1"/>
  <c r="H70" i="3" s="1"/>
  <c r="H72" i="3" s="1"/>
  <c r="H73" i="3" s="1"/>
  <c r="W154" i="3"/>
  <c r="W145" i="3" s="1"/>
  <c r="W176" i="3" s="1"/>
  <c r="O42" i="3"/>
  <c r="O33" i="3" s="1"/>
  <c r="O70" i="3" s="1"/>
  <c r="O72" i="3" s="1"/>
  <c r="O73" i="3" s="1"/>
  <c r="K154" i="3"/>
  <c r="M85" i="3"/>
  <c r="M76" i="3" s="1"/>
  <c r="M107" i="3" s="1"/>
  <c r="P85" i="3"/>
  <c r="P76" i="3" s="1"/>
  <c r="P107" i="3" s="1"/>
  <c r="R42" i="3"/>
  <c r="R33" i="3" s="1"/>
  <c r="R70" i="3" s="1"/>
  <c r="R72" i="3" s="1"/>
  <c r="R73" i="3" s="1"/>
  <c r="H45" i="2"/>
  <c r="I45" i="2"/>
  <c r="Q154" i="3"/>
  <c r="Q145" i="3" s="1"/>
  <c r="Q176" i="3" s="1"/>
  <c r="W85" i="3"/>
  <c r="W76" i="3" s="1"/>
  <c r="W107" i="3" s="1"/>
  <c r="Q120" i="3"/>
  <c r="Q111" i="3" s="1"/>
  <c r="Q141" i="3" s="1"/>
  <c r="M45" i="2"/>
  <c r="S36" i="2"/>
  <c r="T85" i="3"/>
  <c r="T76" i="3" s="1"/>
  <c r="T107" i="3" s="1"/>
  <c r="S88" i="2"/>
  <c r="V45" i="2"/>
  <c r="R54" i="2"/>
  <c r="L88" i="2"/>
  <c r="X42" i="3"/>
  <c r="X33" i="3" s="1"/>
  <c r="X70" i="3" s="1"/>
  <c r="X72" i="3" s="1"/>
  <c r="AQ72" i="2"/>
  <c r="AQ52" i="2"/>
  <c r="E154" i="3"/>
  <c r="E145" i="3" s="1"/>
  <c r="E176" i="3" s="1"/>
  <c r="C45" i="2"/>
  <c r="O54" i="2"/>
  <c r="V54" i="2"/>
  <c r="X48" i="2"/>
  <c r="U36" i="2"/>
  <c r="J85" i="3"/>
  <c r="J76" i="3" s="1"/>
  <c r="J107" i="3" s="1"/>
  <c r="J54" i="2"/>
  <c r="Q36" i="2"/>
  <c r="D85" i="3"/>
  <c r="D76" i="3" s="1"/>
  <c r="D107" i="3" s="1"/>
  <c r="J145" i="3"/>
  <c r="J176" i="3" s="1"/>
  <c r="R85" i="3"/>
  <c r="R76" i="3" s="1"/>
  <c r="R107" i="3" s="1"/>
  <c r="W88" i="2"/>
  <c r="Y48" i="2"/>
  <c r="Y44" i="2" s="1"/>
  <c r="M111" i="3"/>
  <c r="M141" i="3" s="1"/>
  <c r="T42" i="3"/>
  <c r="T33" i="3" s="1"/>
  <c r="T70" i="3" s="1"/>
  <c r="T72" i="3" s="1"/>
  <c r="U85" i="3"/>
  <c r="U76" i="3" s="1"/>
  <c r="U107" i="3" s="1"/>
  <c r="R154" i="3"/>
  <c r="R145" i="3" s="1"/>
  <c r="R176" i="3" s="1"/>
  <c r="V154" i="3"/>
  <c r="V145" i="3" s="1"/>
  <c r="V176" i="3" s="1"/>
  <c r="Q85" i="3"/>
  <c r="Q76" i="3" s="1"/>
  <c r="Q107" i="3" s="1"/>
  <c r="Y88" i="2"/>
  <c r="U88" i="2"/>
  <c r="Y85" i="3"/>
  <c r="Y76" i="3" s="1"/>
  <c r="Y107" i="3" s="1"/>
  <c r="V42" i="3"/>
  <c r="V33" i="3" s="1"/>
  <c r="V70" i="3" s="1"/>
  <c r="V72" i="3" s="1"/>
  <c r="J141" i="3"/>
  <c r="D64" i="2"/>
  <c r="AQ89" i="3"/>
  <c r="E88" i="2"/>
  <c r="E120" i="3"/>
  <c r="E111" i="3" s="1"/>
  <c r="E141" i="3" s="1"/>
  <c r="I88" i="2"/>
  <c r="M42" i="3"/>
  <c r="M33" i="3" s="1"/>
  <c r="M70" i="3" s="1"/>
  <c r="M72" i="3" s="1"/>
  <c r="M73" i="3" s="1"/>
  <c r="F88" i="2"/>
  <c r="U42" i="3"/>
  <c r="U33" i="3" s="1"/>
  <c r="U70" i="3" s="1"/>
  <c r="U72" i="3" s="1"/>
  <c r="S48" i="2"/>
  <c r="J42" i="3"/>
  <c r="J33" i="3" s="1"/>
  <c r="J70" i="3" s="1"/>
  <c r="J72" i="3" s="1"/>
  <c r="J73" i="3" s="1"/>
  <c r="Y154" i="3"/>
  <c r="Y145" i="3" s="1"/>
  <c r="Y176" i="3" s="1"/>
  <c r="L154" i="3"/>
  <c r="L145" i="3" s="1"/>
  <c r="L176" i="3" s="1"/>
  <c r="Q88" i="2"/>
  <c r="N54" i="2"/>
  <c r="C120" i="3"/>
  <c r="C111" i="3" s="1"/>
  <c r="C141" i="3" s="1"/>
  <c r="D42" i="3"/>
  <c r="D33" i="3" s="1"/>
  <c r="D70" i="3" s="1"/>
  <c r="D72" i="3" s="1"/>
  <c r="D73" i="3" s="1"/>
  <c r="F120" i="3"/>
  <c r="F111" i="3" s="1"/>
  <c r="F141" i="3" s="1"/>
  <c r="C88" i="2"/>
  <c r="C36" i="2"/>
  <c r="W42" i="3"/>
  <c r="W33" i="3" s="1"/>
  <c r="W70" i="3" s="1"/>
  <c r="W72" i="3" s="1"/>
  <c r="G42" i="3"/>
  <c r="G33" i="3" s="1"/>
  <c r="G70" i="3" s="1"/>
  <c r="G72" i="3" s="1"/>
  <c r="O45" i="2"/>
  <c r="K120" i="3"/>
  <c r="K111" i="3" s="1"/>
  <c r="K141" i="3" s="1"/>
  <c r="L54" i="2"/>
  <c r="H85" i="3"/>
  <c r="H76" i="3" s="1"/>
  <c r="H107" i="3" s="1"/>
  <c r="M88" i="2"/>
  <c r="P42" i="3"/>
  <c r="P33" i="3" s="1"/>
  <c r="P70" i="3" s="1"/>
  <c r="P72" i="3" s="1"/>
  <c r="P73" i="3" s="1"/>
  <c r="I120" i="3"/>
  <c r="I111" i="3" s="1"/>
  <c r="I141" i="3" s="1"/>
  <c r="J36" i="2"/>
  <c r="H36" i="2"/>
  <c r="AQ92" i="2"/>
  <c r="O36" i="2"/>
  <c r="T54" i="2"/>
  <c r="H64" i="2"/>
  <c r="O120" i="3"/>
  <c r="O111" i="3" s="1"/>
  <c r="O141" i="3" s="1"/>
  <c r="X64" i="2"/>
  <c r="I36" i="2"/>
  <c r="P154" i="3"/>
  <c r="P145" i="3" s="1"/>
  <c r="P176" i="3" s="1"/>
  <c r="G64" i="2"/>
  <c r="P54" i="2"/>
  <c r="G154" i="3"/>
  <c r="G145" i="3" s="1"/>
  <c r="G176" i="3" s="1"/>
  <c r="AQ68" i="2"/>
  <c r="S64" i="2"/>
  <c r="AQ67" i="2"/>
  <c r="F36" i="2"/>
  <c r="C154" i="3"/>
  <c r="C145" i="3" s="1"/>
  <c r="C176" i="3" s="1"/>
  <c r="AQ132" i="3"/>
  <c r="T88" i="2"/>
  <c r="V36" i="2"/>
  <c r="AQ47" i="2"/>
  <c r="I48" i="2"/>
  <c r="E36" i="2"/>
  <c r="AQ51" i="2"/>
  <c r="Q48" i="2"/>
  <c r="F54" i="2"/>
  <c r="N88" i="2"/>
  <c r="D48" i="2"/>
  <c r="Q45" i="2"/>
  <c r="K42" i="3"/>
  <c r="K33" i="3" s="1"/>
  <c r="K70" i="3" s="1"/>
  <c r="K72" i="3" s="1"/>
  <c r="AQ34" i="3"/>
  <c r="AQ37" i="2"/>
  <c r="S45" i="2"/>
  <c r="AQ43" i="3"/>
  <c r="AQ46" i="2"/>
  <c r="C64" i="2"/>
  <c r="AQ46" i="3"/>
  <c r="AQ49" i="2"/>
  <c r="Y54" i="2"/>
  <c r="W120" i="3"/>
  <c r="W111" i="3" s="1"/>
  <c r="W141" i="3" s="1"/>
  <c r="M36" i="2"/>
  <c r="R120" i="3"/>
  <c r="R111" i="3" s="1"/>
  <c r="R141" i="3" s="1"/>
  <c r="I64" i="2"/>
  <c r="X45" i="2"/>
  <c r="F85" i="3"/>
  <c r="F76" i="3" s="1"/>
  <c r="F107" i="3" s="1"/>
  <c r="E42" i="3"/>
  <c r="E33" i="3" s="1"/>
  <c r="E70" i="3" s="1"/>
  <c r="E72" i="3" s="1"/>
  <c r="E73" i="3" s="1"/>
  <c r="I85" i="3"/>
  <c r="I76" i="3" s="1"/>
  <c r="I107" i="3" s="1"/>
  <c r="I54" i="2"/>
  <c r="T48" i="2"/>
  <c r="AQ53" i="2"/>
  <c r="G54" i="2"/>
  <c r="F154" i="3"/>
  <c r="F145" i="3" s="1"/>
  <c r="F176" i="3" s="1"/>
  <c r="C48" i="2"/>
  <c r="M54" i="2"/>
  <c r="AQ124" i="3"/>
  <c r="Y120" i="3"/>
  <c r="Y111" i="3" s="1"/>
  <c r="Y141" i="3" s="1"/>
  <c r="D120" i="3"/>
  <c r="D111" i="3" s="1"/>
  <c r="D141" i="3" s="1"/>
  <c r="AQ43" i="2"/>
  <c r="AQ77" i="3"/>
  <c r="K88" i="2"/>
  <c r="L64" i="2"/>
  <c r="J48" i="2"/>
  <c r="R48" i="2"/>
  <c r="T36" i="2"/>
  <c r="AQ41" i="2"/>
  <c r="S120" i="3"/>
  <c r="S111" i="3" s="1"/>
  <c r="S141" i="3" s="1"/>
  <c r="G48" i="2"/>
  <c r="M48" i="2"/>
  <c r="N45" i="2"/>
  <c r="T45" i="2"/>
  <c r="V48" i="2"/>
  <c r="P48" i="2"/>
  <c r="P64" i="2"/>
  <c r="N36" i="2"/>
  <c r="Y42" i="3"/>
  <c r="Y33" i="3" s="1"/>
  <c r="Y70" i="3" s="1"/>
  <c r="Y72" i="3" s="1"/>
  <c r="D36" i="2"/>
  <c r="X88" i="2"/>
  <c r="K36" i="2"/>
  <c r="I154" i="3"/>
  <c r="I145" i="3" s="1"/>
  <c r="I176" i="3" s="1"/>
  <c r="U54" i="2"/>
  <c r="R64" i="2"/>
  <c r="H88" i="2"/>
  <c r="Q42" i="3"/>
  <c r="Q33" i="3" s="1"/>
  <c r="Q70" i="3" s="1"/>
  <c r="Q72" i="3" s="1"/>
  <c r="O48" i="2"/>
  <c r="K45" i="2"/>
  <c r="L85" i="3"/>
  <c r="L76" i="3" s="1"/>
  <c r="L107" i="3" s="1"/>
  <c r="AQ70" i="2"/>
  <c r="L36" i="2"/>
  <c r="S42" i="3"/>
  <c r="S33" i="3" s="1"/>
  <c r="S70" i="3" s="1"/>
  <c r="S72" i="3" s="1"/>
  <c r="Q64" i="2"/>
  <c r="L42" i="3"/>
  <c r="L33" i="3" s="1"/>
  <c r="L70" i="3" s="1"/>
  <c r="L72" i="3" s="1"/>
  <c r="D154" i="3"/>
  <c r="D145" i="3" s="1"/>
  <c r="D176" i="3" s="1"/>
  <c r="L120" i="3"/>
  <c r="L111" i="3" s="1"/>
  <c r="L141" i="3" s="1"/>
  <c r="P45" i="2"/>
  <c r="AQ66" i="2"/>
  <c r="R88" i="2"/>
  <c r="S54" i="2"/>
  <c r="F42" i="3"/>
  <c r="F33" i="3" s="1"/>
  <c r="F70" i="3" s="1"/>
  <c r="F72" i="3" s="1"/>
  <c r="F73" i="3" s="1"/>
  <c r="P36" i="2"/>
  <c r="J64" i="2"/>
  <c r="C54" i="2"/>
  <c r="K48" i="2"/>
  <c r="O85" i="3"/>
  <c r="O76" i="3" s="1"/>
  <c r="O107" i="3" s="1"/>
  <c r="H54" i="2"/>
  <c r="E54" i="2"/>
  <c r="T64" i="2"/>
  <c r="N64" i="2"/>
  <c r="AQ146" i="3"/>
  <c r="M64" i="2"/>
  <c r="L48" i="2"/>
  <c r="V64" i="2"/>
  <c r="F64" i="2"/>
  <c r="AQ112" i="3"/>
  <c r="D45" i="2"/>
  <c r="AQ71" i="2"/>
  <c r="AQ40" i="2"/>
  <c r="AQ191" i="3"/>
  <c r="AQ85" i="2"/>
  <c r="AQ88" i="2" s="1"/>
  <c r="X36" i="2"/>
  <c r="K64" i="2"/>
  <c r="I42" i="3"/>
  <c r="I33" i="3" s="1"/>
  <c r="I70" i="3" s="1"/>
  <c r="I72" i="3" s="1"/>
  <c r="W54" i="2"/>
  <c r="P88" i="2"/>
  <c r="AQ39" i="2"/>
  <c r="R36" i="2"/>
  <c r="AQ63" i="2"/>
  <c r="AQ62" i="2"/>
  <c r="X85" i="3"/>
  <c r="X76" i="3" s="1"/>
  <c r="X107" i="3" s="1"/>
  <c r="G36" i="2"/>
  <c r="E48" i="2"/>
  <c r="H154" i="3"/>
  <c r="H145" i="3" s="1"/>
  <c r="H176" i="3" s="1"/>
  <c r="W36" i="2"/>
  <c r="Y36" i="2"/>
  <c r="V88" i="2"/>
  <c r="D54" i="2"/>
  <c r="F48" i="2"/>
  <c r="G88" i="2"/>
  <c r="H48" i="2"/>
  <c r="AQ158" i="3"/>
  <c r="J88" i="2"/>
  <c r="W45" i="2"/>
  <c r="AQ167" i="3"/>
  <c r="G45" i="2"/>
  <c r="C42" i="3"/>
  <c r="C33" i="3" s="1"/>
  <c r="C70" i="3" s="1"/>
  <c r="C72" i="3" s="1"/>
  <c r="N154" i="3"/>
  <c r="N145" i="3" s="1"/>
  <c r="N176" i="3" s="1"/>
  <c r="AQ65" i="2"/>
  <c r="AQ61" i="3"/>
  <c r="U120" i="3"/>
  <c r="U111" i="3" s="1"/>
  <c r="U141" i="3" s="1"/>
  <c r="AQ38" i="2"/>
  <c r="AQ52" i="3"/>
  <c r="AQ55" i="2"/>
  <c r="AQ54" i="2" s="1"/>
  <c r="W48" i="2"/>
  <c r="Y64" i="2"/>
  <c r="O64" i="2"/>
  <c r="AQ98" i="3"/>
  <c r="U154" i="3"/>
  <c r="U145" i="3" s="1"/>
  <c r="U176" i="3" s="1"/>
  <c r="C85" i="3"/>
  <c r="C76" i="3" s="1"/>
  <c r="C107" i="3" s="1"/>
  <c r="H120" i="3"/>
  <c r="H111" i="3" s="1"/>
  <c r="H141" i="3" s="1"/>
  <c r="AQ69" i="2"/>
  <c r="N85" i="3"/>
  <c r="N76" i="3" s="1"/>
  <c r="N107" i="3" s="1"/>
  <c r="N42" i="3"/>
  <c r="N33" i="3" s="1"/>
  <c r="N70" i="3" s="1"/>
  <c r="N72" i="3" s="1"/>
  <c r="AQ50" i="2"/>
  <c r="M154" i="3"/>
  <c r="M145" i="3" s="1"/>
  <c r="M176" i="3" s="1"/>
  <c r="U45" i="2"/>
  <c r="E64" i="2"/>
  <c r="K145" i="3"/>
  <c r="K176" i="3" s="1"/>
  <c r="V85" i="3"/>
  <c r="V76" i="3" s="1"/>
  <c r="V107" i="3" s="1"/>
  <c r="D88" i="2"/>
  <c r="N48" i="2"/>
  <c r="K54" i="2"/>
  <c r="AQ61" i="2"/>
  <c r="J45" i="2"/>
  <c r="Q54" i="2"/>
  <c r="V120" i="3"/>
  <c r="V111" i="3" s="1"/>
  <c r="V141" i="3" s="1"/>
  <c r="E85" i="3"/>
  <c r="E76" i="3" s="1"/>
  <c r="E107" i="3" s="1"/>
  <c r="AQ86" i="3"/>
  <c r="K85" i="3"/>
  <c r="K76" i="3" s="1"/>
  <c r="K107" i="3" s="1"/>
  <c r="O154" i="3"/>
  <c r="O145" i="3" s="1"/>
  <c r="O176" i="3" s="1"/>
  <c r="AQ155" i="3"/>
  <c r="W64" i="2"/>
  <c r="L45" i="2"/>
  <c r="U64" i="2"/>
  <c r="AQ121" i="3"/>
  <c r="U48" i="2"/>
  <c r="X54" i="2"/>
  <c r="AQ42" i="2"/>
  <c r="T154" i="3"/>
  <c r="T145" i="3" s="1"/>
  <c r="T176" i="3" s="1"/>
  <c r="F45" i="2"/>
  <c r="X154" i="3"/>
  <c r="X145" i="3" s="1"/>
  <c r="X176" i="3" s="1"/>
  <c r="X120" i="3"/>
  <c r="X111" i="3" s="1"/>
  <c r="X141" i="3" s="1"/>
  <c r="R44" i="2" l="1"/>
  <c r="R35" i="2" s="1"/>
  <c r="R73" i="2" s="1"/>
  <c r="R75" i="2" s="1"/>
  <c r="E44" i="2"/>
  <c r="I44" i="2"/>
  <c r="AQ45" i="2"/>
  <c r="AQ85" i="3"/>
  <c r="AQ76" i="3" s="1"/>
  <c r="AQ107" i="3" s="1"/>
  <c r="H44" i="2"/>
  <c r="H35" i="2" s="1"/>
  <c r="H73" i="2" s="1"/>
  <c r="H75" i="2" s="1"/>
  <c r="I35" i="2"/>
  <c r="I73" i="2" s="1"/>
  <c r="I75" i="2" s="1"/>
  <c r="AQ120" i="3"/>
  <c r="AQ111" i="3" s="1"/>
  <c r="AQ141" i="3" s="1"/>
  <c r="P44" i="2"/>
  <c r="P35" i="2" s="1"/>
  <c r="P73" i="2" s="1"/>
  <c r="P75" i="2" s="1"/>
  <c r="W44" i="2"/>
  <c r="W35" i="2" s="1"/>
  <c r="W73" i="2" s="1"/>
  <c r="W75" i="2" s="1"/>
  <c r="C44" i="2"/>
  <c r="C35" i="2" s="1"/>
  <c r="C73" i="2" s="1"/>
  <c r="C75" i="2" s="1"/>
  <c r="C76" i="2" s="1"/>
  <c r="K44" i="2"/>
  <c r="K35" i="2" s="1"/>
  <c r="K73" i="2" s="1"/>
  <c r="K75" i="2" s="1"/>
  <c r="O44" i="2"/>
  <c r="O35" i="2" s="1"/>
  <c r="O73" i="2" s="1"/>
  <c r="O75" i="2" s="1"/>
  <c r="O76" i="2" s="1"/>
  <c r="P178" i="3"/>
  <c r="P180" i="3" s="1"/>
  <c r="P181" i="3" s="1"/>
  <c r="M44" i="2"/>
  <c r="M35" i="2" s="1"/>
  <c r="M73" i="2" s="1"/>
  <c r="M75" i="2" s="1"/>
  <c r="M77" i="2" s="1"/>
  <c r="M78" i="2" s="1"/>
  <c r="X44" i="2"/>
  <c r="X35" i="2" s="1"/>
  <c r="X73" i="2" s="1"/>
  <c r="X75" i="2" s="1"/>
  <c r="V44" i="2"/>
  <c r="V35" i="2" s="1"/>
  <c r="V73" i="2" s="1"/>
  <c r="V75" i="2" s="1"/>
  <c r="S44" i="2"/>
  <c r="S35" i="2" s="1"/>
  <c r="S73" i="2" s="1"/>
  <c r="S75" i="2" s="1"/>
  <c r="S77" i="2" s="1"/>
  <c r="S78" i="2" s="1"/>
  <c r="F44" i="2"/>
  <c r="F35" i="2" s="1"/>
  <c r="F73" i="2" s="1"/>
  <c r="F75" i="2" s="1"/>
  <c r="J178" i="3"/>
  <c r="J180" i="3" s="1"/>
  <c r="J181" i="3" s="1"/>
  <c r="O178" i="3"/>
  <c r="O180" i="3" s="1"/>
  <c r="O181" i="3" s="1"/>
  <c r="G73" i="3"/>
  <c r="G178" i="3"/>
  <c r="G179" i="3" s="1"/>
  <c r="M178" i="3"/>
  <c r="M185" i="3" s="1"/>
  <c r="D178" i="3"/>
  <c r="D180" i="3" s="1"/>
  <c r="D181" i="3" s="1"/>
  <c r="R178" i="3"/>
  <c r="R185" i="3" s="1"/>
  <c r="L44" i="2"/>
  <c r="L35" i="2" s="1"/>
  <c r="L73" i="2" s="1"/>
  <c r="L75" i="2" s="1"/>
  <c r="G44" i="2"/>
  <c r="G35" i="2" s="1"/>
  <c r="G73" i="2" s="1"/>
  <c r="G75" i="2" s="1"/>
  <c r="F178" i="3"/>
  <c r="F180" i="3" s="1"/>
  <c r="F181" i="3" s="1"/>
  <c r="S73" i="3"/>
  <c r="S178" i="3"/>
  <c r="X178" i="3"/>
  <c r="X73" i="3"/>
  <c r="N73" i="3"/>
  <c r="N178" i="3"/>
  <c r="N44" i="2"/>
  <c r="N35" i="2" s="1"/>
  <c r="N73" i="2" s="1"/>
  <c r="N75" i="2" s="1"/>
  <c r="H178" i="3"/>
  <c r="V178" i="3"/>
  <c r="V73" i="3"/>
  <c r="K178" i="3"/>
  <c r="K73" i="3"/>
  <c r="AQ154" i="3"/>
  <c r="AQ145" i="3" s="1"/>
  <c r="AQ176" i="3" s="1"/>
  <c r="Y35" i="2"/>
  <c r="Y73" i="2" s="1"/>
  <c r="Y75" i="2" s="1"/>
  <c r="T73" i="3"/>
  <c r="T178" i="3"/>
  <c r="Q178" i="3"/>
  <c r="Q73" i="3"/>
  <c r="Y178" i="3"/>
  <c r="Y73" i="3"/>
  <c r="U73" i="3"/>
  <c r="U178" i="3"/>
  <c r="T44" i="2"/>
  <c r="T35" i="2" s="1"/>
  <c r="T73" i="2" s="1"/>
  <c r="T75" i="2" s="1"/>
  <c r="Q44" i="2"/>
  <c r="Q35" i="2" s="1"/>
  <c r="Q73" i="2" s="1"/>
  <c r="Q75" i="2" s="1"/>
  <c r="E35" i="2"/>
  <c r="E73" i="2" s="1"/>
  <c r="E75" i="2" s="1"/>
  <c r="J44" i="2"/>
  <c r="J35" i="2" s="1"/>
  <c r="J73" i="2" s="1"/>
  <c r="J75" i="2" s="1"/>
  <c r="U44" i="2"/>
  <c r="U35" i="2" s="1"/>
  <c r="U73" i="2" s="1"/>
  <c r="U75" i="2" s="1"/>
  <c r="AQ64" i="2"/>
  <c r="C178" i="3"/>
  <c r="C73" i="3"/>
  <c r="I73" i="3"/>
  <c r="I178" i="3"/>
  <c r="E178" i="3"/>
  <c r="L73" i="3"/>
  <c r="L178" i="3"/>
  <c r="W73" i="3"/>
  <c r="W178" i="3"/>
  <c r="AQ48" i="2"/>
  <c r="AQ42" i="3"/>
  <c r="AQ33" i="3" s="1"/>
  <c r="AQ70" i="3" s="1"/>
  <c r="AQ72" i="3" s="1"/>
  <c r="AQ36" i="2"/>
  <c r="D44" i="2"/>
  <c r="D35" i="2" s="1"/>
  <c r="D73" i="2" s="1"/>
  <c r="D75" i="2" s="1"/>
  <c r="AQ44" i="2" l="1"/>
  <c r="AQ35" i="2" s="1"/>
  <c r="AQ73" i="2" s="1"/>
  <c r="AQ75" i="2" s="1"/>
  <c r="AQ77" i="2" s="1"/>
  <c r="AQ78" i="2" s="1"/>
  <c r="S82" i="2"/>
  <c r="S90" i="2" s="1"/>
  <c r="C82" i="2"/>
  <c r="C83" i="2" s="1"/>
  <c r="D179" i="3"/>
  <c r="P179" i="3"/>
  <c r="S76" i="2"/>
  <c r="C77" i="2"/>
  <c r="C78" i="2" s="1"/>
  <c r="M180" i="3"/>
  <c r="M181" i="3" s="1"/>
  <c r="O185" i="3"/>
  <c r="O193" i="3" s="1"/>
  <c r="M179" i="3"/>
  <c r="O179" i="3"/>
  <c r="P185" i="3"/>
  <c r="P193" i="3" s="1"/>
  <c r="F179" i="3"/>
  <c r="O82" i="2"/>
  <c r="O83" i="2" s="1"/>
  <c r="R180" i="3"/>
  <c r="R181" i="3" s="1"/>
  <c r="J179" i="3"/>
  <c r="O77" i="2"/>
  <c r="O78" i="2" s="1"/>
  <c r="R179" i="3"/>
  <c r="F185" i="3"/>
  <c r="F186" i="3" s="1"/>
  <c r="M82" i="2"/>
  <c r="M83" i="2" s="1"/>
  <c r="G180" i="3"/>
  <c r="G181" i="3" s="1"/>
  <c r="M76" i="2"/>
  <c r="G185" i="3"/>
  <c r="G186" i="3" s="1"/>
  <c r="J185" i="3"/>
  <c r="J186" i="3" s="1"/>
  <c r="D185" i="3"/>
  <c r="D186" i="3" s="1"/>
  <c r="X82" i="2"/>
  <c r="X76" i="2"/>
  <c r="X77" i="2"/>
  <c r="X78" i="2" s="1"/>
  <c r="D82" i="2"/>
  <c r="D76" i="2"/>
  <c r="D77" i="2"/>
  <c r="D78" i="2" s="1"/>
  <c r="L179" i="3"/>
  <c r="L180" i="3"/>
  <c r="L181" i="3" s="1"/>
  <c r="L185" i="3"/>
  <c r="U76" i="2"/>
  <c r="U77" i="2"/>
  <c r="U78" i="2" s="1"/>
  <c r="U82" i="2"/>
  <c r="Y82" i="2"/>
  <c r="Y76" i="2"/>
  <c r="Y77" i="2"/>
  <c r="Y78" i="2" s="1"/>
  <c r="H76" i="2"/>
  <c r="H77" i="2"/>
  <c r="H78" i="2" s="1"/>
  <c r="H82" i="2"/>
  <c r="S179" i="3"/>
  <c r="S180" i="3"/>
  <c r="S181" i="3" s="1"/>
  <c r="S185" i="3"/>
  <c r="J82" i="2"/>
  <c r="J77" i="2"/>
  <c r="J78" i="2" s="1"/>
  <c r="J76" i="2"/>
  <c r="AQ73" i="3"/>
  <c r="AQ178" i="3"/>
  <c r="E185" i="3"/>
  <c r="E180" i="3"/>
  <c r="E181" i="3" s="1"/>
  <c r="E179" i="3"/>
  <c r="F76" i="2"/>
  <c r="F82" i="2"/>
  <c r="F77" i="2"/>
  <c r="F78" i="2" s="1"/>
  <c r="T77" i="2"/>
  <c r="T78" i="2" s="1"/>
  <c r="T76" i="2"/>
  <c r="T82" i="2"/>
  <c r="Y185" i="3"/>
  <c r="Y180" i="3"/>
  <c r="Y181" i="3" s="1"/>
  <c r="Y179" i="3"/>
  <c r="T179" i="3"/>
  <c r="T180" i="3"/>
  <c r="T181" i="3" s="1"/>
  <c r="T185" i="3"/>
  <c r="H185" i="3"/>
  <c r="H180" i="3"/>
  <c r="H181" i="3" s="1"/>
  <c r="H179" i="3"/>
  <c r="G76" i="2"/>
  <c r="G77" i="2"/>
  <c r="G78" i="2" s="1"/>
  <c r="G82" i="2"/>
  <c r="M193" i="3"/>
  <c r="M186" i="3"/>
  <c r="N180" i="3"/>
  <c r="N181" i="3" s="1"/>
  <c r="N179" i="3"/>
  <c r="N185" i="3"/>
  <c r="N82" i="2"/>
  <c r="N76" i="2"/>
  <c r="N77" i="2"/>
  <c r="N78" i="2" s="1"/>
  <c r="I180" i="3"/>
  <c r="I181" i="3" s="1"/>
  <c r="I179" i="3"/>
  <c r="I185" i="3"/>
  <c r="C180" i="3"/>
  <c r="C181" i="3" s="1"/>
  <c r="C185" i="3"/>
  <c r="C179" i="3"/>
  <c r="U180" i="3"/>
  <c r="U181" i="3" s="1"/>
  <c r="U179" i="3"/>
  <c r="U185" i="3"/>
  <c r="V77" i="2"/>
  <c r="V78" i="2" s="1"/>
  <c r="V82" i="2"/>
  <c r="V76" i="2"/>
  <c r="V179" i="3"/>
  <c r="V180" i="3"/>
  <c r="V181" i="3" s="1"/>
  <c r="V185" i="3"/>
  <c r="W180" i="3"/>
  <c r="W181" i="3" s="1"/>
  <c r="W185" i="3"/>
  <c r="W179" i="3"/>
  <c r="E82" i="2"/>
  <c r="E77" i="2"/>
  <c r="E78" i="2" s="1"/>
  <c r="E76" i="2"/>
  <c r="Q179" i="3"/>
  <c r="Q180" i="3"/>
  <c r="Q181" i="3" s="1"/>
  <c r="Q185" i="3"/>
  <c r="Q77" i="2"/>
  <c r="Q78" i="2" s="1"/>
  <c r="Q76" i="2"/>
  <c r="Q82" i="2"/>
  <c r="I77" i="2"/>
  <c r="I78" i="2" s="1"/>
  <c r="I76" i="2"/>
  <c r="I82" i="2"/>
  <c r="X180" i="3"/>
  <c r="X181" i="3" s="1"/>
  <c r="X179" i="3"/>
  <c r="X185" i="3"/>
  <c r="W82" i="2"/>
  <c r="W76" i="2"/>
  <c r="W77" i="2"/>
  <c r="W78" i="2" s="1"/>
  <c r="L76" i="2"/>
  <c r="L82" i="2"/>
  <c r="L77" i="2"/>
  <c r="L78" i="2" s="1"/>
  <c r="P76" i="2"/>
  <c r="P82" i="2"/>
  <c r="P77" i="2"/>
  <c r="P78" i="2" s="1"/>
  <c r="K185" i="3"/>
  <c r="K179" i="3"/>
  <c r="K180" i="3"/>
  <c r="K181" i="3" s="1"/>
  <c r="R82" i="2"/>
  <c r="R77" i="2"/>
  <c r="R78" i="2" s="1"/>
  <c r="R76" i="2"/>
  <c r="K76" i="2"/>
  <c r="K77" i="2"/>
  <c r="K78" i="2" s="1"/>
  <c r="K82" i="2"/>
  <c r="R186" i="3"/>
  <c r="R193" i="3"/>
  <c r="P186" i="3" l="1"/>
  <c r="M90" i="2"/>
  <c r="M96" i="2" s="1"/>
  <c r="S83" i="2"/>
  <c r="J193" i="3"/>
  <c r="J196" i="3" s="1"/>
  <c r="J197" i="3" s="1"/>
  <c r="C90" i="2"/>
  <c r="C93" i="2" s="1"/>
  <c r="C94" i="2" s="1"/>
  <c r="O90" i="2"/>
  <c r="O93" i="2" s="1"/>
  <c r="O94" i="2" s="1"/>
  <c r="O186" i="3"/>
  <c r="F193" i="3"/>
  <c r="F199" i="3" s="1"/>
  <c r="G193" i="3"/>
  <c r="G196" i="3" s="1"/>
  <c r="G197" i="3" s="1"/>
  <c r="AQ76" i="2"/>
  <c r="AQ82" i="2"/>
  <c r="AQ83" i="2" s="1"/>
  <c r="D193" i="3"/>
  <c r="D196" i="3" s="1"/>
  <c r="D197" i="3" s="1"/>
  <c r="O196" i="3"/>
  <c r="O197" i="3" s="1"/>
  <c r="O199" i="3"/>
  <c r="T186" i="3"/>
  <c r="T193" i="3"/>
  <c r="H83" i="2"/>
  <c r="H90" i="2"/>
  <c r="L90" i="2"/>
  <c r="L83" i="2"/>
  <c r="I83" i="2"/>
  <c r="I90" i="2"/>
  <c r="W193" i="3"/>
  <c r="W186" i="3"/>
  <c r="V186" i="3"/>
  <c r="V193" i="3"/>
  <c r="V90" i="2"/>
  <c r="V83" i="2"/>
  <c r="R196" i="3"/>
  <c r="R197" i="3" s="1"/>
  <c r="R199" i="3"/>
  <c r="K83" i="2"/>
  <c r="K90" i="2"/>
  <c r="P90" i="2"/>
  <c r="P83" i="2"/>
  <c r="X186" i="3"/>
  <c r="X193" i="3"/>
  <c r="N83" i="2"/>
  <c r="N90" i="2"/>
  <c r="G90" i="2"/>
  <c r="G83" i="2"/>
  <c r="T90" i="2"/>
  <c r="T83" i="2"/>
  <c r="F90" i="2"/>
  <c r="F83" i="2"/>
  <c r="E193" i="3"/>
  <c r="E186" i="3"/>
  <c r="U90" i="2"/>
  <c r="U83" i="2"/>
  <c r="D83" i="2"/>
  <c r="D90" i="2"/>
  <c r="Q193" i="3"/>
  <c r="Q186" i="3"/>
  <c r="U193" i="3"/>
  <c r="U186" i="3"/>
  <c r="C193" i="3"/>
  <c r="C186" i="3"/>
  <c r="P196" i="3"/>
  <c r="P197" i="3" s="1"/>
  <c r="P199" i="3"/>
  <c r="H193" i="3"/>
  <c r="H186" i="3"/>
  <c r="AQ185" i="3"/>
  <c r="AQ179" i="3"/>
  <c r="AQ180" i="3"/>
  <c r="AQ181" i="3" s="1"/>
  <c r="S186" i="3"/>
  <c r="S193" i="3"/>
  <c r="S93" i="2"/>
  <c r="S94" i="2" s="1"/>
  <c r="S96" i="2"/>
  <c r="K186" i="3"/>
  <c r="K193" i="3"/>
  <c r="Q83" i="2"/>
  <c r="Q90" i="2"/>
  <c r="E90" i="2"/>
  <c r="E83" i="2"/>
  <c r="M93" i="2"/>
  <c r="M94" i="2" s="1"/>
  <c r="R83" i="2"/>
  <c r="R90" i="2"/>
  <c r="W83" i="2"/>
  <c r="W90" i="2"/>
  <c r="I193" i="3"/>
  <c r="I186" i="3"/>
  <c r="N193" i="3"/>
  <c r="N186" i="3"/>
  <c r="M196" i="3"/>
  <c r="M197" i="3" s="1"/>
  <c r="M199" i="3"/>
  <c r="Y186" i="3"/>
  <c r="Y193" i="3"/>
  <c r="J83" i="2"/>
  <c r="J90" i="2"/>
  <c r="Y83" i="2"/>
  <c r="Y90" i="2"/>
  <c r="L186" i="3"/>
  <c r="L193" i="3"/>
  <c r="X90" i="2"/>
  <c r="X83" i="2"/>
  <c r="J199" i="3" l="1"/>
  <c r="C96" i="2"/>
  <c r="O96" i="2"/>
  <c r="F196" i="3"/>
  <c r="F197" i="3" s="1"/>
  <c r="D199" i="3"/>
  <c r="AQ90" i="2"/>
  <c r="AQ93" i="2" s="1"/>
  <c r="AQ94" i="2" s="1"/>
  <c r="G199" i="3"/>
  <c r="N93" i="2"/>
  <c r="N94" i="2" s="1"/>
  <c r="N96" i="2"/>
  <c r="H93" i="2"/>
  <c r="H94" i="2" s="1"/>
  <c r="H96" i="2"/>
  <c r="T196" i="3"/>
  <c r="T197" i="3" s="1"/>
  <c r="T199" i="3"/>
  <c r="Y93" i="2"/>
  <c r="Y94" i="2" s="1"/>
  <c r="Y96" i="2"/>
  <c r="W93" i="2"/>
  <c r="W94" i="2" s="1"/>
  <c r="W96" i="2"/>
  <c r="C196" i="3"/>
  <c r="C197" i="3" s="1"/>
  <c r="C199" i="3"/>
  <c r="F93" i="2"/>
  <c r="F94" i="2" s="1"/>
  <c r="F96" i="2"/>
  <c r="G93" i="2"/>
  <c r="G94" i="2" s="1"/>
  <c r="G96" i="2"/>
  <c r="L93" i="2"/>
  <c r="L94" i="2" s="1"/>
  <c r="L96" i="2"/>
  <c r="X93" i="2"/>
  <c r="X94" i="2" s="1"/>
  <c r="X96" i="2"/>
  <c r="I196" i="3"/>
  <c r="I197" i="3" s="1"/>
  <c r="I199" i="3"/>
  <c r="X196" i="3"/>
  <c r="X197" i="3" s="1"/>
  <c r="X199" i="3"/>
  <c r="K93" i="2"/>
  <c r="K94" i="2" s="1"/>
  <c r="K96" i="2"/>
  <c r="I93" i="2"/>
  <c r="I94" i="2" s="1"/>
  <c r="I96" i="2"/>
  <c r="L196" i="3"/>
  <c r="L197" i="3" s="1"/>
  <c r="L199" i="3"/>
  <c r="Y196" i="3"/>
  <c r="Y197" i="3" s="1"/>
  <c r="Y199" i="3"/>
  <c r="R93" i="2"/>
  <c r="R94" i="2" s="1"/>
  <c r="R96" i="2"/>
  <c r="K196" i="3"/>
  <c r="K197" i="3" s="1"/>
  <c r="K199" i="3"/>
  <c r="S196" i="3"/>
  <c r="S197" i="3" s="1"/>
  <c r="S199" i="3"/>
  <c r="AQ186" i="3"/>
  <c r="AQ193" i="3"/>
  <c r="U196" i="3"/>
  <c r="U197" i="3" s="1"/>
  <c r="U199" i="3"/>
  <c r="Q196" i="3"/>
  <c r="Q197" i="3" s="1"/>
  <c r="Q199" i="3"/>
  <c r="U93" i="2"/>
  <c r="U94" i="2" s="1"/>
  <c r="U96" i="2"/>
  <c r="E196" i="3"/>
  <c r="E197" i="3" s="1"/>
  <c r="E199" i="3"/>
  <c r="T93" i="2"/>
  <c r="T94" i="2" s="1"/>
  <c r="T96" i="2"/>
  <c r="V93" i="2"/>
  <c r="V94" i="2" s="1"/>
  <c r="V96" i="2"/>
  <c r="W196" i="3"/>
  <c r="W197" i="3" s="1"/>
  <c r="W199" i="3"/>
  <c r="N196" i="3"/>
  <c r="N197" i="3" s="1"/>
  <c r="N199" i="3"/>
  <c r="E93" i="2"/>
  <c r="E94" i="2" s="1"/>
  <c r="E96" i="2"/>
  <c r="D93" i="2"/>
  <c r="D94" i="2" s="1"/>
  <c r="D96" i="2"/>
  <c r="V196" i="3"/>
  <c r="V197" i="3" s="1"/>
  <c r="V199" i="3"/>
  <c r="J93" i="2"/>
  <c r="J94" i="2" s="1"/>
  <c r="J96" i="2"/>
  <c r="Q93" i="2"/>
  <c r="Q94" i="2" s="1"/>
  <c r="Q96" i="2"/>
  <c r="H196" i="3"/>
  <c r="H197" i="3" s="1"/>
  <c r="H199" i="3"/>
  <c r="P93" i="2"/>
  <c r="P94" i="2" s="1"/>
  <c r="P96" i="2"/>
  <c r="AQ96" i="2" l="1"/>
  <c r="AQ196" i="3"/>
  <c r="AQ197" i="3" s="1"/>
  <c r="AQ199" i="3"/>
  <c r="C596" i="45" l="1"/>
  <c r="C701" i="45" s="1"/>
  <c r="C806" i="45" s="1"/>
  <c r="C911" i="45" s="1"/>
  <c r="C1016" i="45" s="1"/>
  <c r="C1121" i="45" s="1"/>
  <c r="C1226" i="45" s="1"/>
  <c r="C1331" i="45" s="1"/>
  <c r="C1436" i="45" s="1"/>
  <c r="E528" i="45"/>
  <c r="E633" i="45" s="1"/>
  <c r="E560" i="45"/>
  <c r="E665" i="45"/>
  <c r="E770" i="45" s="1"/>
  <c r="E875" i="45" s="1"/>
  <c r="E980" i="45" s="1"/>
  <c r="E1085" i="45" s="1"/>
  <c r="E1190" i="45" s="1"/>
  <c r="E1295" i="45" s="1"/>
  <c r="E1400" i="45" s="1"/>
  <c r="C591" i="45"/>
  <c r="C696" i="45" s="1"/>
  <c r="C801" i="45" s="1"/>
  <c r="C906" i="45" s="1"/>
  <c r="C1011" i="45" s="1"/>
  <c r="E525" i="45"/>
  <c r="E630" i="45" s="1"/>
  <c r="E735" i="45" s="1"/>
  <c r="E840" i="45" s="1"/>
  <c r="E945" i="45" s="1"/>
  <c r="E1050" i="45" s="1"/>
  <c r="E1155" i="45" s="1"/>
  <c r="E1260" i="45" s="1"/>
  <c r="E1365" i="45" s="1"/>
  <c r="F590" i="45"/>
  <c r="F695" i="45" s="1"/>
  <c r="F800" i="45" s="1"/>
  <c r="F905" i="45" s="1"/>
  <c r="F1010" i="45" s="1"/>
  <c r="F1115" i="45" s="1"/>
  <c r="F1220" i="45" s="1"/>
  <c r="F1325" i="45" s="1"/>
  <c r="D584" i="45"/>
  <c r="D689" i="45" s="1"/>
  <c r="D794" i="45" s="1"/>
  <c r="D899" i="45" s="1"/>
  <c r="D1004" i="45" s="1"/>
  <c r="D1109" i="45" s="1"/>
  <c r="D1214" i="45" s="1"/>
  <c r="D1319" i="45" s="1"/>
  <c r="D1424" i="45" s="1"/>
  <c r="F538" i="45"/>
  <c r="F643" i="45" s="1"/>
  <c r="F748" i="45" s="1"/>
  <c r="F853" i="45" s="1"/>
  <c r="F958" i="45" s="1"/>
  <c r="F570" i="45"/>
  <c r="F675" i="45" s="1"/>
  <c r="F780" i="45" s="1"/>
  <c r="F885" i="45" s="1"/>
  <c r="F990" i="45" s="1"/>
  <c r="F1095" i="45" s="1"/>
  <c r="F1200" i="45" s="1"/>
  <c r="F1305" i="45" s="1"/>
  <c r="F1410" i="45" s="1"/>
  <c r="C509" i="45"/>
  <c r="C614" i="45" s="1"/>
  <c r="C719" i="45" s="1"/>
  <c r="C824" i="45" s="1"/>
  <c r="C929" i="45" s="1"/>
  <c r="C1034" i="45" s="1"/>
  <c r="C1139" i="45" s="1"/>
  <c r="C1244" i="45" s="1"/>
  <c r="C540" i="45"/>
  <c r="C645" i="45" s="1"/>
  <c r="C750" i="45" s="1"/>
  <c r="C855" i="45" s="1"/>
  <c r="C960" i="45" s="1"/>
  <c r="C1065" i="45" s="1"/>
  <c r="C1170" i="45" s="1"/>
  <c r="C1275" i="45" s="1"/>
  <c r="C1380" i="45" s="1"/>
  <c r="G589" i="45"/>
  <c r="G694" i="45" s="1"/>
  <c r="G799" i="45" s="1"/>
  <c r="G904" i="45" s="1"/>
  <c r="G1009" i="45" s="1"/>
  <c r="G1114" i="45" s="1"/>
  <c r="G1219" i="45" s="1"/>
  <c r="G1324" i="45" s="1"/>
  <c r="F501" i="45"/>
  <c r="F606" i="45" s="1"/>
  <c r="F711" i="45" s="1"/>
  <c r="F816" i="45" s="1"/>
  <c r="F921" i="45" s="1"/>
  <c r="F1026" i="45" s="1"/>
  <c r="F1131" i="45" s="1"/>
  <c r="F1236" i="45" s="1"/>
  <c r="F1341" i="45" s="1"/>
  <c r="F517" i="45"/>
  <c r="F622" i="45" s="1"/>
  <c r="F727" i="45" s="1"/>
  <c r="F832" i="45" s="1"/>
  <c r="F937" i="45" s="1"/>
  <c r="F1042" i="45" s="1"/>
  <c r="F1147" i="45" s="1"/>
  <c r="F1252" i="45" s="1"/>
  <c r="F1357" i="45" s="1"/>
  <c r="G501" i="45"/>
  <c r="G606" i="45" s="1"/>
  <c r="G711" i="45" s="1"/>
  <c r="G816" i="45" s="1"/>
  <c r="G921" i="45" s="1"/>
  <c r="G1026" i="45" s="1"/>
  <c r="G1131" i="45" s="1"/>
  <c r="G1236" i="45" s="1"/>
  <c r="G1341" i="45" s="1"/>
  <c r="G517" i="45"/>
  <c r="G622" i="45" s="1"/>
  <c r="G533" i="45"/>
  <c r="G638" i="45" s="1"/>
  <c r="G743" i="45" s="1"/>
  <c r="G848" i="45" s="1"/>
  <c r="G953" i="45" s="1"/>
  <c r="G1058" i="45" s="1"/>
  <c r="G1163" i="45" s="1"/>
  <c r="G1268" i="45" s="1"/>
  <c r="G1373" i="45" s="1"/>
  <c r="G541" i="45"/>
  <c r="G646" i="45" s="1"/>
  <c r="G751" i="45" s="1"/>
  <c r="G856" i="45" s="1"/>
  <c r="G961" i="45" s="1"/>
  <c r="G1066" i="45" s="1"/>
  <c r="G1171" i="45" s="1"/>
  <c r="G1276" i="45" s="1"/>
  <c r="G1381" i="45" s="1"/>
  <c r="G557" i="45"/>
  <c r="G662" i="45" s="1"/>
  <c r="G767" i="45" s="1"/>
  <c r="G872" i="45" s="1"/>
  <c r="G977" i="45" s="1"/>
  <c r="G1082" i="45" s="1"/>
  <c r="G1187" i="45" s="1"/>
  <c r="G1292" i="45" s="1"/>
  <c r="G1397" i="45" s="1"/>
  <c r="G573" i="45"/>
  <c r="G678" i="45" s="1"/>
  <c r="G783" i="45" s="1"/>
  <c r="G888" i="45" s="1"/>
  <c r="G993" i="45" s="1"/>
  <c r="G1098" i="45" s="1"/>
  <c r="G1203" i="45" s="1"/>
  <c r="G1308" i="45" s="1"/>
  <c r="G1413" i="45" s="1"/>
  <c r="F592" i="45"/>
  <c r="F697" i="45" s="1"/>
  <c r="F802" i="45" s="1"/>
  <c r="F907" i="45" s="1"/>
  <c r="F1012" i="45" s="1"/>
  <c r="F1117" i="45" s="1"/>
  <c r="F1222" i="45" s="1"/>
  <c r="F1327" i="45" s="1"/>
  <c r="F1432" i="45" s="1"/>
  <c r="E537" i="45"/>
  <c r="E642" i="45" s="1"/>
  <c r="E747" i="45" s="1"/>
  <c r="E852" i="45" s="1"/>
  <c r="E957" i="45" s="1"/>
  <c r="E1062" i="45" s="1"/>
  <c r="E1167" i="45" s="1"/>
  <c r="E1272" i="45" s="1"/>
  <c r="E1377" i="45" s="1"/>
  <c r="E569" i="45"/>
  <c r="E674" i="45" s="1"/>
  <c r="E779" i="45" s="1"/>
  <c r="E884" i="45" s="1"/>
  <c r="E989" i="45" s="1"/>
  <c r="E1094" i="45" s="1"/>
  <c r="E1199" i="45" s="1"/>
  <c r="E1304" i="45" s="1"/>
  <c r="E1409" i="45" s="1"/>
  <c r="F559" i="45"/>
  <c r="F664" i="45" s="1"/>
  <c r="F769" i="45" s="1"/>
  <c r="F874" i="45" s="1"/>
  <c r="F979" i="45" s="1"/>
  <c r="F575" i="45"/>
  <c r="F680" i="45" s="1"/>
  <c r="F785" i="45" s="1"/>
  <c r="F890" i="45" s="1"/>
  <c r="F995" i="45" s="1"/>
  <c r="F1100" i="45" s="1"/>
  <c r="F1205" i="45" s="1"/>
  <c r="F1310" i="45" s="1"/>
  <c r="F1415" i="45" s="1"/>
  <c r="C512" i="45"/>
  <c r="C617" i="45" s="1"/>
  <c r="C722" i="45" s="1"/>
  <c r="C827" i="45" s="1"/>
  <c r="C932" i="45" s="1"/>
  <c r="C1037" i="45" s="1"/>
  <c r="C1142" i="45" s="1"/>
  <c r="C1247" i="45" s="1"/>
  <c r="C1352" i="45" s="1"/>
  <c r="C529" i="45"/>
  <c r="C634" i="45" s="1"/>
  <c r="C739" i="45" s="1"/>
  <c r="C844" i="45" s="1"/>
  <c r="C949" i="45" s="1"/>
  <c r="C1054" i="45" s="1"/>
  <c r="C1159" i="45" s="1"/>
  <c r="C1264" i="45" s="1"/>
  <c r="C1369" i="45" s="1"/>
  <c r="C545" i="45"/>
  <c r="C650" i="45" s="1"/>
  <c r="C755" i="45" s="1"/>
  <c r="C860" i="45" s="1"/>
  <c r="C965" i="45" s="1"/>
  <c r="C561" i="45"/>
  <c r="C666" i="45" s="1"/>
  <c r="C771" i="45" s="1"/>
  <c r="C876" i="45" s="1"/>
  <c r="C981" i="45" s="1"/>
  <c r="C1086" i="45" s="1"/>
  <c r="C1191" i="45" s="1"/>
  <c r="C1296" i="45" s="1"/>
  <c r="C1401" i="45" s="1"/>
  <c r="C577" i="45"/>
  <c r="C682" i="45" s="1"/>
  <c r="C787" i="45" s="1"/>
  <c r="C892" i="45" s="1"/>
  <c r="C997" i="45" s="1"/>
  <c r="C1102" i="45" s="1"/>
  <c r="C1207" i="45" s="1"/>
  <c r="C1312" i="45" s="1"/>
  <c r="G597" i="45"/>
  <c r="G702" i="45" s="1"/>
  <c r="G807" i="45" s="1"/>
  <c r="G912" i="45" s="1"/>
  <c r="G1017" i="45" s="1"/>
  <c r="G1122" i="45" s="1"/>
  <c r="G1227" i="45" s="1"/>
  <c r="G1332" i="45" s="1"/>
  <c r="G1437" i="45" s="1"/>
  <c r="D578" i="45"/>
  <c r="D683" i="45" s="1"/>
  <c r="D597" i="45"/>
  <c r="D702" i="45" s="1"/>
  <c r="D807" i="45" s="1"/>
  <c r="D912" i="45" s="1"/>
  <c r="D1017" i="45" s="1"/>
  <c r="D1122" i="45" s="1"/>
  <c r="D1227" i="45" s="1"/>
  <c r="D1332" i="45" s="1"/>
  <c r="D1437" i="45" s="1"/>
  <c r="E514" i="45"/>
  <c r="E619" i="45" s="1"/>
  <c r="E530" i="45"/>
  <c r="E635" i="45" s="1"/>
  <c r="E740" i="45" s="1"/>
  <c r="E845" i="45" s="1"/>
  <c r="E546" i="45"/>
  <c r="E651" i="45" s="1"/>
  <c r="E756" i="45" s="1"/>
  <c r="E562" i="45"/>
  <c r="E667" i="45" s="1"/>
  <c r="E772" i="45" s="1"/>
  <c r="E877" i="45" s="1"/>
  <c r="E982" i="45" s="1"/>
  <c r="E1087" i="45" s="1"/>
  <c r="E1192" i="45" s="1"/>
  <c r="E1297" i="45" s="1"/>
  <c r="E1402" i="45" s="1"/>
  <c r="E578" i="45"/>
  <c r="E683" i="45" s="1"/>
  <c r="E788" i="45" s="1"/>
  <c r="D592" i="45"/>
  <c r="D697" i="45" s="1"/>
  <c r="D802" i="45" s="1"/>
  <c r="D907" i="45" s="1"/>
  <c r="D1012" i="45" s="1"/>
  <c r="D1117" i="45" s="1"/>
  <c r="D1222" i="45" s="1"/>
  <c r="D1327" i="45" s="1"/>
  <c r="D1432" i="45" s="1"/>
  <c r="E598" i="45"/>
  <c r="E703" i="45" s="1"/>
  <c r="E808" i="45" s="1"/>
  <c r="E913" i="45" s="1"/>
  <c r="E1018" i="45" s="1"/>
  <c r="E1123" i="45" s="1"/>
  <c r="E1228" i="45" s="1"/>
  <c r="E1333" i="45" s="1"/>
  <c r="E1438" i="45" s="1"/>
  <c r="E529" i="45"/>
  <c r="E634" i="45" s="1"/>
  <c r="E739" i="45" s="1"/>
  <c r="E844" i="45" s="1"/>
  <c r="E949" i="45" s="1"/>
  <c r="E1054" i="45" s="1"/>
  <c r="E1159" i="45" s="1"/>
  <c r="E1264" i="45" s="1"/>
  <c r="E1369" i="45" s="1"/>
  <c r="E563" i="45"/>
  <c r="E668" i="45" s="1"/>
  <c r="E773" i="45" s="1"/>
  <c r="E878" i="45" s="1"/>
  <c r="E983" i="45" s="1"/>
  <c r="E1088" i="45" s="1"/>
  <c r="E1193" i="45" s="1"/>
  <c r="E1298" i="45" s="1"/>
  <c r="E593" i="45"/>
  <c r="E698" i="45"/>
  <c r="F525" i="45"/>
  <c r="F630" i="45" s="1"/>
  <c r="F735" i="45" s="1"/>
  <c r="F840" i="45" s="1"/>
  <c r="F945" i="45" s="1"/>
  <c r="F540" i="45"/>
  <c r="F645" i="45" s="1"/>
  <c r="F750" i="45" s="1"/>
  <c r="F855" i="45" s="1"/>
  <c r="F960" i="45" s="1"/>
  <c r="F1065" i="45" s="1"/>
  <c r="F1170" i="45" s="1"/>
  <c r="F1275" i="45" s="1"/>
  <c r="F1380" i="45" s="1"/>
  <c r="F556" i="45"/>
  <c r="F661" i="45" s="1"/>
  <c r="F766" i="45" s="1"/>
  <c r="F871" i="45" s="1"/>
  <c r="F976" i="45" s="1"/>
  <c r="F572" i="45"/>
  <c r="F677" i="45" s="1"/>
  <c r="F782" i="45" s="1"/>
  <c r="F887" i="45" s="1"/>
  <c r="F992" i="45" s="1"/>
  <c r="F1097" i="45" s="1"/>
  <c r="F1202" i="45" s="1"/>
  <c r="F1307" i="45" s="1"/>
  <c r="F1412" i="45" s="1"/>
  <c r="D591" i="45"/>
  <c r="D696" i="45" s="1"/>
  <c r="D801" i="45" s="1"/>
  <c r="D906" i="45" s="1"/>
  <c r="D1011" i="45" s="1"/>
  <c r="C510" i="45"/>
  <c r="C615" i="45" s="1"/>
  <c r="C720" i="45" s="1"/>
  <c r="C825" i="45" s="1"/>
  <c r="C930" i="45" s="1"/>
  <c r="C1035" i="45" s="1"/>
  <c r="C1140" i="45" s="1"/>
  <c r="C1245" i="45" s="1"/>
  <c r="C1350" i="45" s="1"/>
  <c r="C527" i="45"/>
  <c r="C632" i="45" s="1"/>
  <c r="C737" i="45" s="1"/>
  <c r="C842" i="45" s="1"/>
  <c r="C947" i="45" s="1"/>
  <c r="C1052" i="45" s="1"/>
  <c r="C1157" i="45" s="1"/>
  <c r="C1262" i="45" s="1"/>
  <c r="C542" i="45"/>
  <c r="C647" i="45"/>
  <c r="C752" i="45" s="1"/>
  <c r="C857" i="45" s="1"/>
  <c r="C962" i="45" s="1"/>
  <c r="C1067" i="45" s="1"/>
  <c r="C1172" i="45" s="1"/>
  <c r="C1277" i="45" s="1"/>
  <c r="C1382" i="45" s="1"/>
  <c r="C558" i="45"/>
  <c r="C663" i="45" s="1"/>
  <c r="C768" i="45" s="1"/>
  <c r="C873" i="45" s="1"/>
  <c r="C978" i="45" s="1"/>
  <c r="C574" i="45"/>
  <c r="C679" i="45" s="1"/>
  <c r="C784" i="45" s="1"/>
  <c r="C889" i="45" s="1"/>
  <c r="C994" i="45" s="1"/>
  <c r="C1099" i="45" s="1"/>
  <c r="C1204" i="45" s="1"/>
  <c r="C1309" i="45" s="1"/>
  <c r="C1414" i="45" s="1"/>
  <c r="C593" i="45"/>
  <c r="C698" i="45" s="1"/>
  <c r="C803" i="45" s="1"/>
  <c r="C908" i="45" s="1"/>
  <c r="C1013" i="45" s="1"/>
  <c r="F502" i="45"/>
  <c r="F607" i="45" s="1"/>
  <c r="F712" i="45" s="1"/>
  <c r="F817" i="45" s="1"/>
  <c r="F922" i="45" s="1"/>
  <c r="F1027" i="45" s="1"/>
  <c r="F1132" i="45" s="1"/>
  <c r="F1237" i="45" s="1"/>
  <c r="F1342" i="45" s="1"/>
  <c r="F510" i="45"/>
  <c r="F615" i="45" s="1"/>
  <c r="F518" i="45"/>
  <c r="F623" i="45" s="1"/>
  <c r="F728" i="45" s="1"/>
  <c r="F833" i="45" s="1"/>
  <c r="F938" i="45" s="1"/>
  <c r="F1043" i="45" s="1"/>
  <c r="F1148" i="45" s="1"/>
  <c r="F1253" i="45" s="1"/>
  <c r="F1358" i="45" s="1"/>
  <c r="F589" i="45"/>
  <c r="F694" i="45" s="1"/>
  <c r="G502" i="45"/>
  <c r="G607" i="45" s="1"/>
  <c r="G712" i="45" s="1"/>
  <c r="G817" i="45" s="1"/>
  <c r="G922" i="45" s="1"/>
  <c r="G1027" i="45" s="1"/>
  <c r="G1132" i="45" s="1"/>
  <c r="G1237" i="45" s="1"/>
  <c r="G1342" i="45" s="1"/>
  <c r="G510" i="45"/>
  <c r="G615" i="45" s="1"/>
  <c r="G518" i="45"/>
  <c r="G623" i="45" s="1"/>
  <c r="G728" i="45" s="1"/>
  <c r="G833" i="45" s="1"/>
  <c r="G938" i="45" s="1"/>
  <c r="G1043" i="45" s="1"/>
  <c r="G1148" i="45" s="1"/>
  <c r="G1253" i="45" s="1"/>
  <c r="G1358" i="45" s="1"/>
  <c r="G526" i="45"/>
  <c r="G631" i="45" s="1"/>
  <c r="G736" i="45" s="1"/>
  <c r="G841" i="45" s="1"/>
  <c r="G946" i="45" s="1"/>
  <c r="G1051" i="45" s="1"/>
  <c r="G1156" i="45" s="1"/>
  <c r="G1261" i="45" s="1"/>
  <c r="G1366" i="45" s="1"/>
  <c r="G534" i="45"/>
  <c r="G639" i="45" s="1"/>
  <c r="G542" i="45"/>
  <c r="G647" i="45" s="1"/>
  <c r="G550" i="45"/>
  <c r="G655" i="45" s="1"/>
  <c r="G760" i="45" s="1"/>
  <c r="G865" i="45" s="1"/>
  <c r="G970" i="45" s="1"/>
  <c r="G1075" i="45" s="1"/>
  <c r="G1180" i="45" s="1"/>
  <c r="G1285" i="45" s="1"/>
  <c r="G1390" i="45" s="1"/>
  <c r="G558" i="45"/>
  <c r="G663" i="45" s="1"/>
  <c r="G768" i="45" s="1"/>
  <c r="G873" i="45" s="1"/>
  <c r="G978" i="45" s="1"/>
  <c r="G1083" i="45" s="1"/>
  <c r="G1188" i="45" s="1"/>
  <c r="G1293" i="45" s="1"/>
  <c r="G1398" i="45" s="1"/>
  <c r="G566" i="45"/>
  <c r="G671" i="45" s="1"/>
  <c r="G776" i="45" s="1"/>
  <c r="G881" i="45" s="1"/>
  <c r="G986" i="45" s="1"/>
  <c r="G1091" i="45" s="1"/>
  <c r="G1196" i="45" s="1"/>
  <c r="G1301" i="45" s="1"/>
  <c r="G1406" i="45" s="1"/>
  <c r="G574" i="45"/>
  <c r="G679" i="45" s="1"/>
  <c r="G582" i="45"/>
  <c r="G687" i="45" s="1"/>
  <c r="G792" i="45" s="1"/>
  <c r="G897" i="45" s="1"/>
  <c r="G1002" i="45" s="1"/>
  <c r="G1107" i="45" s="1"/>
  <c r="G1212" i="45" s="1"/>
  <c r="G1317" i="45" s="1"/>
  <c r="G1422" i="45" s="1"/>
  <c r="G593" i="45"/>
  <c r="G698" i="45" s="1"/>
  <c r="D585" i="45"/>
  <c r="D690" i="45"/>
  <c r="E519" i="45"/>
  <c r="E624" i="45" s="1"/>
  <c r="E729" i="45" s="1"/>
  <c r="E834" i="45" s="1"/>
  <c r="E939" i="45" s="1"/>
  <c r="E1044" i="45" s="1"/>
  <c r="E1149" i="45" s="1"/>
  <c r="E1254" i="45" s="1"/>
  <c r="E1359" i="45" s="1"/>
  <c r="E551" i="45"/>
  <c r="E656" i="45" s="1"/>
  <c r="E761" i="45" s="1"/>
  <c r="E866" i="45" s="1"/>
  <c r="E971" i="45" s="1"/>
  <c r="E1076" i="45" s="1"/>
  <c r="E1181" i="45" s="1"/>
  <c r="E1286" i="45" s="1"/>
  <c r="E1391" i="45" s="1"/>
  <c r="E581" i="45"/>
  <c r="E686" i="45" s="1"/>
  <c r="E791" i="45" s="1"/>
  <c r="E896" i="45" s="1"/>
  <c r="E1001" i="45" s="1"/>
  <c r="E1106" i="45" s="1"/>
  <c r="E1211" i="45" s="1"/>
  <c r="E1316" i="45" s="1"/>
  <c r="F528" i="45"/>
  <c r="F633" i="45"/>
  <c r="F738" i="45" s="1"/>
  <c r="F843" i="45" s="1"/>
  <c r="F948" i="45" s="1"/>
  <c r="F1053" i="45" s="1"/>
  <c r="F1158" i="45" s="1"/>
  <c r="F1263" i="45" s="1"/>
  <c r="F1368" i="45" s="1"/>
  <c r="F545" i="45"/>
  <c r="F650" i="45" s="1"/>
  <c r="F561" i="45"/>
  <c r="F666" i="45" s="1"/>
  <c r="F771" i="45" s="1"/>
  <c r="F876" i="45" s="1"/>
  <c r="F981" i="45" s="1"/>
  <c r="F1086" i="45" s="1"/>
  <c r="F1191" i="45" s="1"/>
  <c r="F1296" i="45" s="1"/>
  <c r="F1401" i="45" s="1"/>
  <c r="F577" i="45"/>
  <c r="F682" i="45" s="1"/>
  <c r="F787" i="45" s="1"/>
  <c r="F892" i="45" s="1"/>
  <c r="F997" i="45" s="1"/>
  <c r="F1102" i="45" s="1"/>
  <c r="F1207" i="45" s="1"/>
  <c r="F1312" i="45" s="1"/>
  <c r="C598" i="45"/>
  <c r="C703" i="45" s="1"/>
  <c r="C808" i="45" s="1"/>
  <c r="C913" i="45" s="1"/>
  <c r="C1018" i="45" s="1"/>
  <c r="C1123" i="45" s="1"/>
  <c r="C1228" i="45" s="1"/>
  <c r="C1333" i="45" s="1"/>
  <c r="C1438" i="45" s="1"/>
  <c r="C515" i="45"/>
  <c r="C620" i="45" s="1"/>
  <c r="C725" i="45" s="1"/>
  <c r="C830" i="45" s="1"/>
  <c r="C935" i="45" s="1"/>
  <c r="C531" i="45"/>
  <c r="C636" i="45" s="1"/>
  <c r="C741" i="45" s="1"/>
  <c r="C846" i="45" s="1"/>
  <c r="C951" i="45" s="1"/>
  <c r="C1056" i="45" s="1"/>
  <c r="C1161" i="45" s="1"/>
  <c r="C1266" i="45" s="1"/>
  <c r="C1371" i="45" s="1"/>
  <c r="C547" i="45"/>
  <c r="C652" i="45" s="1"/>
  <c r="C757" i="45" s="1"/>
  <c r="C862" i="45" s="1"/>
  <c r="C967" i="45" s="1"/>
  <c r="C1072" i="45" s="1"/>
  <c r="C1177" i="45" s="1"/>
  <c r="C1282" i="45" s="1"/>
  <c r="C563" i="45"/>
  <c r="C668" i="45" s="1"/>
  <c r="C773" i="45" s="1"/>
  <c r="C878" i="45" s="1"/>
  <c r="C983" i="45" s="1"/>
  <c r="C1088" i="45" s="1"/>
  <c r="C1193" i="45" s="1"/>
  <c r="C1298" i="45" s="1"/>
  <c r="C1403" i="45" s="1"/>
  <c r="C579" i="45"/>
  <c r="C684" i="45" s="1"/>
  <c r="C789" i="45" s="1"/>
  <c r="C894" i="45" s="1"/>
  <c r="C999" i="45" s="1"/>
  <c r="C1104" i="45" s="1"/>
  <c r="C1209" i="45" s="1"/>
  <c r="C1314" i="45" s="1"/>
  <c r="G588" i="45"/>
  <c r="G693" i="45" s="1"/>
  <c r="G798" i="45" s="1"/>
  <c r="G903" i="45" s="1"/>
  <c r="G1008" i="45" s="1"/>
  <c r="G1113" i="45" s="1"/>
  <c r="G1218" i="45" s="1"/>
  <c r="G1323" i="45" s="1"/>
  <c r="G1428" i="45" s="1"/>
  <c r="E504" i="45"/>
  <c r="E609" i="45" s="1"/>
  <c r="E714" i="45" s="1"/>
  <c r="E819" i="45" s="1"/>
  <c r="E924" i="45" s="1"/>
  <c r="E1029" i="45" s="1"/>
  <c r="E1134" i="45" s="1"/>
  <c r="E1239" i="45" s="1"/>
  <c r="E1344" i="45" s="1"/>
  <c r="E520" i="45"/>
  <c r="E625" i="45" s="1"/>
  <c r="E536" i="45"/>
  <c r="E641" i="45" s="1"/>
  <c r="E552" i="45"/>
  <c r="E657" i="45" s="1"/>
  <c r="E762" i="45" s="1"/>
  <c r="E867" i="45" s="1"/>
  <c r="E972" i="45" s="1"/>
  <c r="E1077" i="45" s="1"/>
  <c r="E1182" i="45" s="1"/>
  <c r="E1287" i="45" s="1"/>
  <c r="E1392" i="45" s="1"/>
  <c r="E568" i="45"/>
  <c r="E673" i="45" s="1"/>
  <c r="E778" i="45" s="1"/>
  <c r="E883" i="45" s="1"/>
  <c r="E988" i="45" s="1"/>
  <c r="E1093" i="45" s="1"/>
  <c r="E1198" i="45" s="1"/>
  <c r="E1303" i="45" s="1"/>
  <c r="E1408" i="45" s="1"/>
  <c r="E584" i="45"/>
  <c r="E689" i="45"/>
  <c r="E794" i="45" s="1"/>
  <c r="E899" i="45" s="1"/>
  <c r="E1004" i="45" s="1"/>
  <c r="E1109" i="45" s="1"/>
  <c r="E1214" i="45" s="1"/>
  <c r="E1319" i="45" s="1"/>
  <c r="E597" i="45"/>
  <c r="E702" i="45" s="1"/>
  <c r="E807" i="45" s="1"/>
  <c r="E912" i="45" s="1"/>
  <c r="E1017" i="45" s="1"/>
  <c r="D569" i="45"/>
  <c r="D674" i="45" s="1"/>
  <c r="D779" i="45" s="1"/>
  <c r="D884" i="45" s="1"/>
  <c r="D989" i="45" s="1"/>
  <c r="D1094" i="45" s="1"/>
  <c r="D1199" i="45" s="1"/>
  <c r="D1304" i="45" s="1"/>
  <c r="D1409" i="45" s="1"/>
  <c r="E509" i="45"/>
  <c r="E614" i="45" s="1"/>
  <c r="E719" i="45" s="1"/>
  <c r="E541" i="45"/>
  <c r="E646" i="45" s="1"/>
  <c r="E751" i="45" s="1"/>
  <c r="E856" i="45" s="1"/>
  <c r="E961" i="45" s="1"/>
  <c r="E1066" i="45" s="1"/>
  <c r="E1171" i="45" s="1"/>
  <c r="E1276" i="45" s="1"/>
  <c r="E575" i="45"/>
  <c r="E680" i="45" s="1"/>
  <c r="E785" i="45" s="1"/>
  <c r="E890" i="45" s="1"/>
  <c r="E995" i="45" s="1"/>
  <c r="F530" i="45"/>
  <c r="F635" i="45" s="1"/>
  <c r="F740" i="45" s="1"/>
  <c r="F845" i="45" s="1"/>
  <c r="F950" i="45" s="1"/>
  <c r="F1055" i="45" s="1"/>
  <c r="F1160" i="45" s="1"/>
  <c r="F1265" i="45" s="1"/>
  <c r="F1370" i="45" s="1"/>
  <c r="F546" i="45"/>
  <c r="F651" i="45" s="1"/>
  <c r="F562" i="45"/>
  <c r="F667" i="45"/>
  <c r="F578" i="45"/>
  <c r="F683" i="45" s="1"/>
  <c r="F788" i="45" s="1"/>
  <c r="F893" i="45" s="1"/>
  <c r="F998" i="45" s="1"/>
  <c r="C501" i="45"/>
  <c r="C517" i="45"/>
  <c r="C622" i="45" s="1"/>
  <c r="C727" i="45" s="1"/>
  <c r="C533" i="45"/>
  <c r="C638" i="45" s="1"/>
  <c r="C743" i="45" s="1"/>
  <c r="C848" i="45" s="1"/>
  <c r="C953" i="45" s="1"/>
  <c r="C1058" i="45" s="1"/>
  <c r="C1163" i="45" s="1"/>
  <c r="C1268" i="45" s="1"/>
  <c r="C1373" i="45" s="1"/>
  <c r="C548" i="45"/>
  <c r="C653" i="45" s="1"/>
  <c r="C758" i="45" s="1"/>
  <c r="C863" i="45" s="1"/>
  <c r="C968" i="45" s="1"/>
  <c r="C1073" i="45" s="1"/>
  <c r="C1178" i="45" s="1"/>
  <c r="C1283" i="45" s="1"/>
  <c r="C1388" i="45" s="1"/>
  <c r="C564" i="45"/>
  <c r="C669" i="45" s="1"/>
  <c r="C774" i="45" s="1"/>
  <c r="C879" i="45" s="1"/>
  <c r="C984" i="45" s="1"/>
  <c r="C1089" i="45" s="1"/>
  <c r="C1194" i="45" s="1"/>
  <c r="C1299" i="45" s="1"/>
  <c r="C1404" i="45" s="1"/>
  <c r="C580" i="45"/>
  <c r="C685" i="45" s="1"/>
  <c r="C790" i="45" s="1"/>
  <c r="C895" i="45" s="1"/>
  <c r="C1000" i="45" s="1"/>
  <c r="C1105" i="45" s="1"/>
  <c r="C1210" i="45" s="1"/>
  <c r="C1315" i="45" s="1"/>
  <c r="G592" i="45"/>
  <c r="G697" i="45"/>
  <c r="G802" i="45" s="1"/>
  <c r="G907" i="45" s="1"/>
  <c r="G1012" i="45" s="1"/>
  <c r="G1117" i="45" s="1"/>
  <c r="G1222" i="45" s="1"/>
  <c r="G1327" i="45" s="1"/>
  <c r="G1432" i="45" s="1"/>
  <c r="F505" i="45"/>
  <c r="F610" i="45" s="1"/>
  <c r="F513" i="45"/>
  <c r="F618" i="45" s="1"/>
  <c r="F723" i="45" s="1"/>
  <c r="F828" i="45" s="1"/>
  <c r="F933" i="45" s="1"/>
  <c r="F1038" i="45" s="1"/>
  <c r="F1143" i="45" s="1"/>
  <c r="F1248" i="45" s="1"/>
  <c r="F1353" i="45" s="1"/>
  <c r="F521" i="45"/>
  <c r="F626" i="45" s="1"/>
  <c r="C594" i="45"/>
  <c r="C699" i="45" s="1"/>
  <c r="C804" i="45" s="1"/>
  <c r="C909" i="45" s="1"/>
  <c r="C1014" i="45" s="1"/>
  <c r="C1119" i="45" s="1"/>
  <c r="C1224" i="45" s="1"/>
  <c r="C1329" i="45" s="1"/>
  <c r="C1434" i="45" s="1"/>
  <c r="G505" i="45"/>
  <c r="G610" i="45" s="1"/>
  <c r="G513" i="45"/>
  <c r="G618" i="45" s="1"/>
  <c r="G723" i="45" s="1"/>
  <c r="G828" i="45" s="1"/>
  <c r="G933" i="45" s="1"/>
  <c r="G1038" i="45" s="1"/>
  <c r="G1143" i="45" s="1"/>
  <c r="G1248" i="45" s="1"/>
  <c r="G1353" i="45" s="1"/>
  <c r="G521" i="45"/>
  <c r="G626" i="45" s="1"/>
  <c r="G731" i="45" s="1"/>
  <c r="G836" i="45" s="1"/>
  <c r="G529" i="45"/>
  <c r="G634" i="45" s="1"/>
  <c r="G739" i="45" s="1"/>
  <c r="G844" i="45" s="1"/>
  <c r="G949" i="45" s="1"/>
  <c r="G1054" i="45" s="1"/>
  <c r="G1159" i="45" s="1"/>
  <c r="G1264" i="45" s="1"/>
  <c r="G1369" i="45" s="1"/>
  <c r="G537" i="45"/>
  <c r="G642" i="45" s="1"/>
  <c r="G545" i="45"/>
  <c r="G650" i="45" s="1"/>
  <c r="G755" i="45" s="1"/>
  <c r="G860" i="45" s="1"/>
  <c r="G965" i="45" s="1"/>
  <c r="G1070" i="45" s="1"/>
  <c r="G1175" i="45" s="1"/>
  <c r="G1280" i="45" s="1"/>
  <c r="G1385" i="45" s="1"/>
  <c r="G553" i="45"/>
  <c r="G658" i="45" s="1"/>
  <c r="G561" i="45"/>
  <c r="G666" i="45" s="1"/>
  <c r="G771" i="45" s="1"/>
  <c r="G876" i="45" s="1"/>
  <c r="G981" i="45" s="1"/>
  <c r="G1086" i="45" s="1"/>
  <c r="G1191" i="45" s="1"/>
  <c r="G1296" i="45" s="1"/>
  <c r="G1401" i="45" s="1"/>
  <c r="G569" i="45"/>
  <c r="G674" i="45" s="1"/>
  <c r="G779" i="45" s="1"/>
  <c r="G884" i="45" s="1"/>
  <c r="G989" i="45" s="1"/>
  <c r="G1094" i="45" s="1"/>
  <c r="G1199" i="45" s="1"/>
  <c r="G1304" i="45" s="1"/>
  <c r="G1409" i="45" s="1"/>
  <c r="G577" i="45"/>
  <c r="G682" i="45" s="1"/>
  <c r="G787" i="45" s="1"/>
  <c r="G892" i="45" s="1"/>
  <c r="G997" i="45" s="1"/>
  <c r="G1102" i="45" s="1"/>
  <c r="G1207" i="45" s="1"/>
  <c r="G1312" i="45" s="1"/>
  <c r="G1417" i="45" s="1"/>
  <c r="G585" i="45"/>
  <c r="G690" i="45" s="1"/>
  <c r="D598" i="45"/>
  <c r="D703" i="45"/>
  <c r="D808" i="45" s="1"/>
  <c r="D913" i="45" s="1"/>
  <c r="D589" i="45"/>
  <c r="D694" i="45" s="1"/>
  <c r="D799" i="45" s="1"/>
  <c r="D904" i="45" s="1"/>
  <c r="D1009" i="45" s="1"/>
  <c r="D1114" i="45" s="1"/>
  <c r="D1219" i="45" s="1"/>
  <c r="D1324" i="45" s="1"/>
  <c r="E523" i="45"/>
  <c r="E628" i="45" s="1"/>
  <c r="E733" i="45" s="1"/>
  <c r="E838" i="45" s="1"/>
  <c r="E943" i="45" s="1"/>
  <c r="E1048" i="45" s="1"/>
  <c r="E1153" i="45" s="1"/>
  <c r="E1258" i="45" s="1"/>
  <c r="E1363" i="45" s="1"/>
  <c r="E553" i="45"/>
  <c r="E658" i="45" s="1"/>
  <c r="E763" i="45" s="1"/>
  <c r="E585" i="45"/>
  <c r="E690" i="45" s="1"/>
  <c r="E795" i="45" s="1"/>
  <c r="E900" i="45" s="1"/>
  <c r="E1005" i="45" s="1"/>
  <c r="E1110" i="45" s="1"/>
  <c r="E1215" i="45" s="1"/>
  <c r="E1320" i="45" s="1"/>
  <c r="F535" i="45"/>
  <c r="F640" i="45" s="1"/>
  <c r="F551" i="45"/>
  <c r="F656" i="45" s="1"/>
  <c r="F761" i="45" s="1"/>
  <c r="F866" i="45" s="1"/>
  <c r="F971" i="45" s="1"/>
  <c r="F1076" i="45" s="1"/>
  <c r="F1181" i="45" s="1"/>
  <c r="F1286" i="45" s="1"/>
  <c r="F1391" i="45" s="1"/>
  <c r="F567" i="45"/>
  <c r="F672" i="45" s="1"/>
  <c r="F582" i="45"/>
  <c r="F687" i="45"/>
  <c r="C504" i="45"/>
  <c r="C609" i="45" s="1"/>
  <c r="C714" i="45" s="1"/>
  <c r="C819" i="45" s="1"/>
  <c r="C924" i="45" s="1"/>
  <c r="C1029" i="45" s="1"/>
  <c r="C1134" i="45" s="1"/>
  <c r="C1239" i="45" s="1"/>
  <c r="C1344" i="45" s="1"/>
  <c r="C520" i="45"/>
  <c r="C625" i="45" s="1"/>
  <c r="C730" i="45" s="1"/>
  <c r="C835" i="45" s="1"/>
  <c r="C940" i="45" s="1"/>
  <c r="C1045" i="45" s="1"/>
  <c r="C1150" i="45" s="1"/>
  <c r="C1255" i="45" s="1"/>
  <c r="C1360" i="45" s="1"/>
  <c r="C536" i="45"/>
  <c r="C641" i="45" s="1"/>
  <c r="C746" i="45" s="1"/>
  <c r="C553" i="45"/>
  <c r="C658" i="45" s="1"/>
  <c r="C569" i="45"/>
  <c r="C674" i="45" s="1"/>
  <c r="C779" i="45" s="1"/>
  <c r="C884" i="45" s="1"/>
  <c r="C989" i="45" s="1"/>
  <c r="C1094" i="45" s="1"/>
  <c r="C1199" i="45" s="1"/>
  <c r="C1304" i="45" s="1"/>
  <c r="C1409" i="45" s="1"/>
  <c r="C585" i="45"/>
  <c r="C690" i="45" s="1"/>
  <c r="C795" i="45" s="1"/>
  <c r="C900" i="45" s="1"/>
  <c r="C1005" i="45" s="1"/>
  <c r="C1110" i="45" s="1"/>
  <c r="C1215" i="45" s="1"/>
  <c r="C1320" i="45" s="1"/>
  <c r="C1425" i="45" s="1"/>
  <c r="D557" i="45"/>
  <c r="D662" i="45" s="1"/>
  <c r="E512" i="45"/>
  <c r="E617" i="45"/>
  <c r="E722" i="45" s="1"/>
  <c r="E827" i="45" s="1"/>
  <c r="E932" i="45" s="1"/>
  <c r="E1037" i="45" s="1"/>
  <c r="E1142" i="45" s="1"/>
  <c r="E1247" i="45" s="1"/>
  <c r="E1352" i="45" s="1"/>
  <c r="E544" i="45"/>
  <c r="E649" i="45" s="1"/>
  <c r="E754" i="45" s="1"/>
  <c r="E859" i="45" s="1"/>
  <c r="E964" i="45" s="1"/>
  <c r="E576" i="45"/>
  <c r="E681" i="45" s="1"/>
  <c r="E786" i="45" s="1"/>
  <c r="E891" i="45" s="1"/>
  <c r="E996" i="45" s="1"/>
  <c r="E1101" i="45" s="1"/>
  <c r="E1206" i="45" s="1"/>
  <c r="E1311" i="45" s="1"/>
  <c r="E1416" i="45" s="1"/>
  <c r="F595" i="45"/>
  <c r="F700" i="45" s="1"/>
  <c r="F805" i="45" s="1"/>
  <c r="E559" i="45"/>
  <c r="E664" i="45" s="1"/>
  <c r="E769" i="45" s="1"/>
  <c r="E874" i="45" s="1"/>
  <c r="E979" i="45" s="1"/>
  <c r="E1084" i="45" s="1"/>
  <c r="E1189" i="45" s="1"/>
  <c r="E1294" i="45" s="1"/>
  <c r="E1399" i="45" s="1"/>
  <c r="F554" i="45"/>
  <c r="F659" i="45" s="1"/>
  <c r="E588" i="45"/>
  <c r="E693" i="45" s="1"/>
  <c r="E798" i="45" s="1"/>
  <c r="E903" i="45" s="1"/>
  <c r="E1008" i="45" s="1"/>
  <c r="E1113" i="45" s="1"/>
  <c r="E1218" i="45" s="1"/>
  <c r="E1323" i="45" s="1"/>
  <c r="E1428" i="45" s="1"/>
  <c r="C525" i="45"/>
  <c r="C630" i="45" s="1"/>
  <c r="C735" i="45" s="1"/>
  <c r="C840" i="45" s="1"/>
  <c r="C945" i="45" s="1"/>
  <c r="C1050" i="45" s="1"/>
  <c r="C1155" i="45" s="1"/>
  <c r="C1260" i="45" s="1"/>
  <c r="C556" i="45"/>
  <c r="C661" i="45" s="1"/>
  <c r="C766" i="45" s="1"/>
  <c r="C871" i="45" s="1"/>
  <c r="C976" i="45" s="1"/>
  <c r="C1081" i="45" s="1"/>
  <c r="C1186" i="45" s="1"/>
  <c r="C1291" i="45" s="1"/>
  <c r="C1396" i="45" s="1"/>
  <c r="C572" i="45"/>
  <c r="C677" i="45" s="1"/>
  <c r="C782" i="45" s="1"/>
  <c r="C887" i="45" s="1"/>
  <c r="C992" i="45" s="1"/>
  <c r="C1097" i="45" s="1"/>
  <c r="C1202" i="45" s="1"/>
  <c r="C1307" i="45" s="1"/>
  <c r="F509" i="45"/>
  <c r="F614" i="45" s="1"/>
  <c r="F719" i="45" s="1"/>
  <c r="F824" i="45" s="1"/>
  <c r="F929" i="45" s="1"/>
  <c r="F1034" i="45" s="1"/>
  <c r="F1139" i="45" s="1"/>
  <c r="F1244" i="45" s="1"/>
  <c r="F1349" i="45" s="1"/>
  <c r="D587" i="45"/>
  <c r="D692" i="45" s="1"/>
  <c r="D797" i="45" s="1"/>
  <c r="D902" i="45" s="1"/>
  <c r="D1007" i="45" s="1"/>
  <c r="D1112" i="45" s="1"/>
  <c r="D1217" i="45" s="1"/>
  <c r="D1322" i="45" s="1"/>
  <c r="D1427" i="45" s="1"/>
  <c r="G509" i="45"/>
  <c r="G614" i="45" s="1"/>
  <c r="G525" i="45"/>
  <c r="G630" i="45" s="1"/>
  <c r="G549" i="45"/>
  <c r="G654" i="45" s="1"/>
  <c r="G759" i="45" s="1"/>
  <c r="G864" i="45" s="1"/>
  <c r="G969" i="45" s="1"/>
  <c r="G1074" i="45" s="1"/>
  <c r="G1179" i="45" s="1"/>
  <c r="G1284" i="45" s="1"/>
  <c r="G1389" i="45" s="1"/>
  <c r="G565" i="45"/>
  <c r="G670" i="45" s="1"/>
  <c r="G775" i="45" s="1"/>
  <c r="G880" i="45" s="1"/>
  <c r="G985" i="45" s="1"/>
  <c r="G1090" i="45" s="1"/>
  <c r="G1195" i="45" s="1"/>
  <c r="G1300" i="45" s="1"/>
  <c r="G1405" i="45" s="1"/>
  <c r="G581" i="45"/>
  <c r="G686" i="45"/>
  <c r="G791" i="45" s="1"/>
  <c r="G896" i="45" s="1"/>
  <c r="G1001" i="45" s="1"/>
  <c r="G1106" i="45" s="1"/>
  <c r="G1211" i="45" s="1"/>
  <c r="G1316" i="45" s="1"/>
  <c r="G1421" i="45" s="1"/>
  <c r="E507" i="45"/>
  <c r="E612" i="45" s="1"/>
  <c r="E717" i="45" s="1"/>
  <c r="E822" i="45" s="1"/>
  <c r="E927" i="45" s="1"/>
  <c r="G599" i="45"/>
  <c r="G704" i="45" s="1"/>
  <c r="G809" i="45" s="1"/>
  <c r="G914" i="45" s="1"/>
  <c r="G1019" i="45" s="1"/>
  <c r="G1124" i="45" s="1"/>
  <c r="G1229" i="45" s="1"/>
  <c r="G1334" i="45" s="1"/>
  <c r="G1439" i="45" s="1"/>
  <c r="F527" i="45"/>
  <c r="F632" i="45" s="1"/>
  <c r="F737" i="45" s="1"/>
  <c r="F842" i="45" s="1"/>
  <c r="F947" i="45" s="1"/>
  <c r="F543" i="45"/>
  <c r="F648" i="45" s="1"/>
  <c r="G594" i="45"/>
  <c r="G699" i="45" s="1"/>
  <c r="G804" i="45" s="1"/>
  <c r="G909" i="45" s="1"/>
  <c r="G1014" i="45" s="1"/>
  <c r="E590" i="45"/>
  <c r="E695" i="45" s="1"/>
  <c r="E800" i="45" s="1"/>
  <c r="E905" i="45" s="1"/>
  <c r="E1010" i="45" s="1"/>
  <c r="E1115" i="45" s="1"/>
  <c r="E1220" i="45" s="1"/>
  <c r="E1325" i="45" s="1"/>
  <c r="E1430" i="45" s="1"/>
  <c r="E506" i="45"/>
  <c r="E611" i="45" s="1"/>
  <c r="E716" i="45" s="1"/>
  <c r="E821" i="45" s="1"/>
  <c r="E522" i="45"/>
  <c r="E627" i="45"/>
  <c r="E538" i="45"/>
  <c r="E643" i="45" s="1"/>
  <c r="E748" i="45" s="1"/>
  <c r="E853" i="45" s="1"/>
  <c r="E958" i="45" s="1"/>
  <c r="E1063" i="45" s="1"/>
  <c r="E1168" i="45" s="1"/>
  <c r="E1273" i="45" s="1"/>
  <c r="E1378" i="45" s="1"/>
  <c r="E554" i="45"/>
  <c r="E659" i="45" s="1"/>
  <c r="E764" i="45" s="1"/>
  <c r="E869" i="45" s="1"/>
  <c r="E974" i="45" s="1"/>
  <c r="E1079" i="45" s="1"/>
  <c r="E1184" i="45" s="1"/>
  <c r="E1289" i="45" s="1"/>
  <c r="E1394" i="45" s="1"/>
  <c r="E570" i="45"/>
  <c r="E675" i="45" s="1"/>
  <c r="E780" i="45" s="1"/>
  <c r="F586" i="45"/>
  <c r="F691" i="45" s="1"/>
  <c r="C599" i="45"/>
  <c r="C704" i="45" s="1"/>
  <c r="C809" i="45" s="1"/>
  <c r="C914" i="45" s="1"/>
  <c r="C1019" i="45" s="1"/>
  <c r="C1124" i="45" s="1"/>
  <c r="C1229" i="45" s="1"/>
  <c r="C1334" i="45" s="1"/>
  <c r="D580" i="45"/>
  <c r="D685" i="45" s="1"/>
  <c r="D790" i="45" s="1"/>
  <c r="D895" i="45" s="1"/>
  <c r="D1000" i="45" s="1"/>
  <c r="D1105" i="45" s="1"/>
  <c r="D1210" i="45" s="1"/>
  <c r="D1315" i="45" s="1"/>
  <c r="D1420" i="45" s="1"/>
  <c r="E513" i="45"/>
  <c r="E618" i="45" s="1"/>
  <c r="E723" i="45" s="1"/>
  <c r="E828" i="45" s="1"/>
  <c r="E933" i="45" s="1"/>
  <c r="E1038" i="45" s="1"/>
  <c r="E1143" i="45" s="1"/>
  <c r="E1248" i="45" s="1"/>
  <c r="E545" i="45"/>
  <c r="E650" i="45"/>
  <c r="E755" i="45" s="1"/>
  <c r="E860" i="45" s="1"/>
  <c r="E965" i="45" s="1"/>
  <c r="E1070" i="45" s="1"/>
  <c r="E1175" i="45" s="1"/>
  <c r="E1280" i="45" s="1"/>
  <c r="E1385" i="45" s="1"/>
  <c r="E579" i="45"/>
  <c r="E684" i="45" s="1"/>
  <c r="E789" i="45" s="1"/>
  <c r="F532" i="45"/>
  <c r="F637" i="45" s="1"/>
  <c r="F742" i="45" s="1"/>
  <c r="F847" i="45" s="1"/>
  <c r="F952" i="45" s="1"/>
  <c r="F1057" i="45" s="1"/>
  <c r="F1162" i="45" s="1"/>
  <c r="F1267" i="45" s="1"/>
  <c r="F1372" i="45" s="1"/>
  <c r="F548" i="45"/>
  <c r="F653" i="45" s="1"/>
  <c r="F564" i="45"/>
  <c r="F669" i="45" s="1"/>
  <c r="F774" i="45" s="1"/>
  <c r="F879" i="45" s="1"/>
  <c r="F984" i="45" s="1"/>
  <c r="F1089" i="45" s="1"/>
  <c r="F1194" i="45" s="1"/>
  <c r="F1299" i="45" s="1"/>
  <c r="F1404" i="45" s="1"/>
  <c r="F581" i="45"/>
  <c r="F686" i="45" s="1"/>
  <c r="F791" i="45" s="1"/>
  <c r="C503" i="45"/>
  <c r="C608" i="45" s="1"/>
  <c r="C713" i="45" s="1"/>
  <c r="C818" i="45" s="1"/>
  <c r="C923" i="45" s="1"/>
  <c r="C1028" i="45" s="1"/>
  <c r="C1133" i="45" s="1"/>
  <c r="C1238" i="45" s="1"/>
  <c r="C1343" i="45" s="1"/>
  <c r="C519" i="45"/>
  <c r="C624" i="45" s="1"/>
  <c r="C729" i="45" s="1"/>
  <c r="C535" i="45"/>
  <c r="C640" i="45" s="1"/>
  <c r="C745" i="45" s="1"/>
  <c r="C850" i="45" s="1"/>
  <c r="C955" i="45" s="1"/>
  <c r="C1060" i="45" s="1"/>
  <c r="C1165" i="45" s="1"/>
  <c r="C1270" i="45" s="1"/>
  <c r="C1375" i="45" s="1"/>
  <c r="C550" i="45"/>
  <c r="C655" i="45" s="1"/>
  <c r="C760" i="45" s="1"/>
  <c r="C865" i="45" s="1"/>
  <c r="C970" i="45" s="1"/>
  <c r="C566" i="45"/>
  <c r="C671" i="45" s="1"/>
  <c r="C776" i="45" s="1"/>
  <c r="C881" i="45" s="1"/>
  <c r="C986" i="45" s="1"/>
  <c r="C1091" i="45" s="1"/>
  <c r="C1196" i="45" s="1"/>
  <c r="C1301" i="45" s="1"/>
  <c r="C1406" i="45" s="1"/>
  <c r="C582" i="45"/>
  <c r="C687" i="45" s="1"/>
  <c r="C792" i="45" s="1"/>
  <c r="C897" i="45" s="1"/>
  <c r="C1002" i="45" s="1"/>
  <c r="C1107" i="45" s="1"/>
  <c r="C1212" i="45" s="1"/>
  <c r="C1317" i="45" s="1"/>
  <c r="C1422" i="45" s="1"/>
  <c r="D579" i="45"/>
  <c r="D684" i="45" s="1"/>
  <c r="D789" i="45" s="1"/>
  <c r="D894" i="45" s="1"/>
  <c r="D999" i="45" s="1"/>
  <c r="D1104" i="45" s="1"/>
  <c r="D1209" i="45" s="1"/>
  <c r="D1314" i="45" s="1"/>
  <c r="D1419" i="45" s="1"/>
  <c r="F506" i="45"/>
  <c r="F611" i="45" s="1"/>
  <c r="F514" i="45"/>
  <c r="F619" i="45" s="1"/>
  <c r="F724" i="45" s="1"/>
  <c r="F829" i="45" s="1"/>
  <c r="F934" i="45" s="1"/>
  <c r="F1039" i="45" s="1"/>
  <c r="F1144" i="45" s="1"/>
  <c r="F1249" i="45" s="1"/>
  <c r="F1354" i="45" s="1"/>
  <c r="F522" i="45"/>
  <c r="F627" i="45" s="1"/>
  <c r="D595" i="45"/>
  <c r="D700" i="45"/>
  <c r="G506" i="45"/>
  <c r="G611" i="45" s="1"/>
  <c r="G514" i="45"/>
  <c r="G619" i="45" s="1"/>
  <c r="G724" i="45" s="1"/>
  <c r="G829" i="45" s="1"/>
  <c r="G934" i="45" s="1"/>
  <c r="G1039" i="45" s="1"/>
  <c r="G1144" i="45" s="1"/>
  <c r="G1249" i="45" s="1"/>
  <c r="G1354" i="45" s="1"/>
  <c r="G522" i="45"/>
  <c r="G627" i="45" s="1"/>
  <c r="G530" i="45"/>
  <c r="G635" i="45" s="1"/>
  <c r="G740" i="45" s="1"/>
  <c r="G845" i="45" s="1"/>
  <c r="G950" i="45" s="1"/>
  <c r="G1055" i="45" s="1"/>
  <c r="G1160" i="45" s="1"/>
  <c r="G1265" i="45" s="1"/>
  <c r="G1370" i="45" s="1"/>
  <c r="G538" i="45"/>
  <c r="G643" i="45" s="1"/>
  <c r="G546" i="45"/>
  <c r="G651" i="45" s="1"/>
  <c r="G756" i="45" s="1"/>
  <c r="G861" i="45" s="1"/>
  <c r="G966" i="45" s="1"/>
  <c r="G1071" i="45" s="1"/>
  <c r="G1176" i="45" s="1"/>
  <c r="G1281" i="45" s="1"/>
  <c r="G1386" i="45" s="1"/>
  <c r="G554" i="45"/>
  <c r="G659" i="45" s="1"/>
  <c r="G562" i="45"/>
  <c r="G667" i="45"/>
  <c r="G570" i="45"/>
  <c r="G675" i="45" s="1"/>
  <c r="G780" i="45" s="1"/>
  <c r="G885" i="45" s="1"/>
  <c r="G990" i="45" s="1"/>
  <c r="G1095" i="45" s="1"/>
  <c r="G1200" i="45" s="1"/>
  <c r="G1305" i="45" s="1"/>
  <c r="G1410" i="45" s="1"/>
  <c r="G578" i="45"/>
  <c r="G683" i="45" s="1"/>
  <c r="G788" i="45" s="1"/>
  <c r="G893" i="45" s="1"/>
  <c r="G998" i="45" s="1"/>
  <c r="G1103" i="45" s="1"/>
  <c r="G1208" i="45" s="1"/>
  <c r="G1313" i="45" s="1"/>
  <c r="G1418" i="45" s="1"/>
  <c r="E587" i="45"/>
  <c r="E692" i="45" s="1"/>
  <c r="E503" i="45"/>
  <c r="E608" i="45" s="1"/>
  <c r="E713" i="45" s="1"/>
  <c r="E818" i="45" s="1"/>
  <c r="E923" i="45" s="1"/>
  <c r="E1028" i="45" s="1"/>
  <c r="E1133" i="45" s="1"/>
  <c r="E1238" i="45" s="1"/>
  <c r="E533" i="45"/>
  <c r="E638" i="45" s="1"/>
  <c r="E743" i="45" s="1"/>
  <c r="E848" i="45" s="1"/>
  <c r="E953" i="45" s="1"/>
  <c r="E1058" i="45" s="1"/>
  <c r="E1163" i="45" s="1"/>
  <c r="E1268" i="45" s="1"/>
  <c r="E1373" i="45" s="1"/>
  <c r="E565" i="45"/>
  <c r="E670" i="45" s="1"/>
  <c r="E775" i="45" s="1"/>
  <c r="E880" i="45" s="1"/>
  <c r="E985" i="45" s="1"/>
  <c r="E1090" i="45" s="1"/>
  <c r="E1195" i="45" s="1"/>
  <c r="E1300" i="45" s="1"/>
  <c r="E1405" i="45" s="1"/>
  <c r="C595" i="45"/>
  <c r="C700" i="45" s="1"/>
  <c r="C805" i="45" s="1"/>
  <c r="C910" i="45" s="1"/>
  <c r="C1015" i="45" s="1"/>
  <c r="C1120" i="45" s="1"/>
  <c r="C1225" i="45" s="1"/>
  <c r="C1330" i="45" s="1"/>
  <c r="D573" i="45"/>
  <c r="D678" i="45"/>
  <c r="D783" i="45" s="1"/>
  <c r="D888" i="45" s="1"/>
  <c r="D993" i="45" s="1"/>
  <c r="D1098" i="45" s="1"/>
  <c r="D1203" i="45" s="1"/>
  <c r="D1308" i="45" s="1"/>
  <c r="D1413" i="45" s="1"/>
  <c r="F537" i="45"/>
  <c r="F642" i="45" s="1"/>
  <c r="F553" i="45"/>
  <c r="F658" i="45" s="1"/>
  <c r="F763" i="45" s="1"/>
  <c r="F868" i="45" s="1"/>
  <c r="F973" i="45" s="1"/>
  <c r="F1078" i="45" s="1"/>
  <c r="F1183" i="45" s="1"/>
  <c r="F1288" i="45" s="1"/>
  <c r="F1393" i="45" s="1"/>
  <c r="F569" i="45"/>
  <c r="F674" i="45" s="1"/>
  <c r="F584" i="45"/>
  <c r="F689" i="45" s="1"/>
  <c r="F794" i="45" s="1"/>
  <c r="F899" i="45" s="1"/>
  <c r="F1004" i="45" s="1"/>
  <c r="F1109" i="45" s="1"/>
  <c r="F1214" i="45" s="1"/>
  <c r="F1319" i="45" s="1"/>
  <c r="F1424" i="45" s="1"/>
  <c r="C506" i="45"/>
  <c r="C611" i="45" s="1"/>
  <c r="C716" i="45" s="1"/>
  <c r="C522" i="45"/>
  <c r="C627" i="45" s="1"/>
  <c r="C732" i="45" s="1"/>
  <c r="C837" i="45" s="1"/>
  <c r="C942" i="45" s="1"/>
  <c r="C1047" i="45" s="1"/>
  <c r="C1152" i="45" s="1"/>
  <c r="C1257" i="45" s="1"/>
  <c r="C1362" i="45" s="1"/>
  <c r="C538" i="45"/>
  <c r="C643" i="45" s="1"/>
  <c r="C748" i="45" s="1"/>
  <c r="C853" i="45" s="1"/>
  <c r="C958" i="45" s="1"/>
  <c r="C1063" i="45" s="1"/>
  <c r="C1168" i="45" s="1"/>
  <c r="C1273" i="45" s="1"/>
  <c r="C1378" i="45" s="1"/>
  <c r="C555" i="45"/>
  <c r="C660" i="45" s="1"/>
  <c r="C765" i="45" s="1"/>
  <c r="C870" i="45" s="1"/>
  <c r="C975" i="45" s="1"/>
  <c r="C1080" i="45" s="1"/>
  <c r="C1185" i="45" s="1"/>
  <c r="C1290" i="45" s="1"/>
  <c r="C1395" i="45" s="1"/>
  <c r="C571" i="45"/>
  <c r="C676" i="45" s="1"/>
  <c r="C781" i="45" s="1"/>
  <c r="C886" i="45" s="1"/>
  <c r="C991" i="45" s="1"/>
  <c r="C1096" i="45" s="1"/>
  <c r="C1201" i="45" s="1"/>
  <c r="C1306" i="45" s="1"/>
  <c r="F588" i="45"/>
  <c r="F693" i="45" s="1"/>
  <c r="F798" i="45" s="1"/>
  <c r="F903" i="45" s="1"/>
  <c r="F1008" i="45" s="1"/>
  <c r="F1113" i="45" s="1"/>
  <c r="F1218" i="45" s="1"/>
  <c r="F1323" i="45" s="1"/>
  <c r="F1428" i="45" s="1"/>
  <c r="D582" i="45"/>
  <c r="D687" i="45" s="1"/>
  <c r="D792" i="45" s="1"/>
  <c r="D897" i="45" s="1"/>
  <c r="D1002" i="45" s="1"/>
  <c r="D1107" i="45" s="1"/>
  <c r="D1212" i="45" s="1"/>
  <c r="D1317" i="45" s="1"/>
  <c r="D1422" i="45" s="1"/>
  <c r="C592" i="45"/>
  <c r="C697" i="45" s="1"/>
  <c r="F599" i="45"/>
  <c r="F704" i="45" s="1"/>
  <c r="F809" i="45" s="1"/>
  <c r="F914" i="45" s="1"/>
  <c r="F1019" i="45" s="1"/>
  <c r="F1124" i="45" s="1"/>
  <c r="F1229" i="45" s="1"/>
  <c r="F1334" i="45" s="1"/>
  <c r="F1439" i="45" s="1"/>
  <c r="E508" i="45"/>
  <c r="E613" i="45" s="1"/>
  <c r="E718" i="45" s="1"/>
  <c r="E823" i="45" s="1"/>
  <c r="E928" i="45" s="1"/>
  <c r="E1033" i="45" s="1"/>
  <c r="E1138" i="45" s="1"/>
  <c r="E1243" i="45" s="1"/>
  <c r="E1348" i="45" s="1"/>
  <c r="E516" i="45"/>
  <c r="E621" i="45" s="1"/>
  <c r="E726" i="45" s="1"/>
  <c r="E831" i="45" s="1"/>
  <c r="E936" i="45" s="1"/>
  <c r="E1041" i="45" s="1"/>
  <c r="E1146" i="45" s="1"/>
  <c r="E1251" i="45" s="1"/>
  <c r="E1356" i="45" s="1"/>
  <c r="E524" i="45"/>
  <c r="E629" i="45"/>
  <c r="E734" i="45" s="1"/>
  <c r="E839" i="45" s="1"/>
  <c r="E944" i="45" s="1"/>
  <c r="E1049" i="45" s="1"/>
  <c r="E1154" i="45" s="1"/>
  <c r="E1259" i="45" s="1"/>
  <c r="E1364" i="45" s="1"/>
  <c r="E532" i="45"/>
  <c r="E637" i="45" s="1"/>
  <c r="E540" i="45"/>
  <c r="E645" i="45" s="1"/>
  <c r="E750" i="45" s="1"/>
  <c r="E855" i="45" s="1"/>
  <c r="E960" i="45" s="1"/>
  <c r="E1065" i="45" s="1"/>
  <c r="E1170" i="45" s="1"/>
  <c r="E1275" i="45" s="1"/>
  <c r="E1380" i="45" s="1"/>
  <c r="E548" i="45"/>
  <c r="E653" i="45" s="1"/>
  <c r="E758" i="45" s="1"/>
  <c r="E863" i="45" s="1"/>
  <c r="E968" i="45" s="1"/>
  <c r="E556" i="45"/>
  <c r="E661" i="45" s="1"/>
  <c r="E766" i="45" s="1"/>
  <c r="E871" i="45" s="1"/>
  <c r="E976" i="45" s="1"/>
  <c r="E1081" i="45" s="1"/>
  <c r="E1186" i="45" s="1"/>
  <c r="E1291" i="45" s="1"/>
  <c r="E564" i="45"/>
  <c r="E669" i="45" s="1"/>
  <c r="E774" i="45" s="1"/>
  <c r="E879" i="45" s="1"/>
  <c r="E984" i="45" s="1"/>
  <c r="E572" i="45"/>
  <c r="E677" i="45" s="1"/>
  <c r="E782" i="45" s="1"/>
  <c r="E887" i="45" s="1"/>
  <c r="E992" i="45" s="1"/>
  <c r="E1097" i="45" s="1"/>
  <c r="E1202" i="45" s="1"/>
  <c r="E1307" i="45" s="1"/>
  <c r="E1412" i="45" s="1"/>
  <c r="E580" i="45"/>
  <c r="E685" i="45" s="1"/>
  <c r="E790" i="45" s="1"/>
  <c r="E895" i="45" s="1"/>
  <c r="E1000" i="45" s="1"/>
  <c r="E1105" i="45" s="1"/>
  <c r="E1210" i="45" s="1"/>
  <c r="E1315" i="45" s="1"/>
  <c r="E1420" i="45" s="1"/>
  <c r="G587" i="45"/>
  <c r="G692" i="45"/>
  <c r="F594" i="45"/>
  <c r="F699" i="45" s="1"/>
  <c r="F804" i="45" s="1"/>
  <c r="F909" i="45" s="1"/>
  <c r="F1014" i="45" s="1"/>
  <c r="F1119" i="45" s="1"/>
  <c r="F1224" i="45" s="1"/>
  <c r="F1329" i="45" s="1"/>
  <c r="F1434" i="45" s="1"/>
  <c r="F587" i="45"/>
  <c r="F692" i="45" s="1"/>
  <c r="F797" i="45" s="1"/>
  <c r="F902" i="45" s="1"/>
  <c r="F1007" i="45" s="1"/>
  <c r="F1112" i="45" s="1"/>
  <c r="F1217" i="45" s="1"/>
  <c r="F1322" i="45" s="1"/>
  <c r="F1427" i="45" s="1"/>
  <c r="E501" i="45"/>
  <c r="E606" i="45" s="1"/>
  <c r="E711" i="45" s="1"/>
  <c r="E816" i="45" s="1"/>
  <c r="E921" i="45" s="1"/>
  <c r="E517" i="45"/>
  <c r="E622" i="45" s="1"/>
  <c r="E535" i="45"/>
  <c r="E640" i="45" s="1"/>
  <c r="E745" i="45" s="1"/>
  <c r="E850" i="45" s="1"/>
  <c r="E955" i="45" s="1"/>
  <c r="E1060" i="45" s="1"/>
  <c r="E1165" i="45" s="1"/>
  <c r="E1270" i="45" s="1"/>
  <c r="E1375" i="45" s="1"/>
  <c r="E549" i="45"/>
  <c r="E654" i="45" s="1"/>
  <c r="E759" i="45" s="1"/>
  <c r="E864" i="45" s="1"/>
  <c r="E969" i="45" s="1"/>
  <c r="E1074" i="45" s="1"/>
  <c r="E1179" i="45" s="1"/>
  <c r="E1284" i="45" s="1"/>
  <c r="E1389" i="45" s="1"/>
  <c r="E567" i="45"/>
  <c r="E672" i="45" s="1"/>
  <c r="E777" i="45" s="1"/>
  <c r="E882" i="45" s="1"/>
  <c r="E987" i="45" s="1"/>
  <c r="E1092" i="45" s="1"/>
  <c r="E1197" i="45" s="1"/>
  <c r="E1302" i="45" s="1"/>
  <c r="E583" i="45"/>
  <c r="E688" i="45"/>
  <c r="E793" i="45" s="1"/>
  <c r="E898" i="45" s="1"/>
  <c r="E1003" i="45" s="1"/>
  <c r="E1108" i="45" s="1"/>
  <c r="E1213" i="45" s="1"/>
  <c r="E1318" i="45" s="1"/>
  <c r="E1423" i="45" s="1"/>
  <c r="D596" i="45"/>
  <c r="D701" i="45" s="1"/>
  <c r="D806" i="45" s="1"/>
  <c r="D549" i="45"/>
  <c r="D654" i="45" s="1"/>
  <c r="D759" i="45" s="1"/>
  <c r="D864" i="45" s="1"/>
  <c r="D969" i="45" s="1"/>
  <c r="D1074" i="45" s="1"/>
  <c r="D1179" i="45" s="1"/>
  <c r="D1284" i="45" s="1"/>
  <c r="D1389" i="45" s="1"/>
  <c r="F526" i="45"/>
  <c r="F631" i="45" s="1"/>
  <c r="F534" i="45"/>
  <c r="F639" i="45" s="1"/>
  <c r="F744" i="45" s="1"/>
  <c r="F849" i="45" s="1"/>
  <c r="F954" i="45" s="1"/>
  <c r="F1059" i="45" s="1"/>
  <c r="F1164" i="45" s="1"/>
  <c r="F1269" i="45" s="1"/>
  <c r="F1374" i="45" s="1"/>
  <c r="F542" i="45"/>
  <c r="F647" i="45" s="1"/>
  <c r="F752" i="45" s="1"/>
  <c r="F550" i="45"/>
  <c r="F655" i="45" s="1"/>
  <c r="F760" i="45" s="1"/>
  <c r="F865" i="45" s="1"/>
  <c r="F970" i="45" s="1"/>
  <c r="F1075" i="45" s="1"/>
  <c r="F1180" i="45" s="1"/>
  <c r="F1285" i="45" s="1"/>
  <c r="F1390" i="45" s="1"/>
  <c r="F558" i="45"/>
  <c r="F663" i="45" s="1"/>
  <c r="F768" i="45" s="1"/>
  <c r="F873" i="45" s="1"/>
  <c r="F978" i="45" s="1"/>
  <c r="F1083" i="45" s="1"/>
  <c r="F1188" i="45" s="1"/>
  <c r="F1293" i="45" s="1"/>
  <c r="F1398" i="45" s="1"/>
  <c r="F566" i="45"/>
  <c r="F671" i="45" s="1"/>
  <c r="F776" i="45" s="1"/>
  <c r="F881" i="45" s="1"/>
  <c r="F986" i="45" s="1"/>
  <c r="F1091" i="45" s="1"/>
  <c r="F1196" i="45" s="1"/>
  <c r="F1301" i="45" s="1"/>
  <c r="F1406" i="45" s="1"/>
  <c r="F574" i="45"/>
  <c r="F679" i="45" s="1"/>
  <c r="F784" i="45" s="1"/>
  <c r="F583" i="45"/>
  <c r="F688" i="45" s="1"/>
  <c r="F793" i="45" s="1"/>
  <c r="F898" i="45" s="1"/>
  <c r="F1003" i="45" s="1"/>
  <c r="F1108" i="45" s="1"/>
  <c r="F1213" i="45" s="1"/>
  <c r="F1318" i="45" s="1"/>
  <c r="F1423" i="45" s="1"/>
  <c r="F593" i="45"/>
  <c r="F698" i="45" s="1"/>
  <c r="F803" i="45" s="1"/>
  <c r="F908" i="45" s="1"/>
  <c r="F1013" i="45" s="1"/>
  <c r="F1118" i="45" s="1"/>
  <c r="F1223" i="45" s="1"/>
  <c r="F1328" i="45" s="1"/>
  <c r="F1433" i="45" s="1"/>
  <c r="C505" i="45"/>
  <c r="C610" i="45" s="1"/>
  <c r="C715" i="45" s="1"/>
  <c r="C820" i="45" s="1"/>
  <c r="C925" i="45" s="1"/>
  <c r="C513" i="45"/>
  <c r="C618" i="45" s="1"/>
  <c r="C723" i="45" s="1"/>
  <c r="C828" i="45" s="1"/>
  <c r="C933" i="45" s="1"/>
  <c r="C1038" i="45" s="1"/>
  <c r="C1143" i="45" s="1"/>
  <c r="C1248" i="45" s="1"/>
  <c r="C1353" i="45" s="1"/>
  <c r="C521" i="45"/>
  <c r="C626" i="45" s="1"/>
  <c r="C731" i="45" s="1"/>
  <c r="C836" i="45" s="1"/>
  <c r="C941" i="45" s="1"/>
  <c r="C1046" i="45" s="1"/>
  <c r="C1151" i="45" s="1"/>
  <c r="C1256" i="45" s="1"/>
  <c r="C1361" i="45" s="1"/>
  <c r="C528" i="45"/>
  <c r="C633" i="45" s="1"/>
  <c r="C738" i="45" s="1"/>
  <c r="C843" i="45" s="1"/>
  <c r="C948" i="45" s="1"/>
  <c r="C1053" i="45" s="1"/>
  <c r="C1158" i="45" s="1"/>
  <c r="C1263" i="45" s="1"/>
  <c r="C1368" i="45" s="1"/>
  <c r="C537" i="45"/>
  <c r="C642" i="45"/>
  <c r="C747" i="45" s="1"/>
  <c r="C852" i="45" s="1"/>
  <c r="C957" i="45" s="1"/>
  <c r="C544" i="45"/>
  <c r="C649" i="45" s="1"/>
  <c r="C754" i="45" s="1"/>
  <c r="C552" i="45"/>
  <c r="C657" i="45" s="1"/>
  <c r="C762" i="45" s="1"/>
  <c r="C867" i="45" s="1"/>
  <c r="C972" i="45" s="1"/>
  <c r="C1077" i="45" s="1"/>
  <c r="C1182" i="45" s="1"/>
  <c r="C1287" i="45" s="1"/>
  <c r="C1392" i="45" s="1"/>
  <c r="C560" i="45"/>
  <c r="C665" i="45" s="1"/>
  <c r="C770" i="45" s="1"/>
  <c r="C875" i="45" s="1"/>
  <c r="C980" i="45" s="1"/>
  <c r="C1085" i="45" s="1"/>
  <c r="C1190" i="45" s="1"/>
  <c r="C1295" i="45" s="1"/>
  <c r="C568" i="45"/>
  <c r="C673" i="45" s="1"/>
  <c r="C778" i="45" s="1"/>
  <c r="C883" i="45" s="1"/>
  <c r="C988" i="45" s="1"/>
  <c r="C1093" i="45" s="1"/>
  <c r="C1198" i="45" s="1"/>
  <c r="C1303" i="45" s="1"/>
  <c r="C576" i="45"/>
  <c r="C681" i="45" s="1"/>
  <c r="C786" i="45" s="1"/>
  <c r="C891" i="45" s="1"/>
  <c r="C996" i="45" s="1"/>
  <c r="C1101" i="45" s="1"/>
  <c r="C1206" i="45" s="1"/>
  <c r="C1311" i="45" s="1"/>
  <c r="C584" i="45"/>
  <c r="C689" i="45" s="1"/>
  <c r="C794" i="45" s="1"/>
  <c r="C899" i="45" s="1"/>
  <c r="C1004" i="45" s="1"/>
  <c r="C1109" i="45" s="1"/>
  <c r="C1214" i="45" s="1"/>
  <c r="C1319" i="45" s="1"/>
  <c r="C1424" i="45" s="1"/>
  <c r="F596" i="45"/>
  <c r="F701" i="45" s="1"/>
  <c r="F806" i="45" s="1"/>
  <c r="F911" i="45" s="1"/>
  <c r="F1016" i="45" s="1"/>
  <c r="F1121" i="45" s="1"/>
  <c r="F1226" i="45" s="1"/>
  <c r="F1331" i="45" s="1"/>
  <c r="D583" i="45"/>
  <c r="D688" i="45"/>
  <c r="F503" i="45"/>
  <c r="F608" i="45" s="1"/>
  <c r="F713" i="45" s="1"/>
  <c r="F818" i="45" s="1"/>
  <c r="F923" i="45" s="1"/>
  <c r="F1028" i="45" s="1"/>
  <c r="F1133" i="45" s="1"/>
  <c r="F1238" i="45" s="1"/>
  <c r="F1343" i="45" s="1"/>
  <c r="F507" i="45"/>
  <c r="F612" i="45" s="1"/>
  <c r="F717" i="45" s="1"/>
  <c r="F822" i="45" s="1"/>
  <c r="F927" i="45" s="1"/>
  <c r="F1032" i="45" s="1"/>
  <c r="F1137" i="45" s="1"/>
  <c r="F1242" i="45" s="1"/>
  <c r="F1347" i="45" s="1"/>
  <c r="F511" i="45"/>
  <c r="F616" i="45" s="1"/>
  <c r="F515" i="45"/>
  <c r="F620" i="45" s="1"/>
  <c r="F519" i="45"/>
  <c r="F624" i="45" s="1"/>
  <c r="F729" i="45" s="1"/>
  <c r="F834" i="45" s="1"/>
  <c r="F939" i="45" s="1"/>
  <c r="F1044" i="45" s="1"/>
  <c r="F1149" i="45" s="1"/>
  <c r="F1254" i="45" s="1"/>
  <c r="F1359" i="45" s="1"/>
  <c r="F523" i="45"/>
  <c r="F628" i="45" s="1"/>
  <c r="F733" i="45" s="1"/>
  <c r="F838" i="45" s="1"/>
  <c r="F943" i="45" s="1"/>
  <c r="F1048" i="45" s="1"/>
  <c r="F1153" i="45" s="1"/>
  <c r="F1258" i="45" s="1"/>
  <c r="F1363" i="45" s="1"/>
  <c r="G590" i="45"/>
  <c r="G695" i="45" s="1"/>
  <c r="F597" i="45"/>
  <c r="F702" i="45"/>
  <c r="F807" i="45" s="1"/>
  <c r="F912" i="45" s="1"/>
  <c r="F1017" i="45" s="1"/>
  <c r="F1122" i="45" s="1"/>
  <c r="F1227" i="45" s="1"/>
  <c r="F1332" i="45" s="1"/>
  <c r="F1437" i="45" s="1"/>
  <c r="G503" i="45"/>
  <c r="G608" i="45" s="1"/>
  <c r="G507" i="45"/>
  <c r="G612" i="45" s="1"/>
  <c r="G717" i="45" s="1"/>
  <c r="G822" i="45" s="1"/>
  <c r="G927" i="45" s="1"/>
  <c r="G1032" i="45" s="1"/>
  <c r="G1137" i="45" s="1"/>
  <c r="G1242" i="45" s="1"/>
  <c r="G1347" i="45" s="1"/>
  <c r="G511" i="45"/>
  <c r="G616" i="45" s="1"/>
  <c r="G515" i="45"/>
  <c r="G620" i="45" s="1"/>
  <c r="G725" i="45" s="1"/>
  <c r="G830" i="45" s="1"/>
  <c r="G935" i="45" s="1"/>
  <c r="G1040" i="45" s="1"/>
  <c r="G1145" i="45" s="1"/>
  <c r="G1250" i="45" s="1"/>
  <c r="G1355" i="45" s="1"/>
  <c r="G519" i="45"/>
  <c r="G624" i="45" s="1"/>
  <c r="G523" i="45"/>
  <c r="G628" i="45" s="1"/>
  <c r="G733" i="45" s="1"/>
  <c r="G838" i="45" s="1"/>
  <c r="G943" i="45" s="1"/>
  <c r="G1048" i="45" s="1"/>
  <c r="G1153" i="45" s="1"/>
  <c r="G1258" i="45" s="1"/>
  <c r="G1363" i="45" s="1"/>
  <c r="G527" i="45"/>
  <c r="G632" i="45" s="1"/>
  <c r="G737" i="45" s="1"/>
  <c r="G842" i="45" s="1"/>
  <c r="G947" i="45" s="1"/>
  <c r="G1052" i="45" s="1"/>
  <c r="G1157" i="45" s="1"/>
  <c r="G1262" i="45" s="1"/>
  <c r="G1367" i="45" s="1"/>
  <c r="G531" i="45"/>
  <c r="G636" i="45" s="1"/>
  <c r="G741" i="45" s="1"/>
  <c r="G846" i="45" s="1"/>
  <c r="G951" i="45" s="1"/>
  <c r="G1056" i="45" s="1"/>
  <c r="G1161" i="45" s="1"/>
  <c r="G1266" i="45" s="1"/>
  <c r="G1371" i="45" s="1"/>
  <c r="G535" i="45"/>
  <c r="G640" i="45" s="1"/>
  <c r="G539" i="45"/>
  <c r="G644" i="45" s="1"/>
  <c r="G749" i="45" s="1"/>
  <c r="G854" i="45" s="1"/>
  <c r="G959" i="45" s="1"/>
  <c r="G1064" i="45" s="1"/>
  <c r="G1169" i="45" s="1"/>
  <c r="G1274" i="45" s="1"/>
  <c r="G1379" i="45" s="1"/>
  <c r="G543" i="45"/>
  <c r="G648" i="45" s="1"/>
  <c r="G547" i="45"/>
  <c r="G652" i="45" s="1"/>
  <c r="G757" i="45" s="1"/>
  <c r="G862" i="45" s="1"/>
  <c r="G967" i="45" s="1"/>
  <c r="G1072" i="45" s="1"/>
  <c r="G1177" i="45" s="1"/>
  <c r="G1282" i="45" s="1"/>
  <c r="G1387" i="45" s="1"/>
  <c r="G551" i="45"/>
  <c r="G656" i="45" s="1"/>
  <c r="G555" i="45"/>
  <c r="G660" i="45" s="1"/>
  <c r="G765" i="45" s="1"/>
  <c r="G870" i="45" s="1"/>
  <c r="G975" i="45" s="1"/>
  <c r="G1080" i="45" s="1"/>
  <c r="G1185" i="45" s="1"/>
  <c r="G1290" i="45" s="1"/>
  <c r="G1395" i="45" s="1"/>
  <c r="G559" i="45"/>
  <c r="G664" i="45" s="1"/>
  <c r="G769" i="45" s="1"/>
  <c r="G874" i="45" s="1"/>
  <c r="G979" i="45" s="1"/>
  <c r="G1084" i="45" s="1"/>
  <c r="G1189" i="45" s="1"/>
  <c r="G1294" i="45" s="1"/>
  <c r="G1399" i="45" s="1"/>
  <c r="G563" i="45"/>
  <c r="G668" i="45"/>
  <c r="G567" i="45"/>
  <c r="G672" i="45" s="1"/>
  <c r="G571" i="45"/>
  <c r="G676" i="45" s="1"/>
  <c r="G781" i="45" s="1"/>
  <c r="G886" i="45" s="1"/>
  <c r="G991" i="45" s="1"/>
  <c r="G1096" i="45" s="1"/>
  <c r="G1201" i="45" s="1"/>
  <c r="G1306" i="45" s="1"/>
  <c r="G1411" i="45" s="1"/>
  <c r="G575" i="45"/>
  <c r="G680" i="45" s="1"/>
  <c r="G579" i="45"/>
  <c r="G684" i="45" s="1"/>
  <c r="G789" i="45" s="1"/>
  <c r="G894" i="45" s="1"/>
  <c r="G999" i="45" s="1"/>
  <c r="G1104" i="45" s="1"/>
  <c r="G1209" i="45" s="1"/>
  <c r="G1314" i="45" s="1"/>
  <c r="G1419" i="45" s="1"/>
  <c r="G583" i="45"/>
  <c r="G688" i="45" s="1"/>
  <c r="C589" i="45"/>
  <c r="C694" i="45" s="1"/>
  <c r="C799" i="45" s="1"/>
  <c r="C904" i="45" s="1"/>
  <c r="C1009" i="45" s="1"/>
  <c r="C1114" i="45" s="1"/>
  <c r="C1219" i="45" s="1"/>
  <c r="C1324" i="45" s="1"/>
  <c r="C1429" i="45" s="1"/>
  <c r="E595" i="45"/>
  <c r="E700" i="45" s="1"/>
  <c r="E805" i="45" s="1"/>
  <c r="E910" i="45" s="1"/>
  <c r="E1015" i="45" s="1"/>
  <c r="E1120" i="45" s="1"/>
  <c r="E1225" i="45" s="1"/>
  <c r="E1330" i="45" s="1"/>
  <c r="E1435" i="45" s="1"/>
  <c r="D593" i="45"/>
  <c r="D698" i="45"/>
  <c r="D803" i="45" s="1"/>
  <c r="D908" i="45" s="1"/>
  <c r="D1013" i="45" s="1"/>
  <c r="D1118" i="45" s="1"/>
  <c r="D1223" i="45" s="1"/>
  <c r="D1328" i="45" s="1"/>
  <c r="E511" i="45"/>
  <c r="E616" i="45" s="1"/>
  <c r="E721" i="45" s="1"/>
  <c r="E826" i="45" s="1"/>
  <c r="E931" i="45" s="1"/>
  <c r="E1036" i="45" s="1"/>
  <c r="E1141" i="45" s="1"/>
  <c r="E1246" i="45" s="1"/>
  <c r="E1351" i="45" s="1"/>
  <c r="E527" i="45"/>
  <c r="E632" i="45" s="1"/>
  <c r="E737" i="45" s="1"/>
  <c r="E842" i="45" s="1"/>
  <c r="E947" i="45" s="1"/>
  <c r="E1052" i="45" s="1"/>
  <c r="E1157" i="45" s="1"/>
  <c r="E1262" i="45" s="1"/>
  <c r="E1367" i="45" s="1"/>
  <c r="E543" i="45"/>
  <c r="E648" i="45" s="1"/>
  <c r="E753" i="45" s="1"/>
  <c r="E858" i="45" s="1"/>
  <c r="E963" i="45" s="1"/>
  <c r="E1068" i="45" s="1"/>
  <c r="E1173" i="45" s="1"/>
  <c r="E1278" i="45" s="1"/>
  <c r="E557" i="45"/>
  <c r="E662" i="45" s="1"/>
  <c r="E767" i="45" s="1"/>
  <c r="E872" i="45" s="1"/>
  <c r="E977" i="45" s="1"/>
  <c r="E1082" i="45" s="1"/>
  <c r="E1187" i="45" s="1"/>
  <c r="E1292" i="45" s="1"/>
  <c r="E1397" i="45" s="1"/>
  <c r="E573" i="45"/>
  <c r="E678" i="45" s="1"/>
  <c r="E783" i="45" s="1"/>
  <c r="E888" i="45" s="1"/>
  <c r="E993" i="45" s="1"/>
  <c r="E1098" i="45" s="1"/>
  <c r="E1203" i="45" s="1"/>
  <c r="E1308" i="45" s="1"/>
  <c r="E1413" i="45" s="1"/>
  <c r="D588" i="45"/>
  <c r="D693" i="45" s="1"/>
  <c r="D798" i="45" s="1"/>
  <c r="D903" i="45" s="1"/>
  <c r="D1008" i="45" s="1"/>
  <c r="D1113" i="45" s="1"/>
  <c r="D1218" i="45" s="1"/>
  <c r="D1323" i="45" s="1"/>
  <c r="D1428" i="45" s="1"/>
  <c r="D581" i="45"/>
  <c r="D686" i="45" s="1"/>
  <c r="D791" i="45" s="1"/>
  <c r="D896" i="45" s="1"/>
  <c r="D1001" i="45" s="1"/>
  <c r="D1106" i="45" s="1"/>
  <c r="D1211" i="45" s="1"/>
  <c r="D1316" i="45" s="1"/>
  <c r="F531" i="45"/>
  <c r="F636" i="45"/>
  <c r="F741" i="45" s="1"/>
  <c r="F846" i="45" s="1"/>
  <c r="F951" i="45" s="1"/>
  <c r="F1056" i="45" s="1"/>
  <c r="F1161" i="45" s="1"/>
  <c r="F1266" i="45" s="1"/>
  <c r="F1371" i="45" s="1"/>
  <c r="F539" i="45"/>
  <c r="F644" i="45" s="1"/>
  <c r="F749" i="45" s="1"/>
  <c r="F547" i="45"/>
  <c r="F652" i="45" s="1"/>
  <c r="F757" i="45" s="1"/>
  <c r="F862" i="45" s="1"/>
  <c r="F967" i="45" s="1"/>
  <c r="F1072" i="45" s="1"/>
  <c r="F1177" i="45" s="1"/>
  <c r="F1282" i="45" s="1"/>
  <c r="F1387" i="45" s="1"/>
  <c r="F555" i="45"/>
  <c r="F660" i="45" s="1"/>
  <c r="F765" i="45" s="1"/>
  <c r="F870" i="45" s="1"/>
  <c r="F975" i="45" s="1"/>
  <c r="F1080" i="45" s="1"/>
  <c r="F1185" i="45" s="1"/>
  <c r="F1290" i="45" s="1"/>
  <c r="F563" i="45"/>
  <c r="F668" i="45" s="1"/>
  <c r="F773" i="45" s="1"/>
  <c r="F878" i="45" s="1"/>
  <c r="F983" i="45" s="1"/>
  <c r="F1088" i="45" s="1"/>
  <c r="F1193" i="45" s="1"/>
  <c r="F1298" i="45" s="1"/>
  <c r="F1403" i="45" s="1"/>
  <c r="F571" i="45"/>
  <c r="F676" i="45" s="1"/>
  <c r="F781" i="45" s="1"/>
  <c r="F579" i="45"/>
  <c r="F684" i="45" s="1"/>
  <c r="F789" i="45" s="1"/>
  <c r="F894" i="45" s="1"/>
  <c r="F999" i="45" s="1"/>
  <c r="F1104" i="45" s="1"/>
  <c r="F1209" i="45" s="1"/>
  <c r="F1314" i="45" s="1"/>
  <c r="F1419" i="45" s="1"/>
  <c r="G586" i="45"/>
  <c r="G691" i="45" s="1"/>
  <c r="G796" i="45" s="1"/>
  <c r="G901" i="45" s="1"/>
  <c r="G1006" i="45" s="1"/>
  <c r="G1111" i="45" s="1"/>
  <c r="G1216" i="45" s="1"/>
  <c r="G1321" i="45" s="1"/>
  <c r="D599" i="45"/>
  <c r="D704" i="45" s="1"/>
  <c r="D809" i="45" s="1"/>
  <c r="D914" i="45" s="1"/>
  <c r="D1019" i="45" s="1"/>
  <c r="D1124" i="45" s="1"/>
  <c r="D1229" i="45" s="1"/>
  <c r="D1334" i="45" s="1"/>
  <c r="D1439" i="45" s="1"/>
  <c r="C508" i="45"/>
  <c r="C613" i="45" s="1"/>
  <c r="C718" i="45" s="1"/>
  <c r="C823" i="45" s="1"/>
  <c r="C928" i="45" s="1"/>
  <c r="C516" i="45"/>
  <c r="C621" i="45" s="1"/>
  <c r="C726" i="45" s="1"/>
  <c r="C831" i="45" s="1"/>
  <c r="C936" i="45" s="1"/>
  <c r="C1041" i="45" s="1"/>
  <c r="C1146" i="45" s="1"/>
  <c r="C1251" i="45" s="1"/>
  <c r="C1356" i="45" s="1"/>
  <c r="C524" i="45"/>
  <c r="C629" i="45" s="1"/>
  <c r="C734" i="45" s="1"/>
  <c r="C839" i="45" s="1"/>
  <c r="C944" i="45" s="1"/>
  <c r="C1049" i="45" s="1"/>
  <c r="C1154" i="45" s="1"/>
  <c r="C1259" i="45" s="1"/>
  <c r="C532" i="45"/>
  <c r="C637" i="45" s="1"/>
  <c r="C742" i="45" s="1"/>
  <c r="C847" i="45" s="1"/>
  <c r="C952" i="45" s="1"/>
  <c r="C1057" i="45" s="1"/>
  <c r="C1162" i="45" s="1"/>
  <c r="C1267" i="45" s="1"/>
  <c r="C541" i="45"/>
  <c r="C646" i="45" s="1"/>
  <c r="C751" i="45" s="1"/>
  <c r="C856" i="45" s="1"/>
  <c r="C961" i="45" s="1"/>
  <c r="C1066" i="45" s="1"/>
  <c r="C1171" i="45" s="1"/>
  <c r="C1276" i="45" s="1"/>
  <c r="C1381" i="45" s="1"/>
  <c r="C549" i="45"/>
  <c r="C654" i="45" s="1"/>
  <c r="C759" i="45" s="1"/>
  <c r="C864" i="45" s="1"/>
  <c r="C969" i="45" s="1"/>
  <c r="C1074" i="45" s="1"/>
  <c r="C1179" i="45" s="1"/>
  <c r="C1284" i="45" s="1"/>
  <c r="C1389" i="45" s="1"/>
  <c r="C557" i="45"/>
  <c r="C662" i="45" s="1"/>
  <c r="C767" i="45" s="1"/>
  <c r="C872" i="45" s="1"/>
  <c r="C977" i="45" s="1"/>
  <c r="C1082" i="45" s="1"/>
  <c r="C1187" i="45" s="1"/>
  <c r="C1292" i="45" s="1"/>
  <c r="C1397" i="45" s="1"/>
  <c r="C565" i="45"/>
  <c r="C670" i="45"/>
  <c r="C775" i="45" s="1"/>
  <c r="C880" i="45" s="1"/>
  <c r="C985" i="45" s="1"/>
  <c r="C1090" i="45" s="1"/>
  <c r="C1195" i="45" s="1"/>
  <c r="C1300" i="45" s="1"/>
  <c r="C573" i="45"/>
  <c r="C678" i="45" s="1"/>
  <c r="C783" i="45" s="1"/>
  <c r="C888" i="45" s="1"/>
  <c r="C993" i="45" s="1"/>
  <c r="C1098" i="45" s="1"/>
  <c r="C1203" i="45" s="1"/>
  <c r="C1308" i="45" s="1"/>
  <c r="C1413" i="45" s="1"/>
  <c r="C581" i="45"/>
  <c r="C686" i="45" s="1"/>
  <c r="C791" i="45" s="1"/>
  <c r="C896" i="45" s="1"/>
  <c r="C1001" i="45" s="1"/>
  <c r="C1106" i="45" s="1"/>
  <c r="C1211" i="45" s="1"/>
  <c r="C1316" i="45" s="1"/>
  <c r="C1421" i="45" s="1"/>
  <c r="E591" i="45"/>
  <c r="E696" i="45" s="1"/>
  <c r="E801" i="45" s="1"/>
  <c r="E906" i="45" s="1"/>
  <c r="E1011" i="45" s="1"/>
  <c r="E1116" i="45" s="1"/>
  <c r="E1221" i="45" s="1"/>
  <c r="E1326" i="45" s="1"/>
  <c r="D553" i="45"/>
  <c r="D658" i="45" s="1"/>
  <c r="E586" i="45"/>
  <c r="E691" i="45" s="1"/>
  <c r="E594" i="45"/>
  <c r="E699" i="45" s="1"/>
  <c r="E804" i="45" s="1"/>
  <c r="E909" i="45" s="1"/>
  <c r="E1014" i="45" s="1"/>
  <c r="E1119" i="45" s="1"/>
  <c r="E1224" i="45" s="1"/>
  <c r="E1329" i="45" s="1"/>
  <c r="E1434" i="45" s="1"/>
  <c r="E502" i="45"/>
  <c r="E607" i="45" s="1"/>
  <c r="E712" i="45" s="1"/>
  <c r="E817" i="45" s="1"/>
  <c r="E922" i="45" s="1"/>
  <c r="E1027" i="45" s="1"/>
  <c r="E1132" i="45" s="1"/>
  <c r="E1237" i="45" s="1"/>
  <c r="E1342" i="45" s="1"/>
  <c r="E510" i="45"/>
  <c r="E615" i="45"/>
  <c r="E518" i="45"/>
  <c r="E623" i="45" s="1"/>
  <c r="E526" i="45"/>
  <c r="E631" i="45" s="1"/>
  <c r="E736" i="45" s="1"/>
  <c r="E841" i="45" s="1"/>
  <c r="E946" i="45" s="1"/>
  <c r="E1051" i="45" s="1"/>
  <c r="E1156" i="45" s="1"/>
  <c r="E1261" i="45" s="1"/>
  <c r="E1366" i="45" s="1"/>
  <c r="E534" i="45"/>
  <c r="E639" i="45" s="1"/>
  <c r="E542" i="45"/>
  <c r="E647" i="45" s="1"/>
  <c r="E550" i="45"/>
  <c r="E655" i="45" s="1"/>
  <c r="E760" i="45" s="1"/>
  <c r="E865" i="45" s="1"/>
  <c r="E970" i="45" s="1"/>
  <c r="E1075" i="45" s="1"/>
  <c r="E1180" i="45" s="1"/>
  <c r="E1285" i="45" s="1"/>
  <c r="E1390" i="45" s="1"/>
  <c r="E558" i="45"/>
  <c r="E663" i="45" s="1"/>
  <c r="E768" i="45" s="1"/>
  <c r="E873" i="45" s="1"/>
  <c r="E978" i="45" s="1"/>
  <c r="E1083" i="45" s="1"/>
  <c r="E1188" i="45" s="1"/>
  <c r="E1293" i="45" s="1"/>
  <c r="E1398" i="45" s="1"/>
  <c r="E566" i="45"/>
  <c r="E671" i="45" s="1"/>
  <c r="E776" i="45" s="1"/>
  <c r="E574" i="45"/>
  <c r="E679" i="45"/>
  <c r="E784" i="45" s="1"/>
  <c r="E889" i="45" s="1"/>
  <c r="E994" i="45" s="1"/>
  <c r="E1099" i="45" s="1"/>
  <c r="E1204" i="45" s="1"/>
  <c r="E1309" i="45" s="1"/>
  <c r="E1414" i="45" s="1"/>
  <c r="E582" i="45"/>
  <c r="E687" i="45" s="1"/>
  <c r="E792" i="45" s="1"/>
  <c r="E589" i="45"/>
  <c r="E694" i="45" s="1"/>
  <c r="E799" i="45" s="1"/>
  <c r="E904" i="45" s="1"/>
  <c r="E1009" i="45" s="1"/>
  <c r="E1114" i="45" s="1"/>
  <c r="E1219" i="45" s="1"/>
  <c r="E1324" i="45" s="1"/>
  <c r="E1429" i="45" s="1"/>
  <c r="G595" i="45"/>
  <c r="G700" i="45" s="1"/>
  <c r="G805" i="45" s="1"/>
  <c r="G910" i="45" s="1"/>
  <c r="G1015" i="45" s="1"/>
  <c r="G1120" i="45" s="1"/>
  <c r="G1225" i="45" s="1"/>
  <c r="G1330" i="45" s="1"/>
  <c r="G1435" i="45" s="1"/>
  <c r="D561" i="45"/>
  <c r="D666" i="45" s="1"/>
  <c r="D771" i="45" s="1"/>
  <c r="D876" i="45" s="1"/>
  <c r="D981" i="45" s="1"/>
  <c r="D1086" i="45" s="1"/>
  <c r="D1191" i="45" s="1"/>
  <c r="D1296" i="45" s="1"/>
  <c r="D1401" i="45" s="1"/>
  <c r="F591" i="45"/>
  <c r="F696" i="45" s="1"/>
  <c r="F801" i="45" s="1"/>
  <c r="F906" i="45" s="1"/>
  <c r="F1011" i="45" s="1"/>
  <c r="F1116" i="45" s="1"/>
  <c r="F1221" i="45" s="1"/>
  <c r="F1326" i="45" s="1"/>
  <c r="E505" i="45"/>
  <c r="E610" i="45" s="1"/>
  <c r="E715" i="45" s="1"/>
  <c r="E820" i="45" s="1"/>
  <c r="E925" i="45" s="1"/>
  <c r="E1030" i="45" s="1"/>
  <c r="E1135" i="45" s="1"/>
  <c r="E1240" i="45" s="1"/>
  <c r="E1345" i="45" s="1"/>
  <c r="E521" i="45"/>
  <c r="E626" i="45" s="1"/>
  <c r="E731" i="45" s="1"/>
  <c r="E836" i="45" s="1"/>
  <c r="E941" i="45" s="1"/>
  <c r="E1046" i="45" s="1"/>
  <c r="E1151" i="45" s="1"/>
  <c r="E1256" i="45" s="1"/>
  <c r="E539" i="45"/>
  <c r="E644" i="45" s="1"/>
  <c r="E749" i="45" s="1"/>
  <c r="E854" i="45" s="1"/>
  <c r="E959" i="45" s="1"/>
  <c r="E1064" i="45" s="1"/>
  <c r="E1169" i="45" s="1"/>
  <c r="E1274" i="45" s="1"/>
  <c r="E1379" i="45" s="1"/>
  <c r="E555" i="45"/>
  <c r="E660" i="45" s="1"/>
  <c r="E765" i="45" s="1"/>
  <c r="E870" i="45" s="1"/>
  <c r="E975" i="45" s="1"/>
  <c r="E1080" i="45" s="1"/>
  <c r="E1185" i="45" s="1"/>
  <c r="E1290" i="45" s="1"/>
  <c r="E571" i="45"/>
  <c r="E676" i="45" s="1"/>
  <c r="E781" i="45" s="1"/>
  <c r="E886" i="45" s="1"/>
  <c r="E991" i="45" s="1"/>
  <c r="E1096" i="45" s="1"/>
  <c r="E1201" i="45" s="1"/>
  <c r="E1306" i="45" s="1"/>
  <c r="E1411" i="45" s="1"/>
  <c r="C587" i="45"/>
  <c r="C692" i="45" s="1"/>
  <c r="C797" i="45" s="1"/>
  <c r="C902" i="45" s="1"/>
  <c r="C1007" i="45" s="1"/>
  <c r="C1112" i="45" s="1"/>
  <c r="C1217" i="45" s="1"/>
  <c r="C1322" i="45" s="1"/>
  <c r="C1427" i="45" s="1"/>
  <c r="F598" i="45"/>
  <c r="F703" i="45" s="1"/>
  <c r="F808" i="45" s="1"/>
  <c r="F913" i="45" s="1"/>
  <c r="F1018" i="45" s="1"/>
  <c r="F1123" i="45" s="1"/>
  <c r="F1228" i="45" s="1"/>
  <c r="F1333" i="45" s="1"/>
  <c r="D577" i="45"/>
  <c r="D682" i="45" s="1"/>
  <c r="D787" i="45" s="1"/>
  <c r="D892" i="45" s="1"/>
  <c r="D997" i="45" s="1"/>
  <c r="D1102" i="45" s="1"/>
  <c r="D1207" i="45" s="1"/>
  <c r="D1312" i="45" s="1"/>
  <c r="D1417" i="45" s="1"/>
  <c r="F529" i="45"/>
  <c r="F634" i="45" s="1"/>
  <c r="F739" i="45" s="1"/>
  <c r="F844" i="45" s="1"/>
  <c r="F949" i="45" s="1"/>
  <c r="F1054" i="45" s="1"/>
  <c r="F1159" i="45" s="1"/>
  <c r="F1264" i="45" s="1"/>
  <c r="F1369" i="45" s="1"/>
  <c r="F536" i="45"/>
  <c r="F641" i="45" s="1"/>
  <c r="F746" i="45" s="1"/>
  <c r="F851" i="45" s="1"/>
  <c r="F956" i="45" s="1"/>
  <c r="F1061" i="45" s="1"/>
  <c r="F1166" i="45" s="1"/>
  <c r="F1271" i="45" s="1"/>
  <c r="F1376" i="45" s="1"/>
  <c r="F544" i="45"/>
  <c r="F649" i="45"/>
  <c r="F552" i="45"/>
  <c r="F657" i="45" s="1"/>
  <c r="F560" i="45"/>
  <c r="F665" i="45" s="1"/>
  <c r="F770" i="45" s="1"/>
  <c r="F875" i="45" s="1"/>
  <c r="F980" i="45" s="1"/>
  <c r="F1085" i="45" s="1"/>
  <c r="F1190" i="45" s="1"/>
  <c r="F1295" i="45" s="1"/>
  <c r="F1400" i="45" s="1"/>
  <c r="F568" i="45"/>
  <c r="F673" i="45" s="1"/>
  <c r="F576" i="45"/>
  <c r="F681" i="45" s="1"/>
  <c r="F786" i="45" s="1"/>
  <c r="F891" i="45" s="1"/>
  <c r="F996" i="45" s="1"/>
  <c r="F1101" i="45" s="1"/>
  <c r="F1206" i="45" s="1"/>
  <c r="F1311" i="45" s="1"/>
  <c r="F1416" i="45" s="1"/>
  <c r="F585" i="45"/>
  <c r="F690" i="45" s="1"/>
  <c r="F795" i="45" s="1"/>
  <c r="F900" i="45" s="1"/>
  <c r="F1005" i="45" s="1"/>
  <c r="F1110" i="45" s="1"/>
  <c r="F1215" i="45" s="1"/>
  <c r="F1320" i="45" s="1"/>
  <c r="E596" i="45"/>
  <c r="E701" i="45" s="1"/>
  <c r="E806" i="45" s="1"/>
  <c r="E911" i="45" s="1"/>
  <c r="E1016" i="45" s="1"/>
  <c r="E1121" i="45" s="1"/>
  <c r="E1226" i="45" s="1"/>
  <c r="E1331" i="45" s="1"/>
  <c r="E1436" i="45" s="1"/>
  <c r="C507" i="45"/>
  <c r="C612" i="45" s="1"/>
  <c r="C717" i="45" s="1"/>
  <c r="C822" i="45" s="1"/>
  <c r="C927" i="45" s="1"/>
  <c r="C1032" i="45" s="1"/>
  <c r="C1137" i="45" s="1"/>
  <c r="C1242" i="45" s="1"/>
  <c r="C1347" i="45" s="1"/>
  <c r="C514" i="45"/>
  <c r="C619" i="45"/>
  <c r="C523" i="45"/>
  <c r="C628" i="45" s="1"/>
  <c r="C733" i="45" s="1"/>
  <c r="C838" i="45" s="1"/>
  <c r="C943" i="45" s="1"/>
  <c r="C1048" i="45" s="1"/>
  <c r="C1153" i="45" s="1"/>
  <c r="C1258" i="45" s="1"/>
  <c r="C1363" i="45" s="1"/>
  <c r="C530" i="45"/>
  <c r="C635" i="45" s="1"/>
  <c r="C740" i="45" s="1"/>
  <c r="C845" i="45" s="1"/>
  <c r="C950" i="45" s="1"/>
  <c r="C1055" i="45" s="1"/>
  <c r="C1160" i="45" s="1"/>
  <c r="C1265" i="45" s="1"/>
  <c r="C1370" i="45" s="1"/>
  <c r="C539" i="45"/>
  <c r="C644" i="45" s="1"/>
  <c r="C749" i="45" s="1"/>
  <c r="C854" i="45" s="1"/>
  <c r="C959" i="45" s="1"/>
  <c r="C1064" i="45" s="1"/>
  <c r="C1169" i="45" s="1"/>
  <c r="C1274" i="45" s="1"/>
  <c r="C546" i="45"/>
  <c r="C651" i="45" s="1"/>
  <c r="C756" i="45" s="1"/>
  <c r="C554" i="45"/>
  <c r="C659" i="45" s="1"/>
  <c r="C764" i="45" s="1"/>
  <c r="C869" i="45" s="1"/>
  <c r="C974" i="45" s="1"/>
  <c r="C1079" i="45" s="1"/>
  <c r="C1184" i="45" s="1"/>
  <c r="C1289" i="45" s="1"/>
  <c r="C1394" i="45" s="1"/>
  <c r="C562" i="45"/>
  <c r="C667" i="45" s="1"/>
  <c r="C772" i="45" s="1"/>
  <c r="C877" i="45" s="1"/>
  <c r="C982" i="45" s="1"/>
  <c r="C1087" i="45" s="1"/>
  <c r="C1192" i="45" s="1"/>
  <c r="C1297" i="45" s="1"/>
  <c r="C1402" i="45" s="1"/>
  <c r="C570" i="45"/>
  <c r="C675" i="45" s="1"/>
  <c r="C780" i="45" s="1"/>
  <c r="C578" i="45"/>
  <c r="C683" i="45"/>
  <c r="C788" i="45" s="1"/>
  <c r="C893" i="45" s="1"/>
  <c r="C998" i="45" s="1"/>
  <c r="C1103" i="45" s="1"/>
  <c r="C1208" i="45" s="1"/>
  <c r="C1313" i="45" s="1"/>
  <c r="C1418" i="45" s="1"/>
  <c r="D586" i="45"/>
  <c r="D691" i="45" s="1"/>
  <c r="D796" i="45" s="1"/>
  <c r="E599" i="45"/>
  <c r="E704" i="45" s="1"/>
  <c r="E809" i="45" s="1"/>
  <c r="E914" i="45" s="1"/>
  <c r="E1019" i="45" s="1"/>
  <c r="E1124" i="45" s="1"/>
  <c r="E1229" i="45" s="1"/>
  <c r="E1334" i="45" s="1"/>
  <c r="E1439" i="45" s="1"/>
  <c r="C588" i="45"/>
  <c r="C693" i="45" s="1"/>
  <c r="F504" i="45"/>
  <c r="F609" i="45" s="1"/>
  <c r="F714" i="45" s="1"/>
  <c r="F819" i="45" s="1"/>
  <c r="F924" i="45" s="1"/>
  <c r="F1029" i="45" s="1"/>
  <c r="F1134" i="45" s="1"/>
  <c r="F1239" i="45" s="1"/>
  <c r="F1344" i="45" s="1"/>
  <c r="F508" i="45"/>
  <c r="F613" i="45" s="1"/>
  <c r="F512" i="45"/>
  <c r="F617" i="45" s="1"/>
  <c r="F722" i="45" s="1"/>
  <c r="F827" i="45" s="1"/>
  <c r="F932" i="45" s="1"/>
  <c r="F1037" i="45" s="1"/>
  <c r="F1142" i="45" s="1"/>
  <c r="F1247" i="45" s="1"/>
  <c r="F1352" i="45" s="1"/>
  <c r="F516" i="45"/>
  <c r="F621" i="45" s="1"/>
  <c r="F726" i="45" s="1"/>
  <c r="F831" i="45" s="1"/>
  <c r="F936" i="45" s="1"/>
  <c r="F1041" i="45" s="1"/>
  <c r="F1146" i="45" s="1"/>
  <c r="F1251" i="45" s="1"/>
  <c r="F1356" i="45" s="1"/>
  <c r="F520" i="45"/>
  <c r="F625" i="45" s="1"/>
  <c r="F730" i="45" s="1"/>
  <c r="F835" i="45" s="1"/>
  <c r="F940" i="45" s="1"/>
  <c r="F1045" i="45" s="1"/>
  <c r="F1150" i="45" s="1"/>
  <c r="F1255" i="45" s="1"/>
  <c r="F1360" i="45" s="1"/>
  <c r="C586" i="45"/>
  <c r="C691" i="45" s="1"/>
  <c r="E592" i="45"/>
  <c r="E697" i="45" s="1"/>
  <c r="E802" i="45" s="1"/>
  <c r="E907" i="45" s="1"/>
  <c r="E1012" i="45" s="1"/>
  <c r="E1117" i="45" s="1"/>
  <c r="E1222" i="45" s="1"/>
  <c r="E1327" i="45" s="1"/>
  <c r="E1432" i="45" s="1"/>
  <c r="G598" i="45"/>
  <c r="G703" i="45" s="1"/>
  <c r="G504" i="45"/>
  <c r="G609" i="45" s="1"/>
  <c r="G508" i="45"/>
  <c r="G613" i="45" s="1"/>
  <c r="G718" i="45" s="1"/>
  <c r="G823" i="45" s="1"/>
  <c r="G928" i="45" s="1"/>
  <c r="G1033" i="45" s="1"/>
  <c r="G1138" i="45" s="1"/>
  <c r="G1243" i="45" s="1"/>
  <c r="G1348" i="45" s="1"/>
  <c r="G512" i="45"/>
  <c r="G617" i="45" s="1"/>
  <c r="G722" i="45" s="1"/>
  <c r="G827" i="45" s="1"/>
  <c r="G932" i="45" s="1"/>
  <c r="G1037" i="45" s="1"/>
  <c r="G1142" i="45" s="1"/>
  <c r="G1247" i="45" s="1"/>
  <c r="G1352" i="45" s="1"/>
  <c r="G516" i="45"/>
  <c r="G621" i="45" s="1"/>
  <c r="G726" i="45" s="1"/>
  <c r="G831" i="45" s="1"/>
  <c r="G936" i="45" s="1"/>
  <c r="G1041" i="45" s="1"/>
  <c r="G1146" i="45" s="1"/>
  <c r="G1251" i="45" s="1"/>
  <c r="G1356" i="45" s="1"/>
  <c r="G520" i="45"/>
  <c r="G625" i="45"/>
  <c r="G730" i="45" s="1"/>
  <c r="G835" i="45" s="1"/>
  <c r="G940" i="45" s="1"/>
  <c r="G1045" i="45" s="1"/>
  <c r="G1150" i="45" s="1"/>
  <c r="G1255" i="45" s="1"/>
  <c r="G1360" i="45" s="1"/>
  <c r="G524" i="45"/>
  <c r="G629" i="45" s="1"/>
  <c r="G528" i="45"/>
  <c r="G633" i="45" s="1"/>
  <c r="G738" i="45" s="1"/>
  <c r="G843" i="45" s="1"/>
  <c r="G948" i="45" s="1"/>
  <c r="G1053" i="45" s="1"/>
  <c r="G1158" i="45" s="1"/>
  <c r="G1263" i="45" s="1"/>
  <c r="G1368" i="45" s="1"/>
  <c r="G532" i="45"/>
  <c r="G637" i="45" s="1"/>
  <c r="G536" i="45"/>
  <c r="G641" i="45" s="1"/>
  <c r="G746" i="45" s="1"/>
  <c r="G851" i="45" s="1"/>
  <c r="G956" i="45" s="1"/>
  <c r="G1061" i="45" s="1"/>
  <c r="G1166" i="45" s="1"/>
  <c r="G1271" i="45" s="1"/>
  <c r="G1376" i="45" s="1"/>
  <c r="G540" i="45"/>
  <c r="G645" i="45" s="1"/>
  <c r="G544" i="45"/>
  <c r="G649" i="45" s="1"/>
  <c r="G754" i="45" s="1"/>
  <c r="G859" i="45" s="1"/>
  <c r="G964" i="45" s="1"/>
  <c r="G1069" i="45" s="1"/>
  <c r="G1174" i="45" s="1"/>
  <c r="G1279" i="45" s="1"/>
  <c r="G1384" i="45" s="1"/>
  <c r="G548" i="45"/>
  <c r="G653" i="45" s="1"/>
  <c r="G758" i="45" s="1"/>
  <c r="G863" i="45" s="1"/>
  <c r="G968" i="45" s="1"/>
  <c r="G1073" i="45" s="1"/>
  <c r="G1178" i="45" s="1"/>
  <c r="G1283" i="45" s="1"/>
  <c r="G1388" i="45" s="1"/>
  <c r="G552" i="45"/>
  <c r="G657" i="45"/>
  <c r="G556" i="45"/>
  <c r="G661" i="45" s="1"/>
  <c r="G766" i="45" s="1"/>
  <c r="G871" i="45" s="1"/>
  <c r="G976" i="45" s="1"/>
  <c r="G1081" i="45" s="1"/>
  <c r="G1186" i="45" s="1"/>
  <c r="G1291" i="45" s="1"/>
  <c r="G1396" i="45" s="1"/>
  <c r="G560" i="45"/>
  <c r="G665" i="45" s="1"/>
  <c r="G770" i="45" s="1"/>
  <c r="G875" i="45" s="1"/>
  <c r="G980" i="45" s="1"/>
  <c r="G1085" i="45" s="1"/>
  <c r="G1190" i="45" s="1"/>
  <c r="G1295" i="45" s="1"/>
  <c r="G1400" i="45" s="1"/>
  <c r="G564" i="45"/>
  <c r="G669" i="45" s="1"/>
  <c r="G568" i="45"/>
  <c r="G673" i="45" s="1"/>
  <c r="G778" i="45" s="1"/>
  <c r="G883" i="45" s="1"/>
  <c r="G988" i="45" s="1"/>
  <c r="G1093" i="45" s="1"/>
  <c r="G1198" i="45" s="1"/>
  <c r="G1303" i="45" s="1"/>
  <c r="G1408" i="45" s="1"/>
  <c r="G572" i="45"/>
  <c r="G677" i="45" s="1"/>
  <c r="G782" i="45" s="1"/>
  <c r="G887" i="45" s="1"/>
  <c r="G992" i="45" s="1"/>
  <c r="G1097" i="45" s="1"/>
  <c r="G1202" i="45" s="1"/>
  <c r="G1307" i="45" s="1"/>
  <c r="G1412" i="45" s="1"/>
  <c r="G576" i="45"/>
  <c r="G681" i="45" s="1"/>
  <c r="G786" i="45" s="1"/>
  <c r="G891" i="45" s="1"/>
  <c r="G996" i="45" s="1"/>
  <c r="G1101" i="45" s="1"/>
  <c r="G1206" i="45" s="1"/>
  <c r="G1311" i="45" s="1"/>
  <c r="G1416" i="45" s="1"/>
  <c r="G580" i="45"/>
  <c r="G685" i="45" s="1"/>
  <c r="G584" i="45"/>
  <c r="G689" i="45"/>
  <c r="G794" i="45" s="1"/>
  <c r="G899" i="45" s="1"/>
  <c r="G1004" i="45" s="1"/>
  <c r="G1109" i="45" s="1"/>
  <c r="G1214" i="45" s="1"/>
  <c r="G1319" i="45" s="1"/>
  <c r="G1424" i="45" s="1"/>
  <c r="D590" i="45"/>
  <c r="D695" i="45" s="1"/>
  <c r="C597" i="45"/>
  <c r="C702" i="45" s="1"/>
  <c r="C807" i="45" s="1"/>
  <c r="C912" i="45" s="1"/>
  <c r="C1017" i="45" s="1"/>
  <c r="C1122" i="45" s="1"/>
  <c r="C1227" i="45" s="1"/>
  <c r="C1332" i="45" s="1"/>
  <c r="C1437" i="45" s="1"/>
  <c r="D565" i="45"/>
  <c r="D670" i="45" s="1"/>
  <c r="D775" i="45" s="1"/>
  <c r="D880" i="45" s="1"/>
  <c r="D985" i="45" s="1"/>
  <c r="D1090" i="45" s="1"/>
  <c r="D1195" i="45" s="1"/>
  <c r="D1300" i="45" s="1"/>
  <c r="G596" i="45"/>
  <c r="G701" i="45" s="1"/>
  <c r="G806" i="45" s="1"/>
  <c r="G911" i="45" s="1"/>
  <c r="G1016" i="45" s="1"/>
  <c r="G1121" i="45" s="1"/>
  <c r="G1226" i="45" s="1"/>
  <c r="G1331" i="45" s="1"/>
  <c r="G1436" i="45" s="1"/>
  <c r="E515" i="45"/>
  <c r="E620" i="45" s="1"/>
  <c r="E725" i="45" s="1"/>
  <c r="E830" i="45" s="1"/>
  <c r="E935" i="45" s="1"/>
  <c r="E1040" i="45" s="1"/>
  <c r="E1145" i="45" s="1"/>
  <c r="E1250" i="45" s="1"/>
  <c r="E531" i="45"/>
  <c r="E636" i="45" s="1"/>
  <c r="E741" i="45" s="1"/>
  <c r="E846" i="45" s="1"/>
  <c r="E951" i="45" s="1"/>
  <c r="E1056" i="45" s="1"/>
  <c r="E1161" i="45" s="1"/>
  <c r="E1266" i="45" s="1"/>
  <c r="E1371" i="45" s="1"/>
  <c r="E547" i="45"/>
  <c r="E652" i="45" s="1"/>
  <c r="E757" i="45" s="1"/>
  <c r="E862" i="45" s="1"/>
  <c r="E967" i="45" s="1"/>
  <c r="E1072" i="45" s="1"/>
  <c r="E1177" i="45" s="1"/>
  <c r="E1282" i="45" s="1"/>
  <c r="E1387" i="45" s="1"/>
  <c r="E561" i="45"/>
  <c r="E666" i="45" s="1"/>
  <c r="E771" i="45" s="1"/>
  <c r="E876" i="45" s="1"/>
  <c r="E981" i="45" s="1"/>
  <c r="E1086" i="45" s="1"/>
  <c r="E1191" i="45" s="1"/>
  <c r="E1296" i="45" s="1"/>
  <c r="E1401" i="45" s="1"/>
  <c r="E577" i="45"/>
  <c r="E682" i="45" s="1"/>
  <c r="E787" i="45" s="1"/>
  <c r="E892" i="45" s="1"/>
  <c r="E997" i="45" s="1"/>
  <c r="E1102" i="45" s="1"/>
  <c r="E1207" i="45" s="1"/>
  <c r="E1312" i="45" s="1"/>
  <c r="G591" i="45"/>
  <c r="G696" i="45" s="1"/>
  <c r="G801" i="45" s="1"/>
  <c r="G906" i="45" s="1"/>
  <c r="G1011" i="45" s="1"/>
  <c r="G1116" i="45" s="1"/>
  <c r="G1221" i="45" s="1"/>
  <c r="G1326" i="45" s="1"/>
  <c r="G1431" i="45" s="1"/>
  <c r="F524" i="45"/>
  <c r="F629" i="45" s="1"/>
  <c r="F734" i="45" s="1"/>
  <c r="F839" i="45" s="1"/>
  <c r="F944" i="45" s="1"/>
  <c r="F1049" i="45" s="1"/>
  <c r="F1154" i="45" s="1"/>
  <c r="F1259" i="45" s="1"/>
  <c r="F1364" i="45" s="1"/>
  <c r="F533" i="45"/>
  <c r="F638" i="45" s="1"/>
  <c r="F743" i="45" s="1"/>
  <c r="F848" i="45" s="1"/>
  <c r="F953" i="45" s="1"/>
  <c r="F1058" i="45" s="1"/>
  <c r="F1163" i="45" s="1"/>
  <c r="F1268" i="45" s="1"/>
  <c r="F1373" i="45" s="1"/>
  <c r="F541" i="45"/>
  <c r="F646" i="45" s="1"/>
  <c r="F751" i="45" s="1"/>
  <c r="F856" i="45" s="1"/>
  <c r="F961" i="45" s="1"/>
  <c r="F1066" i="45" s="1"/>
  <c r="F1171" i="45" s="1"/>
  <c r="F1276" i="45" s="1"/>
  <c r="F1381" i="45" s="1"/>
  <c r="F549" i="45"/>
  <c r="F654" i="45" s="1"/>
  <c r="F759" i="45" s="1"/>
  <c r="F864" i="45" s="1"/>
  <c r="F969" i="45" s="1"/>
  <c r="F1074" i="45" s="1"/>
  <c r="F1179" i="45" s="1"/>
  <c r="F1284" i="45" s="1"/>
  <c r="F1389" i="45" s="1"/>
  <c r="F557" i="45"/>
  <c r="F662" i="45" s="1"/>
  <c r="F767" i="45" s="1"/>
  <c r="F872" i="45" s="1"/>
  <c r="F977" i="45" s="1"/>
  <c r="F1082" i="45" s="1"/>
  <c r="F1187" i="45" s="1"/>
  <c r="F1292" i="45" s="1"/>
  <c r="F1397" i="45" s="1"/>
  <c r="F565" i="45"/>
  <c r="F670" i="45"/>
  <c r="F573" i="45"/>
  <c r="F678" i="45" s="1"/>
  <c r="F783" i="45" s="1"/>
  <c r="F888" i="45" s="1"/>
  <c r="F993" i="45" s="1"/>
  <c r="F1098" i="45" s="1"/>
  <c r="F1203" i="45" s="1"/>
  <c r="F1308" i="45" s="1"/>
  <c r="F1413" i="45" s="1"/>
  <c r="F580" i="45"/>
  <c r="F685" i="45" s="1"/>
  <c r="F790" i="45" s="1"/>
  <c r="F895" i="45" s="1"/>
  <c r="F1000" i="45" s="1"/>
  <c r="F1105" i="45" s="1"/>
  <c r="F1210" i="45" s="1"/>
  <c r="F1315" i="45" s="1"/>
  <c r="F1420" i="45" s="1"/>
  <c r="C590" i="45"/>
  <c r="C695" i="45" s="1"/>
  <c r="C800" i="45" s="1"/>
  <c r="C905" i="45" s="1"/>
  <c r="C1010" i="45" s="1"/>
  <c r="C502" i="45"/>
  <c r="C607" i="45" s="1"/>
  <c r="C712" i="45" s="1"/>
  <c r="C817" i="45" s="1"/>
  <c r="C922" i="45" s="1"/>
  <c r="C1027" i="45" s="1"/>
  <c r="C1132" i="45" s="1"/>
  <c r="C1237" i="45" s="1"/>
  <c r="C1342" i="45" s="1"/>
  <c r="C511" i="45"/>
  <c r="C616" i="45" s="1"/>
  <c r="C721" i="45" s="1"/>
  <c r="C826" i="45" s="1"/>
  <c r="C931" i="45" s="1"/>
  <c r="C1036" i="45" s="1"/>
  <c r="C1141" i="45" s="1"/>
  <c r="C1246" i="45" s="1"/>
  <c r="C518" i="45"/>
  <c r="C623" i="45" s="1"/>
  <c r="C728" i="45" s="1"/>
  <c r="C833" i="45" s="1"/>
  <c r="C938" i="45" s="1"/>
  <c r="C1043" i="45" s="1"/>
  <c r="C1148" i="45" s="1"/>
  <c r="C1253" i="45" s="1"/>
  <c r="C1358" i="45" s="1"/>
  <c r="C526" i="45"/>
  <c r="C631" i="45" s="1"/>
  <c r="C736" i="45" s="1"/>
  <c r="C841" i="45" s="1"/>
  <c r="C946" i="45" s="1"/>
  <c r="C1051" i="45" s="1"/>
  <c r="C1156" i="45" s="1"/>
  <c r="C1261" i="45" s="1"/>
  <c r="C534" i="45"/>
  <c r="C639" i="45"/>
  <c r="C744" i="45" s="1"/>
  <c r="C849" i="45" s="1"/>
  <c r="C954" i="45" s="1"/>
  <c r="C1059" i="45" s="1"/>
  <c r="C1164" i="45" s="1"/>
  <c r="C1269" i="45" s="1"/>
  <c r="C1374" i="45" s="1"/>
  <c r="C543" i="45"/>
  <c r="C648" i="45" s="1"/>
  <c r="C753" i="45" s="1"/>
  <c r="C551" i="45"/>
  <c r="C656" i="45" s="1"/>
  <c r="C761" i="45" s="1"/>
  <c r="C866" i="45" s="1"/>
  <c r="C971" i="45" s="1"/>
  <c r="C1076" i="45" s="1"/>
  <c r="C1181" i="45" s="1"/>
  <c r="C1286" i="45" s="1"/>
  <c r="C1391" i="45" s="1"/>
  <c r="C559" i="45"/>
  <c r="C664" i="45" s="1"/>
  <c r="C769" i="45" s="1"/>
  <c r="C874" i="45" s="1"/>
  <c r="C979" i="45" s="1"/>
  <c r="C1084" i="45" s="1"/>
  <c r="C1189" i="45" s="1"/>
  <c r="C1294" i="45" s="1"/>
  <c r="C567" i="45"/>
  <c r="C672" i="45" s="1"/>
  <c r="C777" i="45" s="1"/>
  <c r="C882" i="45" s="1"/>
  <c r="C987" i="45" s="1"/>
  <c r="C575" i="45"/>
  <c r="C680" i="45" s="1"/>
  <c r="C785" i="45" s="1"/>
  <c r="C890" i="45" s="1"/>
  <c r="C995" i="45" s="1"/>
  <c r="C1100" i="45" s="1"/>
  <c r="C1205" i="45" s="1"/>
  <c r="C1310" i="45" s="1"/>
  <c r="C1415" i="45" s="1"/>
  <c r="C583" i="45"/>
  <c r="C688" i="45" s="1"/>
  <c r="C793" i="45" s="1"/>
  <c r="C898" i="45" s="1"/>
  <c r="C1003" i="45" s="1"/>
  <c r="C1108" i="45" s="1"/>
  <c r="C1213" i="45" s="1"/>
  <c r="C1318" i="45" s="1"/>
  <c r="C1423" i="45" s="1"/>
  <c r="D594" i="45"/>
  <c r="D699" i="45" s="1"/>
  <c r="D804" i="45" s="1"/>
  <c r="D909" i="45" s="1"/>
  <c r="D1014" i="45" s="1"/>
  <c r="D1119" i="45" s="1"/>
  <c r="D1224" i="45" s="1"/>
  <c r="D1329" i="45" s="1"/>
  <c r="D564" i="45"/>
  <c r="D669" i="45" s="1"/>
  <c r="D774" i="45" s="1"/>
  <c r="D879" i="45" s="1"/>
  <c r="D984" i="45" s="1"/>
  <c r="D1089" i="45" s="1"/>
  <c r="D1194" i="45" s="1"/>
  <c r="D1299" i="45" s="1"/>
  <c r="E600" i="45"/>
  <c r="E705" i="45" s="1"/>
  <c r="E810" i="45" s="1"/>
  <c r="E915" i="45" s="1"/>
  <c r="E1020" i="45" s="1"/>
  <c r="E1125" i="45" s="1"/>
  <c r="E1230" i="45" s="1"/>
  <c r="E1335" i="45" s="1"/>
  <c r="E1440" i="45" s="1"/>
  <c r="C859" i="45"/>
  <c r="C964" i="45" s="1"/>
  <c r="C1069" i="45" s="1"/>
  <c r="C1174" i="45" s="1"/>
  <c r="C1279" i="45" s="1"/>
  <c r="C851" i="45"/>
  <c r="C956" i="45" s="1"/>
  <c r="C1061" i="45" s="1"/>
  <c r="C1166" i="45" s="1"/>
  <c r="C1271" i="45" s="1"/>
  <c r="C1376" i="45" s="1"/>
  <c r="C1033" i="45"/>
  <c r="C1138" i="45" s="1"/>
  <c r="C1243" i="45" s="1"/>
  <c r="F792" i="45"/>
  <c r="F897" i="45" s="1"/>
  <c r="F1002" i="45" s="1"/>
  <c r="F1107" i="45" s="1"/>
  <c r="F1212" i="45" s="1"/>
  <c r="F1317" i="45" s="1"/>
  <c r="F1422" i="45" s="1"/>
  <c r="F1103" i="45"/>
  <c r="F1208" i="45" s="1"/>
  <c r="F1313" i="45" s="1"/>
  <c r="F889" i="45"/>
  <c r="F994" i="45" s="1"/>
  <c r="F1099" i="45" s="1"/>
  <c r="F1204" i="45" s="1"/>
  <c r="F1309" i="45" s="1"/>
  <c r="F1081" i="45"/>
  <c r="F1186" i="45" s="1"/>
  <c r="F1291" i="45" s="1"/>
  <c r="F857" i="45"/>
  <c r="F962" i="45" s="1"/>
  <c r="F1067" i="45" s="1"/>
  <c r="F1172" i="45" s="1"/>
  <c r="F1277" i="45" s="1"/>
  <c r="F1382" i="45" s="1"/>
  <c r="F1063" i="45"/>
  <c r="F1168" i="45" s="1"/>
  <c r="F1273" i="45" s="1"/>
  <c r="F1378" i="45" s="1"/>
  <c r="E1032" i="45"/>
  <c r="E1137" i="45" s="1"/>
  <c r="E1242" i="45" s="1"/>
  <c r="C601" i="45"/>
  <c r="C706" i="45" s="1"/>
  <c r="C811" i="45" s="1"/>
  <c r="C916" i="45" s="1"/>
  <c r="C1021" i="45" s="1"/>
  <c r="C1126" i="45" s="1"/>
  <c r="C1231" i="45" s="1"/>
  <c r="C1336" i="45" s="1"/>
  <c r="C1441" i="45" s="1"/>
  <c r="D795" i="45"/>
  <c r="D900" i="45" s="1"/>
  <c r="D1005" i="45" s="1"/>
  <c r="D1110" i="45" s="1"/>
  <c r="D1215" i="45" s="1"/>
  <c r="D1320" i="45" s="1"/>
  <c r="D1425" i="45" s="1"/>
  <c r="D555" i="45"/>
  <c r="D660" i="45" s="1"/>
  <c r="D765" i="45" s="1"/>
  <c r="D870" i="45" s="1"/>
  <c r="D975" i="45" s="1"/>
  <c r="D1080" i="45" s="1"/>
  <c r="D1185" i="45" s="1"/>
  <c r="D1290" i="45" s="1"/>
  <c r="D1395" i="45" s="1"/>
  <c r="C763" i="45"/>
  <c r="C868" i="45" s="1"/>
  <c r="C973" i="45" s="1"/>
  <c r="C1078" i="45" s="1"/>
  <c r="C1183" i="45" s="1"/>
  <c r="C1288" i="45" s="1"/>
  <c r="C1070" i="45"/>
  <c r="C1175" i="45" s="1"/>
  <c r="C1280" i="45" s="1"/>
  <c r="C1385" i="45" s="1"/>
  <c r="C1062" i="45"/>
  <c r="C1167" i="45" s="1"/>
  <c r="C1272" i="45" s="1"/>
  <c r="C832" i="45"/>
  <c r="C937" i="45" s="1"/>
  <c r="C1042" i="45" s="1"/>
  <c r="C1147" i="45" s="1"/>
  <c r="C1252" i="45" s="1"/>
  <c r="C1357" i="45" s="1"/>
  <c r="C1030" i="45"/>
  <c r="C1135" i="45" s="1"/>
  <c r="C1240" i="45" s="1"/>
  <c r="G1119" i="45"/>
  <c r="G1224" i="45" s="1"/>
  <c r="G1329" i="45" s="1"/>
  <c r="G1434" i="45" s="1"/>
  <c r="F886" i="45"/>
  <c r="F991" i="45" s="1"/>
  <c r="F1096" i="45" s="1"/>
  <c r="F1201" i="45" s="1"/>
  <c r="F1306" i="45" s="1"/>
  <c r="F1411" i="45" s="1"/>
  <c r="F753" i="45"/>
  <c r="F858" i="45" s="1"/>
  <c r="F963" i="45" s="1"/>
  <c r="F1068" i="45" s="1"/>
  <c r="F1173" i="45" s="1"/>
  <c r="F1278" i="45" s="1"/>
  <c r="F1383" i="45" s="1"/>
  <c r="F854" i="45"/>
  <c r="F959" i="45" s="1"/>
  <c r="F1064" i="45" s="1"/>
  <c r="F1169" i="45" s="1"/>
  <c r="F1274" i="45" s="1"/>
  <c r="F1379" i="45" s="1"/>
  <c r="F1050" i="45"/>
  <c r="F1155" i="45" s="1"/>
  <c r="F1260" i="45" s="1"/>
  <c r="F1365" i="45" s="1"/>
  <c r="D554" i="45"/>
  <c r="D659" i="45" s="1"/>
  <c r="D764" i="45" s="1"/>
  <c r="D869" i="45" s="1"/>
  <c r="D974" i="45" s="1"/>
  <c r="D1079" i="45" s="1"/>
  <c r="D1184" i="45" s="1"/>
  <c r="D1289" i="45" s="1"/>
  <c r="D1394" i="45" s="1"/>
  <c r="D548" i="45"/>
  <c r="D653" i="45" s="1"/>
  <c r="D758" i="45" s="1"/>
  <c r="D863" i="45" s="1"/>
  <c r="D968" i="45" s="1"/>
  <c r="D1073" i="45" s="1"/>
  <c r="D1178" i="45" s="1"/>
  <c r="D1283" i="45" s="1"/>
  <c r="D1388" i="45" s="1"/>
  <c r="C1092" i="45"/>
  <c r="C1197" i="45" s="1"/>
  <c r="C1302" i="45" s="1"/>
  <c r="C858" i="45"/>
  <c r="C963" i="45" s="1"/>
  <c r="C1068" i="45" s="1"/>
  <c r="C1173" i="45" s="1"/>
  <c r="C1278" i="45" s="1"/>
  <c r="C834" i="45"/>
  <c r="C939" i="45" s="1"/>
  <c r="C1044" i="45" s="1"/>
  <c r="C1149" i="45" s="1"/>
  <c r="C1254" i="45" s="1"/>
  <c r="C1040" i="45"/>
  <c r="C1145" i="45" s="1"/>
  <c r="C1250" i="45" s="1"/>
  <c r="D1116" i="45"/>
  <c r="D1221" i="45" s="1"/>
  <c r="D1326" i="45" s="1"/>
  <c r="D1431" i="45" s="1"/>
  <c r="F896" i="45"/>
  <c r="F1001" i="45" s="1"/>
  <c r="F1106" i="45" s="1"/>
  <c r="F1211" i="45" s="1"/>
  <c r="F1316" i="45" s="1"/>
  <c r="F1084" i="45"/>
  <c r="F1189" i="45" s="1"/>
  <c r="F1294" i="45" s="1"/>
  <c r="F1052" i="45"/>
  <c r="F1157" i="45" s="1"/>
  <c r="F1262" i="45" s="1"/>
  <c r="F1367" i="45" s="1"/>
  <c r="D503" i="45"/>
  <c r="D608" i="45"/>
  <c r="D713" i="45" s="1"/>
  <c r="D818" i="45" s="1"/>
  <c r="D923" i="45" s="1"/>
  <c r="D1028" i="45" s="1"/>
  <c r="D1133" i="45" s="1"/>
  <c r="D1238" i="45" s="1"/>
  <c r="D1343" i="45" s="1"/>
  <c r="D911" i="45"/>
  <c r="D1016" i="45" s="1"/>
  <c r="D1121" i="45" s="1"/>
  <c r="D1226" i="45" s="1"/>
  <c r="D1331" i="45" s="1"/>
  <c r="E803" i="45"/>
  <c r="E908" i="45" s="1"/>
  <c r="E1013" i="45" s="1"/>
  <c r="E1118" i="45" s="1"/>
  <c r="E1223" i="45" s="1"/>
  <c r="E1328" i="45" s="1"/>
  <c r="E1433" i="45" s="1"/>
  <c r="E894" i="45"/>
  <c r="E999" i="45" s="1"/>
  <c r="E1104" i="45" s="1"/>
  <c r="E1209" i="45" s="1"/>
  <c r="E1314" i="45" s="1"/>
  <c r="E1100" i="45"/>
  <c r="E1205" i="45" s="1"/>
  <c r="E1310" i="45" s="1"/>
  <c r="E868" i="45"/>
  <c r="E973" i="45" s="1"/>
  <c r="E1078" i="45" s="1"/>
  <c r="E1183" i="45" s="1"/>
  <c r="E1288" i="45" s="1"/>
  <c r="E1393" i="45" s="1"/>
  <c r="D601" i="45"/>
  <c r="D706" i="45" s="1"/>
  <c r="D811" i="45" s="1"/>
  <c r="D916" i="45" s="1"/>
  <c r="D1021" i="45" s="1"/>
  <c r="D1126" i="45" s="1"/>
  <c r="D1231" i="45" s="1"/>
  <c r="D1336" i="45" s="1"/>
  <c r="D1441" i="45" s="1"/>
  <c r="E1122" i="45"/>
  <c r="E1227" i="45" s="1"/>
  <c r="E1332" i="45" s="1"/>
  <c r="C1116" i="45"/>
  <c r="C1221" i="45" s="1"/>
  <c r="C1326" i="45" s="1"/>
  <c r="C1431" i="45" s="1"/>
  <c r="G797" i="45"/>
  <c r="G902" i="45" s="1"/>
  <c r="G1007" i="45" s="1"/>
  <c r="G1112" i="45" s="1"/>
  <c r="G1217" i="45" s="1"/>
  <c r="G1322" i="45" s="1"/>
  <c r="G1427" i="45" s="1"/>
  <c r="F796" i="45"/>
  <c r="F901" i="45" s="1"/>
  <c r="F1006" i="45" s="1"/>
  <c r="F1111" i="45" s="1"/>
  <c r="F1216" i="45" s="1"/>
  <c r="F1321" i="45" s="1"/>
  <c r="F1426" i="45" s="1"/>
  <c r="E897" i="45"/>
  <c r="E1002" i="45" s="1"/>
  <c r="E1107" i="45" s="1"/>
  <c r="E1212" i="45" s="1"/>
  <c r="E1317" i="45" s="1"/>
  <c r="E893" i="45"/>
  <c r="E998" i="45" s="1"/>
  <c r="E1103" i="45" s="1"/>
  <c r="E1208" i="45" s="1"/>
  <c r="E1313" i="45" s="1"/>
  <c r="E1418" i="45" s="1"/>
  <c r="E885" i="45"/>
  <c r="E990" i="45" s="1"/>
  <c r="E1095" i="45" s="1"/>
  <c r="E1200" i="45" s="1"/>
  <c r="E1305" i="45" s="1"/>
  <c r="E881" i="45"/>
  <c r="E986" i="45" s="1"/>
  <c r="E1091" i="45" s="1"/>
  <c r="E1196" i="45" s="1"/>
  <c r="E1301" i="45" s="1"/>
  <c r="E1406" i="45" s="1"/>
  <c r="E1089" i="45"/>
  <c r="E1194" i="45" s="1"/>
  <c r="E1299" i="45" s="1"/>
  <c r="E1404" i="45" s="1"/>
  <c r="E1073" i="45"/>
  <c r="E1178" i="45" s="1"/>
  <c r="E1283" i="45" s="1"/>
  <c r="E861" i="45"/>
  <c r="E966" i="45" s="1"/>
  <c r="E1071" i="45" s="1"/>
  <c r="E1176" i="45" s="1"/>
  <c r="E1281" i="45" s="1"/>
  <c r="E1069" i="45"/>
  <c r="E1174" i="45" s="1"/>
  <c r="E1279" i="45" s="1"/>
  <c r="E752" i="45"/>
  <c r="E857" i="45" s="1"/>
  <c r="E962" i="45" s="1"/>
  <c r="E1067" i="45" s="1"/>
  <c r="E1172" i="45" s="1"/>
  <c r="E1277" i="45" s="1"/>
  <c r="E1382" i="45" s="1"/>
  <c r="E727" i="45"/>
  <c r="E832" i="45" s="1"/>
  <c r="E937" i="45" s="1"/>
  <c r="E1042" i="45" s="1"/>
  <c r="E1147" i="45" s="1"/>
  <c r="E1252" i="45" s="1"/>
  <c r="E1357" i="45" s="1"/>
  <c r="E824" i="45"/>
  <c r="E929" i="45" s="1"/>
  <c r="E1034" i="45" s="1"/>
  <c r="E1139" i="45" s="1"/>
  <c r="E1244" i="45"/>
  <c r="E1349" i="45" s="1"/>
  <c r="E1026" i="45"/>
  <c r="E1131" i="45" s="1"/>
  <c r="E1236" i="45" s="1"/>
  <c r="F910" i="45"/>
  <c r="F1015" i="45" s="1"/>
  <c r="F1120" i="45" s="1"/>
  <c r="F1225" i="45" s="1"/>
  <c r="F1330" i="45" s="1"/>
  <c r="D558" i="45"/>
  <c r="D663" i="45" s="1"/>
  <c r="D768" i="45" s="1"/>
  <c r="D873" i="45" s="1"/>
  <c r="D978" i="45" s="1"/>
  <c r="D1083" i="45" s="1"/>
  <c r="D1188" i="45" s="1"/>
  <c r="D1293" i="45" s="1"/>
  <c r="D1398" i="45" s="1"/>
  <c r="C1118" i="45"/>
  <c r="C1223" i="45" s="1"/>
  <c r="C1328" i="45" s="1"/>
  <c r="C1433" i="45" s="1"/>
  <c r="D901" i="45"/>
  <c r="D1006" i="45" s="1"/>
  <c r="D1111" i="45" s="1"/>
  <c r="D1216" i="45" s="1"/>
  <c r="D1321" i="45" s="1"/>
  <c r="C885" i="45"/>
  <c r="C990" i="45" s="1"/>
  <c r="C1095" i="45" s="1"/>
  <c r="C1200" i="45" s="1"/>
  <c r="C1305" i="45" s="1"/>
  <c r="C1083" i="45"/>
  <c r="C1188" i="45" s="1"/>
  <c r="C1293" i="45" s="1"/>
  <c r="C1075" i="45"/>
  <c r="C1180" i="45" s="1"/>
  <c r="C1285" i="45" s="1"/>
  <c r="C861" i="45"/>
  <c r="C966" i="45" s="1"/>
  <c r="C1071" i="45" s="1"/>
  <c r="C1176" i="45" s="1"/>
  <c r="C1281" i="45" s="1"/>
  <c r="C1386" i="45" s="1"/>
  <c r="C724" i="45"/>
  <c r="C829" i="45" s="1"/>
  <c r="C934" i="45" s="1"/>
  <c r="C1039" i="45" s="1"/>
  <c r="C1144" i="45" s="1"/>
  <c r="C1249" i="45" s="1"/>
  <c r="C1354" i="45" s="1"/>
  <c r="C821" i="45"/>
  <c r="C926" i="45" s="1"/>
  <c r="C1031" i="45" s="1"/>
  <c r="C1136" i="45" s="1"/>
  <c r="C1241" i="45" s="1"/>
  <c r="C1346" i="45" s="1"/>
  <c r="C1115" i="45"/>
  <c r="C1220" i="45" s="1"/>
  <c r="C1325" i="45" s="1"/>
  <c r="C1430" i="45" s="1"/>
  <c r="F772" i="45"/>
  <c r="F877" i="45" s="1"/>
  <c r="F982" i="45" s="1"/>
  <c r="F1087" i="45" s="1"/>
  <c r="F1192" i="45" s="1"/>
  <c r="F1297" i="45" s="1"/>
  <c r="F1402" i="45" s="1"/>
  <c r="F754" i="45"/>
  <c r="F859" i="45" s="1"/>
  <c r="F964" i="45" s="1"/>
  <c r="F1069" i="45" s="1"/>
  <c r="F1174" i="45" s="1"/>
  <c r="F1279" i="45" s="1"/>
  <c r="F1384" i="45" s="1"/>
  <c r="F736" i="45"/>
  <c r="F841" i="45" s="1"/>
  <c r="F946" i="45" s="1"/>
  <c r="F1051" i="45" s="1"/>
  <c r="F1156" i="45" s="1"/>
  <c r="F1261" i="45" s="1"/>
  <c r="F1366" i="45" s="1"/>
  <c r="D560" i="45"/>
  <c r="D665" i="45" s="1"/>
  <c r="D770" i="45" s="1"/>
  <c r="D875" i="45" s="1"/>
  <c r="D980" i="45" s="1"/>
  <c r="D1085" i="45" s="1"/>
  <c r="D1190" i="45" s="1"/>
  <c r="D1295" i="45" s="1"/>
  <c r="D1400" i="45" s="1"/>
  <c r="C600" i="45"/>
  <c r="C705" i="45" s="1"/>
  <c r="C810" i="45" s="1"/>
  <c r="C915" i="45" s="1"/>
  <c r="C1020" i="45" s="1"/>
  <c r="C1125" i="45" s="1"/>
  <c r="C1230" i="45" s="1"/>
  <c r="C1335" i="45" s="1"/>
  <c r="C1440" i="45" s="1"/>
  <c r="F600" i="45"/>
  <c r="F705" i="45" s="1"/>
  <c r="F601" i="45"/>
  <c r="F706" i="45" s="1"/>
  <c r="F811" i="45" s="1"/>
  <c r="F916" i="45" s="1"/>
  <c r="F1021" i="45" s="1"/>
  <c r="F1126" i="45" s="1"/>
  <c r="F1231" i="45" s="1"/>
  <c r="F1336" i="45" s="1"/>
  <c r="F1441" i="45" s="1"/>
  <c r="D1018" i="45"/>
  <c r="D1123" i="45" s="1"/>
  <c r="D1228" i="45" s="1"/>
  <c r="D1333" i="45" s="1"/>
  <c r="D1438" i="45" s="1"/>
  <c r="G803" i="45"/>
  <c r="G908" i="45" s="1"/>
  <c r="G1013" i="45" s="1"/>
  <c r="G1118" i="45" s="1"/>
  <c r="G1223" i="45" s="1"/>
  <c r="G1328" i="45" s="1"/>
  <c r="G1433" i="45" s="1"/>
  <c r="D800" i="45"/>
  <c r="D905" i="45" s="1"/>
  <c r="D1010" i="45" s="1"/>
  <c r="D1115" i="45" s="1"/>
  <c r="D1220" i="45" s="1"/>
  <c r="D1325" i="45" s="1"/>
  <c r="D1430" i="45" s="1"/>
  <c r="E797" i="45"/>
  <c r="E902" i="45" s="1"/>
  <c r="E1007" i="45" s="1"/>
  <c r="E1112" i="45" s="1"/>
  <c r="E1217" i="45" s="1"/>
  <c r="E1322" i="45" s="1"/>
  <c r="E1427" i="45" s="1"/>
  <c r="G795" i="45"/>
  <c r="G900" i="45" s="1"/>
  <c r="G1005" i="45" s="1"/>
  <c r="G1110" i="45" s="1"/>
  <c r="G1215" i="45" s="1"/>
  <c r="G1320" i="45" s="1"/>
  <c r="G1425" i="45" s="1"/>
  <c r="G793" i="45"/>
  <c r="G898" i="45" s="1"/>
  <c r="G1003" i="45" s="1"/>
  <c r="G1108" i="45" s="1"/>
  <c r="G1213" i="45" s="1"/>
  <c r="G1318" i="45" s="1"/>
  <c r="G1423" i="45" s="1"/>
  <c r="G790" i="45"/>
  <c r="G895" i="45" s="1"/>
  <c r="G1000" i="45" s="1"/>
  <c r="G1105" i="45" s="1"/>
  <c r="G1210" i="45" s="1"/>
  <c r="G1315" i="45" s="1"/>
  <c r="G1420" i="45" s="1"/>
  <c r="G785" i="45"/>
  <c r="G890" i="45" s="1"/>
  <c r="G995" i="45" s="1"/>
  <c r="G1100" i="45" s="1"/>
  <c r="G1205" i="45" s="1"/>
  <c r="G1310" i="45" s="1"/>
  <c r="G1415" i="45" s="1"/>
  <c r="G784" i="45"/>
  <c r="G889" i="45" s="1"/>
  <c r="G994" i="45" s="1"/>
  <c r="G1099" i="45" s="1"/>
  <c r="G1204" i="45" s="1"/>
  <c r="G1309" i="45" s="1"/>
  <c r="G1414" i="45" s="1"/>
  <c r="G777" i="45"/>
  <c r="G882" i="45" s="1"/>
  <c r="G987" i="45" s="1"/>
  <c r="G1092" i="45" s="1"/>
  <c r="G1197" i="45" s="1"/>
  <c r="G1302" i="45" s="1"/>
  <c r="G1407" i="45" s="1"/>
  <c r="G774" i="45"/>
  <c r="G879" i="45" s="1"/>
  <c r="G984" i="45" s="1"/>
  <c r="G1089" i="45" s="1"/>
  <c r="G1194" i="45" s="1"/>
  <c r="G1299" i="45" s="1"/>
  <c r="G1404" i="45" s="1"/>
  <c r="G773" i="45"/>
  <c r="G878" i="45" s="1"/>
  <c r="G983" i="45" s="1"/>
  <c r="G1088" i="45" s="1"/>
  <c r="G1193" i="45" s="1"/>
  <c r="G1298" i="45" s="1"/>
  <c r="G1403" i="45" s="1"/>
  <c r="G772" i="45"/>
  <c r="G877" i="45" s="1"/>
  <c r="G982" i="45" s="1"/>
  <c r="G1087" i="45" s="1"/>
  <c r="G1192" i="45" s="1"/>
  <c r="G1297" i="45" s="1"/>
  <c r="G1402" i="45" s="1"/>
  <c r="G764" i="45"/>
  <c r="G869" i="45" s="1"/>
  <c r="G974" i="45" s="1"/>
  <c r="G1079" i="45" s="1"/>
  <c r="G1184" i="45" s="1"/>
  <c r="G1289" i="45" s="1"/>
  <c r="G1394" i="45" s="1"/>
  <c r="G763" i="45"/>
  <c r="G868" i="45" s="1"/>
  <c r="G973" i="45" s="1"/>
  <c r="G1078" i="45" s="1"/>
  <c r="G1183" i="45" s="1"/>
  <c r="G1288" i="45" s="1"/>
  <c r="G1393" i="45" s="1"/>
  <c r="G762" i="45"/>
  <c r="G867" i="45" s="1"/>
  <c r="G972" i="45" s="1"/>
  <c r="G1077" i="45" s="1"/>
  <c r="G1182" i="45" s="1"/>
  <c r="G1287" i="45" s="1"/>
  <c r="G1392" i="45" s="1"/>
  <c r="G761" i="45"/>
  <c r="G866" i="45" s="1"/>
  <c r="G971" i="45" s="1"/>
  <c r="G1076" i="45" s="1"/>
  <c r="G1181" i="45" s="1"/>
  <c r="G1286" i="45" s="1"/>
  <c r="G1391" i="45" s="1"/>
  <c r="G753" i="45"/>
  <c r="G858" i="45" s="1"/>
  <c r="G963" i="45" s="1"/>
  <c r="G1068" i="45" s="1"/>
  <c r="G1173" i="45" s="1"/>
  <c r="G1278" i="45" s="1"/>
  <c r="G1383" i="45" s="1"/>
  <c r="G752" i="45"/>
  <c r="G857" i="45" s="1"/>
  <c r="G962" i="45" s="1"/>
  <c r="G1067" i="45" s="1"/>
  <c r="G1172" i="45" s="1"/>
  <c r="G1277" i="45" s="1"/>
  <c r="G1382" i="45" s="1"/>
  <c r="G750" i="45"/>
  <c r="G855" i="45" s="1"/>
  <c r="G960" i="45" s="1"/>
  <c r="G1065" i="45" s="1"/>
  <c r="G1170" i="45" s="1"/>
  <c r="G1275" i="45" s="1"/>
  <c r="G1380" i="45" s="1"/>
  <c r="G748" i="45"/>
  <c r="G853" i="45" s="1"/>
  <c r="G958" i="45" s="1"/>
  <c r="G1063" i="45" s="1"/>
  <c r="G1168" i="45" s="1"/>
  <c r="G1273" i="45" s="1"/>
  <c r="G1378" i="45" s="1"/>
  <c r="G747" i="45"/>
  <c r="G852" i="45" s="1"/>
  <c r="G957" i="45" s="1"/>
  <c r="G1062" i="45" s="1"/>
  <c r="G1167" i="45" s="1"/>
  <c r="G1272" i="45" s="1"/>
  <c r="G1377" i="45" s="1"/>
  <c r="G745" i="45"/>
  <c r="G850" i="45" s="1"/>
  <c r="G955" i="45" s="1"/>
  <c r="G1060" i="45" s="1"/>
  <c r="G1165" i="45" s="1"/>
  <c r="G1270" i="45" s="1"/>
  <c r="G1375" i="45" s="1"/>
  <c r="G744" i="45"/>
  <c r="G849" i="45" s="1"/>
  <c r="G954" i="45" s="1"/>
  <c r="G1059" i="45" s="1"/>
  <c r="G1164" i="45" s="1"/>
  <c r="G1269" i="45" s="1"/>
  <c r="G1374" i="45" s="1"/>
  <c r="G742" i="45"/>
  <c r="G847" i="45" s="1"/>
  <c r="G952" i="45" s="1"/>
  <c r="G1057" i="45" s="1"/>
  <c r="G1162" i="45" s="1"/>
  <c r="G1267" i="45" s="1"/>
  <c r="G1372" i="45" s="1"/>
  <c r="G735" i="45"/>
  <c r="G840" i="45" s="1"/>
  <c r="G945" i="45" s="1"/>
  <c r="G1050" i="45" s="1"/>
  <c r="G1155" i="45" s="1"/>
  <c r="G1260" i="45" s="1"/>
  <c r="G1365" i="45" s="1"/>
  <c r="G734" i="45"/>
  <c r="G839" i="45" s="1"/>
  <c r="G944" i="45" s="1"/>
  <c r="G1049" i="45" s="1"/>
  <c r="G1154" i="45" s="1"/>
  <c r="G1259" i="45" s="1"/>
  <c r="G1364" i="45" s="1"/>
  <c r="G732" i="45"/>
  <c r="G837" i="45" s="1"/>
  <c r="G942" i="45" s="1"/>
  <c r="G1047" i="45" s="1"/>
  <c r="G1152" i="45" s="1"/>
  <c r="G1257" i="45" s="1"/>
  <c r="G1362" i="45" s="1"/>
  <c r="G941" i="45"/>
  <c r="G1046" i="45" s="1"/>
  <c r="G1151" i="45" s="1"/>
  <c r="G1256" i="45" s="1"/>
  <c r="G1361" i="45" s="1"/>
  <c r="G729" i="45"/>
  <c r="G834" i="45" s="1"/>
  <c r="G939" i="45" s="1"/>
  <c r="G1044" i="45" s="1"/>
  <c r="G1149" i="45" s="1"/>
  <c r="G1254" i="45" s="1"/>
  <c r="G1359" i="45" s="1"/>
  <c r="G727" i="45"/>
  <c r="G832" i="45" s="1"/>
  <c r="G937" i="45" s="1"/>
  <c r="G1042" i="45" s="1"/>
  <c r="G1147" i="45" s="1"/>
  <c r="G1252" i="45" s="1"/>
  <c r="G1357" i="45" s="1"/>
  <c r="G721" i="45"/>
  <c r="G826" i="45" s="1"/>
  <c r="G931" i="45" s="1"/>
  <c r="G1036" i="45" s="1"/>
  <c r="G1141" i="45" s="1"/>
  <c r="G1246" i="45" s="1"/>
  <c r="G1351" i="45" s="1"/>
  <c r="G720" i="45"/>
  <c r="G825" i="45" s="1"/>
  <c r="G930" i="45" s="1"/>
  <c r="G1035" i="45" s="1"/>
  <c r="G1140" i="45" s="1"/>
  <c r="G1245" i="45" s="1"/>
  <c r="G1350" i="45" s="1"/>
  <c r="G719" i="45"/>
  <c r="G824" i="45" s="1"/>
  <c r="G929" i="45" s="1"/>
  <c r="G1034" i="45" s="1"/>
  <c r="G1139" i="45" s="1"/>
  <c r="G1244" i="45" s="1"/>
  <c r="G1349" i="45" s="1"/>
  <c r="G716" i="45"/>
  <c r="G821" i="45" s="1"/>
  <c r="G926" i="45" s="1"/>
  <c r="G1031" i="45" s="1"/>
  <c r="G1136" i="45" s="1"/>
  <c r="G1241" i="45" s="1"/>
  <c r="G1346" i="45" s="1"/>
  <c r="G715" i="45"/>
  <c r="G820" i="45" s="1"/>
  <c r="G925" i="45" s="1"/>
  <c r="G1030" i="45" s="1"/>
  <c r="G1135" i="45" s="1"/>
  <c r="G1240" i="45" s="1"/>
  <c r="G1345" i="45" s="1"/>
  <c r="G714" i="45"/>
  <c r="G819" i="45" s="1"/>
  <c r="G924" i="45" s="1"/>
  <c r="G1029" i="45" s="1"/>
  <c r="G1134" i="45" s="1"/>
  <c r="G1239" i="45" s="1"/>
  <c r="G1344" i="45" s="1"/>
  <c r="G713" i="45"/>
  <c r="G818" i="45" s="1"/>
  <c r="G923" i="45" s="1"/>
  <c r="G1028" i="45" s="1"/>
  <c r="G1133" i="45" s="1"/>
  <c r="G1238" i="45" s="1"/>
  <c r="G1343" i="45" s="1"/>
  <c r="E601" i="45"/>
  <c r="E706" i="45" s="1"/>
  <c r="E811" i="45" s="1"/>
  <c r="E916" i="45" s="1"/>
  <c r="E1021" i="45" s="1"/>
  <c r="E1126" i="45" s="1"/>
  <c r="E1231" i="45" s="1"/>
  <c r="E1336" i="45" s="1"/>
  <c r="E1441" i="45" s="1"/>
  <c r="G808" i="45"/>
  <c r="G913" i="45" s="1"/>
  <c r="G1018" i="45" s="1"/>
  <c r="G1123" i="45" s="1"/>
  <c r="G1228" i="45" s="1"/>
  <c r="G1333" i="45" s="1"/>
  <c r="G1438" i="45" s="1"/>
  <c r="D805" i="45"/>
  <c r="D910" i="45" s="1"/>
  <c r="D1015" i="45" s="1"/>
  <c r="D1120" i="45" s="1"/>
  <c r="D1225" i="45" s="1"/>
  <c r="D1330" i="45" s="1"/>
  <c r="D1435" i="45" s="1"/>
  <c r="G800" i="45"/>
  <c r="G905" i="45" s="1"/>
  <c r="G1010" i="45" s="1"/>
  <c r="G1115" i="45" s="1"/>
  <c r="G1220" i="45" s="1"/>
  <c r="G1325" i="45" s="1"/>
  <c r="G1430" i="45" s="1"/>
  <c r="F799" i="45"/>
  <c r="F904" i="45" s="1"/>
  <c r="F1009" i="45" s="1"/>
  <c r="F1114" i="45" s="1"/>
  <c r="F1219" i="45" s="1"/>
  <c r="F1324" i="45" s="1"/>
  <c r="F1429" i="45" s="1"/>
  <c r="C796" i="45"/>
  <c r="C901" i="45" s="1"/>
  <c r="C1006" i="45"/>
  <c r="C1111" i="45" s="1"/>
  <c r="C1216" i="45" s="1"/>
  <c r="C1321" i="45" s="1"/>
  <c r="C1426" i="45" s="1"/>
  <c r="F758" i="45"/>
  <c r="F863" i="45" s="1"/>
  <c r="F968" i="45" s="1"/>
  <c r="F1073" i="45" s="1"/>
  <c r="F1178" i="45" s="1"/>
  <c r="F1283" i="45" s="1"/>
  <c r="F1388" i="45" s="1"/>
  <c r="F756" i="45"/>
  <c r="F861" i="45" s="1"/>
  <c r="F966" i="45" s="1"/>
  <c r="F1071" i="45" s="1"/>
  <c r="F1176" i="45" s="1"/>
  <c r="F1281" i="45" s="1"/>
  <c r="F1386" i="45" s="1"/>
  <c r="F755" i="45"/>
  <c r="F860" i="45" s="1"/>
  <c r="F965" i="45" s="1"/>
  <c r="F1070" i="45" s="1"/>
  <c r="F1175" i="45" s="1"/>
  <c r="F1280" i="45" s="1"/>
  <c r="F1385" i="45" s="1"/>
  <c r="G600" i="45"/>
  <c r="G705" i="45" s="1"/>
  <c r="G810" i="45" s="1"/>
  <c r="G915" i="45" s="1"/>
  <c r="G1020" i="45" s="1"/>
  <c r="G1125" i="45" s="1"/>
  <c r="G1230" i="45" s="1"/>
  <c r="G1335" i="45" s="1"/>
  <c r="G1440" i="45" s="1"/>
  <c r="E746" i="45"/>
  <c r="E851" i="45" s="1"/>
  <c r="E956" i="45" s="1"/>
  <c r="E1061" i="45" s="1"/>
  <c r="E1166" i="45" s="1"/>
  <c r="E1271" i="45" s="1"/>
  <c r="E1376" i="45" s="1"/>
  <c r="E744" i="45"/>
  <c r="E849" i="45" s="1"/>
  <c r="E954" i="45" s="1"/>
  <c r="E1059" i="45" s="1"/>
  <c r="E1164" i="45" s="1"/>
  <c r="E1269" i="45" s="1"/>
  <c r="E1374" i="45" s="1"/>
  <c r="E742" i="45"/>
  <c r="E847" i="45" s="1"/>
  <c r="E952" i="45" s="1"/>
  <c r="E1057" i="45" s="1"/>
  <c r="E1162" i="45" s="1"/>
  <c r="E1267" i="45" s="1"/>
  <c r="E1372" i="45" s="1"/>
  <c r="E950" i="45"/>
  <c r="E1055" i="45" s="1"/>
  <c r="E1160" i="45" s="1"/>
  <c r="E1265" i="45" s="1"/>
  <c r="E1370" i="45" s="1"/>
  <c r="E738" i="45"/>
  <c r="E843" i="45" s="1"/>
  <c r="E948" i="45" s="1"/>
  <c r="E1053" i="45" s="1"/>
  <c r="E1158" i="45" s="1"/>
  <c r="E1263" i="45" s="1"/>
  <c r="E1368" i="45" s="1"/>
  <c r="E732" i="45"/>
  <c r="E837" i="45" s="1"/>
  <c r="E942" i="45" s="1"/>
  <c r="E1047" i="45" s="1"/>
  <c r="E1152" i="45" s="1"/>
  <c r="E1257" i="45" s="1"/>
  <c r="E1362" i="45" s="1"/>
  <c r="E730" i="45"/>
  <c r="E835" i="45" s="1"/>
  <c r="E940" i="45" s="1"/>
  <c r="E1045" i="45" s="1"/>
  <c r="E1150" i="45" s="1"/>
  <c r="E1255" i="45" s="1"/>
  <c r="E1360" i="45" s="1"/>
  <c r="E728" i="45"/>
  <c r="E833" i="45" s="1"/>
  <c r="E938" i="45" s="1"/>
  <c r="E1043" i="45" s="1"/>
  <c r="E1148" i="45" s="1"/>
  <c r="E1253" i="45" s="1"/>
  <c r="E1358" i="45" s="1"/>
  <c r="E724" i="45"/>
  <c r="E829" i="45" s="1"/>
  <c r="E934" i="45" s="1"/>
  <c r="E1039" i="45" s="1"/>
  <c r="E1144" i="45" s="1"/>
  <c r="E1249" i="45" s="1"/>
  <c r="E1354" i="45" s="1"/>
  <c r="E720" i="45"/>
  <c r="E825" i="45" s="1"/>
  <c r="E930" i="45" s="1"/>
  <c r="E1035" i="45" s="1"/>
  <c r="E1140" i="45" s="1"/>
  <c r="E1245" i="45" s="1"/>
  <c r="E1350" i="45" s="1"/>
  <c r="E926" i="45"/>
  <c r="E1031" i="45" s="1"/>
  <c r="E1136" i="45" s="1"/>
  <c r="E1241" i="45" s="1"/>
  <c r="E1346" i="45" s="1"/>
  <c r="G601" i="45"/>
  <c r="G706" i="45" s="1"/>
  <c r="G811" i="45" s="1"/>
  <c r="G916" i="45" s="1"/>
  <c r="G1021" i="45" s="1"/>
  <c r="G1126" i="45" s="1"/>
  <c r="G1231" i="45" s="1"/>
  <c r="G1336" i="45" s="1"/>
  <c r="G1441" i="45" s="1"/>
  <c r="C802" i="45"/>
  <c r="C907" i="45" s="1"/>
  <c r="C1012" i="45" s="1"/>
  <c r="C1117" i="45" s="1"/>
  <c r="C1222" i="45" s="1"/>
  <c r="C1327" i="45" s="1"/>
  <c r="C1432" i="45" s="1"/>
  <c r="E796" i="45"/>
  <c r="E901" i="45" s="1"/>
  <c r="E1006" i="45" s="1"/>
  <c r="E1111" i="45" s="1"/>
  <c r="E1216" i="45" s="1"/>
  <c r="E1321" i="45" s="1"/>
  <c r="E1426" i="45" s="1"/>
  <c r="D788" i="45"/>
  <c r="D893" i="45" s="1"/>
  <c r="D998" i="45" s="1"/>
  <c r="D1103" i="45" s="1"/>
  <c r="D1208" i="45" s="1"/>
  <c r="D1313" i="45" s="1"/>
  <c r="D1418" i="45" s="1"/>
  <c r="D574" i="45"/>
  <c r="D679" i="45" s="1"/>
  <c r="D784" i="45" s="1"/>
  <c r="D889" i="45" s="1"/>
  <c r="D994" i="45" s="1"/>
  <c r="D1099" i="45" s="1"/>
  <c r="D1204" i="45" s="1"/>
  <c r="D1309" i="45" s="1"/>
  <c r="D1414" i="45" s="1"/>
  <c r="D571" i="45"/>
  <c r="D676" i="45" s="1"/>
  <c r="D781" i="45" s="1"/>
  <c r="D886" i="45" s="1"/>
  <c r="D991" i="45" s="1"/>
  <c r="D1096" i="45" s="1"/>
  <c r="D1201" i="45" s="1"/>
  <c r="D1306" i="45" s="1"/>
  <c r="D1411" i="45" s="1"/>
  <c r="D567" i="45"/>
  <c r="D672" i="45" s="1"/>
  <c r="D777" i="45" s="1"/>
  <c r="D882" i="45" s="1"/>
  <c r="D987" i="45" s="1"/>
  <c r="D1092" i="45" s="1"/>
  <c r="D1197" i="45" s="1"/>
  <c r="D1302" i="45" s="1"/>
  <c r="D1407" i="45" s="1"/>
  <c r="D563" i="45"/>
  <c r="D668" i="45" s="1"/>
  <c r="D773" i="45" s="1"/>
  <c r="D878" i="45" s="1"/>
  <c r="D983" i="45" s="1"/>
  <c r="D1088" i="45" s="1"/>
  <c r="D1193" i="45" s="1"/>
  <c r="D1298" i="45" s="1"/>
  <c r="D1403" i="45" s="1"/>
  <c r="D559" i="45"/>
  <c r="D664" i="45" s="1"/>
  <c r="D769" i="45" s="1"/>
  <c r="D874" i="45" s="1"/>
  <c r="D979" i="45" s="1"/>
  <c r="D1084" i="45" s="1"/>
  <c r="D1189" i="45" s="1"/>
  <c r="D1294" i="45" s="1"/>
  <c r="D1399" i="45" s="1"/>
  <c r="D767" i="45"/>
  <c r="D872" i="45" s="1"/>
  <c r="D977" i="45" s="1"/>
  <c r="D1082" i="45" s="1"/>
  <c r="D1187" i="45" s="1"/>
  <c r="D1292" i="45" s="1"/>
  <c r="D1397" i="45" s="1"/>
  <c r="D763" i="45"/>
  <c r="D868" i="45" s="1"/>
  <c r="D973" i="45" s="1"/>
  <c r="D1078" i="45" s="1"/>
  <c r="D1183" i="45" s="1"/>
  <c r="D1288" i="45" s="1"/>
  <c r="D1393" i="45" s="1"/>
  <c r="D550" i="45"/>
  <c r="D655" i="45" s="1"/>
  <c r="D760" i="45" s="1"/>
  <c r="D865" i="45" s="1"/>
  <c r="D970" i="45" s="1"/>
  <c r="D1075" i="45" s="1"/>
  <c r="D1180" i="45" s="1"/>
  <c r="D1285" i="45" s="1"/>
  <c r="D1390" i="45" s="1"/>
  <c r="F779" i="45"/>
  <c r="F884" i="45" s="1"/>
  <c r="F989" i="45" s="1"/>
  <c r="F1094" i="45" s="1"/>
  <c r="F1199" i="45" s="1"/>
  <c r="F1304" i="45" s="1"/>
  <c r="F1409" i="45" s="1"/>
  <c r="F778" i="45"/>
  <c r="F883" i="45" s="1"/>
  <c r="F988" i="45" s="1"/>
  <c r="F1093" i="45" s="1"/>
  <c r="F1198" i="45" s="1"/>
  <c r="F1303" i="45" s="1"/>
  <c r="F1408" i="45" s="1"/>
  <c r="F777" i="45"/>
  <c r="F882" i="45" s="1"/>
  <c r="F987" i="45" s="1"/>
  <c r="F1092" i="45" s="1"/>
  <c r="F1197" i="45" s="1"/>
  <c r="F1302" i="45" s="1"/>
  <c r="F1407" i="45" s="1"/>
  <c r="F775" i="45"/>
  <c r="F880" i="45" s="1"/>
  <c r="F985" i="45" s="1"/>
  <c r="F1090" i="45" s="1"/>
  <c r="F1195" i="45" s="1"/>
  <c r="F1300" i="45" s="1"/>
  <c r="F1405" i="45" s="1"/>
  <c r="F764" i="45"/>
  <c r="F869" i="45" s="1"/>
  <c r="F974" i="45" s="1"/>
  <c r="F1079" i="45" s="1"/>
  <c r="F1184" i="45" s="1"/>
  <c r="F1289" i="45" s="1"/>
  <c r="F1394" i="45" s="1"/>
  <c r="F762" i="45"/>
  <c r="F867" i="45" s="1"/>
  <c r="F972" i="45" s="1"/>
  <c r="F1077" i="45" s="1"/>
  <c r="F1182" i="45" s="1"/>
  <c r="F1287" i="45" s="1"/>
  <c r="F1392" i="45" s="1"/>
  <c r="F747" i="45"/>
  <c r="F852" i="45" s="1"/>
  <c r="F957" i="45" s="1"/>
  <c r="F1062" i="45" s="1"/>
  <c r="F1167" i="45" s="1"/>
  <c r="F1272" i="45" s="1"/>
  <c r="F1377" i="45" s="1"/>
  <c r="F745" i="45"/>
  <c r="F850" i="45" s="1"/>
  <c r="F955" i="45" s="1"/>
  <c r="F1060" i="45" s="1"/>
  <c r="F1165" i="45" s="1"/>
  <c r="F1270" i="45" s="1"/>
  <c r="F1375" i="45" s="1"/>
  <c r="F732" i="45"/>
  <c r="F837" i="45" s="1"/>
  <c r="F942" i="45" s="1"/>
  <c r="F1047" i="45" s="1"/>
  <c r="F1152" i="45" s="1"/>
  <c r="F1257" i="45" s="1"/>
  <c r="F1362" i="45" s="1"/>
  <c r="F731" i="45"/>
  <c r="F836" i="45" s="1"/>
  <c r="F941" i="45" s="1"/>
  <c r="F1046" i="45" s="1"/>
  <c r="F1151" i="45" s="1"/>
  <c r="F1256" i="45" s="1"/>
  <c r="F1361" i="45" s="1"/>
  <c r="F725" i="45"/>
  <c r="F830" i="45" s="1"/>
  <c r="F935" i="45" s="1"/>
  <c r="F1040" i="45" s="1"/>
  <c r="F1145" i="45" s="1"/>
  <c r="F1250" i="45" s="1"/>
  <c r="F1355" i="45" s="1"/>
  <c r="F721" i="45"/>
  <c r="F826" i="45" s="1"/>
  <c r="F931" i="45" s="1"/>
  <c r="F1036" i="45" s="1"/>
  <c r="F1141" i="45" s="1"/>
  <c r="F1246" i="45" s="1"/>
  <c r="F1351" i="45" s="1"/>
  <c r="F720" i="45"/>
  <c r="F825" i="45" s="1"/>
  <c r="F930" i="45" s="1"/>
  <c r="F1035" i="45" s="1"/>
  <c r="F1140" i="45" s="1"/>
  <c r="F1245" i="45" s="1"/>
  <c r="F1350" i="45" s="1"/>
  <c r="F718" i="45"/>
  <c r="F823" i="45" s="1"/>
  <c r="F928" i="45" s="1"/>
  <c r="F1033" i="45" s="1"/>
  <c r="F1138" i="45" s="1"/>
  <c r="F1243" i="45" s="1"/>
  <c r="F1348" i="45" s="1"/>
  <c r="F716" i="45"/>
  <c r="F821" i="45" s="1"/>
  <c r="F926" i="45" s="1"/>
  <c r="F1031" i="45" s="1"/>
  <c r="F1136" i="45" s="1"/>
  <c r="F1241" i="45" s="1"/>
  <c r="F1346" i="45" s="1"/>
  <c r="F715" i="45"/>
  <c r="F820" i="45" s="1"/>
  <c r="F925" i="45" s="1"/>
  <c r="F1030" i="45" s="1"/>
  <c r="F1135" i="45" s="1"/>
  <c r="F1240" i="45" s="1"/>
  <c r="F1345" i="45" s="1"/>
  <c r="C798" i="45"/>
  <c r="C903" i="45" s="1"/>
  <c r="C1008" i="45" s="1"/>
  <c r="C1113" i="45" s="1"/>
  <c r="C1218" i="45" s="1"/>
  <c r="C1323" i="45" s="1"/>
  <c r="C1428" i="45" s="1"/>
  <c r="D793" i="45"/>
  <c r="D898" i="45" s="1"/>
  <c r="D1003" i="45" s="1"/>
  <c r="D1108" i="45" s="1"/>
  <c r="D1213" i="45" s="1"/>
  <c r="D1318" i="45" s="1"/>
  <c r="D1423" i="45" s="1"/>
  <c r="D575" i="45"/>
  <c r="D680" i="45" s="1"/>
  <c r="D785" i="45" s="1"/>
  <c r="D890" i="45" s="1"/>
  <c r="D995" i="45" s="1"/>
  <c r="D1100" i="45" s="1"/>
  <c r="D1205" i="45" s="1"/>
  <c r="D1310" i="45" s="1"/>
  <c r="D1415" i="45" s="1"/>
  <c r="D570" i="45"/>
  <c r="D675" i="45" s="1"/>
  <c r="D780" i="45" s="1"/>
  <c r="D885" i="45" s="1"/>
  <c r="D990" i="45" s="1"/>
  <c r="D1095" i="45" s="1"/>
  <c r="D1200" i="45" s="1"/>
  <c r="D1305" i="45" s="1"/>
  <c r="D1410" i="45" s="1"/>
  <c r="D566" i="45"/>
  <c r="D671" i="45" s="1"/>
  <c r="D776" i="45" s="1"/>
  <c r="D881" i="45" s="1"/>
  <c r="D986" i="45" s="1"/>
  <c r="D1091" i="45" s="1"/>
  <c r="D1196" i="45" s="1"/>
  <c r="D1301" i="45" s="1"/>
  <c r="D1406" i="45" s="1"/>
  <c r="D562" i="45"/>
  <c r="D667" i="45" s="1"/>
  <c r="D772" i="45" s="1"/>
  <c r="D877" i="45" s="1"/>
  <c r="D982" i="45" s="1"/>
  <c r="D1087" i="45" s="1"/>
  <c r="D1192" i="45" s="1"/>
  <c r="D1297" i="45" s="1"/>
  <c r="D1402" i="45" s="1"/>
  <c r="D556" i="45"/>
  <c r="D661" i="45" s="1"/>
  <c r="D766" i="45" s="1"/>
  <c r="D871" i="45" s="1"/>
  <c r="D976" i="45" s="1"/>
  <c r="D1081" i="45" s="1"/>
  <c r="D1186" i="45" s="1"/>
  <c r="D1291" i="45" s="1"/>
  <c r="D1396" i="45" s="1"/>
  <c r="D552" i="45"/>
  <c r="D657" i="45" s="1"/>
  <c r="D762" i="45" s="1"/>
  <c r="D867" i="45" s="1"/>
  <c r="D972" i="45" s="1"/>
  <c r="D1077" i="45" s="1"/>
  <c r="D1182" i="45" s="1"/>
  <c r="D1287" i="45" s="1"/>
  <c r="D1392" i="45" s="1"/>
  <c r="D600" i="45"/>
  <c r="D705" i="45" s="1"/>
  <c r="D810" i="45" s="1"/>
  <c r="D915" i="45" s="1"/>
  <c r="D1020" i="45" s="1"/>
  <c r="D1125" i="45" s="1"/>
  <c r="D1230" i="45" s="1"/>
  <c r="D1335" i="45" s="1"/>
  <c r="D1440" i="45" s="1"/>
  <c r="F810" i="45"/>
  <c r="F915" i="45" s="1"/>
  <c r="F1020" i="45" s="1"/>
  <c r="F1125" i="45" s="1"/>
  <c r="F1230" i="45" s="1"/>
  <c r="F1335" i="45" s="1"/>
  <c r="F1440" i="45" s="1"/>
  <c r="E1355" i="45"/>
  <c r="C1384" i="45"/>
  <c r="C1412" i="45"/>
  <c r="E1361" i="45"/>
  <c r="C1405" i="45"/>
  <c r="E1353" i="45"/>
  <c r="C1399" i="45"/>
  <c r="E1381" i="45"/>
  <c r="E1347" i="45"/>
  <c r="E1388" i="45"/>
  <c r="E1395" i="45"/>
  <c r="E1343" i="45"/>
  <c r="C1348" i="45"/>
  <c r="C1390" i="45"/>
  <c r="F1418" i="45"/>
  <c r="D1429" i="45"/>
  <c r="C1364" i="45"/>
  <c r="C1372" i="45"/>
  <c r="E1410" i="45"/>
  <c r="E1417" i="45"/>
  <c r="E1341" i="45"/>
  <c r="E1383" i="45"/>
  <c r="E1386" i="45"/>
  <c r="C1420" i="45"/>
  <c r="E1425" i="45"/>
  <c r="C1366" i="45"/>
  <c r="E1396" i="45"/>
  <c r="C1398" i="45"/>
  <c r="E1403" i="45"/>
  <c r="D1405" i="45"/>
  <c r="C1407" i="45"/>
  <c r="E1419" i="45"/>
  <c r="D1421" i="45"/>
  <c r="C1345" i="45"/>
  <c r="C1349" i="45"/>
  <c r="C1351" i="45"/>
  <c r="C1355" i="45"/>
  <c r="C1359" i="45"/>
  <c r="C1365" i="45"/>
  <c r="C1367" i="45"/>
  <c r="C1377" i="45"/>
  <c r="C1379" i="45"/>
  <c r="C1383" i="45"/>
  <c r="E1384" i="45"/>
  <c r="C1393" i="45"/>
  <c r="F1396" i="45"/>
  <c r="C1400" i="45"/>
  <c r="C1408" i="45"/>
  <c r="C1416" i="45"/>
  <c r="C1417" i="45"/>
  <c r="E1421" i="45"/>
  <c r="E1422" i="45"/>
  <c r="G1426" i="45"/>
  <c r="E1437" i="45"/>
  <c r="C1387" i="45"/>
  <c r="E1407" i="45"/>
  <c r="C1410" i="45"/>
  <c r="C1411" i="45"/>
  <c r="F1414" i="45"/>
  <c r="E1415" i="45"/>
  <c r="C1419" i="45"/>
  <c r="E1424" i="45"/>
  <c r="G1429" i="45"/>
  <c r="F1430" i="45"/>
  <c r="E1431" i="45"/>
  <c r="D1433" i="45"/>
  <c r="C1435" i="45"/>
  <c r="C1439" i="45"/>
  <c r="F1436" i="45"/>
  <c r="F1438" i="45"/>
  <c r="F1395" i="45"/>
  <c r="F1399" i="45"/>
  <c r="D1404" i="45"/>
  <c r="F1417" i="45"/>
  <c r="F1421" i="45"/>
  <c r="F1425" i="45"/>
  <c r="D1426" i="45"/>
  <c r="F1431" i="45"/>
  <c r="D1434" i="45"/>
  <c r="F1435" i="45"/>
  <c r="D1436" i="45"/>
  <c r="C606" i="45" l="1"/>
  <c r="J501" i="45"/>
  <c r="Q18" i="45" l="1"/>
  <c r="X18" i="45"/>
  <c r="X16" i="45"/>
  <c r="R16" i="45"/>
  <c r="AD18" i="45"/>
  <c r="Y16" i="45"/>
  <c r="O16" i="45"/>
  <c r="AF16" i="45"/>
  <c r="AL17" i="45"/>
  <c r="U17" i="45"/>
  <c r="AB18" i="45"/>
  <c r="N16" i="45"/>
  <c r="AC16" i="45"/>
  <c r="T17" i="45"/>
  <c r="Q16" i="45"/>
  <c r="AF17" i="45"/>
  <c r="AU18" i="45"/>
  <c r="R17" i="45"/>
  <c r="Y18" i="45"/>
  <c r="X17" i="45"/>
  <c r="W18" i="45"/>
  <c r="AK17" i="45"/>
  <c r="T18" i="45"/>
  <c r="AR18" i="45"/>
  <c r="AT18" i="45"/>
  <c r="M16" i="45"/>
  <c r="AE16" i="45"/>
  <c r="AI18" i="45"/>
  <c r="AG17" i="45"/>
  <c r="L16" i="45"/>
  <c r="AH16" i="45"/>
  <c r="AD16" i="45"/>
  <c r="AH17" i="45"/>
  <c r="AS16" i="45"/>
  <c r="N18" i="45"/>
  <c r="AH18" i="45"/>
  <c r="AO16" i="45"/>
  <c r="Z16" i="45"/>
  <c r="AU17" i="45"/>
  <c r="AL16" i="45"/>
  <c r="N17" i="45"/>
  <c r="AU16" i="45"/>
  <c r="AE17" i="45"/>
  <c r="AM16" i="45"/>
  <c r="W17" i="45"/>
  <c r="AR16" i="45"/>
  <c r="AT16" i="45"/>
  <c r="V17" i="45"/>
  <c r="AM17" i="45"/>
  <c r="AS18" i="45"/>
  <c r="P17" i="45"/>
  <c r="AE18" i="45"/>
  <c r="AK16" i="45"/>
  <c r="AK18" i="45"/>
  <c r="AQ16" i="45"/>
  <c r="AP17" i="45"/>
  <c r="AN16" i="45"/>
  <c r="P16" i="45"/>
  <c r="T16" i="45"/>
  <c r="V16" i="45"/>
  <c r="AG16" i="45"/>
  <c r="AB17" i="45"/>
  <c r="Y17" i="45"/>
  <c r="AP18" i="45"/>
  <c r="AQ18" i="45"/>
  <c r="AP16" i="45"/>
  <c r="W16" i="45"/>
  <c r="S16" i="45"/>
  <c r="AN17" i="45"/>
  <c r="O17" i="45"/>
  <c r="AA18" i="45"/>
  <c r="Z18" i="45"/>
  <c r="AJ17" i="45"/>
  <c r="M17" i="45"/>
  <c r="AJ16" i="45"/>
  <c r="AI17" i="45"/>
  <c r="AT17" i="45"/>
  <c r="AR17" i="45"/>
  <c r="AB16" i="45"/>
  <c r="L18" i="45"/>
  <c r="AC17" i="45"/>
  <c r="AO17" i="45"/>
  <c r="AQ17" i="45"/>
  <c r="S18" i="45"/>
  <c r="V18" i="45"/>
  <c r="AC18" i="45"/>
  <c r="AI16" i="45"/>
  <c r="O18" i="45"/>
  <c r="U16" i="45"/>
  <c r="U18" i="45"/>
  <c r="AA16" i="45"/>
  <c r="Z17" i="45"/>
  <c r="AJ18" i="45"/>
  <c r="AS17" i="45"/>
  <c r="Q17" i="45"/>
  <c r="S17" i="45"/>
  <c r="AD17" i="45"/>
  <c r="AG18" i="45"/>
  <c r="L17" i="45"/>
  <c r="AF18" i="45"/>
  <c r="AA17" i="45"/>
  <c r="AL18" i="45"/>
  <c r="AN18" i="45"/>
  <c r="M18" i="45"/>
  <c r="AO18" i="45"/>
  <c r="AM18" i="45"/>
  <c r="R18" i="45"/>
  <c r="P18" i="45"/>
  <c r="AF501" i="45"/>
  <c r="P501" i="45"/>
  <c r="AM501" i="45"/>
  <c r="W501" i="45"/>
  <c r="AP501" i="45"/>
  <c r="Z501" i="45"/>
  <c r="AO501" i="45"/>
  <c r="U501" i="45"/>
  <c r="AC501" i="45"/>
  <c r="X501" i="45"/>
  <c r="M501" i="45"/>
  <c r="AJ501" i="45"/>
  <c r="AA501" i="45"/>
  <c r="AT501" i="45"/>
  <c r="N501" i="45"/>
  <c r="AR501" i="45"/>
  <c r="AB501" i="45"/>
  <c r="L501" i="45"/>
  <c r="AI501" i="45"/>
  <c r="S501" i="45"/>
  <c r="AL501" i="45"/>
  <c r="V501" i="45"/>
  <c r="Y501" i="45"/>
  <c r="AS501" i="45"/>
  <c r="AE501" i="45"/>
  <c r="Q501" i="45"/>
  <c r="AN501" i="45"/>
  <c r="AU501" i="45"/>
  <c r="O501" i="45"/>
  <c r="AH501" i="45"/>
  <c r="R501" i="45"/>
  <c r="AG501" i="45"/>
  <c r="T501" i="45"/>
  <c r="AQ501" i="45"/>
  <c r="AD501" i="45"/>
  <c r="AK501" i="45"/>
  <c r="Q15" i="45"/>
  <c r="P15" i="45"/>
  <c r="R15" i="45"/>
  <c r="M15" i="45"/>
  <c r="M19" i="45" s="1"/>
  <c r="O15" i="45"/>
  <c r="N15" i="45"/>
  <c r="L15" i="45"/>
  <c r="S15" i="45"/>
  <c r="S19" i="45" s="1"/>
  <c r="T15" i="45"/>
  <c r="U15" i="45"/>
  <c r="U19" i="45" s="1"/>
  <c r="V15" i="45"/>
  <c r="W15" i="45"/>
  <c r="W19" i="45" s="1"/>
  <c r="X15" i="45"/>
  <c r="Y15" i="45"/>
  <c r="Z15" i="45"/>
  <c r="AA15" i="45"/>
  <c r="AA19" i="45" s="1"/>
  <c r="AB15" i="45"/>
  <c r="AC15" i="45"/>
  <c r="AC19" i="45" s="1"/>
  <c r="AD15" i="45"/>
  <c r="AE15" i="45"/>
  <c r="AE19" i="45" s="1"/>
  <c r="AF15" i="45"/>
  <c r="AG15" i="45"/>
  <c r="AG19" i="45" s="1"/>
  <c r="AH15" i="45"/>
  <c r="AI15" i="45"/>
  <c r="AI19" i="45" s="1"/>
  <c r="AJ15" i="45"/>
  <c r="AK15" i="45"/>
  <c r="AK19" i="45" s="1"/>
  <c r="AL15" i="45"/>
  <c r="AM15" i="45"/>
  <c r="AM19" i="45" s="1"/>
  <c r="AN15" i="45"/>
  <c r="AO15" i="45"/>
  <c r="AO19" i="45" s="1"/>
  <c r="AP15" i="45"/>
  <c r="AQ15" i="45"/>
  <c r="AQ19" i="45" s="1"/>
  <c r="AR15" i="45"/>
  <c r="AS15" i="45"/>
  <c r="AS19" i="45" s="1"/>
  <c r="AT15" i="45"/>
  <c r="AT19" i="45" s="1"/>
  <c r="AU15" i="45"/>
  <c r="AU19" i="45" s="1"/>
  <c r="C711" i="45"/>
  <c r="J606" i="45"/>
  <c r="Y19" i="45" l="1"/>
  <c r="AN19" i="45"/>
  <c r="AJ19" i="45"/>
  <c r="AB19" i="45"/>
  <c r="T19" i="45"/>
  <c r="Q19" i="45"/>
  <c r="AP19" i="45"/>
  <c r="AL19" i="45"/>
  <c r="AH19" i="45"/>
  <c r="AD19" i="45"/>
  <c r="Z19" i="45"/>
  <c r="AR19" i="45"/>
  <c r="AF19" i="45"/>
  <c r="C816" i="45"/>
  <c r="J711" i="45"/>
  <c r="AG25" i="45"/>
  <c r="Q25" i="45"/>
  <c r="AK24" i="45"/>
  <c r="U24" i="45"/>
  <c r="AO23" i="45"/>
  <c r="Y23" i="45"/>
  <c r="AS22" i="45"/>
  <c r="AC22" i="45"/>
  <c r="M22" i="45"/>
  <c r="AF25" i="45"/>
  <c r="P25" i="45"/>
  <c r="AJ24" i="45"/>
  <c r="T24" i="45"/>
  <c r="AN23" i="45"/>
  <c r="X23" i="45"/>
  <c r="AR22" i="45"/>
  <c r="AB22" i="45"/>
  <c r="L22" i="45"/>
  <c r="S25" i="45"/>
  <c r="W24" i="45"/>
  <c r="AA23" i="45"/>
  <c r="AE22" i="45"/>
  <c r="AH25" i="45"/>
  <c r="AL24" i="45"/>
  <c r="AP23" i="45"/>
  <c r="AT22" i="45"/>
  <c r="N22" i="45"/>
  <c r="AI24" i="45"/>
  <c r="AQ22" i="45"/>
  <c r="AP24" i="45"/>
  <c r="N23" i="45"/>
  <c r="W25" i="45"/>
  <c r="AE23" i="45"/>
  <c r="AL25" i="45"/>
  <c r="R24" i="45"/>
  <c r="Z22" i="45"/>
  <c r="AN24" i="45"/>
  <c r="P22" i="45"/>
  <c r="AM22" i="45"/>
  <c r="R23" i="45"/>
  <c r="W23" i="45"/>
  <c r="AM25" i="45"/>
  <c r="AH24" i="45"/>
  <c r="AS25" i="45"/>
  <c r="AC25" i="45"/>
  <c r="M25" i="45"/>
  <c r="AG24" i="45"/>
  <c r="Q24" i="45"/>
  <c r="AK23" i="45"/>
  <c r="U23" i="45"/>
  <c r="AO22" i="45"/>
  <c r="Y22" i="45"/>
  <c r="AR25" i="45"/>
  <c r="AB25" i="45"/>
  <c r="L25" i="45"/>
  <c r="AF24" i="45"/>
  <c r="P24" i="45"/>
  <c r="AJ23" i="45"/>
  <c r="T23" i="45"/>
  <c r="AN22" i="45"/>
  <c r="X22" i="45"/>
  <c r="AQ25" i="45"/>
  <c r="AU24" i="45"/>
  <c r="O24" i="45"/>
  <c r="S23" i="45"/>
  <c r="W22" i="45"/>
  <c r="Z25" i="45"/>
  <c r="AD24" i="45"/>
  <c r="AH23" i="45"/>
  <c r="AL22" i="45"/>
  <c r="AU25" i="45"/>
  <c r="S24" i="45"/>
  <c r="AA22" i="45"/>
  <c r="Z24" i="45"/>
  <c r="AH22" i="45"/>
  <c r="AQ24" i="45"/>
  <c r="O23" i="45"/>
  <c r="AD25" i="45"/>
  <c r="AL23" i="45"/>
  <c r="AO24" i="45"/>
  <c r="AS23" i="45"/>
  <c r="M23" i="45"/>
  <c r="Q22" i="45"/>
  <c r="T25" i="45"/>
  <c r="X24" i="45"/>
  <c r="AB23" i="45"/>
  <c r="AF22" i="45"/>
  <c r="AE24" i="45"/>
  <c r="AP25" i="45"/>
  <c r="N24" i="45"/>
  <c r="O25" i="45"/>
  <c r="V25" i="45"/>
  <c r="AU23" i="45"/>
  <c r="AP22" i="45"/>
  <c r="AO25" i="45"/>
  <c r="Y25" i="45"/>
  <c r="AS24" i="45"/>
  <c r="AC24" i="45"/>
  <c r="M24" i="45"/>
  <c r="AG23" i="45"/>
  <c r="Q23" i="45"/>
  <c r="AK22" i="45"/>
  <c r="U22" i="45"/>
  <c r="AN25" i="45"/>
  <c r="X25" i="45"/>
  <c r="AR24" i="45"/>
  <c r="AB24" i="45"/>
  <c r="L24" i="45"/>
  <c r="AF23" i="45"/>
  <c r="P23" i="45"/>
  <c r="AJ22" i="45"/>
  <c r="T22" i="45"/>
  <c r="AI25" i="45"/>
  <c r="AM24" i="45"/>
  <c r="AQ23" i="45"/>
  <c r="AU22" i="45"/>
  <c r="O22" i="45"/>
  <c r="R25" i="45"/>
  <c r="V24" i="45"/>
  <c r="Z23" i="45"/>
  <c r="AD22" i="45"/>
  <c r="AE25" i="45"/>
  <c r="AM23" i="45"/>
  <c r="AT25" i="45"/>
  <c r="AT23" i="45"/>
  <c r="R22" i="45"/>
  <c r="AA24" i="45"/>
  <c r="AI22" i="45"/>
  <c r="N25" i="45"/>
  <c r="V23" i="45"/>
  <c r="AK25" i="45"/>
  <c r="U25" i="45"/>
  <c r="Y24" i="45"/>
  <c r="AC23" i="45"/>
  <c r="AG22" i="45"/>
  <c r="AJ25" i="45"/>
  <c r="AR23" i="45"/>
  <c r="L23" i="45"/>
  <c r="AA25" i="45"/>
  <c r="AI23" i="45"/>
  <c r="AT24" i="45"/>
  <c r="V22" i="45"/>
  <c r="AD23" i="45"/>
  <c r="S22" i="45"/>
  <c r="AK606" i="45"/>
  <c r="AN606" i="45"/>
  <c r="X606" i="45"/>
  <c r="AU606" i="45"/>
  <c r="AE606" i="45"/>
  <c r="AH606" i="45"/>
  <c r="Q606" i="45"/>
  <c r="AA606" i="45"/>
  <c r="N606" i="45"/>
  <c r="AS606" i="45"/>
  <c r="M606" i="45"/>
  <c r="P606" i="45"/>
  <c r="W606" i="45"/>
  <c r="Z606" i="45"/>
  <c r="AG606" i="45"/>
  <c r="T606" i="45"/>
  <c r="AT606" i="45"/>
  <c r="AO606" i="45"/>
  <c r="Y606" i="45"/>
  <c r="AR606" i="45"/>
  <c r="AB606" i="45"/>
  <c r="L606" i="45"/>
  <c r="AI606" i="45"/>
  <c r="S606" i="45"/>
  <c r="AL606" i="45"/>
  <c r="V606" i="45"/>
  <c r="U606" i="45"/>
  <c r="O606" i="45"/>
  <c r="R606" i="45"/>
  <c r="AJ606" i="45"/>
  <c r="AQ606" i="45"/>
  <c r="AD606" i="45"/>
  <c r="AC606" i="45"/>
  <c r="AF606" i="45"/>
  <c r="AM606" i="45"/>
  <c r="AP606" i="45"/>
  <c r="V19" i="45"/>
  <c r="L19" i="45"/>
  <c r="R19" i="45"/>
  <c r="N19" i="45"/>
  <c r="P19" i="45"/>
  <c r="X19" i="45"/>
  <c r="O19" i="45"/>
  <c r="AH26" i="45" l="1"/>
  <c r="AP26" i="45"/>
  <c r="S26" i="45"/>
  <c r="AU26" i="45"/>
  <c r="T26" i="45"/>
  <c r="AR26" i="45"/>
  <c r="AC26" i="45"/>
  <c r="AD26" i="45"/>
  <c r="O26" i="45"/>
  <c r="AA26" i="45"/>
  <c r="X26" i="45"/>
  <c r="AQ26" i="45"/>
  <c r="AB26" i="45"/>
  <c r="M26" i="45"/>
  <c r="AI26" i="45"/>
  <c r="AN26" i="45"/>
  <c r="Y26" i="45"/>
  <c r="Z26" i="45"/>
  <c r="AG26" i="45"/>
  <c r="AJ26" i="45"/>
  <c r="U26" i="45"/>
  <c r="AF26" i="45"/>
  <c r="Q26" i="45"/>
  <c r="AO26" i="45"/>
  <c r="AM26" i="45"/>
  <c r="N26" i="45"/>
  <c r="AS26" i="45"/>
  <c r="Z31" i="45"/>
  <c r="AQ31" i="45"/>
  <c r="V31" i="45"/>
  <c r="T30" i="45"/>
  <c r="AP31" i="45"/>
  <c r="M30" i="45"/>
  <c r="S31" i="45"/>
  <c r="AH30" i="45"/>
  <c r="AK30" i="45"/>
  <c r="N29" i="45"/>
  <c r="Q30" i="45"/>
  <c r="AG32" i="45"/>
  <c r="X31" i="45"/>
  <c r="AA31" i="45"/>
  <c r="AM32" i="45"/>
  <c r="M32" i="45"/>
  <c r="M29" i="45"/>
  <c r="T31" i="45"/>
  <c r="AN32" i="45"/>
  <c r="AE31" i="45"/>
  <c r="AF32" i="45"/>
  <c r="AO32" i="45"/>
  <c r="AE32" i="45"/>
  <c r="AU30" i="45"/>
  <c r="AR31" i="45"/>
  <c r="AB30" i="45"/>
  <c r="AB32" i="45"/>
  <c r="AD30" i="45"/>
  <c r="AC30" i="45"/>
  <c r="Q29" i="45"/>
  <c r="AE30" i="45"/>
  <c r="M31" i="45"/>
  <c r="W30" i="45"/>
  <c r="L30" i="45"/>
  <c r="Z32" i="45"/>
  <c r="Q32" i="45"/>
  <c r="N31" i="45"/>
  <c r="AU32" i="45"/>
  <c r="AB31" i="45"/>
  <c r="AI32" i="45"/>
  <c r="AP32" i="45"/>
  <c r="V30" i="45"/>
  <c r="AA32" i="45"/>
  <c r="AO31" i="45"/>
  <c r="Q31" i="45"/>
  <c r="AH32" i="45"/>
  <c r="AJ32" i="45"/>
  <c r="AL30" i="45"/>
  <c r="AJ30" i="45"/>
  <c r="Y30" i="45"/>
  <c r="AU31" i="45"/>
  <c r="P29" i="45"/>
  <c r="AC32" i="45"/>
  <c r="AR32" i="45"/>
  <c r="O29" i="45"/>
  <c r="AD32" i="45"/>
  <c r="AA30" i="45"/>
  <c r="L31" i="45"/>
  <c r="Y32" i="45"/>
  <c r="N30" i="45"/>
  <c r="X32" i="45"/>
  <c r="AI31" i="45"/>
  <c r="AM30" i="45"/>
  <c r="AP30" i="45"/>
  <c r="P31" i="45"/>
  <c r="S30" i="45"/>
  <c r="T29" i="45"/>
  <c r="V32" i="45"/>
  <c r="AG30" i="45"/>
  <c r="AM31" i="45"/>
  <c r="W32" i="45"/>
  <c r="O31" i="45"/>
  <c r="R30" i="45"/>
  <c r="AI30" i="45"/>
  <c r="AC31" i="45"/>
  <c r="W31" i="45"/>
  <c r="AO30" i="45"/>
  <c r="S29" i="45"/>
  <c r="AR30" i="45"/>
  <c r="AQ32" i="45"/>
  <c r="Z30" i="45"/>
  <c r="O32" i="45"/>
  <c r="AG31" i="45"/>
  <c r="R32" i="45"/>
  <c r="L32" i="45"/>
  <c r="Y31" i="45"/>
  <c r="AK32" i="45"/>
  <c r="AD31" i="45"/>
  <c r="U32" i="45"/>
  <c r="L29" i="45"/>
  <c r="AF30" i="45"/>
  <c r="S32" i="45"/>
  <c r="AN31" i="45"/>
  <c r="U30" i="45"/>
  <c r="AL31" i="45"/>
  <c r="P32" i="45"/>
  <c r="AL32" i="45"/>
  <c r="N32" i="45"/>
  <c r="AK31" i="45"/>
  <c r="AQ30" i="45"/>
  <c r="T32" i="45"/>
  <c r="AS32" i="45"/>
  <c r="AJ31" i="45"/>
  <c r="AT32" i="45"/>
  <c r="R29" i="45"/>
  <c r="AH31" i="45"/>
  <c r="O30" i="45"/>
  <c r="AN30" i="45"/>
  <c r="AT30" i="45"/>
  <c r="AS30" i="45"/>
  <c r="U31" i="45"/>
  <c r="P30" i="45"/>
  <c r="AT31" i="45"/>
  <c r="R31" i="45"/>
  <c r="X30" i="45"/>
  <c r="AF31" i="45"/>
  <c r="AS31" i="45"/>
  <c r="U29" i="45"/>
  <c r="V29" i="45"/>
  <c r="W29" i="45"/>
  <c r="X29" i="45"/>
  <c r="Y29" i="45"/>
  <c r="Z29" i="45"/>
  <c r="AA29" i="45"/>
  <c r="AB29" i="45"/>
  <c r="AC29" i="45"/>
  <c r="AD29" i="45"/>
  <c r="AD33" i="45" s="1"/>
  <c r="AE29" i="45"/>
  <c r="AE33" i="45" s="1"/>
  <c r="AF29" i="45"/>
  <c r="AG29" i="45"/>
  <c r="AH29" i="45"/>
  <c r="AI29" i="45"/>
  <c r="AJ29" i="45"/>
  <c r="AK29" i="45"/>
  <c r="AL29" i="45"/>
  <c r="AM29" i="45"/>
  <c r="AN29" i="45"/>
  <c r="AN33" i="45" s="1"/>
  <c r="AO29" i="45"/>
  <c r="AP29" i="45"/>
  <c r="AQ29" i="45"/>
  <c r="AR29" i="45"/>
  <c r="AS29" i="45"/>
  <c r="AT29" i="45"/>
  <c r="AU29" i="45"/>
  <c r="V26" i="45"/>
  <c r="R26" i="45"/>
  <c r="AK26" i="45"/>
  <c r="AL26" i="45"/>
  <c r="W26" i="45"/>
  <c r="P26" i="45"/>
  <c r="AT26" i="45"/>
  <c r="AE26" i="45"/>
  <c r="L26" i="45"/>
  <c r="C921" i="45"/>
  <c r="J816" i="45"/>
  <c r="AP33" i="45" l="1"/>
  <c r="AL33" i="45"/>
  <c r="Z33" i="45"/>
  <c r="AO33" i="45"/>
  <c r="AB33" i="45"/>
  <c r="AU33" i="45"/>
  <c r="AQ33" i="45"/>
  <c r="AI33" i="45"/>
  <c r="AA33" i="45"/>
  <c r="AH33" i="45"/>
  <c r="V33" i="45"/>
  <c r="AS33" i="45"/>
  <c r="L33" i="45"/>
  <c r="AT33" i="45"/>
  <c r="AK33" i="45"/>
  <c r="AG33" i="45"/>
  <c r="AC33" i="45"/>
  <c r="Y33" i="45"/>
  <c r="U33" i="45"/>
  <c r="AJ33" i="45"/>
  <c r="AF33" i="45"/>
  <c r="AR33" i="45"/>
  <c r="AM33" i="45"/>
  <c r="W33" i="45"/>
  <c r="S33" i="45"/>
  <c r="Q33" i="45"/>
  <c r="X33" i="45"/>
  <c r="R33" i="45"/>
  <c r="M33" i="45"/>
  <c r="P33" i="45"/>
  <c r="M37" i="45"/>
  <c r="Z39" i="45"/>
  <c r="X39" i="45"/>
  <c r="AK39" i="45"/>
  <c r="AS39" i="45"/>
  <c r="AB37" i="45"/>
  <c r="M39" i="45"/>
  <c r="T38" i="45"/>
  <c r="AT39" i="45"/>
  <c r="O39" i="45"/>
  <c r="L37" i="45"/>
  <c r="AR38" i="45"/>
  <c r="AE37" i="45"/>
  <c r="W39" i="45"/>
  <c r="AS38" i="45"/>
  <c r="AJ38" i="45"/>
  <c r="AQ38" i="45"/>
  <c r="AC37" i="45"/>
  <c r="R36" i="45"/>
  <c r="V38" i="45"/>
  <c r="W37" i="45"/>
  <c r="AJ37" i="45"/>
  <c r="X38" i="45"/>
  <c r="P38" i="45"/>
  <c r="O38" i="45"/>
  <c r="AQ37" i="45"/>
  <c r="AK37" i="45"/>
  <c r="Y38" i="45"/>
  <c r="AL39" i="45"/>
  <c r="AN38" i="45"/>
  <c r="AI39" i="45"/>
  <c r="AD37" i="45"/>
  <c r="N38" i="45"/>
  <c r="AI37" i="45"/>
  <c r="AG38" i="45"/>
  <c r="AC38" i="45"/>
  <c r="X37" i="45"/>
  <c r="N36" i="45"/>
  <c r="AP38" i="45"/>
  <c r="AH39" i="45"/>
  <c r="AJ39" i="45"/>
  <c r="AS37" i="45"/>
  <c r="Z37" i="45"/>
  <c r="AM37" i="45"/>
  <c r="L38" i="45"/>
  <c r="AI38" i="45"/>
  <c r="O36" i="45"/>
  <c r="AA37" i="45"/>
  <c r="AD38" i="45"/>
  <c r="AF38" i="45"/>
  <c r="AP39" i="45"/>
  <c r="R37" i="45"/>
  <c r="AO37" i="45"/>
  <c r="AR39" i="45"/>
  <c r="W38" i="45"/>
  <c r="Q36" i="45"/>
  <c r="U38" i="45"/>
  <c r="V39" i="45"/>
  <c r="AE38" i="45"/>
  <c r="P37" i="45"/>
  <c r="N39" i="45"/>
  <c r="AH37" i="45"/>
  <c r="AT38" i="45"/>
  <c r="AM39" i="45"/>
  <c r="L36" i="45"/>
  <c r="T36" i="45"/>
  <c r="Y37" i="45"/>
  <c r="Q37" i="45"/>
  <c r="AN39" i="45"/>
  <c r="V37" i="45"/>
  <c r="AF37" i="45"/>
  <c r="N37" i="45"/>
  <c r="AB38" i="45"/>
  <c r="M36" i="45"/>
  <c r="AH38" i="45"/>
  <c r="AF39" i="45"/>
  <c r="T39" i="45"/>
  <c r="S38" i="45"/>
  <c r="R38" i="45"/>
  <c r="T37" i="45"/>
  <c r="AN37" i="45"/>
  <c r="S39" i="45"/>
  <c r="Z38" i="45"/>
  <c r="S36" i="45"/>
  <c r="AL38" i="45"/>
  <c r="S37" i="45"/>
  <c r="P39" i="45"/>
  <c r="AU37" i="45"/>
  <c r="AE39" i="45"/>
  <c r="AO39" i="45"/>
  <c r="AA39" i="45"/>
  <c r="AG39" i="45"/>
  <c r="AQ39" i="45"/>
  <c r="AC39" i="45"/>
  <c r="AK38" i="45"/>
  <c r="AB39" i="45"/>
  <c r="AM38" i="45"/>
  <c r="AU38" i="45"/>
  <c r="AD39" i="45"/>
  <c r="AG37" i="45"/>
  <c r="AR37" i="45"/>
  <c r="AP37" i="45"/>
  <c r="AU39" i="45"/>
  <c r="U37" i="45"/>
  <c r="AO38" i="45"/>
  <c r="AT37" i="45"/>
  <c r="R39" i="45"/>
  <c r="U39" i="45"/>
  <c r="AA38" i="45"/>
  <c r="M38" i="45"/>
  <c r="L39" i="45"/>
  <c r="Y39" i="45"/>
  <c r="Q38" i="45"/>
  <c r="AL37" i="45"/>
  <c r="Q39" i="45"/>
  <c r="O37" i="45"/>
  <c r="U36" i="45"/>
  <c r="P36" i="45"/>
  <c r="V36" i="45"/>
  <c r="W36" i="45"/>
  <c r="X36" i="45"/>
  <c r="X40" i="45" s="1"/>
  <c r="Y36" i="45"/>
  <c r="Z36" i="45"/>
  <c r="AA36" i="45"/>
  <c r="AB36" i="45"/>
  <c r="AC36" i="45"/>
  <c r="AC40" i="45" s="1"/>
  <c r="AD36" i="45"/>
  <c r="AE36" i="45"/>
  <c r="AF36" i="45"/>
  <c r="AG36" i="45"/>
  <c r="AH36" i="45"/>
  <c r="AI36" i="45"/>
  <c r="AJ36" i="45"/>
  <c r="AK36" i="45"/>
  <c r="AK40" i="45" s="1"/>
  <c r="AL36" i="45"/>
  <c r="AM36" i="45"/>
  <c r="AN36" i="45"/>
  <c r="AO36" i="45"/>
  <c r="AP36" i="45"/>
  <c r="AQ36" i="45"/>
  <c r="AR36" i="45"/>
  <c r="AS36" i="45"/>
  <c r="AT36" i="45"/>
  <c r="AU36" i="45"/>
  <c r="T33" i="45"/>
  <c r="O33" i="45"/>
  <c r="C1026" i="45"/>
  <c r="J921" i="45"/>
  <c r="N33" i="45"/>
  <c r="AR40" i="45" l="1"/>
  <c r="AN40" i="45"/>
  <c r="AJ40" i="45"/>
  <c r="AI40" i="45"/>
  <c r="AT40" i="45"/>
  <c r="AP40" i="45"/>
  <c r="AH40" i="45"/>
  <c r="Z40" i="45"/>
  <c r="V40" i="45"/>
  <c r="AQ40" i="45"/>
  <c r="AM40" i="45"/>
  <c r="AE40" i="45"/>
  <c r="AA40" i="45"/>
  <c r="W40" i="45"/>
  <c r="AL40" i="45"/>
  <c r="AD40" i="45"/>
  <c r="AS40" i="45"/>
  <c r="AO40" i="45"/>
  <c r="AU40" i="45"/>
  <c r="AG40" i="45"/>
  <c r="S40" i="45"/>
  <c r="AS44" i="45"/>
  <c r="AO45" i="45"/>
  <c r="R45" i="45"/>
  <c r="AS45" i="45"/>
  <c r="AJ46" i="45"/>
  <c r="AT46" i="45"/>
  <c r="AR46" i="45"/>
  <c r="AE44" i="45"/>
  <c r="AN46" i="45"/>
  <c r="AP46" i="45"/>
  <c r="AI46" i="45"/>
  <c r="AC44" i="45"/>
  <c r="Z46" i="45"/>
  <c r="AF46" i="45"/>
  <c r="Y44" i="45"/>
  <c r="AP44" i="45"/>
  <c r="AB44" i="45"/>
  <c r="AG45" i="45"/>
  <c r="AE46" i="45"/>
  <c r="V44" i="45"/>
  <c r="Q44" i="45"/>
  <c r="Q46" i="45"/>
  <c r="R43" i="45"/>
  <c r="AL46" i="45"/>
  <c r="AC46" i="45"/>
  <c r="P46" i="45"/>
  <c r="L43" i="45"/>
  <c r="AF44" i="45"/>
  <c r="AG44" i="45"/>
  <c r="L45" i="45"/>
  <c r="X44" i="45"/>
  <c r="U44" i="45"/>
  <c r="AB46" i="45"/>
  <c r="AJ44" i="45"/>
  <c r="AP45" i="45"/>
  <c r="AK45" i="45"/>
  <c r="AK44" i="45"/>
  <c r="AI44" i="45"/>
  <c r="AH44" i="45"/>
  <c r="S44" i="45"/>
  <c r="T45" i="45"/>
  <c r="AU45" i="45"/>
  <c r="AQ46" i="45"/>
  <c r="P44" i="45"/>
  <c r="L46" i="45"/>
  <c r="AU44" i="45"/>
  <c r="AR44" i="45"/>
  <c r="AG46" i="45"/>
  <c r="AD44" i="45"/>
  <c r="AA44" i="45"/>
  <c r="AD45" i="45"/>
  <c r="X45" i="45"/>
  <c r="O44" i="45"/>
  <c r="Q43" i="45"/>
  <c r="W46" i="45"/>
  <c r="AD46" i="45"/>
  <c r="AQ45" i="45"/>
  <c r="AO44" i="45"/>
  <c r="AB45" i="45"/>
  <c r="W44" i="45"/>
  <c r="AH45" i="45"/>
  <c r="N44" i="45"/>
  <c r="AM44" i="45"/>
  <c r="AS46" i="45"/>
  <c r="AL45" i="45"/>
  <c r="O45" i="45"/>
  <c r="AN45" i="45"/>
  <c r="R44" i="45"/>
  <c r="AT45" i="45"/>
  <c r="AU46" i="45"/>
  <c r="AL44" i="45"/>
  <c r="V43" i="45"/>
  <c r="O43" i="45"/>
  <c r="S45" i="45"/>
  <c r="X46" i="45"/>
  <c r="AT44" i="45"/>
  <c r="AE45" i="45"/>
  <c r="V46" i="45"/>
  <c r="P45" i="45"/>
  <c r="AO46" i="45"/>
  <c r="AM46" i="45"/>
  <c r="M44" i="45"/>
  <c r="Y45" i="45"/>
  <c r="Z45" i="45"/>
  <c r="U43" i="45"/>
  <c r="L44" i="45"/>
  <c r="V45" i="45"/>
  <c r="T44" i="45"/>
  <c r="M43" i="45"/>
  <c r="N43" i="45"/>
  <c r="N45" i="45"/>
  <c r="T46" i="45"/>
  <c r="U45" i="45"/>
  <c r="AF45" i="45"/>
  <c r="AA45" i="45"/>
  <c r="M45" i="45"/>
  <c r="AN44" i="45"/>
  <c r="AC45" i="45"/>
  <c r="AA46" i="45"/>
  <c r="N46" i="45"/>
  <c r="R46" i="45"/>
  <c r="Q45" i="45"/>
  <c r="AI45" i="45"/>
  <c r="Z44" i="45"/>
  <c r="AK46" i="45"/>
  <c r="U46" i="45"/>
  <c r="S43" i="45"/>
  <c r="AQ44" i="45"/>
  <c r="O46" i="45"/>
  <c r="AH46" i="45"/>
  <c r="M46" i="45"/>
  <c r="AM45" i="45"/>
  <c r="S46" i="45"/>
  <c r="AJ45" i="45"/>
  <c r="P43" i="45"/>
  <c r="W43" i="45"/>
  <c r="Y46" i="45"/>
  <c r="W45" i="45"/>
  <c r="AR45" i="45"/>
  <c r="T43" i="45"/>
  <c r="X43" i="45"/>
  <c r="Y43" i="45"/>
  <c r="Z43" i="45"/>
  <c r="AA43" i="45"/>
  <c r="AB43" i="45"/>
  <c r="AC43" i="45"/>
  <c r="AD43" i="45"/>
  <c r="AE43" i="45"/>
  <c r="AF43" i="45"/>
  <c r="AG43" i="45"/>
  <c r="AH43" i="45"/>
  <c r="AI43" i="45"/>
  <c r="AJ43" i="45"/>
  <c r="AK43" i="45"/>
  <c r="AL43" i="45"/>
  <c r="AM43" i="45"/>
  <c r="AN43" i="45"/>
  <c r="AO43" i="45"/>
  <c r="AP43" i="45"/>
  <c r="AQ43" i="45"/>
  <c r="AR43" i="45"/>
  <c r="AS43" i="45"/>
  <c r="AT43" i="45"/>
  <c r="AU43" i="45"/>
  <c r="AU47" i="45" s="1"/>
  <c r="C1131" i="45"/>
  <c r="J1026" i="45"/>
  <c r="Y40" i="45"/>
  <c r="P40" i="45"/>
  <c r="M40" i="45"/>
  <c r="T40" i="45"/>
  <c r="N40" i="45"/>
  <c r="AF40" i="45"/>
  <c r="AB40" i="45"/>
  <c r="U40" i="45"/>
  <c r="L40" i="45"/>
  <c r="Q40" i="45"/>
  <c r="O40" i="45"/>
  <c r="R40" i="45"/>
  <c r="AR47" i="45" l="1"/>
  <c r="AN47" i="45"/>
  <c r="AB47" i="45"/>
  <c r="AI47" i="45"/>
  <c r="AA47" i="45"/>
  <c r="AP47" i="45"/>
  <c r="P47" i="45"/>
  <c r="AO47" i="45"/>
  <c r="AJ47" i="45"/>
  <c r="AF47" i="45"/>
  <c r="X47" i="45"/>
  <c r="AQ47" i="45"/>
  <c r="AM47" i="45"/>
  <c r="AE47" i="45"/>
  <c r="T47" i="45"/>
  <c r="AL47" i="45"/>
  <c r="AH47" i="45"/>
  <c r="AD47" i="45"/>
  <c r="Z47" i="45"/>
  <c r="AT47" i="45"/>
  <c r="AS47" i="45"/>
  <c r="AK47" i="45"/>
  <c r="AG47" i="45"/>
  <c r="AC47" i="45"/>
  <c r="W47" i="45"/>
  <c r="AH52" i="45"/>
  <c r="AG53" i="45"/>
  <c r="Q50" i="45"/>
  <c r="S50" i="45"/>
  <c r="AA53" i="45"/>
  <c r="AJ51" i="45"/>
  <c r="AM51" i="45"/>
  <c r="AA51" i="45"/>
  <c r="AP51" i="45"/>
  <c r="T52" i="45"/>
  <c r="AO52" i="45"/>
  <c r="AM52" i="45"/>
  <c r="AE51" i="45"/>
  <c r="AT53" i="45"/>
  <c r="N52" i="45"/>
  <c r="W52" i="45"/>
  <c r="Z53" i="45"/>
  <c r="R51" i="45"/>
  <c r="Q53" i="45"/>
  <c r="M53" i="45"/>
  <c r="AB52" i="45"/>
  <c r="AA52" i="45"/>
  <c r="AL53" i="45"/>
  <c r="O52" i="45"/>
  <c r="T50" i="45"/>
  <c r="AO51" i="45"/>
  <c r="P52" i="45"/>
  <c r="AL51" i="45"/>
  <c r="V50" i="45"/>
  <c r="S51" i="45"/>
  <c r="X50" i="45"/>
  <c r="AE52" i="45"/>
  <c r="AI53" i="45"/>
  <c r="W50" i="45"/>
  <c r="V52" i="45"/>
  <c r="P50" i="45"/>
  <c r="AC51" i="45"/>
  <c r="AO53" i="45"/>
  <c r="AF52" i="45"/>
  <c r="AI51" i="45"/>
  <c r="Y53" i="45"/>
  <c r="AR52" i="45"/>
  <c r="AP53" i="45"/>
  <c r="M52" i="45"/>
  <c r="U52" i="45"/>
  <c r="N50" i="45"/>
  <c r="AT52" i="45"/>
  <c r="AH53" i="45"/>
  <c r="AE53" i="45"/>
  <c r="AN52" i="45"/>
  <c r="L50" i="45"/>
  <c r="U50" i="45"/>
  <c r="P53" i="45"/>
  <c r="S52" i="45"/>
  <c r="P51" i="45"/>
  <c r="X53" i="45"/>
  <c r="AT51" i="45"/>
  <c r="AN53" i="45"/>
  <c r="W53" i="45"/>
  <c r="AQ53" i="45"/>
  <c r="R53" i="45"/>
  <c r="T51" i="45"/>
  <c r="M50" i="45"/>
  <c r="V51" i="45"/>
  <c r="AU52" i="45"/>
  <c r="AI52" i="45"/>
  <c r="AG52" i="45"/>
  <c r="O53" i="45"/>
  <c r="AF53" i="45"/>
  <c r="AM53" i="45"/>
  <c r="AD52" i="45"/>
  <c r="S53" i="45"/>
  <c r="M51" i="45"/>
  <c r="AD51" i="45"/>
  <c r="AS52" i="45"/>
  <c r="AK51" i="45"/>
  <c r="AU53" i="45"/>
  <c r="L53" i="45"/>
  <c r="AC53" i="45"/>
  <c r="R50" i="45"/>
  <c r="X52" i="45"/>
  <c r="AR51" i="45"/>
  <c r="Q51" i="45"/>
  <c r="U53" i="45"/>
  <c r="Y52" i="45"/>
  <c r="AK52" i="45"/>
  <c r="AQ52" i="45"/>
  <c r="AN51" i="45"/>
  <c r="AR53" i="45"/>
  <c r="AB53" i="45"/>
  <c r="V53" i="45"/>
  <c r="O51" i="45"/>
  <c r="W51" i="45"/>
  <c r="AP52" i="45"/>
  <c r="T53" i="45"/>
  <c r="AG51" i="45"/>
  <c r="AQ51" i="45"/>
  <c r="L51" i="45"/>
  <c r="U51" i="45"/>
  <c r="Z51" i="45"/>
  <c r="L52" i="45"/>
  <c r="AC52" i="45"/>
  <c r="N53" i="45"/>
  <c r="AH51" i="45"/>
  <c r="AJ52" i="45"/>
  <c r="N51" i="45"/>
  <c r="AJ53" i="45"/>
  <c r="O50" i="45"/>
  <c r="O54" i="45" s="1"/>
  <c r="Y51" i="45"/>
  <c r="AS51" i="45"/>
  <c r="AU51" i="45"/>
  <c r="R52" i="45"/>
  <c r="AK53" i="45"/>
  <c r="AD53" i="45"/>
  <c r="Q52" i="45"/>
  <c r="AL52" i="45"/>
  <c r="X51" i="45"/>
  <c r="AF51" i="45"/>
  <c r="AB51" i="45"/>
  <c r="AS53" i="45"/>
  <c r="Z52" i="45"/>
  <c r="Y50" i="45"/>
  <c r="Y54" i="45" s="1"/>
  <c r="Z50" i="45"/>
  <c r="AA50" i="45"/>
  <c r="AA54" i="45" s="1"/>
  <c r="AB50" i="45"/>
  <c r="AC50" i="45"/>
  <c r="AD50" i="45"/>
  <c r="AE50" i="45"/>
  <c r="AE54" i="45" s="1"/>
  <c r="AF50" i="45"/>
  <c r="AG50" i="45"/>
  <c r="AH50" i="45"/>
  <c r="AH54" i="45" s="1"/>
  <c r="AI50" i="45"/>
  <c r="AJ50" i="45"/>
  <c r="AK50" i="45"/>
  <c r="AK54" i="45" s="1"/>
  <c r="AL50" i="45"/>
  <c r="AL54" i="45" s="1"/>
  <c r="AM50" i="45"/>
  <c r="AN50" i="45"/>
  <c r="AO50" i="45"/>
  <c r="AP50" i="45"/>
  <c r="AQ50" i="45"/>
  <c r="AR50" i="45"/>
  <c r="AS50" i="45"/>
  <c r="AT50" i="45"/>
  <c r="AT54" i="45" s="1"/>
  <c r="AU50" i="45"/>
  <c r="C1236" i="45"/>
  <c r="J1131" i="45"/>
  <c r="V47" i="45"/>
  <c r="S47" i="45"/>
  <c r="L47" i="45"/>
  <c r="R47" i="45"/>
  <c r="Y47" i="45"/>
  <c r="N47" i="45"/>
  <c r="Q47" i="45"/>
  <c r="M47" i="45"/>
  <c r="U47" i="45"/>
  <c r="O47" i="45"/>
  <c r="AS54" i="45" l="1"/>
  <c r="AO54" i="45"/>
  <c r="AG54" i="45"/>
  <c r="AC54" i="45"/>
  <c r="AJ54" i="45"/>
  <c r="AU54" i="45"/>
  <c r="AQ54" i="45"/>
  <c r="AR54" i="45"/>
  <c r="AF54" i="45"/>
  <c r="AB54" i="45"/>
  <c r="AM54" i="45"/>
  <c r="AI54" i="45"/>
  <c r="AN54" i="45"/>
  <c r="AP54" i="45"/>
  <c r="AD54" i="45"/>
  <c r="Z54" i="45"/>
  <c r="AP59" i="45"/>
  <c r="Y58" i="45"/>
  <c r="AN59" i="45"/>
  <c r="AI59" i="45"/>
  <c r="AJ58" i="45"/>
  <c r="AA58" i="45"/>
  <c r="AK58" i="45"/>
  <c r="O57" i="45"/>
  <c r="AD59" i="45"/>
  <c r="AC60" i="45"/>
  <c r="S57" i="45"/>
  <c r="AL59" i="45"/>
  <c r="AG60" i="45"/>
  <c r="AG59" i="45"/>
  <c r="M60" i="45"/>
  <c r="AI58" i="45"/>
  <c r="AC59" i="45"/>
  <c r="N60" i="45"/>
  <c r="Z58" i="45"/>
  <c r="AO60" i="45"/>
  <c r="AL58" i="45"/>
  <c r="AH58" i="45"/>
  <c r="AO59" i="45"/>
  <c r="R59" i="45"/>
  <c r="Q57" i="45"/>
  <c r="X60" i="45"/>
  <c r="AR60" i="45"/>
  <c r="N58" i="45"/>
  <c r="L60" i="45"/>
  <c r="R58" i="45"/>
  <c r="AK59" i="45"/>
  <c r="V57" i="45"/>
  <c r="AU59" i="45"/>
  <c r="Y59" i="45"/>
  <c r="AG58" i="45"/>
  <c r="S60" i="45"/>
  <c r="T57" i="45"/>
  <c r="T58" i="45"/>
  <c r="N59" i="45"/>
  <c r="W57" i="45"/>
  <c r="U59" i="45"/>
  <c r="AN60" i="45"/>
  <c r="AD58" i="45"/>
  <c r="P58" i="45"/>
  <c r="AD60" i="45"/>
  <c r="W60" i="45"/>
  <c r="AT59" i="45"/>
  <c r="AR58" i="45"/>
  <c r="L57" i="45"/>
  <c r="AJ59" i="45"/>
  <c r="P60" i="45"/>
  <c r="Z59" i="45"/>
  <c r="P59" i="45"/>
  <c r="AM60" i="45"/>
  <c r="S58" i="45"/>
  <c r="AP58" i="45"/>
  <c r="N57" i="45"/>
  <c r="U57" i="45"/>
  <c r="L58" i="45"/>
  <c r="W59" i="45"/>
  <c r="X59" i="45"/>
  <c r="AE58" i="45"/>
  <c r="L59" i="45"/>
  <c r="AU58" i="45"/>
  <c r="Q58" i="45"/>
  <c r="O58" i="45"/>
  <c r="AN58" i="45"/>
  <c r="Z60" i="45"/>
  <c r="Q59" i="45"/>
  <c r="W58" i="45"/>
  <c r="M59" i="45"/>
  <c r="AI60" i="45"/>
  <c r="Y60" i="45"/>
  <c r="AQ59" i="45"/>
  <c r="AQ60" i="45"/>
  <c r="X58" i="45"/>
  <c r="O60" i="45"/>
  <c r="M58" i="45"/>
  <c r="AS60" i="45"/>
  <c r="AF59" i="45"/>
  <c r="AH59" i="45"/>
  <c r="P57" i="45"/>
  <c r="AQ58" i="45"/>
  <c r="U58" i="45"/>
  <c r="U60" i="45"/>
  <c r="AE59" i="45"/>
  <c r="V60" i="45"/>
  <c r="AK60" i="45"/>
  <c r="O59" i="45"/>
  <c r="AF60" i="45"/>
  <c r="Q60" i="45"/>
  <c r="AU60" i="45"/>
  <c r="AP60" i="45"/>
  <c r="T60" i="45"/>
  <c r="AE60" i="45"/>
  <c r="AT60" i="45"/>
  <c r="X57" i="45"/>
  <c r="AC58" i="45"/>
  <c r="AA59" i="45"/>
  <c r="AM59" i="45"/>
  <c r="AB58" i="45"/>
  <c r="R60" i="45"/>
  <c r="T59" i="45"/>
  <c r="R57" i="45"/>
  <c r="AR59" i="45"/>
  <c r="AA60" i="45"/>
  <c r="AJ60" i="45"/>
  <c r="AO58" i="45"/>
  <c r="AS58" i="45"/>
  <c r="M57" i="45"/>
  <c r="AS59" i="45"/>
  <c r="AH60" i="45"/>
  <c r="AT58" i="45"/>
  <c r="AF58" i="45"/>
  <c r="AM58" i="45"/>
  <c r="V58" i="45"/>
  <c r="AB60" i="45"/>
  <c r="V59" i="45"/>
  <c r="AB59" i="45"/>
  <c r="S59" i="45"/>
  <c r="Y57" i="45"/>
  <c r="AL60" i="45"/>
  <c r="Z57" i="45"/>
  <c r="AA57" i="45"/>
  <c r="AB57" i="45"/>
  <c r="AC57" i="45"/>
  <c r="AC61" i="45" s="1"/>
  <c r="AD57" i="45"/>
  <c r="AD61" i="45" s="1"/>
  <c r="AE57" i="45"/>
  <c r="AF57" i="45"/>
  <c r="AG57" i="45"/>
  <c r="AH57" i="45"/>
  <c r="AI57" i="45"/>
  <c r="AI61" i="45" s="1"/>
  <c r="AJ57" i="45"/>
  <c r="AK57" i="45"/>
  <c r="AL57" i="45"/>
  <c r="AM57" i="45"/>
  <c r="AN57" i="45"/>
  <c r="AO57" i="45"/>
  <c r="AP57" i="45"/>
  <c r="AQ57" i="45"/>
  <c r="AR57" i="45"/>
  <c r="AS57" i="45"/>
  <c r="AT57" i="45"/>
  <c r="AU57" i="45"/>
  <c r="AU61" i="45" s="1"/>
  <c r="C1341" i="45"/>
  <c r="J1236" i="45"/>
  <c r="R54" i="45"/>
  <c r="U54" i="45"/>
  <c r="P54" i="45"/>
  <c r="S54" i="45"/>
  <c r="M54" i="45"/>
  <c r="L54" i="45"/>
  <c r="X54" i="45"/>
  <c r="Q54" i="45"/>
  <c r="N54" i="45"/>
  <c r="W54" i="45"/>
  <c r="V54" i="45"/>
  <c r="T54" i="45"/>
  <c r="AG61" i="45" l="1"/>
  <c r="AS61" i="45"/>
  <c r="M61" i="45"/>
  <c r="AB61" i="45"/>
  <c r="S61" i="45"/>
  <c r="AN61" i="45"/>
  <c r="AJ61" i="45"/>
  <c r="Y61" i="45"/>
  <c r="AQ61" i="45"/>
  <c r="AM61" i="45"/>
  <c r="AE61" i="45"/>
  <c r="AA61" i="45"/>
  <c r="R61" i="45"/>
  <c r="O61" i="45"/>
  <c r="W61" i="45"/>
  <c r="V61" i="45"/>
  <c r="AT61" i="45"/>
  <c r="AP61" i="45"/>
  <c r="AL61" i="45"/>
  <c r="AH61" i="45"/>
  <c r="Z61" i="45"/>
  <c r="Y64" i="45"/>
  <c r="AD65" i="45"/>
  <c r="T67" i="45"/>
  <c r="AB67" i="45"/>
  <c r="AL66" i="45"/>
  <c r="AB66" i="45"/>
  <c r="AP65" i="45"/>
  <c r="AC67" i="45"/>
  <c r="U67" i="45"/>
  <c r="AS66" i="45"/>
  <c r="AL67" i="45"/>
  <c r="AG66" i="45"/>
  <c r="AQ66" i="45"/>
  <c r="AB65" i="45"/>
  <c r="AK67" i="45"/>
  <c r="AM65" i="45"/>
  <c r="R66" i="45"/>
  <c r="X65" i="45"/>
  <c r="T66" i="45"/>
  <c r="AE67" i="45"/>
  <c r="W64" i="45"/>
  <c r="L67" i="45"/>
  <c r="N67" i="45"/>
  <c r="S66" i="45"/>
  <c r="N65" i="45"/>
  <c r="Q66" i="45"/>
  <c r="AI67" i="45"/>
  <c r="AS67" i="45"/>
  <c r="AA66" i="45"/>
  <c r="P64" i="45"/>
  <c r="AC65" i="45"/>
  <c r="AI66" i="45"/>
  <c r="P67" i="45"/>
  <c r="AD67" i="45"/>
  <c r="AP67" i="45"/>
  <c r="Z66" i="45"/>
  <c r="V64" i="45"/>
  <c r="L66" i="45"/>
  <c r="AH66" i="45"/>
  <c r="AT66" i="45"/>
  <c r="O64" i="45"/>
  <c r="AS65" i="45"/>
  <c r="AK65" i="45"/>
  <c r="AN65" i="45"/>
  <c r="AL65" i="45"/>
  <c r="V65" i="45"/>
  <c r="AJ66" i="45"/>
  <c r="AT67" i="45"/>
  <c r="S64" i="45"/>
  <c r="U65" i="45"/>
  <c r="Q65" i="45"/>
  <c r="AO65" i="45"/>
  <c r="AQ67" i="45"/>
  <c r="AH67" i="45"/>
  <c r="AU66" i="45"/>
  <c r="P65" i="45"/>
  <c r="O66" i="45"/>
  <c r="M65" i="45"/>
  <c r="Y65" i="45"/>
  <c r="Z65" i="45"/>
  <c r="AJ67" i="45"/>
  <c r="Q64" i="45"/>
  <c r="V66" i="45"/>
  <c r="R65" i="45"/>
  <c r="M64" i="45"/>
  <c r="W65" i="45"/>
  <c r="O67" i="45"/>
  <c r="AJ65" i="45"/>
  <c r="AH65" i="45"/>
  <c r="AQ65" i="45"/>
  <c r="AP66" i="45"/>
  <c r="AI65" i="45"/>
  <c r="AF66" i="45"/>
  <c r="O65" i="45"/>
  <c r="X66" i="45"/>
  <c r="AC66" i="45"/>
  <c r="Y66" i="45"/>
  <c r="AG65" i="45"/>
  <c r="T64" i="45"/>
  <c r="V67" i="45"/>
  <c r="AR65" i="45"/>
  <c r="L64" i="45"/>
  <c r="AA67" i="45"/>
  <c r="U66" i="45"/>
  <c r="R64" i="45"/>
  <c r="AE66" i="45"/>
  <c r="AT65" i="45"/>
  <c r="AE65" i="45"/>
  <c r="AR67" i="45"/>
  <c r="AM67" i="45"/>
  <c r="X67" i="45"/>
  <c r="R67" i="45"/>
  <c r="AU65" i="45"/>
  <c r="N66" i="45"/>
  <c r="P66" i="45"/>
  <c r="AA65" i="45"/>
  <c r="Q67" i="45"/>
  <c r="AG67" i="45"/>
  <c r="S67" i="45"/>
  <c r="AK66" i="45"/>
  <c r="AF67" i="45"/>
  <c r="M66" i="45"/>
  <c r="Z67" i="45"/>
  <c r="AO66" i="45"/>
  <c r="AR66" i="45"/>
  <c r="AD66" i="45"/>
  <c r="Y67" i="45"/>
  <c r="U64" i="45"/>
  <c r="N64" i="45"/>
  <c r="AF65" i="45"/>
  <c r="AN66" i="45"/>
  <c r="S65" i="45"/>
  <c r="W66" i="45"/>
  <c r="AO67" i="45"/>
  <c r="X64" i="45"/>
  <c r="X68" i="45" s="1"/>
  <c r="W67" i="45"/>
  <c r="AN67" i="45"/>
  <c r="L65" i="45"/>
  <c r="AM66" i="45"/>
  <c r="T65" i="45"/>
  <c r="M67" i="45"/>
  <c r="AU67" i="45"/>
  <c r="Z64" i="45"/>
  <c r="AA64" i="45"/>
  <c r="AB64" i="45"/>
  <c r="AC64" i="45"/>
  <c r="AD64" i="45"/>
  <c r="AD68" i="45" s="1"/>
  <c r="AE64" i="45"/>
  <c r="AE68" i="45" s="1"/>
  <c r="AF64" i="45"/>
  <c r="AF68" i="45" s="1"/>
  <c r="AG64" i="45"/>
  <c r="AH64" i="45"/>
  <c r="AI64" i="45"/>
  <c r="AJ64" i="45"/>
  <c r="AK64" i="45"/>
  <c r="AL64" i="45"/>
  <c r="AM64" i="45"/>
  <c r="AN64" i="45"/>
  <c r="AO64" i="45"/>
  <c r="AP64" i="45"/>
  <c r="AP68" i="45" s="1"/>
  <c r="AQ64" i="45"/>
  <c r="AR64" i="45"/>
  <c r="AR68" i="45" s="1"/>
  <c r="AS64" i="45"/>
  <c r="AT64" i="45"/>
  <c r="AU64" i="45"/>
  <c r="AO61" i="45"/>
  <c r="AK61" i="45"/>
  <c r="P61" i="45"/>
  <c r="U61" i="45"/>
  <c r="AI1341" i="45"/>
  <c r="O1341" i="45"/>
  <c r="W1341" i="45"/>
  <c r="AP1341" i="45"/>
  <c r="Z1341" i="45"/>
  <c r="AS1341" i="45"/>
  <c r="AC1341" i="45"/>
  <c r="M1341" i="45"/>
  <c r="AF1341" i="45"/>
  <c r="P1341" i="45"/>
  <c r="AU1341" i="45"/>
  <c r="AA1341" i="45"/>
  <c r="AL1341" i="45"/>
  <c r="V1341" i="45"/>
  <c r="AO1341" i="45"/>
  <c r="Y1341" i="45"/>
  <c r="AR1341" i="45"/>
  <c r="AB1341" i="45"/>
  <c r="L1341" i="45"/>
  <c r="AE1341" i="45"/>
  <c r="AM1341" i="45"/>
  <c r="T1341" i="45"/>
  <c r="N1341" i="45"/>
  <c r="X1341" i="45"/>
  <c r="R1341" i="45"/>
  <c r="J1341" i="45"/>
  <c r="AJ1341" i="45"/>
  <c r="AD1341" i="45"/>
  <c r="AN1341" i="45"/>
  <c r="AH1341" i="45"/>
  <c r="AQ1341" i="45"/>
  <c r="Q1341" i="45"/>
  <c r="AT1341" i="45"/>
  <c r="U1341" i="45"/>
  <c r="S1341" i="45"/>
  <c r="AG1341" i="45"/>
  <c r="AK1341" i="45"/>
  <c r="AR61" i="45"/>
  <c r="AF61" i="45"/>
  <c r="X61" i="45"/>
  <c r="N61" i="45"/>
  <c r="L61" i="45"/>
  <c r="T61" i="45"/>
  <c r="Q61" i="45"/>
  <c r="AI68" i="45" l="1"/>
  <c r="N68" i="45"/>
  <c r="AT68" i="45"/>
  <c r="Z68" i="45"/>
  <c r="T68" i="45"/>
  <c r="AS68" i="45"/>
  <c r="AO68" i="45"/>
  <c r="AK68" i="45"/>
  <c r="AG68" i="45"/>
  <c r="AC68" i="45"/>
  <c r="AN68" i="45"/>
  <c r="AJ68" i="45"/>
  <c r="AB68" i="45"/>
  <c r="R68" i="45"/>
  <c r="S68" i="45"/>
  <c r="V68" i="45"/>
  <c r="O68" i="45"/>
  <c r="W68" i="45"/>
  <c r="Y68" i="45"/>
  <c r="AU68" i="45"/>
  <c r="AQ68" i="45"/>
  <c r="AM68" i="45"/>
  <c r="AA68" i="45"/>
  <c r="U68" i="45"/>
  <c r="AH68" i="45"/>
  <c r="M68" i="45"/>
  <c r="AL68" i="45"/>
  <c r="V71" i="45"/>
  <c r="AB72" i="45"/>
  <c r="AK74" i="45"/>
  <c r="AJ74" i="45"/>
  <c r="AG73" i="45"/>
  <c r="W72" i="45"/>
  <c r="Q71" i="45"/>
  <c r="X73" i="45"/>
  <c r="AO72" i="45"/>
  <c r="M73" i="45"/>
  <c r="L73" i="45"/>
  <c r="Y72" i="45"/>
  <c r="AL74" i="45"/>
  <c r="AF74" i="45"/>
  <c r="Z74" i="45"/>
  <c r="R73" i="45"/>
  <c r="AG74" i="45"/>
  <c r="V74" i="45"/>
  <c r="AS72" i="45"/>
  <c r="S72" i="45"/>
  <c r="M71" i="45"/>
  <c r="AS73" i="45"/>
  <c r="AN73" i="45"/>
  <c r="Z72" i="45"/>
  <c r="AR74" i="45"/>
  <c r="AE74" i="45"/>
  <c r="AB74" i="45"/>
  <c r="O74" i="45"/>
  <c r="AA73" i="45"/>
  <c r="AC74" i="45"/>
  <c r="AM72" i="45"/>
  <c r="Y71" i="45"/>
  <c r="Z73" i="45"/>
  <c r="T74" i="45"/>
  <c r="U71" i="45"/>
  <c r="AS74" i="45"/>
  <c r="L72" i="45"/>
  <c r="AH73" i="45"/>
  <c r="AJ72" i="45"/>
  <c r="AI74" i="45"/>
  <c r="Y73" i="45"/>
  <c r="AC73" i="45"/>
  <c r="U73" i="45"/>
  <c r="M74" i="45"/>
  <c r="R74" i="45"/>
  <c r="AO74" i="45"/>
  <c r="AP74" i="45"/>
  <c r="AQ74" i="45"/>
  <c r="X74" i="45"/>
  <c r="AH74" i="45"/>
  <c r="AA72" i="45"/>
  <c r="AP73" i="45"/>
  <c r="AB73" i="45"/>
  <c r="O73" i="45"/>
  <c r="T71" i="45"/>
  <c r="AD74" i="45"/>
  <c r="AT74" i="45"/>
  <c r="M72" i="45"/>
  <c r="AE73" i="45"/>
  <c r="AT72" i="45"/>
  <c r="AA74" i="45"/>
  <c r="N74" i="45"/>
  <c r="AI72" i="45"/>
  <c r="T73" i="45"/>
  <c r="Y74" i="45"/>
  <c r="T72" i="45"/>
  <c r="AI73" i="45"/>
  <c r="U72" i="45"/>
  <c r="V73" i="45"/>
  <c r="L74" i="45"/>
  <c r="W71" i="45"/>
  <c r="AH72" i="45"/>
  <c r="O71" i="45"/>
  <c r="W74" i="45"/>
  <c r="R72" i="45"/>
  <c r="AJ73" i="45"/>
  <c r="AC72" i="45"/>
  <c r="AD73" i="45"/>
  <c r="AT73" i="45"/>
  <c r="AR72" i="45"/>
  <c r="AP72" i="45"/>
  <c r="S71" i="45"/>
  <c r="AQ73" i="45"/>
  <c r="Q74" i="45"/>
  <c r="P72" i="45"/>
  <c r="S74" i="45"/>
  <c r="AR73" i="45"/>
  <c r="AM74" i="45"/>
  <c r="AF72" i="45"/>
  <c r="P73" i="45"/>
  <c r="AD72" i="45"/>
  <c r="AQ72" i="45"/>
  <c r="Q73" i="45"/>
  <c r="AU72" i="45"/>
  <c r="P71" i="45"/>
  <c r="AK73" i="45"/>
  <c r="AE72" i="45"/>
  <c r="AG72" i="45"/>
  <c r="AO73" i="45"/>
  <c r="AK72" i="45"/>
  <c r="V72" i="45"/>
  <c r="AL72" i="45"/>
  <c r="U74" i="45"/>
  <c r="L71" i="45"/>
  <c r="P74" i="45"/>
  <c r="Q72" i="45"/>
  <c r="O72" i="45"/>
  <c r="AU74" i="45"/>
  <c r="AF73" i="45"/>
  <c r="AM73" i="45"/>
  <c r="X72" i="45"/>
  <c r="W73" i="45"/>
  <c r="AN74" i="45"/>
  <c r="R71" i="45"/>
  <c r="AN72" i="45"/>
  <c r="N73" i="45"/>
  <c r="N72" i="45"/>
  <c r="AL73" i="45"/>
  <c r="N71" i="45"/>
  <c r="S73" i="45"/>
  <c r="AU73" i="45"/>
  <c r="X71" i="45"/>
  <c r="Z71" i="45"/>
  <c r="AA71" i="45"/>
  <c r="AB71" i="45"/>
  <c r="AC71" i="45"/>
  <c r="AD71" i="45"/>
  <c r="AD75" i="45" s="1"/>
  <c r="AE71" i="45"/>
  <c r="AF71" i="45"/>
  <c r="AF75" i="45" s="1"/>
  <c r="AG71" i="45"/>
  <c r="AH71" i="45"/>
  <c r="AH75" i="45" s="1"/>
  <c r="AI71" i="45"/>
  <c r="AJ71" i="45"/>
  <c r="AK71" i="45"/>
  <c r="AL71" i="45"/>
  <c r="AM71" i="45"/>
  <c r="AN71" i="45"/>
  <c r="AO71" i="45"/>
  <c r="AP71" i="45"/>
  <c r="AQ71" i="45"/>
  <c r="AR71" i="45"/>
  <c r="AS71" i="45"/>
  <c r="AT71" i="45"/>
  <c r="AU71" i="45"/>
  <c r="O94" i="50"/>
  <c r="AJ174" i="50"/>
  <c r="AI147" i="50"/>
  <c r="AL124" i="50"/>
  <c r="AK149" i="50"/>
  <c r="P158" i="50"/>
  <c r="T134" i="50"/>
  <c r="AE112" i="50"/>
  <c r="AJ182" i="50"/>
  <c r="AF170" i="50"/>
  <c r="V130" i="50"/>
  <c r="AL182" i="50"/>
  <c r="AI148" i="50"/>
  <c r="R136" i="50"/>
  <c r="U146" i="50"/>
  <c r="Y133" i="50"/>
  <c r="AK150" i="50"/>
  <c r="Q105" i="50"/>
  <c r="AC81" i="50"/>
  <c r="AG170" i="50"/>
  <c r="P174" i="50"/>
  <c r="AF50" i="50"/>
  <c r="P169" i="50"/>
  <c r="Q160" i="50"/>
  <c r="AJ103" i="50"/>
  <c r="AD68" i="50"/>
  <c r="R90" i="50"/>
  <c r="P161" i="50"/>
  <c r="X135" i="50"/>
  <c r="T39" i="50"/>
  <c r="AB171" i="50"/>
  <c r="P100" i="50"/>
  <c r="AK130" i="50"/>
  <c r="Q35" i="50"/>
  <c r="M95" i="50"/>
  <c r="AL139" i="50"/>
  <c r="AE182" i="50"/>
  <c r="O161" i="50"/>
  <c r="AA151" i="50"/>
  <c r="AG86" i="50"/>
  <c r="AC49" i="50"/>
  <c r="V58" i="50"/>
  <c r="AH149" i="50"/>
  <c r="T94" i="50"/>
  <c r="Q44" i="50"/>
  <c r="S36" i="50"/>
  <c r="D62" i="50"/>
  <c r="N143" i="50"/>
  <c r="Q172" i="50"/>
  <c r="AK152" i="50"/>
  <c r="P114" i="50"/>
  <c r="AB138" i="50"/>
  <c r="O118" i="50"/>
  <c r="AL46" i="50"/>
  <c r="AF94" i="50"/>
  <c r="AC125" i="50"/>
  <c r="T146" i="50"/>
  <c r="AA64" i="50"/>
  <c r="AC135" i="50"/>
  <c r="AL125" i="50"/>
  <c r="W100" i="50"/>
  <c r="S194" i="50"/>
  <c r="AL34" i="50"/>
  <c r="AE78" i="50"/>
  <c r="M174" i="50"/>
  <c r="AL112" i="50"/>
  <c r="R56" i="50"/>
  <c r="X66" i="50"/>
  <c r="N81" i="50"/>
  <c r="Y122" i="50"/>
  <c r="W78" i="50"/>
  <c r="T44" i="50"/>
  <c r="AH139" i="50"/>
  <c r="T149" i="50"/>
  <c r="S170" i="50"/>
  <c r="O103" i="50"/>
  <c r="Y148" i="50"/>
  <c r="R162" i="50"/>
  <c r="Q173" i="50"/>
  <c r="Q87" i="50"/>
  <c r="M77" i="50"/>
  <c r="P55" i="50"/>
  <c r="R59" i="50"/>
  <c r="N93" i="50"/>
  <c r="AG151" i="50"/>
  <c r="G128" i="50"/>
  <c r="AI112" i="50"/>
  <c r="X129" i="50"/>
  <c r="D68" i="50"/>
  <c r="AA171" i="50"/>
  <c r="W171" i="50"/>
  <c r="L114" i="50"/>
  <c r="V126" i="50"/>
  <c r="I182" i="50"/>
  <c r="S135" i="50"/>
  <c r="Z100" i="50"/>
  <c r="C187" i="50"/>
  <c r="O92" i="50"/>
  <c r="M102" i="50"/>
  <c r="AL103" i="50"/>
  <c r="L62" i="50"/>
  <c r="AA169" i="50"/>
  <c r="H47" i="50"/>
  <c r="AD43" i="50"/>
  <c r="Q99" i="50"/>
  <c r="H143" i="50"/>
  <c r="AG82" i="50"/>
  <c r="AA44" i="50"/>
  <c r="AK151" i="50"/>
  <c r="AH102" i="50"/>
  <c r="AL63" i="50"/>
  <c r="AH101" i="50"/>
  <c r="M152" i="50"/>
  <c r="R65" i="50"/>
  <c r="AL117" i="50"/>
  <c r="AJ167" i="50"/>
  <c r="K34" i="50"/>
  <c r="J136" i="50"/>
  <c r="AG48" i="50"/>
  <c r="AG134" i="50"/>
  <c r="AK121" i="50"/>
  <c r="AF135" i="50"/>
  <c r="D63" i="50"/>
  <c r="AG158" i="50"/>
  <c r="U143" i="50"/>
  <c r="Y63" i="50"/>
  <c r="G152" i="50"/>
  <c r="C56" i="50"/>
  <c r="C99" i="50"/>
  <c r="N135" i="50"/>
  <c r="G53" i="50"/>
  <c r="M169" i="50"/>
  <c r="N128" i="50"/>
  <c r="P129" i="50"/>
  <c r="AF35" i="50"/>
  <c r="AG34" i="50"/>
  <c r="H182" i="50"/>
  <c r="K91" i="50"/>
  <c r="Z47" i="50"/>
  <c r="I65" i="50"/>
  <c r="Y165" i="50"/>
  <c r="AH155" i="50"/>
  <c r="I170" i="50"/>
  <c r="AF57" i="50"/>
  <c r="R94" i="50"/>
  <c r="H129" i="50"/>
  <c r="AC43" i="50"/>
  <c r="Y169" i="50"/>
  <c r="L67" i="50"/>
  <c r="F156" i="50"/>
  <c r="AJ55" i="50"/>
  <c r="AC117" i="50"/>
  <c r="AJ102" i="50"/>
  <c r="AC165" i="50"/>
  <c r="J95" i="50"/>
  <c r="R54" i="50"/>
  <c r="AA93" i="50"/>
  <c r="AD112" i="50"/>
  <c r="O156" i="50"/>
  <c r="AB68" i="50"/>
  <c r="R109" i="50"/>
  <c r="N136" i="50"/>
  <c r="W170" i="50"/>
  <c r="AF61" i="50"/>
  <c r="Z49" i="50"/>
  <c r="C188" i="50"/>
  <c r="X169" i="50"/>
  <c r="L57" i="50"/>
  <c r="R171" i="50"/>
  <c r="J118" i="50"/>
  <c r="Z163" i="50"/>
  <c r="V122" i="50"/>
  <c r="G50" i="50"/>
  <c r="V92" i="50"/>
  <c r="E47" i="50"/>
  <c r="Z172" i="50"/>
  <c r="AF81" i="50"/>
  <c r="AK44" i="50"/>
  <c r="O124" i="50"/>
  <c r="AH49" i="50"/>
  <c r="H81" i="50"/>
  <c r="G55" i="50"/>
  <c r="Q91" i="50"/>
  <c r="D90" i="50"/>
  <c r="AF125" i="50"/>
  <c r="AH170" i="50"/>
  <c r="C162" i="50"/>
  <c r="G149" i="50"/>
  <c r="AF87" i="50"/>
  <c r="X86" i="50"/>
  <c r="T172" i="50"/>
  <c r="Z138" i="50"/>
  <c r="O132" i="50"/>
  <c r="J169" i="50"/>
  <c r="S37" i="50"/>
  <c r="T114" i="50"/>
  <c r="R135" i="50"/>
  <c r="Q83" i="50"/>
  <c r="H62" i="50"/>
  <c r="AL39" i="50"/>
  <c r="Q187" i="50"/>
  <c r="AC149" i="50"/>
  <c r="AA146" i="50"/>
  <c r="H169" i="50"/>
  <c r="AF160" i="50"/>
  <c r="AE118" i="50"/>
  <c r="E173" i="50"/>
  <c r="AK57" i="50"/>
  <c r="AK67" i="50"/>
  <c r="K64" i="50"/>
  <c r="AB173" i="50"/>
  <c r="E65" i="50"/>
  <c r="R100" i="50"/>
  <c r="X125" i="50"/>
  <c r="L129" i="50"/>
  <c r="AI126" i="50"/>
  <c r="U104" i="50"/>
  <c r="J57" i="50"/>
  <c r="AG112" i="50"/>
  <c r="AE143" i="50"/>
  <c r="H167" i="50"/>
  <c r="AC113" i="50"/>
  <c r="C126" i="50"/>
  <c r="K81" i="50"/>
  <c r="AB112" i="50"/>
  <c r="AA133" i="50"/>
  <c r="E91" i="50"/>
  <c r="Y80" i="50"/>
  <c r="X182" i="50"/>
  <c r="AD93" i="50"/>
  <c r="K37" i="50"/>
  <c r="Y128" i="50"/>
  <c r="AE125" i="50"/>
  <c r="AJ113" i="50"/>
  <c r="Z168" i="50"/>
  <c r="H133" i="50"/>
  <c r="AJ65" i="50"/>
  <c r="L139" i="50"/>
  <c r="Q161" i="50"/>
  <c r="T125" i="50"/>
  <c r="AI93" i="50"/>
  <c r="AC126" i="50"/>
  <c r="Z159" i="50"/>
  <c r="AD90" i="50"/>
  <c r="AA66" i="50"/>
  <c r="X53" i="50"/>
  <c r="S151" i="50"/>
  <c r="AL136" i="50"/>
  <c r="C92" i="50"/>
  <c r="M162" i="50"/>
  <c r="Y56" i="50"/>
  <c r="G174" i="50"/>
  <c r="L113" i="50"/>
  <c r="W54" i="50"/>
  <c r="J98" i="50"/>
  <c r="R78" i="50"/>
  <c r="T65" i="50"/>
  <c r="G121" i="50"/>
  <c r="AJ171" i="50"/>
  <c r="S86" i="50"/>
  <c r="D188" i="50"/>
  <c r="S146" i="50"/>
  <c r="T118" i="50"/>
  <c r="F161" i="50"/>
  <c r="P77" i="50"/>
  <c r="J39" i="50"/>
  <c r="G49" i="50"/>
  <c r="U92" i="50"/>
  <c r="C149" i="50"/>
  <c r="AE63" i="50"/>
  <c r="Z95" i="50"/>
  <c r="W172" i="50"/>
  <c r="E82" i="50"/>
  <c r="AI113" i="50"/>
  <c r="P36" i="50"/>
  <c r="AL188" i="50"/>
  <c r="O55" i="50"/>
  <c r="S102" i="50"/>
  <c r="G103" i="50"/>
  <c r="O93" i="50"/>
  <c r="L128" i="50"/>
  <c r="AF39" i="50"/>
  <c r="X139" i="50"/>
  <c r="C52" i="50"/>
  <c r="AA62" i="50"/>
  <c r="AA117" i="50"/>
  <c r="AB152" i="50"/>
  <c r="AJ112" i="50"/>
  <c r="J139" i="50"/>
  <c r="O168" i="50"/>
  <c r="AH65" i="50"/>
  <c r="AF46" i="50"/>
  <c r="I135" i="50"/>
  <c r="E37" i="50"/>
  <c r="AI56" i="50"/>
  <c r="Q133" i="50"/>
  <c r="AB94" i="50"/>
  <c r="J187" i="50"/>
  <c r="I164" i="50"/>
  <c r="AK80" i="50"/>
  <c r="L188" i="50"/>
  <c r="P37" i="50"/>
  <c r="X122" i="50"/>
  <c r="F86" i="50"/>
  <c r="AB161" i="50"/>
  <c r="L63" i="50"/>
  <c r="S147" i="50"/>
  <c r="AC159" i="50"/>
  <c r="AG159" i="50"/>
  <c r="F40" i="50"/>
  <c r="AD124" i="50"/>
  <c r="AI128" i="50"/>
  <c r="K129" i="50"/>
  <c r="AI194" i="50"/>
  <c r="U116" i="50"/>
  <c r="F63" i="50"/>
  <c r="S138" i="50"/>
  <c r="Q77" i="50"/>
  <c r="AB39" i="50"/>
  <c r="AE99" i="50"/>
  <c r="D173" i="50"/>
  <c r="W113" i="50"/>
  <c r="AI158" i="50"/>
  <c r="V79" i="50"/>
  <c r="N168" i="50"/>
  <c r="S148" i="50"/>
  <c r="W187" i="50"/>
  <c r="AJ164" i="50"/>
  <c r="AD155" i="50"/>
  <c r="L132" i="50"/>
  <c r="Z109" i="50"/>
  <c r="I96" i="50"/>
  <c r="G124" i="50"/>
  <c r="C129" i="50"/>
  <c r="O54" i="50"/>
  <c r="I90" i="50"/>
  <c r="V37" i="50"/>
  <c r="N39" i="50"/>
  <c r="I112" i="50"/>
  <c r="V169" i="50"/>
  <c r="L127" i="50"/>
  <c r="N188" i="50"/>
  <c r="W122" i="50"/>
  <c r="AK164" i="50"/>
  <c r="I99" i="50"/>
  <c r="O143" i="50"/>
  <c r="I53" i="50"/>
  <c r="F92" i="50"/>
  <c r="R52" i="50"/>
  <c r="C44" i="50"/>
  <c r="Y47" i="50"/>
  <c r="AH138" i="50"/>
  <c r="S78" i="50"/>
  <c r="H122" i="50"/>
  <c r="AE174" i="50"/>
  <c r="M164" i="50"/>
  <c r="O116" i="50"/>
  <c r="V155" i="50"/>
  <c r="AF173" i="50"/>
  <c r="L34" i="50"/>
  <c r="AB136" i="50"/>
  <c r="E150" i="50"/>
  <c r="AA91" i="50"/>
  <c r="AC164" i="50"/>
  <c r="O52" i="50"/>
  <c r="Z133" i="50"/>
  <c r="M79" i="50"/>
  <c r="U46" i="50"/>
  <c r="N167" i="50"/>
  <c r="K163" i="50"/>
  <c r="AH127" i="50"/>
  <c r="V82" i="50"/>
  <c r="D151" i="50"/>
  <c r="H116" i="50"/>
  <c r="X130" i="50"/>
  <c r="L93" i="50"/>
  <c r="AC114" i="50"/>
  <c r="I103" i="50"/>
  <c r="AA68" i="50"/>
  <c r="T133" i="50"/>
  <c r="K146" i="50"/>
  <c r="Y68" i="50"/>
  <c r="AB96" i="50"/>
  <c r="H101" i="50"/>
  <c r="J165" i="50"/>
  <c r="X102" i="50"/>
  <c r="F169" i="50"/>
  <c r="V67" i="50"/>
  <c r="Y64" i="50"/>
  <c r="L95" i="50"/>
  <c r="Y187" i="50"/>
  <c r="AA90" i="50"/>
  <c r="E101" i="50"/>
  <c r="AF114" i="50"/>
  <c r="AE80" i="50"/>
  <c r="AJ68" i="50"/>
  <c r="G92" i="50"/>
  <c r="P127" i="50"/>
  <c r="V81" i="50"/>
  <c r="O133" i="50"/>
  <c r="U34" i="50"/>
  <c r="C170" i="50"/>
  <c r="AB158" i="50"/>
  <c r="G40" i="50"/>
  <c r="T96" i="50"/>
  <c r="P47" i="50"/>
  <c r="AC65" i="50"/>
  <c r="Z61" i="50"/>
  <c r="P146" i="50"/>
  <c r="AJ40" i="50"/>
  <c r="R129" i="50"/>
  <c r="S124" i="50"/>
  <c r="AL155" i="50"/>
  <c r="Y67" i="50"/>
  <c r="W53" i="50"/>
  <c r="N90" i="50"/>
  <c r="D61" i="50"/>
  <c r="G132" i="50"/>
  <c r="L80" i="50"/>
  <c r="AK122" i="50"/>
  <c r="G167" i="50"/>
  <c r="T136" i="50"/>
  <c r="AF113" i="50"/>
  <c r="E122" i="50"/>
  <c r="AG139" i="50"/>
  <c r="W43" i="50"/>
  <c r="C34" i="50"/>
  <c r="AA82" i="50"/>
  <c r="R68" i="50"/>
  <c r="F158" i="50"/>
  <c r="AJ156" i="50"/>
  <c r="W136" i="50"/>
  <c r="L125" i="50"/>
  <c r="AF95" i="50"/>
  <c r="C80" i="50"/>
  <c r="Y48" i="50"/>
  <c r="AI150" i="50"/>
  <c r="V66" i="50"/>
  <c r="F54" i="50"/>
  <c r="N155" i="50"/>
  <c r="T163" i="50"/>
  <c r="AH168" i="50"/>
  <c r="AB155" i="50"/>
  <c r="AA54" i="50"/>
  <c r="D98" i="50"/>
  <c r="AF194" i="50"/>
  <c r="I58" i="50"/>
  <c r="AD152" i="50"/>
  <c r="Z128" i="50"/>
  <c r="AK129" i="50"/>
  <c r="AG92" i="50"/>
  <c r="P94" i="50"/>
  <c r="AL65" i="50"/>
  <c r="AC129" i="50"/>
  <c r="M46" i="50"/>
  <c r="AC146" i="50"/>
  <c r="V52" i="50"/>
  <c r="G66" i="50"/>
  <c r="AL156" i="50"/>
  <c r="J163" i="50"/>
  <c r="Y173" i="50"/>
  <c r="K67" i="50"/>
  <c r="Q93" i="50"/>
  <c r="H92" i="50"/>
  <c r="E149" i="50"/>
  <c r="N115" i="50"/>
  <c r="H46" i="50"/>
  <c r="AA194" i="50"/>
  <c r="R36" i="50"/>
  <c r="K63" i="50"/>
  <c r="AK126" i="50"/>
  <c r="H171" i="50"/>
  <c r="AH55" i="50"/>
  <c r="E56" i="50"/>
  <c r="S47" i="50"/>
  <c r="C90" i="50"/>
  <c r="AI96" i="50"/>
  <c r="N55" i="50"/>
  <c r="K150" i="50"/>
  <c r="AI104" i="50"/>
  <c r="P81" i="50"/>
  <c r="U139" i="50"/>
  <c r="Q48" i="50"/>
  <c r="M171" i="50"/>
  <c r="AE150" i="50"/>
  <c r="AA174" i="50"/>
  <c r="AC116" i="50"/>
  <c r="Z118" i="50"/>
  <c r="AE47" i="50"/>
  <c r="G64" i="50"/>
  <c r="Y57" i="50"/>
  <c r="AB149" i="50"/>
  <c r="AG50" i="50"/>
  <c r="R39" i="50"/>
  <c r="AC52" i="50"/>
  <c r="L168" i="50"/>
  <c r="V156" i="50"/>
  <c r="D56" i="50"/>
  <c r="F90" i="50"/>
  <c r="H113" i="50"/>
  <c r="Q53" i="50"/>
  <c r="C172" i="50"/>
  <c r="AE86" i="50"/>
  <c r="AD118" i="50"/>
  <c r="E90" i="50"/>
  <c r="AK161" i="50"/>
  <c r="AE172" i="50"/>
  <c r="I126" i="50"/>
  <c r="N151" i="50"/>
  <c r="X134" i="50"/>
  <c r="J160" i="50"/>
  <c r="AJ146" i="50"/>
  <c r="I137" i="50"/>
  <c r="C39" i="50"/>
  <c r="Q34" i="50"/>
  <c r="C81" i="50"/>
  <c r="Q67" i="50"/>
  <c r="AE129" i="50"/>
  <c r="AF105" i="50"/>
  <c r="Y159" i="50"/>
  <c r="AB151" i="50"/>
  <c r="AJ54" i="50"/>
  <c r="R127" i="50"/>
  <c r="O90" i="50"/>
  <c r="Q155" i="50"/>
  <c r="I161" i="50"/>
  <c r="AK138" i="50"/>
  <c r="G46" i="50"/>
  <c r="W138" i="50"/>
  <c r="AL149" i="50"/>
  <c r="AG174" i="50"/>
  <c r="P148" i="50"/>
  <c r="AK47" i="50"/>
  <c r="S188" i="50"/>
  <c r="AE161" i="50"/>
  <c r="R66" i="50"/>
  <c r="AH67" i="50"/>
  <c r="P43" i="50"/>
  <c r="J156" i="50"/>
  <c r="J161" i="50"/>
  <c r="E103" i="50"/>
  <c r="L143" i="50"/>
  <c r="AJ82" i="50"/>
  <c r="Q57" i="50"/>
  <c r="E135" i="50"/>
  <c r="C37" i="50"/>
  <c r="W114" i="50"/>
  <c r="I128" i="50"/>
  <c r="Q136" i="50"/>
  <c r="AH98" i="50"/>
  <c r="F171" i="50"/>
  <c r="AC161" i="50"/>
  <c r="C54" i="50"/>
  <c r="V127" i="50"/>
  <c r="Y101" i="50"/>
  <c r="M34" i="50"/>
  <c r="G139" i="50"/>
  <c r="Q151" i="50"/>
  <c r="K35" i="50"/>
  <c r="J46" i="50"/>
  <c r="AF99" i="50"/>
  <c r="M113" i="50"/>
  <c r="S173" i="50"/>
  <c r="AK147" i="50"/>
  <c r="AG173" i="50"/>
  <c r="T148" i="50"/>
  <c r="AG149" i="50"/>
  <c r="F165" i="50"/>
  <c r="AK66" i="50"/>
  <c r="Y172" i="50"/>
  <c r="H188" i="50"/>
  <c r="X168" i="50"/>
  <c r="AD104" i="50"/>
  <c r="AJ149" i="50"/>
  <c r="S172" i="50"/>
  <c r="AH159" i="50"/>
  <c r="AB58" i="50"/>
  <c r="H38" i="50"/>
  <c r="N43" i="50"/>
  <c r="L61" i="50"/>
  <c r="AI116" i="50"/>
  <c r="H100" i="50"/>
  <c r="Q98" i="50"/>
  <c r="V173" i="50"/>
  <c r="G188" i="50"/>
  <c r="AD56" i="50"/>
  <c r="M35" i="50"/>
  <c r="D53" i="50"/>
  <c r="Y62" i="50"/>
  <c r="AE156" i="50"/>
  <c r="I87" i="50"/>
  <c r="AG128" i="50"/>
  <c r="O127" i="50"/>
  <c r="F35" i="50"/>
  <c r="S187" i="50"/>
  <c r="O95" i="50"/>
  <c r="E172" i="50"/>
  <c r="AB53" i="50"/>
  <c r="AC148" i="50"/>
  <c r="E62" i="50"/>
  <c r="H125" i="50"/>
  <c r="AA58" i="50"/>
  <c r="S59" i="50"/>
  <c r="AK59" i="50"/>
  <c r="N139" i="50"/>
  <c r="I169" i="50"/>
  <c r="AD138" i="50"/>
  <c r="H43" i="50"/>
  <c r="AE48" i="50"/>
  <c r="Y139" i="50"/>
  <c r="AK63" i="50"/>
  <c r="AD133" i="50"/>
  <c r="AA53" i="50"/>
  <c r="AG59" i="50"/>
  <c r="AF134" i="50"/>
  <c r="Q47" i="50"/>
  <c r="S134" i="50"/>
  <c r="AG147" i="50"/>
  <c r="I149" i="50"/>
  <c r="AD188" i="50"/>
  <c r="AK53" i="50"/>
  <c r="F143" i="50"/>
  <c r="X174" i="50"/>
  <c r="X90" i="50"/>
  <c r="H55" i="50"/>
  <c r="AL173" i="50"/>
  <c r="O126" i="50"/>
  <c r="J63" i="50"/>
  <c r="AE126" i="50"/>
  <c r="G67" i="50"/>
  <c r="L92" i="50"/>
  <c r="AC46" i="50"/>
  <c r="F52" i="50"/>
  <c r="Z150" i="50"/>
  <c r="AF159" i="50"/>
  <c r="O65" i="50"/>
  <c r="C147" i="50"/>
  <c r="T126" i="50"/>
  <c r="C77" i="50"/>
  <c r="T58" i="50"/>
  <c r="P35" i="50"/>
  <c r="AB150" i="50"/>
  <c r="C82" i="50"/>
  <c r="AH82" i="50"/>
  <c r="R132" i="50"/>
  <c r="W137" i="50"/>
  <c r="AK114" i="50"/>
  <c r="I127" i="50"/>
  <c r="S57" i="50"/>
  <c r="K86" i="50"/>
  <c r="E171" i="50"/>
  <c r="V187" i="50"/>
  <c r="Y100" i="50"/>
  <c r="AD37" i="50"/>
  <c r="AB102" i="50"/>
  <c r="S68" i="50"/>
  <c r="E52" i="50"/>
  <c r="P54" i="50"/>
  <c r="P63" i="50"/>
  <c r="D165" i="50"/>
  <c r="H127" i="50"/>
  <c r="AH174" i="50"/>
  <c r="D93" i="50"/>
  <c r="U57" i="50"/>
  <c r="Y59" i="50"/>
  <c r="C114" i="50"/>
  <c r="Z121" i="50"/>
  <c r="Z77" i="50"/>
  <c r="K55" i="50"/>
  <c r="P155" i="50"/>
  <c r="AK37" i="50"/>
  <c r="H67" i="50"/>
  <c r="X100" i="50"/>
  <c r="E35" i="50"/>
  <c r="H39" i="50"/>
  <c r="S136" i="50"/>
  <c r="AG163" i="50"/>
  <c r="E115" i="50"/>
  <c r="S129" i="50"/>
  <c r="X150" i="50"/>
  <c r="K36" i="50"/>
  <c r="Z34" i="50"/>
  <c r="U164" i="50"/>
  <c r="O48" i="50"/>
  <c r="AE167" i="50"/>
  <c r="AH86" i="50"/>
  <c r="F49" i="50"/>
  <c r="AL152" i="50"/>
  <c r="K46" i="50"/>
  <c r="R133" i="50"/>
  <c r="Q135" i="50"/>
  <c r="AL44" i="50"/>
  <c r="R80" i="50"/>
  <c r="AF164" i="50"/>
  <c r="Q156" i="50"/>
  <c r="U80" i="50"/>
  <c r="O129" i="50"/>
  <c r="T139" i="50"/>
  <c r="W96" i="50"/>
  <c r="I148" i="50"/>
  <c r="J130" i="50"/>
  <c r="E81" i="50"/>
  <c r="AE57" i="50"/>
  <c r="C64" i="50"/>
  <c r="X161" i="50"/>
  <c r="X93" i="50"/>
  <c r="K170" i="50"/>
  <c r="AF48" i="50"/>
  <c r="H77" i="50"/>
  <c r="AH36" i="50"/>
  <c r="T128" i="50"/>
  <c r="D160" i="50"/>
  <c r="AD87" i="50"/>
  <c r="AA99" i="50"/>
  <c r="K52" i="50"/>
  <c r="G100" i="50"/>
  <c r="P124" i="50"/>
  <c r="K165" i="50"/>
  <c r="AF115" i="50"/>
  <c r="U173" i="50"/>
  <c r="D171" i="50"/>
  <c r="AI61" i="50"/>
  <c r="AB37" i="50"/>
  <c r="AE168" i="50"/>
  <c r="M49" i="50"/>
  <c r="AB115" i="50"/>
  <c r="AF83" i="50"/>
  <c r="K115" i="50"/>
  <c r="S116" i="50"/>
  <c r="AG113" i="50"/>
  <c r="M167" i="50"/>
  <c r="AG171" i="50"/>
  <c r="C94" i="50"/>
  <c r="AH44" i="50"/>
  <c r="F150" i="50"/>
  <c r="H58" i="50"/>
  <c r="AB160" i="50"/>
  <c r="M136" i="50"/>
  <c r="AB77" i="50"/>
  <c r="AD58" i="50"/>
  <c r="J90" i="50"/>
  <c r="F34" i="50"/>
  <c r="Y37" i="50"/>
  <c r="P115" i="50"/>
  <c r="X68" i="50"/>
  <c r="AL132" i="50"/>
  <c r="AA104" i="50"/>
  <c r="AD117" i="50"/>
  <c r="AC64" i="50"/>
  <c r="AA134" i="50"/>
  <c r="R57" i="50"/>
  <c r="K61" i="50"/>
  <c r="G48" i="50"/>
  <c r="AK46" i="50"/>
  <c r="H87" i="50"/>
  <c r="AC63" i="50"/>
  <c r="V63" i="50"/>
  <c r="E170" i="50"/>
  <c r="AA34" i="50"/>
  <c r="J172" i="50"/>
  <c r="W134" i="50"/>
  <c r="AL64" i="50"/>
  <c r="V100" i="50"/>
  <c r="H83" i="50"/>
  <c r="W104" i="50"/>
  <c r="AI89" i="50"/>
  <c r="H104" i="50"/>
  <c r="AE77" i="50"/>
  <c r="D46" i="50"/>
  <c r="AI151" i="50"/>
  <c r="S165" i="50"/>
  <c r="Q62" i="50"/>
  <c r="K98" i="50"/>
  <c r="AA63" i="50"/>
  <c r="Y188" i="50"/>
  <c r="N133" i="50"/>
  <c r="AD82" i="50"/>
  <c r="R150" i="50"/>
  <c r="E79" i="50"/>
  <c r="Z65" i="50"/>
  <c r="AK102" i="50"/>
  <c r="AL172" i="50"/>
  <c r="AG187" i="50"/>
  <c r="K48" i="50"/>
  <c r="Z63" i="50"/>
  <c r="AH163" i="50"/>
  <c r="AF109" i="50"/>
  <c r="M98" i="50"/>
  <c r="I86" i="50"/>
  <c r="P65" i="50"/>
  <c r="AE92" i="50"/>
  <c r="G159" i="50"/>
  <c r="I165" i="50"/>
  <c r="X98" i="50"/>
  <c r="L49" i="50"/>
  <c r="AA138" i="50"/>
  <c r="AA167" i="50"/>
  <c r="D87" i="50"/>
  <c r="S63" i="50"/>
  <c r="R43" i="50"/>
  <c r="G161" i="50"/>
  <c r="Y124" i="50"/>
  <c r="P167" i="50"/>
  <c r="K95" i="50"/>
  <c r="AF79" i="50"/>
  <c r="L159" i="50"/>
  <c r="AH116" i="50"/>
  <c r="Z152" i="50"/>
  <c r="AL170" i="50"/>
  <c r="K159" i="50"/>
  <c r="AC59" i="50"/>
  <c r="M173" i="50"/>
  <c r="AH56" i="50"/>
  <c r="Q170" i="50"/>
  <c r="AI79" i="50"/>
  <c r="E129" i="50"/>
  <c r="M44" i="50"/>
  <c r="S54" i="50"/>
  <c r="N58" i="50"/>
  <c r="AI91" i="50"/>
  <c r="K117" i="50"/>
  <c r="AD128" i="50"/>
  <c r="V188" i="50"/>
  <c r="H95" i="50"/>
  <c r="AC50" i="50"/>
  <c r="AL78" i="50"/>
  <c r="AI121" i="50"/>
  <c r="Z122" i="50"/>
  <c r="AH93" i="50"/>
  <c r="K113" i="50"/>
  <c r="P139" i="50"/>
  <c r="I136" i="50"/>
  <c r="Z103" i="50"/>
  <c r="D137" i="50"/>
  <c r="U163" i="50"/>
  <c r="L101" i="50"/>
  <c r="N169" i="50"/>
  <c r="O139" i="50"/>
  <c r="H187" i="50"/>
  <c r="AA98" i="50"/>
  <c r="AE128" i="50"/>
  <c r="L44" i="50"/>
  <c r="AF54" i="50"/>
  <c r="S114" i="50"/>
  <c r="C46" i="50"/>
  <c r="AC62" i="50"/>
  <c r="Q121" i="50"/>
  <c r="K160" i="50"/>
  <c r="AL122" i="50"/>
  <c r="AK113" i="50"/>
  <c r="K124" i="50"/>
  <c r="AA150" i="50"/>
  <c r="AD164" i="50"/>
  <c r="J146" i="50"/>
  <c r="J159" i="50"/>
  <c r="AJ189" i="50"/>
  <c r="AI77" i="50"/>
  <c r="AL164" i="50"/>
  <c r="Y167" i="50"/>
  <c r="L90" i="50"/>
  <c r="AH173" i="50"/>
  <c r="I168" i="50"/>
  <c r="AE59" i="50"/>
  <c r="P86" i="50"/>
  <c r="AE113" i="50"/>
  <c r="Q171" i="50"/>
  <c r="Q118" i="50"/>
  <c r="AB137" i="50"/>
  <c r="AG64" i="50"/>
  <c r="O43" i="50"/>
  <c r="AH171" i="50"/>
  <c r="P96" i="50"/>
  <c r="H34" i="50"/>
  <c r="Y87" i="50"/>
  <c r="I188" i="50"/>
  <c r="F89" i="50"/>
  <c r="Y138" i="50"/>
  <c r="U126" i="50"/>
  <c r="I68" i="50"/>
  <c r="Z54" i="50"/>
  <c r="X143" i="50"/>
  <c r="K56" i="50"/>
  <c r="W167" i="50"/>
  <c r="AD57" i="50"/>
  <c r="J124" i="50"/>
  <c r="P150" i="50"/>
  <c r="F105" i="50"/>
  <c r="X117" i="50"/>
  <c r="S98" i="50"/>
  <c r="Z38" i="50"/>
  <c r="K137" i="50"/>
  <c r="O68" i="50"/>
  <c r="G86" i="50"/>
  <c r="AH132" i="50"/>
  <c r="M128" i="50"/>
  <c r="N92" i="50"/>
  <c r="AH187" i="50"/>
  <c r="AG148" i="50"/>
  <c r="X156" i="50"/>
  <c r="AJ143" i="50"/>
  <c r="AE149" i="50"/>
  <c r="K105" i="50"/>
  <c r="AI132" i="50"/>
  <c r="C148" i="50"/>
  <c r="I122" i="50"/>
  <c r="AE124" i="50"/>
  <c r="Y91" i="50"/>
  <c r="U182" i="50"/>
  <c r="Z81" i="50"/>
  <c r="R139" i="50"/>
  <c r="F194" i="50"/>
  <c r="AD79" i="50"/>
  <c r="AB133" i="50"/>
  <c r="AJ44" i="50"/>
  <c r="AI135" i="50"/>
  <c r="AD96" i="50"/>
  <c r="AJ66" i="50"/>
  <c r="U169" i="50"/>
  <c r="E146" i="50"/>
  <c r="L134" i="50"/>
  <c r="AH68" i="50"/>
  <c r="C155" i="50"/>
  <c r="V137" i="50"/>
  <c r="U133" i="50"/>
  <c r="AF163" i="50"/>
  <c r="D39" i="50"/>
  <c r="AL147" i="50"/>
  <c r="F58" i="50"/>
  <c r="F160" i="50"/>
  <c r="T89" i="50"/>
  <c r="F100" i="50"/>
  <c r="AF126" i="50"/>
  <c r="AF128" i="50"/>
  <c r="D92" i="50"/>
  <c r="AC133" i="50"/>
  <c r="AH38" i="50"/>
  <c r="D50" i="50"/>
  <c r="T112" i="50"/>
  <c r="AH77" i="50"/>
  <c r="V91" i="50"/>
  <c r="J91" i="50"/>
  <c r="N102" i="50"/>
  <c r="U118" i="50"/>
  <c r="S171" i="50"/>
  <c r="AH96" i="50"/>
  <c r="F98" i="50"/>
  <c r="AD151" i="50"/>
  <c r="G129" i="50"/>
  <c r="X146" i="50"/>
  <c r="S35" i="50"/>
  <c r="AL52" i="50"/>
  <c r="AE37" i="50"/>
  <c r="Y93" i="50"/>
  <c r="AB122" i="50"/>
  <c r="AD61" i="50"/>
  <c r="Z171" i="50"/>
  <c r="AD98" i="50"/>
  <c r="AG122" i="50"/>
  <c r="Q100" i="50"/>
  <c r="K133" i="50"/>
  <c r="Y149" i="50"/>
  <c r="U103" i="50"/>
  <c r="I147" i="50"/>
  <c r="U99" i="50"/>
  <c r="R47" i="50"/>
  <c r="I49" i="50"/>
  <c r="AG127" i="50"/>
  <c r="F83" i="50"/>
  <c r="AK103" i="50"/>
  <c r="AB64" i="50"/>
  <c r="E94" i="50"/>
  <c r="U132" i="50"/>
  <c r="AF130" i="50"/>
  <c r="G172" i="50"/>
  <c r="K79" i="50"/>
  <c r="AB63" i="50"/>
  <c r="F125" i="50"/>
  <c r="U77" i="50"/>
  <c r="T95" i="50"/>
  <c r="C66" i="50"/>
  <c r="P56" i="50"/>
  <c r="U188" i="50"/>
  <c r="S167" i="50"/>
  <c r="R63" i="50"/>
  <c r="AA188" i="50"/>
  <c r="AK36" i="50"/>
  <c r="X148" i="50"/>
  <c r="R114" i="50"/>
  <c r="AS114" i="50" s="1"/>
  <c r="N149" i="50"/>
  <c r="V147" i="50"/>
  <c r="AB127" i="50"/>
  <c r="L35" i="50"/>
  <c r="O137" i="50"/>
  <c r="Q90" i="50"/>
  <c r="U128" i="50"/>
  <c r="AD137" i="50"/>
  <c r="D86" i="50"/>
  <c r="X59" i="50"/>
  <c r="L151" i="50"/>
  <c r="R102" i="50"/>
  <c r="C169" i="50"/>
  <c r="Y127" i="50"/>
  <c r="L150" i="50"/>
  <c r="R116" i="50"/>
  <c r="Z129" i="50"/>
  <c r="M138" i="50"/>
  <c r="AJ160" i="50"/>
  <c r="AA136" i="50"/>
  <c r="Y143" i="50"/>
  <c r="L86" i="50"/>
  <c r="V65" i="50"/>
  <c r="K164" i="50"/>
  <c r="X194" i="50"/>
  <c r="S156" i="50"/>
  <c r="H132" i="50"/>
  <c r="T187" i="50"/>
  <c r="AL66" i="50"/>
  <c r="H146" i="50"/>
  <c r="P156" i="50"/>
  <c r="N116" i="50"/>
  <c r="K59" i="50"/>
  <c r="C36" i="50"/>
  <c r="AK92" i="50"/>
  <c r="AC137" i="50"/>
  <c r="AK90" i="50"/>
  <c r="AK101" i="50"/>
  <c r="K156" i="50"/>
  <c r="V168" i="50"/>
  <c r="D121" i="50"/>
  <c r="AH59" i="50"/>
  <c r="P130" i="50"/>
  <c r="O77" i="50"/>
  <c r="AI156" i="50"/>
  <c r="W83" i="50"/>
  <c r="P66" i="50"/>
  <c r="AK43" i="50"/>
  <c r="AK42" i="50" s="1"/>
  <c r="P132" i="50"/>
  <c r="S127" i="50"/>
  <c r="X61" i="50"/>
  <c r="D150" i="50"/>
  <c r="AI162" i="50"/>
  <c r="P61" i="50"/>
  <c r="I47" i="50"/>
  <c r="AG164" i="50"/>
  <c r="AE104" i="50"/>
  <c r="D59" i="50"/>
  <c r="AI103" i="50"/>
  <c r="P164" i="50"/>
  <c r="D158" i="50"/>
  <c r="AB146" i="50"/>
  <c r="I132" i="50"/>
  <c r="F121" i="50"/>
  <c r="U156" i="50"/>
  <c r="C63" i="50"/>
  <c r="AK49" i="50"/>
  <c r="V59" i="50"/>
  <c r="AA87" i="50"/>
  <c r="E92" i="50"/>
  <c r="AN92" i="50" s="1"/>
  <c r="AB143" i="50"/>
  <c r="D174" i="50"/>
  <c r="Z134" i="50"/>
  <c r="AD66" i="50"/>
  <c r="AK137" i="50"/>
  <c r="J66" i="50"/>
  <c r="S49" i="50"/>
  <c r="AC109" i="50"/>
  <c r="Y39" i="50"/>
  <c r="M147" i="50"/>
  <c r="H152" i="50"/>
  <c r="Q167" i="50"/>
  <c r="AC156" i="50"/>
  <c r="F36" i="50"/>
  <c r="AF171" i="50"/>
  <c r="AH100" i="50"/>
  <c r="N113" i="50"/>
  <c r="T40" i="50"/>
  <c r="V62" i="50"/>
  <c r="C138" i="50"/>
  <c r="T113" i="50"/>
  <c r="AE100" i="50"/>
  <c r="Q64" i="50"/>
  <c r="Y98" i="50"/>
  <c r="W55" i="50"/>
  <c r="AD86" i="50"/>
  <c r="AK187" i="50"/>
  <c r="D168" i="50"/>
  <c r="D149" i="50"/>
  <c r="AF133" i="50"/>
  <c r="P93" i="50"/>
  <c r="I54" i="50"/>
  <c r="N50" i="50"/>
  <c r="N132" i="50"/>
  <c r="C128" i="50"/>
  <c r="O155" i="50"/>
  <c r="F162" i="50"/>
  <c r="F48" i="50"/>
  <c r="AJ158" i="50"/>
  <c r="J92" i="50"/>
  <c r="U161" i="50"/>
  <c r="AC188" i="50"/>
  <c r="O189" i="50"/>
  <c r="H79" i="50"/>
  <c r="R82" i="50"/>
  <c r="O67" i="50"/>
  <c r="Q189" i="50"/>
  <c r="M155" i="50"/>
  <c r="W81" i="50"/>
  <c r="J102" i="50"/>
  <c r="S89" i="50"/>
  <c r="AF58" i="50"/>
  <c r="U165" i="50"/>
  <c r="AG52" i="50"/>
  <c r="I171" i="50"/>
  <c r="AG65" i="50"/>
  <c r="G90" i="50"/>
  <c r="I43" i="50"/>
  <c r="AH103" i="50"/>
  <c r="V138" i="50"/>
  <c r="N172" i="50"/>
  <c r="O61" i="50"/>
  <c r="X188" i="50"/>
  <c r="D99" i="50"/>
  <c r="R58" i="50"/>
  <c r="Y105" i="50"/>
  <c r="Q94" i="50"/>
  <c r="I138" i="50"/>
  <c r="AA152" i="50"/>
  <c r="J129" i="50"/>
  <c r="M62" i="50"/>
  <c r="F149" i="50"/>
  <c r="AE82" i="50"/>
  <c r="T109" i="50"/>
  <c r="K168" i="50"/>
  <c r="AB139" i="50"/>
  <c r="I98" i="50"/>
  <c r="O112" i="50"/>
  <c r="AJ67" i="50"/>
  <c r="G135" i="50"/>
  <c r="X87" i="50"/>
  <c r="AB57" i="50"/>
  <c r="E165" i="50"/>
  <c r="F37" i="50"/>
  <c r="AA36" i="50"/>
  <c r="K161" i="50"/>
  <c r="AI146" i="50"/>
  <c r="Q96" i="50"/>
  <c r="J167" i="50"/>
  <c r="I159" i="50"/>
  <c r="AB46" i="50"/>
  <c r="AD187" i="50"/>
  <c r="AL82" i="50"/>
  <c r="AF117" i="50"/>
  <c r="P136" i="50"/>
  <c r="C57" i="50"/>
  <c r="N189" i="50"/>
  <c r="U100" i="50"/>
  <c r="O99" i="50"/>
  <c r="M127" i="50"/>
  <c r="AD173" i="50"/>
  <c r="AC167" i="50"/>
  <c r="AH63" i="50"/>
  <c r="AI164" i="50"/>
  <c r="W58" i="50"/>
  <c r="L102" i="50"/>
  <c r="N182" i="50"/>
  <c r="H48" i="50"/>
  <c r="W150" i="50"/>
  <c r="E117" i="50"/>
  <c r="Q109" i="50"/>
  <c r="J68" i="50"/>
  <c r="T99" i="50"/>
  <c r="W164" i="50"/>
  <c r="Z56" i="50"/>
  <c r="L38" i="50"/>
  <c r="Y96" i="50"/>
  <c r="E50" i="50"/>
  <c r="C164" i="50"/>
  <c r="AA159" i="50"/>
  <c r="K109" i="50"/>
  <c r="X103" i="50"/>
  <c r="Z46" i="50"/>
  <c r="U149" i="50"/>
  <c r="AI137" i="50"/>
  <c r="AF78" i="50"/>
  <c r="I113" i="50"/>
  <c r="W40" i="50"/>
  <c r="AF53" i="50"/>
  <c r="AL77" i="50"/>
  <c r="I101" i="50"/>
  <c r="V93" i="50"/>
  <c r="AB156" i="50"/>
  <c r="V87" i="50"/>
  <c r="AI52" i="50"/>
  <c r="H126" i="50"/>
  <c r="Z39" i="50"/>
  <c r="F39" i="50"/>
  <c r="W169" i="50"/>
  <c r="AA147" i="50"/>
  <c r="O182" i="50"/>
  <c r="O101" i="50"/>
  <c r="AE116" i="50"/>
  <c r="V174" i="50"/>
  <c r="E161" i="50"/>
  <c r="AJ138" i="50"/>
  <c r="P171" i="50"/>
  <c r="AE187" i="50"/>
  <c r="W65" i="50"/>
  <c r="F127" i="50"/>
  <c r="AI118" i="50"/>
  <c r="V44" i="50"/>
  <c r="E57" i="50"/>
  <c r="AF104" i="50"/>
  <c r="K158" i="50"/>
  <c r="C103" i="50"/>
  <c r="AH89" i="50"/>
  <c r="E136" i="50"/>
  <c r="P137" i="50"/>
  <c r="W63" i="50"/>
  <c r="J137" i="50"/>
  <c r="AA39" i="50"/>
  <c r="U147" i="50"/>
  <c r="J135" i="50"/>
  <c r="G83" i="50"/>
  <c r="AA86" i="50"/>
  <c r="F81" i="50"/>
  <c r="Z126" i="50"/>
  <c r="W105" i="50"/>
  <c r="X99" i="50"/>
  <c r="T162" i="50"/>
  <c r="AL165" i="50"/>
  <c r="AJ124" i="50"/>
  <c r="AJ95" i="50"/>
  <c r="P112" i="50"/>
  <c r="AF44" i="50"/>
  <c r="W139" i="50"/>
  <c r="AH143" i="50"/>
  <c r="AI46" i="50"/>
  <c r="V128" i="50"/>
  <c r="AA115" i="50"/>
  <c r="I187" i="50"/>
  <c r="O163" i="50"/>
  <c r="AL47" i="50"/>
  <c r="AJ56" i="50"/>
  <c r="AK78" i="50"/>
  <c r="V56" i="50"/>
  <c r="AD143" i="50"/>
  <c r="O40" i="50"/>
  <c r="I56" i="50"/>
  <c r="T164" i="50"/>
  <c r="X115" i="50"/>
  <c r="G65" i="50"/>
  <c r="AA47" i="50"/>
  <c r="AC35" i="50"/>
  <c r="K96" i="50"/>
  <c r="O167" i="50"/>
  <c r="AH150" i="50"/>
  <c r="J128" i="50"/>
  <c r="AJ155" i="50"/>
  <c r="D136" i="50"/>
  <c r="M117" i="50"/>
  <c r="AG160" i="50"/>
  <c r="R91" i="50"/>
  <c r="E114" i="50"/>
  <c r="Z68" i="50"/>
  <c r="AH134" i="50"/>
  <c r="AG105" i="50"/>
  <c r="AF93" i="50"/>
  <c r="AJ57" i="50"/>
  <c r="E124" i="50"/>
  <c r="AE91" i="50"/>
  <c r="O115" i="50"/>
  <c r="AL68" i="50"/>
  <c r="AA65" i="50"/>
  <c r="G35" i="50"/>
  <c r="X170" i="50"/>
  <c r="G94" i="50"/>
  <c r="I146" i="50"/>
  <c r="AC82" i="50"/>
  <c r="Q148" i="50"/>
  <c r="W59" i="50"/>
  <c r="AA135" i="50"/>
  <c r="U43" i="50"/>
  <c r="D95" i="50"/>
  <c r="AG44" i="50"/>
  <c r="X57" i="50"/>
  <c r="P44" i="50"/>
  <c r="D118" i="50"/>
  <c r="L116" i="50"/>
  <c r="C93" i="50"/>
  <c r="V83" i="50"/>
  <c r="H135" i="50"/>
  <c r="Q92" i="50"/>
  <c r="D78" i="50"/>
  <c r="G134" i="50"/>
  <c r="AF59" i="50"/>
  <c r="E189" i="50"/>
  <c r="AC96" i="50"/>
  <c r="AK143" i="50"/>
  <c r="J115" i="50"/>
  <c r="P89" i="50"/>
  <c r="L162" i="50"/>
  <c r="AA165" i="50"/>
  <c r="H170" i="50"/>
  <c r="AH78" i="50"/>
  <c r="L50" i="50"/>
  <c r="U130" i="50"/>
  <c r="AL134" i="50"/>
  <c r="G168" i="50"/>
  <c r="AD91" i="50"/>
  <c r="AK104" i="50"/>
  <c r="Q43" i="50"/>
  <c r="Q42" i="50" s="1"/>
  <c r="AL92" i="50"/>
  <c r="AH92" i="50"/>
  <c r="P52" i="50"/>
  <c r="M135" i="50"/>
  <c r="AF34" i="50"/>
  <c r="AC67" i="50"/>
  <c r="AG47" i="50"/>
  <c r="AG66" i="50"/>
  <c r="F112" i="50"/>
  <c r="AB182" i="50"/>
  <c r="AK158" i="50"/>
  <c r="AI129" i="50"/>
  <c r="U136" i="50"/>
  <c r="L66" i="50"/>
  <c r="AC147" i="50"/>
  <c r="Q124" i="50"/>
  <c r="F124" i="50"/>
  <c r="I102" i="50"/>
  <c r="AL168" i="50"/>
  <c r="X155" i="50"/>
  <c r="J149" i="50"/>
  <c r="M103" i="50"/>
  <c r="AB170" i="50"/>
  <c r="K47" i="50"/>
  <c r="N95" i="50"/>
  <c r="AK169" i="50"/>
  <c r="D134" i="50"/>
  <c r="R50" i="50"/>
  <c r="E148" i="50"/>
  <c r="Z116" i="50"/>
  <c r="Z160" i="50"/>
  <c r="U53" i="50"/>
  <c r="H115" i="50"/>
  <c r="AJ118" i="50"/>
  <c r="I109" i="50"/>
  <c r="AJ39" i="50"/>
  <c r="AI149" i="50"/>
  <c r="Q82" i="50"/>
  <c r="T48" i="50"/>
  <c r="W35" i="50"/>
  <c r="AF169" i="50"/>
  <c r="AA78" i="50"/>
  <c r="O128" i="50"/>
  <c r="F57" i="50"/>
  <c r="AG109" i="50"/>
  <c r="AD139" i="50"/>
  <c r="K90" i="50"/>
  <c r="U59" i="50"/>
  <c r="R146" i="50"/>
  <c r="X105" i="50"/>
  <c r="M58" i="50"/>
  <c r="Y189" i="50"/>
  <c r="C160" i="50"/>
  <c r="S105" i="50"/>
  <c r="AK159" i="50"/>
  <c r="Y150" i="50"/>
  <c r="G150" i="50"/>
  <c r="AG90" i="50"/>
  <c r="K38" i="50"/>
  <c r="AE132" i="50"/>
  <c r="C168" i="50"/>
  <c r="AG38" i="50"/>
  <c r="X80" i="50"/>
  <c r="L112" i="50"/>
  <c r="O89" i="50"/>
  <c r="X151" i="50"/>
  <c r="F117" i="50"/>
  <c r="T36" i="50"/>
  <c r="S117" i="50"/>
  <c r="D135" i="50"/>
  <c r="AC170" i="50"/>
  <c r="AL115" i="50"/>
  <c r="K44" i="50"/>
  <c r="O104" i="50"/>
  <c r="D66" i="50"/>
  <c r="M87" i="50"/>
  <c r="O35" i="50"/>
  <c r="U49" i="50"/>
  <c r="O44" i="50"/>
  <c r="Z162" i="50"/>
  <c r="AD53" i="50"/>
  <c r="AG49" i="50"/>
  <c r="AI188" i="50"/>
  <c r="P135" i="50"/>
  <c r="L104" i="50"/>
  <c r="AA113" i="50"/>
  <c r="H40" i="50"/>
  <c r="AG155" i="50"/>
  <c r="O109" i="50"/>
  <c r="AJ161" i="50"/>
  <c r="N44" i="50"/>
  <c r="R160" i="50"/>
  <c r="AG67" i="50"/>
  <c r="AE136" i="50"/>
  <c r="AD46" i="50"/>
  <c r="R79" i="50"/>
  <c r="Z136" i="50"/>
  <c r="V133" i="50"/>
  <c r="W95" i="50"/>
  <c r="U38" i="50"/>
  <c r="AL151" i="50"/>
  <c r="H172" i="50"/>
  <c r="D35" i="50"/>
  <c r="E134" i="50"/>
  <c r="Y160" i="50"/>
  <c r="D133" i="50"/>
  <c r="Q114" i="50"/>
  <c r="P187" i="50"/>
  <c r="Q54" i="50"/>
  <c r="AK162" i="50"/>
  <c r="W89" i="50"/>
  <c r="L47" i="50"/>
  <c r="E54" i="50"/>
  <c r="U91" i="50"/>
  <c r="G78" i="50"/>
  <c r="AG39" i="50"/>
  <c r="Q129" i="50"/>
  <c r="I167" i="50"/>
  <c r="M125" i="50"/>
  <c r="T87" i="50"/>
  <c r="G130" i="50"/>
  <c r="T159" i="50"/>
  <c r="AH152" i="50"/>
  <c r="O158" i="50"/>
  <c r="C127" i="50"/>
  <c r="M115" i="50"/>
  <c r="AD101" i="50"/>
  <c r="Y162" i="50"/>
  <c r="U95" i="50"/>
  <c r="D103" i="50"/>
  <c r="Z164" i="50"/>
  <c r="AC121" i="50"/>
  <c r="AJ150" i="50"/>
  <c r="O121" i="50"/>
  <c r="V148" i="50"/>
  <c r="R44" i="50"/>
  <c r="AD189" i="50"/>
  <c r="AF189" i="50"/>
  <c r="X162" i="50"/>
  <c r="R138" i="50"/>
  <c r="AJ136" i="50"/>
  <c r="Y90" i="50"/>
  <c r="AA49" i="50"/>
  <c r="L165" i="50"/>
  <c r="Z169" i="50"/>
  <c r="AK48" i="50"/>
  <c r="E126" i="50"/>
  <c r="AH35" i="50"/>
  <c r="E132" i="50"/>
  <c r="K138" i="50"/>
  <c r="M122" i="50"/>
  <c r="G182" i="50"/>
  <c r="T137" i="50"/>
  <c r="T168" i="50"/>
  <c r="F43" i="50"/>
  <c r="AG58" i="50"/>
  <c r="AA35" i="50"/>
  <c r="K53" i="50"/>
  <c r="J117" i="50"/>
  <c r="X114" i="50"/>
  <c r="L100" i="50"/>
  <c r="AH95" i="50"/>
  <c r="AA118" i="50"/>
  <c r="L79" i="50"/>
  <c r="X92" i="50"/>
  <c r="O188" i="50"/>
  <c r="AD40" i="50"/>
  <c r="V86" i="50"/>
  <c r="M61" i="50"/>
  <c r="T90" i="50"/>
  <c r="N130" i="50"/>
  <c r="AC47" i="50"/>
  <c r="AF47" i="50"/>
  <c r="N105" i="50"/>
  <c r="K127" i="50"/>
  <c r="E147" i="50"/>
  <c r="P134" i="50"/>
  <c r="AE98" i="50"/>
  <c r="AA61" i="50"/>
  <c r="U170" i="50"/>
  <c r="K57" i="50"/>
  <c r="AE165" i="50"/>
  <c r="U168" i="50"/>
  <c r="E49" i="50"/>
  <c r="J35" i="50"/>
  <c r="AB59" i="50"/>
  <c r="AF143" i="50"/>
  <c r="H53" i="50"/>
  <c r="Q52" i="50"/>
  <c r="AI130" i="50"/>
  <c r="D83" i="50"/>
  <c r="AK136" i="50"/>
  <c r="I143" i="50"/>
  <c r="L59" i="50"/>
  <c r="N63" i="50"/>
  <c r="C122" i="50"/>
  <c r="X159" i="50"/>
  <c r="AU159" i="50" s="1"/>
  <c r="O169" i="50"/>
  <c r="AH113" i="50"/>
  <c r="C159" i="50"/>
  <c r="AA83" i="50"/>
  <c r="G118" i="50"/>
  <c r="T91" i="50"/>
  <c r="AJ122" i="50"/>
  <c r="AY122" i="50" s="1"/>
  <c r="AG81" i="50"/>
  <c r="M151" i="50"/>
  <c r="AG116" i="50"/>
  <c r="O187" i="50"/>
  <c r="S189" i="50"/>
  <c r="Z36" i="50"/>
  <c r="C173" i="50"/>
  <c r="W44" i="50"/>
  <c r="R161" i="50"/>
  <c r="F132" i="50"/>
  <c r="N129" i="50"/>
  <c r="AJ96" i="50"/>
  <c r="AB44" i="50"/>
  <c r="AB61" i="50"/>
  <c r="U83" i="50"/>
  <c r="AT83" i="50" s="1"/>
  <c r="H61" i="50"/>
  <c r="AD83" i="50"/>
  <c r="O148" i="50"/>
  <c r="X38" i="50"/>
  <c r="L78" i="50"/>
  <c r="H117" i="50"/>
  <c r="I160" i="50"/>
  <c r="AF67" i="50"/>
  <c r="L130" i="50"/>
  <c r="W64" i="50"/>
  <c r="V146" i="50"/>
  <c r="F65" i="50"/>
  <c r="AJ165" i="50"/>
  <c r="L58" i="50"/>
  <c r="R182" i="50"/>
  <c r="S39" i="50"/>
  <c r="K149" i="50"/>
  <c r="M159" i="50"/>
  <c r="F53" i="50"/>
  <c r="AI58" i="50"/>
  <c r="I91" i="50"/>
  <c r="AP91" i="50" s="1"/>
  <c r="AJ98" i="50"/>
  <c r="F170" i="50"/>
  <c r="S149" i="50"/>
  <c r="O57" i="50"/>
  <c r="K182" i="50"/>
  <c r="Q56" i="50"/>
  <c r="AD161" i="50"/>
  <c r="AL81" i="50"/>
  <c r="AB86" i="50"/>
  <c r="AI36" i="50"/>
  <c r="AB87" i="50"/>
  <c r="Z48" i="50"/>
  <c r="AK40" i="50"/>
  <c r="T78" i="50"/>
  <c r="X171" i="50"/>
  <c r="L39" i="50"/>
  <c r="J188" i="50"/>
  <c r="P50" i="50"/>
  <c r="AK163" i="50"/>
  <c r="O86" i="50"/>
  <c r="AI101" i="50"/>
  <c r="I173" i="50"/>
  <c r="AH117" i="50"/>
  <c r="D101" i="50"/>
  <c r="AH105" i="50"/>
  <c r="S53" i="50"/>
  <c r="AK38" i="50"/>
  <c r="P104" i="50"/>
  <c r="K112" i="50"/>
  <c r="L138" i="50"/>
  <c r="O78" i="50"/>
  <c r="X164" i="50"/>
  <c r="S82" i="50"/>
  <c r="J38" i="50"/>
  <c r="D152" i="50"/>
  <c r="S83" i="50"/>
  <c r="F64" i="50"/>
  <c r="M81" i="50"/>
  <c r="Z62" i="50"/>
  <c r="E43" i="50"/>
  <c r="AH151" i="50"/>
  <c r="F138" i="50"/>
  <c r="AC90" i="50"/>
  <c r="AL50" i="50"/>
  <c r="U102" i="50"/>
  <c r="H168" i="50"/>
  <c r="R126" i="50"/>
  <c r="I133" i="50"/>
  <c r="I116" i="50"/>
  <c r="R163" i="50"/>
  <c r="AC56" i="50"/>
  <c r="F164" i="50"/>
  <c r="X109" i="50"/>
  <c r="AC80" i="50"/>
  <c r="AI47" i="50"/>
  <c r="V40" i="50"/>
  <c r="G54" i="50"/>
  <c r="W117" i="50"/>
  <c r="AI43" i="50"/>
  <c r="H91" i="50"/>
  <c r="P162" i="50"/>
  <c r="AG63" i="50"/>
  <c r="W147" i="50"/>
  <c r="AD39" i="50"/>
  <c r="P168" i="50"/>
  <c r="C98" i="50"/>
  <c r="N134" i="50"/>
  <c r="H148" i="50"/>
  <c r="AI163" i="50"/>
  <c r="AA102" i="50"/>
  <c r="D139" i="50"/>
  <c r="J148" i="50"/>
  <c r="M57" i="50"/>
  <c r="J96" i="50"/>
  <c r="AJ159" i="50"/>
  <c r="X81" i="50"/>
  <c r="K65" i="50"/>
  <c r="AL158" i="50"/>
  <c r="AJ117" i="50"/>
  <c r="L105" i="50"/>
  <c r="AG95" i="50"/>
  <c r="AG53" i="50"/>
  <c r="G34" i="50"/>
  <c r="S55" i="50"/>
  <c r="D127" i="50"/>
  <c r="L136" i="50"/>
  <c r="AQ136" i="50" s="1"/>
  <c r="Z37" i="50"/>
  <c r="G127" i="50"/>
  <c r="AB129" i="50"/>
  <c r="AL138" i="50"/>
  <c r="Y50" i="50"/>
  <c r="J104" i="50"/>
  <c r="N87" i="50"/>
  <c r="AB62" i="50"/>
  <c r="Y99" i="50"/>
  <c r="AD170" i="50"/>
  <c r="AF127" i="50"/>
  <c r="H158" i="50"/>
  <c r="P53" i="50"/>
  <c r="D77" i="50"/>
  <c r="AL95" i="50"/>
  <c r="V194" i="50"/>
  <c r="D169" i="50"/>
  <c r="Q169" i="50"/>
  <c r="AF162" i="50"/>
  <c r="AI173" i="50"/>
  <c r="AJ48" i="50"/>
  <c r="AL38" i="50"/>
  <c r="L135" i="50"/>
  <c r="M66" i="50"/>
  <c r="AA132" i="50"/>
  <c r="K147" i="50"/>
  <c r="Z52" i="50"/>
  <c r="AH112" i="50"/>
  <c r="H174" i="50"/>
  <c r="X172" i="50"/>
  <c r="AU172" i="50" s="1"/>
  <c r="S103" i="50"/>
  <c r="D100" i="50"/>
  <c r="AI133" i="50"/>
  <c r="Z112" i="50"/>
  <c r="J173" i="50"/>
  <c r="U127" i="50"/>
  <c r="D164" i="50"/>
  <c r="AH129" i="50"/>
  <c r="AD65" i="50"/>
  <c r="W66" i="50"/>
  <c r="F173" i="50"/>
  <c r="V104" i="50"/>
  <c r="F103" i="50"/>
  <c r="V105" i="50"/>
  <c r="X35" i="50"/>
  <c r="AA172" i="50"/>
  <c r="Q36" i="50"/>
  <c r="T127" i="50"/>
  <c r="W90" i="50"/>
  <c r="AG162" i="50"/>
  <c r="AJ139" i="50"/>
  <c r="F146" i="50"/>
  <c r="AK65" i="50"/>
  <c r="X116" i="50"/>
  <c r="E162" i="50"/>
  <c r="Q58" i="50"/>
  <c r="AC36" i="50"/>
  <c r="S130" i="50"/>
  <c r="W149" i="50"/>
  <c r="N94" i="50"/>
  <c r="F102" i="50"/>
  <c r="W48" i="50"/>
  <c r="L54" i="50"/>
  <c r="P102" i="50"/>
  <c r="K169" i="50"/>
  <c r="K174" i="50"/>
  <c r="AA81" i="50"/>
  <c r="AH94" i="50"/>
  <c r="H44" i="50"/>
  <c r="V114" i="50"/>
  <c r="W87" i="50"/>
  <c r="C165" i="50"/>
  <c r="AC40" i="50"/>
  <c r="L48" i="50"/>
  <c r="AF66" i="50"/>
  <c r="AK155" i="50"/>
  <c r="F87" i="50"/>
  <c r="X137" i="50"/>
  <c r="F114" i="50"/>
  <c r="AC118" i="50"/>
  <c r="G87" i="50"/>
  <c r="G85" i="50" s="1"/>
  <c r="X163" i="50"/>
  <c r="J36" i="50"/>
  <c r="AI172" i="50"/>
  <c r="AL167" i="50"/>
  <c r="J82" i="50"/>
  <c r="AK95" i="50"/>
  <c r="AI138" i="50"/>
  <c r="N101" i="50"/>
  <c r="AC83" i="50"/>
  <c r="X118" i="50"/>
  <c r="U135" i="50"/>
  <c r="AI109" i="50"/>
  <c r="AL56" i="50"/>
  <c r="R147" i="50"/>
  <c r="V39" i="50"/>
  <c r="N164" i="50"/>
  <c r="G170" i="50"/>
  <c r="V102" i="50"/>
  <c r="X147" i="50"/>
  <c r="Z92" i="50"/>
  <c r="AE189" i="50"/>
  <c r="C161" i="50"/>
  <c r="Q113" i="50"/>
  <c r="V164" i="50"/>
  <c r="AE147" i="50"/>
  <c r="AK91" i="50"/>
  <c r="R83" i="50"/>
  <c r="I151" i="50"/>
  <c r="AJ116" i="50"/>
  <c r="J170" i="50"/>
  <c r="AI189" i="50"/>
  <c r="K54" i="50"/>
  <c r="S65" i="50"/>
  <c r="D147" i="50"/>
  <c r="L40" i="50"/>
  <c r="AF137" i="50"/>
  <c r="H35" i="50"/>
  <c r="AD54" i="50"/>
  <c r="AC152" i="50"/>
  <c r="E128" i="50"/>
  <c r="S46" i="50"/>
  <c r="C182" i="50"/>
  <c r="S121" i="50"/>
  <c r="E152" i="50"/>
  <c r="N159" i="50"/>
  <c r="F136" i="50"/>
  <c r="AD126" i="50"/>
  <c r="AW126" i="50" s="1"/>
  <c r="W158" i="50"/>
  <c r="J37" i="50"/>
  <c r="P58" i="50"/>
  <c r="R61" i="50"/>
  <c r="AK167" i="50"/>
  <c r="AE96" i="50"/>
  <c r="AI102" i="50"/>
  <c r="AL57" i="50"/>
  <c r="AF63" i="50"/>
  <c r="X165" i="50"/>
  <c r="S92" i="50"/>
  <c r="N137" i="50"/>
  <c r="E86" i="50"/>
  <c r="AE102" i="50"/>
  <c r="S160" i="50"/>
  <c r="Q89" i="50"/>
  <c r="O39" i="50"/>
  <c r="AE62" i="50"/>
  <c r="C87" i="50"/>
  <c r="R37" i="50"/>
  <c r="H147" i="50"/>
  <c r="AB130" i="50"/>
  <c r="AC143" i="50"/>
  <c r="AE133" i="50"/>
  <c r="D65" i="50"/>
  <c r="Z135" i="50"/>
  <c r="I115" i="50"/>
  <c r="AA38" i="50"/>
  <c r="T63" i="50"/>
  <c r="D113" i="50"/>
  <c r="Q59" i="50"/>
  <c r="AA40" i="50"/>
  <c r="J48" i="50"/>
  <c r="Y182" i="50"/>
  <c r="P78" i="50"/>
  <c r="H66" i="50"/>
  <c r="AJ109" i="50"/>
  <c r="T138" i="50"/>
  <c r="K68" i="50"/>
  <c r="Q164" i="50"/>
  <c r="AK173" i="50"/>
  <c r="F139" i="50"/>
  <c r="AK86" i="50"/>
  <c r="Y163" i="50"/>
  <c r="G81" i="50"/>
  <c r="AK93" i="50"/>
  <c r="AH104" i="50"/>
  <c r="AC138" i="50"/>
  <c r="P90" i="50"/>
  <c r="Q66" i="50"/>
  <c r="F147" i="50"/>
  <c r="AG194" i="50"/>
  <c r="J125" i="50"/>
  <c r="N67" i="50"/>
  <c r="AF52" i="50"/>
  <c r="V161" i="50"/>
  <c r="Q158" i="50"/>
  <c r="AG103" i="50"/>
  <c r="AX103" i="50" s="1"/>
  <c r="AD36" i="50"/>
  <c r="X133" i="50"/>
  <c r="AU133" i="50" s="1"/>
  <c r="T124" i="50"/>
  <c r="AG132" i="50"/>
  <c r="H139" i="50"/>
  <c r="AL87" i="50"/>
  <c r="U40" i="50"/>
  <c r="Z53" i="50"/>
  <c r="Z96" i="50"/>
  <c r="T101" i="50"/>
  <c r="K83" i="50"/>
  <c r="U122" i="50"/>
  <c r="AT122" i="50" s="1"/>
  <c r="E100" i="50"/>
  <c r="W99" i="50"/>
  <c r="AD55" i="50"/>
  <c r="C50" i="50"/>
  <c r="AD99" i="50"/>
  <c r="AW99" i="50" s="1"/>
  <c r="D159" i="50"/>
  <c r="O173" i="50"/>
  <c r="U55" i="50"/>
  <c r="AK109" i="50"/>
  <c r="K100" i="50"/>
  <c r="N80" i="50"/>
  <c r="AF102" i="50"/>
  <c r="E46" i="50"/>
  <c r="AF161" i="50"/>
  <c r="T150" i="50"/>
  <c r="D44" i="50"/>
  <c r="S79" i="50"/>
  <c r="N66" i="50"/>
  <c r="V143" i="50"/>
  <c r="U86" i="50"/>
  <c r="S99" i="50"/>
  <c r="S40" i="50"/>
  <c r="AD50" i="50"/>
  <c r="AD114" i="50"/>
  <c r="R64" i="50"/>
  <c r="T151" i="50"/>
  <c r="P116" i="50"/>
  <c r="AA57" i="50"/>
  <c r="AK87" i="50"/>
  <c r="H151" i="50"/>
  <c r="U114" i="50"/>
  <c r="D36" i="50"/>
  <c r="N117" i="50"/>
  <c r="AJ121" i="50"/>
  <c r="F80" i="50"/>
  <c r="K151" i="50"/>
  <c r="AL48" i="50"/>
  <c r="E83" i="50"/>
  <c r="AB83" i="50"/>
  <c r="AE114" i="50"/>
  <c r="E78" i="50"/>
  <c r="W57" i="50"/>
  <c r="V36" i="50"/>
  <c r="AF124" i="50"/>
  <c r="Z64" i="50"/>
  <c r="AD94" i="50"/>
  <c r="F152" i="50"/>
  <c r="AO152" i="50" s="1"/>
  <c r="AF68" i="50"/>
  <c r="K78" i="50"/>
  <c r="C125" i="50"/>
  <c r="Z189" i="50"/>
  <c r="L52" i="50"/>
  <c r="O152" i="50"/>
  <c r="V64" i="50"/>
  <c r="N174" i="50"/>
  <c r="H94" i="50"/>
  <c r="Y130" i="50"/>
  <c r="AD159" i="50"/>
  <c r="X64" i="50"/>
  <c r="AA126" i="50"/>
  <c r="T147" i="50"/>
  <c r="L156" i="50"/>
  <c r="AK50" i="50"/>
  <c r="D57" i="50"/>
  <c r="V112" i="50"/>
  <c r="AC48" i="50"/>
  <c r="L117" i="50"/>
  <c r="N127" i="50"/>
  <c r="AI114" i="50"/>
  <c r="U162" i="50"/>
  <c r="AC189" i="50"/>
  <c r="K87" i="50"/>
  <c r="H165" i="50"/>
  <c r="G101" i="50"/>
  <c r="M148" i="50"/>
  <c r="J164" i="50"/>
  <c r="AL58" i="50"/>
  <c r="I92" i="50"/>
  <c r="L64" i="50"/>
  <c r="AB134" i="50"/>
  <c r="C113" i="50"/>
  <c r="R99" i="50"/>
  <c r="W115" i="50"/>
  <c r="C86" i="50"/>
  <c r="AA173" i="50"/>
  <c r="H128" i="50"/>
  <c r="AB162" i="50"/>
  <c r="J134" i="50"/>
  <c r="AA112" i="50"/>
  <c r="G122" i="50"/>
  <c r="AD165" i="50"/>
  <c r="M182" i="50"/>
  <c r="E68" i="50"/>
  <c r="O34" i="50"/>
  <c r="AG188" i="50"/>
  <c r="AD171" i="50"/>
  <c r="U54" i="50"/>
  <c r="AK35" i="50"/>
  <c r="AH64" i="50"/>
  <c r="Y146" i="50"/>
  <c r="O79" i="50"/>
  <c r="AG130" i="50"/>
  <c r="U93" i="50"/>
  <c r="I46" i="50"/>
  <c r="D130" i="50"/>
  <c r="M36" i="50"/>
  <c r="AE93" i="50"/>
  <c r="AI82" i="50"/>
  <c r="AF132" i="50"/>
  <c r="D122" i="50"/>
  <c r="D120" i="50" s="1"/>
  <c r="AD62" i="50"/>
  <c r="F95" i="50"/>
  <c r="W124" i="50"/>
  <c r="L65" i="50"/>
  <c r="E39" i="50"/>
  <c r="I81" i="50"/>
  <c r="U124" i="50"/>
  <c r="L115" i="50"/>
  <c r="AQ115" i="50" s="1"/>
  <c r="U172" i="50"/>
  <c r="X136" i="50"/>
  <c r="E182" i="50"/>
  <c r="Y65" i="50"/>
  <c r="C130" i="50"/>
  <c r="S77" i="50"/>
  <c r="AI171" i="50"/>
  <c r="Q117" i="50"/>
  <c r="AL80" i="50"/>
  <c r="AI49" i="50"/>
  <c r="G148" i="50"/>
  <c r="G58" i="50"/>
  <c r="AO58" i="50" s="1"/>
  <c r="AC79" i="50"/>
  <c r="F77" i="50"/>
  <c r="M143" i="50"/>
  <c r="W155" i="50"/>
  <c r="D148" i="50"/>
  <c r="J100" i="50"/>
  <c r="S81" i="50"/>
  <c r="AB89" i="50"/>
  <c r="AB48" i="50"/>
  <c r="AJ187" i="50"/>
  <c r="N194" i="50"/>
  <c r="H93" i="50"/>
  <c r="Z102" i="50"/>
  <c r="AF152" i="50"/>
  <c r="R46" i="50"/>
  <c r="O80" i="50"/>
  <c r="T35" i="50"/>
  <c r="T132" i="50"/>
  <c r="AK174" i="50"/>
  <c r="T59" i="50"/>
  <c r="AC172" i="50"/>
  <c r="K39" i="50"/>
  <c r="N122" i="50"/>
  <c r="K99" i="50"/>
  <c r="J50" i="50"/>
  <c r="AI92" i="50"/>
  <c r="H52" i="50"/>
  <c r="S62" i="50"/>
  <c r="G171" i="50"/>
  <c r="F151" i="50"/>
  <c r="AD47" i="50"/>
  <c r="AW47" i="50" s="1"/>
  <c r="I125" i="50"/>
  <c r="T121" i="50"/>
  <c r="M104" i="50"/>
  <c r="L163" i="50"/>
  <c r="Q128" i="50"/>
  <c r="I100" i="50"/>
  <c r="AK94" i="50"/>
  <c r="F104" i="50"/>
  <c r="Q79" i="50"/>
  <c r="G133" i="50"/>
  <c r="AK182" i="50"/>
  <c r="AH87" i="50"/>
  <c r="K49" i="50"/>
  <c r="Y161" i="50"/>
  <c r="Z82" i="50"/>
  <c r="N125" i="50"/>
  <c r="X126" i="50"/>
  <c r="AA43" i="50"/>
  <c r="X121" i="50"/>
  <c r="R112" i="50"/>
  <c r="AE173" i="50"/>
  <c r="V129" i="50"/>
  <c r="AJ188" i="50"/>
  <c r="M112" i="50"/>
  <c r="G165" i="50"/>
  <c r="T79" i="50"/>
  <c r="AE101" i="50"/>
  <c r="X82" i="50"/>
  <c r="AE83" i="50"/>
  <c r="K148" i="50"/>
  <c r="AC95" i="50"/>
  <c r="C55" i="50"/>
  <c r="X173" i="50"/>
  <c r="W77" i="50"/>
  <c r="H124" i="50"/>
  <c r="E160" i="50"/>
  <c r="W173" i="50"/>
  <c r="D187" i="50"/>
  <c r="U67" i="50"/>
  <c r="AJ64" i="50"/>
  <c r="U194" i="50"/>
  <c r="I105" i="50"/>
  <c r="R156" i="50"/>
  <c r="AE68" i="50"/>
  <c r="F168" i="50"/>
  <c r="V94" i="50"/>
  <c r="K172" i="50"/>
  <c r="AJ163" i="50"/>
  <c r="AH160" i="50"/>
  <c r="Y55" i="50"/>
  <c r="M56" i="50"/>
  <c r="V54" i="50"/>
  <c r="Y134" i="50"/>
  <c r="AK172" i="50"/>
  <c r="V162" i="50"/>
  <c r="AE34" i="50"/>
  <c r="D161" i="50"/>
  <c r="AB52" i="50"/>
  <c r="U129" i="50"/>
  <c r="AB79" i="50"/>
  <c r="AG98" i="50"/>
  <c r="G137" i="50"/>
  <c r="X46" i="50"/>
  <c r="D48" i="50"/>
  <c r="I163" i="50"/>
  <c r="AF100" i="50"/>
  <c r="K118" i="50"/>
  <c r="AB174" i="50"/>
  <c r="AG80" i="50"/>
  <c r="Q102" i="50"/>
  <c r="AJ63" i="50"/>
  <c r="AY63" i="50" s="1"/>
  <c r="AE81" i="50"/>
  <c r="V132" i="50"/>
  <c r="AI167" i="50"/>
  <c r="AD194" i="50"/>
  <c r="AH135" i="50"/>
  <c r="M149" i="50"/>
  <c r="AG78" i="50"/>
  <c r="AH90" i="50"/>
  <c r="AC187" i="50"/>
  <c r="V170" i="50"/>
  <c r="AK89" i="50"/>
  <c r="AI117" i="50"/>
  <c r="J155" i="50"/>
  <c r="J154" i="50" s="1"/>
  <c r="AA46" i="50"/>
  <c r="F66" i="50"/>
  <c r="AI124" i="50"/>
  <c r="O172" i="50"/>
  <c r="E64" i="50"/>
  <c r="AB128" i="50"/>
  <c r="AG146" i="50"/>
  <c r="I40" i="50"/>
  <c r="AI168" i="50"/>
  <c r="Y125" i="50"/>
  <c r="G47" i="50"/>
  <c r="AI37" i="50"/>
  <c r="D91" i="50"/>
  <c r="W163" i="50"/>
  <c r="R170" i="50"/>
  <c r="U155" i="50"/>
  <c r="H68" i="50"/>
  <c r="AD77" i="50"/>
  <c r="S125" i="50"/>
  <c r="Z124" i="50"/>
  <c r="N53" i="50"/>
  <c r="U61" i="50"/>
  <c r="J174" i="50"/>
  <c r="V43" i="50"/>
  <c r="V42" i="50" s="1"/>
  <c r="O66" i="50"/>
  <c r="AD160" i="50"/>
  <c r="R55" i="50"/>
  <c r="J89" i="50"/>
  <c r="T102" i="50"/>
  <c r="U137" i="50"/>
  <c r="AT137" i="50" s="1"/>
  <c r="I158" i="50"/>
  <c r="X37" i="50"/>
  <c r="AU37" i="50" s="1"/>
  <c r="T47" i="50"/>
  <c r="Y136" i="50"/>
  <c r="AB55" i="50"/>
  <c r="AF168" i="50"/>
  <c r="K92" i="50"/>
  <c r="AL137" i="50"/>
  <c r="S64" i="50"/>
  <c r="AL150" i="50"/>
  <c r="J126" i="50"/>
  <c r="D55" i="50"/>
  <c r="D102" i="50"/>
  <c r="AA164" i="50"/>
  <c r="G163" i="50"/>
  <c r="X91" i="50"/>
  <c r="AL104" i="50"/>
  <c r="F101" i="50"/>
  <c r="M78" i="50"/>
  <c r="D105" i="50"/>
  <c r="X101" i="50"/>
  <c r="O50" i="50"/>
  <c r="S150" i="50"/>
  <c r="C47" i="50"/>
  <c r="AC169" i="50"/>
  <c r="J43" i="50"/>
  <c r="G117" i="50"/>
  <c r="Y49" i="50"/>
  <c r="J121" i="50"/>
  <c r="AF155" i="50"/>
  <c r="T170" i="50"/>
  <c r="AJ47" i="50"/>
  <c r="AY47" i="50" s="1"/>
  <c r="D112" i="50"/>
  <c r="AF187" i="50"/>
  <c r="AC112" i="50"/>
  <c r="Q55" i="50"/>
  <c r="T82" i="50"/>
  <c r="X78" i="50"/>
  <c r="E96" i="50"/>
  <c r="X127" i="50"/>
  <c r="AD52" i="50"/>
  <c r="T122" i="50"/>
  <c r="Y79" i="50"/>
  <c r="W118" i="50"/>
  <c r="X43" i="50"/>
  <c r="Z194" i="50"/>
  <c r="R148" i="50"/>
  <c r="AS148" i="50" s="1"/>
  <c r="AG118" i="50"/>
  <c r="E151" i="50"/>
  <c r="K114" i="50"/>
  <c r="Y129" i="50"/>
  <c r="H99" i="50"/>
  <c r="Y54" i="50"/>
  <c r="K101" i="50"/>
  <c r="AH114" i="50"/>
  <c r="J86" i="50"/>
  <c r="H37" i="50"/>
  <c r="Z156" i="50"/>
  <c r="D126" i="50"/>
  <c r="V125" i="50"/>
  <c r="AC160" i="50"/>
  <c r="E137" i="50"/>
  <c r="N100" i="50"/>
  <c r="E127" i="50"/>
  <c r="U90" i="50"/>
  <c r="I124" i="50"/>
  <c r="AD78" i="50"/>
  <c r="L82" i="50"/>
  <c r="N89" i="50"/>
  <c r="S58" i="50"/>
  <c r="I139" i="50"/>
  <c r="P92" i="50"/>
  <c r="AL189" i="50"/>
  <c r="M126" i="50"/>
  <c r="AC162" i="50"/>
  <c r="P57" i="50"/>
  <c r="Q116" i="50"/>
  <c r="AL36" i="50"/>
  <c r="AH118" i="50"/>
  <c r="P113" i="50"/>
  <c r="AJ79" i="50"/>
  <c r="AK134" i="50"/>
  <c r="I57" i="50"/>
  <c r="Y113" i="50"/>
  <c r="AF188" i="50"/>
  <c r="W79" i="50"/>
  <c r="AG114" i="50"/>
  <c r="L81" i="50"/>
  <c r="O81" i="50"/>
  <c r="H150" i="50"/>
  <c r="Z155" i="50"/>
  <c r="C112" i="50"/>
  <c r="AL99" i="50"/>
  <c r="G138" i="50"/>
  <c r="R149" i="50"/>
  <c r="I117" i="50"/>
  <c r="AP117" i="50" s="1"/>
  <c r="AE39" i="50"/>
  <c r="W125" i="50"/>
  <c r="L68" i="50"/>
  <c r="O164" i="50"/>
  <c r="C95" i="50"/>
  <c r="V90" i="50"/>
  <c r="N56" i="50"/>
  <c r="K143" i="50"/>
  <c r="T171" i="50"/>
  <c r="N86" i="50"/>
  <c r="N85" i="50" s="1"/>
  <c r="L36" i="50"/>
  <c r="L137" i="50"/>
  <c r="AI81" i="50"/>
  <c r="C118" i="50"/>
  <c r="AG55" i="50"/>
  <c r="AB35" i="50"/>
  <c r="AG117" i="50"/>
  <c r="C132" i="50"/>
  <c r="AA129" i="50"/>
  <c r="AC39" i="50"/>
  <c r="Q139" i="50"/>
  <c r="X67" i="50"/>
  <c r="S168" i="50"/>
  <c r="D129" i="50"/>
  <c r="AK115" i="50"/>
  <c r="X112" i="50"/>
  <c r="AJ173" i="50"/>
  <c r="AA114" i="50"/>
  <c r="E168" i="50"/>
  <c r="AF146" i="50"/>
  <c r="W61" i="50"/>
  <c r="AD125" i="50"/>
  <c r="AW125" i="50" s="1"/>
  <c r="AA96" i="50"/>
  <c r="C91" i="50"/>
  <c r="Z125" i="50"/>
  <c r="H137" i="50"/>
  <c r="G104" i="50"/>
  <c r="AB169" i="50"/>
  <c r="P143" i="50"/>
  <c r="L99" i="50"/>
  <c r="K93" i="50"/>
  <c r="O100" i="50"/>
  <c r="AC54" i="50"/>
  <c r="J158" i="50"/>
  <c r="AC103" i="50"/>
  <c r="O135" i="50"/>
  <c r="H64" i="50"/>
  <c r="AG37" i="50"/>
  <c r="L126" i="50"/>
  <c r="U82" i="50"/>
  <c r="AB104" i="50"/>
  <c r="I134" i="50"/>
  <c r="AC124" i="50"/>
  <c r="O63" i="50"/>
  <c r="L146" i="50"/>
  <c r="I114" i="50"/>
  <c r="X189" i="50"/>
  <c r="D64" i="50"/>
  <c r="AL171" i="50"/>
  <c r="AA67" i="50"/>
  <c r="L164" i="50"/>
  <c r="W121" i="50"/>
  <c r="W120" i="50" s="1"/>
  <c r="V150" i="50"/>
  <c r="Y126" i="50"/>
  <c r="P98" i="50"/>
  <c r="Y137" i="50"/>
  <c r="S159" i="50"/>
  <c r="X34" i="50"/>
  <c r="AJ58" i="50"/>
  <c r="M105" i="50"/>
  <c r="AF172" i="50"/>
  <c r="T61" i="50"/>
  <c r="J56" i="50"/>
  <c r="N173" i="50"/>
  <c r="N65" i="50"/>
  <c r="W194" i="50"/>
  <c r="AB92" i="50"/>
  <c r="J99" i="50"/>
  <c r="AD147" i="50"/>
  <c r="Z50" i="50"/>
  <c r="AJ34" i="50"/>
  <c r="G68" i="50"/>
  <c r="F155" i="50"/>
  <c r="J67" i="50"/>
  <c r="AL61" i="50"/>
  <c r="J105" i="50"/>
  <c r="AK146" i="50"/>
  <c r="N146" i="50"/>
  <c r="AF80" i="50"/>
  <c r="H56" i="50"/>
  <c r="S101" i="50"/>
  <c r="J52" i="50"/>
  <c r="K134" i="50"/>
  <c r="W143" i="50"/>
  <c r="G156" i="50"/>
  <c r="AG101" i="50"/>
  <c r="AX101" i="50" s="1"/>
  <c r="T46" i="50"/>
  <c r="C174" i="50"/>
  <c r="AF148" i="50"/>
  <c r="AH34" i="50"/>
  <c r="H156" i="50"/>
  <c r="AE158" i="50"/>
  <c r="AG91" i="50"/>
  <c r="Y94" i="50"/>
  <c r="H36" i="50"/>
  <c r="O130" i="50"/>
  <c r="X40" i="50"/>
  <c r="AL127" i="50"/>
  <c r="P149" i="50"/>
  <c r="G98" i="50"/>
  <c r="Y81" i="50"/>
  <c r="AG165" i="50"/>
  <c r="AJ87" i="50"/>
  <c r="AY87" i="50" s="1"/>
  <c r="V121" i="50"/>
  <c r="V120" i="50" s="1"/>
  <c r="AF116" i="50"/>
  <c r="AF101" i="50"/>
  <c r="AB109" i="50"/>
  <c r="S174" i="50"/>
  <c r="V49" i="50"/>
  <c r="AI90" i="50"/>
  <c r="I63" i="50"/>
  <c r="AP63" i="50" s="1"/>
  <c r="I130" i="50"/>
  <c r="G143" i="50"/>
  <c r="AG79" i="50"/>
  <c r="K82" i="50"/>
  <c r="AA161" i="50"/>
  <c r="D116" i="50"/>
  <c r="D117" i="50"/>
  <c r="AA109" i="50"/>
  <c r="K58" i="50"/>
  <c r="U50" i="50"/>
  <c r="AE148" i="50"/>
  <c r="H194" i="50"/>
  <c r="AJ90" i="50"/>
  <c r="V98" i="50"/>
  <c r="E187" i="50"/>
  <c r="G37" i="50"/>
  <c r="AD80" i="50"/>
  <c r="E163" i="50"/>
  <c r="AE79" i="50"/>
  <c r="AH156" i="50"/>
  <c r="AE134" i="50"/>
  <c r="Y89" i="50"/>
  <c r="Z173" i="50"/>
  <c r="W102" i="50"/>
  <c r="N99" i="50"/>
  <c r="T52" i="50"/>
  <c r="W92" i="50"/>
  <c r="AD35" i="50"/>
  <c r="N161" i="50"/>
  <c r="AC94" i="50"/>
  <c r="AL116" i="50"/>
  <c r="F46" i="50"/>
  <c r="C158" i="50"/>
  <c r="R189" i="50"/>
  <c r="T174" i="50"/>
  <c r="S112" i="50"/>
  <c r="AK156" i="50"/>
  <c r="H50" i="50"/>
  <c r="Z79" i="50"/>
  <c r="D146" i="50"/>
  <c r="D145" i="50" s="1"/>
  <c r="M37" i="50"/>
  <c r="G162" i="50"/>
  <c r="C134" i="50"/>
  <c r="I118" i="50"/>
  <c r="AP118" i="50" s="1"/>
  <c r="P64" i="50"/>
  <c r="C152" i="50"/>
  <c r="AL129" i="50"/>
  <c r="O102" i="50"/>
  <c r="E102" i="50"/>
  <c r="AC174" i="50"/>
  <c r="F135" i="50"/>
  <c r="AO135" i="50" s="1"/>
  <c r="AI62" i="50"/>
  <c r="AJ77" i="50"/>
  <c r="AA80" i="50"/>
  <c r="R35" i="50"/>
  <c r="AS35" i="50" s="1"/>
  <c r="O171" i="50"/>
  <c r="P173" i="50"/>
  <c r="L167" i="50"/>
  <c r="AK189" i="50"/>
  <c r="I64" i="50"/>
  <c r="T37" i="50"/>
  <c r="AB117" i="50"/>
  <c r="X49" i="50"/>
  <c r="AU49" i="50" s="1"/>
  <c r="F182" i="50"/>
  <c r="AB165" i="50"/>
  <c r="R124" i="50"/>
  <c r="P182" i="50"/>
  <c r="AC171" i="50"/>
  <c r="AC98" i="50"/>
  <c r="K132" i="50"/>
  <c r="P82" i="50"/>
  <c r="AK132" i="50"/>
  <c r="N77" i="50"/>
  <c r="Z98" i="50"/>
  <c r="H54" i="50"/>
  <c r="M165" i="50"/>
  <c r="N152" i="50"/>
  <c r="V53" i="50"/>
  <c r="X77" i="50"/>
  <c r="H163" i="50"/>
  <c r="Y44" i="50"/>
  <c r="O159" i="50"/>
  <c r="F133" i="50"/>
  <c r="Z161" i="50"/>
  <c r="Z151" i="50"/>
  <c r="C101" i="50"/>
  <c r="P83" i="50"/>
  <c r="D143" i="50"/>
  <c r="AC55" i="50"/>
  <c r="E156" i="50"/>
  <c r="AC38" i="50"/>
  <c r="W116" i="50"/>
  <c r="J171" i="50"/>
  <c r="AK79" i="50"/>
  <c r="I66" i="50"/>
  <c r="AE152" i="50"/>
  <c r="T194" i="50"/>
  <c r="D128" i="50"/>
  <c r="Y92" i="50"/>
  <c r="AA48" i="50"/>
  <c r="I83" i="50"/>
  <c r="E104" i="50"/>
  <c r="AL54" i="50"/>
  <c r="I95" i="50"/>
  <c r="AP95" i="50" s="1"/>
  <c r="P125" i="50"/>
  <c r="AB188" i="50"/>
  <c r="E138" i="50"/>
  <c r="L121" i="50"/>
  <c r="AK96" i="50"/>
  <c r="P79" i="50"/>
  <c r="S48" i="50"/>
  <c r="N160" i="50"/>
  <c r="R172" i="50"/>
  <c r="AS172" i="50" s="1"/>
  <c r="E53" i="50"/>
  <c r="AI40" i="50"/>
  <c r="AL83" i="50"/>
  <c r="AG62" i="50"/>
  <c r="AL37" i="50"/>
  <c r="AC53" i="50"/>
  <c r="R187" i="50"/>
  <c r="N158" i="50"/>
  <c r="M121" i="50"/>
  <c r="M120" i="50" s="1"/>
  <c r="P189" i="50"/>
  <c r="I174" i="50"/>
  <c r="AP174" i="50" s="1"/>
  <c r="AC194" i="50"/>
  <c r="U94" i="50"/>
  <c r="H63" i="50"/>
  <c r="AH47" i="50"/>
  <c r="G39" i="50"/>
  <c r="E98" i="50"/>
  <c r="AA182" i="50"/>
  <c r="AC44" i="50"/>
  <c r="L160" i="50"/>
  <c r="U150" i="50"/>
  <c r="AT150" i="50" s="1"/>
  <c r="T77" i="50"/>
  <c r="L189" i="50"/>
  <c r="AD172" i="50"/>
  <c r="J147" i="50"/>
  <c r="L187" i="50"/>
  <c r="AH124" i="50"/>
  <c r="H57" i="50"/>
  <c r="Y121" i="50"/>
  <c r="Y120" i="50" s="1"/>
  <c r="W93" i="50"/>
  <c r="AB126" i="50"/>
  <c r="L96" i="50"/>
  <c r="AK98" i="50"/>
  <c r="AK168" i="50"/>
  <c r="O49" i="50"/>
  <c r="M168" i="50"/>
  <c r="M55" i="50"/>
  <c r="O170" i="50"/>
  <c r="AI139" i="50"/>
  <c r="W126" i="50"/>
  <c r="M52" i="50"/>
  <c r="R143" i="50"/>
  <c r="F113" i="50"/>
  <c r="AF174" i="50"/>
  <c r="AC151" i="50"/>
  <c r="G57" i="50"/>
  <c r="N147" i="50"/>
  <c r="AL126" i="50"/>
  <c r="AJ80" i="50"/>
  <c r="P122" i="50"/>
  <c r="AA156" i="50"/>
  <c r="D94" i="50"/>
  <c r="AD48" i="50"/>
  <c r="AW48" i="50" s="1"/>
  <c r="D79" i="50"/>
  <c r="G105" i="50"/>
  <c r="AL109" i="50"/>
  <c r="N165" i="50"/>
  <c r="C62" i="50"/>
  <c r="AA50" i="50"/>
  <c r="U66" i="50"/>
  <c r="AT66" i="50" s="1"/>
  <c r="K62" i="50"/>
  <c r="AD127" i="50"/>
  <c r="F61" i="50"/>
  <c r="AI95" i="50"/>
  <c r="AC89" i="50"/>
  <c r="K155" i="50"/>
  <c r="K154" i="50" s="1"/>
  <c r="U58" i="50"/>
  <c r="AT58" i="50" s="1"/>
  <c r="X47" i="50"/>
  <c r="AU47" i="50" s="1"/>
  <c r="D49" i="50"/>
  <c r="I93" i="50"/>
  <c r="AA103" i="50"/>
  <c r="L147" i="50"/>
  <c r="AI53" i="50"/>
  <c r="AI160" i="50"/>
  <c r="S133" i="50"/>
  <c r="AG57" i="50"/>
  <c r="R155" i="50"/>
  <c r="AD38" i="50"/>
  <c r="AH58" i="50"/>
  <c r="AC182" i="50"/>
  <c r="M101" i="50"/>
  <c r="AH79" i="50"/>
  <c r="AB132" i="50"/>
  <c r="AC87" i="50"/>
  <c r="O162" i="50"/>
  <c r="AG137" i="50"/>
  <c r="K102" i="50"/>
  <c r="AG136" i="50"/>
  <c r="AE66" i="50"/>
  <c r="AB135" i="50"/>
  <c r="X104" i="50"/>
  <c r="I129" i="50"/>
  <c r="Y152" i="50"/>
  <c r="G38" i="50"/>
  <c r="L43" i="50"/>
  <c r="L56" i="50"/>
  <c r="K173" i="50"/>
  <c r="H86" i="50"/>
  <c r="H85" i="50" s="1"/>
  <c r="AE115" i="50"/>
  <c r="C136" i="50"/>
  <c r="AF138" i="50"/>
  <c r="AH80" i="50"/>
  <c r="AJ101" i="50"/>
  <c r="J59" i="50"/>
  <c r="AJ94" i="50"/>
  <c r="P48" i="50"/>
  <c r="H109" i="50"/>
  <c r="AB56" i="50"/>
  <c r="F188" i="50"/>
  <c r="AO188" i="50" s="1"/>
  <c r="M40" i="50"/>
  <c r="V163" i="50"/>
  <c r="H189" i="50"/>
  <c r="Q134" i="50"/>
  <c r="Y40" i="50"/>
  <c r="J132" i="50"/>
  <c r="AH66" i="50"/>
  <c r="M150" i="50"/>
  <c r="D132" i="50"/>
  <c r="F167" i="50"/>
  <c r="AE90" i="50"/>
  <c r="AA168" i="50"/>
  <c r="AJ36" i="50"/>
  <c r="AI68" i="50"/>
  <c r="G36" i="50"/>
  <c r="V117" i="50"/>
  <c r="F174" i="50"/>
  <c r="W174" i="50"/>
  <c r="R137" i="50"/>
  <c r="AI48" i="50"/>
  <c r="AE169" i="50"/>
  <c r="U152" i="50"/>
  <c r="AK135" i="50"/>
  <c r="L172" i="50"/>
  <c r="AG143" i="50"/>
  <c r="E48" i="50"/>
  <c r="AA116" i="50"/>
  <c r="H90" i="50"/>
  <c r="R158" i="50"/>
  <c r="U167" i="50"/>
  <c r="K77" i="50"/>
  <c r="AE105" i="50"/>
  <c r="H159" i="50"/>
  <c r="AD89" i="50"/>
  <c r="R165" i="50"/>
  <c r="L161" i="50"/>
  <c r="AB93" i="50"/>
  <c r="W109" i="50"/>
  <c r="C194" i="50"/>
  <c r="G113" i="50"/>
  <c r="AL169" i="50"/>
  <c r="J194" i="50"/>
  <c r="AF156" i="50"/>
  <c r="Z187" i="50"/>
  <c r="U64" i="50"/>
  <c r="I189" i="50"/>
  <c r="AL118" i="50"/>
  <c r="AE109" i="50"/>
  <c r="N35" i="50"/>
  <c r="AG77" i="50"/>
  <c r="W101" i="50"/>
  <c r="E80" i="50"/>
  <c r="AG152" i="50"/>
  <c r="AD162" i="50"/>
  <c r="R105" i="50"/>
  <c r="AL128" i="50"/>
  <c r="D40" i="50"/>
  <c r="X50" i="50"/>
  <c r="T104" i="50"/>
  <c r="AH161" i="50"/>
  <c r="AH115" i="50"/>
  <c r="I121" i="50"/>
  <c r="AJ46" i="50"/>
  <c r="D155" i="50"/>
  <c r="J34" i="50"/>
  <c r="K40" i="50"/>
  <c r="T81" i="50"/>
  <c r="K189" i="50"/>
  <c r="AH147" i="50"/>
  <c r="G112" i="50"/>
  <c r="AF121" i="50"/>
  <c r="AD59" i="50"/>
  <c r="AW59" i="50" s="1"/>
  <c r="F137" i="50"/>
  <c r="AO137" i="50" s="1"/>
  <c r="AH91" i="50"/>
  <c r="O194" i="50"/>
  <c r="L98" i="50"/>
  <c r="AE36" i="50"/>
  <c r="AL93" i="50"/>
  <c r="I104" i="50"/>
  <c r="V35" i="50"/>
  <c r="R113" i="50"/>
  <c r="G115" i="50"/>
  <c r="O113" i="50"/>
  <c r="P39" i="50"/>
  <c r="E95" i="50"/>
  <c r="V89" i="50"/>
  <c r="V88" i="50" s="1"/>
  <c r="AL98" i="50"/>
  <c r="G102" i="50"/>
  <c r="F189" i="50"/>
  <c r="P163" i="50"/>
  <c r="Z105" i="50"/>
  <c r="X79" i="50"/>
  <c r="S164" i="50"/>
  <c r="H98" i="50"/>
  <c r="AJ62" i="50"/>
  <c r="J103" i="50"/>
  <c r="T167" i="50"/>
  <c r="AB103" i="50"/>
  <c r="AA155" i="50"/>
  <c r="AH158" i="50"/>
  <c r="N96" i="50"/>
  <c r="AB43" i="50"/>
  <c r="AB42" i="50" s="1"/>
  <c r="R95" i="50"/>
  <c r="AB147" i="50"/>
  <c r="Q163" i="50"/>
  <c r="S118" i="50"/>
  <c r="H161" i="50"/>
  <c r="AH165" i="50"/>
  <c r="E38" i="50"/>
  <c r="AB105" i="50"/>
  <c r="AF129" i="50"/>
  <c r="J116" i="50"/>
  <c r="AB124" i="50"/>
  <c r="C65" i="50"/>
  <c r="N170" i="50"/>
  <c r="AH62" i="50"/>
  <c r="J93" i="50"/>
  <c r="AE160" i="50"/>
  <c r="U134" i="50"/>
  <c r="E105" i="50"/>
  <c r="J61" i="50"/>
  <c r="Y83" i="50"/>
  <c r="G80" i="50"/>
  <c r="AJ35" i="50"/>
  <c r="N104" i="50"/>
  <c r="Q132" i="50"/>
  <c r="G96" i="50"/>
  <c r="AI35" i="50"/>
  <c r="AI155" i="50"/>
  <c r="AI154" i="50" s="1"/>
  <c r="X167" i="50"/>
  <c r="S38" i="50"/>
  <c r="AJ53" i="50"/>
  <c r="C58" i="50"/>
  <c r="AI100" i="50"/>
  <c r="Y103" i="50"/>
  <c r="N187" i="50"/>
  <c r="N190" i="50" s="1"/>
  <c r="M67" i="50"/>
  <c r="I61" i="50"/>
  <c r="AE89" i="50"/>
  <c r="AE88" i="50" s="1"/>
  <c r="T49" i="50"/>
  <c r="X58" i="50"/>
  <c r="AE117" i="50"/>
  <c r="G109" i="50"/>
  <c r="P147" i="50"/>
  <c r="D37" i="50"/>
  <c r="J65" i="50"/>
  <c r="N34" i="50"/>
  <c r="G52" i="50"/>
  <c r="C100" i="50"/>
  <c r="P138" i="50"/>
  <c r="AG121" i="50"/>
  <c r="T135" i="50"/>
  <c r="F128" i="50"/>
  <c r="AO128" i="50" s="1"/>
  <c r="AC100" i="50"/>
  <c r="K89" i="50"/>
  <c r="AG135" i="50"/>
  <c r="W127" i="50"/>
  <c r="I150" i="50"/>
  <c r="Z91" i="50"/>
  <c r="F93" i="50"/>
  <c r="Q143" i="50"/>
  <c r="AK117" i="50"/>
  <c r="Q65" i="50"/>
  <c r="H112" i="50"/>
  <c r="R188" i="50"/>
  <c r="AB167" i="50"/>
  <c r="E164" i="50"/>
  <c r="Z115" i="50"/>
  <c r="AF167" i="50"/>
  <c r="AG61" i="50"/>
  <c r="AA137" i="50"/>
  <c r="V171" i="50"/>
  <c r="AE46" i="50"/>
  <c r="Y95" i="50"/>
  <c r="AC163" i="50"/>
  <c r="AH133" i="50"/>
  <c r="R128" i="50"/>
  <c r="L124" i="50"/>
  <c r="D54" i="50"/>
  <c r="AD81" i="50"/>
  <c r="AH188" i="50"/>
  <c r="W94" i="50"/>
  <c r="AH48" i="50"/>
  <c r="N109" i="50"/>
  <c r="C53" i="50"/>
  <c r="AF112" i="50"/>
  <c r="C79" i="50"/>
  <c r="G164" i="50"/>
  <c r="P34" i="50"/>
  <c r="S128" i="50"/>
  <c r="T100" i="50"/>
  <c r="D170" i="50"/>
  <c r="E89" i="50"/>
  <c r="AA94" i="50"/>
  <c r="AI165" i="50"/>
  <c r="Y118" i="50"/>
  <c r="X128" i="50"/>
  <c r="AU128" i="50" s="1"/>
  <c r="AD167" i="50"/>
  <c r="AD130" i="50"/>
  <c r="Y117" i="50"/>
  <c r="AC104" i="50"/>
  <c r="J182" i="50"/>
  <c r="AG156" i="50"/>
  <c r="AF91" i="50"/>
  <c r="T57" i="50"/>
  <c r="T105" i="50"/>
  <c r="R134" i="50"/>
  <c r="AS134" i="50" s="1"/>
  <c r="G194" i="50"/>
  <c r="Q122" i="50"/>
  <c r="C137" i="50"/>
  <c r="S100" i="50"/>
  <c r="Q104" i="50"/>
  <c r="AB66" i="50"/>
  <c r="W47" i="50"/>
  <c r="G99" i="50"/>
  <c r="AL135" i="50"/>
  <c r="AB118" i="50"/>
  <c r="AA170" i="50"/>
  <c r="Y114" i="50"/>
  <c r="AH130" i="50"/>
  <c r="Q159" i="50"/>
  <c r="AI125" i="50"/>
  <c r="K122" i="50"/>
  <c r="E44" i="50"/>
  <c r="V160" i="50"/>
  <c r="W152" i="50"/>
  <c r="Q174" i="50"/>
  <c r="P103" i="50"/>
  <c r="AH169" i="50"/>
  <c r="J94" i="50"/>
  <c r="T115" i="50"/>
  <c r="H102" i="50"/>
  <c r="C143" i="50"/>
  <c r="AC139" i="50"/>
  <c r="H59" i="50"/>
  <c r="O160" i="50"/>
  <c r="AJ105" i="50"/>
  <c r="G61" i="50"/>
  <c r="I77" i="50"/>
  <c r="U121" i="50"/>
  <c r="N38" i="50"/>
  <c r="AI159" i="50"/>
  <c r="AF139" i="50"/>
  <c r="F44" i="50"/>
  <c r="R89" i="50"/>
  <c r="AL113" i="50"/>
  <c r="P49" i="50"/>
  <c r="H103" i="50"/>
  <c r="Y34" i="50"/>
  <c r="P87" i="50"/>
  <c r="S43" i="50"/>
  <c r="AK170" i="50"/>
  <c r="L170" i="50"/>
  <c r="AD49" i="50"/>
  <c r="AL79" i="50"/>
  <c r="W112" i="50"/>
  <c r="AA56" i="50"/>
  <c r="S155" i="50"/>
  <c r="S154" i="50" s="1"/>
  <c r="O47" i="50"/>
  <c r="V136" i="50"/>
  <c r="M172" i="50"/>
  <c r="D156" i="50"/>
  <c r="V46" i="50"/>
  <c r="O36" i="50"/>
  <c r="G116" i="50"/>
  <c r="AA130" i="50"/>
  <c r="Y174" i="50"/>
  <c r="D104" i="50"/>
  <c r="P109" i="50"/>
  <c r="R130" i="50"/>
  <c r="R117" i="50"/>
  <c r="W50" i="50"/>
  <c r="C61" i="50"/>
  <c r="AB34" i="50"/>
  <c r="G189" i="50"/>
  <c r="AF38" i="50"/>
  <c r="X48" i="50"/>
  <c r="AU48" i="50" s="1"/>
  <c r="AB98" i="50"/>
  <c r="AH50" i="50"/>
  <c r="L103" i="50"/>
  <c r="AC68" i="50"/>
  <c r="AF64" i="50"/>
  <c r="U138" i="50"/>
  <c r="AT138" i="50" s="1"/>
  <c r="AD109" i="50"/>
  <c r="AW109" i="50" s="1"/>
  <c r="Z78" i="50"/>
  <c r="P38" i="50"/>
  <c r="G187" i="50"/>
  <c r="G190" i="50" s="1"/>
  <c r="AD122" i="50"/>
  <c r="AD103" i="50"/>
  <c r="AJ81" i="50"/>
  <c r="I50" i="50"/>
  <c r="O98" i="50"/>
  <c r="AE122" i="50"/>
  <c r="W189" i="50"/>
  <c r="Q101" i="50"/>
  <c r="L91" i="50"/>
  <c r="AI122" i="50"/>
  <c r="C89" i="50"/>
  <c r="U47" i="50"/>
  <c r="J113" i="50"/>
  <c r="AH39" i="50"/>
  <c r="F91" i="50"/>
  <c r="W52" i="50"/>
  <c r="AL114" i="50"/>
  <c r="U39" i="50"/>
  <c r="AK171" i="50"/>
  <c r="AD34" i="50"/>
  <c r="AK128" i="50"/>
  <c r="H105" i="50"/>
  <c r="AL105" i="50"/>
  <c r="U52" i="50"/>
  <c r="G147" i="50"/>
  <c r="F159" i="50"/>
  <c r="U98" i="50"/>
  <c r="M139" i="50"/>
  <c r="AK64" i="50"/>
  <c r="AA162" i="50"/>
  <c r="L94" i="50"/>
  <c r="V159" i="50"/>
  <c r="AB172" i="50"/>
  <c r="E63" i="50"/>
  <c r="S163" i="50"/>
  <c r="AK112" i="50"/>
  <c r="S139" i="50"/>
  <c r="I34" i="50"/>
  <c r="AG189" i="50"/>
  <c r="F172" i="50"/>
  <c r="AO172" i="50" s="1"/>
  <c r="AH148" i="50"/>
  <c r="R38" i="50"/>
  <c r="AL163" i="50"/>
  <c r="AF55" i="50"/>
  <c r="E130" i="50"/>
  <c r="C102" i="50"/>
  <c r="T173" i="50"/>
  <c r="AG115" i="50"/>
  <c r="AB114" i="50"/>
  <c r="U113" i="50"/>
  <c r="AE35" i="50"/>
  <c r="AJ169" i="50"/>
  <c r="Z130" i="50"/>
  <c r="W62" i="50"/>
  <c r="AA189" i="50"/>
  <c r="AK116" i="50"/>
  <c r="H114" i="50"/>
  <c r="I152" i="50"/>
  <c r="AK125" i="50"/>
  <c r="X55" i="50"/>
  <c r="AI105" i="50"/>
  <c r="M80" i="50"/>
  <c r="G173" i="50"/>
  <c r="S132" i="50"/>
  <c r="AD148" i="50"/>
  <c r="E59" i="50"/>
  <c r="O151" i="50"/>
  <c r="AI127" i="50"/>
  <c r="X65" i="50"/>
  <c r="AU65" i="50" s="1"/>
  <c r="O165" i="50"/>
  <c r="U96" i="50"/>
  <c r="G44" i="50"/>
  <c r="AA125" i="50"/>
  <c r="AF56" i="50"/>
  <c r="D182" i="50"/>
  <c r="Q125" i="50"/>
  <c r="AJ38" i="50"/>
  <c r="AY38" i="50" s="1"/>
  <c r="Z127" i="50"/>
  <c r="R159" i="50"/>
  <c r="AS159" i="50" s="1"/>
  <c r="J77" i="50"/>
  <c r="AI65" i="50"/>
  <c r="AA127" i="50"/>
  <c r="AJ91" i="50"/>
  <c r="AB187" i="50"/>
  <c r="M90" i="50"/>
  <c r="J80" i="50"/>
  <c r="AB163" i="50"/>
  <c r="L122" i="50"/>
  <c r="AQ122" i="50" s="1"/>
  <c r="W80" i="50"/>
  <c r="AK100" i="50"/>
  <c r="S137" i="50"/>
  <c r="N64" i="50"/>
  <c r="K139" i="50"/>
  <c r="AP139" i="50" s="1"/>
  <c r="H134" i="50"/>
  <c r="AL143" i="50"/>
  <c r="T165" i="50"/>
  <c r="U115" i="50"/>
  <c r="W146" i="50"/>
  <c r="S66" i="50"/>
  <c r="U101" i="50"/>
  <c r="AC132" i="50"/>
  <c r="AA187" i="50"/>
  <c r="AK77" i="50"/>
  <c r="F134" i="50"/>
  <c r="H89" i="50"/>
  <c r="H88" i="50" s="1"/>
  <c r="D189" i="50"/>
  <c r="S61" i="50"/>
  <c r="H149" i="50"/>
  <c r="C67" i="50"/>
  <c r="AC150" i="50"/>
  <c r="Q115" i="50"/>
  <c r="AG99" i="50"/>
  <c r="AC58" i="50"/>
  <c r="Z132" i="50"/>
  <c r="E40" i="50"/>
  <c r="T93" i="50"/>
  <c r="R164" i="50"/>
  <c r="AL91" i="50"/>
  <c r="L55" i="50"/>
  <c r="Q130" i="50"/>
  <c r="T67" i="50"/>
  <c r="N126" i="50"/>
  <c r="P128" i="50"/>
  <c r="D38" i="50"/>
  <c r="M134" i="50"/>
  <c r="S182" i="50"/>
  <c r="AL160" i="50"/>
  <c r="AB100" i="50"/>
  <c r="O82" i="50"/>
  <c r="AA55" i="50"/>
  <c r="AI78" i="50"/>
  <c r="AH61" i="50"/>
  <c r="AF158" i="50"/>
  <c r="AF157" i="50" s="1"/>
  <c r="W182" i="50"/>
  <c r="S93" i="50"/>
  <c r="S34" i="50"/>
  <c r="S33" i="50" s="1"/>
  <c r="AB168" i="50"/>
  <c r="S95" i="50"/>
  <c r="AE64" i="50"/>
  <c r="K152" i="50"/>
  <c r="AD129" i="50"/>
  <c r="AL159" i="50"/>
  <c r="AI80" i="50"/>
  <c r="AL90" i="50"/>
  <c r="AJ128" i="50"/>
  <c r="AY128" i="50" s="1"/>
  <c r="I78" i="50"/>
  <c r="O58" i="50"/>
  <c r="H96" i="50"/>
  <c r="H121" i="50"/>
  <c r="H120" i="50" s="1"/>
  <c r="M187" i="50"/>
  <c r="AK124" i="50"/>
  <c r="Z137" i="50"/>
  <c r="P172" i="50"/>
  <c r="AJ59" i="50"/>
  <c r="AF82" i="50"/>
  <c r="Z58" i="50"/>
  <c r="P126" i="50"/>
  <c r="D138" i="50"/>
  <c r="AI59" i="50"/>
  <c r="AL121" i="50"/>
  <c r="AL120" i="50" s="1"/>
  <c r="V50" i="50"/>
  <c r="S109" i="50"/>
  <c r="O64" i="50"/>
  <c r="R173" i="50"/>
  <c r="AI86" i="50"/>
  <c r="AB91" i="50"/>
  <c r="AK127" i="50"/>
  <c r="W103" i="50"/>
  <c r="X44" i="50"/>
  <c r="N68" i="50"/>
  <c r="AK194" i="50"/>
  <c r="R62" i="50"/>
  <c r="AF182" i="50"/>
  <c r="R48" i="50"/>
  <c r="AS48" i="50" s="1"/>
  <c r="K80" i="50"/>
  <c r="R34" i="50"/>
  <c r="J112" i="50"/>
  <c r="L169" i="50"/>
  <c r="AQ169" i="50" s="1"/>
  <c r="AE58" i="50"/>
  <c r="T50" i="50"/>
  <c r="X56" i="50"/>
  <c r="AU56" i="50" s="1"/>
  <c r="K162" i="50"/>
  <c r="AF118" i="50"/>
  <c r="AG150" i="50"/>
  <c r="AX150" i="50" s="1"/>
  <c r="T116" i="50"/>
  <c r="V134" i="50"/>
  <c r="T103" i="50"/>
  <c r="E118" i="50"/>
  <c r="C146" i="50"/>
  <c r="AI161" i="50"/>
  <c r="AF165" i="50"/>
  <c r="T155" i="50"/>
  <c r="AJ137" i="50"/>
  <c r="AY137" i="50" s="1"/>
  <c r="W165" i="50"/>
  <c r="K125" i="50"/>
  <c r="P46" i="50"/>
  <c r="P45" i="50" s="1"/>
  <c r="V68" i="50"/>
  <c r="J101" i="50"/>
  <c r="T92" i="50"/>
  <c r="AG89" i="50"/>
  <c r="Q50" i="50"/>
  <c r="J54" i="50"/>
  <c r="M124" i="50"/>
  <c r="M123" i="50" s="1"/>
  <c r="AD92" i="50"/>
  <c r="AH53" i="50"/>
  <c r="R101" i="50"/>
  <c r="AS101" i="50" s="1"/>
  <c r="N36" i="50"/>
  <c r="AJ86" i="50"/>
  <c r="C48" i="50"/>
  <c r="J87" i="50"/>
  <c r="M93" i="50"/>
  <c r="AG46" i="50"/>
  <c r="AI44" i="50"/>
  <c r="M163" i="50"/>
  <c r="AE170" i="50"/>
  <c r="Q127" i="50"/>
  <c r="M188" i="50"/>
  <c r="AI98" i="50"/>
  <c r="V135" i="50"/>
  <c r="G114" i="50"/>
  <c r="J133" i="50"/>
  <c r="AL43" i="50"/>
  <c r="AL42" i="50" s="1"/>
  <c r="AC93" i="50"/>
  <c r="F94" i="50"/>
  <c r="AO94" i="50" s="1"/>
  <c r="X83" i="50"/>
  <c r="AJ135" i="50"/>
  <c r="L148" i="50"/>
  <c r="AA101" i="50"/>
  <c r="O117" i="50"/>
  <c r="F79" i="50"/>
  <c r="N49" i="50"/>
  <c r="I35" i="50"/>
  <c r="AP35" i="50" s="1"/>
  <c r="AE52" i="50"/>
  <c r="AI187" i="50"/>
  <c r="AI190" i="50" s="1"/>
  <c r="AL89" i="50"/>
  <c r="W98" i="50"/>
  <c r="W97" i="50" s="1"/>
  <c r="M170" i="50"/>
  <c r="G56" i="50"/>
  <c r="H49" i="50"/>
  <c r="H162" i="50"/>
  <c r="M158" i="50"/>
  <c r="V78" i="50"/>
  <c r="Q147" i="50"/>
  <c r="AI170" i="50"/>
  <c r="D114" i="50"/>
  <c r="AG104" i="50"/>
  <c r="AX104" i="50" s="1"/>
  <c r="K126" i="50"/>
  <c r="AE53" i="50"/>
  <c r="U187" i="50"/>
  <c r="X96" i="50"/>
  <c r="AU96" i="50" s="1"/>
  <c r="M54" i="50"/>
  <c r="Q149" i="50"/>
  <c r="Z57" i="50"/>
  <c r="AD95" i="50"/>
  <c r="Q86" i="50"/>
  <c r="Q85" i="50" s="1"/>
  <c r="W46" i="50"/>
  <c r="N121" i="50"/>
  <c r="N120" i="50" s="1"/>
  <c r="V172" i="50"/>
  <c r="E87" i="50"/>
  <c r="AD115" i="50"/>
  <c r="M146" i="50"/>
  <c r="M145" i="50" s="1"/>
  <c r="Y168" i="50"/>
  <c r="AE65" i="50"/>
  <c r="J114" i="50"/>
  <c r="AL53" i="50"/>
  <c r="V48" i="50"/>
  <c r="AF150" i="50"/>
  <c r="R77" i="50"/>
  <c r="K128" i="50"/>
  <c r="X138" i="50"/>
  <c r="AU138" i="50" s="1"/>
  <c r="Q81" i="50"/>
  <c r="S113" i="50"/>
  <c r="AB121" i="50"/>
  <c r="AB120" i="50" s="1"/>
  <c r="H173" i="50"/>
  <c r="I172" i="50"/>
  <c r="AP172" i="50" s="1"/>
  <c r="AC102" i="50"/>
  <c r="Z188" i="50"/>
  <c r="E133" i="50"/>
  <c r="AJ78" i="50"/>
  <c r="AY78" i="50" s="1"/>
  <c r="AA160" i="50"/>
  <c r="V77" i="50"/>
  <c r="J40" i="50"/>
  <c r="G82" i="50"/>
  <c r="AL187" i="50"/>
  <c r="AL190" i="50" s="1"/>
  <c r="F130" i="50"/>
  <c r="R121" i="50"/>
  <c r="AL130" i="50"/>
  <c r="AE135" i="50"/>
  <c r="AG167" i="50"/>
  <c r="AB148" i="50"/>
  <c r="U105" i="50"/>
  <c r="AT105" i="50" s="1"/>
  <c r="AC78" i="50"/>
  <c r="L174" i="50"/>
  <c r="AQ174" i="50" s="1"/>
  <c r="G169" i="50"/>
  <c r="Z101" i="50"/>
  <c r="Y158" i="50"/>
  <c r="Y157" i="50" s="1"/>
  <c r="X52" i="50"/>
  <c r="AB80" i="50"/>
  <c r="D89" i="50"/>
  <c r="D88" i="50" s="1"/>
  <c r="Z90" i="50"/>
  <c r="D194" i="50"/>
  <c r="AK56" i="50"/>
  <c r="O105" i="50"/>
  <c r="C163" i="50"/>
  <c r="AF37" i="50"/>
  <c r="AD64" i="50"/>
  <c r="U151" i="50"/>
  <c r="AK55" i="50"/>
  <c r="E77" i="50"/>
  <c r="E76" i="50" s="1"/>
  <c r="Q138" i="50"/>
  <c r="V57" i="50"/>
  <c r="Q152" i="50"/>
  <c r="H164" i="50"/>
  <c r="AO164" i="50" s="1"/>
  <c r="W34" i="50"/>
  <c r="U44" i="50"/>
  <c r="AT44" i="50" s="1"/>
  <c r="N118" i="50"/>
  <c r="Y147" i="50"/>
  <c r="J58" i="50"/>
  <c r="M114" i="50"/>
  <c r="F118" i="50"/>
  <c r="AJ50" i="50"/>
  <c r="AY50" i="50" s="1"/>
  <c r="V182" i="50"/>
  <c r="AA148" i="50"/>
  <c r="W37" i="50"/>
  <c r="AI87" i="50"/>
  <c r="AD100" i="50"/>
  <c r="AW100" i="50" s="1"/>
  <c r="U79" i="50"/>
  <c r="AT79" i="50" s="1"/>
  <c r="N91" i="50"/>
  <c r="AB81" i="50"/>
  <c r="F78" i="50"/>
  <c r="F122" i="50"/>
  <c r="AO122" i="50" s="1"/>
  <c r="W49" i="50"/>
  <c r="AG36" i="50"/>
  <c r="AX36" i="50" s="1"/>
  <c r="AB47" i="50"/>
  <c r="AC122" i="50"/>
  <c r="K116" i="50"/>
  <c r="AA163" i="50"/>
  <c r="Y151" i="50"/>
  <c r="AD149" i="50"/>
  <c r="K103" i="50"/>
  <c r="S50" i="50"/>
  <c r="O59" i="50"/>
  <c r="AJ83" i="50"/>
  <c r="AH122" i="50"/>
  <c r="K43" i="50"/>
  <c r="AE50" i="50"/>
  <c r="AC66" i="50"/>
  <c r="AI64" i="50"/>
  <c r="L89" i="50"/>
  <c r="R104" i="50"/>
  <c r="P40" i="50"/>
  <c r="R194" i="50"/>
  <c r="Z117" i="50"/>
  <c r="I44" i="50"/>
  <c r="H65" i="50"/>
  <c r="D43" i="50"/>
  <c r="D42" i="50" s="1"/>
  <c r="C35" i="50"/>
  <c r="X39" i="50"/>
  <c r="AU39" i="50" s="1"/>
  <c r="E55" i="50"/>
  <c r="AE194" i="50"/>
  <c r="V158" i="50"/>
  <c r="R67" i="50"/>
  <c r="AF89" i="50"/>
  <c r="V165" i="50"/>
  <c r="AJ99" i="50"/>
  <c r="Z170" i="50"/>
  <c r="N40" i="50"/>
  <c r="L155" i="50"/>
  <c r="Z44" i="50"/>
  <c r="N83" i="50"/>
  <c r="T98" i="50"/>
  <c r="AI174" i="50"/>
  <c r="AD163" i="50"/>
  <c r="H160" i="50"/>
  <c r="E66" i="50"/>
  <c r="Z139" i="50"/>
  <c r="W38" i="50"/>
  <c r="R86" i="50"/>
  <c r="M116" i="50"/>
  <c r="AB82" i="50"/>
  <c r="AG168" i="50"/>
  <c r="AX168" i="50" s="1"/>
  <c r="D58" i="50"/>
  <c r="Z89" i="50"/>
  <c r="AD44" i="50"/>
  <c r="C83" i="50"/>
  <c r="D163" i="50"/>
  <c r="T117" i="50"/>
  <c r="AH125" i="50"/>
  <c r="O37" i="50"/>
  <c r="Y164" i="50"/>
  <c r="J138" i="50"/>
  <c r="K135" i="50"/>
  <c r="AC37" i="50"/>
  <c r="C38" i="50"/>
  <c r="AF90" i="50"/>
  <c r="Y58" i="50"/>
  <c r="AG40" i="50"/>
  <c r="N61" i="50"/>
  <c r="M137" i="50"/>
  <c r="R115" i="50"/>
  <c r="O38" i="50"/>
  <c r="AE44" i="50"/>
  <c r="X149" i="50"/>
  <c r="J122" i="50"/>
  <c r="D109" i="50"/>
  <c r="T156" i="50"/>
  <c r="AI99" i="50"/>
  <c r="Y46" i="50"/>
  <c r="Y45" i="50" s="1"/>
  <c r="N54" i="50"/>
  <c r="E159" i="50"/>
  <c r="AC101" i="50"/>
  <c r="S52" i="50"/>
  <c r="F62" i="50"/>
  <c r="Y194" i="50"/>
  <c r="V47" i="50"/>
  <c r="AI66" i="50"/>
  <c r="AD168" i="50"/>
  <c r="AW168" i="50" s="1"/>
  <c r="O87" i="50"/>
  <c r="AF40" i="50"/>
  <c r="AE38" i="50"/>
  <c r="V55" i="50"/>
  <c r="T64" i="50"/>
  <c r="L37" i="50"/>
  <c r="G160" i="50"/>
  <c r="AI39" i="50"/>
  <c r="V103" i="50"/>
  <c r="S96" i="50"/>
  <c r="Y112" i="50"/>
  <c r="J189" i="50"/>
  <c r="AA128" i="50"/>
  <c r="F47" i="50"/>
  <c r="AO47" i="50" s="1"/>
  <c r="I79" i="50"/>
  <c r="N163" i="50"/>
  <c r="E58" i="50"/>
  <c r="AA124" i="50"/>
  <c r="AK54" i="50"/>
  <c r="V115" i="50"/>
  <c r="Y43" i="50"/>
  <c r="Y42" i="50" s="1"/>
  <c r="F148" i="50"/>
  <c r="AO148" i="50" s="1"/>
  <c r="J47" i="50"/>
  <c r="Z158" i="50"/>
  <c r="AG161" i="50"/>
  <c r="G155" i="50"/>
  <c r="G154" i="50" s="1"/>
  <c r="T54" i="50"/>
  <c r="W151" i="50"/>
  <c r="AE139" i="50"/>
  <c r="S104" i="50"/>
  <c r="AL146" i="50"/>
  <c r="AE67" i="50"/>
  <c r="O114" i="50"/>
  <c r="AH126" i="50"/>
  <c r="AI83" i="50"/>
  <c r="C151" i="50"/>
  <c r="F126" i="50"/>
  <c r="D82" i="50"/>
  <c r="AN82" i="50" s="1"/>
  <c r="C133" i="50"/>
  <c r="J81" i="50"/>
  <c r="V99" i="50"/>
  <c r="AC134" i="50"/>
  <c r="AL86" i="50"/>
  <c r="AL85" i="50" s="1"/>
  <c r="G136" i="50"/>
  <c r="I194" i="50"/>
  <c r="I156" i="50"/>
  <c r="AP156" i="50" s="1"/>
  <c r="C156" i="50"/>
  <c r="AG35" i="50"/>
  <c r="AX35" i="50" s="1"/>
  <c r="G59" i="50"/>
  <c r="W161" i="50"/>
  <c r="R118" i="50"/>
  <c r="AS118" i="50" s="1"/>
  <c r="AH128" i="50"/>
  <c r="S161" i="50"/>
  <c r="M100" i="50"/>
  <c r="AH109" i="50"/>
  <c r="AH43" i="50"/>
  <c r="AH42" i="50" s="1"/>
  <c r="AF149" i="50"/>
  <c r="AK34" i="50"/>
  <c r="J127" i="50"/>
  <c r="H130" i="50"/>
  <c r="AO130" i="50" s="1"/>
  <c r="Y102" i="50"/>
  <c r="AJ152" i="50"/>
  <c r="AY152" i="50" s="1"/>
  <c r="AE94" i="50"/>
  <c r="AE162" i="50"/>
  <c r="K130" i="50"/>
  <c r="AG182" i="50"/>
  <c r="G93" i="50"/>
  <c r="F56" i="50"/>
  <c r="M133" i="50"/>
  <c r="J49" i="50"/>
  <c r="O174" i="50"/>
  <c r="Y35" i="50"/>
  <c r="AJ168" i="50"/>
  <c r="AY168" i="50" s="1"/>
  <c r="M82" i="50"/>
  <c r="AJ162" i="50"/>
  <c r="W67" i="50"/>
  <c r="O46" i="50"/>
  <c r="M132" i="50"/>
  <c r="K188" i="50"/>
  <c r="AP188" i="50" s="1"/>
  <c r="R93" i="50"/>
  <c r="AK160" i="50"/>
  <c r="N47" i="50"/>
  <c r="Y36" i="50"/>
  <c r="G126" i="50"/>
  <c r="S126" i="50"/>
  <c r="G62" i="50"/>
  <c r="D172" i="50"/>
  <c r="AC130" i="50"/>
  <c r="G158" i="50"/>
  <c r="V34" i="50"/>
  <c r="AC91" i="50"/>
  <c r="W56" i="50"/>
  <c r="S122" i="50"/>
  <c r="AE56" i="50"/>
  <c r="C171" i="50"/>
  <c r="J143" i="50"/>
  <c r="AK62" i="50"/>
  <c r="M109" i="50"/>
  <c r="AH83" i="50"/>
  <c r="N48" i="50"/>
  <c r="AF151" i="50"/>
  <c r="C117" i="50"/>
  <c r="I39" i="50"/>
  <c r="AP39" i="50" s="1"/>
  <c r="M161" i="50"/>
  <c r="F55" i="50"/>
  <c r="AO55" i="50" s="1"/>
  <c r="AH146" i="50"/>
  <c r="AH145" i="50" s="1"/>
  <c r="P165" i="50"/>
  <c r="AJ194" i="50"/>
  <c r="Z147" i="50"/>
  <c r="J79" i="50"/>
  <c r="O125" i="50"/>
  <c r="R81" i="50"/>
  <c r="T143" i="50"/>
  <c r="F109" i="50"/>
  <c r="Q194" i="50"/>
  <c r="AE49" i="50"/>
  <c r="X95" i="50"/>
  <c r="U117" i="50"/>
  <c r="AT117" i="50" s="1"/>
  <c r="AG87" i="50"/>
  <c r="AJ126" i="50"/>
  <c r="J152" i="50"/>
  <c r="AL62" i="50"/>
  <c r="R167" i="50"/>
  <c r="J151" i="50"/>
  <c r="U112" i="50"/>
  <c r="AG102" i="50"/>
  <c r="AX102" i="50" s="1"/>
  <c r="AB49" i="50"/>
  <c r="AB95" i="50"/>
  <c r="G89" i="50"/>
  <c r="X124" i="50"/>
  <c r="AH182" i="50"/>
  <c r="O62" i="50"/>
  <c r="I89" i="50"/>
  <c r="AD146" i="50"/>
  <c r="AK81" i="50"/>
  <c r="P151" i="50"/>
  <c r="R168" i="50"/>
  <c r="AS168" i="50" s="1"/>
  <c r="AC77" i="50"/>
  <c r="Y77" i="50"/>
  <c r="J109" i="50"/>
  <c r="R87" i="50"/>
  <c r="F187" i="50"/>
  <c r="M86" i="50"/>
  <c r="M85" i="50" s="1"/>
  <c r="AB40" i="50"/>
  <c r="AE95" i="50"/>
  <c r="AC99" i="50"/>
  <c r="S80" i="50"/>
  <c r="T86" i="50"/>
  <c r="T85" i="50" s="1"/>
  <c r="N82" i="50"/>
  <c r="T130" i="50"/>
  <c r="J53" i="50"/>
  <c r="AP53" i="50" s="1"/>
  <c r="Y115" i="50"/>
  <c r="AC173" i="50"/>
  <c r="U35" i="50"/>
  <c r="AT35" i="50" s="1"/>
  <c r="M91" i="50"/>
  <c r="T169" i="50"/>
  <c r="W159" i="50"/>
  <c r="G95" i="50"/>
  <c r="AO95" i="50" s="1"/>
  <c r="Q168" i="50"/>
  <c r="K94" i="50"/>
  <c r="R152" i="50"/>
  <c r="AJ170" i="50"/>
  <c r="AY170" i="50" s="1"/>
  <c r="R98" i="50"/>
  <c r="AL102" i="50"/>
  <c r="D124" i="50"/>
  <c r="AE40" i="50"/>
  <c r="V96" i="50"/>
  <c r="Y116" i="50"/>
  <c r="E116" i="50"/>
  <c r="AG94" i="50"/>
  <c r="AB65" i="50"/>
  <c r="AI50" i="50"/>
  <c r="AL59" i="50"/>
  <c r="U158" i="50"/>
  <c r="AI169" i="50"/>
  <c r="I48" i="50"/>
  <c r="AP48" i="50" s="1"/>
  <c r="Z35" i="50"/>
  <c r="M160" i="50"/>
  <c r="G43" i="50"/>
  <c r="G42" i="50" s="1"/>
  <c r="V61" i="50"/>
  <c r="V60" i="50" s="1"/>
  <c r="AF92" i="50"/>
  <c r="N52" i="50"/>
  <c r="S67" i="50"/>
  <c r="M89" i="50"/>
  <c r="E121" i="50"/>
  <c r="E120" i="50" s="1"/>
  <c r="AF96" i="50"/>
  <c r="W162" i="50"/>
  <c r="M96" i="50"/>
  <c r="M38" i="50"/>
  <c r="Q146" i="50"/>
  <c r="AL67" i="50"/>
  <c r="T68" i="50"/>
  <c r="Q103" i="50"/>
  <c r="F67" i="50"/>
  <c r="AO67" i="50" s="1"/>
  <c r="F115" i="50"/>
  <c r="AO115" i="50" s="1"/>
  <c r="AJ43" i="50"/>
  <c r="E34" i="50"/>
  <c r="AH164" i="50"/>
  <c r="AH167" i="50"/>
  <c r="O122" i="50"/>
  <c r="AC34" i="50"/>
  <c r="L46" i="50"/>
  <c r="T62" i="50"/>
  <c r="X89" i="50"/>
  <c r="Q39" i="50"/>
  <c r="C139" i="50"/>
  <c r="AG169" i="50"/>
  <c r="AX169" i="50" s="1"/>
  <c r="AJ129" i="50"/>
  <c r="AY129" i="50" s="1"/>
  <c r="Q80" i="50"/>
  <c r="AB113" i="50"/>
  <c r="AC86" i="50"/>
  <c r="AC85" i="50" s="1"/>
  <c r="AA121" i="50"/>
  <c r="AL35" i="50"/>
  <c r="G91" i="50"/>
  <c r="AH81" i="50"/>
  <c r="C116" i="50"/>
  <c r="AD67" i="50"/>
  <c r="X36" i="50"/>
  <c r="Z148" i="50"/>
  <c r="AF36" i="50"/>
  <c r="E61" i="50"/>
  <c r="M92" i="50"/>
  <c r="T189" i="50"/>
  <c r="Z83" i="50"/>
  <c r="H155" i="50"/>
  <c r="H154" i="50" s="1"/>
  <c r="W68" i="50"/>
  <c r="T80" i="50"/>
  <c r="N150" i="50"/>
  <c r="O134" i="50"/>
  <c r="AI115" i="50"/>
  <c r="D162" i="50"/>
  <c r="AB38" i="50"/>
  <c r="C109" i="50"/>
  <c r="M48" i="50"/>
  <c r="L158" i="50"/>
  <c r="Y82" i="50"/>
  <c r="AG133" i="50"/>
  <c r="AX133" i="50" s="1"/>
  <c r="T188" i="50"/>
  <c r="AL148" i="50"/>
  <c r="J83" i="50"/>
  <c r="U78" i="50"/>
  <c r="AT78" i="50" s="1"/>
  <c r="Q188" i="50"/>
  <c r="T83" i="50"/>
  <c r="E143" i="50"/>
  <c r="AI63" i="50"/>
  <c r="M63" i="50"/>
  <c r="AE159" i="50"/>
  <c r="AK133" i="50"/>
  <c r="Z113" i="50"/>
  <c r="Z43" i="50"/>
  <c r="AG172" i="50"/>
  <c r="K136" i="50"/>
  <c r="AL194" i="50"/>
  <c r="E113" i="50"/>
  <c r="W130" i="50"/>
  <c r="Q182" i="50"/>
  <c r="AJ114" i="50"/>
  <c r="AY114" i="50" s="1"/>
  <c r="AJ151" i="50"/>
  <c r="AY151" i="50" s="1"/>
  <c r="Z149" i="50"/>
  <c r="K66" i="50"/>
  <c r="AG83" i="50"/>
  <c r="AC57" i="50"/>
  <c r="S158" i="50"/>
  <c r="Y66" i="50"/>
  <c r="Q126" i="50"/>
  <c r="R53" i="50"/>
  <c r="AI94" i="50"/>
  <c r="Y78" i="50"/>
  <c r="AI55" i="50"/>
  <c r="W39" i="50"/>
  <c r="AL55" i="50"/>
  <c r="P101" i="50"/>
  <c r="H136" i="50"/>
  <c r="E158" i="50"/>
  <c r="G125" i="50"/>
  <c r="AA37" i="50"/>
  <c r="AH162" i="50"/>
  <c r="AA59" i="50"/>
  <c r="AE138" i="50"/>
  <c r="F59" i="50"/>
  <c r="C121" i="50"/>
  <c r="E125" i="50"/>
  <c r="T161" i="50"/>
  <c r="J62" i="50"/>
  <c r="D167" i="50"/>
  <c r="F116" i="50"/>
  <c r="AO116" i="50" s="1"/>
  <c r="AA77" i="50"/>
  <c r="G79" i="50"/>
  <c r="AH40" i="50"/>
  <c r="P91" i="50"/>
  <c r="V189" i="50"/>
  <c r="AD102" i="50"/>
  <c r="AW102" i="50" s="1"/>
  <c r="C49" i="50"/>
  <c r="M94" i="50"/>
  <c r="AF86" i="50"/>
  <c r="AF85" i="50" s="1"/>
  <c r="U68" i="50"/>
  <c r="F96" i="50"/>
  <c r="AO96" i="50" s="1"/>
  <c r="AI67" i="50"/>
  <c r="U89" i="50"/>
  <c r="Z67" i="50"/>
  <c r="Q95" i="50"/>
  <c r="AJ61" i="50"/>
  <c r="AB164" i="50"/>
  <c r="P59" i="50"/>
  <c r="K121" i="50"/>
  <c r="K120" i="50" s="1"/>
  <c r="S56" i="50"/>
  <c r="L152" i="50"/>
  <c r="AQ152" i="50" s="1"/>
  <c r="N79" i="50"/>
  <c r="W128" i="50"/>
  <c r="O56" i="50"/>
  <c r="AJ93" i="50"/>
  <c r="AY93" i="50" s="1"/>
  <c r="F99" i="50"/>
  <c r="I36" i="50"/>
  <c r="U171" i="50"/>
  <c r="AT171" i="50" s="1"/>
  <c r="AB116" i="50"/>
  <c r="G63" i="50"/>
  <c r="AO63" i="50" s="1"/>
  <c r="Z114" i="50"/>
  <c r="AK58" i="50"/>
  <c r="AE146" i="50"/>
  <c r="AE87" i="50"/>
  <c r="V152" i="50"/>
  <c r="N62" i="50"/>
  <c r="E174" i="50"/>
  <c r="T129" i="50"/>
  <c r="S44" i="50"/>
  <c r="Y132" i="50"/>
  <c r="U36" i="50"/>
  <c r="AH172" i="50"/>
  <c r="Z55" i="50"/>
  <c r="AE103" i="50"/>
  <c r="AB99" i="50"/>
  <c r="U174" i="50"/>
  <c r="AT174" i="50" s="1"/>
  <c r="I55" i="50"/>
  <c r="H80" i="50"/>
  <c r="AE164" i="50"/>
  <c r="AB125" i="50"/>
  <c r="AD116" i="50"/>
  <c r="AW116" i="50" s="1"/>
  <c r="AL40" i="50"/>
  <c r="AB36" i="50"/>
  <c r="I80" i="50"/>
  <c r="N46" i="50"/>
  <c r="I82" i="50"/>
  <c r="AP82" i="50" s="1"/>
  <c r="AJ133" i="50"/>
  <c r="Z99" i="50"/>
  <c r="O138" i="50"/>
  <c r="AG68" i="50"/>
  <c r="AX68" i="50" s="1"/>
  <c r="Q37" i="50"/>
  <c r="L109" i="50"/>
  <c r="S87" i="50"/>
  <c r="AK105" i="50"/>
  <c r="T34" i="50"/>
  <c r="AI143" i="50"/>
  <c r="N124" i="50"/>
  <c r="N123" i="50" s="1"/>
  <c r="AJ147" i="50"/>
  <c r="AY147" i="50" s="1"/>
  <c r="Z86" i="50"/>
  <c r="Y109" i="50"/>
  <c r="AH189" i="50"/>
  <c r="C40" i="50"/>
  <c r="C167" i="50"/>
  <c r="AC128" i="50"/>
  <c r="I37" i="50"/>
  <c r="AP37" i="50" s="1"/>
  <c r="AB50" i="50"/>
  <c r="Q150" i="50"/>
  <c r="AI57" i="50"/>
  <c r="Q38" i="50"/>
  <c r="AA105" i="50"/>
  <c r="D125" i="50"/>
  <c r="C96" i="50"/>
  <c r="Z182" i="50"/>
  <c r="Z40" i="50"/>
  <c r="AH37" i="50"/>
  <c r="V38" i="50"/>
  <c r="R125" i="50"/>
  <c r="AS125" i="50" s="1"/>
  <c r="AE54" i="50"/>
  <c r="AK188" i="50"/>
  <c r="AF65" i="50"/>
  <c r="D80" i="50"/>
  <c r="S91" i="50"/>
  <c r="I59" i="50"/>
  <c r="AP59" i="50" s="1"/>
  <c r="AL174" i="50"/>
  <c r="P117" i="50"/>
  <c r="N138" i="50"/>
  <c r="AE55" i="50"/>
  <c r="AC155" i="50"/>
  <c r="AC154" i="50" s="1"/>
  <c r="C150" i="50"/>
  <c r="W82" i="50"/>
  <c r="T38" i="50"/>
  <c r="L118" i="50"/>
  <c r="AA92" i="50"/>
  <c r="M118" i="50"/>
  <c r="AK52" i="50"/>
  <c r="AK51" i="50" s="1"/>
  <c r="AJ92" i="50"/>
  <c r="AY92" i="50" s="1"/>
  <c r="N37" i="50"/>
  <c r="H118" i="50"/>
  <c r="I67" i="50"/>
  <c r="AP67" i="50" s="1"/>
  <c r="P160" i="50"/>
  <c r="D96" i="50"/>
  <c r="N171" i="50"/>
  <c r="AH137" i="50"/>
  <c r="AL133" i="50"/>
  <c r="AE188" i="50"/>
  <c r="M50" i="50"/>
  <c r="J168" i="50"/>
  <c r="Q78" i="50"/>
  <c r="AI38" i="50"/>
  <c r="U63" i="50"/>
  <c r="AT63" i="50" s="1"/>
  <c r="O83" i="50"/>
  <c r="S143" i="50"/>
  <c r="AF136" i="50"/>
  <c r="AA52" i="50"/>
  <c r="AH46" i="50"/>
  <c r="AH45" i="50" s="1"/>
  <c r="N156" i="50"/>
  <c r="K194" i="50"/>
  <c r="AI182" i="50"/>
  <c r="P67" i="50"/>
  <c r="W160" i="50"/>
  <c r="S94" i="50"/>
  <c r="Z59" i="50"/>
  <c r="AE43" i="50"/>
  <c r="AE42" i="50" s="1"/>
  <c r="T160" i="50"/>
  <c r="AB67" i="50"/>
  <c r="AL100" i="50"/>
  <c r="J78" i="50"/>
  <c r="C115" i="50"/>
  <c r="O136" i="50"/>
  <c r="Y135" i="50"/>
  <c r="AA158" i="50"/>
  <c r="Z104" i="50"/>
  <c r="L194" i="50"/>
  <c r="AJ172" i="50"/>
  <c r="AY172" i="50" s="1"/>
  <c r="K171" i="50"/>
  <c r="D81" i="50"/>
  <c r="R40" i="50"/>
  <c r="AS40" i="50" s="1"/>
  <c r="I155" i="50"/>
  <c r="Y38" i="50"/>
  <c r="Q112" i="50"/>
  <c r="Q111" i="50" s="1"/>
  <c r="Q137" i="50"/>
  <c r="N114" i="50"/>
  <c r="R122" i="50"/>
  <c r="AS122" i="50" s="1"/>
  <c r="C59" i="50"/>
  <c r="AD63" i="50"/>
  <c r="AW63" i="50" s="1"/>
  <c r="P68" i="50"/>
  <c r="Z87" i="50"/>
  <c r="Z85" i="50" s="1"/>
  <c r="X132" i="50"/>
  <c r="R96" i="50"/>
  <c r="M156" i="50"/>
  <c r="T55" i="50"/>
  <c r="Q63" i="50"/>
  <c r="H82" i="50"/>
  <c r="Q49" i="50"/>
  <c r="M130" i="50"/>
  <c r="AC61" i="50"/>
  <c r="E36" i="50"/>
  <c r="AE151" i="50"/>
  <c r="AA143" i="50"/>
  <c r="AJ115" i="50"/>
  <c r="AY115" i="50" s="1"/>
  <c r="AG54" i="50"/>
  <c r="J44" i="50"/>
  <c r="E194" i="50"/>
  <c r="AD156" i="50"/>
  <c r="AW156" i="50" s="1"/>
  <c r="AB101" i="50"/>
  <c r="E188" i="50"/>
  <c r="AL162" i="50"/>
  <c r="V149" i="50"/>
  <c r="P133" i="50"/>
  <c r="AD174" i="50"/>
  <c r="AW174" i="50" s="1"/>
  <c r="R174" i="50"/>
  <c r="AS174" i="50" s="1"/>
  <c r="V80" i="50"/>
  <c r="F50" i="50"/>
  <c r="AO50" i="50" s="1"/>
  <c r="G77" i="50"/>
  <c r="AG124" i="50"/>
  <c r="D115" i="50"/>
  <c r="U81" i="50"/>
  <c r="AT81" i="50" s="1"/>
  <c r="Z93" i="50"/>
  <c r="W129" i="50"/>
  <c r="P170" i="50"/>
  <c r="AJ100" i="50"/>
  <c r="Y52" i="50"/>
  <c r="M194" i="50"/>
  <c r="P62" i="50"/>
  <c r="AH121" i="50"/>
  <c r="AH120" i="50" s="1"/>
  <c r="AJ148" i="50"/>
  <c r="AD135" i="50"/>
  <c r="AW135" i="50" s="1"/>
  <c r="AD150" i="50"/>
  <c r="W132" i="50"/>
  <c r="AJ130" i="50"/>
  <c r="AY130" i="50" s="1"/>
  <c r="G146" i="50"/>
  <c r="Z165" i="50"/>
  <c r="AC127" i="50"/>
  <c r="AL49" i="50"/>
  <c r="AJ134" i="50"/>
  <c r="AY134" i="50" s="1"/>
  <c r="M65" i="50"/>
  <c r="AJ125" i="50"/>
  <c r="AA79" i="50"/>
  <c r="V167" i="50"/>
  <c r="V166" i="50" s="1"/>
  <c r="S115" i="50"/>
  <c r="X62" i="50"/>
  <c r="AU62" i="50" s="1"/>
  <c r="AG43" i="50"/>
  <c r="E139" i="50"/>
  <c r="S169" i="50"/>
  <c r="AJ49" i="50"/>
  <c r="P159" i="50"/>
  <c r="Q61" i="50"/>
  <c r="AE137" i="50"/>
  <c r="AJ89" i="50"/>
  <c r="U65" i="50"/>
  <c r="AT65" i="50" s="1"/>
  <c r="E167" i="50"/>
  <c r="E99" i="50"/>
  <c r="E155" i="50"/>
  <c r="E154" i="50" s="1"/>
  <c r="C105" i="50"/>
  <c r="F163" i="50"/>
  <c r="AO163" i="50" s="1"/>
  <c r="L87" i="50"/>
  <c r="AQ87" i="50" s="1"/>
  <c r="G151" i="50"/>
  <c r="T53" i="50"/>
  <c r="I94" i="50"/>
  <c r="N57" i="50"/>
  <c r="W133" i="50"/>
  <c r="AD182" i="50"/>
  <c r="AW182" i="50" s="1"/>
  <c r="AK82" i="50"/>
  <c r="M39" i="50"/>
  <c r="AH52" i="50"/>
  <c r="AL96" i="50"/>
  <c r="Z66" i="50"/>
  <c r="U125" i="50"/>
  <c r="AT125" i="50" s="1"/>
  <c r="AI54" i="50"/>
  <c r="AI152" i="50"/>
  <c r="AF62" i="50"/>
  <c r="AB159" i="50"/>
  <c r="AE127" i="50"/>
  <c r="L133" i="50"/>
  <c r="AQ133" i="50" s="1"/>
  <c r="O91" i="50"/>
  <c r="D47" i="50"/>
  <c r="AE121" i="50"/>
  <c r="AE120" i="50" s="1"/>
  <c r="C124" i="50"/>
  <c r="AF147" i="50"/>
  <c r="AJ37" i="50"/>
  <c r="AY37" i="50" s="1"/>
  <c r="U62" i="50"/>
  <c r="AT62" i="50" s="1"/>
  <c r="U37" i="50"/>
  <c r="AT37" i="50" s="1"/>
  <c r="AB189" i="50"/>
  <c r="H138" i="50"/>
  <c r="AL101" i="50"/>
  <c r="P80" i="50"/>
  <c r="AB78" i="50"/>
  <c r="AF98" i="50"/>
  <c r="X63" i="50"/>
  <c r="AU63" i="50" s="1"/>
  <c r="W156" i="50"/>
  <c r="M64" i="50"/>
  <c r="N112" i="50"/>
  <c r="Z146" i="50"/>
  <c r="AI134" i="50"/>
  <c r="AJ104" i="50"/>
  <c r="AY104" i="50" s="1"/>
  <c r="C104" i="50"/>
  <c r="R103" i="50"/>
  <c r="T152" i="50"/>
  <c r="P152" i="50"/>
  <c r="Y156" i="50"/>
  <c r="C68" i="50"/>
  <c r="AK99" i="50"/>
  <c r="P95" i="50"/>
  <c r="AE61" i="50"/>
  <c r="AE60" i="50" s="1"/>
  <c r="L182" i="50"/>
  <c r="AQ182" i="50" s="1"/>
  <c r="AI136" i="50"/>
  <c r="P105" i="50"/>
  <c r="Q165" i="50"/>
  <c r="AD169" i="50"/>
  <c r="AW169" i="50" s="1"/>
  <c r="AE163" i="50"/>
  <c r="V118" i="50"/>
  <c r="O149" i="50"/>
  <c r="W188" i="50"/>
  <c r="Z174" i="50"/>
  <c r="Q40" i="50"/>
  <c r="AD132" i="50"/>
  <c r="V151" i="50"/>
  <c r="AD121" i="50"/>
  <c r="AG100" i="50"/>
  <c r="AX100" i="50" s="1"/>
  <c r="C135" i="50"/>
  <c r="L149" i="50"/>
  <c r="AQ149" i="50" s="1"/>
  <c r="AH57" i="50"/>
  <c r="U160" i="50"/>
  <c r="M53" i="50"/>
  <c r="T158" i="50"/>
  <c r="C43" i="50"/>
  <c r="Z167" i="50"/>
  <c r="J150" i="50"/>
  <c r="P188" i="50"/>
  <c r="Y53" i="50"/>
  <c r="AE130" i="50"/>
  <c r="Q162" i="50"/>
  <c r="AL94" i="50"/>
  <c r="U48" i="50"/>
  <c r="AT48" i="50" s="1"/>
  <c r="W135" i="50"/>
  <c r="AC168" i="50"/>
  <c r="U109" i="50"/>
  <c r="P194" i="50"/>
  <c r="D52" i="50"/>
  <c r="D51" i="50" s="1"/>
  <c r="K167" i="50"/>
  <c r="R151" i="50"/>
  <c r="AS151" i="50" s="1"/>
  <c r="AG93" i="50"/>
  <c r="AX93" i="50" s="1"/>
  <c r="M68" i="50"/>
  <c r="AD158" i="50"/>
  <c r="J64" i="50"/>
  <c r="U56" i="50"/>
  <c r="AT56" i="50" s="1"/>
  <c r="C189" i="50"/>
  <c r="AL161" i="50"/>
  <c r="P118" i="50"/>
  <c r="J55" i="50"/>
  <c r="T66" i="50"/>
  <c r="O146" i="50"/>
  <c r="N148" i="50"/>
  <c r="AF77" i="50"/>
  <c r="AF76" i="50" s="1"/>
  <c r="AG96" i="50"/>
  <c r="AX96" i="50" s="1"/>
  <c r="F129" i="50"/>
  <c r="AO129" i="50" s="1"/>
  <c r="Y171" i="50"/>
  <c r="AE155" i="50"/>
  <c r="AE154" i="50" s="1"/>
  <c r="V116" i="50"/>
  <c r="AB194" i="50"/>
  <c r="AG138" i="50"/>
  <c r="AX138" i="50" s="1"/>
  <c r="O150" i="50"/>
  <c r="L171" i="50"/>
  <c r="Y104" i="50"/>
  <c r="M47" i="50"/>
  <c r="Z80" i="50"/>
  <c r="R169" i="50"/>
  <c r="W168" i="50"/>
  <c r="AG126" i="50"/>
  <c r="AX126" i="50" s="1"/>
  <c r="N98" i="50"/>
  <c r="X160" i="50"/>
  <c r="AU160" i="50" s="1"/>
  <c r="O96" i="50"/>
  <c r="W148" i="50"/>
  <c r="X54" i="50"/>
  <c r="AU54" i="50" s="1"/>
  <c r="L173" i="50"/>
  <c r="AQ173" i="50" s="1"/>
  <c r="E67" i="50"/>
  <c r="T43" i="50"/>
  <c r="T42" i="50" s="1"/>
  <c r="AC92" i="50"/>
  <c r="AD105" i="50"/>
  <c r="AW105" i="50" s="1"/>
  <c r="N59" i="50"/>
  <c r="I52" i="50"/>
  <c r="AP52" i="50" s="1"/>
  <c r="V109" i="50"/>
  <c r="AG129" i="50"/>
  <c r="AX129" i="50" s="1"/>
  <c r="J162" i="50"/>
  <c r="AK118" i="50"/>
  <c r="D67" i="50"/>
  <c r="M129" i="50"/>
  <c r="AJ52" i="50"/>
  <c r="V139" i="50"/>
  <c r="Z143" i="50"/>
  <c r="AF49" i="50"/>
  <c r="AA89" i="50"/>
  <c r="S90" i="50"/>
  <c r="M99" i="50"/>
  <c r="L83" i="50"/>
  <c r="AH136" i="50"/>
  <c r="Z94" i="50"/>
  <c r="U87" i="50"/>
  <c r="AT87" i="50" s="1"/>
  <c r="AH99" i="50"/>
  <c r="AA100" i="50"/>
  <c r="V95" i="50"/>
  <c r="Q68" i="50"/>
  <c r="E169" i="50"/>
  <c r="AG125" i="50"/>
  <c r="AH54" i="50"/>
  <c r="AB90" i="50"/>
  <c r="X113" i="50"/>
  <c r="AU113" i="50" s="1"/>
  <c r="R92" i="50"/>
  <c r="AS92" i="50" s="1"/>
  <c r="W86" i="50"/>
  <c r="W85" i="50" s="1"/>
  <c r="M189" i="50"/>
  <c r="S162" i="50"/>
  <c r="K104" i="50"/>
  <c r="K50" i="50"/>
  <c r="AA95" i="50"/>
  <c r="X94" i="50"/>
  <c r="V113" i="50"/>
  <c r="V124" i="50"/>
  <c r="V123" i="50" s="1"/>
  <c r="X152" i="50"/>
  <c r="AU152" i="50" s="1"/>
  <c r="S152" i="50"/>
  <c r="W91" i="50"/>
  <c r="N103" i="50"/>
  <c r="AA149" i="50"/>
  <c r="U148" i="50"/>
  <c r="E109" i="50"/>
  <c r="U189" i="50"/>
  <c r="T56" i="50"/>
  <c r="AC158" i="50"/>
  <c r="AC157" i="50" s="1"/>
  <c r="X158" i="50"/>
  <c r="AF122" i="50"/>
  <c r="D34" i="50"/>
  <c r="D33" i="50" s="1"/>
  <c r="U159" i="50"/>
  <c r="AT159" i="50" s="1"/>
  <c r="AB54" i="50"/>
  <c r="W36" i="50"/>
  <c r="P121" i="50"/>
  <c r="P120" i="50" s="1"/>
  <c r="AF103" i="50"/>
  <c r="AJ132" i="50"/>
  <c r="AK68" i="50"/>
  <c r="R49" i="50"/>
  <c r="AS49" i="50" s="1"/>
  <c r="AC115" i="50"/>
  <c r="AG56" i="50"/>
  <c r="AX56" i="50" s="1"/>
  <c r="I62" i="50"/>
  <c r="AH194" i="50"/>
  <c r="I162" i="50"/>
  <c r="AK148" i="50"/>
  <c r="AK83" i="50"/>
  <c r="AI34" i="50"/>
  <c r="AF43" i="50"/>
  <c r="AF42" i="50" s="1"/>
  <c r="N162" i="50"/>
  <c r="AK139" i="50"/>
  <c r="F38" i="50"/>
  <c r="E93" i="50"/>
  <c r="Y61" i="50"/>
  <c r="Y60" i="50" s="1"/>
  <c r="AC105" i="50"/>
  <c r="AE171" i="50"/>
  <c r="P99" i="50"/>
  <c r="AK165" i="50"/>
  <c r="Y155" i="50"/>
  <c r="M43" i="50"/>
  <c r="M42" i="50" s="1"/>
  <c r="N78" i="50"/>
  <c r="AD136" i="50"/>
  <c r="K187" i="50"/>
  <c r="K190" i="50" s="1"/>
  <c r="V101" i="50"/>
  <c r="Y86" i="50"/>
  <c r="Y85" i="50" s="1"/>
  <c r="O147" i="50"/>
  <c r="X187" i="50"/>
  <c r="M83" i="50"/>
  <c r="AD134" i="50"/>
  <c r="AW134" i="50" s="1"/>
  <c r="AK39" i="50"/>
  <c r="AJ127" i="50"/>
  <c r="AY127" i="50" s="1"/>
  <c r="L53" i="50"/>
  <c r="M59" i="50"/>
  <c r="AC136" i="50"/>
  <c r="AA122" i="50"/>
  <c r="T182" i="50"/>
  <c r="F82" i="50"/>
  <c r="AD113" i="50"/>
  <c r="AW113" i="50" s="1"/>
  <c r="Y170" i="50"/>
  <c r="L77" i="50"/>
  <c r="AA139" i="50"/>
  <c r="F68" i="50"/>
  <c r="AO68" i="50" s="1"/>
  <c r="C78" i="50"/>
  <c r="AK61" i="50"/>
  <c r="I38" i="50"/>
  <c r="AP38" i="50" s="1"/>
  <c r="E112" i="50"/>
  <c r="O53" i="50"/>
  <c r="Q46" i="50"/>
  <c r="Q45" i="50" s="1"/>
  <c r="H78" i="50"/>
  <c r="L68" i="45"/>
  <c r="Q68" i="45"/>
  <c r="P68" i="45"/>
  <c r="AY169" i="50" l="1"/>
  <c r="AI33" i="50"/>
  <c r="AU50" i="50"/>
  <c r="AS103" i="50"/>
  <c r="AY125" i="50"/>
  <c r="AU95" i="50"/>
  <c r="AX161" i="50"/>
  <c r="AT64" i="50"/>
  <c r="AQ81" i="50"/>
  <c r="AP94" i="50"/>
  <c r="AY149" i="50"/>
  <c r="AW148" i="50"/>
  <c r="AY80" i="50"/>
  <c r="AX125" i="50"/>
  <c r="BA135" i="50"/>
  <c r="AO99" i="50"/>
  <c r="AY126" i="50"/>
  <c r="AS81" i="50"/>
  <c r="AW81" i="50"/>
  <c r="AX135" i="50"/>
  <c r="AS149" i="50"/>
  <c r="AX114" i="50"/>
  <c r="AW78" i="50"/>
  <c r="AO168" i="50"/>
  <c r="Q88" i="50"/>
  <c r="Q84" i="50" s="1"/>
  <c r="AP160" i="50"/>
  <c r="AU100" i="50"/>
  <c r="E157" i="50"/>
  <c r="E153" i="50" s="1"/>
  <c r="AO109" i="50"/>
  <c r="T97" i="50"/>
  <c r="AQ164" i="50"/>
  <c r="AU189" i="50"/>
  <c r="AX117" i="50"/>
  <c r="AP62" i="50"/>
  <c r="AT189" i="50"/>
  <c r="Z145" i="50"/>
  <c r="AF166" i="50"/>
  <c r="AY36" i="50"/>
  <c r="AY44" i="50"/>
  <c r="AG75" i="45"/>
  <c r="AC75" i="45"/>
  <c r="AU75" i="45"/>
  <c r="AQ55" i="50"/>
  <c r="AT75" i="45"/>
  <c r="AP75" i="45"/>
  <c r="AL75" i="45"/>
  <c r="Z75" i="45"/>
  <c r="AX116" i="50"/>
  <c r="AW150" i="50"/>
  <c r="AC60" i="50"/>
  <c r="AP80" i="50"/>
  <c r="Z157" i="50"/>
  <c r="V157" i="50"/>
  <c r="AW129" i="50"/>
  <c r="AS164" i="50"/>
  <c r="AU79" i="50"/>
  <c r="AY173" i="50"/>
  <c r="AN115" i="50"/>
  <c r="N75" i="45"/>
  <c r="AS75" i="45"/>
  <c r="AK75" i="45"/>
  <c r="R75" i="45"/>
  <c r="AR75" i="45"/>
  <c r="AJ75" i="45"/>
  <c r="AB75" i="45"/>
  <c r="AQ75" i="45"/>
  <c r="AM75" i="45"/>
  <c r="AI75" i="45"/>
  <c r="AE75" i="45"/>
  <c r="AA75" i="45"/>
  <c r="L75" i="45"/>
  <c r="AW136" i="50"/>
  <c r="AO59" i="50"/>
  <c r="AO56" i="50"/>
  <c r="D85" i="50"/>
  <c r="D84" i="50" s="1"/>
  <c r="AP165" i="50"/>
  <c r="AQ58" i="50"/>
  <c r="AQ102" i="50"/>
  <c r="AU36" i="50"/>
  <c r="AC76" i="50"/>
  <c r="AF123" i="50"/>
  <c r="V85" i="50"/>
  <c r="AT59" i="50"/>
  <c r="AO100" i="50"/>
  <c r="AQ53" i="50"/>
  <c r="G76" i="50"/>
  <c r="Z42" i="50"/>
  <c r="N51" i="50"/>
  <c r="H123" i="50"/>
  <c r="H119" i="50" s="1"/>
  <c r="Y154" i="50"/>
  <c r="Y153" i="50" s="1"/>
  <c r="T157" i="50"/>
  <c r="AW67" i="50"/>
  <c r="AC33" i="50"/>
  <c r="AY135" i="50"/>
  <c r="AO66" i="50"/>
  <c r="T123" i="50"/>
  <c r="K51" i="50"/>
  <c r="AT160" i="50"/>
  <c r="AX87" i="50"/>
  <c r="AO114" i="50"/>
  <c r="AH60" i="50"/>
  <c r="AW172" i="50"/>
  <c r="AO101" i="50"/>
  <c r="D166" i="50"/>
  <c r="AX83" i="50"/>
  <c r="K166" i="50"/>
  <c r="BA35" i="50"/>
  <c r="Z154" i="50"/>
  <c r="Z153" i="50" s="1"/>
  <c r="Z144" i="50" s="1"/>
  <c r="AS99" i="50"/>
  <c r="G157" i="50"/>
  <c r="G153" i="50" s="1"/>
  <c r="Y41" i="50"/>
  <c r="AQ117" i="50"/>
  <c r="AU64" i="50"/>
  <c r="AS96" i="50"/>
  <c r="N45" i="50"/>
  <c r="AW64" i="50"/>
  <c r="AK88" i="50"/>
  <c r="AT114" i="50"/>
  <c r="AT40" i="50"/>
  <c r="AO75" i="45"/>
  <c r="X75" i="45"/>
  <c r="E111" i="50"/>
  <c r="N111" i="50"/>
  <c r="AQ109" i="50"/>
  <c r="AT68" i="50"/>
  <c r="AS93" i="50"/>
  <c r="W111" i="50"/>
  <c r="AN75" i="45"/>
  <c r="AS169" i="50"/>
  <c r="AQ171" i="50"/>
  <c r="AW115" i="50"/>
  <c r="AX156" i="50"/>
  <c r="K88" i="50"/>
  <c r="AO36" i="50"/>
  <c r="AQ56" i="50"/>
  <c r="AP115" i="50"/>
  <c r="AQ135" i="50"/>
  <c r="AT100" i="50"/>
  <c r="AW57" i="50"/>
  <c r="BA96" i="50"/>
  <c r="AT148" i="50"/>
  <c r="AU94" i="50"/>
  <c r="AC190" i="50"/>
  <c r="AK60" i="50"/>
  <c r="AN67" i="50"/>
  <c r="N97" i="50"/>
  <c r="G88" i="50"/>
  <c r="G84" i="50" s="1"/>
  <c r="AX94" i="50"/>
  <c r="M131" i="50"/>
  <c r="AL88" i="50"/>
  <c r="AL84" i="50" s="1"/>
  <c r="AY91" i="50"/>
  <c r="AB131" i="50"/>
  <c r="AT90" i="50"/>
  <c r="AS170" i="50"/>
  <c r="AO139" i="50"/>
  <c r="AR147" i="50"/>
  <c r="BB147" i="50"/>
  <c r="AY132" i="50"/>
  <c r="AJ131" i="50"/>
  <c r="X157" i="50"/>
  <c r="AU158" i="50"/>
  <c r="BC100" i="50"/>
  <c r="AV100" i="50"/>
  <c r="BC89" i="50"/>
  <c r="AV89" i="50"/>
  <c r="AA88" i="50"/>
  <c r="AY52" i="50"/>
  <c r="AJ51" i="50"/>
  <c r="BB96" i="50"/>
  <c r="AR96" i="50"/>
  <c r="O145" i="50"/>
  <c r="AR146" i="50"/>
  <c r="BB146" i="50"/>
  <c r="AD157" i="50"/>
  <c r="AW158" i="50"/>
  <c r="AW132" i="50"/>
  <c r="AD131" i="50"/>
  <c r="BB149" i="50"/>
  <c r="AR149" i="50"/>
  <c r="AN104" i="50"/>
  <c r="BA104" i="50"/>
  <c r="AF97" i="50"/>
  <c r="X131" i="50"/>
  <c r="AU132" i="50"/>
  <c r="AN59" i="50"/>
  <c r="BA59" i="50"/>
  <c r="BA115" i="50"/>
  <c r="AQ118" i="50"/>
  <c r="AC153" i="50"/>
  <c r="AV37" i="50"/>
  <c r="BC37" i="50"/>
  <c r="BA116" i="50"/>
  <c r="AN116" i="50"/>
  <c r="AV121" i="50"/>
  <c r="AA120" i="50"/>
  <c r="BC121" i="50"/>
  <c r="X88" i="50"/>
  <c r="AU89" i="50"/>
  <c r="AR122" i="50"/>
  <c r="BB122" i="50"/>
  <c r="AJ42" i="50"/>
  <c r="AY43" i="50"/>
  <c r="M88" i="50"/>
  <c r="AR62" i="50"/>
  <c r="BB62" i="50"/>
  <c r="AY194" i="50"/>
  <c r="AH41" i="50"/>
  <c r="AN151" i="50"/>
  <c r="BA151" i="50"/>
  <c r="AO62" i="50"/>
  <c r="AR38" i="50"/>
  <c r="BB38" i="50"/>
  <c r="AX40" i="50"/>
  <c r="BB37" i="50"/>
  <c r="AR37" i="50"/>
  <c r="BA83" i="50"/>
  <c r="AN83" i="50"/>
  <c r="AW163" i="50"/>
  <c r="AY99" i="50"/>
  <c r="AQ89" i="50"/>
  <c r="L88" i="50"/>
  <c r="AV163" i="50"/>
  <c r="BC163" i="50"/>
  <c r="AU52" i="50"/>
  <c r="X51" i="50"/>
  <c r="AG166" i="50"/>
  <c r="AX167" i="50"/>
  <c r="V76" i="50"/>
  <c r="N119" i="50"/>
  <c r="U190" i="50"/>
  <c r="AT187" i="50"/>
  <c r="M157" i="50"/>
  <c r="AE51" i="50"/>
  <c r="AR117" i="50"/>
  <c r="BB117" i="50"/>
  <c r="AU83" i="50"/>
  <c r="BA48" i="50"/>
  <c r="BA146" i="50"/>
  <c r="C145" i="50"/>
  <c r="J111" i="50"/>
  <c r="AU44" i="50"/>
  <c r="AI85" i="50"/>
  <c r="AR82" i="50"/>
  <c r="BB82" i="50"/>
  <c r="BA67" i="50"/>
  <c r="AC131" i="50"/>
  <c r="AT115" i="50"/>
  <c r="BC125" i="50"/>
  <c r="AV125" i="50"/>
  <c r="AQ91" i="50"/>
  <c r="O97" i="50"/>
  <c r="AR98" i="50"/>
  <c r="BB98" i="50"/>
  <c r="AW122" i="50"/>
  <c r="AQ103" i="50"/>
  <c r="BB36" i="50"/>
  <c r="AR36" i="50"/>
  <c r="AO44" i="50"/>
  <c r="U120" i="50"/>
  <c r="AT121" i="50"/>
  <c r="AT120" i="50" s="1"/>
  <c r="AR160" i="50"/>
  <c r="BB160" i="50"/>
  <c r="H111" i="50"/>
  <c r="AO93" i="50"/>
  <c r="G51" i="50"/>
  <c r="AY53" i="50"/>
  <c r="AY35" i="50"/>
  <c r="AP116" i="50"/>
  <c r="AH157" i="50"/>
  <c r="AQ98" i="50"/>
  <c r="L97" i="50"/>
  <c r="AP189" i="50"/>
  <c r="D154" i="50"/>
  <c r="Z190" i="50"/>
  <c r="AQ161" i="50"/>
  <c r="AQ172" i="50"/>
  <c r="BC168" i="50"/>
  <c r="AV168" i="50"/>
  <c r="AY94" i="50"/>
  <c r="AR162" i="50"/>
  <c r="BB162" i="50"/>
  <c r="R154" i="50"/>
  <c r="AS155" i="50"/>
  <c r="AC88" i="50"/>
  <c r="AC84" i="50" s="1"/>
  <c r="M51" i="50"/>
  <c r="AK97" i="50"/>
  <c r="E97" i="50"/>
  <c r="AT94" i="50"/>
  <c r="M119" i="50"/>
  <c r="AN156" i="50"/>
  <c r="AN101" i="50"/>
  <c r="BA101" i="50"/>
  <c r="AR159" i="50"/>
  <c r="BB159" i="50"/>
  <c r="Z97" i="50"/>
  <c r="AP132" i="50"/>
  <c r="K131" i="50"/>
  <c r="R123" i="50"/>
  <c r="AS124" i="50"/>
  <c r="AQ167" i="50"/>
  <c r="L166" i="50"/>
  <c r="AV80" i="50"/>
  <c r="BC80" i="50"/>
  <c r="BA152" i="50"/>
  <c r="AO162" i="50"/>
  <c r="AS189" i="50"/>
  <c r="T51" i="50"/>
  <c r="Y88" i="50"/>
  <c r="Y84" i="50" s="1"/>
  <c r="V97" i="50"/>
  <c r="AT50" i="50"/>
  <c r="AU40" i="50"/>
  <c r="AX91" i="50"/>
  <c r="AO156" i="50"/>
  <c r="AK145" i="50"/>
  <c r="F154" i="50"/>
  <c r="AO155" i="50"/>
  <c r="AW147" i="50"/>
  <c r="AQ146" i="50"/>
  <c r="L145" i="50"/>
  <c r="W60" i="50"/>
  <c r="BC129" i="50"/>
  <c r="AV129" i="50"/>
  <c r="AX55" i="50"/>
  <c r="AQ36" i="50"/>
  <c r="AQ68" i="50"/>
  <c r="AC111" i="50"/>
  <c r="AR66" i="50"/>
  <c r="BB66" i="50"/>
  <c r="AA45" i="50"/>
  <c r="AV46" i="50"/>
  <c r="BC46" i="50"/>
  <c r="V131" i="50"/>
  <c r="AX80" i="50"/>
  <c r="AX98" i="50"/>
  <c r="AG97" i="50"/>
  <c r="AT194" i="50"/>
  <c r="AU173" i="50"/>
  <c r="AU126" i="50"/>
  <c r="AP125" i="50"/>
  <c r="AR80" i="50"/>
  <c r="BB80" i="50"/>
  <c r="AB88" i="50"/>
  <c r="W154" i="50"/>
  <c r="AQ65" i="50"/>
  <c r="AX130" i="50"/>
  <c r="O33" i="50"/>
  <c r="AR34" i="50"/>
  <c r="BB34" i="50"/>
  <c r="AP92" i="50"/>
  <c r="AT162" i="50"/>
  <c r="AQ156" i="50"/>
  <c r="AW159" i="50"/>
  <c r="AN125" i="50"/>
  <c r="BA125" i="50"/>
  <c r="AW94" i="50"/>
  <c r="AJ120" i="50"/>
  <c r="AY121" i="50"/>
  <c r="AY120" i="50" s="1"/>
  <c r="AX194" i="50"/>
  <c r="BC40" i="50"/>
  <c r="AV40" i="50"/>
  <c r="AV38" i="50"/>
  <c r="BC38" i="50"/>
  <c r="AS37" i="50"/>
  <c r="R60" i="50"/>
  <c r="AS61" i="50"/>
  <c r="S120" i="50"/>
  <c r="AQ40" i="50"/>
  <c r="AS83" i="50"/>
  <c r="AU147" i="50"/>
  <c r="AT135" i="50"/>
  <c r="AK154" i="50"/>
  <c r="AN165" i="50"/>
  <c r="BA165" i="50"/>
  <c r="F145" i="50"/>
  <c r="AO146" i="50"/>
  <c r="AT127" i="50"/>
  <c r="AH111" i="50"/>
  <c r="H157" i="50"/>
  <c r="H153" i="50" s="1"/>
  <c r="AX53" i="50"/>
  <c r="AL157" i="50"/>
  <c r="AV102" i="50"/>
  <c r="BC102" i="50"/>
  <c r="BA98" i="50"/>
  <c r="AN98" i="50"/>
  <c r="C97" i="50"/>
  <c r="AX63" i="50"/>
  <c r="AS163" i="50"/>
  <c r="AO138" i="50"/>
  <c r="AQ138" i="50"/>
  <c r="AP173" i="50"/>
  <c r="AO170" i="50"/>
  <c r="AO53" i="50"/>
  <c r="AS182" i="50"/>
  <c r="V145" i="50"/>
  <c r="AR148" i="50"/>
  <c r="BB148" i="50"/>
  <c r="AB60" i="50"/>
  <c r="F131" i="50"/>
  <c r="BB169" i="50"/>
  <c r="AR169" i="50"/>
  <c r="AQ59" i="50"/>
  <c r="AE97" i="50"/>
  <c r="BB188" i="50"/>
  <c r="AR188" i="50"/>
  <c r="AR121" i="50"/>
  <c r="O120" i="50"/>
  <c r="BB121" i="50"/>
  <c r="I166" i="50"/>
  <c r="AP167" i="50"/>
  <c r="AT91" i="50"/>
  <c r="AY161" i="50"/>
  <c r="AV113" i="50"/>
  <c r="BC113" i="50"/>
  <c r="AX49" i="50"/>
  <c r="AT49" i="50"/>
  <c r="AR104" i="50"/>
  <c r="BB104" i="50"/>
  <c r="AN135" i="50"/>
  <c r="AU151" i="50"/>
  <c r="AX38" i="50"/>
  <c r="AX90" i="50"/>
  <c r="AU105" i="50"/>
  <c r="AW139" i="50"/>
  <c r="BC78" i="50"/>
  <c r="AV78" i="50"/>
  <c r="AY118" i="50"/>
  <c r="AP102" i="50"/>
  <c r="AQ66" i="50"/>
  <c r="AW91" i="50"/>
  <c r="AQ50" i="50"/>
  <c r="AQ162" i="50"/>
  <c r="AN93" i="50"/>
  <c r="BA93" i="50"/>
  <c r="AU57" i="50"/>
  <c r="BC135" i="50"/>
  <c r="AV135" i="50"/>
  <c r="AP146" i="50"/>
  <c r="I145" i="50"/>
  <c r="AV65" i="50"/>
  <c r="BC65" i="50"/>
  <c r="E123" i="50"/>
  <c r="AX160" i="50"/>
  <c r="BB163" i="50"/>
  <c r="AR163" i="50"/>
  <c r="AI45" i="50"/>
  <c r="P111" i="50"/>
  <c r="AO81" i="50"/>
  <c r="AT147" i="50"/>
  <c r="K157" i="50"/>
  <c r="K153" i="50" s="1"/>
  <c r="AI51" i="50"/>
  <c r="AP113" i="50"/>
  <c r="Z45" i="50"/>
  <c r="AN164" i="50"/>
  <c r="BA164" i="50"/>
  <c r="BB99" i="50"/>
  <c r="AR99" i="50"/>
  <c r="AB45" i="50"/>
  <c r="AB41" i="50" s="1"/>
  <c r="AI145" i="50"/>
  <c r="AY67" i="50"/>
  <c r="AU188" i="50"/>
  <c r="AP171" i="50"/>
  <c r="S88" i="50"/>
  <c r="BB189" i="50"/>
  <c r="AR189" i="50"/>
  <c r="AJ157" i="50"/>
  <c r="AY158" i="50"/>
  <c r="BA128" i="50"/>
  <c r="AN128" i="50"/>
  <c r="AK190" i="50"/>
  <c r="BC87" i="50"/>
  <c r="AV87" i="50"/>
  <c r="AT156" i="50"/>
  <c r="D157" i="50"/>
  <c r="P131" i="50"/>
  <c r="AU194" i="50"/>
  <c r="BA169" i="50"/>
  <c r="AN169" i="50"/>
  <c r="BB137" i="50"/>
  <c r="AR137" i="50"/>
  <c r="BC188" i="50"/>
  <c r="AV188" i="50"/>
  <c r="AO125" i="50"/>
  <c r="AS47" i="50"/>
  <c r="AW98" i="50"/>
  <c r="AD97" i="50"/>
  <c r="X145" i="50"/>
  <c r="AU146" i="50"/>
  <c r="AO160" i="50"/>
  <c r="AY66" i="50"/>
  <c r="AP122" i="50"/>
  <c r="AH190" i="50"/>
  <c r="S97" i="50"/>
  <c r="J123" i="50"/>
  <c r="AU143" i="50"/>
  <c r="H33" i="50"/>
  <c r="AX64" i="50"/>
  <c r="AI76" i="50"/>
  <c r="AW164" i="50"/>
  <c r="BA46" i="50"/>
  <c r="C45" i="50"/>
  <c r="AN46" i="50"/>
  <c r="BC167" i="50"/>
  <c r="AV167" i="50"/>
  <c r="AA166" i="50"/>
  <c r="I85" i="50"/>
  <c r="AP86" i="50"/>
  <c r="AW82" i="50"/>
  <c r="K97" i="50"/>
  <c r="D45" i="50"/>
  <c r="AU68" i="50"/>
  <c r="AN94" i="50"/>
  <c r="BA94" i="50"/>
  <c r="P123" i="50"/>
  <c r="P119" i="50" s="1"/>
  <c r="AW87" i="50"/>
  <c r="H76" i="50"/>
  <c r="AU161" i="50"/>
  <c r="AR129" i="50"/>
  <c r="BB129" i="50"/>
  <c r="AS80" i="50"/>
  <c r="K45" i="50"/>
  <c r="AE166" i="50"/>
  <c r="AX163" i="50"/>
  <c r="AN52" i="50"/>
  <c r="E51" i="50"/>
  <c r="R131" i="50"/>
  <c r="AS132" i="50"/>
  <c r="AN147" i="50"/>
  <c r="BA147" i="50"/>
  <c r="F51" i="50"/>
  <c r="AO52" i="50"/>
  <c r="AV53" i="50"/>
  <c r="BC53" i="50"/>
  <c r="AR127" i="50"/>
  <c r="BB127" i="50"/>
  <c r="AW104" i="50"/>
  <c r="AX173" i="50"/>
  <c r="BA54" i="50"/>
  <c r="Q154" i="50"/>
  <c r="AP137" i="50"/>
  <c r="AX50" i="50"/>
  <c r="AS36" i="50"/>
  <c r="V51" i="50"/>
  <c r="D97" i="50"/>
  <c r="AQ125" i="50"/>
  <c r="AS68" i="50"/>
  <c r="AX139" i="50"/>
  <c r="G166" i="50"/>
  <c r="D60" i="50"/>
  <c r="AL154" i="50"/>
  <c r="P145" i="50"/>
  <c r="U33" i="50"/>
  <c r="AT34" i="50"/>
  <c r="K145" i="50"/>
  <c r="N166" i="50"/>
  <c r="AR52" i="50"/>
  <c r="O51" i="50"/>
  <c r="BB52" i="50"/>
  <c r="AR116" i="50"/>
  <c r="BB116" i="50"/>
  <c r="R51" i="50"/>
  <c r="AS52" i="50"/>
  <c r="AP99" i="50"/>
  <c r="AQ127" i="50"/>
  <c r="G123" i="50"/>
  <c r="AD154" i="50"/>
  <c r="AW155" i="50"/>
  <c r="AW154" i="50" s="1"/>
  <c r="AX159" i="50"/>
  <c r="AQ188" i="50"/>
  <c r="AP135" i="50"/>
  <c r="AV62" i="50"/>
  <c r="BC62" i="50"/>
  <c r="AQ128" i="50"/>
  <c r="BB55" i="50"/>
  <c r="AR55" i="50"/>
  <c r="BA149" i="50"/>
  <c r="AN149" i="50"/>
  <c r="P76" i="50"/>
  <c r="AQ113" i="50"/>
  <c r="BA92" i="50"/>
  <c r="BC66" i="50"/>
  <c r="AV66" i="50"/>
  <c r="AY65" i="50"/>
  <c r="AU182" i="50"/>
  <c r="AB111" i="50"/>
  <c r="H166" i="50"/>
  <c r="AT104" i="50"/>
  <c r="AS100" i="50"/>
  <c r="Q190" i="50"/>
  <c r="AS135" i="50"/>
  <c r="O131" i="50"/>
  <c r="AR132" i="50"/>
  <c r="BB132" i="50"/>
  <c r="AS171" i="50"/>
  <c r="AS109" i="50"/>
  <c r="AV93" i="50"/>
  <c r="BC93" i="50"/>
  <c r="AY102" i="50"/>
  <c r="AQ67" i="50"/>
  <c r="AS94" i="50"/>
  <c r="BA99" i="50"/>
  <c r="AN99" i="50"/>
  <c r="AT143" i="50"/>
  <c r="AK120" i="50"/>
  <c r="K33" i="50"/>
  <c r="AQ62" i="50"/>
  <c r="BA187" i="50"/>
  <c r="AN187" i="50"/>
  <c r="C190" i="50"/>
  <c r="AN68" i="50"/>
  <c r="AX151" i="50"/>
  <c r="M76" i="50"/>
  <c r="T145" i="50"/>
  <c r="BB118" i="50"/>
  <c r="AR118" i="50"/>
  <c r="AU135" i="50"/>
  <c r="AY103" i="50"/>
  <c r="AY182" i="50"/>
  <c r="AR94" i="50"/>
  <c r="BB94" i="50"/>
  <c r="O75" i="45"/>
  <c r="M75" i="45"/>
  <c r="V75" i="45"/>
  <c r="AV139" i="50"/>
  <c r="BC139" i="50"/>
  <c r="AP162" i="50"/>
  <c r="AQ83" i="50"/>
  <c r="BA189" i="50"/>
  <c r="AN189" i="50"/>
  <c r="Z166" i="50"/>
  <c r="BB91" i="50"/>
  <c r="AR91" i="50"/>
  <c r="E166" i="50"/>
  <c r="Q60" i="50"/>
  <c r="G145" i="50"/>
  <c r="AX124" i="50"/>
  <c r="AG123" i="50"/>
  <c r="AV143" i="50"/>
  <c r="BC143" i="50"/>
  <c r="AV158" i="50"/>
  <c r="BC158" i="50"/>
  <c r="AA157" i="50"/>
  <c r="BB83" i="50"/>
  <c r="AR83" i="50"/>
  <c r="C166" i="50"/>
  <c r="AN167" i="50"/>
  <c r="BA167" i="50"/>
  <c r="T33" i="50"/>
  <c r="AY133" i="50"/>
  <c r="AT36" i="50"/>
  <c r="AE145" i="50"/>
  <c r="U88" i="50"/>
  <c r="AT89" i="50"/>
  <c r="AV77" i="50"/>
  <c r="AA76" i="50"/>
  <c r="BC77" i="50"/>
  <c r="S157" i="50"/>
  <c r="S153" i="50" s="1"/>
  <c r="AX172" i="50"/>
  <c r="L157" i="50"/>
  <c r="AQ158" i="50"/>
  <c r="AH166" i="50"/>
  <c r="R97" i="50"/>
  <c r="AS98" i="50"/>
  <c r="M84" i="50"/>
  <c r="Y76" i="50"/>
  <c r="R166" i="50"/>
  <c r="AS167" i="50"/>
  <c r="AR125" i="50"/>
  <c r="BB125" i="50"/>
  <c r="AN171" i="50"/>
  <c r="BA171" i="50"/>
  <c r="AY162" i="50"/>
  <c r="BB174" i="50"/>
  <c r="AR174" i="50"/>
  <c r="BA156" i="50"/>
  <c r="BA133" i="50"/>
  <c r="AN133" i="50"/>
  <c r="AL145" i="50"/>
  <c r="AP79" i="50"/>
  <c r="Y111" i="50"/>
  <c r="S51" i="50"/>
  <c r="AS115" i="50"/>
  <c r="AW44" i="50"/>
  <c r="AQ155" i="50"/>
  <c r="L154" i="50"/>
  <c r="D41" i="50"/>
  <c r="D32" i="50" s="1"/>
  <c r="AS194" i="50"/>
  <c r="AO118" i="50"/>
  <c r="BA163" i="50"/>
  <c r="AN163" i="50"/>
  <c r="AV160" i="50"/>
  <c r="BC160" i="50"/>
  <c r="R76" i="50"/>
  <c r="AS77" i="50"/>
  <c r="W45" i="50"/>
  <c r="BC101" i="50"/>
  <c r="AV101" i="50"/>
  <c r="AG45" i="50"/>
  <c r="AX46" i="50"/>
  <c r="AJ85" i="50"/>
  <c r="AY86" i="50"/>
  <c r="AY85" i="50" s="1"/>
  <c r="AW92" i="50"/>
  <c r="AX89" i="50"/>
  <c r="AG88" i="50"/>
  <c r="T154" i="50"/>
  <c r="R33" i="50"/>
  <c r="AS34" i="50"/>
  <c r="AS62" i="50"/>
  <c r="AS173" i="50"/>
  <c r="AX99" i="50"/>
  <c r="AO134" i="50"/>
  <c r="AT101" i="50"/>
  <c r="AB190" i="50"/>
  <c r="S131" i="50"/>
  <c r="AU55" i="50"/>
  <c r="AX115" i="50"/>
  <c r="AK111" i="50"/>
  <c r="U51" i="50"/>
  <c r="AT52" i="50"/>
  <c r="AD33" i="50"/>
  <c r="AW34" i="50"/>
  <c r="W51" i="50"/>
  <c r="AT47" i="50"/>
  <c r="AP50" i="50"/>
  <c r="AS117" i="50"/>
  <c r="V45" i="50"/>
  <c r="V41" i="50" s="1"/>
  <c r="AR47" i="50"/>
  <c r="BB47" i="50"/>
  <c r="S42" i="50"/>
  <c r="I76" i="50"/>
  <c r="AW130" i="50"/>
  <c r="AN79" i="50"/>
  <c r="BA79" i="50"/>
  <c r="AV137" i="50"/>
  <c r="BC137" i="50"/>
  <c r="AX121" i="50"/>
  <c r="AG120" i="50"/>
  <c r="AG119" i="50" s="1"/>
  <c r="N33" i="50"/>
  <c r="AT134" i="50"/>
  <c r="AS95" i="50"/>
  <c r="AA154" i="50"/>
  <c r="BC155" i="50"/>
  <c r="AV155" i="50"/>
  <c r="AY62" i="50"/>
  <c r="AL97" i="50"/>
  <c r="AR113" i="50"/>
  <c r="BB113" i="50"/>
  <c r="AP104" i="50"/>
  <c r="AR194" i="50"/>
  <c r="BB194" i="50"/>
  <c r="AF120" i="50"/>
  <c r="AJ45" i="50"/>
  <c r="AY46" i="50"/>
  <c r="AS105" i="50"/>
  <c r="BA194" i="50"/>
  <c r="AN194" i="50"/>
  <c r="AS165" i="50"/>
  <c r="AP77" i="50"/>
  <c r="K76" i="50"/>
  <c r="AV116" i="50"/>
  <c r="BC116" i="50"/>
  <c r="AS137" i="50"/>
  <c r="AN136" i="50"/>
  <c r="BA136" i="50"/>
  <c r="AX136" i="50"/>
  <c r="AX57" i="50"/>
  <c r="AQ147" i="50"/>
  <c r="AQ96" i="50"/>
  <c r="AQ160" i="50"/>
  <c r="N157" i="50"/>
  <c r="AX62" i="50"/>
  <c r="N76" i="50"/>
  <c r="AC97" i="50"/>
  <c r="AJ76" i="50"/>
  <c r="AY77" i="50"/>
  <c r="BA158" i="50"/>
  <c r="C157" i="50"/>
  <c r="AN158" i="50"/>
  <c r="AW80" i="50"/>
  <c r="AY90" i="50"/>
  <c r="AP58" i="50"/>
  <c r="AV161" i="50"/>
  <c r="BC161" i="50"/>
  <c r="AP130" i="50"/>
  <c r="V119" i="50"/>
  <c r="G97" i="50"/>
  <c r="AR130" i="50"/>
  <c r="BB130" i="50"/>
  <c r="AE157" i="50"/>
  <c r="AN174" i="50"/>
  <c r="BA174" i="50"/>
  <c r="AR63" i="50"/>
  <c r="BB63" i="50"/>
  <c r="AT82" i="50"/>
  <c r="AR135" i="50"/>
  <c r="BB135" i="50"/>
  <c r="BB100" i="50"/>
  <c r="AR100" i="50"/>
  <c r="BA91" i="50"/>
  <c r="AN91" i="50"/>
  <c r="AF145" i="50"/>
  <c r="X111" i="50"/>
  <c r="AU112" i="50"/>
  <c r="AU67" i="50"/>
  <c r="AN132" i="50"/>
  <c r="BA132" i="50"/>
  <c r="C131" i="50"/>
  <c r="BA118" i="50"/>
  <c r="I123" i="50"/>
  <c r="AP124" i="50"/>
  <c r="AP101" i="50"/>
  <c r="AU78" i="50"/>
  <c r="AF190" i="50"/>
  <c r="AF154" i="50"/>
  <c r="AF153" i="50" s="1"/>
  <c r="J42" i="50"/>
  <c r="AR50" i="50"/>
  <c r="BB50" i="50"/>
  <c r="BC164" i="50"/>
  <c r="AV164" i="50"/>
  <c r="J88" i="50"/>
  <c r="Z123" i="50"/>
  <c r="U154" i="50"/>
  <c r="AT155" i="50"/>
  <c r="AP40" i="50"/>
  <c r="AR172" i="50"/>
  <c r="BB172" i="50"/>
  <c r="AE33" i="50"/>
  <c r="AY163" i="50"/>
  <c r="AY64" i="50"/>
  <c r="BA55" i="50"/>
  <c r="AU82" i="50"/>
  <c r="M111" i="50"/>
  <c r="R111" i="50"/>
  <c r="AS112" i="50"/>
  <c r="AO104" i="50"/>
  <c r="AQ163" i="50"/>
  <c r="H51" i="50"/>
  <c r="R45" i="50"/>
  <c r="AS46" i="50"/>
  <c r="U123" i="50"/>
  <c r="AT124" i="50"/>
  <c r="W123" i="50"/>
  <c r="W119" i="50" s="1"/>
  <c r="AF131" i="50"/>
  <c r="BB79" i="50"/>
  <c r="AR79" i="50"/>
  <c r="AT54" i="50"/>
  <c r="AV112" i="50"/>
  <c r="AA111" i="50"/>
  <c r="BC112" i="50"/>
  <c r="AV173" i="50"/>
  <c r="BC173" i="50"/>
  <c r="BA113" i="50"/>
  <c r="AN113" i="50"/>
  <c r="AO165" i="50"/>
  <c r="V111" i="50"/>
  <c r="BB152" i="50"/>
  <c r="AR152" i="50"/>
  <c r="AS64" i="50"/>
  <c r="E45" i="50"/>
  <c r="AW36" i="50"/>
  <c r="AF51" i="50"/>
  <c r="AO147" i="50"/>
  <c r="AK85" i="50"/>
  <c r="BA87" i="50"/>
  <c r="AN87" i="50"/>
  <c r="AO136" i="50"/>
  <c r="AN182" i="50"/>
  <c r="BA182" i="50"/>
  <c r="AW54" i="50"/>
  <c r="BA161" i="50"/>
  <c r="AN161" i="50"/>
  <c r="AS147" i="50"/>
  <c r="AU118" i="50"/>
  <c r="AP36" i="50"/>
  <c r="BC81" i="50"/>
  <c r="AV81" i="50"/>
  <c r="AQ54" i="50"/>
  <c r="AY139" i="50"/>
  <c r="AW65" i="50"/>
  <c r="Z51" i="50"/>
  <c r="AX95" i="50"/>
  <c r="AU109" i="50"/>
  <c r="AT102" i="50"/>
  <c r="AO64" i="50"/>
  <c r="K111" i="50"/>
  <c r="AB85" i="50"/>
  <c r="AY98" i="50"/>
  <c r="AJ97" i="50"/>
  <c r="AW83" i="50"/>
  <c r="AS161" i="50"/>
  <c r="AX81" i="50"/>
  <c r="BC83" i="50"/>
  <c r="AV83" i="50"/>
  <c r="AP143" i="50"/>
  <c r="Q51" i="50"/>
  <c r="AP57" i="50"/>
  <c r="M60" i="50"/>
  <c r="AU92" i="50"/>
  <c r="AQ100" i="50"/>
  <c r="AV35" i="50"/>
  <c r="BC35" i="50"/>
  <c r="E131" i="50"/>
  <c r="AY136" i="50"/>
  <c r="AW189" i="50"/>
  <c r="AY150" i="50"/>
  <c r="AT95" i="50"/>
  <c r="AN127" i="50"/>
  <c r="BA127" i="50"/>
  <c r="AN54" i="50"/>
  <c r="AX67" i="50"/>
  <c r="AR109" i="50"/>
  <c r="BB109" i="50"/>
  <c r="AQ104" i="50"/>
  <c r="AW53" i="50"/>
  <c r="AR35" i="50"/>
  <c r="BB35" i="50"/>
  <c r="K42" i="50"/>
  <c r="AR89" i="50"/>
  <c r="O88" i="50"/>
  <c r="BB89" i="50"/>
  <c r="AN168" i="50"/>
  <c r="BA168" i="50"/>
  <c r="BA160" i="50"/>
  <c r="AN160" i="50"/>
  <c r="R145" i="50"/>
  <c r="AS146" i="50"/>
  <c r="AX109" i="50"/>
  <c r="AN148" i="50"/>
  <c r="F123" i="50"/>
  <c r="AO124" i="50"/>
  <c r="AT136" i="50"/>
  <c r="AO112" i="50"/>
  <c r="F111" i="50"/>
  <c r="AF33" i="50"/>
  <c r="P88" i="50"/>
  <c r="AQ116" i="50"/>
  <c r="AX44" i="50"/>
  <c r="AY57" i="50"/>
  <c r="AV47" i="50"/>
  <c r="BC47" i="50"/>
  <c r="I51" i="50"/>
  <c r="AP56" i="50"/>
  <c r="I190" i="50"/>
  <c r="AP187" i="50"/>
  <c r="AY95" i="50"/>
  <c r="AU99" i="50"/>
  <c r="AV86" i="50"/>
  <c r="BC86" i="50"/>
  <c r="AA85" i="50"/>
  <c r="AV39" i="50"/>
  <c r="BC39" i="50"/>
  <c r="AO127" i="50"/>
  <c r="AY138" i="50"/>
  <c r="BB101" i="50"/>
  <c r="AR101" i="50"/>
  <c r="AO39" i="50"/>
  <c r="AL76" i="50"/>
  <c r="AU103" i="50"/>
  <c r="AC166" i="50"/>
  <c r="O111" i="50"/>
  <c r="AR112" i="50"/>
  <c r="BB112" i="50"/>
  <c r="AP129" i="50"/>
  <c r="O60" i="50"/>
  <c r="AR61" i="50"/>
  <c r="BB61" i="50"/>
  <c r="I42" i="50"/>
  <c r="AP43" i="50"/>
  <c r="AX52" i="50"/>
  <c r="AG51" i="50"/>
  <c r="AR67" i="50"/>
  <c r="BB67" i="50"/>
  <c r="AO48" i="50"/>
  <c r="N131" i="50"/>
  <c r="AD85" i="50"/>
  <c r="AW86" i="50"/>
  <c r="AO121" i="50"/>
  <c r="AO120" i="50" s="1"/>
  <c r="F120" i="50"/>
  <c r="AX164" i="50"/>
  <c r="AN150" i="50"/>
  <c r="BB77" i="50"/>
  <c r="O76" i="50"/>
  <c r="AR77" i="50"/>
  <c r="T190" i="50"/>
  <c r="AV136" i="50"/>
  <c r="BC136" i="50"/>
  <c r="AS116" i="50"/>
  <c r="AS102" i="50"/>
  <c r="AW137" i="50"/>
  <c r="AQ35" i="50"/>
  <c r="AS63" i="50"/>
  <c r="BA66" i="50"/>
  <c r="AN66" i="50"/>
  <c r="U131" i="50"/>
  <c r="AT132" i="50"/>
  <c r="AO83" i="50"/>
  <c r="AT99" i="50"/>
  <c r="AT133" i="50"/>
  <c r="AQ134" i="50"/>
  <c r="AW96" i="50"/>
  <c r="AW79" i="50"/>
  <c r="AT182" i="50"/>
  <c r="BA148" i="50"/>
  <c r="AY143" i="50"/>
  <c r="BB68" i="50"/>
  <c r="AR68" i="50"/>
  <c r="AU117" i="50"/>
  <c r="F88" i="50"/>
  <c r="AO89" i="50"/>
  <c r="P85" i="50"/>
  <c r="AQ90" i="50"/>
  <c r="AY189" i="50"/>
  <c r="BC150" i="50"/>
  <c r="AV150" i="50"/>
  <c r="BC98" i="50"/>
  <c r="AV98" i="50"/>
  <c r="AA97" i="50"/>
  <c r="AQ101" i="50"/>
  <c r="AP136" i="50"/>
  <c r="R42" i="50"/>
  <c r="AS43" i="50"/>
  <c r="AV138" i="50"/>
  <c r="BC138" i="50"/>
  <c r="M97" i="50"/>
  <c r="AE76" i="50"/>
  <c r="K60" i="50"/>
  <c r="AW117" i="50"/>
  <c r="AW58" i="50"/>
  <c r="AX171" i="50"/>
  <c r="AT173" i="50"/>
  <c r="BA64" i="50"/>
  <c r="AN64" i="50"/>
  <c r="AT80" i="50"/>
  <c r="AR48" i="50"/>
  <c r="BB48" i="50"/>
  <c r="AU150" i="50"/>
  <c r="Z76" i="50"/>
  <c r="AT57" i="50"/>
  <c r="V190" i="50"/>
  <c r="AP127" i="50"/>
  <c r="AR65" i="50"/>
  <c r="BB65" i="50"/>
  <c r="AC45" i="50"/>
  <c r="AU90" i="50"/>
  <c r="AW188" i="50"/>
  <c r="AW133" i="50"/>
  <c r="H42" i="50"/>
  <c r="AR95" i="50"/>
  <c r="BB95" i="50"/>
  <c r="AX128" i="50"/>
  <c r="AQ61" i="50"/>
  <c r="L60" i="50"/>
  <c r="AU168" i="50"/>
  <c r="J45" i="50"/>
  <c r="M33" i="50"/>
  <c r="AP128" i="50"/>
  <c r="AS66" i="50"/>
  <c r="G45" i="50"/>
  <c r="G41" i="50" s="1"/>
  <c r="AR90" i="50"/>
  <c r="BB90" i="50"/>
  <c r="BA81" i="50"/>
  <c r="AN81" i="50"/>
  <c r="AJ145" i="50"/>
  <c r="AY146" i="50"/>
  <c r="AP126" i="50"/>
  <c r="AW118" i="50"/>
  <c r="AQ168" i="50"/>
  <c r="AN90" i="50"/>
  <c r="BA90" i="50"/>
  <c r="AV194" i="50"/>
  <c r="BC194" i="50"/>
  <c r="AP163" i="50"/>
  <c r="AC145" i="50"/>
  <c r="AW152" i="50"/>
  <c r="BC54" i="50"/>
  <c r="AV54" i="50"/>
  <c r="N154" i="50"/>
  <c r="BC82" i="50"/>
  <c r="AV82" i="50"/>
  <c r="S123" i="50"/>
  <c r="Z60" i="50"/>
  <c r="AR133" i="50"/>
  <c r="BB133" i="50"/>
  <c r="AY68" i="50"/>
  <c r="AV90" i="50"/>
  <c r="BC90" i="50"/>
  <c r="AQ93" i="50"/>
  <c r="U45" i="50"/>
  <c r="AT46" i="50"/>
  <c r="AQ34" i="50"/>
  <c r="L33" i="50"/>
  <c r="AO92" i="50"/>
  <c r="AP90" i="50"/>
  <c r="AP96" i="50"/>
  <c r="AY164" i="50"/>
  <c r="F85" i="50"/>
  <c r="F84" i="50" s="1"/>
  <c r="AO86" i="50"/>
  <c r="AF45" i="50"/>
  <c r="AF41" i="50" s="1"/>
  <c r="AJ111" i="50"/>
  <c r="AY112" i="50"/>
  <c r="C51" i="50"/>
  <c r="BA52" i="50"/>
  <c r="BB93" i="50"/>
  <c r="AR93" i="50"/>
  <c r="AT92" i="50"/>
  <c r="AO161" i="50"/>
  <c r="S85" i="50"/>
  <c r="S84" i="50" s="1"/>
  <c r="AS78" i="50"/>
  <c r="AO174" i="50"/>
  <c r="AW90" i="50"/>
  <c r="AQ57" i="50"/>
  <c r="AF60" i="50"/>
  <c r="AS54" i="50"/>
  <c r="AP65" i="50"/>
  <c r="AX34" i="50"/>
  <c r="AG33" i="50"/>
  <c r="BA56" i="50"/>
  <c r="AN56" i="50"/>
  <c r="AG157" i="50"/>
  <c r="AX158" i="50"/>
  <c r="AX134" i="50"/>
  <c r="AY167" i="50"/>
  <c r="AJ166" i="50"/>
  <c r="AV44" i="50"/>
  <c r="BC44" i="50"/>
  <c r="AD42" i="50"/>
  <c r="AW43" i="50"/>
  <c r="AQ114" i="50"/>
  <c r="AU129" i="50"/>
  <c r="BB103" i="50"/>
  <c r="AR103" i="50"/>
  <c r="AU66" i="50"/>
  <c r="AG85" i="50"/>
  <c r="AX86" i="50"/>
  <c r="AX170" i="50"/>
  <c r="AE111" i="50"/>
  <c r="AL123" i="50"/>
  <c r="AL119" i="50" s="1"/>
  <c r="Y75" i="45"/>
  <c r="AV149" i="50"/>
  <c r="BC149" i="50"/>
  <c r="AV95" i="50"/>
  <c r="BC95" i="50"/>
  <c r="AR150" i="50"/>
  <c r="BB150" i="50"/>
  <c r="AE153" i="50"/>
  <c r="C42" i="50"/>
  <c r="AN43" i="50"/>
  <c r="BA43" i="50"/>
  <c r="AW121" i="50"/>
  <c r="AD120" i="50"/>
  <c r="AN124" i="50"/>
  <c r="C123" i="50"/>
  <c r="BA124" i="50"/>
  <c r="AN105" i="50"/>
  <c r="BA105" i="50"/>
  <c r="AG42" i="50"/>
  <c r="AX43" i="50"/>
  <c r="AV79" i="50"/>
  <c r="BC79" i="50"/>
  <c r="AY148" i="50"/>
  <c r="Y51" i="50"/>
  <c r="I154" i="50"/>
  <c r="AP155" i="50"/>
  <c r="AP154" i="50" s="1"/>
  <c r="AA51" i="50"/>
  <c r="BC52" i="50"/>
  <c r="AV52" i="50"/>
  <c r="AV105" i="50"/>
  <c r="BC105" i="50"/>
  <c r="BA40" i="50"/>
  <c r="AN40" i="50"/>
  <c r="Y131" i="50"/>
  <c r="BB56" i="50"/>
  <c r="AR56" i="50"/>
  <c r="AJ60" i="50"/>
  <c r="AY61" i="50"/>
  <c r="BC59" i="50"/>
  <c r="AV59" i="50"/>
  <c r="AS53" i="50"/>
  <c r="BA139" i="50"/>
  <c r="AN139" i="50"/>
  <c r="AQ46" i="50"/>
  <c r="L45" i="50"/>
  <c r="Q145" i="50"/>
  <c r="U157" i="50"/>
  <c r="AT158" i="50"/>
  <c r="F190" i="50"/>
  <c r="AO187" i="50"/>
  <c r="AW146" i="50"/>
  <c r="AD145" i="50"/>
  <c r="X123" i="50"/>
  <c r="AU124" i="50"/>
  <c r="BA117" i="50"/>
  <c r="AN117" i="50"/>
  <c r="V33" i="50"/>
  <c r="AX182" i="50"/>
  <c r="AK33" i="50"/>
  <c r="AA123" i="50"/>
  <c r="AV124" i="50"/>
  <c r="BC124" i="50"/>
  <c r="AQ37" i="50"/>
  <c r="AU149" i="50"/>
  <c r="Z88" i="50"/>
  <c r="Z84" i="50" s="1"/>
  <c r="AF88" i="50"/>
  <c r="AF84" i="50" s="1"/>
  <c r="AF75" i="50" s="1"/>
  <c r="AF106" i="50" s="1"/>
  <c r="AY83" i="50"/>
  <c r="AW149" i="50"/>
  <c r="BC148" i="50"/>
  <c r="AV148" i="50"/>
  <c r="AT151" i="50"/>
  <c r="AR105" i="50"/>
  <c r="BB105" i="50"/>
  <c r="AO82" i="50"/>
  <c r="AQ148" i="50"/>
  <c r="BB64" i="50"/>
  <c r="AR64" i="50"/>
  <c r="AK123" i="50"/>
  <c r="BB58" i="50"/>
  <c r="AR58" i="50"/>
  <c r="S60" i="50"/>
  <c r="AK76" i="50"/>
  <c r="AT96" i="50"/>
  <c r="AR151" i="50"/>
  <c r="BB151" i="50"/>
  <c r="AV189" i="50"/>
  <c r="BC189" i="50"/>
  <c r="AX189" i="50"/>
  <c r="AQ94" i="50"/>
  <c r="U97" i="50"/>
  <c r="AT98" i="50"/>
  <c r="AO91" i="50"/>
  <c r="C88" i="50"/>
  <c r="BA89" i="50"/>
  <c r="AN89" i="50"/>
  <c r="AY81" i="50"/>
  <c r="AB97" i="50"/>
  <c r="AB33" i="50"/>
  <c r="AS130" i="50"/>
  <c r="AV130" i="50"/>
  <c r="BC130" i="50"/>
  <c r="AW49" i="50"/>
  <c r="G60" i="50"/>
  <c r="BC170" i="50"/>
  <c r="AV170" i="50"/>
  <c r="BA137" i="50"/>
  <c r="AN137" i="50"/>
  <c r="AW167" i="50"/>
  <c r="AD166" i="50"/>
  <c r="BC94" i="50"/>
  <c r="AV94" i="50"/>
  <c r="AF111" i="50"/>
  <c r="AQ124" i="50"/>
  <c r="L123" i="50"/>
  <c r="AG60" i="50"/>
  <c r="AX61" i="50"/>
  <c r="AB166" i="50"/>
  <c r="AP150" i="50"/>
  <c r="AP61" i="50"/>
  <c r="I60" i="50"/>
  <c r="AU167" i="50"/>
  <c r="X166" i="50"/>
  <c r="Q131" i="50"/>
  <c r="AN65" i="50"/>
  <c r="BA65" i="50"/>
  <c r="H97" i="50"/>
  <c r="G111" i="50"/>
  <c r="I120" i="50"/>
  <c r="AP121" i="50"/>
  <c r="AW162" i="50"/>
  <c r="AG76" i="50"/>
  <c r="AX77" i="50"/>
  <c r="AD88" i="50"/>
  <c r="AW89" i="50"/>
  <c r="U166" i="50"/>
  <c r="AT167" i="50"/>
  <c r="AN48" i="50"/>
  <c r="AT152" i="50"/>
  <c r="AO167" i="50"/>
  <c r="F166" i="50"/>
  <c r="J131" i="50"/>
  <c r="AY101" i="50"/>
  <c r="L42" i="50"/>
  <c r="AQ43" i="50"/>
  <c r="AU104" i="50"/>
  <c r="AV103" i="50"/>
  <c r="BC103" i="50"/>
  <c r="F60" i="50"/>
  <c r="AV50" i="50"/>
  <c r="BC50" i="50"/>
  <c r="BC156" i="50"/>
  <c r="AV156" i="50"/>
  <c r="AO113" i="50"/>
  <c r="AR49" i="50"/>
  <c r="BB49" i="50"/>
  <c r="AH123" i="50"/>
  <c r="AH119" i="50" s="1"/>
  <c r="AQ189" i="50"/>
  <c r="R190" i="50"/>
  <c r="AS187" i="50"/>
  <c r="L120" i="50"/>
  <c r="AQ121" i="50"/>
  <c r="AQ120" i="50" s="1"/>
  <c r="AV48" i="50"/>
  <c r="BC48" i="50"/>
  <c r="AK131" i="50"/>
  <c r="AP64" i="50"/>
  <c r="AR171" i="50"/>
  <c r="BB171" i="50"/>
  <c r="BB102" i="50"/>
  <c r="AR102" i="50"/>
  <c r="S111" i="50"/>
  <c r="F45" i="50"/>
  <c r="AW35" i="50"/>
  <c r="BC109" i="50"/>
  <c r="AV109" i="50"/>
  <c r="T45" i="50"/>
  <c r="T41" i="50" s="1"/>
  <c r="AL60" i="50"/>
  <c r="AJ33" i="50"/>
  <c r="AY34" i="50"/>
  <c r="AY58" i="50"/>
  <c r="P97" i="50"/>
  <c r="AC123" i="50"/>
  <c r="AQ126" i="50"/>
  <c r="AV96" i="50"/>
  <c r="BC96" i="50"/>
  <c r="AN95" i="50"/>
  <c r="BA95" i="50"/>
  <c r="BB81" i="50"/>
  <c r="AR81" i="50"/>
  <c r="AY79" i="50"/>
  <c r="N88" i="50"/>
  <c r="N84" i="50" s="1"/>
  <c r="X42" i="50"/>
  <c r="AU43" i="50"/>
  <c r="AW52" i="50"/>
  <c r="AD51" i="50"/>
  <c r="D111" i="50"/>
  <c r="J120" i="50"/>
  <c r="AU101" i="50"/>
  <c r="I157" i="50"/>
  <c r="AS55" i="50"/>
  <c r="AX146" i="50"/>
  <c r="AG145" i="50"/>
  <c r="AI123" i="50"/>
  <c r="AW194" i="50"/>
  <c r="X45" i="50"/>
  <c r="AU46" i="50"/>
  <c r="AU45" i="50" s="1"/>
  <c r="AT129" i="50"/>
  <c r="AS156" i="50"/>
  <c r="AT67" i="50"/>
  <c r="AY188" i="50"/>
  <c r="X120" i="50"/>
  <c r="AU121" i="50"/>
  <c r="AO151" i="50"/>
  <c r="T131" i="50"/>
  <c r="AJ190" i="50"/>
  <c r="AY187" i="50"/>
  <c r="F76" i="50"/>
  <c r="AO77" i="50"/>
  <c r="S76" i="50"/>
  <c r="AU136" i="50"/>
  <c r="AP81" i="50"/>
  <c r="AP46" i="50"/>
  <c r="I45" i="50"/>
  <c r="Y145" i="50"/>
  <c r="Y144" i="50" s="1"/>
  <c r="AW171" i="50"/>
  <c r="C85" i="50"/>
  <c r="BA86" i="50"/>
  <c r="AN86" i="50"/>
  <c r="AV126" i="50"/>
  <c r="BC126" i="50"/>
  <c r="AQ52" i="50"/>
  <c r="L51" i="50"/>
  <c r="AV57" i="50"/>
  <c r="BC57" i="50"/>
  <c r="AW114" i="50"/>
  <c r="U85" i="50"/>
  <c r="AT86" i="50"/>
  <c r="AT85" i="50" s="1"/>
  <c r="AT55" i="50"/>
  <c r="AN50" i="50"/>
  <c r="BA50" i="50"/>
  <c r="AX132" i="50"/>
  <c r="AG131" i="50"/>
  <c r="AU165" i="50"/>
  <c r="S45" i="50"/>
  <c r="AY116" i="50"/>
  <c r="AU163" i="50"/>
  <c r="AU137" i="50"/>
  <c r="AQ48" i="50"/>
  <c r="AU116" i="50"/>
  <c r="AX162" i="50"/>
  <c r="BC172" i="50"/>
  <c r="AV172" i="50"/>
  <c r="Z111" i="50"/>
  <c r="D76" i="50"/>
  <c r="AW170" i="50"/>
  <c r="AQ105" i="50"/>
  <c r="AU81" i="50"/>
  <c r="AP148" i="50"/>
  <c r="AW39" i="50"/>
  <c r="AP133" i="50"/>
  <c r="E42" i="50"/>
  <c r="AU164" i="50"/>
  <c r="O85" i="50"/>
  <c r="AR86" i="50"/>
  <c r="BB86" i="50"/>
  <c r="AQ39" i="50"/>
  <c r="BB57" i="50"/>
  <c r="AR57" i="50"/>
  <c r="AY165" i="50"/>
  <c r="AQ130" i="50"/>
  <c r="AQ78" i="50"/>
  <c r="AO61" i="50"/>
  <c r="H60" i="50"/>
  <c r="AY96" i="50"/>
  <c r="O190" i="50"/>
  <c r="BB187" i="50"/>
  <c r="AR187" i="50"/>
  <c r="BA159" i="50"/>
  <c r="AN159" i="50"/>
  <c r="BA122" i="50"/>
  <c r="AN122" i="50"/>
  <c r="AT170" i="50"/>
  <c r="V84" i="50"/>
  <c r="AQ79" i="50"/>
  <c r="AU114" i="50"/>
  <c r="AX58" i="50"/>
  <c r="AO182" i="50"/>
  <c r="AQ165" i="50"/>
  <c r="AS138" i="50"/>
  <c r="AS44" i="50"/>
  <c r="AC120" i="50"/>
  <c r="AR158" i="50"/>
  <c r="O157" i="50"/>
  <c r="BB158" i="50"/>
  <c r="AX39" i="50"/>
  <c r="AQ47" i="50"/>
  <c r="P190" i="50"/>
  <c r="AT38" i="50"/>
  <c r="AS79" i="50"/>
  <c r="AS160" i="50"/>
  <c r="AG154" i="50"/>
  <c r="AX155" i="50"/>
  <c r="AQ112" i="50"/>
  <c r="L111" i="50"/>
  <c r="AE131" i="50"/>
  <c r="AO57" i="50"/>
  <c r="AY39" i="50"/>
  <c r="AT53" i="50"/>
  <c r="AS50" i="50"/>
  <c r="X154" i="50"/>
  <c r="AU155" i="50"/>
  <c r="Q123" i="50"/>
  <c r="AX66" i="50"/>
  <c r="Q41" i="50"/>
  <c r="AN118" i="50"/>
  <c r="AU170" i="50"/>
  <c r="BB115" i="50"/>
  <c r="AR115" i="50"/>
  <c r="AR167" i="50"/>
  <c r="O166" i="50"/>
  <c r="BB167" i="50"/>
  <c r="BB40" i="50"/>
  <c r="AR40" i="50"/>
  <c r="AY56" i="50"/>
  <c r="AV115" i="50"/>
  <c r="BC115" i="50"/>
  <c r="AJ123" i="50"/>
  <c r="AY124" i="50"/>
  <c r="AH88" i="50"/>
  <c r="BB182" i="50"/>
  <c r="AR182" i="50"/>
  <c r="AW173" i="50"/>
  <c r="J166" i="50"/>
  <c r="AV36" i="50"/>
  <c r="BC36" i="50"/>
  <c r="AU87" i="50"/>
  <c r="I97" i="50"/>
  <c r="AP98" i="50"/>
  <c r="AV152" i="50"/>
  <c r="BC152" i="50"/>
  <c r="AS58" i="50"/>
  <c r="AT165" i="50"/>
  <c r="AS82" i="50"/>
  <c r="AT161" i="50"/>
  <c r="I131" i="50"/>
  <c r="AP47" i="50"/>
  <c r="X60" i="50"/>
  <c r="AU61" i="50"/>
  <c r="AO132" i="50"/>
  <c r="H131" i="50"/>
  <c r="AY160" i="50"/>
  <c r="AQ150" i="50"/>
  <c r="AQ151" i="50"/>
  <c r="AT128" i="50"/>
  <c r="AU148" i="50"/>
  <c r="S166" i="50"/>
  <c r="AX127" i="50"/>
  <c r="AP147" i="50"/>
  <c r="AD60" i="50"/>
  <c r="AW61" i="50"/>
  <c r="AL51" i="50"/>
  <c r="AW151" i="50"/>
  <c r="AT118" i="50"/>
  <c r="AH76" i="50"/>
  <c r="AN146" i="50"/>
  <c r="E145" i="50"/>
  <c r="AO194" i="50"/>
  <c r="AI131" i="50"/>
  <c r="AU156" i="50"/>
  <c r="AO105" i="50"/>
  <c r="W166" i="50"/>
  <c r="AP68" i="50"/>
  <c r="Y166" i="50"/>
  <c r="K123" i="50"/>
  <c r="K119" i="50" s="1"/>
  <c r="Q120" i="50"/>
  <c r="H190" i="50"/>
  <c r="AT163" i="50"/>
  <c r="AI120" i="50"/>
  <c r="P166" i="50"/>
  <c r="AQ49" i="50"/>
  <c r="AG190" i="50"/>
  <c r="AX187" i="50"/>
  <c r="AV34" i="50"/>
  <c r="AA33" i="50"/>
  <c r="BC34" i="50"/>
  <c r="AS57" i="50"/>
  <c r="BC104" i="50"/>
  <c r="AV104" i="50"/>
  <c r="AB76" i="50"/>
  <c r="AO150" i="50"/>
  <c r="M166" i="50"/>
  <c r="AO49" i="50"/>
  <c r="AT164" i="50"/>
  <c r="Z120" i="50"/>
  <c r="BA82" i="50"/>
  <c r="AN77" i="50"/>
  <c r="BA77" i="50"/>
  <c r="C76" i="50"/>
  <c r="AQ92" i="50"/>
  <c r="AR126" i="50"/>
  <c r="BB126" i="50"/>
  <c r="AU174" i="50"/>
  <c r="AP149" i="50"/>
  <c r="AW138" i="50"/>
  <c r="S190" i="50"/>
  <c r="AP87" i="50"/>
  <c r="Q97" i="50"/>
  <c r="N42" i="50"/>
  <c r="AX149" i="50"/>
  <c r="AO171" i="50"/>
  <c r="AY82" i="50"/>
  <c r="AX174" i="50"/>
  <c r="AS127" i="50"/>
  <c r="Q33" i="50"/>
  <c r="AE85" i="50"/>
  <c r="AE84" i="50" s="1"/>
  <c r="AO90" i="50"/>
  <c r="AC51" i="50"/>
  <c r="AO46" i="50"/>
  <c r="H45" i="50"/>
  <c r="M45" i="50"/>
  <c r="M41" i="50" s="1"/>
  <c r="AX92" i="50"/>
  <c r="AB154" i="50"/>
  <c r="AO54" i="50"/>
  <c r="AN80" i="50"/>
  <c r="BA80" i="50"/>
  <c r="AY156" i="50"/>
  <c r="BA34" i="50"/>
  <c r="C33" i="50"/>
  <c r="AQ80" i="50"/>
  <c r="AS129" i="50"/>
  <c r="AB157" i="50"/>
  <c r="Y190" i="50"/>
  <c r="AO169" i="50"/>
  <c r="BC68" i="50"/>
  <c r="AV68" i="50"/>
  <c r="AU130" i="50"/>
  <c r="AV91" i="50"/>
  <c r="BC91" i="50"/>
  <c r="I111" i="50"/>
  <c r="AP112" i="50"/>
  <c r="AR54" i="50"/>
  <c r="BB54" i="50"/>
  <c r="W190" i="50"/>
  <c r="AI157" i="50"/>
  <c r="AI153" i="50" s="1"/>
  <c r="AT116" i="50"/>
  <c r="AW124" i="50"/>
  <c r="AD123" i="50"/>
  <c r="AU122" i="50"/>
  <c r="AP164" i="50"/>
  <c r="AU139" i="50"/>
  <c r="AO103" i="50"/>
  <c r="AY171" i="50"/>
  <c r="J97" i="50"/>
  <c r="BA126" i="50"/>
  <c r="AN126" i="50"/>
  <c r="AG111" i="50"/>
  <c r="AX112" i="50"/>
  <c r="AQ129" i="50"/>
  <c r="AV146" i="50"/>
  <c r="BC146" i="50"/>
  <c r="AA145" i="50"/>
  <c r="AN162" i="50"/>
  <c r="BA162" i="50"/>
  <c r="AR124" i="50"/>
  <c r="O123" i="50"/>
  <c r="BB124" i="50"/>
  <c r="AU169" i="50"/>
  <c r="AR156" i="50"/>
  <c r="BB156" i="50"/>
  <c r="AY55" i="50"/>
  <c r="AC42" i="50"/>
  <c r="AP170" i="50"/>
  <c r="AX48" i="50"/>
  <c r="AX82" i="50"/>
  <c r="AI111" i="50"/>
  <c r="AS59" i="50"/>
  <c r="AS56" i="50"/>
  <c r="AL33" i="50"/>
  <c r="BC151" i="50"/>
  <c r="AV151" i="50"/>
  <c r="AS90" i="50"/>
  <c r="U145" i="50"/>
  <c r="AT146" i="50"/>
  <c r="P75" i="45"/>
  <c r="W75" i="45"/>
  <c r="T75" i="45"/>
  <c r="U75" i="45"/>
  <c r="Q75" i="45"/>
  <c r="AQ77" i="50"/>
  <c r="L76" i="50"/>
  <c r="AR53" i="50"/>
  <c r="BB53" i="50"/>
  <c r="BA78" i="50"/>
  <c r="AN78" i="50"/>
  <c r="AV122" i="50"/>
  <c r="BC122" i="50"/>
  <c r="AU187" i="50"/>
  <c r="X190" i="50"/>
  <c r="AT109" i="50"/>
  <c r="BA68" i="50"/>
  <c r="AH51" i="50"/>
  <c r="AJ88" i="50"/>
  <c r="AY89" i="50"/>
  <c r="AY49" i="50"/>
  <c r="W131" i="50"/>
  <c r="AY100" i="50"/>
  <c r="AX54" i="50"/>
  <c r="AQ194" i="50"/>
  <c r="AR136" i="50"/>
  <c r="BB136" i="50"/>
  <c r="AN96" i="50"/>
  <c r="AV92" i="50"/>
  <c r="BC92" i="50"/>
  <c r="BA150" i="50"/>
  <c r="BB138" i="50"/>
  <c r="AR138" i="50"/>
  <c r="AP55" i="50"/>
  <c r="AN49" i="50"/>
  <c r="BA49" i="50"/>
  <c r="BA121" i="50"/>
  <c r="C120" i="50"/>
  <c r="AN121" i="50"/>
  <c r="BA109" i="50"/>
  <c r="AN109" i="50"/>
  <c r="BB134" i="50"/>
  <c r="AR134" i="50"/>
  <c r="E60" i="50"/>
  <c r="AN34" i="50"/>
  <c r="E33" i="50"/>
  <c r="E119" i="50"/>
  <c r="D123" i="50"/>
  <c r="D119" i="50" s="1"/>
  <c r="AS152" i="50"/>
  <c r="AS87" i="50"/>
  <c r="I88" i="50"/>
  <c r="AP89" i="50"/>
  <c r="U111" i="50"/>
  <c r="AT112" i="50"/>
  <c r="O45" i="50"/>
  <c r="AR46" i="50"/>
  <c r="BB46" i="50"/>
  <c r="AP194" i="50"/>
  <c r="AO126" i="50"/>
  <c r="BB114" i="50"/>
  <c r="AR114" i="50"/>
  <c r="BC128" i="50"/>
  <c r="AV128" i="50"/>
  <c r="AR87" i="50"/>
  <c r="BB87" i="50"/>
  <c r="N60" i="50"/>
  <c r="AN38" i="50"/>
  <c r="BA38" i="50"/>
  <c r="R85" i="50"/>
  <c r="AS86" i="50"/>
  <c r="AS67" i="50"/>
  <c r="AP44" i="50"/>
  <c r="AS104" i="50"/>
  <c r="AR59" i="50"/>
  <c r="BB59" i="50"/>
  <c r="AO78" i="50"/>
  <c r="W33" i="50"/>
  <c r="R120" i="50"/>
  <c r="AS121" i="50"/>
  <c r="AS120" i="50" s="1"/>
  <c r="AW95" i="50"/>
  <c r="AO79" i="50"/>
  <c r="AI97" i="50"/>
  <c r="AY59" i="50"/>
  <c r="M190" i="50"/>
  <c r="AP78" i="50"/>
  <c r="AV55" i="50"/>
  <c r="BC55" i="50"/>
  <c r="Z131" i="50"/>
  <c r="BC187" i="50"/>
  <c r="AV187" i="50"/>
  <c r="AA190" i="50"/>
  <c r="W145" i="50"/>
  <c r="J76" i="50"/>
  <c r="AV127" i="50"/>
  <c r="BC127" i="50"/>
  <c r="BB165" i="50"/>
  <c r="AR165" i="50"/>
  <c r="AP152" i="50"/>
  <c r="AT113" i="50"/>
  <c r="AN102" i="50"/>
  <c r="BA102" i="50"/>
  <c r="AS38" i="50"/>
  <c r="I33" i="50"/>
  <c r="AP34" i="50"/>
  <c r="AV162" i="50"/>
  <c r="BC162" i="50"/>
  <c r="AT39" i="50"/>
  <c r="AW103" i="50"/>
  <c r="BA61" i="50"/>
  <c r="C60" i="50"/>
  <c r="AN61" i="50"/>
  <c r="AV56" i="50"/>
  <c r="BC56" i="50"/>
  <c r="AQ170" i="50"/>
  <c r="Y33" i="50"/>
  <c r="R88" i="50"/>
  <c r="AS89" i="50"/>
  <c r="AY105" i="50"/>
  <c r="BA143" i="50"/>
  <c r="AN143" i="50"/>
  <c r="E88" i="50"/>
  <c r="P33" i="50"/>
  <c r="AN53" i="50"/>
  <c r="BA53" i="50"/>
  <c r="AS128" i="50"/>
  <c r="AE45" i="50"/>
  <c r="AE41" i="50" s="1"/>
  <c r="AS188" i="50"/>
  <c r="AN100" i="50"/>
  <c r="BA100" i="50"/>
  <c r="AU58" i="50"/>
  <c r="BA58" i="50"/>
  <c r="AN58" i="50"/>
  <c r="J60" i="50"/>
  <c r="AB123" i="50"/>
  <c r="AB119" i="50" s="1"/>
  <c r="T166" i="50"/>
  <c r="AO189" i="50"/>
  <c r="AS113" i="50"/>
  <c r="J33" i="50"/>
  <c r="AX152" i="50"/>
  <c r="AO159" i="50"/>
  <c r="R157" i="50"/>
  <c r="AS158" i="50"/>
  <c r="AX143" i="50"/>
  <c r="D131" i="50"/>
  <c r="H84" i="50"/>
  <c r="AX137" i="50"/>
  <c r="AW38" i="50"/>
  <c r="AP93" i="50"/>
  <c r="AW127" i="50"/>
  <c r="AN62" i="50"/>
  <c r="BA62" i="50"/>
  <c r="AS143" i="50"/>
  <c r="AR170" i="50"/>
  <c r="BB170" i="50"/>
  <c r="AQ187" i="50"/>
  <c r="L190" i="50"/>
  <c r="T76" i="50"/>
  <c r="AV182" i="50"/>
  <c r="BC182" i="50"/>
  <c r="AP66" i="50"/>
  <c r="X76" i="50"/>
  <c r="AU77" i="50"/>
  <c r="AN134" i="50"/>
  <c r="BA134" i="50"/>
  <c r="E190" i="50"/>
  <c r="AX79" i="50"/>
  <c r="AX165" i="50"/>
  <c r="AH33" i="50"/>
  <c r="AH32" i="50" s="1"/>
  <c r="J51" i="50"/>
  <c r="N145" i="50"/>
  <c r="T60" i="50"/>
  <c r="X33" i="50"/>
  <c r="AU34" i="50"/>
  <c r="AV67" i="50"/>
  <c r="BC67" i="50"/>
  <c r="AP114" i="50"/>
  <c r="AP134" i="50"/>
  <c r="AX37" i="50"/>
  <c r="AP158" i="50"/>
  <c r="J157" i="50"/>
  <c r="J153" i="50" s="1"/>
  <c r="AQ99" i="50"/>
  <c r="AV114" i="50"/>
  <c r="BC114" i="50"/>
  <c r="AQ137" i="50"/>
  <c r="BB164" i="50"/>
  <c r="AR164" i="50"/>
  <c r="AN112" i="50"/>
  <c r="BA112" i="50"/>
  <c r="C111" i="50"/>
  <c r="AQ82" i="50"/>
  <c r="J85" i="50"/>
  <c r="AX118" i="50"/>
  <c r="AU127" i="50"/>
  <c r="BA47" i="50"/>
  <c r="AN47" i="50"/>
  <c r="AU91" i="50"/>
  <c r="AN55" i="50"/>
  <c r="AW160" i="50"/>
  <c r="U60" i="50"/>
  <c r="AT61" i="50"/>
  <c r="AD76" i="50"/>
  <c r="AW77" i="50"/>
  <c r="AX78" i="50"/>
  <c r="AI166" i="50"/>
  <c r="AB51" i="50"/>
  <c r="AP105" i="50"/>
  <c r="D190" i="50"/>
  <c r="W76" i="50"/>
  <c r="AA42" i="50"/>
  <c r="AV43" i="50"/>
  <c r="BC43" i="50"/>
  <c r="AO133" i="50"/>
  <c r="AP100" i="50"/>
  <c r="T120" i="50"/>
  <c r="BA130" i="50"/>
  <c r="AN130" i="50"/>
  <c r="AT172" i="50"/>
  <c r="AW62" i="50"/>
  <c r="AT93" i="50"/>
  <c r="AX188" i="50"/>
  <c r="AW165" i="50"/>
  <c r="AQ64" i="50"/>
  <c r="AO80" i="50"/>
  <c r="AW50" i="50"/>
  <c r="AR173" i="50"/>
  <c r="BB173" i="50"/>
  <c r="AW55" i="50"/>
  <c r="AP83" i="50"/>
  <c r="Q157" i="50"/>
  <c r="AY109" i="50"/>
  <c r="BB39" i="50"/>
  <c r="AR39" i="50"/>
  <c r="E85" i="50"/>
  <c r="AK166" i="50"/>
  <c r="W157" i="50"/>
  <c r="AN152" i="50"/>
  <c r="AP151" i="50"/>
  <c r="AL166" i="50"/>
  <c r="AO87" i="50"/>
  <c r="AO102" i="50"/>
  <c r="AU35" i="50"/>
  <c r="AO173" i="50"/>
  <c r="AA131" i="50"/>
  <c r="AV132" i="50"/>
  <c r="BC132" i="50"/>
  <c r="AY48" i="50"/>
  <c r="G33" i="50"/>
  <c r="AY117" i="50"/>
  <c r="AY159" i="50"/>
  <c r="AI42" i="50"/>
  <c r="AI41" i="50" s="1"/>
  <c r="AI32" i="50" s="1"/>
  <c r="AS126" i="50"/>
  <c r="BB78" i="50"/>
  <c r="AR78" i="50"/>
  <c r="AU171" i="50"/>
  <c r="AW161" i="50"/>
  <c r="AO65" i="50"/>
  <c r="AU38" i="50"/>
  <c r="AN173" i="50"/>
  <c r="BA173" i="50"/>
  <c r="AT168" i="50"/>
  <c r="AA60" i="50"/>
  <c r="AV61" i="50"/>
  <c r="BC61" i="50"/>
  <c r="AW40" i="50"/>
  <c r="BC118" i="50"/>
  <c r="AV118" i="50"/>
  <c r="F42" i="50"/>
  <c r="AO43" i="50"/>
  <c r="AV49" i="50"/>
  <c r="BC49" i="50"/>
  <c r="AU162" i="50"/>
  <c r="AW101" i="50"/>
  <c r="W88" i="50"/>
  <c r="W84" i="50" s="1"/>
  <c r="AN35" i="50"/>
  <c r="AD45" i="50"/>
  <c r="AW46" i="50"/>
  <c r="AR44" i="50"/>
  <c r="BB44" i="50"/>
  <c r="AO117" i="50"/>
  <c r="AU80" i="50"/>
  <c r="AR128" i="50"/>
  <c r="BB128" i="50"/>
  <c r="AP109" i="50"/>
  <c r="AK157" i="50"/>
  <c r="AX47" i="50"/>
  <c r="P51" i="50"/>
  <c r="AT130" i="50"/>
  <c r="AV165" i="50"/>
  <c r="BC165" i="50"/>
  <c r="U42" i="50"/>
  <c r="AT43" i="50"/>
  <c r="AT42" i="50" s="1"/>
  <c r="AX105" i="50"/>
  <c r="AS91" i="50"/>
  <c r="AJ154" i="50"/>
  <c r="AJ153" i="50" s="1"/>
  <c r="AY155" i="50"/>
  <c r="AU115" i="50"/>
  <c r="AW143" i="50"/>
  <c r="BA103" i="50"/>
  <c r="AN103" i="50"/>
  <c r="AE190" i="50"/>
  <c r="AV147" i="50"/>
  <c r="BC147" i="50"/>
  <c r="AT149" i="50"/>
  <c r="AV159" i="50"/>
  <c r="BC159" i="50"/>
  <c r="AQ38" i="50"/>
  <c r="AN57" i="50"/>
  <c r="BA57" i="50"/>
  <c r="AD190" i="50"/>
  <c r="AW187" i="50"/>
  <c r="AO37" i="50"/>
  <c r="AO149" i="50"/>
  <c r="AP138" i="50"/>
  <c r="AX65" i="50"/>
  <c r="M154" i="50"/>
  <c r="O154" i="50"/>
  <c r="AR155" i="50"/>
  <c r="BB155" i="50"/>
  <c r="AP54" i="50"/>
  <c r="Y97" i="50"/>
  <c r="AN138" i="50"/>
  <c r="BA138" i="50"/>
  <c r="Q166" i="50"/>
  <c r="AW66" i="50"/>
  <c r="AN63" i="50"/>
  <c r="BA63" i="50"/>
  <c r="AB145" i="50"/>
  <c r="P60" i="50"/>
  <c r="AN36" i="50"/>
  <c r="BA36" i="50"/>
  <c r="H145" i="50"/>
  <c r="H144" i="50" s="1"/>
  <c r="L85" i="50"/>
  <c r="AQ86" i="50"/>
  <c r="AQ85" i="50" s="1"/>
  <c r="AU59" i="50"/>
  <c r="AT188" i="50"/>
  <c r="U76" i="50"/>
  <c r="AT77" i="50"/>
  <c r="AP49" i="50"/>
  <c r="AT103" i="50"/>
  <c r="AX122" i="50"/>
  <c r="AO98" i="50"/>
  <c r="F97" i="50"/>
  <c r="T111" i="50"/>
  <c r="T88" i="50"/>
  <c r="T84" i="50" s="1"/>
  <c r="BA155" i="50"/>
  <c r="C154" i="50"/>
  <c r="AN155" i="50"/>
  <c r="AT169" i="50"/>
  <c r="AS139" i="50"/>
  <c r="AE123" i="50"/>
  <c r="AE119" i="50" s="1"/>
  <c r="AX148" i="50"/>
  <c r="AH131" i="50"/>
  <c r="AT126" i="50"/>
  <c r="O42" i="50"/>
  <c r="BB43" i="50"/>
  <c r="AR43" i="50"/>
  <c r="AP168" i="50"/>
  <c r="J145" i="50"/>
  <c r="AQ44" i="50"/>
  <c r="AR139" i="50"/>
  <c r="BB139" i="50"/>
  <c r="AW128" i="50"/>
  <c r="AP159" i="50"/>
  <c r="AQ159" i="50"/>
  <c r="Y123" i="50"/>
  <c r="Y119" i="50" s="1"/>
  <c r="AU98" i="50"/>
  <c r="X97" i="50"/>
  <c r="AS150" i="50"/>
  <c r="AV63" i="50"/>
  <c r="BC63" i="50"/>
  <c r="AI88" i="50"/>
  <c r="AK45" i="50"/>
  <c r="AK41" i="50" s="1"/>
  <c r="AV134" i="50"/>
  <c r="BC134" i="50"/>
  <c r="AL131" i="50"/>
  <c r="F33" i="50"/>
  <c r="AO34" i="50"/>
  <c r="AX113" i="50"/>
  <c r="AI60" i="50"/>
  <c r="BC99" i="50"/>
  <c r="AV99" i="50"/>
  <c r="AU93" i="50"/>
  <c r="AS133" i="50"/>
  <c r="AH85" i="50"/>
  <c r="Z33" i="50"/>
  <c r="P154" i="50"/>
  <c r="AN114" i="50"/>
  <c r="BA114" i="50"/>
  <c r="AW37" i="50"/>
  <c r="K85" i="50"/>
  <c r="K84" i="50" s="1"/>
  <c r="AO143" i="50"/>
  <c r="AX147" i="50"/>
  <c r="AX59" i="50"/>
  <c r="AP169" i="50"/>
  <c r="AV58" i="50"/>
  <c r="BC58" i="50"/>
  <c r="AO35" i="50"/>
  <c r="AW56" i="50"/>
  <c r="AO38" i="50"/>
  <c r="AH97" i="50"/>
  <c r="AN37" i="50"/>
  <c r="BA37" i="50"/>
  <c r="AQ143" i="50"/>
  <c r="P42" i="50"/>
  <c r="P41" i="50" s="1"/>
  <c r="AP161" i="50"/>
  <c r="AY54" i="50"/>
  <c r="BA39" i="50"/>
  <c r="AN39" i="50"/>
  <c r="AU134" i="50"/>
  <c r="BA172" i="50"/>
  <c r="AN172" i="50"/>
  <c r="AS39" i="50"/>
  <c r="BC174" i="50"/>
  <c r="AV174" i="50"/>
  <c r="AT139" i="50"/>
  <c r="F157" i="50"/>
  <c r="F153" i="50" s="1"/>
  <c r="AO158" i="50"/>
  <c r="W42" i="50"/>
  <c r="G131" i="50"/>
  <c r="AY40" i="50"/>
  <c r="BA170" i="50"/>
  <c r="AN170" i="50"/>
  <c r="AQ95" i="50"/>
  <c r="AU102" i="50"/>
  <c r="AP103" i="50"/>
  <c r="V154" i="50"/>
  <c r="AN44" i="50"/>
  <c r="BA44" i="50"/>
  <c r="AR143" i="50"/>
  <c r="BB143" i="50"/>
  <c r="BA129" i="50"/>
  <c r="AN129" i="50"/>
  <c r="AQ132" i="50"/>
  <c r="L131" i="50"/>
  <c r="Q76" i="50"/>
  <c r="AO40" i="50"/>
  <c r="AQ63" i="50"/>
  <c r="J190" i="50"/>
  <c r="BB168" i="50"/>
  <c r="AR168" i="50"/>
  <c r="AV117" i="50"/>
  <c r="BC117" i="50"/>
  <c r="S145" i="50"/>
  <c r="G120" i="50"/>
  <c r="AU53" i="50"/>
  <c r="AQ139" i="50"/>
  <c r="AY113" i="50"/>
  <c r="AW93" i="50"/>
  <c r="AV133" i="50"/>
  <c r="BC133" i="50"/>
  <c r="AU125" i="50"/>
  <c r="AU86" i="50"/>
  <c r="X85" i="50"/>
  <c r="AN188" i="50"/>
  <c r="BA188" i="50"/>
  <c r="AW112" i="50"/>
  <c r="AD111" i="50"/>
  <c r="AH154" i="50"/>
  <c r="AH153" i="50" s="1"/>
  <c r="AH144" i="50" s="1"/>
  <c r="AS65" i="50"/>
  <c r="AV169" i="50"/>
  <c r="BC169" i="50"/>
  <c r="AR92" i="50"/>
  <c r="BB92" i="50"/>
  <c r="AP182" i="50"/>
  <c r="BC171" i="50"/>
  <c r="AV171" i="50"/>
  <c r="AS162" i="50"/>
  <c r="AL111" i="50"/>
  <c r="BC64" i="50"/>
  <c r="AV64" i="50"/>
  <c r="AL45" i="50"/>
  <c r="AL41" i="50" s="1"/>
  <c r="AR161" i="50"/>
  <c r="BB161" i="50"/>
  <c r="AW68" i="50"/>
  <c r="AS136" i="50"/>
  <c r="P157" i="50"/>
  <c r="AY174" i="50"/>
  <c r="S75" i="45"/>
  <c r="AY42" i="50" l="1"/>
  <c r="AS85" i="50"/>
  <c r="AH110" i="50"/>
  <c r="G75" i="50"/>
  <c r="G106" i="50" s="1"/>
  <c r="K144" i="50"/>
  <c r="K175" i="50" s="1"/>
  <c r="AA41" i="50"/>
  <c r="AA32" i="50" s="1"/>
  <c r="AA69" i="50" s="1"/>
  <c r="AA71" i="50" s="1"/>
  <c r="N153" i="50"/>
  <c r="AA153" i="50"/>
  <c r="AA144" i="50" s="1"/>
  <c r="AA175" i="50" s="1"/>
  <c r="AH84" i="50"/>
  <c r="AH75" i="50" s="1"/>
  <c r="AH106" i="50" s="1"/>
  <c r="O153" i="50"/>
  <c r="O144" i="50" s="1"/>
  <c r="O175" i="50" s="1"/>
  <c r="X119" i="50"/>
  <c r="X110" i="50" s="1"/>
  <c r="X140" i="50" s="1"/>
  <c r="AG41" i="50"/>
  <c r="AG32" i="50" s="1"/>
  <c r="AG69" i="50" s="1"/>
  <c r="AG71" i="50" s="1"/>
  <c r="H175" i="50"/>
  <c r="AK84" i="50"/>
  <c r="E144" i="50"/>
  <c r="E175" i="50" s="1"/>
  <c r="P32" i="50"/>
  <c r="P69" i="50" s="1"/>
  <c r="P71" i="50" s="1"/>
  <c r="P72" i="50" s="1"/>
  <c r="T75" i="50"/>
  <c r="T106" i="50" s="1"/>
  <c r="AG153" i="50"/>
  <c r="AG144" i="50" s="1"/>
  <c r="AG175" i="50" s="1"/>
  <c r="AD153" i="50"/>
  <c r="AD144" i="50" s="1"/>
  <c r="AD175" i="50" s="1"/>
  <c r="R119" i="50"/>
  <c r="R110" i="50" s="1"/>
  <c r="R140" i="50" s="1"/>
  <c r="AI144" i="50"/>
  <c r="AI175" i="50" s="1"/>
  <c r="M32" i="50"/>
  <c r="M69" i="50" s="1"/>
  <c r="M71" i="50" s="1"/>
  <c r="M72" i="50" s="1"/>
  <c r="AA84" i="50"/>
  <c r="AW85" i="50"/>
  <c r="BC85" i="50"/>
  <c r="AU85" i="50"/>
  <c r="Q75" i="50"/>
  <c r="AU190" i="50"/>
  <c r="N41" i="50"/>
  <c r="N32" i="50" s="1"/>
  <c r="N69" i="50" s="1"/>
  <c r="N71" i="50" s="1"/>
  <c r="AY123" i="50"/>
  <c r="AC75" i="50"/>
  <c r="Q106" i="50"/>
  <c r="C84" i="50"/>
  <c r="C75" i="50" s="1"/>
  <c r="C106" i="50" s="1"/>
  <c r="C153" i="50"/>
  <c r="BB120" i="50"/>
  <c r="AH175" i="50"/>
  <c r="I119" i="50"/>
  <c r="I110" i="50" s="1"/>
  <c r="I140" i="50" s="1"/>
  <c r="W41" i="50"/>
  <c r="K75" i="50"/>
  <c r="K106" i="50" s="1"/>
  <c r="J144" i="50"/>
  <c r="J175" i="50" s="1"/>
  <c r="AE110" i="50"/>
  <c r="AE140" i="50" s="1"/>
  <c r="C144" i="50"/>
  <c r="C175" i="50" s="1"/>
  <c r="AJ144" i="50"/>
  <c r="AJ175" i="50" s="1"/>
  <c r="U41" i="50"/>
  <c r="U32" i="50" s="1"/>
  <c r="U69" i="50" s="1"/>
  <c r="U71" i="50" s="1"/>
  <c r="P110" i="50"/>
  <c r="P140" i="50" s="1"/>
  <c r="AC41" i="50"/>
  <c r="AC32" i="50" s="1"/>
  <c r="AC69" i="50" s="1"/>
  <c r="AC71" i="50" s="1"/>
  <c r="AC72" i="50" s="1"/>
  <c r="Q119" i="50"/>
  <c r="Q110" i="50" s="1"/>
  <c r="Q140" i="50" s="1"/>
  <c r="O84" i="50"/>
  <c r="O75" i="50" s="1"/>
  <c r="O106" i="50" s="1"/>
  <c r="I41" i="50"/>
  <c r="I32" i="50" s="1"/>
  <c r="I69" i="50" s="1"/>
  <c r="I71" i="50" s="1"/>
  <c r="I72" i="50" s="1"/>
  <c r="J41" i="50"/>
  <c r="J32" i="50" s="1"/>
  <c r="J69" i="50" s="1"/>
  <c r="J71" i="50" s="1"/>
  <c r="W110" i="50"/>
  <c r="W140" i="50" s="1"/>
  <c r="Y110" i="50"/>
  <c r="Y140" i="50" s="1"/>
  <c r="T119" i="50"/>
  <c r="T110" i="50" s="1"/>
  <c r="T140" i="50" s="1"/>
  <c r="N75" i="50"/>
  <c r="N106" i="50" s="1"/>
  <c r="AG84" i="50"/>
  <c r="AG75" i="50" s="1"/>
  <c r="AG106" i="50" s="1"/>
  <c r="AA75" i="50"/>
  <c r="AA106" i="50" s="1"/>
  <c r="N110" i="50"/>
  <c r="N140" i="50" s="1"/>
  <c r="AE75" i="50"/>
  <c r="AE106" i="50" s="1"/>
  <c r="AC119" i="50"/>
  <c r="AC110" i="50" s="1"/>
  <c r="AC140" i="50" s="1"/>
  <c r="V75" i="50"/>
  <c r="V106" i="50" s="1"/>
  <c r="V32" i="50"/>
  <c r="V69" i="50" s="1"/>
  <c r="V71" i="50" s="1"/>
  <c r="V72" i="50" s="1"/>
  <c r="V153" i="50"/>
  <c r="V144" i="50" s="1"/>
  <c r="V175" i="50" s="1"/>
  <c r="O41" i="50"/>
  <c r="O32" i="50" s="1"/>
  <c r="O69" i="50" s="1"/>
  <c r="O71" i="50" s="1"/>
  <c r="O72" i="50" s="1"/>
  <c r="Z119" i="50"/>
  <c r="Z110" i="50" s="1"/>
  <c r="Z140" i="50" s="1"/>
  <c r="AE144" i="50"/>
  <c r="AE175" i="50" s="1"/>
  <c r="P84" i="50"/>
  <c r="P75" i="50" s="1"/>
  <c r="P106" i="50" s="1"/>
  <c r="AF119" i="50"/>
  <c r="AF110" i="50" s="1"/>
  <c r="AF140" i="50" s="1"/>
  <c r="M153" i="50"/>
  <c r="M144" i="50" s="1"/>
  <c r="M175" i="50" s="1"/>
  <c r="AH69" i="50"/>
  <c r="AH71" i="50" s="1"/>
  <c r="AH72" i="50" s="1"/>
  <c r="H75" i="50"/>
  <c r="H106" i="50" s="1"/>
  <c r="C119" i="50"/>
  <c r="C110" i="50" s="1"/>
  <c r="C140" i="50" s="1"/>
  <c r="Y175" i="50"/>
  <c r="AT76" i="50"/>
  <c r="M75" i="50"/>
  <c r="M106" i="50" s="1"/>
  <c r="AQ190" i="50"/>
  <c r="BC190" i="50"/>
  <c r="AW120" i="50"/>
  <c r="AX85" i="50"/>
  <c r="AO42" i="50"/>
  <c r="AN154" i="50"/>
  <c r="AU60" i="50"/>
  <c r="G144" i="50"/>
  <c r="G175" i="50" s="1"/>
  <c r="Z41" i="50"/>
  <c r="Z32" i="50" s="1"/>
  <c r="Z69" i="50" s="1"/>
  <c r="Z71" i="50" s="1"/>
  <c r="Z72" i="50" s="1"/>
  <c r="X84" i="50"/>
  <c r="X75" i="50" s="1"/>
  <c r="X106" i="50" s="1"/>
  <c r="G119" i="50"/>
  <c r="G110" i="50" s="1"/>
  <c r="G140" i="50" s="1"/>
  <c r="E84" i="50"/>
  <c r="E75" i="50" s="1"/>
  <c r="E106" i="50" s="1"/>
  <c r="AB110" i="50"/>
  <c r="AB140" i="50" s="1"/>
  <c r="Y32" i="50"/>
  <c r="Y69" i="50" s="1"/>
  <c r="Y71" i="50" s="1"/>
  <c r="Y72" i="50" s="1"/>
  <c r="E110" i="50"/>
  <c r="E140" i="50" s="1"/>
  <c r="U84" i="50"/>
  <c r="U75" i="50" s="1"/>
  <c r="U106" i="50" s="1"/>
  <c r="R41" i="50"/>
  <c r="T153" i="50"/>
  <c r="T144" i="50" s="1"/>
  <c r="T175" i="50" s="1"/>
  <c r="F41" i="50"/>
  <c r="F32" i="50" s="1"/>
  <c r="F69" i="50" s="1"/>
  <c r="F71" i="50" s="1"/>
  <c r="F72" i="50" s="1"/>
  <c r="C41" i="50"/>
  <c r="C32" i="50" s="1"/>
  <c r="C69" i="50" s="1"/>
  <c r="C71" i="50" s="1"/>
  <c r="D69" i="50"/>
  <c r="D71" i="50" s="1"/>
  <c r="D72" i="50" s="1"/>
  <c r="AL153" i="50"/>
  <c r="AL144" i="50" s="1"/>
  <c r="AL175" i="50" s="1"/>
  <c r="D153" i="50"/>
  <c r="D144" i="50" s="1"/>
  <c r="D175" i="50" s="1"/>
  <c r="D75" i="50"/>
  <c r="D106" i="50" s="1"/>
  <c r="AW45" i="50"/>
  <c r="AT60" i="50"/>
  <c r="BB154" i="50"/>
  <c r="BC42" i="50"/>
  <c r="AS42" i="50"/>
  <c r="AQ51" i="50"/>
  <c r="BA88" i="50"/>
  <c r="AX42" i="50"/>
  <c r="AY88" i="50"/>
  <c r="AY84" i="50" s="1"/>
  <c r="AX154" i="50"/>
  <c r="AW111" i="50"/>
  <c r="BB42" i="50"/>
  <c r="AP51" i="50"/>
  <c r="AV190" i="50"/>
  <c r="AQ88" i="50"/>
  <c r="AQ84" i="50" s="1"/>
  <c r="AN85" i="50"/>
  <c r="AU42" i="50"/>
  <c r="AU41" i="50" s="1"/>
  <c r="AW42" i="50"/>
  <c r="AV85" i="50"/>
  <c r="AQ154" i="50"/>
  <c r="AO157" i="50"/>
  <c r="BA154" i="50"/>
  <c r="AW76" i="50"/>
  <c r="AR190" i="50"/>
  <c r="AR42" i="50"/>
  <c r="AN120" i="50"/>
  <c r="BB190" i="50"/>
  <c r="AP190" i="50"/>
  <c r="AI69" i="50"/>
  <c r="AI71" i="50" s="1"/>
  <c r="AI72" i="50" s="1"/>
  <c r="AB32" i="50"/>
  <c r="AB69" i="50" s="1"/>
  <c r="AB71" i="50" s="1"/>
  <c r="AL110" i="50"/>
  <c r="AL140" i="50" s="1"/>
  <c r="AL75" i="50"/>
  <c r="AL106" i="50" s="1"/>
  <c r="AS123" i="50"/>
  <c r="AS119" i="50" s="1"/>
  <c r="AR33" i="50"/>
  <c r="AV33" i="50"/>
  <c r="AQ111" i="50"/>
  <c r="AY190" i="50"/>
  <c r="AP120" i="50"/>
  <c r="AN88" i="50"/>
  <c r="AR120" i="50"/>
  <c r="AY111" i="50"/>
  <c r="AW190" i="50"/>
  <c r="BB45" i="50"/>
  <c r="BA120" i="50"/>
  <c r="AT33" i="50"/>
  <c r="BA85" i="50"/>
  <c r="AU111" i="50"/>
  <c r="AO97" i="50"/>
  <c r="AR154" i="50"/>
  <c r="AP33" i="50"/>
  <c r="AP42" i="50"/>
  <c r="AR45" i="50"/>
  <c r="BC33" i="50"/>
  <c r="AU154" i="50"/>
  <c r="AO33" i="50"/>
  <c r="AN111" i="50"/>
  <c r="AP157" i="50"/>
  <c r="AP153" i="50" s="1"/>
  <c r="AP88" i="50"/>
  <c r="AH140" i="50"/>
  <c r="AQ76" i="50"/>
  <c r="AX111" i="50"/>
  <c r="BA76" i="50"/>
  <c r="AP97" i="50"/>
  <c r="AR166" i="50"/>
  <c r="AR157" i="50"/>
  <c r="AO60" i="50"/>
  <c r="AR85" i="50"/>
  <c r="AQ45" i="50"/>
  <c r="AI119" i="50"/>
  <c r="AI110" i="50" s="1"/>
  <c r="AI140" i="50" s="1"/>
  <c r="AQ123" i="50"/>
  <c r="AQ119" i="50" s="1"/>
  <c r="AY33" i="50"/>
  <c r="AQ42" i="50"/>
  <c r="AT166" i="50"/>
  <c r="L119" i="50"/>
  <c r="L110" i="50" s="1"/>
  <c r="L140" i="50" s="1"/>
  <c r="AT97" i="50"/>
  <c r="AV123" i="50"/>
  <c r="AU123" i="50"/>
  <c r="AO190" i="50"/>
  <c r="BC51" i="50"/>
  <c r="AD119" i="50"/>
  <c r="AD110" i="50" s="1"/>
  <c r="AD140" i="50" s="1"/>
  <c r="AV42" i="50"/>
  <c r="AX157" i="50"/>
  <c r="F75" i="50"/>
  <c r="F106" i="50" s="1"/>
  <c r="AV97" i="50"/>
  <c r="AX51" i="50"/>
  <c r="AR60" i="50"/>
  <c r="AR111" i="50"/>
  <c r="AF32" i="50"/>
  <c r="AF69" i="50" s="1"/>
  <c r="AF71" i="50" s="1"/>
  <c r="AO123" i="50"/>
  <c r="AO119" i="50" s="1"/>
  <c r="AS145" i="50"/>
  <c r="AR88" i="50"/>
  <c r="AY97" i="50"/>
  <c r="AK75" i="50"/>
  <c r="AK106" i="50" s="1"/>
  <c r="E41" i="50"/>
  <c r="E32" i="50" s="1"/>
  <c r="E69" i="50" s="1"/>
  <c r="E71" i="50" s="1"/>
  <c r="AV111" i="50"/>
  <c r="AP123" i="50"/>
  <c r="BA157" i="50"/>
  <c r="AP76" i="50"/>
  <c r="AX120" i="50"/>
  <c r="R32" i="50"/>
  <c r="R69" i="50" s="1"/>
  <c r="R71" i="50" s="1"/>
  <c r="AS76" i="50"/>
  <c r="AQ157" i="50"/>
  <c r="BC76" i="50"/>
  <c r="AT88" i="50"/>
  <c r="AT84" i="50" s="1"/>
  <c r="AX123" i="50"/>
  <c r="AN190" i="50"/>
  <c r="AK119" i="50"/>
  <c r="AK110" i="50" s="1"/>
  <c r="AK140" i="50" s="1"/>
  <c r="AR131" i="50"/>
  <c r="AR51" i="50"/>
  <c r="AN51" i="50"/>
  <c r="AV166" i="50"/>
  <c r="BA45" i="50"/>
  <c r="AU145" i="50"/>
  <c r="AT154" i="50"/>
  <c r="BC60" i="50"/>
  <c r="AX33" i="50"/>
  <c r="AN97" i="50"/>
  <c r="AS60" i="50"/>
  <c r="AB84" i="50"/>
  <c r="AB75" i="50" s="1"/>
  <c r="AB106" i="50" s="1"/>
  <c r="BC45" i="50"/>
  <c r="AO154" i="50"/>
  <c r="AQ166" i="50"/>
  <c r="AP131" i="50"/>
  <c r="AQ97" i="50"/>
  <c r="U119" i="50"/>
  <c r="U110" i="50" s="1"/>
  <c r="U140" i="50" s="1"/>
  <c r="BC120" i="50"/>
  <c r="AC144" i="50"/>
  <c r="AC175" i="50" s="1"/>
  <c r="AY131" i="50"/>
  <c r="BC131" i="50"/>
  <c r="AS88" i="50"/>
  <c r="AS84" i="50" s="1"/>
  <c r="BA60" i="50"/>
  <c r="AR123" i="50"/>
  <c r="BC145" i="50"/>
  <c r="AP111" i="50"/>
  <c r="AN76" i="50"/>
  <c r="AN145" i="50"/>
  <c r="AO131" i="50"/>
  <c r="AU120" i="50"/>
  <c r="AW51" i="50"/>
  <c r="AS190" i="50"/>
  <c r="AO166" i="50"/>
  <c r="AX76" i="50"/>
  <c r="AU166" i="50"/>
  <c r="S144" i="50"/>
  <c r="S175" i="50" s="1"/>
  <c r="AQ145" i="50"/>
  <c r="BA123" i="50"/>
  <c r="S75" i="50"/>
  <c r="S106" i="50" s="1"/>
  <c r="AQ60" i="50"/>
  <c r="H41" i="50"/>
  <c r="H32" i="50" s="1"/>
  <c r="H69" i="50" s="1"/>
  <c r="H71" i="50" s="1"/>
  <c r="BC97" i="50"/>
  <c r="AT131" i="50"/>
  <c r="AR76" i="50"/>
  <c r="AY145" i="50"/>
  <c r="AS45" i="50"/>
  <c r="AE32" i="50"/>
  <c r="AE69" i="50" s="1"/>
  <c r="AE71" i="50" s="1"/>
  <c r="J84" i="50"/>
  <c r="J75" i="50" s="1"/>
  <c r="J106" i="50" s="1"/>
  <c r="BA131" i="50"/>
  <c r="AY76" i="50"/>
  <c r="BB111" i="50"/>
  <c r="AV154" i="50"/>
  <c r="AT51" i="50"/>
  <c r="T32" i="50"/>
  <c r="T69" i="50" s="1"/>
  <c r="T71" i="50" s="1"/>
  <c r="BA190" i="50"/>
  <c r="AY60" i="50"/>
  <c r="Q153" i="50"/>
  <c r="Q144" i="50" s="1"/>
  <c r="Q175" i="50" s="1"/>
  <c r="AO51" i="50"/>
  <c r="AS131" i="50"/>
  <c r="AP85" i="50"/>
  <c r="BC166" i="50"/>
  <c r="AV60" i="50"/>
  <c r="AT45" i="50"/>
  <c r="AT41" i="50" s="1"/>
  <c r="BA97" i="50"/>
  <c r="AY119" i="50"/>
  <c r="AX97" i="50"/>
  <c r="AV45" i="50"/>
  <c r="AT190" i="50"/>
  <c r="AU51" i="50"/>
  <c r="L84" i="50"/>
  <c r="L75" i="50" s="1"/>
  <c r="L106" i="50" s="1"/>
  <c r="AA119" i="50"/>
  <c r="AA110" i="50" s="1"/>
  <c r="AA140" i="50" s="1"/>
  <c r="AU131" i="50"/>
  <c r="AW131" i="50"/>
  <c r="AR145" i="50"/>
  <c r="AV88" i="50"/>
  <c r="AU157" i="50"/>
  <c r="BB145" i="50"/>
  <c r="AV131" i="50"/>
  <c r="AU33" i="50"/>
  <c r="AU76" i="50"/>
  <c r="W32" i="50"/>
  <c r="W69" i="50" s="1"/>
  <c r="W71" i="50" s="1"/>
  <c r="R84" i="50"/>
  <c r="R75" i="50" s="1"/>
  <c r="R106" i="50" s="1"/>
  <c r="AT145" i="50"/>
  <c r="AV145" i="50"/>
  <c r="BA33" i="50"/>
  <c r="AW60" i="50"/>
  <c r="BB166" i="50"/>
  <c r="BB157" i="50"/>
  <c r="AX145" i="50"/>
  <c r="AW88" i="50"/>
  <c r="AX60" i="50"/>
  <c r="AW166" i="50"/>
  <c r="L41" i="50"/>
  <c r="L32" i="50" s="1"/>
  <c r="L69" i="50" s="1"/>
  <c r="L71" i="50" s="1"/>
  <c r="BA42" i="50"/>
  <c r="AD41" i="50"/>
  <c r="AD32" i="50" s="1"/>
  <c r="AD69" i="50" s="1"/>
  <c r="AD71" i="50" s="1"/>
  <c r="AY166" i="50"/>
  <c r="BA51" i="50"/>
  <c r="AQ33" i="50"/>
  <c r="BB60" i="50"/>
  <c r="AD84" i="50"/>
  <c r="AD75" i="50" s="1"/>
  <c r="AD106" i="50" s="1"/>
  <c r="AO111" i="50"/>
  <c r="BB88" i="50"/>
  <c r="K110" i="50"/>
  <c r="K140" i="50" s="1"/>
  <c r="BC111" i="50"/>
  <c r="AT123" i="50"/>
  <c r="AT119" i="50" s="1"/>
  <c r="AS111" i="50"/>
  <c r="U153" i="50"/>
  <c r="U144" i="50" s="1"/>
  <c r="U175" i="50" s="1"/>
  <c r="AN131" i="50"/>
  <c r="AN157" i="50"/>
  <c r="AY45" i="50"/>
  <c r="AY41" i="50" s="1"/>
  <c r="BC154" i="50"/>
  <c r="AJ84" i="50"/>
  <c r="AJ75" i="50" s="1"/>
  <c r="AJ106" i="50" s="1"/>
  <c r="AV76" i="50"/>
  <c r="BA166" i="50"/>
  <c r="BC157" i="50"/>
  <c r="Y75" i="50"/>
  <c r="Y106" i="50" s="1"/>
  <c r="AS51" i="50"/>
  <c r="BB51" i="50"/>
  <c r="I84" i="50"/>
  <c r="I75" i="50" s="1"/>
  <c r="I106" i="50" s="1"/>
  <c r="AN45" i="50"/>
  <c r="J119" i="50"/>
  <c r="J110" i="50" s="1"/>
  <c r="J140" i="50" s="1"/>
  <c r="AY157" i="50"/>
  <c r="O119" i="50"/>
  <c r="O110" i="50" s="1"/>
  <c r="O140" i="50" s="1"/>
  <c r="AO145" i="50"/>
  <c r="AK153" i="50"/>
  <c r="AK144" i="50" s="1"/>
  <c r="AK175" i="50" s="1"/>
  <c r="AJ119" i="50"/>
  <c r="AJ110" i="50" s="1"/>
  <c r="AJ140" i="50" s="1"/>
  <c r="BB33" i="50"/>
  <c r="Z175" i="50"/>
  <c r="AS154" i="50"/>
  <c r="BB97" i="50"/>
  <c r="AI84" i="50"/>
  <c r="AI75" i="50" s="1"/>
  <c r="AI106" i="50" s="1"/>
  <c r="BA145" i="50"/>
  <c r="AX166" i="50"/>
  <c r="AU88" i="50"/>
  <c r="AV120" i="50"/>
  <c r="AW157" i="50"/>
  <c r="AW153" i="50" s="1"/>
  <c r="BC88" i="50"/>
  <c r="X153" i="50"/>
  <c r="X144" i="50" s="1"/>
  <c r="X175" i="50" s="1"/>
  <c r="AQ131" i="50"/>
  <c r="P153" i="50"/>
  <c r="P144" i="50" s="1"/>
  <c r="P175" i="50" s="1"/>
  <c r="AU97" i="50"/>
  <c r="G32" i="50"/>
  <c r="G69" i="50" s="1"/>
  <c r="G71" i="50" s="1"/>
  <c r="W75" i="50"/>
  <c r="W106" i="50" s="1"/>
  <c r="BA111" i="50"/>
  <c r="AS157" i="50"/>
  <c r="AN60" i="50"/>
  <c r="AT111" i="50"/>
  <c r="AN33" i="50"/>
  <c r="AL32" i="50"/>
  <c r="AL69" i="50" s="1"/>
  <c r="AL71" i="50" s="1"/>
  <c r="BB123" i="50"/>
  <c r="AW123" i="50"/>
  <c r="AY154" i="50"/>
  <c r="AB153" i="50"/>
  <c r="AB144" i="50" s="1"/>
  <c r="AB175" i="50" s="1"/>
  <c r="AO45" i="50"/>
  <c r="Q32" i="50"/>
  <c r="Q69" i="50" s="1"/>
  <c r="Q71" i="50" s="1"/>
  <c r="AX190" i="50"/>
  <c r="BB85" i="50"/>
  <c r="AX131" i="50"/>
  <c r="AP45" i="50"/>
  <c r="AO76" i="50"/>
  <c r="D110" i="50"/>
  <c r="D140" i="50" s="1"/>
  <c r="X41" i="50"/>
  <c r="X32" i="50" s="1"/>
  <c r="X69" i="50" s="1"/>
  <c r="X71" i="50" s="1"/>
  <c r="AW33" i="50"/>
  <c r="AP60" i="50"/>
  <c r="BC123" i="50"/>
  <c r="AK32" i="50"/>
  <c r="AK69" i="50" s="1"/>
  <c r="AK71" i="50" s="1"/>
  <c r="AW145" i="50"/>
  <c r="AT157" i="50"/>
  <c r="AV51" i="50"/>
  <c r="I153" i="50"/>
  <c r="I144" i="50" s="1"/>
  <c r="I175" i="50" s="1"/>
  <c r="AN123" i="50"/>
  <c r="AN42" i="50"/>
  <c r="AO85" i="50"/>
  <c r="N144" i="50"/>
  <c r="N175" i="50" s="1"/>
  <c r="Z75" i="50"/>
  <c r="Z106" i="50" s="1"/>
  <c r="AO88" i="50"/>
  <c r="BB76" i="50"/>
  <c r="F119" i="50"/>
  <c r="F110" i="50" s="1"/>
  <c r="F140" i="50" s="1"/>
  <c r="AF144" i="50"/>
  <c r="AF175" i="50" s="1"/>
  <c r="V110" i="50"/>
  <c r="V140" i="50" s="1"/>
  <c r="AG110" i="50"/>
  <c r="AG140" i="50" s="1"/>
  <c r="S41" i="50"/>
  <c r="S32" i="50" s="1"/>
  <c r="S69" i="50" s="1"/>
  <c r="S71" i="50" s="1"/>
  <c r="AS33" i="50"/>
  <c r="AX88" i="50"/>
  <c r="AX45" i="50"/>
  <c r="L153" i="50"/>
  <c r="L144" i="50" s="1"/>
  <c r="L175" i="50" s="1"/>
  <c r="AS166" i="50"/>
  <c r="AS97" i="50"/>
  <c r="AC106" i="50"/>
  <c r="AN166" i="50"/>
  <c r="AV157" i="50"/>
  <c r="BB131" i="50"/>
  <c r="K41" i="50"/>
  <c r="K32" i="50" s="1"/>
  <c r="K69" i="50" s="1"/>
  <c r="K71" i="50" s="1"/>
  <c r="AW97" i="50"/>
  <c r="AP145" i="50"/>
  <c r="AP166" i="50"/>
  <c r="F144" i="50"/>
  <c r="F175" i="50" s="1"/>
  <c r="S119" i="50"/>
  <c r="S110" i="50" s="1"/>
  <c r="S140" i="50" s="1"/>
  <c r="W153" i="50"/>
  <c r="W144" i="50" s="1"/>
  <c r="W175" i="50" s="1"/>
  <c r="M110" i="50"/>
  <c r="M140" i="50" s="1"/>
  <c r="R153" i="50"/>
  <c r="R144" i="50" s="1"/>
  <c r="R175" i="50" s="1"/>
  <c r="H110" i="50"/>
  <c r="H140" i="50" s="1"/>
  <c r="AR97" i="50"/>
  <c r="AJ41" i="50"/>
  <c r="AJ32" i="50" s="1"/>
  <c r="AJ69" i="50" s="1"/>
  <c r="AJ71" i="50" s="1"/>
  <c r="AY51" i="50"/>
  <c r="AW84" i="50" l="1"/>
  <c r="AU84" i="50"/>
  <c r="O177" i="50"/>
  <c r="Y177" i="50"/>
  <c r="Y184" i="50" s="1"/>
  <c r="AO41" i="50"/>
  <c r="AO32" i="50" s="1"/>
  <c r="AO69" i="50" s="1"/>
  <c r="AO71" i="50" s="1"/>
  <c r="BB119" i="50"/>
  <c r="BB110" i="50" s="1"/>
  <c r="BB140" i="50" s="1"/>
  <c r="AQ153" i="50"/>
  <c r="BC84" i="50"/>
  <c r="BC75" i="50" s="1"/>
  <c r="BC106" i="50" s="1"/>
  <c r="D177" i="50"/>
  <c r="D184" i="50" s="1"/>
  <c r="AV84" i="50"/>
  <c r="AV75" i="50" s="1"/>
  <c r="AV106" i="50" s="1"/>
  <c r="AH177" i="50"/>
  <c r="AH184" i="50" s="1"/>
  <c r="AT32" i="50"/>
  <c r="AT69" i="50" s="1"/>
  <c r="AT71" i="50" s="1"/>
  <c r="AT75" i="50"/>
  <c r="AT106" i="50" s="1"/>
  <c r="AX153" i="50"/>
  <c r="AX144" i="50" s="1"/>
  <c r="AX175" i="50" s="1"/>
  <c r="I177" i="50"/>
  <c r="I184" i="50" s="1"/>
  <c r="V177" i="50"/>
  <c r="V179" i="50" s="1"/>
  <c r="V180" i="50" s="1"/>
  <c r="AC177" i="50"/>
  <c r="AC178" i="50" s="1"/>
  <c r="AI177" i="50"/>
  <c r="AI179" i="50" s="1"/>
  <c r="AI180" i="50" s="1"/>
  <c r="BA119" i="50"/>
  <c r="BA110" i="50" s="1"/>
  <c r="BA140" i="50" s="1"/>
  <c r="AW119" i="50"/>
  <c r="AW110" i="50" s="1"/>
  <c r="AW140" i="50" s="1"/>
  <c r="AX84" i="50"/>
  <c r="AX75" i="50" s="1"/>
  <c r="AX106" i="50" s="1"/>
  <c r="BB153" i="50"/>
  <c r="BB144" i="50" s="1"/>
  <c r="BB175" i="50" s="1"/>
  <c r="AN153" i="50"/>
  <c r="AN144" i="50" s="1"/>
  <c r="AN175" i="50" s="1"/>
  <c r="Z177" i="50"/>
  <c r="Z178" i="50" s="1"/>
  <c r="BA84" i="50"/>
  <c r="BA75" i="50" s="1"/>
  <c r="BA106" i="50" s="1"/>
  <c r="AW41" i="50"/>
  <c r="AW32" i="50" s="1"/>
  <c r="AW69" i="50" s="1"/>
  <c r="AW71" i="50" s="1"/>
  <c r="AW72" i="50" s="1"/>
  <c r="AS75" i="50"/>
  <c r="AS106" i="50" s="1"/>
  <c r="BC41" i="50"/>
  <c r="BC32" i="50" s="1"/>
  <c r="BC69" i="50" s="1"/>
  <c r="BC71" i="50" s="1"/>
  <c r="BC72" i="50" s="1"/>
  <c r="AX41" i="50"/>
  <c r="AX32" i="50" s="1"/>
  <c r="AX69" i="50" s="1"/>
  <c r="AX71" i="50" s="1"/>
  <c r="AU75" i="50"/>
  <c r="AU106" i="50" s="1"/>
  <c r="AV41" i="50"/>
  <c r="AV32" i="50" s="1"/>
  <c r="AV69" i="50" s="1"/>
  <c r="AV71" i="50" s="1"/>
  <c r="AV72" i="50" s="1"/>
  <c r="BB84" i="50"/>
  <c r="BB75" i="50" s="1"/>
  <c r="BB106" i="50" s="1"/>
  <c r="AP41" i="50"/>
  <c r="AP32" i="50" s="1"/>
  <c r="AP69" i="50" s="1"/>
  <c r="AP71" i="50" s="1"/>
  <c r="AS41" i="50"/>
  <c r="AS32" i="50" s="1"/>
  <c r="AS69" i="50" s="1"/>
  <c r="AS71" i="50" s="1"/>
  <c r="AS72" i="50" s="1"/>
  <c r="AR153" i="50"/>
  <c r="AR144" i="50" s="1"/>
  <c r="AR175" i="50" s="1"/>
  <c r="AN119" i="50"/>
  <c r="AN110" i="50" s="1"/>
  <c r="AN140" i="50" s="1"/>
  <c r="AR119" i="50"/>
  <c r="AR110" i="50" s="1"/>
  <c r="AR140" i="50" s="1"/>
  <c r="BA153" i="50"/>
  <c r="BA144" i="50" s="1"/>
  <c r="BA175" i="50" s="1"/>
  <c r="BB41" i="50"/>
  <c r="BB32" i="50" s="1"/>
  <c r="BB69" i="50" s="1"/>
  <c r="BB71" i="50" s="1"/>
  <c r="BB72" i="50" s="1"/>
  <c r="AN84" i="50"/>
  <c r="AN75" i="50" s="1"/>
  <c r="AN106" i="50" s="1"/>
  <c r="AP84" i="50"/>
  <c r="AP75" i="50" s="1"/>
  <c r="AP106" i="50" s="1"/>
  <c r="AV119" i="50"/>
  <c r="AV110" i="50" s="1"/>
  <c r="AV140" i="50" s="1"/>
  <c r="AW75" i="50"/>
  <c r="AW106" i="50" s="1"/>
  <c r="AO84" i="50"/>
  <c r="AO75" i="50" s="1"/>
  <c r="AO106" i="50" s="1"/>
  <c r="AQ75" i="50"/>
  <c r="AQ106" i="50" s="1"/>
  <c r="AR41" i="50"/>
  <c r="AR32" i="50" s="1"/>
  <c r="AR69" i="50" s="1"/>
  <c r="AR71" i="50" s="1"/>
  <c r="AR72" i="50" s="1"/>
  <c r="AU32" i="50"/>
  <c r="AU69" i="50" s="1"/>
  <c r="AU71" i="50" s="1"/>
  <c r="AU72" i="50" s="1"/>
  <c r="BA41" i="50"/>
  <c r="BA32" i="50" s="1"/>
  <c r="BA69" i="50" s="1"/>
  <c r="BA71" i="50" s="1"/>
  <c r="BA72" i="50" s="1"/>
  <c r="AU153" i="50"/>
  <c r="AU144" i="50" s="1"/>
  <c r="AU175" i="50" s="1"/>
  <c r="AU119" i="50"/>
  <c r="AU110" i="50" s="1"/>
  <c r="AU140" i="50" s="1"/>
  <c r="AO153" i="50"/>
  <c r="AO144" i="50" s="1"/>
  <c r="AO175" i="50" s="1"/>
  <c r="M177" i="50"/>
  <c r="M178" i="50" s="1"/>
  <c r="AQ144" i="50"/>
  <c r="AQ175" i="50" s="1"/>
  <c r="F177" i="50"/>
  <c r="F184" i="50" s="1"/>
  <c r="P177" i="50"/>
  <c r="P184" i="50" s="1"/>
  <c r="AW144" i="50"/>
  <c r="AW175" i="50" s="1"/>
  <c r="AY153" i="50"/>
  <c r="AY144" i="50" s="1"/>
  <c r="AY175" i="50" s="1"/>
  <c r="AY110" i="50"/>
  <c r="AY140" i="50" s="1"/>
  <c r="AY75" i="50"/>
  <c r="AY106" i="50" s="1"/>
  <c r="AP119" i="50"/>
  <c r="AP110" i="50" s="1"/>
  <c r="AP140" i="50" s="1"/>
  <c r="AQ110" i="50"/>
  <c r="AQ140" i="50" s="1"/>
  <c r="AS110" i="50"/>
  <c r="AS140" i="50" s="1"/>
  <c r="K72" i="50"/>
  <c r="K177" i="50"/>
  <c r="L72" i="50"/>
  <c r="L177" i="50"/>
  <c r="E72" i="50"/>
  <c r="E177" i="50"/>
  <c r="AJ177" i="50"/>
  <c r="AJ72" i="50"/>
  <c r="X72" i="50"/>
  <c r="X177" i="50"/>
  <c r="AD177" i="50"/>
  <c r="AD72" i="50"/>
  <c r="AL72" i="50"/>
  <c r="AL177" i="50"/>
  <c r="G177" i="50"/>
  <c r="G72" i="50"/>
  <c r="O179" i="50"/>
  <c r="O180" i="50" s="1"/>
  <c r="O184" i="50"/>
  <c r="O178" i="50"/>
  <c r="AE72" i="50"/>
  <c r="AE177" i="50"/>
  <c r="H72" i="50"/>
  <c r="H177" i="50"/>
  <c r="N72" i="50"/>
  <c r="N177" i="50"/>
  <c r="AT153" i="50"/>
  <c r="AT144" i="50" s="1"/>
  <c r="AT175" i="50" s="1"/>
  <c r="S72" i="50"/>
  <c r="S177" i="50"/>
  <c r="AK177" i="50"/>
  <c r="AK72" i="50"/>
  <c r="AT110" i="50"/>
  <c r="AT140" i="50" s="1"/>
  <c r="AS153" i="50"/>
  <c r="AS144" i="50" s="1"/>
  <c r="AS175" i="50" s="1"/>
  <c r="AB72" i="50"/>
  <c r="AB177" i="50"/>
  <c r="U177" i="50"/>
  <c r="U72" i="50"/>
  <c r="AX119" i="50"/>
  <c r="AX110" i="50" s="1"/>
  <c r="AX140" i="50" s="1"/>
  <c r="AF177" i="50"/>
  <c r="AF72" i="50"/>
  <c r="AQ41" i="50"/>
  <c r="AQ32" i="50" s="1"/>
  <c r="AQ69" i="50" s="1"/>
  <c r="AQ71" i="50" s="1"/>
  <c r="Q177" i="50"/>
  <c r="Q72" i="50"/>
  <c r="AN41" i="50"/>
  <c r="AN32" i="50" s="1"/>
  <c r="AN69" i="50" s="1"/>
  <c r="AN71" i="50" s="1"/>
  <c r="BC153" i="50"/>
  <c r="BC144" i="50" s="1"/>
  <c r="BC175" i="50" s="1"/>
  <c r="J72" i="50"/>
  <c r="J177" i="50"/>
  <c r="AP144" i="50"/>
  <c r="AP175" i="50" s="1"/>
  <c r="W177" i="50"/>
  <c r="W72" i="50"/>
  <c r="AA72" i="50"/>
  <c r="AA177" i="50"/>
  <c r="BC119" i="50"/>
  <c r="BC110" i="50" s="1"/>
  <c r="BC140" i="50" s="1"/>
  <c r="AO110" i="50"/>
  <c r="AO140" i="50" s="1"/>
  <c r="AG177" i="50"/>
  <c r="AG72" i="50"/>
  <c r="AY32" i="50"/>
  <c r="AY69" i="50" s="1"/>
  <c r="AY71" i="50" s="1"/>
  <c r="T72" i="50"/>
  <c r="T177" i="50"/>
  <c r="AV153" i="50"/>
  <c r="AV144" i="50" s="1"/>
  <c r="AV175" i="50" s="1"/>
  <c r="R177" i="50"/>
  <c r="R72" i="50"/>
  <c r="C177" i="50"/>
  <c r="C72" i="50"/>
  <c r="AR84" i="50"/>
  <c r="AR75" i="50" s="1"/>
  <c r="AR106" i="50" s="1"/>
  <c r="Y179" i="50" l="1"/>
  <c r="Y180" i="50" s="1"/>
  <c r="D178" i="50"/>
  <c r="AC179" i="50"/>
  <c r="AC180" i="50" s="1"/>
  <c r="Z184" i="50"/>
  <c r="Z192" i="50" s="1"/>
  <c r="Y178" i="50"/>
  <c r="D179" i="50"/>
  <c r="D180" i="50" s="1"/>
  <c r="AC184" i="50"/>
  <c r="AC185" i="50" s="1"/>
  <c r="V184" i="50"/>
  <c r="V192" i="50" s="1"/>
  <c r="AH179" i="50"/>
  <c r="AH180" i="50" s="1"/>
  <c r="I178" i="50"/>
  <c r="AH178" i="50"/>
  <c r="I179" i="50"/>
  <c r="I180" i="50" s="1"/>
  <c r="V178" i="50"/>
  <c r="P178" i="50"/>
  <c r="M179" i="50"/>
  <c r="M180" i="50" s="1"/>
  <c r="AI184" i="50"/>
  <c r="AI185" i="50" s="1"/>
  <c r="AI178" i="50"/>
  <c r="Z179" i="50"/>
  <c r="Z180" i="50" s="1"/>
  <c r="F178" i="50"/>
  <c r="M184" i="50"/>
  <c r="M185" i="50" s="1"/>
  <c r="F179" i="50"/>
  <c r="F180" i="50" s="1"/>
  <c r="P179" i="50"/>
  <c r="P180" i="50" s="1"/>
  <c r="BA177" i="50"/>
  <c r="BA184" i="50" s="1"/>
  <c r="AU177" i="50"/>
  <c r="AU184" i="50" s="1"/>
  <c r="AW177" i="50"/>
  <c r="AW179" i="50" s="1"/>
  <c r="AW180" i="50" s="1"/>
  <c r="AS177" i="50"/>
  <c r="AS178" i="50" s="1"/>
  <c r="BC177" i="50"/>
  <c r="BC179" i="50" s="1"/>
  <c r="BC180" i="50" s="1"/>
  <c r="BB177" i="50"/>
  <c r="BB184" i="50" s="1"/>
  <c r="AR177" i="50"/>
  <c r="AR178" i="50" s="1"/>
  <c r="AV177" i="50"/>
  <c r="AV178" i="50" s="1"/>
  <c r="AX177" i="50"/>
  <c r="AX72" i="50"/>
  <c r="AY177" i="50"/>
  <c r="AY72" i="50"/>
  <c r="AO177" i="50"/>
  <c r="AO72" i="50"/>
  <c r="AN177" i="50"/>
  <c r="AN72" i="50"/>
  <c r="T179" i="50"/>
  <c r="T180" i="50" s="1"/>
  <c r="T178" i="50"/>
  <c r="T184" i="50"/>
  <c r="Q179" i="50"/>
  <c r="Q180" i="50" s="1"/>
  <c r="Q184" i="50"/>
  <c r="Q178" i="50"/>
  <c r="AF184" i="50"/>
  <c r="AF179" i="50"/>
  <c r="AF180" i="50" s="1"/>
  <c r="AF178" i="50"/>
  <c r="X184" i="50"/>
  <c r="X179" i="50"/>
  <c r="X180" i="50" s="1"/>
  <c r="X178" i="50"/>
  <c r="E178" i="50"/>
  <c r="E179" i="50"/>
  <c r="E180" i="50" s="1"/>
  <c r="E184" i="50"/>
  <c r="F192" i="50"/>
  <c r="F185" i="50"/>
  <c r="K178" i="50"/>
  <c r="K179" i="50"/>
  <c r="K180" i="50" s="1"/>
  <c r="K184" i="50"/>
  <c r="AP177" i="50"/>
  <c r="AP72" i="50"/>
  <c r="R184" i="50"/>
  <c r="R179" i="50"/>
  <c r="R180" i="50" s="1"/>
  <c r="R178" i="50"/>
  <c r="C178" i="50"/>
  <c r="C179" i="50"/>
  <c r="C180" i="50" s="1"/>
  <c r="C184" i="50"/>
  <c r="J178" i="50"/>
  <c r="J179" i="50"/>
  <c r="J180" i="50" s="1"/>
  <c r="J184" i="50"/>
  <c r="AB178" i="50"/>
  <c r="AB179" i="50"/>
  <c r="AB180" i="50" s="1"/>
  <c r="AB184" i="50"/>
  <c r="Y185" i="50"/>
  <c r="Y192" i="50"/>
  <c r="AK178" i="50"/>
  <c r="AK179" i="50"/>
  <c r="AK180" i="50" s="1"/>
  <c r="AK184" i="50"/>
  <c r="H178" i="50"/>
  <c r="H184" i="50"/>
  <c r="H179" i="50"/>
  <c r="H180" i="50" s="1"/>
  <c r="P185" i="50"/>
  <c r="P192" i="50"/>
  <c r="AC192" i="50"/>
  <c r="D192" i="50"/>
  <c r="D185" i="50"/>
  <c r="AG178" i="50"/>
  <c r="AG179" i="50"/>
  <c r="AG180" i="50" s="1"/>
  <c r="AG184" i="50"/>
  <c r="AA178" i="50"/>
  <c r="AA179" i="50"/>
  <c r="AA180" i="50" s="1"/>
  <c r="AA184" i="50"/>
  <c r="W184" i="50"/>
  <c r="W179" i="50"/>
  <c r="W180" i="50" s="1"/>
  <c r="W178" i="50"/>
  <c r="AQ72" i="50"/>
  <c r="AQ177" i="50"/>
  <c r="S178" i="50"/>
  <c r="S179" i="50"/>
  <c r="S180" i="50" s="1"/>
  <c r="S184" i="50"/>
  <c r="G184" i="50"/>
  <c r="G179" i="50"/>
  <c r="G180" i="50" s="1"/>
  <c r="G178" i="50"/>
  <c r="AJ184" i="50"/>
  <c r="AJ178" i="50"/>
  <c r="AJ179" i="50"/>
  <c r="AJ180" i="50" s="1"/>
  <c r="L184" i="50"/>
  <c r="L178" i="50"/>
  <c r="L179" i="50"/>
  <c r="L180" i="50" s="1"/>
  <c r="AH192" i="50"/>
  <c r="AH185" i="50"/>
  <c r="I185" i="50"/>
  <c r="I192" i="50"/>
  <c r="U184" i="50"/>
  <c r="U178" i="50"/>
  <c r="U179" i="50"/>
  <c r="U180" i="50" s="1"/>
  <c r="N178" i="50"/>
  <c r="N184" i="50"/>
  <c r="N179" i="50"/>
  <c r="N180" i="50" s="1"/>
  <c r="AE179" i="50"/>
  <c r="AE180" i="50" s="1"/>
  <c r="AE178" i="50"/>
  <c r="AE184" i="50"/>
  <c r="O192" i="50"/>
  <c r="O185" i="50"/>
  <c r="AL179" i="50"/>
  <c r="AL180" i="50" s="1"/>
  <c r="AL184" i="50"/>
  <c r="AL178" i="50"/>
  <c r="AD184" i="50"/>
  <c r="AD178" i="50"/>
  <c r="AD179" i="50"/>
  <c r="AD180" i="50" s="1"/>
  <c r="AT177" i="50"/>
  <c r="AT72" i="50"/>
  <c r="Z185" i="50" l="1"/>
  <c r="V185" i="50"/>
  <c r="AI192" i="50"/>
  <c r="M192" i="50"/>
  <c r="M195" i="50" s="1"/>
  <c r="M196" i="50" s="1"/>
  <c r="BC184" i="50"/>
  <c r="BC192" i="50" s="1"/>
  <c r="BA179" i="50"/>
  <c r="BA180" i="50" s="1"/>
  <c r="AW184" i="50"/>
  <c r="AW192" i="50" s="1"/>
  <c r="AU178" i="50"/>
  <c r="BA178" i="50"/>
  <c r="AU179" i="50"/>
  <c r="AU180" i="50" s="1"/>
  <c r="AS179" i="50"/>
  <c r="AS180" i="50" s="1"/>
  <c r="AS184" i="50"/>
  <c r="AS192" i="50" s="1"/>
  <c r="AR184" i="50"/>
  <c r="AR192" i="50" s="1"/>
  <c r="AR179" i="50"/>
  <c r="AR180" i="50" s="1"/>
  <c r="BB179" i="50"/>
  <c r="BB180" i="50" s="1"/>
  <c r="AW178" i="50"/>
  <c r="BB178" i="50"/>
  <c r="BC178" i="50"/>
  <c r="AV184" i="50"/>
  <c r="AV185" i="50" s="1"/>
  <c r="AV179" i="50"/>
  <c r="AV180" i="50" s="1"/>
  <c r="U192" i="50"/>
  <c r="U185" i="50"/>
  <c r="AD192" i="50"/>
  <c r="AD185" i="50"/>
  <c r="AJ192" i="50"/>
  <c r="AJ185" i="50"/>
  <c r="S192" i="50"/>
  <c r="S185" i="50"/>
  <c r="AA185" i="50"/>
  <c r="AA192" i="50"/>
  <c r="AU185" i="50"/>
  <c r="AU192" i="50"/>
  <c r="D195" i="50"/>
  <c r="D196" i="50" s="1"/>
  <c r="D198" i="50"/>
  <c r="H192" i="50"/>
  <c r="H185" i="50"/>
  <c r="AP179" i="50"/>
  <c r="AP180" i="50" s="1"/>
  <c r="AP178" i="50"/>
  <c r="AP184" i="50"/>
  <c r="BB185" i="50"/>
  <c r="BB192" i="50"/>
  <c r="N185" i="50"/>
  <c r="N192" i="50"/>
  <c r="AT178" i="50"/>
  <c r="AT184" i="50"/>
  <c r="AT179" i="50"/>
  <c r="AT180" i="50" s="1"/>
  <c r="O195" i="50"/>
  <c r="O196" i="50" s="1"/>
  <c r="O198" i="50"/>
  <c r="L185" i="50"/>
  <c r="L192" i="50"/>
  <c r="Z195" i="50"/>
  <c r="Z196" i="50" s="1"/>
  <c r="Z198" i="50"/>
  <c r="Y198" i="50"/>
  <c r="Y195" i="50"/>
  <c r="Y196" i="50" s="1"/>
  <c r="C192" i="50"/>
  <c r="C185" i="50"/>
  <c r="K185" i="50"/>
  <c r="K192" i="50"/>
  <c r="F195" i="50"/>
  <c r="F196" i="50" s="1"/>
  <c r="F198" i="50"/>
  <c r="X185" i="50"/>
  <c r="X192" i="50"/>
  <c r="Q192" i="50"/>
  <c r="Q185" i="50"/>
  <c r="AN179" i="50"/>
  <c r="AN180" i="50" s="1"/>
  <c r="AN178" i="50"/>
  <c r="AN184" i="50"/>
  <c r="AY179" i="50"/>
  <c r="AY180" i="50" s="1"/>
  <c r="AY184" i="50"/>
  <c r="AY178" i="50"/>
  <c r="AE192" i="50"/>
  <c r="AE185" i="50"/>
  <c r="AH195" i="50"/>
  <c r="AH196" i="50" s="1"/>
  <c r="AH198" i="50"/>
  <c r="AC195" i="50"/>
  <c r="AC196" i="50" s="1"/>
  <c r="AC198" i="50"/>
  <c r="AK192" i="50"/>
  <c r="AK185" i="50"/>
  <c r="J185" i="50"/>
  <c r="J192" i="50"/>
  <c r="R192" i="50"/>
  <c r="R185" i="50"/>
  <c r="E192" i="50"/>
  <c r="E185" i="50"/>
  <c r="V195" i="50"/>
  <c r="V196" i="50" s="1"/>
  <c r="V198" i="50"/>
  <c r="BA192" i="50"/>
  <c r="BA185" i="50"/>
  <c r="AO179" i="50"/>
  <c r="AO180" i="50" s="1"/>
  <c r="AO178" i="50"/>
  <c r="AO184" i="50"/>
  <c r="BC185" i="50"/>
  <c r="AI198" i="50"/>
  <c r="AI195" i="50"/>
  <c r="AI196" i="50" s="1"/>
  <c r="AL192" i="50"/>
  <c r="AL185" i="50"/>
  <c r="I195" i="50"/>
  <c r="I196" i="50" s="1"/>
  <c r="I198" i="50"/>
  <c r="G185" i="50"/>
  <c r="G192" i="50"/>
  <c r="AQ178" i="50"/>
  <c r="AQ184" i="50"/>
  <c r="AQ179" i="50"/>
  <c r="AQ180" i="50" s="1"/>
  <c r="W185" i="50"/>
  <c r="W192" i="50"/>
  <c r="AG185" i="50"/>
  <c r="AG192" i="50"/>
  <c r="P198" i="50"/>
  <c r="P195" i="50"/>
  <c r="P196" i="50" s="1"/>
  <c r="AB192" i="50"/>
  <c r="AB185" i="50"/>
  <c r="AF192" i="50"/>
  <c r="AF185" i="50"/>
  <c r="T185" i="50"/>
  <c r="T192" i="50"/>
  <c r="AW185" i="50"/>
  <c r="AX179" i="50"/>
  <c r="AX180" i="50" s="1"/>
  <c r="AX184" i="50"/>
  <c r="AX178" i="50"/>
  <c r="M198" i="50" l="1"/>
  <c r="AS185" i="50"/>
  <c r="AR185" i="50"/>
  <c r="AV192" i="50"/>
  <c r="AV198" i="50" s="1"/>
  <c r="AS195" i="50"/>
  <c r="AS196" i="50" s="1"/>
  <c r="AS198" i="50"/>
  <c r="AX185" i="50"/>
  <c r="AX192" i="50"/>
  <c r="AW195" i="50"/>
  <c r="AW196" i="50" s="1"/>
  <c r="AW198" i="50"/>
  <c r="W195" i="50"/>
  <c r="W196" i="50" s="1"/>
  <c r="W198" i="50"/>
  <c r="L195" i="50"/>
  <c r="L196" i="50" s="1"/>
  <c r="L198" i="50"/>
  <c r="AR195" i="50"/>
  <c r="AR196" i="50" s="1"/>
  <c r="AR198" i="50"/>
  <c r="AU195" i="50"/>
  <c r="AU196" i="50" s="1"/>
  <c r="AU198" i="50"/>
  <c r="G195" i="50"/>
  <c r="G196" i="50" s="1"/>
  <c r="G198" i="50"/>
  <c r="BC195" i="50"/>
  <c r="BC196" i="50" s="1"/>
  <c r="BC198" i="50"/>
  <c r="R195" i="50"/>
  <c r="R196" i="50" s="1"/>
  <c r="R198" i="50"/>
  <c r="AK195" i="50"/>
  <c r="AK196" i="50" s="1"/>
  <c r="AK198" i="50"/>
  <c r="AY185" i="50"/>
  <c r="AY192" i="50"/>
  <c r="Q195" i="50"/>
  <c r="Q196" i="50" s="1"/>
  <c r="Q198" i="50"/>
  <c r="C195" i="50"/>
  <c r="C196" i="50" s="1"/>
  <c r="C198" i="50"/>
  <c r="AT185" i="50"/>
  <c r="AT192" i="50"/>
  <c r="BB195" i="50"/>
  <c r="BB196" i="50" s="1"/>
  <c r="BB198" i="50"/>
  <c r="AP185" i="50"/>
  <c r="AP192" i="50"/>
  <c r="H195" i="50"/>
  <c r="H196" i="50" s="1"/>
  <c r="H198" i="50"/>
  <c r="S195" i="50"/>
  <c r="S196" i="50" s="1"/>
  <c r="S198" i="50"/>
  <c r="AD195" i="50"/>
  <c r="AD196" i="50" s="1"/>
  <c r="AD198" i="50"/>
  <c r="AL195" i="50"/>
  <c r="AL196" i="50" s="1"/>
  <c r="AL198" i="50"/>
  <c r="J195" i="50"/>
  <c r="J196" i="50" s="1"/>
  <c r="J198" i="50"/>
  <c r="X195" i="50"/>
  <c r="X196" i="50" s="1"/>
  <c r="X198" i="50"/>
  <c r="K195" i="50"/>
  <c r="K196" i="50" s="1"/>
  <c r="K198" i="50"/>
  <c r="AA198" i="50"/>
  <c r="AA195" i="50"/>
  <c r="AA196" i="50" s="1"/>
  <c r="AF195" i="50"/>
  <c r="AF196" i="50" s="1"/>
  <c r="AF198" i="50"/>
  <c r="T195" i="50"/>
  <c r="T196" i="50" s="1"/>
  <c r="T198" i="50"/>
  <c r="AG195" i="50"/>
  <c r="AG196" i="50" s="1"/>
  <c r="AG198" i="50"/>
  <c r="AB195" i="50"/>
  <c r="AB196" i="50" s="1"/>
  <c r="AB198" i="50"/>
  <c r="AQ192" i="50"/>
  <c r="AQ185" i="50"/>
  <c r="AO185" i="50"/>
  <c r="AO192" i="50"/>
  <c r="BA195" i="50"/>
  <c r="BA196" i="50" s="1"/>
  <c r="BA198" i="50"/>
  <c r="E195" i="50"/>
  <c r="E196" i="50" s="1"/>
  <c r="E198" i="50"/>
  <c r="AE195" i="50"/>
  <c r="AE196" i="50" s="1"/>
  <c r="AE198" i="50"/>
  <c r="AN192" i="50"/>
  <c r="AN185" i="50"/>
  <c r="N195" i="50"/>
  <c r="N196" i="50" s="1"/>
  <c r="N198" i="50"/>
  <c r="AJ195" i="50"/>
  <c r="AJ196" i="50" s="1"/>
  <c r="AJ198" i="50"/>
  <c r="U195" i="50"/>
  <c r="U196" i="50" s="1"/>
  <c r="U198" i="50"/>
  <c r="AV195" i="50" l="1"/>
  <c r="AV196" i="50" s="1"/>
  <c r="AO195" i="50"/>
  <c r="AO196" i="50" s="1"/>
  <c r="AO198" i="50"/>
  <c r="AY195" i="50"/>
  <c r="AY196" i="50" s="1"/>
  <c r="AY198" i="50"/>
  <c r="AX195" i="50"/>
  <c r="AX196" i="50" s="1"/>
  <c r="AX198" i="50"/>
  <c r="AN195" i="50"/>
  <c r="AN196" i="50" s="1"/>
  <c r="AN198" i="50"/>
  <c r="AP195" i="50"/>
  <c r="AP196" i="50" s="1"/>
  <c r="AP198" i="50"/>
  <c r="AT195" i="50"/>
  <c r="AT196" i="50" s="1"/>
  <c r="AT198" i="50"/>
  <c r="AQ195" i="50"/>
  <c r="AQ196" i="50" s="1"/>
  <c r="AQ198" i="50"/>
  <c r="CJ15" i="44" a="1"/>
  <c r="BQ13" i="44" a="1"/>
  <c r="BT11" i="44" a="1"/>
  <c r="BS14" i="44" a="1"/>
  <c r="BJ15" i="44" a="1"/>
  <c r="CK13" i="44" a="1"/>
  <c r="CI10" i="44" a="1"/>
  <c r="BO13" i="44" a="1"/>
  <c r="BN13" i="44" a="1"/>
  <c r="BM10" i="44" a="1"/>
  <c r="BZ10" i="44" a="1"/>
  <c r="BP11" i="44" a="1"/>
  <c r="BG10" i="44" a="1"/>
  <c r="BU13" i="44" a="1"/>
  <c r="CE15" i="44" a="1"/>
  <c r="BR13" i="44" a="1"/>
  <c r="BL13" i="44" a="1"/>
  <c r="CJ11" i="44" a="1"/>
  <c r="CA10" i="44" a="1"/>
  <c r="BN15" i="44" a="1"/>
  <c r="BR15" i="44" a="1"/>
  <c r="BR14" i="44" a="1"/>
  <c r="BS11" i="44" a="1"/>
  <c r="CI15" i="44" a="1"/>
  <c r="CA15" i="44" a="1"/>
  <c r="CD10" i="44" a="1"/>
  <c r="CH14" i="44" a="1"/>
  <c r="BB11" i="44" a="1"/>
  <c r="CF13" i="44" a="1"/>
  <c r="BY15" i="44" a="1"/>
  <c r="CG14" i="44" a="1"/>
  <c r="BM11" i="44" a="1"/>
  <c r="BR11" i="44" a="1"/>
  <c r="CF11" i="44" a="1"/>
  <c r="CD11" i="44" a="1"/>
  <c r="CJ14" i="44" a="1"/>
  <c r="BT10" i="44" a="1"/>
  <c r="BY13" i="44" a="1"/>
  <c r="BX15" i="44" a="1"/>
  <c r="BB10" i="44" a="1"/>
  <c r="CE10" i="44" a="1"/>
  <c r="BQ11" i="44" a="1"/>
  <c r="CG11" i="44" a="1"/>
  <c r="CC10" i="44" a="1"/>
  <c r="CI14" i="44" a="1"/>
  <c r="CG13" i="44" a="1"/>
  <c r="CD14" i="44" a="1"/>
  <c r="BJ10" i="44" a="1"/>
  <c r="BY14" i="44" a="1"/>
  <c r="BT13" i="44" a="1"/>
  <c r="BC15" i="44" a="1"/>
  <c r="CH11" i="44" a="1"/>
  <c r="BJ11" i="44" a="1"/>
  <c r="BS15" i="44" a="1"/>
  <c r="BL10" i="44" a="1"/>
  <c r="BF14" i="44" a="1"/>
  <c r="BL14" i="44" a="1"/>
  <c r="BK14" i="44" a="1"/>
  <c r="BV11" i="44" a="1"/>
  <c r="BB15" i="44" a="1"/>
  <c r="BY11" i="44" a="1"/>
  <c r="BK15" i="44" a="1"/>
  <c r="BZ14" i="44" a="1"/>
  <c r="CB11" i="44" a="1"/>
  <c r="BM15" i="44" a="1"/>
  <c r="BF13" i="44" a="1"/>
  <c r="BX13" i="44" a="1"/>
  <c r="BQ14" i="44" a="1"/>
  <c r="CK11" i="44" a="1"/>
  <c r="CA14" i="44" a="1"/>
  <c r="CC15" i="44" a="1"/>
  <c r="BN11" i="44" a="1"/>
  <c r="BL11" i="44" a="1"/>
  <c r="BI13" i="44" a="1"/>
  <c r="BI15" i="44" a="1"/>
  <c r="BV15" i="44" a="1"/>
  <c r="BR10" i="44" a="1"/>
  <c r="CB14" i="44" a="1"/>
  <c r="BD13" i="44" a="1"/>
  <c r="BK13" i="44" a="1"/>
  <c r="BM14" i="44" a="1"/>
  <c r="BJ14" i="44" a="1"/>
  <c r="BH10" i="44" a="1"/>
  <c r="BI14" i="44" a="1"/>
  <c r="BY10" i="44" a="1"/>
  <c r="BE13" i="44" a="1"/>
  <c r="BM13" i="44" a="1"/>
  <c r="BV10" i="44" a="1"/>
  <c r="CF15" i="44" a="1"/>
  <c r="BH15" i="44" a="1"/>
  <c r="BS13" i="44" a="1"/>
  <c r="CH13" i="44" a="1"/>
  <c r="CD15" i="44" a="1"/>
  <c r="BX11" i="44" a="1"/>
  <c r="BZ13" i="44" a="1"/>
  <c r="CE14" i="44" a="1"/>
  <c r="CC14" i="44" a="1"/>
  <c r="CK10" i="44" a="1"/>
  <c r="CJ13" i="44" a="1"/>
  <c r="CB15" i="44" a="1"/>
  <c r="BV13" i="44" a="1"/>
  <c r="CE11" i="44" a="1"/>
  <c r="CB13" i="44" a="1"/>
  <c r="BV14" i="44" a="1"/>
  <c r="BT15" i="44" a="1"/>
  <c r="BX14" i="44" a="1"/>
  <c r="BB14" i="44" a="1"/>
  <c r="BN10" i="44" a="1"/>
  <c r="CG15" i="44" a="1"/>
  <c r="BS10" i="44" a="1"/>
  <c r="BD10" i="44" a="1"/>
  <c r="BF10" i="44" a="1"/>
  <c r="BC10" i="44" a="1"/>
  <c r="CD13" i="44" a="1"/>
  <c r="CG10" i="44" a="1"/>
  <c r="BW11" i="44" a="1"/>
  <c r="BG15" i="44" a="1"/>
  <c r="CK15" i="44" a="1"/>
  <c r="BC13" i="44" a="1"/>
  <c r="BO11" i="44" a="1"/>
  <c r="BW13" i="44" a="1"/>
  <c r="BU11" i="44" a="1"/>
  <c r="CB10" i="44" a="1"/>
  <c r="BK10" i="44" a="1"/>
  <c r="CE13" i="44" a="1"/>
  <c r="BC11" i="44" a="1"/>
  <c r="BG14" i="44" a="1"/>
  <c r="CF10" i="44" a="1"/>
  <c r="BK11" i="44" a="1"/>
  <c r="BW14" i="44" a="1"/>
  <c r="CA13" i="44" a="1"/>
  <c r="BQ15" i="44" a="1"/>
  <c r="BF11" i="44" a="1"/>
  <c r="BZ15" i="44" a="1"/>
  <c r="CH10" i="44" a="1"/>
  <c r="BP10" i="44" a="1"/>
  <c r="CK14" i="44" a="1"/>
  <c r="BP15" i="44" a="1"/>
  <c r="BU14" i="44" a="1"/>
  <c r="BT14" i="44" a="1"/>
  <c r="BQ10" i="44" a="1"/>
  <c r="BE15" i="44" a="1"/>
  <c r="CH15" i="44" a="1"/>
  <c r="BF15" i="44" a="1"/>
  <c r="BD15" i="44" a="1"/>
  <c r="CF14" i="44" a="1"/>
  <c r="BO10" i="44" a="1"/>
  <c r="BX10" i="44" a="1"/>
  <c r="BC14" i="44" a="1"/>
  <c r="BE10" i="44" a="1"/>
  <c r="BP13" i="44" a="1"/>
  <c r="CI13" i="44" a="1"/>
  <c r="BH14" i="44" a="1"/>
  <c r="CC11" i="44" a="1"/>
  <c r="BU10" i="44" a="1"/>
  <c r="BW15" i="44" a="1"/>
  <c r="BN14" i="44" a="1"/>
  <c r="BD14" i="44" a="1"/>
  <c r="BU15" i="44" a="1"/>
  <c r="CA11" i="44" a="1"/>
  <c r="BI11" i="44" a="1"/>
  <c r="BZ11" i="44" a="1"/>
  <c r="BD11" i="44" a="1"/>
  <c r="BO14" i="44" a="1"/>
  <c r="CJ10" i="44" a="1"/>
  <c r="BI10" i="44" a="1"/>
  <c r="BG13" i="44" a="1"/>
  <c r="BE14" i="44" a="1"/>
  <c r="BO15" i="44" a="1"/>
  <c r="BH13" i="44" a="1"/>
  <c r="CC13" i="44" a="1"/>
  <c r="BB13" i="44" a="1"/>
  <c r="BP14" i="44" a="1"/>
  <c r="CI11" i="44" a="1"/>
  <c r="BH11" i="44" a="1"/>
  <c r="BL15" i="44" a="1"/>
  <c r="BJ13" i="44" a="1"/>
  <c r="BG11" i="44" a="1"/>
  <c r="BW10" i="44" a="1"/>
  <c r="BE11" i="44" a="1"/>
  <c r="BE11" i="44" l="1"/>
  <c r="BW10" i="44"/>
  <c r="BG11" i="44"/>
  <c r="BJ13" i="44"/>
  <c r="BL15" i="44"/>
  <c r="BH11" i="44"/>
  <c r="CI11" i="44"/>
  <c r="BP14" i="44"/>
  <c r="BB13" i="44"/>
  <c r="CC13" i="44"/>
  <c r="BH13" i="44"/>
  <c r="BO15" i="44"/>
  <c r="BE14" i="44"/>
  <c r="BG13" i="44"/>
  <c r="BI10" i="44"/>
  <c r="CJ10" i="44"/>
  <c r="BO14" i="44"/>
  <c r="BD11" i="44"/>
  <c r="BZ11" i="44"/>
  <c r="BI11" i="44"/>
  <c r="CA11" i="44"/>
  <c r="BU15" i="44"/>
  <c r="BD14" i="44"/>
  <c r="BN14" i="44"/>
  <c r="BW15" i="44"/>
  <c r="BU10" i="44"/>
  <c r="CC11" i="44"/>
  <c r="BH14" i="44"/>
  <c r="CI13" i="44"/>
  <c r="BP13" i="44"/>
  <c r="BE10" i="44"/>
  <c r="BC14" i="44"/>
  <c r="BX10" i="44"/>
  <c r="BO10" i="44"/>
  <c r="CF14" i="44"/>
  <c r="BD15" i="44"/>
  <c r="BF15" i="44"/>
  <c r="CH15" i="44"/>
  <c r="BE15" i="44"/>
  <c r="BQ10" i="44"/>
  <c r="BT14" i="44"/>
  <c r="BU14" i="44"/>
  <c r="BP15" i="44"/>
  <c r="CK14" i="44"/>
  <c r="BP10" i="44"/>
  <c r="CH10" i="44"/>
  <c r="BZ15" i="44"/>
  <c r="BF11" i="44"/>
  <c r="BQ15" i="44"/>
  <c r="CA13" i="44"/>
  <c r="BW14" i="44"/>
  <c r="BK11" i="44"/>
  <c r="CF10" i="44"/>
  <c r="BG14" i="44"/>
  <c r="BC11" i="44"/>
  <c r="CE13" i="44"/>
  <c r="BK10" i="44"/>
  <c r="CB10" i="44"/>
  <c r="BU11" i="44"/>
  <c r="BW13" i="44"/>
  <c r="BO11" i="44"/>
  <c r="BC13" i="44"/>
  <c r="CK15" i="44"/>
  <c r="BG15" i="44"/>
  <c r="BW11" i="44"/>
  <c r="CG10" i="44"/>
  <c r="CD13" i="44"/>
  <c r="BC10" i="44"/>
  <c r="BF10" i="44"/>
  <c r="BD10" i="44"/>
  <c r="BS10" i="44"/>
  <c r="CG15" i="44"/>
  <c r="BN10" i="44"/>
  <c r="BB14" i="44"/>
  <c r="BX14" i="44"/>
  <c r="BT15" i="44"/>
  <c r="BV14" i="44"/>
  <c r="CB13" i="44"/>
  <c r="CE11" i="44"/>
  <c r="BV13" i="44"/>
  <c r="CB15" i="44"/>
  <c r="CJ13" i="44"/>
  <c r="CK10" i="44"/>
  <c r="CC14" i="44"/>
  <c r="CE14" i="44"/>
  <c r="BZ13" i="44"/>
  <c r="BX11" i="44"/>
  <c r="CD15" i="44"/>
  <c r="CH13" i="44"/>
  <c r="BS13" i="44"/>
  <c r="BH15" i="44"/>
  <c r="CF15" i="44"/>
  <c r="BV10" i="44"/>
  <c r="BM13" i="44"/>
  <c r="BE13" i="44"/>
  <c r="BY10" i="44"/>
  <c r="BI14" i="44"/>
  <c r="BH10" i="44"/>
  <c r="BH59" i="44" s="1"/>
  <c r="BJ14" i="44"/>
  <c r="BM14" i="44"/>
  <c r="BK13" i="44"/>
  <c r="BD13" i="44"/>
  <c r="CB14" i="44"/>
  <c r="BR10" i="44"/>
  <c r="BV15" i="44"/>
  <c r="BI15" i="44"/>
  <c r="BI13" i="44"/>
  <c r="BL11" i="44"/>
  <c r="BN11" i="44"/>
  <c r="CC15" i="44"/>
  <c r="CA14" i="44"/>
  <c r="CK11" i="44"/>
  <c r="BQ14" i="44"/>
  <c r="BX13" i="44"/>
  <c r="BF13" i="44"/>
  <c r="BM15" i="44"/>
  <c r="CB11" i="44"/>
  <c r="BZ14" i="44"/>
  <c r="BK15" i="44"/>
  <c r="BY11" i="44"/>
  <c r="BB15" i="44"/>
  <c r="BV11" i="44"/>
  <c r="BK14" i="44"/>
  <c r="BL14" i="44"/>
  <c r="BF14" i="44"/>
  <c r="BL10" i="44"/>
  <c r="BL59" i="44" s="1"/>
  <c r="BS15" i="44"/>
  <c r="BJ11" i="44"/>
  <c r="CH11" i="44"/>
  <c r="BC15" i="44"/>
  <c r="BT13" i="44"/>
  <c r="BY14" i="44"/>
  <c r="BJ10" i="44"/>
  <c r="CD14" i="44"/>
  <c r="CG13" i="44"/>
  <c r="CI14" i="44"/>
  <c r="CC10" i="44"/>
  <c r="CG11" i="44"/>
  <c r="BQ11" i="44"/>
  <c r="CE10" i="44"/>
  <c r="BB10" i="44"/>
  <c r="BX15" i="44"/>
  <c r="BY13" i="44"/>
  <c r="BT10" i="44"/>
  <c r="CJ14" i="44"/>
  <c r="CD11" i="44"/>
  <c r="CF11" i="44"/>
  <c r="BR11" i="44"/>
  <c r="BM11" i="44"/>
  <c r="CG14" i="44"/>
  <c r="BY15" i="44"/>
  <c r="CF13" i="44"/>
  <c r="BB11" i="44"/>
  <c r="CH14" i="44"/>
  <c r="CD10" i="44"/>
  <c r="CA15" i="44"/>
  <c r="CI15" i="44"/>
  <c r="BS11" i="44"/>
  <c r="BR14" i="44"/>
  <c r="BR15" i="44"/>
  <c r="BN15" i="44"/>
  <c r="CA10" i="44"/>
  <c r="CA59" i="44" s="1"/>
  <c r="CJ11" i="44"/>
  <c r="BL13" i="44"/>
  <c r="BR13" i="44"/>
  <c r="CE15" i="44"/>
  <c r="BU13" i="44"/>
  <c r="BG10" i="44"/>
  <c r="BG59" i="44" s="1"/>
  <c r="BP11" i="44"/>
  <c r="BZ10" i="44"/>
  <c r="BZ59" i="44" s="1"/>
  <c r="BM10" i="44"/>
  <c r="BN13" i="44"/>
  <c r="BO13" i="44"/>
  <c r="CI10" i="44"/>
  <c r="CI59" i="44" s="1"/>
  <c r="CK13" i="44"/>
  <c r="BJ15" i="44"/>
  <c r="BS14" i="44"/>
  <c r="BT11" i="44"/>
  <c r="BQ13" i="44"/>
  <c r="CJ15" i="44"/>
  <c r="CE59" i="44" l="1"/>
  <c r="BR59" i="44"/>
  <c r="BY59" i="44"/>
  <c r="BC59" i="44"/>
  <c r="BQ59" i="44"/>
  <c r="CJ59" i="44"/>
  <c r="BT59" i="44"/>
  <c r="BM59" i="44"/>
  <c r="CD59" i="44"/>
  <c r="CK59" i="44"/>
  <c r="BS59" i="44"/>
  <c r="BE59" i="44"/>
  <c r="BI59" i="44"/>
  <c r="CP14" i="44"/>
  <c r="CN14" i="44" a="1"/>
  <c r="CN14" i="44" s="1"/>
  <c r="BD59" i="44"/>
  <c r="CG59" i="44"/>
  <c r="CB59" i="44"/>
  <c r="CH59" i="44"/>
  <c r="BO59" i="44"/>
  <c r="BU59" i="44"/>
  <c r="BW59" i="44"/>
  <c r="CN11" i="44" a="1"/>
  <c r="CN11" i="44" s="1"/>
  <c r="CP11" i="44"/>
  <c r="CN10" i="44" a="1"/>
  <c r="CN10" i="44" s="1"/>
  <c r="BB59" i="44"/>
  <c r="CP10" i="44"/>
  <c r="CC59" i="44"/>
  <c r="BJ59" i="44"/>
  <c r="CN15" i="44" a="1"/>
  <c r="CN15" i="44" s="1"/>
  <c r="CP15" i="44"/>
  <c r="BV59" i="44"/>
  <c r="BN59" i="44"/>
  <c r="BF59" i="44"/>
  <c r="BK59" i="44"/>
  <c r="CF59" i="44"/>
  <c r="BP59" i="44"/>
  <c r="BX59" i="44"/>
  <c r="CN13" i="44" a="1"/>
  <c r="CN13" i="44" s="1"/>
  <c r="CP13" i="44"/>
  <c r="CN5" i="44" l="1"/>
</calcChain>
</file>

<file path=xl/comments1.xml><?xml version="1.0" encoding="utf-8"?>
<comments xmlns="http://schemas.openxmlformats.org/spreadsheetml/2006/main">
  <authors>
    <author>Zach Mueller</author>
  </authors>
  <commentList>
    <comment ref="B9" authorId="0" shapeId="0">
      <text>
        <r>
          <rPr>
            <b/>
            <sz val="9"/>
            <color indexed="81"/>
            <rFont val="Tahoma"/>
            <family val="2"/>
          </rPr>
          <t>Zach Mueller:</t>
        </r>
        <r>
          <rPr>
            <sz val="9"/>
            <color indexed="81"/>
            <rFont val="Tahoma"/>
            <family val="2"/>
          </rPr>
          <t xml:space="preserve">
Lookup for the Start Date for the selected Actuals scenario.</t>
        </r>
      </text>
    </comment>
    <comment ref="O9" authorId="0" shapeId="0">
      <text>
        <r>
          <rPr>
            <b/>
            <sz val="9"/>
            <color indexed="81"/>
            <rFont val="Tahoma"/>
            <family val="2"/>
          </rPr>
          <t>Zach Mueller:</t>
        </r>
        <r>
          <rPr>
            <sz val="9"/>
            <color indexed="81"/>
            <rFont val="Tahoma"/>
            <family val="2"/>
          </rPr>
          <t xml:space="preserve">
Calculates the number of quarters offset from the selected Actuals scenario Start Date. The pivot table's quarterly summarized fields are named according to the number of quarters offset from the scenario's Start Date. Driven by the date calculation below.</t>
        </r>
      </text>
    </comment>
    <comment ref="P9" authorId="0" shapeId="0">
      <text>
        <r>
          <rPr>
            <b/>
            <sz val="9"/>
            <color indexed="81"/>
            <rFont val="Tahoma"/>
            <family val="2"/>
          </rPr>
          <t>Zach Mueller:</t>
        </r>
        <r>
          <rPr>
            <sz val="9"/>
            <color indexed="81"/>
            <rFont val="Tahoma"/>
            <family val="2"/>
          </rPr>
          <t xml:space="preserve">
Calculates the number of months offset from the applicable scenario's Start Date, driven by the date calculated below. Necessary for QTD BTA analysis - i.e., the GETPIVOTDATA formulae are set to pull each month's data if relevant to the selected date range.</t>
        </r>
      </text>
    </comment>
    <comment ref="B10" authorId="0" shapeId="0">
      <text>
        <r>
          <rPr>
            <b/>
            <sz val="9"/>
            <color indexed="81"/>
            <rFont val="Tahoma"/>
            <family val="2"/>
          </rPr>
          <t>Zach Mueller:</t>
        </r>
        <r>
          <rPr>
            <sz val="9"/>
            <color indexed="81"/>
            <rFont val="Tahoma"/>
            <family val="2"/>
          </rPr>
          <t xml:space="preserve">
Lookup for the Start Date for the selected Forecast/Budget scenario.</t>
        </r>
      </text>
    </comment>
    <comment ref="H10" authorId="0" shapeId="0">
      <text>
        <r>
          <rPr>
            <b/>
            <sz val="9"/>
            <color indexed="81"/>
            <rFont val="Tahoma"/>
            <family val="2"/>
          </rPr>
          <t>Zach Mueller:</t>
        </r>
        <r>
          <rPr>
            <sz val="9"/>
            <color indexed="81"/>
            <rFont val="Tahoma"/>
            <family val="2"/>
          </rPr>
          <t xml:space="preserve">
Calculates the number of months offset from the applicable scenario's Start Date. Used in the GETPIVOTDATA formulae to pull the correct data. Same formula used in cells to the left.</t>
        </r>
      </text>
    </comment>
    <comment ref="I10" authorId="0" shapeId="0">
      <text>
        <r>
          <rPr>
            <b/>
            <sz val="9"/>
            <color indexed="81"/>
            <rFont val="Tahoma"/>
            <family val="2"/>
          </rPr>
          <t>Zach Mueller:</t>
        </r>
        <r>
          <rPr>
            <sz val="9"/>
            <color indexed="81"/>
            <rFont val="Tahoma"/>
            <family val="2"/>
          </rPr>
          <t xml:space="preserve">
Similar formula to the cell to the left, using the applicable Start Date for the chosen Forecast/Budget scenario.</t>
        </r>
      </text>
    </comment>
    <comment ref="O10" authorId="0" shapeId="0">
      <text>
        <r>
          <rPr>
            <b/>
            <sz val="9"/>
            <color indexed="81"/>
            <rFont val="Tahoma"/>
            <family val="2"/>
          </rPr>
          <t>Zach Mueller:</t>
        </r>
        <r>
          <rPr>
            <sz val="9"/>
            <color indexed="81"/>
            <rFont val="Tahoma"/>
            <family val="2"/>
          </rPr>
          <t xml:space="preserve">
Calculates prior quarter start dates, driven by the cell to the right.</t>
        </r>
      </text>
    </comment>
    <comment ref="P10" authorId="0" shapeId="0">
      <text>
        <r>
          <rPr>
            <b/>
            <sz val="9"/>
            <color indexed="81"/>
            <rFont val="Tahoma"/>
            <family val="2"/>
          </rPr>
          <t>Zach Mueller:</t>
        </r>
        <r>
          <rPr>
            <sz val="9"/>
            <color indexed="81"/>
            <rFont val="Tahoma"/>
            <family val="2"/>
          </rPr>
          <t xml:space="preserve">
Calculates the start date for the respective quarter, given the chosen Driver Date (to the left).</t>
        </r>
      </text>
    </comment>
  </commentList>
</comments>
</file>

<file path=xl/comments2.xml><?xml version="1.0" encoding="utf-8"?>
<comments xmlns="http://schemas.openxmlformats.org/spreadsheetml/2006/main">
  <authors>
    <author>Zach Mueller</author>
  </authors>
  <commentList>
    <comment ref="A4" authorId="0" shapeId="0">
      <text>
        <r>
          <rPr>
            <b/>
            <sz val="9"/>
            <color indexed="81"/>
            <rFont val="Tahoma"/>
            <family val="2"/>
          </rPr>
          <t>Zach Mueller:</t>
        </r>
        <r>
          <rPr>
            <sz val="9"/>
            <color indexed="81"/>
            <rFont val="Tahoma"/>
            <family val="2"/>
          </rPr>
          <t xml:space="preserve">
Method defaults to "Manual" as manual overrides are always possible.</t>
        </r>
      </text>
    </comment>
    <comment ref="L4" authorId="0" shapeId="0">
      <text>
        <r>
          <rPr>
            <b/>
            <sz val="9"/>
            <color indexed="81"/>
            <rFont val="Tahoma"/>
            <family val="2"/>
          </rPr>
          <t>Zach Mueller:</t>
        </r>
        <r>
          <rPr>
            <sz val="9"/>
            <color indexed="81"/>
            <rFont val="Tahoma"/>
            <family val="2"/>
          </rPr>
          <t xml:space="preserve">
Selection of this column's value drives all formulas and database interaction.</t>
        </r>
      </text>
    </comment>
  </commentList>
</comments>
</file>

<file path=xl/comments3.xml><?xml version="1.0" encoding="utf-8"?>
<comments xmlns="http://schemas.openxmlformats.org/spreadsheetml/2006/main">
  <authors>
    <author>Zach Mueller</author>
  </authors>
  <commentList>
    <comment ref="AX2" authorId="0" shapeId="0">
      <text>
        <r>
          <rPr>
            <b/>
            <sz val="9"/>
            <color indexed="81"/>
            <rFont val="Tahoma"/>
            <family val="2"/>
          </rPr>
          <t>Zach Mueller:</t>
        </r>
        <r>
          <rPr>
            <sz val="9"/>
            <color indexed="81"/>
            <rFont val="Tahoma"/>
            <family val="2"/>
          </rPr>
          <t xml:space="preserve">
This column's values must not be changed. The ID value is used to interact with the database.</t>
        </r>
      </text>
    </comment>
  </commentList>
</comments>
</file>

<file path=xl/connections.xml><?xml version="1.0" encoding="utf-8"?>
<connections xmlns="http://schemas.openxmlformats.org/spreadsheetml/2006/main">
  <connection id="1" keepAlive="1" name="Actual Start Date" type="5" refreshedVersion="4" deleted="1" saveData="1">
    <dbPr connection="" command=""/>
  </connection>
  <connection id="2" keepAlive="1" name="BudgetDB" type="5" refreshedVersion="5" saveData="1">
    <dbPr connection="Provider=SQLOLEDB.1;Integrated Security=SSPI;Persist Security Info=True;Initial Catalog=BudgetDB;Data Source=10.12.67.3;Use Procedure for Prepare=1;Auto Translate=True;Packet Size=4096;Workstation ID=LBNJ77R1;Use Encryption for Data=False;Tag with column collation when possible=False" command="EXEC output_live_converted 'USD', 0"/>
  </connection>
  <connection id="3" keepAlive="1" name="Business Units" type="5" refreshedVersion="4" deleted="1" saveData="1">
    <dbPr connection="" command=""/>
  </connection>
  <connection id="4" keepAlive="1" name="Categories" type="5" refreshedVersion="4" deleted="1" saveData="1">
    <dbPr connection="" command=""/>
  </connection>
  <connection id="5" keepAlive="1" name="Companies" type="5" refreshedVersion="4" deleted="1" saveData="1">
    <dbPr connection="" command=""/>
  </connection>
  <connection id="6" keepAlive="1" name="Currencies" type="5" refreshedVersion="4" deleted="1" saveData="1">
    <dbPr connection="" command=""/>
  </connection>
  <connection id="7" keepAlive="1" name="Departments" type="5" refreshedVersion="4" deleted="1" saveData="1">
    <dbPr connection="" command=""/>
  </connection>
  <connection id="8" keepAlive="1" name="Division Mapping" type="5" refreshedVersion="4" deleted="1" saveData="1">
    <dbPr connection="" command=""/>
  </connection>
  <connection id="9" keepAlive="1" name="Divisions" type="5" refreshedVersion="4" deleted="1" saveData="1">
    <dbPr connection="" command=""/>
  </connection>
  <connection id="10" keepAlive="1" name="Expense Items" type="5" refreshedVersion="4" deleted="1" saveData="1">
    <dbPr connection="" command=""/>
  </connection>
  <connection id="11" keepAlive="1" name="Forecast Start Date" type="5" refreshedVersion="4" deleted="1" saveData="1">
    <dbPr connection="" command=""/>
  </connection>
  <connection id="12" keepAlive="1" name="Job Titles" type="5" refreshedVersion="4" deleted="1" saveData="1">
    <dbPr connection="" command=""/>
  </connection>
  <connection id="13" keepAlive="1" name="Local Actuals" type="5" refreshedVersion="4" deleted="1" saveData="1">
    <dbPr connection="" command=""/>
  </connection>
  <connection id="14" keepAlive="1" name="Locations" type="5" refreshedVersion="4" deleted="1" saveData="1">
    <dbPr connection="" command=""/>
  </connection>
  <connection id="15" keepAlive="1" name="Locations1" type="5" refreshedVersion="4" deleted="1" saveData="1">
    <dbPr connection="" command=""/>
  </connection>
  <connection id="16" keepAlive="1" name="Products" type="5" refreshedVersion="4" deleted="1" saveData="1">
    <dbPr connection="" command=""/>
  </connection>
  <connection id="17" keepAlive="1" name="Revenue  Items" type="5" refreshedVersion="4" deleted="1" saveData="1">
    <dbPr connection="" command=""/>
  </connection>
  <connection id="18" keepAlive="1" name="Revenue Scenarios" type="5" refreshedVersion="4" deleted="1" saveData="1">
    <dbPr connection="" command=""/>
  </connection>
  <connection id="19" keepAlive="1" name="Revenue Scenarios Local" type="5" refreshedVersion="4" deleted="1" saveData="1">
    <dbPr connection="" command=""/>
  </connection>
  <connection id="20" keepAlive="1" name="Scenarios" type="5" refreshedVersion="4" deleted="1" saveData="1">
    <dbPr connection="" command=""/>
  </connection>
  <connection id="21" keepAlive="1" name="Scenarios Pro Forma" type="5" refreshedVersion="4" deleted="1" saveData="1">
    <dbPr connection="" command=""/>
  </connection>
  <connection id="22" keepAlive="1" name="Teams" type="5" refreshedVersion="4" deleted="1" saveData="1">
    <dbPr connection="" command=""/>
  </connection>
</connections>
</file>

<file path=xl/sharedStrings.xml><?xml version="1.0" encoding="utf-8"?>
<sst xmlns="http://schemas.openxmlformats.org/spreadsheetml/2006/main" count="8577" uniqueCount="4465">
  <si>
    <t>Forecast</t>
  </si>
  <si>
    <t>Base</t>
  </si>
  <si>
    <t>New</t>
  </si>
  <si>
    <t>Upgrades</t>
  </si>
  <si>
    <t>Downgrades</t>
  </si>
  <si>
    <t>Defection</t>
  </si>
  <si>
    <t>Total Adjustments</t>
  </si>
  <si>
    <t>Transfer Pricing</t>
  </si>
  <si>
    <t>Bookings to GAAP</t>
  </si>
  <si>
    <t>Dedicated Hosting Revenue</t>
  </si>
  <si>
    <t>Cloud Hosting Revenue</t>
  </si>
  <si>
    <t>Total Hosting Revenue</t>
  </si>
  <si>
    <t>Credits</t>
  </si>
  <si>
    <t>One time Revenue</t>
  </si>
  <si>
    <t>Net Revenue</t>
  </si>
  <si>
    <t>Revenue Growth</t>
  </si>
  <si>
    <t>Expenses</t>
  </si>
  <si>
    <t>Bad Debt</t>
  </si>
  <si>
    <t>Marketing Programs</t>
  </si>
  <si>
    <t>Salaries &amp; Benefits</t>
  </si>
  <si>
    <t>Salaries &amp; Wages</t>
  </si>
  <si>
    <t>Bonus</t>
  </si>
  <si>
    <t>Overtime</t>
  </si>
  <si>
    <t>Commissions</t>
  </si>
  <si>
    <t>Payroll Taxes</t>
  </si>
  <si>
    <t>Contract Labor</t>
  </si>
  <si>
    <t>Stock Based Comp</t>
  </si>
  <si>
    <t>Employee Benefits</t>
  </si>
  <si>
    <t>Employee Benefits Discretionary</t>
  </si>
  <si>
    <t>Training</t>
  </si>
  <si>
    <t>Employee Benefits Other</t>
  </si>
  <si>
    <t>Employee Benefits Indiscretionary</t>
  </si>
  <si>
    <t>Employer Retirement Contribution</t>
  </si>
  <si>
    <t>ETO</t>
  </si>
  <si>
    <t>Health Insurance</t>
  </si>
  <si>
    <t>Life Insurance</t>
  </si>
  <si>
    <t>Other Indiscretionary</t>
  </si>
  <si>
    <t>DC Costs</t>
  </si>
  <si>
    <t>Bandwidth</t>
  </si>
  <si>
    <t>DC Rent</t>
  </si>
  <si>
    <t>DC Utilities</t>
  </si>
  <si>
    <t>DC Maintenance</t>
  </si>
  <si>
    <t>Expensed Server Parts</t>
  </si>
  <si>
    <t>Licenses</t>
  </si>
  <si>
    <t>Professional Fees</t>
  </si>
  <si>
    <t>Travel &amp; Entertainment</t>
  </si>
  <si>
    <t>Office Rent</t>
  </si>
  <si>
    <t>Other</t>
  </si>
  <si>
    <t>Relocation</t>
  </si>
  <si>
    <t>Credit Card Fees</t>
  </si>
  <si>
    <t>Internal Software Licenses</t>
  </si>
  <si>
    <t>Intercompany Charges</t>
  </si>
  <si>
    <t>Telephone / Communications</t>
  </si>
  <si>
    <t>Utilities</t>
  </si>
  <si>
    <t>Other Office Related</t>
  </si>
  <si>
    <t>Total Expenses</t>
  </si>
  <si>
    <t>EBITDA</t>
  </si>
  <si>
    <t>EBITDA Margin</t>
  </si>
  <si>
    <t>Adj EBITDA</t>
  </si>
  <si>
    <t>Adj EBITDA Margin</t>
  </si>
  <si>
    <t>D&amp;A</t>
  </si>
  <si>
    <t>EBIT</t>
  </si>
  <si>
    <t>EBIT Margin</t>
  </si>
  <si>
    <t>Interest Expense</t>
  </si>
  <si>
    <t>Interest Income</t>
  </si>
  <si>
    <t>Other Expense / (Income)</t>
  </si>
  <si>
    <t>Total Other Expense / (Income)</t>
  </si>
  <si>
    <t>EBT</t>
  </si>
  <si>
    <t>Taxes</t>
  </si>
  <si>
    <t>Net Income</t>
  </si>
  <si>
    <t>Net Income Margin</t>
  </si>
  <si>
    <t>Tax Rate</t>
  </si>
  <si>
    <t>Headcount</t>
  </si>
  <si>
    <t>Cost of Revenue</t>
  </si>
  <si>
    <t>Salaries &amp; Benefits - COR</t>
  </si>
  <si>
    <t>Salaries &amp; Wages - COR</t>
  </si>
  <si>
    <t>Base - COR</t>
  </si>
  <si>
    <t>Bonus - COR</t>
  </si>
  <si>
    <t>Overtime - COR</t>
  </si>
  <si>
    <t>Commissions - COR</t>
  </si>
  <si>
    <t>Payroll Taxes - COR</t>
  </si>
  <si>
    <t>Contract Labor - COR</t>
  </si>
  <si>
    <t>Stock Based Comp - COR</t>
  </si>
  <si>
    <t>Employee Benefits - COR</t>
  </si>
  <si>
    <t>Employee Benefits Discretionary - COR</t>
  </si>
  <si>
    <t>Training - COR</t>
  </si>
  <si>
    <t>Employee Benefits Other - COR</t>
  </si>
  <si>
    <t>Employee Benefits Indiscretionary - COR</t>
  </si>
  <si>
    <t>Employer Retirement Contribution - COR</t>
  </si>
  <si>
    <t>ETO - COR</t>
  </si>
  <si>
    <t>Health Insurance - COR</t>
  </si>
  <si>
    <t>Life Insurance - COR</t>
  </si>
  <si>
    <t>Other Indiscretionary - COR</t>
  </si>
  <si>
    <t>Professional Fees - COR</t>
  </si>
  <si>
    <t>Travel &amp; Entertainment - COR</t>
  </si>
  <si>
    <t>Other COR</t>
  </si>
  <si>
    <t>Relocation - COR</t>
  </si>
  <si>
    <t>Credit Card Fees - COR</t>
  </si>
  <si>
    <t>Internal Software Licenses - COR</t>
  </si>
  <si>
    <t>Intercompany Charges - COR</t>
  </si>
  <si>
    <t>Telephone / Communications - COR</t>
  </si>
  <si>
    <t>Utilities - COR</t>
  </si>
  <si>
    <t>Other Office Related - COR</t>
  </si>
  <si>
    <t>Other - COR</t>
  </si>
  <si>
    <t>Total COR</t>
  </si>
  <si>
    <t>Gross Profit</t>
  </si>
  <si>
    <t>Gross Margin</t>
  </si>
  <si>
    <t>Research &amp; Development</t>
  </si>
  <si>
    <t>Salaries &amp; Benefits - R&amp;D</t>
  </si>
  <si>
    <t>Salaries &amp; Wages - R&amp;D</t>
  </si>
  <si>
    <t>Base - R&amp;D</t>
  </si>
  <si>
    <t>Bonus - R&amp;D</t>
  </si>
  <si>
    <t>Overtime - R&amp;D</t>
  </si>
  <si>
    <t>Commissions - R&amp;D</t>
  </si>
  <si>
    <t>Payroll Taxes - R&amp;D</t>
  </si>
  <si>
    <t>Contract Labor - R&amp;D</t>
  </si>
  <si>
    <t>Stock Based Comp - R&amp;D</t>
  </si>
  <si>
    <t>Employee Benefits - R&amp;D</t>
  </si>
  <si>
    <t>Employee Benefits Discretionary - R&amp;D</t>
  </si>
  <si>
    <t>Training - R&amp;D</t>
  </si>
  <si>
    <t>Employee Benefits Other - R&amp;D</t>
  </si>
  <si>
    <t>Employee Benefits Indiscretionary - R&amp;D</t>
  </si>
  <si>
    <t>Employer Retirement Contribution - R&amp;D</t>
  </si>
  <si>
    <t>ETO - R&amp;D</t>
  </si>
  <si>
    <t>Health Insurance - R&amp;D</t>
  </si>
  <si>
    <t>Life Insurance - R&amp;D</t>
  </si>
  <si>
    <t>Other Indiscretionary - R&amp;D</t>
  </si>
  <si>
    <t>Office Rent - R&amp;D</t>
  </si>
  <si>
    <t>Professional Fees - R&amp;D</t>
  </si>
  <si>
    <t>Travel &amp; Entertainment - R&amp;D</t>
  </si>
  <si>
    <t>Other R&amp;D</t>
  </si>
  <si>
    <t>Relocation - R&amp;D</t>
  </si>
  <si>
    <t>Credit Card Fees - R&amp;D</t>
  </si>
  <si>
    <t>Internal Software Licenses - R&amp;D</t>
  </si>
  <si>
    <t>Intercompany Charges - R&amp;D</t>
  </si>
  <si>
    <t>Telephone / Communications - R&amp;D</t>
  </si>
  <si>
    <t>Utilities - R&amp;D</t>
  </si>
  <si>
    <t>Other Office Related - R&amp;D</t>
  </si>
  <si>
    <t>Other - R&amp;D</t>
  </si>
  <si>
    <t>Total R&amp;D</t>
  </si>
  <si>
    <t>Sales &amp; Marketing</t>
  </si>
  <si>
    <t>Salaries &amp; Benefits - S&amp;M</t>
  </si>
  <si>
    <t>Salaries &amp; Wages - S&amp;M</t>
  </si>
  <si>
    <t>Base - S&amp;M</t>
  </si>
  <si>
    <t>Bonus - S&amp;M</t>
  </si>
  <si>
    <t>Overtime - S&amp;M</t>
  </si>
  <si>
    <t>Commissions - S&amp;M</t>
  </si>
  <si>
    <t>Payroll Taxes - S&amp;M</t>
  </si>
  <si>
    <t>Contract Labor - S&amp;M</t>
  </si>
  <si>
    <t>Stock Based Comp - S&amp;M</t>
  </si>
  <si>
    <t>Employee Benefits - S&amp;M</t>
  </si>
  <si>
    <t>Employee Benefits Discretionary - S&amp;M</t>
  </si>
  <si>
    <t>Training - S&amp;M</t>
  </si>
  <si>
    <t>Employee Benefits Other - S&amp;M</t>
  </si>
  <si>
    <t>Employee Benefits Indiscretionary - S&amp;M</t>
  </si>
  <si>
    <t>Employer Retirement Contribution - S&amp;M</t>
  </si>
  <si>
    <t>ETO - S&amp;M</t>
  </si>
  <si>
    <t>Health Insurance - S&amp;M</t>
  </si>
  <si>
    <t>Life Insurance - S&amp;M</t>
  </si>
  <si>
    <t>Other Indiscretionary - S&amp;M</t>
  </si>
  <si>
    <t>Professional Fees - S&amp;M</t>
  </si>
  <si>
    <t>Travel &amp; Entertainment - S&amp;M</t>
  </si>
  <si>
    <t>Other S&amp;M</t>
  </si>
  <si>
    <t>Relocation - S&amp;M</t>
  </si>
  <si>
    <t>Credit Card Fees - S&amp;M</t>
  </si>
  <si>
    <t>Internal Software Licenses - S&amp;M</t>
  </si>
  <si>
    <t>Intercompany Charges - S&amp;M</t>
  </si>
  <si>
    <t>Telephone / Communications - S&amp;M</t>
  </si>
  <si>
    <t>Utilities - S&amp;M</t>
  </si>
  <si>
    <t>Other Office Related - S&amp;M</t>
  </si>
  <si>
    <t>Other - S&amp;M</t>
  </si>
  <si>
    <t>Total S&amp;M</t>
  </si>
  <si>
    <t>General &amp; Administrative</t>
  </si>
  <si>
    <t>Salaries &amp; Benefits - G&amp;A</t>
  </si>
  <si>
    <t>Salaries &amp; Wages - G&amp;A</t>
  </si>
  <si>
    <t>Base - G&amp;A</t>
  </si>
  <si>
    <t>Bonus - G&amp;A</t>
  </si>
  <si>
    <t>Overtime - G&amp;A</t>
  </si>
  <si>
    <t>Commissions - G&amp;A</t>
  </si>
  <si>
    <t>Payroll Taxes - G&amp;A</t>
  </si>
  <si>
    <t>Contract Labor - G&amp;A</t>
  </si>
  <si>
    <t>Stock Based Comp - G&amp;A</t>
  </si>
  <si>
    <t>Employee Benefits - G&amp;A</t>
  </si>
  <si>
    <t>Employee Benefits Discretionary - G&amp;A</t>
  </si>
  <si>
    <t>Training - G&amp;A</t>
  </si>
  <si>
    <t>Employee Benefits Other - G&amp;A</t>
  </si>
  <si>
    <t>Employee Benefits Indiscretionary - G&amp;A</t>
  </si>
  <si>
    <t>Employer Retirement Contribution - G&amp;A</t>
  </si>
  <si>
    <t>ETO - G&amp;A</t>
  </si>
  <si>
    <t>Health Insurance - G&amp;A</t>
  </si>
  <si>
    <t>Life Insurance - G&amp;A</t>
  </si>
  <si>
    <t>Other Indiscretionary - G&amp;A</t>
  </si>
  <si>
    <t>Office Rent - G&amp;A</t>
  </si>
  <si>
    <t>Professional Fees - G&amp;A</t>
  </si>
  <si>
    <t>Travel &amp; Entertainment - G&amp;A</t>
  </si>
  <si>
    <t>Other G&amp;A</t>
  </si>
  <si>
    <t>Relocation - G&amp;A</t>
  </si>
  <si>
    <t>Credit Card Fees - G&amp;A</t>
  </si>
  <si>
    <t>Internal Software Licenses - G&amp;A</t>
  </si>
  <si>
    <t>Intercompany Charges - G&amp;A</t>
  </si>
  <si>
    <t>Telephone / Communications - G&amp;A</t>
  </si>
  <si>
    <t>Utilities - G&amp;A</t>
  </si>
  <si>
    <t>Other Office Related - G&amp;A</t>
  </si>
  <si>
    <t>Other - G&amp;A</t>
  </si>
  <si>
    <t>Total G&amp;A</t>
  </si>
  <si>
    <t>(All)</t>
  </si>
  <si>
    <t>Team</t>
  </si>
  <si>
    <t>Location</t>
  </si>
  <si>
    <t>Department</t>
  </si>
  <si>
    <t>Product</t>
  </si>
  <si>
    <t>Row Labels</t>
  </si>
  <si>
    <t>Grand Total</t>
  </si>
  <si>
    <t>Actual</t>
  </si>
  <si>
    <t>Column Labels</t>
  </si>
  <si>
    <t>%</t>
  </si>
  <si>
    <t>$</t>
  </si>
  <si>
    <t>Comments</t>
  </si>
  <si>
    <t>Variance B/(W)</t>
  </si>
  <si>
    <t>Company</t>
  </si>
  <si>
    <t>Division</t>
  </si>
  <si>
    <t>Budget</t>
  </si>
  <si>
    <t>Pro Forma</t>
  </si>
  <si>
    <t>Local Currency</t>
  </si>
  <si>
    <t>Output Currency</t>
  </si>
  <si>
    <t>USD</t>
  </si>
  <si>
    <t>Workplace Experience Manager III - US</t>
  </si>
  <si>
    <t>Workday Product Manager III - US</t>
  </si>
  <si>
    <t>Windows Systems Engineer IV - US</t>
  </si>
  <si>
    <t>Windows Systems Engineer III - US</t>
  </si>
  <si>
    <t>Windows Systems Engineer II - US</t>
  </si>
  <si>
    <t>Windows Systems Engineer I - US</t>
  </si>
  <si>
    <t>Windows Support Systems Engineer - US</t>
  </si>
  <si>
    <t>Windows Senior Support Systems Engineer - US</t>
  </si>
  <si>
    <t>Windows Ops Administrator III - US</t>
  </si>
  <si>
    <t>Windows Ops Administrator II - US</t>
  </si>
  <si>
    <t>Windows Ops Administrator I - US</t>
  </si>
  <si>
    <t>Windows Administrator IV - US</t>
  </si>
  <si>
    <t>Windows Administrator III - US</t>
  </si>
  <si>
    <t>Windows Administrator II - US</t>
  </si>
  <si>
    <t>Windows Administrator I - US</t>
  </si>
  <si>
    <t>Windows Administrator - TNT - US</t>
  </si>
  <si>
    <t>Wellness Program Specialist - US</t>
  </si>
  <si>
    <t>Web Scale Engineer II - US</t>
  </si>
  <si>
    <t>Web Scale Engineer I - US</t>
  </si>
  <si>
    <t>Web Developer III - US</t>
  </si>
  <si>
    <t>Web Developer I - US</t>
  </si>
  <si>
    <t>VP, Total Rewards - US</t>
  </si>
  <si>
    <t>VP, Technology - US</t>
  </si>
  <si>
    <t>VP, Talent Management - US</t>
  </si>
  <si>
    <t>VP, Supply Chain Operations - US</t>
  </si>
  <si>
    <t>VP, Software Development - US</t>
  </si>
  <si>
    <t>VP, Sales and Support - US</t>
  </si>
  <si>
    <t>VP, Sales - US</t>
  </si>
  <si>
    <t>VP, Quality Engineering - US</t>
  </si>
  <si>
    <t>VP, Program Management - US</t>
  </si>
  <si>
    <t>VP, Product Marketing - US</t>
  </si>
  <si>
    <t>VP, Product Management - US</t>
  </si>
  <si>
    <t>VP, Product - US</t>
  </si>
  <si>
    <t>VP, Product &amp; Engineering - US</t>
  </si>
  <si>
    <t>VP, Marketing - US</t>
  </si>
  <si>
    <t>VP, Internal Audit - US</t>
  </si>
  <si>
    <t>VP, Information Management - US</t>
  </si>
  <si>
    <t>VP, Human Resources - US</t>
  </si>
  <si>
    <t>VP, Global DC Operations &amp; Engineering - US</t>
  </si>
  <si>
    <t>VP, Global Corporate Controller - US</t>
  </si>
  <si>
    <t>VP, Foundation Operations - US</t>
  </si>
  <si>
    <t>VP, Finance - US</t>
  </si>
  <si>
    <t>VP, Fanatical Support - US</t>
  </si>
  <si>
    <t>VP, Experience &amp; Design - US</t>
  </si>
  <si>
    <t>VP, Corporate Communications - US</t>
  </si>
  <si>
    <t>VP, Business Development - US</t>
  </si>
  <si>
    <t>VP, Blacksburg Operations - US</t>
  </si>
  <si>
    <t>VP &amp; Associate General Counsel - US</t>
  </si>
  <si>
    <t>Virtualization Engineer III - US</t>
  </si>
  <si>
    <t>Virtualization Engineer II - US</t>
  </si>
  <si>
    <t>Virtualization Engineer I - US</t>
  </si>
  <si>
    <t>Virtualization Architect III - US</t>
  </si>
  <si>
    <t>Videographer II - US</t>
  </si>
  <si>
    <t>Videographer I - US</t>
  </si>
  <si>
    <t>User Experience Designer IV - US</t>
  </si>
  <si>
    <t>User Experience Designer III - US</t>
  </si>
  <si>
    <t>User Experience Designer II - US</t>
  </si>
  <si>
    <t>User Experience Designer I - US</t>
  </si>
  <si>
    <t>Treasury Analyst II - US</t>
  </si>
  <si>
    <t>Training Coordinator II - US</t>
  </si>
  <si>
    <t>Total Rewards Program Manager - US</t>
  </si>
  <si>
    <t>Temporary Worker - Human Resources - US</t>
  </si>
  <si>
    <t>Technical Writer IV - US</t>
  </si>
  <si>
    <t>Technical Writer III - US</t>
  </si>
  <si>
    <t>Technical Writer II - US</t>
  </si>
  <si>
    <t>Technical Writer I - US</t>
  </si>
  <si>
    <t>Technical Trainer IV - US</t>
  </si>
  <si>
    <t>Technical Trainer III - US</t>
  </si>
  <si>
    <t>Technical Trainer II - US</t>
  </si>
  <si>
    <t>Technical Sales Support Advisor - US</t>
  </si>
  <si>
    <t>Technical Project Manager IV - US</t>
  </si>
  <si>
    <t>Technical Project Manager III - US</t>
  </si>
  <si>
    <t>Technical Project Manager II - US</t>
  </si>
  <si>
    <t>Technical Project Manager I - US</t>
  </si>
  <si>
    <t>Technical Program Manager IV - US</t>
  </si>
  <si>
    <t>Technical Program Manager III - US</t>
  </si>
  <si>
    <t>Technical Program Manager II - US</t>
  </si>
  <si>
    <t>Technical Program Manager - US</t>
  </si>
  <si>
    <t>Technical Product Manager IV - US</t>
  </si>
  <si>
    <t>Technical Product Manager III - US</t>
  </si>
  <si>
    <t>Technical Product Manager II - US</t>
  </si>
  <si>
    <t>Technical Product Manager I - US</t>
  </si>
  <si>
    <t>Technical Editor - US</t>
  </si>
  <si>
    <t>Technical Business Analyst IV - US</t>
  </si>
  <si>
    <t>Technical Alliance Manager I - US</t>
  </si>
  <si>
    <t>Technical Advisor - US</t>
  </si>
  <si>
    <t>Technical Account Manager IV - US</t>
  </si>
  <si>
    <t>Technical Account Manager III - US</t>
  </si>
  <si>
    <t>Technical Account Manager II - US</t>
  </si>
  <si>
    <t>Technical Account Manager I - US</t>
  </si>
  <si>
    <t>Technical Account Coordinator I - US</t>
  </si>
  <si>
    <t>Technical Account Coordinator - US</t>
  </si>
  <si>
    <t>Team Leader, Fanatical Support - US</t>
  </si>
  <si>
    <t>Team Lead, User Experience - US</t>
  </si>
  <si>
    <t>Team Lead, Software Development - US</t>
  </si>
  <si>
    <t>Team Lead, MySQL DBA - US</t>
  </si>
  <si>
    <t>Team Lead, DBA - US</t>
  </si>
  <si>
    <t>Team Lead, Cloud Operations - US</t>
  </si>
  <si>
    <t>Tax Manager - US</t>
  </si>
  <si>
    <t>Tax Analyst IV - US</t>
  </si>
  <si>
    <t>Tax Analyst III - US</t>
  </si>
  <si>
    <t>Tax Analyst I - US</t>
  </si>
  <si>
    <t>Talent Branding Manager - US</t>
  </si>
  <si>
    <t>Systems Engineer IV - US</t>
  </si>
  <si>
    <t>Systems Engineer III - US</t>
  </si>
  <si>
    <t>Systems Engineer II - US</t>
  </si>
  <si>
    <t>Systems Architect IV - US</t>
  </si>
  <si>
    <t>Systems Architect (SME) - US</t>
  </si>
  <si>
    <t>Systems Administrator (hourly) - US</t>
  </si>
  <si>
    <t>SVP, Private Cloud - US</t>
  </si>
  <si>
    <t>SVP, Acquisition Sales for the Americas - US</t>
  </si>
  <si>
    <t>SVP &amp; GM, SMB - US</t>
  </si>
  <si>
    <t>SVP &amp; GM, Enterprise - US</t>
  </si>
  <si>
    <t>Support Technician II - US</t>
  </si>
  <si>
    <t>Support Technician I - US</t>
  </si>
  <si>
    <t>Support Systems Engineer - US</t>
  </si>
  <si>
    <t>Support Specialist III - US</t>
  </si>
  <si>
    <t>Support Specialist II - US</t>
  </si>
  <si>
    <t>Support Specialist I - US</t>
  </si>
  <si>
    <t>Support Data Analyst III - US</t>
  </si>
  <si>
    <t>Support Data Analyst I - US</t>
  </si>
  <si>
    <t>Support Analytics Manager - US</t>
  </si>
  <si>
    <t>Supply Chain Analyst III - US</t>
  </si>
  <si>
    <t>Supply Chain Analyst II - US</t>
  </si>
  <si>
    <t>Supply Chain Analyst I - US</t>
  </si>
  <si>
    <t>Supplier Manager III - US</t>
  </si>
  <si>
    <t>Supplier Manager II - US</t>
  </si>
  <si>
    <t>Supplier Analyst - US</t>
  </si>
  <si>
    <t>Strategic Alliance Marketing Manager - US</t>
  </si>
  <si>
    <t>Strategic Account Manager - US</t>
  </si>
  <si>
    <t>Strategic Account Executive - US</t>
  </si>
  <si>
    <t>Strategic Account Development Manager - US</t>
  </si>
  <si>
    <t>Storage Architect II - US</t>
  </si>
  <si>
    <t>Solution Architect III - US</t>
  </si>
  <si>
    <t>Software Test Engineer IV - US</t>
  </si>
  <si>
    <t>Software Test Engineer III - US</t>
  </si>
  <si>
    <t>Software Test Engineer II - US</t>
  </si>
  <si>
    <t>Software Security Engineer V - US</t>
  </si>
  <si>
    <t>Software Security Engineer IV - US</t>
  </si>
  <si>
    <t>Software Security Engineer III - US</t>
  </si>
  <si>
    <t>Software Security Engineer II - US</t>
  </si>
  <si>
    <t>Software Security Engineer I - US</t>
  </si>
  <si>
    <t>Software Developer V - US</t>
  </si>
  <si>
    <t>Software Developer IV - US</t>
  </si>
  <si>
    <t>Software Developer III - US</t>
  </si>
  <si>
    <t>Software Developer II - US</t>
  </si>
  <si>
    <t>Software Developer I - US</t>
  </si>
  <si>
    <t>Software Developer - Test IV - US</t>
  </si>
  <si>
    <t>Software Developer - Test III - US</t>
  </si>
  <si>
    <t>Software Developer - Test II - US</t>
  </si>
  <si>
    <t>Software Developer - Test I - US</t>
  </si>
  <si>
    <t>Software Architect - US</t>
  </si>
  <si>
    <t>Social Media Specialist IV - US</t>
  </si>
  <si>
    <t>Social Media Specialist III - US</t>
  </si>
  <si>
    <t>Social Media Specialist - US</t>
  </si>
  <si>
    <t>SMB Chief Sales Strategist - US</t>
  </si>
  <si>
    <t>Shift Lead, Customer Care - US</t>
  </si>
  <si>
    <t>Shift Lead - Cloud - US</t>
  </si>
  <si>
    <t>SharePoint Sales Consultant - US</t>
  </si>
  <si>
    <t>SharePoint Engineer IV - US</t>
  </si>
  <si>
    <t>SharePoint Engineer III - US</t>
  </si>
  <si>
    <t>SharePoint Engineer II - US</t>
  </si>
  <si>
    <t>SharePoint Engineer I - US</t>
  </si>
  <si>
    <t>SharePoint Developer III - US</t>
  </si>
  <si>
    <t>SharePoint Developer II - US</t>
  </si>
  <si>
    <t>SharePoint Designer III - US</t>
  </si>
  <si>
    <t>SharePoint Designer II - US</t>
  </si>
  <si>
    <t>SharePoint Architect - US</t>
  </si>
  <si>
    <t>Shared Services Program Manager - US</t>
  </si>
  <si>
    <t>Service Desk Technician III - US</t>
  </si>
  <si>
    <t>Service Desk Technician I - US</t>
  </si>
  <si>
    <t>Service Desk Analyst II - US</t>
  </si>
  <si>
    <t>Service Desk Analyst I - US</t>
  </si>
  <si>
    <t>Senior Transformation Consultant - US</t>
  </si>
  <si>
    <t>Senior Technology Strategist - US</t>
  </si>
  <si>
    <t>Senior Technical Program Manager - US</t>
  </si>
  <si>
    <t>Senior Technical Business Analyst - US</t>
  </si>
  <si>
    <t>Senior Strategic Account Manager - US</t>
  </si>
  <si>
    <t>Senior Strategic Account Development Manager - US</t>
  </si>
  <si>
    <t>Senior Statistical Analyst - US</t>
  </si>
  <si>
    <t>Senior Software Developer - Mailtrust - US</t>
  </si>
  <si>
    <t>Senior Security Architect - US</t>
  </si>
  <si>
    <t>Senior Sales Engineer - US</t>
  </si>
  <si>
    <t>Senior Recruiter - US</t>
  </si>
  <si>
    <t>Senior Overlay Account Executive - US</t>
  </si>
  <si>
    <t>Senior Marketing Strategy Specialist - US</t>
  </si>
  <si>
    <t>Senior Manager, User Experience - US</t>
  </si>
  <si>
    <t>Senior Manager, Supply Chain Operations - US</t>
  </si>
  <si>
    <t>Senior Manager, Strategic Inventory Control - US</t>
  </si>
  <si>
    <t>Senior Manager, Software Security Engineering - US</t>
  </si>
  <si>
    <t>Senior Manager, Software Development - US</t>
  </si>
  <si>
    <t>Senior Manager, Social Media Response - US</t>
  </si>
  <si>
    <t>Senior Manager, Sales Strategy - US</t>
  </si>
  <si>
    <t>Senior Manager, Sales Operations - US</t>
  </si>
  <si>
    <t>Senior Manager, Sales Engineering - US</t>
  </si>
  <si>
    <t>Senior Manager, Sales - US</t>
  </si>
  <si>
    <t>Senior Manager, Revenue Operations - US</t>
  </si>
  <si>
    <t>Senior Manager, Recruiting - US</t>
  </si>
  <si>
    <t>Senior Manager, Quality Engineering - US</t>
  </si>
  <si>
    <t>Senior Manager, Program Management - US</t>
  </si>
  <si>
    <t>Senior Manager, Product Marketing - US</t>
  </si>
  <si>
    <t>Senior Manager, Product Engineering - US</t>
  </si>
  <si>
    <t>Senior Manager, Product Configuration - US</t>
  </si>
  <si>
    <t>Senior Manager, Product - US</t>
  </si>
  <si>
    <t>Senior Manager, Physical Security - US</t>
  </si>
  <si>
    <t>Senior Manager, Operations - US</t>
  </si>
  <si>
    <t>Senior Manager, Operational Excellence - US</t>
  </si>
  <si>
    <t>Senior Manager, Online Sales - US</t>
  </si>
  <si>
    <t>Senior Manager, Marketing - US</t>
  </si>
  <si>
    <t>Senior Manager, IT Project Management - US</t>
  </si>
  <si>
    <t>Senior Manager, IT Ops - US</t>
  </si>
  <si>
    <t>Senior Manager, Infrastructure Services - US</t>
  </si>
  <si>
    <t>Senior Manager, Incident Management - US</t>
  </si>
  <si>
    <t>Senior Manager, HR Technology - US</t>
  </si>
  <si>
    <t>Senior Manager, HR Operations - US</t>
  </si>
  <si>
    <t>Senior Manager, Global Internal Controls - US</t>
  </si>
  <si>
    <t>Senior Manager, Financial Systems - US</t>
  </si>
  <si>
    <t>Senior Manager, Finance - US</t>
  </si>
  <si>
    <t>Senior Manager, Fanatical Support - US</t>
  </si>
  <si>
    <t>Senior Manager, Data Science - US</t>
  </si>
  <si>
    <t>Senior Manager, Cyber Security - US</t>
  </si>
  <si>
    <t>Senior Manager, Customer Loyalty - US</t>
  </si>
  <si>
    <t>Senior Manager, Critical Sites - US</t>
  </si>
  <si>
    <t>Senior Manager, Creative Services - US</t>
  </si>
  <si>
    <t>Senior Manager, Corporate Strategy &amp; Development - US</t>
  </si>
  <si>
    <t>Senior Manager, Competitive Intelligence - US</t>
  </si>
  <si>
    <t>Senior Manager, Channel Sales - US</t>
  </si>
  <si>
    <t>Senior Manager, Business Operations - US</t>
  </si>
  <si>
    <t>Senior Manager, Application Support - US</t>
  </si>
  <si>
    <t>Senior Manager, Accounting - US</t>
  </si>
  <si>
    <t>Senior International Tax Manager - US</t>
  </si>
  <si>
    <t>Senior Instructional Designer - US</t>
  </si>
  <si>
    <t>Senior HR Generalist - US</t>
  </si>
  <si>
    <t>Senior HR Business Partner - US</t>
  </si>
  <si>
    <t>Senior HR Analytics Specialist - US</t>
  </si>
  <si>
    <t>Senior Financial Systems Analyst - US</t>
  </si>
  <si>
    <t>Senior Financial Analyst - US</t>
  </si>
  <si>
    <t>Senior Executive Assistant to the President - US</t>
  </si>
  <si>
    <t>Senior Executive Assistant to the Chairman &amp; CFO - US</t>
  </si>
  <si>
    <t>Senior Equity Accountant - US</t>
  </si>
  <si>
    <t>Senior Enterprise Sales Associate - US</t>
  </si>
  <si>
    <t>Senior Director, Strategy - US</t>
  </si>
  <si>
    <t>Senior Director, Strategic Sourcing - US</t>
  </si>
  <si>
    <t>Senior Director, Software Development - US</t>
  </si>
  <si>
    <t>Senior Director, Sales - US</t>
  </si>
  <si>
    <t>Senior Director, Product Marketing - US</t>
  </si>
  <si>
    <t>Senior Director, Product - US</t>
  </si>
  <si>
    <t>Senior Director, Marketing - US</t>
  </si>
  <si>
    <t>Senior Director, HR Operations - US</t>
  </si>
  <si>
    <t>Senior Director, Global Program Management - US</t>
  </si>
  <si>
    <t>Senior Director, Global DC Networking - US</t>
  </si>
  <si>
    <t>Senior Director, Fanatical Support - US</t>
  </si>
  <si>
    <t>Senior Director, DC Automation &amp; Optimization - US</t>
  </si>
  <si>
    <t>Senior Director, Databases - US</t>
  </si>
  <si>
    <t>Senior Director, Corporate Strategy &amp; Development - US</t>
  </si>
  <si>
    <t>Senior Corporate Counsel - US</t>
  </si>
  <si>
    <t>Senior Compensation Analyst - US</t>
  </si>
  <si>
    <t>Senior Auditor - US</t>
  </si>
  <si>
    <t>Senior Accounting Ops Business Analyst - US</t>
  </si>
  <si>
    <t>Senior Account Development Manager - US</t>
  </si>
  <si>
    <t>Security Risk Management Lead - US</t>
  </si>
  <si>
    <t>Security Researcher - US</t>
  </si>
  <si>
    <t>Security Engineer III - US</t>
  </si>
  <si>
    <t>Security Engineer II - US</t>
  </si>
  <si>
    <t>Security Architect - US</t>
  </si>
  <si>
    <t>Security Analyst II - US</t>
  </si>
  <si>
    <t>Security Analyst I - US</t>
  </si>
  <si>
    <t>SEC Accountant - US</t>
  </si>
  <si>
    <t>SDLC Project Manager II - US</t>
  </si>
  <si>
    <t>Scrum Master II - US</t>
  </si>
  <si>
    <t>SAN Storage Engineer III - US</t>
  </si>
  <si>
    <t>SAN Storage Engineer II - US</t>
  </si>
  <si>
    <t>SAN Storage Engineer I - US</t>
  </si>
  <si>
    <t>Salesforce.com Administrator III - US</t>
  </si>
  <si>
    <t>Salesforce.com Administrator II - US</t>
  </si>
  <si>
    <t>Sales Training Manager - US</t>
  </si>
  <si>
    <t>Sales Trainer III - US</t>
  </si>
  <si>
    <t>Sales Trainer II - US</t>
  </si>
  <si>
    <t>Sales Operations Analyst III - US</t>
  </si>
  <si>
    <t>Sales Operations Analyst I - US</t>
  </si>
  <si>
    <t>Sales Engineer II - US</t>
  </si>
  <si>
    <t>Sales Engineer I - US</t>
  </si>
  <si>
    <t>Sales Engineer - Solutions Architect - US</t>
  </si>
  <si>
    <t>Sales Engineer - Senior Advisor - US</t>
  </si>
  <si>
    <t>Sales Engineer - Advisor - US</t>
  </si>
  <si>
    <t>Sales Commission Analyst III - US</t>
  </si>
  <si>
    <t>Sales Commission Analyst II - US</t>
  </si>
  <si>
    <t>Sales Coach - US</t>
  </si>
  <si>
    <t>Sales Associate - US</t>
  </si>
  <si>
    <t>Revenue Recognition Accounting Analyst II - US</t>
  </si>
  <si>
    <t>Revenue Recognition Accounting Analyst I - US</t>
  </si>
  <si>
    <t>Revenue Ops Business Analyst I - US</t>
  </si>
  <si>
    <t>Revenue Integrity Operations Team Lead - US</t>
  </si>
  <si>
    <t>Revenue Integrity Operations Specialist III - US</t>
  </si>
  <si>
    <t>Revenue Integrity Operations Specialist II - US</t>
  </si>
  <si>
    <t>Revenue Integrity Operations Specialist I - US</t>
  </si>
  <si>
    <t>Retention &amp; Engagement Manager - US</t>
  </si>
  <si>
    <t>Replication Services Administrator I - US</t>
  </si>
  <si>
    <t>Regional Sales Leader - US</t>
  </si>
  <si>
    <t>Regional Manager, Internal Controls - US</t>
  </si>
  <si>
    <t>Regional Building Manager - US</t>
  </si>
  <si>
    <t>Recruiter - US</t>
  </si>
  <si>
    <t>Real Estate Coordinator - US</t>
  </si>
  <si>
    <t>Rackspace Temporary Worker - US</t>
  </si>
  <si>
    <t>Racker Rewards Specialist - US</t>
  </si>
  <si>
    <t>Racker Development Manager - US</t>
  </si>
  <si>
    <t>RackConnect System Administrator - US</t>
  </si>
  <si>
    <t>Rackconnect Operations Engineer III - US</t>
  </si>
  <si>
    <t>Rackconnect Operations Engineer II - US</t>
  </si>
  <si>
    <t>Purchasing Specialist III - US</t>
  </si>
  <si>
    <t>Purchasing Specialist II - US</t>
  </si>
  <si>
    <t>Public Relations Specialist IV - US</t>
  </si>
  <si>
    <t>Public Relations Specialist II - US</t>
  </si>
  <si>
    <t>Proposal Manager II - US</t>
  </si>
  <si>
    <t>Project Manager, Real Estate - US</t>
  </si>
  <si>
    <t>Project Manager IV - US</t>
  </si>
  <si>
    <t>Project Manager III - US</t>
  </si>
  <si>
    <t>Project Manager II - US</t>
  </si>
  <si>
    <t>Program Manager II - US</t>
  </si>
  <si>
    <t>Program Management Director - US</t>
  </si>
  <si>
    <t>Professional Services Practice Manager I - US</t>
  </si>
  <si>
    <t>Production Specialist - US</t>
  </si>
  <si>
    <t>Product Software Developer II - US</t>
  </si>
  <si>
    <t>Product Ops Engineer IV - US</t>
  </si>
  <si>
    <t>Product Ops Engineer III - US</t>
  </si>
  <si>
    <t>Product Marketing Manager V - US</t>
  </si>
  <si>
    <t>Product Marketing Manager IV - US</t>
  </si>
  <si>
    <t>Product Marketing Manager III - US</t>
  </si>
  <si>
    <t>Product Marketing Manager II - US</t>
  </si>
  <si>
    <t>Product Marketing Manager I - US</t>
  </si>
  <si>
    <t>Product Marketing Analyst III - US</t>
  </si>
  <si>
    <t>Product Marketing Analyst I - US</t>
  </si>
  <si>
    <t>Product Manager V - US</t>
  </si>
  <si>
    <t>Product Manager IV - US</t>
  </si>
  <si>
    <t>Product Manager III - US</t>
  </si>
  <si>
    <t>Product Manager II - US</t>
  </si>
  <si>
    <t>Product Evangelist IV - US</t>
  </si>
  <si>
    <t>Product Evangelist II - US</t>
  </si>
  <si>
    <t>Product Evangelist I - US</t>
  </si>
  <si>
    <t>Product Engineer IV - US</t>
  </si>
  <si>
    <t>Product Engineer III - US</t>
  </si>
  <si>
    <t>Product Engineer II - US</t>
  </si>
  <si>
    <t>Product Development Project Manager III - US</t>
  </si>
  <si>
    <t>Process Engineer IV  - US</t>
  </si>
  <si>
    <t>Private Cloud Partner Manager - US</t>
  </si>
  <si>
    <t>Principal Solution Architect - US</t>
  </si>
  <si>
    <t>Principal Engineer - US</t>
  </si>
  <si>
    <t>Principal Architect - US</t>
  </si>
  <si>
    <t>Pricing Analyst II - US</t>
  </si>
  <si>
    <t>President, Chief Strategy Officer - US</t>
  </si>
  <si>
    <t>Postgres Database Administrator IV - US</t>
  </si>
  <si>
    <t>Physical Security Specialist III - US</t>
  </si>
  <si>
    <t>Physical Security Specialist II - US</t>
  </si>
  <si>
    <t>Payroll Tax Specialist III - US</t>
  </si>
  <si>
    <t>Payroll Specialist III - US</t>
  </si>
  <si>
    <t>Payroll Specialist II - US</t>
  </si>
  <si>
    <t>Partner Engagement Manager - US</t>
  </si>
  <si>
    <t>Partner Account Manager II - US</t>
  </si>
  <si>
    <t>Partner Account Manager I - US</t>
  </si>
  <si>
    <t>Paralegal III - US</t>
  </si>
  <si>
    <t>Paralegal II - US</t>
  </si>
  <si>
    <t>Overlay Account Executive - US</t>
  </si>
  <si>
    <t>Outbound Sales Representative - US</t>
  </si>
  <si>
    <t>Oracle Developer IV - US</t>
  </si>
  <si>
    <t>Oracle Database Administrator SME - US</t>
  </si>
  <si>
    <t>Oracle Database Administrator IV - US</t>
  </si>
  <si>
    <t>Oracle Database Administrator III - US</t>
  </si>
  <si>
    <t>Oracle Database Administrator II - US</t>
  </si>
  <si>
    <t>Oracle Business Systems Analyst IV - US</t>
  </si>
  <si>
    <t>Oracle Business Systems Analyst III - US</t>
  </si>
  <si>
    <t>Oracle Applications Systems Administrator IV - US</t>
  </si>
  <si>
    <t>Operational Excellence Architect - US</t>
  </si>
  <si>
    <t>Operational Excellence Analyst III - US</t>
  </si>
  <si>
    <t>OpenStack Private Cloud Engineer III - US</t>
  </si>
  <si>
    <t>OpenStack Private Cloud Engineer II - US</t>
  </si>
  <si>
    <t>Open Cloud Research Strategist - US</t>
  </si>
  <si>
    <t>Online Specialist IV - US</t>
  </si>
  <si>
    <t>Online Specialist III - US</t>
  </si>
  <si>
    <t>Online Specialist II - US</t>
  </si>
  <si>
    <t>Online Sales Representative II - US</t>
  </si>
  <si>
    <t>Office Manager - US</t>
  </si>
  <si>
    <t>Office &amp; Billing Manager - US</t>
  </si>
  <si>
    <t>Network Technician II - US</t>
  </si>
  <si>
    <t>Network Security Technician I - US</t>
  </si>
  <si>
    <t>Network Security Functional Lead - US</t>
  </si>
  <si>
    <t>Network Security Engineer - US</t>
  </si>
  <si>
    <t>Network Security Automation Engineer IV - US</t>
  </si>
  <si>
    <t>Network Security Administrator III - US</t>
  </si>
  <si>
    <t>Network Security Administrator II - US</t>
  </si>
  <si>
    <t>Network Security Administrator I - US</t>
  </si>
  <si>
    <t>Network Security Administrator - TNT - US</t>
  </si>
  <si>
    <t>Network Operations Manager III - US</t>
  </si>
  <si>
    <t>Network Operations Manager II - US</t>
  </si>
  <si>
    <t>Network Engineering Manager - US</t>
  </si>
  <si>
    <t>Network Engineer IV - US</t>
  </si>
  <si>
    <t>Network Engineer III - US</t>
  </si>
  <si>
    <t>Network Engineer II - US</t>
  </si>
  <si>
    <t>Network Engineer I - US</t>
  </si>
  <si>
    <t>Network Automation Engineer III - US</t>
  </si>
  <si>
    <t>Network Architect IV - US</t>
  </si>
  <si>
    <t>Network Architect III - US</t>
  </si>
  <si>
    <t>Network Architect II - US</t>
  </si>
  <si>
    <t>National Account Manager II - US</t>
  </si>
  <si>
    <t>National Account Manager I - US</t>
  </si>
  <si>
    <t>NAS Storage Engineer III - US</t>
  </si>
  <si>
    <t>NAS Storage Engineer II - US</t>
  </si>
  <si>
    <t>NAS Storage Engineer I - US</t>
  </si>
  <si>
    <t>MySQL Database Administrator IV - US</t>
  </si>
  <si>
    <t>MySQL Database Administrator II - US</t>
  </si>
  <si>
    <t>Monitoring Administrator II - US</t>
  </si>
  <si>
    <t>Monitoring Administrator I - US</t>
  </si>
  <si>
    <t>Migration Specialist III - US</t>
  </si>
  <si>
    <t>Migration Specialist II - US</t>
  </si>
  <si>
    <t>Migration Specialist I - US</t>
  </si>
  <si>
    <t>Marketing Strategy Specialist - US</t>
  </si>
  <si>
    <t>Marketing Project Manager III - US</t>
  </si>
  <si>
    <t>Marketing Program Coordinator II - US</t>
  </si>
  <si>
    <t>Marketing Communications Manager - US</t>
  </si>
  <si>
    <t>Marketing Associate I - US</t>
  </si>
  <si>
    <t>Marketing Analyst IV - US</t>
  </si>
  <si>
    <t>Marketing Analyst III - US</t>
  </si>
  <si>
    <t>Marketing Analyst II - US</t>
  </si>
  <si>
    <t>Marketing Analyst I - US</t>
  </si>
  <si>
    <t>Managing Producer - US</t>
  </si>
  <si>
    <t>Managing Director, LATAM - US</t>
  </si>
  <si>
    <t>Managing Director International Operations - US</t>
  </si>
  <si>
    <t>Manager, Video &amp; Lead Storyteller - US</t>
  </si>
  <si>
    <t>Manager, User Experience Design - US</t>
  </si>
  <si>
    <t>Manager, Treasury Operations - US</t>
  </si>
  <si>
    <t>Manager, Telecommunications - US</t>
  </si>
  <si>
    <t>Manager, Technical Training - US</t>
  </si>
  <si>
    <t>Manager, Technical Strategy &amp; Support - US</t>
  </si>
  <si>
    <t>Manager, Technical Communications - US</t>
  </si>
  <si>
    <t>Manager, Sustainability - US</t>
  </si>
  <si>
    <t>Manager, Software Development - US</t>
  </si>
  <si>
    <t>Manager, SharePoint Technical Consultants - US</t>
  </si>
  <si>
    <t>Manager, Sales Operations - US</t>
  </si>
  <si>
    <t>Manager, Sales Engineering - US</t>
  </si>
  <si>
    <t>Manager, Sales - US</t>
  </si>
  <si>
    <t>Manager, Revenue Operations - US</t>
  </si>
  <si>
    <t>Manager, Reporting &amp; Analysis - US</t>
  </si>
  <si>
    <t>Manager, Recruiting - US</t>
  </si>
  <si>
    <t>Manager, RackConnect Operations - US</t>
  </si>
  <si>
    <t>Manager, Quality Engineering - US</t>
  </si>
  <si>
    <t>Manager, Public Relations - US</t>
  </si>
  <si>
    <t>Manager, Project Management - US</t>
  </si>
  <si>
    <t>Manager, Program Management - US</t>
  </si>
  <si>
    <t>Manager, Professional Services - US</t>
  </si>
  <si>
    <t>Manager, Product - US</t>
  </si>
  <si>
    <t>Manager, Partner Readiness - US</t>
  </si>
  <si>
    <t>Manager, Oracle Applications Development - US</t>
  </si>
  <si>
    <t>Manager, Oracle Applications - US</t>
  </si>
  <si>
    <t>Manager, Operations, Strategy &amp; Support - US</t>
  </si>
  <si>
    <t>Manager, Operations, Strategy &amp; Planning - US</t>
  </si>
  <si>
    <t>Manager, Operations - US</t>
  </si>
  <si>
    <t>Manager, Operational Excellence - US</t>
  </si>
  <si>
    <t>Manager, Online Sales - US</t>
  </si>
  <si>
    <t>Manager, Network Services - US</t>
  </si>
  <si>
    <t>Manager, Network Security - US</t>
  </si>
  <si>
    <t>Manager, Marketing Operations - US</t>
  </si>
  <si>
    <t>Manager, Marketing - US</t>
  </si>
  <si>
    <t>Manager, Legal Operations - US</t>
  </si>
  <si>
    <t>Manager, Learning &amp; Development - US</t>
  </si>
  <si>
    <t>Manager, IT Ops - US</t>
  </si>
  <si>
    <t>Manager, Inventory - US</t>
  </si>
  <si>
    <t>Manager, Internal Communications - US</t>
  </si>
  <si>
    <t>Manager, Infrastructure Services - US</t>
  </si>
  <si>
    <t>Manager, Infrastructure Change Management - US</t>
  </si>
  <si>
    <t>Manager, Information Systems - US</t>
  </si>
  <si>
    <t>Manager, Global IT Audit - US</t>
  </si>
  <si>
    <t>Manager, Financial Systems - US</t>
  </si>
  <si>
    <t>Manager, Finance - US</t>
  </si>
  <si>
    <t>Manager, Fanatical Support - US</t>
  </si>
  <si>
    <t>Manager, Events - US</t>
  </si>
  <si>
    <t>Manager, Events &amp; Hospitality - US</t>
  </si>
  <si>
    <t>Manager, Deployment - US</t>
  </si>
  <si>
    <t>Manager, DC Ops - US</t>
  </si>
  <si>
    <t>Manager, Data Center Engineering - US</t>
  </si>
  <si>
    <t>Manager, Compliance Operations - US</t>
  </si>
  <si>
    <t>Manager, Commissions &amp; Analytics - US</t>
  </si>
  <si>
    <t>Manager, Cloud Engineering - US</t>
  </si>
  <si>
    <t>Manager, Change &amp; Release Management - US</t>
  </si>
  <si>
    <t>Manager, Business Intelligence Development - US</t>
  </si>
  <si>
    <t>Manager, Business Intelligence Delivery - US</t>
  </si>
  <si>
    <t>Manager, Briefing Programs - US</t>
  </si>
  <si>
    <t>Manager, Blacksburg Business Operations - US</t>
  </si>
  <si>
    <t>Manager, Associate Sales Engineers - US</t>
  </si>
  <si>
    <t>Manager, Application Support - US</t>
  </si>
  <si>
    <t>Manager, Accounts Payable - US</t>
  </si>
  <si>
    <t>Manager of Talent On-Boarding - US</t>
  </si>
  <si>
    <t>Manager of Sales - US</t>
  </si>
  <si>
    <t>Manager Data Center Engineering - US</t>
  </si>
  <si>
    <t>Mail Acquisition Representative II - US</t>
  </si>
  <si>
    <t>Mail Acquisition Representative I - US</t>
  </si>
  <si>
    <t>Linux Technician - US</t>
  </si>
  <si>
    <t>Linux Systems Engineer IV - US</t>
  </si>
  <si>
    <t>Linux Systems Engineer III - US</t>
  </si>
  <si>
    <t>Linux Systems Engineer II - US</t>
  </si>
  <si>
    <t>Linux Systems Engineer I - US</t>
  </si>
  <si>
    <t>Linux Support Systems Engineer - US</t>
  </si>
  <si>
    <t>Linux Senior Support Systems Engineer - US</t>
  </si>
  <si>
    <t>Linux Ops Administrator III - US</t>
  </si>
  <si>
    <t>Linux Ops Administrator II - US</t>
  </si>
  <si>
    <t>Linux Ops Administrator I - US</t>
  </si>
  <si>
    <t>Linux Administrator IV - US</t>
  </si>
  <si>
    <t>Linux Administrator III - US</t>
  </si>
  <si>
    <t>Linux Administrator II - US</t>
  </si>
  <si>
    <t>Linux Administrator I - US</t>
  </si>
  <si>
    <t>Linux Administrator - TNT - US</t>
  </si>
  <si>
    <t>Legal Specialist IV - US</t>
  </si>
  <si>
    <t>Legal Program Manager - US</t>
  </si>
  <si>
    <t>Legal Administrative Assistant I - US</t>
  </si>
  <si>
    <t>Learning &amp; Development Strategist - US</t>
  </si>
  <si>
    <t>Learning &amp; Development Program Manager - US</t>
  </si>
  <si>
    <t>Learning &amp; Development Business Partner - US</t>
  </si>
  <si>
    <t>Lead, Quality Engineering - US</t>
  </si>
  <si>
    <t>Lead IT Auditor - US</t>
  </si>
  <si>
    <t>Lead Generator - US</t>
  </si>
  <si>
    <t>Lead Email Technician - US</t>
  </si>
  <si>
    <t>Lead Developer II - US</t>
  </si>
  <si>
    <t>Lead AUP Specialist - US</t>
  </si>
  <si>
    <t>Launch Specialist II - US</t>
  </si>
  <si>
    <t>Launch Specialist I - US</t>
  </si>
  <si>
    <t>Launch Manager II - US</t>
  </si>
  <si>
    <t>Launch Manager I - US</t>
  </si>
  <si>
    <t>Kickstart Engineer III - US</t>
  </si>
  <si>
    <t>Item Operations Specialist - US</t>
  </si>
  <si>
    <t>IT Ops Supervisor - US</t>
  </si>
  <si>
    <t>IT Asset Manager - US</t>
  </si>
  <si>
    <t>Investor Relations Associate - US</t>
  </si>
  <si>
    <t>Inventory Team Leader - US</t>
  </si>
  <si>
    <t>Inventory Control Specialist III - US</t>
  </si>
  <si>
    <t>Inventory Control Specialist II - US</t>
  </si>
  <si>
    <t>Inventory Control Specialist I - US</t>
  </si>
  <si>
    <t>International Tax Manager - US</t>
  </si>
  <si>
    <t>Internal Control Specialist IV - US</t>
  </si>
  <si>
    <t>Instructional Designer - US</t>
  </si>
  <si>
    <t>Infrastructure Services Solutions Architect III - US</t>
  </si>
  <si>
    <t>Infrastructure Services Integration Architect III - US</t>
  </si>
  <si>
    <t>Infrastructure Engineer III - US</t>
  </si>
  <si>
    <t>Infrastructure Engineer II - US</t>
  </si>
  <si>
    <t>Implementation Manager - US</t>
  </si>
  <si>
    <t>Implementation Leader - US</t>
  </si>
  <si>
    <t>Implementation Coordinator - US</t>
  </si>
  <si>
    <t>Hybrid Acquisition Representative III - US</t>
  </si>
  <si>
    <t>HRIS Production Support Analyst II - US</t>
  </si>
  <si>
    <t>HRIS Analyst II - US</t>
  </si>
  <si>
    <t>HR Service Center SME - US</t>
  </si>
  <si>
    <t>HR Program Manager - US</t>
  </si>
  <si>
    <t>HR Ops Global Product Manager III - US</t>
  </si>
  <si>
    <t>HR Ops Global Product Manager I - US</t>
  </si>
  <si>
    <t>HR Generalist - US</t>
  </si>
  <si>
    <t>HR Coordinator II - US</t>
  </si>
  <si>
    <t>HR Business Partner, Director - US</t>
  </si>
  <si>
    <t>HR Business Partner - US</t>
  </si>
  <si>
    <t>Health Operations Specialist - US</t>
  </si>
  <si>
    <t>Graphic Designer IV - US</t>
  </si>
  <si>
    <t>Graphic Designer II - US</t>
  </si>
  <si>
    <t>Global Provisioning Services Manager - US</t>
  </si>
  <si>
    <t>General Manager, Hybrid - US</t>
  </si>
  <si>
    <t>General Counsel - US</t>
  </si>
  <si>
    <t>Functional Lead, MBU - US</t>
  </si>
  <si>
    <t>Functional Lead, Linux - US</t>
  </si>
  <si>
    <t>Financial Systems Analyst IV- US</t>
  </si>
  <si>
    <t>Financial Systems Analyst III - US</t>
  </si>
  <si>
    <t>Financial Analyst III - US</t>
  </si>
  <si>
    <t>Financial Analyst II - US</t>
  </si>
  <si>
    <t>Financial Analyst I - US</t>
  </si>
  <si>
    <t>File Clerk - US</t>
  </si>
  <si>
    <t>Facility Engineer III - US</t>
  </si>
  <si>
    <t>Facility Engineer II - US</t>
  </si>
  <si>
    <t>Executive Support Supervisor - US</t>
  </si>
  <si>
    <t>Executive Recruiter - US</t>
  </si>
  <si>
    <t>Executive Compensation Analyst - US</t>
  </si>
  <si>
    <t>Executive Communications Manager - US</t>
  </si>
  <si>
    <t>Executive Assistant - US</t>
  </si>
  <si>
    <t>Exchange Engineer III - US</t>
  </si>
  <si>
    <t>Exchange Engineer II - US</t>
  </si>
  <si>
    <t>Events Planner IV - US</t>
  </si>
  <si>
    <t>Events Planner III - US</t>
  </si>
  <si>
    <t>Events Planner II - US</t>
  </si>
  <si>
    <t>Events Planner I - US</t>
  </si>
  <si>
    <t>Enterprise Strategic Account Executive - US</t>
  </si>
  <si>
    <t>Enterprise Solutions Architect - US</t>
  </si>
  <si>
    <t>Enterprise Senior Account Manager - US</t>
  </si>
  <si>
    <t>Enterprise Program Manager - US</t>
  </si>
  <si>
    <t>Enterprise Outbound Lead Generator - US</t>
  </si>
  <si>
    <t>Enterprise MM Field Sales Executive - US</t>
  </si>
  <si>
    <t>Enterprise Incident Response Specialist III - US</t>
  </si>
  <si>
    <t>Enterprise Incident Response Specialist II - US</t>
  </si>
  <si>
    <t>Enterprise Incident Response Specialist I - US</t>
  </si>
  <si>
    <t>Enterprise Field Sales Executive - US</t>
  </si>
  <si>
    <t>Enterprise Cyber Security Team Lead - US</t>
  </si>
  <si>
    <t>Enterprise Change Management Specialist III - US</t>
  </si>
  <si>
    <t>Enterprise Business Intelligence Specialist IV - US</t>
  </si>
  <si>
    <t>Enterprise Business Intelligence Specialist III - US</t>
  </si>
  <si>
    <t>Enterprise Business Intelligence Specialist II - US</t>
  </si>
  <si>
    <t>Enterprise Business Intelligence Lead I - US</t>
  </si>
  <si>
    <t>Enterprise Architect III - US</t>
  </si>
  <si>
    <t>Enterprise Architect II - US</t>
  </si>
  <si>
    <t>Enterprise Architect I - US</t>
  </si>
  <si>
    <t>Enterprise Account Manager - US</t>
  </si>
  <si>
    <t>Enterprise Account Executive I - US</t>
  </si>
  <si>
    <t>Emerging Talent Coordinator - US</t>
  </si>
  <si>
    <t>Emerging Senior Account Manager - US</t>
  </si>
  <si>
    <t>Emerging Account Manager - US</t>
  </si>
  <si>
    <t>Email Technician I - US</t>
  </si>
  <si>
    <t>EBI User Interface Designer II - US</t>
  </si>
  <si>
    <t>Dummy95</t>
  </si>
  <si>
    <t>Dummy90</t>
  </si>
  <si>
    <t>Dummy85</t>
  </si>
  <si>
    <t>Dummy80</t>
  </si>
  <si>
    <t>Dummy75</t>
  </si>
  <si>
    <t>Dummy70</t>
  </si>
  <si>
    <t>Dummy65</t>
  </si>
  <si>
    <t>Dummy60</t>
  </si>
  <si>
    <t>Dummy55</t>
  </si>
  <si>
    <t>Dummy50</t>
  </si>
  <si>
    <t>Dummy45</t>
  </si>
  <si>
    <t>Dummy40</t>
  </si>
  <si>
    <t>Dummy35</t>
  </si>
  <si>
    <t>Dummy30</t>
  </si>
  <si>
    <t>Dummy125</t>
  </si>
  <si>
    <t>Dummy120</t>
  </si>
  <si>
    <t>Dummy115</t>
  </si>
  <si>
    <t>Dummy110</t>
  </si>
  <si>
    <t>Dummy105</t>
  </si>
  <si>
    <t>Dummy100</t>
  </si>
  <si>
    <t>Documentation Build Developer - US</t>
  </si>
  <si>
    <t>Diversity Program Manager - US</t>
  </si>
  <si>
    <t>Director, Training - US</t>
  </si>
  <si>
    <t>Director, Technical Learning &amp; Design - US</t>
  </si>
  <si>
    <t>Director, Support &amp; Operations - US</t>
  </si>
  <si>
    <t>Director, Supply Chain Operations - US</t>
  </si>
  <si>
    <t>Director, Solutions Engineering - US</t>
  </si>
  <si>
    <t>Director, Software Development - US</t>
  </si>
  <si>
    <t>Director, Social Media - US</t>
  </si>
  <si>
    <t>Director, SharePoint Services - US</t>
  </si>
  <si>
    <t>Director, Security Programs - US</t>
  </si>
  <si>
    <t>Director, Sales Operations - US</t>
  </si>
  <si>
    <t>Director, Sales - US</t>
  </si>
  <si>
    <t>Director, Recruiting - US</t>
  </si>
  <si>
    <t>Director, Real Estate Services - US</t>
  </si>
  <si>
    <t>Director, Racker Rewards - US</t>
  </si>
  <si>
    <t>Director, Quality Engineering - US</t>
  </si>
  <si>
    <t>Director, Production Support - US</t>
  </si>
  <si>
    <t>Director, Product Marketing - US</t>
  </si>
  <si>
    <t>Director, Product - US</t>
  </si>
  <si>
    <t>Director, Process Engineering &amp; Reporting - US</t>
  </si>
  <si>
    <t>Director, Operations - US</t>
  </si>
  <si>
    <t>Director, Operational Excellence - US</t>
  </si>
  <si>
    <t>Director, Next Generation Markets - US</t>
  </si>
  <si>
    <t>Director, Network Security - US</t>
  </si>
  <si>
    <t>Director, Mobility Compliance - US</t>
  </si>
  <si>
    <t>Director, Marketing - US</t>
  </si>
  <si>
    <t>Director, Leadership Development - US</t>
  </si>
  <si>
    <t>Director, Latin American Markets - US</t>
  </si>
  <si>
    <t>Director, Internal Audit - US</t>
  </si>
  <si>
    <t>Director, Infrastructure Change Management - US</t>
  </si>
  <si>
    <t>Director, Income Tax - US</t>
  </si>
  <si>
    <t>Director, Human Resources - US</t>
  </si>
  <si>
    <t>Director, HR - US</t>
  </si>
  <si>
    <t>Director, Global Workplace Technology - US</t>
  </si>
  <si>
    <t>Director, Global Tax - US</t>
  </si>
  <si>
    <t>Director, Foundation Operations - US</t>
  </si>
  <si>
    <t>Director, Financial Systems - US</t>
  </si>
  <si>
    <t>Director, Finance - US</t>
  </si>
  <si>
    <t>Director, Fanatical Support - US</t>
  </si>
  <si>
    <t>Director, Enterprise Architecture - US</t>
  </si>
  <si>
    <t>Director, Developer Advocate - US</t>
  </si>
  <si>
    <t>Director, Deployment - US</t>
  </si>
  <si>
    <t>Director, Demand Planning - US</t>
  </si>
  <si>
    <t>Director, Data Science - US</t>
  </si>
  <si>
    <t>Director, Data Center - US</t>
  </si>
  <si>
    <t>Director, Customer Security Advocacy - US</t>
  </si>
  <si>
    <t>Director, Customer Development - US</t>
  </si>
  <si>
    <t>Director, Corporate Strategy &amp; Development - US</t>
  </si>
  <si>
    <t>Director, Compliance - US</t>
  </si>
  <si>
    <t>Director, Community Affairs - US</t>
  </si>
  <si>
    <t>Director, Change Management Program - US</t>
  </si>
  <si>
    <t>Director, Business Operations - US</t>
  </si>
  <si>
    <t>Director, Business Development - US</t>
  </si>
  <si>
    <t>Director, Building Management - US</t>
  </si>
  <si>
    <t>Director, BDC Sales - US</t>
  </si>
  <si>
    <t>Director, Austin Operations - US</t>
  </si>
  <si>
    <t>Director, Application Support - US</t>
  </si>
  <si>
    <t>Director, Application Development - US</t>
  </si>
  <si>
    <t>Director, Accounting - US</t>
  </si>
  <si>
    <t>DevOps Engineer III - US</t>
  </si>
  <si>
    <t>DevOps Engineer II - US</t>
  </si>
  <si>
    <t>DevOps Engineer I - US</t>
  </si>
  <si>
    <t>DevOps Architect - US</t>
  </si>
  <si>
    <t>Development Representative IV - US</t>
  </si>
  <si>
    <t>Development Representative II - US</t>
  </si>
  <si>
    <t>Development Representative I - US</t>
  </si>
  <si>
    <t>Development and Operations Manager - US</t>
  </si>
  <si>
    <t>Developer Support Engineer - US</t>
  </si>
  <si>
    <t>Design Research Specialist III - US</t>
  </si>
  <si>
    <t>Deployment Engineer IV - US</t>
  </si>
  <si>
    <t>Deployment Engineer III - US</t>
  </si>
  <si>
    <t>Deployment Engineer II - US</t>
  </si>
  <si>
    <t>Deployment Engineer I - US</t>
  </si>
  <si>
    <t>Deployment Account Manager II - US</t>
  </si>
  <si>
    <t>Deployment Account Manager I - US</t>
  </si>
  <si>
    <t>Demand Planning &amp; Inventory Analyst - US</t>
  </si>
  <si>
    <t>Deal Center Manager - US</t>
  </si>
  <si>
    <t>DC Project Coordinator II - US</t>
  </si>
  <si>
    <t>DC Ops Technician IV - US</t>
  </si>
  <si>
    <t>DC Ops Technician III - US</t>
  </si>
  <si>
    <t>DC Ops Technician II - US</t>
  </si>
  <si>
    <t>DC Ops Technician I - US</t>
  </si>
  <si>
    <t>DC Ops Team Lead - US</t>
  </si>
  <si>
    <t>Database Analyst III - US</t>
  </si>
  <si>
    <t>Database Analyst II - US</t>
  </si>
  <si>
    <t>Database Administrator IV - US</t>
  </si>
  <si>
    <t>Database Administrator III - US</t>
  </si>
  <si>
    <t>Database Administrator II - US</t>
  </si>
  <si>
    <t>Data Scientist II - US</t>
  </si>
  <si>
    <t>Data Integration Developer IV - US</t>
  </si>
  <si>
    <t>Data Integration Developer III - US</t>
  </si>
  <si>
    <t>Data Integration Developer II - US</t>
  </si>
  <si>
    <t>Data Integration Developer I - US</t>
  </si>
  <si>
    <t>Data Architect IV - US</t>
  </si>
  <si>
    <t>Data Architect III - US</t>
  </si>
  <si>
    <t>DAS Storage Engineer III - US</t>
  </si>
  <si>
    <t>DAS Storage Engineer II - US</t>
  </si>
  <si>
    <t>DAS Storage Engineer I - US</t>
  </si>
  <si>
    <t>Cyber Security Engineer Lead - US</t>
  </si>
  <si>
    <t>Customer Training Program Manager - US</t>
  </si>
  <si>
    <t>Customer Service Technician IV - US</t>
  </si>
  <si>
    <t>Customer Service Technician III - US</t>
  </si>
  <si>
    <t>Customer Service Technician II - US</t>
  </si>
  <si>
    <t>Customer Service Technician I - US</t>
  </si>
  <si>
    <t>Customer Service Specialist I - US</t>
  </si>
  <si>
    <t>Customer Reference Manager - US</t>
  </si>
  <si>
    <t>Customer Content Strategist III - US</t>
  </si>
  <si>
    <t>Customer Content Strategist II - US</t>
  </si>
  <si>
    <t>Customer Compliance Partner - US</t>
  </si>
  <si>
    <t>Customer Compliance Associate - US</t>
  </si>
  <si>
    <t>CTO, Global Enterprise Solutions - US</t>
  </si>
  <si>
    <t>Creative Lead - US</t>
  </si>
  <si>
    <t>Corporate Counsel IV - US</t>
  </si>
  <si>
    <t>Corporate Counsel III - US</t>
  </si>
  <si>
    <t>Corporate Counsel II - US</t>
  </si>
  <si>
    <t>Corporate Counsel I - US</t>
  </si>
  <si>
    <t>Corporate Communications Specialist III - US</t>
  </si>
  <si>
    <t>Corporate Communications Specialist II - US</t>
  </si>
  <si>
    <t>Corporate Communications Specialist I - US</t>
  </si>
  <si>
    <t>Corporate Communications Content Manager - US</t>
  </si>
  <si>
    <t>Copywriter III - Mailtrust - US</t>
  </si>
  <si>
    <t>Coordinator I - US</t>
  </si>
  <si>
    <t>Contract Compliance Analyst IV - US</t>
  </si>
  <si>
    <t>Content Writer III - US</t>
  </si>
  <si>
    <t>Content Strategist IV - US</t>
  </si>
  <si>
    <t>Content Strategist III - US</t>
  </si>
  <si>
    <t>Mailgun</t>
  </si>
  <si>
    <t>Content Strategist II - US</t>
  </si>
  <si>
    <t>Compliance Analyst Lead - US</t>
  </si>
  <si>
    <t>Compliance Analyst III - US</t>
  </si>
  <si>
    <t>Compliance Analyst II - US</t>
  </si>
  <si>
    <t>Complex Acquisition Representative IV - US</t>
  </si>
  <si>
    <t>Compensation Data Analyst - US</t>
  </si>
  <si>
    <t>Compensation Analyst I - US</t>
  </si>
  <si>
    <t>Compensation Advisor - US</t>
  </si>
  <si>
    <t>Company Founder - US</t>
  </si>
  <si>
    <t>Community Manager III - US</t>
  </si>
  <si>
    <t>Community Manager - US</t>
  </si>
  <si>
    <t>Community Affairs Specialist III - US</t>
  </si>
  <si>
    <t>Community Affairs Specialist II - US</t>
  </si>
  <si>
    <t>Communications Manager - US</t>
  </si>
  <si>
    <t>Cloud Technology Instructor - US</t>
  </si>
  <si>
    <t>Cloud Specialist III - US</t>
  </si>
  <si>
    <t>Cloud Specialist II - US</t>
  </si>
  <si>
    <t>Cloud Specialist I - US</t>
  </si>
  <si>
    <t>Cloud Solutions Engineer - US</t>
  </si>
  <si>
    <t>Cloud Solutions Architect - US</t>
  </si>
  <si>
    <t>Cloud Sites Support Technician IV - US</t>
  </si>
  <si>
    <t>Cloud Sites Support Technician III - US</t>
  </si>
  <si>
    <t>Cloud Sites Support Technician II - US</t>
  </si>
  <si>
    <t>Cloud Sites Support Technician I - US</t>
  </si>
  <si>
    <t>Cloud Shift Lead - US</t>
  </si>
  <si>
    <t>Cloud Program Manager - US</t>
  </si>
  <si>
    <t>Cloud Operations Technical Lead - US</t>
  </si>
  <si>
    <t>Cloud IB Advisor III - US</t>
  </si>
  <si>
    <t>Cloud IB Advisor II - US</t>
  </si>
  <si>
    <t>Cloud IB Advisor I - US</t>
  </si>
  <si>
    <t>Cloud Evangelist - US</t>
  </si>
  <si>
    <t>Cloud Architect - US</t>
  </si>
  <si>
    <t>Cloud Acquisition Representative II - US</t>
  </si>
  <si>
    <t>Cloud Account Manager - US</t>
  </si>
  <si>
    <t>Chief Technology Officer - US</t>
  </si>
  <si>
    <t>Chief Security Architect - US</t>
  </si>
  <si>
    <t>Chief Operating Officer - US</t>
  </si>
  <si>
    <t>Chief of Staff - US</t>
  </si>
  <si>
    <t>Chief Marketing Officer - US</t>
  </si>
  <si>
    <t>Chief Financial Officer, US - US</t>
  </si>
  <si>
    <t>Chief Financial Officer - US</t>
  </si>
  <si>
    <t>Chief Executive Officer - US</t>
  </si>
  <si>
    <t>Chief Customer Officer - US</t>
  </si>
  <si>
    <t>Chief Blog Editor - US</t>
  </si>
  <si>
    <t>Chief Accounting Officer - US</t>
  </si>
  <si>
    <t>Channel Field Executive - US</t>
  </si>
  <si>
    <t>Channel Business Strategy &amp; Development Officer - US</t>
  </si>
  <si>
    <t>Channel Account Manager III - US</t>
  </si>
  <si>
    <t>Channel Account Manager I - US</t>
  </si>
  <si>
    <t>Change &amp; Release Manager III - US</t>
  </si>
  <si>
    <t>Change &amp; Release Manager II - US</t>
  </si>
  <si>
    <t>Chairman - US</t>
  </si>
  <si>
    <t>Category Lead - US</t>
  </si>
  <si>
    <t>Business Unit Controller - US</t>
  </si>
  <si>
    <t>Business Trainer IV - US</t>
  </si>
  <si>
    <t>Business Systems Analyst IV - US</t>
  </si>
  <si>
    <t>Business Systems Analyst III - US</t>
  </si>
  <si>
    <t>Business Systems Analyst I - US</t>
  </si>
  <si>
    <t>Business Process Manager II - US</t>
  </si>
  <si>
    <t>Business Operations Analyst IV - US</t>
  </si>
  <si>
    <t>Business Operations Analyst I - US</t>
  </si>
  <si>
    <t>Business Development Manager II - US</t>
  </si>
  <si>
    <t>Business Development Manager I - US</t>
  </si>
  <si>
    <t>Business Development Consultant, Inside Sales - US</t>
  </si>
  <si>
    <t>Business Development Associate - US</t>
  </si>
  <si>
    <t>SharePoint Services</t>
  </si>
  <si>
    <t>Briefing Program Manager - US</t>
  </si>
  <si>
    <t>Briefing Program Coordinator II - US</t>
  </si>
  <si>
    <t>BI Developer IV - US</t>
  </si>
  <si>
    <t>BI Developer III - US</t>
  </si>
  <si>
    <t>BI Developer II - US</t>
  </si>
  <si>
    <t>BI Developer I - US</t>
  </si>
  <si>
    <t>Benefits Specialist - US</t>
  </si>
  <si>
    <t>Benefits Program Manager - US</t>
  </si>
  <si>
    <t>BDC III - SMB - US</t>
  </si>
  <si>
    <t>BDC III - ENT - US</t>
  </si>
  <si>
    <t>BDC II - SMB - US</t>
  </si>
  <si>
    <t>BDC II - ENT - US</t>
  </si>
  <si>
    <t>BDC I - SMB - US</t>
  </si>
  <si>
    <t>BDC I - ENT - US</t>
  </si>
  <si>
    <t>BDA Team Lead - US</t>
  </si>
  <si>
    <t>Backup Technician II - US</t>
  </si>
  <si>
    <t>Backup Technician I - US</t>
  </si>
  <si>
    <t>Backup Engineer III - US</t>
  </si>
  <si>
    <t>Backup Engineer II - US</t>
  </si>
  <si>
    <t>Backup Engineer I - US</t>
  </si>
  <si>
    <t>Backup Architect II - US</t>
  </si>
  <si>
    <t>Backup Administrator III - US</t>
  </si>
  <si>
    <t>Backup Administrator II - US</t>
  </si>
  <si>
    <t>Backup Administrator I - US</t>
  </si>
  <si>
    <t>AV Technician III - US</t>
  </si>
  <si>
    <t>AV Engineer II - US</t>
  </si>
  <si>
    <t>Automation Engineer IV - US</t>
  </si>
  <si>
    <t>Automation Engineer III - US</t>
  </si>
  <si>
    <t>Automation Engineer II - US</t>
  </si>
  <si>
    <t>Automation Engineer I - US</t>
  </si>
  <si>
    <t>AUP Specialist III - US</t>
  </si>
  <si>
    <t>AUP Specialist II - US</t>
  </si>
  <si>
    <t>AUP Specialist I - US</t>
  </si>
  <si>
    <t>Auditor Lead - US</t>
  </si>
  <si>
    <t>Associate Transformation Consultant - US</t>
  </si>
  <si>
    <t>Associate Sales Engineer - US</t>
  </si>
  <si>
    <t>Associate Recruiter - US</t>
  </si>
  <si>
    <t>Assistant Treasurer - US</t>
  </si>
  <si>
    <t>Assistant Controller - US</t>
  </si>
  <si>
    <t>Architect, Software Development - Test - US</t>
  </si>
  <si>
    <t>AP Team Lead - US</t>
  </si>
  <si>
    <t>AP Clerk III - US</t>
  </si>
  <si>
    <t>AP Clerk II - US</t>
  </si>
  <si>
    <t>AM Operations Lead - US</t>
  </si>
  <si>
    <t>Default</t>
  </si>
  <si>
    <t>Agency Business Development Consultant III - US</t>
  </si>
  <si>
    <t>Agency Business Development Consultant II - US</t>
  </si>
  <si>
    <t>Advisory Services Manager - US</t>
  </si>
  <si>
    <t>Advisory Integration Consultant - US</t>
  </si>
  <si>
    <t>Administrative Assistant III - US</t>
  </si>
  <si>
    <t>Administrative Assistant II - US</t>
  </si>
  <si>
    <t>Administrative Assistant I - US</t>
  </si>
  <si>
    <t>Acquisition Representative IV - US</t>
  </si>
  <si>
    <t>Acquisition Representative III - US</t>
  </si>
  <si>
    <t>Acquisition Representative II - US</t>
  </si>
  <si>
    <t>Acquisition Executive - US</t>
  </si>
  <si>
    <t>Accountant IV - US</t>
  </si>
  <si>
    <t>Accountant III - US</t>
  </si>
  <si>
    <t>Accountant II - US</t>
  </si>
  <si>
    <t>Accountant I - US</t>
  </si>
  <si>
    <t>Account Process Manager III - US</t>
  </si>
  <si>
    <t>Account Process Manager II - US</t>
  </si>
  <si>
    <t>Account Manager Strategist - US</t>
  </si>
  <si>
    <t>Account Manager Lead - US</t>
  </si>
  <si>
    <t>Account Manager IV - US</t>
  </si>
  <si>
    <t>Account Manager III - US</t>
  </si>
  <si>
    <t>Account Manager II - US</t>
  </si>
  <si>
    <t>Account Manager I - US</t>
  </si>
  <si>
    <t>Account Manager Coach - US</t>
  </si>
  <si>
    <t>Account Development Manager - US</t>
  </si>
  <si>
    <t>Account Coordinator III - US</t>
  </si>
  <si>
    <t>Account Coordinator II - US</t>
  </si>
  <si>
    <t>Account Coordinator I - US</t>
  </si>
  <si>
    <t>A/R Relationship Specialist III - US</t>
  </si>
  <si>
    <t>A/R Relationship Specialist II - US</t>
  </si>
  <si>
    <t>A/R Relationship Specialist I - US</t>
  </si>
  <si>
    <t>team_name</t>
  </si>
  <si>
    <t>product_name</t>
  </si>
  <si>
    <t>start_date</t>
  </si>
  <si>
    <t>scenario_name</t>
  </si>
  <si>
    <t>company_name</t>
  </si>
  <si>
    <t>rev_item</t>
  </si>
  <si>
    <t>exp_item</t>
  </si>
  <si>
    <t>division_name</t>
  </si>
  <si>
    <t>job_title</t>
  </si>
  <si>
    <t>dept_name</t>
  </si>
  <si>
    <t>bu_name</t>
  </si>
  <si>
    <t>Incremental Headcount</t>
  </si>
  <si>
    <t>Total Headcount</t>
  </si>
  <si>
    <t>FORECAST</t>
  </si>
  <si>
    <t>ACTUAL</t>
  </si>
  <si>
    <t/>
  </si>
  <si>
    <t>MANUAL ADJUSTMENTS</t>
  </si>
  <si>
    <t>TOTAL EXPENSES</t>
  </si>
  <si>
    <t>% of Revenue</t>
  </si>
  <si>
    <t>Per Head</t>
  </si>
  <si>
    <t>Revenue</t>
  </si>
  <si>
    <t>SELECT</t>
  </si>
  <si>
    <t>ID</t>
  </si>
  <si>
    <t>Description</t>
  </si>
  <si>
    <t>Expense Item</t>
  </si>
  <si>
    <t>Business Unit</t>
  </si>
  <si>
    <t>Method Value</t>
  </si>
  <si>
    <t>Method</t>
  </si>
  <si>
    <t>Manual</t>
  </si>
  <si>
    <t>Total Method</t>
  </si>
  <si>
    <t>Forecast Methods</t>
  </si>
  <si>
    <t>Actuals Date</t>
  </si>
  <si>
    <t>Revenue Item</t>
  </si>
  <si>
    <t>Job Title</t>
  </si>
  <si>
    <t>####</t>
  </si>
  <si>
    <t>dept_bu</t>
  </si>
  <si>
    <t>category_name</t>
  </si>
  <si>
    <t>GBP</t>
  </si>
  <si>
    <t>currency_code</t>
  </si>
  <si>
    <t>AUD</t>
  </si>
  <si>
    <t>EUR</t>
  </si>
  <si>
    <t>HKD</t>
  </si>
  <si>
    <t>G&amp;A</t>
  </si>
  <si>
    <t>COR</t>
  </si>
  <si>
    <t>R&amp;D</t>
  </si>
  <si>
    <t>S&amp;M</t>
  </si>
  <si>
    <t>multi_item</t>
  </si>
  <si>
    <t>Team Name</t>
  </si>
  <si>
    <t>Month 1</t>
  </si>
  <si>
    <t>Month 2</t>
  </si>
  <si>
    <t>Month 3</t>
  </si>
  <si>
    <t>Month 4</t>
  </si>
  <si>
    <t>Month 5</t>
  </si>
  <si>
    <t>Month 6</t>
  </si>
  <si>
    <t>Month 7</t>
  </si>
  <si>
    <t>Month 8</t>
  </si>
  <si>
    <t>Month 9</t>
  </si>
  <si>
    <t>Month 10</t>
  </si>
  <si>
    <t>Month 11</t>
  </si>
  <si>
    <t>Month 12</t>
  </si>
  <si>
    <t>Month 13</t>
  </si>
  <si>
    <t>Month 14</t>
  </si>
  <si>
    <t>Month 15</t>
  </si>
  <si>
    <t>Month 16</t>
  </si>
  <si>
    <t>Month 17</t>
  </si>
  <si>
    <t>Month 18</t>
  </si>
  <si>
    <t>Month 19</t>
  </si>
  <si>
    <t>Month 20</t>
  </si>
  <si>
    <t>Month 21</t>
  </si>
  <si>
    <t>Month 22</t>
  </si>
  <si>
    <t>Month 23</t>
  </si>
  <si>
    <t>Month 24</t>
  </si>
  <si>
    <t>Local P&amp;L</t>
  </si>
  <si>
    <t>Month 25</t>
  </si>
  <si>
    <t>Month 26</t>
  </si>
  <si>
    <t>Month 27</t>
  </si>
  <si>
    <t>Month 28</t>
  </si>
  <si>
    <t>Month 29</t>
  </si>
  <si>
    <t>Month 30</t>
  </si>
  <si>
    <t>Month 31</t>
  </si>
  <si>
    <t>Month 32</t>
  </si>
  <si>
    <t>Month 33</t>
  </si>
  <si>
    <t>Month 34</t>
  </si>
  <si>
    <t>Month 35</t>
  </si>
  <si>
    <t>Month 36</t>
  </si>
  <si>
    <t>Scenario</t>
  </si>
  <si>
    <t>High</t>
  </si>
  <si>
    <t>Live Revenue</t>
  </si>
  <si>
    <t>Low</t>
  </si>
  <si>
    <t>Medium</t>
  </si>
  <si>
    <t>Highlight Differences</t>
  </si>
  <si>
    <t>Capitalization Rate</t>
  </si>
  <si>
    <t>Category</t>
  </si>
  <si>
    <t>Valid Row</t>
  </si>
  <si>
    <t>Double-click to Save Values-Only Copy</t>
  </si>
  <si>
    <t>Historical Rate</t>
  </si>
  <si>
    <t>Forecast Rate</t>
  </si>
  <si>
    <t>Sum of Month 1</t>
  </si>
  <si>
    <t>Sum of Month 10</t>
  </si>
  <si>
    <t>Sum of Month 2</t>
  </si>
  <si>
    <t>Sum of Month 3</t>
  </si>
  <si>
    <t>Sum of Month 4</t>
  </si>
  <si>
    <t>Sum of Month 5</t>
  </si>
  <si>
    <t>Sum of Month 6</t>
  </si>
  <si>
    <t>Sum of Month 7</t>
  </si>
  <si>
    <t>Sum of Month 8</t>
  </si>
  <si>
    <t>Sum of Month 9</t>
  </si>
  <si>
    <t>Sum of Month 11</t>
  </si>
  <si>
    <t>Sum of Month 12</t>
  </si>
  <si>
    <t>Sum of Month 13</t>
  </si>
  <si>
    <t>Sum of Month 14</t>
  </si>
  <si>
    <t>Sum of Month 15</t>
  </si>
  <si>
    <t>Sum of Month 16</t>
  </si>
  <si>
    <t>Sum of Month 17</t>
  </si>
  <si>
    <t>Sum of Month 18</t>
  </si>
  <si>
    <t>Sum of Month 19</t>
  </si>
  <si>
    <t>Sum of Month 20</t>
  </si>
  <si>
    <t>Sum of Month 21</t>
  </si>
  <si>
    <t>Sum of Month 22</t>
  </si>
  <si>
    <t>Sum of Month 23</t>
  </si>
  <si>
    <t>Sum of Month 24</t>
  </si>
  <si>
    <t>Sum of Month 25</t>
  </si>
  <si>
    <t>Sum of Month 26</t>
  </si>
  <si>
    <t>Sum of Month 27</t>
  </si>
  <si>
    <t>Sum of Month 28</t>
  </si>
  <si>
    <t>Sum of Month 29</t>
  </si>
  <si>
    <t>Sum of Month 30</t>
  </si>
  <si>
    <t>Sum of Month 31</t>
  </si>
  <si>
    <t>Sum of Month 32</t>
  </si>
  <si>
    <t>Sum of Month 33</t>
  </si>
  <si>
    <t>Sum of Month 34</t>
  </si>
  <si>
    <t>Sum of Month 35</t>
  </si>
  <si>
    <t>Sum of Month 36</t>
  </si>
  <si>
    <t>Sum of Q1</t>
  </si>
  <si>
    <t>Sum of Q2</t>
  </si>
  <si>
    <t>Sum of Q3</t>
  </si>
  <si>
    <t>Sum of Q4</t>
  </si>
  <si>
    <t>Sum of Q5</t>
  </si>
  <si>
    <t>Sum of Q6</t>
  </si>
  <si>
    <t>Sum of Q7</t>
  </si>
  <si>
    <t>Sum of Q8</t>
  </si>
  <si>
    <t>Sum of Q9</t>
  </si>
  <si>
    <t>Sum of Q10</t>
  </si>
  <si>
    <t>Sum of Q11</t>
  </si>
  <si>
    <t>Sum of Q12</t>
  </si>
  <si>
    <t>Sum of FY1</t>
  </si>
  <si>
    <t>Sum of FY2</t>
  </si>
  <si>
    <t>Sum of FY3</t>
  </si>
  <si>
    <t>Per Total Heads</t>
  </si>
  <si>
    <t>&lt;== Default Values</t>
  </si>
  <si>
    <t>workbook_name</t>
  </si>
  <si>
    <t>workbook_id</t>
  </si>
  <si>
    <t>SMB</t>
  </si>
  <si>
    <t>IAD3</t>
  </si>
  <si>
    <t>IT</t>
  </si>
  <si>
    <t>C0</t>
  </si>
  <si>
    <t>C22</t>
  </si>
  <si>
    <t>C23</t>
  </si>
  <si>
    <t>Cloud</t>
  </si>
  <si>
    <t>CMO</t>
  </si>
  <si>
    <t>CORE</t>
  </si>
  <si>
    <t>Corporate</t>
  </si>
  <si>
    <t>Corporate Development</t>
  </si>
  <si>
    <t>EC-1</t>
  </si>
  <si>
    <t>ENT UK-AH</t>
  </si>
  <si>
    <t>ENTF-2MIX</t>
  </si>
  <si>
    <t>F1000</t>
  </si>
  <si>
    <t>Found UK-AH</t>
  </si>
  <si>
    <t>LATAM</t>
  </si>
  <si>
    <t>Managed Colo</t>
  </si>
  <si>
    <t>OPC</t>
  </si>
  <si>
    <t>Open Cloud Academy</t>
  </si>
  <si>
    <t>RPCZ-3MIX</t>
  </si>
  <si>
    <t>SMB Hybrid</t>
  </si>
  <si>
    <t>SMB Marquee</t>
  </si>
  <si>
    <t>SMB Ops</t>
  </si>
  <si>
    <t>SMB UK-AH</t>
  </si>
  <si>
    <t>Strategic</t>
  </si>
  <si>
    <t>US Transfer</t>
  </si>
  <si>
    <t>(blank)</t>
  </si>
  <si>
    <t>Companies</t>
  </si>
  <si>
    <t>Business Units</t>
  </si>
  <si>
    <t>Departments</t>
  </si>
  <si>
    <t>Teams</t>
  </si>
  <si>
    <t>Locations</t>
  </si>
  <si>
    <t>Products</t>
  </si>
  <si>
    <t>Total Employee Benefits Other</t>
  </si>
  <si>
    <t>Total Employer Retirement Contribution</t>
  </si>
  <si>
    <t>Total ETO</t>
  </si>
  <si>
    <t>Total Health Insurance</t>
  </si>
  <si>
    <t>Total Life Insurance</t>
  </si>
  <si>
    <t>Total Training</t>
  </si>
  <si>
    <t>Total Base</t>
  </si>
  <si>
    <t>Total Bonus</t>
  </si>
  <si>
    <t>Total Payroll Taxes</t>
  </si>
  <si>
    <t>&lt;=== Double-click on any header to add/remove items</t>
  </si>
  <si>
    <t>Inputs Tab</t>
  </si>
  <si>
    <t>Actual Revenue</t>
  </si>
  <si>
    <t>Forecast Revenue</t>
  </si>
  <si>
    <t>Expense Item2</t>
  </si>
  <si>
    <t>&lt;== Calculation Relevance</t>
  </si>
  <si>
    <t>API Development</t>
  </si>
  <si>
    <t>Apps</t>
  </si>
  <si>
    <t>Auto-Scale</t>
  </si>
  <si>
    <t>Big Data</t>
  </si>
  <si>
    <t>Billing</t>
  </si>
  <si>
    <t>Checkmate</t>
  </si>
  <si>
    <t>Cloud Backup</t>
  </si>
  <si>
    <t>Cloud Big Data</t>
  </si>
  <si>
    <t>Cloud Block Storage</t>
  </si>
  <si>
    <t>Cloud Control</t>
  </si>
  <si>
    <t>Cloud Database</t>
  </si>
  <si>
    <t>Cloud DNS</t>
  </si>
  <si>
    <t>Cloud Files</t>
  </si>
  <si>
    <t>Cloud Monitoring</t>
  </si>
  <si>
    <t>Cloud Savvy</t>
  </si>
  <si>
    <t>Cloud Sites</t>
  </si>
  <si>
    <t>Compute</t>
  </si>
  <si>
    <t>Control Panel</t>
  </si>
  <si>
    <t>Corporate Services</t>
  </si>
  <si>
    <t>Dev Ops Tools</t>
  </si>
  <si>
    <t>Developer Relations Group</t>
  </si>
  <si>
    <t>Engine Room - AH</t>
  </si>
  <si>
    <t>Engine Room - LIN</t>
  </si>
  <si>
    <t>Engine Room - WIN</t>
  </si>
  <si>
    <t>ENT BU Shared</t>
  </si>
  <si>
    <t>ENT SMB Shared</t>
  </si>
  <si>
    <t>Enterprise Shared</t>
  </si>
  <si>
    <t>Exceptional</t>
  </si>
  <si>
    <t>Exchange</t>
  </si>
  <si>
    <t>Executive</t>
  </si>
  <si>
    <t>Foundation</t>
  </si>
  <si>
    <t>FP&amp;A and Treasury</t>
  </si>
  <si>
    <t>Geekdom</t>
  </si>
  <si>
    <t>Integration</t>
  </si>
  <si>
    <t>Mail and Apps</t>
  </si>
  <si>
    <t>Mid-Market West</t>
  </si>
  <si>
    <t>Mobile</t>
  </si>
  <si>
    <t>Moneyball</t>
  </si>
  <si>
    <t>MyRack</t>
  </si>
  <si>
    <t>ObjectRocket</t>
  </si>
  <si>
    <t>OpenStack Private Cloud</t>
  </si>
  <si>
    <t>Platform</t>
  </si>
  <si>
    <t>RSEmail</t>
  </si>
  <si>
    <t>Slicehost</t>
  </si>
  <si>
    <t>SMB BU Shared</t>
  </si>
  <si>
    <t>Storage</t>
  </si>
  <si>
    <t>Ticketing</t>
  </si>
  <si>
    <t>Critical Sites</t>
  </si>
  <si>
    <t>Managed Cloud</t>
  </si>
  <si>
    <t>Sharepoint</t>
  </si>
  <si>
    <t>TRUE</t>
  </si>
  <si>
    <t>FALSE</t>
  </si>
  <si>
    <t>current_actuals_date</t>
  </si>
  <si>
    <t>Revenue Item2</t>
  </si>
  <si>
    <t>product_type_code</t>
  </si>
  <si>
    <t>PROD_CLD</t>
  </si>
  <si>
    <t>PROD_DED</t>
  </si>
  <si>
    <t>hosting_rev</t>
  </si>
  <si>
    <t>Months</t>
  </si>
  <si>
    <t>Application Services</t>
  </si>
  <si>
    <t>Business Operations</t>
  </si>
  <si>
    <t>CFO Division</t>
  </si>
  <si>
    <t>Global Ops &amp; Engineering</t>
  </si>
  <si>
    <t>Global Solutions</t>
  </si>
  <si>
    <t>Human Resources</t>
  </si>
  <si>
    <t>Infrastructure Services</t>
  </si>
  <si>
    <t>Legal</t>
  </si>
  <si>
    <t>Network Ops</t>
  </si>
  <si>
    <t>NPS</t>
  </si>
  <si>
    <t>Openstack</t>
  </si>
  <si>
    <t>Operations</t>
  </si>
  <si>
    <t>Professional Services</t>
  </si>
  <si>
    <t>RTI</t>
  </si>
  <si>
    <t>Sales</t>
  </si>
  <si>
    <t>Security</t>
  </si>
  <si>
    <t>Strategy</t>
  </si>
  <si>
    <t>Supply Chain</t>
  </si>
  <si>
    <t>Support</t>
  </si>
  <si>
    <t>Systems Ops Division</t>
  </si>
  <si>
    <t>Technical Program Management</t>
  </si>
  <si>
    <t>Workplace Services</t>
  </si>
  <si>
    <t>One Time Revenue</t>
  </si>
  <si>
    <t>Enterprise</t>
  </si>
  <si>
    <t>Private Cloud</t>
  </si>
  <si>
    <t>Applications</t>
  </si>
  <si>
    <t>Account Development Managers</t>
  </si>
  <si>
    <t>Account Managers</t>
  </si>
  <si>
    <t>Accounting Process Improvement</t>
  </si>
  <si>
    <t>Accounts Payable</t>
  </si>
  <si>
    <t>Accounts Receivable</t>
  </si>
  <si>
    <t>ACQ - Inbound Sales</t>
  </si>
  <si>
    <t>ACQ - Q Team</t>
  </si>
  <si>
    <t>Acquisition Marketing</t>
  </si>
  <si>
    <t>Advisory Services</t>
  </si>
  <si>
    <t>Application Support</t>
  </si>
  <si>
    <t>Applications Software Engineering</t>
  </si>
  <si>
    <t>AR Support</t>
  </si>
  <si>
    <t>BDC Sales</t>
  </si>
  <si>
    <t>Billing And Contract Processing</t>
  </si>
  <si>
    <t>Blacksburg G&amp;A</t>
  </si>
  <si>
    <t>Building Management</t>
  </si>
  <si>
    <t>Change Release Management</t>
  </si>
  <si>
    <t>Channel Marketing</t>
  </si>
  <si>
    <t>Channel Sales</t>
  </si>
  <si>
    <t>Chat</t>
  </si>
  <si>
    <t>Cloud Builders-S&amp;M</t>
  </si>
  <si>
    <t>Cloud Support</t>
  </si>
  <si>
    <t>Cloud Support Management</t>
  </si>
  <si>
    <t>Cloud Tools</t>
  </si>
  <si>
    <t>Compliance</t>
  </si>
  <si>
    <t>Corporate Communications - S&amp;M</t>
  </si>
  <si>
    <t>Corporate Social Responsibility</t>
  </si>
  <si>
    <t>Customer Experience</t>
  </si>
  <si>
    <t>Customer Experience Center</t>
  </si>
  <si>
    <t>Database</t>
  </si>
  <si>
    <t>Datacenter Networking</t>
  </si>
  <si>
    <t>Deal Center</t>
  </si>
  <si>
    <t>Demand Marketing</t>
  </si>
  <si>
    <t>Developer Marketing</t>
  </si>
  <si>
    <t>Developer Support Advisors</t>
  </si>
  <si>
    <t>Emerging Support Management</t>
  </si>
  <si>
    <t>Enterprise Achitecture (SAE)</t>
  </si>
  <si>
    <t>Enterprise Business Intelligence</t>
  </si>
  <si>
    <t>Enterprise Solution Marketing</t>
  </si>
  <si>
    <t>Executive - Finance</t>
  </si>
  <si>
    <t>Finance</t>
  </si>
  <si>
    <t>Finance - Systems</t>
  </si>
  <si>
    <t>GDCI - Automation</t>
  </si>
  <si>
    <t>GDCI - Automation R&amp;D</t>
  </si>
  <si>
    <t>GDCI - Change Management</t>
  </si>
  <si>
    <t>GDCI - Design &amp; Build</t>
  </si>
  <si>
    <t>GDCI - Engineering</t>
  </si>
  <si>
    <t>GDCI - Inventory</t>
  </si>
  <si>
    <t>GDCI - Management</t>
  </si>
  <si>
    <t>GDCI - Operations</t>
  </si>
  <si>
    <t>GDCI - Reporting &amp; Analytics</t>
  </si>
  <si>
    <t>General Ledger</t>
  </si>
  <si>
    <t>GES Professional Services</t>
  </si>
  <si>
    <t>Host Based Replication</t>
  </si>
  <si>
    <t>HR Operations</t>
  </si>
  <si>
    <t>Hybrid Solutions</t>
  </si>
  <si>
    <t>IB Marketing</t>
  </si>
  <si>
    <t>Implemenation Team</t>
  </si>
  <si>
    <t>Inbound Sales</t>
  </si>
  <si>
    <t>Incident Management</t>
  </si>
  <si>
    <t>Incubation Services</t>
  </si>
  <si>
    <t>Infrastructure Architecture</t>
  </si>
  <si>
    <t>Infrastructure Operations</t>
  </si>
  <si>
    <t>Infrastructure Software Development</t>
  </si>
  <si>
    <t>Internal Accounts</t>
  </si>
  <si>
    <t>Internal Audit</t>
  </si>
  <si>
    <t>International Sales</t>
  </si>
  <si>
    <t>IR - Strategic Planning</t>
  </si>
  <si>
    <t>IT Help Desk</t>
  </si>
  <si>
    <t>IT Infrastructure Services</t>
  </si>
  <si>
    <t>IT Operations</t>
  </si>
  <si>
    <t>Mail Product Engineering</t>
  </si>
  <si>
    <t>Mail Product Management</t>
  </si>
  <si>
    <t>Mail Program Management</t>
  </si>
  <si>
    <t>Mail Software Development</t>
  </si>
  <si>
    <t>Mail System Ops</t>
  </si>
  <si>
    <t>Managed Back Up Support</t>
  </si>
  <si>
    <t>Managed Exchange</t>
  </si>
  <si>
    <t>Management - Infrastructure Services</t>
  </si>
  <si>
    <t>Management - Network Operations</t>
  </si>
  <si>
    <t>Marcom</t>
  </si>
  <si>
    <t>Marketing - General</t>
  </si>
  <si>
    <t>Marketing Operations</t>
  </si>
  <si>
    <t>Monitoring</t>
  </si>
  <si>
    <t>Network Operations</t>
  </si>
  <si>
    <t>Network Security</t>
  </si>
  <si>
    <t>Network Security - Support</t>
  </si>
  <si>
    <t>NPS Operations</t>
  </si>
  <si>
    <t>On-Boarding &amp; Continuing Ed</t>
  </si>
  <si>
    <t>Online Marketing</t>
  </si>
  <si>
    <t>OpenStack Training</t>
  </si>
  <si>
    <t>Operational Excellence</t>
  </si>
  <si>
    <t>Operations - A/R</t>
  </si>
  <si>
    <t>Operations - Project Management</t>
  </si>
  <si>
    <t>Payroll</t>
  </si>
  <si>
    <t>Planning &amp; Execution (OSS)</t>
  </si>
  <si>
    <t>Private Cloud Solutions</t>
  </si>
  <si>
    <t>Private Cloud Support</t>
  </si>
  <si>
    <t>Process &amp; Tools</t>
  </si>
  <si>
    <t>Product Development</t>
  </si>
  <si>
    <t>Product Engineering Foundation</t>
  </si>
  <si>
    <t>Product G&amp;A</t>
  </si>
  <si>
    <t>Product Management</t>
  </si>
  <si>
    <t>Product Marketing</t>
  </si>
  <si>
    <t>Program Management</t>
  </si>
  <si>
    <t>Project Management</t>
  </si>
  <si>
    <t>Q Team</t>
  </si>
  <si>
    <t>Quality Assurance</t>
  </si>
  <si>
    <t>Racker Services</t>
  </si>
  <si>
    <t>Rackspace Cloud Builders (Open Stack)</t>
  </si>
  <si>
    <t>RAX on RAX</t>
  </si>
  <si>
    <t>RCB Support</t>
  </si>
  <si>
    <t>RED Product Management</t>
  </si>
  <si>
    <t>RED Program Management</t>
  </si>
  <si>
    <t>RED Software Development</t>
  </si>
  <si>
    <t>RTI Product Engineering</t>
  </si>
  <si>
    <t>RTI Product Management</t>
  </si>
  <si>
    <t>RTI Program Management</t>
  </si>
  <si>
    <t>Run Release Management</t>
  </si>
  <si>
    <t>Run the SDLC</t>
  </si>
  <si>
    <t>Sales Associates</t>
  </si>
  <si>
    <t>Sales Engineers</t>
  </si>
  <si>
    <t>Sales General</t>
  </si>
  <si>
    <t>Sales Support</t>
  </si>
  <si>
    <t>Security Engineering</t>
  </si>
  <si>
    <t>Security Solutions</t>
  </si>
  <si>
    <t>Service Operations</t>
  </si>
  <si>
    <t>Software Engineering</t>
  </si>
  <si>
    <t>Software Engineering Development</t>
  </si>
  <si>
    <t>Solution System Management</t>
  </si>
  <si>
    <t>Storage Solutions</t>
  </si>
  <si>
    <t>Support Management</t>
  </si>
  <si>
    <t>Support Ops - CTB</t>
  </si>
  <si>
    <t>Support Ops - RTB</t>
  </si>
  <si>
    <t>Support Services</t>
  </si>
  <si>
    <t>Support the Product Line</t>
  </si>
  <si>
    <t>Sys Admin</t>
  </si>
  <si>
    <t>System Ops</t>
  </si>
  <si>
    <t>Systems Ops</t>
  </si>
  <si>
    <t>Talent Acquisition</t>
  </si>
  <si>
    <t>Tax</t>
  </si>
  <si>
    <t>Tech Support</t>
  </si>
  <si>
    <t>Trusted Advisor</t>
  </si>
  <si>
    <t>User Experience</t>
  </si>
  <si>
    <t>Virtualization</t>
  </si>
  <si>
    <t>Webscale Engineers</t>
  </si>
  <si>
    <t>Rackspace US</t>
  </si>
  <si>
    <t>US Cloud</t>
  </si>
  <si>
    <t>US Email and Apps</t>
  </si>
  <si>
    <t>US Jungle Disk</t>
  </si>
  <si>
    <t>US Slicehost</t>
  </si>
  <si>
    <t>US Cloudkick</t>
  </si>
  <si>
    <t>US Anso Labs</t>
  </si>
  <si>
    <t>US Geekdom SF</t>
  </si>
  <si>
    <t>US Open Cloud Academy</t>
  </si>
  <si>
    <t>RSUS1</t>
  </si>
  <si>
    <t>RSUS2</t>
  </si>
  <si>
    <t>Gibraltar</t>
  </si>
  <si>
    <t>RSUS3</t>
  </si>
  <si>
    <t>Bermuda</t>
  </si>
  <si>
    <t>Bermuda Transfer</t>
  </si>
  <si>
    <t>Acq - Online</t>
  </si>
  <si>
    <t>C21</t>
  </si>
  <si>
    <t>Incubation</t>
  </si>
  <si>
    <t>JungleDisk</t>
  </si>
  <si>
    <t>Mid-Market East</t>
  </si>
  <si>
    <t>Reach/MaaS</t>
  </si>
  <si>
    <t>S1 Managed Applications</t>
  </si>
  <si>
    <t>Team G1</t>
  </si>
  <si>
    <t>Team G2</t>
  </si>
  <si>
    <t>Wordpress</t>
  </si>
  <si>
    <t>CHF</t>
  </si>
  <si>
    <t>ILS</t>
  </si>
  <si>
    <t>INR</t>
  </si>
  <si>
    <t>category_code</t>
  </si>
  <si>
    <t>Tech SupportEnterprise</t>
  </si>
  <si>
    <t>Tech SupportSMB</t>
  </si>
  <si>
    <t>Tech SupportPrivate Cloud</t>
  </si>
  <si>
    <t>Tech SupportApplications</t>
  </si>
  <si>
    <t>Account ManagersEnterprise</t>
  </si>
  <si>
    <t>Account ManagersSMB</t>
  </si>
  <si>
    <t>Account ManagersPrivate Cloud</t>
  </si>
  <si>
    <t>Account ManagersApplications</t>
  </si>
  <si>
    <t>MonitoringEnterprise</t>
  </si>
  <si>
    <t>MonitoringSMB</t>
  </si>
  <si>
    <t>Sys AdminEnterprise</t>
  </si>
  <si>
    <t>Sys AdminSMB</t>
  </si>
  <si>
    <t>Network Security - SupportEnterprise</t>
  </si>
  <si>
    <t>Network Security - SupportSMB</t>
  </si>
  <si>
    <t>Managed Back Up SupportEnterprise</t>
  </si>
  <si>
    <t>Managed Back Up SupportSMB</t>
  </si>
  <si>
    <t>Managed CloudSMB</t>
  </si>
  <si>
    <t>System OpsSMB</t>
  </si>
  <si>
    <t>System OpsProduct</t>
  </si>
  <si>
    <t>System OpsPrivate Cloud</t>
  </si>
  <si>
    <t>Cloud SupportEnterprise</t>
  </si>
  <si>
    <t>Cloud SupportSMB</t>
  </si>
  <si>
    <t>Cloud SupportProduct</t>
  </si>
  <si>
    <t>RCB SupportEnterprise</t>
  </si>
  <si>
    <t>RCB SupportSMB</t>
  </si>
  <si>
    <t>RCB SupportPrivate Cloud</t>
  </si>
  <si>
    <t>ChatSMB</t>
  </si>
  <si>
    <t>OpenStack TrainingPrivate Cloud</t>
  </si>
  <si>
    <t>Mail System OpsProduct</t>
  </si>
  <si>
    <t>Mail System OpsApplications</t>
  </si>
  <si>
    <t>Implemenation TeamEnterprise</t>
  </si>
  <si>
    <t>Internal AccountsEnterprise</t>
  </si>
  <si>
    <t>Support ManagementEnterprise</t>
  </si>
  <si>
    <t>Support ManagementSMB</t>
  </si>
  <si>
    <t>Support ManagementApplications</t>
  </si>
  <si>
    <t>Developer Support AdvisorsSMB</t>
  </si>
  <si>
    <t>Account Development ManagersPrivate Cloud</t>
  </si>
  <si>
    <t>Private Cloud SupportPrivate Cloud</t>
  </si>
  <si>
    <t>Application SupportPrivate Cloud</t>
  </si>
  <si>
    <t>Internal AuditCorporate Services</t>
  </si>
  <si>
    <t>Accounts ReceivableCorporate Services</t>
  </si>
  <si>
    <t>Billing And Contract ProcessingCorporate Services</t>
  </si>
  <si>
    <t>General LedgerCorporate Services</t>
  </si>
  <si>
    <t>PayrollCorporate Services</t>
  </si>
  <si>
    <t>TaxCorporate Services</t>
  </si>
  <si>
    <t>Accounting Process ImprovementCorporate Services</t>
  </si>
  <si>
    <t>DatabaseEnterprise</t>
  </si>
  <si>
    <t>SharepointEnterprise</t>
  </si>
  <si>
    <t>SharepointSMB</t>
  </si>
  <si>
    <t>Managed ExchangeEnterprise</t>
  </si>
  <si>
    <t>Managed ExchangeProduct</t>
  </si>
  <si>
    <t>Webscale EngineersEnterprise</t>
  </si>
  <si>
    <t>ComplianceCorporate Services</t>
  </si>
  <si>
    <t>SecurityCorporate Services</t>
  </si>
  <si>
    <t>AR SupportEnterprise</t>
  </si>
  <si>
    <t>AR SupportSMB</t>
  </si>
  <si>
    <t>ExecutiveEnterprise</t>
  </si>
  <si>
    <t>ExecutiveSMB</t>
  </si>
  <si>
    <t>ExecutiveCorporate Services</t>
  </si>
  <si>
    <t>ExecutiveProduct</t>
  </si>
  <si>
    <t>ExecutivePrivate Cloud</t>
  </si>
  <si>
    <t>ExecutiveApplications</t>
  </si>
  <si>
    <t>Rackspace Cloud Builders (Open Stack)SMB</t>
  </si>
  <si>
    <t>Corporate Social ResponsibilityCorporate Services</t>
  </si>
  <si>
    <t>Executive - FinanceCorporate Services</t>
  </si>
  <si>
    <t>Finance - SystemsCorporate Services</t>
  </si>
  <si>
    <t>FinanceCorporate Services</t>
  </si>
  <si>
    <t>Accounts PayableCorporate Services</t>
  </si>
  <si>
    <t>IR - Strategic PlanningCorporate Services</t>
  </si>
  <si>
    <t>Racker ServicesCorporate Services</t>
  </si>
  <si>
    <t>HR OperationsCorporate Services</t>
  </si>
  <si>
    <t>Talent AcquisitionCorporate Services</t>
  </si>
  <si>
    <t>VirtualizationEnterprise</t>
  </si>
  <si>
    <t>VirtualizationProduct</t>
  </si>
  <si>
    <t>Professional ServicesEnterprise</t>
  </si>
  <si>
    <t>Professional ServicesSMB</t>
  </si>
  <si>
    <t>Professional ServicesPrivate Cloud</t>
  </si>
  <si>
    <t>Professional ServicesApplications</t>
  </si>
  <si>
    <t>LegalCorporate Services</t>
  </si>
  <si>
    <t>IT OperationsEnterprise</t>
  </si>
  <si>
    <t>Support Ops - RTBEnterprise</t>
  </si>
  <si>
    <t>Support Ops - RTBSMB</t>
  </si>
  <si>
    <t>Support Ops - RTBApplications</t>
  </si>
  <si>
    <t>User ExperienceSMB</t>
  </si>
  <si>
    <t>User ExperienceProduct</t>
  </si>
  <si>
    <t>Program ManagementSMB</t>
  </si>
  <si>
    <t>Program ManagementProduct</t>
  </si>
  <si>
    <t>Product G&amp;ASMB</t>
  </si>
  <si>
    <t>Product G&amp;AProduct</t>
  </si>
  <si>
    <t>Systems OpsSMB</t>
  </si>
  <si>
    <t>Systems OpsProduct</t>
  </si>
  <si>
    <t>Cloud Support ManagementSMB</t>
  </si>
  <si>
    <t>Cloud Support ManagementApplications</t>
  </si>
  <si>
    <t>Support Ops - CTBEnterprise</t>
  </si>
  <si>
    <t>Support Ops - CTBSMB</t>
  </si>
  <si>
    <t>Support Ops - CTBApplications</t>
  </si>
  <si>
    <t>Hybrid SolutionsEnterprise</t>
  </si>
  <si>
    <t>Security SolutionsEnterprise</t>
  </si>
  <si>
    <t>Storage SolutionsEnterprise</t>
  </si>
  <si>
    <t>Private Cloud SolutionsEnterprise</t>
  </si>
  <si>
    <t>Solution System ManagementEnterprise</t>
  </si>
  <si>
    <t>Application ServicesEnterprise</t>
  </si>
  <si>
    <t>Support ServicesEnterprise</t>
  </si>
  <si>
    <t>GES Professional ServicesEnterprise</t>
  </si>
  <si>
    <t>Incubation ServicesEnterprise</t>
  </si>
  <si>
    <t>Enterprise Solution MarketingEnterprise</t>
  </si>
  <si>
    <t>Host Based ReplicationEnterprise</t>
  </si>
  <si>
    <t>Emerging Support ManagementSMB</t>
  </si>
  <si>
    <t>Blacksburg G&amp;AProduct</t>
  </si>
  <si>
    <t>Blacksburg G&amp;AApplications</t>
  </si>
  <si>
    <t>Mail Software DevelopmentProduct</t>
  </si>
  <si>
    <t>Mail Product EngineeringProduct</t>
  </si>
  <si>
    <t>Mail Product ManagementProduct</t>
  </si>
  <si>
    <t>Support the Product LineProduct</t>
  </si>
  <si>
    <t>Run the SDLCProduct</t>
  </si>
  <si>
    <t>Project ManagementSMB</t>
  </si>
  <si>
    <t>Project ManagementProduct</t>
  </si>
  <si>
    <t>Project ManagementPrivate Cloud</t>
  </si>
  <si>
    <t>Run Release ManagementProduct</t>
  </si>
  <si>
    <t>Developer Relations GroupProduct</t>
  </si>
  <si>
    <t>Security EngineeringProduct</t>
  </si>
  <si>
    <t>Trusted AdvisorEnterprise</t>
  </si>
  <si>
    <t>Applications Software EngineeringProduct</t>
  </si>
  <si>
    <t>Customer ExperienceProduct</t>
  </si>
  <si>
    <t>CheckmateSMB</t>
  </si>
  <si>
    <t>Cloud ToolsSMB</t>
  </si>
  <si>
    <t>Operations - A/REnterprise</t>
  </si>
  <si>
    <t>Operations - Project ManagementEnterprise</t>
  </si>
  <si>
    <t>Operations - Project ManagementCorporate Services</t>
  </si>
  <si>
    <t>Marketing - GeneralEnterprise</t>
  </si>
  <si>
    <t>Marketing - GeneralSMB</t>
  </si>
  <si>
    <t>Marketing - GeneralCorporate Services</t>
  </si>
  <si>
    <t>Marketing - GeneralProduct</t>
  </si>
  <si>
    <t>Marketing - GeneralPrivate Cloud</t>
  </si>
  <si>
    <t>Marketing - GeneralApplications</t>
  </si>
  <si>
    <t>Online MarketingEnterprise</t>
  </si>
  <si>
    <t>Online MarketingSMB</t>
  </si>
  <si>
    <t>Online MarketingCorporate Services</t>
  </si>
  <si>
    <t>Cloud Builders-S&amp;MSMB</t>
  </si>
  <si>
    <t>Acquisition MarketingEnterprise</t>
  </si>
  <si>
    <t>Acquisition MarketingCorporate Services</t>
  </si>
  <si>
    <t>IB MarketingEnterprise</t>
  </si>
  <si>
    <t>IB MarketingCorporate Services</t>
  </si>
  <si>
    <t>MarcomEnterprise</t>
  </si>
  <si>
    <t>MarcomCorporate Services</t>
  </si>
  <si>
    <t>Marketing OperationsEnterprise</t>
  </si>
  <si>
    <t>Marketing OperationsCorporate Services</t>
  </si>
  <si>
    <t>Channel MarketingCorporate Services</t>
  </si>
  <si>
    <t>Channel MarketingPrivate Cloud</t>
  </si>
  <si>
    <t>Demand MarketingCorporate Services</t>
  </si>
  <si>
    <t>Customer Experience CenterCorporate Services</t>
  </si>
  <si>
    <t>Developer MarketingCorporate Services</t>
  </si>
  <si>
    <t>Corporate Communications - S&amp;MCorporate Services</t>
  </si>
  <si>
    <t>Product ManagementEnterprise</t>
  </si>
  <si>
    <t>Product ManagementSMB</t>
  </si>
  <si>
    <t>Product ManagementProduct</t>
  </si>
  <si>
    <t>Product ManagementPrivate Cloud</t>
  </si>
  <si>
    <t>Product MarketingSMB</t>
  </si>
  <si>
    <t>Product MarketingCorporate Services</t>
  </si>
  <si>
    <t>Product MarketingProduct</t>
  </si>
  <si>
    <t>Product MarketingPrivate Cloud</t>
  </si>
  <si>
    <t>Infrastructure Software DevelopmentSMB</t>
  </si>
  <si>
    <t>Infrastructure Software DevelopmentProduct</t>
  </si>
  <si>
    <t>Infrastructure Software DevelopmentPrivate Cloud</t>
  </si>
  <si>
    <t>Corporate DevelopmentCorporate Services</t>
  </si>
  <si>
    <t>Corporate DevelopmentProduct</t>
  </si>
  <si>
    <t>Corporate DevelopmentPrivate Cloud</t>
  </si>
  <si>
    <t>BDC SalesEnterprise</t>
  </si>
  <si>
    <t>BDC SalesSMB</t>
  </si>
  <si>
    <t>BDC SalesApplications</t>
  </si>
  <si>
    <t>Channel SalesEnterprise</t>
  </si>
  <si>
    <t>Channel SalesSMB</t>
  </si>
  <si>
    <t>Channel SalesCorporate Services</t>
  </si>
  <si>
    <t>Inbound SalesEnterprise</t>
  </si>
  <si>
    <t>Inbound SalesSMB</t>
  </si>
  <si>
    <t>Inbound SalesCorporate Services</t>
  </si>
  <si>
    <t>Inbound SalesProduct</t>
  </si>
  <si>
    <t>Inbound SalesPrivate Cloud</t>
  </si>
  <si>
    <t>Inbound SalesApplications</t>
  </si>
  <si>
    <t>Sales SupportEnterprise</t>
  </si>
  <si>
    <t>Sales SupportSMB</t>
  </si>
  <si>
    <t>Sales SupportApplications</t>
  </si>
  <si>
    <t>Q TeamEnterprise</t>
  </si>
  <si>
    <t>Q TeamSMB</t>
  </si>
  <si>
    <t>Q TeamCorporate Services</t>
  </si>
  <si>
    <t>Sales EngineersEnterprise</t>
  </si>
  <si>
    <t>Sales EngineersSMB</t>
  </si>
  <si>
    <t>Sales EngineersPrivate Cloud</t>
  </si>
  <si>
    <t>International SalesEnterprise</t>
  </si>
  <si>
    <t>International SalesSMB</t>
  </si>
  <si>
    <t>Advisory ServicesEnterprise</t>
  </si>
  <si>
    <t>Sales AssociatesEnterprise</t>
  </si>
  <si>
    <t>Sales AssociatesSMB</t>
  </si>
  <si>
    <t>Sales AssociatesCorporate Services</t>
  </si>
  <si>
    <t>Deal CenterEnterprise</t>
  </si>
  <si>
    <t>Deal CenterCorporate Services</t>
  </si>
  <si>
    <t>Process &amp; ToolsEnterprise</t>
  </si>
  <si>
    <t>On-Boarding &amp; Continuing EdEnterprise</t>
  </si>
  <si>
    <t>ACQ - Inbound SalesCorporate Services</t>
  </si>
  <si>
    <t>ACQ - Q TeamCorporate Services</t>
  </si>
  <si>
    <t>Sales GeneralEnterprise</t>
  </si>
  <si>
    <t>Sales GeneralSMB</t>
  </si>
  <si>
    <t>Sales GeneralCorporate Services</t>
  </si>
  <si>
    <t>Sales GeneralProduct</t>
  </si>
  <si>
    <t>Sales GeneralPrivate Cloud</t>
  </si>
  <si>
    <t>Sales GeneralApplications</t>
  </si>
  <si>
    <t>Service OperationsSMB</t>
  </si>
  <si>
    <t>StorageEnterprise</t>
  </si>
  <si>
    <t>RED Product ManagementProduct</t>
  </si>
  <si>
    <t>RED Program ManagementProduct</t>
  </si>
  <si>
    <t>RED Software DevelopmentProduct</t>
  </si>
  <si>
    <t>Mail Program ManagementProduct</t>
  </si>
  <si>
    <t>Change Release ManagementProduct</t>
  </si>
  <si>
    <t>RTI Product EngineeringProduct</t>
  </si>
  <si>
    <t>RTI Product ManagementProduct</t>
  </si>
  <si>
    <t>RTI Program ManagementProduct</t>
  </si>
  <si>
    <t>Contractors</t>
  </si>
  <si>
    <t>location_name</t>
  </si>
  <si>
    <t>DC NA</t>
  </si>
  <si>
    <t>Germany</t>
  </si>
  <si>
    <t>Hong Kong DC</t>
  </si>
  <si>
    <t>LON5</t>
  </si>
  <si>
    <t>LONB</t>
  </si>
  <si>
    <t>Longwalk Rd Stockley Park</t>
  </si>
  <si>
    <t>The Square Stockley Park</t>
  </si>
  <si>
    <t>avg_bonus</t>
  </si>
  <si>
    <t>US or INTL?</t>
  </si>
  <si>
    <t>US</t>
  </si>
  <si>
    <t>INTL</t>
  </si>
  <si>
    <t>company_number</t>
  </si>
  <si>
    <t>us_intl</t>
  </si>
  <si>
    <t>bu_number</t>
  </si>
  <si>
    <t>dept_number</t>
  </si>
  <si>
    <t>team_consolidation</t>
  </si>
  <si>
    <t>product_consolidation</t>
  </si>
  <si>
    <t>location_number</t>
  </si>
  <si>
    <t>hfm_team_code</t>
  </si>
  <si>
    <t>hfm_product_code</t>
  </si>
  <si>
    <t>0000_0000</t>
  </si>
  <si>
    <t>1100_0000</t>
  </si>
  <si>
    <t>Cloud Servers - General</t>
  </si>
  <si>
    <t>1101_0000</t>
  </si>
  <si>
    <t>Cloud Server - Linux</t>
  </si>
  <si>
    <t>1102_0000</t>
  </si>
  <si>
    <t>Managed Cloud Server - Linux</t>
  </si>
  <si>
    <t>1103_0000</t>
  </si>
  <si>
    <t>Cloud Server - Windows</t>
  </si>
  <si>
    <t>1104_0000</t>
  </si>
  <si>
    <t>Managed Cloud Server - Windows</t>
  </si>
  <si>
    <t>1105_0000</t>
  </si>
  <si>
    <t>Cloud Server - Redhat</t>
  </si>
  <si>
    <t>1106_0000</t>
  </si>
  <si>
    <t>Managed Cloud Server - RedHat</t>
  </si>
  <si>
    <t>1107_0000</t>
  </si>
  <si>
    <t>Cloud Server - MSSQL</t>
  </si>
  <si>
    <t>1109_0000</t>
  </si>
  <si>
    <t>LBAAS</t>
  </si>
  <si>
    <t>1110_0000</t>
  </si>
  <si>
    <t>Next Gen Cloud Servers</t>
  </si>
  <si>
    <t>1111_0000</t>
  </si>
  <si>
    <t>1112_0000</t>
  </si>
  <si>
    <t>1113_0000</t>
  </si>
  <si>
    <t>1114_0000</t>
  </si>
  <si>
    <t>Next Gen Perf1</t>
  </si>
  <si>
    <t>1115_0000</t>
  </si>
  <si>
    <t>Next Gen Perf2</t>
  </si>
  <si>
    <t>1200_0000</t>
  </si>
  <si>
    <t>Cloud Files - General</t>
  </si>
  <si>
    <t>1201_0000</t>
  </si>
  <si>
    <t>BDaaS</t>
  </si>
  <si>
    <t>1202_0000</t>
  </si>
  <si>
    <t>1203_0000</t>
  </si>
  <si>
    <t>CBS - Standard Volumes</t>
  </si>
  <si>
    <t>1204_0000</t>
  </si>
  <si>
    <t>CBS - SSD Volumes</t>
  </si>
  <si>
    <t>1300_0000</t>
  </si>
  <si>
    <t>Cloud Sites - General</t>
  </si>
  <si>
    <t>1400_0000</t>
  </si>
  <si>
    <t>Email and Apps - General</t>
  </si>
  <si>
    <t>1401_0000</t>
  </si>
  <si>
    <t>1402_0000</t>
  </si>
  <si>
    <t>Noteworthy</t>
  </si>
  <si>
    <t>1403_0000</t>
  </si>
  <si>
    <t>Jungledisk</t>
  </si>
  <si>
    <t>1404_0000</t>
  </si>
  <si>
    <t>Cloud SharePoint</t>
  </si>
  <si>
    <t>1500_0000</t>
  </si>
  <si>
    <t>RCB</t>
  </si>
  <si>
    <t>1501_0000</t>
  </si>
  <si>
    <t>Cloudkick</t>
  </si>
  <si>
    <t>1502_0000</t>
  </si>
  <si>
    <t>1503_0000</t>
  </si>
  <si>
    <t>Cloud Intergration</t>
  </si>
  <si>
    <t>1504_0000</t>
  </si>
  <si>
    <t>REACH</t>
  </si>
  <si>
    <t>1505_0000</t>
  </si>
  <si>
    <t>Object Rocket</t>
  </si>
  <si>
    <t>1506_0000</t>
  </si>
  <si>
    <t>1507_0000</t>
  </si>
  <si>
    <t>1508_0000</t>
  </si>
  <si>
    <t>RedisToGo</t>
  </si>
  <si>
    <t>1509_0000</t>
  </si>
  <si>
    <t>2000_0000</t>
  </si>
  <si>
    <t>MGD</t>
  </si>
  <si>
    <t>2001_0000</t>
  </si>
  <si>
    <t>Int</t>
  </si>
  <si>
    <t>2002_0000</t>
  </si>
  <si>
    <t>2003_0000</t>
  </si>
  <si>
    <t>2004_0000</t>
  </si>
  <si>
    <t>Racker IT</t>
  </si>
  <si>
    <t>2005_0000</t>
  </si>
  <si>
    <t>Rackspace Cloud</t>
  </si>
  <si>
    <t>2006_0000</t>
  </si>
  <si>
    <t>2007_0000</t>
  </si>
  <si>
    <t>2008_0000</t>
  </si>
  <si>
    <t>Reserved Space</t>
  </si>
  <si>
    <t>2009_0000</t>
  </si>
  <si>
    <t>Thawte</t>
  </si>
  <si>
    <t>2010_0000</t>
  </si>
  <si>
    <t>Verisign</t>
  </si>
  <si>
    <t>2011_0000</t>
  </si>
  <si>
    <t>SSL-Certificates</t>
  </si>
  <si>
    <t>2012_0000</t>
  </si>
  <si>
    <t>Sharepoint 911</t>
  </si>
  <si>
    <t>2013_0000</t>
  </si>
  <si>
    <t>Hypervisor</t>
  </si>
  <si>
    <t>2014_0000</t>
  </si>
  <si>
    <t>2015_0000</t>
  </si>
  <si>
    <t>SharePoint Promotional Firewall</t>
  </si>
  <si>
    <t>2016_0000</t>
  </si>
  <si>
    <t>SharePoint Dedicated</t>
  </si>
  <si>
    <t>2017_0000</t>
  </si>
  <si>
    <t>Discounts - Dedicated</t>
  </si>
  <si>
    <t>2018_0000</t>
  </si>
  <si>
    <t>Dedicated Exchange</t>
  </si>
  <si>
    <t>2019_0000</t>
  </si>
  <si>
    <t>DBA Services - Dedicated</t>
  </si>
  <si>
    <t>2020_0000</t>
  </si>
  <si>
    <t>Security Services</t>
  </si>
  <si>
    <t>2021_0000</t>
  </si>
  <si>
    <t>Big Data Support</t>
  </si>
  <si>
    <t>2022_0000</t>
  </si>
  <si>
    <t>Dedicated vCenter</t>
  </si>
  <si>
    <t>2023_0000</t>
  </si>
  <si>
    <t>Sharepoint atRackspace</t>
  </si>
  <si>
    <t>2024_0000</t>
  </si>
  <si>
    <t>Private Cloud Object Storage</t>
  </si>
  <si>
    <t>100</t>
  </si>
  <si>
    <t>120</t>
  </si>
  <si>
    <t>130</t>
  </si>
  <si>
    <t>140</t>
  </si>
  <si>
    <t>150</t>
  </si>
  <si>
    <t>160</t>
  </si>
  <si>
    <t>161</t>
  </si>
  <si>
    <t>162</t>
  </si>
  <si>
    <t>163</t>
  </si>
  <si>
    <t>191</t>
  </si>
  <si>
    <t>192</t>
  </si>
  <si>
    <t>193</t>
  </si>
  <si>
    <t>194</t>
  </si>
  <si>
    <t>195</t>
  </si>
  <si>
    <t>196</t>
  </si>
  <si>
    <t>200</t>
  </si>
  <si>
    <t>Rackspace UK</t>
  </si>
  <si>
    <t>220</t>
  </si>
  <si>
    <t>UK Cloud</t>
  </si>
  <si>
    <t>230</t>
  </si>
  <si>
    <t>UK Email and Apps</t>
  </si>
  <si>
    <t>250</t>
  </si>
  <si>
    <t>UK Slicehost</t>
  </si>
  <si>
    <t>299</t>
  </si>
  <si>
    <t>UK Stat to GAAP</t>
  </si>
  <si>
    <t>300</t>
  </si>
  <si>
    <t>Rackspace NL</t>
  </si>
  <si>
    <t>330</t>
  </si>
  <si>
    <t>NL Email and Apps</t>
  </si>
  <si>
    <t>380</t>
  </si>
  <si>
    <t>Rackspace International Mobility GmbH</t>
  </si>
  <si>
    <t>390</t>
  </si>
  <si>
    <t>Coop</t>
  </si>
  <si>
    <t>391</t>
  </si>
  <si>
    <t>CV</t>
  </si>
  <si>
    <t>399</t>
  </si>
  <si>
    <t>NL to GAAP</t>
  </si>
  <si>
    <t>400</t>
  </si>
  <si>
    <t>Rackspace HK</t>
  </si>
  <si>
    <t>420</t>
  </si>
  <si>
    <t>HK Cloud</t>
  </si>
  <si>
    <t>430</t>
  </si>
  <si>
    <t>HK Email and Apps</t>
  </si>
  <si>
    <t>440</t>
  </si>
  <si>
    <t>HK Jungle Disk</t>
  </si>
  <si>
    <t>450</t>
  </si>
  <si>
    <t>HK Slicehost</t>
  </si>
  <si>
    <t>499</t>
  </si>
  <si>
    <t>Hong Kong Stat to GAAP</t>
  </si>
  <si>
    <t>500</t>
  </si>
  <si>
    <t>Rackspace Australia</t>
  </si>
  <si>
    <t>599</t>
  </si>
  <si>
    <t>Australia Stat to GAAP</t>
  </si>
  <si>
    <t>600</t>
  </si>
  <si>
    <t>Rackspace Swiss</t>
  </si>
  <si>
    <t>699</t>
  </si>
  <si>
    <t>Swiss to GAAP</t>
  </si>
  <si>
    <t>700</t>
  </si>
  <si>
    <t>Rackspace Israel Holdings LTD</t>
  </si>
  <si>
    <t>710</t>
  </si>
  <si>
    <t>Rackspace India Private Limited</t>
  </si>
  <si>
    <t>0000</t>
  </si>
  <si>
    <t>Both</t>
  </si>
  <si>
    <t>5000</t>
  </si>
  <si>
    <t>5100</t>
  </si>
  <si>
    <t>5200</t>
  </si>
  <si>
    <t>5300</t>
  </si>
  <si>
    <t>5400</t>
  </si>
  <si>
    <t>5500</t>
  </si>
  <si>
    <t>5600</t>
  </si>
  <si>
    <t>1000</t>
  </si>
  <si>
    <t>General and Administrative</t>
  </si>
  <si>
    <t>1001</t>
  </si>
  <si>
    <t>1002</t>
  </si>
  <si>
    <t>1003</t>
  </si>
  <si>
    <t>1005</t>
  </si>
  <si>
    <t>1006</t>
  </si>
  <si>
    <t>1011</t>
  </si>
  <si>
    <t>1012</t>
  </si>
  <si>
    <t>1013</t>
  </si>
  <si>
    <t>1014</t>
  </si>
  <si>
    <t>1015</t>
  </si>
  <si>
    <t>1016</t>
  </si>
  <si>
    <t>1017</t>
  </si>
  <si>
    <t>1018</t>
  </si>
  <si>
    <t>1031</t>
  </si>
  <si>
    <t>1032</t>
  </si>
  <si>
    <t>1033</t>
  </si>
  <si>
    <t>1034</t>
  </si>
  <si>
    <t>1035</t>
  </si>
  <si>
    <t>1036</t>
  </si>
  <si>
    <t>1037</t>
  </si>
  <si>
    <t>Certifications &amp; Solutions</t>
  </si>
  <si>
    <t>1038</t>
  </si>
  <si>
    <t>1039</t>
  </si>
  <si>
    <t>1040</t>
  </si>
  <si>
    <t>1041</t>
  </si>
  <si>
    <t>1042</t>
  </si>
  <si>
    <t>1043</t>
  </si>
  <si>
    <t>DEVOPS Support</t>
  </si>
  <si>
    <t>1044</t>
  </si>
  <si>
    <t>1045</t>
  </si>
  <si>
    <t>1046</t>
  </si>
  <si>
    <t>1047</t>
  </si>
  <si>
    <t>1101</t>
  </si>
  <si>
    <t>1102</t>
  </si>
  <si>
    <t>1103</t>
  </si>
  <si>
    <t>1104</t>
  </si>
  <si>
    <t>1106</t>
  </si>
  <si>
    <t>1107</t>
  </si>
  <si>
    <t>1109</t>
  </si>
  <si>
    <t>1111</t>
  </si>
  <si>
    <t>1112</t>
  </si>
  <si>
    <t>1113</t>
  </si>
  <si>
    <t>1114</t>
  </si>
  <si>
    <t>1301</t>
  </si>
  <si>
    <t>1302</t>
  </si>
  <si>
    <t>1304</t>
  </si>
  <si>
    <t>1306</t>
  </si>
  <si>
    <t>1501</t>
  </si>
  <si>
    <t>1525</t>
  </si>
  <si>
    <t>1535</t>
  </si>
  <si>
    <t>1536</t>
  </si>
  <si>
    <t>1601</t>
  </si>
  <si>
    <t>1602</t>
  </si>
  <si>
    <t>1603</t>
  </si>
  <si>
    <t>1700</t>
  </si>
  <si>
    <t>1701</t>
  </si>
  <si>
    <t>1702</t>
  </si>
  <si>
    <t>1705</t>
  </si>
  <si>
    <t>1707</t>
  </si>
  <si>
    <t>1901</t>
  </si>
  <si>
    <t>1902</t>
  </si>
  <si>
    <t>1903</t>
  </si>
  <si>
    <t>1904</t>
  </si>
  <si>
    <t>2108</t>
  </si>
  <si>
    <t>2110</t>
  </si>
  <si>
    <t>2120</t>
  </si>
  <si>
    <t>2301</t>
  </si>
  <si>
    <t>2501</t>
  </si>
  <si>
    <t>2503</t>
  </si>
  <si>
    <t>2504</t>
  </si>
  <si>
    <t>2505</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</si>
  <si>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</si>
  <si>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</si>
  <si>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</si>
  <si>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</si>
  <si>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</si>
  <si>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</si>
  <si>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</si>
  <si>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</si>
  <si>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</si>
  <si>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</si>
  <si>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</si>
  <si>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</si>
  <si>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</si>
  <si>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</si>
  <si>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</si>
  <si>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</si>
  <si>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</si>
  <si>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</si>
  <si>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</si>
  <si>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</si>
  <si>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</si>
  <si>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</si>
  <si>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</si>
  <si>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</si>
  <si>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</si>
  <si>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</si>
  <si>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</si>
  <si>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</si>
  <si>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</si>
  <si>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</si>
  <si>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</si>
  <si>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</si>
  <si>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</si>
  <si>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</si>
  <si>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</si>
  <si>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</si>
  <si>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</si>
  <si>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</si>
  <si>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</si>
  <si>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</si>
  <si>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</si>
  <si>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</si>
  <si>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</si>
  <si>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</si>
  <si>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</si>
  <si>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</si>
  <si>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</si>
  <si>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</si>
  <si>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</si>
  <si>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</si>
  <si>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</si>
  <si>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2601</t>
  </si>
  <si>
    <t>2602</t>
  </si>
  <si>
    <t>2605</t>
  </si>
  <si>
    <t>2606</t>
  </si>
  <si>
    <t>2607</t>
  </si>
  <si>
    <t>2608</t>
  </si>
  <si>
    <t>2609</t>
  </si>
  <si>
    <t>2610</t>
  </si>
  <si>
    <t>2611</t>
  </si>
  <si>
    <t>2612</t>
  </si>
  <si>
    <t>2613</t>
  </si>
  <si>
    <t>2614</t>
  </si>
  <si>
    <t>2801</t>
  </si>
  <si>
    <t>3101</t>
  </si>
  <si>
    <t>3103</t>
  </si>
  <si>
    <t>3105</t>
  </si>
  <si>
    <t>3106</t>
  </si>
  <si>
    <t>3107</t>
  </si>
  <si>
    <t>3108</t>
  </si>
  <si>
    <t>3201</t>
  </si>
  <si>
    <t>3301</t>
  </si>
  <si>
    <t>3302</t>
  </si>
  <si>
    <t>3303</t>
  </si>
  <si>
    <t>3304</t>
  </si>
  <si>
    <t>3305</t>
  </si>
  <si>
    <t>3306</t>
  </si>
  <si>
    <t>3307</t>
  </si>
  <si>
    <t>3308</t>
  </si>
  <si>
    <t>3309</t>
  </si>
  <si>
    <t>Cloud Advisors</t>
  </si>
  <si>
    <t>3311</t>
  </si>
  <si>
    <t>3312</t>
  </si>
  <si>
    <t>3313</t>
  </si>
  <si>
    <t>3314</t>
  </si>
  <si>
    <t>3315</t>
  </si>
  <si>
    <t>3316</t>
  </si>
  <si>
    <t>3317</t>
  </si>
  <si>
    <t>3399</t>
  </si>
  <si>
    <t>3406</t>
  </si>
  <si>
    <t>3407</t>
  </si>
  <si>
    <t>3408</t>
  </si>
  <si>
    <t>3505</t>
  </si>
  <si>
    <t>3507</t>
  </si>
  <si>
    <t>3509</t>
  </si>
  <si>
    <t>3601</t>
  </si>
  <si>
    <t>Management - Supply Chain</t>
  </si>
  <si>
    <t>3602</t>
  </si>
  <si>
    <t>4001</t>
  </si>
  <si>
    <t>4002</t>
  </si>
  <si>
    <t>4003</t>
  </si>
  <si>
    <t>4004</t>
  </si>
  <si>
    <t>4005</t>
  </si>
  <si>
    <t>4006</t>
  </si>
  <si>
    <t>4007</t>
  </si>
  <si>
    <t>4008</t>
  </si>
  <si>
    <t>4009</t>
  </si>
  <si>
    <t>4010</t>
  </si>
  <si>
    <t>4011</t>
  </si>
  <si>
    <t>4012</t>
  </si>
  <si>
    <t>4013</t>
  </si>
  <si>
    <t>4014</t>
  </si>
  <si>
    <t>4015</t>
  </si>
  <si>
    <t>4016</t>
  </si>
  <si>
    <t>4017</t>
  </si>
  <si>
    <t>4018</t>
  </si>
  <si>
    <t>4019</t>
  </si>
  <si>
    <t>4020</t>
  </si>
  <si>
    <t>4021</t>
  </si>
  <si>
    <t>000</t>
  </si>
  <si>
    <t>201</t>
  </si>
  <si>
    <t>Managed Service Team S1</t>
  </si>
  <si>
    <t>211</t>
  </si>
  <si>
    <t>Managed Windows Team UK M1</t>
  </si>
  <si>
    <t>212</t>
  </si>
  <si>
    <t>Managed Linux Team UK M2</t>
  </si>
  <si>
    <t>213</t>
  </si>
  <si>
    <t>Managed Windows Team UK M3</t>
  </si>
  <si>
    <t>214</t>
  </si>
  <si>
    <t>Managed Linux Team UK M4</t>
  </si>
  <si>
    <t>215</t>
  </si>
  <si>
    <t>Managed Linux Team UK M5</t>
  </si>
  <si>
    <t>216</t>
  </si>
  <si>
    <t>Managed Linux Team UK M6</t>
  </si>
  <si>
    <t>306</t>
  </si>
  <si>
    <t>ENTE-1WIN</t>
  </si>
  <si>
    <t>307</t>
  </si>
  <si>
    <t>ENTE-2LIN</t>
  </si>
  <si>
    <t>308</t>
  </si>
  <si>
    <t>ENTE-3WIN</t>
  </si>
  <si>
    <t>309</t>
  </si>
  <si>
    <t>ENTE-4MIX</t>
  </si>
  <si>
    <t>310</t>
  </si>
  <si>
    <t>ENTE-5WIN</t>
  </si>
  <si>
    <t>311</t>
  </si>
  <si>
    <t>ENTE-6MIX</t>
  </si>
  <si>
    <t>312</t>
  </si>
  <si>
    <t>ENTE-7LIN</t>
  </si>
  <si>
    <t>313</t>
  </si>
  <si>
    <t>ENTE-8WIN</t>
  </si>
  <si>
    <t>314</t>
  </si>
  <si>
    <t>ENTW-1WIN</t>
  </si>
  <si>
    <t>315</t>
  </si>
  <si>
    <t>ENTW-2LIN</t>
  </si>
  <si>
    <t>316</t>
  </si>
  <si>
    <t>ENTW-3MIX</t>
  </si>
  <si>
    <t>317</t>
  </si>
  <si>
    <t>ENTW-4LIN</t>
  </si>
  <si>
    <t>318</t>
  </si>
  <si>
    <t>ENTW-5WIN</t>
  </si>
  <si>
    <t>319</t>
  </si>
  <si>
    <t>ENTW-6WIN</t>
  </si>
  <si>
    <t>320</t>
  </si>
  <si>
    <t>ENTF-1MIX</t>
  </si>
  <si>
    <t>321</t>
  </si>
  <si>
    <t>322</t>
  </si>
  <si>
    <t>323</t>
  </si>
  <si>
    <t>ENTF-4MIX</t>
  </si>
  <si>
    <t>324</t>
  </si>
  <si>
    <t>ENTF-5MIX</t>
  </si>
  <si>
    <t>325</t>
  </si>
  <si>
    <t>ENTW-7MIX</t>
  </si>
  <si>
    <t>326</t>
  </si>
  <si>
    <t>ENTW-8MC</t>
  </si>
  <si>
    <t>327</t>
  </si>
  <si>
    <t>ENTE-0MIX</t>
  </si>
  <si>
    <t>328</t>
  </si>
  <si>
    <t>ENTF-0MIX</t>
  </si>
  <si>
    <t>329</t>
  </si>
  <si>
    <t>ENTW-0MIX</t>
  </si>
  <si>
    <t>401</t>
  </si>
  <si>
    <t>Intensive Windows Team I1</t>
  </si>
  <si>
    <t>402</t>
  </si>
  <si>
    <t>Intensive Linux Team I2</t>
  </si>
  <si>
    <t>403</t>
  </si>
  <si>
    <t>Intensive Windows Team I3</t>
  </si>
  <si>
    <t>404</t>
  </si>
  <si>
    <t>Intensive Linux Team I4</t>
  </si>
  <si>
    <t>405</t>
  </si>
  <si>
    <t>Intensive Windows Team I5</t>
  </si>
  <si>
    <t>406</t>
  </si>
  <si>
    <t>Intensive Linux Team I6</t>
  </si>
  <si>
    <t>Intensive Windows Team A1</t>
  </si>
  <si>
    <t>510</t>
  </si>
  <si>
    <t>511</t>
  </si>
  <si>
    <t>512</t>
  </si>
  <si>
    <t>550</t>
  </si>
  <si>
    <t>D1</t>
  </si>
  <si>
    <t>551</t>
  </si>
  <si>
    <t>D2</t>
  </si>
  <si>
    <t>552</t>
  </si>
  <si>
    <t>D3</t>
  </si>
  <si>
    <t>553</t>
  </si>
  <si>
    <t>D4</t>
  </si>
  <si>
    <t>554</t>
  </si>
  <si>
    <t>D5</t>
  </si>
  <si>
    <t>556</t>
  </si>
  <si>
    <t>D7</t>
  </si>
  <si>
    <t>557</t>
  </si>
  <si>
    <t>D8</t>
  </si>
  <si>
    <t>558</t>
  </si>
  <si>
    <t>D9</t>
  </si>
  <si>
    <t>559</t>
  </si>
  <si>
    <t>D0</t>
  </si>
  <si>
    <t>560</t>
  </si>
  <si>
    <t>D10</t>
  </si>
  <si>
    <t>561</t>
  </si>
  <si>
    <t>SMB Marquee Shared</t>
  </si>
  <si>
    <t>601</t>
  </si>
  <si>
    <t>602</t>
  </si>
  <si>
    <t>603</t>
  </si>
  <si>
    <t>604</t>
  </si>
  <si>
    <t>605</t>
  </si>
  <si>
    <t>606</t>
  </si>
  <si>
    <t>607</t>
  </si>
  <si>
    <t>Hybrid Shared</t>
  </si>
  <si>
    <t>609</t>
  </si>
  <si>
    <t>B1</t>
  </si>
  <si>
    <t>610</t>
  </si>
  <si>
    <t>B2</t>
  </si>
  <si>
    <t>611</t>
  </si>
  <si>
    <t>B3</t>
  </si>
  <si>
    <t>612</t>
  </si>
  <si>
    <t>B4</t>
  </si>
  <si>
    <t>613</t>
  </si>
  <si>
    <t>B5</t>
  </si>
  <si>
    <t>614</t>
  </si>
  <si>
    <t>B6</t>
  </si>
  <si>
    <t>615</t>
  </si>
  <si>
    <t>B7</t>
  </si>
  <si>
    <t>616</t>
  </si>
  <si>
    <t>B8</t>
  </si>
  <si>
    <t>617</t>
  </si>
  <si>
    <t>B9</t>
  </si>
  <si>
    <t>618</t>
  </si>
  <si>
    <t>Corporate Shared</t>
  </si>
  <si>
    <t>619</t>
  </si>
  <si>
    <t>C1</t>
  </si>
  <si>
    <t>620</t>
  </si>
  <si>
    <t>C2</t>
  </si>
  <si>
    <t>621</t>
  </si>
  <si>
    <t>C3</t>
  </si>
  <si>
    <t>622</t>
  </si>
  <si>
    <t>C4</t>
  </si>
  <si>
    <t>623</t>
  </si>
  <si>
    <t>C5</t>
  </si>
  <si>
    <t>624</t>
  </si>
  <si>
    <t>625</t>
  </si>
  <si>
    <t>626</t>
  </si>
  <si>
    <t>627</t>
  </si>
  <si>
    <t>628</t>
  </si>
  <si>
    <t>629</t>
  </si>
  <si>
    <t>C6</t>
  </si>
  <si>
    <t>630</t>
  </si>
  <si>
    <t>C7</t>
  </si>
  <si>
    <t>631</t>
  </si>
  <si>
    <t>C8</t>
  </si>
  <si>
    <t>632</t>
  </si>
  <si>
    <t>Linux B10</t>
  </si>
  <si>
    <t>633</t>
  </si>
  <si>
    <t>Windows B11</t>
  </si>
  <si>
    <t>634</t>
  </si>
  <si>
    <t>Team A12</t>
  </si>
  <si>
    <t>635</t>
  </si>
  <si>
    <t>B13</t>
  </si>
  <si>
    <t>636</t>
  </si>
  <si>
    <t>637</t>
  </si>
  <si>
    <t>638</t>
  </si>
  <si>
    <t>Team A7</t>
  </si>
  <si>
    <t>639</t>
  </si>
  <si>
    <t>640</t>
  </si>
  <si>
    <t>Team A13</t>
  </si>
  <si>
    <t>641</t>
  </si>
  <si>
    <t>Team A9</t>
  </si>
  <si>
    <t>642</t>
  </si>
  <si>
    <t>Team A10</t>
  </si>
  <si>
    <t>643</t>
  </si>
  <si>
    <t>Team C22</t>
  </si>
  <si>
    <t>644</t>
  </si>
  <si>
    <t>Team C23</t>
  </si>
  <si>
    <t>645</t>
  </si>
  <si>
    <t>LA0</t>
  </si>
  <si>
    <t>646</t>
  </si>
  <si>
    <t>LATM-3MC</t>
  </si>
  <si>
    <t>647</t>
  </si>
  <si>
    <t>LATM-1MIX</t>
  </si>
  <si>
    <t>648</t>
  </si>
  <si>
    <t>LATAM Support Shared</t>
  </si>
  <si>
    <t>649</t>
  </si>
  <si>
    <t>A11</t>
  </si>
  <si>
    <t>701</t>
  </si>
  <si>
    <t>Marketing Product</t>
  </si>
  <si>
    <t>702</t>
  </si>
  <si>
    <t>Marketing Events</t>
  </si>
  <si>
    <t>703</t>
  </si>
  <si>
    <t>Marketing Channel</t>
  </si>
  <si>
    <t>704</t>
  </si>
  <si>
    <t>Marketing Comms</t>
  </si>
  <si>
    <t>705</t>
  </si>
  <si>
    <t>FP&amp;A</t>
  </si>
  <si>
    <t>706</t>
  </si>
  <si>
    <t>Engagement</t>
  </si>
  <si>
    <t>707</t>
  </si>
  <si>
    <t>MBU Adm</t>
  </si>
  <si>
    <t>708</t>
  </si>
  <si>
    <t>MBU Eng</t>
  </si>
  <si>
    <t>709</t>
  </si>
  <si>
    <t>Net Sec Arch</t>
  </si>
  <si>
    <t>Net Sec Eng</t>
  </si>
  <si>
    <t>711</t>
  </si>
  <si>
    <t>Net Sec Mgmt</t>
  </si>
  <si>
    <t>712</t>
  </si>
  <si>
    <t>Storage Eng</t>
  </si>
  <si>
    <t>713</t>
  </si>
  <si>
    <t>Virtualization Arch</t>
  </si>
  <si>
    <t>714</t>
  </si>
  <si>
    <t>Virtualization Eng</t>
  </si>
  <si>
    <t>715</t>
  </si>
  <si>
    <t>Ent Imp</t>
  </si>
  <si>
    <t>717</t>
  </si>
  <si>
    <t>Ent Res</t>
  </si>
  <si>
    <t>718</t>
  </si>
  <si>
    <t>Ent Account Exec</t>
  </si>
  <si>
    <t>719</t>
  </si>
  <si>
    <t>Ent Channel Mgr</t>
  </si>
  <si>
    <t>720</t>
  </si>
  <si>
    <t>Ent Corporate</t>
  </si>
  <si>
    <t>721</t>
  </si>
  <si>
    <t>Ent Deal Center</t>
  </si>
  <si>
    <t>722</t>
  </si>
  <si>
    <t>Ent Sales Mgr</t>
  </si>
  <si>
    <t>723</t>
  </si>
  <si>
    <t>Intensive SS</t>
  </si>
  <si>
    <t>724</t>
  </si>
  <si>
    <t>Linux Intensive</t>
  </si>
  <si>
    <t>725</t>
  </si>
  <si>
    <t>Linux Managed</t>
  </si>
  <si>
    <t>726</t>
  </si>
  <si>
    <t>Linux Shared</t>
  </si>
  <si>
    <t>727</t>
  </si>
  <si>
    <t>Windows Intensive</t>
  </si>
  <si>
    <t>728</t>
  </si>
  <si>
    <t>Windows Managed</t>
  </si>
  <si>
    <t>729</t>
  </si>
  <si>
    <t>Windows Shared</t>
  </si>
  <si>
    <t>730</t>
  </si>
  <si>
    <t>SMB International Shared</t>
  </si>
  <si>
    <t>731</t>
  </si>
  <si>
    <t>SMB Middle East</t>
  </si>
  <si>
    <t>732</t>
  </si>
  <si>
    <t>SMB Nordic</t>
  </si>
  <si>
    <t>733</t>
  </si>
  <si>
    <t>SMB CF2 to 4</t>
  </si>
  <si>
    <t>734</t>
  </si>
  <si>
    <t>SMB CFIB Team 1</t>
  </si>
  <si>
    <t>735</t>
  </si>
  <si>
    <t>SMB CFIB Team 2</t>
  </si>
  <si>
    <t>736</t>
  </si>
  <si>
    <t>SMB CFPartners</t>
  </si>
  <si>
    <t>737</t>
  </si>
  <si>
    <t>SMB CFSingle</t>
  </si>
  <si>
    <t>738</t>
  </si>
  <si>
    <t>SMB Complex</t>
  </si>
  <si>
    <t>739</t>
  </si>
  <si>
    <t>SMB Marketing Benelux</t>
  </si>
  <si>
    <t>740</t>
  </si>
  <si>
    <t>SMB Q Team</t>
  </si>
  <si>
    <t>741</t>
  </si>
  <si>
    <t>SMB Q Team LDT</t>
  </si>
  <si>
    <t>742</t>
  </si>
  <si>
    <t>SMB TS Win 1</t>
  </si>
  <si>
    <t>743</t>
  </si>
  <si>
    <t>UK Cloud - US</t>
  </si>
  <si>
    <t>744</t>
  </si>
  <si>
    <t>ENT SE Manager</t>
  </si>
  <si>
    <t>745</t>
  </si>
  <si>
    <t>Marketing Online</t>
  </si>
  <si>
    <t>746</t>
  </si>
  <si>
    <t>Support Shared</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</si>
  <si>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</si>
  <si>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</si>
  <si>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</si>
  <si>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</si>
  <si>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</si>
  <si>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</si>
  <si>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</si>
  <si>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</si>
  <si>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</si>
  <si>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</si>
  <si>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</si>
  <si>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</si>
  <si>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</si>
  <si>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</si>
  <si>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</si>
  <si>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</si>
  <si>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</si>
  <si>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</si>
  <si>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</si>
  <si>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</si>
  <si>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</si>
  <si>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</si>
  <si>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</si>
  <si>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ZeroVM</t>
  </si>
  <si>
    <t>824</t>
  </si>
  <si>
    <t>908</t>
  </si>
  <si>
    <t>909</t>
  </si>
  <si>
    <t>910</t>
  </si>
  <si>
    <t>911</t>
  </si>
  <si>
    <t>912</t>
  </si>
  <si>
    <t>913</t>
  </si>
  <si>
    <t>914</t>
  </si>
  <si>
    <t>915</t>
  </si>
  <si>
    <t>935</t>
  </si>
  <si>
    <t>MC-1</t>
  </si>
  <si>
    <t>936</t>
  </si>
  <si>
    <t>MC-2</t>
  </si>
  <si>
    <t>937</t>
  </si>
  <si>
    <t>MC-3</t>
  </si>
  <si>
    <t>944</t>
  </si>
  <si>
    <t>945</t>
  </si>
  <si>
    <t>946</t>
  </si>
  <si>
    <t>947</t>
  </si>
  <si>
    <t>948</t>
  </si>
  <si>
    <t>949</t>
  </si>
  <si>
    <t>Mail &amp; Apps</t>
  </si>
  <si>
    <t>950</t>
  </si>
  <si>
    <t>951</t>
  </si>
  <si>
    <t>952</t>
  </si>
  <si>
    <t>953</t>
  </si>
  <si>
    <t>954</t>
  </si>
  <si>
    <t>955</t>
  </si>
  <si>
    <t>956</t>
  </si>
  <si>
    <t>961</t>
  </si>
  <si>
    <t>Cloud Shared</t>
  </si>
  <si>
    <t>962</t>
  </si>
  <si>
    <t>963</t>
  </si>
  <si>
    <t>964</t>
  </si>
  <si>
    <t>965</t>
  </si>
  <si>
    <t>Rackconnect</t>
  </si>
  <si>
    <t>966</t>
  </si>
  <si>
    <t>967</t>
  </si>
  <si>
    <t>968</t>
  </si>
  <si>
    <t>969</t>
  </si>
  <si>
    <t>970</t>
  </si>
  <si>
    <t>971</t>
  </si>
  <si>
    <t>972</t>
  </si>
  <si>
    <t>Tier Two</t>
  </si>
  <si>
    <t>973</t>
  </si>
  <si>
    <t>974</t>
  </si>
  <si>
    <t>975</t>
  </si>
  <si>
    <t>976</t>
  </si>
  <si>
    <t>977</t>
  </si>
  <si>
    <t>978</t>
  </si>
  <si>
    <t>979</t>
  </si>
  <si>
    <t>RPCZ-4MIX</t>
  </si>
  <si>
    <t>980</t>
  </si>
  <si>
    <t>981</t>
  </si>
  <si>
    <t>982</t>
  </si>
  <si>
    <t>101</t>
  </si>
  <si>
    <t>US-TX-San Antonio-DP</t>
  </si>
  <si>
    <t>102</t>
  </si>
  <si>
    <t>US-TX-Austin</t>
  </si>
  <si>
    <t>103</t>
  </si>
  <si>
    <t>US-TX-Grapevine</t>
  </si>
  <si>
    <t>104</t>
  </si>
  <si>
    <t>US-DE-Work from Home</t>
  </si>
  <si>
    <t>106</t>
  </si>
  <si>
    <t>US-VA-Herndon</t>
  </si>
  <si>
    <t>107</t>
  </si>
  <si>
    <t>US-TX-San Antonio-VGS</t>
  </si>
  <si>
    <t>108</t>
  </si>
  <si>
    <t>US-TX-San Antonio-WSTN</t>
  </si>
  <si>
    <t>109</t>
  </si>
  <si>
    <t>US-TX-San Antonio-CSTL</t>
  </si>
  <si>
    <t>110</t>
  </si>
  <si>
    <t>US-VA-Blacksburg</t>
  </si>
  <si>
    <t>111</t>
  </si>
  <si>
    <t>US-GA-Suwanee</t>
  </si>
  <si>
    <t>112</t>
  </si>
  <si>
    <t>US-MO-St Louis-1</t>
  </si>
  <si>
    <t>113</t>
  </si>
  <si>
    <t>US-MO-St Louis-3</t>
  </si>
  <si>
    <t>114</t>
  </si>
  <si>
    <t>US-MO-St Louis-4</t>
  </si>
  <si>
    <t>115</t>
  </si>
  <si>
    <t>US-VA-Ashburn</t>
  </si>
  <si>
    <t>116</t>
  </si>
  <si>
    <t>US-CA-San Francisco</t>
  </si>
  <si>
    <t>117</t>
  </si>
  <si>
    <t>US-CA-San Francisco-Anso</t>
  </si>
  <si>
    <t>118</t>
  </si>
  <si>
    <t>US-Work from Home</t>
  </si>
  <si>
    <t>119</t>
  </si>
  <si>
    <t>US-TX-Grapevine 2</t>
  </si>
  <si>
    <t>US-IL-Elk Grove Village</t>
  </si>
  <si>
    <t>121</t>
  </si>
  <si>
    <t>US-TX-Grapevine 3</t>
  </si>
  <si>
    <t>122</t>
  </si>
  <si>
    <t>Customer Datacenter</t>
  </si>
  <si>
    <t>123</t>
  </si>
  <si>
    <t>124</t>
  </si>
  <si>
    <t>125</t>
  </si>
  <si>
    <t>HKG-Shan Tin-Fo Tan</t>
  </si>
  <si>
    <t>AUS-New South Wales-Sydney</t>
  </si>
  <si>
    <t>AUS-Sydney-SYD2</t>
  </si>
  <si>
    <t>451</t>
  </si>
  <si>
    <t>501</t>
  </si>
  <si>
    <t>LON1-Slough Datacenter</t>
  </si>
  <si>
    <t>502</t>
  </si>
  <si>
    <t>LON2-Slough Datacenter</t>
  </si>
  <si>
    <t>503</t>
  </si>
  <si>
    <t>LON3-Slough Datacenter</t>
  </si>
  <si>
    <t>504</t>
  </si>
  <si>
    <t>505</t>
  </si>
  <si>
    <t>506</t>
  </si>
  <si>
    <t>507</t>
  </si>
  <si>
    <t>508</t>
  </si>
  <si>
    <t>NL-Amsterdam</t>
  </si>
  <si>
    <t>avg_commission</t>
  </si>
  <si>
    <t>exp_match</t>
  </si>
  <si>
    <t>Total Commission</t>
  </si>
  <si>
    <t>Team Consolidation</t>
  </si>
  <si>
    <t>Commission Attainment</t>
  </si>
  <si>
    <t>2+ Server Sales Executive II - UK</t>
  </si>
  <si>
    <t>2+ Server Sales Executive III - UK</t>
  </si>
  <si>
    <t>A/R Collector I - UK</t>
  </si>
  <si>
    <t>A/R Collector II - UK</t>
  </si>
  <si>
    <t>A/R Collector III - UK</t>
  </si>
  <si>
    <t>A/R Relationship Specialist Lead - US</t>
  </si>
  <si>
    <t>Account Coordinator I - UK</t>
  </si>
  <si>
    <t>Account Coordinator Team Lead - UK</t>
  </si>
  <si>
    <t>Account Director - NL</t>
  </si>
  <si>
    <t>Account Director - UK</t>
  </si>
  <si>
    <t>Account Manager I - UK</t>
  </si>
  <si>
    <t>Account Manager II - UK</t>
  </si>
  <si>
    <t>Accounts Receivable Team Lead - UK</t>
  </si>
  <si>
    <t>Acquisition and Channel Sales Exec - CH</t>
  </si>
  <si>
    <t>Acquisition Representative I - US</t>
  </si>
  <si>
    <t>Administrative Assistant I - UK</t>
  </si>
  <si>
    <t>Administrative Assistant II - UK</t>
  </si>
  <si>
    <t>Advanced Analytics Specialist - US</t>
  </si>
  <si>
    <t>Advisory Services Manager - UK</t>
  </si>
  <si>
    <t>AP &amp; Treasury Clerk I - UK</t>
  </si>
  <si>
    <t>AP &amp; Treasury Clerk II - UK</t>
  </si>
  <si>
    <t>AP &amp; Treasury Manager - UK</t>
  </si>
  <si>
    <t>AP &amp; Treasury Team Leader - UK</t>
  </si>
  <si>
    <t>Applications Developer II - US</t>
  </si>
  <si>
    <t>Associate Business Partner, Hourly - US</t>
  </si>
  <si>
    <t>Auditor I - UK</t>
  </si>
  <si>
    <t>AV Engineer III - US</t>
  </si>
  <si>
    <t>AV Engineer IV - US</t>
  </si>
  <si>
    <t>Backup Administrator I - UK</t>
  </si>
  <si>
    <t>Backup Administrator II - UK</t>
  </si>
  <si>
    <t>Backup Architect - UK</t>
  </si>
  <si>
    <t>Backup Engineer I - UK</t>
  </si>
  <si>
    <t>Backup Engineer II - UK</t>
  </si>
  <si>
    <t>BDA - ENT - UK</t>
  </si>
  <si>
    <t>BDA I -RES - US</t>
  </si>
  <si>
    <t>BDC I - ENT - NL</t>
  </si>
  <si>
    <t>BDC I - ENT - UK</t>
  </si>
  <si>
    <t>BDC I - Middle East - UK</t>
  </si>
  <si>
    <t>BDC I - SMB - AU</t>
  </si>
  <si>
    <t>BDC I - SMB - HK</t>
  </si>
  <si>
    <t>BDC I - SMB - UK</t>
  </si>
  <si>
    <t>BDC I -F1K - US</t>
  </si>
  <si>
    <t>BDC II - ENT - AU</t>
  </si>
  <si>
    <t>BDC II - ENT - HK</t>
  </si>
  <si>
    <t>BDC II - ENT - UK</t>
  </si>
  <si>
    <t>BDC II - SMB - AU</t>
  </si>
  <si>
    <t>BDC II - SMB - UK</t>
  </si>
  <si>
    <t>BDC III - Emerging - US</t>
  </si>
  <si>
    <t>BDC III - ENT - AU</t>
  </si>
  <si>
    <t>BDC III - ENT - UK</t>
  </si>
  <si>
    <t>BDC III - RES - US</t>
  </si>
  <si>
    <t>BDC III - SMB - UK</t>
  </si>
  <si>
    <t>BID Manager - UK</t>
  </si>
  <si>
    <t>Bid Manager - US</t>
  </si>
  <si>
    <t>Billing Processor I - HK</t>
  </si>
  <si>
    <t>Billing Processor I - UK</t>
  </si>
  <si>
    <t>Billing Processor I - US</t>
  </si>
  <si>
    <t>Billing Processor II - UK</t>
  </si>
  <si>
    <t>Billing Processor II - US</t>
  </si>
  <si>
    <t>Billing Processor III - UK</t>
  </si>
  <si>
    <t>Billing Processor Team Leader - UK</t>
  </si>
  <si>
    <t>Building Manager - US</t>
  </si>
  <si>
    <t>Business Administrations Manager - CH</t>
  </si>
  <si>
    <t>Business Development Associate - UK</t>
  </si>
  <si>
    <t>Business Development Associate Team Lead - UK</t>
  </si>
  <si>
    <t>Business Intelligence Analyst I - UK</t>
  </si>
  <si>
    <t>Business Intelligence Analyst II - UK</t>
  </si>
  <si>
    <t>Business Intelligence Analyst III - UK</t>
  </si>
  <si>
    <t>Business Intelligence Analyst/ Developer I - UK</t>
  </si>
  <si>
    <t>Business Intelligence Analyst/ Developer II - UK</t>
  </si>
  <si>
    <t>Business Intelligence Manager - UK</t>
  </si>
  <si>
    <t>Business Operations Analyst - US</t>
  </si>
  <si>
    <t>Business Operations Analyst II - US</t>
  </si>
  <si>
    <t>Business Operations Analyst III - US</t>
  </si>
  <si>
    <t>Business Services Manager - UK</t>
  </si>
  <si>
    <t>Business Trainer III - US</t>
  </si>
  <si>
    <t>Cabling Specialist - UK</t>
  </si>
  <si>
    <t>Cabling Specialist - US</t>
  </si>
  <si>
    <t>Change and Release Manager III - US</t>
  </si>
  <si>
    <t>Change Manager - US</t>
  </si>
  <si>
    <t>Channel Account Manager - AU</t>
  </si>
  <si>
    <t>Channel Account Manager II - US</t>
  </si>
  <si>
    <t>Channel Coach - UK</t>
  </si>
  <si>
    <t>Channel Manager - AU</t>
  </si>
  <si>
    <t>Channel Manager - HK</t>
  </si>
  <si>
    <t>Channel Manager I - UK</t>
  </si>
  <si>
    <t>Channel Manager I - US</t>
  </si>
  <si>
    <t>Channel Manager II - UK</t>
  </si>
  <si>
    <t>Channel Manager II - US</t>
  </si>
  <si>
    <t>Channel Manager III - UK</t>
  </si>
  <si>
    <t>Channel Manager III - US</t>
  </si>
  <si>
    <t>Channel Operations Manager - UK</t>
  </si>
  <si>
    <t>Channel Partner Training Manager - US</t>
  </si>
  <si>
    <t>Channel Reporting Analyst - UK</t>
  </si>
  <si>
    <t>Channel Sales Operations Manager, NA - US</t>
  </si>
  <si>
    <t>Chief Financial Officer, U.S. - US</t>
  </si>
  <si>
    <t>Chief Security Officer - US</t>
  </si>
  <si>
    <t>Cloud API Support Engineer - UK</t>
  </si>
  <si>
    <t>Cloud Builders Sales Professional - US</t>
  </si>
  <si>
    <t>Cloud Business Development Associate - UK</t>
  </si>
  <si>
    <t>Cloud Customer Development Associate - UK</t>
  </si>
  <si>
    <t>Cloud Integration Consultant - US</t>
  </si>
  <si>
    <t>Cloud Mentor - UK</t>
  </si>
  <si>
    <t>Cloud On-Boarding &amp; Retention Executive - UK</t>
  </si>
  <si>
    <t>Cloud Onboarding Specialist - AU</t>
  </si>
  <si>
    <t>Cloud Onboarding Specialist - HK</t>
  </si>
  <si>
    <t>Cloud Operations Senior Technical Lead</t>
  </si>
  <si>
    <t>Cloud Operations Team Lead - UK</t>
  </si>
  <si>
    <t>Cloud Product Trainer - UK</t>
  </si>
  <si>
    <t>Cloud Sales Exec I - US</t>
  </si>
  <si>
    <t>Cloud Sales Executive II - US</t>
  </si>
  <si>
    <t>Cloud Sales Manager - UK</t>
  </si>
  <si>
    <t>Cloud Support Administrator I - UK</t>
  </si>
  <si>
    <t>Cloud Support Administrator I - US</t>
  </si>
  <si>
    <t>Cloud Support Administrator II - UK</t>
  </si>
  <si>
    <t>Cloud Support Administrator II - US</t>
  </si>
  <si>
    <t>Communications Manager - UK</t>
  </si>
  <si>
    <t>Compliance &amp; Assurance Specialist - UK</t>
  </si>
  <si>
    <t>Compliance Specialists II - UK</t>
  </si>
  <si>
    <t>Content &amp; Social Media Manager - UK</t>
  </si>
  <si>
    <t>Contract Compliance Analyst III - US</t>
  </si>
  <si>
    <t>Contract Processor I - US</t>
  </si>
  <si>
    <t>Contract Processor II - US</t>
  </si>
  <si>
    <t>Contract Specialist IV  - US</t>
  </si>
  <si>
    <t>Corporate Strategy &amp; Development Associate - US</t>
  </si>
  <si>
    <t>Country Manager, Australia New Zealand - AU</t>
  </si>
  <si>
    <t>CSA Coach - US</t>
  </si>
  <si>
    <t>CTO, Mailtrust - US</t>
  </si>
  <si>
    <t>Customer Care Team Lead, ENT - AU</t>
  </si>
  <si>
    <t>Customer Care, Team Lead - UK</t>
  </si>
  <si>
    <t>Customer Intel Analyst II - US</t>
  </si>
  <si>
    <t>Customer Onboarding Specialist - US</t>
  </si>
  <si>
    <t>Customer Operations Specialist I - US</t>
  </si>
  <si>
    <t>Customer Service Specialist II - US</t>
  </si>
  <si>
    <t>Customer Service Technician I - UK</t>
  </si>
  <si>
    <t>Customer Service Technician III - UK</t>
  </si>
  <si>
    <t>Cyber Security Manager - UK</t>
  </si>
  <si>
    <t>Data Architect II - US</t>
  </si>
  <si>
    <t>Data Center Manager - UK</t>
  </si>
  <si>
    <t>Data Centre Manager - AU</t>
  </si>
  <si>
    <t>Database Analyst II - UK</t>
  </si>
  <si>
    <t>Database Analyst III - UK</t>
  </si>
  <si>
    <t>DC Engineer II - UK</t>
  </si>
  <si>
    <t>DC Engineer III - UK</t>
  </si>
  <si>
    <t>DC Engineer IV - UK</t>
  </si>
  <si>
    <t>DC Network Manager II - HK</t>
  </si>
  <si>
    <t>DC Network Manager II - US</t>
  </si>
  <si>
    <t>DC Operations Technician I - HK</t>
  </si>
  <si>
    <t>DC Operations Technician II - HK</t>
  </si>
  <si>
    <t>DC Operations Technician III - HK</t>
  </si>
  <si>
    <t>DC Ops Manager - UK</t>
  </si>
  <si>
    <t>DC Ops Shift Leader I - UK</t>
  </si>
  <si>
    <t>DC Ops Shift Leader II - UK</t>
  </si>
  <si>
    <t>DC Ops Team Lead - UK</t>
  </si>
  <si>
    <t>DC Ops Technician I - UK</t>
  </si>
  <si>
    <t>DC Ops Technician II - AU</t>
  </si>
  <si>
    <t>DC Ops Technician II - UK</t>
  </si>
  <si>
    <t>DC Ops Technician III - UK</t>
  </si>
  <si>
    <t>DC Ops Technician IV - HK</t>
  </si>
  <si>
    <t>DC Ops Technician IV - UK</t>
  </si>
  <si>
    <t>DC Ops. Technician I - US</t>
  </si>
  <si>
    <t>DC Ops. Technician II - US</t>
  </si>
  <si>
    <t>DC Ops. Technician III - US</t>
  </si>
  <si>
    <t>DC Project Manager - UK</t>
  </si>
  <si>
    <t>DC Shift Lead - HK</t>
  </si>
  <si>
    <t>Deal Centre Manager - UK</t>
  </si>
  <si>
    <t>Department Assistant I - US</t>
  </si>
  <si>
    <t>Deployment Coordinator I - UK</t>
  </si>
  <si>
    <t>Deployment Coordinator Team Lead - UK</t>
  </si>
  <si>
    <t>Design Research Specialist - US</t>
  </si>
  <si>
    <t>Desktop Support I - UK</t>
  </si>
  <si>
    <t>Desktop Support II - UK</t>
  </si>
  <si>
    <t>Dev Ops Architect - UK</t>
  </si>
  <si>
    <t>Dev Ops Engineer I - UK</t>
  </si>
  <si>
    <t>Dev Ops Engineer II - UK</t>
  </si>
  <si>
    <t>Developer Advocate I - US</t>
  </si>
  <si>
    <t>Developer Support Engineer I - UK</t>
  </si>
  <si>
    <t>Development Representative III - US</t>
  </si>
  <si>
    <t>Digital Marketing Manager - AU</t>
  </si>
  <si>
    <t>Director &amp; General Manager, Asia - HK</t>
  </si>
  <si>
    <t>Director of Business Development - US</t>
  </si>
  <si>
    <t>Director, Accounting &amp; International Controller - UK</t>
  </si>
  <si>
    <t>Director, Business Intelligence - UK</t>
  </si>
  <si>
    <t>Director, Channel Sales - US</t>
  </si>
  <si>
    <t>Director, Cloud Sites - US</t>
  </si>
  <si>
    <t>Director, Compliance - UK</t>
  </si>
  <si>
    <t>Director, Corporate Communication - UK</t>
  </si>
  <si>
    <t>Director, Corporate Communications - US</t>
  </si>
  <si>
    <t>Director, Corporate Development - UK</t>
  </si>
  <si>
    <t>Director, DC Engineering &amp; Operations - UK</t>
  </si>
  <si>
    <t>Director, Developer Relations - US</t>
  </si>
  <si>
    <t>Director, Enterprise Client Services - UK</t>
  </si>
  <si>
    <t>Director, Event Media - US</t>
  </si>
  <si>
    <t>Director, Executive Communications Analyst Relations - US</t>
  </si>
  <si>
    <t>Director, Finance - UK</t>
  </si>
  <si>
    <t>Director, Global IT Audit - US</t>
  </si>
  <si>
    <t>Director, HR Operations - UK</t>
  </si>
  <si>
    <t>Director, Internal Audit - UK</t>
  </si>
  <si>
    <t>Director, International Sales - US</t>
  </si>
  <si>
    <t>Director, Legal - UK</t>
  </si>
  <si>
    <t>Director, Marketing - HK</t>
  </si>
  <si>
    <t>Director, Marketing - UK</t>
  </si>
  <si>
    <t>Director, Operations - AU</t>
  </si>
  <si>
    <t>Director, Planning &amp; Execution - US</t>
  </si>
  <si>
    <t>Director, Product &amp; Technology - AU</t>
  </si>
  <si>
    <t>Director, Quality Assurance Services - US</t>
  </si>
  <si>
    <t>Director, Revenue Assurance - US</t>
  </si>
  <si>
    <t>Director, SMB Support - UK</t>
  </si>
  <si>
    <t>Director, Software Development - ISR</t>
  </si>
  <si>
    <t>Director, Talent Management International - UK</t>
  </si>
  <si>
    <t>Director, Technical Sales - UK</t>
  </si>
  <si>
    <t>Director, Technical Services - US</t>
  </si>
  <si>
    <t>Director, Technical Support Enterprise - UK</t>
  </si>
  <si>
    <t>Director, User Experience - US</t>
  </si>
  <si>
    <t>Diversity &amp; Inclusion Advisor - US</t>
  </si>
  <si>
    <t>Dual Lead Technician - HK</t>
  </si>
  <si>
    <t>Email &amp; Apps Business Manager - UK</t>
  </si>
  <si>
    <t>E-Mail Marketing Executive - UK</t>
  </si>
  <si>
    <t>Engagement Coach - UK</t>
  </si>
  <si>
    <t>Enterprise Account Exec I - US</t>
  </si>
  <si>
    <t>Enterprise Channel Sales Manager - UK</t>
  </si>
  <si>
    <t>Enterprise Cloud Evangelist - US</t>
  </si>
  <si>
    <t>Enterprise Marketing Manager - UK</t>
  </si>
  <si>
    <t>Enterprise Sales Director - UK</t>
  </si>
  <si>
    <t>Enterprise Sales Exec  I - US</t>
  </si>
  <si>
    <t>Enterprise Sales Executive I - UK</t>
  </si>
  <si>
    <t>Enterprise Sales Executive II - CH</t>
  </si>
  <si>
    <t>Enterprise Sales Executive II - UK</t>
  </si>
  <si>
    <t>Enterprise Sales Executive III - UK</t>
  </si>
  <si>
    <t>Enterprise Services Program Manager - US</t>
  </si>
  <si>
    <t>Enterprise Solutions Architect - UK</t>
  </si>
  <si>
    <t>Events Executive - UK</t>
  </si>
  <si>
    <t>Events Manager III - UK</t>
  </si>
  <si>
    <t>Exchange Engineer I - US</t>
  </si>
  <si>
    <t>Executive Assistant - UK</t>
  </si>
  <si>
    <t>Facilities Coordinator I - UK</t>
  </si>
  <si>
    <t>Facilities Manager - UK</t>
  </si>
  <si>
    <t>Facility Engineer Team Lead - US</t>
  </si>
  <si>
    <t>Facility Technician II - UK</t>
  </si>
  <si>
    <t>Facility Technician II - US</t>
  </si>
  <si>
    <t>Finance Assistant - UK</t>
  </si>
  <si>
    <t>Finance Manager - UK</t>
  </si>
  <si>
    <t>Finance Manager - US</t>
  </si>
  <si>
    <t>Finance Operations Manager - HK</t>
  </si>
  <si>
    <t>Finance Operations Specialist I - HK</t>
  </si>
  <si>
    <t>Finance Operations Specialist II - HK</t>
  </si>
  <si>
    <t>Finance Operations Specialist III - HK</t>
  </si>
  <si>
    <t>Financial Analyst I - UK</t>
  </si>
  <si>
    <t>Financial Analyst II - UK</t>
  </si>
  <si>
    <t>Financial Analyst III - UK</t>
  </si>
  <si>
    <t>Financial Analyst III (A) - UK</t>
  </si>
  <si>
    <t>Financial Systems Analyst II - US</t>
  </si>
  <si>
    <t>Founder - MOSSO - US</t>
  </si>
  <si>
    <t>Front of House Leader - UK</t>
  </si>
  <si>
    <t>General Manager, Rackspace International GmbH - CH</t>
  </si>
  <si>
    <t>General Manager, SMB - UK</t>
  </si>
  <si>
    <t>Global Program Manager - UK</t>
  </si>
  <si>
    <t>Global Program Senior Manager - UK</t>
  </si>
  <si>
    <t>Global SI Channel Manager - US</t>
  </si>
  <si>
    <t>Graphic Designer III - US</t>
  </si>
  <si>
    <t>Guest Relations Coordinator - US</t>
  </si>
  <si>
    <t>Head of Acquisition Marketing - UK</t>
  </si>
  <si>
    <t>Head of Channel Sales - UK</t>
  </si>
  <si>
    <t>Head of Cloud Marketing - UK</t>
  </si>
  <si>
    <t>Head of Commercial &amp; Sales Capability - UK</t>
  </si>
  <si>
    <t>Head of Culture Branding - US</t>
  </si>
  <si>
    <t>Head of Engagement &amp; Culture - UK</t>
  </si>
  <si>
    <t>Head of Enterprise Marketing - UK</t>
  </si>
  <si>
    <t>Head of Enterprise Sales - HK</t>
  </si>
  <si>
    <t>Head of Enterprise Services - UK</t>
  </si>
  <si>
    <t>Head of Infrastructure Services - UK</t>
  </si>
  <si>
    <t>Head of Install Base Marketing - UK</t>
  </si>
  <si>
    <t>Head of International Partnerships - UK</t>
  </si>
  <si>
    <t>Head of Market Education - UK</t>
  </si>
  <si>
    <t>Head of Market Strategy &amp; Insight - UK</t>
  </si>
  <si>
    <t>Head of Product Marketing - UK</t>
  </si>
  <si>
    <t>Head of Racker Development - UK</t>
  </si>
  <si>
    <t>Head of Sales Strategy and Analytics - UK</t>
  </si>
  <si>
    <t>Head of Self-Service Marketing - UK</t>
  </si>
  <si>
    <t>Head of SMB Complex Sales- UK</t>
  </si>
  <si>
    <t>Head of SMB Core Services - UK</t>
  </si>
  <si>
    <t>Head of SMB Install Based Sales - UK</t>
  </si>
  <si>
    <t>Head of SMB Managed Services - UK</t>
  </si>
  <si>
    <t>Head of SMB New Sales - UK</t>
  </si>
  <si>
    <t>Head of SMB Support Operations - UK</t>
  </si>
  <si>
    <t>Head of Technical Services - AU</t>
  </si>
  <si>
    <t>Head of Websites - UK</t>
  </si>
  <si>
    <t>HR Business Partner - HK</t>
  </si>
  <si>
    <t>HR Business Partner - UK</t>
  </si>
  <si>
    <t>HR Coordinator I - US</t>
  </si>
  <si>
    <t>HR Director - UK</t>
  </si>
  <si>
    <t>HR Generalist I - US</t>
  </si>
  <si>
    <t>HR Operations Specialist - UK</t>
  </si>
  <si>
    <t>HR Representative I - UK</t>
  </si>
  <si>
    <t>HR Service Center Representative II - US</t>
  </si>
  <si>
    <t>HRIS Analyst - UK</t>
  </si>
  <si>
    <t>HRIS Analyst III - US</t>
  </si>
  <si>
    <t>Human Resources Assistant I - UK</t>
  </si>
  <si>
    <t>Hybrid Acquisition Representative II - US</t>
  </si>
  <si>
    <t>Hybrid Sales Exec - NL</t>
  </si>
  <si>
    <t>Implementation Coordinator I - UK</t>
  </si>
  <si>
    <t>Implementation Coordinator II - UK</t>
  </si>
  <si>
    <t>Implementation Coordinator III - UK</t>
  </si>
  <si>
    <t>Implementation Engineer - UK</t>
  </si>
  <si>
    <t>Implementation Team Manager - UK</t>
  </si>
  <si>
    <t>Information Developer - US</t>
  </si>
  <si>
    <t>Infrastructure Change Management Specialist III - US</t>
  </si>
  <si>
    <t>Infrastructure Delivery Manager - UK</t>
  </si>
  <si>
    <t>Infrastructure Engineer II - UK</t>
  </si>
  <si>
    <t>Intern - Graduate/Doctorate - US</t>
  </si>
  <si>
    <t>Intern- Graduate/Doctorate - US</t>
  </si>
  <si>
    <t>Intern I - US</t>
  </si>
  <si>
    <t>Intern II - US</t>
  </si>
  <si>
    <t>Internal Communications Specialist - UK</t>
  </si>
  <si>
    <t>Internal Sales Executive - UK</t>
  </si>
  <si>
    <t>International Marketing Manager - UK</t>
  </si>
  <si>
    <t>Inventory Control Specialist I - AU</t>
  </si>
  <si>
    <t>Inventory Control Specialist I - HK</t>
  </si>
  <si>
    <t>Inventory Control Specialist I - UK</t>
  </si>
  <si>
    <t>Inventory Control Specialist II - UK</t>
  </si>
  <si>
    <t>Inventory Location Manager - UK</t>
  </si>
  <si>
    <t>Inventory Manager - UK</t>
  </si>
  <si>
    <t>Inventory Team Leader - UK</t>
  </si>
  <si>
    <t>IT Strategist - US</t>
  </si>
  <si>
    <t>L&amp;D Manager - US</t>
  </si>
  <si>
    <t>LDT Lead Generator - UK</t>
  </si>
  <si>
    <t>Lead Generator - HK</t>
  </si>
  <si>
    <t>Lead Generator - NL</t>
  </si>
  <si>
    <t>Lead Generator - UK</t>
  </si>
  <si>
    <t>Lead Infrastructure Engineer I - UK</t>
  </si>
  <si>
    <t>Lead Infrastructure Engineer II - UK</t>
  </si>
  <si>
    <t>Lead Infrastructure Engineer III - HK</t>
  </si>
  <si>
    <t>Lead Infrastructure Engineer III - UK</t>
  </si>
  <si>
    <t>Lead Linux Administrator - AU</t>
  </si>
  <si>
    <t>Lead Public Relations Specialist - US</t>
  </si>
  <si>
    <t>Lead QA Automation Engineer - US</t>
  </si>
  <si>
    <t>Lead Technician I - UK</t>
  </si>
  <si>
    <t>Lead Technician II - UK</t>
  </si>
  <si>
    <t>Lead, Sales Operations - US</t>
  </si>
  <si>
    <t>Legal Administrative Assistant II - UK</t>
  </si>
  <si>
    <t>Legal Administrative Assistant III - UK</t>
  </si>
  <si>
    <t>Legal Counsel I - UK</t>
  </si>
  <si>
    <t>Legal Counsel III - UK</t>
  </si>
  <si>
    <t>Linux Administrator (SSE) - UK</t>
  </si>
  <si>
    <t>Linux Administrator I - UK</t>
  </si>
  <si>
    <t>Linux Administrator II - AU</t>
  </si>
  <si>
    <t>Linux Administrator II - HK</t>
  </si>
  <si>
    <t>Linux Administrator II - UK</t>
  </si>
  <si>
    <t>Linux Administrator III - UK</t>
  </si>
  <si>
    <t>Linux Implementation Engineer III - US</t>
  </si>
  <si>
    <t>Linux Implementation Engineer IV - US</t>
  </si>
  <si>
    <t>Linux Ops Admin II - HK</t>
  </si>
  <si>
    <t>Linux Ops Administrator I - UK</t>
  </si>
  <si>
    <t>Linux Ops Administrator II - UK</t>
  </si>
  <si>
    <t>Linux Ops Administrator III - UK</t>
  </si>
  <si>
    <t>Linux Systems Engineer II - UK</t>
  </si>
  <si>
    <t>Linux Systems Engineer III - UK</t>
  </si>
  <si>
    <t>Lync Architect - US</t>
  </si>
  <si>
    <t>Management Accountant I - UK</t>
  </si>
  <si>
    <t>Management Accountant II - UK</t>
  </si>
  <si>
    <t>Management Accountant III - UK</t>
  </si>
  <si>
    <t>Management Accountant IV - UK</t>
  </si>
  <si>
    <t>Manager Infrastructure Services - UK</t>
  </si>
  <si>
    <t>Manager of Internal Communications - US</t>
  </si>
  <si>
    <t>Manager, Business Operations - US</t>
  </si>
  <si>
    <t>Manager, Channel Sales - UK</t>
  </si>
  <si>
    <t>Manager, Channel Sales - US</t>
  </si>
  <si>
    <t>Manager, Corporate Strategy &amp; Development - US</t>
  </si>
  <si>
    <t>Manager, Customer Analytics - US</t>
  </si>
  <si>
    <t>Manager, Customer Care - UK</t>
  </si>
  <si>
    <t>Manager, Cyber Security - US</t>
  </si>
  <si>
    <t>Manager, Data Center - HK</t>
  </si>
  <si>
    <t>Manager, Data Centre Engineering - UK</t>
  </si>
  <si>
    <t>Manager, DC Operations - HK</t>
  </si>
  <si>
    <t>Manager, Internal Audit - UK</t>
  </si>
  <si>
    <t>Manager, Internal Communications - UK</t>
  </si>
  <si>
    <t>Manager, International Properties - UK</t>
  </si>
  <si>
    <t>Manager, International Sales - UK</t>
  </si>
  <si>
    <t>Manager, Inventory - HK</t>
  </si>
  <si>
    <t>Manager, Managed Backup - UK</t>
  </si>
  <si>
    <t>Manager, Operational Excellence &amp; Program Management - UK</t>
  </si>
  <si>
    <t>Manager, Procurement Operations - US</t>
  </si>
  <si>
    <t>Manager, Product Specialists - UK</t>
  </si>
  <si>
    <t>Manager, Quality Assurance - US</t>
  </si>
  <si>
    <t>Manager, Racker Engagement - US</t>
  </si>
  <si>
    <t>Manager, Sales - AU</t>
  </si>
  <si>
    <t>Manager, Sales Operations - UK</t>
  </si>
  <si>
    <t>Manager, SDLC Management - US</t>
  </si>
  <si>
    <t>Manager, Software Development - AU</t>
  </si>
  <si>
    <t>Manager, Software Development - CH</t>
  </si>
  <si>
    <t>Manager, Software Development - UK</t>
  </si>
  <si>
    <t>Manager, Strategic Relationships - US</t>
  </si>
  <si>
    <t>Manager, Supply Chain Operations - UK</t>
  </si>
  <si>
    <t>Manager, Virtualization - UK</t>
  </si>
  <si>
    <t>Mananging Director, International - UK</t>
  </si>
  <si>
    <t>Marketing Account Manager III - US</t>
  </si>
  <si>
    <t>Marketing Analyst - UK</t>
  </si>
  <si>
    <t>Marketing Analyst I - HK</t>
  </si>
  <si>
    <t>Marketing Analyst V - US</t>
  </si>
  <si>
    <t>Marketing Executive I - NL</t>
  </si>
  <si>
    <t>Marketing Executive I - UK</t>
  </si>
  <si>
    <t>Marketing Manager - AU</t>
  </si>
  <si>
    <t>Marketing Manager - UK</t>
  </si>
  <si>
    <t>Marketing Programs Executive - UK</t>
  </si>
  <si>
    <t>Marketing Programs Manager - US</t>
  </si>
  <si>
    <t>Middle East Sales Executive - UK</t>
  </si>
  <si>
    <t>MIS Analyst II - UK</t>
  </si>
  <si>
    <t>MIS Analyst III - UK</t>
  </si>
  <si>
    <t>Monitoring Engineer I - US</t>
  </si>
  <si>
    <t>Monitoring Engineer III - US</t>
  </si>
  <si>
    <t>MySQL Database Administrator I - US</t>
  </si>
  <si>
    <t>MySQL Database Administrator III - US</t>
  </si>
  <si>
    <t>Network Engineer I - UK</t>
  </si>
  <si>
    <t>Network Engineer II - UK</t>
  </si>
  <si>
    <t>Network Engineer III - UK</t>
  </si>
  <si>
    <t>Network Engineer IV - UK</t>
  </si>
  <si>
    <t>Network Engineering Manager - UK</t>
  </si>
  <si>
    <t>Network Infrastructure Technician I - US</t>
  </si>
  <si>
    <t>Network Infrastructure Technician II - US</t>
  </si>
  <si>
    <t>Network Security Administrator I - UK</t>
  </si>
  <si>
    <t>Network Security Administrator II - UK</t>
  </si>
  <si>
    <t>Network Security Administrator III - AU</t>
  </si>
  <si>
    <t>Network Security Administrator III - HK</t>
  </si>
  <si>
    <t>Network Security Administrator III - UK</t>
  </si>
  <si>
    <t>Network Security Administrator IV - UK</t>
  </si>
  <si>
    <t>Network Security Manager - UK</t>
  </si>
  <si>
    <t>Nordic Sales Executive I - UK</t>
  </si>
  <si>
    <t>Office Administrator - HK</t>
  </si>
  <si>
    <t>Office Manager - AU</t>
  </si>
  <si>
    <t>Office Manager - HK</t>
  </si>
  <si>
    <t>Office Manager - NL</t>
  </si>
  <si>
    <t>Office Manager - UK</t>
  </si>
  <si>
    <t>Onboarding &amp; Business Skills Manager - UK</t>
  </si>
  <si>
    <t>On-Boarding &amp; Engagement Specialist - UK</t>
  </si>
  <si>
    <t>Online Cloud Sales Manager - UK</t>
  </si>
  <si>
    <t>Online Cloud Specialist - NL</t>
  </si>
  <si>
    <t>Online Cloud Specialist - UK</t>
  </si>
  <si>
    <t>Online Marketing Executive - UK</t>
  </si>
  <si>
    <t>On-Line Marketing Manager - HK</t>
  </si>
  <si>
    <t>Online Marketing Manager - HK</t>
  </si>
  <si>
    <t>Online Sales &amp; Support Team Lead - NL</t>
  </si>
  <si>
    <t>Online Sales Exec I - AU</t>
  </si>
  <si>
    <t>Online Sales Executive I - UK</t>
  </si>
  <si>
    <t>Online Sales Executive II - UK</t>
  </si>
  <si>
    <t>Online Sales Executive III - UK</t>
  </si>
  <si>
    <t>Online Sales Manager - UK</t>
  </si>
  <si>
    <t>Online Sales Rep I - US</t>
  </si>
  <si>
    <t>Online Sales Representative I - HK</t>
  </si>
  <si>
    <t>Online Sales Representative I - US</t>
  </si>
  <si>
    <t>Online Sales Team Lead - AU</t>
  </si>
  <si>
    <t>Online Senior Manager - US</t>
  </si>
  <si>
    <t>OpenStack Private Cloud Engineer I - US</t>
  </si>
  <si>
    <t>Operations Analyst I - UK</t>
  </si>
  <si>
    <t>Operations Analyst II - UK</t>
  </si>
  <si>
    <t>Operations Support Team Manager - UK</t>
  </si>
  <si>
    <t>Oracle Applications Manager - UK</t>
  </si>
  <si>
    <t>Oracle e-Business Analyst III - UK</t>
  </si>
  <si>
    <t>Oracle e-Business Analyst IV - UK</t>
  </si>
  <si>
    <t>OVT Team Leader - UK</t>
  </si>
  <si>
    <t>Partner Readiness Manager I - US</t>
  </si>
  <si>
    <t>Payroll Administrator I - UK</t>
  </si>
  <si>
    <t>Payroll Manager - UK</t>
  </si>
  <si>
    <t>Payroll Supervisor - UK</t>
  </si>
  <si>
    <t>Principal Engineer - UK</t>
  </si>
  <si>
    <t>Process Excellence Analyst II - UK</t>
  </si>
  <si>
    <t>Process Excellence Manager - UK</t>
  </si>
  <si>
    <t>Product Architect - US</t>
  </si>
  <si>
    <t>Product Manager - UK</t>
  </si>
  <si>
    <t>Product Manager I - US</t>
  </si>
  <si>
    <t>Product Software Developer III - US</t>
  </si>
  <si>
    <t>Product Specialist - UK</t>
  </si>
  <si>
    <t>Product Specialist I - UK</t>
  </si>
  <si>
    <t>Product Specialist II - UK</t>
  </si>
  <si>
    <t>Professional Services Manager - UK</t>
  </si>
  <si>
    <t>Program Manager I - US</t>
  </si>
  <si>
    <t>Programme Manager - UK</t>
  </si>
  <si>
    <t>Project Manager I - UK</t>
  </si>
  <si>
    <t>Project Manager III - UK</t>
  </si>
  <si>
    <t>Project Manager IV - UK</t>
  </si>
  <si>
    <t>Proposal Manager - UK</t>
  </si>
  <si>
    <t>Public Relations Specialist I - US</t>
  </si>
  <si>
    <t>Public Relations Specialist II - UK</t>
  </si>
  <si>
    <t>Purchasing Specialist I - UK</t>
  </si>
  <si>
    <t>Purchasing Specialist II - UK</t>
  </si>
  <si>
    <t>QA Engineer II - US</t>
  </si>
  <si>
    <t>Rackconnect Operations Engineer I - UK</t>
  </si>
  <si>
    <t>Rackconnect Operations Engineer II - UK</t>
  </si>
  <si>
    <t>Rackspace Consultant - US</t>
  </si>
  <si>
    <t>Receptionist I - UK</t>
  </si>
  <si>
    <t>Recruiter I - UK</t>
  </si>
  <si>
    <t>Recruiter II - UK</t>
  </si>
  <si>
    <t>Recruiter II - US</t>
  </si>
  <si>
    <t>Recruiter III - UK</t>
  </si>
  <si>
    <t>Recruiter III - US</t>
  </si>
  <si>
    <t>Recruiter IV - UK</t>
  </si>
  <si>
    <t>Reward Partner - UK</t>
  </si>
  <si>
    <t>RFP Proposal Writer - UK</t>
  </si>
  <si>
    <t>Sales &amp; Marketing Director, DACH &amp; Emerging - CH</t>
  </si>
  <si>
    <t>Sales Administrator I - UK</t>
  </si>
  <si>
    <t>Sales Administrator II - UK</t>
  </si>
  <si>
    <t>Sales Coach I - UK</t>
  </si>
  <si>
    <t>Sales Engineer Manager - US</t>
  </si>
  <si>
    <t>Sales Engineering Manager - UK</t>
  </si>
  <si>
    <t>Sales Executive I - ENT   - HK</t>
  </si>
  <si>
    <t>Sales Executive I - ENT - AU</t>
  </si>
  <si>
    <t>Sales Executive I - ENT - HK</t>
  </si>
  <si>
    <t>Sales Executive I - NL</t>
  </si>
  <si>
    <t>Sales Executive I - SMB - UK</t>
  </si>
  <si>
    <t>Sales Executive I SMB - HK</t>
  </si>
  <si>
    <t>Sales Executive II - ENT   - HK</t>
  </si>
  <si>
    <t>Sales Executive II - ENT - AU</t>
  </si>
  <si>
    <t>Sales Executive II - ENT - HK</t>
  </si>
  <si>
    <t>Sales Executive II - NL</t>
  </si>
  <si>
    <t>Sales Executive II SMB  - HK</t>
  </si>
  <si>
    <t>Sales Executive III - ENT - AU</t>
  </si>
  <si>
    <t>Sales Executive SMB - AU</t>
  </si>
  <si>
    <t>Sales Manager - HK</t>
  </si>
  <si>
    <t>Sales Manager - NL</t>
  </si>
  <si>
    <t>Sales Operations Analyst - UK</t>
  </si>
  <si>
    <t>Sales Operations Analyst IV - US</t>
  </si>
  <si>
    <t>Sales Operations Team Lead - UK</t>
  </si>
  <si>
    <t>Sales Ops Administrator IV - US</t>
  </si>
  <si>
    <t>Sales Ops. Administrator OVT I - UK</t>
  </si>
  <si>
    <t>Sales Specialist II - US</t>
  </si>
  <si>
    <t>Sales Specialist III - US</t>
  </si>
  <si>
    <t>Sales Strategy, Analytics &amp; Operations Analyst I - UK</t>
  </si>
  <si>
    <t>Sales Strategy, Analytics &amp; Operations Analyst II - UK</t>
  </si>
  <si>
    <t>Sales Support Specialist - UK</t>
  </si>
  <si>
    <t>Sales Trainer I - UK</t>
  </si>
  <si>
    <t>Salesforce.com Admin II - US</t>
  </si>
  <si>
    <t>Scrum Master IV - US</t>
  </si>
  <si>
    <t>Security Analyst III - UK</t>
  </si>
  <si>
    <t>Security Analyst III - US</t>
  </si>
  <si>
    <t>Security Engineer I - US</t>
  </si>
  <si>
    <t>Security Engineer II - UK</t>
  </si>
  <si>
    <t>Senior Auditor - UK</t>
  </si>
  <si>
    <t>Senior Chief of Staff - US</t>
  </si>
  <si>
    <t>Senior Cloud Advisor - US</t>
  </si>
  <si>
    <t>Senior Cloud Security Architect - US</t>
  </si>
  <si>
    <t>Senior Content Writer - US</t>
  </si>
  <si>
    <t>Senior Corporate Counsel, Hourly - US</t>
  </si>
  <si>
    <t>Senior Director, Customer Loyalty - US</t>
  </si>
  <si>
    <t>Senior Director, HR Business Partner - US</t>
  </si>
  <si>
    <t>Senior Director, Sustainability - US</t>
  </si>
  <si>
    <t>Senior Director, User Experience - US</t>
  </si>
  <si>
    <t>Senior Finance Manager - UK</t>
  </si>
  <si>
    <t>Senior HR Program Manager - US</t>
  </si>
  <si>
    <t>Senior Legal Counsel - UK</t>
  </si>
  <si>
    <t>Senior Manager Infrastructure Services - UK</t>
  </si>
  <si>
    <t>Senior Manager, Business Development &amp; Strategy - CH</t>
  </si>
  <si>
    <t>Senior Manager, Business Intelligence Development - US</t>
  </si>
  <si>
    <t>Senior Manager, Core Services - UK</t>
  </si>
  <si>
    <t>Senior Manager, Customer Care - UK</t>
  </si>
  <si>
    <t>Senior Manager, Customer Care - US</t>
  </si>
  <si>
    <t>Senior Manager, Customer Services - UK</t>
  </si>
  <si>
    <t>Senior Manager, Financial Reporting - UK</t>
  </si>
  <si>
    <t>Senior Manager, Internal Communications - US</t>
  </si>
  <si>
    <t>Senior Manager, Payroll - US</t>
  </si>
  <si>
    <t>Senior Manager, Public Relations - US</t>
  </si>
  <si>
    <t>Senior Manager, Quality Assurance - US</t>
  </si>
  <si>
    <t>Senior Manager, Revenue Operations - UK</t>
  </si>
  <si>
    <t>Senior Manager, Sales - HK</t>
  </si>
  <si>
    <t>Senior Manager, Sustainability - UK</t>
  </si>
  <si>
    <t>Senior Manager, Training - US</t>
  </si>
  <si>
    <t>Senior Product Manager - UK</t>
  </si>
  <si>
    <t>Senior Product Marketing Manager - UK</t>
  </si>
  <si>
    <t>Senior Product Technologist II - UK</t>
  </si>
  <si>
    <t>Senior Product Technologist III - UK</t>
  </si>
  <si>
    <t>Senior Sales Manager - UK</t>
  </si>
  <si>
    <t>Senior Solutions Architect - UK</t>
  </si>
  <si>
    <t>Senior Solutions Engineer - UK</t>
  </si>
  <si>
    <t>Senior Support Systems Engineer - US</t>
  </si>
  <si>
    <t>Senior Technical Manager - UK</t>
  </si>
  <si>
    <t>Senior Technology Strategist - UK</t>
  </si>
  <si>
    <t>Senior VP of Human Resources - US</t>
  </si>
  <si>
    <t>Senior Windows Technical Manager - UK</t>
  </si>
  <si>
    <t>SEO Marketing Lead - UK</t>
  </si>
  <si>
    <t>Service Delivery Manager I - HK</t>
  </si>
  <si>
    <t>Service Delivery Manager I SMB - AU</t>
  </si>
  <si>
    <t>Service Delivery Manager I, Enterprise - AU</t>
  </si>
  <si>
    <t>Service Delivery Manager I, Enterprise - UK</t>
  </si>
  <si>
    <t>Service Delivery Manager I, Managed - UK</t>
  </si>
  <si>
    <t>Service Delivery Manager I, SMB - UK</t>
  </si>
  <si>
    <t>Service Delivery Manager II - HK</t>
  </si>
  <si>
    <t>Service Delivery Manager II, Enterprise - UK</t>
  </si>
  <si>
    <t>Service Delivery Manager II, Intensive - UK</t>
  </si>
  <si>
    <t>Service Delivery Manager II, Managed - UK</t>
  </si>
  <si>
    <t>Service Delivery Manager II, SMB - UK</t>
  </si>
  <si>
    <t>Service Delivery Manager III - HK</t>
  </si>
  <si>
    <t>Service Delivery Manager III, Enterprise - UK</t>
  </si>
  <si>
    <t>Service Delivery Manager III, Managed - UK</t>
  </si>
  <si>
    <t>Service Delivery Manager III, SMB - UK</t>
  </si>
  <si>
    <t>Service Delivery Manager IV, Enterprise - AU</t>
  </si>
  <si>
    <t>Service Delivery Manager IV, Enterprise - UK</t>
  </si>
  <si>
    <t>Service Delivery Manager IV, SMB - UK</t>
  </si>
  <si>
    <t>Service Desk Engineer I - UK</t>
  </si>
  <si>
    <t>Service Desk Engineer II - UK</t>
  </si>
  <si>
    <t>Service Desk Technician II - Mailtrust - US</t>
  </si>
  <si>
    <t>Service Desk Technician II - US</t>
  </si>
  <si>
    <t>SharePoint Architect - UK</t>
  </si>
  <si>
    <t>SharePoint Engineer II - UK</t>
  </si>
  <si>
    <t>SharePoint Engineer III - UK</t>
  </si>
  <si>
    <t>Shift Lead Infrastructure Services - UK</t>
  </si>
  <si>
    <t>SMB BDC II - CH</t>
  </si>
  <si>
    <t>SMB Sales Director - UK</t>
  </si>
  <si>
    <t>SMB Sales Manager - UK</t>
  </si>
  <si>
    <t>Software Developer I - PT - US</t>
  </si>
  <si>
    <t>Software Developer II - AU</t>
  </si>
  <si>
    <t>Software Developer II - CH</t>
  </si>
  <si>
    <t>Software Developer III - CH</t>
  </si>
  <si>
    <t>Software Developer III - ISR</t>
  </si>
  <si>
    <t>Software Developer IV - AU</t>
  </si>
  <si>
    <t>Software Developer IV - CH</t>
  </si>
  <si>
    <t>Software Developer IV - ISR</t>
  </si>
  <si>
    <t>Software Developer IV - NL</t>
  </si>
  <si>
    <t>Software Developer IV - UK</t>
  </si>
  <si>
    <t>Software Developer V - AU</t>
  </si>
  <si>
    <t>Software Developer V - ISR</t>
  </si>
  <si>
    <t>Software Developer VI - US</t>
  </si>
  <si>
    <t>Software Test Engineer I - US</t>
  </si>
  <si>
    <t>Solutions Architect - AU</t>
  </si>
  <si>
    <t>Solutions Architect - CH</t>
  </si>
  <si>
    <t>Solutions Architect - HK</t>
  </si>
  <si>
    <t>Solutions Architect - UK</t>
  </si>
  <si>
    <t>Solutions Architecture Manager - UK</t>
  </si>
  <si>
    <t>Solutions Architecture Team Lead - UK</t>
  </si>
  <si>
    <t>Solutions Engineer - HK</t>
  </si>
  <si>
    <t>Solutions Engineer - UK</t>
  </si>
  <si>
    <t>Solutions Engineer I - UK</t>
  </si>
  <si>
    <t>Solutions Engineer II - NL</t>
  </si>
  <si>
    <t>Solutions Engineer II - UK</t>
  </si>
  <si>
    <t>Sourcer - US</t>
  </si>
  <si>
    <t>Statistical Analyst II - US</t>
  </si>
  <si>
    <t>Storage Architect II - UK</t>
  </si>
  <si>
    <t>Storage Engineer I - UK</t>
  </si>
  <si>
    <t>Storage Engineer II - UK</t>
  </si>
  <si>
    <t>Storage Engineer III - UK</t>
  </si>
  <si>
    <t>Storage Engineer IV - UK</t>
  </si>
  <si>
    <t>Storage Infrastructure Engineer II - UK</t>
  </si>
  <si>
    <t>Storage Manager - UK</t>
  </si>
  <si>
    <t>Supplier Manager I - UK</t>
  </si>
  <si>
    <t>Supplier Manager I - US</t>
  </si>
  <si>
    <t>Supplier Manager II - UK</t>
  </si>
  <si>
    <t>Supply Chain &amp; Logistics Specialist II - HK</t>
  </si>
  <si>
    <t>Support Specialist I - UK</t>
  </si>
  <si>
    <t>Support Systems Architect - US</t>
  </si>
  <si>
    <t>SVP, Cloud - US</t>
  </si>
  <si>
    <t>SVP, Global Infrastructure - US</t>
  </si>
  <si>
    <t>SVP, Strategy &amp; Corporate Development - US</t>
  </si>
  <si>
    <t>System Admin Team Manager - UK</t>
  </si>
  <si>
    <t>System Operations Team Lead - UK</t>
  </si>
  <si>
    <t>Systems Engineer I - US</t>
  </si>
  <si>
    <t>Systems Engineer II - UK</t>
  </si>
  <si>
    <t>Tax &amp; Reporting Accountant - UK</t>
  </si>
  <si>
    <t>Tax Analyst II - US</t>
  </si>
  <si>
    <t>Team Lead, Customer Care - US</t>
  </si>
  <si>
    <t>Team Leader, Account Manager - UK</t>
  </si>
  <si>
    <t>Technical Account Coordinator I - UK</t>
  </si>
  <si>
    <t>Technical Account Manager I - UK</t>
  </si>
  <si>
    <t>Technical Account Manager III - AU</t>
  </si>
  <si>
    <t>Technical Change Manager - UK</t>
  </si>
  <si>
    <t>Technical Community Manager - US</t>
  </si>
  <si>
    <t>Technical Operations Lead - UK</t>
  </si>
  <si>
    <t>Technical Service Delivery Manager I, SMB - UK</t>
  </si>
  <si>
    <t>Technical Service Delivery Manager II, SMB - UK</t>
  </si>
  <si>
    <t>Technical Service Delivery Manager III, SMB - UK</t>
  </si>
  <si>
    <t>Technical Services Manager - UK</t>
  </si>
  <si>
    <t>Technical Services Team Leader - UK</t>
  </si>
  <si>
    <t>Technical Support Team Leader - UK</t>
  </si>
  <si>
    <t>Technical Team Manager - UK</t>
  </si>
  <si>
    <t>Technical Trainer IV - UK</t>
  </si>
  <si>
    <t>Technical Training Manager - UK</t>
  </si>
  <si>
    <t>Technical Training Manager - US</t>
  </si>
  <si>
    <t>Technical Writer IV, Hourly - US</t>
  </si>
  <si>
    <t>Telecom Engineer II - UK</t>
  </si>
  <si>
    <t>Testing Manager - US</t>
  </si>
  <si>
    <t>Training Coordinator I - UK</t>
  </si>
  <si>
    <t>Training Support Engineer - UK</t>
  </si>
  <si>
    <t>Transition Specialist II - US</t>
  </si>
  <si>
    <t>Treasury Assistant I - UK</t>
  </si>
  <si>
    <t>UK Managing Director - UK</t>
  </si>
  <si>
    <t>Vice President of Technology - UK</t>
  </si>
  <si>
    <t>Virtualization Architect II - UK</t>
  </si>
  <si>
    <t>Virtualization Engineer I - UK</t>
  </si>
  <si>
    <t>Virtualization Engineer II - UK</t>
  </si>
  <si>
    <t>Virtualization Engineer III - UK</t>
  </si>
  <si>
    <t>VP Sales, CEMA - UK</t>
  </si>
  <si>
    <t>VP, Channel Sales - US</t>
  </si>
  <si>
    <t>VP, Cloud &amp; International Corporate Development - UK</t>
  </si>
  <si>
    <t>VP, Developer Programs &amp; Evangelism - US</t>
  </si>
  <si>
    <t>VP, Engineering Operations - US</t>
  </si>
  <si>
    <t>VP, Enterprise - UK</t>
  </si>
  <si>
    <t>VP, Enterprise Strategy - US</t>
  </si>
  <si>
    <t>VP, Executive Communications - US</t>
  </si>
  <si>
    <t>VP, Finance International - UK</t>
  </si>
  <si>
    <t>VP, HR &amp; Legal - UK</t>
  </si>
  <si>
    <t>VP, Human Resources International - UK</t>
  </si>
  <si>
    <t>VP, International Marketing - UK</t>
  </si>
  <si>
    <t>VP, IT - US</t>
  </si>
  <si>
    <t>VP, Network Operations - US</t>
  </si>
  <si>
    <t>VP, Real Estate Services - US</t>
  </si>
  <si>
    <t>VP, Sales &amp; Marketing - US</t>
  </si>
  <si>
    <t>VP, Segment Strategy &amp; Operations - US</t>
  </si>
  <si>
    <t>VP, SMB - UK</t>
  </si>
  <si>
    <t>VP, Software Application Development - US</t>
  </si>
  <si>
    <t>VP, WW Channel Sales - US</t>
  </si>
  <si>
    <t>VP/Managing Director - HK</t>
  </si>
  <si>
    <t>Web Developer I - UK</t>
  </si>
  <si>
    <t>Web Developer II - US</t>
  </si>
  <si>
    <t>Web Developer III - UK</t>
  </si>
  <si>
    <t>Web Developer IV - UK</t>
  </si>
  <si>
    <t>Website Manager - UK</t>
  </si>
  <si>
    <t>Windows Administrator (SSE) - UK</t>
  </si>
  <si>
    <t>Windows Administrator III - HK</t>
  </si>
  <si>
    <t>Windows Implementation Architect - US</t>
  </si>
  <si>
    <t>Windows Implementation Engineer I - US</t>
  </si>
  <si>
    <t>Windows Implementation Engineer II - US</t>
  </si>
  <si>
    <t>Windows Implementation Engineer IV - US</t>
  </si>
  <si>
    <t>Windows System Administrator III - NL</t>
  </si>
  <si>
    <t>Windows Systems Administrator I - UK</t>
  </si>
  <si>
    <t>Windows Systems Administrator II - UK</t>
  </si>
  <si>
    <t>Windows Systems Administrator III - UK</t>
  </si>
  <si>
    <t>Windows Technician</t>
  </si>
  <si>
    <t>Windows Technician - US</t>
  </si>
  <si>
    <t>Workforce Planner - US</t>
  </si>
  <si>
    <t>WW Channel Sales Operations - US</t>
  </si>
  <si>
    <t>Marketing</t>
  </si>
  <si>
    <t>DefaultEnterprise</t>
  </si>
  <si>
    <t>DefaultSMB</t>
  </si>
  <si>
    <t>DefaultFoundation</t>
  </si>
  <si>
    <t>DefaultCorporate Services</t>
  </si>
  <si>
    <t>DefaultProduct</t>
  </si>
  <si>
    <t>DefaultPrivate Cloud</t>
  </si>
  <si>
    <t>DefaultApplications</t>
  </si>
  <si>
    <t>General and AdministrativeEnterprise</t>
  </si>
  <si>
    <t>General and AdministrativeSMB</t>
  </si>
  <si>
    <t>General and AdministrativeFoundation</t>
  </si>
  <si>
    <t>General and AdministrativeCorporate Services</t>
  </si>
  <si>
    <t>General and AdministrativeProduct</t>
  </si>
  <si>
    <t>General and AdministrativeApplications</t>
  </si>
  <si>
    <t>Tech SupportFoundation</t>
  </si>
  <si>
    <t>Infrastructure OperationsFoundation</t>
  </si>
  <si>
    <t>GDCI - OperationsFoundation</t>
  </si>
  <si>
    <t>Network OperationsFoundation</t>
  </si>
  <si>
    <t>Datacenter NetworkingFoundation</t>
  </si>
  <si>
    <t>Network SecurityFoundation</t>
  </si>
  <si>
    <t>Management - Network OperationsFoundation</t>
  </si>
  <si>
    <t>GDCI - Design &amp; BuildFoundation</t>
  </si>
  <si>
    <t>Infrastructure ArchitectureFoundation</t>
  </si>
  <si>
    <t>Certifications &amp; SolutionsPrivate Cloud</t>
  </si>
  <si>
    <t>DEVOPS SupportSMB</t>
  </si>
  <si>
    <t>Building ManagementFoundation</t>
  </si>
  <si>
    <t>ComplianceFoundation</t>
  </si>
  <si>
    <t>SecurityFoundation</t>
  </si>
  <si>
    <t>GDCI - EngineeringFoundation</t>
  </si>
  <si>
    <t>GDCI - InventoryFoundation</t>
  </si>
  <si>
    <t>GDCI - ManagementFoundation</t>
  </si>
  <si>
    <t>GDCI - AutomationFoundation</t>
  </si>
  <si>
    <t>ExecutiveFoundation</t>
  </si>
  <si>
    <t>Planning &amp; Execution (OSS)Foundation</t>
  </si>
  <si>
    <t>VirtualizationFoundation</t>
  </si>
  <si>
    <t>Enterprise Business IntelligenceFoundation</t>
  </si>
  <si>
    <t>Enterprise Achitecture (SAE)Foundation</t>
  </si>
  <si>
    <t>Software EngineeringFoundation</t>
  </si>
  <si>
    <t>IT OperationsFoundation</t>
  </si>
  <si>
    <t>IT Infrastructure ServicesFoundation</t>
  </si>
  <si>
    <t>RAX on RAXFoundation</t>
  </si>
  <si>
    <t>Quality AssuranceFoundation</t>
  </si>
  <si>
    <t>GDCI - Change ManagementFoundation</t>
  </si>
  <si>
    <t>GDCI - Reporting &amp; AnalyticsFoundation</t>
  </si>
  <si>
    <t>IT Help DeskFoundation</t>
  </si>
  <si>
    <t>Product Engineering FoundationFoundation</t>
  </si>
  <si>
    <t>Product DevelopmentFoundation</t>
  </si>
  <si>
    <t>Infrastructure Software DevelopmentFoundation</t>
  </si>
  <si>
    <t>Technical Program ManagementFoundation</t>
  </si>
  <si>
    <t>Cloud AdvisorsSMB</t>
  </si>
  <si>
    <t>Incident ManagementFoundation</t>
  </si>
  <si>
    <t>Operational ExcellenceFoundation</t>
  </si>
  <si>
    <t>NPS OperationsFoundation</t>
  </si>
  <si>
    <t>Service OperationsFoundation</t>
  </si>
  <si>
    <t>StorageFoundation</t>
  </si>
  <si>
    <t>Management - Infrastructure ServicesFoundation</t>
  </si>
  <si>
    <t>Management - Supply ChainFoundation</t>
  </si>
  <si>
    <t>Supply ChainFoundation</t>
  </si>
  <si>
    <t>GDCI - Automation R&amp;DFoundation</t>
  </si>
  <si>
    <t>Software Engineering DevelopmentFoundation</t>
  </si>
  <si>
    <t>Workbook</t>
  </si>
  <si>
    <t>gl_account_number</t>
  </si>
  <si>
    <t>gl_account_name</t>
  </si>
  <si>
    <t>400000</t>
  </si>
  <si>
    <t>413000</t>
  </si>
  <si>
    <t>RHEL</t>
  </si>
  <si>
    <t>414000</t>
  </si>
  <si>
    <t>Cloud Monitoring Checks</t>
  </si>
  <si>
    <t>414500</t>
  </si>
  <si>
    <t>415000</t>
  </si>
  <si>
    <t>DNS Entry</t>
  </si>
  <si>
    <t>416000</t>
  </si>
  <si>
    <t>IP Addresses</t>
  </si>
  <si>
    <t>416100</t>
  </si>
  <si>
    <t>Utility Usage</t>
  </si>
  <si>
    <t>416120</t>
  </si>
  <si>
    <t>Monthly Fee</t>
  </si>
  <si>
    <t>416200</t>
  </si>
  <si>
    <t>416300</t>
  </si>
  <si>
    <t>Cloud Sites Monthly Fee</t>
  </si>
  <si>
    <t>416310</t>
  </si>
  <si>
    <t>Compute Cycle Usage</t>
  </si>
  <si>
    <t>416320</t>
  </si>
  <si>
    <t>Reseller Billing Fees</t>
  </si>
  <si>
    <t>416900</t>
  </si>
  <si>
    <t>Bandwidth In</t>
  </si>
  <si>
    <t>416910</t>
  </si>
  <si>
    <t>Bandwidth Out</t>
  </si>
  <si>
    <t>416920</t>
  </si>
  <si>
    <t>Bandwidth CDN</t>
  </si>
  <si>
    <t>417000</t>
  </si>
  <si>
    <t>Software/Applications</t>
  </si>
  <si>
    <t>417100</t>
  </si>
  <si>
    <t>Customer Data Center RPC Support</t>
  </si>
  <si>
    <t>417200</t>
  </si>
  <si>
    <t>RPC Support</t>
  </si>
  <si>
    <t>417500</t>
  </si>
  <si>
    <t>SharePoint Recurring</t>
  </si>
  <si>
    <t>419000</t>
  </si>
  <si>
    <t>Hosting Services</t>
  </si>
  <si>
    <t>419100</t>
  </si>
  <si>
    <t>Mail Revenue</t>
  </si>
  <si>
    <t>419200</t>
  </si>
  <si>
    <t>419400</t>
  </si>
  <si>
    <t>419500</t>
  </si>
  <si>
    <t>419600</t>
  </si>
  <si>
    <t>Prepay Hosting</t>
  </si>
  <si>
    <t>422500</t>
  </si>
  <si>
    <t>Virtual Hosting</t>
  </si>
  <si>
    <t>422750</t>
  </si>
  <si>
    <t>Bandwidth Overage</t>
  </si>
  <si>
    <t>423750</t>
  </si>
  <si>
    <t>Server Setup</t>
  </si>
  <si>
    <t>424750</t>
  </si>
  <si>
    <t>Sharepoint Nonrecurring</t>
  </si>
  <si>
    <t>425000</t>
  </si>
  <si>
    <t>425250</t>
  </si>
  <si>
    <t>Upgrade Fee</t>
  </si>
  <si>
    <t>425500</t>
  </si>
  <si>
    <t>SSL Certificates</t>
  </si>
  <si>
    <t>425750</t>
  </si>
  <si>
    <t>Managed Backup Overage</t>
  </si>
  <si>
    <t>426200</t>
  </si>
  <si>
    <t>Bulk Email/Software Sales</t>
  </si>
  <si>
    <t>426300</t>
  </si>
  <si>
    <t>Bulk Import</t>
  </si>
  <si>
    <t>426310</t>
  </si>
  <si>
    <t>426320</t>
  </si>
  <si>
    <t>Deployment</t>
  </si>
  <si>
    <t>426330</t>
  </si>
  <si>
    <t>426750</t>
  </si>
  <si>
    <t>Domain Registration</t>
  </si>
  <si>
    <t>427000</t>
  </si>
  <si>
    <t>427250</t>
  </si>
  <si>
    <t>Rackspace Solutions</t>
  </si>
  <si>
    <t>427500</t>
  </si>
  <si>
    <t>Other Revenue</t>
  </si>
  <si>
    <t>427750</t>
  </si>
  <si>
    <t>Lease Revenue</t>
  </si>
  <si>
    <t>427850</t>
  </si>
  <si>
    <t>Miscellaneous Income/Expense</t>
  </si>
  <si>
    <t>428250</t>
  </si>
  <si>
    <t>Non-Service Credits</t>
  </si>
  <si>
    <t>428500</t>
  </si>
  <si>
    <t>428750</t>
  </si>
  <si>
    <t>429000</t>
  </si>
  <si>
    <t>429250</t>
  </si>
  <si>
    <t>429500</t>
  </si>
  <si>
    <t>429750</t>
  </si>
  <si>
    <t>429800</t>
  </si>
  <si>
    <t>430000</t>
  </si>
  <si>
    <t>430500</t>
  </si>
  <si>
    <t>Hosting Rev-Mosso</t>
  </si>
  <si>
    <t>430515</t>
  </si>
  <si>
    <t>Hosting Revenue</t>
  </si>
  <si>
    <t>430530</t>
  </si>
  <si>
    <t>430550</t>
  </si>
  <si>
    <t>430551</t>
  </si>
  <si>
    <t>430552</t>
  </si>
  <si>
    <t>430553</t>
  </si>
  <si>
    <t>430554</t>
  </si>
  <si>
    <t>430555</t>
  </si>
  <si>
    <t>430556</t>
  </si>
  <si>
    <t>430557</t>
  </si>
  <si>
    <t>440500</t>
  </si>
  <si>
    <t>449500</t>
  </si>
  <si>
    <t>Management Fee Income - Mosso</t>
  </si>
  <si>
    <t>460100</t>
  </si>
  <si>
    <t>Interest Income - Mosso</t>
  </si>
  <si>
    <t>460140</t>
  </si>
  <si>
    <t>460150</t>
  </si>
  <si>
    <t>Intercompany Interest Income</t>
  </si>
  <si>
    <t>460155</t>
  </si>
  <si>
    <t>460250</t>
  </si>
  <si>
    <t>460260</t>
  </si>
  <si>
    <t>Intercompany Exit Fee Gain</t>
  </si>
  <si>
    <t>460500</t>
  </si>
  <si>
    <t>Leaseco Interest Income</t>
  </si>
  <si>
    <t>460750</t>
  </si>
  <si>
    <t>460900</t>
  </si>
  <si>
    <t>Intercompany Dividend Income</t>
  </si>
  <si>
    <t>501000</t>
  </si>
  <si>
    <t>501005</t>
  </si>
  <si>
    <t>Bandwidth - Allocation</t>
  </si>
  <si>
    <t>504000</t>
  </si>
  <si>
    <t>Data Center Rent</t>
  </si>
  <si>
    <t>504005</t>
  </si>
  <si>
    <t>DC Rent - Allocation</t>
  </si>
  <si>
    <t>504150</t>
  </si>
  <si>
    <t>Customer Gear Maintenance</t>
  </si>
  <si>
    <t>504350</t>
  </si>
  <si>
    <t>504500</t>
  </si>
  <si>
    <t>504800</t>
  </si>
  <si>
    <t>504850</t>
  </si>
  <si>
    <t>504950</t>
  </si>
  <si>
    <t>505100</t>
  </si>
  <si>
    <t>505250</t>
  </si>
  <si>
    <t>License Expense</t>
  </si>
  <si>
    <t>505300</t>
  </si>
  <si>
    <t>Web Server Lease</t>
  </si>
  <si>
    <t>505400</t>
  </si>
  <si>
    <t>505410</t>
  </si>
  <si>
    <t>Inventory Shrink</t>
  </si>
  <si>
    <t>505420</t>
  </si>
  <si>
    <t>505450</t>
  </si>
  <si>
    <t>505455</t>
  </si>
  <si>
    <t>DC Costs - Allocation</t>
  </si>
  <si>
    <t>505500</t>
  </si>
  <si>
    <t>Hosting Expense</t>
  </si>
  <si>
    <t>505530</t>
  </si>
  <si>
    <t>505600</t>
  </si>
  <si>
    <t>505601</t>
  </si>
  <si>
    <t>510000</t>
  </si>
  <si>
    <t>510005</t>
  </si>
  <si>
    <t>512000</t>
  </si>
  <si>
    <t>512005</t>
  </si>
  <si>
    <t>Power - Allocation</t>
  </si>
  <si>
    <t>512500</t>
  </si>
  <si>
    <t>Cost of Revenue - Other</t>
  </si>
  <si>
    <t>512510</t>
  </si>
  <si>
    <t>Outsourced Services - COR</t>
  </si>
  <si>
    <t>515000</t>
  </si>
  <si>
    <t>517500</t>
  </si>
  <si>
    <t>Sales Tax Mosso - COR</t>
  </si>
  <si>
    <t>519500</t>
  </si>
  <si>
    <t>521150</t>
  </si>
  <si>
    <t>Customer Programs</t>
  </si>
  <si>
    <t>521160</t>
  </si>
  <si>
    <t>Customer Programs Credits</t>
  </si>
  <si>
    <t>521300</t>
  </si>
  <si>
    <t>Sales Other</t>
  </si>
  <si>
    <t>521440</t>
  </si>
  <si>
    <t>Partner Programs/Events</t>
  </si>
  <si>
    <t>521450</t>
  </si>
  <si>
    <t>Partner Reimbursement</t>
  </si>
  <si>
    <t>521600</t>
  </si>
  <si>
    <t>Sales Lists</t>
  </si>
  <si>
    <t>521900</t>
  </si>
  <si>
    <t>Sales Collateral/Lists</t>
  </si>
  <si>
    <t>522050</t>
  </si>
  <si>
    <t>Sales Promotions</t>
  </si>
  <si>
    <t>522200</t>
  </si>
  <si>
    <t>Referral Rewards</t>
  </si>
  <si>
    <t>522350</t>
  </si>
  <si>
    <t>Agency Fees</t>
  </si>
  <si>
    <t>522500</t>
  </si>
  <si>
    <t>Public Relation Marketing Fee</t>
  </si>
  <si>
    <t>522650</t>
  </si>
  <si>
    <t>Online Media/Email</t>
  </si>
  <si>
    <t>522800</t>
  </si>
  <si>
    <t>522950</t>
  </si>
  <si>
    <t>Print Advertising</t>
  </si>
  <si>
    <t>523100</t>
  </si>
  <si>
    <t>Membership Dues</t>
  </si>
  <si>
    <t>523250</t>
  </si>
  <si>
    <t>Direct Mail</t>
  </si>
  <si>
    <t>523400</t>
  </si>
  <si>
    <t>Other Marketing</t>
  </si>
  <si>
    <t>523550</t>
  </si>
  <si>
    <t>Television</t>
  </si>
  <si>
    <t>523700</t>
  </si>
  <si>
    <t>525995</t>
  </si>
  <si>
    <t>Parking Worksite - Employees</t>
  </si>
  <si>
    <t>528000</t>
  </si>
  <si>
    <t>528775</t>
  </si>
  <si>
    <t>529000</t>
  </si>
  <si>
    <t>Bank Service Charges</t>
  </si>
  <si>
    <t>529150</t>
  </si>
  <si>
    <t>Merchant Credit Card Fees</t>
  </si>
  <si>
    <t>529300</t>
  </si>
  <si>
    <t>Office Supplies</t>
  </si>
  <si>
    <t>529400</t>
  </si>
  <si>
    <t>529450</t>
  </si>
  <si>
    <t>529600</t>
  </si>
  <si>
    <t>529750</t>
  </si>
  <si>
    <t>529900</t>
  </si>
  <si>
    <t>Equipment Rental</t>
  </si>
  <si>
    <t>531050</t>
  </si>
  <si>
    <t>531200</t>
  </si>
  <si>
    <t>Computer/Equipment Repairs</t>
  </si>
  <si>
    <t>531350</t>
  </si>
  <si>
    <t>531450</t>
  </si>
  <si>
    <t>531500</t>
  </si>
  <si>
    <t>531650</t>
  </si>
  <si>
    <t>Job Advertising</t>
  </si>
  <si>
    <t>531800</t>
  </si>
  <si>
    <t>Charitable Contributions</t>
  </si>
  <si>
    <t>531950</t>
  </si>
  <si>
    <t>Property Tax</t>
  </si>
  <si>
    <t>532100</t>
  </si>
  <si>
    <t>532250</t>
  </si>
  <si>
    <t>532350</t>
  </si>
  <si>
    <t>Sales Tax Expense - Billing Adjustments</t>
  </si>
  <si>
    <t>532360</t>
  </si>
  <si>
    <t>Vat Expense - Billing Adjustments</t>
  </si>
  <si>
    <t>532500</t>
  </si>
  <si>
    <t>Intercompany Cost Sharing Expenses</t>
  </si>
  <si>
    <t>532750</t>
  </si>
  <si>
    <t>532760</t>
  </si>
  <si>
    <t>532770</t>
  </si>
  <si>
    <t>Intercompany Royalty Fees</t>
  </si>
  <si>
    <t>532771</t>
  </si>
  <si>
    <t>Royalty Fees - Transfer Pricing - US/BV</t>
  </si>
  <si>
    <t>532775</t>
  </si>
  <si>
    <t>IP Fees Bermuda - Transfer Pricing</t>
  </si>
  <si>
    <t>532776</t>
  </si>
  <si>
    <t>IP Fees Bermuda Transfer Pricing BM/US</t>
  </si>
  <si>
    <t>532780</t>
  </si>
  <si>
    <t>Intercompany Marketing Charge to Bermuda</t>
  </si>
  <si>
    <t>532785</t>
  </si>
  <si>
    <t>Intercompany Exit Fee</t>
  </si>
  <si>
    <t>533025</t>
  </si>
  <si>
    <t>Franchise Tax Expense</t>
  </si>
  <si>
    <t>533250</t>
  </si>
  <si>
    <t>Withholding Tax Expense</t>
  </si>
  <si>
    <t>533400</t>
  </si>
  <si>
    <t>Other Foreign Surcharges</t>
  </si>
  <si>
    <t>533765</t>
  </si>
  <si>
    <t>Shipping Expense - Leaseco</t>
  </si>
  <si>
    <t>533780</t>
  </si>
  <si>
    <t>Bad debt</t>
  </si>
  <si>
    <t>533805</t>
  </si>
  <si>
    <t>533900</t>
  </si>
  <si>
    <t>Legal Contingencies</t>
  </si>
  <si>
    <t>550200</t>
  </si>
  <si>
    <t>560500</t>
  </si>
  <si>
    <t>560750</t>
  </si>
  <si>
    <t>568750</t>
  </si>
  <si>
    <t>568755</t>
  </si>
  <si>
    <t>568850</t>
  </si>
  <si>
    <t>580500</t>
  </si>
  <si>
    <t>580550</t>
  </si>
  <si>
    <t>582500</t>
  </si>
  <si>
    <t>582550</t>
  </si>
  <si>
    <t>584500</t>
  </si>
  <si>
    <t>585000</t>
  </si>
  <si>
    <t>Depreciation - Leased Equipment</t>
  </si>
  <si>
    <t>585100</t>
  </si>
  <si>
    <t>Depreciation - Servers</t>
  </si>
  <si>
    <t>585110</t>
  </si>
  <si>
    <t>Depreciation - Storage</t>
  </si>
  <si>
    <t>585120</t>
  </si>
  <si>
    <t>Depreciation - Managed Backup</t>
  </si>
  <si>
    <t>585130</t>
  </si>
  <si>
    <t>Depreciation - Security</t>
  </si>
  <si>
    <t>585150</t>
  </si>
  <si>
    <t>Depreciation - Server Parts</t>
  </si>
  <si>
    <t>585200</t>
  </si>
  <si>
    <t>Depreciation - Network Equipment</t>
  </si>
  <si>
    <t>585300</t>
  </si>
  <si>
    <t>Depreciation - Computer Hardware</t>
  </si>
  <si>
    <t>585400</t>
  </si>
  <si>
    <t>Depreciation - Computer Software</t>
  </si>
  <si>
    <t>585500</t>
  </si>
  <si>
    <t>Depreciation - Electrical Equipment</t>
  </si>
  <si>
    <t>585600</t>
  </si>
  <si>
    <t>Depreciation - Phone Systems</t>
  </si>
  <si>
    <t>585700</t>
  </si>
  <si>
    <t>585750</t>
  </si>
  <si>
    <t>Depreciation - Building</t>
  </si>
  <si>
    <t>585900</t>
  </si>
  <si>
    <t>Depreciation - Leasehold Improvements</t>
  </si>
  <si>
    <t>585910</t>
  </si>
  <si>
    <t>Depreciation - Impairment</t>
  </si>
  <si>
    <t>585999</t>
  </si>
  <si>
    <t>Depreciation Expense - Other</t>
  </si>
  <si>
    <t>586000</t>
  </si>
  <si>
    <t>Amort Exp - Goodwill</t>
  </si>
  <si>
    <t>586010</t>
  </si>
  <si>
    <t>Amort Exp - Digi Net License</t>
  </si>
  <si>
    <t>586100</t>
  </si>
  <si>
    <t>Amort Exp - Smartmax</t>
  </si>
  <si>
    <t>586200</t>
  </si>
  <si>
    <t>Amort Exp - Right Now Sw License</t>
  </si>
  <si>
    <t>586300</t>
  </si>
  <si>
    <t>Amort Exp - Purchased Technology</t>
  </si>
  <si>
    <t>586400</t>
  </si>
  <si>
    <t>Amort Exp - License</t>
  </si>
  <si>
    <t>586500</t>
  </si>
  <si>
    <t>586600</t>
  </si>
  <si>
    <t>Amort Exp - Domain Name Purchase</t>
  </si>
  <si>
    <t>586700</t>
  </si>
  <si>
    <t>586800</t>
  </si>
  <si>
    <t>Amort Exp - Customer Relationships</t>
  </si>
  <si>
    <t>586900</t>
  </si>
  <si>
    <t>Amort Exp - Other Intangible Assets</t>
  </si>
  <si>
    <t>586999</t>
  </si>
  <si>
    <t>587000</t>
  </si>
  <si>
    <t>Intercompany D&amp;A</t>
  </si>
  <si>
    <t>590000</t>
  </si>
  <si>
    <t>590025</t>
  </si>
  <si>
    <t>Interest Expense - Foreign Intercompany</t>
  </si>
  <si>
    <t>590050</t>
  </si>
  <si>
    <t>Intercompany Interest Expense</t>
  </si>
  <si>
    <t>590055</t>
  </si>
  <si>
    <t>Interest Expense - Interco</t>
  </si>
  <si>
    <t>590100</t>
  </si>
  <si>
    <t>Interest Expense - Leaseco</t>
  </si>
  <si>
    <t>590120</t>
  </si>
  <si>
    <t>Unrealized Gain/Loss Foreign Currency</t>
  </si>
  <si>
    <t>590130</t>
  </si>
  <si>
    <t>Realized Gain/Loss Foreign Currency</t>
  </si>
  <si>
    <t>590135</t>
  </si>
  <si>
    <t>Unrealized Gain/Loss - Investments</t>
  </si>
  <si>
    <t>590136</t>
  </si>
  <si>
    <t>Realized Gain/Loss - Investments</t>
  </si>
  <si>
    <t>590140</t>
  </si>
  <si>
    <t>590145</t>
  </si>
  <si>
    <t>Income Taxes - State</t>
  </si>
  <si>
    <t>590150</t>
  </si>
  <si>
    <t>Income Taxes</t>
  </si>
  <si>
    <t>590160</t>
  </si>
  <si>
    <t>Forecast Currency</t>
  </si>
  <si>
    <t>Parent1</t>
  </si>
  <si>
    <t>Parent2</t>
  </si>
  <si>
    <t>Parent3</t>
  </si>
  <si>
    <t>Parent4</t>
  </si>
  <si>
    <t>Force Full Quarter:</t>
  </si>
  <si>
    <t>&lt;== Month 1</t>
  </si>
  <si>
    <t>&lt;== Month 2</t>
  </si>
  <si>
    <t>&lt;== Month 3</t>
  </si>
  <si>
    <t>Americas</t>
  </si>
  <si>
    <t>AGI - G&amp;A</t>
  </si>
  <si>
    <t>AGI - R&amp;D</t>
  </si>
  <si>
    <t>Applications Product Management</t>
  </si>
  <si>
    <t>Applications Program Management</t>
  </si>
  <si>
    <t>Applications Software Development</t>
  </si>
  <si>
    <t>2569</t>
  </si>
  <si>
    <t>Architecture - G&amp;A</t>
  </si>
  <si>
    <t>Architecture - R&amp;D</t>
  </si>
  <si>
    <t>3318</t>
  </si>
  <si>
    <t>Business Management</t>
  </si>
  <si>
    <t>2571</t>
  </si>
  <si>
    <t>Business Operations - G&amp;A</t>
  </si>
  <si>
    <t>Business Operations - R&amp;D</t>
  </si>
  <si>
    <t>2568</t>
  </si>
  <si>
    <t>Custom/Dedicated - G&amp;A</t>
  </si>
  <si>
    <t>Custom/Dedicated - R&amp;D</t>
  </si>
  <si>
    <t>Experience Design - G&amp;A</t>
  </si>
  <si>
    <t>Experience Design - R&amp;D</t>
  </si>
  <si>
    <t>2561</t>
  </si>
  <si>
    <t>HR Executive</t>
  </si>
  <si>
    <t>Infrastructure - G&amp;A</t>
  </si>
  <si>
    <t>Infrastructure - R&amp;D</t>
  </si>
  <si>
    <t>Office of the CTO</t>
  </si>
  <si>
    <t>Partner Sales</t>
  </si>
  <si>
    <t>2570</t>
  </si>
  <si>
    <t>Platform - G&amp;A</t>
  </si>
  <si>
    <t>Platform - R&amp;D</t>
  </si>
  <si>
    <t>2563</t>
  </si>
  <si>
    <t>Private Cloud - G&amp;A</t>
  </si>
  <si>
    <t>Private Cloud - R&amp;D</t>
  </si>
  <si>
    <t>2564</t>
  </si>
  <si>
    <t>Product Management - G&amp;A</t>
  </si>
  <si>
    <t>Product Management - R&amp;D</t>
  </si>
  <si>
    <t>Quality Engineering - G&amp;A</t>
  </si>
  <si>
    <t>Quality Engineering - R&amp;D</t>
  </si>
  <si>
    <t>2562</t>
  </si>
  <si>
    <t>Racker Rewards</t>
  </si>
  <si>
    <t>3319</t>
  </si>
  <si>
    <t>Sales Enablement</t>
  </si>
  <si>
    <t>3320</t>
  </si>
  <si>
    <t>Sales Strategy</t>
  </si>
  <si>
    <t>2567</t>
  </si>
  <si>
    <t>SFO Office - G&amp;A</t>
  </si>
  <si>
    <t>SFO Office - R&amp;D</t>
  </si>
  <si>
    <t>2565</t>
  </si>
  <si>
    <t>Shared Services - G&amp;A</t>
  </si>
  <si>
    <t>Shared Services - R&amp;D</t>
  </si>
  <si>
    <t>2566</t>
  </si>
  <si>
    <t>Specialty Practice - G&amp;A</t>
  </si>
  <si>
    <t>Specialty Practice - R&amp;D</t>
  </si>
  <si>
    <t>1537</t>
  </si>
  <si>
    <t>Support Specialists</t>
  </si>
  <si>
    <t>Talent Development</t>
  </si>
  <si>
    <t>Account Manager VI - US</t>
  </si>
  <si>
    <t>Accountant - US</t>
  </si>
  <si>
    <t>Accountant III - CH</t>
  </si>
  <si>
    <t>Advisory Recruiter, SME - US</t>
  </si>
  <si>
    <t>Asset Management Team Lead - US</t>
  </si>
  <si>
    <t>Asset Managment Specialist I - US</t>
  </si>
  <si>
    <t>Asset Managment Specialist II - US</t>
  </si>
  <si>
    <t>Associate Accountant - US</t>
  </si>
  <si>
    <t>Associate Executive Recruiter - US</t>
  </si>
  <si>
    <t>Associate Revenue Assurance Analyst - US</t>
  </si>
  <si>
    <t>Associate Sales Operations Specialist - US</t>
  </si>
  <si>
    <t>Associate Tax Accountant - US</t>
  </si>
  <si>
    <t>ATG Architect - US</t>
  </si>
  <si>
    <t>Automation Engineer I - UK</t>
  </si>
  <si>
    <t>BDA - HK</t>
  </si>
  <si>
    <t>Business Intelligence Specialist I - US</t>
  </si>
  <si>
    <t>Business Intelligence Specialist II - US</t>
  </si>
  <si>
    <t>Business Intelligence Specialist III - US</t>
  </si>
  <si>
    <t>Business Intelligence Specialist IV - US</t>
  </si>
  <si>
    <t>Business Systems Analyst II - US</t>
  </si>
  <si>
    <t>Buyer I - US</t>
  </si>
  <si>
    <t>Buyer II - US</t>
  </si>
  <si>
    <t>CEO</t>
  </si>
  <si>
    <t>Change &amp; Release Lead - US</t>
  </si>
  <si>
    <t>Chief Information Officer - US</t>
  </si>
  <si>
    <t>Chief of Staff</t>
  </si>
  <si>
    <t>Chief Technologist - US</t>
  </si>
  <si>
    <t>CIO</t>
  </si>
  <si>
    <t>Cloud Onboarding Specialist - UK</t>
  </si>
  <si>
    <t>Cloud Support Administrator - UK</t>
  </si>
  <si>
    <t>Community Manager II - US</t>
  </si>
  <si>
    <t>Culture Branding Lead - US</t>
  </si>
  <si>
    <t>Customer Services Manager - UK</t>
  </si>
  <si>
    <t>Data Centre Office Manager - UK</t>
  </si>
  <si>
    <t>Data Scientist III - US</t>
  </si>
  <si>
    <t>Data Scientist IV - US</t>
  </si>
  <si>
    <t>Database Administrator V - US</t>
  </si>
  <si>
    <t>Demand Planning &amp; Inventory Analyst IV - CH</t>
  </si>
  <si>
    <t>Developer Advocate III - US</t>
  </si>
  <si>
    <t>DevOps Engineer IV - US</t>
  </si>
  <si>
    <t>Director, Global Communications - US</t>
  </si>
  <si>
    <t>Director, Legal - US</t>
  </si>
  <si>
    <t>Director, Marketing Data Strategy &amp; Automation - US</t>
  </si>
  <si>
    <t>Director, Operations, Strategy &amp; Support - US</t>
  </si>
  <si>
    <t>Director, Practice Area - US</t>
  </si>
  <si>
    <t>Director, Program Management - US</t>
  </si>
  <si>
    <t>Director, SEC</t>
  </si>
  <si>
    <t>Director, SEC - US</t>
  </si>
  <si>
    <t>Director, Security Engineering - US</t>
  </si>
  <si>
    <t>Director, Strategic Initiatives - US</t>
  </si>
  <si>
    <t>Director, Strategic Programs - UK</t>
  </si>
  <si>
    <t>Director, Tax - US</t>
  </si>
  <si>
    <t>Field Development Representative - US</t>
  </si>
  <si>
    <t>Financial Systems Analyst I - US</t>
  </si>
  <si>
    <t>General Counsel</t>
  </si>
  <si>
    <t>Global Account Manager - US</t>
  </si>
  <si>
    <t>Global Networking and Telecommunications Manager - US</t>
  </si>
  <si>
    <t>Global Program Manager - US</t>
  </si>
  <si>
    <t>Head of Marketing - AU</t>
  </si>
  <si>
    <t>Head of Support Marketing - UK</t>
  </si>
  <si>
    <t>HR Ops Global Product Manager II - US</t>
  </si>
  <si>
    <t>Implementation Coordinator I - US</t>
  </si>
  <si>
    <t>Implementation Coordinator II - US</t>
  </si>
  <si>
    <t>Implementation Coordinator III - US</t>
  </si>
  <si>
    <t>Implementation Coordinator IV - US</t>
  </si>
  <si>
    <t>Incident Manager - US</t>
  </si>
  <si>
    <t>International Reward Partner - US</t>
  </si>
  <si>
    <t>Inventory Control Specialist II – HK</t>
  </si>
  <si>
    <t>Lead Operational Excellence Architect - US</t>
  </si>
  <si>
    <t>Linux Implementation Engineer I - US</t>
  </si>
  <si>
    <t>Major Incident Manager - US</t>
  </si>
  <si>
    <t>Manager, Accounting - US</t>
  </si>
  <si>
    <t>Manager, Commissions - US</t>
  </si>
  <si>
    <t>Manager, Community Management - US</t>
  </si>
  <si>
    <t>Manager, HR Service Center - US</t>
  </si>
  <si>
    <t>Manager, Sales Strategy - US</t>
  </si>
  <si>
    <t>Manager, Sales Training - US</t>
  </si>
  <si>
    <t>Manager, Security Engineering - US</t>
  </si>
  <si>
    <t>Manager, Systems Engineering - US</t>
  </si>
  <si>
    <t>Manager, Tax - US</t>
  </si>
  <si>
    <t>Marketing Account Manager - US</t>
  </si>
  <si>
    <t>Marketing Account Manager II - US</t>
  </si>
  <si>
    <t>Marketing Manager - CH</t>
  </si>
  <si>
    <t>Marketing Operations Analyst - UK</t>
  </si>
  <si>
    <t>Marketing Program Coordinator I - US</t>
  </si>
  <si>
    <t>Marketing Program Coordinator III - US</t>
  </si>
  <si>
    <t>Marketing Programs Specialist I - US</t>
  </si>
  <si>
    <t>Marketing Programs Specialist II - US</t>
  </si>
  <si>
    <t>Marketing Programs Specialist III - US</t>
  </si>
  <si>
    <t>Monitoring Administrator III - US</t>
  </si>
  <si>
    <t>Network Resource Coordinator - US</t>
  </si>
  <si>
    <t>New Sales Executive III - IND</t>
  </si>
  <si>
    <t>Online Sales Representative II - HK</t>
  </si>
  <si>
    <t>Online Sales Representative III - HK</t>
  </si>
  <si>
    <t>Online Sales Team Lead - HK</t>
  </si>
  <si>
    <t>Online Specialist I - US</t>
  </si>
  <si>
    <t>Oracle Business Systems Analyst V - US</t>
  </si>
  <si>
    <t>Paralegal I - US</t>
  </si>
  <si>
    <t>Partner Account Manager II - US_CA</t>
  </si>
  <si>
    <t>Partner Manager I - US</t>
  </si>
  <si>
    <t>Partner Manager II - US (inactive)</t>
  </si>
  <si>
    <t>Partner Sales Manager I - US</t>
  </si>
  <si>
    <t>Partner Sales Manager II - US</t>
  </si>
  <si>
    <t>Payroll Systems Analyst III - US</t>
  </si>
  <si>
    <t>President - US</t>
  </si>
  <si>
    <t>Pricing Specialist I - US</t>
  </si>
  <si>
    <t>Principal Architect - UK</t>
  </si>
  <si>
    <t>Process Engineer I - US</t>
  </si>
  <si>
    <t>Product Engineering Manager III - US</t>
  </si>
  <si>
    <t>Product Engineering Manager III - US (inactive)</t>
  </si>
  <si>
    <t>Product Ops Engineer II - US</t>
  </si>
  <si>
    <t>Program Manager III - US</t>
  </si>
  <si>
    <t>Project Manager I - US</t>
  </si>
  <si>
    <t>Pursuit Manager - US</t>
  </si>
  <si>
    <t>Revenue Operations Manager - HK</t>
  </si>
  <si>
    <t>Sales Administrator - CH</t>
  </si>
  <si>
    <t>Sales Executive III - ISR</t>
  </si>
  <si>
    <t>Sales Operations Specialist - US</t>
  </si>
  <si>
    <t>Sales Specialist IV - US</t>
  </si>
  <si>
    <t>Sales Support, Team Lead - UK</t>
  </si>
  <si>
    <t>Sales Trainer I - US</t>
  </si>
  <si>
    <t>SAN Storage Engineer IV - US</t>
  </si>
  <si>
    <t>Scrum Master III - US</t>
  </si>
  <si>
    <t>Security Developer - Test I - US</t>
  </si>
  <si>
    <t>Security Developer - Test II - US</t>
  </si>
  <si>
    <t>Security Developer - Test III - US</t>
  </si>
  <si>
    <t>Security Developer - Test V - US</t>
  </si>
  <si>
    <t>Segment Operations Leader - US</t>
  </si>
  <si>
    <t>Senior Accountant - US</t>
  </si>
  <si>
    <t>Senior Consultant, Rackspace - US</t>
  </si>
  <si>
    <t>Senior Director, Finance - US</t>
  </si>
  <si>
    <t>Senior Director, Financial Systems - US</t>
  </si>
  <si>
    <t>Senior Director, Global Data Center Operations - US</t>
  </si>
  <si>
    <t>Senior Director, Global Tax - US</t>
  </si>
  <si>
    <t>Senior Director, Operations - US</t>
  </si>
  <si>
    <t>Senior Director, Sales Strategy - US</t>
  </si>
  <si>
    <t>Senior Information Developer - US</t>
  </si>
  <si>
    <t>Senior Major Incident Manager - US</t>
  </si>
  <si>
    <t>Senior Manager, Blacksburg Business Operations - US</t>
  </si>
  <si>
    <t>Senior Manager, Cloud Academy Operations - US</t>
  </si>
  <si>
    <t>Senior Manager, DBA - US</t>
  </si>
  <si>
    <t>Senior Manager, Events - US</t>
  </si>
  <si>
    <t>Senior Manager, Oracle Applications - US</t>
  </si>
  <si>
    <t>Senior Manager, Project Management - US</t>
  </si>
  <si>
    <t>Senior Manager, Tax - US</t>
  </si>
  <si>
    <t>Senior Manager, Technical Communications - US</t>
  </si>
  <si>
    <t>Senior Marketing Account Manager - US</t>
  </si>
  <si>
    <t>Senior Proposal Manager - US</t>
  </si>
  <si>
    <t>Senior SEC Accountant - US</t>
  </si>
  <si>
    <t>Senior Security Researcher - US</t>
  </si>
  <si>
    <t>Senior Tax Accountant - US</t>
  </si>
  <si>
    <t>SharePoint Developer IV - US</t>
  </si>
  <si>
    <t>SMB Account Executive - US</t>
  </si>
  <si>
    <t>SMB BDC Major Accounts - UK</t>
  </si>
  <si>
    <t>SMB BDC Mid Market - UK</t>
  </si>
  <si>
    <t>SMB BDC Small Business - UK</t>
  </si>
  <si>
    <t>SMB, Head of Operations - UK</t>
  </si>
  <si>
    <t>Social Media Specialist V - US</t>
  </si>
  <si>
    <t>Software Developer III - AU</t>
  </si>
  <si>
    <t>Special Counsel - US</t>
  </si>
  <si>
    <t>Storage Infrastructure Engineer I - UK</t>
  </si>
  <si>
    <t>Strategic Account Executive II - US</t>
  </si>
  <si>
    <t>Supervisor, Accounting - US</t>
  </si>
  <si>
    <t>Supervisor, Tax - US</t>
  </si>
  <si>
    <t>SVP &amp; GM, Americas - US</t>
  </si>
  <si>
    <t>SVP, Americas Sales - US</t>
  </si>
  <si>
    <t>SVP, Product &amp; Engineering - US</t>
  </si>
  <si>
    <t>Systems Architect III - US</t>
  </si>
  <si>
    <t>Tax Accountant - US</t>
  </si>
  <si>
    <t>Team Lead, Cloud Engineering - US</t>
  </si>
  <si>
    <t>Team Lead, Partner Specialist - US</t>
  </si>
  <si>
    <t>Technical Community Evangelist - US</t>
  </si>
  <si>
    <t>Technical Operations Lead - US</t>
  </si>
  <si>
    <t>Treasury Operations Manager - US</t>
  </si>
  <si>
    <t>Virtualization Engineer IV - US</t>
  </si>
  <si>
    <t>VP, Global Talent &amp; Racker Rewards - US</t>
  </si>
  <si>
    <t>VP, Racker Rewards &amp; HR Operations - US</t>
  </si>
  <si>
    <t>VP, Sales Operations - US</t>
  </si>
  <si>
    <t>VP, Strategy and Transformation Services - US</t>
  </si>
  <si>
    <t>CH-West Park</t>
  </si>
  <si>
    <t>IND-Bangalore</t>
  </si>
  <si>
    <t>UK-Hayes-Hyde Park Hayes</t>
  </si>
  <si>
    <t>US-OH-Cincinnati</t>
  </si>
  <si>
    <t>MKT</t>
  </si>
  <si>
    <t>Compute Managed Fee</t>
  </si>
  <si>
    <t>1510_0000</t>
  </si>
  <si>
    <t>DevOps Support</t>
  </si>
  <si>
    <t>First Gen Cloud Servers</t>
  </si>
  <si>
    <t>Hadoop</t>
  </si>
  <si>
    <t>Intensive</t>
  </si>
  <si>
    <t>Managed</t>
  </si>
  <si>
    <t>Performance 1</t>
  </si>
  <si>
    <t>Performance 2</t>
  </si>
  <si>
    <t>Actionable Analytics</t>
  </si>
  <si>
    <t>Americas Shared</t>
  </si>
  <si>
    <t>333</t>
  </si>
  <si>
    <t>ENTC-AON</t>
  </si>
  <si>
    <t>AON</t>
  </si>
  <si>
    <t>993</t>
  </si>
  <si>
    <t>Cloud Movers</t>
  </si>
  <si>
    <t>922</t>
  </si>
  <si>
    <t>Cloud Office Shared</t>
  </si>
  <si>
    <t>826</t>
  </si>
  <si>
    <t>Cloud Specialists</t>
  </si>
  <si>
    <t>994</t>
  </si>
  <si>
    <t>Critical Accounts Shared</t>
  </si>
  <si>
    <t>995</t>
  </si>
  <si>
    <t>CSS</t>
  </si>
  <si>
    <t>916</t>
  </si>
  <si>
    <t>Data Services</t>
  </si>
  <si>
    <t>DataStores</t>
  </si>
  <si>
    <t>827</t>
  </si>
  <si>
    <t>Engine Room Shared</t>
  </si>
  <si>
    <t>Engine Room</t>
  </si>
  <si>
    <t>921</t>
  </si>
  <si>
    <t>ENGINE ROOM-CA</t>
  </si>
  <si>
    <t>996</t>
  </si>
  <si>
    <t>TNT</t>
  </si>
  <si>
    <t>983</t>
  </si>
  <si>
    <t>ENT Acq - Central</t>
  </si>
  <si>
    <t>984</t>
  </si>
  <si>
    <t>ENT Acq - East</t>
  </si>
  <si>
    <t>985</t>
  </si>
  <si>
    <t>ENT Acq - West</t>
  </si>
  <si>
    <t>716</t>
  </si>
  <si>
    <t>Ent Managed</t>
  </si>
  <si>
    <t>337</t>
  </si>
  <si>
    <t>ENTC-3M</t>
  </si>
  <si>
    <t>ENTC-EA</t>
  </si>
  <si>
    <t>ENTC-EY</t>
  </si>
  <si>
    <t>ENTC-XERO</t>
  </si>
  <si>
    <t>992</t>
  </si>
  <si>
    <t>Enterprise Operations Shared</t>
  </si>
  <si>
    <t>331</t>
  </si>
  <si>
    <t>ENTF-6MIX</t>
  </si>
  <si>
    <t>332</t>
  </si>
  <si>
    <t>ENTF-7MIX</t>
  </si>
  <si>
    <t>338</t>
  </si>
  <si>
    <t>ENTF-9MIX</t>
  </si>
  <si>
    <t>997</t>
  </si>
  <si>
    <t>Team S1</t>
  </si>
  <si>
    <t>918</t>
  </si>
  <si>
    <t>Managed Virt</t>
  </si>
  <si>
    <t>334</t>
  </si>
  <si>
    <t>ENTE-3MC</t>
  </si>
  <si>
    <t>335</t>
  </si>
  <si>
    <t>ENTW-1MC</t>
  </si>
  <si>
    <t>336</t>
  </si>
  <si>
    <t>ENTW-5MC</t>
  </si>
  <si>
    <t>Operations Shared</t>
  </si>
  <si>
    <t>986</t>
  </si>
  <si>
    <t>Partner - Digital</t>
  </si>
  <si>
    <t>988</t>
  </si>
  <si>
    <t>Partner - Marketing</t>
  </si>
  <si>
    <t>989</t>
  </si>
  <si>
    <t>Partner - Sales</t>
  </si>
  <si>
    <t>987</t>
  </si>
  <si>
    <t>Partner - Strategy</t>
  </si>
  <si>
    <t>917</t>
  </si>
  <si>
    <t>RAX Digital</t>
  </si>
  <si>
    <t>920</t>
  </si>
  <si>
    <t>RPC</t>
  </si>
  <si>
    <t>919</t>
  </si>
  <si>
    <t>SaaS</t>
  </si>
  <si>
    <t>AtRackspace</t>
  </si>
  <si>
    <t>990</t>
  </si>
  <si>
    <t>SMB Acq - East</t>
  </si>
  <si>
    <t>991</t>
  </si>
  <si>
    <t>SMB Acq - West</t>
  </si>
  <si>
    <t>Hybrid SMB Shared</t>
  </si>
  <si>
    <t>TEAM A1</t>
  </si>
  <si>
    <t>TEAM A2</t>
  </si>
  <si>
    <t>TEAM A3</t>
  </si>
  <si>
    <t>TEAM A4</t>
  </si>
  <si>
    <t>TEAM A5</t>
  </si>
  <si>
    <t>TEAM A6</t>
  </si>
  <si>
    <t>555</t>
  </si>
  <si>
    <t>Team D7-PT</t>
  </si>
  <si>
    <t>TEAM EC-1</t>
  </si>
  <si>
    <t>Team Int 1</t>
  </si>
  <si>
    <t>Team Int 2</t>
  </si>
  <si>
    <t>Team Int 3</t>
  </si>
  <si>
    <t>Team Int 4</t>
  </si>
  <si>
    <t>Team Int 5</t>
  </si>
  <si>
    <t>Team Int 6</t>
  </si>
  <si>
    <t>Team UK M1</t>
  </si>
  <si>
    <t>Team UK M2</t>
  </si>
  <si>
    <t>Team UK M3</t>
  </si>
  <si>
    <t>Team UK M4</t>
  </si>
  <si>
    <t>Team UK M5</t>
  </si>
  <si>
    <t>Team UK M6</t>
  </si>
  <si>
    <t>AA - Revenue Adjustment.xlsm</t>
  </si>
  <si>
    <t>Americas - Cloud Office.xlsm</t>
  </si>
  <si>
    <t>Americas - Cloud.xlsm</t>
  </si>
  <si>
    <t>Americas - Engine Room.xlsm</t>
  </si>
  <si>
    <t>Americas - Hybrid.xlsm</t>
  </si>
  <si>
    <t>Americas - Marketing.xlsm</t>
  </si>
  <si>
    <t>Americas - Marquee.xlsm</t>
  </si>
  <si>
    <t>Americas - Operations.xlsm</t>
  </si>
  <si>
    <t>Americas - Revenue.xlsm</t>
  </si>
  <si>
    <t>Americas - Sales.xlsm</t>
  </si>
  <si>
    <t>Americas - Shared.xlsm</t>
  </si>
  <si>
    <t>Americas - UK After Hours.xlsm</t>
  </si>
  <si>
    <t>Americas Rollup.xlsm</t>
  </si>
  <si>
    <t>Applications - Exceptional - INTL.xlsm</t>
  </si>
  <si>
    <t>Applications - Exceptional.xlsm</t>
  </si>
  <si>
    <t>Applications - Incubation.xlsm</t>
  </si>
  <si>
    <t>Applications - JungleDisk.xlsm</t>
  </si>
  <si>
    <t>Applications - Mail.xlsm</t>
  </si>
  <si>
    <t>Applications - Mailgun - INTL.xlsm</t>
  </si>
  <si>
    <t>Applications - Mailgun.xlsm</t>
  </si>
  <si>
    <t>Applications - ObjectRocket.xlsm</t>
  </si>
  <si>
    <t>Applications - Sharepoint.xlsm</t>
  </si>
  <si>
    <t>Applications - Sites.xlsm</t>
  </si>
  <si>
    <t>Applications - ZeroVM - INTL.xlsm</t>
  </si>
  <si>
    <t>Applications - ZeroVM.xlsm</t>
  </si>
  <si>
    <t>Applications &amp; Product2 Rollup.xlsm</t>
  </si>
  <si>
    <t>Apps &amp; Prod.xlsm</t>
  </si>
  <si>
    <t>BG3 - JN.xlsm</t>
  </si>
  <si>
    <t>BG3 Training.xlsm</t>
  </si>
  <si>
    <t>Corporate Services - Accounting.xlsm</t>
  </si>
  <si>
    <t>Corporate Services - Executive.xlsm</t>
  </si>
  <si>
    <t>Corporate Services - Finance.xlsm</t>
  </si>
  <si>
    <t>Corporate Services - HR.xlsm</t>
  </si>
  <si>
    <t>Corporate Services - Legal.xlsm</t>
  </si>
  <si>
    <t>Corporate Services - Marketing.xlsm</t>
  </si>
  <si>
    <t>Corporate Services - Strategy.xlsm</t>
  </si>
  <si>
    <t>Foundation - Business Operations.xlsm</t>
  </si>
  <si>
    <t>Foundation - Executive.xlsm</t>
  </si>
  <si>
    <t>Foundation - Global DC Infrastructure.xlsm</t>
  </si>
  <si>
    <t>Foundation - GSS.xlsm</t>
  </si>
  <si>
    <t>Foundation - IT.xlsm</t>
  </si>
  <si>
    <t>Foundation - NPS Operations.xlsm</t>
  </si>
  <si>
    <t>Foundation - Real Estate.xlsm</t>
  </si>
  <si>
    <t>Foundation - Supply Chain.xlsm</t>
  </si>
  <si>
    <t>Hybrid Test BG3.xlsm</t>
  </si>
  <si>
    <t>LATAM - Support.xlsm</t>
  </si>
  <si>
    <t>Private Cloud - Aeschilman.xlsm</t>
  </si>
  <si>
    <t>Private Cloud - Bridges.xlsm</t>
  </si>
  <si>
    <t>Private Cloud - Campbell.xlsm</t>
  </si>
  <si>
    <t>Private Cloud - Chavez.xlsm</t>
  </si>
  <si>
    <t>Private Cloud - Choquette.xlsm</t>
  </si>
  <si>
    <t>Private Cloud - Executive.xlsm</t>
  </si>
  <si>
    <t>Private Cloud - Foster.xlsm</t>
  </si>
  <si>
    <t>Private Cloud - Hanson.xlsm</t>
  </si>
  <si>
    <t>Private Cloud - Sims.xlsm</t>
  </si>
  <si>
    <t>Private Cloud - Yard.xlsm</t>
  </si>
  <si>
    <t>Product - AGI.xlsm</t>
  </si>
  <si>
    <t>Product - Architecture.xlsm</t>
  </si>
  <si>
    <t>Product - Executive.xlsm</t>
  </si>
  <si>
    <t>Product - Experience Design.xlsm</t>
  </si>
  <si>
    <t>Product - Infrastructure.xlsm</t>
  </si>
  <si>
    <t>Product - Platform.xlsm</t>
  </si>
  <si>
    <t>Product - Product Management.xlsm</t>
  </si>
  <si>
    <t>Product - Quality Engineering.xlsm</t>
  </si>
  <si>
    <t>Product Rollup linked to DB.xlsm</t>
  </si>
  <si>
    <t>RAX - Cons.xlsm</t>
  </si>
  <si>
    <t>RAX - INTL.xlsm</t>
  </si>
  <si>
    <t>RAX - US.xlsm</t>
  </si>
  <si>
    <t>Rollup - Private Cloud.xlsm</t>
  </si>
  <si>
    <t>Test Rollup File.xlsm</t>
  </si>
  <si>
    <t>UK Test Template.xlsm</t>
  </si>
  <si>
    <t>DefaultAmericas</t>
  </si>
  <si>
    <t>General and AdministrativeAmericas</t>
  </si>
  <si>
    <t>Tech SupportAmericas</t>
  </si>
  <si>
    <t>Account ManagersAmericas</t>
  </si>
  <si>
    <t>MonitoringAmericas</t>
  </si>
  <si>
    <t>Sys AdminAmericas</t>
  </si>
  <si>
    <t>Network Security - SupportAmericas</t>
  </si>
  <si>
    <t>Managed Back Up SupportAmericas</t>
  </si>
  <si>
    <t>Cloud SupportAmericas</t>
  </si>
  <si>
    <t>Mail System OpsAmericas</t>
  </si>
  <si>
    <t>Implemenation TeamAmericas</t>
  </si>
  <si>
    <t>Internal AccountsAmericas</t>
  </si>
  <si>
    <t>Support ManagementAmericas</t>
  </si>
  <si>
    <t>DEVOPS SupportAmericas</t>
  </si>
  <si>
    <t>DatabaseAmericas</t>
  </si>
  <si>
    <t>Webscale EngineersAmericas</t>
  </si>
  <si>
    <t>Support SpecialistsAmericas</t>
  </si>
  <si>
    <t>ExecutiveAmericas</t>
  </si>
  <si>
    <t>Talent DevelopmentSMB</t>
  </si>
  <si>
    <t>Talent DevelopmentCorporate Services</t>
  </si>
  <si>
    <t>VirtualizationAmericas</t>
  </si>
  <si>
    <t>Professional ServicesAmericas</t>
  </si>
  <si>
    <t>IT OperationsAmericas</t>
  </si>
  <si>
    <t>Support Ops - RTBAmericas</t>
  </si>
  <si>
    <t>Support Ops - CTBAmericas</t>
  </si>
  <si>
    <t>Host Based ReplicationAmericas</t>
  </si>
  <si>
    <t>Blacksburg G&amp;AAmericas</t>
  </si>
  <si>
    <t>Project ManagementAmericas</t>
  </si>
  <si>
    <t>Infrastructure - R&amp;DProduct</t>
  </si>
  <si>
    <t>Experience Design - R&amp;DProduct</t>
  </si>
  <si>
    <t>Shared Services - R&amp;DProduct</t>
  </si>
  <si>
    <t>Quality Engineering - R&amp;DProduct</t>
  </si>
  <si>
    <t>Quality Engineering - R&amp;DPrivate Cloud</t>
  </si>
  <si>
    <t>Trusted AdvisorAmericas</t>
  </si>
  <si>
    <t>Experience Design - G&amp;AProduct</t>
  </si>
  <si>
    <t>AGI - G&amp;AProduct</t>
  </si>
  <si>
    <t>Infrastructure - G&amp;AProduct</t>
  </si>
  <si>
    <t>Quality Engineering - G&amp;AProduct</t>
  </si>
  <si>
    <t>Operations - A/RAmericas</t>
  </si>
  <si>
    <t>Operations - Project ManagementAmericas</t>
  </si>
  <si>
    <t>HR ExecutiveCorporate Services</t>
  </si>
  <si>
    <t>Racker RewardsCorporate Services</t>
  </si>
  <si>
    <t>Private Cloud - G&amp;AProduct</t>
  </si>
  <si>
    <t>Product Management - G&amp;AProduct</t>
  </si>
  <si>
    <t>Shared Services - G&amp;AProduct</t>
  </si>
  <si>
    <t>Specialty Practice - G&amp;AProduct</t>
  </si>
  <si>
    <t>SFO Office - G&amp;AProduct</t>
  </si>
  <si>
    <t>Custom/Dedicated - G&amp;AProduct</t>
  </si>
  <si>
    <t>Architecture - G&amp;AProduct</t>
  </si>
  <si>
    <t>Platform - G&amp;AProduct</t>
  </si>
  <si>
    <t>Business Operations - G&amp;AProduct</t>
  </si>
  <si>
    <t>Marketing - GeneralAmericas</t>
  </si>
  <si>
    <t>Marketing OperationsAmericas</t>
  </si>
  <si>
    <t>Office of the CTOCorporate Services</t>
  </si>
  <si>
    <t>Private Cloud - R&amp;DSMB</t>
  </si>
  <si>
    <t>Private Cloud - R&amp;DProduct</t>
  </si>
  <si>
    <t>Private Cloud - R&amp;DPrivate Cloud</t>
  </si>
  <si>
    <t>BDC SalesAmericas</t>
  </si>
  <si>
    <t>Inbound SalesAmericas</t>
  </si>
  <si>
    <t>Sales SupportAmericas</t>
  </si>
  <si>
    <t>Sales EngineersAmericas</t>
  </si>
  <si>
    <t>Advisory ServicesAmericas</t>
  </si>
  <si>
    <t>Cloud AdvisorsAmericas</t>
  </si>
  <si>
    <t>Process &amp; ToolsAmericas</t>
  </si>
  <si>
    <t>On-Boarding &amp; Continuing EdAmericas</t>
  </si>
  <si>
    <t>Partner SalesAmericas</t>
  </si>
  <si>
    <t>Partner SalesCorporate Services</t>
  </si>
  <si>
    <t>Business ManagementAmericas</t>
  </si>
  <si>
    <t>Sales EnablementAmericas</t>
  </si>
  <si>
    <t>Sales StrategyAmericas</t>
  </si>
  <si>
    <t>Sales GeneralAmericas</t>
  </si>
  <si>
    <t>StorageAmericas</t>
  </si>
  <si>
    <t>Product Management - R&amp;DProduct</t>
  </si>
  <si>
    <t>Business Operations - R&amp;DProduct</t>
  </si>
  <si>
    <t>Platform - R&amp;DProduct</t>
  </si>
  <si>
    <t>Architecture - R&amp;DProduct</t>
  </si>
  <si>
    <t>Specialty Practice - R&amp;DProduct</t>
  </si>
  <si>
    <t>SFO Office - R&amp;DProduct</t>
  </si>
  <si>
    <t>AGI - R&amp;DProduct</t>
  </si>
  <si>
    <t>Applications Software DevelopmentProduct</t>
  </si>
  <si>
    <t>Applications Product ManagementProduct</t>
  </si>
  <si>
    <t>Applications Program ManagementProduct</t>
  </si>
  <si>
    <t>Custom/Dedicated - R&amp;DProduct</t>
  </si>
  <si>
    <t>501100</t>
  </si>
  <si>
    <t>Salaries and Wages, Gross</t>
  </si>
  <si>
    <t>501101</t>
  </si>
  <si>
    <t>Capitalized Salaries &amp; Wages</t>
  </si>
  <si>
    <t>501200</t>
  </si>
  <si>
    <t>Overtime, Gross</t>
  </si>
  <si>
    <t>501201</t>
  </si>
  <si>
    <t>Capitalized Overtime</t>
  </si>
  <si>
    <t>501300</t>
  </si>
  <si>
    <t>501301</t>
  </si>
  <si>
    <t>Capitalized Bonuses</t>
  </si>
  <si>
    <t>501400</t>
  </si>
  <si>
    <t>Other Bonuses</t>
  </si>
  <si>
    <t>501500</t>
  </si>
  <si>
    <t>Payroll Taxes, Gross</t>
  </si>
  <si>
    <t>501501</t>
  </si>
  <si>
    <t>Capitalized Payroll Taxes</t>
  </si>
  <si>
    <t>501700</t>
  </si>
  <si>
    <t>501900</t>
  </si>
  <si>
    <t>Employee Severance Pay</t>
  </si>
  <si>
    <t>502000</t>
  </si>
  <si>
    <t>Contract Labor - Wages</t>
  </si>
  <si>
    <t>502001</t>
  </si>
  <si>
    <t>Capitalized Contract Labor - Wages</t>
  </si>
  <si>
    <t>503950</t>
  </si>
  <si>
    <t>Total Stock Based Comp</t>
  </si>
  <si>
    <t>525025</t>
  </si>
  <si>
    <t>525100</t>
  </si>
  <si>
    <t>525175</t>
  </si>
  <si>
    <t>525200</t>
  </si>
  <si>
    <t>Benefit Plan Contribution</t>
  </si>
  <si>
    <t>525210</t>
  </si>
  <si>
    <t>Empl Ben - Deferred Comp Exp</t>
  </si>
  <si>
    <t>525250</t>
  </si>
  <si>
    <t>525300</t>
  </si>
  <si>
    <t>525350</t>
  </si>
  <si>
    <t>525400</t>
  </si>
  <si>
    <t>525500</t>
  </si>
  <si>
    <t>525750</t>
  </si>
  <si>
    <t>525950</t>
  </si>
  <si>
    <t>525955</t>
  </si>
  <si>
    <t>525975</t>
  </si>
  <si>
    <t>526450</t>
  </si>
  <si>
    <t>526500</t>
  </si>
  <si>
    <t>526501</t>
  </si>
  <si>
    <t>526550</t>
  </si>
  <si>
    <t>526600</t>
  </si>
  <si>
    <t>526750</t>
  </si>
  <si>
    <t>526850</t>
  </si>
  <si>
    <t>526900</t>
  </si>
  <si>
    <t>Consultants</t>
  </si>
  <si>
    <t>527100</t>
  </si>
  <si>
    <t>527350</t>
  </si>
  <si>
    <t>527355</t>
  </si>
  <si>
    <t>527500</t>
  </si>
  <si>
    <t>527750</t>
  </si>
  <si>
    <t>528325</t>
  </si>
  <si>
    <t>533795</t>
  </si>
  <si>
    <t>540500</t>
  </si>
  <si>
    <t>550100</t>
  </si>
  <si>
    <t>Telephone Other - UK</t>
  </si>
  <si>
    <t>550150</t>
  </si>
  <si>
    <t>550300</t>
  </si>
  <si>
    <t>550450</t>
  </si>
  <si>
    <t>550600</t>
  </si>
  <si>
    <t>Sundry Office Computer Items</t>
  </si>
  <si>
    <t>550750</t>
  </si>
  <si>
    <t>Electric</t>
  </si>
  <si>
    <t>550900</t>
  </si>
  <si>
    <t>568000</t>
  </si>
  <si>
    <t>Intercompany Management Fees</t>
  </si>
  <si>
    <t>568001</t>
  </si>
  <si>
    <t>Intercompany Direct Cost Transfer</t>
  </si>
  <si>
    <t>568002</t>
  </si>
  <si>
    <t>568005</t>
  </si>
  <si>
    <t>Intercompany Hosting Service Expenses</t>
  </si>
  <si>
    <t>Actuals Range</t>
  </si>
  <si>
    <t>Forecast Range</t>
  </si>
  <si>
    <t>1049</t>
  </si>
  <si>
    <t>ASSIGNED PRIVATE CLOUD ARCHITECTS</t>
  </si>
  <si>
    <t>4022</t>
  </si>
  <si>
    <t>Devops Engineering</t>
  </si>
  <si>
    <t>1048</t>
  </si>
  <si>
    <t>PRIVATE CLOUD DEPLOYMENT</t>
  </si>
  <si>
    <t>VP of Demand Marketing</t>
  </si>
  <si>
    <t>VP of Operation Excellence</t>
  </si>
  <si>
    <t>1511_0000</t>
  </si>
  <si>
    <t>Cloude Queue</t>
  </si>
  <si>
    <t>564</t>
  </si>
  <si>
    <t>LATAM-MX City</t>
  </si>
  <si>
    <t>ApplicationsBU_Rollup.xlsm</t>
  </si>
  <si>
    <t>Exceptional Rollup.xlsm</t>
  </si>
  <si>
    <t>Mailgun Rollup.xlsm</t>
  </si>
  <si>
    <t>Product - Business Operations.xlsm</t>
  </si>
  <si>
    <t>Product - Custom Dedicated.xlsm</t>
  </si>
  <si>
    <t>Product - SFO Office.xlsm</t>
  </si>
  <si>
    <t>Product - Shared Services.xlsm</t>
  </si>
  <si>
    <t>Product - Specialty Practice.xlsm</t>
  </si>
  <si>
    <t>PRIVATE CLOUD DEPLOYMENTPrivate Cloud</t>
  </si>
  <si>
    <t>ASSIGNED PRIVATE CLOUD ARCHITECTSPrivate Cloud</t>
  </si>
  <si>
    <t>Devops EngineeringAmericas</t>
  </si>
  <si>
    <t>Promotions &amp; Discounts</t>
  </si>
  <si>
    <t>Credits - Downgrades</t>
  </si>
  <si>
    <t>Credits - AUP</t>
  </si>
  <si>
    <t>Credits - Migrations</t>
  </si>
  <si>
    <t>DT - Non-service Credits</t>
  </si>
  <si>
    <t>SSU - Non-service Credits</t>
  </si>
  <si>
    <t>TS - Non-service Credits</t>
  </si>
  <si>
    <t>UGF - Non-service Credits</t>
  </si>
  <si>
    <t>SSL - Non-service Credits</t>
  </si>
  <si>
    <t>MBU - Non-service Credits</t>
  </si>
  <si>
    <t>Cloud - Non-service Credits</t>
  </si>
  <si>
    <t>Customer Credits</t>
  </si>
  <si>
    <t>Intercompany Revenue - UK/BV</t>
  </si>
  <si>
    <t>Intercompany Revenue - Management Recurring</t>
  </si>
  <si>
    <t>Intercompany Revenue - US/BV</t>
  </si>
  <si>
    <t>Intercompany Revenue - US/HK</t>
  </si>
  <si>
    <t>Intercompany Revenue - UK/HK</t>
  </si>
  <si>
    <t>Intercompany Revenue - BV/HK</t>
  </si>
  <si>
    <t>Intercompany Revenue - STAT</t>
  </si>
  <si>
    <t>Intercompany Revenue - Management Credits</t>
  </si>
  <si>
    <t>Intercompany Revenue - Management Non-recurring</t>
  </si>
  <si>
    <t>Management Fee Income - Leaseco</t>
  </si>
  <si>
    <t>Investment Income - HK</t>
  </si>
  <si>
    <t>Interest Income - Co-op</t>
  </si>
  <si>
    <t>UK Bank Interest - Current Account</t>
  </si>
  <si>
    <t>Salaries &amp; Wages, Gross</t>
  </si>
  <si>
    <t>Profit - Sharing</t>
  </si>
  <si>
    <t>DC Maintenance - Networking</t>
  </si>
  <si>
    <t>DC Maintenance - Managed Services</t>
  </si>
  <si>
    <t>DC Maintenance - HVAC</t>
  </si>
  <si>
    <t>DC Maintenance - Electric</t>
  </si>
  <si>
    <t>DC Maintenance - Contracts</t>
  </si>
  <si>
    <t>DC Maintenance - Facility</t>
  </si>
  <si>
    <t>Write-off Defective</t>
  </si>
  <si>
    <t>DC Maintenance - Cisco</t>
  </si>
  <si>
    <t>Intercompany Charges - UK/BV</t>
  </si>
  <si>
    <t>Intercompany Cost Transfer - Management</t>
  </si>
  <si>
    <t>Transfer Pricing - US/BV</t>
  </si>
  <si>
    <t>Cost of Revenue - Leaseco</t>
  </si>
  <si>
    <t>Cost of Revenue - Electricity</t>
  </si>
  <si>
    <t>Cost of Revenue - Leased Equipment</t>
  </si>
  <si>
    <t>Cost of Revenue - Supplies</t>
  </si>
  <si>
    <t>Convention &amp; Trade Shows</t>
  </si>
  <si>
    <t>Barter/Trade-outs</t>
  </si>
  <si>
    <t>Stock Based Comp Expense</t>
  </si>
  <si>
    <t>Insurance - Health</t>
  </si>
  <si>
    <t>Insurance - Life</t>
  </si>
  <si>
    <t>Empl Benefits - Deferred Comp Exp</t>
  </si>
  <si>
    <t>Empl Benefits - Other</t>
  </si>
  <si>
    <t>Empl Benefits - UK Taxable</t>
  </si>
  <si>
    <t>Empl Benefits - UK Non-taxable</t>
  </si>
  <si>
    <t>Empl Benefits - UK Fun Budget</t>
  </si>
  <si>
    <t>Empl Benefits - Visa</t>
  </si>
  <si>
    <t>Empl Benefits - UK Corp Budget</t>
  </si>
  <si>
    <t>Empl Benefits - ETO</t>
  </si>
  <si>
    <t>Salaries &amp; Benefits - Allocation</t>
  </si>
  <si>
    <t>Travel &amp; Entertainment - Employee</t>
  </si>
  <si>
    <t>Prof Fees - Accounting</t>
  </si>
  <si>
    <t>Prof Fees - Mobility (DISABLED)</t>
  </si>
  <si>
    <t>Prof Fees - Mobility</t>
  </si>
  <si>
    <t>Prof Fees - Audit</t>
  </si>
  <si>
    <t>Prof Fees - Legal</t>
  </si>
  <si>
    <t>Prof Fees - Recruiting</t>
  </si>
  <si>
    <t>Prof Fees - Other</t>
  </si>
  <si>
    <t>Travel - UK Hotel &amp; Accommodations</t>
  </si>
  <si>
    <t>Travel - UK Fares</t>
  </si>
  <si>
    <t>Travel - US (Not Meals/Entertn)</t>
  </si>
  <si>
    <t>Travel - Mileage</t>
  </si>
  <si>
    <t>Travel &amp; Entertainment - Non-employee</t>
  </si>
  <si>
    <t>Professional Development - Empl</t>
  </si>
  <si>
    <t>Rent - Leased Premises</t>
  </si>
  <si>
    <t>Computer Hardware - Non-capital</t>
  </si>
  <si>
    <t>Penalties &amp; Interest</t>
  </si>
  <si>
    <t>Postage &amp; Delivery</t>
  </si>
  <si>
    <t>Printing &amp; Reproduction</t>
  </si>
  <si>
    <t>Repairs &amp; Maintenance - Office</t>
  </si>
  <si>
    <t>Dues &amp; Subscriptions</t>
  </si>
  <si>
    <t>Internal SW Support &amp; Maintenance</t>
  </si>
  <si>
    <t>Insurance - Property/Liability</t>
  </si>
  <si>
    <t>Other Non-income Tax Expense</t>
  </si>
  <si>
    <t>Sales Tax Expense - Leaseco</t>
  </si>
  <si>
    <t>Miscellaneous Expense - G &amp; A</t>
  </si>
  <si>
    <t>Management Fees -Transfer Pricing</t>
  </si>
  <si>
    <t>Telephone - Office</t>
  </si>
  <si>
    <t>Telephone - Long Distance</t>
  </si>
  <si>
    <t>Utilities - Office</t>
  </si>
  <si>
    <t>Telephone - Wireless/Mobile</t>
  </si>
  <si>
    <t>Telephone - Pager</t>
  </si>
  <si>
    <t>Off-site Storage</t>
  </si>
  <si>
    <t>Relocation Exp - Taxable</t>
  </si>
  <si>
    <t>Relocation Exp - Non-taxable</t>
  </si>
  <si>
    <t>Management Fees Allocated - Transfer Pricing UK/BV</t>
  </si>
  <si>
    <t>Management Fee Expense - Leaseco</t>
  </si>
  <si>
    <t>Management Fee Expense - Mosso</t>
  </si>
  <si>
    <t>Gain/Loss On Disposal</t>
  </si>
  <si>
    <t>Cash proceeds from Disposal of Property &amp; Equipment</t>
  </si>
  <si>
    <t>Unrealized Gain/Loss - Foreign Currency Transactions</t>
  </si>
  <si>
    <t>Unrealized Gain/Loss - Intercompany Revaluation</t>
  </si>
  <si>
    <t>Realized Gain/Loss - Foreign Currency Transactions</t>
  </si>
  <si>
    <t>Depreciation - Furniture &amp; Fixtures</t>
  </si>
  <si>
    <t>Amort Exp - Trademarks &amp; Patents</t>
  </si>
  <si>
    <t>Amort Exp - Non-compete Agreements</t>
  </si>
  <si>
    <t>Amort Exp - Other</t>
  </si>
  <si>
    <t>Retro Price Adjustments &amp; Discounts</t>
  </si>
  <si>
    <t>Actuals Calc Date</t>
  </si>
  <si>
    <t>P&amp;L</t>
  </si>
  <si>
    <t>Master Assumptions</t>
  </si>
  <si>
    <t>References</t>
  </si>
  <si>
    <t>Local Actuals</t>
  </si>
  <si>
    <t>Last Push</t>
  </si>
  <si>
    <t>Last Refreshed:</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</si>
</sst>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yy;@"/>
    <numFmt numFmtId="165" formatCode="_(* #,##0.0%_);_(* \-#,##0.0%_);_(* &quot;-&quot;_);_(@_)"/>
    <numFmt numFmtId="166" formatCode="0.0%"/>
    <numFmt numFmtId="167" formatCode="_(&quot;$&quot;* #,##0_);_(&quot;$&quot;* \(#,##0\);_(&quot;$&quot;* &quot;-&quot;??_);_(@_)"/>
    <numFmt numFmtId="168" formatCode="0.0\x"/>
    <numFmt numFmtId="169" formatCode="mmm\-yyyy"/>
    <numFmt numFmtId="170" formatCode="[$-409]m/d/yy\ h:mm\ AM/PM;@"/>
  </numFmts>
  <fonts count="60" x14ac:knownFonts="1">
    <font>
      <sz val="11"/>
      <color theme="1"/>
      <name val="Calibri"/>
      <family val="2"/>
      <scheme val="minor"/>
    </font>
    <font>
      <sz val="10"/>
      <color theme="1"/>
      <name val="Arial"/>
      <family val="2"/>
    </font>
    <font>
      <b/>
      <sz val="11"/>
      <color rgb="FF0000FF"/>
      <name val="Calibri"/>
      <family val="2"/>
      <scheme val="minor"/>
    </font>
    <font>
      <b/>
      <sz val="10"/>
      <color rgb="FF0000FF"/>
      <name val="Arial"/>
      <family val="2"/>
    </font>
    <font>
      <b/>
      <u val="singleAccounting"/>
      <sz val="14"/>
      <color theme="0"/>
      <name val="Arial"/>
      <family val="2"/>
    </font>
    <font>
      <sz val="11"/>
      <color theme="0" tint="-0.34998626667073579"/>
      <name val="Calibri"/>
      <family val="2"/>
      <scheme val="minor"/>
    </font>
    <font>
      <b/>
      <u val="singleAccounting"/>
      <sz val="10"/>
      <color theme="1"/>
      <name val="Arial"/>
      <family val="2"/>
    </font>
    <font>
      <u val="singleAccounting"/>
      <sz val="10"/>
      <color theme="1"/>
      <name val="Arial"/>
      <family val="2"/>
    </font>
    <font>
      <sz val="10"/>
      <color theme="0" tint="-0.499984740745262"/>
      <name val="Arial"/>
      <family val="2"/>
    </font>
    <font>
      <u val="singleAccounting"/>
      <sz val="10"/>
      <color theme="0" tint="-0.499984740745262"/>
      <name val="Arial"/>
      <family val="2"/>
    </font>
    <font>
      <b/>
      <sz val="10"/>
      <color theme="1"/>
      <name val="Arial"/>
      <family val="2"/>
    </font>
    <font>
      <i/>
      <sz val="10"/>
      <color theme="1"/>
      <name val="Arial"/>
      <family val="2"/>
    </font>
    <font>
      <sz val="10"/>
      <name val="Arial"/>
      <family val="2"/>
    </font>
    <font>
      <i/>
      <sz val="10"/>
      <name val="Arial"/>
      <family val="2"/>
    </font>
    <font>
      <b/>
      <sz val="10"/>
      <name val="Arial"/>
      <family val="2"/>
    </font>
    <font>
      <sz val="10"/>
      <color theme="1" tint="0.499984740745262"/>
      <name val="Arial"/>
      <family val="2"/>
    </font>
    <font>
      <u val="singleAccounting"/>
      <sz val="10"/>
      <color theme="1" tint="0.499984740745262"/>
      <name val="Arial"/>
      <family val="2"/>
    </font>
    <font>
      <sz val="9"/>
      <color indexed="22"/>
      <name val="Arial"/>
      <family val="2"/>
    </font>
    <font>
      <u val="singleAccounting"/>
      <sz val="10"/>
      <name val="Arial"/>
      <family val="2"/>
    </font>
    <font>
      <b/>
      <u val="singleAccounting"/>
      <sz val="10"/>
      <color theme="0" tint="-0.34998626667073579"/>
      <name val="Arial"/>
      <family val="2"/>
    </font>
    <font>
      <sz val="10"/>
      <color indexed="8"/>
      <name val="Arial"/>
      <family val="2"/>
    </font>
    <font>
      <sz val="11"/>
      <color theme="1"/>
      <name val="Calibri"/>
      <family val="2"/>
      <scheme val="minor"/>
    </font>
    <font>
      <b/>
      <sz val="10"/>
      <color theme="0" tint="-0.499984740745262"/>
      <name val="Arial"/>
      <family val="2"/>
    </font>
    <font>
      <b/>
      <u val="singleAccounting"/>
      <sz val="10"/>
      <color theme="0" tint="-0.499984740745262"/>
      <name val="Arial"/>
      <family val="2"/>
    </font>
    <font>
      <sz val="11"/>
      <color theme="1" tint="0.499984740745262"/>
      <name val="Calibri"/>
      <family val="2"/>
      <scheme val="minor"/>
    </font>
    <font>
      <sz val="11"/>
      <name val="Calibri"/>
      <family val="2"/>
      <scheme val="minor"/>
    </font>
    <font>
      <b/>
      <u val="singleAccounting"/>
      <sz val="10"/>
      <name val="Arial"/>
      <family val="2"/>
    </font>
    <font>
      <b/>
      <sz val="11"/>
      <color theme="1"/>
      <name val="Calibri"/>
      <family val="2"/>
      <scheme val="minor"/>
    </font>
    <font>
      <b/>
      <u/>
      <sz val="18"/>
      <color theme="1"/>
      <name val="Calibri"/>
      <family val="2"/>
      <scheme val="minor"/>
    </font>
    <font>
      <b/>
      <sz val="11"/>
      <color theme="3" tint="0.39997558519241921"/>
      <name val="Calibri"/>
      <family val="2"/>
      <scheme val="minor"/>
    </font>
    <font>
      <b/>
      <sz val="11"/>
      <color theme="5" tint="-0.249977111117893"/>
      <name val="Calibri"/>
      <family val="2"/>
      <scheme val="minor"/>
    </font>
    <font>
      <b/>
      <sz val="11"/>
      <color rgb="FF009900"/>
      <name val="Calibri"/>
      <family val="2"/>
      <scheme val="minor"/>
    </font>
    <font>
      <b/>
      <u/>
      <sz val="11"/>
      <color theme="1"/>
      <name val="Calibri"/>
      <family val="2"/>
      <scheme val="minor"/>
    </font>
    <font>
      <b/>
      <u/>
      <sz val="11"/>
      <name val="Calibri"/>
      <family val="2"/>
      <scheme val="minor"/>
    </font>
    <font>
      <u/>
      <sz val="11"/>
      <color theme="1"/>
      <name val="Calibri"/>
      <family val="2"/>
      <scheme val="minor"/>
    </font>
    <font>
      <b/>
      <sz val="9"/>
      <color indexed="81"/>
      <name val="Tahoma"/>
      <family val="2"/>
    </font>
    <font>
      <sz val="9"/>
      <color indexed="81"/>
      <name val="Tahoma"/>
      <family val="2"/>
    </font>
    <font>
      <b/>
      <sz val="11"/>
      <name val="Calibri"/>
      <family val="2"/>
      <scheme val="minor"/>
    </font>
    <font>
      <b/>
      <u val="singleAccounting"/>
      <sz val="11"/>
      <color theme="5" tint="-0.249977111117893"/>
      <name val="Calibri"/>
      <family val="2"/>
      <scheme val="minor"/>
    </font>
    <font>
      <b/>
      <u val="singleAccounting"/>
      <sz val="11"/>
      <color theme="3" tint="0.39994506668294322"/>
      <name val="Calibri"/>
      <family val="2"/>
      <scheme val="minor"/>
    </font>
    <font>
      <sz val="11"/>
      <color theme="0"/>
      <name val="Calibri"/>
      <family val="2"/>
      <scheme val="minor"/>
    </font>
    <font>
      <sz val="11"/>
      <color theme="1" tint="0.34998626667073579"/>
      <name val="Calibri"/>
      <family val="2"/>
      <scheme val="minor"/>
    </font>
    <font>
      <b/>
      <sz val="11"/>
      <color rgb="FF0000FF"/>
      <name val="Arial"/>
      <family val="2"/>
    </font>
    <font>
      <sz val="11"/>
      <color theme="1"/>
      <name val="Arial"/>
      <family val="2"/>
    </font>
    <font>
      <sz val="11"/>
      <color theme="0" tint="-0.34998626667073579"/>
      <name val="Arial"/>
      <family val="2"/>
    </font>
    <font>
      <sz val="10"/>
      <color indexed="22"/>
      <name val="Arial"/>
      <family val="2"/>
    </font>
    <font>
      <b/>
      <u val="singleAccounting"/>
      <sz val="11"/>
      <color theme="1"/>
      <name val="Calibri"/>
      <family val="2"/>
      <scheme val="minor"/>
    </font>
    <font>
      <u val="singleAccounting"/>
      <sz val="11"/>
      <name val="Calibri"/>
      <family val="2"/>
      <scheme val="minor"/>
    </font>
    <font>
      <sz val="11"/>
      <color theme="0" tint="-0.499984740745262"/>
      <name val="Calibri"/>
      <family val="2"/>
      <scheme val="minor"/>
    </font>
    <font>
      <u val="singleAccounting"/>
      <sz val="11"/>
      <color theme="0" tint="-0.499984740745262"/>
      <name val="Calibri"/>
      <family val="2"/>
      <scheme val="minor"/>
    </font>
    <font>
      <u val="singleAccounting"/>
      <sz val="11"/>
      <color theme="1"/>
      <name val="Calibri"/>
      <family val="2"/>
      <scheme val="minor"/>
    </font>
    <font>
      <i/>
      <sz val="11"/>
      <color theme="1"/>
      <name val="Calibri"/>
      <family val="2"/>
      <scheme val="minor"/>
    </font>
    <font>
      <i/>
      <sz val="11"/>
      <name val="Calibri"/>
      <family val="2"/>
      <scheme val="minor"/>
    </font>
    <font>
      <b/>
      <u val="singleAccounting"/>
      <sz val="11"/>
      <name val="Calibri"/>
      <family val="2"/>
      <scheme val="minor"/>
    </font>
    <font>
      <u val="singleAccounting"/>
      <sz val="11"/>
      <color theme="1" tint="0.499984740745262"/>
      <name val="Calibri"/>
      <family val="2"/>
      <scheme val="minor"/>
    </font>
    <font>
      <sz val="18"/>
      <color theme="1"/>
      <name val="Calibri"/>
      <family val="2"/>
      <scheme val="minor"/>
    </font>
    <font>
      <u/>
      <sz val="11"/>
      <color theme="10"/>
      <name val="Calibri"/>
      <family val="2"/>
      <scheme val="minor"/>
    </font>
    <font>
      <b/>
      <u/>
      <sz val="11"/>
      <color theme="10"/>
      <name val="Calibri"/>
      <family val="2"/>
      <scheme val="minor"/>
    </font>
    <font>
      <sz val="11"/>
      <color rgb="FF009900"/>
      <name val="Calibri"/>
      <family val="2"/>
      <scheme val="minor"/>
    </font>
    <font>
      <sz val="11"/>
      <color rgb="FF0000FF"/>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0033CC"/>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3" tint="0.59996337778862885"/>
        <bgColor indexed="64"/>
      </patternFill>
    </fill>
    <fill>
      <patternFill patternType="solid">
        <fgColor rgb="FFC5D9F1"/>
        <bgColor indexed="64"/>
      </patternFill>
    </fill>
    <fill>
      <patternFill patternType="solid">
        <fgColor rgb="FFFFFF00"/>
        <bgColor indexed="64"/>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style="medium">
        <color indexed="64"/>
      </bottom>
      <diagonal/>
    </border>
    <border>
      <left/>
      <right style="medium">
        <color indexed="64"/>
      </right>
      <top/>
      <bottom/>
      <diagonal/>
    </border>
    <border>
      <left/>
      <right style="medium">
        <color indexed="64"/>
      </right>
      <top style="thin">
        <color indexed="64"/>
      </top>
      <bottom/>
      <diagonal/>
    </border>
    <border>
      <left/>
      <right style="medium">
        <color indexed="64"/>
      </right>
      <top/>
      <bottom style="thin">
        <color indexed="64"/>
      </bottom>
      <diagonal/>
    </border>
    <border>
      <left style="hair">
        <color indexed="64"/>
      </left>
      <right style="hair">
        <color indexed="64"/>
      </right>
      <top/>
      <bottom style="medium">
        <color indexed="64"/>
      </bottom>
      <diagonal/>
    </border>
    <border>
      <left/>
      <right style="thin">
        <color indexed="64"/>
      </right>
      <top/>
      <bottom style="medium">
        <color indexed="64"/>
      </bottom>
      <diagonal/>
    </border>
    <border>
      <left style="hair">
        <color indexed="64"/>
      </left>
      <right style="hair">
        <color indexed="64"/>
      </right>
      <top/>
      <bottom/>
      <diagonal/>
    </border>
    <border>
      <left/>
      <right style="thin">
        <color indexed="64"/>
      </right>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style="hair">
        <color indexed="64"/>
      </left>
      <right style="hair">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13">
    <xf numFmtId="0" fontId="0" fillId="0" borderId="0"/>
    <xf numFmtId="0" fontId="1" fillId="0" borderId="0"/>
    <xf numFmtId="0" fontId="12" fillId="0" borderId="0"/>
    <xf numFmtId="9" fontId="12" fillId="0" borderId="0" applyFont="0" applyFill="0" applyBorder="0" applyAlignment="0" applyProtection="0"/>
    <xf numFmtId="43" fontId="12" fillId="0" borderId="0" applyFont="0" applyFill="0" applyBorder="0" applyAlignment="0" applyProtection="0"/>
    <xf numFmtId="44" fontId="12" fillId="0" borderId="0" applyFont="0" applyFill="0" applyBorder="0" applyAlignment="0" applyProtection="0"/>
    <xf numFmtId="42" fontId="12" fillId="0" borderId="0" applyFont="0" applyFill="0" applyBorder="0" applyAlignment="0" applyProtection="0"/>
    <xf numFmtId="44" fontId="12" fillId="0" borderId="0" applyFont="0" applyFill="0" applyBorder="0" applyAlignment="0" applyProtection="0"/>
    <xf numFmtId="0" fontId="12" fillId="0" borderId="0"/>
    <xf numFmtId="9" fontId="1" fillId="0" borderId="0" applyFont="0" applyFill="0" applyBorder="0" applyAlignment="0" applyProtection="0"/>
    <xf numFmtId="44" fontId="21" fillId="0" borderId="0" applyFont="0" applyFill="0" applyBorder="0" applyAlignment="0" applyProtection="0"/>
    <xf numFmtId="9" fontId="21" fillId="0" borderId="0" applyFont="0" applyFill="0" applyBorder="0" applyAlignment="0" applyProtection="0"/>
    <xf numFmtId="0" fontId="56" fillId="0" borderId="0" applyNumberFormat="0" applyFill="0" applyBorder="0" applyAlignment="0" applyProtection="0"/>
  </cellStyleXfs>
  <cellXfs count="670">
    <xf numFmtId="0" fontId="0" fillId="0" borderId="0" xfId="0"/>
    <xf numFmtId="0" fontId="0" fillId="2" borderId="0" xfId="0" applyFill="1"/>
    <xf numFmtId="0" fontId="1" fillId="2" borderId="0" xfId="1" applyFill="1" applyBorder="1"/>
    <xf numFmtId="0" fontId="2" fillId="3" borderId="0" xfId="0" applyFont="1" applyFill="1" applyAlignment="1">
      <alignment horizontal="center"/>
    </xf>
    <xf numFmtId="17" fontId="3" fillId="2" borderId="0" xfId="1" applyNumberFormat="1" applyFont="1" applyFill="1" applyBorder="1" applyAlignment="1">
      <alignment horizontal="center"/>
    </xf>
    <xf numFmtId="0" fontId="4" fillId="4" borderId="1" xfId="1" applyFont="1" applyFill="1" applyBorder="1" applyAlignment="1">
      <alignment horizontal="centerContinuous"/>
    </xf>
    <xf numFmtId="49" fontId="4" fillId="4" borderId="2" xfId="1" applyNumberFormat="1" applyFont="1" applyFill="1" applyBorder="1" applyAlignment="1">
      <alignment horizontal="centerContinuous"/>
    </xf>
    <xf numFmtId="0" fontId="5" fillId="0" borderId="3" xfId="0" applyFont="1" applyBorder="1" applyAlignment="1">
      <alignment horizontal="center"/>
    </xf>
    <xf numFmtId="164" fontId="6" fillId="5" borderId="0" xfId="1" applyNumberFormat="1" applyFont="1" applyFill="1" applyBorder="1" applyAlignment="1">
      <alignment horizontal="center"/>
    </xf>
    <xf numFmtId="0" fontId="1" fillId="2" borderId="3" xfId="1" applyFill="1" applyBorder="1"/>
    <xf numFmtId="164" fontId="6" fillId="5" borderId="0" xfId="0" applyNumberFormat="1" applyFont="1" applyFill="1" applyBorder="1" applyAlignment="1">
      <alignment horizontal="center"/>
    </xf>
    <xf numFmtId="0" fontId="1" fillId="2" borderId="3" xfId="1" applyFont="1" applyFill="1" applyBorder="1" applyProtection="1"/>
    <xf numFmtId="42" fontId="1" fillId="5" borderId="0" xfId="1" applyNumberFormat="1" applyFill="1" applyBorder="1" applyProtection="1"/>
    <xf numFmtId="41" fontId="1" fillId="5" borderId="0" xfId="1" applyNumberFormat="1" applyFill="1" applyBorder="1" applyProtection="1"/>
    <xf numFmtId="41" fontId="7" fillId="5" borderId="0" xfId="1" applyNumberFormat="1" applyFont="1" applyFill="1" applyBorder="1" applyProtection="1"/>
    <xf numFmtId="0" fontId="8" fillId="2" borderId="3" xfId="1" applyFont="1" applyFill="1" applyBorder="1" applyAlignment="1" applyProtection="1">
      <alignment horizontal="left" indent="1"/>
    </xf>
    <xf numFmtId="41" fontId="8" fillId="5" borderId="0" xfId="1" applyNumberFormat="1" applyFont="1" applyFill="1" applyBorder="1" applyProtection="1"/>
    <xf numFmtId="41" fontId="9" fillId="5" borderId="0" xfId="1" applyNumberFormat="1" applyFont="1" applyFill="1" applyBorder="1" applyProtection="1"/>
    <xf numFmtId="0" fontId="10" fillId="2" borderId="3" xfId="1" applyFont="1" applyFill="1" applyBorder="1" applyProtection="1"/>
    <xf numFmtId="42" fontId="10" fillId="5" borderId="0" xfId="1" applyNumberFormat="1" applyFont="1" applyFill="1" applyBorder="1" applyProtection="1"/>
    <xf numFmtId="41" fontId="1" fillId="2" borderId="3" xfId="1" applyNumberFormat="1" applyFont="1" applyFill="1" applyBorder="1" applyProtection="1">
      <protection locked="0"/>
    </xf>
    <xf numFmtId="42" fontId="1" fillId="5" borderId="0" xfId="1" applyNumberFormat="1" applyFill="1" applyBorder="1" applyProtection="1">
      <protection locked="0"/>
    </xf>
    <xf numFmtId="0" fontId="10" fillId="2" borderId="4" xfId="1" applyFont="1" applyFill="1" applyBorder="1" applyProtection="1"/>
    <xf numFmtId="42" fontId="10" fillId="5" borderId="5" xfId="1" applyNumberFormat="1" applyFont="1" applyFill="1" applyBorder="1" applyProtection="1"/>
    <xf numFmtId="41" fontId="1" fillId="5" borderId="0" xfId="1" applyNumberFormat="1" applyFont="1" applyFill="1" applyBorder="1" applyProtection="1"/>
    <xf numFmtId="0" fontId="1" fillId="2" borderId="4" xfId="1" applyFont="1" applyFill="1" applyBorder="1" applyProtection="1"/>
    <xf numFmtId="41" fontId="7" fillId="5" borderId="5" xfId="1" applyNumberFormat="1" applyFont="1" applyFill="1" applyBorder="1" applyProtection="1"/>
    <xf numFmtId="0" fontId="11" fillId="2" borderId="3" xfId="1" applyFont="1" applyFill="1" applyBorder="1" applyProtection="1"/>
    <xf numFmtId="165" fontId="11" fillId="5" borderId="0" xfId="1" applyNumberFormat="1" applyFont="1" applyFill="1" applyBorder="1" applyProtection="1"/>
    <xf numFmtId="0" fontId="13" fillId="2" borderId="3" xfId="2" applyFont="1" applyFill="1" applyBorder="1"/>
    <xf numFmtId="166" fontId="13" fillId="5" borderId="0" xfId="3" applyNumberFormat="1" applyFont="1" applyFill="1" applyBorder="1"/>
    <xf numFmtId="0" fontId="14" fillId="2" borderId="3" xfId="2" applyFont="1" applyFill="1" applyBorder="1"/>
    <xf numFmtId="0" fontId="12" fillId="2" borderId="3" xfId="2" applyFont="1" applyFill="1" applyBorder="1"/>
    <xf numFmtId="42" fontId="12" fillId="5" borderId="0" xfId="3" applyNumberFormat="1" applyFont="1" applyFill="1" applyBorder="1"/>
    <xf numFmtId="41" fontId="12" fillId="5" borderId="0" xfId="3" applyNumberFormat="1" applyFont="1" applyFill="1" applyBorder="1"/>
    <xf numFmtId="0" fontId="12" fillId="2" borderId="3" xfId="2" applyFill="1" applyBorder="1" applyAlignment="1">
      <alignment horizontal="left" indent="1"/>
    </xf>
    <xf numFmtId="0" fontId="15" fillId="2" borderId="3" xfId="2" applyFont="1" applyFill="1" applyBorder="1" applyAlignment="1">
      <alignment horizontal="left" indent="2"/>
    </xf>
    <xf numFmtId="41" fontId="15" fillId="5" borderId="0" xfId="3" applyNumberFormat="1" applyFont="1" applyFill="1" applyBorder="1"/>
    <xf numFmtId="42" fontId="12" fillId="5" borderId="0" xfId="2" applyNumberFormat="1" applyFont="1" applyFill="1" applyBorder="1"/>
    <xf numFmtId="0" fontId="12" fillId="2" borderId="3" xfId="2" applyFill="1" applyBorder="1" applyAlignment="1">
      <alignment horizontal="left" indent="2"/>
    </xf>
    <xf numFmtId="41" fontId="12" fillId="5" borderId="0" xfId="2" applyNumberFormat="1" applyFill="1" applyBorder="1"/>
    <xf numFmtId="0" fontId="15" fillId="2" borderId="3" xfId="2" applyFont="1" applyFill="1" applyBorder="1" applyAlignment="1">
      <alignment horizontal="left" indent="3"/>
    </xf>
    <xf numFmtId="41" fontId="15" fillId="5" borderId="0" xfId="2" applyNumberFormat="1" applyFont="1" applyFill="1" applyBorder="1"/>
    <xf numFmtId="0" fontId="8" fillId="2" borderId="3" xfId="1" applyFont="1" applyFill="1" applyBorder="1" applyAlignment="1" applyProtection="1">
      <alignment horizontal="left" indent="3"/>
    </xf>
    <xf numFmtId="0" fontId="12" fillId="2" borderId="3" xfId="2" applyFill="1" applyBorder="1"/>
    <xf numFmtId="41" fontId="0" fillId="5" borderId="0" xfId="4" applyNumberFormat="1" applyFont="1" applyFill="1" applyBorder="1"/>
    <xf numFmtId="0" fontId="15" fillId="2" borderId="3" xfId="2" applyFont="1" applyFill="1" applyBorder="1" applyAlignment="1">
      <alignment horizontal="left" indent="1"/>
    </xf>
    <xf numFmtId="41" fontId="15" fillId="5" borderId="0" xfId="4" applyNumberFormat="1" applyFont="1" applyFill="1" applyBorder="1"/>
    <xf numFmtId="41" fontId="1" fillId="5" borderId="0" xfId="1" applyNumberFormat="1" applyFill="1" applyBorder="1"/>
    <xf numFmtId="41" fontId="16" fillId="5" borderId="0" xfId="4" applyNumberFormat="1" applyFont="1" applyFill="1" applyBorder="1"/>
    <xf numFmtId="42" fontId="14" fillId="5" borderId="0" xfId="2" applyNumberFormat="1" applyFont="1" applyFill="1" applyBorder="1"/>
    <xf numFmtId="167" fontId="17" fillId="2" borderId="3" xfId="5" applyNumberFormat="1" applyFont="1" applyFill="1" applyBorder="1" applyAlignment="1"/>
    <xf numFmtId="42" fontId="12" fillId="5" borderId="0" xfId="2" applyNumberFormat="1" applyFill="1" applyBorder="1"/>
    <xf numFmtId="41" fontId="18" fillId="5" borderId="0" xfId="4" applyNumberFormat="1" applyFont="1" applyFill="1" applyBorder="1"/>
    <xf numFmtId="0" fontId="12" fillId="5" borderId="0" xfId="2" applyFill="1" applyBorder="1"/>
    <xf numFmtId="42" fontId="18" fillId="5" borderId="0" xfId="5" applyNumberFormat="1" applyFont="1" applyFill="1" applyBorder="1"/>
    <xf numFmtId="0" fontId="1" fillId="5" borderId="0" xfId="1" applyFill="1" applyBorder="1"/>
    <xf numFmtId="0" fontId="1" fillId="2" borderId="6" xfId="1" applyFill="1" applyBorder="1"/>
    <xf numFmtId="0" fontId="1" fillId="5" borderId="7" xfId="1" applyFill="1" applyBorder="1"/>
    <xf numFmtId="0" fontId="4" fillId="4" borderId="1" xfId="0" applyFont="1" applyFill="1" applyBorder="1" applyAlignment="1">
      <alignment horizontal="centerContinuous"/>
    </xf>
    <xf numFmtId="49" fontId="4" fillId="4" borderId="2" xfId="0" applyNumberFormat="1" applyFont="1" applyFill="1" applyBorder="1" applyAlignment="1">
      <alignment horizontal="centerContinuous"/>
    </xf>
    <xf numFmtId="164" fontId="19" fillId="5" borderId="0" xfId="0" applyNumberFormat="1" applyFont="1" applyFill="1" applyBorder="1" applyAlignment="1">
      <alignment horizontal="center"/>
    </xf>
    <xf numFmtId="0" fontId="0" fillId="2" borderId="3" xfId="0" applyFill="1" applyBorder="1"/>
    <xf numFmtId="0" fontId="0" fillId="2" borderId="3" xfId="0" applyFont="1" applyFill="1" applyBorder="1" applyProtection="1"/>
    <xf numFmtId="0" fontId="8" fillId="2" borderId="3" xfId="0" applyFont="1" applyFill="1" applyBorder="1" applyAlignment="1" applyProtection="1">
      <alignment horizontal="left" indent="1"/>
    </xf>
    <xf numFmtId="41" fontId="8" fillId="5" borderId="0" xfId="0" applyNumberFormat="1" applyFont="1" applyFill="1" applyBorder="1" applyProtection="1"/>
    <xf numFmtId="41" fontId="9" fillId="5" borderId="0" xfId="0" applyNumberFormat="1" applyFont="1" applyFill="1" applyBorder="1" applyProtection="1"/>
    <xf numFmtId="0" fontId="10" fillId="2" borderId="3" xfId="0" applyFont="1" applyFill="1" applyBorder="1" applyProtection="1"/>
    <xf numFmtId="41" fontId="0" fillId="2" borderId="3" xfId="0" applyNumberFormat="1" applyFont="1" applyFill="1" applyBorder="1" applyProtection="1">
      <protection locked="0"/>
    </xf>
    <xf numFmtId="41" fontId="0" fillId="5" borderId="0" xfId="0" applyNumberFormat="1" applyFont="1" applyFill="1" applyBorder="1" applyProtection="1"/>
    <xf numFmtId="41" fontId="7" fillId="5" borderId="0" xfId="0" applyNumberFormat="1" applyFont="1" applyFill="1" applyBorder="1" applyProtection="1"/>
    <xf numFmtId="0" fontId="10" fillId="2" borderId="8" xfId="0" applyFont="1" applyFill="1" applyBorder="1" applyProtection="1"/>
    <xf numFmtId="0" fontId="11" fillId="2" borderId="3" xfId="0" applyFont="1" applyFill="1" applyBorder="1" applyProtection="1"/>
    <xf numFmtId="0" fontId="0" fillId="2" borderId="3" xfId="0" applyFont="1" applyFill="1" applyBorder="1" applyProtection="1">
      <protection locked="0"/>
    </xf>
    <xf numFmtId="0" fontId="20" fillId="2" borderId="3" xfId="0" applyFont="1" applyFill="1" applyBorder="1" applyProtection="1"/>
    <xf numFmtId="0" fontId="0" fillId="2" borderId="3" xfId="0" applyFont="1" applyFill="1" applyBorder="1" applyAlignment="1" applyProtection="1">
      <alignment horizontal="left" indent="1"/>
    </xf>
    <xf numFmtId="0" fontId="8" fillId="2" borderId="3" xfId="0" applyFont="1" applyFill="1" applyBorder="1" applyAlignment="1" applyProtection="1">
      <alignment horizontal="left" indent="2"/>
    </xf>
    <xf numFmtId="0" fontId="12" fillId="2" borderId="3" xfId="0" applyFont="1" applyFill="1" applyBorder="1" applyAlignment="1" applyProtection="1">
      <alignment horizontal="left" indent="1"/>
    </xf>
    <xf numFmtId="41" fontId="12" fillId="5" borderId="0" xfId="0" applyNumberFormat="1" applyFont="1" applyFill="1" applyBorder="1" applyProtection="1"/>
    <xf numFmtId="0" fontId="12" fillId="2" borderId="3" xfId="0" applyFont="1" applyFill="1" applyBorder="1" applyAlignment="1" applyProtection="1">
      <alignment horizontal="left" indent="2"/>
    </xf>
    <xf numFmtId="0" fontId="8" fillId="2" borderId="3" xfId="0" applyFont="1" applyFill="1" applyBorder="1" applyAlignment="1" applyProtection="1">
      <alignment horizontal="left" indent="3"/>
    </xf>
    <xf numFmtId="0" fontId="12" fillId="2" borderId="3" xfId="0" applyFont="1" applyFill="1" applyBorder="1" applyProtection="1"/>
    <xf numFmtId="0" fontId="12" fillId="2" borderId="4" xfId="0" applyFont="1" applyFill="1" applyBorder="1" applyProtection="1"/>
    <xf numFmtId="41" fontId="18" fillId="5" borderId="5" xfId="0" applyNumberFormat="1" applyFont="1" applyFill="1" applyBorder="1" applyProtection="1"/>
    <xf numFmtId="0" fontId="14" fillId="2" borderId="8" xfId="0" applyFont="1" applyFill="1" applyBorder="1" applyProtection="1"/>
    <xf numFmtId="0" fontId="0" fillId="2" borderId="4" xfId="0" applyFont="1" applyFill="1" applyBorder="1" applyProtection="1"/>
    <xf numFmtId="41" fontId="7" fillId="5" borderId="5" xfId="0" applyNumberFormat="1" applyFont="1" applyFill="1" applyBorder="1" applyProtection="1"/>
    <xf numFmtId="0" fontId="14" fillId="2" borderId="3" xfId="0" applyFont="1" applyFill="1" applyBorder="1" applyProtection="1">
      <protection locked="0"/>
    </xf>
    <xf numFmtId="42" fontId="7" fillId="5" borderId="0" xfId="0" applyNumberFormat="1" applyFont="1" applyFill="1" applyBorder="1" applyProtection="1"/>
    <xf numFmtId="0" fontId="0" fillId="2" borderId="6" xfId="0" applyFill="1" applyBorder="1"/>
    <xf numFmtId="0" fontId="0" fillId="0" borderId="0" xfId="0" applyAlignment="1">
      <alignment horizontal="left"/>
    </xf>
    <xf numFmtId="0" fontId="0" fillId="0" borderId="0" xfId="0" applyNumberFormat="1"/>
    <xf numFmtId="0" fontId="0" fillId="0" borderId="0" xfId="0" pivotButton="1"/>
    <xf numFmtId="0" fontId="19" fillId="5" borderId="0" xfId="0" applyNumberFormat="1" applyFont="1" applyFill="1" applyBorder="1" applyAlignment="1">
      <alignment horizontal="center"/>
    </xf>
    <xf numFmtId="0" fontId="6" fillId="5" borderId="0" xfId="0" applyNumberFormat="1" applyFont="1" applyFill="1" applyBorder="1" applyAlignment="1">
      <alignment horizontal="center"/>
    </xf>
    <xf numFmtId="164" fontId="19" fillId="5" borderId="11" xfId="0" applyNumberFormat="1" applyFont="1" applyFill="1" applyBorder="1" applyAlignment="1">
      <alignment horizontal="center"/>
    </xf>
    <xf numFmtId="164" fontId="6" fillId="5" borderId="11" xfId="0" applyNumberFormat="1" applyFont="1" applyFill="1" applyBorder="1" applyAlignment="1">
      <alignment horizontal="center"/>
    </xf>
    <xf numFmtId="41" fontId="8" fillId="5" borderId="11" xfId="0" applyNumberFormat="1" applyFont="1" applyFill="1" applyBorder="1" applyProtection="1"/>
    <xf numFmtId="41" fontId="9" fillId="5" borderId="11" xfId="0" applyNumberFormat="1" applyFont="1" applyFill="1" applyBorder="1" applyProtection="1"/>
    <xf numFmtId="41" fontId="7" fillId="5" borderId="11" xfId="0" applyNumberFormat="1" applyFont="1" applyFill="1" applyBorder="1" applyProtection="1"/>
    <xf numFmtId="41" fontId="12" fillId="5" borderId="11" xfId="0" applyNumberFormat="1" applyFont="1" applyFill="1" applyBorder="1" applyProtection="1"/>
    <xf numFmtId="41" fontId="18" fillId="5" borderId="13" xfId="0" applyNumberFormat="1" applyFont="1" applyFill="1" applyBorder="1" applyProtection="1"/>
    <xf numFmtId="41" fontId="7" fillId="5" borderId="13" xfId="0" applyNumberFormat="1" applyFont="1" applyFill="1" applyBorder="1" applyProtection="1"/>
    <xf numFmtId="42" fontId="7" fillId="5" borderId="11" xfId="0" applyNumberFormat="1" applyFont="1" applyFill="1" applyBorder="1" applyProtection="1"/>
    <xf numFmtId="166" fontId="13" fillId="5" borderId="11" xfId="3" applyNumberFormat="1" applyFont="1" applyFill="1" applyBorder="1"/>
    <xf numFmtId="0" fontId="19" fillId="5" borderId="3" xfId="0" applyNumberFormat="1" applyFont="1" applyFill="1" applyBorder="1" applyAlignment="1">
      <alignment horizontal="center"/>
    </xf>
    <xf numFmtId="0" fontId="6" fillId="5" borderId="3" xfId="0" applyNumberFormat="1" applyFont="1" applyFill="1" applyBorder="1" applyAlignment="1">
      <alignment horizontal="center"/>
    </xf>
    <xf numFmtId="164" fontId="6" fillId="5" borderId="3" xfId="0" applyNumberFormat="1" applyFont="1" applyFill="1" applyBorder="1" applyAlignment="1">
      <alignment horizontal="center"/>
    </xf>
    <xf numFmtId="41" fontId="8" fillId="5" borderId="3" xfId="0" applyNumberFormat="1" applyFont="1" applyFill="1" applyBorder="1" applyProtection="1"/>
    <xf numFmtId="41" fontId="9" fillId="5" borderId="3" xfId="0" applyNumberFormat="1" applyFont="1" applyFill="1" applyBorder="1" applyProtection="1"/>
    <xf numFmtId="41" fontId="7" fillId="5" borderId="3" xfId="0" applyNumberFormat="1" applyFont="1" applyFill="1" applyBorder="1" applyProtection="1"/>
    <xf numFmtId="41" fontId="12" fillId="5" borderId="3" xfId="0" applyNumberFormat="1" applyFont="1" applyFill="1" applyBorder="1" applyProtection="1"/>
    <xf numFmtId="41" fontId="18" fillId="5" borderId="4" xfId="0" applyNumberFormat="1" applyFont="1" applyFill="1" applyBorder="1" applyProtection="1"/>
    <xf numFmtId="41" fontId="7" fillId="5" borderId="4" xfId="0" applyNumberFormat="1" applyFont="1" applyFill="1" applyBorder="1" applyProtection="1"/>
    <xf numFmtId="42" fontId="7" fillId="5" borderId="3" xfId="0" applyNumberFormat="1" applyFont="1" applyFill="1" applyBorder="1" applyProtection="1"/>
    <xf numFmtId="166" fontId="13" fillId="5" borderId="3" xfId="3" applyNumberFormat="1" applyFont="1" applyFill="1" applyBorder="1"/>
    <xf numFmtId="0" fontId="19" fillId="5" borderId="11" xfId="0" applyNumberFormat="1" applyFont="1" applyFill="1" applyBorder="1" applyAlignment="1">
      <alignment horizontal="center"/>
    </xf>
    <xf numFmtId="0" fontId="6" fillId="5" borderId="11" xfId="0" applyNumberFormat="1" applyFont="1" applyFill="1" applyBorder="1" applyAlignment="1">
      <alignment horizontal="center"/>
    </xf>
    <xf numFmtId="0" fontId="0" fillId="2" borderId="0" xfId="0" applyFill="1" applyAlignment="1">
      <alignment wrapText="1"/>
    </xf>
    <xf numFmtId="0" fontId="0" fillId="2" borderId="7" xfId="0" applyFill="1" applyBorder="1"/>
    <xf numFmtId="0" fontId="0" fillId="2" borderId="11" xfId="0" applyFill="1" applyBorder="1" applyAlignment="1">
      <alignment wrapText="1"/>
    </xf>
    <xf numFmtId="0" fontId="0" fillId="2" borderId="0" xfId="0" applyFill="1" applyBorder="1"/>
    <xf numFmtId="166" fontId="13" fillId="2" borderId="0" xfId="3" applyNumberFormat="1" applyFont="1" applyFill="1" applyBorder="1"/>
    <xf numFmtId="1" fontId="0" fillId="2" borderId="0" xfId="0" applyNumberFormat="1" applyFill="1" applyBorder="1"/>
    <xf numFmtId="0" fontId="0" fillId="2" borderId="16" xfId="0" applyFill="1" applyBorder="1"/>
    <xf numFmtId="165" fontId="13" fillId="2" borderId="0" xfId="0" applyNumberFormat="1" applyFont="1" applyFill="1" applyBorder="1" applyProtection="1"/>
    <xf numFmtId="165" fontId="11" fillId="2" borderId="0" xfId="0" applyNumberFormat="1" applyFont="1" applyFill="1" applyBorder="1" applyProtection="1"/>
    <xf numFmtId="42" fontId="10" fillId="2" borderId="0" xfId="0" applyNumberFormat="1" applyFont="1" applyFill="1" applyBorder="1" applyProtection="1"/>
    <xf numFmtId="42" fontId="7" fillId="2" borderId="0" xfId="0" applyNumberFormat="1" applyFont="1" applyFill="1" applyBorder="1" applyProtection="1"/>
    <xf numFmtId="42" fontId="0" fillId="2" borderId="0" xfId="0" applyNumberFormat="1" applyFill="1" applyBorder="1" applyProtection="1">
      <protection locked="0"/>
    </xf>
    <xf numFmtId="41" fontId="7" fillId="2" borderId="0" xfId="0" applyNumberFormat="1" applyFont="1" applyFill="1" applyBorder="1" applyProtection="1"/>
    <xf numFmtId="41" fontId="0" fillId="2" borderId="0" xfId="0" applyNumberFormat="1" applyFill="1" applyBorder="1" applyProtection="1"/>
    <xf numFmtId="42" fontId="0" fillId="2" borderId="0" xfId="0" applyNumberFormat="1" applyFill="1" applyBorder="1" applyProtection="1"/>
    <xf numFmtId="167" fontId="10" fillId="2" borderId="0" xfId="0" applyNumberFormat="1" applyFont="1" applyFill="1" applyBorder="1" applyProtection="1"/>
    <xf numFmtId="42" fontId="10" fillId="2" borderId="9" xfId="0" applyNumberFormat="1" applyFont="1" applyFill="1" applyBorder="1" applyProtection="1"/>
    <xf numFmtId="41" fontId="0" fillId="2" borderId="9" xfId="4" applyNumberFormat="1" applyFont="1" applyFill="1" applyBorder="1"/>
    <xf numFmtId="41" fontId="9" fillId="2" borderId="0" xfId="0" applyNumberFormat="1" applyFont="1" applyFill="1" applyBorder="1" applyProtection="1"/>
    <xf numFmtId="41" fontId="8" fillId="2" borderId="0" xfId="0" applyNumberFormat="1" applyFont="1" applyFill="1" applyBorder="1" applyProtection="1"/>
    <xf numFmtId="41" fontId="0" fillId="2" borderId="0" xfId="4" applyNumberFormat="1" applyFont="1" applyFill="1" applyBorder="1"/>
    <xf numFmtId="41" fontId="7" fillId="2" borderId="5" xfId="0" applyNumberFormat="1" applyFont="1" applyFill="1" applyBorder="1" applyProtection="1"/>
    <xf numFmtId="41" fontId="12" fillId="2" borderId="0" xfId="0" applyNumberFormat="1" applyFont="1" applyFill="1" applyBorder="1" applyProtection="1"/>
    <xf numFmtId="41" fontId="0" fillId="2" borderId="5" xfId="4" applyNumberFormat="1" applyFont="1" applyFill="1" applyBorder="1"/>
    <xf numFmtId="41" fontId="18" fillId="2" borderId="5" xfId="0" applyNumberFormat="1" applyFont="1" applyFill="1" applyBorder="1" applyProtection="1"/>
    <xf numFmtId="166" fontId="0" fillId="2" borderId="0" xfId="0" applyNumberFormat="1" applyFont="1" applyFill="1" applyBorder="1" applyProtection="1"/>
    <xf numFmtId="41" fontId="0" fillId="2" borderId="0" xfId="0" applyNumberFormat="1" applyFont="1" applyFill="1" applyBorder="1" applyProtection="1"/>
    <xf numFmtId="41" fontId="0" fillId="5" borderId="17" xfId="0" applyNumberFormat="1" applyFont="1" applyFill="1" applyBorder="1" applyProtection="1"/>
    <xf numFmtId="0" fontId="0" fillId="2" borderId="11" xfId="0" applyFill="1" applyBorder="1"/>
    <xf numFmtId="41" fontId="6" fillId="2" borderId="0" xfId="0" applyNumberFormat="1" applyFont="1" applyFill="1" applyBorder="1" applyProtection="1"/>
    <xf numFmtId="0" fontId="0" fillId="2" borderId="11" xfId="0" applyFont="1" applyFill="1" applyBorder="1" applyAlignment="1">
      <alignment wrapText="1"/>
    </xf>
    <xf numFmtId="42" fontId="6" fillId="2" borderId="0" xfId="0" applyNumberFormat="1" applyFont="1" applyFill="1" applyBorder="1" applyAlignment="1">
      <alignment horizontal="center"/>
    </xf>
    <xf numFmtId="0" fontId="6" fillId="2" borderId="0" xfId="0" applyFont="1" applyFill="1" applyBorder="1" applyAlignment="1">
      <alignment horizontal="center"/>
    </xf>
    <xf numFmtId="164" fontId="6" fillId="2" borderId="0" xfId="0" applyNumberFormat="1" applyFont="1" applyFill="1" applyBorder="1" applyAlignment="1">
      <alignment horizontal="center"/>
    </xf>
    <xf numFmtId="164" fontId="6" fillId="5" borderId="17" xfId="0" applyNumberFormat="1" applyFont="1" applyFill="1" applyBorder="1" applyAlignment="1">
      <alignment horizontal="center"/>
    </xf>
    <xf numFmtId="0" fontId="6" fillId="2" borderId="11" xfId="0" applyFont="1" applyFill="1" applyBorder="1" applyAlignment="1">
      <alignment wrapText="1"/>
    </xf>
    <xf numFmtId="0" fontId="6" fillId="2" borderId="0" xfId="0" applyNumberFormat="1" applyFont="1" applyFill="1" applyBorder="1" applyAlignment="1">
      <alignment horizontal="centerContinuous"/>
    </xf>
    <xf numFmtId="0" fontId="6" fillId="2" borderId="0" xfId="0" applyNumberFormat="1" applyFont="1" applyFill="1" applyBorder="1" applyAlignment="1">
      <alignment horizontal="center"/>
    </xf>
    <xf numFmtId="0" fontId="0" fillId="2" borderId="0" xfId="0" applyFill="1" applyBorder="1" applyAlignment="1">
      <alignment horizontal="centerContinuous"/>
    </xf>
    <xf numFmtId="17" fontId="6" fillId="2" borderId="0" xfId="0" applyNumberFormat="1" applyFont="1" applyFill="1" applyBorder="1" applyAlignment="1">
      <alignment horizontal="centerContinuous"/>
    </xf>
    <xf numFmtId="17" fontId="6" fillId="5" borderId="17" xfId="0" applyNumberFormat="1" applyFont="1" applyFill="1" applyBorder="1" applyAlignment="1">
      <alignment horizontal="center"/>
    </xf>
    <xf numFmtId="17" fontId="22" fillId="2" borderId="0" xfId="0" applyNumberFormat="1" applyFont="1" applyFill="1" applyBorder="1" applyAlignment="1">
      <alignment horizontal="centerContinuous"/>
    </xf>
    <xf numFmtId="0" fontId="4" fillId="4" borderId="22" xfId="0" applyFont="1" applyFill="1" applyBorder="1" applyAlignment="1">
      <alignment horizontal="centerContinuous"/>
    </xf>
    <xf numFmtId="0" fontId="4" fillId="4" borderId="2" xfId="0" applyFont="1" applyFill="1" applyBorder="1" applyAlignment="1">
      <alignment horizontal="centerContinuous"/>
    </xf>
    <xf numFmtId="42" fontId="4" fillId="4" borderId="2" xfId="0" applyNumberFormat="1" applyFont="1" applyFill="1" applyBorder="1" applyAlignment="1">
      <alignment horizontal="centerContinuous"/>
    </xf>
    <xf numFmtId="17" fontId="22" fillId="5" borderId="0" xfId="0" applyNumberFormat="1" applyFont="1" applyFill="1" applyBorder="1" applyAlignment="1">
      <alignment horizontal="centerContinuous"/>
    </xf>
    <xf numFmtId="0" fontId="6" fillId="5" borderId="0" xfId="0" applyNumberFormat="1" applyFont="1" applyFill="1" applyBorder="1" applyAlignment="1">
      <alignment horizontal="centerContinuous"/>
    </xf>
    <xf numFmtId="0" fontId="6" fillId="5" borderId="0" xfId="0" applyFont="1" applyFill="1" applyBorder="1" applyAlignment="1">
      <alignment horizontal="center"/>
    </xf>
    <xf numFmtId="17" fontId="22" fillId="5" borderId="17" xfId="0" applyNumberFormat="1" applyFont="1" applyFill="1" applyBorder="1" applyAlignment="1">
      <alignment horizontal="centerContinuous"/>
    </xf>
    <xf numFmtId="0" fontId="6" fillId="5" borderId="17" xfId="0" applyNumberFormat="1" applyFont="1" applyFill="1" applyBorder="1" applyAlignment="1">
      <alignment horizontal="centerContinuous"/>
    </xf>
    <xf numFmtId="0" fontId="6" fillId="5" borderId="17" xfId="0" applyFont="1" applyFill="1" applyBorder="1" applyAlignment="1">
      <alignment horizontal="center"/>
    </xf>
    <xf numFmtId="14" fontId="0" fillId="2" borderId="0" xfId="0" applyNumberFormat="1" applyFill="1"/>
    <xf numFmtId="0" fontId="0" fillId="2" borderId="0" xfId="0" applyNumberFormat="1" applyFill="1"/>
    <xf numFmtId="0" fontId="23" fillId="2" borderId="0" xfId="0" applyNumberFormat="1" applyFont="1" applyFill="1" applyBorder="1" applyAlignment="1">
      <alignment horizontal="center"/>
    </xf>
    <xf numFmtId="0" fontId="0" fillId="2" borderId="0" xfId="0" applyFill="1" applyBorder="1" applyAlignment="1">
      <alignment wrapText="1"/>
    </xf>
    <xf numFmtId="166" fontId="0" fillId="2" borderId="0" xfId="11" applyNumberFormat="1" applyFont="1" applyFill="1" applyBorder="1"/>
    <xf numFmtId="41" fontId="0" fillId="2" borderId="16" xfId="4" applyNumberFormat="1" applyFont="1" applyFill="1" applyBorder="1"/>
    <xf numFmtId="166" fontId="0" fillId="2" borderId="0" xfId="4" applyNumberFormat="1" applyFont="1" applyFill="1" applyBorder="1"/>
    <xf numFmtId="41" fontId="0" fillId="5" borderId="17" xfId="4" applyNumberFormat="1" applyFont="1" applyFill="1" applyBorder="1"/>
    <xf numFmtId="166" fontId="24" fillId="2" borderId="0" xfId="4" applyNumberFormat="1" applyFont="1" applyFill="1" applyBorder="1"/>
    <xf numFmtId="0" fontId="0" fillId="2" borderId="0" xfId="0" applyFont="1" applyFill="1" applyBorder="1"/>
    <xf numFmtId="41" fontId="0" fillId="2" borderId="0" xfId="0" applyNumberFormat="1" applyFont="1" applyFill="1" applyBorder="1"/>
    <xf numFmtId="0" fontId="0" fillId="2" borderId="16" xfId="0" applyFont="1" applyFill="1" applyBorder="1"/>
    <xf numFmtId="0" fontId="6" fillId="2" borderId="16" xfId="0" applyFont="1" applyFill="1" applyBorder="1" applyAlignment="1">
      <alignment horizontal="center"/>
    </xf>
    <xf numFmtId="0" fontId="6" fillId="2" borderId="16" xfId="0" applyNumberFormat="1" applyFont="1" applyFill="1" applyBorder="1" applyAlignment="1">
      <alignment horizontal="center"/>
    </xf>
    <xf numFmtId="0" fontId="4" fillId="4" borderId="22" xfId="0" applyFont="1" applyFill="1" applyBorder="1" applyAlignment="1">
      <alignment horizontal="centerContinuous" wrapText="1"/>
    </xf>
    <xf numFmtId="17" fontId="3" fillId="2" borderId="0" xfId="0" applyNumberFormat="1" applyFont="1" applyFill="1" applyBorder="1" applyAlignment="1">
      <alignment horizontal="center"/>
    </xf>
    <xf numFmtId="17" fontId="6" fillId="5" borderId="0" xfId="0" applyNumberFormat="1" applyFont="1" applyFill="1" applyBorder="1" applyAlignment="1">
      <alignment horizontal="center"/>
    </xf>
    <xf numFmtId="0" fontId="6" fillId="2" borderId="0" xfId="0" applyNumberFormat="1" applyFont="1" applyFill="1" applyBorder="1" applyAlignment="1"/>
    <xf numFmtId="164" fontId="6" fillId="5" borderId="23" xfId="1" applyNumberFormat="1" applyFont="1" applyFill="1" applyBorder="1" applyAlignment="1">
      <alignment horizontal="center"/>
    </xf>
    <xf numFmtId="164" fontId="6" fillId="5" borderId="11" xfId="1" applyNumberFormat="1" applyFont="1" applyFill="1" applyBorder="1" applyAlignment="1">
      <alignment horizontal="center"/>
    </xf>
    <xf numFmtId="42" fontId="1" fillId="5" borderId="11" xfId="1" applyNumberFormat="1" applyFill="1" applyBorder="1" applyProtection="1"/>
    <xf numFmtId="41" fontId="1" fillId="5" borderId="11" xfId="1" applyNumberFormat="1" applyFill="1" applyBorder="1" applyProtection="1"/>
    <xf numFmtId="41" fontId="7" fillId="5" borderId="11" xfId="1" applyNumberFormat="1" applyFont="1" applyFill="1" applyBorder="1" applyProtection="1"/>
    <xf numFmtId="41" fontId="8" fillId="5" borderId="11" xfId="1" applyNumberFormat="1" applyFont="1" applyFill="1" applyBorder="1" applyProtection="1"/>
    <xf numFmtId="41" fontId="9" fillId="5" borderId="11" xfId="1" applyNumberFormat="1" applyFont="1" applyFill="1" applyBorder="1" applyProtection="1"/>
    <xf numFmtId="42" fontId="10" fillId="5" borderId="11" xfId="1" applyNumberFormat="1" applyFont="1" applyFill="1" applyBorder="1" applyProtection="1"/>
    <xf numFmtId="42" fontId="1" fillId="5" borderId="11" xfId="1" applyNumberFormat="1" applyFill="1" applyBorder="1" applyProtection="1">
      <protection locked="0"/>
    </xf>
    <xf numFmtId="42" fontId="10" fillId="5" borderId="13" xfId="1" applyNumberFormat="1" applyFont="1" applyFill="1" applyBorder="1" applyProtection="1"/>
    <xf numFmtId="41" fontId="1" fillId="5" borderId="11" xfId="1" applyNumberFormat="1" applyFont="1" applyFill="1" applyBorder="1" applyProtection="1"/>
    <xf numFmtId="41" fontId="7" fillId="5" borderId="13" xfId="1" applyNumberFormat="1" applyFont="1" applyFill="1" applyBorder="1" applyProtection="1"/>
    <xf numFmtId="165" fontId="11" fillId="5" borderId="11" xfId="1" applyNumberFormat="1" applyFont="1" applyFill="1" applyBorder="1" applyProtection="1"/>
    <xf numFmtId="42" fontId="12" fillId="5" borderId="11" xfId="3" applyNumberFormat="1" applyFont="1" applyFill="1" applyBorder="1"/>
    <xf numFmtId="41" fontId="12" fillId="5" borderId="11" xfId="3" applyNumberFormat="1" applyFont="1" applyFill="1" applyBorder="1"/>
    <xf numFmtId="41" fontId="15" fillId="5" borderId="11" xfId="3" applyNumberFormat="1" applyFont="1" applyFill="1" applyBorder="1"/>
    <xf numFmtId="42" fontId="12" fillId="5" borderId="11" xfId="2" applyNumberFormat="1" applyFont="1" applyFill="1" applyBorder="1"/>
    <xf numFmtId="41" fontId="12" fillId="5" borderId="11" xfId="2" applyNumberFormat="1" applyFill="1" applyBorder="1"/>
    <xf numFmtId="41" fontId="15" fillId="5" borderId="11" xfId="2" applyNumberFormat="1" applyFont="1" applyFill="1" applyBorder="1"/>
    <xf numFmtId="41" fontId="0" fillId="5" borderId="11" xfId="4" applyNumberFormat="1" applyFont="1" applyFill="1" applyBorder="1"/>
    <xf numFmtId="41" fontId="15" fillId="5" borderId="11" xfId="4" applyNumberFormat="1" applyFont="1" applyFill="1" applyBorder="1"/>
    <xf numFmtId="41" fontId="1" fillId="5" borderId="11" xfId="1" applyNumberFormat="1" applyFill="1" applyBorder="1"/>
    <xf numFmtId="41" fontId="16" fillId="5" borderId="11" xfId="4" applyNumberFormat="1" applyFont="1" applyFill="1" applyBorder="1"/>
    <xf numFmtId="42" fontId="14" fillId="5" borderId="11" xfId="2" applyNumberFormat="1" applyFont="1" applyFill="1" applyBorder="1"/>
    <xf numFmtId="42" fontId="12" fillId="5" borderId="11" xfId="2" applyNumberFormat="1" applyFill="1" applyBorder="1"/>
    <xf numFmtId="41" fontId="18" fillId="5" borderId="11" xfId="4" applyNumberFormat="1" applyFont="1" applyFill="1" applyBorder="1"/>
    <xf numFmtId="0" fontId="12" fillId="5" borderId="11" xfId="2" applyFill="1" applyBorder="1"/>
    <xf numFmtId="42" fontId="18" fillId="5" borderId="11" xfId="5" applyNumberFormat="1" applyFont="1" applyFill="1" applyBorder="1"/>
    <xf numFmtId="0" fontId="1" fillId="5" borderId="11" xfId="1" applyFill="1" applyBorder="1"/>
    <xf numFmtId="0" fontId="1" fillId="5" borderId="10" xfId="1" applyFill="1" applyBorder="1"/>
    <xf numFmtId="164" fontId="6" fillId="5" borderId="3" xfId="1" applyNumberFormat="1" applyFont="1" applyFill="1" applyBorder="1" applyAlignment="1">
      <alignment horizontal="center"/>
    </xf>
    <xf numFmtId="42" fontId="1" fillId="5" borderId="3" xfId="1" applyNumberFormat="1" applyFill="1" applyBorder="1" applyProtection="1"/>
    <xf numFmtId="41" fontId="1" fillId="5" borderId="3" xfId="1" applyNumberFormat="1" applyFill="1" applyBorder="1" applyProtection="1"/>
    <xf numFmtId="41" fontId="7" fillId="5" borderId="3" xfId="1" applyNumberFormat="1" applyFont="1" applyFill="1" applyBorder="1" applyProtection="1"/>
    <xf numFmtId="41" fontId="8" fillId="5" borderId="3" xfId="1" applyNumberFormat="1" applyFont="1" applyFill="1" applyBorder="1" applyProtection="1"/>
    <xf numFmtId="41" fontId="9" fillId="5" borderId="3" xfId="1" applyNumberFormat="1" applyFont="1" applyFill="1" applyBorder="1" applyProtection="1"/>
    <xf numFmtId="42" fontId="10" fillId="5" borderId="3" xfId="1" applyNumberFormat="1" applyFont="1" applyFill="1" applyBorder="1" applyProtection="1"/>
    <xf numFmtId="42" fontId="1" fillId="5" borderId="3" xfId="1" applyNumberFormat="1" applyFill="1" applyBorder="1" applyProtection="1">
      <protection locked="0"/>
    </xf>
    <xf numFmtId="42" fontId="10" fillId="5" borderId="4" xfId="1" applyNumberFormat="1" applyFont="1" applyFill="1" applyBorder="1" applyProtection="1"/>
    <xf numFmtId="41" fontId="1" fillId="5" borderId="3" xfId="1" applyNumberFormat="1" applyFont="1" applyFill="1" applyBorder="1" applyProtection="1"/>
    <xf numFmtId="41" fontId="7" fillId="5" borderId="4" xfId="1" applyNumberFormat="1" applyFont="1" applyFill="1" applyBorder="1" applyProtection="1"/>
    <xf numFmtId="165" fontId="11" fillId="5" borderId="3" xfId="1" applyNumberFormat="1" applyFont="1" applyFill="1" applyBorder="1" applyProtection="1"/>
    <xf numFmtId="42" fontId="12" fillId="5" borderId="3" xfId="3" applyNumberFormat="1" applyFont="1" applyFill="1" applyBorder="1"/>
    <xf numFmtId="41" fontId="12" fillId="5" borderId="3" xfId="3" applyNumberFormat="1" applyFont="1" applyFill="1" applyBorder="1"/>
    <xf numFmtId="41" fontId="15" fillId="5" borderId="3" xfId="3" applyNumberFormat="1" applyFont="1" applyFill="1" applyBorder="1"/>
    <xf numFmtId="42" fontId="12" fillId="5" borderId="3" xfId="2" applyNumberFormat="1" applyFont="1" applyFill="1" applyBorder="1"/>
    <xf numFmtId="41" fontId="12" fillId="5" borderId="3" xfId="2" applyNumberFormat="1" applyFill="1" applyBorder="1"/>
    <xf numFmtId="41" fontId="15" fillId="5" borderId="3" xfId="2" applyNumberFormat="1" applyFont="1" applyFill="1" applyBorder="1"/>
    <xf numFmtId="41" fontId="0" fillId="5" borderId="3" xfId="4" applyNumberFormat="1" applyFont="1" applyFill="1" applyBorder="1"/>
    <xf numFmtId="41" fontId="15" fillId="5" borderId="3" xfId="4" applyNumberFormat="1" applyFont="1" applyFill="1" applyBorder="1"/>
    <xf numFmtId="41" fontId="1" fillId="5" borderId="3" xfId="1" applyNumberFormat="1" applyFill="1" applyBorder="1"/>
    <xf numFmtId="41" fontId="16" fillId="5" borderId="3" xfId="4" applyNumberFormat="1" applyFont="1" applyFill="1" applyBorder="1"/>
    <xf numFmtId="42" fontId="14" fillId="5" borderId="3" xfId="2" applyNumberFormat="1" applyFont="1" applyFill="1" applyBorder="1"/>
    <xf numFmtId="42" fontId="12" fillId="5" borderId="3" xfId="2" applyNumberFormat="1" applyFill="1" applyBorder="1"/>
    <xf numFmtId="41" fontId="18" fillId="5" borderId="3" xfId="4" applyNumberFormat="1" applyFont="1" applyFill="1" applyBorder="1"/>
    <xf numFmtId="0" fontId="12" fillId="5" borderId="3" xfId="2" applyFill="1" applyBorder="1"/>
    <xf numFmtId="42" fontId="18" fillId="5" borderId="3" xfId="5" applyNumberFormat="1" applyFont="1" applyFill="1" applyBorder="1"/>
    <xf numFmtId="0" fontId="1" fillId="5" borderId="3" xfId="1" applyFill="1" applyBorder="1"/>
    <xf numFmtId="0" fontId="1" fillId="5" borderId="6" xfId="1" applyFill="1" applyBorder="1"/>
    <xf numFmtId="164" fontId="26" fillId="5" borderId="0" xfId="0" applyNumberFormat="1" applyFont="1" applyFill="1" applyBorder="1" applyAlignment="1">
      <alignment horizontal="center"/>
    </xf>
    <xf numFmtId="164" fontId="26" fillId="5" borderId="11" xfId="0" applyNumberFormat="1" applyFont="1" applyFill="1" applyBorder="1" applyAlignment="1">
      <alignment horizontal="center"/>
    </xf>
    <xf numFmtId="0" fontId="5" fillId="0" borderId="3" xfId="0" applyFont="1" applyBorder="1" applyAlignment="1">
      <alignment horizontal="right" indent="2"/>
    </xf>
    <xf numFmtId="0" fontId="0" fillId="2" borderId="3" xfId="0" applyFill="1" applyBorder="1" applyAlignment="1">
      <alignment horizontal="right" indent="2"/>
    </xf>
    <xf numFmtId="14" fontId="0" fillId="0" borderId="0" xfId="0" applyNumberFormat="1"/>
    <xf numFmtId="1" fontId="0" fillId="0" borderId="0" xfId="0" applyNumberFormat="1"/>
    <xf numFmtId="0" fontId="28" fillId="0" borderId="0" xfId="0" applyFont="1"/>
    <xf numFmtId="0" fontId="27" fillId="0" borderId="0" xfId="0" applyFont="1"/>
    <xf numFmtId="0" fontId="0" fillId="0" borderId="0" xfId="0" applyAlignment="1">
      <alignment horizontal="center"/>
    </xf>
    <xf numFmtId="0" fontId="0" fillId="0" borderId="0" xfId="0" applyFill="1"/>
    <xf numFmtId="44" fontId="31" fillId="0" borderId="0" xfId="0" applyNumberFormat="1" applyFont="1" applyFill="1"/>
    <xf numFmtId="0" fontId="31" fillId="0" borderId="0" xfId="0" applyFont="1" applyFill="1"/>
    <xf numFmtId="0" fontId="31" fillId="0" borderId="0" xfId="0" applyNumberFormat="1" applyFont="1" applyFill="1"/>
    <xf numFmtId="0" fontId="32" fillId="0" borderId="0" xfId="0" applyFont="1"/>
    <xf numFmtId="0" fontId="2" fillId="0" borderId="0" xfId="0" applyNumberFormat="1" applyFont="1" applyFill="1"/>
    <xf numFmtId="0" fontId="2" fillId="0" borderId="0" xfId="0" applyFont="1" applyFill="1"/>
    <xf numFmtId="44" fontId="2" fillId="0" borderId="0" xfId="0" applyNumberFormat="1" applyFont="1" applyFill="1"/>
    <xf numFmtId="0" fontId="33" fillId="0" borderId="0" xfId="0" applyFont="1" applyFill="1" applyAlignment="1">
      <alignment horizontal="left"/>
    </xf>
    <xf numFmtId="0" fontId="27" fillId="0" borderId="0" xfId="0" applyFont="1" applyAlignment="1">
      <alignment horizontal="left"/>
    </xf>
    <xf numFmtId="0" fontId="34" fillId="0" borderId="0" xfId="0" applyFont="1"/>
    <xf numFmtId="0" fontId="29" fillId="0" borderId="0" xfId="0" applyFont="1" applyAlignment="1">
      <alignment horizontal="center"/>
    </xf>
    <xf numFmtId="0" fontId="30" fillId="0" borderId="0" xfId="0" applyFont="1" applyAlignment="1">
      <alignment horizontal="center"/>
    </xf>
    <xf numFmtId="0" fontId="0" fillId="0" borderId="21" xfId="0" applyBorder="1"/>
    <xf numFmtId="0" fontId="0" fillId="0" borderId="24" xfId="0" applyBorder="1"/>
    <xf numFmtId="0" fontId="0" fillId="0" borderId="17" xfId="0" applyBorder="1"/>
    <xf numFmtId="0" fontId="0" fillId="0" borderId="25" xfId="0" applyBorder="1"/>
    <xf numFmtId="0" fontId="0" fillId="0" borderId="19" xfId="0" applyBorder="1"/>
    <xf numFmtId="0" fontId="0" fillId="0" borderId="26" xfId="0" applyBorder="1"/>
    <xf numFmtId="0" fontId="0" fillId="0" borderId="0" xfId="0" applyBorder="1"/>
    <xf numFmtId="0" fontId="26" fillId="5" borderId="3" xfId="0" applyNumberFormat="1" applyFont="1" applyFill="1" applyBorder="1" applyAlignment="1">
      <alignment horizontal="center"/>
    </xf>
    <xf numFmtId="0" fontId="26" fillId="5" borderId="11" xfId="0" applyNumberFormat="1" applyFont="1" applyFill="1" applyBorder="1" applyAlignment="1">
      <alignment horizontal="center"/>
    </xf>
    <xf numFmtId="0" fontId="26" fillId="5" borderId="0" xfId="0" applyNumberFormat="1" applyFont="1" applyFill="1" applyBorder="1" applyAlignment="1">
      <alignment horizontal="center"/>
    </xf>
    <xf numFmtId="44" fontId="37" fillId="0" borderId="0" xfId="0" applyNumberFormat="1" applyFont="1" applyFill="1"/>
    <xf numFmtId="49" fontId="4" fillId="4" borderId="22" xfId="1" applyNumberFormat="1" applyFont="1" applyFill="1" applyBorder="1" applyAlignment="1">
      <alignment horizontal="centerContinuous"/>
    </xf>
    <xf numFmtId="49" fontId="4" fillId="4" borderId="1" xfId="1" applyNumberFormat="1" applyFont="1" applyFill="1" applyBorder="1" applyAlignment="1">
      <alignment horizontal="centerContinuous"/>
    </xf>
    <xf numFmtId="49" fontId="4" fillId="4" borderId="22" xfId="0" applyNumberFormat="1" applyFont="1" applyFill="1" applyBorder="1" applyAlignment="1">
      <alignment horizontal="centerContinuous"/>
    </xf>
    <xf numFmtId="49" fontId="4" fillId="4" borderId="1" xfId="0" applyNumberFormat="1" applyFont="1" applyFill="1" applyBorder="1" applyAlignment="1">
      <alignment horizontal="centerContinuous"/>
    </xf>
    <xf numFmtId="0" fontId="38" fillId="0" borderId="0" xfId="0" applyFont="1" applyAlignment="1">
      <alignment horizontal="center"/>
    </xf>
    <xf numFmtId="0" fontId="39" fillId="0" borderId="0" xfId="0" applyFont="1" applyAlignment="1">
      <alignment horizontal="center"/>
    </xf>
    <xf numFmtId="0" fontId="41" fillId="6" borderId="0" xfId="0" applyFont="1" applyFill="1"/>
    <xf numFmtId="0" fontId="40" fillId="0" borderId="0" xfId="0" applyFont="1"/>
    <xf numFmtId="164" fontId="19" fillId="2" borderId="0" xfId="0" applyNumberFormat="1" applyFont="1" applyFill="1" applyBorder="1" applyAlignment="1">
      <alignment horizontal="center"/>
    </xf>
    <xf numFmtId="164" fontId="19" fillId="2" borderId="11" xfId="0" applyNumberFormat="1" applyFont="1" applyFill="1" applyBorder="1" applyAlignment="1">
      <alignment horizontal="center"/>
    </xf>
    <xf numFmtId="164" fontId="6" fillId="2" borderId="11" xfId="0" applyNumberFormat="1" applyFont="1" applyFill="1" applyBorder="1" applyAlignment="1">
      <alignment horizontal="center"/>
    </xf>
    <xf numFmtId="42" fontId="0" fillId="2" borderId="11" xfId="0" applyNumberFormat="1" applyFill="1" applyBorder="1" applyProtection="1"/>
    <xf numFmtId="41" fontId="0" fillId="2" borderId="11" xfId="0" applyNumberFormat="1" applyFill="1" applyBorder="1" applyProtection="1"/>
    <xf numFmtId="41" fontId="6" fillId="2" borderId="11" xfId="0" applyNumberFormat="1" applyFont="1" applyFill="1" applyBorder="1" applyProtection="1"/>
    <xf numFmtId="41" fontId="8" fillId="2" borderId="11" xfId="0" applyNumberFormat="1" applyFont="1" applyFill="1" applyBorder="1" applyProtection="1"/>
    <xf numFmtId="41" fontId="9" fillId="2" borderId="11" xfId="0" applyNumberFormat="1" applyFont="1" applyFill="1" applyBorder="1" applyProtection="1"/>
    <xf numFmtId="42" fontId="10" fillId="2" borderId="11" xfId="0" applyNumberFormat="1" applyFont="1" applyFill="1" applyBorder="1" applyProtection="1"/>
    <xf numFmtId="42" fontId="0" fillId="2" borderId="11" xfId="0" applyNumberFormat="1" applyFill="1" applyBorder="1" applyProtection="1">
      <protection locked="0"/>
    </xf>
    <xf numFmtId="41" fontId="0" fillId="2" borderId="11" xfId="0" applyNumberFormat="1" applyFont="1" applyFill="1" applyBorder="1" applyProtection="1"/>
    <xf numFmtId="41" fontId="7" fillId="2" borderId="11" xfId="0" applyNumberFormat="1" applyFont="1" applyFill="1" applyBorder="1" applyProtection="1"/>
    <xf numFmtId="42" fontId="10" fillId="2" borderId="12" xfId="0" applyNumberFormat="1" applyFont="1" applyFill="1" applyBorder="1" applyProtection="1"/>
    <xf numFmtId="165" fontId="11" fillId="2" borderId="11" xfId="0" applyNumberFormat="1" applyFont="1" applyFill="1" applyBorder="1" applyProtection="1"/>
    <xf numFmtId="41" fontId="12" fillId="2" borderId="11" xfId="0" applyNumberFormat="1" applyFont="1" applyFill="1" applyBorder="1" applyProtection="1"/>
    <xf numFmtId="41" fontId="18" fillId="2" borderId="13" xfId="0" applyNumberFormat="1" applyFont="1" applyFill="1" applyBorder="1" applyProtection="1"/>
    <xf numFmtId="41" fontId="7" fillId="2" borderId="13" xfId="0" applyNumberFormat="1" applyFont="1" applyFill="1" applyBorder="1" applyProtection="1"/>
    <xf numFmtId="167" fontId="10" fillId="2" borderId="11" xfId="0" applyNumberFormat="1" applyFont="1" applyFill="1" applyBorder="1" applyProtection="1"/>
    <xf numFmtId="42" fontId="7" fillId="2" borderId="11" xfId="0" applyNumberFormat="1" applyFont="1" applyFill="1" applyBorder="1" applyProtection="1"/>
    <xf numFmtId="165" fontId="13" fillId="2" borderId="11" xfId="0" applyNumberFormat="1" applyFont="1" applyFill="1" applyBorder="1" applyProtection="1"/>
    <xf numFmtId="166" fontId="13" fillId="2" borderId="11" xfId="3" applyNumberFormat="1" applyFont="1" applyFill="1" applyBorder="1"/>
    <xf numFmtId="1" fontId="0" fillId="2" borderId="11" xfId="0" applyNumberFormat="1" applyFill="1" applyBorder="1"/>
    <xf numFmtId="0" fontId="0" fillId="2" borderId="10" xfId="0" applyFill="1" applyBorder="1"/>
    <xf numFmtId="0" fontId="19" fillId="2" borderId="3" xfId="0" applyNumberFormat="1" applyFont="1" applyFill="1" applyBorder="1" applyAlignment="1">
      <alignment horizontal="center"/>
    </xf>
    <xf numFmtId="0" fontId="19" fillId="2" borderId="0" xfId="0" applyNumberFormat="1" applyFont="1" applyFill="1" applyBorder="1" applyAlignment="1">
      <alignment horizontal="center"/>
    </xf>
    <xf numFmtId="0" fontId="19" fillId="2" borderId="11" xfId="0" applyNumberFormat="1" applyFont="1" applyFill="1" applyBorder="1" applyAlignment="1">
      <alignment horizontal="center"/>
    </xf>
    <xf numFmtId="0" fontId="6" fillId="2" borderId="3" xfId="0" applyNumberFormat="1" applyFont="1" applyFill="1" applyBorder="1" applyAlignment="1">
      <alignment horizontal="center"/>
    </xf>
    <xf numFmtId="0" fontId="6" fillId="2" borderId="11" xfId="0" applyNumberFormat="1" applyFont="1" applyFill="1" applyBorder="1" applyAlignment="1">
      <alignment horizontal="center"/>
    </xf>
    <xf numFmtId="164" fontId="6" fillId="2" borderId="3" xfId="0" applyNumberFormat="1" applyFont="1" applyFill="1" applyBorder="1" applyAlignment="1">
      <alignment horizontal="center"/>
    </xf>
    <xf numFmtId="42" fontId="0" fillId="2" borderId="3" xfId="0" applyNumberFormat="1" applyFill="1" applyBorder="1" applyProtection="1"/>
    <xf numFmtId="41" fontId="0" fillId="2" borderId="3" xfId="0" applyNumberFormat="1" applyFill="1" applyBorder="1" applyProtection="1"/>
    <xf numFmtId="41" fontId="6" fillId="2" borderId="3" xfId="0" applyNumberFormat="1" applyFont="1" applyFill="1" applyBorder="1" applyProtection="1"/>
    <xf numFmtId="41" fontId="8" fillId="2" borderId="3" xfId="0" applyNumberFormat="1" applyFont="1" applyFill="1" applyBorder="1" applyProtection="1"/>
    <xf numFmtId="41" fontId="9" fillId="2" borderId="3" xfId="0" applyNumberFormat="1" applyFont="1" applyFill="1" applyBorder="1" applyProtection="1"/>
    <xf numFmtId="42" fontId="10" fillId="2" borderId="3" xfId="0" applyNumberFormat="1" applyFont="1" applyFill="1" applyBorder="1" applyProtection="1"/>
    <xf numFmtId="42" fontId="0" fillId="2" borderId="3" xfId="0" applyNumberFormat="1" applyFill="1" applyBorder="1" applyProtection="1">
      <protection locked="0"/>
    </xf>
    <xf numFmtId="41" fontId="0" fillId="2" borderId="3" xfId="0" applyNumberFormat="1" applyFont="1" applyFill="1" applyBorder="1" applyProtection="1"/>
    <xf numFmtId="41" fontId="7" fillId="2" borderId="3" xfId="0" applyNumberFormat="1" applyFont="1" applyFill="1" applyBorder="1" applyProtection="1"/>
    <xf numFmtId="42" fontId="10" fillId="2" borderId="8" xfId="0" applyNumberFormat="1" applyFont="1" applyFill="1" applyBorder="1" applyProtection="1"/>
    <xf numFmtId="165" fontId="11" fillId="2" borderId="3" xfId="0" applyNumberFormat="1" applyFont="1" applyFill="1" applyBorder="1" applyProtection="1"/>
    <xf numFmtId="41" fontId="12" fillId="2" borderId="3" xfId="0" applyNumberFormat="1" applyFont="1" applyFill="1" applyBorder="1" applyProtection="1"/>
    <xf numFmtId="41" fontId="18" fillId="2" borderId="4" xfId="0" applyNumberFormat="1" applyFont="1" applyFill="1" applyBorder="1" applyProtection="1"/>
    <xf numFmtId="41" fontId="7" fillId="2" borderId="4" xfId="0" applyNumberFormat="1" applyFont="1" applyFill="1" applyBorder="1" applyProtection="1"/>
    <xf numFmtId="167" fontId="10" fillId="2" borderId="3" xfId="0" applyNumberFormat="1" applyFont="1" applyFill="1" applyBorder="1" applyProtection="1"/>
    <xf numFmtId="42" fontId="7" fillId="2" borderId="3" xfId="0" applyNumberFormat="1" applyFont="1" applyFill="1" applyBorder="1" applyProtection="1"/>
    <xf numFmtId="165" fontId="13" fillId="2" borderId="3" xfId="0" applyNumberFormat="1" applyFont="1" applyFill="1" applyBorder="1" applyProtection="1"/>
    <xf numFmtId="166" fontId="13" fillId="2" borderId="3" xfId="3" applyNumberFormat="1" applyFont="1" applyFill="1" applyBorder="1"/>
    <xf numFmtId="1" fontId="0" fillId="2" borderId="3" xfId="0" applyNumberFormat="1" applyFill="1" applyBorder="1"/>
    <xf numFmtId="0" fontId="0" fillId="0" borderId="0" xfId="0" applyFill="1" applyBorder="1"/>
    <xf numFmtId="0" fontId="34" fillId="0" borderId="0" xfId="0" applyFont="1" applyAlignment="1"/>
    <xf numFmtId="0" fontId="10" fillId="2" borderId="3" xfId="1" applyFont="1" applyFill="1" applyBorder="1" applyAlignment="1">
      <alignment horizontal="center"/>
    </xf>
    <xf numFmtId="0" fontId="32" fillId="2" borderId="3" xfId="0" applyFont="1" applyFill="1" applyBorder="1" applyAlignment="1">
      <alignment horizontal="center"/>
    </xf>
    <xf numFmtId="0" fontId="27" fillId="0" borderId="0" xfId="0" applyFont="1" applyAlignment="1">
      <alignment horizontal="right"/>
    </xf>
    <xf numFmtId="164" fontId="6" fillId="5" borderId="0" xfId="0" applyNumberFormat="1" applyFont="1" applyFill="1" applyBorder="1" applyAlignment="1" applyProtection="1">
      <alignment horizontal="center"/>
      <protection locked="0"/>
    </xf>
    <xf numFmtId="164" fontId="6" fillId="5" borderId="11" xfId="0" applyNumberFormat="1" applyFont="1" applyFill="1" applyBorder="1" applyAlignment="1" applyProtection="1">
      <alignment horizontal="center"/>
      <protection locked="0"/>
    </xf>
    <xf numFmtId="164" fontId="6" fillId="5" borderId="3" xfId="0" applyNumberFormat="1" applyFont="1" applyFill="1" applyBorder="1" applyAlignment="1" applyProtection="1">
      <alignment horizontal="center"/>
      <protection locked="0"/>
    </xf>
    <xf numFmtId="14" fontId="0" fillId="2" borderId="3" xfId="0" applyNumberFormat="1" applyFill="1" applyBorder="1" applyAlignment="1">
      <alignment horizontal="center"/>
    </xf>
    <xf numFmtId="0" fontId="22" fillId="5" borderId="0" xfId="0" applyNumberFormat="1" applyFont="1" applyFill="1" applyBorder="1" applyAlignment="1">
      <alignment horizontal="center"/>
    </xf>
    <xf numFmtId="0" fontId="22" fillId="2" borderId="0" xfId="0" applyNumberFormat="1" applyFont="1" applyFill="1" applyBorder="1" applyAlignment="1">
      <alignment horizontal="centerContinuous"/>
    </xf>
    <xf numFmtId="0" fontId="22" fillId="2" borderId="0" xfId="0" applyNumberFormat="1" applyFont="1" applyFill="1" applyBorder="1" applyAlignment="1"/>
    <xf numFmtId="0" fontId="22" fillId="2" borderId="0" xfId="0" applyNumberFormat="1" applyFont="1" applyFill="1" applyBorder="1" applyAlignment="1">
      <alignment horizontal="center"/>
    </xf>
    <xf numFmtId="14" fontId="22" fillId="2" borderId="0" xfId="0" applyNumberFormat="1" applyFont="1" applyFill="1" applyBorder="1" applyAlignment="1">
      <alignment horizontal="centerContinuous"/>
    </xf>
    <xf numFmtId="0" fontId="22" fillId="5" borderId="0" xfId="0" applyNumberFormat="1" applyFont="1" applyFill="1" applyBorder="1" applyAlignment="1"/>
    <xf numFmtId="0" fontId="42" fillId="3" borderId="0" xfId="0" applyFont="1" applyFill="1" applyAlignment="1">
      <alignment horizontal="center"/>
    </xf>
    <xf numFmtId="0" fontId="43" fillId="2" borderId="0" xfId="0" applyFont="1" applyFill="1"/>
    <xf numFmtId="0" fontId="44" fillId="0" borderId="3" xfId="0" applyFont="1" applyBorder="1" applyAlignment="1">
      <alignment horizontal="right" indent="2"/>
    </xf>
    <xf numFmtId="0" fontId="43" fillId="2" borderId="3" xfId="0" applyFont="1" applyFill="1" applyBorder="1"/>
    <xf numFmtId="0" fontId="1" fillId="2" borderId="3" xfId="0" applyFont="1" applyFill="1" applyBorder="1" applyAlignment="1">
      <alignment horizontal="right" indent="2"/>
    </xf>
    <xf numFmtId="0" fontId="12" fillId="0" borderId="3" xfId="0" applyFont="1" applyBorder="1" applyAlignment="1">
      <alignment horizontal="right" indent="2"/>
    </xf>
    <xf numFmtId="0" fontId="1" fillId="2" borderId="3" xfId="0" applyFont="1" applyFill="1" applyBorder="1" applyProtection="1"/>
    <xf numFmtId="41" fontId="1" fillId="2" borderId="3" xfId="0" applyNumberFormat="1" applyFont="1" applyFill="1" applyBorder="1" applyProtection="1">
      <protection locked="0"/>
    </xf>
    <xf numFmtId="0" fontId="1" fillId="2" borderId="3" xfId="0" applyFont="1" applyFill="1" applyBorder="1" applyProtection="1">
      <protection locked="0"/>
    </xf>
    <xf numFmtId="0" fontId="1" fillId="2" borderId="3" xfId="0" applyFont="1" applyFill="1" applyBorder="1" applyAlignment="1" applyProtection="1">
      <alignment horizontal="left" indent="1"/>
    </xf>
    <xf numFmtId="0" fontId="1" fillId="2" borderId="4" xfId="0" applyFont="1" applyFill="1" applyBorder="1" applyProtection="1"/>
    <xf numFmtId="0" fontId="1" fillId="2" borderId="3" xfId="0" applyFont="1" applyFill="1" applyBorder="1"/>
    <xf numFmtId="0" fontId="1" fillId="2" borderId="6" xfId="0" applyFont="1" applyFill="1" applyBorder="1"/>
    <xf numFmtId="0" fontId="12" fillId="2" borderId="3" xfId="2" applyFont="1" applyFill="1" applyBorder="1" applyAlignment="1">
      <alignment horizontal="left" indent="1"/>
    </xf>
    <xf numFmtId="0" fontId="12" fillId="2" borderId="3" xfId="2" applyFont="1" applyFill="1" applyBorder="1" applyAlignment="1">
      <alignment horizontal="left" indent="2"/>
    </xf>
    <xf numFmtId="167" fontId="45" fillId="2" borderId="3" xfId="5" applyNumberFormat="1" applyFont="1" applyFill="1" applyBorder="1" applyAlignment="1"/>
    <xf numFmtId="42" fontId="27" fillId="5" borderId="0" xfId="0" applyNumberFormat="1" applyFont="1" applyFill="1" applyBorder="1" applyProtection="1"/>
    <xf numFmtId="42" fontId="27" fillId="5" borderId="17" xfId="0" applyNumberFormat="1" applyFont="1" applyFill="1" applyBorder="1" applyProtection="1"/>
    <xf numFmtId="42" fontId="27" fillId="2" borderId="0" xfId="0" applyNumberFormat="1" applyFont="1" applyFill="1" applyBorder="1" applyProtection="1"/>
    <xf numFmtId="0" fontId="27" fillId="2" borderId="0" xfId="0" applyFont="1" applyFill="1" applyBorder="1"/>
    <xf numFmtId="166" fontId="27" fillId="2" borderId="0" xfId="0" applyNumberFormat="1" applyFont="1" applyFill="1" applyBorder="1" applyProtection="1"/>
    <xf numFmtId="0" fontId="27" fillId="2" borderId="16" xfId="0" applyFont="1" applyFill="1" applyBorder="1"/>
    <xf numFmtId="0" fontId="6" fillId="2" borderId="16" xfId="0" applyNumberFormat="1" applyFont="1" applyFill="1" applyBorder="1" applyAlignment="1">
      <alignment horizontal="centerContinuous"/>
    </xf>
    <xf numFmtId="42" fontId="6" fillId="2" borderId="16" xfId="0" applyNumberFormat="1" applyFont="1" applyFill="1" applyBorder="1" applyAlignment="1">
      <alignment horizontal="center"/>
    </xf>
    <xf numFmtId="166" fontId="0" fillId="2" borderId="16" xfId="0" applyNumberFormat="1" applyFont="1" applyFill="1" applyBorder="1" applyProtection="1"/>
    <xf numFmtId="42" fontId="0" fillId="5" borderId="0" xfId="0" applyNumberFormat="1" applyFont="1" applyFill="1" applyBorder="1" applyProtection="1"/>
    <xf numFmtId="42" fontId="0" fillId="5" borderId="17" xfId="0" applyNumberFormat="1" applyFont="1" applyFill="1" applyBorder="1" applyProtection="1"/>
    <xf numFmtId="42" fontId="0" fillId="2" borderId="0" xfId="0" applyNumberFormat="1" applyFont="1" applyFill="1" applyBorder="1" applyProtection="1"/>
    <xf numFmtId="0" fontId="0" fillId="2" borderId="11" xfId="0" applyFont="1" applyFill="1" applyBorder="1"/>
    <xf numFmtId="42" fontId="0" fillId="5" borderId="0" xfId="0" applyNumberFormat="1" applyFont="1" applyFill="1" applyBorder="1" applyProtection="1">
      <protection locked="0"/>
    </xf>
    <xf numFmtId="42" fontId="0" fillId="5" borderId="17" xfId="0" applyNumberFormat="1" applyFont="1" applyFill="1" applyBorder="1" applyProtection="1">
      <protection locked="0"/>
    </xf>
    <xf numFmtId="42" fontId="0" fillId="2" borderId="0" xfId="0" applyNumberFormat="1" applyFont="1" applyFill="1" applyBorder="1" applyProtection="1">
      <protection locked="0"/>
    </xf>
    <xf numFmtId="166" fontId="0" fillId="2" borderId="0" xfId="0" applyNumberFormat="1" applyFont="1" applyFill="1" applyBorder="1" applyProtection="1">
      <protection locked="0"/>
    </xf>
    <xf numFmtId="166" fontId="0" fillId="2" borderId="16" xfId="0" applyNumberFormat="1" applyFont="1" applyFill="1" applyBorder="1" applyProtection="1">
      <protection locked="0"/>
    </xf>
    <xf numFmtId="0" fontId="0" fillId="2" borderId="18" xfId="0" applyFont="1" applyFill="1" applyBorder="1"/>
    <xf numFmtId="0" fontId="0" fillId="2" borderId="12" xfId="0" applyFont="1" applyFill="1" applyBorder="1" applyAlignment="1">
      <alignment wrapText="1"/>
    </xf>
    <xf numFmtId="0" fontId="0" fillId="2" borderId="20" xfId="0" applyFont="1" applyFill="1" applyBorder="1"/>
    <xf numFmtId="0" fontId="0" fillId="2" borderId="13" xfId="0" applyFont="1" applyFill="1" applyBorder="1" applyAlignment="1">
      <alignment wrapText="1"/>
    </xf>
    <xf numFmtId="0" fontId="0" fillId="2" borderId="9" xfId="0" applyFont="1" applyFill="1" applyBorder="1"/>
    <xf numFmtId="1" fontId="0" fillId="2" borderId="0" xfId="0" applyNumberFormat="1" applyFont="1" applyFill="1" applyBorder="1"/>
    <xf numFmtId="0" fontId="0" fillId="5" borderId="0" xfId="0" applyFont="1" applyFill="1" applyBorder="1"/>
    <xf numFmtId="0" fontId="0" fillId="5" borderId="17" xfId="0" applyFont="1" applyFill="1" applyBorder="1"/>
    <xf numFmtId="1" fontId="0" fillId="5" borderId="0" xfId="0" applyNumberFormat="1" applyFont="1" applyFill="1" applyBorder="1"/>
    <xf numFmtId="1" fontId="0" fillId="5" borderId="17" xfId="0" applyNumberFormat="1" applyFont="1" applyFill="1" applyBorder="1"/>
    <xf numFmtId="0" fontId="0" fillId="5" borderId="7" xfId="0" applyFont="1" applyFill="1" applyBorder="1"/>
    <xf numFmtId="0" fontId="0" fillId="5" borderId="15" xfId="0" applyFont="1" applyFill="1" applyBorder="1"/>
    <xf numFmtId="0" fontId="0" fillId="2" borderId="7" xfId="0" applyFont="1" applyFill="1" applyBorder="1"/>
    <xf numFmtId="0" fontId="0" fillId="2" borderId="14" xfId="0" applyFont="1" applyFill="1" applyBorder="1"/>
    <xf numFmtId="0" fontId="0" fillId="2" borderId="10" xfId="0" applyFont="1" applyFill="1" applyBorder="1" applyAlignment="1">
      <alignment wrapText="1"/>
    </xf>
    <xf numFmtId="42" fontId="27" fillId="2" borderId="0" xfId="0" applyNumberFormat="1" applyFont="1" applyFill="1" applyBorder="1"/>
    <xf numFmtId="41" fontId="25" fillId="2" borderId="0" xfId="4" applyNumberFormat="1" applyFont="1" applyFill="1" applyBorder="1"/>
    <xf numFmtId="41" fontId="46" fillId="5" borderId="0" xfId="0" applyNumberFormat="1" applyFont="1" applyFill="1" applyBorder="1" applyProtection="1"/>
    <xf numFmtId="41" fontId="46" fillId="5" borderId="17" xfId="0" applyNumberFormat="1" applyFont="1" applyFill="1" applyBorder="1" applyProtection="1"/>
    <xf numFmtId="41" fontId="46" fillId="2" borderId="0" xfId="0" applyNumberFormat="1" applyFont="1" applyFill="1" applyBorder="1" applyProtection="1"/>
    <xf numFmtId="166" fontId="46" fillId="2" borderId="0" xfId="0" applyNumberFormat="1" applyFont="1" applyFill="1" applyBorder="1" applyProtection="1"/>
    <xf numFmtId="41" fontId="47" fillId="2" borderId="0" xfId="4" applyNumberFormat="1" applyFont="1" applyFill="1" applyBorder="1"/>
    <xf numFmtId="166" fontId="46" fillId="2" borderId="16" xfId="0" applyNumberFormat="1" applyFont="1" applyFill="1" applyBorder="1" applyProtection="1"/>
    <xf numFmtId="41" fontId="48" fillId="5" borderId="0" xfId="0" applyNumberFormat="1" applyFont="1" applyFill="1" applyBorder="1" applyProtection="1"/>
    <xf numFmtId="41" fontId="48" fillId="5" borderId="17" xfId="0" applyNumberFormat="1" applyFont="1" applyFill="1" applyBorder="1" applyProtection="1"/>
    <xf numFmtId="41" fontId="48" fillId="2" borderId="0" xfId="0" applyNumberFormat="1" applyFont="1" applyFill="1" applyBorder="1" applyProtection="1"/>
    <xf numFmtId="166" fontId="48" fillId="2" borderId="0" xfId="0" applyNumberFormat="1" applyFont="1" applyFill="1" applyBorder="1" applyProtection="1"/>
    <xf numFmtId="166" fontId="48" fillId="2" borderId="16" xfId="0" applyNumberFormat="1" applyFont="1" applyFill="1" applyBorder="1" applyProtection="1"/>
    <xf numFmtId="41" fontId="49" fillId="5" borderId="0" xfId="0" applyNumberFormat="1" applyFont="1" applyFill="1" applyBorder="1" applyProtection="1"/>
    <xf numFmtId="41" fontId="49" fillId="5" borderId="17" xfId="0" applyNumberFormat="1" applyFont="1" applyFill="1" applyBorder="1" applyProtection="1"/>
    <xf numFmtId="41" fontId="49" fillId="2" borderId="0" xfId="0" applyNumberFormat="1" applyFont="1" applyFill="1" applyBorder="1" applyProtection="1"/>
    <xf numFmtId="166" fontId="49" fillId="2" borderId="0" xfId="0" applyNumberFormat="1" applyFont="1" applyFill="1" applyBorder="1" applyProtection="1"/>
    <xf numFmtId="166" fontId="49" fillId="2" borderId="16" xfId="0" applyNumberFormat="1" applyFont="1" applyFill="1" applyBorder="1" applyProtection="1"/>
    <xf numFmtId="166" fontId="27" fillId="2" borderId="16" xfId="0" applyNumberFormat="1" applyFont="1" applyFill="1" applyBorder="1" applyProtection="1"/>
    <xf numFmtId="42" fontId="37" fillId="2" borderId="0" xfId="2" applyNumberFormat="1" applyFont="1" applyFill="1" applyBorder="1"/>
    <xf numFmtId="41" fontId="25" fillId="2" borderId="0" xfId="10" applyNumberFormat="1" applyFont="1" applyFill="1" applyBorder="1"/>
    <xf numFmtId="41" fontId="50" fillId="5" borderId="0" xfId="0" applyNumberFormat="1" applyFont="1" applyFill="1" applyBorder="1" applyProtection="1"/>
    <xf numFmtId="41" fontId="50" fillId="5" borderId="17" xfId="0" applyNumberFormat="1" applyFont="1" applyFill="1" applyBorder="1" applyProtection="1"/>
    <xf numFmtId="41" fontId="50" fillId="2" borderId="0" xfId="0" applyNumberFormat="1" applyFont="1" applyFill="1" applyBorder="1" applyProtection="1"/>
    <xf numFmtId="166" fontId="50" fillId="2" borderId="0" xfId="0" applyNumberFormat="1" applyFont="1" applyFill="1" applyBorder="1" applyProtection="1"/>
    <xf numFmtId="166" fontId="50" fillId="2" borderId="16" xfId="0" applyNumberFormat="1" applyFont="1" applyFill="1" applyBorder="1" applyProtection="1"/>
    <xf numFmtId="42" fontId="27" fillId="5" borderId="9" xfId="0" applyNumberFormat="1" applyFont="1" applyFill="1" applyBorder="1" applyProtection="1"/>
    <xf numFmtId="42" fontId="27" fillId="5" borderId="19" xfId="0" applyNumberFormat="1" applyFont="1" applyFill="1" applyBorder="1" applyProtection="1"/>
    <xf numFmtId="42" fontId="27" fillId="2" borderId="9" xfId="0" applyNumberFormat="1" applyFont="1" applyFill="1" applyBorder="1" applyProtection="1"/>
    <xf numFmtId="42" fontId="37" fillId="2" borderId="9" xfId="2" applyNumberFormat="1" applyFont="1" applyFill="1" applyBorder="1"/>
    <xf numFmtId="166" fontId="27" fillId="2" borderId="9" xfId="0" applyNumberFormat="1" applyFont="1" applyFill="1" applyBorder="1" applyProtection="1"/>
    <xf numFmtId="166" fontId="27" fillId="2" borderId="18" xfId="0" applyNumberFormat="1" applyFont="1" applyFill="1" applyBorder="1" applyProtection="1"/>
    <xf numFmtId="165" fontId="51" fillId="5" borderId="0" xfId="0" applyNumberFormat="1" applyFont="1" applyFill="1" applyBorder="1" applyProtection="1"/>
    <xf numFmtId="165" fontId="51" fillId="5" borderId="17" xfId="0" applyNumberFormat="1" applyFont="1" applyFill="1" applyBorder="1" applyProtection="1"/>
    <xf numFmtId="165" fontId="51" fillId="2" borderId="0" xfId="0" applyNumberFormat="1" applyFont="1" applyFill="1" applyBorder="1" applyProtection="1"/>
    <xf numFmtId="166" fontId="52" fillId="2" borderId="0" xfId="3" applyNumberFormat="1" applyFont="1" applyFill="1" applyBorder="1"/>
    <xf numFmtId="166" fontId="51" fillId="2" borderId="0" xfId="0" applyNumberFormat="1" applyFont="1" applyFill="1" applyBorder="1" applyProtection="1"/>
    <xf numFmtId="166" fontId="51" fillId="2" borderId="16" xfId="0" applyNumberFormat="1" applyFont="1" applyFill="1" applyBorder="1" applyProtection="1"/>
    <xf numFmtId="0" fontId="25" fillId="2" borderId="0" xfId="2" applyFont="1" applyFill="1" applyBorder="1"/>
    <xf numFmtId="42" fontId="25" fillId="2" borderId="0" xfId="2" applyNumberFormat="1" applyFont="1" applyFill="1" applyBorder="1"/>
    <xf numFmtId="41" fontId="25" fillId="5" borderId="0" xfId="0" applyNumberFormat="1" applyFont="1" applyFill="1" applyBorder="1" applyProtection="1"/>
    <xf numFmtId="41" fontId="25" fillId="5" borderId="17" xfId="0" applyNumberFormat="1" applyFont="1" applyFill="1" applyBorder="1" applyProtection="1"/>
    <xf numFmtId="41" fontId="25" fillId="2" borderId="0" xfId="0" applyNumberFormat="1" applyFont="1" applyFill="1" applyBorder="1" applyProtection="1"/>
    <xf numFmtId="166" fontId="25" fillId="2" borderId="0" xfId="0" applyNumberFormat="1" applyFont="1" applyFill="1" applyBorder="1" applyProtection="1"/>
    <xf numFmtId="166" fontId="25" fillId="2" borderId="16" xfId="0" applyNumberFormat="1" applyFont="1" applyFill="1" applyBorder="1" applyProtection="1"/>
    <xf numFmtId="41" fontId="47" fillId="5" borderId="5" xfId="0" applyNumberFormat="1" applyFont="1" applyFill="1" applyBorder="1" applyProtection="1"/>
    <xf numFmtId="41" fontId="47" fillId="5" borderId="21" xfId="0" applyNumberFormat="1" applyFont="1" applyFill="1" applyBorder="1" applyProtection="1"/>
    <xf numFmtId="41" fontId="47" fillId="2" borderId="5" xfId="0" applyNumberFormat="1" applyFont="1" applyFill="1" applyBorder="1" applyProtection="1"/>
    <xf numFmtId="41" fontId="47" fillId="2" borderId="5" xfId="4" applyNumberFormat="1" applyFont="1" applyFill="1" applyBorder="1"/>
    <xf numFmtId="166" fontId="47" fillId="2" borderId="5" xfId="0" applyNumberFormat="1" applyFont="1" applyFill="1" applyBorder="1" applyProtection="1"/>
    <xf numFmtId="166" fontId="47" fillId="2" borderId="20" xfId="0" applyNumberFormat="1" applyFont="1" applyFill="1" applyBorder="1" applyProtection="1"/>
    <xf numFmtId="166" fontId="52" fillId="2" borderId="9" xfId="3" applyNumberFormat="1" applyFont="1" applyFill="1" applyBorder="1"/>
    <xf numFmtId="41" fontId="50" fillId="5" borderId="5" xfId="0" applyNumberFormat="1" applyFont="1" applyFill="1" applyBorder="1" applyProtection="1"/>
    <xf numFmtId="41" fontId="50" fillId="5" borderId="21" xfId="0" applyNumberFormat="1" applyFont="1" applyFill="1" applyBorder="1" applyProtection="1"/>
    <xf numFmtId="41" fontId="50" fillId="2" borderId="5" xfId="0" applyNumberFormat="1" applyFont="1" applyFill="1" applyBorder="1" applyProtection="1"/>
    <xf numFmtId="166" fontId="52" fillId="2" borderId="5" xfId="3" applyNumberFormat="1" applyFont="1" applyFill="1" applyBorder="1"/>
    <xf numFmtId="166" fontId="50" fillId="2" borderId="5" xfId="0" applyNumberFormat="1" applyFont="1" applyFill="1" applyBorder="1" applyProtection="1"/>
    <xf numFmtId="166" fontId="50" fillId="2" borderId="20" xfId="0" applyNumberFormat="1" applyFont="1" applyFill="1" applyBorder="1" applyProtection="1"/>
    <xf numFmtId="42" fontId="0" fillId="2" borderId="0" xfId="0" applyNumberFormat="1" applyFont="1" applyFill="1" applyBorder="1"/>
    <xf numFmtId="41" fontId="27" fillId="2" borderId="0" xfId="4" applyNumberFormat="1" applyFont="1" applyFill="1" applyBorder="1"/>
    <xf numFmtId="41" fontId="47" fillId="2" borderId="0" xfId="2" applyNumberFormat="1" applyFont="1" applyFill="1" applyBorder="1"/>
    <xf numFmtId="42" fontId="37" fillId="2" borderId="5" xfId="2" applyNumberFormat="1" applyFont="1" applyFill="1" applyBorder="1"/>
    <xf numFmtId="0" fontId="25" fillId="2" borderId="0" xfId="0" applyFont="1" applyFill="1" applyBorder="1"/>
    <xf numFmtId="167" fontId="27" fillId="5" borderId="0" xfId="0" applyNumberFormat="1" applyFont="1" applyFill="1" applyBorder="1" applyProtection="1"/>
    <xf numFmtId="167" fontId="27" fillId="5" borderId="17" xfId="0" applyNumberFormat="1" applyFont="1" applyFill="1" applyBorder="1" applyProtection="1"/>
    <xf numFmtId="167" fontId="27" fillId="2" borderId="0" xfId="0" applyNumberFormat="1" applyFont="1" applyFill="1" applyBorder="1" applyProtection="1"/>
    <xf numFmtId="42" fontId="47" fillId="2" borderId="0" xfId="5" applyNumberFormat="1" applyFont="1" applyFill="1" applyBorder="1"/>
    <xf numFmtId="42" fontId="50" fillId="5" borderId="0" xfId="0" applyNumberFormat="1" applyFont="1" applyFill="1" applyBorder="1" applyProtection="1"/>
    <xf numFmtId="42" fontId="50" fillId="5" borderId="17" xfId="0" applyNumberFormat="1" applyFont="1" applyFill="1" applyBorder="1" applyProtection="1"/>
    <xf numFmtId="42" fontId="50" fillId="2" borderId="0" xfId="0" applyNumberFormat="1" applyFont="1" applyFill="1" applyBorder="1" applyProtection="1"/>
    <xf numFmtId="165" fontId="52" fillId="5" borderId="0" xfId="0" applyNumberFormat="1" applyFont="1" applyFill="1" applyBorder="1" applyProtection="1"/>
    <xf numFmtId="165" fontId="52" fillId="5" borderId="17" xfId="0" applyNumberFormat="1" applyFont="1" applyFill="1" applyBorder="1" applyProtection="1"/>
    <xf numFmtId="165" fontId="52" fillId="2" borderId="0" xfId="0" applyNumberFormat="1" applyFont="1" applyFill="1" applyBorder="1" applyProtection="1"/>
    <xf numFmtId="166" fontId="52" fillId="2" borderId="0" xfId="0" applyNumberFormat="1" applyFont="1" applyFill="1" applyBorder="1" applyProtection="1"/>
    <xf numFmtId="166" fontId="52" fillId="2" borderId="16" xfId="0" applyNumberFormat="1" applyFont="1" applyFill="1" applyBorder="1" applyProtection="1"/>
    <xf numFmtId="166" fontId="52" fillId="5" borderId="0" xfId="3" applyNumberFormat="1" applyFont="1" applyFill="1" applyBorder="1"/>
    <xf numFmtId="166" fontId="52" fillId="5" borderId="17" xfId="3" applyNumberFormat="1" applyFont="1" applyFill="1" applyBorder="1"/>
    <xf numFmtId="166" fontId="52" fillId="2" borderId="16" xfId="3" applyNumberFormat="1" applyFont="1" applyFill="1" applyBorder="1"/>
    <xf numFmtId="0" fontId="0" fillId="2" borderId="5" xfId="0" applyFont="1" applyFill="1" applyBorder="1"/>
    <xf numFmtId="41" fontId="0" fillId="5" borderId="0" xfId="0" applyNumberFormat="1" applyFont="1" applyFill="1" applyBorder="1"/>
    <xf numFmtId="41" fontId="0" fillId="5" borderId="17" xfId="0" applyNumberFormat="1" applyFont="1" applyFill="1" applyBorder="1"/>
    <xf numFmtId="1" fontId="0" fillId="2" borderId="16" xfId="0" applyNumberFormat="1" applyFont="1" applyFill="1" applyBorder="1"/>
    <xf numFmtId="42" fontId="0" fillId="5" borderId="7" xfId="0" applyNumberFormat="1" applyFont="1" applyFill="1" applyBorder="1"/>
    <xf numFmtId="168" fontId="0" fillId="5" borderId="7" xfId="0" applyNumberFormat="1" applyFont="1" applyFill="1" applyBorder="1"/>
    <xf numFmtId="168" fontId="0" fillId="5" borderId="15" xfId="0" applyNumberFormat="1" applyFont="1" applyFill="1" applyBorder="1"/>
    <xf numFmtId="168" fontId="0" fillId="2" borderId="7" xfId="0" applyNumberFormat="1" applyFont="1" applyFill="1" applyBorder="1"/>
    <xf numFmtId="168" fontId="0" fillId="2" borderId="14" xfId="0" applyNumberFormat="1" applyFont="1" applyFill="1" applyBorder="1"/>
    <xf numFmtId="166" fontId="25" fillId="2" borderId="0" xfId="11" applyNumberFormat="1" applyFont="1" applyFill="1" applyBorder="1"/>
    <xf numFmtId="42" fontId="25" fillId="2" borderId="16" xfId="2" applyNumberFormat="1" applyFont="1" applyFill="1" applyBorder="1"/>
    <xf numFmtId="41" fontId="25" fillId="2" borderId="16" xfId="4" applyNumberFormat="1" applyFont="1" applyFill="1" applyBorder="1"/>
    <xf numFmtId="166" fontId="47" fillId="2" borderId="0" xfId="11" applyNumberFormat="1" applyFont="1" applyFill="1" applyBorder="1"/>
    <xf numFmtId="166" fontId="53" fillId="2" borderId="0" xfId="11" applyNumberFormat="1" applyFont="1" applyFill="1" applyBorder="1"/>
    <xf numFmtId="41" fontId="47" fillId="2" borderId="16" xfId="4" applyNumberFormat="1" applyFont="1" applyFill="1" applyBorder="1"/>
    <xf numFmtId="41" fontId="24" fillId="2" borderId="0" xfId="4" applyNumberFormat="1" applyFont="1" applyFill="1" applyBorder="1"/>
    <xf numFmtId="166" fontId="48" fillId="2" borderId="0" xfId="11" applyNumberFormat="1" applyFont="1" applyFill="1" applyBorder="1"/>
    <xf numFmtId="41" fontId="24" fillId="2" borderId="16" xfId="4" applyNumberFormat="1" applyFont="1" applyFill="1" applyBorder="1"/>
    <xf numFmtId="166" fontId="49" fillId="2" borderId="0" xfId="11" applyNumberFormat="1" applyFont="1" applyFill="1" applyBorder="1"/>
    <xf numFmtId="41" fontId="54" fillId="2" borderId="0" xfId="4" applyNumberFormat="1" applyFont="1" applyFill="1" applyBorder="1"/>
    <xf numFmtId="166" fontId="37" fillId="2" borderId="0" xfId="11" applyNumberFormat="1" applyFont="1" applyFill="1" applyBorder="1"/>
    <xf numFmtId="41" fontId="54" fillId="2" borderId="16" xfId="4" applyNumberFormat="1" applyFont="1" applyFill="1" applyBorder="1"/>
    <xf numFmtId="42" fontId="37" fillId="2" borderId="16" xfId="2" applyNumberFormat="1" applyFont="1" applyFill="1" applyBorder="1"/>
    <xf numFmtId="166" fontId="37" fillId="2" borderId="0" xfId="2" applyNumberFormat="1" applyFont="1" applyFill="1" applyBorder="1"/>
    <xf numFmtId="166" fontId="47" fillId="2" borderId="5" xfId="4" applyNumberFormat="1" applyFont="1" applyFill="1" applyBorder="1"/>
    <xf numFmtId="41" fontId="47" fillId="2" borderId="20" xfId="4" applyNumberFormat="1" applyFont="1" applyFill="1" applyBorder="1"/>
    <xf numFmtId="44" fontId="25" fillId="2" borderId="0" xfId="3" applyNumberFormat="1" applyFont="1" applyFill="1" applyBorder="1"/>
    <xf numFmtId="167" fontId="25" fillId="2" borderId="0" xfId="3" applyNumberFormat="1" applyFont="1" applyFill="1" applyBorder="1"/>
    <xf numFmtId="42" fontId="25" fillId="5" borderId="0" xfId="3" applyNumberFormat="1" applyFont="1" applyFill="1" applyBorder="1"/>
    <xf numFmtId="42" fontId="25" fillId="5" borderId="17" xfId="3" applyNumberFormat="1" applyFont="1" applyFill="1" applyBorder="1"/>
    <xf numFmtId="42" fontId="25" fillId="2" borderId="0" xfId="3" applyNumberFormat="1" applyFont="1" applyFill="1" applyBorder="1"/>
    <xf numFmtId="166" fontId="25" fillId="2" borderId="0" xfId="3" applyNumberFormat="1" applyFont="1" applyFill="1" applyBorder="1"/>
    <xf numFmtId="42" fontId="25" fillId="2" borderId="16" xfId="3" applyNumberFormat="1" applyFont="1" applyFill="1" applyBorder="1"/>
    <xf numFmtId="41" fontId="25" fillId="5" borderId="0" xfId="3" applyNumberFormat="1" applyFont="1" applyFill="1" applyBorder="1"/>
    <xf numFmtId="41" fontId="25" fillId="5" borderId="17" xfId="3" applyNumberFormat="1" applyFont="1" applyFill="1" applyBorder="1"/>
    <xf numFmtId="41" fontId="25" fillId="2" borderId="0" xfId="3" applyNumberFormat="1" applyFont="1" applyFill="1" applyBorder="1"/>
    <xf numFmtId="41" fontId="25" fillId="2" borderId="16" xfId="3" applyNumberFormat="1" applyFont="1" applyFill="1" applyBorder="1"/>
    <xf numFmtId="41" fontId="24" fillId="5" borderId="0" xfId="3" applyNumberFormat="1" applyFont="1" applyFill="1" applyBorder="1"/>
    <xf numFmtId="41" fontId="24" fillId="5" borderId="17" xfId="3" applyNumberFormat="1" applyFont="1" applyFill="1" applyBorder="1"/>
    <xf numFmtId="41" fontId="24" fillId="2" borderId="0" xfId="3" applyNumberFormat="1" applyFont="1" applyFill="1" applyBorder="1"/>
    <xf numFmtId="166" fontId="24" fillId="2" borderId="0" xfId="3" applyNumberFormat="1" applyFont="1" applyFill="1" applyBorder="1"/>
    <xf numFmtId="41" fontId="24" fillId="2" borderId="16" xfId="3" applyNumberFormat="1" applyFont="1" applyFill="1" applyBorder="1"/>
    <xf numFmtId="42" fontId="25" fillId="5" borderId="0" xfId="2" applyNumberFormat="1" applyFont="1" applyFill="1" applyBorder="1"/>
    <xf numFmtId="42" fontId="25" fillId="5" borderId="17" xfId="2" applyNumberFormat="1" applyFont="1" applyFill="1" applyBorder="1"/>
    <xf numFmtId="166" fontId="25" fillId="2" borderId="0" xfId="2" applyNumberFormat="1" applyFont="1" applyFill="1" applyBorder="1"/>
    <xf numFmtId="41" fontId="25" fillId="5" borderId="0" xfId="2" applyNumberFormat="1" applyFont="1" applyFill="1" applyBorder="1"/>
    <xf numFmtId="41" fontId="25" fillId="5" borderId="17" xfId="2" applyNumberFormat="1" applyFont="1" applyFill="1" applyBorder="1"/>
    <xf numFmtId="41" fontId="25" fillId="2" borderId="0" xfId="2" applyNumberFormat="1" applyFont="1" applyFill="1" applyBorder="1"/>
    <xf numFmtId="41" fontId="25" fillId="2" borderId="16" xfId="2" applyNumberFormat="1" applyFont="1" applyFill="1" applyBorder="1"/>
    <xf numFmtId="41" fontId="24" fillId="5" borderId="0" xfId="2" applyNumberFormat="1" applyFont="1" applyFill="1" applyBorder="1"/>
    <xf numFmtId="41" fontId="24" fillId="5" borderId="17" xfId="2" applyNumberFormat="1" applyFont="1" applyFill="1" applyBorder="1"/>
    <xf numFmtId="41" fontId="24" fillId="2" borderId="0" xfId="2" applyNumberFormat="1" applyFont="1" applyFill="1" applyBorder="1"/>
    <xf numFmtId="166" fontId="24" fillId="2" borderId="0" xfId="2" applyNumberFormat="1" applyFont="1" applyFill="1" applyBorder="1"/>
    <xf numFmtId="41" fontId="24" fillId="2" borderId="16" xfId="2" applyNumberFormat="1" applyFont="1" applyFill="1" applyBorder="1"/>
    <xf numFmtId="41" fontId="24" fillId="5" borderId="0" xfId="4" applyNumberFormat="1" applyFont="1" applyFill="1" applyBorder="1"/>
    <xf numFmtId="41" fontId="24" fillId="5" borderId="17" xfId="4" applyNumberFormat="1" applyFont="1" applyFill="1" applyBorder="1"/>
    <xf numFmtId="41" fontId="54" fillId="5" borderId="0" xfId="4" applyNumberFormat="1" applyFont="1" applyFill="1" applyBorder="1"/>
    <xf numFmtId="41" fontId="54" fillId="5" borderId="17" xfId="4" applyNumberFormat="1" applyFont="1" applyFill="1" applyBorder="1"/>
    <xf numFmtId="0" fontId="50" fillId="2" borderId="0" xfId="0" applyFont="1" applyFill="1" applyBorder="1"/>
    <xf numFmtId="166" fontId="54" fillId="2" borderId="0" xfId="4" applyNumberFormat="1" applyFont="1" applyFill="1" applyBorder="1"/>
    <xf numFmtId="41" fontId="50" fillId="2" borderId="16" xfId="4" applyNumberFormat="1" applyFont="1" applyFill="1" applyBorder="1"/>
    <xf numFmtId="166" fontId="50" fillId="2" borderId="0" xfId="4" applyNumberFormat="1" applyFont="1" applyFill="1" applyBorder="1"/>
    <xf numFmtId="42" fontId="37" fillId="5" borderId="0" xfId="2" applyNumberFormat="1" applyFont="1" applyFill="1" applyBorder="1"/>
    <xf numFmtId="42" fontId="37" fillId="5" borderId="17" xfId="2" applyNumberFormat="1" applyFont="1" applyFill="1" applyBorder="1"/>
    <xf numFmtId="166" fontId="25" fillId="2" borderId="16" xfId="11" applyNumberFormat="1" applyFont="1" applyFill="1" applyBorder="1"/>
    <xf numFmtId="41" fontId="47" fillId="5" borderId="0" xfId="4" applyNumberFormat="1" applyFont="1" applyFill="1" applyBorder="1"/>
    <xf numFmtId="41" fontId="47" fillId="5" borderId="17" xfId="4" applyNumberFormat="1" applyFont="1" applyFill="1" applyBorder="1"/>
    <xf numFmtId="166" fontId="47" fillId="2" borderId="0" xfId="4" applyNumberFormat="1" applyFont="1" applyFill="1" applyBorder="1"/>
    <xf numFmtId="0" fontId="25" fillId="5" borderId="0" xfId="2" applyFont="1" applyFill="1" applyBorder="1"/>
    <xf numFmtId="0" fontId="25" fillId="5" borderId="17" xfId="2" applyFont="1" applyFill="1" applyBorder="1"/>
    <xf numFmtId="0" fontId="25" fillId="2" borderId="16" xfId="2" applyFont="1" applyFill="1" applyBorder="1"/>
    <xf numFmtId="42" fontId="47" fillId="5" borderId="0" xfId="5" applyNumberFormat="1" applyFont="1" applyFill="1" applyBorder="1"/>
    <xf numFmtId="42" fontId="47" fillId="5" borderId="17" xfId="5" applyNumberFormat="1" applyFont="1" applyFill="1" applyBorder="1"/>
    <xf numFmtId="166" fontId="47" fillId="2" borderId="0" xfId="5" applyNumberFormat="1" applyFont="1" applyFill="1" applyBorder="1"/>
    <xf numFmtId="42" fontId="47" fillId="2" borderId="16" xfId="5" applyNumberFormat="1" applyFont="1" applyFill="1" applyBorder="1"/>
    <xf numFmtId="0" fontId="0" fillId="2" borderId="3" xfId="0" applyFill="1" applyBorder="1" applyAlignment="1">
      <alignment horizontal="center"/>
    </xf>
    <xf numFmtId="0" fontId="1" fillId="2" borderId="3" xfId="0" applyFont="1" applyFill="1" applyBorder="1" applyAlignment="1">
      <alignment horizontal="center"/>
    </xf>
    <xf numFmtId="0" fontId="0" fillId="0" borderId="0" xfId="0" applyProtection="1">
      <protection locked="0"/>
    </xf>
    <xf numFmtId="0" fontId="31" fillId="0" borderId="0" xfId="0" applyFont="1" applyFill="1" applyProtection="1">
      <protection locked="0"/>
    </xf>
    <xf numFmtId="0" fontId="31" fillId="0" borderId="0" xfId="0" applyFont="1" applyFill="1" applyProtection="1"/>
    <xf numFmtId="0" fontId="27" fillId="0" borderId="0" xfId="0" applyFont="1" applyAlignment="1"/>
    <xf numFmtId="0" fontId="0" fillId="0" borderId="0" xfId="0" applyFont="1" applyAlignment="1"/>
    <xf numFmtId="169" fontId="0" fillId="0" borderId="0" xfId="0" applyNumberFormat="1" applyAlignment="1">
      <alignment horizontal="center"/>
    </xf>
    <xf numFmtId="0" fontId="0" fillId="0" borderId="0" xfId="0" applyFont="1"/>
    <xf numFmtId="0" fontId="55" fillId="0" borderId="0" xfId="0" applyFont="1"/>
    <xf numFmtId="0" fontId="0" fillId="0" borderId="0" xfId="0" applyAlignment="1">
      <alignment horizontal="right" indent="1"/>
    </xf>
    <xf numFmtId="0" fontId="40" fillId="0" borderId="0" xfId="0" applyFont="1" applyAlignment="1"/>
    <xf numFmtId="1" fontId="25" fillId="0" borderId="0" xfId="0" applyNumberFormat="1" applyFont="1"/>
    <xf numFmtId="44" fontId="31" fillId="0" borderId="0" xfId="0" applyNumberFormat="1" applyFont="1" applyFill="1" applyProtection="1"/>
    <xf numFmtId="0" fontId="2" fillId="0" borderId="0" xfId="0" applyFont="1" applyFill="1" applyProtection="1">
      <protection locked="0"/>
    </xf>
    <xf numFmtId="0" fontId="27" fillId="2" borderId="3" xfId="0" applyFont="1" applyFill="1" applyBorder="1" applyAlignment="1" applyProtection="1">
      <alignment horizontal="center"/>
      <protection locked="0"/>
    </xf>
    <xf numFmtId="164" fontId="6" fillId="2" borderId="0" xfId="0" applyNumberFormat="1" applyFont="1" applyFill="1" applyBorder="1" applyAlignment="1" applyProtection="1">
      <alignment horizontal="center"/>
      <protection locked="0"/>
    </xf>
    <xf numFmtId="164" fontId="6" fillId="2" borderId="11" xfId="0" applyNumberFormat="1" applyFont="1" applyFill="1" applyBorder="1" applyAlignment="1" applyProtection="1">
      <alignment horizontal="center"/>
      <protection locked="0"/>
    </xf>
    <xf numFmtId="164" fontId="6" fillId="2" borderId="3" xfId="0" applyNumberFormat="1" applyFont="1" applyFill="1" applyBorder="1" applyAlignment="1" applyProtection="1">
      <alignment horizontal="center"/>
      <protection locked="0"/>
    </xf>
    <xf numFmtId="0" fontId="25" fillId="0" borderId="0" xfId="0" applyFont="1" applyAlignment="1"/>
    <xf numFmtId="42" fontId="25" fillId="0" borderId="0" xfId="0" applyNumberFormat="1" applyFont="1" applyAlignment="1"/>
    <xf numFmtId="42" fontId="37" fillId="0" borderId="0" xfId="0" applyNumberFormat="1" applyFont="1" applyAlignment="1"/>
    <xf numFmtId="41" fontId="25" fillId="0" borderId="0" xfId="0" applyNumberFormat="1" applyFont="1" applyAlignment="1"/>
    <xf numFmtId="41" fontId="47" fillId="0" borderId="0" xfId="0" applyNumberFormat="1" applyFont="1" applyBorder="1" applyAlignment="1"/>
    <xf numFmtId="164" fontId="10" fillId="5" borderId="0" xfId="0" applyNumberFormat="1" applyFont="1" applyFill="1" applyBorder="1" applyAlignment="1" applyProtection="1">
      <alignment horizontal="center"/>
      <protection locked="0"/>
    </xf>
    <xf numFmtId="164" fontId="10" fillId="5" borderId="11" xfId="0" applyNumberFormat="1" applyFont="1" applyFill="1" applyBorder="1" applyAlignment="1" applyProtection="1">
      <alignment horizontal="center"/>
      <protection locked="0"/>
    </xf>
    <xf numFmtId="0" fontId="10" fillId="5" borderId="3" xfId="0" applyNumberFormat="1" applyFont="1" applyFill="1" applyBorder="1" applyAlignment="1" applyProtection="1">
      <alignment horizontal="center"/>
      <protection locked="0"/>
    </xf>
    <xf numFmtId="0" fontId="10" fillId="5" borderId="0" xfId="0" applyNumberFormat="1" applyFont="1" applyFill="1" applyBorder="1" applyAlignment="1" applyProtection="1">
      <alignment horizontal="center"/>
      <protection locked="0"/>
    </xf>
    <xf numFmtId="0" fontId="10" fillId="5" borderId="11" xfId="0" applyNumberFormat="1" applyFont="1" applyFill="1" applyBorder="1" applyAlignment="1" applyProtection="1">
      <alignment horizontal="center"/>
      <protection locked="0"/>
    </xf>
    <xf numFmtId="164" fontId="10" fillId="5" borderId="3" xfId="0" applyNumberFormat="1" applyFont="1" applyFill="1" applyBorder="1" applyAlignment="1" applyProtection="1">
      <alignment horizontal="center"/>
      <protection locked="0"/>
    </xf>
    <xf numFmtId="164" fontId="10" fillId="5" borderId="0" xfId="1" applyNumberFormat="1" applyFont="1" applyFill="1" applyBorder="1" applyAlignment="1">
      <alignment horizontal="center"/>
    </xf>
    <xf numFmtId="164" fontId="10" fillId="5" borderId="11" xfId="1" applyNumberFormat="1" applyFont="1" applyFill="1" applyBorder="1" applyAlignment="1">
      <alignment horizontal="center"/>
    </xf>
    <xf numFmtId="0" fontId="21" fillId="2" borderId="0" xfId="0" applyFont="1" applyFill="1"/>
    <xf numFmtId="164" fontId="10" fillId="5" borderId="3" xfId="1" applyNumberFormat="1" applyFont="1" applyFill="1" applyBorder="1" applyAlignment="1">
      <alignment horizontal="center"/>
    </xf>
    <xf numFmtId="0" fontId="0" fillId="0" borderId="0" xfId="0" applyBorder="1" applyProtection="1">
      <protection locked="0"/>
    </xf>
    <xf numFmtId="0" fontId="57" fillId="0" borderId="0" xfId="12" applyFont="1"/>
    <xf numFmtId="42" fontId="1" fillId="5" borderId="0" xfId="0" applyNumberFormat="1" applyFont="1" applyFill="1" applyBorder="1" applyProtection="1"/>
    <xf numFmtId="42" fontId="1" fillId="5" borderId="11" xfId="0" applyNumberFormat="1" applyFont="1" applyFill="1" applyBorder="1" applyProtection="1"/>
    <xf numFmtId="0" fontId="1" fillId="2" borderId="0" xfId="0" applyFont="1" applyFill="1"/>
    <xf numFmtId="42" fontId="1" fillId="5" borderId="3" xfId="0" applyNumberFormat="1" applyFont="1" applyFill="1" applyBorder="1" applyProtection="1"/>
    <xf numFmtId="41" fontId="1" fillId="5" borderId="0" xfId="0" applyNumberFormat="1" applyFont="1" applyFill="1" applyBorder="1" applyProtection="1"/>
    <xf numFmtId="41" fontId="1" fillId="5" borderId="11" xfId="0" applyNumberFormat="1" applyFont="1" applyFill="1" applyBorder="1" applyProtection="1"/>
    <xf numFmtId="41" fontId="1" fillId="5" borderId="3" xfId="0" applyNumberFormat="1" applyFont="1" applyFill="1" applyBorder="1" applyProtection="1"/>
    <xf numFmtId="42" fontId="1" fillId="5" borderId="0" xfId="0" applyNumberFormat="1" applyFont="1" applyFill="1" applyBorder="1" applyProtection="1">
      <protection locked="0"/>
    </xf>
    <xf numFmtId="42" fontId="1" fillId="5" borderId="11" xfId="0" applyNumberFormat="1" applyFont="1" applyFill="1" applyBorder="1" applyProtection="1">
      <protection locked="0"/>
    </xf>
    <xf numFmtId="42" fontId="1" fillId="5" borderId="3" xfId="0" applyNumberFormat="1" applyFont="1" applyFill="1" applyBorder="1" applyProtection="1">
      <protection locked="0"/>
    </xf>
    <xf numFmtId="165" fontId="1" fillId="5" borderId="0" xfId="0" applyNumberFormat="1" applyFont="1" applyFill="1" applyBorder="1" applyProtection="1"/>
    <xf numFmtId="165" fontId="1" fillId="5" borderId="11" xfId="0" applyNumberFormat="1" applyFont="1" applyFill="1" applyBorder="1" applyProtection="1"/>
    <xf numFmtId="165" fontId="1" fillId="5" borderId="3" xfId="0" applyNumberFormat="1" applyFont="1" applyFill="1" applyBorder="1" applyProtection="1"/>
    <xf numFmtId="0" fontId="12" fillId="2" borderId="3" xfId="0" applyFont="1" applyFill="1" applyBorder="1" applyProtection="1">
      <protection locked="0"/>
    </xf>
    <xf numFmtId="165" fontId="12" fillId="5" borderId="0" xfId="0" applyNumberFormat="1" applyFont="1" applyFill="1" applyBorder="1" applyProtection="1"/>
    <xf numFmtId="165" fontId="12" fillId="5" borderId="11" xfId="0" applyNumberFormat="1" applyFont="1" applyFill="1" applyBorder="1" applyProtection="1"/>
    <xf numFmtId="165" fontId="12" fillId="5" borderId="3" xfId="0" applyNumberFormat="1" applyFont="1" applyFill="1" applyBorder="1" applyProtection="1"/>
    <xf numFmtId="166" fontId="12" fillId="5" borderId="0" xfId="3" applyNumberFormat="1" applyFont="1" applyFill="1" applyBorder="1"/>
    <xf numFmtId="166" fontId="12" fillId="5" borderId="11" xfId="3" applyNumberFormat="1" applyFont="1" applyFill="1" applyBorder="1"/>
    <xf numFmtId="166" fontId="12" fillId="5" borderId="3" xfId="3" applyNumberFormat="1" applyFont="1" applyFill="1" applyBorder="1"/>
    <xf numFmtId="0" fontId="1" fillId="5" borderId="0" xfId="0" applyFont="1" applyFill="1" applyBorder="1"/>
    <xf numFmtId="0" fontId="1" fillId="5" borderId="11" xfId="0" applyFont="1" applyFill="1" applyBorder="1"/>
    <xf numFmtId="0" fontId="1" fillId="5" borderId="3" xfId="0" applyFont="1" applyFill="1" applyBorder="1"/>
    <xf numFmtId="1" fontId="1" fillId="5" borderId="0" xfId="0" applyNumberFormat="1" applyFont="1" applyFill="1" applyBorder="1"/>
    <xf numFmtId="1" fontId="1" fillId="5" borderId="11" xfId="0" applyNumberFormat="1" applyFont="1" applyFill="1" applyBorder="1"/>
    <xf numFmtId="1" fontId="1" fillId="5" borderId="3" xfId="0" applyNumberFormat="1" applyFont="1" applyFill="1" applyBorder="1"/>
    <xf numFmtId="0" fontId="1" fillId="5" borderId="7" xfId="0" applyFont="1" applyFill="1" applyBorder="1"/>
    <xf numFmtId="0" fontId="1" fillId="5" borderId="10" xfId="0" applyFont="1" applyFill="1" applyBorder="1"/>
    <xf numFmtId="0" fontId="1" fillId="5" borderId="6" xfId="0" applyFont="1" applyFill="1" applyBorder="1"/>
    <xf numFmtId="0" fontId="0" fillId="0" borderId="0" xfId="0" applyProtection="1"/>
    <xf numFmtId="0" fontId="10" fillId="2" borderId="4" xfId="0" applyFont="1" applyFill="1" applyBorder="1" applyProtection="1"/>
    <xf numFmtId="42" fontId="10" fillId="5" borderId="0" xfId="0" applyNumberFormat="1" applyFont="1" applyFill="1" applyBorder="1" applyProtection="1"/>
    <xf numFmtId="42" fontId="10" fillId="5" borderId="11" xfId="0" applyNumberFormat="1" applyFont="1" applyFill="1" applyBorder="1" applyProtection="1"/>
    <xf numFmtId="42" fontId="10" fillId="5" borderId="5" xfId="0" applyNumberFormat="1" applyFont="1" applyFill="1" applyBorder="1" applyProtection="1"/>
    <xf numFmtId="42" fontId="10" fillId="5" borderId="13" xfId="0" applyNumberFormat="1" applyFont="1" applyFill="1" applyBorder="1" applyProtection="1"/>
    <xf numFmtId="42" fontId="10" fillId="5" borderId="9" xfId="0" applyNumberFormat="1" applyFont="1" applyFill="1" applyBorder="1" applyProtection="1"/>
    <xf numFmtId="42" fontId="10" fillId="5" borderId="12" xfId="0" applyNumberFormat="1" applyFont="1" applyFill="1" applyBorder="1" applyProtection="1"/>
    <xf numFmtId="42" fontId="10" fillId="5" borderId="8" xfId="0" applyNumberFormat="1" applyFont="1" applyFill="1" applyBorder="1" applyProtection="1"/>
    <xf numFmtId="42" fontId="10" fillId="5" borderId="4" xfId="0" applyNumberFormat="1" applyFont="1" applyFill="1" applyBorder="1" applyProtection="1"/>
    <xf numFmtId="42" fontId="10" fillId="5" borderId="3" xfId="0" applyNumberFormat="1" applyFont="1" applyFill="1" applyBorder="1" applyProtection="1"/>
    <xf numFmtId="167" fontId="10" fillId="5" borderId="0" xfId="0" applyNumberFormat="1" applyFont="1" applyFill="1" applyBorder="1" applyProtection="1"/>
    <xf numFmtId="167" fontId="10" fillId="5" borderId="11" xfId="0" applyNumberFormat="1" applyFont="1" applyFill="1" applyBorder="1" applyProtection="1"/>
    <xf numFmtId="167" fontId="10" fillId="5" borderId="3" xfId="0" applyNumberFormat="1" applyFont="1" applyFill="1" applyBorder="1" applyProtection="1"/>
    <xf numFmtId="0" fontId="10" fillId="2" borderId="0" xfId="0" applyNumberFormat="1" applyFont="1" applyFill="1" applyBorder="1" applyAlignment="1">
      <alignment horizontal="centerContinuous"/>
    </xf>
    <xf numFmtId="164" fontId="10" fillId="5" borderId="0" xfId="0" applyNumberFormat="1" applyFont="1" applyFill="1" applyBorder="1" applyAlignment="1">
      <alignment horizontal="center"/>
    </xf>
    <xf numFmtId="0" fontId="10" fillId="5" borderId="17" xfId="0" applyNumberFormat="1" applyFont="1" applyFill="1" applyBorder="1" applyAlignment="1">
      <alignment horizontal="center"/>
    </xf>
    <xf numFmtId="0" fontId="10" fillId="5" borderId="0" xfId="0" applyNumberFormat="1" applyFont="1" applyFill="1" applyBorder="1" applyAlignment="1">
      <alignment horizontal="centerContinuous"/>
    </xf>
    <xf numFmtId="0" fontId="10" fillId="5" borderId="17" xfId="0" applyNumberFormat="1" applyFont="1" applyFill="1" applyBorder="1" applyAlignment="1">
      <alignment horizontal="centerContinuous"/>
    </xf>
    <xf numFmtId="0" fontId="10" fillId="2" borderId="3" xfId="0" applyFont="1" applyFill="1" applyBorder="1" applyAlignment="1" applyProtection="1">
      <alignment horizontal="center"/>
    </xf>
    <xf numFmtId="0" fontId="27" fillId="0" borderId="0" xfId="0" applyFont="1" applyAlignment="1">
      <alignment horizontal="center"/>
    </xf>
    <xf numFmtId="0" fontId="0" fillId="0" borderId="0" xfId="0" applyAlignment="1" applyProtection="1">
      <alignment horizontal="center"/>
      <protection locked="0"/>
    </xf>
    <xf numFmtId="9" fontId="25" fillId="7" borderId="0" xfId="0" applyNumberFormat="1" applyFont="1" applyFill="1" applyAlignment="1" applyProtection="1">
      <protection locked="0"/>
    </xf>
    <xf numFmtId="0" fontId="31" fillId="0" borderId="0" xfId="0" applyNumberFormat="1" applyFont="1" applyFill="1" applyProtection="1">
      <protection locked="0"/>
    </xf>
    <xf numFmtId="0" fontId="58" fillId="0" borderId="0" xfId="0" applyNumberFormat="1" applyFont="1" applyFill="1" applyProtection="1">
      <protection locked="0"/>
    </xf>
    <xf numFmtId="17" fontId="22" fillId="2" borderId="0" xfId="0" applyNumberFormat="1" applyFont="1" applyFill="1" applyBorder="1" applyAlignment="1">
      <alignment horizontal="center"/>
    </xf>
    <xf numFmtId="44" fontId="59" fillId="8" borderId="0" xfId="0" applyNumberFormat="1" applyFont="1" applyFill="1" applyProtection="1">
      <protection locked="0"/>
    </xf>
    <xf numFmtId="167" fontId="59" fillId="8" borderId="0" xfId="0" applyNumberFormat="1" applyFont="1" applyFill="1" applyProtection="1">
      <protection locked="0"/>
    </xf>
    <xf numFmtId="14" fontId="59" fillId="8" borderId="0" xfId="0" applyNumberFormat="1" applyFont="1" applyFill="1" applyProtection="1">
      <protection locked="0"/>
    </xf>
    <xf numFmtId="0" fontId="59" fillId="8" borderId="0" xfId="0" applyFont="1" applyFill="1" applyBorder="1" applyAlignment="1" applyProtection="1">
      <alignment horizontal="center"/>
      <protection locked="0"/>
    </xf>
    <xf numFmtId="0" fontId="59" fillId="8" borderId="0" xfId="0" applyFont="1" applyFill="1" applyProtection="1">
      <protection locked="0"/>
    </xf>
    <xf numFmtId="49" fontId="59" fillId="8" borderId="0" xfId="0" applyNumberFormat="1" applyFont="1" applyFill="1" applyAlignment="1" applyProtection="1">
      <protection locked="0"/>
    </xf>
    <xf numFmtId="0" fontId="2" fillId="8" borderId="0" xfId="0" applyFont="1" applyFill="1" applyProtection="1">
      <protection locked="0"/>
    </xf>
    <xf numFmtId="0" fontId="2" fillId="8" borderId="0" xfId="0" applyFont="1" applyFill="1" applyAlignment="1" applyProtection="1">
      <alignment horizontal="center"/>
      <protection locked="0"/>
    </xf>
    <xf numFmtId="49" fontId="59" fillId="8" borderId="0" xfId="0" applyNumberFormat="1" applyFont="1" applyFill="1" applyProtection="1">
      <protection locked="0"/>
    </xf>
    <xf numFmtId="42" fontId="0" fillId="0" borderId="0" xfId="0" applyNumberFormat="1"/>
    <xf numFmtId="9" fontId="0" fillId="0" borderId="0" xfId="0" applyNumberFormat="1" applyProtection="1">
      <protection locked="0"/>
    </xf>
    <xf numFmtId="42" fontId="31" fillId="0" borderId="0" xfId="0" applyNumberFormat="1" applyFont="1" applyFill="1"/>
    <xf numFmtId="42" fontId="31" fillId="0" borderId="0" xfId="0" applyNumberFormat="1" applyFont="1" applyFill="1" applyProtection="1">
      <protection locked="0"/>
    </xf>
    <xf numFmtId="42" fontId="37" fillId="0" borderId="0" xfId="0" applyNumberFormat="1" applyFont="1" applyFill="1"/>
    <xf numFmtId="42" fontId="2" fillId="0" borderId="0" xfId="0" applyNumberFormat="1" applyFont="1" applyFill="1"/>
    <xf numFmtId="0" fontId="10" fillId="5" borderId="0" xfId="0" applyNumberFormat="1" applyFont="1" applyFill="1" applyBorder="1" applyAlignment="1">
      <alignment horizontal="center"/>
    </xf>
    <xf numFmtId="0" fontId="10" fillId="2" borderId="0" xfId="0" applyNumberFormat="1" applyFont="1" applyFill="1" applyBorder="1" applyAlignment="1">
      <alignment horizontal="right"/>
    </xf>
    <xf numFmtId="0" fontId="10" fillId="2" borderId="0" xfId="0" applyNumberFormat="1" applyFont="1" applyFill="1" applyBorder="1" applyAlignment="1">
      <alignment horizontal="left"/>
    </xf>
    <xf numFmtId="14" fontId="40" fillId="0" borderId="0" xfId="0" applyNumberFormat="1" applyFont="1"/>
    <xf numFmtId="17" fontId="6" fillId="9" borderId="0" xfId="0" applyNumberFormat="1" applyFont="1" applyFill="1" applyBorder="1" applyAlignment="1">
      <alignment horizontal="centerContinuous"/>
    </xf>
    <xf numFmtId="0" fontId="6" fillId="9" borderId="0" xfId="0" applyFont="1" applyFill="1" applyBorder="1" applyAlignment="1">
      <alignment horizontal="center"/>
    </xf>
    <xf numFmtId="0" fontId="10" fillId="9" borderId="0" xfId="0" applyNumberFormat="1" applyFont="1" applyFill="1" applyBorder="1" applyAlignment="1">
      <alignment horizontal="center"/>
    </xf>
    <xf numFmtId="164" fontId="6" fillId="9" borderId="0" xfId="0" applyNumberFormat="1" applyFont="1" applyFill="1" applyBorder="1" applyAlignment="1">
      <alignment horizontal="center"/>
    </xf>
    <xf numFmtId="0" fontId="10" fillId="9" borderId="0" xfId="0" applyNumberFormat="1" applyFont="1" applyFill="1" applyBorder="1" applyAlignment="1">
      <alignment horizontal="centerContinuous"/>
    </xf>
    <xf numFmtId="0" fontId="1" fillId="9" borderId="0" xfId="0" applyFont="1" applyFill="1"/>
    <xf numFmtId="170" fontId="0" fillId="0" borderId="0" xfId="0" applyNumberFormat="1"/>
    <xf numFmtId="0" fontId="0" fillId="0" borderId="5" xfId="0" applyBorder="1" applyAlignment="1">
      <alignment horizontal="center"/>
    </xf>
  </cellXfs>
  <cellStyles count="13">
    <cellStyle name="Comma 2" xfId="4"/>
    <cellStyle name="Currency" xfId="10" builtinId="4"/>
    <cellStyle name="Currency [0] 2" xfId="6"/>
    <cellStyle name="Currency 10" xfId="7"/>
    <cellStyle name="Currency 2" xfId="5"/>
    <cellStyle name="Hyperlink" xfId="12" builtinId="8"/>
    <cellStyle name="Normal" xfId="0" builtinId="0"/>
    <cellStyle name="Normal 2" xfId="2"/>
    <cellStyle name="Normal 2 2" xfId="8"/>
    <cellStyle name="Normal 3" xfId="1"/>
    <cellStyle name="Percent" xfId="11" builtinId="5"/>
    <cellStyle name="Percent 2" xfId="3"/>
    <cellStyle name="Percent 3" xfId="9"/>
  </cellStyles>
  <dxfs count="110">
    <dxf>
      <numFmt numFmtId="0" formatCode="General"/>
    </dxf>
    <dxf>
      <numFmt numFmtId="0" formatCode="General"/>
    </dxf>
    <dxf>
      <numFmt numFmtId="0" formatCode="General"/>
    </dxf>
    <dxf>
      <numFmt numFmtId="19" formatCode="m/d/yyyy"/>
    </dxf>
    <dxf>
      <numFmt numFmtId="19" formatCode="m/d/yyyy"/>
    </dxf>
    <dxf>
      <numFmt numFmtId="19" formatCode="m/d/yyyy"/>
    </dxf>
    <dxf>
      <numFmt numFmtId="19" formatCode="m/d/yyyy"/>
    </dxf>
    <dxf>
      <numFmt numFmtId="171" formatCode="_([$$-409]* #,##0_);_([$$-409]* \(#,##0\);_([$$-409]* &quot;-&quot;_);_(@_)"/>
    </dxf>
    <dxf>
      <numFmt numFmtId="172" formatCode="_-[$£-809]* #,##0_-;\-[$£-809]* #,##0_-;_-[$£-809]* &quot;-&quot;_-;_-@_-"/>
    </dxf>
    <dxf>
      <numFmt numFmtId="173" formatCode="_-[$$-C09]* #,##0_-;\-[$$-C09]* #,##0_-;_-[$$-C09]* &quot;-&quot;_-;_-@_-"/>
    </dxf>
    <dxf>
      <numFmt numFmtId="174" formatCode="_([$€-2]\ * #,##0_);_([$€-2]\ * \(#,##0\);_([$€-2]\ * &quot;-&quot;_);_(@_)"/>
    </dxf>
    <dxf>
      <numFmt numFmtId="175" formatCode="_([$HK$-C04]* #,##0_);_([$HK$-C04]* \(#,##0\);_([$HK$-C04]* &quot;-&quot;_);_(@_)"/>
    </dxf>
    <dxf>
      <numFmt numFmtId="176" formatCode="_ [$₪-40D]\ * #,##0_ ;_ [$₪-40D]\ * \-#,##0_ ;_ [$₪-40D]\ * &quot;-&quot;_ ;_ @_ "/>
    </dxf>
    <dxf>
      <numFmt numFmtId="177" formatCode="_ [$₹-4009]\ * #,##0_ ;_ [$₹-4009]\ * \-#,##0_ ;_ [$₹-4009]\ * &quot;-&quot;_ ;_ @_ "/>
    </dxf>
    <dxf>
      <numFmt numFmtId="178" formatCode="_ [$Fr.-807]\ * #,##0_ ;_ [$Fr.-807]\ * \-#,##0_ ;_ [$Fr.-807]\ * &quot;-&quot;_ ;_ @_ "/>
    </dxf>
    <dxf>
      <fill>
        <patternFill>
          <bgColor theme="3" tint="0.79998168889431442"/>
        </patternFill>
      </fill>
    </dxf>
    <dxf>
      <fill>
        <patternFill>
          <bgColor theme="3" tint="0.59996337778862885"/>
        </patternFill>
      </fill>
    </dxf>
    <dxf>
      <fill>
        <patternFill>
          <bgColor rgb="FFFFFF00"/>
        </patternFill>
      </fill>
    </dxf>
    <dxf>
      <border>
        <left style="thin">
          <color rgb="FFFFC000"/>
        </left>
        <right style="thin">
          <color rgb="FFFFC000"/>
        </right>
        <top style="thin">
          <color rgb="FFFFC000"/>
        </top>
        <bottom style="thin">
          <color rgb="FFFFC000"/>
        </bottom>
        <vertical/>
        <horizontal/>
      </border>
    </dxf>
    <dxf>
      <border>
        <left style="thin">
          <color rgb="FFFF0000"/>
        </left>
        <right style="thin">
          <color rgb="FFFF0000"/>
        </right>
        <top style="thin">
          <color rgb="FFFF0000"/>
        </top>
        <bottom style="thin">
          <color rgb="FFFF0000"/>
        </bottom>
        <vertical/>
        <horizontal/>
      </border>
    </dxf>
    <dxf>
      <fill>
        <patternFill>
          <bgColor theme="3" tint="0.79998168889431442"/>
        </patternFill>
      </fill>
    </dxf>
    <dxf>
      <fill>
        <patternFill>
          <bgColor theme="3" tint="0.59996337778862885"/>
        </patternFill>
      </fill>
    </dxf>
    <dxf>
      <fill>
        <patternFill>
          <bgColor rgb="FFFFFF00"/>
        </patternFill>
      </fill>
    </dxf>
    <dxf>
      <border>
        <left style="thin">
          <color rgb="FFFFC000"/>
        </left>
        <right style="thin">
          <color rgb="FFFFC000"/>
        </right>
        <top style="thin">
          <color rgb="FFFFC000"/>
        </top>
        <bottom style="thin">
          <color rgb="FFFFC000"/>
        </bottom>
        <vertical/>
        <horizontal/>
      </border>
    </dxf>
    <dxf>
      <border>
        <left style="thin">
          <color rgb="FFFF0000"/>
        </left>
        <right style="thin">
          <color rgb="FFFF0000"/>
        </right>
        <top style="thin">
          <color rgb="FFFF0000"/>
        </top>
        <bottom style="thin">
          <color rgb="FFFF0000"/>
        </bottom>
        <vertical/>
        <horizontal/>
      </border>
    </dxf>
    <dxf>
      <font>
        <b/>
        <i val="0"/>
        <color rgb="FF009900"/>
      </font>
      <fill>
        <patternFill>
          <bgColor theme="0" tint="-0.34998626667073579"/>
        </patternFill>
      </fill>
    </dxf>
    <dxf>
      <font>
        <b/>
        <i val="0"/>
        <color rgb="FF009900"/>
      </font>
      <fill>
        <patternFill>
          <bgColor theme="0" tint="-0.24994659260841701"/>
        </patternFill>
      </fill>
    </dxf>
    <dxf>
      <numFmt numFmtId="179" formatCode="_([$Fr.-807]* #,##0_);_([$Fr.-807]* \(#,##0\);_([$Fr.-807]* &quot;-&quot;_);_(@_)"/>
    </dxf>
    <dxf>
      <numFmt numFmtId="180" formatCode="_([$$-C09]* #,##0_);_([$$-C09]* \(#,##0\);_([$$-C09]* &quot;-&quot;_);_(@_)"/>
    </dxf>
    <dxf>
      <numFmt numFmtId="175" formatCode="_([$HK$-C04]* #,##0_);_([$HK$-C04]* \(#,##0\);_([$HK$-C04]* &quot;-&quot;_);_(@_)"/>
    </dxf>
    <dxf>
      <numFmt numFmtId="181" formatCode="_([$₪-40D]* #,##0_);_([$₪-40D]* \(#,##0\);_([$₪-40D]* &quot;-&quot;_);_(@_)"/>
    </dxf>
    <dxf>
      <numFmt numFmtId="182" formatCode="_([$₹-4009]* #,##0_);_([$₹-4009]* \(#,##0\);_([$₹-4009]* &quot;-&quot;_);_(@_)"/>
    </dxf>
    <dxf>
      <numFmt numFmtId="183" formatCode="_([$€-2]* #,##0_);_([$€-2]* \(#,##0\);_([$€-2]* &quot;-&quot;_);_(@_)"/>
    </dxf>
    <dxf>
      <numFmt numFmtId="184" formatCode="_([$£-809]* #,##0_);_([$£-809]* \(#,##0\);_([$£-809]* &quot;-&quot;_);_(@_)"/>
    </dxf>
    <dxf>
      <numFmt numFmtId="171" formatCode="_([$$-409]* #,##0_);_([$$-409]* \(#,##0\);_([$$-409]* &quot;-&quot;_);_(@_)"/>
    </dxf>
    <dxf>
      <numFmt numFmtId="171" formatCode="_([$$-409]* #,##0_);_([$$-409]* \(#,##0\);_([$$-409]* &quot;-&quot;_);_(@_)"/>
    </dxf>
    <dxf>
      <numFmt numFmtId="172" formatCode="_-[$£-809]* #,##0_-;\-[$£-809]* #,##0_-;_-[$£-809]* &quot;-&quot;_-;_-@_-"/>
    </dxf>
    <dxf>
      <numFmt numFmtId="174" formatCode="_([$€-2]\ * #,##0_);_([$€-2]\ * \(#,##0\);_([$€-2]\ * &quot;-&quot;_);_(@_)"/>
    </dxf>
    <dxf>
      <numFmt numFmtId="178" formatCode="_ [$Fr.-807]\ * #,##0_ ;_ [$Fr.-807]\ * \-#,##0_ ;_ [$Fr.-807]\ * &quot;-&quot;_ ;_ @_ "/>
    </dxf>
    <dxf>
      <numFmt numFmtId="175" formatCode="_([$HK$-C04]* #,##0_);_([$HK$-C04]* \(#,##0\);_([$HK$-C04]* &quot;-&quot;_);_(@_)"/>
    </dxf>
    <dxf>
      <numFmt numFmtId="176" formatCode="_ [$₪-40D]\ * #,##0_ ;_ [$₪-40D]\ * \-#,##0_ ;_ [$₪-40D]\ * &quot;-&quot;_ ;_ @_ "/>
    </dxf>
    <dxf>
      <numFmt numFmtId="177" formatCode="_ [$₹-4009]\ * #,##0_ ;_ [$₹-4009]\ * \-#,##0_ ;_ [$₹-4009]\ * &quot;-&quot;_ ;_ @_ "/>
    </dxf>
    <dxf>
      <numFmt numFmtId="173" formatCode="_-[$$-C09]* #,##0_-;\-[$$-C09]* #,##0_-;_-[$$-C09]* &quot;-&quot;_-;_-@_-"/>
    </dxf>
    <dxf>
      <fill>
        <patternFill patternType="solid">
          <bgColor rgb="FFFFFF00"/>
        </patternFill>
      </fill>
    </dxf>
    <dxf>
      <border>
        <left style="thin">
          <color rgb="FFFF0000"/>
        </left>
        <right style="thin">
          <color rgb="FFFF0000"/>
        </right>
        <top style="thin">
          <color rgb="FFFF0000"/>
        </top>
        <bottom style="thin">
          <color rgb="FFFF0000"/>
        </bottom>
        <vertical/>
        <horizontal/>
      </border>
    </dxf>
    <dxf>
      <border>
        <left style="thin">
          <color rgb="FFFFC000"/>
        </left>
        <right style="thin">
          <color rgb="FFFFC000"/>
        </right>
        <top style="thin">
          <color rgb="FFFFC000"/>
        </top>
        <bottom style="thin">
          <color rgb="FFFFC000"/>
        </bottom>
        <vertical/>
        <horizontal/>
      </border>
    </dxf>
    <dxf>
      <fill>
        <patternFill>
          <bgColor theme="0" tint="-0.34998626667073579"/>
        </patternFill>
      </fill>
    </dxf>
    <dxf>
      <fill>
        <patternFill>
          <bgColor theme="0" tint="-0.24994659260841701"/>
        </patternFill>
      </fill>
    </dxf>
    <dxf>
      <border>
        <left style="thin">
          <color rgb="FFFFFF00"/>
        </left>
        <right style="thin">
          <color rgb="FFFFFF00"/>
        </right>
        <top style="thin">
          <color rgb="FFFFFF00"/>
        </top>
        <bottom style="thin">
          <color rgb="FFFFFF00"/>
        </bottom>
        <vertical/>
        <horizontal/>
      </border>
    </dxf>
    <dxf>
      <numFmt numFmtId="171" formatCode="_([$$-409]* #,##0_);_([$$-409]* \(#,##0\);_([$$-409]* &quot;-&quot;_);_(@_)"/>
    </dxf>
    <dxf>
      <numFmt numFmtId="172" formatCode="_-[$£-809]* #,##0_-;\-[$£-809]* #,##0_-;_-[$£-809]* &quot;-&quot;_-;_-@_-"/>
    </dxf>
    <dxf>
      <numFmt numFmtId="173" formatCode="_-[$$-C09]* #,##0_-;\-[$$-C09]* #,##0_-;_-[$$-C09]* &quot;-&quot;_-;_-@_-"/>
    </dxf>
    <dxf>
      <numFmt numFmtId="175" formatCode="_([$HK$-C04]* #,##0_);_([$HK$-C04]* \(#,##0\);_([$HK$-C04]* &quot;-&quot;_);_(@_)"/>
    </dxf>
    <dxf>
      <numFmt numFmtId="178" formatCode="_ [$Fr.-807]\ * #,##0_ ;_ [$Fr.-807]\ * \-#,##0_ ;_ [$Fr.-807]\ * &quot;-&quot;_ ;_ @_ "/>
    </dxf>
    <dxf>
      <numFmt numFmtId="174" formatCode="_([$€-2]\ * #,##0_);_([$€-2]\ * \(#,##0\);_([$€-2]\ * &quot;-&quot;_);_(@_)"/>
    </dxf>
    <dxf>
      <numFmt numFmtId="176" formatCode="_ [$₪-40D]\ * #,##0_ ;_ [$₪-40D]\ * \-#,##0_ ;_ [$₪-40D]\ * &quot;-&quot;_ ;_ @_ "/>
    </dxf>
    <dxf>
      <numFmt numFmtId="177" formatCode="_ [$₹-4009]\ * #,##0_ ;_ [$₹-4009]\ * \-#,##0_ ;_ [$₹-4009]\ * &quot;-&quot;_ ;_ @_ "/>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numFmt numFmtId="177" formatCode="_ [$₹-4009]\ * #,##0_ ;_ [$₹-4009]\ * \-#,##0_ ;_ [$₹-4009]\ * &quot;-&quot;_ ;_ @_ "/>
    </dxf>
    <dxf>
      <numFmt numFmtId="176" formatCode="_ [$₪-40D]\ * #,##0_ ;_ [$₪-40D]\ * \-#,##0_ ;_ [$₪-40D]\ * &quot;-&quot;_ ;_ @_ "/>
    </dxf>
    <dxf>
      <numFmt numFmtId="178" formatCode="_ [$Fr.-807]\ * #,##0_ ;_ [$Fr.-807]\ * \-#,##0_ ;_ [$Fr.-807]\ * &quot;-&quot;_ ;_ @_ "/>
    </dxf>
    <dxf>
      <numFmt numFmtId="173" formatCode="_-[$$-C09]* #,##0_-;\-[$$-C09]* #,##0_-;_-[$$-C09]* &quot;-&quot;_-;_-@_-"/>
    </dxf>
    <dxf>
      <numFmt numFmtId="175" formatCode="_([$HK$-C04]* #,##0_);_([$HK$-C04]* \(#,##0\);_([$HK$-C04]* &quot;-&quot;_);_(@_)"/>
    </dxf>
    <dxf>
      <numFmt numFmtId="174" formatCode="_([$€-2]\ * #,##0_);_([$€-2]\ * \(#,##0\);_([$€-2]\ * &quot;-&quot;_);_(@_)"/>
    </dxf>
    <dxf>
      <numFmt numFmtId="172" formatCode="_-[$£-809]* #,##0_-;\-[$£-809]* #,##0_-;_-[$£-809]* &quot;-&quot;_-;_-@_-"/>
    </dxf>
    <dxf>
      <numFmt numFmtId="32" formatCode="_(&quot;$&quot;* #,##0_);_(&quot;$&quot;* \(#,##0\);_(&quot;$&quot;* &quot;-&quot;_);_(@_)"/>
    </dxf>
    <dxf>
      <numFmt numFmtId="185" formatCode=";;;"/>
    </dxf>
    <dxf>
      <numFmt numFmtId="172" formatCode="_-[$£-809]* #,##0_-;\-[$£-809]* #,##0_-;_-[$£-809]* &quot;-&quot;_-;_-@_-"/>
    </dxf>
    <dxf>
      <numFmt numFmtId="32" formatCode="_(&quot;$&quot;* #,##0_);_(&quot;$&quot;* \(#,##0\);_(&quot;$&quot;* &quot;-&quot;_);_(@_)"/>
    </dxf>
    <dxf>
      <numFmt numFmtId="174" formatCode="_([$€-2]\ * #,##0_);_([$€-2]\ * \(#,##0\);_([$€-2]\ * &quot;-&quot;_);_(@_)"/>
    </dxf>
    <dxf>
      <numFmt numFmtId="173" formatCode="_-[$$-C09]* #,##0_-;\-[$$-C09]* #,##0_-;_-[$$-C09]* &quot;-&quot;_-;_-@_-"/>
    </dxf>
    <dxf>
      <numFmt numFmtId="175" formatCode="_([$HK$-C04]* #,##0_);_([$HK$-C04]* \(#,##0\);_([$HK$-C04]* &quot;-&quot;_);_(@_)"/>
    </dxf>
    <dxf>
      <numFmt numFmtId="178" formatCode="_ [$Fr.-807]\ * #,##0_ ;_ [$Fr.-807]\ * \-#,##0_ ;_ [$Fr.-807]\ * &quot;-&quot;_ ;_ @_ "/>
    </dxf>
    <dxf>
      <numFmt numFmtId="176" formatCode="_ [$₪-40D]\ * #,##0_ ;_ [$₪-40D]\ * \-#,##0_ ;_ [$₪-40D]\ * &quot;-&quot;_ ;_ @_ "/>
    </dxf>
    <dxf>
      <numFmt numFmtId="177" formatCode="_ [$₹-4009]\ * #,##0_ ;_ [$₹-4009]\ * \-#,##0_ ;_ [$₹-4009]\ * &quot;-&quot;_ ;_ @_ "/>
    </dxf>
    <dxf>
      <numFmt numFmtId="172" formatCode="_-[$£-809]* #,##0_-;\-[$£-809]* #,##0_-;_-[$£-809]* &quot;-&quot;_-;_-@_-"/>
    </dxf>
    <dxf>
      <numFmt numFmtId="32" formatCode="_(&quot;$&quot;* #,##0_);_(&quot;$&quot;* \(#,##0\);_(&quot;$&quot;* &quot;-&quot;_);_(@_)"/>
    </dxf>
    <dxf>
      <numFmt numFmtId="186" formatCode="_([$€-2]\ * #,##0.00_);_([$€-2]\ * \(#,##0.00\);_([$€-2]\ * &quot;-&quot;??_);_(@_)"/>
    </dxf>
    <dxf>
      <numFmt numFmtId="173" formatCode="_-[$$-C09]* #,##0_-;\-[$$-C09]* #,##0_-;_-[$$-C09]* &quot;-&quot;_-;_-@_-"/>
    </dxf>
    <dxf>
      <numFmt numFmtId="175" formatCode="_([$HK$-C04]* #,##0_);_([$HK$-C04]* \(#,##0\);_([$HK$-C04]* &quot;-&quot;_);_(@_)"/>
    </dxf>
    <dxf>
      <numFmt numFmtId="178" formatCode="_ [$Fr.-807]\ * #,##0_ ;_ [$Fr.-807]\ * \-#,##0_ ;_ [$Fr.-807]\ * &quot;-&quot;_ ;_ @_ "/>
    </dxf>
    <dxf>
      <numFmt numFmtId="176" formatCode="_ [$₪-40D]\ * #,##0_ ;_ [$₪-40D]\ * \-#,##0_ ;_ [$₪-40D]\ * &quot;-&quot;_ ;_ @_ "/>
    </dxf>
    <dxf>
      <numFmt numFmtId="177" formatCode="_ [$₹-4009]\ * #,##0_ ;_ [$₹-4009]\ * \-#,##0_ ;_ [$₹-4009]\ * &quot;-&quot;_ ;_ @_ "/>
    </dxf>
    <dxf>
      <numFmt numFmtId="172" formatCode="_-[$£-809]* #,##0_-;\-[$£-809]* #,##0_-;_-[$£-809]* &quot;-&quot;_-;_-@_-"/>
    </dxf>
    <dxf>
      <numFmt numFmtId="32" formatCode="_(&quot;$&quot;* #,##0_);_(&quot;$&quot;* \(#,##0\);_(&quot;$&quot;* &quot;-&quot;_);_(@_)"/>
    </dxf>
    <dxf>
      <numFmt numFmtId="175" formatCode="_([$HK$-C04]* #,##0_);_([$HK$-C04]* \(#,##0\);_([$HK$-C04]* &quot;-&quot;_);_(@_)"/>
    </dxf>
    <dxf>
      <numFmt numFmtId="174" formatCode="_([$€-2]\ * #,##0_);_([$€-2]\ * \(#,##0\);_([$€-2]\ * &quot;-&quot;_);_(@_)"/>
    </dxf>
    <dxf>
      <numFmt numFmtId="178" formatCode="_ [$Fr.-807]\ * #,##0_ ;_ [$Fr.-807]\ * \-#,##0_ ;_ [$Fr.-807]\ * &quot;-&quot;_ ;_ @_ "/>
    </dxf>
    <dxf>
      <numFmt numFmtId="176" formatCode="_ [$₪-40D]\ * #,##0_ ;_ [$₪-40D]\ * \-#,##0_ ;_ [$₪-40D]\ * &quot;-&quot;_ ;_ @_ "/>
    </dxf>
    <dxf>
      <numFmt numFmtId="173" formatCode="_-[$$-C09]* #,##0_-;\-[$$-C09]* #,##0_-;_-[$$-C09]* &quot;-&quot;_-;_-@_-"/>
    </dxf>
    <dxf>
      <numFmt numFmtId="177" formatCode="_ [$₹-4009]\ * #,##0_ ;_ [$₹-4009]\ * \-#,##0_ ;_ [$₹-4009]\ * &quot;-&quot;_ ;_ @_ "/>
    </dxf>
    <dxf>
      <numFmt numFmtId="185" formatCode=";;;"/>
    </dxf>
    <dxf>
      <fill>
        <patternFill>
          <bgColor theme="4" tint="0.79998168889431442"/>
        </patternFill>
      </fill>
    </dxf>
    <dxf>
      <fill>
        <patternFill>
          <bgColor theme="8" tint="0.79998168889431442"/>
        </patternFill>
      </fill>
    </dxf>
    <dxf>
      <fill>
        <patternFill>
          <bgColor theme="4" tint="0.59996337778862885"/>
        </patternFill>
      </fill>
    </dxf>
    <dxf>
      <fill>
        <patternFill>
          <bgColor theme="0"/>
        </patternFill>
      </fill>
    </dxf>
    <dxf>
      <numFmt numFmtId="32" formatCode="_(&quot;$&quot;* #,##0_);_(&quot;$&quot;* \(#,##0\);_(&quot;$&quot;* &quot;-&quot;_);_(@_)"/>
    </dxf>
    <dxf>
      <numFmt numFmtId="172" formatCode="_-[$£-809]* #,##0_-;\-[$£-809]* #,##0_-;_-[$£-809]* &quot;-&quot;_-;_-@_-"/>
    </dxf>
    <dxf>
      <numFmt numFmtId="174" formatCode="_([$€-2]\ * #,##0_);_([$€-2]\ * \(#,##0\);_([$€-2]\ * &quot;-&quot;_);_(@_)"/>
    </dxf>
    <dxf>
      <numFmt numFmtId="175" formatCode="_([$HK$-C04]* #,##0_);_([$HK$-C04]* \(#,##0\);_([$HK$-C04]* &quot;-&quot;_);_(@_)"/>
    </dxf>
    <dxf>
      <numFmt numFmtId="173" formatCode="_-[$$-C09]* #,##0_-;\-[$$-C09]* #,##0_-;_-[$$-C09]* &quot;-&quot;_-;_-@_-"/>
    </dxf>
    <dxf>
      <numFmt numFmtId="178" formatCode="_ [$Fr.-807]\ * #,##0_ ;_ [$Fr.-807]\ * \-#,##0_ ;_ [$Fr.-807]\ * &quot;-&quot;_ ;_ @_ "/>
    </dxf>
    <dxf>
      <numFmt numFmtId="176" formatCode="_ [$₪-40D]\ * #,##0_ ;_ [$₪-40D]\ * \-#,##0_ ;_ [$₪-40D]\ * &quot;-&quot;_ ;_ @_ "/>
    </dxf>
    <dxf>
      <numFmt numFmtId="177" formatCode="_ [$₹-4009]\ * #,##0_ ;_ [$₹-4009]\ * \-#,##0_ ;_ [$₹-4009]\ * &quot;-&quot;_ ;_ @_ "/>
    </dxf>
    <dxf>
      <numFmt numFmtId="185" formatCode=";;;"/>
    </dxf>
    <dxf>
      <fill>
        <patternFill>
          <bgColor theme="4" tint="0.79998168889431442"/>
        </patternFill>
      </fill>
    </dxf>
    <dxf>
      <fill>
        <patternFill>
          <bgColor theme="8" tint="0.79998168889431442"/>
        </patternFill>
      </fill>
    </dxf>
    <dxf>
      <fill>
        <patternFill>
          <bgColor theme="4" tint="0.59996337778862885"/>
        </patternFill>
      </fill>
    </dxf>
    <dxf>
      <fill>
        <patternFill>
          <bgColor theme="0"/>
        </patternFill>
      </fill>
    </dxf>
  </dxfs>
  <tableStyles count="0" defaultTableStyle="TableStyleMedium2" defaultPivotStyle="PivotStyleLight16"/>
  <colors>
    <mruColors>
      <color rgb="FF0000FF"/>
      <color rgb="FFC5D9F1"/>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133350</xdr:colOff>
          <xdr:row>2</xdr:row>
          <xdr:rowOff>76200</xdr:rowOff>
        </xdr:from>
        <xdr:to>
          <xdr:col>8</xdr:col>
          <xdr:colOff>285750</xdr:colOff>
          <xdr:row>4</xdr:row>
          <xdr:rowOff>50800</xdr:rowOff>
        </xdr:to>
        <xdr:sp macro="" textlink="">
          <xdr:nvSpPr>
            <xdr:cNvPr id="52228" name="RefreshButton" hidden="1">
              <a:extLst>
                <a:ext uri="{63B3BB69-23CF-44E3-9099-C40C66FF867C}">
                  <a14:compatExt spid="_x0000_s52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69850</xdr:rowOff>
        </xdr:from>
        <xdr:to>
          <xdr:col>8</xdr:col>
          <xdr:colOff>285750</xdr:colOff>
          <xdr:row>6</xdr:row>
          <xdr:rowOff>44450</xdr:rowOff>
        </xdr:to>
        <xdr:sp macro="" textlink="">
          <xdr:nvSpPr>
            <xdr:cNvPr id="52229" name="CreateButton" hidden="1">
              <a:extLst>
                <a:ext uri="{63B3BB69-23CF-44E3-9099-C40C66FF867C}">
                  <a14:compatExt spid="_x0000_s522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31750</xdr:rowOff>
        </xdr:from>
        <xdr:to>
          <xdr:col>8</xdr:col>
          <xdr:colOff>285750</xdr:colOff>
          <xdr:row>12</xdr:row>
          <xdr:rowOff>6350</xdr:rowOff>
        </xdr:to>
        <xdr:sp macro="" textlink="">
          <xdr:nvSpPr>
            <xdr:cNvPr id="52230" name="UpdateButton" hidden="1">
              <a:extLst>
                <a:ext uri="{63B3BB69-23CF-44E3-9099-C40C66FF867C}">
                  <a14:compatExt spid="_x0000_s522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57150</xdr:rowOff>
        </xdr:from>
        <xdr:to>
          <xdr:col>8</xdr:col>
          <xdr:colOff>285750</xdr:colOff>
          <xdr:row>8</xdr:row>
          <xdr:rowOff>31750</xdr:rowOff>
        </xdr:to>
        <xdr:sp macro="" textlink="">
          <xdr:nvSpPr>
            <xdr:cNvPr id="52231" name="CreateOutputButton" hidden="1">
              <a:extLst>
                <a:ext uri="{63B3BB69-23CF-44E3-9099-C40C66FF867C}">
                  <a14:compatExt spid="_x0000_s52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8</xdr:row>
          <xdr:rowOff>38100</xdr:rowOff>
        </xdr:from>
        <xdr:to>
          <xdr:col>8</xdr:col>
          <xdr:colOff>285750</xdr:colOff>
          <xdr:row>10</xdr:row>
          <xdr:rowOff>12700</xdr:rowOff>
        </xdr:to>
        <xdr:sp macro="" textlink="">
          <xdr:nvSpPr>
            <xdr:cNvPr id="52232" name="FromBackupButton" hidden="1">
              <a:extLst>
                <a:ext uri="{63B3BB69-23CF-44E3-9099-C40C66FF867C}">
                  <a14:compatExt spid="_x0000_s52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350520</xdr:colOff>
      <xdr:row>1</xdr:row>
      <xdr:rowOff>175260</xdr:rowOff>
    </xdr:from>
    <xdr:to>
      <xdr:col>16</xdr:col>
      <xdr:colOff>350520</xdr:colOff>
      <xdr:row>30</xdr:row>
      <xdr:rowOff>137160</xdr:rowOff>
    </xdr:to>
    <mc:AlternateContent xmlns:mc="http://schemas.openxmlformats.org/markup-compatibility/2006" xmlns:a14="http://schemas.microsoft.com/office/drawing/2010/main">
      <mc:Choice Requires="a14">
        <xdr:graphicFrame macro="">
          <xdr:nvGraphicFramePr>
            <xdr:cNvPr id="10" name="Company"/>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8275320" y="365760"/>
              <a:ext cx="1828800" cy="548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xdr:col>
      <xdr:colOff>45720</xdr:colOff>
      <xdr:row>1</xdr:row>
      <xdr:rowOff>175260</xdr:rowOff>
    </xdr:from>
    <xdr:to>
      <xdr:col>6</xdr:col>
      <xdr:colOff>502920</xdr:colOff>
      <xdr:row>30</xdr:row>
      <xdr:rowOff>137160</xdr:rowOff>
    </xdr:to>
    <mc:AlternateContent xmlns:mc="http://schemas.openxmlformats.org/markup-compatibility/2006" xmlns:a14="http://schemas.microsoft.com/office/drawing/2010/main">
      <mc:Choice Requires="a14">
        <xdr:graphicFrame macro="">
          <xdr:nvGraphicFramePr>
            <xdr:cNvPr id="15"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874520" y="365760"/>
              <a:ext cx="2286000" cy="548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45720</xdr:colOff>
      <xdr:row>1</xdr:row>
      <xdr:rowOff>175260</xdr:rowOff>
    </xdr:from>
    <xdr:to>
      <xdr:col>3</xdr:col>
      <xdr:colOff>45720</xdr:colOff>
      <xdr:row>30</xdr:row>
      <xdr:rowOff>137160</xdr:rowOff>
    </xdr:to>
    <mc:AlternateContent xmlns:mc="http://schemas.openxmlformats.org/markup-compatibility/2006" xmlns:a14="http://schemas.microsoft.com/office/drawing/2010/main">
      <mc:Choice Requires="a14">
        <xdr:graphicFrame macro="">
          <xdr:nvGraphicFramePr>
            <xdr:cNvPr id="16" name="Division"/>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45720" y="365760"/>
              <a:ext cx="1828800" cy="548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350520</xdr:colOff>
      <xdr:row>1</xdr:row>
      <xdr:rowOff>175260</xdr:rowOff>
    </xdr:from>
    <xdr:to>
      <xdr:col>13</xdr:col>
      <xdr:colOff>350520</xdr:colOff>
      <xdr:row>30</xdr:row>
      <xdr:rowOff>137160</xdr:rowOff>
    </xdr:to>
    <mc:AlternateContent xmlns:mc="http://schemas.openxmlformats.org/markup-compatibility/2006" xmlns:a14="http://schemas.microsoft.com/office/drawing/2010/main">
      <mc:Choice Requires="a14">
        <xdr:graphicFrame macro="">
          <xdr:nvGraphicFramePr>
            <xdr:cNvPr id="17" name="Location"/>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6446520" y="365760"/>
              <a:ext cx="1828800" cy="548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350520</xdr:colOff>
      <xdr:row>31</xdr:row>
      <xdr:rowOff>38100</xdr:rowOff>
    </xdr:from>
    <xdr:to>
      <xdr:col>13</xdr:col>
      <xdr:colOff>350520</xdr:colOff>
      <xdr:row>50</xdr:row>
      <xdr:rowOff>76200</xdr:rowOff>
    </xdr:to>
    <mc:AlternateContent xmlns:mc="http://schemas.openxmlformats.org/markup-compatibility/2006" xmlns:a14="http://schemas.microsoft.com/office/drawing/2010/main">
      <mc:Choice Requires="a14">
        <xdr:graphicFrame macro="">
          <xdr:nvGraphicFramePr>
            <xdr:cNvPr id="18"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446520" y="5943600"/>
              <a:ext cx="18288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502920</xdr:colOff>
      <xdr:row>31</xdr:row>
      <xdr:rowOff>38100</xdr:rowOff>
    </xdr:from>
    <xdr:to>
      <xdr:col>10</xdr:col>
      <xdr:colOff>350520</xdr:colOff>
      <xdr:row>50</xdr:row>
      <xdr:rowOff>76200</xdr:rowOff>
    </xdr:to>
    <mc:AlternateContent xmlns:mc="http://schemas.openxmlformats.org/markup-compatibility/2006" xmlns:a14="http://schemas.microsoft.com/office/drawing/2010/main">
      <mc:Choice Requires="a14">
        <xdr:graphicFrame macro="">
          <xdr:nvGraphicFramePr>
            <xdr:cNvPr id="19" name="Team"/>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4160520" y="5943600"/>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47625</xdr:colOff>
      <xdr:row>31</xdr:row>
      <xdr:rowOff>38100</xdr:rowOff>
    </xdr:from>
    <xdr:to>
      <xdr:col>3</xdr:col>
      <xdr:colOff>47625</xdr:colOff>
      <xdr:row>50</xdr:row>
      <xdr:rowOff>76200</xdr:rowOff>
    </xdr:to>
    <mc:AlternateContent xmlns:mc="http://schemas.openxmlformats.org/markup-compatibility/2006" xmlns:a14="http://schemas.microsoft.com/office/drawing/2010/main">
      <mc:Choice Requires="a14">
        <xdr:graphicFrame macro="">
          <xdr:nvGraphicFramePr>
            <xdr:cNvPr id="8"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625" y="5943600"/>
              <a:ext cx="18288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502920</xdr:colOff>
      <xdr:row>1</xdr:row>
      <xdr:rowOff>175260</xdr:rowOff>
    </xdr:from>
    <xdr:to>
      <xdr:col>10</xdr:col>
      <xdr:colOff>350520</xdr:colOff>
      <xdr:row>30</xdr:row>
      <xdr:rowOff>137160</xdr:rowOff>
    </xdr:to>
    <mc:AlternateContent xmlns:mc="http://schemas.openxmlformats.org/markup-compatibility/2006" xmlns:a14="http://schemas.microsoft.com/office/drawing/2010/main">
      <mc:Choice Requires="a14">
        <xdr:graphicFrame macro="">
          <xdr:nvGraphicFramePr>
            <xdr:cNvPr id="11" name="Team Consolidation"/>
            <xdr:cNvGraphicFramePr/>
          </xdr:nvGraphicFramePr>
          <xdr:xfrm>
            <a:off x="0" y="0"/>
            <a:ext cx="0" cy="0"/>
          </xdr:xfrm>
          <a:graphic>
            <a:graphicData uri="http://schemas.microsoft.com/office/drawing/2010/slicer">
              <sle:slicer xmlns:sle="http://schemas.microsoft.com/office/drawing/2010/slicer" name="Team Consolidation"/>
            </a:graphicData>
          </a:graphic>
        </xdr:graphicFrame>
      </mc:Choice>
      <mc:Fallback xmlns="">
        <xdr:sp macro="" textlink="">
          <xdr:nvSpPr>
            <xdr:cNvPr id="0" name=""/>
            <xdr:cNvSpPr>
              <a:spLocks noTextEdit="1"/>
            </xdr:cNvSpPr>
          </xdr:nvSpPr>
          <xdr:spPr>
            <a:xfrm>
              <a:off x="4160520" y="365760"/>
              <a:ext cx="2286000" cy="548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xdr:col>
      <xdr:colOff>45720</xdr:colOff>
      <xdr:row>31</xdr:row>
      <xdr:rowOff>38099</xdr:rowOff>
    </xdr:from>
    <xdr:to>
      <xdr:col>6</xdr:col>
      <xdr:colOff>502920</xdr:colOff>
      <xdr:row>50</xdr:row>
      <xdr:rowOff>76199</xdr:rowOff>
    </xdr:to>
    <mc:AlternateContent xmlns:mc="http://schemas.openxmlformats.org/markup-compatibility/2006" xmlns:a14="http://schemas.microsoft.com/office/drawing/2010/main">
      <mc:Choice Requires="a14">
        <xdr:graphicFrame macro="">
          <xdr:nvGraphicFramePr>
            <xdr:cNvPr id="12" name="Business Unit"/>
            <xdr:cNvGraphicFramePr/>
          </xdr:nvGraphicFramePr>
          <xdr:xfrm>
            <a:off x="0" y="0"/>
            <a:ext cx="0" cy="0"/>
          </xdr:xfrm>
          <a:graphic>
            <a:graphicData uri="http://schemas.microsoft.com/office/drawing/2010/slicer">
              <sle:slicer xmlns:sle="http://schemas.microsoft.com/office/drawing/2010/slicer" name="Business Unit"/>
            </a:graphicData>
          </a:graphic>
        </xdr:graphicFrame>
      </mc:Choice>
      <mc:Fallback xmlns="">
        <xdr:sp macro="" textlink="">
          <xdr:nvSpPr>
            <xdr:cNvPr id="0" name=""/>
            <xdr:cNvSpPr>
              <a:spLocks noTextEdit="1"/>
            </xdr:cNvSpPr>
          </xdr:nvSpPr>
          <xdr:spPr>
            <a:xfrm>
              <a:off x="1874520" y="5943599"/>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350520</xdr:colOff>
      <xdr:row>31</xdr:row>
      <xdr:rowOff>38100</xdr:rowOff>
    </xdr:from>
    <xdr:to>
      <xdr:col>16</xdr:col>
      <xdr:colOff>350520</xdr:colOff>
      <xdr:row>50</xdr:row>
      <xdr:rowOff>76200</xdr:rowOff>
    </xdr:to>
    <mc:AlternateContent xmlns:mc="http://schemas.openxmlformats.org/markup-compatibility/2006" xmlns:a14="http://schemas.microsoft.com/office/drawing/2010/main">
      <mc:Choice Requires="a14">
        <xdr:graphicFrame macro="">
          <xdr:nvGraphicFramePr>
            <xdr:cNvPr id="13" name="Workbook"/>
            <xdr:cNvGraphicFramePr/>
          </xdr:nvGraphicFramePr>
          <xdr:xfrm>
            <a:off x="0" y="0"/>
            <a:ext cx="0" cy="0"/>
          </xdr:xfrm>
          <a:graphic>
            <a:graphicData uri="http://schemas.microsoft.com/office/drawing/2010/slicer">
              <sle:slicer xmlns:sle="http://schemas.microsoft.com/office/drawing/2010/slicer" name="Workbook"/>
            </a:graphicData>
          </a:graphic>
        </xdr:graphicFrame>
      </mc:Choice>
      <mc:Fallback xmlns="">
        <xdr:sp macro="" textlink="">
          <xdr:nvSpPr>
            <xdr:cNvPr id="0" name=""/>
            <xdr:cNvSpPr>
              <a:spLocks noTextEdit="1"/>
            </xdr:cNvSpPr>
          </xdr:nvSpPr>
          <xdr:spPr>
            <a:xfrm>
              <a:off x="8275320" y="5943600"/>
              <a:ext cx="18288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45720</xdr:colOff>
      <xdr:row>50</xdr:row>
      <xdr:rowOff>165100</xdr:rowOff>
    </xdr:from>
    <xdr:to>
      <xdr:col>3</xdr:col>
      <xdr:colOff>407670</xdr:colOff>
      <xdr:row>70</xdr:row>
      <xdr:rowOff>139700</xdr:rowOff>
    </xdr:to>
    <mc:AlternateContent xmlns:mc="http://schemas.openxmlformats.org/markup-compatibility/2006" xmlns:a14="http://schemas.microsoft.com/office/drawing/2010/main">
      <mc:Choice Requires="a14">
        <xdr:graphicFrame macro="">
          <xdr:nvGraphicFramePr>
            <xdr:cNvPr id="14" name="Parent1" title="Pelican"/>
            <xdr:cNvGraphicFramePr/>
          </xdr:nvGraphicFramePr>
          <xdr:xfrm>
            <a:off x="0" y="0"/>
            <a:ext cx="0" cy="0"/>
          </xdr:xfrm>
          <a:graphic>
            <a:graphicData uri="http://schemas.microsoft.com/office/drawing/2010/slicer">
              <sle:slicer xmlns:sle="http://schemas.microsoft.com/office/drawing/2010/slicer" name="Parent1"/>
            </a:graphicData>
          </a:graphic>
        </xdr:graphicFrame>
      </mc:Choice>
      <mc:Fallback xmlns="">
        <xdr:sp macro="" textlink="">
          <xdr:nvSpPr>
            <xdr:cNvPr id="0" name=""/>
            <xdr:cNvSpPr>
              <a:spLocks noTextEdit="1"/>
            </xdr:cNvSpPr>
          </xdr:nvSpPr>
          <xdr:spPr>
            <a:xfrm>
              <a:off x="45720" y="9372600"/>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xdr:col>
      <xdr:colOff>450850</xdr:colOff>
      <xdr:row>50</xdr:row>
      <xdr:rowOff>177799</xdr:rowOff>
    </xdr:from>
    <xdr:to>
      <xdr:col>7</xdr:col>
      <xdr:colOff>171450</xdr:colOff>
      <xdr:row>70</xdr:row>
      <xdr:rowOff>152399</xdr:rowOff>
    </xdr:to>
    <mc:AlternateContent xmlns:mc="http://schemas.openxmlformats.org/markup-compatibility/2006" xmlns:a14="http://schemas.microsoft.com/office/drawing/2010/main">
      <mc:Choice Requires="a14">
        <xdr:graphicFrame macro="">
          <xdr:nvGraphicFramePr>
            <xdr:cNvPr id="20" name="Parent2"/>
            <xdr:cNvGraphicFramePr/>
          </xdr:nvGraphicFramePr>
          <xdr:xfrm>
            <a:off x="0" y="0"/>
            <a:ext cx="0" cy="0"/>
          </xdr:xfrm>
          <a:graphic>
            <a:graphicData uri="http://schemas.microsoft.com/office/drawing/2010/slicer">
              <sle:slicer xmlns:sle="http://schemas.microsoft.com/office/drawing/2010/slicer" name="Parent2"/>
            </a:graphicData>
          </a:graphic>
        </xdr:graphicFrame>
      </mc:Choice>
      <mc:Fallback xmlns="">
        <xdr:sp macro="" textlink="">
          <xdr:nvSpPr>
            <xdr:cNvPr id="0" name=""/>
            <xdr:cNvSpPr>
              <a:spLocks noTextEdit="1"/>
            </xdr:cNvSpPr>
          </xdr:nvSpPr>
          <xdr:spPr>
            <a:xfrm>
              <a:off x="2374900" y="9385299"/>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203200</xdr:colOff>
      <xdr:row>50</xdr:row>
      <xdr:rowOff>177799</xdr:rowOff>
    </xdr:from>
    <xdr:to>
      <xdr:col>10</xdr:col>
      <xdr:colOff>565150</xdr:colOff>
      <xdr:row>70</xdr:row>
      <xdr:rowOff>152399</xdr:rowOff>
    </xdr:to>
    <mc:AlternateContent xmlns:mc="http://schemas.openxmlformats.org/markup-compatibility/2006" xmlns:a14="http://schemas.microsoft.com/office/drawing/2010/main">
      <mc:Choice Requires="a14">
        <xdr:graphicFrame macro="">
          <xdr:nvGraphicFramePr>
            <xdr:cNvPr id="21" name="Parent3"/>
            <xdr:cNvGraphicFramePr/>
          </xdr:nvGraphicFramePr>
          <xdr:xfrm>
            <a:off x="0" y="0"/>
            <a:ext cx="0" cy="0"/>
          </xdr:xfrm>
          <a:graphic>
            <a:graphicData uri="http://schemas.microsoft.com/office/drawing/2010/slicer">
              <sle:slicer xmlns:sle="http://schemas.microsoft.com/office/drawing/2010/slicer" name="Parent3"/>
            </a:graphicData>
          </a:graphic>
        </xdr:graphicFrame>
      </mc:Choice>
      <mc:Fallback xmlns="">
        <xdr:sp macro="" textlink="">
          <xdr:nvSpPr>
            <xdr:cNvPr id="0" name=""/>
            <xdr:cNvSpPr>
              <a:spLocks noTextEdit="1"/>
            </xdr:cNvSpPr>
          </xdr:nvSpPr>
          <xdr:spPr>
            <a:xfrm>
              <a:off x="4692650" y="9385299"/>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584200</xdr:colOff>
      <xdr:row>50</xdr:row>
      <xdr:rowOff>177799</xdr:rowOff>
    </xdr:from>
    <xdr:to>
      <xdr:col>14</xdr:col>
      <xdr:colOff>304800</xdr:colOff>
      <xdr:row>70</xdr:row>
      <xdr:rowOff>152399</xdr:rowOff>
    </xdr:to>
    <mc:AlternateContent xmlns:mc="http://schemas.openxmlformats.org/markup-compatibility/2006" xmlns:a14="http://schemas.microsoft.com/office/drawing/2010/main">
      <mc:Choice Requires="a14">
        <xdr:graphicFrame macro="">
          <xdr:nvGraphicFramePr>
            <xdr:cNvPr id="22" name="Parent4"/>
            <xdr:cNvGraphicFramePr/>
          </xdr:nvGraphicFramePr>
          <xdr:xfrm>
            <a:off x="0" y="0"/>
            <a:ext cx="0" cy="0"/>
          </xdr:xfrm>
          <a:graphic>
            <a:graphicData uri="http://schemas.microsoft.com/office/drawing/2010/slicer">
              <sle:slicer xmlns:sle="http://schemas.microsoft.com/office/drawing/2010/slicer" name="Parent4"/>
            </a:graphicData>
          </a:graphic>
        </xdr:graphicFrame>
      </mc:Choice>
      <mc:Fallback xmlns="">
        <xdr:sp macro="" textlink="">
          <xdr:nvSpPr>
            <xdr:cNvPr id="0" name=""/>
            <xdr:cNvSpPr>
              <a:spLocks noTextEdit="1"/>
            </xdr:cNvSpPr>
          </xdr:nvSpPr>
          <xdr:spPr>
            <a:xfrm>
              <a:off x="6997700" y="9385299"/>
              <a:ext cx="2286000"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5</xdr:row>
          <xdr:rowOff>31750</xdr:rowOff>
        </xdr:from>
        <xdr:to>
          <xdr:col>1</xdr:col>
          <xdr:colOff>977900</xdr:colOff>
          <xdr:row>6</xdr:row>
          <xdr:rowOff>158750</xdr:rowOff>
        </xdr:to>
        <xdr:sp macro="" textlink="">
          <xdr:nvSpPr>
            <xdr:cNvPr id="43014" name="PushAllButton" hidden="1">
              <a:extLst>
                <a:ext uri="{63B3BB69-23CF-44E3-9099-C40C66FF867C}">
                  <a14:compatExt spid="_x0000_s43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10</xdr:row>
          <xdr:rowOff>127000</xdr:rowOff>
        </xdr:from>
        <xdr:to>
          <xdr:col>2</xdr:col>
          <xdr:colOff>228600</xdr:colOff>
          <xdr:row>12</xdr:row>
          <xdr:rowOff>76200</xdr:rowOff>
        </xdr:to>
        <xdr:sp macro="" textlink="">
          <xdr:nvSpPr>
            <xdr:cNvPr id="43020" name="QueryRefreshButton" hidden="1">
              <a:extLst>
                <a:ext uri="{63B3BB69-23CF-44E3-9099-C40C66FF867C}">
                  <a14:compatExt spid="_x0000_s43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13</xdr:row>
          <xdr:rowOff>19050</xdr:rowOff>
        </xdr:from>
        <xdr:to>
          <xdr:col>2</xdr:col>
          <xdr:colOff>228600</xdr:colOff>
          <xdr:row>14</xdr:row>
          <xdr:rowOff>152400</xdr:rowOff>
        </xdr:to>
        <xdr:sp macro="" textlink="">
          <xdr:nvSpPr>
            <xdr:cNvPr id="43027" name="ButtonSettings" hidden="1">
              <a:extLst>
                <a:ext uri="{63B3BB69-23CF-44E3-9099-C40C66FF867C}">
                  <a14:compatExt spid="_x0000_s43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241300</xdr:colOff>
          <xdr:row>0</xdr:row>
          <xdr:rowOff>152400</xdr:rowOff>
        </xdr:from>
        <xdr:to>
          <xdr:col>13</xdr:col>
          <xdr:colOff>546100</xdr:colOff>
          <xdr:row>2</xdr:row>
          <xdr:rowOff>127000</xdr:rowOff>
        </xdr:to>
        <xdr:sp macro="" textlink="">
          <xdr:nvSpPr>
            <xdr:cNvPr id="10252" name="AddRecordsButton" hidden="1">
              <a:extLst>
                <a:ext uri="{63B3BB69-23CF-44E3-9099-C40C66FF867C}">
                  <a14:compatExt spid="_x0000_s10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0</xdr:row>
          <xdr:rowOff>152400</xdr:rowOff>
        </xdr:from>
        <xdr:to>
          <xdr:col>0</xdr:col>
          <xdr:colOff>1155700</xdr:colOff>
          <xdr:row>2</xdr:row>
          <xdr:rowOff>127000</xdr:rowOff>
        </xdr:to>
        <xdr:sp macro="" textlink="">
          <xdr:nvSpPr>
            <xdr:cNvPr id="10258" name="ColumnsButton" hidden="1">
              <a:extLst>
                <a:ext uri="{63B3BB69-23CF-44E3-9099-C40C66FF867C}">
                  <a14:compatExt spid="_x0000_s10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57150</xdr:colOff>
          <xdr:row>0</xdr:row>
          <xdr:rowOff>152400</xdr:rowOff>
        </xdr:from>
        <xdr:to>
          <xdr:col>10</xdr:col>
          <xdr:colOff>228600</xdr:colOff>
          <xdr:row>2</xdr:row>
          <xdr:rowOff>127000</xdr:rowOff>
        </xdr:to>
        <xdr:sp macro="" textlink="">
          <xdr:nvSpPr>
            <xdr:cNvPr id="27653" name="AddRecordsButton" hidden="1">
              <a:extLst>
                <a:ext uri="{63B3BB69-23CF-44E3-9099-C40C66FF867C}">
                  <a14:compatExt spid="_x0000_s27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0</xdr:row>
          <xdr:rowOff>152400</xdr:rowOff>
        </xdr:from>
        <xdr:to>
          <xdr:col>2</xdr:col>
          <xdr:colOff>6350</xdr:colOff>
          <xdr:row>2</xdr:row>
          <xdr:rowOff>127000</xdr:rowOff>
        </xdr:to>
        <xdr:sp macro="" textlink="">
          <xdr:nvSpPr>
            <xdr:cNvPr id="27654" name="ColumnsButton" hidden="1">
              <a:extLst>
                <a:ext uri="{63B3BB69-23CF-44E3-9099-C40C66FF867C}">
                  <a14:compatExt spid="_x0000_s27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xdr:colOff>
          <xdr:row>0</xdr:row>
          <xdr:rowOff>152400</xdr:rowOff>
        </xdr:from>
        <xdr:to>
          <xdr:col>9</xdr:col>
          <xdr:colOff>209550</xdr:colOff>
          <xdr:row>2</xdr:row>
          <xdr:rowOff>114300</xdr:rowOff>
        </xdr:to>
        <xdr:sp macro="" textlink="">
          <xdr:nvSpPr>
            <xdr:cNvPr id="16395" name="AddRecordsButton"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0</xdr:row>
          <xdr:rowOff>152400</xdr:rowOff>
        </xdr:from>
        <xdr:to>
          <xdr:col>2</xdr:col>
          <xdr:colOff>6350</xdr:colOff>
          <xdr:row>2</xdr:row>
          <xdr:rowOff>127000</xdr:rowOff>
        </xdr:to>
        <xdr:sp macro="" textlink="">
          <xdr:nvSpPr>
            <xdr:cNvPr id="16397" name="ColumnsButton" hidden="1">
              <a:extLst>
                <a:ext uri="{63B3BB69-23CF-44E3-9099-C40C66FF867C}">
                  <a14:compatExt spid="_x0000_s16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Zach Mueller" refreshedDate="41807.710962731479" createdVersion="4" refreshedVersion="5" minRefreshableVersion="3" recordCount="1">
  <cacheSource type="external" connectionId="2"/>
  <cacheFields count="79">
    <cacheField name="Scenario" numFmtId="0">
      <sharedItems containsString="0" containsBlank="1" count="1">
        <m/>
      </sharedItems>
    </cacheField>
    <cacheField name="Division" numFmtId="0">
      <sharedItems containsString="0" containsBlank="1" count="1">
        <m/>
      </sharedItems>
    </cacheField>
    <cacheField name="Company" numFmtId="0">
      <sharedItems containsString="0" containsBlank="1" count="1">
        <m/>
      </sharedItems>
    </cacheField>
    <cacheField name="Business Unit" numFmtId="0">
      <sharedItems containsString="0" containsBlank="1" count="1">
        <m/>
      </sharedItems>
    </cacheField>
    <cacheField name="Department" numFmtId="0">
      <sharedItems containsString="0" containsBlank="1" count="1">
        <m/>
      </sharedItems>
    </cacheField>
    <cacheField name="Team" numFmtId="0">
      <sharedItems containsString="0" containsBlank="1" count="1">
        <m/>
      </sharedItems>
    </cacheField>
    <cacheField name="Team Consolidation" numFmtId="0">
      <sharedItems containsString="0" containsBlank="1" count="1">
        <m/>
      </sharedItems>
    </cacheField>
    <cacheField name="Product" numFmtId="0">
      <sharedItems containsString="0" containsBlank="1" count="1">
        <m/>
      </sharedItems>
    </cacheField>
    <cacheField name="Location" numFmtId="0">
      <sharedItems containsString="0" containsBlank="1" count="1">
        <m/>
      </sharedItems>
    </cacheField>
    <cacheField name="Job Title" numFmtId="0">
      <sharedItems containsString="0" containsBlank="1" count="1">
        <m/>
      </sharedItems>
    </cacheField>
    <cacheField name="P&amp;L Item" numFmtId="0">
      <sharedItems containsString="0" containsBlank="1" count="1">
        <m/>
      </sharedItems>
    </cacheField>
    <cacheField name="Description" numFmtId="0">
      <sharedItems containsString="0" containsBlank="1" count="1">
        <m/>
      </sharedItems>
    </cacheField>
    <cacheField name="Month 1" numFmtId="0">
      <sharedItems containsString="0" containsBlank="1" count="1">
        <m/>
      </sharedItems>
    </cacheField>
    <cacheField name="Month 2" numFmtId="0">
      <sharedItems containsString="0" containsBlank="1" count="1">
        <m/>
      </sharedItems>
    </cacheField>
    <cacheField name="Month 3" numFmtId="0">
      <sharedItems containsString="0" containsBlank="1" count="1">
        <m/>
      </sharedItems>
    </cacheField>
    <cacheField name="Month 4" numFmtId="0">
      <sharedItems containsString="0" containsBlank="1" count="1">
        <m/>
      </sharedItems>
    </cacheField>
    <cacheField name="Month 5" numFmtId="0">
      <sharedItems containsString="0" containsBlank="1" count="1">
        <m/>
      </sharedItems>
    </cacheField>
    <cacheField name="Month 6" numFmtId="0">
      <sharedItems containsString="0" containsBlank="1" count="1">
        <m/>
      </sharedItems>
    </cacheField>
    <cacheField name="Month 7" numFmtId="0">
      <sharedItems containsString="0" containsBlank="1" count="1">
        <m/>
      </sharedItems>
    </cacheField>
    <cacheField name="Month 8" numFmtId="0">
      <sharedItems containsString="0" containsBlank="1" count="1">
        <m/>
      </sharedItems>
    </cacheField>
    <cacheField name="Month 9" numFmtId="0">
      <sharedItems containsString="0" containsBlank="1" count="1">
        <m/>
      </sharedItems>
    </cacheField>
    <cacheField name="Month 10" numFmtId="0">
      <sharedItems containsString="0" containsBlank="1" count="1">
        <m/>
      </sharedItems>
    </cacheField>
    <cacheField name="Month 11" numFmtId="0">
      <sharedItems containsString="0" containsBlank="1" count="1">
        <m/>
      </sharedItems>
    </cacheField>
    <cacheField name="Month 12" numFmtId="0">
      <sharedItems containsString="0" containsBlank="1" count="1">
        <m/>
      </sharedItems>
    </cacheField>
    <cacheField name="Month 13" numFmtId="0">
      <sharedItems containsString="0" containsBlank="1" count="1">
        <m/>
      </sharedItems>
    </cacheField>
    <cacheField name="Month 14" numFmtId="0">
      <sharedItems containsString="0" containsBlank="1" count="1">
        <m/>
      </sharedItems>
    </cacheField>
    <cacheField name="Month 15" numFmtId="0">
      <sharedItems containsString="0" containsBlank="1" count="1">
        <m/>
      </sharedItems>
    </cacheField>
    <cacheField name="Month 16" numFmtId="0">
      <sharedItems containsString="0" containsBlank="1" count="1">
        <m/>
      </sharedItems>
    </cacheField>
    <cacheField name="Month 17" numFmtId="0">
      <sharedItems containsString="0" containsBlank="1" count="1">
        <m/>
      </sharedItems>
    </cacheField>
    <cacheField name="Month 18" numFmtId="0">
      <sharedItems containsString="0" containsBlank="1" count="1">
        <m/>
      </sharedItems>
    </cacheField>
    <cacheField name="Month 19" numFmtId="0">
      <sharedItems containsString="0" containsBlank="1" count="1">
        <m/>
      </sharedItems>
    </cacheField>
    <cacheField name="Month 20" numFmtId="0">
      <sharedItems containsString="0" containsBlank="1" count="1">
        <m/>
      </sharedItems>
    </cacheField>
    <cacheField name="Month 21" numFmtId="0">
      <sharedItems containsString="0" containsBlank="1" count="1">
        <m/>
      </sharedItems>
    </cacheField>
    <cacheField name="Month 22" numFmtId="0">
      <sharedItems containsString="0" containsBlank="1" count="1">
        <m/>
      </sharedItems>
    </cacheField>
    <cacheField name="Month 23" numFmtId="0">
      <sharedItems containsString="0" containsBlank="1" count="1">
        <m/>
      </sharedItems>
    </cacheField>
    <cacheField name="Month 24" numFmtId="0">
      <sharedItems containsString="0" containsBlank="1" count="1">
        <m/>
      </sharedItems>
    </cacheField>
    <cacheField name="Month 25" numFmtId="0">
      <sharedItems containsString="0" containsBlank="1" count="1">
        <m/>
      </sharedItems>
    </cacheField>
    <cacheField name="Month 26" numFmtId="0">
      <sharedItems containsString="0" containsBlank="1" count="1">
        <m/>
      </sharedItems>
    </cacheField>
    <cacheField name="Month 27" numFmtId="0">
      <sharedItems containsString="0" containsBlank="1" count="1">
        <m/>
      </sharedItems>
    </cacheField>
    <cacheField name="Month 28" numFmtId="0">
      <sharedItems containsString="0" containsBlank="1" count="1">
        <m/>
      </sharedItems>
    </cacheField>
    <cacheField name="Month 29" numFmtId="0">
      <sharedItems containsString="0" containsBlank="1" count="1">
        <m/>
      </sharedItems>
    </cacheField>
    <cacheField name="Month 30" numFmtId="0">
      <sharedItems containsString="0" containsBlank="1" count="1">
        <m/>
      </sharedItems>
    </cacheField>
    <cacheField name="Month 31" numFmtId="0">
      <sharedItems containsString="0" containsBlank="1" count="1">
        <m/>
      </sharedItems>
    </cacheField>
    <cacheField name="Month 32" numFmtId="0">
      <sharedItems containsString="0" containsBlank="1" count="1">
        <m/>
      </sharedItems>
    </cacheField>
    <cacheField name="Month 33" numFmtId="0">
      <sharedItems containsString="0" containsBlank="1" count="1">
        <m/>
      </sharedItems>
    </cacheField>
    <cacheField name="Month 34" numFmtId="0">
      <sharedItems containsString="0" containsBlank="1" count="1">
        <m/>
      </sharedItems>
    </cacheField>
    <cacheField name="Month 35" numFmtId="0">
      <sharedItems containsString="0" containsBlank="1" count="1">
        <m/>
      </sharedItems>
    </cacheField>
    <cacheField name="Month 36" numFmtId="0">
      <sharedItems containsString="0" containsBlank="1" count="1">
        <m/>
      </sharedItems>
    </cacheField>
    <cacheField name="GL Company" numFmtId="0">
      <sharedItems containsString="0" containsBlank="1" count="1">
        <m/>
      </sharedItems>
    </cacheField>
    <cacheField name="GL Location" numFmtId="0">
      <sharedItems containsString="0" containsBlank="1" count="1">
        <m/>
      </sharedItems>
    </cacheField>
    <cacheField name="GL Account" numFmtId="0">
      <sharedItems containsString="0" containsBlank="1" count="1">
        <m/>
      </sharedItems>
    </cacheField>
    <cacheField name="GL Team" numFmtId="0">
      <sharedItems containsString="0" containsBlank="1" count="1">
        <m/>
      </sharedItems>
    </cacheField>
    <cacheField name="GL BU" numFmtId="0">
      <sharedItems containsString="0" containsBlank="1" count="1">
        <m/>
      </sharedItems>
    </cacheField>
    <cacheField name="GL Department" numFmtId="0">
      <sharedItems containsString="0" containsBlank="1" count="1">
        <m/>
      </sharedItems>
    </cacheField>
    <cacheField name="GL Product" numFmtId="0">
      <sharedItems containsString="0" containsBlank="1" count="1">
        <m/>
      </sharedItems>
    </cacheField>
    <cacheField name="Category" numFmtId="0">
      <sharedItems containsString="0" containsBlank="1" count="1">
        <m/>
      </sharedItems>
    </cacheField>
    <cacheField name="id" numFmtId="0">
      <sharedItems containsString="0" containsBlank="1" count="1">
        <m/>
      </sharedItems>
    </cacheField>
    <cacheField name="Workbook" numFmtId="0">
      <sharedItems containsString="0" containsBlank="1" count="1">
        <m/>
      </sharedItems>
    </cacheField>
    <cacheField name="Sheet" numFmtId="0">
      <sharedItems containsString="0" containsBlank="1" count="1">
        <m/>
      </sharedItems>
    </cacheField>
    <cacheField name="Row" numFmtId="0">
      <sharedItems containsString="0" containsBlank="1" count="1">
        <m/>
      </sharedItems>
    </cacheField>
    <cacheField name="Parent1" numFmtId="0">
      <sharedItems containsString="0" containsBlank="1" count="1">
        <m/>
      </sharedItems>
    </cacheField>
    <cacheField name="Parent2" numFmtId="0">
      <sharedItems containsString="0" containsBlank="1" count="1">
        <m/>
      </sharedItems>
    </cacheField>
    <cacheField name="Parent3" numFmtId="0">
      <sharedItems containsString="0" containsBlank="1" count="1">
        <m/>
      </sharedItems>
    </cacheField>
    <cacheField name="Parent4" numFmtId="0">
      <sharedItems containsString="0" containsBlank="1" count="1">
        <m/>
      </sharedItems>
    </cacheField>
    <cacheField name="Q1" numFmtId="0" formula="'Month 1'+'Month 2'+'Month 3'" databaseField="0"/>
    <cacheField name="Q2" numFmtId="0" formula="'Month 4'+'Month 5'+'Month 6'" databaseField="0"/>
    <cacheField name="Q3" numFmtId="0" formula="'Month 7'+'Month 8'+'Month 9'" databaseField="0"/>
    <cacheField name="Q4" numFmtId="0" formula="'Month 10'+'Month 11'+'Month 12'" databaseField="0"/>
    <cacheField name="Q5" numFmtId="0" formula="'Month 13'+'Month 14'+'Month 15'" databaseField="0"/>
    <cacheField name="Q6" numFmtId="0" formula="'Month 16'+'Month 17'+'Month 18'" databaseField="0"/>
    <cacheField name="Q7" numFmtId="0" formula="'Month 19'+'Month 20'+'Month 21'" databaseField="0"/>
    <cacheField name="Q8" numFmtId="0" formula="'Month 22'+'Month 23'+'Month 24'" databaseField="0"/>
    <cacheField name="Q9" numFmtId="0" formula="'Month 25'+'Month 26'+'Month 27'" databaseField="0"/>
    <cacheField name="Q10" numFmtId="0" formula="'Month 28'+'Month 29'+'Month 30'" databaseField="0"/>
    <cacheField name="Q11" numFmtId="0" formula="'Month 31'+'Month 32'+'Month 33'" databaseField="0"/>
    <cacheField name="Q12" numFmtId="0" formula="'Month 34'+'Month 35'+'Month 36'" databaseField="0"/>
    <cacheField name="FY1" numFmtId="0" formula="Q1+Q2+Q3+Q4" databaseField="0"/>
    <cacheField name="FY2" numFmtId="0" formula="Q5+Q6+Q7+Q8" databaseField="0"/>
    <cacheField name="FY3" numFmtId="0" formula="Q9+Q10+Q11+Q12" databaseField="0"/>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All" cacheId="0" applyNumberFormats="0" applyBorderFormats="0" applyFontFormats="0" applyPatternFormats="0" applyAlignmentFormats="0" applyWidthHeightFormats="1" dataCaption="Values" updatedVersion="5" minRefreshableVersion="3" useAutoFormatting="1" colGrandTotals="0" itemPrintTitles="1" createdVersion="4" indent="0" outline="1" outlineData="1" multipleFieldFilters="0" fieldListSortAscending="1">
  <location ref="A16:AZ20" firstHeaderRow="1" firstDataRow="3" firstDataCol="1" rowPageCount="14" colPageCount="1"/>
  <pivotFields count="79">
    <pivotField axis="axisCol"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showAll="0" defaultSubtotal="0"/>
    <pivotField axis="axisRow" showAll="0" defaultSubtotal="0">
      <items count="1">
        <item x="0"/>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
        <item x="0"/>
      </items>
    </pivotField>
    <pivotField showAll="0" defaultSubtotal="0"/>
    <pivotField axis="axisPage" showAll="0" defaultSubtotal="0">
      <items count="1">
        <item x="0"/>
      </items>
    </pivotField>
    <pivotField showAll="0" defaultSubtotal="0"/>
    <pivotField showAll="0" defaultSubtotal="0"/>
    <pivotField axis="axisPage" showAll="0" defaultSubtotal="0">
      <items count="1">
        <item x="0"/>
      </items>
    </pivotField>
    <pivotField axis="axisPage" showAll="0" defaultSubtotal="0">
      <items count="1">
        <item x="0"/>
      </items>
    </pivotField>
    <pivotField axis="axisPage" showAll="0" defaultSubtotal="0">
      <items count="1">
        <item x="0"/>
      </items>
    </pivotField>
    <pivotField axis="axisPage" showAll="0" defaultSubtotal="0">
      <items count="1">
        <item x="0"/>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10"/>
  </rowFields>
  <rowItems count="2">
    <i>
      <x/>
    </i>
    <i t="grand">
      <x/>
    </i>
  </rowItems>
  <colFields count="2">
    <field x="0"/>
    <field x="-2"/>
  </colFields>
  <colItems count="51">
    <i>
      <x/>
      <x/>
    </i>
    <i r="1" i="1">
      <x v="1"/>
    </i>
    <i r="1" i="2">
      <x v="2"/>
    </i>
    <i r="1" i="3">
      <x v="3"/>
    </i>
    <i r="1" i="4">
      <x v="4"/>
    </i>
    <i r="1" i="5">
      <x v="5"/>
    </i>
    <i r="1" i="6">
      <x v="6"/>
    </i>
    <i r="1" i="7">
      <x v="7"/>
    </i>
    <i r="1" i="8">
      <x v="8"/>
    </i>
    <i r="1" i="9">
      <x v="9"/>
    </i>
    <i r="1" i="10">
      <x v="10"/>
    </i>
    <i r="1" i="11">
      <x v="11"/>
    </i>
    <i r="1" i="12">
      <x v="12"/>
    </i>
    <i r="1" i="13">
      <x v="13"/>
    </i>
    <i r="1" i="14">
      <x v="14"/>
    </i>
    <i r="1" i="15">
      <x v="15"/>
    </i>
    <i r="1" i="16">
      <x v="16"/>
    </i>
    <i r="1" i="17">
      <x v="17"/>
    </i>
    <i r="1" i="18">
      <x v="18"/>
    </i>
    <i r="1" i="19">
      <x v="19"/>
    </i>
    <i r="1" i="20">
      <x v="20"/>
    </i>
    <i r="1" i="21">
      <x v="21"/>
    </i>
    <i r="1" i="22">
      <x v="22"/>
    </i>
    <i r="1" i="23">
      <x v="23"/>
    </i>
    <i r="1" i="24">
      <x v="24"/>
    </i>
    <i r="1" i="25">
      <x v="25"/>
    </i>
    <i r="1" i="26">
      <x v="26"/>
    </i>
    <i r="1" i="27">
      <x v="27"/>
    </i>
    <i r="1" i="28">
      <x v="28"/>
    </i>
    <i r="1" i="29">
      <x v="29"/>
    </i>
    <i r="1" i="30">
      <x v="30"/>
    </i>
    <i r="1" i="31">
      <x v="31"/>
    </i>
    <i r="1" i="32">
      <x v="32"/>
    </i>
    <i r="1" i="33">
      <x v="33"/>
    </i>
    <i r="1" i="34">
      <x v="34"/>
    </i>
    <i r="1" i="35">
      <x v="35"/>
    </i>
    <i r="1" i="36">
      <x v="36"/>
    </i>
    <i r="1" i="37">
      <x v="37"/>
    </i>
    <i r="1" i="38">
      <x v="38"/>
    </i>
    <i r="1" i="39">
      <x v="39"/>
    </i>
    <i r="1" i="40">
      <x v="40"/>
    </i>
    <i r="1" i="41">
      <x v="41"/>
    </i>
    <i r="1" i="42">
      <x v="42"/>
    </i>
    <i r="1" i="43">
      <x v="43"/>
    </i>
    <i r="1" i="44">
      <x v="44"/>
    </i>
    <i r="1" i="45">
      <x v="45"/>
    </i>
    <i r="1" i="46">
      <x v="46"/>
    </i>
    <i r="1" i="47">
      <x v="47"/>
    </i>
    <i r="1" i="48">
      <x v="48"/>
    </i>
    <i r="1" i="49">
      <x v="49"/>
    </i>
    <i r="1" i="50">
      <x v="50"/>
    </i>
  </colItems>
  <pageFields count="14">
    <pageField fld="2" hier="-1"/>
    <pageField fld="5" hier="-1"/>
    <pageField fld="8" hier="-1"/>
    <pageField fld="4" hier="-1"/>
    <pageField fld="1" hier="-1"/>
    <pageField fld="7" hier="-1"/>
    <pageField fld="3" hier="-1"/>
    <pageField fld="55" hier="-1"/>
    <pageField fld="6" hier="-1"/>
    <pageField fld="57" hier="-1"/>
    <pageField fld="60" hier="-1"/>
    <pageField fld="61" hier="-1"/>
    <pageField fld="62" hier="-1"/>
    <pageField fld="63" hier="-1"/>
  </pageFields>
  <dataFields count="51">
    <dataField name="Sum of Month 1" fld="12" baseField="0" baseItem="0"/>
    <dataField name="Sum of Month 2" fld="13" baseField="0" baseItem="0"/>
    <dataField name="Sum of Month 3" fld="14" baseField="0" baseItem="0"/>
    <dataField name="Sum of Month 4" fld="15" baseField="0" baseItem="0"/>
    <dataField name="Sum of Month 5" fld="16" baseField="0" baseItem="0"/>
    <dataField name="Sum of Month 6" fld="17" baseField="0" baseItem="0"/>
    <dataField name="Sum of Month 7" fld="18" baseField="0" baseItem="0"/>
    <dataField name="Sum of Month 8" fld="19" baseField="0" baseItem="0"/>
    <dataField name="Sum of Month 9" fld="20" baseField="0" baseItem="0"/>
    <dataField name="Sum of Month 10" fld="21" baseField="0" baseItem="0"/>
    <dataField name="Sum of Month 11" fld="22" baseField="0" baseItem="0"/>
    <dataField name="Sum of Month 12" fld="23" baseField="0" baseItem="0"/>
    <dataField name="Sum of Month 13" fld="24" baseField="0" baseItem="0"/>
    <dataField name="Sum of Month 14" fld="25" baseField="0" baseItem="0"/>
    <dataField name="Sum of Month 15" fld="26" baseField="0" baseItem="0"/>
    <dataField name="Sum of Month 16" fld="27" baseField="0" baseItem="0"/>
    <dataField name="Sum of Month 17" fld="28" baseField="0" baseItem="0"/>
    <dataField name="Sum of Month 18" fld="29" baseField="0" baseItem="0"/>
    <dataField name="Sum of Month 19" fld="30" baseField="0" baseItem="0"/>
    <dataField name="Sum of Month 20" fld="31" baseField="0" baseItem="0"/>
    <dataField name="Sum of Month 21" fld="32" baseField="0" baseItem="0"/>
    <dataField name="Sum of Month 22" fld="33" baseField="0" baseItem="0"/>
    <dataField name="Sum of Month 23" fld="34" baseField="0" baseItem="0"/>
    <dataField name="Sum of Month 24" fld="35" baseField="0" baseItem="0"/>
    <dataField name="Sum of Month 25" fld="36" baseField="0" baseItem="0"/>
    <dataField name="Sum of Month 26" fld="37" baseField="0" baseItem="0"/>
    <dataField name="Sum of Month 27" fld="38" baseField="0" baseItem="0"/>
    <dataField name="Sum of Month 28" fld="39" baseField="0" baseItem="0"/>
    <dataField name="Sum of Month 29" fld="40" baseField="0" baseItem="0"/>
    <dataField name="Sum of Month 30" fld="41" baseField="0" baseItem="0"/>
    <dataField name="Sum of Month 31" fld="42" baseField="0" baseItem="0"/>
    <dataField name="Sum of Month 32" fld="43" baseField="0" baseItem="0"/>
    <dataField name="Sum of Month 33" fld="44" baseField="0" baseItem="0"/>
    <dataField name="Sum of Month 34" fld="45" baseField="0" baseItem="0"/>
    <dataField name="Sum of Month 35" fld="46" baseField="0" baseItem="0"/>
    <dataField name="Sum of Month 36" fld="47" baseField="0" baseItem="0"/>
    <dataField name="Sum of Q1" fld="64" baseField="0" baseItem="0"/>
    <dataField name="Sum of Q2" fld="65" baseField="0" baseItem="0"/>
    <dataField name="Sum of Q3" fld="66" baseField="0" baseItem="0"/>
    <dataField name="Sum of Q4" fld="67" baseField="0" baseItem="0"/>
    <dataField name="Sum of Q5" fld="68" baseField="0" baseItem="0"/>
    <dataField name="Sum of Q6" fld="69" baseField="0" baseItem="0"/>
    <dataField name="Sum of Q7" fld="70" baseField="0" baseItem="0"/>
    <dataField name="Sum of Q8" fld="71" baseField="0" baseItem="0"/>
    <dataField name="Sum of Q9" fld="72" baseField="0" baseItem="0"/>
    <dataField name="Sum of Q10" fld="73" baseField="0" baseItem="0"/>
    <dataField name="Sum of Q11" fld="74" baseField="0" baseItem="0"/>
    <dataField name="Sum of Q12" fld="75" baseField="0" baseItem="0"/>
    <dataField name="Sum of FY1" fld="76" baseField="0" baseItem="0"/>
    <dataField name="Sum of FY2" fld="77" baseField="0" baseItem="0"/>
    <dataField name="Sum of FY3" fld="7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SuperDB.accdb" backgroundRefresh="0" connectionId="3" autoFormatId="16" applyNumberFormats="0" applyBorderFormats="0" applyFontFormats="0" applyPatternFormats="0" applyAlignmentFormats="0" applyWidthHeightFormats="0">
  <queryTableRefresh nextId="31" unboundColumnsLeft="1" unboundColumnsRight="1">
    <queryTableFields count="3">
      <queryTableField id="29" dataBound="0" tableColumnId="1"/>
      <queryTableField id="28" name="bu_name" tableColumnId="28"/>
      <queryTableField id="30" dataBound="0" tableColumnId="2"/>
    </queryTableFields>
  </queryTableRefresh>
</queryTable>
</file>

<file path=xl/queryTables/queryTable2.xml><?xml version="1.0" encoding="utf-8"?>
<queryTable xmlns="http://schemas.openxmlformats.org/spreadsheetml/2006/main" name="SuperDB.accdb_24" backgroundRefresh="0" connectionId="7" autoFormatId="16" applyNumberFormats="0" applyBorderFormats="0" applyFontFormats="0" applyPatternFormats="0" applyAlignmentFormats="0" applyWidthHeightFormats="0">
  <queryTableRefresh nextId="34" unboundColumnsLeft="1" unboundColumnsRight="1">
    <queryTableFields count="3">
      <queryTableField id="32" dataBound="0" tableColumnId="1"/>
      <queryTableField id="30" name="dept_name" tableColumnId="30"/>
      <queryTableField id="33" dataBound="0" tableColumnId="2"/>
    </queryTableFields>
  </queryTableRefresh>
</queryTable>
</file>

<file path=xl/queryTables/queryTable3.xml><?xml version="1.0" encoding="utf-8"?>
<queryTable xmlns="http://schemas.openxmlformats.org/spreadsheetml/2006/main" name="SuperDB.accdb_28" backgroundRefresh="0" growShrinkType="overwriteClear" connectionId="9" autoFormatId="16" applyNumberFormats="0" applyBorderFormats="0" applyFontFormats="0" applyPatternFormats="0" applyAlignmentFormats="0" applyWidthHeightFormats="0">
  <queryTableRefresh nextId="31">
    <queryTableFields count="1">
      <queryTableField id="30" name="division_name" tableColumnId="30"/>
    </queryTableFields>
  </queryTableRefresh>
</queryTable>
</file>

<file path=xl/queryTables/queryTable4.xml><?xml version="1.0" encoding="utf-8"?>
<queryTable xmlns="http://schemas.openxmlformats.org/spreadsheetml/2006/main" name="SuperDB.accdb_30" backgroundRefresh="0" growShrinkType="overwriteClear" connectionId="10" autoFormatId="16" applyNumberFormats="0" applyBorderFormats="0" applyFontFormats="0" applyPatternFormats="0" applyAlignmentFormats="0" applyWidthHeightFormats="0">
  <queryTableRefresh nextId="33">
    <queryTableFields count="2">
      <queryTableField id="31" name="exp_item" tableColumnId="31"/>
      <queryTableField id="32" name="multi_item" tableColumnId="1"/>
    </queryTableFields>
  </queryTableRefresh>
</queryTable>
</file>

<file path=xl/queryTables/queryTable5.xml><?xml version="1.0" encoding="utf-8"?>
<queryTable xmlns="http://schemas.openxmlformats.org/spreadsheetml/2006/main" name="SuperDB.accdb_31" backgroundRefresh="0" growShrinkType="overwriteClear" connectionId="17" autoFormatId="16" applyNumberFormats="0" applyBorderFormats="0" applyFontFormats="0" applyPatternFormats="0" applyAlignmentFormats="0" applyWidthHeightFormats="0">
  <queryTableRefresh nextId="34">
    <queryTableFields count="2">
      <queryTableField id="32" name="rev_item" tableColumnId="32"/>
      <queryTableField id="33" name="hosting_rev" tableColumnId="1"/>
    </queryTableFields>
  </queryTableRefresh>
</queryTable>
</file>

<file path=xl/queryTables/queryTable6.xml><?xml version="1.0" encoding="utf-8"?>
<queryTable xmlns="http://schemas.openxmlformats.org/spreadsheetml/2006/main" name="SuperDB.accdb_33" backgroundRefresh="0" growShrinkType="overwriteClear" connectionId="5" autoFormatId="16" applyNumberFormats="0" applyBorderFormats="0" applyFontFormats="0" applyPatternFormats="0" applyAlignmentFormats="0" applyWidthHeightFormats="0">
  <queryTableRefresh nextId="37" unboundColumnsLeft="1" unboundColumnsRight="1">
    <queryTableFields count="3">
      <queryTableField id="35" dataBound="0" tableColumnId="1"/>
      <queryTableField id="34" name="company_name" tableColumnId="34"/>
      <queryTableField id="36" dataBound="0" tableColumnId="2"/>
    </queryTableFields>
  </queryTableRefresh>
</queryTable>
</file>

<file path=xl/queryTables/queryTable7.xml><?xml version="1.0" encoding="utf-8"?>
<queryTable xmlns="http://schemas.openxmlformats.org/spreadsheetml/2006/main" name="SuperDB.accdb_35" backgroundRefresh="0" growShrinkType="overwriteClear" connectionId="16" autoFormatId="16" applyNumberFormats="0" applyBorderFormats="0" applyFontFormats="0" applyPatternFormats="0" applyAlignmentFormats="0" applyWidthHeightFormats="0">
  <queryTableRefresh nextId="42" unboundColumnsLeft="1">
    <queryTableFields count="4">
      <queryTableField id="40" dataBound="0" tableColumnId="2"/>
      <queryTableField id="38" name="product_name" tableColumnId="38"/>
      <queryTableField id="41" dataBound="0" tableColumnId="3"/>
      <queryTableField id="39" name="product_type_code" tableColumnId="1"/>
    </queryTableFields>
  </queryTableRefresh>
</queryTable>
</file>

<file path=xl/queryTables/queryTable8.xml><?xml version="1.0" encoding="utf-8"?>
<queryTable xmlns="http://schemas.openxmlformats.org/spreadsheetml/2006/main" name="SuperDB.accdb_36" backgroundRefresh="0" growShrinkType="overwriteClear" connectionId="22" autoFormatId="16" applyNumberFormats="0" applyBorderFormats="0" applyFontFormats="0" applyPatternFormats="0" applyAlignmentFormats="0" applyWidthHeightFormats="0">
  <queryTableRefresh nextId="43" unboundColumnsLeft="1" unboundColumnsRight="2">
    <queryTableFields count="4">
      <queryTableField id="40" dataBound="0" tableColumnId="1"/>
      <queryTableField id="39" name="team_name" tableColumnId="39"/>
      <queryTableField id="41" dataBound="0" tableColumnId="2"/>
      <queryTableField id="42" dataBound="0" tableColumnId="3"/>
    </queryTableFields>
  </queryTableRefresh>
</queryTable>
</file>

<file path=xl/queryTables/queryTable9.xml><?xml version="1.0" encoding="utf-8"?>
<queryTable xmlns="http://schemas.openxmlformats.org/spreadsheetml/2006/main" name="SuperDB.accdb_37" backgroundRefresh="0" growShrinkType="overwriteClear" connectionId="21" autoFormatId="16" applyNumberFormats="0" applyBorderFormats="0" applyFontFormats="0" applyPatternFormats="0" applyAlignmentFormats="0" applyWidthHeightFormats="0">
  <queryTableRefresh nextId="37">
    <queryTableFields count="1">
      <queryTableField id="35" name="scenario_name" tableColumnId="35"/>
    </queryTableFields>
  </queryTableRefresh>
</queryTable>
</file>

<file path=xl/queryTables/queryTable10.xml><?xml version="1.0" encoding="utf-8"?>
<queryTable xmlns="http://schemas.openxmlformats.org/spreadsheetml/2006/main" name="SuperDB.accdb_39" backgroundRefresh="0" growShrinkType="overwriteClear" connectionId="11" autoFormatId="16" applyNumberFormats="0" applyBorderFormats="0" applyFontFormats="0" applyPatternFormats="0" applyAlignmentFormats="0" applyWidthHeightFormats="0">
  <queryTableRefresh nextId="37">
    <queryTableFields count="1">
      <queryTableField id="36" name="start_date" tableColumnId="36"/>
    </queryTableFields>
  </queryTableRefresh>
</queryTable>
</file>

<file path=xl/queryTables/queryTable11.xml><?xml version="1.0" encoding="utf-8"?>
<queryTable xmlns="http://schemas.openxmlformats.org/spreadsheetml/2006/main" name="SuperDB.accdb_40" backgroundRefresh="0" growShrinkType="overwriteClear" connectionId="8" autoFormatId="16" applyNumberFormats="0" applyBorderFormats="0" applyFontFormats="0" applyPatternFormats="0" applyAlignmentFormats="0" applyWidthHeightFormats="0">
  <queryTableRefresh nextId="43">
    <queryTableFields count="3">
      <queryTableField id="38" name="division_name" tableColumnId="2"/>
      <queryTableField id="39" name="dept_bu" tableColumnId="3"/>
      <queryTableField id="42" name="category_code" tableColumnId="1"/>
    </queryTableFields>
  </queryTableRefresh>
</queryTable>
</file>

<file path=xl/queryTables/queryTable12.xml><?xml version="1.0" encoding="utf-8"?>
<queryTable xmlns="http://schemas.openxmlformats.org/spreadsheetml/2006/main" name="SuperDB.accdb_41" backgroundRefresh="0" growShrinkType="overwriteClear" connectionId="4" autoFormatId="16" applyNumberFormats="0" applyBorderFormats="0" applyFontFormats="0" applyPatternFormats="0" applyAlignmentFormats="0" applyWidthHeightFormats="0">
  <queryTableRefresh nextId="39">
    <queryTableFields count="1">
      <queryTableField id="38" name="category_name" tableColumnId="2"/>
    </queryTableFields>
  </queryTableRefresh>
</queryTable>
</file>

<file path=xl/queryTables/queryTable13.xml><?xml version="1.0" encoding="utf-8"?>
<queryTable xmlns="http://schemas.openxmlformats.org/spreadsheetml/2006/main" name="SuperDB.accdb_42" backgroundRefresh="0" growShrinkType="overwriteClear" connectionId="6" autoFormatId="16" applyNumberFormats="0" applyBorderFormats="0" applyFontFormats="0" applyPatternFormats="0" applyAlignmentFormats="0" applyWidthHeightFormats="0">
  <queryTableRefresh nextId="38">
    <queryTableFields count="1">
      <queryTableField id="37" name="currency_code" tableColumnId="1"/>
    </queryTableFields>
  </queryTableRefresh>
</queryTable>
</file>

<file path=xl/queryTables/queryTable14.xml><?xml version="1.0" encoding="utf-8"?>
<queryTable xmlns="http://schemas.openxmlformats.org/spreadsheetml/2006/main" name="SuperDB.accdb_43" backgroundRefresh="0" growShrinkType="overwriteClear" connectionId="18" autoFormatId="16" applyNumberFormats="0" applyBorderFormats="0" applyFontFormats="0" applyPatternFormats="0" applyAlignmentFormats="0" applyWidthHeightFormats="0">
  <queryTableRefresh nextId="37">
    <queryTableFields count="1">
      <queryTableField id="35" name="scenario_name" tableColumnId="35"/>
    </queryTableFields>
  </queryTableRefresh>
</queryTable>
</file>

<file path=xl/queryTables/queryTable15.xml><?xml version="1.0" encoding="utf-8"?>
<queryTable xmlns="http://schemas.openxmlformats.org/spreadsheetml/2006/main" name="SuperDB.accdb_44" backgroundRefresh="0" growShrinkType="overwriteClear" connectionId="19" autoFormatId="16" applyNumberFormats="0" applyBorderFormats="0" applyFontFormats="0" applyPatternFormats="0" applyAlignmentFormats="0" applyWidthHeightFormats="0">
  <queryTableRefresh nextId="37">
    <queryTableFields count="1">
      <queryTableField id="35" name="scenario_name" tableColumnId="35"/>
    </queryTableFields>
  </queryTableRefresh>
</queryTable>
</file>

<file path=xl/queryTables/queryTable16.xml><?xml version="1.0" encoding="utf-8"?>
<queryTable xmlns="http://schemas.openxmlformats.org/spreadsheetml/2006/main" name="SuperDB.accdb_46" backgroundRefresh="0" connectionId="12" autoFormatId="16" applyNumberFormats="0" applyBorderFormats="0" applyFontFormats="0" applyPatternFormats="0" applyAlignmentFormats="0" applyWidthHeightFormats="0">
  <queryTableRefresh nextId="32">
    <queryTableFields count="1">
      <queryTableField id="31" name="job_title" tableColumnId="3"/>
    </queryTableFields>
  </queryTableRefresh>
</queryTable>
</file>

<file path=xl/queryTables/queryTable17.xml><?xml version="1.0" encoding="utf-8"?>
<queryTable xmlns="http://schemas.openxmlformats.org/spreadsheetml/2006/main" name="SuperDB.accdb_47" backgroundRefresh="0" growShrinkType="overwriteClear" connectionId="20" autoFormatId="16" applyNumberFormats="0" applyBorderFormats="0" applyFontFormats="0" applyPatternFormats="0" applyAlignmentFormats="0" applyWidthHeightFormats="0">
  <queryTableRefresh nextId="39">
    <queryTableFields count="2">
      <queryTableField id="37" name="scenario_name" tableColumnId="1"/>
      <queryTableField id="36" name="start_date" tableColumnId="36"/>
    </queryTableFields>
  </queryTableRefresh>
</queryTable>
</file>

<file path=xl/queryTables/queryTable18.xml><?xml version="1.0" encoding="utf-8"?>
<queryTable xmlns="http://schemas.openxmlformats.org/spreadsheetml/2006/main" name="SuperDB.accdb_48" backgroundRefresh="0" growShrinkType="overwriteClear" connectionId="1" autoFormatId="16" applyNumberFormats="0" applyBorderFormats="0" applyFontFormats="0" applyPatternFormats="0" applyAlignmentFormats="0" applyWidthHeightFormats="0">
  <queryTableRefresh nextId="38">
    <queryTableFields count="1">
      <queryTableField id="37" name="current_actuals_date" tableColumnId="1"/>
    </queryTableFields>
  </queryTableRefresh>
</queryTable>
</file>

<file path=xl/queryTables/queryTable19.xml><?xml version="1.0" encoding="utf-8"?>
<queryTable xmlns="http://schemas.openxmlformats.org/spreadsheetml/2006/main" name="SuperDB.accdb_49" backgroundRefresh="0" connectionId="14" autoFormatId="16" applyNumberFormats="0" applyBorderFormats="0" applyFontFormats="0" applyPatternFormats="0" applyAlignmentFormats="0" applyWidthHeightFormats="0">
  <queryTableRefresh nextId="32" unboundColumnsLeft="1" unboundColumnsRight="1">
    <queryTableFields count="3">
      <queryTableField id="30" dataBound="0" tableColumnId="2"/>
      <queryTableField id="29" name="location_name" tableColumnId="1"/>
      <queryTableField id="31" dataBound="0" tableColumnId="3"/>
    </queryTableFields>
  </queryTableRefresh>
</queryTable>
</file>

<file path=xl/queryTables/queryTable20.xml><?xml version="1.0" encoding="utf-8"?>
<queryTable xmlns="http://schemas.openxmlformats.org/spreadsheetml/2006/main" name="SuperDB.accdb_50" backgroundRefresh="0" connectionId="15" autoFormatId="16" applyNumberFormats="0" applyBorderFormats="0" applyFontFormats="0" applyPatternFormats="0" applyAlignmentFormats="0" applyWidthHeightFormats="0">
  <queryTableRefresh nextId="32">
    <queryTableFields count="1">
      <queryTableField id="29" name="location_name" tableColumnId="1"/>
    </queryTableFields>
  </queryTableRefresh>
</queryTable>
</file>

<file path=xl/queryTables/queryTable21.xml><?xml version="1.0" encoding="utf-8"?>
<queryTable xmlns="http://schemas.openxmlformats.org/spreadsheetml/2006/main" name="SuperDB.accdb_52" backgroundRefresh="0" growShrinkType="overwriteClear" connectionId="1" autoFormatId="16" applyNumberFormats="0" applyBorderFormats="0" applyFontFormats="0" applyPatternFormats="0" applyAlignmentFormats="0" applyWidthHeightFormats="0">
  <queryTableRefresh nextId="39" unboundColumnsRight="1">
    <queryTableFields count="2">
      <queryTableField id="37" name="current_actuals_date" tableColumnId="1"/>
      <queryTableField id="38" dataBound="0" tableColumnId="2"/>
    </queryTableFields>
  </queryTableRefresh>
</queryTable>
</file>

<file path=xl/queryTables/queryTable22.xml><?xml version="1.0" encoding="utf-8"?>
<queryTable xmlns="http://schemas.openxmlformats.org/spreadsheetml/2006/main" name="SuperDB.accdb" backgroundRefresh="0" connectionId="13" autoFormatId="16" applyNumberFormats="0" applyBorderFormats="0" applyFontFormats="0" applyPatternFormats="0" applyAlignmentFormats="0" applyWidthHeightFormats="0">
  <queryTableRefresh nextId="113">
    <queryTableFields count="48">
      <queryTableField id="1" name="Division" tableColumnId="1"/>
      <queryTableField id="2" name="Company" tableColumnId="2"/>
      <queryTableField id="3" name="Business Unit" tableColumnId="3"/>
      <queryTableField id="4" name="Department" tableColumnId="4"/>
      <queryTableField id="5" name="Team" tableColumnId="5"/>
      <queryTableField id="6" name="Product" tableColumnId="6"/>
      <queryTableField id="7" name="Location" tableColumnId="7"/>
      <queryTableField id="8" name="Expense Item" tableColumnId="8"/>
      <queryTableField id="107" name="Expense Item2" tableColumnId="47"/>
      <queryTableField id="9" name="Revenue Item" tableColumnId="9"/>
      <queryTableField id="109" name="Revenue Item2" tableColumnId="48"/>
      <queryTableField id="10" name="Local Currency" tableColumnId="10"/>
      <queryTableField id="71" name="Month 1" tableColumnId="11"/>
      <queryTableField id="72" name="Month 2" tableColumnId="12"/>
      <queryTableField id="73" name="Month 3" tableColumnId="13"/>
      <queryTableField id="74" name="Month 4" tableColumnId="14"/>
      <queryTableField id="75" name="Month 5" tableColumnId="15"/>
      <queryTableField id="76" name="Month 6" tableColumnId="16"/>
      <queryTableField id="77" name="Month 7" tableColumnId="17"/>
      <queryTableField id="78" name="Month 8" tableColumnId="18"/>
      <queryTableField id="79" name="Month 9" tableColumnId="19"/>
      <queryTableField id="80" name="Month 10" tableColumnId="20"/>
      <queryTableField id="81" name="Month 11" tableColumnId="21"/>
      <queryTableField id="82" name="Month 12" tableColumnId="22"/>
      <queryTableField id="83" name="Month 13" tableColumnId="23"/>
      <queryTableField id="84" name="Month 14" tableColumnId="24"/>
      <queryTableField id="85" name="Month 15" tableColumnId="25"/>
      <queryTableField id="86" name="Month 16" tableColumnId="26"/>
      <queryTableField id="87" name="Month 17" tableColumnId="27"/>
      <queryTableField id="88" name="Month 18" tableColumnId="28"/>
      <queryTableField id="89" name="Month 19" tableColumnId="29"/>
      <queryTableField id="90" name="Month 20" tableColumnId="30"/>
      <queryTableField id="91" name="Month 21" tableColumnId="31"/>
      <queryTableField id="92" name="Month 22" tableColumnId="32"/>
      <queryTableField id="93" name="Month 23" tableColumnId="33"/>
      <queryTableField id="94" name="Month 24" tableColumnId="34"/>
      <queryTableField id="95" name="Month 25" tableColumnId="35"/>
      <queryTableField id="96" name="Month 26" tableColumnId="36"/>
      <queryTableField id="97" name="Month 27" tableColumnId="37"/>
      <queryTableField id="98" name="Month 28" tableColumnId="38"/>
      <queryTableField id="99" name="Month 29" tableColumnId="39"/>
      <queryTableField id="100" name="Month 30" tableColumnId="40"/>
      <queryTableField id="101" name="Month 31" tableColumnId="41"/>
      <queryTableField id="102" name="Month 32" tableColumnId="42"/>
      <queryTableField id="103" name="Month 33" tableColumnId="43"/>
      <queryTableField id="104" name="Month 34" tableColumnId="44"/>
      <queryTableField id="105" name="Month 35" tableColumnId="45"/>
      <queryTableField id="106" name="Month 36" tableColumnId="4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 sourceName="Company">
  <pivotTables>
    <pivotTable tabId="7" name="PivotTableAll"/>
  </pivotTables>
  <data>
    <tabular pivotCacheId="4">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7" name="PivotTableAll"/>
  </pivotTables>
  <data>
    <tabular pivotCacheId="4">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Location" sourceName="Location">
  <pivotTables>
    <pivotTable tabId="7" name="PivotTableAll"/>
  </pivotTables>
  <data>
    <tabular pivotCacheId="4">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7" name="PivotTableAll"/>
  </pivotTables>
  <data>
    <tabular pivotCacheId="4">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eam" sourceName="Team">
  <pivotTables>
    <pivotTable tabId="7" name="PivotTableAll"/>
  </pivotTables>
  <data>
    <tabular pivotCacheId="4">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ivision" sourceName="Division">
  <pivotTables>
    <pivotTable tabId="7" name="PivotTableAll"/>
  </pivotTables>
  <data>
    <tabular pivotCacheId="4">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7" name="PivotTableAll"/>
  </pivotTables>
  <data>
    <tabular pivotCacheId="4">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Team_Consolidation" sourceName="Team Consolidation">
  <pivotTables>
    <pivotTable tabId="7" name="PivotTableAll"/>
  </pivotTables>
  <data>
    <tabular pivotCacheId="4">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Business_Unit" sourceName="Business Unit">
  <pivotTables>
    <pivotTable tabId="7" name="PivotTableAll"/>
  </pivotTables>
  <data>
    <tabular pivotCacheId="4">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Workbook" sourceName="Workbook">
  <pivotTables>
    <pivotTable tabId="7" name="PivotTableAll"/>
  </pivotTables>
  <data>
    <tabular pivotCacheId="4">
      <items count="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arent1" sourceName="Parent1">
  <pivotTables>
    <pivotTable tabId="7" name="PivotTableAll"/>
  </pivotTables>
  <data>
    <tabular pivotCacheId="4">
      <items count="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arent2" sourceName="Parent2">
  <pivotTables>
    <pivotTable tabId="7" name="PivotTableAll"/>
  </pivotTables>
  <data>
    <tabular pivotCacheId="4">
      <items count="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Parent3" sourceName="Parent3">
  <pivotTables>
    <pivotTable tabId="7" name="PivotTableAll"/>
  </pivotTables>
  <data>
    <tabular pivotCacheId="4">
      <items count="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arent4" sourceName="Parent4">
  <pivotTables>
    <pivotTable tabId="7" name="PivotTableAll"/>
  </pivotTables>
  <data>
    <tabular pivotCacheId="4">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cache="Slicer_Company" caption="Company" rowHeight="241300"/>
  <slicer name="Department" cache="Slicer_Department" caption="Department" rowHeight="241300"/>
  <slicer name="Location" cache="Slicer_Location" caption="Location" rowHeight="241300"/>
  <slicer name="Product" cache="Slicer_Product" caption="Product" rowHeight="241300"/>
  <slicer name="Team" cache="Slicer_Team" caption="Team" rowHeight="241300"/>
  <slicer name="Division" cache="Slicer_Division" caption="Division" rowHeight="241300"/>
  <slicer name="Category" cache="Slicer_Category" caption="Category" rowHeight="241300"/>
  <slicer name="Team Consolidation" cache="Slicer_Team_Consolidation" caption="Team Consolidation" rowHeight="241300"/>
  <slicer name="Business Unit" cache="Slicer_Business_Unit" caption="Business Unit" rowHeight="241300"/>
  <slicer name="Workbook" cache="Slicer_Workbook" caption="Workbook" rowHeight="241300"/>
  <slicer name="Parent1" cache="Slicer_Parent1" caption="Albatross" rowHeight="241300"/>
  <slicer name="Parent2" cache="Slicer_Parent2" caption="Pelican" rowHeight="241300"/>
  <slicer name="Parent3" cache="Slicer_Parent3" caption="Seagull" rowHeight="241300"/>
  <slicer name="Parent4" cache="Slicer_Parent4" caption="Gannet" rowHeight="241300"/>
</slicers>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id="20" name="AvgBase" displayName="AvgBase" ref="A1:AQ2" totalsRowShown="0">
  <autoFilter ref="A1:AQ2"/>
  <tableColumns count="43">
    <tableColumn id="1" name="company_name"/>
    <tableColumn id="2" name="bu_name"/>
    <tableColumn id="3" name="dept_name"/>
    <tableColumn id="4" name="team_consolidation"/>
    <tableColumn id="5" name="location_name"/>
    <tableColumn id="6" name="job_title"/>
    <tableColumn id="7" name="exp_item"/>
    <tableColumn id="8" name="Month 1"/>
    <tableColumn id="9" name="Month 2"/>
    <tableColumn id="10" name="Month 3"/>
    <tableColumn id="11" name="Month 4"/>
    <tableColumn id="12" name="Month 5"/>
    <tableColumn id="13" name="Month 6"/>
    <tableColumn id="14" name="Month 7"/>
    <tableColumn id="15" name="Month 8"/>
    <tableColumn id="16" name="Month 9"/>
    <tableColumn id="17" name="Month 10"/>
    <tableColumn id="18" name="Month 11"/>
    <tableColumn id="19" name="Month 12"/>
    <tableColumn id="20" name="Month 13"/>
    <tableColumn id="21" name="Month 14"/>
    <tableColumn id="22" name="Month 15"/>
    <tableColumn id="23" name="Month 16"/>
    <tableColumn id="24" name="Month 17"/>
    <tableColumn id="25" name="Month 18"/>
    <tableColumn id="26" name="Month 19"/>
    <tableColumn id="27" name="Month 20"/>
    <tableColumn id="28" name="Month 21"/>
    <tableColumn id="29" name="Month 22"/>
    <tableColumn id="30" name="Month 23"/>
    <tableColumn id="31" name="Month 24"/>
    <tableColumn id="32" name="Month 25"/>
    <tableColumn id="33" name="Month 26"/>
    <tableColumn id="34" name="Month 27"/>
    <tableColumn id="35" name="Month 28"/>
    <tableColumn id="36" name="Month 29"/>
    <tableColumn id="37" name="Month 30"/>
    <tableColumn id="38" name="Month 31"/>
    <tableColumn id="39" name="Month 32"/>
    <tableColumn id="40" name="Month 33"/>
    <tableColumn id="41" name="Month 34"/>
    <tableColumn id="42" name="Month 35"/>
    <tableColumn id="43" name="Month 36"/>
  </tableColumns>
  <tableStyleInfo name="TableStyleMedium2" showFirstColumn="0" showLastColumn="0" showRowStripes="1" showColumnStripes="0"/>
</table>
</file>

<file path=xl/tables/table2.xml><?xml version="1.0" encoding="utf-8"?>
<table xmlns="http://schemas.openxmlformats.org/spreadsheetml/2006/main" id="21" name="AvgBonus" displayName="AvgBonus" ref="AS1:AZ2" totalsRowShown="0">
  <autoFilter ref="AS1:AZ2"/>
  <tableColumns count="8">
    <tableColumn id="1" name="company_name"/>
    <tableColumn id="2" name="bu_name"/>
    <tableColumn id="3" name="dept_name"/>
    <tableColumn id="4" name="team_consolidation"/>
    <tableColumn id="5" name="location_name"/>
    <tableColumn id="6" name="job_title"/>
    <tableColumn id="7" name="exp_item"/>
    <tableColumn id="8" name="avg_bonus"/>
  </tableColumns>
  <tableStyleInfo name="TableStyleMedium2" showFirstColumn="0" showLastColumn="0" showRowStripes="1" showColumnStripes="0"/>
</table>
</file>

<file path=xl/tables/table3.xml><?xml version="1.0" encoding="utf-8"?>
<table xmlns="http://schemas.openxmlformats.org/spreadsheetml/2006/main" id="22" name="BonusPayout" displayName="BonusPayout" ref="BB1:CK2" totalsRowShown="0">
  <autoFilter ref="BB1:CK2"/>
  <tableColumns count="36">
    <tableColumn id="1" name="Month 1"/>
    <tableColumn id="2" name="Month 2"/>
    <tableColumn id="3" name="Month 3"/>
    <tableColumn id="4" name="Month 4"/>
    <tableColumn id="5" name="Month 5"/>
    <tableColumn id="6" name="Month 6"/>
    <tableColumn id="7" name="Month 7"/>
    <tableColumn id="8" name="Month 8"/>
    <tableColumn id="9" name="Month 9"/>
    <tableColumn id="10" name="Month 10"/>
    <tableColumn id="11" name="Month 11"/>
    <tableColumn id="12" name="Month 12"/>
    <tableColumn id="13" name="Month 13"/>
    <tableColumn id="14" name="Month 14"/>
    <tableColumn id="15" name="Month 15"/>
    <tableColumn id="16" name="Month 16"/>
    <tableColumn id="17" name="Month 17"/>
    <tableColumn id="18" name="Month 18"/>
    <tableColumn id="19" name="Month 19"/>
    <tableColumn id="20" name="Month 20"/>
    <tableColumn id="21" name="Month 21"/>
    <tableColumn id="22" name="Month 22"/>
    <tableColumn id="23" name="Month 23"/>
    <tableColumn id="24" name="Month 24"/>
    <tableColumn id="25" name="Month 25"/>
    <tableColumn id="26" name="Month 26"/>
    <tableColumn id="27" name="Month 27"/>
    <tableColumn id="28" name="Month 28"/>
    <tableColumn id="29" name="Month 29"/>
    <tableColumn id="30" name="Month 30"/>
    <tableColumn id="31" name="Month 31"/>
    <tableColumn id="32" name="Month 32"/>
    <tableColumn id="33" name="Month 33"/>
    <tableColumn id="34" name="Month 34"/>
    <tableColumn id="35" name="Month 35"/>
    <tableColumn id="36" name="Month 36"/>
  </tableColumns>
  <tableStyleInfo name="TableStyleMedium2" showFirstColumn="0" showLastColumn="0" showRowStripes="1" showColumnStripes="0"/>
</table>
</file>

<file path=xl/tables/table4.xml><?xml version="1.0" encoding="utf-8"?>
<table xmlns="http://schemas.openxmlformats.org/spreadsheetml/2006/main" id="23" name="AvgCommission" displayName="AvgCommission" ref="CM1:CT2" totalsRowShown="0">
  <autoFilter ref="CM1:CT2"/>
  <tableColumns count="8">
    <tableColumn id="1" name="company_name"/>
    <tableColumn id="2" name="bu_name"/>
    <tableColumn id="3" name="dept_name"/>
    <tableColumn id="4" name="team_consolidation"/>
    <tableColumn id="5" name="location_name"/>
    <tableColumn id="6" name="job_title"/>
    <tableColumn id="7" name="exp_item"/>
    <tableColumn id="8" name="avg_commission"/>
  </tableColumns>
  <tableStyleInfo name="TableStyleMedium2" showFirstColumn="0" showLastColumn="0" showRowStripes="1" showColumnStripes="0"/>
</table>
</file>

<file path=xl/tables/table5.xml><?xml version="1.0" encoding="utf-8"?>
<table xmlns="http://schemas.openxmlformats.org/spreadsheetml/2006/main" id="24" name="ExpensePayrollTaxes" displayName="ExpensePayrollTaxes" ref="CV1:EH2" totalsRowShown="0">
  <autoFilter ref="CV1:EH2"/>
  <tableColumns count="39">
    <tableColumn id="1" name="company_name"/>
    <tableColumn id="2" name="exp_match"/>
    <tableColumn id="3" name="exp_item"/>
    <tableColumn id="4" name="Month 1"/>
    <tableColumn id="5" name="Month 2"/>
    <tableColumn id="6" name="Month 3"/>
    <tableColumn id="7" name="Month 4"/>
    <tableColumn id="8" name="Month 5"/>
    <tableColumn id="9" name="Month 6"/>
    <tableColumn id="10" name="Month 7"/>
    <tableColumn id="11" name="Month 8"/>
    <tableColumn id="12" name="Month 9"/>
    <tableColumn id="13" name="Month 10"/>
    <tableColumn id="14" name="Month 11"/>
    <tableColumn id="15" name="Month 12"/>
    <tableColumn id="16" name="Month 13"/>
    <tableColumn id="17" name="Month 14"/>
    <tableColumn id="18" name="Month 15"/>
    <tableColumn id="19" name="Month 16"/>
    <tableColumn id="20" name="Month 17"/>
    <tableColumn id="21" name="Month 18"/>
    <tableColumn id="22" name="Month 19"/>
    <tableColumn id="23" name="Month 20"/>
    <tableColumn id="24" name="Month 21"/>
    <tableColumn id="25" name="Month 22"/>
    <tableColumn id="26" name="Month 23"/>
    <tableColumn id="27" name="Month 24"/>
    <tableColumn id="28" name="Month 25"/>
    <tableColumn id="29" name="Month 26"/>
    <tableColumn id="30" name="Month 27"/>
    <tableColumn id="31" name="Month 28"/>
    <tableColumn id="32" name="Month 29"/>
    <tableColumn id="33" name="Month 30"/>
    <tableColumn id="34" name="Month 31"/>
    <tableColumn id="35" name="Month 32"/>
    <tableColumn id="36" name="Month 33"/>
    <tableColumn id="37" name="Month 34"/>
    <tableColumn id="38" name="Month 35"/>
    <tableColumn id="39" name="Month 36"/>
  </tableColumns>
  <tableStyleInfo name="TableStyleMedium2" showFirstColumn="0" showLastColumn="0" showRowStripes="1" showColumnStripes="0"/>
</table>
</file>

<file path=xl/tables/table6.xml><?xml version="1.0" encoding="utf-8"?>
<table xmlns="http://schemas.openxmlformats.org/spreadsheetml/2006/main" id="25" name="PerHeadcount" displayName="PerHeadcount" ref="EJ1:FU2" totalsRowShown="0">
  <autoFilter ref="EJ1:FU2"/>
  <tableColumns count="38">
    <tableColumn id="1" name="company_name"/>
    <tableColumn id="2" name="exp_item"/>
    <tableColumn id="3" name="Month 1"/>
    <tableColumn id="4" name="Month 2"/>
    <tableColumn id="5" name="Month 3"/>
    <tableColumn id="6" name="Month 4"/>
    <tableColumn id="7" name="Month 5"/>
    <tableColumn id="8" name="Month 6"/>
    <tableColumn id="9" name="Month 7"/>
    <tableColumn id="10" name="Month 8"/>
    <tableColumn id="11" name="Month 9"/>
    <tableColumn id="12" name="Month 10"/>
    <tableColumn id="13" name="Month 11"/>
    <tableColumn id="14" name="Month 12"/>
    <tableColumn id="15" name="Month 13"/>
    <tableColumn id="16" name="Month 14"/>
    <tableColumn id="17" name="Month 15"/>
    <tableColumn id="18" name="Month 16"/>
    <tableColumn id="19" name="Month 17"/>
    <tableColumn id="20" name="Month 18"/>
    <tableColumn id="21" name="Month 19"/>
    <tableColumn id="22" name="Month 20"/>
    <tableColumn id="23" name="Month 21"/>
    <tableColumn id="24" name="Month 22"/>
    <tableColumn id="25" name="Month 23"/>
    <tableColumn id="26" name="Month 24"/>
    <tableColumn id="27" name="Month 25"/>
    <tableColumn id="28" name="Month 26"/>
    <tableColumn id="29" name="Month 27"/>
    <tableColumn id="30" name="Month 28"/>
    <tableColumn id="31" name="Month 29"/>
    <tableColumn id="32" name="Month 30"/>
    <tableColumn id="33" name="Month 31"/>
    <tableColumn id="34" name="Month 32"/>
    <tableColumn id="35" name="Month 33"/>
    <tableColumn id="36" name="Month 34"/>
    <tableColumn id="37" name="Month 35"/>
    <tableColumn id="38" name="Month 36"/>
  </tableColumns>
  <tableStyleInfo name="TableStyleMedium2" showFirstColumn="0" showLastColumn="0" showRowStripes="1" showColumnStripes="0"/>
</table>
</file>

<file path=xl/tables/table7.xml><?xml version="1.0" encoding="utf-8"?>
<table xmlns="http://schemas.openxmlformats.org/spreadsheetml/2006/main" id="28" name="PerBase" displayName="PerBase" ref="FW1:HH2" totalsRowShown="0">
  <autoFilter ref="FW1:HH2"/>
  <tableColumns count="38">
    <tableColumn id="1" name="company_name"/>
    <tableColumn id="2" name="exp_item"/>
    <tableColumn id="3" name="Month 1"/>
    <tableColumn id="4" name="Month 2"/>
    <tableColumn id="5" name="Month 3"/>
    <tableColumn id="6" name="Month 4"/>
    <tableColumn id="7" name="Month 5"/>
    <tableColumn id="8" name="Month 6"/>
    <tableColumn id="9" name="Month 7"/>
    <tableColumn id="10" name="Month 8"/>
    <tableColumn id="11" name="Month 9"/>
    <tableColumn id="12" name="Month 10"/>
    <tableColumn id="13" name="Month 11"/>
    <tableColumn id="14" name="Month 12"/>
    <tableColumn id="15" name="Month 13"/>
    <tableColumn id="16" name="Month 14"/>
    <tableColumn id="17" name="Month 15"/>
    <tableColumn id="18" name="Month 16"/>
    <tableColumn id="19" name="Month 17"/>
    <tableColumn id="20" name="Month 18"/>
    <tableColumn id="21" name="Month 19"/>
    <tableColumn id="22" name="Month 20"/>
    <tableColumn id="23" name="Month 21"/>
    <tableColumn id="24" name="Month 22"/>
    <tableColumn id="25" name="Month 23"/>
    <tableColumn id="26" name="Month 24"/>
    <tableColumn id="27" name="Month 25"/>
    <tableColumn id="28" name="Month 26"/>
    <tableColumn id="29" name="Month 27"/>
    <tableColumn id="30" name="Month 28"/>
    <tableColumn id="31" name="Month 29"/>
    <tableColumn id="32" name="Month 30"/>
    <tableColumn id="33" name="Month 31"/>
    <tableColumn id="34" name="Month 32"/>
    <tableColumn id="35" name="Month 33"/>
    <tableColumn id="36" name="Month 34"/>
    <tableColumn id="37" name="Month 35"/>
    <tableColumn id="38" name="Month 36"/>
  </tableColumns>
  <tableStyleInfo name="TableStyleMedium2" showFirstColumn="0" showLastColumn="0" showRowStripes="1" showColumnStripes="0"/>
</table>
</file>

<file path=xl/tables/table8.xml><?xml version="1.0" encoding="utf-8"?>
<table xmlns="http://schemas.openxmlformats.org/spreadsheetml/2006/main" id="29" name="SalaryPayrollTaxes" displayName="SalaryPayrollTaxes" ref="HJ1:IV2" totalsRowShown="0">
  <autoFilter ref="HJ1:IV2"/>
  <tableColumns count="39">
    <tableColumn id="1" name="company_name"/>
    <tableColumn id="2" name="bu_name"/>
    <tableColumn id="3" name="exp_item"/>
    <tableColumn id="4" name="Month 1"/>
    <tableColumn id="5" name="Month 2"/>
    <tableColumn id="6" name="Month 3"/>
    <tableColumn id="7" name="Month 4"/>
    <tableColumn id="8" name="Month 5"/>
    <tableColumn id="9" name="Month 6"/>
    <tableColumn id="10" name="Month 7"/>
    <tableColumn id="11" name="Month 8"/>
    <tableColumn id="12" name="Month 9"/>
    <tableColumn id="13" name="Month 10"/>
    <tableColumn id="14" name="Month 11"/>
    <tableColumn id="15" name="Month 12"/>
    <tableColumn id="16" name="Month 13"/>
    <tableColumn id="17" name="Month 14"/>
    <tableColumn id="18" name="Month 15"/>
    <tableColumn id="19" name="Month 16"/>
    <tableColumn id="20" name="Month 17"/>
    <tableColumn id="21" name="Month 18"/>
    <tableColumn id="22" name="Month 19"/>
    <tableColumn id="23" name="Month 20"/>
    <tableColumn id="24" name="Month 21"/>
    <tableColumn id="25" name="Month 22"/>
    <tableColumn id="26" name="Month 23"/>
    <tableColumn id="27" name="Month 24"/>
    <tableColumn id="28" name="Month 25"/>
    <tableColumn id="29" name="Month 26"/>
    <tableColumn id="30" name="Month 27"/>
    <tableColumn id="31" name="Month 28"/>
    <tableColumn id="32" name="Month 29"/>
    <tableColumn id="33" name="Month 30"/>
    <tableColumn id="34" name="Month 31"/>
    <tableColumn id="35" name="Month 32"/>
    <tableColumn id="36" name="Month 33"/>
    <tableColumn id="37" name="Month 34"/>
    <tableColumn id="38" name="Month 35"/>
    <tableColumn id="39" name="Month 36"/>
  </tableColumns>
  <tableStyleInfo name="TableStyleMedium2" showFirstColumn="0" showLastColumn="0" showRowStripes="1" showColumnStripes="0"/>
</table>
</file>

<file path=xl/tables/table9.xml><?xml version="1.0" encoding="utf-8"?>
<table xmlns="http://schemas.openxmlformats.org/spreadsheetml/2006/main" id="30" name="StockComp" displayName="StockComp" ref="IX1:KM2" totalsRowShown="0">
  <autoFilter ref="IX1:KM2"/>
  <tableColumns count="42">
    <tableColumn id="1" name="company_name"/>
    <tableColumn id="2" name="bu_name"/>
    <tableColumn id="3" name="dept_name"/>
    <tableColumn id="4" name="team_name"/>
    <tableColumn id="5" name="location_name"/>
    <tableColumn id="6" name="exp_item"/>
    <tableColumn id="7" name="Month 1"/>
    <tableColumn id="8" name="Month 2"/>
    <tableColumn id="9" name="Month 3"/>
    <tableColumn id="10" name="Month 4"/>
    <tableColumn id="11" name="Month 5"/>
    <tableColumn id="12" name="Month 6"/>
    <tableColumn id="13" name="Month 7"/>
    <tableColumn id="14" name="Month 8"/>
    <tableColumn id="15" name="Month 9"/>
    <tableColumn id="16" name="Month 10"/>
    <tableColumn id="17" name="Month 11"/>
    <tableColumn id="18" name="Month 12"/>
    <tableColumn id="19" name="Month 13"/>
    <tableColumn id="20" name="Month 14"/>
    <tableColumn id="21" name="Month 15"/>
    <tableColumn id="22" name="Month 16"/>
    <tableColumn id="23" name="Month 17"/>
    <tableColumn id="24" name="Month 18"/>
    <tableColumn id="25" name="Month 19"/>
    <tableColumn id="26" name="Month 20"/>
    <tableColumn id="27" name="Month 21"/>
    <tableColumn id="28" name="Month 22"/>
    <tableColumn id="29" name="Month 23"/>
    <tableColumn id="30" name="Month 24"/>
    <tableColumn id="31" name="Month 25"/>
    <tableColumn id="32" name="Month 26"/>
    <tableColumn id="33" name="Month 27"/>
    <tableColumn id="34" name="Month 28"/>
    <tableColumn id="35" name="Month 29"/>
    <tableColumn id="36" name="Month 30"/>
    <tableColumn id="37" name="Month 31"/>
    <tableColumn id="38" name="Month 32"/>
    <tableColumn id="39" name="Month 33"/>
    <tableColumn id="40" name="Month 34"/>
    <tableColumn id="41" name="Month 35"/>
    <tableColumn id="42" name="Month 36"/>
  </tableColumns>
  <tableStyleInfo name="TableStyleMedium2" showFirstColumn="0" showLastColumn="0" showRowStripes="1" showColumnStripes="0"/>
</table>
</file>

<file path=xl/tables/table10.xml><?xml version="1.0" encoding="utf-8"?>
<table xmlns="http://schemas.openxmlformats.org/spreadsheetml/2006/main" id="26" name="BusinessUnits" displayName="BusinessUnits" ref="H1:J9" tableType="queryTable" totalsRowShown="0">
  <autoFilter ref="H1:J9"/>
  <tableColumns count="3">
    <tableColumn id="1" uniqueName="1" name="bu_number" queryTableFieldId="29"/>
    <tableColumn id="28" uniqueName="28" name="bu_name" queryTableFieldId="28"/>
    <tableColumn id="2" uniqueName="2" name="us_intl" queryTableFieldId="30"/>
  </tableColumns>
  <tableStyleInfo name="TableStyleMedium2" showFirstColumn="0" showLastColumn="0" showRowStripes="1" showColumnStripes="0"/>
</table>
</file>

<file path=xl/tables/table11.xml><?xml version="1.0" encoding="utf-8"?>
<table xmlns="http://schemas.openxmlformats.org/spreadsheetml/2006/main" id="27" name="Departments" displayName="Departments" ref="L1:N207" tableType="queryTable" totalsRowShown="0">
  <autoFilter ref="L1:N207"/>
  <tableColumns count="3">
    <tableColumn id="1" uniqueName="1" name="dept_number" queryTableFieldId="32"/>
    <tableColumn id="30" uniqueName="30" name="dept_name" queryTableFieldId="30"/>
    <tableColumn id="2" uniqueName="2" name="us_intl" queryTableFieldId="33"/>
  </tableColumns>
  <tableStyleInfo name="TableStyleMedium2" showFirstColumn="0" showLastColumn="0" showRowStripes="1" showColumnStripes="0"/>
</table>
</file>

<file path=xl/tables/table12.xml><?xml version="1.0" encoding="utf-8"?>
<table xmlns="http://schemas.openxmlformats.org/spreadsheetml/2006/main" id="31" name="Divisions" displayName="Divisions" ref="AJ1:AJ30" tableType="queryTable" totalsRowShown="0">
  <tableColumns count="1">
    <tableColumn id="30" uniqueName="30" name="division_name" queryTableFieldId="30"/>
  </tableColumns>
  <tableStyleInfo name="TableStyleMedium2" showFirstColumn="0" showLastColumn="0" showRowStripes="1" showColumnStripes="0"/>
</table>
</file>

<file path=xl/tables/table13.xml><?xml version="1.0" encoding="utf-8"?>
<table xmlns="http://schemas.openxmlformats.org/spreadsheetml/2006/main" id="33" name="ExpItems" displayName="ExpItems" ref="BD1:BE41" tableType="queryTable" totalsRowShown="0">
  <tableColumns count="2">
    <tableColumn id="31" uniqueName="31" name="exp_item" queryTableFieldId="31"/>
    <tableColumn id="1" uniqueName="1" name="multi_item" queryTableFieldId="32"/>
  </tableColumns>
  <tableStyleInfo name="TableStyleMedium2" showFirstColumn="0" showLastColumn="0" showRowStripes="1" showColumnStripes="0"/>
</table>
</file>

<file path=xl/tables/table14.xml><?xml version="1.0" encoding="utf-8"?>
<table xmlns="http://schemas.openxmlformats.org/spreadsheetml/2006/main" id="34" name="RevItems" displayName="RevItems" ref="AL1:AM10" tableType="queryTable" totalsRowShown="0">
  <tableColumns count="2">
    <tableColumn id="32" uniqueName="32" name="rev_item" queryTableFieldId="32"/>
    <tableColumn id="1" uniqueName="1" name="hosting_rev" queryTableFieldId="33"/>
  </tableColumns>
  <tableStyleInfo name="TableStyleMedium2" showFirstColumn="0" showLastColumn="0" showRowStripes="1" showColumnStripes="0"/>
</table>
</file>

<file path=xl/tables/table15.xml><?xml version="1.0" encoding="utf-8"?>
<table xmlns="http://schemas.openxmlformats.org/spreadsheetml/2006/main" id="36" name="Companies" displayName="Companies" ref="D1:F39" tableType="queryTable" totalsRowShown="0">
  <autoFilter ref="D1:F39"/>
  <tableColumns count="3">
    <tableColumn id="1" uniqueName="1" name="company_number" queryTableFieldId="35"/>
    <tableColumn id="34" uniqueName="34" name="company_name" queryTableFieldId="34"/>
    <tableColumn id="2" uniqueName="2" name="us_intl" queryTableFieldId="36"/>
  </tableColumns>
  <tableStyleInfo name="TableStyleMedium2" showFirstColumn="0" showLastColumn="0" showRowStripes="1" showColumnStripes="0"/>
</table>
</file>

<file path=xl/tables/table16.xml><?xml version="1.0" encoding="utf-8"?>
<table xmlns="http://schemas.openxmlformats.org/spreadsheetml/2006/main" id="38" name="Products" displayName="Products" ref="AA1:AD65" tableType="queryTable" totalsRowShown="0">
  <tableColumns count="4">
    <tableColumn id="2" uniqueName="2" name="hfm_product_code" queryTableFieldId="40"/>
    <tableColumn id="38" uniqueName="38" name="product_name" queryTableFieldId="38"/>
    <tableColumn id="3" uniqueName="3" name="product_consolidation" queryTableFieldId="41"/>
    <tableColumn id="1" uniqueName="1" name="product_type_code" queryTableFieldId="39"/>
  </tableColumns>
  <tableStyleInfo name="TableStyleMedium2" showFirstColumn="0" showLastColumn="0" showRowStripes="1" showColumnStripes="0"/>
</table>
</file>

<file path=xl/tables/table17.xml><?xml version="1.0" encoding="utf-8"?>
<table xmlns="http://schemas.openxmlformats.org/spreadsheetml/2006/main" id="39" name="Teams" displayName="Teams" ref="P1:S252" tableType="queryTable" totalsRowShown="0">
  <tableColumns count="4">
    <tableColumn id="1" uniqueName="1" name="hfm_team_code" queryTableFieldId="40"/>
    <tableColumn id="39" uniqueName="39" name="team_name" queryTableFieldId="39"/>
    <tableColumn id="2" uniqueName="2" name="team_consolidation" queryTableFieldId="41"/>
    <tableColumn id="3" uniqueName="3" name="us_intl" queryTableFieldId="42"/>
  </tableColumns>
  <tableStyleInfo name="TableStyleMedium2" showFirstColumn="0" showLastColumn="0" showRowStripes="1" showColumnStripes="0"/>
</table>
</file>

<file path=xl/tables/table18.xml><?xml version="1.0" encoding="utf-8"?>
<table xmlns="http://schemas.openxmlformats.org/spreadsheetml/2006/main" id="40" name="ScenariosProForma" displayName="ScenariosProForma" ref="AR1:AR4" tableType="queryTable" totalsRowShown="0">
  <tableColumns count="1">
    <tableColumn id="35" uniqueName="35" name="scenario_name" queryTableFieldId="35"/>
  </tableColumns>
  <tableStyleInfo name="TableStyleMedium2" showFirstColumn="0" showLastColumn="0" showRowStripes="1" showColumnStripes="0"/>
</table>
</file>

<file path=xl/tables/table19.xml><?xml version="1.0" encoding="utf-8"?>
<table xmlns="http://schemas.openxmlformats.org/spreadsheetml/2006/main" id="42" name="ForecastStartDate" displayName="ForecastStartDate" ref="AT1:AT2" tableType="queryTable" totalsRowShown="0">
  <tableColumns count="1">
    <tableColumn id="36" uniqueName="36" name="start_date" queryTableFieldId="36" dataDxfId="6"/>
  </tableColumns>
  <tableStyleInfo name="TableStyleMedium2" showFirstColumn="0" showLastColumn="0" showRowStripes="1" showColumnStripes="0"/>
</table>
</file>

<file path=xl/tables/table20.xml><?xml version="1.0" encoding="utf-8"?>
<table xmlns="http://schemas.openxmlformats.org/spreadsheetml/2006/main" id="1" name="DivisionMapping" displayName="DivisionMapping" ref="AZ1:BB362" tableType="queryTable" totalsRowShown="0">
  <tableColumns count="3">
    <tableColumn id="2" uniqueName="2" name="dept_bu" queryTableFieldId="38"/>
    <tableColumn id="3" uniqueName="3" name="division_name" queryTableFieldId="39"/>
    <tableColumn id="1" uniqueName="1" name="category_code" queryTableFieldId="42"/>
  </tableColumns>
  <tableStyleInfo name="TableStyleMedium2" showFirstColumn="0" showLastColumn="0" showRowStripes="1" showColumnStripes="0"/>
</table>
</file>

<file path=xl/tables/table21.xml><?xml version="1.0" encoding="utf-8"?>
<table xmlns="http://schemas.openxmlformats.org/spreadsheetml/2006/main" id="10" name="Categories" displayName="Categories" ref="AV1:AV2" tableType="queryTable" totalsRowShown="0">
  <tableColumns count="1">
    <tableColumn id="2" uniqueName="2" name="category_name" queryTableFieldId="38"/>
  </tableColumns>
  <tableStyleInfo name="TableStyleMedium2" showFirstColumn="0" showLastColumn="0" showRowStripes="1" showColumnStripes="0"/>
</table>
</file>

<file path=xl/tables/table22.xml><?xml version="1.0" encoding="utf-8"?>
<table xmlns="http://schemas.openxmlformats.org/spreadsheetml/2006/main" id="2" name="Currencies" displayName="Currencies" ref="AX1:AX9" tableType="queryTable" totalsRowShown="0">
  <tableColumns count="1">
    <tableColumn id="1" uniqueName="1" name="currency_code" queryTableFieldId="37"/>
  </tableColumns>
  <tableStyleInfo name="TableStyleMedium2" showFirstColumn="0" showLastColumn="0" showRowStripes="1" showColumnStripes="0"/>
</table>
</file>

<file path=xl/tables/table23.xml><?xml version="1.0" encoding="utf-8"?>
<table xmlns="http://schemas.openxmlformats.org/spreadsheetml/2006/main" id="4" name="RevenueScenarios" displayName="RevenueScenarios" ref="BG1:BG5" tableType="queryTable" totalsRowShown="0">
  <tableColumns count="1">
    <tableColumn id="35" uniqueName="35" name="scenario_name" queryTableFieldId="35"/>
  </tableColumns>
  <tableStyleInfo name="TableStyleMedium2" showFirstColumn="0" showLastColumn="0" showRowStripes="1" showColumnStripes="0"/>
</table>
</file>

<file path=xl/tables/table24.xml><?xml version="1.0" encoding="utf-8"?>
<table xmlns="http://schemas.openxmlformats.org/spreadsheetml/2006/main" id="8" name="RevenueScenariosLocal" displayName="RevenueScenariosLocal" ref="BI1:BI6" tableType="queryTable" totalsRowShown="0">
  <tableColumns count="1">
    <tableColumn id="35" uniqueName="35" name="scenario_name" queryTableFieldId="35"/>
  </tableColumns>
  <tableStyleInfo name="TableStyleMedium2" showFirstColumn="0" showLastColumn="0" showRowStripes="1" showColumnStripes="0"/>
</table>
</file>

<file path=xl/tables/table25.xml><?xml version="1.0" encoding="utf-8"?>
<table xmlns="http://schemas.openxmlformats.org/spreadsheetml/2006/main" id="13" name="JobTitles" displayName="JobTitles" ref="AH1:AH1804" tableType="queryTable" totalsRowShown="0">
  <tableColumns count="1">
    <tableColumn id="3" uniqueName="3" name="job_title" queryTableFieldId="31"/>
  </tableColumns>
  <tableStyleInfo name="TableStyleMedium2" showFirstColumn="0" showLastColumn="0" showRowStripes="1" showColumnStripes="0"/>
</table>
</file>

<file path=xl/tables/table26.xml><?xml version="1.0" encoding="utf-8"?>
<table xmlns="http://schemas.openxmlformats.org/spreadsheetml/2006/main" id="12" name="Scenarios" displayName="Scenarios" ref="AO1:AP3" tableType="queryTable" totalsRowShown="0">
  <tableColumns count="2">
    <tableColumn id="1" uniqueName="1" name="scenario_name" queryTableFieldId="37" dataDxfId="5"/>
    <tableColumn id="36" uniqueName="36" name="start_date" queryTableFieldId="36" dataDxfId="4"/>
  </tableColumns>
  <tableStyleInfo name="TableStyleMedium2" showFirstColumn="0" showLastColumn="0" showRowStripes="1" showColumnStripes="0"/>
</table>
</file>

<file path=xl/tables/table27.xml><?xml version="1.0" encoding="utf-8"?>
<table xmlns="http://schemas.openxmlformats.org/spreadsheetml/2006/main" id="14" name="ActualStartDate" displayName="ActualStartDate" ref="BN1:BN2" tableType="queryTable" totalsRowShown="0">
  <tableColumns count="1">
    <tableColumn id="1" uniqueName="1" name="current_actuals_date" queryTableFieldId="37" dataDxfId="3"/>
  </tableColumns>
  <tableStyleInfo name="TableStyleMedium2" showFirstColumn="0" showLastColumn="0" showRowStripes="1" showColumnStripes="0"/>
</table>
</file>

<file path=xl/tables/table28.xml><?xml version="1.0" encoding="utf-8"?>
<table xmlns="http://schemas.openxmlformats.org/spreadsheetml/2006/main" id="15" name="Locations" displayName="Locations" ref="W1:Y42" tableType="queryTable" totalsRowShown="0">
  <autoFilter ref="W1:Y42"/>
  <tableColumns count="3">
    <tableColumn id="2" uniqueName="2" name="location_number" queryTableFieldId="30"/>
    <tableColumn id="1" uniqueName="1" name="location_name" queryTableFieldId="29"/>
    <tableColumn id="3" uniqueName="3" name="us_intl" queryTableFieldId="31"/>
  </tableColumns>
  <tableStyleInfo name="TableStyleMedium2" showFirstColumn="0" showLastColumn="0" showRowStripes="1" showColumnStripes="0"/>
</table>
</file>

<file path=xl/tables/table29.xml><?xml version="1.0" encoding="utf-8"?>
<table xmlns="http://schemas.openxmlformats.org/spreadsheetml/2006/main" id="16" name="TeamConsolidations" displayName="TeamConsolidations" ref="U1:U145" tableType="queryTable" totalsRowShown="0">
  <autoFilter ref="U1:U145"/>
  <tableColumns count="1">
    <tableColumn id="1" uniqueName="1" name="team_consolidation" queryTableFieldId="29"/>
  </tableColumns>
  <tableStyleInfo name="TableStyleMedium2" showFirstColumn="0" showLastColumn="0" showRowStripes="1" showColumnStripes="0"/>
</table>
</file>

<file path=xl/tables/table30.xml><?xml version="1.0" encoding="utf-8"?>
<table xmlns="http://schemas.openxmlformats.org/spreadsheetml/2006/main" id="17" name="ProductConsolidations" displayName="ProductConsolidations" ref="AF1:AF64" totalsRowShown="0">
  <tableColumns count="1">
    <tableColumn id="3" name="product_consolidation"/>
  </tableColumns>
  <tableStyleInfo name="TableStyleMedium2" showFirstColumn="0" showLastColumn="0" showRowStripes="1" showColumnStripes="0"/>
</table>
</file>

<file path=xl/tables/table31.xml><?xml version="1.0" encoding="utf-8"?>
<table xmlns="http://schemas.openxmlformats.org/spreadsheetml/2006/main" id="3" name="Workbooks" displayName="Workbooks" ref="BK1:BL80" tableType="queryTable" totalsRowShown="0" dataDxfId="2">
  <tableColumns count="2">
    <tableColumn id="1" uniqueName="1" name="workbook_name" queryTableFieldId="37" dataDxfId="1"/>
    <tableColumn id="2" uniqueName="2" name="workbook_id" queryTableFieldId="38" dataDxfId="0"/>
  </tableColumns>
  <tableStyleInfo name="TableStyleMedium2" showFirstColumn="0" showLastColumn="0" showRowStripes="1" showColumnStripes="0"/>
</table>
</file>

<file path=xl/tables/table32.xml><?xml version="1.0" encoding="utf-8"?>
<table xmlns="http://schemas.openxmlformats.org/spreadsheetml/2006/main" id="6" name="GLAccounts" displayName="GLAccounts" ref="BP1:BQ276" totalsRowShown="0">
  <autoFilter ref="BP1:BQ276"/>
  <tableColumns count="2">
    <tableColumn id="1" name="gl_account_number"/>
    <tableColumn id="2" name="gl_account_name"/>
  </tableColumns>
  <tableStyleInfo name="TableStyleMedium2" showFirstColumn="0" showLastColumn="0" showRowStripes="1" showColumnStripes="0"/>
</table>
</file>

<file path=xl/tables/table33.xml><?xml version="1.0" encoding="utf-8"?>
<table xmlns="http://schemas.openxmlformats.org/spreadsheetml/2006/main" id="44" name="ActualsTable" displayName="ActualsTable" ref="A1:AV2" tableType="queryTable" totalsRowShown="0">
  <autoFilter ref="A1:AV2"/>
  <tableColumns count="48">
    <tableColumn id="1" uniqueName="1" name="Division" queryTableFieldId="1"/>
    <tableColumn id="2" uniqueName="2" name="Company" queryTableFieldId="2"/>
    <tableColumn id="3" uniqueName="3" name="Business Unit" queryTableFieldId="3"/>
    <tableColumn id="4" uniqueName="4" name="Department" queryTableFieldId="4"/>
    <tableColumn id="5" uniqueName="5" name="Team" queryTableFieldId="5"/>
    <tableColumn id="6" uniqueName="6" name="Product" queryTableFieldId="6"/>
    <tableColumn id="7" uniqueName="7" name="Location" queryTableFieldId="7"/>
    <tableColumn id="8" uniqueName="8" name="Expense Item" queryTableFieldId="8"/>
    <tableColumn id="47" uniqueName="47" name="Expense Item2" queryTableFieldId="107"/>
    <tableColumn id="9" uniqueName="9" name="Revenue Item" queryTableFieldId="9"/>
    <tableColumn id="48" uniqueName="48" name="Revenue Item2" queryTableFieldId="109"/>
    <tableColumn id="10" uniqueName="10" name="Local Currency" queryTableFieldId="10"/>
    <tableColumn id="11" uniqueName="11" name="Month 1" queryTableFieldId="71"/>
    <tableColumn id="12" uniqueName="12" name="Month 2" queryTableFieldId="72"/>
    <tableColumn id="13" uniqueName="13" name="Month 3" queryTableFieldId="73"/>
    <tableColumn id="14" uniqueName="14" name="Month 4" queryTableFieldId="74"/>
    <tableColumn id="15" uniqueName="15" name="Month 5" queryTableFieldId="75"/>
    <tableColumn id="16" uniqueName="16" name="Month 6" queryTableFieldId="76"/>
    <tableColumn id="17" uniqueName="17" name="Month 7" queryTableFieldId="77"/>
    <tableColumn id="18" uniqueName="18" name="Month 8" queryTableFieldId="78"/>
    <tableColumn id="19" uniqueName="19" name="Month 9" queryTableFieldId="79"/>
    <tableColumn id="20" uniqueName="20" name="Month 10" queryTableFieldId="80"/>
    <tableColumn id="21" uniqueName="21" name="Month 11" queryTableFieldId="81"/>
    <tableColumn id="22" uniqueName="22" name="Month 12" queryTableFieldId="82"/>
    <tableColumn id="23" uniqueName="23" name="Month 13" queryTableFieldId="83"/>
    <tableColumn id="24" uniqueName="24" name="Month 14" queryTableFieldId="84"/>
    <tableColumn id="25" uniqueName="25" name="Month 15" queryTableFieldId="85"/>
    <tableColumn id="26" uniqueName="26" name="Month 16" queryTableFieldId="86"/>
    <tableColumn id="27" uniqueName="27" name="Month 17" queryTableFieldId="87"/>
    <tableColumn id="28" uniqueName="28" name="Month 18" queryTableFieldId="88"/>
    <tableColumn id="29" uniqueName="29" name="Month 19" queryTableFieldId="89"/>
    <tableColumn id="30" uniqueName="30" name="Month 20" queryTableFieldId="90"/>
    <tableColumn id="31" uniqueName="31" name="Month 21" queryTableFieldId="91"/>
    <tableColumn id="32" uniqueName="32" name="Month 22" queryTableFieldId="92"/>
    <tableColumn id="33" uniqueName="33" name="Month 23" queryTableFieldId="93"/>
    <tableColumn id="34" uniqueName="34" name="Month 24" queryTableFieldId="94"/>
    <tableColumn id="35" uniqueName="35" name="Month 25" queryTableFieldId="95"/>
    <tableColumn id="36" uniqueName="36" name="Month 26" queryTableFieldId="96"/>
    <tableColumn id="37" uniqueName="37" name="Month 27" queryTableFieldId="97"/>
    <tableColumn id="38" uniqueName="38" name="Month 28" queryTableFieldId="98"/>
    <tableColumn id="39" uniqueName="39" name="Month 29" queryTableFieldId="99"/>
    <tableColumn id="40" uniqueName="40" name="Month 30" queryTableFieldId="100"/>
    <tableColumn id="41" uniqueName="41" name="Month 31" queryTableFieldId="101"/>
    <tableColumn id="42" uniqueName="42" name="Month 32" queryTableFieldId="102"/>
    <tableColumn id="43" uniqueName="43" name="Month 33" queryTableFieldId="103"/>
    <tableColumn id="44" uniqueName="44" name="Month 34" queryTableFieldId="104"/>
    <tableColumn id="45" uniqueName="45" name="Month 35" queryTableFieldId="105"/>
    <tableColumn id="46" uniqueName="46" name="Month 36" queryTableFieldId="10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6.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18" Type="http://schemas.openxmlformats.org/officeDocument/2006/relationships/table" Target="../tables/table27.xml"/><Relationship Id="rId3" Type="http://schemas.openxmlformats.org/officeDocument/2006/relationships/table" Target="../tables/table12.xml"/><Relationship Id="rId21" Type="http://schemas.openxmlformats.org/officeDocument/2006/relationships/table" Target="../tables/table30.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table" Target="../tables/table11.xml"/><Relationship Id="rId16" Type="http://schemas.openxmlformats.org/officeDocument/2006/relationships/table" Target="../tables/table25.xml"/><Relationship Id="rId20" Type="http://schemas.openxmlformats.org/officeDocument/2006/relationships/table" Target="../tables/table29.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10" Type="http://schemas.openxmlformats.org/officeDocument/2006/relationships/table" Target="../tables/table19.xml"/><Relationship Id="rId19" Type="http://schemas.openxmlformats.org/officeDocument/2006/relationships/table" Target="../tables/table28.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USIntl">
    <tabColor rgb="FFC00000"/>
  </sheetPr>
  <dimension ref="A1:A2"/>
  <sheetViews>
    <sheetView showGridLines="0" tabSelected="1" workbookViewId="0">
      <selection activeCell="A2" sqref="A2"/>
    </sheetView>
  </sheetViews>
  <sheetFormatPr defaultColWidth="0" defaultRowHeight="14.5" zeroHeight="1" x14ac:dyDescent="0.35"/>
  <cols>
    <col min="1" max="1" width="45.7265625" customWidth="1"/>
    <col min="2" max="16384" width="9.1796875" hidden="1"/>
  </cols>
  <sheetData>
    <row r="1" spans="1:1" x14ac:dyDescent="0.35">
      <c r="A1" s="637" t="s">
        <v>1810</v>
      </c>
    </row>
    <row r="2" spans="1:1" x14ac:dyDescent="0.35">
      <c r="A2" s="638"/>
    </row>
  </sheetData>
  <sheetProtection sheet="1" objects="1" scenarios="1"/>
  <dataValidations count="1">
    <dataValidation type="list" allowBlank="1" showInputMessage="1" showErrorMessage="1" sqref="A2">
      <formula1>"US,INTL,Both (output only)"</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Create">
    <tabColor rgb="FF92D050"/>
  </sheetPr>
  <dimension ref="A1:G1"/>
  <sheetViews>
    <sheetView showGridLines="0" workbookViewId="0"/>
  </sheetViews>
  <sheetFormatPr defaultRowHeight="14.5" x14ac:dyDescent="0.35"/>
  <cols>
    <col min="1" max="6" width="18.7265625" customWidth="1"/>
  </cols>
  <sheetData>
    <row r="1" spans="1:7" x14ac:dyDescent="0.35">
      <c r="A1" s="259" t="s">
        <v>1303</v>
      </c>
      <c r="B1" s="259" t="s">
        <v>1304</v>
      </c>
      <c r="C1" s="259" t="s">
        <v>1305</v>
      </c>
      <c r="D1" s="259" t="s">
        <v>1306</v>
      </c>
      <c r="E1" s="259" t="s">
        <v>1307</v>
      </c>
      <c r="F1" s="259" t="s">
        <v>1308</v>
      </c>
      <c r="G1" s="253" t="s">
        <v>1318</v>
      </c>
    </row>
  </sheetData>
  <sheetProtection algorithmName="SHA-512" hashValue="iHvbkKRzlW6sjYHQpVR6pAzalBRHqn7Zjk5lIJEpurDbZRTWrhAdRigpTrYvw08oMPxrAqRu/3fjv2XIs6E84Q==" saltValue="guASFBdWhpr1x0w7qchyrA==" spinCount="100000" sheet="1" objects="1" scenarios="1"/>
  <pageMargins left="0.7" right="0.7" top="0.75" bottom="0.75" header="0.3" footer="0.3"/>
  <pageSetup orientation="portrait" r:id="rId1"/>
  <drawing r:id="rId2"/>
  <legacyDrawing r:id="rId3"/>
  <controls>
    <mc:AlternateContent xmlns:mc="http://schemas.openxmlformats.org/markup-compatibility/2006">
      <mc:Choice Requires="x14">
        <control shapeId="52231" r:id="rId4" name="CreateOutputButton">
          <controlPr defaultSize="0" autoLine="0" r:id="rId5">
            <anchor moveWithCells="1">
              <from>
                <xdr:col>6</xdr:col>
                <xdr:colOff>133350</xdr:colOff>
                <xdr:row>6</xdr:row>
                <xdr:rowOff>57150</xdr:rowOff>
              </from>
              <to>
                <xdr:col>8</xdr:col>
                <xdr:colOff>285750</xdr:colOff>
                <xdr:row>8</xdr:row>
                <xdr:rowOff>31750</xdr:rowOff>
              </to>
            </anchor>
          </controlPr>
        </control>
      </mc:Choice>
      <mc:Fallback>
        <control shapeId="52231" r:id="rId4" name="CreateOutputButton"/>
      </mc:Fallback>
    </mc:AlternateContent>
    <mc:AlternateContent xmlns:mc="http://schemas.openxmlformats.org/markup-compatibility/2006">
      <mc:Choice Requires="x14">
        <control shapeId="52228" r:id="rId6" name="RefreshButton">
          <controlPr defaultSize="0" autoLine="0" r:id="rId7">
            <anchor moveWithCells="1">
              <from>
                <xdr:col>6</xdr:col>
                <xdr:colOff>133350</xdr:colOff>
                <xdr:row>2</xdr:row>
                <xdr:rowOff>76200</xdr:rowOff>
              </from>
              <to>
                <xdr:col>8</xdr:col>
                <xdr:colOff>285750</xdr:colOff>
                <xdr:row>4</xdr:row>
                <xdr:rowOff>50800</xdr:rowOff>
              </to>
            </anchor>
          </controlPr>
        </control>
      </mc:Choice>
      <mc:Fallback>
        <control shapeId="52228" r:id="rId6" name="RefreshButton"/>
      </mc:Fallback>
    </mc:AlternateContent>
    <mc:AlternateContent xmlns:mc="http://schemas.openxmlformats.org/markup-compatibility/2006">
      <mc:Choice Requires="x14">
        <control shapeId="52229" r:id="rId8" name="CreateButton">
          <controlPr defaultSize="0" autoLine="0" r:id="rId9">
            <anchor moveWithCells="1">
              <from>
                <xdr:col>6</xdr:col>
                <xdr:colOff>133350</xdr:colOff>
                <xdr:row>4</xdr:row>
                <xdr:rowOff>69850</xdr:rowOff>
              </from>
              <to>
                <xdr:col>8</xdr:col>
                <xdr:colOff>285750</xdr:colOff>
                <xdr:row>6</xdr:row>
                <xdr:rowOff>44450</xdr:rowOff>
              </to>
            </anchor>
          </controlPr>
        </control>
      </mc:Choice>
      <mc:Fallback>
        <control shapeId="52229" r:id="rId8" name="CreateButton"/>
      </mc:Fallback>
    </mc:AlternateContent>
    <mc:AlternateContent xmlns:mc="http://schemas.openxmlformats.org/markup-compatibility/2006">
      <mc:Choice Requires="x14">
        <control shapeId="52230" r:id="rId10" name="UpdateButton">
          <controlPr defaultSize="0" disabled="1" autoLine="0" r:id="rId11">
            <anchor moveWithCells="1">
              <from>
                <xdr:col>6</xdr:col>
                <xdr:colOff>133350</xdr:colOff>
                <xdr:row>10</xdr:row>
                <xdr:rowOff>31750</xdr:rowOff>
              </from>
              <to>
                <xdr:col>8</xdr:col>
                <xdr:colOff>285750</xdr:colOff>
                <xdr:row>12</xdr:row>
                <xdr:rowOff>6350</xdr:rowOff>
              </to>
            </anchor>
          </controlPr>
        </control>
      </mc:Choice>
      <mc:Fallback>
        <control shapeId="52230" r:id="rId10" name="UpdateButton"/>
      </mc:Fallback>
    </mc:AlternateContent>
    <mc:AlternateContent xmlns:mc="http://schemas.openxmlformats.org/markup-compatibility/2006">
      <mc:Choice Requires="x14">
        <control shapeId="52232" r:id="rId12" name="FromBackupButton">
          <controlPr defaultSize="0" autoLine="0" r:id="rId13">
            <anchor moveWithCells="1">
              <from>
                <xdr:col>6</xdr:col>
                <xdr:colOff>133350</xdr:colOff>
                <xdr:row>8</xdr:row>
                <xdr:rowOff>38100</xdr:rowOff>
              </from>
              <to>
                <xdr:col>8</xdr:col>
                <xdr:colOff>285750</xdr:colOff>
                <xdr:row>10</xdr:row>
                <xdr:rowOff>12700</xdr:rowOff>
              </to>
            </anchor>
          </controlPr>
        </control>
      </mc:Choice>
      <mc:Fallback>
        <control shapeId="52232" r:id="rId12" name="FromBackup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Slicers">
    <tabColor theme="4" tint="-0.249977111117893"/>
  </sheetPr>
  <dimension ref="A1"/>
  <sheetViews>
    <sheetView showGridLines="0" workbookViewId="0"/>
  </sheetViews>
  <sheetFormatPr defaultColWidth="9.1796875" defaultRowHeight="14.5" x14ac:dyDescent="0.35"/>
  <cols>
    <col min="1" max="16384" width="9.1796875" style="1"/>
  </cols>
  <sheetData/>
  <sheetProtection algorithmName="SHA-512" hashValue="7gztaxguiKrW//03h0HvuxParaJO9ZU9v5/5nSIhU+aOyfGetT+fuQoHd/8JkyWyz1YkfeF/gKrt+RT5T886/Q==" saltValue="NS1HLvpD+ARoJqvxlIhpjg=="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CollapsedPL">
    <tabColor theme="4" tint="-0.249977111117893"/>
    <pageSetUpPr fitToPage="1"/>
  </sheetPr>
  <dimension ref="B1:BC99"/>
  <sheetViews>
    <sheetView showGridLines="0" zoomScale="85" zoomScaleNormal="85" workbookViewId="0">
      <pane xSplit="2" ySplit="13" topLeftCell="C14" activePane="bottomRight" state="frozen"/>
      <selection activeCell="C14" sqref="C14"/>
      <selection pane="topRight" activeCell="C14" sqref="C14"/>
      <selection pane="bottomLeft" activeCell="C14" sqref="C14"/>
      <selection pane="bottomRight" activeCell="C14" sqref="C14"/>
    </sheetView>
  </sheetViews>
  <sheetFormatPr defaultColWidth="9.1796875" defaultRowHeight="14.5" outlineLevelRow="1" x14ac:dyDescent="0.35"/>
  <cols>
    <col min="1" max="1" width="2.7265625" style="1" customWidth="1"/>
    <col min="2" max="2" width="40.7265625" style="2" customWidth="1"/>
    <col min="3" max="3" width="14.54296875" style="2" customWidth="1"/>
    <col min="4" max="8" width="14.54296875" style="2" customWidth="1" collapsed="1"/>
    <col min="9" max="9" width="14.54296875" style="2" customWidth="1"/>
    <col min="10" max="10" width="14.54296875" style="2" customWidth="1" collapsed="1"/>
    <col min="11" max="11" width="14.54296875" style="2" customWidth="1"/>
    <col min="12" max="25" width="14.54296875" style="2" customWidth="1" collapsed="1"/>
    <col min="26" max="37" width="14.54296875" style="2" customWidth="1"/>
    <col min="38" max="38" width="14.54296875" style="2" customWidth="1" collapsed="1"/>
    <col min="39" max="39" width="3.7265625" style="1" customWidth="1"/>
    <col min="40" max="46" width="14.54296875" style="2" customWidth="1" collapsed="1"/>
    <col min="47" max="50" width="14.54296875" style="2" customWidth="1"/>
    <col min="51" max="51" width="14.54296875" style="2" customWidth="1" collapsed="1"/>
    <col min="52" max="52" width="3.7265625" style="1" customWidth="1"/>
    <col min="53" max="53" width="14.54296875" style="2" customWidth="1" collapsed="1"/>
    <col min="54" max="54" width="14.54296875" style="2" customWidth="1"/>
    <col min="55" max="55" width="14.54296875" style="2" customWidth="1" collapsed="1"/>
    <col min="56" max="16384" width="9.1796875" style="1"/>
  </cols>
  <sheetData>
    <row r="1" spans="2:55" hidden="1" outlineLevel="1" x14ac:dyDescent="0.35">
      <c r="B1" s="3" t="str">
        <f>'Detailed P&amp;L'!B1</f>
        <v>Company - (All)</v>
      </c>
    </row>
    <row r="2" spans="2:55" hidden="1" outlineLevel="1" x14ac:dyDescent="0.35">
      <c r="B2" s="3" t="str">
        <f>'Detailed P&amp;L'!B2</f>
        <v>Team - (All)</v>
      </c>
    </row>
    <row r="3" spans="2:55" hidden="1" outlineLevel="1" x14ac:dyDescent="0.35">
      <c r="B3" s="3" t="str">
        <f>'Detailed P&amp;L'!B3</f>
        <v>Location - (All)</v>
      </c>
    </row>
    <row r="4" spans="2:55" hidden="1" outlineLevel="1" x14ac:dyDescent="0.35">
      <c r="B4" s="3" t="str">
        <f>'Detailed P&amp;L'!B4</f>
        <v>Department - (All)</v>
      </c>
    </row>
    <row r="5" spans="2:55" hidden="1" outlineLevel="1" x14ac:dyDescent="0.35">
      <c r="B5" s="3" t="str">
        <f>'Detailed P&amp;L'!B5</f>
        <v>Division - (All)</v>
      </c>
    </row>
    <row r="6" spans="2:55" hidden="1" outlineLevel="1" x14ac:dyDescent="0.35">
      <c r="B6" s="3" t="str">
        <f>'Detailed P&amp;L'!B6</f>
        <v>Product - (All)</v>
      </c>
    </row>
    <row r="7" spans="2:55" ht="15" collapsed="1" thickBot="1" x14ac:dyDescent="0.4">
      <c r="B7" s="4"/>
    </row>
    <row r="8" spans="2:55" ht="22.5" x14ac:dyDescent="0.85">
      <c r="B8" s="5" t="str">
        <f>FileGroupName&amp;" - Collapsed P&amp;L"</f>
        <v>Default - Collapsed P&amp;L</v>
      </c>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279"/>
      <c r="AN8" s="280"/>
      <c r="AO8" s="6"/>
      <c r="AP8" s="6"/>
      <c r="AQ8" s="6"/>
      <c r="AR8" s="6"/>
      <c r="AS8" s="6"/>
      <c r="AT8" s="6"/>
      <c r="AU8" s="6"/>
      <c r="AV8" s="6"/>
      <c r="AW8" s="6"/>
      <c r="AX8" s="6"/>
      <c r="AY8" s="279"/>
      <c r="BA8" s="280"/>
      <c r="BB8" s="6"/>
      <c r="BC8" s="279"/>
    </row>
    <row r="9" spans="2:55" ht="17" hidden="1" outlineLevel="1" x14ac:dyDescent="0.6">
      <c r="B9" s="7"/>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188"/>
      <c r="AN9" s="187"/>
      <c r="AO9" s="8"/>
      <c r="AP9" s="8"/>
      <c r="AQ9" s="8"/>
      <c r="AR9" s="8"/>
      <c r="AS9" s="8"/>
      <c r="AT9" s="8"/>
      <c r="AU9" s="8"/>
      <c r="AV9" s="8"/>
      <c r="AW9" s="8"/>
      <c r="AX9" s="8"/>
      <c r="AY9" s="188"/>
      <c r="BA9" s="217"/>
      <c r="BB9" s="8"/>
      <c r="BC9" s="188"/>
    </row>
    <row r="10" spans="2:55" ht="17" collapsed="1" x14ac:dyDescent="0.6">
      <c r="B10" s="9"/>
      <c r="C10" s="8">
        <f>'Detailed P&amp;L'!C10</f>
        <v>41275</v>
      </c>
      <c r="D10" s="8">
        <f>'Detailed P&amp;L'!D10</f>
        <v>41306</v>
      </c>
      <c r="E10" s="8">
        <f>'Detailed P&amp;L'!E10</f>
        <v>41334</v>
      </c>
      <c r="F10" s="8">
        <f>'Detailed P&amp;L'!F10</f>
        <v>41365</v>
      </c>
      <c r="G10" s="8">
        <f>'Detailed P&amp;L'!G10</f>
        <v>41395</v>
      </c>
      <c r="H10" s="8">
        <f>'Detailed P&amp;L'!H10</f>
        <v>41426</v>
      </c>
      <c r="I10" s="8">
        <f>'Detailed P&amp;L'!I10</f>
        <v>41456</v>
      </c>
      <c r="J10" s="8">
        <f>'Detailed P&amp;L'!J10</f>
        <v>41487</v>
      </c>
      <c r="K10" s="8">
        <f>'Detailed P&amp;L'!K10</f>
        <v>41518</v>
      </c>
      <c r="L10" s="8">
        <f>'Detailed P&amp;L'!L10</f>
        <v>41548</v>
      </c>
      <c r="M10" s="8">
        <f>'Detailed P&amp;L'!M10</f>
        <v>41579</v>
      </c>
      <c r="N10" s="8">
        <f>'Detailed P&amp;L'!N10</f>
        <v>41609</v>
      </c>
      <c r="O10" s="8">
        <f>'Detailed P&amp;L'!O10</f>
        <v>41640</v>
      </c>
      <c r="P10" s="8">
        <f>'Detailed P&amp;L'!P10</f>
        <v>41671</v>
      </c>
      <c r="Q10" s="8">
        <f>'Detailed P&amp;L'!Q10</f>
        <v>41699</v>
      </c>
      <c r="R10" s="8">
        <f>'Detailed P&amp;L'!R10</f>
        <v>41730</v>
      </c>
      <c r="S10" s="8">
        <f>'Detailed P&amp;L'!S10</f>
        <v>41760</v>
      </c>
      <c r="T10" s="8">
        <f>'Detailed P&amp;L'!T10</f>
        <v>41791</v>
      </c>
      <c r="U10" s="8">
        <f>'Detailed P&amp;L'!U10</f>
        <v>41821</v>
      </c>
      <c r="V10" s="8">
        <f>'Detailed P&amp;L'!V10</f>
        <v>41852</v>
      </c>
      <c r="W10" s="8">
        <f>'Detailed P&amp;L'!W10</f>
        <v>41883</v>
      </c>
      <c r="X10" s="8">
        <f>'Detailed P&amp;L'!X10</f>
        <v>41913</v>
      </c>
      <c r="Y10" s="8">
        <f>'Detailed P&amp;L'!Y10</f>
        <v>41944</v>
      </c>
      <c r="Z10" s="8">
        <f>'Detailed P&amp;L'!Z10</f>
        <v>41974</v>
      </c>
      <c r="AA10" s="8">
        <f>'Detailed P&amp;L'!AA10</f>
        <v>42005</v>
      </c>
      <c r="AB10" s="8">
        <f>'Detailed P&amp;L'!AB10</f>
        <v>42036</v>
      </c>
      <c r="AC10" s="8">
        <f>'Detailed P&amp;L'!AC10</f>
        <v>42064</v>
      </c>
      <c r="AD10" s="8">
        <f>'Detailed P&amp;L'!AD10</f>
        <v>42095</v>
      </c>
      <c r="AE10" s="8">
        <f>'Detailed P&amp;L'!AE10</f>
        <v>42125</v>
      </c>
      <c r="AF10" s="8">
        <f>'Detailed P&amp;L'!AF10</f>
        <v>42156</v>
      </c>
      <c r="AG10" s="8">
        <f>'Detailed P&amp;L'!AG10</f>
        <v>42186</v>
      </c>
      <c r="AH10" s="8">
        <f>'Detailed P&amp;L'!AH10</f>
        <v>42217</v>
      </c>
      <c r="AI10" s="8">
        <f>'Detailed P&amp;L'!AI10</f>
        <v>42248</v>
      </c>
      <c r="AJ10" s="8">
        <f>'Detailed P&amp;L'!AJ10</f>
        <v>42278</v>
      </c>
      <c r="AK10" s="8">
        <f>'Detailed P&amp;L'!AK10</f>
        <v>42309</v>
      </c>
      <c r="AL10" s="188">
        <f>'Detailed P&amp;L'!AL10</f>
        <v>42339</v>
      </c>
      <c r="AN10" s="217" t="str">
        <f>'Detailed P&amp;L'!AN10</f>
        <v>Q1 2013</v>
      </c>
      <c r="AO10" s="8" t="str">
        <f>'Detailed P&amp;L'!AO10</f>
        <v>Q2 2013</v>
      </c>
      <c r="AP10" s="8" t="str">
        <f>'Detailed P&amp;L'!AP10</f>
        <v>Q3 2013</v>
      </c>
      <c r="AQ10" s="8" t="str">
        <f>'Detailed P&amp;L'!AQ10</f>
        <v>Q4 2013</v>
      </c>
      <c r="AR10" s="8" t="str">
        <f>'Detailed P&amp;L'!AR10</f>
        <v>Q1 2014</v>
      </c>
      <c r="AS10" s="8" t="str">
        <f>'Detailed P&amp;L'!AS10</f>
        <v>Q2 2014</v>
      </c>
      <c r="AT10" s="8" t="str">
        <f>'Detailed P&amp;L'!AT10</f>
        <v>Q3 2014</v>
      </c>
      <c r="AU10" s="8" t="str">
        <f>'Detailed P&amp;L'!AU10</f>
        <v>Q4 2014</v>
      </c>
      <c r="AV10" s="8" t="str">
        <f>'Detailed P&amp;L'!AV10</f>
        <v>Q1 2015</v>
      </c>
      <c r="AW10" s="8" t="str">
        <f>'Detailed P&amp;L'!AW10</f>
        <v>Q2 2015</v>
      </c>
      <c r="AX10" s="8" t="str">
        <f>'Detailed P&amp;L'!AX10</f>
        <v>Q3 2015</v>
      </c>
      <c r="AY10" s="188" t="str">
        <f>'Detailed P&amp;L'!AY10</f>
        <v>Q4 2015</v>
      </c>
      <c r="BA10" s="217" t="str">
        <f>'Detailed P&amp;L'!BA10</f>
        <v>FY 2013</v>
      </c>
      <c r="BB10" s="8" t="str">
        <f>'Detailed P&amp;L'!BB10</f>
        <v>FY 2014</v>
      </c>
      <c r="BC10" s="188" t="str">
        <f>'Detailed P&amp;L'!BC10</f>
        <v>FY 2015</v>
      </c>
    </row>
    <row r="11" spans="2:55" x14ac:dyDescent="0.35">
      <c r="B11" s="337" t="str">
        <f>'Detailed P&amp;L'!B11</f>
        <v>Default</v>
      </c>
      <c r="C11" s="582" t="str">
        <f>'Detailed P&amp;L'!C11</f>
        <v>Live Revenue</v>
      </c>
      <c r="D11" s="582" t="str">
        <f>'Detailed P&amp;L'!D11</f>
        <v>Live Revenue</v>
      </c>
      <c r="E11" s="582" t="str">
        <f>'Detailed P&amp;L'!E11</f>
        <v>Live Revenue</v>
      </c>
      <c r="F11" s="582" t="str">
        <f>'Detailed P&amp;L'!F11</f>
        <v>Live Revenue</v>
      </c>
      <c r="G11" s="582" t="str">
        <f>'Detailed P&amp;L'!G11</f>
        <v>Live Revenue</v>
      </c>
      <c r="H11" s="582" t="str">
        <f>'Detailed P&amp;L'!H11</f>
        <v>Live Revenue</v>
      </c>
      <c r="I11" s="582" t="str">
        <f>'Detailed P&amp;L'!I11</f>
        <v>Live Revenue</v>
      </c>
      <c r="J11" s="582" t="str">
        <f>'Detailed P&amp;L'!J11</f>
        <v>Live Revenue</v>
      </c>
      <c r="K11" s="582" t="str">
        <f>'Detailed P&amp;L'!K11</f>
        <v>Live Revenue</v>
      </c>
      <c r="L11" s="582" t="str">
        <f>'Detailed P&amp;L'!L11</f>
        <v>Live Revenue</v>
      </c>
      <c r="M11" s="582" t="str">
        <f>'Detailed P&amp;L'!M11</f>
        <v>Live Revenue</v>
      </c>
      <c r="N11" s="582" t="str">
        <f>'Detailed P&amp;L'!N11</f>
        <v>Live Revenue</v>
      </c>
      <c r="O11" s="582" t="str">
        <f>'Detailed P&amp;L'!O11</f>
        <v>Live Revenue</v>
      </c>
      <c r="P11" s="582" t="str">
        <f>'Detailed P&amp;L'!P11</f>
        <v>Live Revenue</v>
      </c>
      <c r="Q11" s="582" t="str">
        <f>'Detailed P&amp;L'!Q11</f>
        <v>Live Revenue</v>
      </c>
      <c r="R11" s="582" t="str">
        <f>'Detailed P&amp;L'!R11</f>
        <v>Live Revenue</v>
      </c>
      <c r="S11" s="582" t="str">
        <f>'Detailed P&amp;L'!S11</f>
        <v>Live Revenue</v>
      </c>
      <c r="T11" s="582" t="str">
        <f>'Detailed P&amp;L'!T11</f>
        <v>Live Revenue</v>
      </c>
      <c r="U11" s="582" t="str">
        <f>'Detailed P&amp;L'!U11</f>
        <v>Live Revenue</v>
      </c>
      <c r="V11" s="582" t="str">
        <f>'Detailed P&amp;L'!V11</f>
        <v>Live Revenue</v>
      </c>
      <c r="W11" s="582" t="str">
        <f>'Detailed P&amp;L'!W11</f>
        <v>Live Revenue</v>
      </c>
      <c r="X11" s="582" t="str">
        <f>'Detailed P&amp;L'!X11</f>
        <v>Live Revenue</v>
      </c>
      <c r="Y11" s="582" t="str">
        <f>'Detailed P&amp;L'!Y11</f>
        <v>Live Revenue</v>
      </c>
      <c r="Z11" s="582" t="str">
        <f>'Detailed P&amp;L'!Z11</f>
        <v>Live Revenue</v>
      </c>
      <c r="AA11" s="582" t="str">
        <f>'Detailed P&amp;L'!AA11</f>
        <v>Live Revenue</v>
      </c>
      <c r="AB11" s="582" t="str">
        <f>'Detailed P&amp;L'!AB11</f>
        <v>Live Revenue</v>
      </c>
      <c r="AC11" s="582" t="str">
        <f>'Detailed P&amp;L'!AC11</f>
        <v>Live Revenue</v>
      </c>
      <c r="AD11" s="582" t="str">
        <f>'Detailed P&amp;L'!AD11</f>
        <v>Live Revenue</v>
      </c>
      <c r="AE11" s="582" t="str">
        <f>'Detailed P&amp;L'!AE11</f>
        <v>Live Revenue</v>
      </c>
      <c r="AF11" s="582" t="str">
        <f>'Detailed P&amp;L'!AF11</f>
        <v>Live Revenue</v>
      </c>
      <c r="AG11" s="582" t="str">
        <f>'Detailed P&amp;L'!AG11</f>
        <v>Live Revenue</v>
      </c>
      <c r="AH11" s="582" t="str">
        <f>'Detailed P&amp;L'!AH11</f>
        <v>Live Revenue</v>
      </c>
      <c r="AI11" s="582" t="str">
        <f>'Detailed P&amp;L'!AI11</f>
        <v>Live Revenue</v>
      </c>
      <c r="AJ11" s="582" t="str">
        <f>'Detailed P&amp;L'!AJ11</f>
        <v>Live Revenue</v>
      </c>
      <c r="AK11" s="582" t="str">
        <f>'Detailed P&amp;L'!AK11</f>
        <v>Live Revenue</v>
      </c>
      <c r="AL11" s="583" t="str">
        <f>'Detailed P&amp;L'!AL11</f>
        <v>Live Revenue</v>
      </c>
      <c r="AM11" s="584"/>
      <c r="AN11" s="585" t="str">
        <f>'Detailed P&amp;L'!AN11</f>
        <v>Live Revenue</v>
      </c>
      <c r="AO11" s="582" t="str">
        <f>'Detailed P&amp;L'!AO11</f>
        <v>Live Revenue</v>
      </c>
      <c r="AP11" s="582" t="str">
        <f>'Detailed P&amp;L'!AP11</f>
        <v>Live Revenue</v>
      </c>
      <c r="AQ11" s="582" t="str">
        <f>'Detailed P&amp;L'!AQ11</f>
        <v>Live Revenue</v>
      </c>
      <c r="AR11" s="582" t="str">
        <f>'Detailed P&amp;L'!AR11</f>
        <v>Live Revenue</v>
      </c>
      <c r="AS11" s="582" t="str">
        <f>'Detailed P&amp;L'!AS11</f>
        <v>Live Revenue</v>
      </c>
      <c r="AT11" s="582" t="str">
        <f>'Detailed P&amp;L'!AT11</f>
        <v>Live Revenue</v>
      </c>
      <c r="AU11" s="582" t="str">
        <f>'Detailed P&amp;L'!AU11</f>
        <v>Live Revenue</v>
      </c>
      <c r="AV11" s="582" t="str">
        <f>'Detailed P&amp;L'!AV11</f>
        <v>Live Revenue</v>
      </c>
      <c r="AW11" s="582" t="str">
        <f>'Detailed P&amp;L'!AW11</f>
        <v>Live Revenue</v>
      </c>
      <c r="AX11" s="582" t="str">
        <f>'Detailed P&amp;L'!AX11</f>
        <v>Live Revenue</v>
      </c>
      <c r="AY11" s="583" t="str">
        <f>'Detailed P&amp;L'!AY11</f>
        <v>Live Revenue</v>
      </c>
      <c r="AZ11" s="584"/>
      <c r="BA11" s="585" t="str">
        <f>'Detailed P&amp;L'!BA11</f>
        <v>Live Revenue</v>
      </c>
      <c r="BB11" s="582" t="str">
        <f>'Detailed P&amp;L'!BB11</f>
        <v>Live Revenue</v>
      </c>
      <c r="BC11" s="583" t="str">
        <f>'Detailed P&amp;L'!BC11</f>
        <v>Live Revenue</v>
      </c>
    </row>
    <row r="12" spans="2:55" ht="17" x14ac:dyDescent="0.6">
      <c r="B12" s="9"/>
      <c r="C12" s="10" t="str">
        <f>'Detailed P&amp;L'!C12</f>
        <v>Forecast</v>
      </c>
      <c r="D12" s="10" t="str">
        <f>'Detailed P&amp;L'!D12</f>
        <v>Forecast</v>
      </c>
      <c r="E12" s="10" t="str">
        <f>'Detailed P&amp;L'!E12</f>
        <v>Forecast</v>
      </c>
      <c r="F12" s="10" t="str">
        <f>'Detailed P&amp;L'!F12</f>
        <v>Forecast</v>
      </c>
      <c r="G12" s="10" t="str">
        <f>'Detailed P&amp;L'!G12</f>
        <v>Forecast</v>
      </c>
      <c r="H12" s="10" t="str">
        <f>'Detailed P&amp;L'!H12</f>
        <v>Forecast</v>
      </c>
      <c r="I12" s="10" t="str">
        <f>'Detailed P&amp;L'!I12</f>
        <v>Forecast</v>
      </c>
      <c r="J12" s="10" t="str">
        <f>'Detailed P&amp;L'!J12</f>
        <v>Forecast</v>
      </c>
      <c r="K12" s="10" t="str">
        <f>'Detailed P&amp;L'!K12</f>
        <v>Forecast</v>
      </c>
      <c r="L12" s="10" t="str">
        <f>'Detailed P&amp;L'!L12</f>
        <v>Forecast</v>
      </c>
      <c r="M12" s="10" t="str">
        <f>'Detailed P&amp;L'!M12</f>
        <v>Forecast</v>
      </c>
      <c r="N12" s="10" t="str">
        <f>'Detailed P&amp;L'!N12</f>
        <v>Forecast</v>
      </c>
      <c r="O12" s="10" t="str">
        <f>'Detailed P&amp;L'!O12</f>
        <v>Forecast</v>
      </c>
      <c r="P12" s="10" t="str">
        <f>'Detailed P&amp;L'!P12</f>
        <v>Forecast</v>
      </c>
      <c r="Q12" s="10" t="str">
        <f>'Detailed P&amp;L'!Q12</f>
        <v>Forecast</v>
      </c>
      <c r="R12" s="10" t="str">
        <f>'Detailed P&amp;L'!R12</f>
        <v>Forecast</v>
      </c>
      <c r="S12" s="10" t="str">
        <f>'Detailed P&amp;L'!S12</f>
        <v>Forecast</v>
      </c>
      <c r="T12" s="10" t="str">
        <f>'Detailed P&amp;L'!T12</f>
        <v>Forecast</v>
      </c>
      <c r="U12" s="10" t="str">
        <f>'Detailed P&amp;L'!U12</f>
        <v>Forecast</v>
      </c>
      <c r="V12" s="10" t="str">
        <f>'Detailed P&amp;L'!V12</f>
        <v>Forecast</v>
      </c>
      <c r="W12" s="10" t="str">
        <f>'Detailed P&amp;L'!W12</f>
        <v>Forecast</v>
      </c>
      <c r="X12" s="10" t="str">
        <f>'Detailed P&amp;L'!X12</f>
        <v>Forecast</v>
      </c>
      <c r="Y12" s="10" t="str">
        <f>'Detailed P&amp;L'!Y12</f>
        <v>Forecast</v>
      </c>
      <c r="Z12" s="10" t="str">
        <f>'Detailed P&amp;L'!Z12</f>
        <v>Forecast</v>
      </c>
      <c r="AA12" s="10" t="str">
        <f>'Detailed P&amp;L'!AA12</f>
        <v>Forecast</v>
      </c>
      <c r="AB12" s="10" t="str">
        <f>'Detailed P&amp;L'!AB12</f>
        <v>Forecast</v>
      </c>
      <c r="AC12" s="10" t="str">
        <f>'Detailed P&amp;L'!AC12</f>
        <v>Forecast</v>
      </c>
      <c r="AD12" s="10" t="str">
        <f>'Detailed P&amp;L'!AD12</f>
        <v>Forecast</v>
      </c>
      <c r="AE12" s="10" t="str">
        <f>'Detailed P&amp;L'!AE12</f>
        <v>Forecast</v>
      </c>
      <c r="AF12" s="10" t="str">
        <f>'Detailed P&amp;L'!AF12</f>
        <v>Forecast</v>
      </c>
      <c r="AG12" s="10" t="str">
        <f>'Detailed P&amp;L'!AG12</f>
        <v>Forecast</v>
      </c>
      <c r="AH12" s="10" t="str">
        <f>'Detailed P&amp;L'!AH12</f>
        <v>Forecast</v>
      </c>
      <c r="AI12" s="10" t="str">
        <f>'Detailed P&amp;L'!AI12</f>
        <v>Forecast</v>
      </c>
      <c r="AJ12" s="10" t="str">
        <f>'Detailed P&amp;L'!AJ12</f>
        <v>Forecast</v>
      </c>
      <c r="AK12" s="10" t="str">
        <f>'Detailed P&amp;L'!AK12</f>
        <v>Forecast</v>
      </c>
      <c r="AL12" s="96" t="str">
        <f>'Detailed P&amp;L'!AL12</f>
        <v>Forecast</v>
      </c>
      <c r="AN12" s="107" t="str">
        <f>'Detailed P&amp;L'!AN12</f>
        <v>Pro Forma</v>
      </c>
      <c r="AO12" s="10" t="str">
        <f>'Detailed P&amp;L'!AO12</f>
        <v>Pro Forma</v>
      </c>
      <c r="AP12" s="10" t="str">
        <f>'Detailed P&amp;L'!AP12</f>
        <v>Pro Forma</v>
      </c>
      <c r="AQ12" s="10" t="str">
        <f>'Detailed P&amp;L'!AQ12</f>
        <v>Pro Forma</v>
      </c>
      <c r="AR12" s="10" t="str">
        <f>'Detailed P&amp;L'!AR12</f>
        <v>Pro Forma</v>
      </c>
      <c r="AS12" s="10" t="str">
        <f>'Detailed P&amp;L'!AS12</f>
        <v>Pro Forma</v>
      </c>
      <c r="AT12" s="10" t="str">
        <f>'Detailed P&amp;L'!AT12</f>
        <v>Pro Forma</v>
      </c>
      <c r="AU12" s="10" t="str">
        <f>'Detailed P&amp;L'!AU12</f>
        <v>Pro Forma</v>
      </c>
      <c r="AV12" s="10" t="str">
        <f>'Detailed P&amp;L'!AV12</f>
        <v>Pro Forma</v>
      </c>
      <c r="AW12" s="10" t="str">
        <f>'Detailed P&amp;L'!AW12</f>
        <v>Pro Forma</v>
      </c>
      <c r="AX12" s="10" t="str">
        <f>'Detailed P&amp;L'!AX12</f>
        <v>Pro Forma</v>
      </c>
      <c r="AY12" s="96" t="str">
        <f>'Detailed P&amp;L'!AY12</f>
        <v>Pro Forma</v>
      </c>
      <c r="BA12" s="107" t="str">
        <f>'Detailed P&amp;L'!BA12</f>
        <v>Pro Forma</v>
      </c>
      <c r="BB12" s="10" t="str">
        <f>'Detailed P&amp;L'!BB12</f>
        <v>Pro Forma</v>
      </c>
      <c r="BC12" s="96" t="str">
        <f>'Detailed P&amp;L'!BC12</f>
        <v>Pro Forma</v>
      </c>
    </row>
    <row r="13" spans="2:55" ht="17" x14ac:dyDescent="0.6">
      <c r="B13" s="9"/>
      <c r="C13" s="10" t="str">
        <f>'Detailed P&amp;L'!C13</f>
        <v>USD</v>
      </c>
      <c r="D13" s="10" t="str">
        <f>'Detailed P&amp;L'!D13</f>
        <v>USD</v>
      </c>
      <c r="E13" s="10" t="str">
        <f>'Detailed P&amp;L'!E13</f>
        <v>USD</v>
      </c>
      <c r="F13" s="10" t="str">
        <f>'Detailed P&amp;L'!F13</f>
        <v>USD</v>
      </c>
      <c r="G13" s="10" t="str">
        <f>'Detailed P&amp;L'!G13</f>
        <v>USD</v>
      </c>
      <c r="H13" s="10" t="str">
        <f>'Detailed P&amp;L'!H13</f>
        <v>USD</v>
      </c>
      <c r="I13" s="10" t="str">
        <f>'Detailed P&amp;L'!I13</f>
        <v>USD</v>
      </c>
      <c r="J13" s="10" t="str">
        <f>'Detailed P&amp;L'!J13</f>
        <v>USD</v>
      </c>
      <c r="K13" s="10" t="str">
        <f>'Detailed P&amp;L'!K13</f>
        <v>USD</v>
      </c>
      <c r="L13" s="10" t="str">
        <f>'Detailed P&amp;L'!L13</f>
        <v>USD</v>
      </c>
      <c r="M13" s="10" t="str">
        <f>'Detailed P&amp;L'!M13</f>
        <v>USD</v>
      </c>
      <c r="N13" s="10" t="str">
        <f>'Detailed P&amp;L'!N13</f>
        <v>USD</v>
      </c>
      <c r="O13" s="10" t="str">
        <f>'Detailed P&amp;L'!O13</f>
        <v>USD</v>
      </c>
      <c r="P13" s="10" t="str">
        <f>'Detailed P&amp;L'!P13</f>
        <v>USD</v>
      </c>
      <c r="Q13" s="10" t="str">
        <f>'Detailed P&amp;L'!Q13</f>
        <v>USD</v>
      </c>
      <c r="R13" s="10" t="str">
        <f>'Detailed P&amp;L'!R13</f>
        <v>USD</v>
      </c>
      <c r="S13" s="10" t="str">
        <f>'Detailed P&amp;L'!S13</f>
        <v>USD</v>
      </c>
      <c r="T13" s="10" t="str">
        <f>'Detailed P&amp;L'!T13</f>
        <v>USD</v>
      </c>
      <c r="U13" s="10" t="str">
        <f>'Detailed P&amp;L'!U13</f>
        <v>USD</v>
      </c>
      <c r="V13" s="10" t="str">
        <f>'Detailed P&amp;L'!V13</f>
        <v>USD</v>
      </c>
      <c r="W13" s="10" t="str">
        <f>'Detailed P&amp;L'!W13</f>
        <v>USD</v>
      </c>
      <c r="X13" s="10" t="str">
        <f>'Detailed P&amp;L'!X13</f>
        <v>USD</v>
      </c>
      <c r="Y13" s="10" t="str">
        <f>'Detailed P&amp;L'!Y13</f>
        <v>USD</v>
      </c>
      <c r="Z13" s="10" t="str">
        <f>'Detailed P&amp;L'!Z13</f>
        <v>USD</v>
      </c>
      <c r="AA13" s="10" t="str">
        <f>'Detailed P&amp;L'!AA13</f>
        <v>USD</v>
      </c>
      <c r="AB13" s="10" t="str">
        <f>'Detailed P&amp;L'!AB13</f>
        <v>USD</v>
      </c>
      <c r="AC13" s="10" t="str">
        <f>'Detailed P&amp;L'!AC13</f>
        <v>USD</v>
      </c>
      <c r="AD13" s="10" t="str">
        <f>'Detailed P&amp;L'!AD13</f>
        <v>USD</v>
      </c>
      <c r="AE13" s="10" t="str">
        <f>'Detailed P&amp;L'!AE13</f>
        <v>USD</v>
      </c>
      <c r="AF13" s="10" t="str">
        <f>'Detailed P&amp;L'!AF13</f>
        <v>USD</v>
      </c>
      <c r="AG13" s="10" t="str">
        <f>'Detailed P&amp;L'!AG13</f>
        <v>USD</v>
      </c>
      <c r="AH13" s="10" t="str">
        <f>'Detailed P&amp;L'!AH13</f>
        <v>USD</v>
      </c>
      <c r="AI13" s="10" t="str">
        <f>'Detailed P&amp;L'!AI13</f>
        <v>USD</v>
      </c>
      <c r="AJ13" s="10" t="str">
        <f>'Detailed P&amp;L'!AJ13</f>
        <v>USD</v>
      </c>
      <c r="AK13" s="10" t="str">
        <f>'Detailed P&amp;L'!AK13</f>
        <v>USD</v>
      </c>
      <c r="AL13" s="96" t="str">
        <f>'Detailed P&amp;L'!AL13</f>
        <v>USD</v>
      </c>
      <c r="AN13" s="107" t="str">
        <f>'Detailed P&amp;L'!AN13</f>
        <v>USD</v>
      </c>
      <c r="AO13" s="10" t="str">
        <f>'Detailed P&amp;L'!AO13</f>
        <v>USD</v>
      </c>
      <c r="AP13" s="10" t="str">
        <f>'Detailed P&amp;L'!AP13</f>
        <v>USD</v>
      </c>
      <c r="AQ13" s="10" t="str">
        <f>'Detailed P&amp;L'!AQ13</f>
        <v>USD</v>
      </c>
      <c r="AR13" s="10" t="str">
        <f>'Detailed P&amp;L'!AR13</f>
        <v>USD</v>
      </c>
      <c r="AS13" s="10" t="str">
        <f>'Detailed P&amp;L'!AS13</f>
        <v>USD</v>
      </c>
      <c r="AT13" s="10" t="str">
        <f>'Detailed P&amp;L'!AT13</f>
        <v>USD</v>
      </c>
      <c r="AU13" s="10" t="str">
        <f>'Detailed P&amp;L'!AU13</f>
        <v>USD</v>
      </c>
      <c r="AV13" s="10" t="str">
        <f>'Detailed P&amp;L'!AV13</f>
        <v>USD</v>
      </c>
      <c r="AW13" s="10" t="str">
        <f>'Detailed P&amp;L'!AW13</f>
        <v>USD</v>
      </c>
      <c r="AX13" s="10" t="str">
        <f>'Detailed P&amp;L'!AX13</f>
        <v>USD</v>
      </c>
      <c r="AY13" s="96" t="str">
        <f>'Detailed P&amp;L'!AY13</f>
        <v>USD</v>
      </c>
      <c r="BA13" s="107" t="str">
        <f>'Detailed P&amp;L'!BA13</f>
        <v>USD</v>
      </c>
      <c r="BB13" s="10" t="str">
        <f>'Detailed P&amp;L'!BB13</f>
        <v>USD</v>
      </c>
      <c r="BC13" s="96" t="str">
        <f>'Detailed P&amp;L'!BC13</f>
        <v>USD</v>
      </c>
    </row>
    <row r="14" spans="2:55" x14ac:dyDescent="0.35">
      <c r="B14" s="11" t="s">
        <v>1</v>
      </c>
      <c r="C14" s="12">
        <f>'Detailed P&amp;L'!C14</f>
        <v>0</v>
      </c>
      <c r="D14" s="12">
        <f>'Detailed P&amp;L'!D14</f>
        <v>0</v>
      </c>
      <c r="E14" s="12">
        <f>'Detailed P&amp;L'!E14</f>
        <v>0</v>
      </c>
      <c r="F14" s="12">
        <f>'Detailed P&amp;L'!F14</f>
        <v>0</v>
      </c>
      <c r="G14" s="12">
        <f>'Detailed P&amp;L'!G14</f>
        <v>0</v>
      </c>
      <c r="H14" s="12">
        <f>'Detailed P&amp;L'!H14</f>
        <v>0</v>
      </c>
      <c r="I14" s="12">
        <f>'Detailed P&amp;L'!I14</f>
        <v>0</v>
      </c>
      <c r="J14" s="12">
        <f>'Detailed P&amp;L'!J14</f>
        <v>0</v>
      </c>
      <c r="K14" s="12">
        <f>'Detailed P&amp;L'!K14</f>
        <v>0</v>
      </c>
      <c r="L14" s="12">
        <f>'Detailed P&amp;L'!L14</f>
        <v>0</v>
      </c>
      <c r="M14" s="12">
        <f>'Detailed P&amp;L'!M14</f>
        <v>0</v>
      </c>
      <c r="N14" s="12">
        <f>'Detailed P&amp;L'!N14</f>
        <v>0</v>
      </c>
      <c r="O14" s="12">
        <f>'Detailed P&amp;L'!O14</f>
        <v>0</v>
      </c>
      <c r="P14" s="12">
        <f>'Detailed P&amp;L'!P14</f>
        <v>0</v>
      </c>
      <c r="Q14" s="12">
        <f>'Detailed P&amp;L'!Q14</f>
        <v>0</v>
      </c>
      <c r="R14" s="12">
        <f>'Detailed P&amp;L'!R14</f>
        <v>0</v>
      </c>
      <c r="S14" s="12">
        <f>'Detailed P&amp;L'!S14</f>
        <v>0</v>
      </c>
      <c r="T14" s="12">
        <f>'Detailed P&amp;L'!T14</f>
        <v>0</v>
      </c>
      <c r="U14" s="12">
        <f>'Detailed P&amp;L'!U14</f>
        <v>0</v>
      </c>
      <c r="V14" s="12">
        <f>'Detailed P&amp;L'!V14</f>
        <v>0</v>
      </c>
      <c r="W14" s="12">
        <f>'Detailed P&amp;L'!W14</f>
        <v>0</v>
      </c>
      <c r="X14" s="12">
        <f>'Detailed P&amp;L'!X14</f>
        <v>0</v>
      </c>
      <c r="Y14" s="12">
        <f>'Detailed P&amp;L'!Y14</f>
        <v>0</v>
      </c>
      <c r="Z14" s="12">
        <f>'Detailed P&amp;L'!Z14</f>
        <v>0</v>
      </c>
      <c r="AA14" s="12">
        <f>'Detailed P&amp;L'!AA14</f>
        <v>0</v>
      </c>
      <c r="AB14" s="12">
        <f>'Detailed P&amp;L'!AB14</f>
        <v>0</v>
      </c>
      <c r="AC14" s="12">
        <f>'Detailed P&amp;L'!AC14</f>
        <v>0</v>
      </c>
      <c r="AD14" s="12">
        <f>'Detailed P&amp;L'!AD14</f>
        <v>0</v>
      </c>
      <c r="AE14" s="12">
        <f>'Detailed P&amp;L'!AE14</f>
        <v>0</v>
      </c>
      <c r="AF14" s="12">
        <f>'Detailed P&amp;L'!AF14</f>
        <v>0</v>
      </c>
      <c r="AG14" s="12">
        <f>'Detailed P&amp;L'!AG14</f>
        <v>0</v>
      </c>
      <c r="AH14" s="12">
        <f>'Detailed P&amp;L'!AH14</f>
        <v>0</v>
      </c>
      <c r="AI14" s="12">
        <f>'Detailed P&amp;L'!AI14</f>
        <v>0</v>
      </c>
      <c r="AJ14" s="12">
        <f>'Detailed P&amp;L'!AJ14</f>
        <v>0</v>
      </c>
      <c r="AK14" s="12">
        <f>'Detailed P&amp;L'!AK14</f>
        <v>0</v>
      </c>
      <c r="AL14" s="189">
        <f>'Detailed P&amp;L'!AL14</f>
        <v>0</v>
      </c>
      <c r="AN14" s="218">
        <f ca="1">'Detailed P&amp;L'!AN14</f>
        <v>0</v>
      </c>
      <c r="AO14" s="12">
        <f ca="1">'Detailed P&amp;L'!AO14</f>
        <v>0</v>
      </c>
      <c r="AP14" s="12">
        <f ca="1">'Detailed P&amp;L'!AP14</f>
        <v>0</v>
      </c>
      <c r="AQ14" s="12">
        <f ca="1">'Detailed P&amp;L'!AQ14</f>
        <v>0</v>
      </c>
      <c r="AR14" s="12">
        <f ca="1">'Detailed P&amp;L'!AR14</f>
        <v>0</v>
      </c>
      <c r="AS14" s="12">
        <f ca="1">'Detailed P&amp;L'!AS14</f>
        <v>0</v>
      </c>
      <c r="AT14" s="12">
        <f ca="1">'Detailed P&amp;L'!AT14</f>
        <v>0</v>
      </c>
      <c r="AU14" s="12">
        <f ca="1">'Detailed P&amp;L'!AU14</f>
        <v>0</v>
      </c>
      <c r="AV14" s="12">
        <f ca="1">'Detailed P&amp;L'!AV14</f>
        <v>0</v>
      </c>
      <c r="AW14" s="12">
        <f ca="1">'Detailed P&amp;L'!AW14</f>
        <v>0</v>
      </c>
      <c r="AX14" s="12">
        <f ca="1">'Detailed P&amp;L'!AX14</f>
        <v>0</v>
      </c>
      <c r="AY14" s="189">
        <f ca="1">'Detailed P&amp;L'!AY14</f>
        <v>0</v>
      </c>
      <c r="BA14" s="218">
        <f ca="1">'Detailed P&amp;L'!BA14</f>
        <v>0</v>
      </c>
      <c r="BB14" s="12">
        <f ca="1">'Detailed P&amp;L'!BB14</f>
        <v>0</v>
      </c>
      <c r="BC14" s="189">
        <f ca="1">'Detailed P&amp;L'!BC14</f>
        <v>0</v>
      </c>
    </row>
    <row r="15" spans="2:55" x14ac:dyDescent="0.35">
      <c r="B15" s="11" t="s">
        <v>2</v>
      </c>
      <c r="C15" s="13">
        <f>'Detailed P&amp;L'!C15</f>
        <v>0</v>
      </c>
      <c r="D15" s="13">
        <f>'Detailed P&amp;L'!D15</f>
        <v>0</v>
      </c>
      <c r="E15" s="13">
        <f>'Detailed P&amp;L'!E15</f>
        <v>0</v>
      </c>
      <c r="F15" s="13">
        <f>'Detailed P&amp;L'!F15</f>
        <v>0</v>
      </c>
      <c r="G15" s="13">
        <f>'Detailed P&amp;L'!G15</f>
        <v>0</v>
      </c>
      <c r="H15" s="13">
        <f>'Detailed P&amp;L'!H15</f>
        <v>0</v>
      </c>
      <c r="I15" s="13">
        <f>'Detailed P&amp;L'!I15</f>
        <v>0</v>
      </c>
      <c r="J15" s="13">
        <f>'Detailed P&amp;L'!J15</f>
        <v>0</v>
      </c>
      <c r="K15" s="13">
        <f>'Detailed P&amp;L'!K15</f>
        <v>0</v>
      </c>
      <c r="L15" s="13">
        <f>'Detailed P&amp;L'!L15</f>
        <v>0</v>
      </c>
      <c r="M15" s="13">
        <f>'Detailed P&amp;L'!M15</f>
        <v>0</v>
      </c>
      <c r="N15" s="13">
        <f>'Detailed P&amp;L'!N15</f>
        <v>0</v>
      </c>
      <c r="O15" s="13">
        <f>'Detailed P&amp;L'!O15</f>
        <v>0</v>
      </c>
      <c r="P15" s="13">
        <f>'Detailed P&amp;L'!P15</f>
        <v>0</v>
      </c>
      <c r="Q15" s="13">
        <f>'Detailed P&amp;L'!Q15</f>
        <v>0</v>
      </c>
      <c r="R15" s="13">
        <f>'Detailed P&amp;L'!R15</f>
        <v>0</v>
      </c>
      <c r="S15" s="13">
        <f>'Detailed P&amp;L'!S15</f>
        <v>0</v>
      </c>
      <c r="T15" s="13">
        <f>'Detailed P&amp;L'!T15</f>
        <v>0</v>
      </c>
      <c r="U15" s="13">
        <f>'Detailed P&amp;L'!U15</f>
        <v>0</v>
      </c>
      <c r="V15" s="13">
        <f>'Detailed P&amp;L'!V15</f>
        <v>0</v>
      </c>
      <c r="W15" s="13">
        <f>'Detailed P&amp;L'!W15</f>
        <v>0</v>
      </c>
      <c r="X15" s="13">
        <f>'Detailed P&amp;L'!X15</f>
        <v>0</v>
      </c>
      <c r="Y15" s="13">
        <f>'Detailed P&amp;L'!Y15</f>
        <v>0</v>
      </c>
      <c r="Z15" s="13">
        <f>'Detailed P&amp;L'!Z15</f>
        <v>0</v>
      </c>
      <c r="AA15" s="13">
        <f>'Detailed P&amp;L'!AA15</f>
        <v>0</v>
      </c>
      <c r="AB15" s="13">
        <f>'Detailed P&amp;L'!AB15</f>
        <v>0</v>
      </c>
      <c r="AC15" s="13">
        <f>'Detailed P&amp;L'!AC15</f>
        <v>0</v>
      </c>
      <c r="AD15" s="13">
        <f>'Detailed P&amp;L'!AD15</f>
        <v>0</v>
      </c>
      <c r="AE15" s="13">
        <f>'Detailed P&amp;L'!AE15</f>
        <v>0</v>
      </c>
      <c r="AF15" s="13">
        <f>'Detailed P&amp;L'!AF15</f>
        <v>0</v>
      </c>
      <c r="AG15" s="13">
        <f>'Detailed P&amp;L'!AG15</f>
        <v>0</v>
      </c>
      <c r="AH15" s="13">
        <f>'Detailed P&amp;L'!AH15</f>
        <v>0</v>
      </c>
      <c r="AI15" s="13">
        <f>'Detailed P&amp;L'!AI15</f>
        <v>0</v>
      </c>
      <c r="AJ15" s="13">
        <f>'Detailed P&amp;L'!AJ15</f>
        <v>0</v>
      </c>
      <c r="AK15" s="13">
        <f>'Detailed P&amp;L'!AK15</f>
        <v>0</v>
      </c>
      <c r="AL15" s="190">
        <f>'Detailed P&amp;L'!AL15</f>
        <v>0</v>
      </c>
      <c r="AN15" s="219">
        <f ca="1">'Detailed P&amp;L'!AN15</f>
        <v>0</v>
      </c>
      <c r="AO15" s="13">
        <f ca="1">'Detailed P&amp;L'!AO15</f>
        <v>0</v>
      </c>
      <c r="AP15" s="13">
        <f ca="1">'Detailed P&amp;L'!AP15</f>
        <v>0</v>
      </c>
      <c r="AQ15" s="13">
        <f ca="1">'Detailed P&amp;L'!AQ15</f>
        <v>0</v>
      </c>
      <c r="AR15" s="13">
        <f ca="1">'Detailed P&amp;L'!AR15</f>
        <v>0</v>
      </c>
      <c r="AS15" s="13">
        <f ca="1">'Detailed P&amp;L'!AS15</f>
        <v>0</v>
      </c>
      <c r="AT15" s="13">
        <f ca="1">'Detailed P&amp;L'!AT15</f>
        <v>0</v>
      </c>
      <c r="AU15" s="13">
        <f ca="1">'Detailed P&amp;L'!AU15</f>
        <v>0</v>
      </c>
      <c r="AV15" s="13">
        <f ca="1">'Detailed P&amp;L'!AV15</f>
        <v>0</v>
      </c>
      <c r="AW15" s="13">
        <f ca="1">'Detailed P&amp;L'!AW15</f>
        <v>0</v>
      </c>
      <c r="AX15" s="13">
        <f ca="1">'Detailed P&amp;L'!AX15</f>
        <v>0</v>
      </c>
      <c r="AY15" s="190">
        <f ca="1">'Detailed P&amp;L'!AY15</f>
        <v>0</v>
      </c>
      <c r="BA15" s="219">
        <f ca="1">'Detailed P&amp;L'!BA15</f>
        <v>0</v>
      </c>
      <c r="BB15" s="13">
        <f ca="1">'Detailed P&amp;L'!BB15</f>
        <v>0</v>
      </c>
      <c r="BC15" s="190">
        <f ca="1">'Detailed P&amp;L'!BC15</f>
        <v>0</v>
      </c>
    </row>
    <row r="16" spans="2:55" x14ac:dyDescent="0.35">
      <c r="B16" s="11" t="s">
        <v>3</v>
      </c>
      <c r="C16" s="13">
        <f>'Detailed P&amp;L'!C16</f>
        <v>0</v>
      </c>
      <c r="D16" s="13">
        <f>'Detailed P&amp;L'!D16</f>
        <v>0</v>
      </c>
      <c r="E16" s="13">
        <f>'Detailed P&amp;L'!E16</f>
        <v>0</v>
      </c>
      <c r="F16" s="13">
        <f>'Detailed P&amp;L'!F16</f>
        <v>0</v>
      </c>
      <c r="G16" s="13">
        <f>'Detailed P&amp;L'!G16</f>
        <v>0</v>
      </c>
      <c r="H16" s="13">
        <f>'Detailed P&amp;L'!H16</f>
        <v>0</v>
      </c>
      <c r="I16" s="13">
        <f>'Detailed P&amp;L'!I16</f>
        <v>0</v>
      </c>
      <c r="J16" s="13">
        <f>'Detailed P&amp;L'!J16</f>
        <v>0</v>
      </c>
      <c r="K16" s="13">
        <f>'Detailed P&amp;L'!K16</f>
        <v>0</v>
      </c>
      <c r="L16" s="13">
        <f>'Detailed P&amp;L'!L16</f>
        <v>0</v>
      </c>
      <c r="M16" s="13">
        <f>'Detailed P&amp;L'!M16</f>
        <v>0</v>
      </c>
      <c r="N16" s="13">
        <f>'Detailed P&amp;L'!N16</f>
        <v>0</v>
      </c>
      <c r="O16" s="13">
        <f>'Detailed P&amp;L'!O16</f>
        <v>0</v>
      </c>
      <c r="P16" s="13">
        <f>'Detailed P&amp;L'!P16</f>
        <v>0</v>
      </c>
      <c r="Q16" s="13">
        <f>'Detailed P&amp;L'!Q16</f>
        <v>0</v>
      </c>
      <c r="R16" s="13">
        <f>'Detailed P&amp;L'!R16</f>
        <v>0</v>
      </c>
      <c r="S16" s="13">
        <f>'Detailed P&amp;L'!S16</f>
        <v>0</v>
      </c>
      <c r="T16" s="13">
        <f>'Detailed P&amp;L'!T16</f>
        <v>0</v>
      </c>
      <c r="U16" s="13">
        <f>'Detailed P&amp;L'!U16</f>
        <v>0</v>
      </c>
      <c r="V16" s="13">
        <f>'Detailed P&amp;L'!V16</f>
        <v>0</v>
      </c>
      <c r="W16" s="13">
        <f>'Detailed P&amp;L'!W16</f>
        <v>0</v>
      </c>
      <c r="X16" s="13">
        <f>'Detailed P&amp;L'!X16</f>
        <v>0</v>
      </c>
      <c r="Y16" s="13">
        <f>'Detailed P&amp;L'!Y16</f>
        <v>0</v>
      </c>
      <c r="Z16" s="13">
        <f>'Detailed P&amp;L'!Z16</f>
        <v>0</v>
      </c>
      <c r="AA16" s="13">
        <f>'Detailed P&amp;L'!AA16</f>
        <v>0</v>
      </c>
      <c r="AB16" s="13">
        <f>'Detailed P&amp;L'!AB16</f>
        <v>0</v>
      </c>
      <c r="AC16" s="13">
        <f>'Detailed P&amp;L'!AC16</f>
        <v>0</v>
      </c>
      <c r="AD16" s="13">
        <f>'Detailed P&amp;L'!AD16</f>
        <v>0</v>
      </c>
      <c r="AE16" s="13">
        <f>'Detailed P&amp;L'!AE16</f>
        <v>0</v>
      </c>
      <c r="AF16" s="13">
        <f>'Detailed P&amp;L'!AF16</f>
        <v>0</v>
      </c>
      <c r="AG16" s="13">
        <f>'Detailed P&amp;L'!AG16</f>
        <v>0</v>
      </c>
      <c r="AH16" s="13">
        <f>'Detailed P&amp;L'!AH16</f>
        <v>0</v>
      </c>
      <c r="AI16" s="13">
        <f>'Detailed P&amp;L'!AI16</f>
        <v>0</v>
      </c>
      <c r="AJ16" s="13">
        <f>'Detailed P&amp;L'!AJ16</f>
        <v>0</v>
      </c>
      <c r="AK16" s="13">
        <f>'Detailed P&amp;L'!AK16</f>
        <v>0</v>
      </c>
      <c r="AL16" s="190">
        <f>'Detailed P&amp;L'!AL16</f>
        <v>0</v>
      </c>
      <c r="AN16" s="219">
        <f ca="1">'Detailed P&amp;L'!AN16</f>
        <v>0</v>
      </c>
      <c r="AO16" s="13">
        <f ca="1">'Detailed P&amp;L'!AO16</f>
        <v>0</v>
      </c>
      <c r="AP16" s="13">
        <f ca="1">'Detailed P&amp;L'!AP16</f>
        <v>0</v>
      </c>
      <c r="AQ16" s="13">
        <f ca="1">'Detailed P&amp;L'!AQ16</f>
        <v>0</v>
      </c>
      <c r="AR16" s="13">
        <f ca="1">'Detailed P&amp;L'!AR16</f>
        <v>0</v>
      </c>
      <c r="AS16" s="13">
        <f ca="1">'Detailed P&amp;L'!AS16</f>
        <v>0</v>
      </c>
      <c r="AT16" s="13">
        <f ca="1">'Detailed P&amp;L'!AT16</f>
        <v>0</v>
      </c>
      <c r="AU16" s="13">
        <f ca="1">'Detailed P&amp;L'!AU16</f>
        <v>0</v>
      </c>
      <c r="AV16" s="13">
        <f ca="1">'Detailed P&amp;L'!AV16</f>
        <v>0</v>
      </c>
      <c r="AW16" s="13">
        <f ca="1">'Detailed P&amp;L'!AW16</f>
        <v>0</v>
      </c>
      <c r="AX16" s="13">
        <f ca="1">'Detailed P&amp;L'!AX16</f>
        <v>0</v>
      </c>
      <c r="AY16" s="190">
        <f ca="1">'Detailed P&amp;L'!AY16</f>
        <v>0</v>
      </c>
      <c r="BA16" s="219">
        <f ca="1">'Detailed P&amp;L'!BA16</f>
        <v>0</v>
      </c>
      <c r="BB16" s="13">
        <f ca="1">'Detailed P&amp;L'!BB16</f>
        <v>0</v>
      </c>
      <c r="BC16" s="190">
        <f ca="1">'Detailed P&amp;L'!BC16</f>
        <v>0</v>
      </c>
    </row>
    <row r="17" spans="2:55" x14ac:dyDescent="0.35">
      <c r="B17" s="11" t="s">
        <v>4</v>
      </c>
      <c r="C17" s="13">
        <f>'Detailed P&amp;L'!C17</f>
        <v>0</v>
      </c>
      <c r="D17" s="13">
        <f>'Detailed P&amp;L'!D17</f>
        <v>0</v>
      </c>
      <c r="E17" s="13">
        <f>'Detailed P&amp;L'!E17</f>
        <v>0</v>
      </c>
      <c r="F17" s="13">
        <f>'Detailed P&amp;L'!F17</f>
        <v>0</v>
      </c>
      <c r="G17" s="13">
        <f>'Detailed P&amp;L'!G17</f>
        <v>0</v>
      </c>
      <c r="H17" s="13">
        <f>'Detailed P&amp;L'!H17</f>
        <v>0</v>
      </c>
      <c r="I17" s="13">
        <f>'Detailed P&amp;L'!I17</f>
        <v>0</v>
      </c>
      <c r="J17" s="13">
        <f>'Detailed P&amp;L'!J17</f>
        <v>0</v>
      </c>
      <c r="K17" s="13">
        <f>'Detailed P&amp;L'!K17</f>
        <v>0</v>
      </c>
      <c r="L17" s="13">
        <f>'Detailed P&amp;L'!L17</f>
        <v>0</v>
      </c>
      <c r="M17" s="13">
        <f>'Detailed P&amp;L'!M17</f>
        <v>0</v>
      </c>
      <c r="N17" s="13">
        <f>'Detailed P&amp;L'!N17</f>
        <v>0</v>
      </c>
      <c r="O17" s="13">
        <f>'Detailed P&amp;L'!O17</f>
        <v>0</v>
      </c>
      <c r="P17" s="13">
        <f>'Detailed P&amp;L'!P17</f>
        <v>0</v>
      </c>
      <c r="Q17" s="13">
        <f>'Detailed P&amp;L'!Q17</f>
        <v>0</v>
      </c>
      <c r="R17" s="13">
        <f>'Detailed P&amp;L'!R17</f>
        <v>0</v>
      </c>
      <c r="S17" s="13">
        <f>'Detailed P&amp;L'!S17</f>
        <v>0</v>
      </c>
      <c r="T17" s="13">
        <f>'Detailed P&amp;L'!T17</f>
        <v>0</v>
      </c>
      <c r="U17" s="13">
        <f>'Detailed P&amp;L'!U17</f>
        <v>0</v>
      </c>
      <c r="V17" s="13">
        <f>'Detailed P&amp;L'!V17</f>
        <v>0</v>
      </c>
      <c r="W17" s="13">
        <f>'Detailed P&amp;L'!W17</f>
        <v>0</v>
      </c>
      <c r="X17" s="13">
        <f>'Detailed P&amp;L'!X17</f>
        <v>0</v>
      </c>
      <c r="Y17" s="13">
        <f>'Detailed P&amp;L'!Y17</f>
        <v>0</v>
      </c>
      <c r="Z17" s="13">
        <f>'Detailed P&amp;L'!Z17</f>
        <v>0</v>
      </c>
      <c r="AA17" s="13">
        <f>'Detailed P&amp;L'!AA17</f>
        <v>0</v>
      </c>
      <c r="AB17" s="13">
        <f>'Detailed P&amp;L'!AB17</f>
        <v>0</v>
      </c>
      <c r="AC17" s="13">
        <f>'Detailed P&amp;L'!AC17</f>
        <v>0</v>
      </c>
      <c r="AD17" s="13">
        <f>'Detailed P&amp;L'!AD17</f>
        <v>0</v>
      </c>
      <c r="AE17" s="13">
        <f>'Detailed P&amp;L'!AE17</f>
        <v>0</v>
      </c>
      <c r="AF17" s="13">
        <f>'Detailed P&amp;L'!AF17</f>
        <v>0</v>
      </c>
      <c r="AG17" s="13">
        <f>'Detailed P&amp;L'!AG17</f>
        <v>0</v>
      </c>
      <c r="AH17" s="13">
        <f>'Detailed P&amp;L'!AH17</f>
        <v>0</v>
      </c>
      <c r="AI17" s="13">
        <f>'Detailed P&amp;L'!AI17</f>
        <v>0</v>
      </c>
      <c r="AJ17" s="13">
        <f>'Detailed P&amp;L'!AJ17</f>
        <v>0</v>
      </c>
      <c r="AK17" s="13">
        <f>'Detailed P&amp;L'!AK17</f>
        <v>0</v>
      </c>
      <c r="AL17" s="190">
        <f>'Detailed P&amp;L'!AL17</f>
        <v>0</v>
      </c>
      <c r="AN17" s="219">
        <f ca="1">'Detailed P&amp;L'!AN17</f>
        <v>0</v>
      </c>
      <c r="AO17" s="13">
        <f ca="1">'Detailed P&amp;L'!AO17</f>
        <v>0</v>
      </c>
      <c r="AP17" s="13">
        <f ca="1">'Detailed P&amp;L'!AP17</f>
        <v>0</v>
      </c>
      <c r="AQ17" s="13">
        <f ca="1">'Detailed P&amp;L'!AQ17</f>
        <v>0</v>
      </c>
      <c r="AR17" s="13">
        <f ca="1">'Detailed P&amp;L'!AR17</f>
        <v>0</v>
      </c>
      <c r="AS17" s="13">
        <f ca="1">'Detailed P&amp;L'!AS17</f>
        <v>0</v>
      </c>
      <c r="AT17" s="13">
        <f ca="1">'Detailed P&amp;L'!AT17</f>
        <v>0</v>
      </c>
      <c r="AU17" s="13">
        <f ca="1">'Detailed P&amp;L'!AU17</f>
        <v>0</v>
      </c>
      <c r="AV17" s="13">
        <f ca="1">'Detailed P&amp;L'!AV17</f>
        <v>0</v>
      </c>
      <c r="AW17" s="13">
        <f ca="1">'Detailed P&amp;L'!AW17</f>
        <v>0</v>
      </c>
      <c r="AX17" s="13">
        <f ca="1">'Detailed P&amp;L'!AX17</f>
        <v>0</v>
      </c>
      <c r="AY17" s="190">
        <f ca="1">'Detailed P&amp;L'!AY17</f>
        <v>0</v>
      </c>
      <c r="BA17" s="219">
        <f ca="1">'Detailed P&amp;L'!BA17</f>
        <v>0</v>
      </c>
      <c r="BB17" s="13">
        <f ca="1">'Detailed P&amp;L'!BB17</f>
        <v>0</v>
      </c>
      <c r="BC17" s="190">
        <f ca="1">'Detailed P&amp;L'!BC17</f>
        <v>0</v>
      </c>
    </row>
    <row r="18" spans="2:55" x14ac:dyDescent="0.35">
      <c r="B18" s="11" t="s">
        <v>5</v>
      </c>
      <c r="C18" s="13">
        <f>'Detailed P&amp;L'!C18</f>
        <v>0</v>
      </c>
      <c r="D18" s="13">
        <f>'Detailed P&amp;L'!D18</f>
        <v>0</v>
      </c>
      <c r="E18" s="13">
        <f>'Detailed P&amp;L'!E18</f>
        <v>0</v>
      </c>
      <c r="F18" s="13">
        <f>'Detailed P&amp;L'!F18</f>
        <v>0</v>
      </c>
      <c r="G18" s="13">
        <f>'Detailed P&amp;L'!G18</f>
        <v>0</v>
      </c>
      <c r="H18" s="13">
        <f>'Detailed P&amp;L'!H18</f>
        <v>0</v>
      </c>
      <c r="I18" s="13">
        <f>'Detailed P&amp;L'!I18</f>
        <v>0</v>
      </c>
      <c r="J18" s="13">
        <f>'Detailed P&amp;L'!J18</f>
        <v>0</v>
      </c>
      <c r="K18" s="13">
        <f>'Detailed P&amp;L'!K18</f>
        <v>0</v>
      </c>
      <c r="L18" s="13">
        <f>'Detailed P&amp;L'!L18</f>
        <v>0</v>
      </c>
      <c r="M18" s="13">
        <f>'Detailed P&amp;L'!M18</f>
        <v>0</v>
      </c>
      <c r="N18" s="13">
        <f>'Detailed P&amp;L'!N18</f>
        <v>0</v>
      </c>
      <c r="O18" s="13">
        <f>'Detailed P&amp;L'!O18</f>
        <v>0</v>
      </c>
      <c r="P18" s="13">
        <f>'Detailed P&amp;L'!P18</f>
        <v>0</v>
      </c>
      <c r="Q18" s="13">
        <f>'Detailed P&amp;L'!Q18</f>
        <v>0</v>
      </c>
      <c r="R18" s="13">
        <f>'Detailed P&amp;L'!R18</f>
        <v>0</v>
      </c>
      <c r="S18" s="13">
        <f>'Detailed P&amp;L'!S18</f>
        <v>0</v>
      </c>
      <c r="T18" s="13">
        <f>'Detailed P&amp;L'!T18</f>
        <v>0</v>
      </c>
      <c r="U18" s="13">
        <f>'Detailed P&amp;L'!U18</f>
        <v>0</v>
      </c>
      <c r="V18" s="13">
        <f>'Detailed P&amp;L'!V18</f>
        <v>0</v>
      </c>
      <c r="W18" s="13">
        <f>'Detailed P&amp;L'!W18</f>
        <v>0</v>
      </c>
      <c r="X18" s="13">
        <f>'Detailed P&amp;L'!X18</f>
        <v>0</v>
      </c>
      <c r="Y18" s="13">
        <f>'Detailed P&amp;L'!Y18</f>
        <v>0</v>
      </c>
      <c r="Z18" s="13">
        <f>'Detailed P&amp;L'!Z18</f>
        <v>0</v>
      </c>
      <c r="AA18" s="13">
        <f>'Detailed P&amp;L'!AA18</f>
        <v>0</v>
      </c>
      <c r="AB18" s="13">
        <f>'Detailed P&amp;L'!AB18</f>
        <v>0</v>
      </c>
      <c r="AC18" s="13">
        <f>'Detailed P&amp;L'!AC18</f>
        <v>0</v>
      </c>
      <c r="AD18" s="13">
        <f>'Detailed P&amp;L'!AD18</f>
        <v>0</v>
      </c>
      <c r="AE18" s="13">
        <f>'Detailed P&amp;L'!AE18</f>
        <v>0</v>
      </c>
      <c r="AF18" s="13">
        <f>'Detailed P&amp;L'!AF18</f>
        <v>0</v>
      </c>
      <c r="AG18" s="13">
        <f>'Detailed P&amp;L'!AG18</f>
        <v>0</v>
      </c>
      <c r="AH18" s="13">
        <f>'Detailed P&amp;L'!AH18</f>
        <v>0</v>
      </c>
      <c r="AI18" s="13">
        <f>'Detailed P&amp;L'!AI18</f>
        <v>0</v>
      </c>
      <c r="AJ18" s="13">
        <f>'Detailed P&amp;L'!AJ18</f>
        <v>0</v>
      </c>
      <c r="AK18" s="13">
        <f>'Detailed P&amp;L'!AK18</f>
        <v>0</v>
      </c>
      <c r="AL18" s="190">
        <f>'Detailed P&amp;L'!AL18</f>
        <v>0</v>
      </c>
      <c r="AN18" s="219">
        <f ca="1">'Detailed P&amp;L'!AN18</f>
        <v>0</v>
      </c>
      <c r="AO18" s="13">
        <f ca="1">'Detailed P&amp;L'!AO18</f>
        <v>0</v>
      </c>
      <c r="AP18" s="13">
        <f ca="1">'Detailed P&amp;L'!AP18</f>
        <v>0</v>
      </c>
      <c r="AQ18" s="13">
        <f ca="1">'Detailed P&amp;L'!AQ18</f>
        <v>0</v>
      </c>
      <c r="AR18" s="13">
        <f ca="1">'Detailed P&amp;L'!AR18</f>
        <v>0</v>
      </c>
      <c r="AS18" s="13">
        <f ca="1">'Detailed P&amp;L'!AS18</f>
        <v>0</v>
      </c>
      <c r="AT18" s="13">
        <f ca="1">'Detailed P&amp;L'!AT18</f>
        <v>0</v>
      </c>
      <c r="AU18" s="13">
        <f ca="1">'Detailed P&amp;L'!AU18</f>
        <v>0</v>
      </c>
      <c r="AV18" s="13">
        <f ca="1">'Detailed P&amp;L'!AV18</f>
        <v>0</v>
      </c>
      <c r="AW18" s="13">
        <f ca="1">'Detailed P&amp;L'!AW18</f>
        <v>0</v>
      </c>
      <c r="AX18" s="13">
        <f ca="1">'Detailed P&amp;L'!AX18</f>
        <v>0</v>
      </c>
      <c r="AY18" s="190">
        <f ca="1">'Detailed P&amp;L'!AY18</f>
        <v>0</v>
      </c>
      <c r="BA18" s="219">
        <f ca="1">'Detailed P&amp;L'!BA18</f>
        <v>0</v>
      </c>
      <c r="BB18" s="13">
        <f ca="1">'Detailed P&amp;L'!BB18</f>
        <v>0</v>
      </c>
      <c r="BC18" s="190">
        <f ca="1">'Detailed P&amp;L'!BC18</f>
        <v>0</v>
      </c>
    </row>
    <row r="19" spans="2:55" ht="15" x14ac:dyDescent="0.4">
      <c r="B19" s="11" t="s">
        <v>6</v>
      </c>
      <c r="C19" s="14">
        <f t="shared" ref="C19:Y19" si="0">SUM(C20:C21)</f>
        <v>0</v>
      </c>
      <c r="D19" s="14">
        <f t="shared" si="0"/>
        <v>0</v>
      </c>
      <c r="E19" s="14">
        <f t="shared" si="0"/>
        <v>0</v>
      </c>
      <c r="F19" s="14">
        <f t="shared" si="0"/>
        <v>0</v>
      </c>
      <c r="G19" s="14">
        <f t="shared" si="0"/>
        <v>0</v>
      </c>
      <c r="H19" s="14">
        <f t="shared" si="0"/>
        <v>0</v>
      </c>
      <c r="I19" s="14">
        <f t="shared" si="0"/>
        <v>0</v>
      </c>
      <c r="J19" s="14">
        <f t="shared" si="0"/>
        <v>0</v>
      </c>
      <c r="K19" s="14">
        <f t="shared" si="0"/>
        <v>0</v>
      </c>
      <c r="L19" s="14">
        <f t="shared" si="0"/>
        <v>0</v>
      </c>
      <c r="M19" s="14">
        <f t="shared" si="0"/>
        <v>0</v>
      </c>
      <c r="N19" s="14">
        <f t="shared" si="0"/>
        <v>0</v>
      </c>
      <c r="O19" s="14">
        <f t="shared" si="0"/>
        <v>0</v>
      </c>
      <c r="P19" s="14">
        <f t="shared" si="0"/>
        <v>0</v>
      </c>
      <c r="Q19" s="14">
        <f t="shared" si="0"/>
        <v>0</v>
      </c>
      <c r="R19" s="14">
        <f t="shared" si="0"/>
        <v>0</v>
      </c>
      <c r="S19" s="14">
        <f t="shared" si="0"/>
        <v>0</v>
      </c>
      <c r="T19" s="14">
        <f t="shared" si="0"/>
        <v>0</v>
      </c>
      <c r="U19" s="14">
        <f t="shared" si="0"/>
        <v>0</v>
      </c>
      <c r="V19" s="14">
        <f t="shared" si="0"/>
        <v>0</v>
      </c>
      <c r="W19" s="14">
        <f t="shared" si="0"/>
        <v>0</v>
      </c>
      <c r="X19" s="14">
        <f t="shared" si="0"/>
        <v>0</v>
      </c>
      <c r="Y19" s="14">
        <f t="shared" si="0"/>
        <v>0</v>
      </c>
      <c r="Z19" s="14">
        <f t="shared" ref="Z19:AL19" si="1">SUM(Z20:Z21)</f>
        <v>0</v>
      </c>
      <c r="AA19" s="14">
        <f t="shared" si="1"/>
        <v>0</v>
      </c>
      <c r="AB19" s="14">
        <f t="shared" si="1"/>
        <v>0</v>
      </c>
      <c r="AC19" s="14">
        <f t="shared" si="1"/>
        <v>0</v>
      </c>
      <c r="AD19" s="14">
        <f t="shared" si="1"/>
        <v>0</v>
      </c>
      <c r="AE19" s="14">
        <f t="shared" si="1"/>
        <v>0</v>
      </c>
      <c r="AF19" s="14">
        <f t="shared" si="1"/>
        <v>0</v>
      </c>
      <c r="AG19" s="14">
        <f t="shared" si="1"/>
        <v>0</v>
      </c>
      <c r="AH19" s="14">
        <f t="shared" si="1"/>
        <v>0</v>
      </c>
      <c r="AI19" s="14">
        <f t="shared" si="1"/>
        <v>0</v>
      </c>
      <c r="AJ19" s="14">
        <f t="shared" si="1"/>
        <v>0</v>
      </c>
      <c r="AK19" s="14">
        <f t="shared" si="1"/>
        <v>0</v>
      </c>
      <c r="AL19" s="191">
        <f t="shared" si="1"/>
        <v>0</v>
      </c>
      <c r="AN19" s="220">
        <f t="shared" ref="AN19:AT19" ca="1" si="2">SUM(AN20:AN21)</f>
        <v>0</v>
      </c>
      <c r="AO19" s="14">
        <f t="shared" ca="1" si="2"/>
        <v>0</v>
      </c>
      <c r="AP19" s="14">
        <f t="shared" ca="1" si="2"/>
        <v>0</v>
      </c>
      <c r="AQ19" s="14">
        <f t="shared" ca="1" si="2"/>
        <v>0</v>
      </c>
      <c r="AR19" s="14">
        <f t="shared" ca="1" si="2"/>
        <v>0</v>
      </c>
      <c r="AS19" s="14">
        <f t="shared" ca="1" si="2"/>
        <v>0</v>
      </c>
      <c r="AT19" s="14">
        <f t="shared" ca="1" si="2"/>
        <v>0</v>
      </c>
      <c r="AU19" s="14">
        <f t="shared" ref="AU19:AY19" ca="1" si="3">SUM(AU20:AU21)</f>
        <v>0</v>
      </c>
      <c r="AV19" s="14">
        <f t="shared" ca="1" si="3"/>
        <v>0</v>
      </c>
      <c r="AW19" s="14">
        <f t="shared" ca="1" si="3"/>
        <v>0</v>
      </c>
      <c r="AX19" s="14">
        <f t="shared" ca="1" si="3"/>
        <v>0</v>
      </c>
      <c r="AY19" s="191">
        <f t="shared" ca="1" si="3"/>
        <v>0</v>
      </c>
      <c r="BA19" s="220">
        <f t="shared" ref="BA19" ca="1" si="4">SUM(BA20:BA21)</f>
        <v>0</v>
      </c>
      <c r="BB19" s="14">
        <f t="shared" ref="BB19:BC19" ca="1" si="5">SUM(BB20:BB21)</f>
        <v>0</v>
      </c>
      <c r="BC19" s="191">
        <f t="shared" ca="1" si="5"/>
        <v>0</v>
      </c>
    </row>
    <row r="20" spans="2:55" x14ac:dyDescent="0.35">
      <c r="B20" s="15" t="s">
        <v>7</v>
      </c>
      <c r="C20" s="16">
        <f>'Detailed P&amp;L'!C20</f>
        <v>0</v>
      </c>
      <c r="D20" s="16">
        <f>'Detailed P&amp;L'!D20</f>
        <v>0</v>
      </c>
      <c r="E20" s="16">
        <f>'Detailed P&amp;L'!E20</f>
        <v>0</v>
      </c>
      <c r="F20" s="16">
        <f>'Detailed P&amp;L'!F20</f>
        <v>0</v>
      </c>
      <c r="G20" s="16">
        <f>'Detailed P&amp;L'!G20</f>
        <v>0</v>
      </c>
      <c r="H20" s="16">
        <f>'Detailed P&amp;L'!H20</f>
        <v>0</v>
      </c>
      <c r="I20" s="16">
        <f>'Detailed P&amp;L'!I20</f>
        <v>0</v>
      </c>
      <c r="J20" s="16">
        <f>'Detailed P&amp;L'!J20</f>
        <v>0</v>
      </c>
      <c r="K20" s="16">
        <f>'Detailed P&amp;L'!K20</f>
        <v>0</v>
      </c>
      <c r="L20" s="16">
        <f>'Detailed P&amp;L'!L20</f>
        <v>0</v>
      </c>
      <c r="M20" s="16">
        <f>'Detailed P&amp;L'!M20</f>
        <v>0</v>
      </c>
      <c r="N20" s="16">
        <f>'Detailed P&amp;L'!N20</f>
        <v>0</v>
      </c>
      <c r="O20" s="16">
        <f>'Detailed P&amp;L'!O20</f>
        <v>0</v>
      </c>
      <c r="P20" s="16">
        <f>'Detailed P&amp;L'!P20</f>
        <v>0</v>
      </c>
      <c r="Q20" s="16">
        <f>'Detailed P&amp;L'!Q20</f>
        <v>0</v>
      </c>
      <c r="R20" s="16">
        <f>'Detailed P&amp;L'!R20</f>
        <v>0</v>
      </c>
      <c r="S20" s="16">
        <f>'Detailed P&amp;L'!S20</f>
        <v>0</v>
      </c>
      <c r="T20" s="16">
        <f>'Detailed P&amp;L'!T20</f>
        <v>0</v>
      </c>
      <c r="U20" s="16">
        <f>'Detailed P&amp;L'!U20</f>
        <v>0</v>
      </c>
      <c r="V20" s="16">
        <f>'Detailed P&amp;L'!V20</f>
        <v>0</v>
      </c>
      <c r="W20" s="16">
        <f>'Detailed P&amp;L'!W20</f>
        <v>0</v>
      </c>
      <c r="X20" s="16">
        <f>'Detailed P&amp;L'!X20</f>
        <v>0</v>
      </c>
      <c r="Y20" s="16">
        <f>'Detailed P&amp;L'!Y20</f>
        <v>0</v>
      </c>
      <c r="Z20" s="16">
        <f>'Detailed P&amp;L'!Z20</f>
        <v>0</v>
      </c>
      <c r="AA20" s="16">
        <f>'Detailed P&amp;L'!AA20</f>
        <v>0</v>
      </c>
      <c r="AB20" s="16">
        <f>'Detailed P&amp;L'!AB20</f>
        <v>0</v>
      </c>
      <c r="AC20" s="16">
        <f>'Detailed P&amp;L'!AC20</f>
        <v>0</v>
      </c>
      <c r="AD20" s="16">
        <f>'Detailed P&amp;L'!AD20</f>
        <v>0</v>
      </c>
      <c r="AE20" s="16">
        <f>'Detailed P&amp;L'!AE20</f>
        <v>0</v>
      </c>
      <c r="AF20" s="16">
        <f>'Detailed P&amp;L'!AF20</f>
        <v>0</v>
      </c>
      <c r="AG20" s="16">
        <f>'Detailed P&amp;L'!AG20</f>
        <v>0</v>
      </c>
      <c r="AH20" s="16">
        <f>'Detailed P&amp;L'!AH20</f>
        <v>0</v>
      </c>
      <c r="AI20" s="16">
        <f>'Detailed P&amp;L'!AI20</f>
        <v>0</v>
      </c>
      <c r="AJ20" s="16">
        <f>'Detailed P&amp;L'!AJ20</f>
        <v>0</v>
      </c>
      <c r="AK20" s="16">
        <f>'Detailed P&amp;L'!AK20</f>
        <v>0</v>
      </c>
      <c r="AL20" s="192">
        <f>'Detailed P&amp;L'!AL20</f>
        <v>0</v>
      </c>
      <c r="AN20" s="221">
        <f ca="1">'Detailed P&amp;L'!AN20</f>
        <v>0</v>
      </c>
      <c r="AO20" s="16">
        <f ca="1">'Detailed P&amp;L'!AO20</f>
        <v>0</v>
      </c>
      <c r="AP20" s="16">
        <f ca="1">'Detailed P&amp;L'!AP20</f>
        <v>0</v>
      </c>
      <c r="AQ20" s="16">
        <f ca="1">'Detailed P&amp;L'!AQ20</f>
        <v>0</v>
      </c>
      <c r="AR20" s="16">
        <f ca="1">'Detailed P&amp;L'!AR20</f>
        <v>0</v>
      </c>
      <c r="AS20" s="16">
        <f ca="1">'Detailed P&amp;L'!AS20</f>
        <v>0</v>
      </c>
      <c r="AT20" s="16">
        <f ca="1">'Detailed P&amp;L'!AT20</f>
        <v>0</v>
      </c>
      <c r="AU20" s="16">
        <f ca="1">'Detailed P&amp;L'!AU20</f>
        <v>0</v>
      </c>
      <c r="AV20" s="16">
        <f ca="1">'Detailed P&amp;L'!AV20</f>
        <v>0</v>
      </c>
      <c r="AW20" s="16">
        <f ca="1">'Detailed P&amp;L'!AW20</f>
        <v>0</v>
      </c>
      <c r="AX20" s="16">
        <f ca="1">'Detailed P&amp;L'!AX20</f>
        <v>0</v>
      </c>
      <c r="AY20" s="192">
        <f ca="1">'Detailed P&amp;L'!AY20</f>
        <v>0</v>
      </c>
      <c r="BA20" s="221">
        <f ca="1">'Detailed P&amp;L'!BA20</f>
        <v>0</v>
      </c>
      <c r="BB20" s="16">
        <f ca="1">'Detailed P&amp;L'!BB20</f>
        <v>0</v>
      </c>
      <c r="BC20" s="192">
        <f ca="1">'Detailed P&amp;L'!BC20</f>
        <v>0</v>
      </c>
    </row>
    <row r="21" spans="2:55" ht="15" x14ac:dyDescent="0.4">
      <c r="B21" s="15" t="s">
        <v>8</v>
      </c>
      <c r="C21" s="17">
        <f>'Detailed P&amp;L'!C21</f>
        <v>0</v>
      </c>
      <c r="D21" s="17">
        <f>'Detailed P&amp;L'!D21</f>
        <v>0</v>
      </c>
      <c r="E21" s="17">
        <f>'Detailed P&amp;L'!E21</f>
        <v>0</v>
      </c>
      <c r="F21" s="17">
        <f>'Detailed P&amp;L'!F21</f>
        <v>0</v>
      </c>
      <c r="G21" s="17">
        <f>'Detailed P&amp;L'!G21</f>
        <v>0</v>
      </c>
      <c r="H21" s="17">
        <f>'Detailed P&amp;L'!H21</f>
        <v>0</v>
      </c>
      <c r="I21" s="17">
        <f>'Detailed P&amp;L'!I21</f>
        <v>0</v>
      </c>
      <c r="J21" s="17">
        <f>'Detailed P&amp;L'!J21</f>
        <v>0</v>
      </c>
      <c r="K21" s="17">
        <f>'Detailed P&amp;L'!K21</f>
        <v>0</v>
      </c>
      <c r="L21" s="17">
        <f>'Detailed P&amp;L'!L21</f>
        <v>0</v>
      </c>
      <c r="M21" s="17">
        <f>'Detailed P&amp;L'!M21</f>
        <v>0</v>
      </c>
      <c r="N21" s="17">
        <f>'Detailed P&amp;L'!N21</f>
        <v>0</v>
      </c>
      <c r="O21" s="17">
        <f>'Detailed P&amp;L'!O21</f>
        <v>0</v>
      </c>
      <c r="P21" s="17">
        <f>'Detailed P&amp;L'!P21</f>
        <v>0</v>
      </c>
      <c r="Q21" s="17">
        <f>'Detailed P&amp;L'!Q21</f>
        <v>0</v>
      </c>
      <c r="R21" s="17">
        <f>'Detailed P&amp;L'!R21</f>
        <v>0</v>
      </c>
      <c r="S21" s="17">
        <f>'Detailed P&amp;L'!S21</f>
        <v>0</v>
      </c>
      <c r="T21" s="17">
        <f>'Detailed P&amp;L'!T21</f>
        <v>0</v>
      </c>
      <c r="U21" s="17">
        <f>'Detailed P&amp;L'!U21</f>
        <v>0</v>
      </c>
      <c r="V21" s="17">
        <f>'Detailed P&amp;L'!V21</f>
        <v>0</v>
      </c>
      <c r="W21" s="17">
        <f>'Detailed P&amp;L'!W21</f>
        <v>0</v>
      </c>
      <c r="X21" s="17">
        <f>'Detailed P&amp;L'!X21</f>
        <v>0</v>
      </c>
      <c r="Y21" s="17">
        <f>'Detailed P&amp;L'!Y21</f>
        <v>0</v>
      </c>
      <c r="Z21" s="17">
        <f>'Detailed P&amp;L'!Z21</f>
        <v>0</v>
      </c>
      <c r="AA21" s="17">
        <f>'Detailed P&amp;L'!AA21</f>
        <v>0</v>
      </c>
      <c r="AB21" s="17">
        <f>'Detailed P&amp;L'!AB21</f>
        <v>0</v>
      </c>
      <c r="AC21" s="17">
        <f>'Detailed P&amp;L'!AC21</f>
        <v>0</v>
      </c>
      <c r="AD21" s="17">
        <f>'Detailed P&amp;L'!AD21</f>
        <v>0</v>
      </c>
      <c r="AE21" s="17">
        <f>'Detailed P&amp;L'!AE21</f>
        <v>0</v>
      </c>
      <c r="AF21" s="17">
        <f>'Detailed P&amp;L'!AF21</f>
        <v>0</v>
      </c>
      <c r="AG21" s="17">
        <f>'Detailed P&amp;L'!AG21</f>
        <v>0</v>
      </c>
      <c r="AH21" s="17">
        <f>'Detailed P&amp;L'!AH21</f>
        <v>0</v>
      </c>
      <c r="AI21" s="17">
        <f>'Detailed P&amp;L'!AI21</f>
        <v>0</v>
      </c>
      <c r="AJ21" s="17">
        <f>'Detailed P&amp;L'!AJ21</f>
        <v>0</v>
      </c>
      <c r="AK21" s="17">
        <f>'Detailed P&amp;L'!AK21</f>
        <v>0</v>
      </c>
      <c r="AL21" s="193">
        <f>'Detailed P&amp;L'!AL21</f>
        <v>0</v>
      </c>
      <c r="AN21" s="222">
        <f ca="1">'Detailed P&amp;L'!AN21</f>
        <v>0</v>
      </c>
      <c r="AO21" s="17">
        <f ca="1">'Detailed P&amp;L'!AO21</f>
        <v>0</v>
      </c>
      <c r="AP21" s="17">
        <f ca="1">'Detailed P&amp;L'!AP21</f>
        <v>0</v>
      </c>
      <c r="AQ21" s="17">
        <f ca="1">'Detailed P&amp;L'!AQ21</f>
        <v>0</v>
      </c>
      <c r="AR21" s="17">
        <f ca="1">'Detailed P&amp;L'!AR21</f>
        <v>0</v>
      </c>
      <c r="AS21" s="17">
        <f ca="1">'Detailed P&amp;L'!AS21</f>
        <v>0</v>
      </c>
      <c r="AT21" s="17">
        <f ca="1">'Detailed P&amp;L'!AT21</f>
        <v>0</v>
      </c>
      <c r="AU21" s="17">
        <f ca="1">'Detailed P&amp;L'!AU21</f>
        <v>0</v>
      </c>
      <c r="AV21" s="17">
        <f ca="1">'Detailed P&amp;L'!AV21</f>
        <v>0</v>
      </c>
      <c r="AW21" s="17">
        <f ca="1">'Detailed P&amp;L'!AW21</f>
        <v>0</v>
      </c>
      <c r="AX21" s="17">
        <f ca="1">'Detailed P&amp;L'!AX21</f>
        <v>0</v>
      </c>
      <c r="AY21" s="193">
        <f ca="1">'Detailed P&amp;L'!AY21</f>
        <v>0</v>
      </c>
      <c r="BA21" s="222">
        <f ca="1">'Detailed P&amp;L'!BA21</f>
        <v>0</v>
      </c>
      <c r="BB21" s="17">
        <f ca="1">'Detailed P&amp;L'!BB21</f>
        <v>0</v>
      </c>
      <c r="BC21" s="193">
        <f ca="1">'Detailed P&amp;L'!BC21</f>
        <v>0</v>
      </c>
    </row>
    <row r="22" spans="2:55" x14ac:dyDescent="0.35">
      <c r="B22" s="18" t="s">
        <v>9</v>
      </c>
      <c r="C22" s="19">
        <f t="shared" ref="C22:Y22" si="6">SUM(C14:C19)</f>
        <v>0</v>
      </c>
      <c r="D22" s="19">
        <f t="shared" si="6"/>
        <v>0</v>
      </c>
      <c r="E22" s="19">
        <f t="shared" si="6"/>
        <v>0</v>
      </c>
      <c r="F22" s="19">
        <f t="shared" si="6"/>
        <v>0</v>
      </c>
      <c r="G22" s="19">
        <f t="shared" si="6"/>
        <v>0</v>
      </c>
      <c r="H22" s="19">
        <f t="shared" si="6"/>
        <v>0</v>
      </c>
      <c r="I22" s="19">
        <f t="shared" si="6"/>
        <v>0</v>
      </c>
      <c r="J22" s="19">
        <f t="shared" si="6"/>
        <v>0</v>
      </c>
      <c r="K22" s="19">
        <f t="shared" si="6"/>
        <v>0</v>
      </c>
      <c r="L22" s="19">
        <f t="shared" si="6"/>
        <v>0</v>
      </c>
      <c r="M22" s="19">
        <f t="shared" si="6"/>
        <v>0</v>
      </c>
      <c r="N22" s="19">
        <f t="shared" si="6"/>
        <v>0</v>
      </c>
      <c r="O22" s="19">
        <f t="shared" si="6"/>
        <v>0</v>
      </c>
      <c r="P22" s="19">
        <f t="shared" si="6"/>
        <v>0</v>
      </c>
      <c r="Q22" s="19">
        <f t="shared" si="6"/>
        <v>0</v>
      </c>
      <c r="R22" s="19">
        <f t="shared" si="6"/>
        <v>0</v>
      </c>
      <c r="S22" s="19">
        <f t="shared" si="6"/>
        <v>0</v>
      </c>
      <c r="T22" s="19">
        <f t="shared" si="6"/>
        <v>0</v>
      </c>
      <c r="U22" s="19">
        <f t="shared" si="6"/>
        <v>0</v>
      </c>
      <c r="V22" s="19">
        <f t="shared" si="6"/>
        <v>0</v>
      </c>
      <c r="W22" s="19">
        <f t="shared" si="6"/>
        <v>0</v>
      </c>
      <c r="X22" s="19">
        <f t="shared" si="6"/>
        <v>0</v>
      </c>
      <c r="Y22" s="19">
        <f t="shared" si="6"/>
        <v>0</v>
      </c>
      <c r="Z22" s="19">
        <f t="shared" ref="Z22:AL22" si="7">SUM(Z14:Z19)</f>
        <v>0</v>
      </c>
      <c r="AA22" s="19">
        <f t="shared" si="7"/>
        <v>0</v>
      </c>
      <c r="AB22" s="19">
        <f t="shared" si="7"/>
        <v>0</v>
      </c>
      <c r="AC22" s="19">
        <f t="shared" si="7"/>
        <v>0</v>
      </c>
      <c r="AD22" s="19">
        <f t="shared" si="7"/>
        <v>0</v>
      </c>
      <c r="AE22" s="19">
        <f t="shared" si="7"/>
        <v>0</v>
      </c>
      <c r="AF22" s="19">
        <f t="shared" si="7"/>
        <v>0</v>
      </c>
      <c r="AG22" s="19">
        <f t="shared" si="7"/>
        <v>0</v>
      </c>
      <c r="AH22" s="19">
        <f t="shared" si="7"/>
        <v>0</v>
      </c>
      <c r="AI22" s="19">
        <f t="shared" si="7"/>
        <v>0</v>
      </c>
      <c r="AJ22" s="19">
        <f t="shared" si="7"/>
        <v>0</v>
      </c>
      <c r="AK22" s="19">
        <f t="shared" si="7"/>
        <v>0</v>
      </c>
      <c r="AL22" s="194">
        <f t="shared" si="7"/>
        <v>0</v>
      </c>
      <c r="AN22" s="223">
        <f t="shared" ref="AN22:AT22" ca="1" si="8">SUM(AN14:AN19)</f>
        <v>0</v>
      </c>
      <c r="AO22" s="19">
        <f t="shared" ca="1" si="8"/>
        <v>0</v>
      </c>
      <c r="AP22" s="19">
        <f t="shared" ca="1" si="8"/>
        <v>0</v>
      </c>
      <c r="AQ22" s="19">
        <f t="shared" ca="1" si="8"/>
        <v>0</v>
      </c>
      <c r="AR22" s="19">
        <f t="shared" ca="1" si="8"/>
        <v>0</v>
      </c>
      <c r="AS22" s="19">
        <f t="shared" ca="1" si="8"/>
        <v>0</v>
      </c>
      <c r="AT22" s="19">
        <f t="shared" ca="1" si="8"/>
        <v>0</v>
      </c>
      <c r="AU22" s="19">
        <f t="shared" ref="AU22:AY22" ca="1" si="9">SUM(AU14:AU19)</f>
        <v>0</v>
      </c>
      <c r="AV22" s="19">
        <f t="shared" ca="1" si="9"/>
        <v>0</v>
      </c>
      <c r="AW22" s="19">
        <f t="shared" ca="1" si="9"/>
        <v>0</v>
      </c>
      <c r="AX22" s="19">
        <f t="shared" ca="1" si="9"/>
        <v>0</v>
      </c>
      <c r="AY22" s="194">
        <f t="shared" ca="1" si="9"/>
        <v>0</v>
      </c>
      <c r="BA22" s="223">
        <f t="shared" ref="BA22" ca="1" si="10">SUM(BA14:BA19)</f>
        <v>0</v>
      </c>
      <c r="BB22" s="19">
        <f t="shared" ref="BB22:BC22" ca="1" si="11">SUM(BB14:BB19)</f>
        <v>0</v>
      </c>
      <c r="BC22" s="194">
        <f t="shared" ca="1" si="11"/>
        <v>0</v>
      </c>
    </row>
    <row r="23" spans="2:55" x14ac:dyDescent="0.35">
      <c r="B23" s="18"/>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4"/>
      <c r="AN23" s="223"/>
      <c r="AO23" s="19"/>
      <c r="AP23" s="19"/>
      <c r="AQ23" s="19"/>
      <c r="AR23" s="19"/>
      <c r="AS23" s="19"/>
      <c r="AT23" s="19"/>
      <c r="AU23" s="19"/>
      <c r="AV23" s="19"/>
      <c r="AW23" s="19"/>
      <c r="AX23" s="19"/>
      <c r="AY23" s="194"/>
      <c r="BA23" s="223"/>
      <c r="BB23" s="19"/>
      <c r="BC23" s="194"/>
    </row>
    <row r="24" spans="2:55" x14ac:dyDescent="0.35">
      <c r="B24" s="18" t="s">
        <v>10</v>
      </c>
      <c r="C24" s="19">
        <f>'Detailed P&amp;L'!C24</f>
        <v>0</v>
      </c>
      <c r="D24" s="19">
        <f>'Detailed P&amp;L'!D24</f>
        <v>0</v>
      </c>
      <c r="E24" s="19">
        <f>'Detailed P&amp;L'!E24</f>
        <v>0</v>
      </c>
      <c r="F24" s="19">
        <f>'Detailed P&amp;L'!F24</f>
        <v>0</v>
      </c>
      <c r="G24" s="19">
        <f>'Detailed P&amp;L'!G24</f>
        <v>0</v>
      </c>
      <c r="H24" s="19">
        <f>'Detailed P&amp;L'!H24</f>
        <v>0</v>
      </c>
      <c r="I24" s="19">
        <f>'Detailed P&amp;L'!I24</f>
        <v>0</v>
      </c>
      <c r="J24" s="19">
        <f>'Detailed P&amp;L'!J24</f>
        <v>0</v>
      </c>
      <c r="K24" s="19">
        <f>'Detailed P&amp;L'!K24</f>
        <v>0</v>
      </c>
      <c r="L24" s="19">
        <f>'Detailed P&amp;L'!L24</f>
        <v>0</v>
      </c>
      <c r="M24" s="19">
        <f>'Detailed P&amp;L'!M24</f>
        <v>0</v>
      </c>
      <c r="N24" s="19">
        <f>'Detailed P&amp;L'!N24</f>
        <v>0</v>
      </c>
      <c r="O24" s="19">
        <f>'Detailed P&amp;L'!O24</f>
        <v>0</v>
      </c>
      <c r="P24" s="19">
        <f>'Detailed P&amp;L'!P24</f>
        <v>0</v>
      </c>
      <c r="Q24" s="19">
        <f>'Detailed P&amp;L'!Q24</f>
        <v>0</v>
      </c>
      <c r="R24" s="19">
        <f>'Detailed P&amp;L'!R24</f>
        <v>0</v>
      </c>
      <c r="S24" s="19">
        <f>'Detailed P&amp;L'!S24</f>
        <v>0</v>
      </c>
      <c r="T24" s="19">
        <f>'Detailed P&amp;L'!T24</f>
        <v>0</v>
      </c>
      <c r="U24" s="19">
        <f>'Detailed P&amp;L'!U24</f>
        <v>0</v>
      </c>
      <c r="V24" s="19">
        <f>'Detailed P&amp;L'!V24</f>
        <v>0</v>
      </c>
      <c r="W24" s="19">
        <f>'Detailed P&amp;L'!W24</f>
        <v>0</v>
      </c>
      <c r="X24" s="19">
        <f>'Detailed P&amp;L'!X24</f>
        <v>0</v>
      </c>
      <c r="Y24" s="19">
        <f>'Detailed P&amp;L'!Y24</f>
        <v>0</v>
      </c>
      <c r="Z24" s="19">
        <f>'Detailed P&amp;L'!Z24</f>
        <v>0</v>
      </c>
      <c r="AA24" s="19">
        <f>'Detailed P&amp;L'!AA24</f>
        <v>0</v>
      </c>
      <c r="AB24" s="19">
        <f>'Detailed P&amp;L'!AB24</f>
        <v>0</v>
      </c>
      <c r="AC24" s="19">
        <f>'Detailed P&amp;L'!AC24</f>
        <v>0</v>
      </c>
      <c r="AD24" s="19">
        <f>'Detailed P&amp;L'!AD24</f>
        <v>0</v>
      </c>
      <c r="AE24" s="19">
        <f>'Detailed P&amp;L'!AE24</f>
        <v>0</v>
      </c>
      <c r="AF24" s="19">
        <f>'Detailed P&amp;L'!AF24</f>
        <v>0</v>
      </c>
      <c r="AG24" s="19">
        <f>'Detailed P&amp;L'!AG24</f>
        <v>0</v>
      </c>
      <c r="AH24" s="19">
        <f>'Detailed P&amp;L'!AH24</f>
        <v>0</v>
      </c>
      <c r="AI24" s="19">
        <f>'Detailed P&amp;L'!AI24</f>
        <v>0</v>
      </c>
      <c r="AJ24" s="19">
        <f>'Detailed P&amp;L'!AJ24</f>
        <v>0</v>
      </c>
      <c r="AK24" s="19">
        <f>'Detailed P&amp;L'!AK24</f>
        <v>0</v>
      </c>
      <c r="AL24" s="194">
        <f>'Detailed P&amp;L'!AL24</f>
        <v>0</v>
      </c>
      <c r="AN24" s="223">
        <f ca="1">'Detailed P&amp;L'!AN24</f>
        <v>0</v>
      </c>
      <c r="AO24" s="19">
        <f ca="1">'Detailed P&amp;L'!AO24</f>
        <v>0</v>
      </c>
      <c r="AP24" s="19">
        <f ca="1">'Detailed P&amp;L'!AP24</f>
        <v>0</v>
      </c>
      <c r="AQ24" s="19">
        <f ca="1">'Detailed P&amp;L'!AQ24</f>
        <v>0</v>
      </c>
      <c r="AR24" s="19">
        <f ca="1">'Detailed P&amp;L'!AR24</f>
        <v>0</v>
      </c>
      <c r="AS24" s="19">
        <f ca="1">'Detailed P&amp;L'!AS24</f>
        <v>0</v>
      </c>
      <c r="AT24" s="19">
        <f ca="1">'Detailed P&amp;L'!AT24</f>
        <v>0</v>
      </c>
      <c r="AU24" s="19">
        <f ca="1">'Detailed P&amp;L'!AU24</f>
        <v>0</v>
      </c>
      <c r="AV24" s="19">
        <f ca="1">'Detailed P&amp;L'!AV24</f>
        <v>0</v>
      </c>
      <c r="AW24" s="19">
        <f ca="1">'Detailed P&amp;L'!AW24</f>
        <v>0</v>
      </c>
      <c r="AX24" s="19">
        <f ca="1">'Detailed P&amp;L'!AX24</f>
        <v>0</v>
      </c>
      <c r="AY24" s="194">
        <f ca="1">'Detailed P&amp;L'!AY24</f>
        <v>0</v>
      </c>
      <c r="BA24" s="223">
        <f ca="1">'Detailed P&amp;L'!BA24</f>
        <v>0</v>
      </c>
      <c r="BB24" s="19">
        <f ca="1">'Detailed P&amp;L'!BB24</f>
        <v>0</v>
      </c>
      <c r="BC24" s="194">
        <f ca="1">'Detailed P&amp;L'!BC24</f>
        <v>0</v>
      </c>
    </row>
    <row r="25" spans="2:55" x14ac:dyDescent="0.35">
      <c r="B25" s="20"/>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195"/>
      <c r="AN25" s="224"/>
      <c r="AO25" s="21"/>
      <c r="AP25" s="21"/>
      <c r="AQ25" s="21"/>
      <c r="AR25" s="21"/>
      <c r="AS25" s="21"/>
      <c r="AT25" s="21"/>
      <c r="AU25" s="21"/>
      <c r="AV25" s="21"/>
      <c r="AW25" s="21"/>
      <c r="AX25" s="21"/>
      <c r="AY25" s="195"/>
      <c r="BA25" s="224"/>
      <c r="BB25" s="21"/>
      <c r="BC25" s="195"/>
    </row>
    <row r="26" spans="2:55" x14ac:dyDescent="0.35">
      <c r="B26" s="22" t="s">
        <v>11</v>
      </c>
      <c r="C26" s="23">
        <f>'Detailed P&amp;L'!C26</f>
        <v>0</v>
      </c>
      <c r="D26" s="23">
        <f>'Detailed P&amp;L'!D26</f>
        <v>0</v>
      </c>
      <c r="E26" s="23">
        <f>'Detailed P&amp;L'!E26</f>
        <v>0</v>
      </c>
      <c r="F26" s="23">
        <f>'Detailed P&amp;L'!F26</f>
        <v>0</v>
      </c>
      <c r="G26" s="23">
        <f>'Detailed P&amp;L'!G26</f>
        <v>0</v>
      </c>
      <c r="H26" s="23">
        <f>'Detailed P&amp;L'!H26</f>
        <v>0</v>
      </c>
      <c r="I26" s="23">
        <f>'Detailed P&amp;L'!I26</f>
        <v>0</v>
      </c>
      <c r="J26" s="23">
        <f>'Detailed P&amp;L'!J26</f>
        <v>0</v>
      </c>
      <c r="K26" s="23">
        <f>'Detailed P&amp;L'!K26</f>
        <v>0</v>
      </c>
      <c r="L26" s="23">
        <f>'Detailed P&amp;L'!L26</f>
        <v>0</v>
      </c>
      <c r="M26" s="23">
        <f>'Detailed P&amp;L'!M26</f>
        <v>0</v>
      </c>
      <c r="N26" s="23">
        <f>'Detailed P&amp;L'!N26</f>
        <v>0</v>
      </c>
      <c r="O26" s="23">
        <f>'Detailed P&amp;L'!O26</f>
        <v>0</v>
      </c>
      <c r="P26" s="23">
        <f>'Detailed P&amp;L'!P26</f>
        <v>0</v>
      </c>
      <c r="Q26" s="23">
        <f>'Detailed P&amp;L'!Q26</f>
        <v>0</v>
      </c>
      <c r="R26" s="23">
        <f>'Detailed P&amp;L'!R26</f>
        <v>0</v>
      </c>
      <c r="S26" s="23">
        <f>'Detailed P&amp;L'!S26</f>
        <v>0</v>
      </c>
      <c r="T26" s="23">
        <f>'Detailed P&amp;L'!T26</f>
        <v>0</v>
      </c>
      <c r="U26" s="23">
        <f>'Detailed P&amp;L'!U26</f>
        <v>0</v>
      </c>
      <c r="V26" s="23">
        <f>'Detailed P&amp;L'!V26</f>
        <v>0</v>
      </c>
      <c r="W26" s="23">
        <f>'Detailed P&amp;L'!W26</f>
        <v>0</v>
      </c>
      <c r="X26" s="23">
        <f>'Detailed P&amp;L'!X26</f>
        <v>0</v>
      </c>
      <c r="Y26" s="23">
        <f>'Detailed P&amp;L'!Y26</f>
        <v>0</v>
      </c>
      <c r="Z26" s="23">
        <f>'Detailed P&amp;L'!Z26</f>
        <v>0</v>
      </c>
      <c r="AA26" s="23">
        <f>'Detailed P&amp;L'!AA26</f>
        <v>0</v>
      </c>
      <c r="AB26" s="23">
        <f>'Detailed P&amp;L'!AB26</f>
        <v>0</v>
      </c>
      <c r="AC26" s="23">
        <f>'Detailed P&amp;L'!AC26</f>
        <v>0</v>
      </c>
      <c r="AD26" s="23">
        <f>'Detailed P&amp;L'!AD26</f>
        <v>0</v>
      </c>
      <c r="AE26" s="23">
        <f>'Detailed P&amp;L'!AE26</f>
        <v>0</v>
      </c>
      <c r="AF26" s="23">
        <f>'Detailed P&amp;L'!AF26</f>
        <v>0</v>
      </c>
      <c r="AG26" s="23">
        <f>'Detailed P&amp;L'!AG26</f>
        <v>0</v>
      </c>
      <c r="AH26" s="23">
        <f>'Detailed P&amp;L'!AH26</f>
        <v>0</v>
      </c>
      <c r="AI26" s="23">
        <f>'Detailed P&amp;L'!AI26</f>
        <v>0</v>
      </c>
      <c r="AJ26" s="23">
        <f>'Detailed P&amp;L'!AJ26</f>
        <v>0</v>
      </c>
      <c r="AK26" s="23">
        <f>'Detailed P&amp;L'!AK26</f>
        <v>0</v>
      </c>
      <c r="AL26" s="196">
        <f>'Detailed P&amp;L'!AL26</f>
        <v>0</v>
      </c>
      <c r="AN26" s="225">
        <f ca="1">'Detailed P&amp;L'!AN26</f>
        <v>0</v>
      </c>
      <c r="AO26" s="23">
        <f ca="1">'Detailed P&amp;L'!AO26</f>
        <v>0</v>
      </c>
      <c r="AP26" s="23">
        <f ca="1">'Detailed P&amp;L'!AP26</f>
        <v>0</v>
      </c>
      <c r="AQ26" s="23">
        <f ca="1">'Detailed P&amp;L'!AQ26</f>
        <v>0</v>
      </c>
      <c r="AR26" s="23">
        <f ca="1">'Detailed P&amp;L'!AR26</f>
        <v>0</v>
      </c>
      <c r="AS26" s="23">
        <f ca="1">'Detailed P&amp;L'!AS26</f>
        <v>0</v>
      </c>
      <c r="AT26" s="23">
        <f ca="1">'Detailed P&amp;L'!AT26</f>
        <v>0</v>
      </c>
      <c r="AU26" s="23">
        <f ca="1">'Detailed P&amp;L'!AU26</f>
        <v>0</v>
      </c>
      <c r="AV26" s="23">
        <f ca="1">'Detailed P&amp;L'!AV26</f>
        <v>0</v>
      </c>
      <c r="AW26" s="23">
        <f ca="1">'Detailed P&amp;L'!AW26</f>
        <v>0</v>
      </c>
      <c r="AX26" s="23">
        <f ca="1">'Detailed P&amp;L'!AX26</f>
        <v>0</v>
      </c>
      <c r="AY26" s="196">
        <f ca="1">'Detailed P&amp;L'!AY26</f>
        <v>0</v>
      </c>
      <c r="BA26" s="225">
        <f ca="1">'Detailed P&amp;L'!BA26</f>
        <v>0</v>
      </c>
      <c r="BB26" s="23">
        <f ca="1">'Detailed P&amp;L'!BB26</f>
        <v>0</v>
      </c>
      <c r="BC26" s="196">
        <f ca="1">'Detailed P&amp;L'!BC26</f>
        <v>0</v>
      </c>
    </row>
    <row r="27" spans="2:55" x14ac:dyDescent="0.35">
      <c r="B27" s="11" t="s">
        <v>12</v>
      </c>
      <c r="C27" s="24">
        <f>'Detailed P&amp;L'!C27</f>
        <v>0</v>
      </c>
      <c r="D27" s="24">
        <f>'Detailed P&amp;L'!D27</f>
        <v>0</v>
      </c>
      <c r="E27" s="24">
        <f>'Detailed P&amp;L'!E27</f>
        <v>0</v>
      </c>
      <c r="F27" s="24">
        <f>'Detailed P&amp;L'!F27</f>
        <v>0</v>
      </c>
      <c r="G27" s="24">
        <f>'Detailed P&amp;L'!G27</f>
        <v>0</v>
      </c>
      <c r="H27" s="24">
        <f>'Detailed P&amp;L'!H27</f>
        <v>0</v>
      </c>
      <c r="I27" s="24">
        <f>'Detailed P&amp;L'!I27</f>
        <v>0</v>
      </c>
      <c r="J27" s="24">
        <f>'Detailed P&amp;L'!J27</f>
        <v>0</v>
      </c>
      <c r="K27" s="24">
        <f>'Detailed P&amp;L'!K27</f>
        <v>0</v>
      </c>
      <c r="L27" s="24">
        <f>'Detailed P&amp;L'!L27</f>
        <v>0</v>
      </c>
      <c r="M27" s="24">
        <f>'Detailed P&amp;L'!M27</f>
        <v>0</v>
      </c>
      <c r="N27" s="24">
        <f>'Detailed P&amp;L'!N27</f>
        <v>0</v>
      </c>
      <c r="O27" s="24">
        <f>'Detailed P&amp;L'!O27</f>
        <v>0</v>
      </c>
      <c r="P27" s="24">
        <f>'Detailed P&amp;L'!P27</f>
        <v>0</v>
      </c>
      <c r="Q27" s="24">
        <f>'Detailed P&amp;L'!Q27</f>
        <v>0</v>
      </c>
      <c r="R27" s="24">
        <f>'Detailed P&amp;L'!R27</f>
        <v>0</v>
      </c>
      <c r="S27" s="24">
        <f>'Detailed P&amp;L'!S27</f>
        <v>0</v>
      </c>
      <c r="T27" s="24">
        <f>'Detailed P&amp;L'!T27</f>
        <v>0</v>
      </c>
      <c r="U27" s="24">
        <f>'Detailed P&amp;L'!U27</f>
        <v>0</v>
      </c>
      <c r="V27" s="24">
        <f>'Detailed P&amp;L'!V27</f>
        <v>0</v>
      </c>
      <c r="W27" s="24">
        <f>'Detailed P&amp;L'!W27</f>
        <v>0</v>
      </c>
      <c r="X27" s="24">
        <f>'Detailed P&amp;L'!X27</f>
        <v>0</v>
      </c>
      <c r="Y27" s="24">
        <f>'Detailed P&amp;L'!Y27</f>
        <v>0</v>
      </c>
      <c r="Z27" s="24">
        <f>'Detailed P&amp;L'!Z27</f>
        <v>0</v>
      </c>
      <c r="AA27" s="24">
        <f>'Detailed P&amp;L'!AA27</f>
        <v>0</v>
      </c>
      <c r="AB27" s="24">
        <f>'Detailed P&amp;L'!AB27</f>
        <v>0</v>
      </c>
      <c r="AC27" s="24">
        <f>'Detailed P&amp;L'!AC27</f>
        <v>0</v>
      </c>
      <c r="AD27" s="24">
        <f>'Detailed P&amp;L'!AD27</f>
        <v>0</v>
      </c>
      <c r="AE27" s="24">
        <f>'Detailed P&amp;L'!AE27</f>
        <v>0</v>
      </c>
      <c r="AF27" s="24">
        <f>'Detailed P&amp;L'!AF27</f>
        <v>0</v>
      </c>
      <c r="AG27" s="24">
        <f>'Detailed P&amp;L'!AG27</f>
        <v>0</v>
      </c>
      <c r="AH27" s="24">
        <f>'Detailed P&amp;L'!AH27</f>
        <v>0</v>
      </c>
      <c r="AI27" s="24">
        <f>'Detailed P&amp;L'!AI27</f>
        <v>0</v>
      </c>
      <c r="AJ27" s="24">
        <f>'Detailed P&amp;L'!AJ27</f>
        <v>0</v>
      </c>
      <c r="AK27" s="24">
        <f>'Detailed P&amp;L'!AK27</f>
        <v>0</v>
      </c>
      <c r="AL27" s="197">
        <f>'Detailed P&amp;L'!AL27</f>
        <v>0</v>
      </c>
      <c r="AN27" s="226">
        <f ca="1">'Detailed P&amp;L'!AN27</f>
        <v>0</v>
      </c>
      <c r="AO27" s="24">
        <f ca="1">'Detailed P&amp;L'!AO27</f>
        <v>0</v>
      </c>
      <c r="AP27" s="24">
        <f ca="1">'Detailed P&amp;L'!AP27</f>
        <v>0</v>
      </c>
      <c r="AQ27" s="24">
        <f ca="1">'Detailed P&amp;L'!AQ27</f>
        <v>0</v>
      </c>
      <c r="AR27" s="24">
        <f ca="1">'Detailed P&amp;L'!AR27</f>
        <v>0</v>
      </c>
      <c r="AS27" s="24">
        <f ca="1">'Detailed P&amp;L'!AS27</f>
        <v>0</v>
      </c>
      <c r="AT27" s="24">
        <f ca="1">'Detailed P&amp;L'!AT27</f>
        <v>0</v>
      </c>
      <c r="AU27" s="24">
        <f ca="1">'Detailed P&amp;L'!AU27</f>
        <v>0</v>
      </c>
      <c r="AV27" s="24">
        <f ca="1">'Detailed P&amp;L'!AV27</f>
        <v>0</v>
      </c>
      <c r="AW27" s="24">
        <f ca="1">'Detailed P&amp;L'!AW27</f>
        <v>0</v>
      </c>
      <c r="AX27" s="24">
        <f ca="1">'Detailed P&amp;L'!AX27</f>
        <v>0</v>
      </c>
      <c r="AY27" s="197">
        <f ca="1">'Detailed P&amp;L'!AY27</f>
        <v>0</v>
      </c>
      <c r="BA27" s="226">
        <f ca="1">'Detailed P&amp;L'!BA27</f>
        <v>0</v>
      </c>
      <c r="BB27" s="24">
        <f ca="1">'Detailed P&amp;L'!BB27</f>
        <v>0</v>
      </c>
      <c r="BC27" s="197">
        <f ca="1">'Detailed P&amp;L'!BC27</f>
        <v>0</v>
      </c>
    </row>
    <row r="28" spans="2:55" ht="15" x14ac:dyDescent="0.4">
      <c r="B28" s="25" t="s">
        <v>13</v>
      </c>
      <c r="C28" s="26">
        <f>'Detailed P&amp;L'!C28</f>
        <v>0</v>
      </c>
      <c r="D28" s="26">
        <f>'Detailed P&amp;L'!D28</f>
        <v>0</v>
      </c>
      <c r="E28" s="26">
        <f>'Detailed P&amp;L'!E28</f>
        <v>0</v>
      </c>
      <c r="F28" s="26">
        <f>'Detailed P&amp;L'!F28</f>
        <v>0</v>
      </c>
      <c r="G28" s="26">
        <f>'Detailed P&amp;L'!G28</f>
        <v>0</v>
      </c>
      <c r="H28" s="26">
        <f>'Detailed P&amp;L'!H28</f>
        <v>0</v>
      </c>
      <c r="I28" s="26">
        <f>'Detailed P&amp;L'!I28</f>
        <v>0</v>
      </c>
      <c r="J28" s="26">
        <f>'Detailed P&amp;L'!J28</f>
        <v>0</v>
      </c>
      <c r="K28" s="26">
        <f>'Detailed P&amp;L'!K28</f>
        <v>0</v>
      </c>
      <c r="L28" s="26">
        <f>'Detailed P&amp;L'!L28</f>
        <v>0</v>
      </c>
      <c r="M28" s="26">
        <f>'Detailed P&amp;L'!M28</f>
        <v>0</v>
      </c>
      <c r="N28" s="26">
        <f>'Detailed P&amp;L'!N28</f>
        <v>0</v>
      </c>
      <c r="O28" s="26">
        <f>'Detailed P&amp;L'!O28</f>
        <v>0</v>
      </c>
      <c r="P28" s="26">
        <f>'Detailed P&amp;L'!P28</f>
        <v>0</v>
      </c>
      <c r="Q28" s="26">
        <f>'Detailed P&amp;L'!Q28</f>
        <v>0</v>
      </c>
      <c r="R28" s="26">
        <f>'Detailed P&amp;L'!R28</f>
        <v>0</v>
      </c>
      <c r="S28" s="26">
        <f>'Detailed P&amp;L'!S28</f>
        <v>0</v>
      </c>
      <c r="T28" s="26">
        <f>'Detailed P&amp;L'!T28</f>
        <v>0</v>
      </c>
      <c r="U28" s="26">
        <f>'Detailed P&amp;L'!U28</f>
        <v>0</v>
      </c>
      <c r="V28" s="26">
        <f>'Detailed P&amp;L'!V28</f>
        <v>0</v>
      </c>
      <c r="W28" s="26">
        <f>'Detailed P&amp;L'!W28</f>
        <v>0</v>
      </c>
      <c r="X28" s="26">
        <f>'Detailed P&amp;L'!X28</f>
        <v>0</v>
      </c>
      <c r="Y28" s="26">
        <f>'Detailed P&amp;L'!Y28</f>
        <v>0</v>
      </c>
      <c r="Z28" s="26">
        <f>'Detailed P&amp;L'!Z28</f>
        <v>0</v>
      </c>
      <c r="AA28" s="26">
        <f>'Detailed P&amp;L'!AA28</f>
        <v>0</v>
      </c>
      <c r="AB28" s="26">
        <f>'Detailed P&amp;L'!AB28</f>
        <v>0</v>
      </c>
      <c r="AC28" s="26">
        <f>'Detailed P&amp;L'!AC28</f>
        <v>0</v>
      </c>
      <c r="AD28" s="26">
        <f>'Detailed P&amp;L'!AD28</f>
        <v>0</v>
      </c>
      <c r="AE28" s="26">
        <f>'Detailed P&amp;L'!AE28</f>
        <v>0</v>
      </c>
      <c r="AF28" s="26">
        <f>'Detailed P&amp;L'!AF28</f>
        <v>0</v>
      </c>
      <c r="AG28" s="26">
        <f>'Detailed P&amp;L'!AG28</f>
        <v>0</v>
      </c>
      <c r="AH28" s="26">
        <f>'Detailed P&amp;L'!AH28</f>
        <v>0</v>
      </c>
      <c r="AI28" s="26">
        <f>'Detailed P&amp;L'!AI28</f>
        <v>0</v>
      </c>
      <c r="AJ28" s="26">
        <f>'Detailed P&amp;L'!AJ28</f>
        <v>0</v>
      </c>
      <c r="AK28" s="26">
        <f>'Detailed P&amp;L'!AK28</f>
        <v>0</v>
      </c>
      <c r="AL28" s="198">
        <f>'Detailed P&amp;L'!AL28</f>
        <v>0</v>
      </c>
      <c r="AN28" s="227">
        <f ca="1">'Detailed P&amp;L'!AN28</f>
        <v>0</v>
      </c>
      <c r="AO28" s="26">
        <f ca="1">'Detailed P&amp;L'!AO28</f>
        <v>0</v>
      </c>
      <c r="AP28" s="26">
        <f ca="1">'Detailed P&amp;L'!AP28</f>
        <v>0</v>
      </c>
      <c r="AQ28" s="26">
        <f ca="1">'Detailed P&amp;L'!AQ28</f>
        <v>0</v>
      </c>
      <c r="AR28" s="26">
        <f ca="1">'Detailed P&amp;L'!AR28</f>
        <v>0</v>
      </c>
      <c r="AS28" s="26">
        <f ca="1">'Detailed P&amp;L'!AS28</f>
        <v>0</v>
      </c>
      <c r="AT28" s="26">
        <f ca="1">'Detailed P&amp;L'!AT28</f>
        <v>0</v>
      </c>
      <c r="AU28" s="26">
        <f ca="1">'Detailed P&amp;L'!AU28</f>
        <v>0</v>
      </c>
      <c r="AV28" s="26">
        <f ca="1">'Detailed P&amp;L'!AV28</f>
        <v>0</v>
      </c>
      <c r="AW28" s="26">
        <f ca="1">'Detailed P&amp;L'!AW28</f>
        <v>0</v>
      </c>
      <c r="AX28" s="26">
        <f ca="1">'Detailed P&amp;L'!AX28</f>
        <v>0</v>
      </c>
      <c r="AY28" s="198">
        <f ca="1">'Detailed P&amp;L'!AY28</f>
        <v>0</v>
      </c>
      <c r="BA28" s="227">
        <f ca="1">'Detailed P&amp;L'!BA28</f>
        <v>0</v>
      </c>
      <c r="BB28" s="26">
        <f ca="1">'Detailed P&amp;L'!BB28</f>
        <v>0</v>
      </c>
      <c r="BC28" s="198">
        <f ca="1">'Detailed P&amp;L'!BC28</f>
        <v>0</v>
      </c>
    </row>
    <row r="29" spans="2:55" x14ac:dyDescent="0.35">
      <c r="B29" s="18" t="s">
        <v>14</v>
      </c>
      <c r="C29" s="19">
        <f>'Detailed P&amp;L'!C29</f>
        <v>0</v>
      </c>
      <c r="D29" s="19">
        <f>'Detailed P&amp;L'!D29</f>
        <v>0</v>
      </c>
      <c r="E29" s="19">
        <f>'Detailed P&amp;L'!E29</f>
        <v>0</v>
      </c>
      <c r="F29" s="19">
        <f>'Detailed P&amp;L'!F29</f>
        <v>0</v>
      </c>
      <c r="G29" s="19">
        <f>'Detailed P&amp;L'!G29</f>
        <v>0</v>
      </c>
      <c r="H29" s="19">
        <f>'Detailed P&amp;L'!H29</f>
        <v>0</v>
      </c>
      <c r="I29" s="19">
        <f>'Detailed P&amp;L'!I29</f>
        <v>0</v>
      </c>
      <c r="J29" s="19">
        <f>'Detailed P&amp;L'!J29</f>
        <v>0</v>
      </c>
      <c r="K29" s="19">
        <f>'Detailed P&amp;L'!K29</f>
        <v>0</v>
      </c>
      <c r="L29" s="19">
        <f>'Detailed P&amp;L'!L29</f>
        <v>0</v>
      </c>
      <c r="M29" s="19">
        <f>'Detailed P&amp;L'!M29</f>
        <v>0</v>
      </c>
      <c r="N29" s="19">
        <f>'Detailed P&amp;L'!N29</f>
        <v>0</v>
      </c>
      <c r="O29" s="19">
        <f>'Detailed P&amp;L'!O29</f>
        <v>0</v>
      </c>
      <c r="P29" s="19">
        <f>'Detailed P&amp;L'!P29</f>
        <v>0</v>
      </c>
      <c r="Q29" s="19">
        <f>'Detailed P&amp;L'!Q29</f>
        <v>0</v>
      </c>
      <c r="R29" s="19">
        <f>'Detailed P&amp;L'!R29</f>
        <v>0</v>
      </c>
      <c r="S29" s="19">
        <f>'Detailed P&amp;L'!S29</f>
        <v>0</v>
      </c>
      <c r="T29" s="19">
        <f>'Detailed P&amp;L'!T29</f>
        <v>0</v>
      </c>
      <c r="U29" s="19">
        <f>'Detailed P&amp;L'!U29</f>
        <v>0</v>
      </c>
      <c r="V29" s="19">
        <f>'Detailed P&amp;L'!V29</f>
        <v>0</v>
      </c>
      <c r="W29" s="19">
        <f>'Detailed P&amp;L'!W29</f>
        <v>0</v>
      </c>
      <c r="X29" s="19">
        <f>'Detailed P&amp;L'!X29</f>
        <v>0</v>
      </c>
      <c r="Y29" s="19">
        <f>'Detailed P&amp;L'!Y29</f>
        <v>0</v>
      </c>
      <c r="Z29" s="19">
        <f>'Detailed P&amp;L'!Z29</f>
        <v>0</v>
      </c>
      <c r="AA29" s="19">
        <f>'Detailed P&amp;L'!AA29</f>
        <v>0</v>
      </c>
      <c r="AB29" s="19">
        <f>'Detailed P&amp;L'!AB29</f>
        <v>0</v>
      </c>
      <c r="AC29" s="19">
        <f>'Detailed P&amp;L'!AC29</f>
        <v>0</v>
      </c>
      <c r="AD29" s="19">
        <f>'Detailed P&amp;L'!AD29</f>
        <v>0</v>
      </c>
      <c r="AE29" s="19">
        <f>'Detailed P&amp;L'!AE29</f>
        <v>0</v>
      </c>
      <c r="AF29" s="19">
        <f>'Detailed P&amp;L'!AF29</f>
        <v>0</v>
      </c>
      <c r="AG29" s="19">
        <f>'Detailed P&amp;L'!AG29</f>
        <v>0</v>
      </c>
      <c r="AH29" s="19">
        <f>'Detailed P&amp;L'!AH29</f>
        <v>0</v>
      </c>
      <c r="AI29" s="19">
        <f>'Detailed P&amp;L'!AI29</f>
        <v>0</v>
      </c>
      <c r="AJ29" s="19">
        <f>'Detailed P&amp;L'!AJ29</f>
        <v>0</v>
      </c>
      <c r="AK29" s="19">
        <f>'Detailed P&amp;L'!AK29</f>
        <v>0</v>
      </c>
      <c r="AL29" s="194">
        <f>'Detailed P&amp;L'!AL29</f>
        <v>0</v>
      </c>
      <c r="AN29" s="223">
        <f ca="1">'Detailed P&amp;L'!AN29</f>
        <v>0</v>
      </c>
      <c r="AO29" s="19">
        <f ca="1">'Detailed P&amp;L'!AO29</f>
        <v>0</v>
      </c>
      <c r="AP29" s="19">
        <f ca="1">'Detailed P&amp;L'!AP29</f>
        <v>0</v>
      </c>
      <c r="AQ29" s="19">
        <f ca="1">'Detailed P&amp;L'!AQ29</f>
        <v>0</v>
      </c>
      <c r="AR29" s="19">
        <f ca="1">'Detailed P&amp;L'!AR29</f>
        <v>0</v>
      </c>
      <c r="AS29" s="19">
        <f ca="1">'Detailed P&amp;L'!AS29</f>
        <v>0</v>
      </c>
      <c r="AT29" s="19">
        <f ca="1">'Detailed P&amp;L'!AT29</f>
        <v>0</v>
      </c>
      <c r="AU29" s="19">
        <f ca="1">'Detailed P&amp;L'!AU29</f>
        <v>0</v>
      </c>
      <c r="AV29" s="19">
        <f ca="1">'Detailed P&amp;L'!AV29</f>
        <v>0</v>
      </c>
      <c r="AW29" s="19">
        <f ca="1">'Detailed P&amp;L'!AW29</f>
        <v>0</v>
      </c>
      <c r="AX29" s="19">
        <f ca="1">'Detailed P&amp;L'!AX29</f>
        <v>0</v>
      </c>
      <c r="AY29" s="194">
        <f ca="1">'Detailed P&amp;L'!AY29</f>
        <v>0</v>
      </c>
      <c r="BA29" s="223">
        <f ca="1">'Detailed P&amp;L'!BA29</f>
        <v>0</v>
      </c>
      <c r="BB29" s="19">
        <f ca="1">'Detailed P&amp;L'!BB29</f>
        <v>0</v>
      </c>
      <c r="BC29" s="194">
        <f ca="1">'Detailed P&amp;L'!BC29</f>
        <v>0</v>
      </c>
    </row>
    <row r="30" spans="2:55" x14ac:dyDescent="0.35">
      <c r="B30" s="27" t="s">
        <v>15</v>
      </c>
      <c r="C30" s="28">
        <f t="shared" ref="C30:Y30" si="12">IFERROR(C29/B29-1,0)</f>
        <v>0</v>
      </c>
      <c r="D30" s="28">
        <f t="shared" si="12"/>
        <v>0</v>
      </c>
      <c r="E30" s="28">
        <f t="shared" si="12"/>
        <v>0</v>
      </c>
      <c r="F30" s="28">
        <f t="shared" si="12"/>
        <v>0</v>
      </c>
      <c r="G30" s="28">
        <f t="shared" si="12"/>
        <v>0</v>
      </c>
      <c r="H30" s="28">
        <f t="shared" si="12"/>
        <v>0</v>
      </c>
      <c r="I30" s="28">
        <f t="shared" si="12"/>
        <v>0</v>
      </c>
      <c r="J30" s="28">
        <f t="shared" si="12"/>
        <v>0</v>
      </c>
      <c r="K30" s="28">
        <f t="shared" si="12"/>
        <v>0</v>
      </c>
      <c r="L30" s="28">
        <f t="shared" si="12"/>
        <v>0</v>
      </c>
      <c r="M30" s="28">
        <f t="shared" si="12"/>
        <v>0</v>
      </c>
      <c r="N30" s="28">
        <f t="shared" si="12"/>
        <v>0</v>
      </c>
      <c r="O30" s="28">
        <f t="shared" si="12"/>
        <v>0</v>
      </c>
      <c r="P30" s="28">
        <f t="shared" si="12"/>
        <v>0</v>
      </c>
      <c r="Q30" s="28">
        <f t="shared" si="12"/>
        <v>0</v>
      </c>
      <c r="R30" s="28">
        <f t="shared" si="12"/>
        <v>0</v>
      </c>
      <c r="S30" s="28">
        <f t="shared" si="12"/>
        <v>0</v>
      </c>
      <c r="T30" s="28">
        <f t="shared" si="12"/>
        <v>0</v>
      </c>
      <c r="U30" s="28">
        <f t="shared" si="12"/>
        <v>0</v>
      </c>
      <c r="V30" s="28">
        <f t="shared" si="12"/>
        <v>0</v>
      </c>
      <c r="W30" s="28">
        <f t="shared" si="12"/>
        <v>0</v>
      </c>
      <c r="X30" s="28">
        <f t="shared" si="12"/>
        <v>0</v>
      </c>
      <c r="Y30" s="28">
        <f t="shared" si="12"/>
        <v>0</v>
      </c>
      <c r="Z30" s="28">
        <f t="shared" ref="Z30" si="13">IFERROR(Z29/Y29-1,0)</f>
        <v>0</v>
      </c>
      <c r="AA30" s="28">
        <f t="shared" ref="AA30" si="14">IFERROR(AA29/Z29-1,0)</f>
        <v>0</v>
      </c>
      <c r="AB30" s="28">
        <f t="shared" ref="AB30" si="15">IFERROR(AB29/AA29-1,0)</f>
        <v>0</v>
      </c>
      <c r="AC30" s="28">
        <f t="shared" ref="AC30" si="16">IFERROR(AC29/AB29-1,0)</f>
        <v>0</v>
      </c>
      <c r="AD30" s="28">
        <f t="shared" ref="AD30" si="17">IFERROR(AD29/AC29-1,0)</f>
        <v>0</v>
      </c>
      <c r="AE30" s="28">
        <f t="shared" ref="AE30" si="18">IFERROR(AE29/AD29-1,0)</f>
        <v>0</v>
      </c>
      <c r="AF30" s="28">
        <f t="shared" ref="AF30" si="19">IFERROR(AF29/AE29-1,0)</f>
        <v>0</v>
      </c>
      <c r="AG30" s="28">
        <f t="shared" ref="AG30" si="20">IFERROR(AG29/AF29-1,0)</f>
        <v>0</v>
      </c>
      <c r="AH30" s="28">
        <f t="shared" ref="AH30" si="21">IFERROR(AH29/AG29-1,0)</f>
        <v>0</v>
      </c>
      <c r="AI30" s="28">
        <f t="shared" ref="AI30" si="22">IFERROR(AI29/AH29-1,0)</f>
        <v>0</v>
      </c>
      <c r="AJ30" s="28">
        <f t="shared" ref="AJ30" si="23">IFERROR(AJ29/AI29-1,0)</f>
        <v>0</v>
      </c>
      <c r="AK30" s="28">
        <f t="shared" ref="AK30" si="24">IFERROR(AK29/AJ29-1,0)</f>
        <v>0</v>
      </c>
      <c r="AL30" s="199">
        <f t="shared" ref="AL30" si="25">IFERROR(AL29/AK29-1,0)</f>
        <v>0</v>
      </c>
      <c r="AN30" s="228">
        <f t="shared" ref="AN30:AT30" ca="1" si="26">IFERROR(AN29/AM29-1,0)</f>
        <v>0</v>
      </c>
      <c r="AO30" s="28">
        <f t="shared" ca="1" si="26"/>
        <v>0</v>
      </c>
      <c r="AP30" s="28">
        <f t="shared" ca="1" si="26"/>
        <v>0</v>
      </c>
      <c r="AQ30" s="28">
        <f t="shared" ca="1" si="26"/>
        <v>0</v>
      </c>
      <c r="AR30" s="28">
        <f t="shared" ca="1" si="26"/>
        <v>0</v>
      </c>
      <c r="AS30" s="28">
        <f t="shared" ca="1" si="26"/>
        <v>0</v>
      </c>
      <c r="AT30" s="28">
        <f t="shared" ca="1" si="26"/>
        <v>0</v>
      </c>
      <c r="AU30" s="28">
        <f t="shared" ref="AU30" ca="1" si="27">IFERROR(AU29/AT29-1,0)</f>
        <v>0</v>
      </c>
      <c r="AV30" s="28">
        <f t="shared" ref="AV30" ca="1" si="28">IFERROR(AV29/AU29-1,0)</f>
        <v>0</v>
      </c>
      <c r="AW30" s="28">
        <f t="shared" ref="AW30" ca="1" si="29">IFERROR(AW29/AV29-1,0)</f>
        <v>0</v>
      </c>
      <c r="AX30" s="28">
        <f t="shared" ref="AX30" ca="1" si="30">IFERROR(AX29/AW29-1,0)</f>
        <v>0</v>
      </c>
      <c r="AY30" s="199">
        <f t="shared" ref="AY30" ca="1" si="31">IFERROR(AY29/AX29-1,0)</f>
        <v>0</v>
      </c>
      <c r="BA30" s="228">
        <f t="shared" ref="BA30" ca="1" si="32">IFERROR(BA29/AZ29-1,0)</f>
        <v>0</v>
      </c>
      <c r="BB30" s="28">
        <f t="shared" ref="BB30" ca="1" si="33">IFERROR(BB29/BA29-1,0)</f>
        <v>0</v>
      </c>
      <c r="BC30" s="199">
        <f t="shared" ref="BC30" ca="1" si="34">IFERROR(BC29/BB29-1,0)</f>
        <v>0</v>
      </c>
    </row>
    <row r="31" spans="2:55" x14ac:dyDescent="0.35">
      <c r="B31" s="29"/>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104"/>
      <c r="AN31" s="115"/>
      <c r="AO31" s="30"/>
      <c r="AP31" s="30"/>
      <c r="AQ31" s="30"/>
      <c r="AR31" s="30"/>
      <c r="AS31" s="30"/>
      <c r="AT31" s="30"/>
      <c r="AU31" s="30"/>
      <c r="AV31" s="30"/>
      <c r="AW31" s="30"/>
      <c r="AX31" s="30"/>
      <c r="AY31" s="104"/>
      <c r="BA31" s="115"/>
      <c r="BB31" s="30"/>
      <c r="BC31" s="104"/>
    </row>
    <row r="32" spans="2:55" x14ac:dyDescent="0.35">
      <c r="B32" s="31" t="s">
        <v>16</v>
      </c>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104"/>
      <c r="AN32" s="115"/>
      <c r="AO32" s="30"/>
      <c r="AP32" s="30"/>
      <c r="AQ32" s="30"/>
      <c r="AR32" s="30"/>
      <c r="AS32" s="30"/>
      <c r="AT32" s="30"/>
      <c r="AU32" s="30"/>
      <c r="AV32" s="30"/>
      <c r="AW32" s="30"/>
      <c r="AX32" s="30"/>
      <c r="AY32" s="104"/>
      <c r="BA32" s="115"/>
      <c r="BB32" s="30"/>
      <c r="BC32" s="104"/>
    </row>
    <row r="33" spans="2:55" x14ac:dyDescent="0.35">
      <c r="B33" s="32" t="s">
        <v>17</v>
      </c>
      <c r="C33" s="33">
        <f>'Detailed P&amp;L'!C144</f>
        <v>0</v>
      </c>
      <c r="D33" s="33">
        <f>'Detailed P&amp;L'!D144</f>
        <v>0</v>
      </c>
      <c r="E33" s="33">
        <f>'Detailed P&amp;L'!E144</f>
        <v>0</v>
      </c>
      <c r="F33" s="33">
        <f>'Detailed P&amp;L'!F144</f>
        <v>0</v>
      </c>
      <c r="G33" s="33">
        <f>'Detailed P&amp;L'!G144</f>
        <v>0</v>
      </c>
      <c r="H33" s="33">
        <f>'Detailed P&amp;L'!H144</f>
        <v>0</v>
      </c>
      <c r="I33" s="33">
        <f>'Detailed P&amp;L'!I144</f>
        <v>0</v>
      </c>
      <c r="J33" s="33">
        <f>'Detailed P&amp;L'!J144</f>
        <v>0</v>
      </c>
      <c r="K33" s="33">
        <f>'Detailed P&amp;L'!K144</f>
        <v>0</v>
      </c>
      <c r="L33" s="33">
        <f>'Detailed P&amp;L'!L144</f>
        <v>0</v>
      </c>
      <c r="M33" s="33">
        <f>'Detailed P&amp;L'!M144</f>
        <v>0</v>
      </c>
      <c r="N33" s="33">
        <f>'Detailed P&amp;L'!N144</f>
        <v>0</v>
      </c>
      <c r="O33" s="33">
        <f>'Detailed P&amp;L'!O144</f>
        <v>0</v>
      </c>
      <c r="P33" s="33">
        <f>'Detailed P&amp;L'!P144</f>
        <v>0</v>
      </c>
      <c r="Q33" s="33">
        <f>'Detailed P&amp;L'!Q144</f>
        <v>0</v>
      </c>
      <c r="R33" s="33">
        <f>'Detailed P&amp;L'!R144</f>
        <v>0</v>
      </c>
      <c r="S33" s="33">
        <f>'Detailed P&amp;L'!S144</f>
        <v>0</v>
      </c>
      <c r="T33" s="33">
        <f>'Detailed P&amp;L'!T144</f>
        <v>0</v>
      </c>
      <c r="U33" s="33">
        <f>'Detailed P&amp;L'!U144</f>
        <v>0</v>
      </c>
      <c r="V33" s="33">
        <f>'Detailed P&amp;L'!V144</f>
        <v>0</v>
      </c>
      <c r="W33" s="33">
        <f>'Detailed P&amp;L'!W144</f>
        <v>0</v>
      </c>
      <c r="X33" s="33">
        <f>'Detailed P&amp;L'!X144</f>
        <v>0</v>
      </c>
      <c r="Y33" s="33">
        <f>'Detailed P&amp;L'!Y144</f>
        <v>0</v>
      </c>
      <c r="Z33" s="33">
        <f>'Detailed P&amp;L'!Z144</f>
        <v>0</v>
      </c>
      <c r="AA33" s="33">
        <f>'Detailed P&amp;L'!AA144</f>
        <v>0</v>
      </c>
      <c r="AB33" s="33">
        <f>'Detailed P&amp;L'!AB144</f>
        <v>0</v>
      </c>
      <c r="AC33" s="33">
        <f>'Detailed P&amp;L'!AC144</f>
        <v>0</v>
      </c>
      <c r="AD33" s="33">
        <f>'Detailed P&amp;L'!AD144</f>
        <v>0</v>
      </c>
      <c r="AE33" s="33">
        <f>'Detailed P&amp;L'!AE144</f>
        <v>0</v>
      </c>
      <c r="AF33" s="33">
        <f>'Detailed P&amp;L'!AF144</f>
        <v>0</v>
      </c>
      <c r="AG33" s="33">
        <f>'Detailed P&amp;L'!AG144</f>
        <v>0</v>
      </c>
      <c r="AH33" s="33">
        <f>'Detailed P&amp;L'!AH144</f>
        <v>0</v>
      </c>
      <c r="AI33" s="33">
        <f>'Detailed P&amp;L'!AI144</f>
        <v>0</v>
      </c>
      <c r="AJ33" s="33">
        <f>'Detailed P&amp;L'!AJ144</f>
        <v>0</v>
      </c>
      <c r="AK33" s="33">
        <f>'Detailed P&amp;L'!AK144</f>
        <v>0</v>
      </c>
      <c r="AL33" s="200">
        <f>'Detailed P&amp;L'!AL144</f>
        <v>0</v>
      </c>
      <c r="AN33" s="229">
        <f ca="1">'Detailed P&amp;L'!AN144</f>
        <v>0</v>
      </c>
      <c r="AO33" s="33">
        <f ca="1">'Detailed P&amp;L'!AO144</f>
        <v>0</v>
      </c>
      <c r="AP33" s="33">
        <f ca="1">'Detailed P&amp;L'!AP144</f>
        <v>0</v>
      </c>
      <c r="AQ33" s="33">
        <f ca="1">'Detailed P&amp;L'!AQ144</f>
        <v>0</v>
      </c>
      <c r="AR33" s="33">
        <f ca="1">'Detailed P&amp;L'!AR144</f>
        <v>0</v>
      </c>
      <c r="AS33" s="33">
        <f ca="1">'Detailed P&amp;L'!AS144</f>
        <v>0</v>
      </c>
      <c r="AT33" s="33">
        <f ca="1">'Detailed P&amp;L'!AT144</f>
        <v>0</v>
      </c>
      <c r="AU33" s="33">
        <f ca="1">'Detailed P&amp;L'!AU144</f>
        <v>0</v>
      </c>
      <c r="AV33" s="33">
        <f ca="1">'Detailed P&amp;L'!AV144</f>
        <v>0</v>
      </c>
      <c r="AW33" s="33">
        <f ca="1">'Detailed P&amp;L'!AW144</f>
        <v>0</v>
      </c>
      <c r="AX33" s="33">
        <f ca="1">'Detailed P&amp;L'!AX144</f>
        <v>0</v>
      </c>
      <c r="AY33" s="200">
        <f ca="1">'Detailed P&amp;L'!AY144</f>
        <v>0</v>
      </c>
      <c r="BA33" s="229">
        <f ca="1">'Detailed P&amp;L'!BA144</f>
        <v>0</v>
      </c>
      <c r="BB33" s="33">
        <f ca="1">'Detailed P&amp;L'!BB144</f>
        <v>0</v>
      </c>
      <c r="BC33" s="200">
        <f ca="1">'Detailed P&amp;L'!BC144</f>
        <v>0</v>
      </c>
    </row>
    <row r="34" spans="2:55" x14ac:dyDescent="0.35">
      <c r="B34" s="32" t="s">
        <v>18</v>
      </c>
      <c r="C34" s="34">
        <f>'Detailed P&amp;L'!C110</f>
        <v>0</v>
      </c>
      <c r="D34" s="34">
        <f>'Detailed P&amp;L'!D110</f>
        <v>0</v>
      </c>
      <c r="E34" s="34">
        <f>'Detailed P&amp;L'!E110</f>
        <v>0</v>
      </c>
      <c r="F34" s="34">
        <f>'Detailed P&amp;L'!F110</f>
        <v>0</v>
      </c>
      <c r="G34" s="34">
        <f>'Detailed P&amp;L'!G110</f>
        <v>0</v>
      </c>
      <c r="H34" s="34">
        <f>'Detailed P&amp;L'!H110</f>
        <v>0</v>
      </c>
      <c r="I34" s="34">
        <f>'Detailed P&amp;L'!I110</f>
        <v>0</v>
      </c>
      <c r="J34" s="34">
        <f>'Detailed P&amp;L'!J110</f>
        <v>0</v>
      </c>
      <c r="K34" s="34">
        <f>'Detailed P&amp;L'!K110</f>
        <v>0</v>
      </c>
      <c r="L34" s="34">
        <f>'Detailed P&amp;L'!L110</f>
        <v>0</v>
      </c>
      <c r="M34" s="34">
        <f>'Detailed P&amp;L'!M110</f>
        <v>0</v>
      </c>
      <c r="N34" s="34">
        <f>'Detailed P&amp;L'!N110</f>
        <v>0</v>
      </c>
      <c r="O34" s="34">
        <f>'Detailed P&amp;L'!O110</f>
        <v>0</v>
      </c>
      <c r="P34" s="34">
        <f>'Detailed P&amp;L'!P110</f>
        <v>0</v>
      </c>
      <c r="Q34" s="34">
        <f>'Detailed P&amp;L'!Q110</f>
        <v>0</v>
      </c>
      <c r="R34" s="34">
        <f>'Detailed P&amp;L'!R110</f>
        <v>0</v>
      </c>
      <c r="S34" s="34">
        <f>'Detailed P&amp;L'!S110</f>
        <v>0</v>
      </c>
      <c r="T34" s="34">
        <f>'Detailed P&amp;L'!T110</f>
        <v>0</v>
      </c>
      <c r="U34" s="34">
        <f>'Detailed P&amp;L'!U110</f>
        <v>0</v>
      </c>
      <c r="V34" s="34">
        <f>'Detailed P&amp;L'!V110</f>
        <v>0</v>
      </c>
      <c r="W34" s="34">
        <f>'Detailed P&amp;L'!W110</f>
        <v>0</v>
      </c>
      <c r="X34" s="34">
        <f>'Detailed P&amp;L'!X110</f>
        <v>0</v>
      </c>
      <c r="Y34" s="34">
        <f>'Detailed P&amp;L'!Y110</f>
        <v>0</v>
      </c>
      <c r="Z34" s="34">
        <f>'Detailed P&amp;L'!Z110</f>
        <v>0</v>
      </c>
      <c r="AA34" s="34">
        <f>'Detailed P&amp;L'!AA110</f>
        <v>0</v>
      </c>
      <c r="AB34" s="34">
        <f>'Detailed P&amp;L'!AB110</f>
        <v>0</v>
      </c>
      <c r="AC34" s="34">
        <f>'Detailed P&amp;L'!AC110</f>
        <v>0</v>
      </c>
      <c r="AD34" s="34">
        <f>'Detailed P&amp;L'!AD110</f>
        <v>0</v>
      </c>
      <c r="AE34" s="34">
        <f>'Detailed P&amp;L'!AE110</f>
        <v>0</v>
      </c>
      <c r="AF34" s="34">
        <f>'Detailed P&amp;L'!AF110</f>
        <v>0</v>
      </c>
      <c r="AG34" s="34">
        <f>'Detailed P&amp;L'!AG110</f>
        <v>0</v>
      </c>
      <c r="AH34" s="34">
        <f>'Detailed P&amp;L'!AH110</f>
        <v>0</v>
      </c>
      <c r="AI34" s="34">
        <f>'Detailed P&amp;L'!AI110</f>
        <v>0</v>
      </c>
      <c r="AJ34" s="34">
        <f>'Detailed P&amp;L'!AJ110</f>
        <v>0</v>
      </c>
      <c r="AK34" s="34">
        <f>'Detailed P&amp;L'!AK110</f>
        <v>0</v>
      </c>
      <c r="AL34" s="201">
        <f>'Detailed P&amp;L'!AL110</f>
        <v>0</v>
      </c>
      <c r="AN34" s="230">
        <f ca="1">'Detailed P&amp;L'!AN110</f>
        <v>0</v>
      </c>
      <c r="AO34" s="34">
        <f ca="1">'Detailed P&amp;L'!AO110</f>
        <v>0</v>
      </c>
      <c r="AP34" s="34">
        <f ca="1">'Detailed P&amp;L'!AP110</f>
        <v>0</v>
      </c>
      <c r="AQ34" s="34">
        <f ca="1">'Detailed P&amp;L'!AQ110</f>
        <v>0</v>
      </c>
      <c r="AR34" s="34">
        <f ca="1">'Detailed P&amp;L'!AR110</f>
        <v>0</v>
      </c>
      <c r="AS34" s="34">
        <f ca="1">'Detailed P&amp;L'!AS110</f>
        <v>0</v>
      </c>
      <c r="AT34" s="34">
        <f ca="1">'Detailed P&amp;L'!AT110</f>
        <v>0</v>
      </c>
      <c r="AU34" s="34">
        <f ca="1">'Detailed P&amp;L'!AU110</f>
        <v>0</v>
      </c>
      <c r="AV34" s="34">
        <f ca="1">'Detailed P&amp;L'!AV110</f>
        <v>0</v>
      </c>
      <c r="AW34" s="34">
        <f ca="1">'Detailed P&amp;L'!AW110</f>
        <v>0</v>
      </c>
      <c r="AX34" s="34">
        <f ca="1">'Detailed P&amp;L'!AX110</f>
        <v>0</v>
      </c>
      <c r="AY34" s="201">
        <f ca="1">'Detailed P&amp;L'!AY110</f>
        <v>0</v>
      </c>
      <c r="BA34" s="230">
        <f ca="1">'Detailed P&amp;L'!BA110</f>
        <v>0</v>
      </c>
      <c r="BB34" s="34">
        <f ca="1">'Detailed P&amp;L'!BB110</f>
        <v>0</v>
      </c>
      <c r="BC34" s="201">
        <f ca="1">'Detailed P&amp;L'!BC110</f>
        <v>0</v>
      </c>
    </row>
    <row r="35" spans="2:55" x14ac:dyDescent="0.35">
      <c r="B35" s="32" t="s">
        <v>19</v>
      </c>
      <c r="C35" s="34">
        <f t="shared" ref="C35:Y35" si="35">C36+C44</f>
        <v>0</v>
      </c>
      <c r="D35" s="34">
        <f t="shared" si="35"/>
        <v>0</v>
      </c>
      <c r="E35" s="34">
        <f t="shared" si="35"/>
        <v>0</v>
      </c>
      <c r="F35" s="34">
        <f t="shared" si="35"/>
        <v>0</v>
      </c>
      <c r="G35" s="34">
        <f t="shared" si="35"/>
        <v>0</v>
      </c>
      <c r="H35" s="34">
        <f t="shared" si="35"/>
        <v>0</v>
      </c>
      <c r="I35" s="34">
        <f t="shared" si="35"/>
        <v>0</v>
      </c>
      <c r="J35" s="34">
        <f t="shared" si="35"/>
        <v>0</v>
      </c>
      <c r="K35" s="34">
        <f t="shared" si="35"/>
        <v>0</v>
      </c>
      <c r="L35" s="34">
        <f t="shared" si="35"/>
        <v>0</v>
      </c>
      <c r="M35" s="34">
        <f t="shared" si="35"/>
        <v>0</v>
      </c>
      <c r="N35" s="34">
        <f t="shared" si="35"/>
        <v>0</v>
      </c>
      <c r="O35" s="34">
        <f t="shared" si="35"/>
        <v>0</v>
      </c>
      <c r="P35" s="34">
        <f t="shared" si="35"/>
        <v>0</v>
      </c>
      <c r="Q35" s="34">
        <f t="shared" si="35"/>
        <v>0</v>
      </c>
      <c r="R35" s="34">
        <f t="shared" si="35"/>
        <v>0</v>
      </c>
      <c r="S35" s="34">
        <f t="shared" si="35"/>
        <v>0</v>
      </c>
      <c r="T35" s="34">
        <f t="shared" si="35"/>
        <v>0</v>
      </c>
      <c r="U35" s="34">
        <f t="shared" si="35"/>
        <v>0</v>
      </c>
      <c r="V35" s="34">
        <f t="shared" si="35"/>
        <v>0</v>
      </c>
      <c r="W35" s="34">
        <f t="shared" si="35"/>
        <v>0</v>
      </c>
      <c r="X35" s="34">
        <f t="shared" si="35"/>
        <v>0</v>
      </c>
      <c r="Y35" s="34">
        <f t="shared" si="35"/>
        <v>0</v>
      </c>
      <c r="Z35" s="34">
        <f t="shared" ref="Z35:AL35" si="36">Z36+Z44</f>
        <v>0</v>
      </c>
      <c r="AA35" s="34">
        <f t="shared" si="36"/>
        <v>0</v>
      </c>
      <c r="AB35" s="34">
        <f t="shared" si="36"/>
        <v>0</v>
      </c>
      <c r="AC35" s="34">
        <f t="shared" si="36"/>
        <v>0</v>
      </c>
      <c r="AD35" s="34">
        <f t="shared" si="36"/>
        <v>0</v>
      </c>
      <c r="AE35" s="34">
        <f t="shared" si="36"/>
        <v>0</v>
      </c>
      <c r="AF35" s="34">
        <f t="shared" si="36"/>
        <v>0</v>
      </c>
      <c r="AG35" s="34">
        <f t="shared" si="36"/>
        <v>0</v>
      </c>
      <c r="AH35" s="34">
        <f t="shared" si="36"/>
        <v>0</v>
      </c>
      <c r="AI35" s="34">
        <f t="shared" si="36"/>
        <v>0</v>
      </c>
      <c r="AJ35" s="34">
        <f t="shared" si="36"/>
        <v>0</v>
      </c>
      <c r="AK35" s="34">
        <f t="shared" si="36"/>
        <v>0</v>
      </c>
      <c r="AL35" s="201">
        <f t="shared" si="36"/>
        <v>0</v>
      </c>
      <c r="AN35" s="230">
        <f t="shared" ref="AN35:AT35" ca="1" si="37">AN36+AN44</f>
        <v>0</v>
      </c>
      <c r="AO35" s="34">
        <f t="shared" ca="1" si="37"/>
        <v>0</v>
      </c>
      <c r="AP35" s="34">
        <f t="shared" ca="1" si="37"/>
        <v>0</v>
      </c>
      <c r="AQ35" s="34">
        <f t="shared" ca="1" si="37"/>
        <v>0</v>
      </c>
      <c r="AR35" s="34">
        <f t="shared" ca="1" si="37"/>
        <v>0</v>
      </c>
      <c r="AS35" s="34">
        <f t="shared" ca="1" si="37"/>
        <v>0</v>
      </c>
      <c r="AT35" s="34">
        <f t="shared" ca="1" si="37"/>
        <v>0</v>
      </c>
      <c r="AU35" s="34">
        <f t="shared" ref="AU35:AY35" ca="1" si="38">AU36+AU44</f>
        <v>0</v>
      </c>
      <c r="AV35" s="34">
        <f t="shared" ca="1" si="38"/>
        <v>0</v>
      </c>
      <c r="AW35" s="34">
        <f t="shared" ca="1" si="38"/>
        <v>0</v>
      </c>
      <c r="AX35" s="34">
        <f t="shared" ca="1" si="38"/>
        <v>0</v>
      </c>
      <c r="AY35" s="201">
        <f t="shared" ca="1" si="38"/>
        <v>0</v>
      </c>
      <c r="BA35" s="230">
        <f t="shared" ref="BA35" ca="1" si="39">BA36+BA44</f>
        <v>0</v>
      </c>
      <c r="BB35" s="34">
        <f t="shared" ref="BB35:BC35" ca="1" si="40">BB36+BB44</f>
        <v>0</v>
      </c>
      <c r="BC35" s="201">
        <f t="shared" ca="1" si="40"/>
        <v>0</v>
      </c>
    </row>
    <row r="36" spans="2:55" x14ac:dyDescent="0.35">
      <c r="B36" s="35" t="s">
        <v>20</v>
      </c>
      <c r="C36" s="34">
        <f t="shared" ref="C36:Y36" si="41">SUM(C37:C43)</f>
        <v>0</v>
      </c>
      <c r="D36" s="34">
        <f t="shared" si="41"/>
        <v>0</v>
      </c>
      <c r="E36" s="34">
        <f t="shared" si="41"/>
        <v>0</v>
      </c>
      <c r="F36" s="34">
        <f t="shared" si="41"/>
        <v>0</v>
      </c>
      <c r="G36" s="34">
        <f t="shared" si="41"/>
        <v>0</v>
      </c>
      <c r="H36" s="34">
        <f t="shared" si="41"/>
        <v>0</v>
      </c>
      <c r="I36" s="34">
        <f t="shared" si="41"/>
        <v>0</v>
      </c>
      <c r="J36" s="34">
        <f t="shared" si="41"/>
        <v>0</v>
      </c>
      <c r="K36" s="34">
        <f t="shared" si="41"/>
        <v>0</v>
      </c>
      <c r="L36" s="34">
        <f t="shared" si="41"/>
        <v>0</v>
      </c>
      <c r="M36" s="34">
        <f t="shared" si="41"/>
        <v>0</v>
      </c>
      <c r="N36" s="34">
        <f t="shared" si="41"/>
        <v>0</v>
      </c>
      <c r="O36" s="34">
        <f t="shared" si="41"/>
        <v>0</v>
      </c>
      <c r="P36" s="34">
        <f t="shared" si="41"/>
        <v>0</v>
      </c>
      <c r="Q36" s="34">
        <f t="shared" si="41"/>
        <v>0</v>
      </c>
      <c r="R36" s="34">
        <f t="shared" si="41"/>
        <v>0</v>
      </c>
      <c r="S36" s="34">
        <f t="shared" si="41"/>
        <v>0</v>
      </c>
      <c r="T36" s="34">
        <f t="shared" si="41"/>
        <v>0</v>
      </c>
      <c r="U36" s="34">
        <f t="shared" si="41"/>
        <v>0</v>
      </c>
      <c r="V36" s="34">
        <f t="shared" si="41"/>
        <v>0</v>
      </c>
      <c r="W36" s="34">
        <f t="shared" si="41"/>
        <v>0</v>
      </c>
      <c r="X36" s="34">
        <f t="shared" si="41"/>
        <v>0</v>
      </c>
      <c r="Y36" s="34">
        <f t="shared" si="41"/>
        <v>0</v>
      </c>
      <c r="Z36" s="34">
        <f t="shared" ref="Z36:AL36" si="42">SUM(Z37:Z43)</f>
        <v>0</v>
      </c>
      <c r="AA36" s="34">
        <f t="shared" si="42"/>
        <v>0</v>
      </c>
      <c r="AB36" s="34">
        <f t="shared" si="42"/>
        <v>0</v>
      </c>
      <c r="AC36" s="34">
        <f t="shared" si="42"/>
        <v>0</v>
      </c>
      <c r="AD36" s="34">
        <f t="shared" si="42"/>
        <v>0</v>
      </c>
      <c r="AE36" s="34">
        <f t="shared" si="42"/>
        <v>0</v>
      </c>
      <c r="AF36" s="34">
        <f t="shared" si="42"/>
        <v>0</v>
      </c>
      <c r="AG36" s="34">
        <f t="shared" si="42"/>
        <v>0</v>
      </c>
      <c r="AH36" s="34">
        <f t="shared" si="42"/>
        <v>0</v>
      </c>
      <c r="AI36" s="34">
        <f t="shared" si="42"/>
        <v>0</v>
      </c>
      <c r="AJ36" s="34">
        <f t="shared" si="42"/>
        <v>0</v>
      </c>
      <c r="AK36" s="34">
        <f t="shared" si="42"/>
        <v>0</v>
      </c>
      <c r="AL36" s="201">
        <f t="shared" si="42"/>
        <v>0</v>
      </c>
      <c r="AN36" s="230">
        <f t="shared" ref="AN36:AT36" ca="1" si="43">SUM(AN37:AN43)</f>
        <v>0</v>
      </c>
      <c r="AO36" s="34">
        <f t="shared" ca="1" si="43"/>
        <v>0</v>
      </c>
      <c r="AP36" s="34">
        <f t="shared" ca="1" si="43"/>
        <v>0</v>
      </c>
      <c r="AQ36" s="34">
        <f t="shared" ca="1" si="43"/>
        <v>0</v>
      </c>
      <c r="AR36" s="34">
        <f t="shared" ca="1" si="43"/>
        <v>0</v>
      </c>
      <c r="AS36" s="34">
        <f t="shared" ca="1" si="43"/>
        <v>0</v>
      </c>
      <c r="AT36" s="34">
        <f t="shared" ca="1" si="43"/>
        <v>0</v>
      </c>
      <c r="AU36" s="34">
        <f t="shared" ref="AU36:AY36" ca="1" si="44">SUM(AU37:AU43)</f>
        <v>0</v>
      </c>
      <c r="AV36" s="34">
        <f t="shared" ca="1" si="44"/>
        <v>0</v>
      </c>
      <c r="AW36" s="34">
        <f t="shared" ca="1" si="44"/>
        <v>0</v>
      </c>
      <c r="AX36" s="34">
        <f t="shared" ca="1" si="44"/>
        <v>0</v>
      </c>
      <c r="AY36" s="201">
        <f t="shared" ca="1" si="44"/>
        <v>0</v>
      </c>
      <c r="BA36" s="230">
        <f t="shared" ref="BA36" ca="1" si="45">SUM(BA37:BA43)</f>
        <v>0</v>
      </c>
      <c r="BB36" s="34">
        <f t="shared" ref="BB36:BC36" ca="1" si="46">SUM(BB37:BB43)</f>
        <v>0</v>
      </c>
      <c r="BC36" s="201">
        <f t="shared" ca="1" si="46"/>
        <v>0</v>
      </c>
    </row>
    <row r="37" spans="2:55" x14ac:dyDescent="0.35">
      <c r="B37" s="36" t="s">
        <v>1</v>
      </c>
      <c r="C37" s="37">
        <f>'Detailed P&amp;L'!C35+'Detailed P&amp;L'!C78+'Detailed P&amp;L'!C113+'Detailed P&amp;L'!C147</f>
        <v>0</v>
      </c>
      <c r="D37" s="37">
        <f>'Detailed P&amp;L'!D35+'Detailed P&amp;L'!D78+'Detailed P&amp;L'!D113+'Detailed P&amp;L'!D147</f>
        <v>0</v>
      </c>
      <c r="E37" s="37">
        <f>'Detailed P&amp;L'!E35+'Detailed P&amp;L'!E78+'Detailed P&amp;L'!E113+'Detailed P&amp;L'!E147</f>
        <v>0</v>
      </c>
      <c r="F37" s="37">
        <f>'Detailed P&amp;L'!F35+'Detailed P&amp;L'!F78+'Detailed P&amp;L'!F113+'Detailed P&amp;L'!F147</f>
        <v>0</v>
      </c>
      <c r="G37" s="37">
        <f>'Detailed P&amp;L'!G35+'Detailed P&amp;L'!G78+'Detailed P&amp;L'!G113+'Detailed P&amp;L'!G147</f>
        <v>0</v>
      </c>
      <c r="H37" s="37">
        <f>'Detailed P&amp;L'!H35+'Detailed P&amp;L'!H78+'Detailed P&amp;L'!H113+'Detailed P&amp;L'!H147</f>
        <v>0</v>
      </c>
      <c r="I37" s="37">
        <f>'Detailed P&amp;L'!I35+'Detailed P&amp;L'!I78+'Detailed P&amp;L'!I113+'Detailed P&amp;L'!I147</f>
        <v>0</v>
      </c>
      <c r="J37" s="37">
        <f>'Detailed P&amp;L'!J35+'Detailed P&amp;L'!J78+'Detailed P&amp;L'!J113+'Detailed P&amp;L'!J147</f>
        <v>0</v>
      </c>
      <c r="K37" s="37">
        <f>'Detailed P&amp;L'!K35+'Detailed P&amp;L'!K78+'Detailed P&amp;L'!K113+'Detailed P&amp;L'!K147</f>
        <v>0</v>
      </c>
      <c r="L37" s="37">
        <f>'Detailed P&amp;L'!L35+'Detailed P&amp;L'!L78+'Detailed P&amp;L'!L113+'Detailed P&amp;L'!L147</f>
        <v>0</v>
      </c>
      <c r="M37" s="37">
        <f>'Detailed P&amp;L'!M35+'Detailed P&amp;L'!M78+'Detailed P&amp;L'!M113+'Detailed P&amp;L'!M147</f>
        <v>0</v>
      </c>
      <c r="N37" s="37">
        <f>'Detailed P&amp;L'!N35+'Detailed P&amp;L'!N78+'Detailed P&amp;L'!N113+'Detailed P&amp;L'!N147</f>
        <v>0</v>
      </c>
      <c r="O37" s="37">
        <f>'Detailed P&amp;L'!O35+'Detailed P&amp;L'!O78+'Detailed P&amp;L'!O113+'Detailed P&amp;L'!O147</f>
        <v>0</v>
      </c>
      <c r="P37" s="37">
        <f>'Detailed P&amp;L'!P35+'Detailed P&amp;L'!P78+'Detailed P&amp;L'!P113+'Detailed P&amp;L'!P147</f>
        <v>0</v>
      </c>
      <c r="Q37" s="37">
        <f>'Detailed P&amp;L'!Q35+'Detailed P&amp;L'!Q78+'Detailed P&amp;L'!Q113+'Detailed P&amp;L'!Q147</f>
        <v>0</v>
      </c>
      <c r="R37" s="37">
        <f>'Detailed P&amp;L'!R35+'Detailed P&amp;L'!R78+'Detailed P&amp;L'!R113+'Detailed P&amp;L'!R147</f>
        <v>0</v>
      </c>
      <c r="S37" s="37">
        <f>'Detailed P&amp;L'!S35+'Detailed P&amp;L'!S78+'Detailed P&amp;L'!S113+'Detailed P&amp;L'!S147</f>
        <v>0</v>
      </c>
      <c r="T37" s="37">
        <f>'Detailed P&amp;L'!T35+'Detailed P&amp;L'!T78+'Detailed P&amp;L'!T113+'Detailed P&amp;L'!T147</f>
        <v>0</v>
      </c>
      <c r="U37" s="37">
        <f>'Detailed P&amp;L'!U35+'Detailed P&amp;L'!U78+'Detailed P&amp;L'!U113+'Detailed P&amp;L'!U147</f>
        <v>0</v>
      </c>
      <c r="V37" s="37">
        <f>'Detailed P&amp;L'!V35+'Detailed P&amp;L'!V78+'Detailed P&amp;L'!V113+'Detailed P&amp;L'!V147</f>
        <v>0</v>
      </c>
      <c r="W37" s="37">
        <f>'Detailed P&amp;L'!W35+'Detailed P&amp;L'!W78+'Detailed P&amp;L'!W113+'Detailed P&amp;L'!W147</f>
        <v>0</v>
      </c>
      <c r="X37" s="37">
        <f>'Detailed P&amp;L'!X35+'Detailed P&amp;L'!X78+'Detailed P&amp;L'!X113+'Detailed P&amp;L'!X147</f>
        <v>0</v>
      </c>
      <c r="Y37" s="37">
        <f>'Detailed P&amp;L'!Y35+'Detailed P&amp;L'!Y78+'Detailed P&amp;L'!Y113+'Detailed P&amp;L'!Y147</f>
        <v>0</v>
      </c>
      <c r="Z37" s="37">
        <f>'Detailed P&amp;L'!Z35+'Detailed P&amp;L'!Z78+'Detailed P&amp;L'!Z113+'Detailed P&amp;L'!Z147</f>
        <v>0</v>
      </c>
      <c r="AA37" s="37">
        <f>'Detailed P&amp;L'!AA35+'Detailed P&amp;L'!AA78+'Detailed P&amp;L'!AA113+'Detailed P&amp;L'!AA147</f>
        <v>0</v>
      </c>
      <c r="AB37" s="37">
        <f>'Detailed P&amp;L'!AB35+'Detailed P&amp;L'!AB78+'Detailed P&amp;L'!AB113+'Detailed P&amp;L'!AB147</f>
        <v>0</v>
      </c>
      <c r="AC37" s="37">
        <f>'Detailed P&amp;L'!AC35+'Detailed P&amp;L'!AC78+'Detailed P&amp;L'!AC113+'Detailed P&amp;L'!AC147</f>
        <v>0</v>
      </c>
      <c r="AD37" s="37">
        <f>'Detailed P&amp;L'!AD35+'Detailed P&amp;L'!AD78+'Detailed P&amp;L'!AD113+'Detailed P&amp;L'!AD147</f>
        <v>0</v>
      </c>
      <c r="AE37" s="37">
        <f>'Detailed P&amp;L'!AE35+'Detailed P&amp;L'!AE78+'Detailed P&amp;L'!AE113+'Detailed P&amp;L'!AE147</f>
        <v>0</v>
      </c>
      <c r="AF37" s="37">
        <f>'Detailed P&amp;L'!AF35+'Detailed P&amp;L'!AF78+'Detailed P&amp;L'!AF113+'Detailed P&amp;L'!AF147</f>
        <v>0</v>
      </c>
      <c r="AG37" s="37">
        <f>'Detailed P&amp;L'!AG35+'Detailed P&amp;L'!AG78+'Detailed P&amp;L'!AG113+'Detailed P&amp;L'!AG147</f>
        <v>0</v>
      </c>
      <c r="AH37" s="37">
        <f>'Detailed P&amp;L'!AH35+'Detailed P&amp;L'!AH78+'Detailed P&amp;L'!AH113+'Detailed P&amp;L'!AH147</f>
        <v>0</v>
      </c>
      <c r="AI37" s="37">
        <f>'Detailed P&amp;L'!AI35+'Detailed P&amp;L'!AI78+'Detailed P&amp;L'!AI113+'Detailed P&amp;L'!AI147</f>
        <v>0</v>
      </c>
      <c r="AJ37" s="37">
        <f>'Detailed P&amp;L'!AJ35+'Detailed P&amp;L'!AJ78+'Detailed P&amp;L'!AJ113+'Detailed P&amp;L'!AJ147</f>
        <v>0</v>
      </c>
      <c r="AK37" s="37">
        <f>'Detailed P&amp;L'!AK35+'Detailed P&amp;L'!AK78+'Detailed P&amp;L'!AK113+'Detailed P&amp;L'!AK147</f>
        <v>0</v>
      </c>
      <c r="AL37" s="202">
        <f>'Detailed P&amp;L'!AL35+'Detailed P&amp;L'!AL78+'Detailed P&amp;L'!AL113+'Detailed P&amp;L'!AL147</f>
        <v>0</v>
      </c>
      <c r="AN37" s="231">
        <f ca="1">'Detailed P&amp;L'!AN35+'Detailed P&amp;L'!AN78+'Detailed P&amp;L'!AN113+'Detailed P&amp;L'!AN147</f>
        <v>0</v>
      </c>
      <c r="AO37" s="37">
        <f ca="1">'Detailed P&amp;L'!AO35+'Detailed P&amp;L'!AO78+'Detailed P&amp;L'!AO113+'Detailed P&amp;L'!AO147</f>
        <v>0</v>
      </c>
      <c r="AP37" s="37">
        <f ca="1">'Detailed P&amp;L'!AP35+'Detailed P&amp;L'!AP78+'Detailed P&amp;L'!AP113+'Detailed P&amp;L'!AP147</f>
        <v>0</v>
      </c>
      <c r="AQ37" s="37">
        <f ca="1">'Detailed P&amp;L'!AQ35+'Detailed P&amp;L'!AQ78+'Detailed P&amp;L'!AQ113+'Detailed P&amp;L'!AQ147</f>
        <v>0</v>
      </c>
      <c r="AR37" s="37">
        <f ca="1">'Detailed P&amp;L'!AR35+'Detailed P&amp;L'!AR78+'Detailed P&amp;L'!AR113+'Detailed P&amp;L'!AR147</f>
        <v>0</v>
      </c>
      <c r="AS37" s="37">
        <f ca="1">'Detailed P&amp;L'!AS35+'Detailed P&amp;L'!AS78+'Detailed P&amp;L'!AS113+'Detailed P&amp;L'!AS147</f>
        <v>0</v>
      </c>
      <c r="AT37" s="37">
        <f ca="1">'Detailed P&amp;L'!AT35+'Detailed P&amp;L'!AT78+'Detailed P&amp;L'!AT113+'Detailed P&amp;L'!AT147</f>
        <v>0</v>
      </c>
      <c r="AU37" s="37">
        <f ca="1">'Detailed P&amp;L'!AU35+'Detailed P&amp;L'!AU78+'Detailed P&amp;L'!AU113+'Detailed P&amp;L'!AU147</f>
        <v>0</v>
      </c>
      <c r="AV37" s="37">
        <f ca="1">'Detailed P&amp;L'!AV35+'Detailed P&amp;L'!AV78+'Detailed P&amp;L'!AV113+'Detailed P&amp;L'!AV147</f>
        <v>0</v>
      </c>
      <c r="AW37" s="37">
        <f ca="1">'Detailed P&amp;L'!AW35+'Detailed P&amp;L'!AW78+'Detailed P&amp;L'!AW113+'Detailed P&amp;L'!AW147</f>
        <v>0</v>
      </c>
      <c r="AX37" s="37">
        <f ca="1">'Detailed P&amp;L'!AX35+'Detailed P&amp;L'!AX78+'Detailed P&amp;L'!AX113+'Detailed P&amp;L'!AX147</f>
        <v>0</v>
      </c>
      <c r="AY37" s="202">
        <f ca="1">'Detailed P&amp;L'!AY35+'Detailed P&amp;L'!AY78+'Detailed P&amp;L'!AY113+'Detailed P&amp;L'!AY147</f>
        <v>0</v>
      </c>
      <c r="BA37" s="231">
        <f ca="1">'Detailed P&amp;L'!BA35+'Detailed P&amp;L'!BA78+'Detailed P&amp;L'!BA113+'Detailed P&amp;L'!BA147</f>
        <v>0</v>
      </c>
      <c r="BB37" s="37">
        <f ca="1">'Detailed P&amp;L'!BB35+'Detailed P&amp;L'!BB78+'Detailed P&amp;L'!BB113+'Detailed P&amp;L'!BB147</f>
        <v>0</v>
      </c>
      <c r="BC37" s="202">
        <f ca="1">'Detailed P&amp;L'!BC35+'Detailed P&amp;L'!BC78+'Detailed P&amp;L'!BC113+'Detailed P&amp;L'!BC147</f>
        <v>0</v>
      </c>
    </row>
    <row r="38" spans="2:55" x14ac:dyDescent="0.35">
      <c r="B38" s="36" t="s">
        <v>21</v>
      </c>
      <c r="C38" s="37">
        <f>'Detailed P&amp;L'!C36+'Detailed P&amp;L'!C79+'Detailed P&amp;L'!C114+'Detailed P&amp;L'!C148</f>
        <v>0</v>
      </c>
      <c r="D38" s="37">
        <f>'Detailed P&amp;L'!D36+'Detailed P&amp;L'!D79+'Detailed P&amp;L'!D114+'Detailed P&amp;L'!D148</f>
        <v>0</v>
      </c>
      <c r="E38" s="37">
        <f>'Detailed P&amp;L'!E36+'Detailed P&amp;L'!E79+'Detailed P&amp;L'!E114+'Detailed P&amp;L'!E148</f>
        <v>0</v>
      </c>
      <c r="F38" s="37">
        <f>'Detailed P&amp;L'!F36+'Detailed P&amp;L'!F79+'Detailed P&amp;L'!F114+'Detailed P&amp;L'!F148</f>
        <v>0</v>
      </c>
      <c r="G38" s="37">
        <f>'Detailed P&amp;L'!G36+'Detailed P&amp;L'!G79+'Detailed P&amp;L'!G114+'Detailed P&amp;L'!G148</f>
        <v>0</v>
      </c>
      <c r="H38" s="37">
        <f>'Detailed P&amp;L'!H36+'Detailed P&amp;L'!H79+'Detailed P&amp;L'!H114+'Detailed P&amp;L'!H148</f>
        <v>0</v>
      </c>
      <c r="I38" s="37">
        <f>'Detailed P&amp;L'!I36+'Detailed P&amp;L'!I79+'Detailed P&amp;L'!I114+'Detailed P&amp;L'!I148</f>
        <v>0</v>
      </c>
      <c r="J38" s="37">
        <f>'Detailed P&amp;L'!J36+'Detailed P&amp;L'!J79+'Detailed P&amp;L'!J114+'Detailed P&amp;L'!J148</f>
        <v>0</v>
      </c>
      <c r="K38" s="37">
        <f>'Detailed P&amp;L'!K36+'Detailed P&amp;L'!K79+'Detailed P&amp;L'!K114+'Detailed P&amp;L'!K148</f>
        <v>0</v>
      </c>
      <c r="L38" s="37">
        <f>'Detailed P&amp;L'!L36+'Detailed P&amp;L'!L79+'Detailed P&amp;L'!L114+'Detailed P&amp;L'!L148</f>
        <v>0</v>
      </c>
      <c r="M38" s="37">
        <f>'Detailed P&amp;L'!M36+'Detailed P&amp;L'!M79+'Detailed P&amp;L'!M114+'Detailed P&amp;L'!M148</f>
        <v>0</v>
      </c>
      <c r="N38" s="37">
        <f>'Detailed P&amp;L'!N36+'Detailed P&amp;L'!N79+'Detailed P&amp;L'!N114+'Detailed P&amp;L'!N148</f>
        <v>0</v>
      </c>
      <c r="O38" s="37">
        <f>'Detailed P&amp;L'!O36+'Detailed P&amp;L'!O79+'Detailed P&amp;L'!O114+'Detailed P&amp;L'!O148</f>
        <v>0</v>
      </c>
      <c r="P38" s="37">
        <f>'Detailed P&amp;L'!P36+'Detailed P&amp;L'!P79+'Detailed P&amp;L'!P114+'Detailed P&amp;L'!P148</f>
        <v>0</v>
      </c>
      <c r="Q38" s="37">
        <f>'Detailed P&amp;L'!Q36+'Detailed P&amp;L'!Q79+'Detailed P&amp;L'!Q114+'Detailed P&amp;L'!Q148</f>
        <v>0</v>
      </c>
      <c r="R38" s="37">
        <f>'Detailed P&amp;L'!R36+'Detailed P&amp;L'!R79+'Detailed P&amp;L'!R114+'Detailed P&amp;L'!R148</f>
        <v>0</v>
      </c>
      <c r="S38" s="37">
        <f>'Detailed P&amp;L'!S36+'Detailed P&amp;L'!S79+'Detailed P&amp;L'!S114+'Detailed P&amp;L'!S148</f>
        <v>0</v>
      </c>
      <c r="T38" s="37">
        <f>'Detailed P&amp;L'!T36+'Detailed P&amp;L'!T79+'Detailed P&amp;L'!T114+'Detailed P&amp;L'!T148</f>
        <v>0</v>
      </c>
      <c r="U38" s="37">
        <f>'Detailed P&amp;L'!U36+'Detailed P&amp;L'!U79+'Detailed P&amp;L'!U114+'Detailed P&amp;L'!U148</f>
        <v>0</v>
      </c>
      <c r="V38" s="37">
        <f>'Detailed P&amp;L'!V36+'Detailed P&amp;L'!V79+'Detailed P&amp;L'!V114+'Detailed P&amp;L'!V148</f>
        <v>0</v>
      </c>
      <c r="W38" s="37">
        <f>'Detailed P&amp;L'!W36+'Detailed P&amp;L'!W79+'Detailed P&amp;L'!W114+'Detailed P&amp;L'!W148</f>
        <v>0</v>
      </c>
      <c r="X38" s="37">
        <f>'Detailed P&amp;L'!X36+'Detailed P&amp;L'!X79+'Detailed P&amp;L'!X114+'Detailed P&amp;L'!X148</f>
        <v>0</v>
      </c>
      <c r="Y38" s="37">
        <f>'Detailed P&amp;L'!Y36+'Detailed P&amp;L'!Y79+'Detailed P&amp;L'!Y114+'Detailed P&amp;L'!Y148</f>
        <v>0</v>
      </c>
      <c r="Z38" s="37">
        <f>'Detailed P&amp;L'!Z36+'Detailed P&amp;L'!Z79+'Detailed P&amp;L'!Z114+'Detailed P&amp;L'!Z148</f>
        <v>0</v>
      </c>
      <c r="AA38" s="37">
        <f>'Detailed P&amp;L'!AA36+'Detailed P&amp;L'!AA79+'Detailed P&amp;L'!AA114+'Detailed P&amp;L'!AA148</f>
        <v>0</v>
      </c>
      <c r="AB38" s="37">
        <f>'Detailed P&amp;L'!AB36+'Detailed P&amp;L'!AB79+'Detailed P&amp;L'!AB114+'Detailed P&amp;L'!AB148</f>
        <v>0</v>
      </c>
      <c r="AC38" s="37">
        <f>'Detailed P&amp;L'!AC36+'Detailed P&amp;L'!AC79+'Detailed P&amp;L'!AC114+'Detailed P&amp;L'!AC148</f>
        <v>0</v>
      </c>
      <c r="AD38" s="37">
        <f>'Detailed P&amp;L'!AD36+'Detailed P&amp;L'!AD79+'Detailed P&amp;L'!AD114+'Detailed P&amp;L'!AD148</f>
        <v>0</v>
      </c>
      <c r="AE38" s="37">
        <f>'Detailed P&amp;L'!AE36+'Detailed P&amp;L'!AE79+'Detailed P&amp;L'!AE114+'Detailed P&amp;L'!AE148</f>
        <v>0</v>
      </c>
      <c r="AF38" s="37">
        <f>'Detailed P&amp;L'!AF36+'Detailed P&amp;L'!AF79+'Detailed P&amp;L'!AF114+'Detailed P&amp;L'!AF148</f>
        <v>0</v>
      </c>
      <c r="AG38" s="37">
        <f>'Detailed P&amp;L'!AG36+'Detailed P&amp;L'!AG79+'Detailed P&amp;L'!AG114+'Detailed P&amp;L'!AG148</f>
        <v>0</v>
      </c>
      <c r="AH38" s="37">
        <f>'Detailed P&amp;L'!AH36+'Detailed P&amp;L'!AH79+'Detailed P&amp;L'!AH114+'Detailed P&amp;L'!AH148</f>
        <v>0</v>
      </c>
      <c r="AI38" s="37">
        <f>'Detailed P&amp;L'!AI36+'Detailed P&amp;L'!AI79+'Detailed P&amp;L'!AI114+'Detailed P&amp;L'!AI148</f>
        <v>0</v>
      </c>
      <c r="AJ38" s="37">
        <f>'Detailed P&amp;L'!AJ36+'Detailed P&amp;L'!AJ79+'Detailed P&amp;L'!AJ114+'Detailed P&amp;L'!AJ148</f>
        <v>0</v>
      </c>
      <c r="AK38" s="37">
        <f>'Detailed P&amp;L'!AK36+'Detailed P&amp;L'!AK79+'Detailed P&amp;L'!AK114+'Detailed P&amp;L'!AK148</f>
        <v>0</v>
      </c>
      <c r="AL38" s="202">
        <f>'Detailed P&amp;L'!AL36+'Detailed P&amp;L'!AL79+'Detailed P&amp;L'!AL114+'Detailed P&amp;L'!AL148</f>
        <v>0</v>
      </c>
      <c r="AN38" s="231">
        <f ca="1">'Detailed P&amp;L'!AN36+'Detailed P&amp;L'!AN79+'Detailed P&amp;L'!AN114+'Detailed P&amp;L'!AN148</f>
        <v>0</v>
      </c>
      <c r="AO38" s="37">
        <f ca="1">'Detailed P&amp;L'!AO36+'Detailed P&amp;L'!AO79+'Detailed P&amp;L'!AO114+'Detailed P&amp;L'!AO148</f>
        <v>0</v>
      </c>
      <c r="AP38" s="37">
        <f ca="1">'Detailed P&amp;L'!AP36+'Detailed P&amp;L'!AP79+'Detailed P&amp;L'!AP114+'Detailed P&amp;L'!AP148</f>
        <v>0</v>
      </c>
      <c r="AQ38" s="37">
        <f ca="1">'Detailed P&amp;L'!AQ36+'Detailed P&amp;L'!AQ79+'Detailed P&amp;L'!AQ114+'Detailed P&amp;L'!AQ148</f>
        <v>0</v>
      </c>
      <c r="AR38" s="37">
        <f ca="1">'Detailed P&amp;L'!AR36+'Detailed P&amp;L'!AR79+'Detailed P&amp;L'!AR114+'Detailed P&amp;L'!AR148</f>
        <v>0</v>
      </c>
      <c r="AS38" s="37">
        <f ca="1">'Detailed P&amp;L'!AS36+'Detailed P&amp;L'!AS79+'Detailed P&amp;L'!AS114+'Detailed P&amp;L'!AS148</f>
        <v>0</v>
      </c>
      <c r="AT38" s="37">
        <f ca="1">'Detailed P&amp;L'!AT36+'Detailed P&amp;L'!AT79+'Detailed P&amp;L'!AT114+'Detailed P&amp;L'!AT148</f>
        <v>0</v>
      </c>
      <c r="AU38" s="37">
        <f ca="1">'Detailed P&amp;L'!AU36+'Detailed P&amp;L'!AU79+'Detailed P&amp;L'!AU114+'Detailed P&amp;L'!AU148</f>
        <v>0</v>
      </c>
      <c r="AV38" s="37">
        <f ca="1">'Detailed P&amp;L'!AV36+'Detailed P&amp;L'!AV79+'Detailed P&amp;L'!AV114+'Detailed P&amp;L'!AV148</f>
        <v>0</v>
      </c>
      <c r="AW38" s="37">
        <f ca="1">'Detailed P&amp;L'!AW36+'Detailed P&amp;L'!AW79+'Detailed P&amp;L'!AW114+'Detailed P&amp;L'!AW148</f>
        <v>0</v>
      </c>
      <c r="AX38" s="37">
        <f ca="1">'Detailed P&amp;L'!AX36+'Detailed P&amp;L'!AX79+'Detailed P&amp;L'!AX114+'Detailed P&amp;L'!AX148</f>
        <v>0</v>
      </c>
      <c r="AY38" s="202">
        <f ca="1">'Detailed P&amp;L'!AY36+'Detailed P&amp;L'!AY79+'Detailed P&amp;L'!AY114+'Detailed P&amp;L'!AY148</f>
        <v>0</v>
      </c>
      <c r="BA38" s="231">
        <f ca="1">'Detailed P&amp;L'!BA36+'Detailed P&amp;L'!BA79+'Detailed P&amp;L'!BA114+'Detailed P&amp;L'!BA148</f>
        <v>0</v>
      </c>
      <c r="BB38" s="37">
        <f ca="1">'Detailed P&amp;L'!BB36+'Detailed P&amp;L'!BB79+'Detailed P&amp;L'!BB114+'Detailed P&amp;L'!BB148</f>
        <v>0</v>
      </c>
      <c r="BC38" s="202">
        <f ca="1">'Detailed P&amp;L'!BC36+'Detailed P&amp;L'!BC79+'Detailed P&amp;L'!BC114+'Detailed P&amp;L'!BC148</f>
        <v>0</v>
      </c>
    </row>
    <row r="39" spans="2:55" x14ac:dyDescent="0.35">
      <c r="B39" s="36" t="s">
        <v>22</v>
      </c>
      <c r="C39" s="37">
        <f>'Detailed P&amp;L'!C37+'Detailed P&amp;L'!C80+'Detailed P&amp;L'!C115+'Detailed P&amp;L'!C149</f>
        <v>0</v>
      </c>
      <c r="D39" s="37">
        <f>'Detailed P&amp;L'!D37+'Detailed P&amp;L'!D80+'Detailed P&amp;L'!D115+'Detailed P&amp;L'!D149</f>
        <v>0</v>
      </c>
      <c r="E39" s="37">
        <f>'Detailed P&amp;L'!E37+'Detailed P&amp;L'!E80+'Detailed P&amp;L'!E115+'Detailed P&amp;L'!E149</f>
        <v>0</v>
      </c>
      <c r="F39" s="37">
        <f>'Detailed P&amp;L'!F37+'Detailed P&amp;L'!F80+'Detailed P&amp;L'!F115+'Detailed P&amp;L'!F149</f>
        <v>0</v>
      </c>
      <c r="G39" s="37">
        <f>'Detailed P&amp;L'!G37+'Detailed P&amp;L'!G80+'Detailed P&amp;L'!G115+'Detailed P&amp;L'!G149</f>
        <v>0</v>
      </c>
      <c r="H39" s="37">
        <f>'Detailed P&amp;L'!H37+'Detailed P&amp;L'!H80+'Detailed P&amp;L'!H115+'Detailed P&amp;L'!H149</f>
        <v>0</v>
      </c>
      <c r="I39" s="37">
        <f>'Detailed P&amp;L'!I37+'Detailed P&amp;L'!I80+'Detailed P&amp;L'!I115+'Detailed P&amp;L'!I149</f>
        <v>0</v>
      </c>
      <c r="J39" s="37">
        <f>'Detailed P&amp;L'!J37+'Detailed P&amp;L'!J80+'Detailed P&amp;L'!J115+'Detailed P&amp;L'!J149</f>
        <v>0</v>
      </c>
      <c r="K39" s="37">
        <f>'Detailed P&amp;L'!K37+'Detailed P&amp;L'!K80+'Detailed P&amp;L'!K115+'Detailed P&amp;L'!K149</f>
        <v>0</v>
      </c>
      <c r="L39" s="37">
        <f>'Detailed P&amp;L'!L37+'Detailed P&amp;L'!L80+'Detailed P&amp;L'!L115+'Detailed P&amp;L'!L149</f>
        <v>0</v>
      </c>
      <c r="M39" s="37">
        <f>'Detailed P&amp;L'!M37+'Detailed P&amp;L'!M80+'Detailed P&amp;L'!M115+'Detailed P&amp;L'!M149</f>
        <v>0</v>
      </c>
      <c r="N39" s="37">
        <f>'Detailed P&amp;L'!N37+'Detailed P&amp;L'!N80+'Detailed P&amp;L'!N115+'Detailed P&amp;L'!N149</f>
        <v>0</v>
      </c>
      <c r="O39" s="37">
        <f>'Detailed P&amp;L'!O37+'Detailed P&amp;L'!O80+'Detailed P&amp;L'!O115+'Detailed P&amp;L'!O149</f>
        <v>0</v>
      </c>
      <c r="P39" s="37">
        <f>'Detailed P&amp;L'!P37+'Detailed P&amp;L'!P80+'Detailed P&amp;L'!P115+'Detailed P&amp;L'!P149</f>
        <v>0</v>
      </c>
      <c r="Q39" s="37">
        <f>'Detailed P&amp;L'!Q37+'Detailed P&amp;L'!Q80+'Detailed P&amp;L'!Q115+'Detailed P&amp;L'!Q149</f>
        <v>0</v>
      </c>
      <c r="R39" s="37">
        <f>'Detailed P&amp;L'!R37+'Detailed P&amp;L'!R80+'Detailed P&amp;L'!R115+'Detailed P&amp;L'!R149</f>
        <v>0</v>
      </c>
      <c r="S39" s="37">
        <f>'Detailed P&amp;L'!S37+'Detailed P&amp;L'!S80+'Detailed P&amp;L'!S115+'Detailed P&amp;L'!S149</f>
        <v>0</v>
      </c>
      <c r="T39" s="37">
        <f>'Detailed P&amp;L'!T37+'Detailed P&amp;L'!T80+'Detailed P&amp;L'!T115+'Detailed P&amp;L'!T149</f>
        <v>0</v>
      </c>
      <c r="U39" s="37">
        <f>'Detailed P&amp;L'!U37+'Detailed P&amp;L'!U80+'Detailed P&amp;L'!U115+'Detailed P&amp;L'!U149</f>
        <v>0</v>
      </c>
      <c r="V39" s="37">
        <f>'Detailed P&amp;L'!V37+'Detailed P&amp;L'!V80+'Detailed P&amp;L'!V115+'Detailed P&amp;L'!V149</f>
        <v>0</v>
      </c>
      <c r="W39" s="37">
        <f>'Detailed P&amp;L'!W37+'Detailed P&amp;L'!W80+'Detailed P&amp;L'!W115+'Detailed P&amp;L'!W149</f>
        <v>0</v>
      </c>
      <c r="X39" s="37">
        <f>'Detailed P&amp;L'!X37+'Detailed P&amp;L'!X80+'Detailed P&amp;L'!X115+'Detailed P&amp;L'!X149</f>
        <v>0</v>
      </c>
      <c r="Y39" s="37">
        <f>'Detailed P&amp;L'!Y37+'Detailed P&amp;L'!Y80+'Detailed P&amp;L'!Y115+'Detailed P&amp;L'!Y149</f>
        <v>0</v>
      </c>
      <c r="Z39" s="37">
        <f>'Detailed P&amp;L'!Z37+'Detailed P&amp;L'!Z80+'Detailed P&amp;L'!Z115+'Detailed P&amp;L'!Z149</f>
        <v>0</v>
      </c>
      <c r="AA39" s="37">
        <f>'Detailed P&amp;L'!AA37+'Detailed P&amp;L'!AA80+'Detailed P&amp;L'!AA115+'Detailed P&amp;L'!AA149</f>
        <v>0</v>
      </c>
      <c r="AB39" s="37">
        <f>'Detailed P&amp;L'!AB37+'Detailed P&amp;L'!AB80+'Detailed P&amp;L'!AB115+'Detailed P&amp;L'!AB149</f>
        <v>0</v>
      </c>
      <c r="AC39" s="37">
        <f>'Detailed P&amp;L'!AC37+'Detailed P&amp;L'!AC80+'Detailed P&amp;L'!AC115+'Detailed P&amp;L'!AC149</f>
        <v>0</v>
      </c>
      <c r="AD39" s="37">
        <f>'Detailed P&amp;L'!AD37+'Detailed P&amp;L'!AD80+'Detailed P&amp;L'!AD115+'Detailed P&amp;L'!AD149</f>
        <v>0</v>
      </c>
      <c r="AE39" s="37">
        <f>'Detailed P&amp;L'!AE37+'Detailed P&amp;L'!AE80+'Detailed P&amp;L'!AE115+'Detailed P&amp;L'!AE149</f>
        <v>0</v>
      </c>
      <c r="AF39" s="37">
        <f>'Detailed P&amp;L'!AF37+'Detailed P&amp;L'!AF80+'Detailed P&amp;L'!AF115+'Detailed P&amp;L'!AF149</f>
        <v>0</v>
      </c>
      <c r="AG39" s="37">
        <f>'Detailed P&amp;L'!AG37+'Detailed P&amp;L'!AG80+'Detailed P&amp;L'!AG115+'Detailed P&amp;L'!AG149</f>
        <v>0</v>
      </c>
      <c r="AH39" s="37">
        <f>'Detailed P&amp;L'!AH37+'Detailed P&amp;L'!AH80+'Detailed P&amp;L'!AH115+'Detailed P&amp;L'!AH149</f>
        <v>0</v>
      </c>
      <c r="AI39" s="37">
        <f>'Detailed P&amp;L'!AI37+'Detailed P&amp;L'!AI80+'Detailed P&amp;L'!AI115+'Detailed P&amp;L'!AI149</f>
        <v>0</v>
      </c>
      <c r="AJ39" s="37">
        <f>'Detailed P&amp;L'!AJ37+'Detailed P&amp;L'!AJ80+'Detailed P&amp;L'!AJ115+'Detailed P&amp;L'!AJ149</f>
        <v>0</v>
      </c>
      <c r="AK39" s="37">
        <f>'Detailed P&amp;L'!AK37+'Detailed P&amp;L'!AK80+'Detailed P&amp;L'!AK115+'Detailed P&amp;L'!AK149</f>
        <v>0</v>
      </c>
      <c r="AL39" s="202">
        <f>'Detailed P&amp;L'!AL37+'Detailed P&amp;L'!AL80+'Detailed P&amp;L'!AL115+'Detailed P&amp;L'!AL149</f>
        <v>0</v>
      </c>
      <c r="AN39" s="231">
        <f ca="1">'Detailed P&amp;L'!AN37+'Detailed P&amp;L'!AN80+'Detailed P&amp;L'!AN115+'Detailed P&amp;L'!AN149</f>
        <v>0</v>
      </c>
      <c r="AO39" s="37">
        <f ca="1">'Detailed P&amp;L'!AO37+'Detailed P&amp;L'!AO80+'Detailed P&amp;L'!AO115+'Detailed P&amp;L'!AO149</f>
        <v>0</v>
      </c>
      <c r="AP39" s="37">
        <f ca="1">'Detailed P&amp;L'!AP37+'Detailed P&amp;L'!AP80+'Detailed P&amp;L'!AP115+'Detailed P&amp;L'!AP149</f>
        <v>0</v>
      </c>
      <c r="AQ39" s="37">
        <f ca="1">'Detailed P&amp;L'!AQ37+'Detailed P&amp;L'!AQ80+'Detailed P&amp;L'!AQ115+'Detailed P&amp;L'!AQ149</f>
        <v>0</v>
      </c>
      <c r="AR39" s="37">
        <f ca="1">'Detailed P&amp;L'!AR37+'Detailed P&amp;L'!AR80+'Detailed P&amp;L'!AR115+'Detailed P&amp;L'!AR149</f>
        <v>0</v>
      </c>
      <c r="AS39" s="37">
        <f ca="1">'Detailed P&amp;L'!AS37+'Detailed P&amp;L'!AS80+'Detailed P&amp;L'!AS115+'Detailed P&amp;L'!AS149</f>
        <v>0</v>
      </c>
      <c r="AT39" s="37">
        <f ca="1">'Detailed P&amp;L'!AT37+'Detailed P&amp;L'!AT80+'Detailed P&amp;L'!AT115+'Detailed P&amp;L'!AT149</f>
        <v>0</v>
      </c>
      <c r="AU39" s="37">
        <f ca="1">'Detailed P&amp;L'!AU37+'Detailed P&amp;L'!AU80+'Detailed P&amp;L'!AU115+'Detailed P&amp;L'!AU149</f>
        <v>0</v>
      </c>
      <c r="AV39" s="37">
        <f ca="1">'Detailed P&amp;L'!AV37+'Detailed P&amp;L'!AV80+'Detailed P&amp;L'!AV115+'Detailed P&amp;L'!AV149</f>
        <v>0</v>
      </c>
      <c r="AW39" s="37">
        <f ca="1">'Detailed P&amp;L'!AW37+'Detailed P&amp;L'!AW80+'Detailed P&amp;L'!AW115+'Detailed P&amp;L'!AW149</f>
        <v>0</v>
      </c>
      <c r="AX39" s="37">
        <f ca="1">'Detailed P&amp;L'!AX37+'Detailed P&amp;L'!AX80+'Detailed P&amp;L'!AX115+'Detailed P&amp;L'!AX149</f>
        <v>0</v>
      </c>
      <c r="AY39" s="202">
        <f ca="1">'Detailed P&amp;L'!AY37+'Detailed P&amp;L'!AY80+'Detailed P&amp;L'!AY115+'Detailed P&amp;L'!AY149</f>
        <v>0</v>
      </c>
      <c r="BA39" s="231">
        <f ca="1">'Detailed P&amp;L'!BA37+'Detailed P&amp;L'!BA80+'Detailed P&amp;L'!BA115+'Detailed P&amp;L'!BA149</f>
        <v>0</v>
      </c>
      <c r="BB39" s="37">
        <f ca="1">'Detailed P&amp;L'!BB37+'Detailed P&amp;L'!BB80+'Detailed P&amp;L'!BB115+'Detailed P&amp;L'!BB149</f>
        <v>0</v>
      </c>
      <c r="BC39" s="202">
        <f ca="1">'Detailed P&amp;L'!BC37+'Detailed P&amp;L'!BC80+'Detailed P&amp;L'!BC115+'Detailed P&amp;L'!BC149</f>
        <v>0</v>
      </c>
    </row>
    <row r="40" spans="2:55" x14ac:dyDescent="0.35">
      <c r="B40" s="36" t="s">
        <v>23</v>
      </c>
      <c r="C40" s="37">
        <f>'Detailed P&amp;L'!C38+'Detailed P&amp;L'!C81+'Detailed P&amp;L'!C116+'Detailed P&amp;L'!C150</f>
        <v>0</v>
      </c>
      <c r="D40" s="37">
        <f>'Detailed P&amp;L'!D38+'Detailed P&amp;L'!D81+'Detailed P&amp;L'!D116+'Detailed P&amp;L'!D150</f>
        <v>0</v>
      </c>
      <c r="E40" s="37">
        <f>'Detailed P&amp;L'!E38+'Detailed P&amp;L'!E81+'Detailed P&amp;L'!E116+'Detailed P&amp;L'!E150</f>
        <v>0</v>
      </c>
      <c r="F40" s="37">
        <f>'Detailed P&amp;L'!F38+'Detailed P&amp;L'!F81+'Detailed P&amp;L'!F116+'Detailed P&amp;L'!F150</f>
        <v>0</v>
      </c>
      <c r="G40" s="37">
        <f>'Detailed P&amp;L'!G38+'Detailed P&amp;L'!G81+'Detailed P&amp;L'!G116+'Detailed P&amp;L'!G150</f>
        <v>0</v>
      </c>
      <c r="H40" s="37">
        <f>'Detailed P&amp;L'!H38+'Detailed P&amp;L'!H81+'Detailed P&amp;L'!H116+'Detailed P&amp;L'!H150</f>
        <v>0</v>
      </c>
      <c r="I40" s="37">
        <f>'Detailed P&amp;L'!I38+'Detailed P&amp;L'!I81+'Detailed P&amp;L'!I116+'Detailed P&amp;L'!I150</f>
        <v>0</v>
      </c>
      <c r="J40" s="37">
        <f>'Detailed P&amp;L'!J38+'Detailed P&amp;L'!J81+'Detailed P&amp;L'!J116+'Detailed P&amp;L'!J150</f>
        <v>0</v>
      </c>
      <c r="K40" s="37">
        <f>'Detailed P&amp;L'!K38+'Detailed P&amp;L'!K81+'Detailed P&amp;L'!K116+'Detailed P&amp;L'!K150</f>
        <v>0</v>
      </c>
      <c r="L40" s="37">
        <f>'Detailed P&amp;L'!L38+'Detailed P&amp;L'!L81+'Detailed P&amp;L'!L116+'Detailed P&amp;L'!L150</f>
        <v>0</v>
      </c>
      <c r="M40" s="37">
        <f>'Detailed P&amp;L'!M38+'Detailed P&amp;L'!M81+'Detailed P&amp;L'!M116+'Detailed P&amp;L'!M150</f>
        <v>0</v>
      </c>
      <c r="N40" s="37">
        <f>'Detailed P&amp;L'!N38+'Detailed P&amp;L'!N81+'Detailed P&amp;L'!N116+'Detailed P&amp;L'!N150</f>
        <v>0</v>
      </c>
      <c r="O40" s="37">
        <f>'Detailed P&amp;L'!O38+'Detailed P&amp;L'!O81+'Detailed P&amp;L'!O116+'Detailed P&amp;L'!O150</f>
        <v>0</v>
      </c>
      <c r="P40" s="37">
        <f>'Detailed P&amp;L'!P38+'Detailed P&amp;L'!P81+'Detailed P&amp;L'!P116+'Detailed P&amp;L'!P150</f>
        <v>0</v>
      </c>
      <c r="Q40" s="37">
        <f>'Detailed P&amp;L'!Q38+'Detailed P&amp;L'!Q81+'Detailed P&amp;L'!Q116+'Detailed P&amp;L'!Q150</f>
        <v>0</v>
      </c>
      <c r="R40" s="37">
        <f>'Detailed P&amp;L'!R38+'Detailed P&amp;L'!R81+'Detailed P&amp;L'!R116+'Detailed P&amp;L'!R150</f>
        <v>0</v>
      </c>
      <c r="S40" s="37">
        <f>'Detailed P&amp;L'!S38+'Detailed P&amp;L'!S81+'Detailed P&amp;L'!S116+'Detailed P&amp;L'!S150</f>
        <v>0</v>
      </c>
      <c r="T40" s="37">
        <f>'Detailed P&amp;L'!T38+'Detailed P&amp;L'!T81+'Detailed P&amp;L'!T116+'Detailed P&amp;L'!T150</f>
        <v>0</v>
      </c>
      <c r="U40" s="37">
        <f>'Detailed P&amp;L'!U38+'Detailed P&amp;L'!U81+'Detailed P&amp;L'!U116+'Detailed P&amp;L'!U150</f>
        <v>0</v>
      </c>
      <c r="V40" s="37">
        <f>'Detailed P&amp;L'!V38+'Detailed P&amp;L'!V81+'Detailed P&amp;L'!V116+'Detailed P&amp;L'!V150</f>
        <v>0</v>
      </c>
      <c r="W40" s="37">
        <f>'Detailed P&amp;L'!W38+'Detailed P&amp;L'!W81+'Detailed P&amp;L'!W116+'Detailed P&amp;L'!W150</f>
        <v>0</v>
      </c>
      <c r="X40" s="37">
        <f>'Detailed P&amp;L'!X38+'Detailed P&amp;L'!X81+'Detailed P&amp;L'!X116+'Detailed P&amp;L'!X150</f>
        <v>0</v>
      </c>
      <c r="Y40" s="37">
        <f>'Detailed P&amp;L'!Y38+'Detailed P&amp;L'!Y81+'Detailed P&amp;L'!Y116+'Detailed P&amp;L'!Y150</f>
        <v>0</v>
      </c>
      <c r="Z40" s="37">
        <f>'Detailed P&amp;L'!Z38+'Detailed P&amp;L'!Z81+'Detailed P&amp;L'!Z116+'Detailed P&amp;L'!Z150</f>
        <v>0</v>
      </c>
      <c r="AA40" s="37">
        <f>'Detailed P&amp;L'!AA38+'Detailed P&amp;L'!AA81+'Detailed P&amp;L'!AA116+'Detailed P&amp;L'!AA150</f>
        <v>0</v>
      </c>
      <c r="AB40" s="37">
        <f>'Detailed P&amp;L'!AB38+'Detailed P&amp;L'!AB81+'Detailed P&amp;L'!AB116+'Detailed P&amp;L'!AB150</f>
        <v>0</v>
      </c>
      <c r="AC40" s="37">
        <f>'Detailed P&amp;L'!AC38+'Detailed P&amp;L'!AC81+'Detailed P&amp;L'!AC116+'Detailed P&amp;L'!AC150</f>
        <v>0</v>
      </c>
      <c r="AD40" s="37">
        <f>'Detailed P&amp;L'!AD38+'Detailed P&amp;L'!AD81+'Detailed P&amp;L'!AD116+'Detailed P&amp;L'!AD150</f>
        <v>0</v>
      </c>
      <c r="AE40" s="37">
        <f>'Detailed P&amp;L'!AE38+'Detailed P&amp;L'!AE81+'Detailed P&amp;L'!AE116+'Detailed P&amp;L'!AE150</f>
        <v>0</v>
      </c>
      <c r="AF40" s="37">
        <f>'Detailed P&amp;L'!AF38+'Detailed P&amp;L'!AF81+'Detailed P&amp;L'!AF116+'Detailed P&amp;L'!AF150</f>
        <v>0</v>
      </c>
      <c r="AG40" s="37">
        <f>'Detailed P&amp;L'!AG38+'Detailed P&amp;L'!AG81+'Detailed P&amp;L'!AG116+'Detailed P&amp;L'!AG150</f>
        <v>0</v>
      </c>
      <c r="AH40" s="37">
        <f>'Detailed P&amp;L'!AH38+'Detailed P&amp;L'!AH81+'Detailed P&amp;L'!AH116+'Detailed P&amp;L'!AH150</f>
        <v>0</v>
      </c>
      <c r="AI40" s="37">
        <f>'Detailed P&amp;L'!AI38+'Detailed P&amp;L'!AI81+'Detailed P&amp;L'!AI116+'Detailed P&amp;L'!AI150</f>
        <v>0</v>
      </c>
      <c r="AJ40" s="37">
        <f>'Detailed P&amp;L'!AJ38+'Detailed P&amp;L'!AJ81+'Detailed P&amp;L'!AJ116+'Detailed P&amp;L'!AJ150</f>
        <v>0</v>
      </c>
      <c r="AK40" s="37">
        <f>'Detailed P&amp;L'!AK38+'Detailed P&amp;L'!AK81+'Detailed P&amp;L'!AK116+'Detailed P&amp;L'!AK150</f>
        <v>0</v>
      </c>
      <c r="AL40" s="202">
        <f>'Detailed P&amp;L'!AL38+'Detailed P&amp;L'!AL81+'Detailed P&amp;L'!AL116+'Detailed P&amp;L'!AL150</f>
        <v>0</v>
      </c>
      <c r="AN40" s="231">
        <f ca="1">'Detailed P&amp;L'!AN38+'Detailed P&amp;L'!AN81+'Detailed P&amp;L'!AN116+'Detailed P&amp;L'!AN150</f>
        <v>0</v>
      </c>
      <c r="AO40" s="37">
        <f ca="1">'Detailed P&amp;L'!AO38+'Detailed P&amp;L'!AO81+'Detailed P&amp;L'!AO116+'Detailed P&amp;L'!AO150</f>
        <v>0</v>
      </c>
      <c r="AP40" s="37">
        <f ca="1">'Detailed P&amp;L'!AP38+'Detailed P&amp;L'!AP81+'Detailed P&amp;L'!AP116+'Detailed P&amp;L'!AP150</f>
        <v>0</v>
      </c>
      <c r="AQ40" s="37">
        <f ca="1">'Detailed P&amp;L'!AQ38+'Detailed P&amp;L'!AQ81+'Detailed P&amp;L'!AQ116+'Detailed P&amp;L'!AQ150</f>
        <v>0</v>
      </c>
      <c r="AR40" s="37">
        <f ca="1">'Detailed P&amp;L'!AR38+'Detailed P&amp;L'!AR81+'Detailed P&amp;L'!AR116+'Detailed P&amp;L'!AR150</f>
        <v>0</v>
      </c>
      <c r="AS40" s="37">
        <f ca="1">'Detailed P&amp;L'!AS38+'Detailed P&amp;L'!AS81+'Detailed P&amp;L'!AS116+'Detailed P&amp;L'!AS150</f>
        <v>0</v>
      </c>
      <c r="AT40" s="37">
        <f ca="1">'Detailed P&amp;L'!AT38+'Detailed P&amp;L'!AT81+'Detailed P&amp;L'!AT116+'Detailed P&amp;L'!AT150</f>
        <v>0</v>
      </c>
      <c r="AU40" s="37">
        <f ca="1">'Detailed P&amp;L'!AU38+'Detailed P&amp;L'!AU81+'Detailed P&amp;L'!AU116+'Detailed P&amp;L'!AU150</f>
        <v>0</v>
      </c>
      <c r="AV40" s="37">
        <f ca="1">'Detailed P&amp;L'!AV38+'Detailed P&amp;L'!AV81+'Detailed P&amp;L'!AV116+'Detailed P&amp;L'!AV150</f>
        <v>0</v>
      </c>
      <c r="AW40" s="37">
        <f ca="1">'Detailed P&amp;L'!AW38+'Detailed P&amp;L'!AW81+'Detailed P&amp;L'!AW116+'Detailed P&amp;L'!AW150</f>
        <v>0</v>
      </c>
      <c r="AX40" s="37">
        <f ca="1">'Detailed P&amp;L'!AX38+'Detailed P&amp;L'!AX81+'Detailed P&amp;L'!AX116+'Detailed P&amp;L'!AX150</f>
        <v>0</v>
      </c>
      <c r="AY40" s="202">
        <f ca="1">'Detailed P&amp;L'!AY38+'Detailed P&amp;L'!AY81+'Detailed P&amp;L'!AY116+'Detailed P&amp;L'!AY150</f>
        <v>0</v>
      </c>
      <c r="BA40" s="231">
        <f ca="1">'Detailed P&amp;L'!BA38+'Detailed P&amp;L'!BA81+'Detailed P&amp;L'!BA116+'Detailed P&amp;L'!BA150</f>
        <v>0</v>
      </c>
      <c r="BB40" s="37">
        <f ca="1">'Detailed P&amp;L'!BB38+'Detailed P&amp;L'!BB81+'Detailed P&amp;L'!BB116+'Detailed P&amp;L'!BB150</f>
        <v>0</v>
      </c>
      <c r="BC40" s="202">
        <f ca="1">'Detailed P&amp;L'!BC38+'Detailed P&amp;L'!BC81+'Detailed P&amp;L'!BC116+'Detailed P&amp;L'!BC150</f>
        <v>0</v>
      </c>
    </row>
    <row r="41" spans="2:55" x14ac:dyDescent="0.35">
      <c r="B41" s="36" t="s">
        <v>24</v>
      </c>
      <c r="C41" s="37">
        <f>'Detailed P&amp;L'!C39+'Detailed P&amp;L'!C82+'Detailed P&amp;L'!C117+'Detailed P&amp;L'!C151</f>
        <v>0</v>
      </c>
      <c r="D41" s="37">
        <f>'Detailed P&amp;L'!D39+'Detailed P&amp;L'!D82+'Detailed P&amp;L'!D117+'Detailed P&amp;L'!D151</f>
        <v>0</v>
      </c>
      <c r="E41" s="37">
        <f>'Detailed P&amp;L'!E39+'Detailed P&amp;L'!E82+'Detailed P&amp;L'!E117+'Detailed P&amp;L'!E151</f>
        <v>0</v>
      </c>
      <c r="F41" s="37">
        <f>'Detailed P&amp;L'!F39+'Detailed P&amp;L'!F82+'Detailed P&amp;L'!F117+'Detailed P&amp;L'!F151</f>
        <v>0</v>
      </c>
      <c r="G41" s="37">
        <f>'Detailed P&amp;L'!G39+'Detailed P&amp;L'!G82+'Detailed P&amp;L'!G117+'Detailed P&amp;L'!G151</f>
        <v>0</v>
      </c>
      <c r="H41" s="37">
        <f>'Detailed P&amp;L'!H39+'Detailed P&amp;L'!H82+'Detailed P&amp;L'!H117+'Detailed P&amp;L'!H151</f>
        <v>0</v>
      </c>
      <c r="I41" s="37">
        <f>'Detailed P&amp;L'!I39+'Detailed P&amp;L'!I82+'Detailed P&amp;L'!I117+'Detailed P&amp;L'!I151</f>
        <v>0</v>
      </c>
      <c r="J41" s="37">
        <f>'Detailed P&amp;L'!J39+'Detailed P&amp;L'!J82+'Detailed P&amp;L'!J117+'Detailed P&amp;L'!J151</f>
        <v>0</v>
      </c>
      <c r="K41" s="37">
        <f>'Detailed P&amp;L'!K39+'Detailed P&amp;L'!K82+'Detailed P&amp;L'!K117+'Detailed P&amp;L'!K151</f>
        <v>0</v>
      </c>
      <c r="L41" s="37">
        <f>'Detailed P&amp;L'!L39+'Detailed P&amp;L'!L82+'Detailed P&amp;L'!L117+'Detailed P&amp;L'!L151</f>
        <v>0</v>
      </c>
      <c r="M41" s="37">
        <f>'Detailed P&amp;L'!M39+'Detailed P&amp;L'!M82+'Detailed P&amp;L'!M117+'Detailed P&amp;L'!M151</f>
        <v>0</v>
      </c>
      <c r="N41" s="37">
        <f>'Detailed P&amp;L'!N39+'Detailed P&amp;L'!N82+'Detailed P&amp;L'!N117+'Detailed P&amp;L'!N151</f>
        <v>0</v>
      </c>
      <c r="O41" s="37">
        <f>'Detailed P&amp;L'!O39+'Detailed P&amp;L'!O82+'Detailed P&amp;L'!O117+'Detailed P&amp;L'!O151</f>
        <v>0</v>
      </c>
      <c r="P41" s="37">
        <f>'Detailed P&amp;L'!P39+'Detailed P&amp;L'!P82+'Detailed P&amp;L'!P117+'Detailed P&amp;L'!P151</f>
        <v>0</v>
      </c>
      <c r="Q41" s="37">
        <f>'Detailed P&amp;L'!Q39+'Detailed P&amp;L'!Q82+'Detailed P&amp;L'!Q117+'Detailed P&amp;L'!Q151</f>
        <v>0</v>
      </c>
      <c r="R41" s="37">
        <f>'Detailed P&amp;L'!R39+'Detailed P&amp;L'!R82+'Detailed P&amp;L'!R117+'Detailed P&amp;L'!R151</f>
        <v>0</v>
      </c>
      <c r="S41" s="37">
        <f>'Detailed P&amp;L'!S39+'Detailed P&amp;L'!S82+'Detailed P&amp;L'!S117+'Detailed P&amp;L'!S151</f>
        <v>0</v>
      </c>
      <c r="T41" s="37">
        <f>'Detailed P&amp;L'!T39+'Detailed P&amp;L'!T82+'Detailed P&amp;L'!T117+'Detailed P&amp;L'!T151</f>
        <v>0</v>
      </c>
      <c r="U41" s="37">
        <f>'Detailed P&amp;L'!U39+'Detailed P&amp;L'!U82+'Detailed P&amp;L'!U117+'Detailed P&amp;L'!U151</f>
        <v>0</v>
      </c>
      <c r="V41" s="37">
        <f>'Detailed P&amp;L'!V39+'Detailed P&amp;L'!V82+'Detailed P&amp;L'!V117+'Detailed P&amp;L'!V151</f>
        <v>0</v>
      </c>
      <c r="W41" s="37">
        <f>'Detailed P&amp;L'!W39+'Detailed P&amp;L'!W82+'Detailed P&amp;L'!W117+'Detailed P&amp;L'!W151</f>
        <v>0</v>
      </c>
      <c r="X41" s="37">
        <f>'Detailed P&amp;L'!X39+'Detailed P&amp;L'!X82+'Detailed P&amp;L'!X117+'Detailed P&amp;L'!X151</f>
        <v>0</v>
      </c>
      <c r="Y41" s="37">
        <f>'Detailed P&amp;L'!Y39+'Detailed P&amp;L'!Y82+'Detailed P&amp;L'!Y117+'Detailed P&amp;L'!Y151</f>
        <v>0</v>
      </c>
      <c r="Z41" s="37">
        <f>'Detailed P&amp;L'!Z39+'Detailed P&amp;L'!Z82+'Detailed P&amp;L'!Z117+'Detailed P&amp;L'!Z151</f>
        <v>0</v>
      </c>
      <c r="AA41" s="37">
        <f>'Detailed P&amp;L'!AA39+'Detailed P&amp;L'!AA82+'Detailed P&amp;L'!AA117+'Detailed P&amp;L'!AA151</f>
        <v>0</v>
      </c>
      <c r="AB41" s="37">
        <f>'Detailed P&amp;L'!AB39+'Detailed P&amp;L'!AB82+'Detailed P&amp;L'!AB117+'Detailed P&amp;L'!AB151</f>
        <v>0</v>
      </c>
      <c r="AC41" s="37">
        <f>'Detailed P&amp;L'!AC39+'Detailed P&amp;L'!AC82+'Detailed P&amp;L'!AC117+'Detailed P&amp;L'!AC151</f>
        <v>0</v>
      </c>
      <c r="AD41" s="37">
        <f>'Detailed P&amp;L'!AD39+'Detailed P&amp;L'!AD82+'Detailed P&amp;L'!AD117+'Detailed P&amp;L'!AD151</f>
        <v>0</v>
      </c>
      <c r="AE41" s="37">
        <f>'Detailed P&amp;L'!AE39+'Detailed P&amp;L'!AE82+'Detailed P&amp;L'!AE117+'Detailed P&amp;L'!AE151</f>
        <v>0</v>
      </c>
      <c r="AF41" s="37">
        <f>'Detailed P&amp;L'!AF39+'Detailed P&amp;L'!AF82+'Detailed P&amp;L'!AF117+'Detailed P&amp;L'!AF151</f>
        <v>0</v>
      </c>
      <c r="AG41" s="37">
        <f>'Detailed P&amp;L'!AG39+'Detailed P&amp;L'!AG82+'Detailed P&amp;L'!AG117+'Detailed P&amp;L'!AG151</f>
        <v>0</v>
      </c>
      <c r="AH41" s="37">
        <f>'Detailed P&amp;L'!AH39+'Detailed P&amp;L'!AH82+'Detailed P&amp;L'!AH117+'Detailed P&amp;L'!AH151</f>
        <v>0</v>
      </c>
      <c r="AI41" s="37">
        <f>'Detailed P&amp;L'!AI39+'Detailed P&amp;L'!AI82+'Detailed P&amp;L'!AI117+'Detailed P&amp;L'!AI151</f>
        <v>0</v>
      </c>
      <c r="AJ41" s="37">
        <f>'Detailed P&amp;L'!AJ39+'Detailed P&amp;L'!AJ82+'Detailed P&amp;L'!AJ117+'Detailed P&amp;L'!AJ151</f>
        <v>0</v>
      </c>
      <c r="AK41" s="37">
        <f>'Detailed P&amp;L'!AK39+'Detailed P&amp;L'!AK82+'Detailed P&amp;L'!AK117+'Detailed P&amp;L'!AK151</f>
        <v>0</v>
      </c>
      <c r="AL41" s="202">
        <f>'Detailed P&amp;L'!AL39+'Detailed P&amp;L'!AL82+'Detailed P&amp;L'!AL117+'Detailed P&amp;L'!AL151</f>
        <v>0</v>
      </c>
      <c r="AN41" s="231">
        <f ca="1">'Detailed P&amp;L'!AN39+'Detailed P&amp;L'!AN82+'Detailed P&amp;L'!AN117+'Detailed P&amp;L'!AN151</f>
        <v>0</v>
      </c>
      <c r="AO41" s="37">
        <f ca="1">'Detailed P&amp;L'!AO39+'Detailed P&amp;L'!AO82+'Detailed P&amp;L'!AO117+'Detailed P&amp;L'!AO151</f>
        <v>0</v>
      </c>
      <c r="AP41" s="37">
        <f ca="1">'Detailed P&amp;L'!AP39+'Detailed P&amp;L'!AP82+'Detailed P&amp;L'!AP117+'Detailed P&amp;L'!AP151</f>
        <v>0</v>
      </c>
      <c r="AQ41" s="37">
        <f ca="1">'Detailed P&amp;L'!AQ39+'Detailed P&amp;L'!AQ82+'Detailed P&amp;L'!AQ117+'Detailed P&amp;L'!AQ151</f>
        <v>0</v>
      </c>
      <c r="AR41" s="37">
        <f ca="1">'Detailed P&amp;L'!AR39+'Detailed P&amp;L'!AR82+'Detailed P&amp;L'!AR117+'Detailed P&amp;L'!AR151</f>
        <v>0</v>
      </c>
      <c r="AS41" s="37">
        <f ca="1">'Detailed P&amp;L'!AS39+'Detailed P&amp;L'!AS82+'Detailed P&amp;L'!AS117+'Detailed P&amp;L'!AS151</f>
        <v>0</v>
      </c>
      <c r="AT41" s="37">
        <f ca="1">'Detailed P&amp;L'!AT39+'Detailed P&amp;L'!AT82+'Detailed P&amp;L'!AT117+'Detailed P&amp;L'!AT151</f>
        <v>0</v>
      </c>
      <c r="AU41" s="37">
        <f ca="1">'Detailed P&amp;L'!AU39+'Detailed P&amp;L'!AU82+'Detailed P&amp;L'!AU117+'Detailed P&amp;L'!AU151</f>
        <v>0</v>
      </c>
      <c r="AV41" s="37">
        <f ca="1">'Detailed P&amp;L'!AV39+'Detailed P&amp;L'!AV82+'Detailed P&amp;L'!AV117+'Detailed P&amp;L'!AV151</f>
        <v>0</v>
      </c>
      <c r="AW41" s="37">
        <f ca="1">'Detailed P&amp;L'!AW39+'Detailed P&amp;L'!AW82+'Detailed P&amp;L'!AW117+'Detailed P&amp;L'!AW151</f>
        <v>0</v>
      </c>
      <c r="AX41" s="37">
        <f ca="1">'Detailed P&amp;L'!AX39+'Detailed P&amp;L'!AX82+'Detailed P&amp;L'!AX117+'Detailed P&amp;L'!AX151</f>
        <v>0</v>
      </c>
      <c r="AY41" s="202">
        <f ca="1">'Detailed P&amp;L'!AY39+'Detailed P&amp;L'!AY82+'Detailed P&amp;L'!AY117+'Detailed P&amp;L'!AY151</f>
        <v>0</v>
      </c>
      <c r="BA41" s="231">
        <f ca="1">'Detailed P&amp;L'!BA39+'Detailed P&amp;L'!BA82+'Detailed P&amp;L'!BA117+'Detailed P&amp;L'!BA151</f>
        <v>0</v>
      </c>
      <c r="BB41" s="37">
        <f ca="1">'Detailed P&amp;L'!BB39+'Detailed P&amp;L'!BB82+'Detailed P&amp;L'!BB117+'Detailed P&amp;L'!BB151</f>
        <v>0</v>
      </c>
      <c r="BC41" s="202">
        <f ca="1">'Detailed P&amp;L'!BC39+'Detailed P&amp;L'!BC82+'Detailed P&amp;L'!BC117+'Detailed P&amp;L'!BC151</f>
        <v>0</v>
      </c>
    </row>
    <row r="42" spans="2:55" x14ac:dyDescent="0.35">
      <c r="B42" s="36" t="s">
        <v>25</v>
      </c>
      <c r="C42" s="37">
        <f>'Detailed P&amp;L'!C40+'Detailed P&amp;L'!C83+'Detailed P&amp;L'!C118+'Detailed P&amp;L'!C152</f>
        <v>0</v>
      </c>
      <c r="D42" s="37">
        <f>'Detailed P&amp;L'!D40+'Detailed P&amp;L'!D83+'Detailed P&amp;L'!D118+'Detailed P&amp;L'!D152</f>
        <v>0</v>
      </c>
      <c r="E42" s="37">
        <f>'Detailed P&amp;L'!E40+'Detailed P&amp;L'!E83+'Detailed P&amp;L'!E118+'Detailed P&amp;L'!E152</f>
        <v>0</v>
      </c>
      <c r="F42" s="37">
        <f>'Detailed P&amp;L'!F40+'Detailed P&amp;L'!F83+'Detailed P&amp;L'!F118+'Detailed P&amp;L'!F152</f>
        <v>0</v>
      </c>
      <c r="G42" s="37">
        <f>'Detailed P&amp;L'!G40+'Detailed P&amp;L'!G83+'Detailed P&amp;L'!G118+'Detailed P&amp;L'!G152</f>
        <v>0</v>
      </c>
      <c r="H42" s="37">
        <f>'Detailed P&amp;L'!H40+'Detailed P&amp;L'!H83+'Detailed P&amp;L'!H118+'Detailed P&amp;L'!H152</f>
        <v>0</v>
      </c>
      <c r="I42" s="37">
        <f>'Detailed P&amp;L'!I40+'Detailed P&amp;L'!I83+'Detailed P&amp;L'!I118+'Detailed P&amp;L'!I152</f>
        <v>0</v>
      </c>
      <c r="J42" s="37">
        <f>'Detailed P&amp;L'!J40+'Detailed P&amp;L'!J83+'Detailed P&amp;L'!J118+'Detailed P&amp;L'!J152</f>
        <v>0</v>
      </c>
      <c r="K42" s="37">
        <f>'Detailed P&amp;L'!K40+'Detailed P&amp;L'!K83+'Detailed P&amp;L'!K118+'Detailed P&amp;L'!K152</f>
        <v>0</v>
      </c>
      <c r="L42" s="37">
        <f>'Detailed P&amp;L'!L40+'Detailed P&amp;L'!L83+'Detailed P&amp;L'!L118+'Detailed P&amp;L'!L152</f>
        <v>0</v>
      </c>
      <c r="M42" s="37">
        <f>'Detailed P&amp;L'!M40+'Detailed P&amp;L'!M83+'Detailed P&amp;L'!M118+'Detailed P&amp;L'!M152</f>
        <v>0</v>
      </c>
      <c r="N42" s="37">
        <f>'Detailed P&amp;L'!N40+'Detailed P&amp;L'!N83+'Detailed P&amp;L'!N118+'Detailed P&amp;L'!N152</f>
        <v>0</v>
      </c>
      <c r="O42" s="37">
        <f>'Detailed P&amp;L'!O40+'Detailed P&amp;L'!O83+'Detailed P&amp;L'!O118+'Detailed P&amp;L'!O152</f>
        <v>0</v>
      </c>
      <c r="P42" s="37">
        <f>'Detailed P&amp;L'!P40+'Detailed P&amp;L'!P83+'Detailed P&amp;L'!P118+'Detailed P&amp;L'!P152</f>
        <v>0</v>
      </c>
      <c r="Q42" s="37">
        <f>'Detailed P&amp;L'!Q40+'Detailed P&amp;L'!Q83+'Detailed P&amp;L'!Q118+'Detailed P&amp;L'!Q152</f>
        <v>0</v>
      </c>
      <c r="R42" s="37">
        <f>'Detailed P&amp;L'!R40+'Detailed P&amp;L'!R83+'Detailed P&amp;L'!R118+'Detailed P&amp;L'!R152</f>
        <v>0</v>
      </c>
      <c r="S42" s="37">
        <f>'Detailed P&amp;L'!S40+'Detailed P&amp;L'!S83+'Detailed P&amp;L'!S118+'Detailed P&amp;L'!S152</f>
        <v>0</v>
      </c>
      <c r="T42" s="37">
        <f>'Detailed P&amp;L'!T40+'Detailed P&amp;L'!T83+'Detailed P&amp;L'!T118+'Detailed P&amp;L'!T152</f>
        <v>0</v>
      </c>
      <c r="U42" s="37">
        <f>'Detailed P&amp;L'!U40+'Detailed P&amp;L'!U83+'Detailed P&amp;L'!U118+'Detailed P&amp;L'!U152</f>
        <v>0</v>
      </c>
      <c r="V42" s="37">
        <f>'Detailed P&amp;L'!V40+'Detailed P&amp;L'!V83+'Detailed P&amp;L'!V118+'Detailed P&amp;L'!V152</f>
        <v>0</v>
      </c>
      <c r="W42" s="37">
        <f>'Detailed P&amp;L'!W40+'Detailed P&amp;L'!W83+'Detailed P&amp;L'!W118+'Detailed P&amp;L'!W152</f>
        <v>0</v>
      </c>
      <c r="X42" s="37">
        <f>'Detailed P&amp;L'!X40+'Detailed P&amp;L'!X83+'Detailed P&amp;L'!X118+'Detailed P&amp;L'!X152</f>
        <v>0</v>
      </c>
      <c r="Y42" s="37">
        <f>'Detailed P&amp;L'!Y40+'Detailed P&amp;L'!Y83+'Detailed P&amp;L'!Y118+'Detailed P&amp;L'!Y152</f>
        <v>0</v>
      </c>
      <c r="Z42" s="37">
        <f>'Detailed P&amp;L'!Z40+'Detailed P&amp;L'!Z83+'Detailed P&amp;L'!Z118+'Detailed P&amp;L'!Z152</f>
        <v>0</v>
      </c>
      <c r="AA42" s="37">
        <f>'Detailed P&amp;L'!AA40+'Detailed P&amp;L'!AA83+'Detailed P&amp;L'!AA118+'Detailed P&amp;L'!AA152</f>
        <v>0</v>
      </c>
      <c r="AB42" s="37">
        <f>'Detailed P&amp;L'!AB40+'Detailed P&amp;L'!AB83+'Detailed P&amp;L'!AB118+'Detailed P&amp;L'!AB152</f>
        <v>0</v>
      </c>
      <c r="AC42" s="37">
        <f>'Detailed P&amp;L'!AC40+'Detailed P&amp;L'!AC83+'Detailed P&amp;L'!AC118+'Detailed P&amp;L'!AC152</f>
        <v>0</v>
      </c>
      <c r="AD42" s="37">
        <f>'Detailed P&amp;L'!AD40+'Detailed P&amp;L'!AD83+'Detailed P&amp;L'!AD118+'Detailed P&amp;L'!AD152</f>
        <v>0</v>
      </c>
      <c r="AE42" s="37">
        <f>'Detailed P&amp;L'!AE40+'Detailed P&amp;L'!AE83+'Detailed P&amp;L'!AE118+'Detailed P&amp;L'!AE152</f>
        <v>0</v>
      </c>
      <c r="AF42" s="37">
        <f>'Detailed P&amp;L'!AF40+'Detailed P&amp;L'!AF83+'Detailed P&amp;L'!AF118+'Detailed P&amp;L'!AF152</f>
        <v>0</v>
      </c>
      <c r="AG42" s="37">
        <f>'Detailed P&amp;L'!AG40+'Detailed P&amp;L'!AG83+'Detailed P&amp;L'!AG118+'Detailed P&amp;L'!AG152</f>
        <v>0</v>
      </c>
      <c r="AH42" s="37">
        <f>'Detailed P&amp;L'!AH40+'Detailed P&amp;L'!AH83+'Detailed P&amp;L'!AH118+'Detailed P&amp;L'!AH152</f>
        <v>0</v>
      </c>
      <c r="AI42" s="37">
        <f>'Detailed P&amp;L'!AI40+'Detailed P&amp;L'!AI83+'Detailed P&amp;L'!AI118+'Detailed P&amp;L'!AI152</f>
        <v>0</v>
      </c>
      <c r="AJ42" s="37">
        <f>'Detailed P&amp;L'!AJ40+'Detailed P&amp;L'!AJ83+'Detailed P&amp;L'!AJ118+'Detailed P&amp;L'!AJ152</f>
        <v>0</v>
      </c>
      <c r="AK42" s="37">
        <f>'Detailed P&amp;L'!AK40+'Detailed P&amp;L'!AK83+'Detailed P&amp;L'!AK118+'Detailed P&amp;L'!AK152</f>
        <v>0</v>
      </c>
      <c r="AL42" s="202">
        <f>'Detailed P&amp;L'!AL40+'Detailed P&amp;L'!AL83+'Detailed P&amp;L'!AL118+'Detailed P&amp;L'!AL152</f>
        <v>0</v>
      </c>
      <c r="AN42" s="231">
        <f ca="1">'Detailed P&amp;L'!AN40+'Detailed P&amp;L'!AN83+'Detailed P&amp;L'!AN118+'Detailed P&amp;L'!AN152</f>
        <v>0</v>
      </c>
      <c r="AO42" s="37">
        <f ca="1">'Detailed P&amp;L'!AO40+'Detailed P&amp;L'!AO83+'Detailed P&amp;L'!AO118+'Detailed P&amp;L'!AO152</f>
        <v>0</v>
      </c>
      <c r="AP42" s="37">
        <f ca="1">'Detailed P&amp;L'!AP40+'Detailed P&amp;L'!AP83+'Detailed P&amp;L'!AP118+'Detailed P&amp;L'!AP152</f>
        <v>0</v>
      </c>
      <c r="AQ42" s="37">
        <f ca="1">'Detailed P&amp;L'!AQ40+'Detailed P&amp;L'!AQ83+'Detailed P&amp;L'!AQ118+'Detailed P&amp;L'!AQ152</f>
        <v>0</v>
      </c>
      <c r="AR42" s="37">
        <f ca="1">'Detailed P&amp;L'!AR40+'Detailed P&amp;L'!AR83+'Detailed P&amp;L'!AR118+'Detailed P&amp;L'!AR152</f>
        <v>0</v>
      </c>
      <c r="AS42" s="37">
        <f ca="1">'Detailed P&amp;L'!AS40+'Detailed P&amp;L'!AS83+'Detailed P&amp;L'!AS118+'Detailed P&amp;L'!AS152</f>
        <v>0</v>
      </c>
      <c r="AT42" s="37">
        <f ca="1">'Detailed P&amp;L'!AT40+'Detailed P&amp;L'!AT83+'Detailed P&amp;L'!AT118+'Detailed P&amp;L'!AT152</f>
        <v>0</v>
      </c>
      <c r="AU42" s="37">
        <f ca="1">'Detailed P&amp;L'!AU40+'Detailed P&amp;L'!AU83+'Detailed P&amp;L'!AU118+'Detailed P&amp;L'!AU152</f>
        <v>0</v>
      </c>
      <c r="AV42" s="37">
        <f ca="1">'Detailed P&amp;L'!AV40+'Detailed P&amp;L'!AV83+'Detailed P&amp;L'!AV118+'Detailed P&amp;L'!AV152</f>
        <v>0</v>
      </c>
      <c r="AW42" s="37">
        <f ca="1">'Detailed P&amp;L'!AW40+'Detailed P&amp;L'!AW83+'Detailed P&amp;L'!AW118+'Detailed P&amp;L'!AW152</f>
        <v>0</v>
      </c>
      <c r="AX42" s="37">
        <f ca="1">'Detailed P&amp;L'!AX40+'Detailed P&amp;L'!AX83+'Detailed P&amp;L'!AX118+'Detailed P&amp;L'!AX152</f>
        <v>0</v>
      </c>
      <c r="AY42" s="202">
        <f ca="1">'Detailed P&amp;L'!AY40+'Detailed P&amp;L'!AY83+'Detailed P&amp;L'!AY118+'Detailed P&amp;L'!AY152</f>
        <v>0</v>
      </c>
      <c r="BA42" s="231">
        <f ca="1">'Detailed P&amp;L'!BA40+'Detailed P&amp;L'!BA83+'Detailed P&amp;L'!BA118+'Detailed P&amp;L'!BA152</f>
        <v>0</v>
      </c>
      <c r="BB42" s="37">
        <f ca="1">'Detailed P&amp;L'!BB40+'Detailed P&amp;L'!BB83+'Detailed P&amp;L'!BB118+'Detailed P&amp;L'!BB152</f>
        <v>0</v>
      </c>
      <c r="BC42" s="202">
        <f ca="1">'Detailed P&amp;L'!BC40+'Detailed P&amp;L'!BC83+'Detailed P&amp;L'!BC118+'Detailed P&amp;L'!BC152</f>
        <v>0</v>
      </c>
    </row>
    <row r="43" spans="2:55" x14ac:dyDescent="0.35">
      <c r="B43" s="36" t="s">
        <v>26</v>
      </c>
      <c r="C43" s="37">
        <f>'Detailed P&amp;L'!C41+'Detailed P&amp;L'!C84+'Detailed P&amp;L'!C119+'Detailed P&amp;L'!C153</f>
        <v>0</v>
      </c>
      <c r="D43" s="37">
        <f>'Detailed P&amp;L'!D41+'Detailed P&amp;L'!D84+'Detailed P&amp;L'!D119+'Detailed P&amp;L'!D153</f>
        <v>0</v>
      </c>
      <c r="E43" s="37">
        <f>'Detailed P&amp;L'!E41+'Detailed P&amp;L'!E84+'Detailed P&amp;L'!E119+'Detailed P&amp;L'!E153</f>
        <v>0</v>
      </c>
      <c r="F43" s="37">
        <f>'Detailed P&amp;L'!F41+'Detailed P&amp;L'!F84+'Detailed P&amp;L'!F119+'Detailed P&amp;L'!F153</f>
        <v>0</v>
      </c>
      <c r="G43" s="37">
        <f>'Detailed P&amp;L'!G41+'Detailed P&amp;L'!G84+'Detailed P&amp;L'!G119+'Detailed P&amp;L'!G153</f>
        <v>0</v>
      </c>
      <c r="H43" s="37">
        <f>'Detailed P&amp;L'!H41+'Detailed P&amp;L'!H84+'Detailed P&amp;L'!H119+'Detailed P&amp;L'!H153</f>
        <v>0</v>
      </c>
      <c r="I43" s="37">
        <f>'Detailed P&amp;L'!I41+'Detailed P&amp;L'!I84+'Detailed P&amp;L'!I119+'Detailed P&amp;L'!I153</f>
        <v>0</v>
      </c>
      <c r="J43" s="37">
        <f>'Detailed P&amp;L'!J41+'Detailed P&amp;L'!J84+'Detailed P&amp;L'!J119+'Detailed P&amp;L'!J153</f>
        <v>0</v>
      </c>
      <c r="K43" s="37">
        <f>'Detailed P&amp;L'!K41+'Detailed P&amp;L'!K84+'Detailed P&amp;L'!K119+'Detailed P&amp;L'!K153</f>
        <v>0</v>
      </c>
      <c r="L43" s="37">
        <f>'Detailed P&amp;L'!L41+'Detailed P&amp;L'!L84+'Detailed P&amp;L'!L119+'Detailed P&amp;L'!L153</f>
        <v>0</v>
      </c>
      <c r="M43" s="37">
        <f>'Detailed P&amp;L'!M41+'Detailed P&amp;L'!M84+'Detailed P&amp;L'!M119+'Detailed P&amp;L'!M153</f>
        <v>0</v>
      </c>
      <c r="N43" s="37">
        <f>'Detailed P&amp;L'!N41+'Detailed P&amp;L'!N84+'Detailed P&amp;L'!N119+'Detailed P&amp;L'!N153</f>
        <v>0</v>
      </c>
      <c r="O43" s="37">
        <f>'Detailed P&amp;L'!O41+'Detailed P&amp;L'!O84+'Detailed P&amp;L'!O119+'Detailed P&amp;L'!O153</f>
        <v>0</v>
      </c>
      <c r="P43" s="37">
        <f>'Detailed P&amp;L'!P41+'Detailed P&amp;L'!P84+'Detailed P&amp;L'!P119+'Detailed P&amp;L'!P153</f>
        <v>0</v>
      </c>
      <c r="Q43" s="37">
        <f>'Detailed P&amp;L'!Q41+'Detailed P&amp;L'!Q84+'Detailed P&amp;L'!Q119+'Detailed P&amp;L'!Q153</f>
        <v>0</v>
      </c>
      <c r="R43" s="37">
        <f>'Detailed P&amp;L'!R41+'Detailed P&amp;L'!R84+'Detailed P&amp;L'!R119+'Detailed P&amp;L'!R153</f>
        <v>0</v>
      </c>
      <c r="S43" s="37">
        <f>'Detailed P&amp;L'!S41+'Detailed P&amp;L'!S84+'Detailed P&amp;L'!S119+'Detailed P&amp;L'!S153</f>
        <v>0</v>
      </c>
      <c r="T43" s="37">
        <f>'Detailed P&amp;L'!T41+'Detailed P&amp;L'!T84+'Detailed P&amp;L'!T119+'Detailed P&amp;L'!T153</f>
        <v>0</v>
      </c>
      <c r="U43" s="37">
        <f>'Detailed P&amp;L'!U41+'Detailed P&amp;L'!U84+'Detailed P&amp;L'!U119+'Detailed P&amp;L'!U153</f>
        <v>0</v>
      </c>
      <c r="V43" s="37">
        <f>'Detailed P&amp;L'!V41+'Detailed P&amp;L'!V84+'Detailed P&amp;L'!V119+'Detailed P&amp;L'!V153</f>
        <v>0</v>
      </c>
      <c r="W43" s="37">
        <f>'Detailed P&amp;L'!W41+'Detailed P&amp;L'!W84+'Detailed P&amp;L'!W119+'Detailed P&amp;L'!W153</f>
        <v>0</v>
      </c>
      <c r="X43" s="37">
        <f>'Detailed P&amp;L'!X41+'Detailed P&amp;L'!X84+'Detailed P&amp;L'!X119+'Detailed P&amp;L'!X153</f>
        <v>0</v>
      </c>
      <c r="Y43" s="37">
        <f>'Detailed P&amp;L'!Y41+'Detailed P&amp;L'!Y84+'Detailed P&amp;L'!Y119+'Detailed P&amp;L'!Y153</f>
        <v>0</v>
      </c>
      <c r="Z43" s="37">
        <f>'Detailed P&amp;L'!Z41+'Detailed P&amp;L'!Z84+'Detailed P&amp;L'!Z119+'Detailed P&amp;L'!Z153</f>
        <v>0</v>
      </c>
      <c r="AA43" s="37">
        <f>'Detailed P&amp;L'!AA41+'Detailed P&amp;L'!AA84+'Detailed P&amp;L'!AA119+'Detailed P&amp;L'!AA153</f>
        <v>0</v>
      </c>
      <c r="AB43" s="37">
        <f>'Detailed P&amp;L'!AB41+'Detailed P&amp;L'!AB84+'Detailed P&amp;L'!AB119+'Detailed P&amp;L'!AB153</f>
        <v>0</v>
      </c>
      <c r="AC43" s="37">
        <f>'Detailed P&amp;L'!AC41+'Detailed P&amp;L'!AC84+'Detailed P&amp;L'!AC119+'Detailed P&amp;L'!AC153</f>
        <v>0</v>
      </c>
      <c r="AD43" s="37">
        <f>'Detailed P&amp;L'!AD41+'Detailed P&amp;L'!AD84+'Detailed P&amp;L'!AD119+'Detailed P&amp;L'!AD153</f>
        <v>0</v>
      </c>
      <c r="AE43" s="37">
        <f>'Detailed P&amp;L'!AE41+'Detailed P&amp;L'!AE84+'Detailed P&amp;L'!AE119+'Detailed P&amp;L'!AE153</f>
        <v>0</v>
      </c>
      <c r="AF43" s="37">
        <f>'Detailed P&amp;L'!AF41+'Detailed P&amp;L'!AF84+'Detailed P&amp;L'!AF119+'Detailed P&amp;L'!AF153</f>
        <v>0</v>
      </c>
      <c r="AG43" s="37">
        <f>'Detailed P&amp;L'!AG41+'Detailed P&amp;L'!AG84+'Detailed P&amp;L'!AG119+'Detailed P&amp;L'!AG153</f>
        <v>0</v>
      </c>
      <c r="AH43" s="37">
        <f>'Detailed P&amp;L'!AH41+'Detailed P&amp;L'!AH84+'Detailed P&amp;L'!AH119+'Detailed P&amp;L'!AH153</f>
        <v>0</v>
      </c>
      <c r="AI43" s="37">
        <f>'Detailed P&amp;L'!AI41+'Detailed P&amp;L'!AI84+'Detailed P&amp;L'!AI119+'Detailed P&amp;L'!AI153</f>
        <v>0</v>
      </c>
      <c r="AJ43" s="37">
        <f>'Detailed P&amp;L'!AJ41+'Detailed P&amp;L'!AJ84+'Detailed P&amp;L'!AJ119+'Detailed P&amp;L'!AJ153</f>
        <v>0</v>
      </c>
      <c r="AK43" s="37">
        <f>'Detailed P&amp;L'!AK41+'Detailed P&amp;L'!AK84+'Detailed P&amp;L'!AK119+'Detailed P&amp;L'!AK153</f>
        <v>0</v>
      </c>
      <c r="AL43" s="202">
        <f>'Detailed P&amp;L'!AL41+'Detailed P&amp;L'!AL84+'Detailed P&amp;L'!AL119+'Detailed P&amp;L'!AL153</f>
        <v>0</v>
      </c>
      <c r="AN43" s="231">
        <f ca="1">'Detailed P&amp;L'!AN41+'Detailed P&amp;L'!AN84+'Detailed P&amp;L'!AN119+'Detailed P&amp;L'!AN153</f>
        <v>0</v>
      </c>
      <c r="AO43" s="37">
        <f ca="1">'Detailed P&amp;L'!AO41+'Detailed P&amp;L'!AO84+'Detailed P&amp;L'!AO119+'Detailed P&amp;L'!AO153</f>
        <v>0</v>
      </c>
      <c r="AP43" s="37">
        <f ca="1">'Detailed P&amp;L'!AP41+'Detailed P&amp;L'!AP84+'Detailed P&amp;L'!AP119+'Detailed P&amp;L'!AP153</f>
        <v>0</v>
      </c>
      <c r="AQ43" s="37">
        <f ca="1">'Detailed P&amp;L'!AQ41+'Detailed P&amp;L'!AQ84+'Detailed P&amp;L'!AQ119+'Detailed P&amp;L'!AQ153</f>
        <v>0</v>
      </c>
      <c r="AR43" s="37">
        <f ca="1">'Detailed P&amp;L'!AR41+'Detailed P&amp;L'!AR84+'Detailed P&amp;L'!AR119+'Detailed P&amp;L'!AR153</f>
        <v>0</v>
      </c>
      <c r="AS43" s="37">
        <f ca="1">'Detailed P&amp;L'!AS41+'Detailed P&amp;L'!AS84+'Detailed P&amp;L'!AS119+'Detailed P&amp;L'!AS153</f>
        <v>0</v>
      </c>
      <c r="AT43" s="37">
        <f ca="1">'Detailed P&amp;L'!AT41+'Detailed P&amp;L'!AT84+'Detailed P&amp;L'!AT119+'Detailed P&amp;L'!AT153</f>
        <v>0</v>
      </c>
      <c r="AU43" s="37">
        <f ca="1">'Detailed P&amp;L'!AU41+'Detailed P&amp;L'!AU84+'Detailed P&amp;L'!AU119+'Detailed P&amp;L'!AU153</f>
        <v>0</v>
      </c>
      <c r="AV43" s="37">
        <f ca="1">'Detailed P&amp;L'!AV41+'Detailed P&amp;L'!AV84+'Detailed P&amp;L'!AV119+'Detailed P&amp;L'!AV153</f>
        <v>0</v>
      </c>
      <c r="AW43" s="37">
        <f ca="1">'Detailed P&amp;L'!AW41+'Detailed P&amp;L'!AW84+'Detailed P&amp;L'!AW119+'Detailed P&amp;L'!AW153</f>
        <v>0</v>
      </c>
      <c r="AX43" s="37">
        <f ca="1">'Detailed P&amp;L'!AX41+'Detailed P&amp;L'!AX84+'Detailed P&amp;L'!AX119+'Detailed P&amp;L'!AX153</f>
        <v>0</v>
      </c>
      <c r="AY43" s="202">
        <f ca="1">'Detailed P&amp;L'!AY41+'Detailed P&amp;L'!AY84+'Detailed P&amp;L'!AY119+'Detailed P&amp;L'!AY153</f>
        <v>0</v>
      </c>
      <c r="BA43" s="231">
        <f ca="1">'Detailed P&amp;L'!BA41+'Detailed P&amp;L'!BA84+'Detailed P&amp;L'!BA119+'Detailed P&amp;L'!BA153</f>
        <v>0</v>
      </c>
      <c r="BB43" s="37">
        <f ca="1">'Detailed P&amp;L'!BB41+'Detailed P&amp;L'!BB84+'Detailed P&amp;L'!BB119+'Detailed P&amp;L'!BB153</f>
        <v>0</v>
      </c>
      <c r="BC43" s="202">
        <f ca="1">'Detailed P&amp;L'!BC41+'Detailed P&amp;L'!BC84+'Detailed P&amp;L'!BC119+'Detailed P&amp;L'!BC153</f>
        <v>0</v>
      </c>
    </row>
    <row r="44" spans="2:55" x14ac:dyDescent="0.35">
      <c r="B44" s="35" t="s">
        <v>27</v>
      </c>
      <c r="C44" s="38">
        <f t="shared" ref="C44:Y44" si="47">C45+C48</f>
        <v>0</v>
      </c>
      <c r="D44" s="38">
        <f t="shared" si="47"/>
        <v>0</v>
      </c>
      <c r="E44" s="38">
        <f t="shared" si="47"/>
        <v>0</v>
      </c>
      <c r="F44" s="38">
        <f t="shared" si="47"/>
        <v>0</v>
      </c>
      <c r="G44" s="38">
        <f t="shared" si="47"/>
        <v>0</v>
      </c>
      <c r="H44" s="38">
        <f t="shared" si="47"/>
        <v>0</v>
      </c>
      <c r="I44" s="38">
        <f t="shared" si="47"/>
        <v>0</v>
      </c>
      <c r="J44" s="38">
        <f t="shared" si="47"/>
        <v>0</v>
      </c>
      <c r="K44" s="38">
        <f t="shared" si="47"/>
        <v>0</v>
      </c>
      <c r="L44" s="38">
        <f t="shared" si="47"/>
        <v>0</v>
      </c>
      <c r="M44" s="38">
        <f t="shared" si="47"/>
        <v>0</v>
      </c>
      <c r="N44" s="38">
        <f t="shared" si="47"/>
        <v>0</v>
      </c>
      <c r="O44" s="38">
        <f t="shared" si="47"/>
        <v>0</v>
      </c>
      <c r="P44" s="38">
        <f t="shared" si="47"/>
        <v>0</v>
      </c>
      <c r="Q44" s="38">
        <f t="shared" si="47"/>
        <v>0</v>
      </c>
      <c r="R44" s="38">
        <f t="shared" si="47"/>
        <v>0</v>
      </c>
      <c r="S44" s="38">
        <f t="shared" si="47"/>
        <v>0</v>
      </c>
      <c r="T44" s="38">
        <f t="shared" si="47"/>
        <v>0</v>
      </c>
      <c r="U44" s="38">
        <f t="shared" si="47"/>
        <v>0</v>
      </c>
      <c r="V44" s="38">
        <f t="shared" si="47"/>
        <v>0</v>
      </c>
      <c r="W44" s="38">
        <f t="shared" si="47"/>
        <v>0</v>
      </c>
      <c r="X44" s="38">
        <f t="shared" si="47"/>
        <v>0</v>
      </c>
      <c r="Y44" s="38">
        <f t="shared" si="47"/>
        <v>0</v>
      </c>
      <c r="Z44" s="38">
        <f t="shared" ref="Z44:AL44" si="48">Z45+Z48</f>
        <v>0</v>
      </c>
      <c r="AA44" s="38">
        <f t="shared" si="48"/>
        <v>0</v>
      </c>
      <c r="AB44" s="38">
        <f t="shared" si="48"/>
        <v>0</v>
      </c>
      <c r="AC44" s="38">
        <f t="shared" si="48"/>
        <v>0</v>
      </c>
      <c r="AD44" s="38">
        <f t="shared" si="48"/>
        <v>0</v>
      </c>
      <c r="AE44" s="38">
        <f t="shared" si="48"/>
        <v>0</v>
      </c>
      <c r="AF44" s="38">
        <f t="shared" si="48"/>
        <v>0</v>
      </c>
      <c r="AG44" s="38">
        <f t="shared" si="48"/>
        <v>0</v>
      </c>
      <c r="AH44" s="38">
        <f t="shared" si="48"/>
        <v>0</v>
      </c>
      <c r="AI44" s="38">
        <f t="shared" si="48"/>
        <v>0</v>
      </c>
      <c r="AJ44" s="38">
        <f t="shared" si="48"/>
        <v>0</v>
      </c>
      <c r="AK44" s="38">
        <f t="shared" si="48"/>
        <v>0</v>
      </c>
      <c r="AL44" s="203">
        <f t="shared" si="48"/>
        <v>0</v>
      </c>
      <c r="AN44" s="232">
        <f t="shared" ref="AN44:AT44" ca="1" si="49">AN45+AN48</f>
        <v>0</v>
      </c>
      <c r="AO44" s="38">
        <f t="shared" ca="1" si="49"/>
        <v>0</v>
      </c>
      <c r="AP44" s="38">
        <f t="shared" ca="1" si="49"/>
        <v>0</v>
      </c>
      <c r="AQ44" s="38">
        <f t="shared" ca="1" si="49"/>
        <v>0</v>
      </c>
      <c r="AR44" s="38">
        <f t="shared" ca="1" si="49"/>
        <v>0</v>
      </c>
      <c r="AS44" s="38">
        <f t="shared" ca="1" si="49"/>
        <v>0</v>
      </c>
      <c r="AT44" s="38">
        <f t="shared" ca="1" si="49"/>
        <v>0</v>
      </c>
      <c r="AU44" s="38">
        <f t="shared" ref="AU44:AY44" ca="1" si="50">AU45+AU48</f>
        <v>0</v>
      </c>
      <c r="AV44" s="38">
        <f t="shared" ca="1" si="50"/>
        <v>0</v>
      </c>
      <c r="AW44" s="38">
        <f t="shared" ca="1" si="50"/>
        <v>0</v>
      </c>
      <c r="AX44" s="38">
        <f t="shared" ca="1" si="50"/>
        <v>0</v>
      </c>
      <c r="AY44" s="203">
        <f t="shared" ca="1" si="50"/>
        <v>0</v>
      </c>
      <c r="BA44" s="232">
        <f t="shared" ref="BA44" ca="1" si="51">BA45+BA48</f>
        <v>0</v>
      </c>
      <c r="BB44" s="38">
        <f t="shared" ref="BB44:BC44" ca="1" si="52">BB45+BB48</f>
        <v>0</v>
      </c>
      <c r="BC44" s="203">
        <f t="shared" ca="1" si="52"/>
        <v>0</v>
      </c>
    </row>
    <row r="45" spans="2:55" x14ac:dyDescent="0.35">
      <c r="B45" s="39" t="s">
        <v>28</v>
      </c>
      <c r="C45" s="40">
        <f t="shared" ref="C45:Y45" si="53">SUM(C46:C47)</f>
        <v>0</v>
      </c>
      <c r="D45" s="40">
        <f t="shared" si="53"/>
        <v>0</v>
      </c>
      <c r="E45" s="40">
        <f t="shared" si="53"/>
        <v>0</v>
      </c>
      <c r="F45" s="40">
        <f t="shared" si="53"/>
        <v>0</v>
      </c>
      <c r="G45" s="40">
        <f t="shared" si="53"/>
        <v>0</v>
      </c>
      <c r="H45" s="40">
        <f t="shared" si="53"/>
        <v>0</v>
      </c>
      <c r="I45" s="40">
        <f t="shared" si="53"/>
        <v>0</v>
      </c>
      <c r="J45" s="40">
        <f t="shared" si="53"/>
        <v>0</v>
      </c>
      <c r="K45" s="40">
        <f t="shared" si="53"/>
        <v>0</v>
      </c>
      <c r="L45" s="40">
        <f t="shared" si="53"/>
        <v>0</v>
      </c>
      <c r="M45" s="40">
        <f t="shared" si="53"/>
        <v>0</v>
      </c>
      <c r="N45" s="40">
        <f t="shared" si="53"/>
        <v>0</v>
      </c>
      <c r="O45" s="40">
        <f t="shared" si="53"/>
        <v>0</v>
      </c>
      <c r="P45" s="40">
        <f t="shared" si="53"/>
        <v>0</v>
      </c>
      <c r="Q45" s="40">
        <f t="shared" si="53"/>
        <v>0</v>
      </c>
      <c r="R45" s="40">
        <f t="shared" si="53"/>
        <v>0</v>
      </c>
      <c r="S45" s="40">
        <f t="shared" si="53"/>
        <v>0</v>
      </c>
      <c r="T45" s="40">
        <f t="shared" si="53"/>
        <v>0</v>
      </c>
      <c r="U45" s="40">
        <f t="shared" si="53"/>
        <v>0</v>
      </c>
      <c r="V45" s="40">
        <f t="shared" si="53"/>
        <v>0</v>
      </c>
      <c r="W45" s="40">
        <f t="shared" si="53"/>
        <v>0</v>
      </c>
      <c r="X45" s="40">
        <f t="shared" si="53"/>
        <v>0</v>
      </c>
      <c r="Y45" s="40">
        <f t="shared" si="53"/>
        <v>0</v>
      </c>
      <c r="Z45" s="40">
        <f t="shared" ref="Z45:AL45" si="54">SUM(Z46:Z47)</f>
        <v>0</v>
      </c>
      <c r="AA45" s="40">
        <f t="shared" si="54"/>
        <v>0</v>
      </c>
      <c r="AB45" s="40">
        <f t="shared" si="54"/>
        <v>0</v>
      </c>
      <c r="AC45" s="40">
        <f t="shared" si="54"/>
        <v>0</v>
      </c>
      <c r="AD45" s="40">
        <f t="shared" si="54"/>
        <v>0</v>
      </c>
      <c r="AE45" s="40">
        <f t="shared" si="54"/>
        <v>0</v>
      </c>
      <c r="AF45" s="40">
        <f t="shared" si="54"/>
        <v>0</v>
      </c>
      <c r="AG45" s="40">
        <f t="shared" si="54"/>
        <v>0</v>
      </c>
      <c r="AH45" s="40">
        <f t="shared" si="54"/>
        <v>0</v>
      </c>
      <c r="AI45" s="40">
        <f t="shared" si="54"/>
        <v>0</v>
      </c>
      <c r="AJ45" s="40">
        <f t="shared" si="54"/>
        <v>0</v>
      </c>
      <c r="AK45" s="40">
        <f t="shared" si="54"/>
        <v>0</v>
      </c>
      <c r="AL45" s="204">
        <f t="shared" si="54"/>
        <v>0</v>
      </c>
      <c r="AN45" s="233">
        <f t="shared" ref="AN45:AT45" ca="1" si="55">SUM(AN46:AN47)</f>
        <v>0</v>
      </c>
      <c r="AO45" s="40">
        <f t="shared" ca="1" si="55"/>
        <v>0</v>
      </c>
      <c r="AP45" s="40">
        <f t="shared" ca="1" si="55"/>
        <v>0</v>
      </c>
      <c r="AQ45" s="40">
        <f t="shared" ca="1" si="55"/>
        <v>0</v>
      </c>
      <c r="AR45" s="40">
        <f t="shared" ca="1" si="55"/>
        <v>0</v>
      </c>
      <c r="AS45" s="40">
        <f t="shared" ca="1" si="55"/>
        <v>0</v>
      </c>
      <c r="AT45" s="40">
        <f t="shared" ca="1" si="55"/>
        <v>0</v>
      </c>
      <c r="AU45" s="40">
        <f t="shared" ref="AU45:AY45" ca="1" si="56">SUM(AU46:AU47)</f>
        <v>0</v>
      </c>
      <c r="AV45" s="40">
        <f t="shared" ca="1" si="56"/>
        <v>0</v>
      </c>
      <c r="AW45" s="40">
        <f t="shared" ca="1" si="56"/>
        <v>0</v>
      </c>
      <c r="AX45" s="40">
        <f t="shared" ca="1" si="56"/>
        <v>0</v>
      </c>
      <c r="AY45" s="204">
        <f t="shared" ca="1" si="56"/>
        <v>0</v>
      </c>
      <c r="BA45" s="233">
        <f t="shared" ref="BA45" ca="1" si="57">SUM(BA46:BA47)</f>
        <v>0</v>
      </c>
      <c r="BB45" s="40">
        <f t="shared" ref="BB45:BC45" ca="1" si="58">SUM(BB46:BB47)</f>
        <v>0</v>
      </c>
      <c r="BC45" s="204">
        <f t="shared" ca="1" si="58"/>
        <v>0</v>
      </c>
    </row>
    <row r="46" spans="2:55" x14ac:dyDescent="0.35">
      <c r="B46" s="41" t="s">
        <v>29</v>
      </c>
      <c r="C46" s="42">
        <f>'Detailed P&amp;L'!C44+'Detailed P&amp;L'!C87+'Detailed P&amp;L'!C122+'Detailed P&amp;L'!C156</f>
        <v>0</v>
      </c>
      <c r="D46" s="42">
        <f>'Detailed P&amp;L'!D44+'Detailed P&amp;L'!D87+'Detailed P&amp;L'!D122+'Detailed P&amp;L'!D156</f>
        <v>0</v>
      </c>
      <c r="E46" s="42">
        <f>'Detailed P&amp;L'!E44+'Detailed P&amp;L'!E87+'Detailed P&amp;L'!E122+'Detailed P&amp;L'!E156</f>
        <v>0</v>
      </c>
      <c r="F46" s="42">
        <f>'Detailed P&amp;L'!F44+'Detailed P&amp;L'!F87+'Detailed P&amp;L'!F122+'Detailed P&amp;L'!F156</f>
        <v>0</v>
      </c>
      <c r="G46" s="42">
        <f>'Detailed P&amp;L'!G44+'Detailed P&amp;L'!G87+'Detailed P&amp;L'!G122+'Detailed P&amp;L'!G156</f>
        <v>0</v>
      </c>
      <c r="H46" s="42">
        <f>'Detailed P&amp;L'!H44+'Detailed P&amp;L'!H87+'Detailed P&amp;L'!H122+'Detailed P&amp;L'!H156</f>
        <v>0</v>
      </c>
      <c r="I46" s="42">
        <f>'Detailed P&amp;L'!I44+'Detailed P&amp;L'!I87+'Detailed P&amp;L'!I122+'Detailed P&amp;L'!I156</f>
        <v>0</v>
      </c>
      <c r="J46" s="42">
        <f>'Detailed P&amp;L'!J44+'Detailed P&amp;L'!J87+'Detailed P&amp;L'!J122+'Detailed P&amp;L'!J156</f>
        <v>0</v>
      </c>
      <c r="K46" s="42">
        <f>'Detailed P&amp;L'!K44+'Detailed P&amp;L'!K87+'Detailed P&amp;L'!K122+'Detailed P&amp;L'!K156</f>
        <v>0</v>
      </c>
      <c r="L46" s="42">
        <f>'Detailed P&amp;L'!L44+'Detailed P&amp;L'!L87+'Detailed P&amp;L'!L122+'Detailed P&amp;L'!L156</f>
        <v>0</v>
      </c>
      <c r="M46" s="42">
        <f>'Detailed P&amp;L'!M44+'Detailed P&amp;L'!M87+'Detailed P&amp;L'!M122+'Detailed P&amp;L'!M156</f>
        <v>0</v>
      </c>
      <c r="N46" s="42">
        <f>'Detailed P&amp;L'!N44+'Detailed P&amp;L'!N87+'Detailed P&amp;L'!N122+'Detailed P&amp;L'!N156</f>
        <v>0</v>
      </c>
      <c r="O46" s="42">
        <f>'Detailed P&amp;L'!O44+'Detailed P&amp;L'!O87+'Detailed P&amp;L'!O122+'Detailed P&amp;L'!O156</f>
        <v>0</v>
      </c>
      <c r="P46" s="42">
        <f>'Detailed P&amp;L'!P44+'Detailed P&amp;L'!P87+'Detailed P&amp;L'!P122+'Detailed P&amp;L'!P156</f>
        <v>0</v>
      </c>
      <c r="Q46" s="42">
        <f>'Detailed P&amp;L'!Q44+'Detailed P&amp;L'!Q87+'Detailed P&amp;L'!Q122+'Detailed P&amp;L'!Q156</f>
        <v>0</v>
      </c>
      <c r="R46" s="42">
        <f>'Detailed P&amp;L'!R44+'Detailed P&amp;L'!R87+'Detailed P&amp;L'!R122+'Detailed P&amp;L'!R156</f>
        <v>0</v>
      </c>
      <c r="S46" s="42">
        <f>'Detailed P&amp;L'!S44+'Detailed P&amp;L'!S87+'Detailed P&amp;L'!S122+'Detailed P&amp;L'!S156</f>
        <v>0</v>
      </c>
      <c r="T46" s="42">
        <f>'Detailed P&amp;L'!T44+'Detailed P&amp;L'!T87+'Detailed P&amp;L'!T122+'Detailed P&amp;L'!T156</f>
        <v>0</v>
      </c>
      <c r="U46" s="42">
        <f>'Detailed P&amp;L'!U44+'Detailed P&amp;L'!U87+'Detailed P&amp;L'!U122+'Detailed P&amp;L'!U156</f>
        <v>0</v>
      </c>
      <c r="V46" s="42">
        <f>'Detailed P&amp;L'!V44+'Detailed P&amp;L'!V87+'Detailed P&amp;L'!V122+'Detailed P&amp;L'!V156</f>
        <v>0</v>
      </c>
      <c r="W46" s="42">
        <f>'Detailed P&amp;L'!W44+'Detailed P&amp;L'!W87+'Detailed P&amp;L'!W122+'Detailed P&amp;L'!W156</f>
        <v>0</v>
      </c>
      <c r="X46" s="42">
        <f>'Detailed P&amp;L'!X44+'Detailed P&amp;L'!X87+'Detailed P&amp;L'!X122+'Detailed P&amp;L'!X156</f>
        <v>0</v>
      </c>
      <c r="Y46" s="42">
        <f>'Detailed P&amp;L'!Y44+'Detailed P&amp;L'!Y87+'Detailed P&amp;L'!Y122+'Detailed P&amp;L'!Y156</f>
        <v>0</v>
      </c>
      <c r="Z46" s="42">
        <f>'Detailed P&amp;L'!Z44+'Detailed P&amp;L'!Z87+'Detailed P&amp;L'!Z122+'Detailed P&amp;L'!Z156</f>
        <v>0</v>
      </c>
      <c r="AA46" s="42">
        <f>'Detailed P&amp;L'!AA44+'Detailed P&amp;L'!AA87+'Detailed P&amp;L'!AA122+'Detailed P&amp;L'!AA156</f>
        <v>0</v>
      </c>
      <c r="AB46" s="42">
        <f>'Detailed P&amp;L'!AB44+'Detailed P&amp;L'!AB87+'Detailed P&amp;L'!AB122+'Detailed P&amp;L'!AB156</f>
        <v>0</v>
      </c>
      <c r="AC46" s="42">
        <f>'Detailed P&amp;L'!AC44+'Detailed P&amp;L'!AC87+'Detailed P&amp;L'!AC122+'Detailed P&amp;L'!AC156</f>
        <v>0</v>
      </c>
      <c r="AD46" s="42">
        <f>'Detailed P&amp;L'!AD44+'Detailed P&amp;L'!AD87+'Detailed P&amp;L'!AD122+'Detailed P&amp;L'!AD156</f>
        <v>0</v>
      </c>
      <c r="AE46" s="42">
        <f>'Detailed P&amp;L'!AE44+'Detailed P&amp;L'!AE87+'Detailed P&amp;L'!AE122+'Detailed P&amp;L'!AE156</f>
        <v>0</v>
      </c>
      <c r="AF46" s="42">
        <f>'Detailed P&amp;L'!AF44+'Detailed P&amp;L'!AF87+'Detailed P&amp;L'!AF122+'Detailed P&amp;L'!AF156</f>
        <v>0</v>
      </c>
      <c r="AG46" s="42">
        <f>'Detailed P&amp;L'!AG44+'Detailed P&amp;L'!AG87+'Detailed P&amp;L'!AG122+'Detailed P&amp;L'!AG156</f>
        <v>0</v>
      </c>
      <c r="AH46" s="42">
        <f>'Detailed P&amp;L'!AH44+'Detailed P&amp;L'!AH87+'Detailed P&amp;L'!AH122+'Detailed P&amp;L'!AH156</f>
        <v>0</v>
      </c>
      <c r="AI46" s="42">
        <f>'Detailed P&amp;L'!AI44+'Detailed P&amp;L'!AI87+'Detailed P&amp;L'!AI122+'Detailed P&amp;L'!AI156</f>
        <v>0</v>
      </c>
      <c r="AJ46" s="42">
        <f>'Detailed P&amp;L'!AJ44+'Detailed P&amp;L'!AJ87+'Detailed P&amp;L'!AJ122+'Detailed P&amp;L'!AJ156</f>
        <v>0</v>
      </c>
      <c r="AK46" s="42">
        <f>'Detailed P&amp;L'!AK44+'Detailed P&amp;L'!AK87+'Detailed P&amp;L'!AK122+'Detailed P&amp;L'!AK156</f>
        <v>0</v>
      </c>
      <c r="AL46" s="205">
        <f>'Detailed P&amp;L'!AL44+'Detailed P&amp;L'!AL87+'Detailed P&amp;L'!AL122+'Detailed P&amp;L'!AL156</f>
        <v>0</v>
      </c>
      <c r="AN46" s="234">
        <f ca="1">'Detailed P&amp;L'!AN44+'Detailed P&amp;L'!AN87+'Detailed P&amp;L'!AN122+'Detailed P&amp;L'!AN156</f>
        <v>0</v>
      </c>
      <c r="AO46" s="42">
        <f ca="1">'Detailed P&amp;L'!AO44+'Detailed P&amp;L'!AO87+'Detailed P&amp;L'!AO122+'Detailed P&amp;L'!AO156</f>
        <v>0</v>
      </c>
      <c r="AP46" s="42">
        <f ca="1">'Detailed P&amp;L'!AP44+'Detailed P&amp;L'!AP87+'Detailed P&amp;L'!AP122+'Detailed P&amp;L'!AP156</f>
        <v>0</v>
      </c>
      <c r="AQ46" s="42">
        <f ca="1">'Detailed P&amp;L'!AQ44+'Detailed P&amp;L'!AQ87+'Detailed P&amp;L'!AQ122+'Detailed P&amp;L'!AQ156</f>
        <v>0</v>
      </c>
      <c r="AR46" s="42">
        <f ca="1">'Detailed P&amp;L'!AR44+'Detailed P&amp;L'!AR87+'Detailed P&amp;L'!AR122+'Detailed P&amp;L'!AR156</f>
        <v>0</v>
      </c>
      <c r="AS46" s="42">
        <f ca="1">'Detailed P&amp;L'!AS44+'Detailed P&amp;L'!AS87+'Detailed P&amp;L'!AS122+'Detailed P&amp;L'!AS156</f>
        <v>0</v>
      </c>
      <c r="AT46" s="42">
        <f ca="1">'Detailed P&amp;L'!AT44+'Detailed P&amp;L'!AT87+'Detailed P&amp;L'!AT122+'Detailed P&amp;L'!AT156</f>
        <v>0</v>
      </c>
      <c r="AU46" s="42">
        <f ca="1">'Detailed P&amp;L'!AU44+'Detailed P&amp;L'!AU87+'Detailed P&amp;L'!AU122+'Detailed P&amp;L'!AU156</f>
        <v>0</v>
      </c>
      <c r="AV46" s="42">
        <f ca="1">'Detailed P&amp;L'!AV44+'Detailed P&amp;L'!AV87+'Detailed P&amp;L'!AV122+'Detailed P&amp;L'!AV156</f>
        <v>0</v>
      </c>
      <c r="AW46" s="42">
        <f ca="1">'Detailed P&amp;L'!AW44+'Detailed P&amp;L'!AW87+'Detailed P&amp;L'!AW122+'Detailed P&amp;L'!AW156</f>
        <v>0</v>
      </c>
      <c r="AX46" s="42">
        <f ca="1">'Detailed P&amp;L'!AX44+'Detailed P&amp;L'!AX87+'Detailed P&amp;L'!AX122+'Detailed P&amp;L'!AX156</f>
        <v>0</v>
      </c>
      <c r="AY46" s="205">
        <f ca="1">'Detailed P&amp;L'!AY44+'Detailed P&amp;L'!AY87+'Detailed P&amp;L'!AY122+'Detailed P&amp;L'!AY156</f>
        <v>0</v>
      </c>
      <c r="BA46" s="234">
        <f ca="1">'Detailed P&amp;L'!BA44+'Detailed P&amp;L'!BA87+'Detailed P&amp;L'!BA122+'Detailed P&amp;L'!BA156</f>
        <v>0</v>
      </c>
      <c r="BB46" s="42">
        <f ca="1">'Detailed P&amp;L'!BB44+'Detailed P&amp;L'!BB87+'Detailed P&amp;L'!BB122+'Detailed P&amp;L'!BB156</f>
        <v>0</v>
      </c>
      <c r="BC46" s="205">
        <f ca="1">'Detailed P&amp;L'!BC44+'Detailed P&amp;L'!BC87+'Detailed P&amp;L'!BC122+'Detailed P&amp;L'!BC156</f>
        <v>0</v>
      </c>
    </row>
    <row r="47" spans="2:55" x14ac:dyDescent="0.35">
      <c r="B47" s="41" t="s">
        <v>30</v>
      </c>
      <c r="C47" s="42">
        <f>'Detailed P&amp;L'!C45+'Detailed P&amp;L'!C88+'Detailed P&amp;L'!C123+'Detailed P&amp;L'!C157</f>
        <v>0</v>
      </c>
      <c r="D47" s="42">
        <f>'Detailed P&amp;L'!D45+'Detailed P&amp;L'!D88+'Detailed P&amp;L'!D123+'Detailed P&amp;L'!D157</f>
        <v>0</v>
      </c>
      <c r="E47" s="42">
        <f>'Detailed P&amp;L'!E45+'Detailed P&amp;L'!E88+'Detailed P&amp;L'!E123+'Detailed P&amp;L'!E157</f>
        <v>0</v>
      </c>
      <c r="F47" s="42">
        <f>'Detailed P&amp;L'!F45+'Detailed P&amp;L'!F88+'Detailed P&amp;L'!F123+'Detailed P&amp;L'!F157</f>
        <v>0</v>
      </c>
      <c r="G47" s="42">
        <f>'Detailed P&amp;L'!G45+'Detailed P&amp;L'!G88+'Detailed P&amp;L'!G123+'Detailed P&amp;L'!G157</f>
        <v>0</v>
      </c>
      <c r="H47" s="42">
        <f>'Detailed P&amp;L'!H45+'Detailed P&amp;L'!H88+'Detailed P&amp;L'!H123+'Detailed P&amp;L'!H157</f>
        <v>0</v>
      </c>
      <c r="I47" s="42">
        <f>'Detailed P&amp;L'!I45+'Detailed P&amp;L'!I88+'Detailed P&amp;L'!I123+'Detailed P&amp;L'!I157</f>
        <v>0</v>
      </c>
      <c r="J47" s="42">
        <f>'Detailed P&amp;L'!J45+'Detailed P&amp;L'!J88+'Detailed P&amp;L'!J123+'Detailed P&amp;L'!J157</f>
        <v>0</v>
      </c>
      <c r="K47" s="42">
        <f>'Detailed P&amp;L'!K45+'Detailed P&amp;L'!K88+'Detailed P&amp;L'!K123+'Detailed P&amp;L'!K157</f>
        <v>0</v>
      </c>
      <c r="L47" s="42">
        <f>'Detailed P&amp;L'!L45+'Detailed P&amp;L'!L88+'Detailed P&amp;L'!L123+'Detailed P&amp;L'!L157</f>
        <v>0</v>
      </c>
      <c r="M47" s="42">
        <f>'Detailed P&amp;L'!M45+'Detailed P&amp;L'!M88+'Detailed P&amp;L'!M123+'Detailed P&amp;L'!M157</f>
        <v>0</v>
      </c>
      <c r="N47" s="42">
        <f>'Detailed P&amp;L'!N45+'Detailed P&amp;L'!N88+'Detailed P&amp;L'!N123+'Detailed P&amp;L'!N157</f>
        <v>0</v>
      </c>
      <c r="O47" s="42">
        <f>'Detailed P&amp;L'!O45+'Detailed P&amp;L'!O88+'Detailed P&amp;L'!O123+'Detailed P&amp;L'!O157</f>
        <v>0</v>
      </c>
      <c r="P47" s="42">
        <f>'Detailed P&amp;L'!P45+'Detailed P&amp;L'!P88+'Detailed P&amp;L'!P123+'Detailed P&amp;L'!P157</f>
        <v>0</v>
      </c>
      <c r="Q47" s="42">
        <f>'Detailed P&amp;L'!Q45+'Detailed P&amp;L'!Q88+'Detailed P&amp;L'!Q123+'Detailed P&amp;L'!Q157</f>
        <v>0</v>
      </c>
      <c r="R47" s="42">
        <f>'Detailed P&amp;L'!R45+'Detailed P&amp;L'!R88+'Detailed P&amp;L'!R123+'Detailed P&amp;L'!R157</f>
        <v>0</v>
      </c>
      <c r="S47" s="42">
        <f>'Detailed P&amp;L'!S45+'Detailed P&amp;L'!S88+'Detailed P&amp;L'!S123+'Detailed P&amp;L'!S157</f>
        <v>0</v>
      </c>
      <c r="T47" s="42">
        <f>'Detailed P&amp;L'!T45+'Detailed P&amp;L'!T88+'Detailed P&amp;L'!T123+'Detailed P&amp;L'!T157</f>
        <v>0</v>
      </c>
      <c r="U47" s="42">
        <f>'Detailed P&amp;L'!U45+'Detailed P&amp;L'!U88+'Detailed P&amp;L'!U123+'Detailed P&amp;L'!U157</f>
        <v>0</v>
      </c>
      <c r="V47" s="42">
        <f>'Detailed P&amp;L'!V45+'Detailed P&amp;L'!V88+'Detailed P&amp;L'!V123+'Detailed P&amp;L'!V157</f>
        <v>0</v>
      </c>
      <c r="W47" s="42">
        <f>'Detailed P&amp;L'!W45+'Detailed P&amp;L'!W88+'Detailed P&amp;L'!W123+'Detailed P&amp;L'!W157</f>
        <v>0</v>
      </c>
      <c r="X47" s="42">
        <f>'Detailed P&amp;L'!X45+'Detailed P&amp;L'!X88+'Detailed P&amp;L'!X123+'Detailed P&amp;L'!X157</f>
        <v>0</v>
      </c>
      <c r="Y47" s="42">
        <f>'Detailed P&amp;L'!Y45+'Detailed P&amp;L'!Y88+'Detailed P&amp;L'!Y123+'Detailed P&amp;L'!Y157</f>
        <v>0</v>
      </c>
      <c r="Z47" s="42">
        <f>'Detailed P&amp;L'!Z45+'Detailed P&amp;L'!Z88+'Detailed P&amp;L'!Z123+'Detailed P&amp;L'!Z157</f>
        <v>0</v>
      </c>
      <c r="AA47" s="42">
        <f>'Detailed P&amp;L'!AA45+'Detailed P&amp;L'!AA88+'Detailed P&amp;L'!AA123+'Detailed P&amp;L'!AA157</f>
        <v>0</v>
      </c>
      <c r="AB47" s="42">
        <f>'Detailed P&amp;L'!AB45+'Detailed P&amp;L'!AB88+'Detailed P&amp;L'!AB123+'Detailed P&amp;L'!AB157</f>
        <v>0</v>
      </c>
      <c r="AC47" s="42">
        <f>'Detailed P&amp;L'!AC45+'Detailed P&amp;L'!AC88+'Detailed P&amp;L'!AC123+'Detailed P&amp;L'!AC157</f>
        <v>0</v>
      </c>
      <c r="AD47" s="42">
        <f>'Detailed P&amp;L'!AD45+'Detailed P&amp;L'!AD88+'Detailed P&amp;L'!AD123+'Detailed P&amp;L'!AD157</f>
        <v>0</v>
      </c>
      <c r="AE47" s="42">
        <f>'Detailed P&amp;L'!AE45+'Detailed P&amp;L'!AE88+'Detailed P&amp;L'!AE123+'Detailed P&amp;L'!AE157</f>
        <v>0</v>
      </c>
      <c r="AF47" s="42">
        <f>'Detailed P&amp;L'!AF45+'Detailed P&amp;L'!AF88+'Detailed P&amp;L'!AF123+'Detailed P&amp;L'!AF157</f>
        <v>0</v>
      </c>
      <c r="AG47" s="42">
        <f>'Detailed P&amp;L'!AG45+'Detailed P&amp;L'!AG88+'Detailed P&amp;L'!AG123+'Detailed P&amp;L'!AG157</f>
        <v>0</v>
      </c>
      <c r="AH47" s="42">
        <f>'Detailed P&amp;L'!AH45+'Detailed P&amp;L'!AH88+'Detailed P&amp;L'!AH123+'Detailed P&amp;L'!AH157</f>
        <v>0</v>
      </c>
      <c r="AI47" s="42">
        <f>'Detailed P&amp;L'!AI45+'Detailed P&amp;L'!AI88+'Detailed P&amp;L'!AI123+'Detailed P&amp;L'!AI157</f>
        <v>0</v>
      </c>
      <c r="AJ47" s="42">
        <f>'Detailed P&amp;L'!AJ45+'Detailed P&amp;L'!AJ88+'Detailed P&amp;L'!AJ123+'Detailed P&amp;L'!AJ157</f>
        <v>0</v>
      </c>
      <c r="AK47" s="42">
        <f>'Detailed P&amp;L'!AK45+'Detailed P&amp;L'!AK88+'Detailed P&amp;L'!AK123+'Detailed P&amp;L'!AK157</f>
        <v>0</v>
      </c>
      <c r="AL47" s="205">
        <f>'Detailed P&amp;L'!AL45+'Detailed P&amp;L'!AL88+'Detailed P&amp;L'!AL123+'Detailed P&amp;L'!AL157</f>
        <v>0</v>
      </c>
      <c r="AN47" s="234">
        <f ca="1">'Detailed P&amp;L'!AN45+'Detailed P&amp;L'!AN88+'Detailed P&amp;L'!AN123+'Detailed P&amp;L'!AN157</f>
        <v>0</v>
      </c>
      <c r="AO47" s="42">
        <f ca="1">'Detailed P&amp;L'!AO45+'Detailed P&amp;L'!AO88+'Detailed P&amp;L'!AO123+'Detailed P&amp;L'!AO157</f>
        <v>0</v>
      </c>
      <c r="AP47" s="42">
        <f ca="1">'Detailed P&amp;L'!AP45+'Detailed P&amp;L'!AP88+'Detailed P&amp;L'!AP123+'Detailed P&amp;L'!AP157</f>
        <v>0</v>
      </c>
      <c r="AQ47" s="42">
        <f ca="1">'Detailed P&amp;L'!AQ45+'Detailed P&amp;L'!AQ88+'Detailed P&amp;L'!AQ123+'Detailed P&amp;L'!AQ157</f>
        <v>0</v>
      </c>
      <c r="AR47" s="42">
        <f ca="1">'Detailed P&amp;L'!AR45+'Detailed P&amp;L'!AR88+'Detailed P&amp;L'!AR123+'Detailed P&amp;L'!AR157</f>
        <v>0</v>
      </c>
      <c r="AS47" s="42">
        <f ca="1">'Detailed P&amp;L'!AS45+'Detailed P&amp;L'!AS88+'Detailed P&amp;L'!AS123+'Detailed P&amp;L'!AS157</f>
        <v>0</v>
      </c>
      <c r="AT47" s="42">
        <f ca="1">'Detailed P&amp;L'!AT45+'Detailed P&amp;L'!AT88+'Detailed P&amp;L'!AT123+'Detailed P&amp;L'!AT157</f>
        <v>0</v>
      </c>
      <c r="AU47" s="42">
        <f ca="1">'Detailed P&amp;L'!AU45+'Detailed P&amp;L'!AU88+'Detailed P&amp;L'!AU123+'Detailed P&amp;L'!AU157</f>
        <v>0</v>
      </c>
      <c r="AV47" s="42">
        <f ca="1">'Detailed P&amp;L'!AV45+'Detailed P&amp;L'!AV88+'Detailed P&amp;L'!AV123+'Detailed P&amp;L'!AV157</f>
        <v>0</v>
      </c>
      <c r="AW47" s="42">
        <f ca="1">'Detailed P&amp;L'!AW45+'Detailed P&amp;L'!AW88+'Detailed P&amp;L'!AW123+'Detailed P&amp;L'!AW157</f>
        <v>0</v>
      </c>
      <c r="AX47" s="42">
        <f ca="1">'Detailed P&amp;L'!AX45+'Detailed P&amp;L'!AX88+'Detailed P&amp;L'!AX123+'Detailed P&amp;L'!AX157</f>
        <v>0</v>
      </c>
      <c r="AY47" s="205">
        <f ca="1">'Detailed P&amp;L'!AY45+'Detailed P&amp;L'!AY88+'Detailed P&amp;L'!AY123+'Detailed P&amp;L'!AY157</f>
        <v>0</v>
      </c>
      <c r="BA47" s="234">
        <f ca="1">'Detailed P&amp;L'!BA45+'Detailed P&amp;L'!BA88+'Detailed P&amp;L'!BA123+'Detailed P&amp;L'!BA157</f>
        <v>0</v>
      </c>
      <c r="BB47" s="42">
        <f ca="1">'Detailed P&amp;L'!BB45+'Detailed P&amp;L'!BB88+'Detailed P&amp;L'!BB123+'Detailed P&amp;L'!BB157</f>
        <v>0</v>
      </c>
      <c r="BC47" s="205">
        <f ca="1">'Detailed P&amp;L'!BC45+'Detailed P&amp;L'!BC88+'Detailed P&amp;L'!BC123+'Detailed P&amp;L'!BC157</f>
        <v>0</v>
      </c>
    </row>
    <row r="48" spans="2:55" x14ac:dyDescent="0.35">
      <c r="B48" s="39" t="s">
        <v>31</v>
      </c>
      <c r="C48" s="40">
        <f t="shared" ref="C48:Y48" si="59">SUM(C49:C53)</f>
        <v>0</v>
      </c>
      <c r="D48" s="40">
        <f t="shared" si="59"/>
        <v>0</v>
      </c>
      <c r="E48" s="40">
        <f t="shared" si="59"/>
        <v>0</v>
      </c>
      <c r="F48" s="40">
        <f t="shared" si="59"/>
        <v>0</v>
      </c>
      <c r="G48" s="40">
        <f t="shared" si="59"/>
        <v>0</v>
      </c>
      <c r="H48" s="40">
        <f t="shared" si="59"/>
        <v>0</v>
      </c>
      <c r="I48" s="40">
        <f t="shared" si="59"/>
        <v>0</v>
      </c>
      <c r="J48" s="40">
        <f t="shared" si="59"/>
        <v>0</v>
      </c>
      <c r="K48" s="40">
        <f t="shared" si="59"/>
        <v>0</v>
      </c>
      <c r="L48" s="40">
        <f t="shared" si="59"/>
        <v>0</v>
      </c>
      <c r="M48" s="40">
        <f t="shared" si="59"/>
        <v>0</v>
      </c>
      <c r="N48" s="40">
        <f t="shared" si="59"/>
        <v>0</v>
      </c>
      <c r="O48" s="40">
        <f t="shared" si="59"/>
        <v>0</v>
      </c>
      <c r="P48" s="40">
        <f t="shared" si="59"/>
        <v>0</v>
      </c>
      <c r="Q48" s="40">
        <f t="shared" si="59"/>
        <v>0</v>
      </c>
      <c r="R48" s="40">
        <f t="shared" si="59"/>
        <v>0</v>
      </c>
      <c r="S48" s="40">
        <f t="shared" si="59"/>
        <v>0</v>
      </c>
      <c r="T48" s="40">
        <f t="shared" si="59"/>
        <v>0</v>
      </c>
      <c r="U48" s="40">
        <f t="shared" si="59"/>
        <v>0</v>
      </c>
      <c r="V48" s="40">
        <f t="shared" si="59"/>
        <v>0</v>
      </c>
      <c r="W48" s="40">
        <f t="shared" si="59"/>
        <v>0</v>
      </c>
      <c r="X48" s="40">
        <f t="shared" si="59"/>
        <v>0</v>
      </c>
      <c r="Y48" s="40">
        <f t="shared" si="59"/>
        <v>0</v>
      </c>
      <c r="Z48" s="40">
        <f t="shared" ref="Z48:AL48" si="60">SUM(Z49:Z53)</f>
        <v>0</v>
      </c>
      <c r="AA48" s="40">
        <f t="shared" si="60"/>
        <v>0</v>
      </c>
      <c r="AB48" s="40">
        <f t="shared" si="60"/>
        <v>0</v>
      </c>
      <c r="AC48" s="40">
        <f t="shared" si="60"/>
        <v>0</v>
      </c>
      <c r="AD48" s="40">
        <f t="shared" si="60"/>
        <v>0</v>
      </c>
      <c r="AE48" s="40">
        <f t="shared" si="60"/>
        <v>0</v>
      </c>
      <c r="AF48" s="40">
        <f t="shared" si="60"/>
        <v>0</v>
      </c>
      <c r="AG48" s="40">
        <f t="shared" si="60"/>
        <v>0</v>
      </c>
      <c r="AH48" s="40">
        <f t="shared" si="60"/>
        <v>0</v>
      </c>
      <c r="AI48" s="40">
        <f t="shared" si="60"/>
        <v>0</v>
      </c>
      <c r="AJ48" s="40">
        <f t="shared" si="60"/>
        <v>0</v>
      </c>
      <c r="AK48" s="40">
        <f t="shared" si="60"/>
        <v>0</v>
      </c>
      <c r="AL48" s="204">
        <f t="shared" si="60"/>
        <v>0</v>
      </c>
      <c r="AN48" s="233">
        <f t="shared" ref="AN48:AT48" ca="1" si="61">SUM(AN49:AN53)</f>
        <v>0</v>
      </c>
      <c r="AO48" s="40">
        <f t="shared" ca="1" si="61"/>
        <v>0</v>
      </c>
      <c r="AP48" s="40">
        <f t="shared" ca="1" si="61"/>
        <v>0</v>
      </c>
      <c r="AQ48" s="40">
        <f t="shared" ca="1" si="61"/>
        <v>0</v>
      </c>
      <c r="AR48" s="40">
        <f t="shared" ca="1" si="61"/>
        <v>0</v>
      </c>
      <c r="AS48" s="40">
        <f t="shared" ca="1" si="61"/>
        <v>0</v>
      </c>
      <c r="AT48" s="40">
        <f t="shared" ca="1" si="61"/>
        <v>0</v>
      </c>
      <c r="AU48" s="40">
        <f t="shared" ref="AU48:AY48" ca="1" si="62">SUM(AU49:AU53)</f>
        <v>0</v>
      </c>
      <c r="AV48" s="40">
        <f t="shared" ca="1" si="62"/>
        <v>0</v>
      </c>
      <c r="AW48" s="40">
        <f t="shared" ca="1" si="62"/>
        <v>0</v>
      </c>
      <c r="AX48" s="40">
        <f t="shared" ca="1" si="62"/>
        <v>0</v>
      </c>
      <c r="AY48" s="204">
        <f t="shared" ca="1" si="62"/>
        <v>0</v>
      </c>
      <c r="BA48" s="233">
        <f t="shared" ref="BA48" ca="1" si="63">SUM(BA49:BA53)</f>
        <v>0</v>
      </c>
      <c r="BB48" s="40">
        <f t="shared" ref="BB48:BC48" ca="1" si="64">SUM(BB49:BB53)</f>
        <v>0</v>
      </c>
      <c r="BC48" s="204">
        <f t="shared" ca="1" si="64"/>
        <v>0</v>
      </c>
    </row>
    <row r="49" spans="2:55" outlineLevel="1" x14ac:dyDescent="0.35">
      <c r="B49" s="43" t="s">
        <v>32</v>
      </c>
      <c r="C49" s="42">
        <f>'Detailed P&amp;L'!C47+'Detailed P&amp;L'!C90+'Detailed P&amp;L'!C125+'Detailed P&amp;L'!C159</f>
        <v>0</v>
      </c>
      <c r="D49" s="42">
        <f>'Detailed P&amp;L'!D47+'Detailed P&amp;L'!D90+'Detailed P&amp;L'!D125+'Detailed P&amp;L'!D159</f>
        <v>0</v>
      </c>
      <c r="E49" s="42">
        <f>'Detailed P&amp;L'!E47+'Detailed P&amp;L'!E90+'Detailed P&amp;L'!E125+'Detailed P&amp;L'!E159</f>
        <v>0</v>
      </c>
      <c r="F49" s="42">
        <f>'Detailed P&amp;L'!F47+'Detailed P&amp;L'!F90+'Detailed P&amp;L'!F125+'Detailed P&amp;L'!F159</f>
        <v>0</v>
      </c>
      <c r="G49" s="42">
        <f>'Detailed P&amp;L'!G47+'Detailed P&amp;L'!G90+'Detailed P&amp;L'!G125+'Detailed P&amp;L'!G159</f>
        <v>0</v>
      </c>
      <c r="H49" s="42">
        <f>'Detailed P&amp;L'!H47+'Detailed P&amp;L'!H90+'Detailed P&amp;L'!H125+'Detailed P&amp;L'!H159</f>
        <v>0</v>
      </c>
      <c r="I49" s="42">
        <f>'Detailed P&amp;L'!I47+'Detailed P&amp;L'!I90+'Detailed P&amp;L'!I125+'Detailed P&amp;L'!I159</f>
        <v>0</v>
      </c>
      <c r="J49" s="42">
        <f>'Detailed P&amp;L'!J47+'Detailed P&amp;L'!J90+'Detailed P&amp;L'!J125+'Detailed P&amp;L'!J159</f>
        <v>0</v>
      </c>
      <c r="K49" s="42">
        <f>'Detailed P&amp;L'!K47+'Detailed P&amp;L'!K90+'Detailed P&amp;L'!K125+'Detailed P&amp;L'!K159</f>
        <v>0</v>
      </c>
      <c r="L49" s="42">
        <f>'Detailed P&amp;L'!L47+'Detailed P&amp;L'!L90+'Detailed P&amp;L'!L125+'Detailed P&amp;L'!L159</f>
        <v>0</v>
      </c>
      <c r="M49" s="42">
        <f>'Detailed P&amp;L'!M47+'Detailed P&amp;L'!M90+'Detailed P&amp;L'!M125+'Detailed P&amp;L'!M159</f>
        <v>0</v>
      </c>
      <c r="N49" s="42">
        <f>'Detailed P&amp;L'!N47+'Detailed P&amp;L'!N90+'Detailed P&amp;L'!N125+'Detailed P&amp;L'!N159</f>
        <v>0</v>
      </c>
      <c r="O49" s="42">
        <f>'Detailed P&amp;L'!O47+'Detailed P&amp;L'!O90+'Detailed P&amp;L'!O125+'Detailed P&amp;L'!O159</f>
        <v>0</v>
      </c>
      <c r="P49" s="42">
        <f>'Detailed P&amp;L'!P47+'Detailed P&amp;L'!P90+'Detailed P&amp;L'!P125+'Detailed P&amp;L'!P159</f>
        <v>0</v>
      </c>
      <c r="Q49" s="42">
        <f>'Detailed P&amp;L'!Q47+'Detailed P&amp;L'!Q90+'Detailed P&amp;L'!Q125+'Detailed P&amp;L'!Q159</f>
        <v>0</v>
      </c>
      <c r="R49" s="42">
        <f>'Detailed P&amp;L'!R47+'Detailed P&amp;L'!R90+'Detailed P&amp;L'!R125+'Detailed P&amp;L'!R159</f>
        <v>0</v>
      </c>
      <c r="S49" s="42">
        <f>'Detailed P&amp;L'!S47+'Detailed P&amp;L'!S90+'Detailed P&amp;L'!S125+'Detailed P&amp;L'!S159</f>
        <v>0</v>
      </c>
      <c r="T49" s="42">
        <f>'Detailed P&amp;L'!T47+'Detailed P&amp;L'!T90+'Detailed P&amp;L'!T125+'Detailed P&amp;L'!T159</f>
        <v>0</v>
      </c>
      <c r="U49" s="42">
        <f>'Detailed P&amp;L'!U47+'Detailed P&amp;L'!U90+'Detailed P&amp;L'!U125+'Detailed P&amp;L'!U159</f>
        <v>0</v>
      </c>
      <c r="V49" s="42">
        <f>'Detailed P&amp;L'!V47+'Detailed P&amp;L'!V90+'Detailed P&amp;L'!V125+'Detailed P&amp;L'!V159</f>
        <v>0</v>
      </c>
      <c r="W49" s="42">
        <f>'Detailed P&amp;L'!W47+'Detailed P&amp;L'!W90+'Detailed P&amp;L'!W125+'Detailed P&amp;L'!W159</f>
        <v>0</v>
      </c>
      <c r="X49" s="42">
        <f>'Detailed P&amp;L'!X47+'Detailed P&amp;L'!X90+'Detailed P&amp;L'!X125+'Detailed P&amp;L'!X159</f>
        <v>0</v>
      </c>
      <c r="Y49" s="42">
        <f>'Detailed P&amp;L'!Y47+'Detailed P&amp;L'!Y90+'Detailed P&amp;L'!Y125+'Detailed P&amp;L'!Y159</f>
        <v>0</v>
      </c>
      <c r="Z49" s="42">
        <f>'Detailed P&amp;L'!Z47+'Detailed P&amp;L'!Z90+'Detailed P&amp;L'!Z125+'Detailed P&amp;L'!Z159</f>
        <v>0</v>
      </c>
      <c r="AA49" s="42">
        <f>'Detailed P&amp;L'!AA47+'Detailed P&amp;L'!AA90+'Detailed P&amp;L'!AA125+'Detailed P&amp;L'!AA159</f>
        <v>0</v>
      </c>
      <c r="AB49" s="42">
        <f>'Detailed P&amp;L'!AB47+'Detailed P&amp;L'!AB90+'Detailed P&amp;L'!AB125+'Detailed P&amp;L'!AB159</f>
        <v>0</v>
      </c>
      <c r="AC49" s="42">
        <f>'Detailed P&amp;L'!AC47+'Detailed P&amp;L'!AC90+'Detailed P&amp;L'!AC125+'Detailed P&amp;L'!AC159</f>
        <v>0</v>
      </c>
      <c r="AD49" s="42">
        <f>'Detailed P&amp;L'!AD47+'Detailed P&amp;L'!AD90+'Detailed P&amp;L'!AD125+'Detailed P&amp;L'!AD159</f>
        <v>0</v>
      </c>
      <c r="AE49" s="42">
        <f>'Detailed P&amp;L'!AE47+'Detailed P&amp;L'!AE90+'Detailed P&amp;L'!AE125+'Detailed P&amp;L'!AE159</f>
        <v>0</v>
      </c>
      <c r="AF49" s="42">
        <f>'Detailed P&amp;L'!AF47+'Detailed P&amp;L'!AF90+'Detailed P&amp;L'!AF125+'Detailed P&amp;L'!AF159</f>
        <v>0</v>
      </c>
      <c r="AG49" s="42">
        <f>'Detailed P&amp;L'!AG47+'Detailed P&amp;L'!AG90+'Detailed P&amp;L'!AG125+'Detailed P&amp;L'!AG159</f>
        <v>0</v>
      </c>
      <c r="AH49" s="42">
        <f>'Detailed P&amp;L'!AH47+'Detailed P&amp;L'!AH90+'Detailed P&amp;L'!AH125+'Detailed P&amp;L'!AH159</f>
        <v>0</v>
      </c>
      <c r="AI49" s="42">
        <f>'Detailed P&amp;L'!AI47+'Detailed P&amp;L'!AI90+'Detailed P&amp;L'!AI125+'Detailed P&amp;L'!AI159</f>
        <v>0</v>
      </c>
      <c r="AJ49" s="42">
        <f>'Detailed P&amp;L'!AJ47+'Detailed P&amp;L'!AJ90+'Detailed P&amp;L'!AJ125+'Detailed P&amp;L'!AJ159</f>
        <v>0</v>
      </c>
      <c r="AK49" s="42">
        <f>'Detailed P&amp;L'!AK47+'Detailed P&amp;L'!AK90+'Detailed P&amp;L'!AK125+'Detailed P&amp;L'!AK159</f>
        <v>0</v>
      </c>
      <c r="AL49" s="205">
        <f>'Detailed P&amp;L'!AL47+'Detailed P&amp;L'!AL90+'Detailed P&amp;L'!AL125+'Detailed P&amp;L'!AL159</f>
        <v>0</v>
      </c>
      <c r="AN49" s="234">
        <f ca="1">'Detailed P&amp;L'!AN47+'Detailed P&amp;L'!AN90+'Detailed P&amp;L'!AN125+'Detailed P&amp;L'!AN159</f>
        <v>0</v>
      </c>
      <c r="AO49" s="42">
        <f ca="1">'Detailed P&amp;L'!AO47+'Detailed P&amp;L'!AO90+'Detailed P&amp;L'!AO125+'Detailed P&amp;L'!AO159</f>
        <v>0</v>
      </c>
      <c r="AP49" s="42">
        <f ca="1">'Detailed P&amp;L'!AP47+'Detailed P&amp;L'!AP90+'Detailed P&amp;L'!AP125+'Detailed P&amp;L'!AP159</f>
        <v>0</v>
      </c>
      <c r="AQ49" s="42">
        <f ca="1">'Detailed P&amp;L'!AQ47+'Detailed P&amp;L'!AQ90+'Detailed P&amp;L'!AQ125+'Detailed P&amp;L'!AQ159</f>
        <v>0</v>
      </c>
      <c r="AR49" s="42">
        <f ca="1">'Detailed P&amp;L'!AR47+'Detailed P&amp;L'!AR90+'Detailed P&amp;L'!AR125+'Detailed P&amp;L'!AR159</f>
        <v>0</v>
      </c>
      <c r="AS49" s="42">
        <f ca="1">'Detailed P&amp;L'!AS47+'Detailed P&amp;L'!AS90+'Detailed P&amp;L'!AS125+'Detailed P&amp;L'!AS159</f>
        <v>0</v>
      </c>
      <c r="AT49" s="42">
        <f ca="1">'Detailed P&amp;L'!AT47+'Detailed P&amp;L'!AT90+'Detailed P&amp;L'!AT125+'Detailed P&amp;L'!AT159</f>
        <v>0</v>
      </c>
      <c r="AU49" s="42">
        <f ca="1">'Detailed P&amp;L'!AU47+'Detailed P&amp;L'!AU90+'Detailed P&amp;L'!AU125+'Detailed P&amp;L'!AU159</f>
        <v>0</v>
      </c>
      <c r="AV49" s="42">
        <f ca="1">'Detailed P&amp;L'!AV47+'Detailed P&amp;L'!AV90+'Detailed P&amp;L'!AV125+'Detailed P&amp;L'!AV159</f>
        <v>0</v>
      </c>
      <c r="AW49" s="42">
        <f ca="1">'Detailed P&amp;L'!AW47+'Detailed P&amp;L'!AW90+'Detailed P&amp;L'!AW125+'Detailed P&amp;L'!AW159</f>
        <v>0</v>
      </c>
      <c r="AX49" s="42">
        <f ca="1">'Detailed P&amp;L'!AX47+'Detailed P&amp;L'!AX90+'Detailed P&amp;L'!AX125+'Detailed P&amp;L'!AX159</f>
        <v>0</v>
      </c>
      <c r="AY49" s="205">
        <f ca="1">'Detailed P&amp;L'!AY47+'Detailed P&amp;L'!AY90+'Detailed P&amp;L'!AY125+'Detailed P&amp;L'!AY159</f>
        <v>0</v>
      </c>
      <c r="BA49" s="234">
        <f ca="1">'Detailed P&amp;L'!BA47+'Detailed P&amp;L'!BA90+'Detailed P&amp;L'!BA125+'Detailed P&amp;L'!BA159</f>
        <v>0</v>
      </c>
      <c r="BB49" s="42">
        <f ca="1">'Detailed P&amp;L'!BB47+'Detailed P&amp;L'!BB90+'Detailed P&amp;L'!BB125+'Detailed P&amp;L'!BB159</f>
        <v>0</v>
      </c>
      <c r="BC49" s="205">
        <f ca="1">'Detailed P&amp;L'!BC47+'Detailed P&amp;L'!BC90+'Detailed P&amp;L'!BC125+'Detailed P&amp;L'!BC159</f>
        <v>0</v>
      </c>
    </row>
    <row r="50" spans="2:55" outlineLevel="1" x14ac:dyDescent="0.35">
      <c r="B50" s="43" t="s">
        <v>33</v>
      </c>
      <c r="C50" s="42">
        <f>'Detailed P&amp;L'!C48+'Detailed P&amp;L'!C91+'Detailed P&amp;L'!C126+'Detailed P&amp;L'!C160</f>
        <v>0</v>
      </c>
      <c r="D50" s="42">
        <f>'Detailed P&amp;L'!D48+'Detailed P&amp;L'!D91+'Detailed P&amp;L'!D126+'Detailed P&amp;L'!D160</f>
        <v>0</v>
      </c>
      <c r="E50" s="42">
        <f>'Detailed P&amp;L'!E48+'Detailed P&amp;L'!E91+'Detailed P&amp;L'!E126+'Detailed P&amp;L'!E160</f>
        <v>0</v>
      </c>
      <c r="F50" s="42">
        <f>'Detailed P&amp;L'!F48+'Detailed P&amp;L'!F91+'Detailed P&amp;L'!F126+'Detailed P&amp;L'!F160</f>
        <v>0</v>
      </c>
      <c r="G50" s="42">
        <f>'Detailed P&amp;L'!G48+'Detailed P&amp;L'!G91+'Detailed P&amp;L'!G126+'Detailed P&amp;L'!G160</f>
        <v>0</v>
      </c>
      <c r="H50" s="42">
        <f>'Detailed P&amp;L'!H48+'Detailed P&amp;L'!H91+'Detailed P&amp;L'!H126+'Detailed P&amp;L'!H160</f>
        <v>0</v>
      </c>
      <c r="I50" s="42">
        <f>'Detailed P&amp;L'!I48+'Detailed P&amp;L'!I91+'Detailed P&amp;L'!I126+'Detailed P&amp;L'!I160</f>
        <v>0</v>
      </c>
      <c r="J50" s="42">
        <f>'Detailed P&amp;L'!J48+'Detailed P&amp;L'!J91+'Detailed P&amp;L'!J126+'Detailed P&amp;L'!J160</f>
        <v>0</v>
      </c>
      <c r="K50" s="42">
        <f>'Detailed P&amp;L'!K48+'Detailed P&amp;L'!K91+'Detailed P&amp;L'!K126+'Detailed P&amp;L'!K160</f>
        <v>0</v>
      </c>
      <c r="L50" s="42">
        <f>'Detailed P&amp;L'!L48+'Detailed P&amp;L'!L91+'Detailed P&amp;L'!L126+'Detailed P&amp;L'!L160</f>
        <v>0</v>
      </c>
      <c r="M50" s="42">
        <f>'Detailed P&amp;L'!M48+'Detailed P&amp;L'!M91+'Detailed P&amp;L'!M126+'Detailed P&amp;L'!M160</f>
        <v>0</v>
      </c>
      <c r="N50" s="42">
        <f>'Detailed P&amp;L'!N48+'Detailed P&amp;L'!N91+'Detailed P&amp;L'!N126+'Detailed P&amp;L'!N160</f>
        <v>0</v>
      </c>
      <c r="O50" s="42">
        <f>'Detailed P&amp;L'!O48+'Detailed P&amp;L'!O91+'Detailed P&amp;L'!O126+'Detailed P&amp;L'!O160</f>
        <v>0</v>
      </c>
      <c r="P50" s="42">
        <f>'Detailed P&amp;L'!P48+'Detailed P&amp;L'!P91+'Detailed P&amp;L'!P126+'Detailed P&amp;L'!P160</f>
        <v>0</v>
      </c>
      <c r="Q50" s="42">
        <f>'Detailed P&amp;L'!Q48+'Detailed P&amp;L'!Q91+'Detailed P&amp;L'!Q126+'Detailed P&amp;L'!Q160</f>
        <v>0</v>
      </c>
      <c r="R50" s="42">
        <f>'Detailed P&amp;L'!R48+'Detailed P&amp;L'!R91+'Detailed P&amp;L'!R126+'Detailed P&amp;L'!R160</f>
        <v>0</v>
      </c>
      <c r="S50" s="42">
        <f>'Detailed P&amp;L'!S48+'Detailed P&amp;L'!S91+'Detailed P&amp;L'!S126+'Detailed P&amp;L'!S160</f>
        <v>0</v>
      </c>
      <c r="T50" s="42">
        <f>'Detailed P&amp;L'!T48+'Detailed P&amp;L'!T91+'Detailed P&amp;L'!T126+'Detailed P&amp;L'!T160</f>
        <v>0</v>
      </c>
      <c r="U50" s="42">
        <f>'Detailed P&amp;L'!U48+'Detailed P&amp;L'!U91+'Detailed P&amp;L'!U126+'Detailed P&amp;L'!U160</f>
        <v>0</v>
      </c>
      <c r="V50" s="42">
        <f>'Detailed P&amp;L'!V48+'Detailed P&amp;L'!V91+'Detailed P&amp;L'!V126+'Detailed P&amp;L'!V160</f>
        <v>0</v>
      </c>
      <c r="W50" s="42">
        <f>'Detailed P&amp;L'!W48+'Detailed P&amp;L'!W91+'Detailed P&amp;L'!W126+'Detailed P&amp;L'!W160</f>
        <v>0</v>
      </c>
      <c r="X50" s="42">
        <f>'Detailed P&amp;L'!X48+'Detailed P&amp;L'!X91+'Detailed P&amp;L'!X126+'Detailed P&amp;L'!X160</f>
        <v>0</v>
      </c>
      <c r="Y50" s="42">
        <f>'Detailed P&amp;L'!Y48+'Detailed P&amp;L'!Y91+'Detailed P&amp;L'!Y126+'Detailed P&amp;L'!Y160</f>
        <v>0</v>
      </c>
      <c r="Z50" s="42">
        <f>'Detailed P&amp;L'!Z48+'Detailed P&amp;L'!Z91+'Detailed P&amp;L'!Z126+'Detailed P&amp;L'!Z160</f>
        <v>0</v>
      </c>
      <c r="AA50" s="42">
        <f>'Detailed P&amp;L'!AA48+'Detailed P&amp;L'!AA91+'Detailed P&amp;L'!AA126+'Detailed P&amp;L'!AA160</f>
        <v>0</v>
      </c>
      <c r="AB50" s="42">
        <f>'Detailed P&amp;L'!AB48+'Detailed P&amp;L'!AB91+'Detailed P&amp;L'!AB126+'Detailed P&amp;L'!AB160</f>
        <v>0</v>
      </c>
      <c r="AC50" s="42">
        <f>'Detailed P&amp;L'!AC48+'Detailed P&amp;L'!AC91+'Detailed P&amp;L'!AC126+'Detailed P&amp;L'!AC160</f>
        <v>0</v>
      </c>
      <c r="AD50" s="42">
        <f>'Detailed P&amp;L'!AD48+'Detailed P&amp;L'!AD91+'Detailed P&amp;L'!AD126+'Detailed P&amp;L'!AD160</f>
        <v>0</v>
      </c>
      <c r="AE50" s="42">
        <f>'Detailed P&amp;L'!AE48+'Detailed P&amp;L'!AE91+'Detailed P&amp;L'!AE126+'Detailed P&amp;L'!AE160</f>
        <v>0</v>
      </c>
      <c r="AF50" s="42">
        <f>'Detailed P&amp;L'!AF48+'Detailed P&amp;L'!AF91+'Detailed P&amp;L'!AF126+'Detailed P&amp;L'!AF160</f>
        <v>0</v>
      </c>
      <c r="AG50" s="42">
        <f>'Detailed P&amp;L'!AG48+'Detailed P&amp;L'!AG91+'Detailed P&amp;L'!AG126+'Detailed P&amp;L'!AG160</f>
        <v>0</v>
      </c>
      <c r="AH50" s="42">
        <f>'Detailed P&amp;L'!AH48+'Detailed P&amp;L'!AH91+'Detailed P&amp;L'!AH126+'Detailed P&amp;L'!AH160</f>
        <v>0</v>
      </c>
      <c r="AI50" s="42">
        <f>'Detailed P&amp;L'!AI48+'Detailed P&amp;L'!AI91+'Detailed P&amp;L'!AI126+'Detailed P&amp;L'!AI160</f>
        <v>0</v>
      </c>
      <c r="AJ50" s="42">
        <f>'Detailed P&amp;L'!AJ48+'Detailed P&amp;L'!AJ91+'Detailed P&amp;L'!AJ126+'Detailed P&amp;L'!AJ160</f>
        <v>0</v>
      </c>
      <c r="AK50" s="42">
        <f>'Detailed P&amp;L'!AK48+'Detailed P&amp;L'!AK91+'Detailed P&amp;L'!AK126+'Detailed P&amp;L'!AK160</f>
        <v>0</v>
      </c>
      <c r="AL50" s="205">
        <f>'Detailed P&amp;L'!AL48+'Detailed P&amp;L'!AL91+'Detailed P&amp;L'!AL126+'Detailed P&amp;L'!AL160</f>
        <v>0</v>
      </c>
      <c r="AN50" s="234">
        <f ca="1">'Detailed P&amp;L'!AN48+'Detailed P&amp;L'!AN91+'Detailed P&amp;L'!AN126+'Detailed P&amp;L'!AN160</f>
        <v>0</v>
      </c>
      <c r="AO50" s="42">
        <f ca="1">'Detailed P&amp;L'!AO48+'Detailed P&amp;L'!AO91+'Detailed P&amp;L'!AO126+'Detailed P&amp;L'!AO160</f>
        <v>0</v>
      </c>
      <c r="AP50" s="42">
        <f ca="1">'Detailed P&amp;L'!AP48+'Detailed P&amp;L'!AP91+'Detailed P&amp;L'!AP126+'Detailed P&amp;L'!AP160</f>
        <v>0</v>
      </c>
      <c r="AQ50" s="42">
        <f ca="1">'Detailed P&amp;L'!AQ48+'Detailed P&amp;L'!AQ91+'Detailed P&amp;L'!AQ126+'Detailed P&amp;L'!AQ160</f>
        <v>0</v>
      </c>
      <c r="AR50" s="42">
        <f ca="1">'Detailed P&amp;L'!AR48+'Detailed P&amp;L'!AR91+'Detailed P&amp;L'!AR126+'Detailed P&amp;L'!AR160</f>
        <v>0</v>
      </c>
      <c r="AS50" s="42">
        <f ca="1">'Detailed P&amp;L'!AS48+'Detailed P&amp;L'!AS91+'Detailed P&amp;L'!AS126+'Detailed P&amp;L'!AS160</f>
        <v>0</v>
      </c>
      <c r="AT50" s="42">
        <f ca="1">'Detailed P&amp;L'!AT48+'Detailed P&amp;L'!AT91+'Detailed P&amp;L'!AT126+'Detailed P&amp;L'!AT160</f>
        <v>0</v>
      </c>
      <c r="AU50" s="42">
        <f ca="1">'Detailed P&amp;L'!AU48+'Detailed P&amp;L'!AU91+'Detailed P&amp;L'!AU126+'Detailed P&amp;L'!AU160</f>
        <v>0</v>
      </c>
      <c r="AV50" s="42">
        <f ca="1">'Detailed P&amp;L'!AV48+'Detailed P&amp;L'!AV91+'Detailed P&amp;L'!AV126+'Detailed P&amp;L'!AV160</f>
        <v>0</v>
      </c>
      <c r="AW50" s="42">
        <f ca="1">'Detailed P&amp;L'!AW48+'Detailed P&amp;L'!AW91+'Detailed P&amp;L'!AW126+'Detailed P&amp;L'!AW160</f>
        <v>0</v>
      </c>
      <c r="AX50" s="42">
        <f ca="1">'Detailed P&amp;L'!AX48+'Detailed P&amp;L'!AX91+'Detailed P&amp;L'!AX126+'Detailed P&amp;L'!AX160</f>
        <v>0</v>
      </c>
      <c r="AY50" s="205">
        <f ca="1">'Detailed P&amp;L'!AY48+'Detailed P&amp;L'!AY91+'Detailed P&amp;L'!AY126+'Detailed P&amp;L'!AY160</f>
        <v>0</v>
      </c>
      <c r="BA50" s="234">
        <f ca="1">'Detailed P&amp;L'!BA48+'Detailed P&amp;L'!BA91+'Detailed P&amp;L'!BA126+'Detailed P&amp;L'!BA160</f>
        <v>0</v>
      </c>
      <c r="BB50" s="42">
        <f ca="1">'Detailed P&amp;L'!BB48+'Detailed P&amp;L'!BB91+'Detailed P&amp;L'!BB126+'Detailed P&amp;L'!BB160</f>
        <v>0</v>
      </c>
      <c r="BC50" s="205">
        <f ca="1">'Detailed P&amp;L'!BC48+'Detailed P&amp;L'!BC91+'Detailed P&amp;L'!BC126+'Detailed P&amp;L'!BC160</f>
        <v>0</v>
      </c>
    </row>
    <row r="51" spans="2:55" outlineLevel="1" x14ac:dyDescent="0.35">
      <c r="B51" s="43" t="s">
        <v>34</v>
      </c>
      <c r="C51" s="42">
        <f>'Detailed P&amp;L'!C49+'Detailed P&amp;L'!C92+'Detailed P&amp;L'!C127+'Detailed P&amp;L'!C161</f>
        <v>0</v>
      </c>
      <c r="D51" s="42">
        <f>'Detailed P&amp;L'!D49+'Detailed P&amp;L'!D92+'Detailed P&amp;L'!D127+'Detailed P&amp;L'!D161</f>
        <v>0</v>
      </c>
      <c r="E51" s="42">
        <f>'Detailed P&amp;L'!E49+'Detailed P&amp;L'!E92+'Detailed P&amp;L'!E127+'Detailed P&amp;L'!E161</f>
        <v>0</v>
      </c>
      <c r="F51" s="42">
        <f>'Detailed P&amp;L'!F49+'Detailed P&amp;L'!F92+'Detailed P&amp;L'!F127+'Detailed P&amp;L'!F161</f>
        <v>0</v>
      </c>
      <c r="G51" s="42">
        <f>'Detailed P&amp;L'!G49+'Detailed P&amp;L'!G92+'Detailed P&amp;L'!G127+'Detailed P&amp;L'!G161</f>
        <v>0</v>
      </c>
      <c r="H51" s="42">
        <f>'Detailed P&amp;L'!H49+'Detailed P&amp;L'!H92+'Detailed P&amp;L'!H127+'Detailed P&amp;L'!H161</f>
        <v>0</v>
      </c>
      <c r="I51" s="42">
        <f>'Detailed P&amp;L'!I49+'Detailed P&amp;L'!I92+'Detailed P&amp;L'!I127+'Detailed P&amp;L'!I161</f>
        <v>0</v>
      </c>
      <c r="J51" s="42">
        <f>'Detailed P&amp;L'!J49+'Detailed P&amp;L'!J92+'Detailed P&amp;L'!J127+'Detailed P&amp;L'!J161</f>
        <v>0</v>
      </c>
      <c r="K51" s="42">
        <f>'Detailed P&amp;L'!K49+'Detailed P&amp;L'!K92+'Detailed P&amp;L'!K127+'Detailed P&amp;L'!K161</f>
        <v>0</v>
      </c>
      <c r="L51" s="42">
        <f>'Detailed P&amp;L'!L49+'Detailed P&amp;L'!L92+'Detailed P&amp;L'!L127+'Detailed P&amp;L'!L161</f>
        <v>0</v>
      </c>
      <c r="M51" s="42">
        <f>'Detailed P&amp;L'!M49+'Detailed P&amp;L'!M92+'Detailed P&amp;L'!M127+'Detailed P&amp;L'!M161</f>
        <v>0</v>
      </c>
      <c r="N51" s="42">
        <f>'Detailed P&amp;L'!N49+'Detailed P&amp;L'!N92+'Detailed P&amp;L'!N127+'Detailed P&amp;L'!N161</f>
        <v>0</v>
      </c>
      <c r="O51" s="42">
        <f>'Detailed P&amp;L'!O49+'Detailed P&amp;L'!O92+'Detailed P&amp;L'!O127+'Detailed P&amp;L'!O161</f>
        <v>0</v>
      </c>
      <c r="P51" s="42">
        <f>'Detailed P&amp;L'!P49+'Detailed P&amp;L'!P92+'Detailed P&amp;L'!P127+'Detailed P&amp;L'!P161</f>
        <v>0</v>
      </c>
      <c r="Q51" s="42">
        <f>'Detailed P&amp;L'!Q49+'Detailed P&amp;L'!Q92+'Detailed P&amp;L'!Q127+'Detailed P&amp;L'!Q161</f>
        <v>0</v>
      </c>
      <c r="R51" s="42">
        <f>'Detailed P&amp;L'!R49+'Detailed P&amp;L'!R92+'Detailed P&amp;L'!R127+'Detailed P&amp;L'!R161</f>
        <v>0</v>
      </c>
      <c r="S51" s="42">
        <f>'Detailed P&amp;L'!S49+'Detailed P&amp;L'!S92+'Detailed P&amp;L'!S127+'Detailed P&amp;L'!S161</f>
        <v>0</v>
      </c>
      <c r="T51" s="42">
        <f>'Detailed P&amp;L'!T49+'Detailed P&amp;L'!T92+'Detailed P&amp;L'!T127+'Detailed P&amp;L'!T161</f>
        <v>0</v>
      </c>
      <c r="U51" s="42">
        <f>'Detailed P&amp;L'!U49+'Detailed P&amp;L'!U92+'Detailed P&amp;L'!U127+'Detailed P&amp;L'!U161</f>
        <v>0</v>
      </c>
      <c r="V51" s="42">
        <f>'Detailed P&amp;L'!V49+'Detailed P&amp;L'!V92+'Detailed P&amp;L'!V127+'Detailed P&amp;L'!V161</f>
        <v>0</v>
      </c>
      <c r="W51" s="42">
        <f>'Detailed P&amp;L'!W49+'Detailed P&amp;L'!W92+'Detailed P&amp;L'!W127+'Detailed P&amp;L'!W161</f>
        <v>0</v>
      </c>
      <c r="X51" s="42">
        <f>'Detailed P&amp;L'!X49+'Detailed P&amp;L'!X92+'Detailed P&amp;L'!X127+'Detailed P&amp;L'!X161</f>
        <v>0</v>
      </c>
      <c r="Y51" s="42">
        <f>'Detailed P&amp;L'!Y49+'Detailed P&amp;L'!Y92+'Detailed P&amp;L'!Y127+'Detailed P&amp;L'!Y161</f>
        <v>0</v>
      </c>
      <c r="Z51" s="42">
        <f>'Detailed P&amp;L'!Z49+'Detailed P&amp;L'!Z92+'Detailed P&amp;L'!Z127+'Detailed P&amp;L'!Z161</f>
        <v>0</v>
      </c>
      <c r="AA51" s="42">
        <f>'Detailed P&amp;L'!AA49+'Detailed P&amp;L'!AA92+'Detailed P&amp;L'!AA127+'Detailed P&amp;L'!AA161</f>
        <v>0</v>
      </c>
      <c r="AB51" s="42">
        <f>'Detailed P&amp;L'!AB49+'Detailed P&amp;L'!AB92+'Detailed P&amp;L'!AB127+'Detailed P&amp;L'!AB161</f>
        <v>0</v>
      </c>
      <c r="AC51" s="42">
        <f>'Detailed P&amp;L'!AC49+'Detailed P&amp;L'!AC92+'Detailed P&amp;L'!AC127+'Detailed P&amp;L'!AC161</f>
        <v>0</v>
      </c>
      <c r="AD51" s="42">
        <f>'Detailed P&amp;L'!AD49+'Detailed P&amp;L'!AD92+'Detailed P&amp;L'!AD127+'Detailed P&amp;L'!AD161</f>
        <v>0</v>
      </c>
      <c r="AE51" s="42">
        <f>'Detailed P&amp;L'!AE49+'Detailed P&amp;L'!AE92+'Detailed P&amp;L'!AE127+'Detailed P&amp;L'!AE161</f>
        <v>0</v>
      </c>
      <c r="AF51" s="42">
        <f>'Detailed P&amp;L'!AF49+'Detailed P&amp;L'!AF92+'Detailed P&amp;L'!AF127+'Detailed P&amp;L'!AF161</f>
        <v>0</v>
      </c>
      <c r="AG51" s="42">
        <f>'Detailed P&amp;L'!AG49+'Detailed P&amp;L'!AG92+'Detailed P&amp;L'!AG127+'Detailed P&amp;L'!AG161</f>
        <v>0</v>
      </c>
      <c r="AH51" s="42">
        <f>'Detailed P&amp;L'!AH49+'Detailed P&amp;L'!AH92+'Detailed P&amp;L'!AH127+'Detailed P&amp;L'!AH161</f>
        <v>0</v>
      </c>
      <c r="AI51" s="42">
        <f>'Detailed P&amp;L'!AI49+'Detailed P&amp;L'!AI92+'Detailed P&amp;L'!AI127+'Detailed P&amp;L'!AI161</f>
        <v>0</v>
      </c>
      <c r="AJ51" s="42">
        <f>'Detailed P&amp;L'!AJ49+'Detailed P&amp;L'!AJ92+'Detailed P&amp;L'!AJ127+'Detailed P&amp;L'!AJ161</f>
        <v>0</v>
      </c>
      <c r="AK51" s="42">
        <f>'Detailed P&amp;L'!AK49+'Detailed P&amp;L'!AK92+'Detailed P&amp;L'!AK127+'Detailed P&amp;L'!AK161</f>
        <v>0</v>
      </c>
      <c r="AL51" s="205">
        <f>'Detailed P&amp;L'!AL49+'Detailed P&amp;L'!AL92+'Detailed P&amp;L'!AL127+'Detailed P&amp;L'!AL161</f>
        <v>0</v>
      </c>
      <c r="AN51" s="234">
        <f ca="1">'Detailed P&amp;L'!AN49+'Detailed P&amp;L'!AN92+'Detailed P&amp;L'!AN127+'Detailed P&amp;L'!AN161</f>
        <v>0</v>
      </c>
      <c r="AO51" s="42">
        <f ca="1">'Detailed P&amp;L'!AO49+'Detailed P&amp;L'!AO92+'Detailed P&amp;L'!AO127+'Detailed P&amp;L'!AO161</f>
        <v>0</v>
      </c>
      <c r="AP51" s="42">
        <f ca="1">'Detailed P&amp;L'!AP49+'Detailed P&amp;L'!AP92+'Detailed P&amp;L'!AP127+'Detailed P&amp;L'!AP161</f>
        <v>0</v>
      </c>
      <c r="AQ51" s="42">
        <f ca="1">'Detailed P&amp;L'!AQ49+'Detailed P&amp;L'!AQ92+'Detailed P&amp;L'!AQ127+'Detailed P&amp;L'!AQ161</f>
        <v>0</v>
      </c>
      <c r="AR51" s="42">
        <f ca="1">'Detailed P&amp;L'!AR49+'Detailed P&amp;L'!AR92+'Detailed P&amp;L'!AR127+'Detailed P&amp;L'!AR161</f>
        <v>0</v>
      </c>
      <c r="AS51" s="42">
        <f ca="1">'Detailed P&amp;L'!AS49+'Detailed P&amp;L'!AS92+'Detailed P&amp;L'!AS127+'Detailed P&amp;L'!AS161</f>
        <v>0</v>
      </c>
      <c r="AT51" s="42">
        <f ca="1">'Detailed P&amp;L'!AT49+'Detailed P&amp;L'!AT92+'Detailed P&amp;L'!AT127+'Detailed P&amp;L'!AT161</f>
        <v>0</v>
      </c>
      <c r="AU51" s="42">
        <f ca="1">'Detailed P&amp;L'!AU49+'Detailed P&amp;L'!AU92+'Detailed P&amp;L'!AU127+'Detailed P&amp;L'!AU161</f>
        <v>0</v>
      </c>
      <c r="AV51" s="42">
        <f ca="1">'Detailed P&amp;L'!AV49+'Detailed P&amp;L'!AV92+'Detailed P&amp;L'!AV127+'Detailed P&amp;L'!AV161</f>
        <v>0</v>
      </c>
      <c r="AW51" s="42">
        <f ca="1">'Detailed P&amp;L'!AW49+'Detailed P&amp;L'!AW92+'Detailed P&amp;L'!AW127+'Detailed P&amp;L'!AW161</f>
        <v>0</v>
      </c>
      <c r="AX51" s="42">
        <f ca="1">'Detailed P&amp;L'!AX49+'Detailed P&amp;L'!AX92+'Detailed P&amp;L'!AX127+'Detailed P&amp;L'!AX161</f>
        <v>0</v>
      </c>
      <c r="AY51" s="205">
        <f ca="1">'Detailed P&amp;L'!AY49+'Detailed P&amp;L'!AY92+'Detailed P&amp;L'!AY127+'Detailed P&amp;L'!AY161</f>
        <v>0</v>
      </c>
      <c r="BA51" s="234">
        <f ca="1">'Detailed P&amp;L'!BA49+'Detailed P&amp;L'!BA92+'Detailed P&amp;L'!BA127+'Detailed P&amp;L'!BA161</f>
        <v>0</v>
      </c>
      <c r="BB51" s="42">
        <f ca="1">'Detailed P&amp;L'!BB49+'Detailed P&amp;L'!BB92+'Detailed P&amp;L'!BB127+'Detailed P&amp;L'!BB161</f>
        <v>0</v>
      </c>
      <c r="BC51" s="205">
        <f ca="1">'Detailed P&amp;L'!BC49+'Detailed P&amp;L'!BC92+'Detailed P&amp;L'!BC127+'Detailed P&amp;L'!BC161</f>
        <v>0</v>
      </c>
    </row>
    <row r="52" spans="2:55" outlineLevel="1" x14ac:dyDescent="0.35">
      <c r="B52" s="43" t="s">
        <v>35</v>
      </c>
      <c r="C52" s="42">
        <f>'Detailed P&amp;L'!C50+'Detailed P&amp;L'!C93+'Detailed P&amp;L'!C128+'Detailed P&amp;L'!C162</f>
        <v>0</v>
      </c>
      <c r="D52" s="42">
        <f>'Detailed P&amp;L'!D50+'Detailed P&amp;L'!D93+'Detailed P&amp;L'!D128+'Detailed P&amp;L'!D162</f>
        <v>0</v>
      </c>
      <c r="E52" s="42">
        <f>'Detailed P&amp;L'!E50+'Detailed P&amp;L'!E93+'Detailed P&amp;L'!E128+'Detailed P&amp;L'!E162</f>
        <v>0</v>
      </c>
      <c r="F52" s="42">
        <f>'Detailed P&amp;L'!F50+'Detailed P&amp;L'!F93+'Detailed P&amp;L'!F128+'Detailed P&amp;L'!F162</f>
        <v>0</v>
      </c>
      <c r="G52" s="42">
        <f>'Detailed P&amp;L'!G50+'Detailed P&amp;L'!G93+'Detailed P&amp;L'!G128+'Detailed P&amp;L'!G162</f>
        <v>0</v>
      </c>
      <c r="H52" s="42">
        <f>'Detailed P&amp;L'!H50+'Detailed P&amp;L'!H93+'Detailed P&amp;L'!H128+'Detailed P&amp;L'!H162</f>
        <v>0</v>
      </c>
      <c r="I52" s="42">
        <f>'Detailed P&amp;L'!I50+'Detailed P&amp;L'!I93+'Detailed P&amp;L'!I128+'Detailed P&amp;L'!I162</f>
        <v>0</v>
      </c>
      <c r="J52" s="42">
        <f>'Detailed P&amp;L'!J50+'Detailed P&amp;L'!J93+'Detailed P&amp;L'!J128+'Detailed P&amp;L'!J162</f>
        <v>0</v>
      </c>
      <c r="K52" s="42">
        <f>'Detailed P&amp;L'!K50+'Detailed P&amp;L'!K93+'Detailed P&amp;L'!K128+'Detailed P&amp;L'!K162</f>
        <v>0</v>
      </c>
      <c r="L52" s="42">
        <f>'Detailed P&amp;L'!L50+'Detailed P&amp;L'!L93+'Detailed P&amp;L'!L128+'Detailed P&amp;L'!L162</f>
        <v>0</v>
      </c>
      <c r="M52" s="42">
        <f>'Detailed P&amp;L'!M50+'Detailed P&amp;L'!M93+'Detailed P&amp;L'!M128+'Detailed P&amp;L'!M162</f>
        <v>0</v>
      </c>
      <c r="N52" s="42">
        <f>'Detailed P&amp;L'!N50+'Detailed P&amp;L'!N93+'Detailed P&amp;L'!N128+'Detailed P&amp;L'!N162</f>
        <v>0</v>
      </c>
      <c r="O52" s="42">
        <f>'Detailed P&amp;L'!O50+'Detailed P&amp;L'!O93+'Detailed P&amp;L'!O128+'Detailed P&amp;L'!O162</f>
        <v>0</v>
      </c>
      <c r="P52" s="42">
        <f>'Detailed P&amp;L'!P50+'Detailed P&amp;L'!P93+'Detailed P&amp;L'!P128+'Detailed P&amp;L'!P162</f>
        <v>0</v>
      </c>
      <c r="Q52" s="42">
        <f>'Detailed P&amp;L'!Q50+'Detailed P&amp;L'!Q93+'Detailed P&amp;L'!Q128+'Detailed P&amp;L'!Q162</f>
        <v>0</v>
      </c>
      <c r="R52" s="42">
        <f>'Detailed P&amp;L'!R50+'Detailed P&amp;L'!R93+'Detailed P&amp;L'!R128+'Detailed P&amp;L'!R162</f>
        <v>0</v>
      </c>
      <c r="S52" s="42">
        <f>'Detailed P&amp;L'!S50+'Detailed P&amp;L'!S93+'Detailed P&amp;L'!S128+'Detailed P&amp;L'!S162</f>
        <v>0</v>
      </c>
      <c r="T52" s="42">
        <f>'Detailed P&amp;L'!T50+'Detailed P&amp;L'!T93+'Detailed P&amp;L'!T128+'Detailed P&amp;L'!T162</f>
        <v>0</v>
      </c>
      <c r="U52" s="42">
        <f>'Detailed P&amp;L'!U50+'Detailed P&amp;L'!U93+'Detailed P&amp;L'!U128+'Detailed P&amp;L'!U162</f>
        <v>0</v>
      </c>
      <c r="V52" s="42">
        <f>'Detailed P&amp;L'!V50+'Detailed P&amp;L'!V93+'Detailed P&amp;L'!V128+'Detailed P&amp;L'!V162</f>
        <v>0</v>
      </c>
      <c r="W52" s="42">
        <f>'Detailed P&amp;L'!W50+'Detailed P&amp;L'!W93+'Detailed P&amp;L'!W128+'Detailed P&amp;L'!W162</f>
        <v>0</v>
      </c>
      <c r="X52" s="42">
        <f>'Detailed P&amp;L'!X50+'Detailed P&amp;L'!X93+'Detailed P&amp;L'!X128+'Detailed P&amp;L'!X162</f>
        <v>0</v>
      </c>
      <c r="Y52" s="42">
        <f>'Detailed P&amp;L'!Y50+'Detailed P&amp;L'!Y93+'Detailed P&amp;L'!Y128+'Detailed P&amp;L'!Y162</f>
        <v>0</v>
      </c>
      <c r="Z52" s="42">
        <f>'Detailed P&amp;L'!Z50+'Detailed P&amp;L'!Z93+'Detailed P&amp;L'!Z128+'Detailed P&amp;L'!Z162</f>
        <v>0</v>
      </c>
      <c r="AA52" s="42">
        <f>'Detailed P&amp;L'!AA50+'Detailed P&amp;L'!AA93+'Detailed P&amp;L'!AA128+'Detailed P&amp;L'!AA162</f>
        <v>0</v>
      </c>
      <c r="AB52" s="42">
        <f>'Detailed P&amp;L'!AB50+'Detailed P&amp;L'!AB93+'Detailed P&amp;L'!AB128+'Detailed P&amp;L'!AB162</f>
        <v>0</v>
      </c>
      <c r="AC52" s="42">
        <f>'Detailed P&amp;L'!AC50+'Detailed P&amp;L'!AC93+'Detailed P&amp;L'!AC128+'Detailed P&amp;L'!AC162</f>
        <v>0</v>
      </c>
      <c r="AD52" s="42">
        <f>'Detailed P&amp;L'!AD50+'Detailed P&amp;L'!AD93+'Detailed P&amp;L'!AD128+'Detailed P&amp;L'!AD162</f>
        <v>0</v>
      </c>
      <c r="AE52" s="42">
        <f>'Detailed P&amp;L'!AE50+'Detailed P&amp;L'!AE93+'Detailed P&amp;L'!AE128+'Detailed P&amp;L'!AE162</f>
        <v>0</v>
      </c>
      <c r="AF52" s="42">
        <f>'Detailed P&amp;L'!AF50+'Detailed P&amp;L'!AF93+'Detailed P&amp;L'!AF128+'Detailed P&amp;L'!AF162</f>
        <v>0</v>
      </c>
      <c r="AG52" s="42">
        <f>'Detailed P&amp;L'!AG50+'Detailed P&amp;L'!AG93+'Detailed P&amp;L'!AG128+'Detailed P&amp;L'!AG162</f>
        <v>0</v>
      </c>
      <c r="AH52" s="42">
        <f>'Detailed P&amp;L'!AH50+'Detailed P&amp;L'!AH93+'Detailed P&amp;L'!AH128+'Detailed P&amp;L'!AH162</f>
        <v>0</v>
      </c>
      <c r="AI52" s="42">
        <f>'Detailed P&amp;L'!AI50+'Detailed P&amp;L'!AI93+'Detailed P&amp;L'!AI128+'Detailed P&amp;L'!AI162</f>
        <v>0</v>
      </c>
      <c r="AJ52" s="42">
        <f>'Detailed P&amp;L'!AJ50+'Detailed P&amp;L'!AJ93+'Detailed P&amp;L'!AJ128+'Detailed P&amp;L'!AJ162</f>
        <v>0</v>
      </c>
      <c r="AK52" s="42">
        <f>'Detailed P&amp;L'!AK50+'Detailed P&amp;L'!AK93+'Detailed P&amp;L'!AK128+'Detailed P&amp;L'!AK162</f>
        <v>0</v>
      </c>
      <c r="AL52" s="205">
        <f>'Detailed P&amp;L'!AL50+'Detailed P&amp;L'!AL93+'Detailed P&amp;L'!AL128+'Detailed P&amp;L'!AL162</f>
        <v>0</v>
      </c>
      <c r="AN52" s="234">
        <f ca="1">'Detailed P&amp;L'!AN50+'Detailed P&amp;L'!AN93+'Detailed P&amp;L'!AN128+'Detailed P&amp;L'!AN162</f>
        <v>0</v>
      </c>
      <c r="AO52" s="42">
        <f ca="1">'Detailed P&amp;L'!AO50+'Detailed P&amp;L'!AO93+'Detailed P&amp;L'!AO128+'Detailed P&amp;L'!AO162</f>
        <v>0</v>
      </c>
      <c r="AP52" s="42">
        <f ca="1">'Detailed P&amp;L'!AP50+'Detailed P&amp;L'!AP93+'Detailed P&amp;L'!AP128+'Detailed P&amp;L'!AP162</f>
        <v>0</v>
      </c>
      <c r="AQ52" s="42">
        <f ca="1">'Detailed P&amp;L'!AQ50+'Detailed P&amp;L'!AQ93+'Detailed P&amp;L'!AQ128+'Detailed P&amp;L'!AQ162</f>
        <v>0</v>
      </c>
      <c r="AR52" s="42">
        <f ca="1">'Detailed P&amp;L'!AR50+'Detailed P&amp;L'!AR93+'Detailed P&amp;L'!AR128+'Detailed P&amp;L'!AR162</f>
        <v>0</v>
      </c>
      <c r="AS52" s="42">
        <f ca="1">'Detailed P&amp;L'!AS50+'Detailed P&amp;L'!AS93+'Detailed P&amp;L'!AS128+'Detailed P&amp;L'!AS162</f>
        <v>0</v>
      </c>
      <c r="AT52" s="42">
        <f ca="1">'Detailed P&amp;L'!AT50+'Detailed P&amp;L'!AT93+'Detailed P&amp;L'!AT128+'Detailed P&amp;L'!AT162</f>
        <v>0</v>
      </c>
      <c r="AU52" s="42">
        <f ca="1">'Detailed P&amp;L'!AU50+'Detailed P&amp;L'!AU93+'Detailed P&amp;L'!AU128+'Detailed P&amp;L'!AU162</f>
        <v>0</v>
      </c>
      <c r="AV52" s="42">
        <f ca="1">'Detailed P&amp;L'!AV50+'Detailed P&amp;L'!AV93+'Detailed P&amp;L'!AV128+'Detailed P&amp;L'!AV162</f>
        <v>0</v>
      </c>
      <c r="AW52" s="42">
        <f ca="1">'Detailed P&amp;L'!AW50+'Detailed P&amp;L'!AW93+'Detailed P&amp;L'!AW128+'Detailed P&amp;L'!AW162</f>
        <v>0</v>
      </c>
      <c r="AX52" s="42">
        <f ca="1">'Detailed P&amp;L'!AX50+'Detailed P&amp;L'!AX93+'Detailed P&amp;L'!AX128+'Detailed P&amp;L'!AX162</f>
        <v>0</v>
      </c>
      <c r="AY52" s="205">
        <f ca="1">'Detailed P&amp;L'!AY50+'Detailed P&amp;L'!AY93+'Detailed P&amp;L'!AY128+'Detailed P&amp;L'!AY162</f>
        <v>0</v>
      </c>
      <c r="BA52" s="234">
        <f ca="1">'Detailed P&amp;L'!BA50+'Detailed P&amp;L'!BA93+'Detailed P&amp;L'!BA128+'Detailed P&amp;L'!BA162</f>
        <v>0</v>
      </c>
      <c r="BB52" s="42">
        <f ca="1">'Detailed P&amp;L'!BB50+'Detailed P&amp;L'!BB93+'Detailed P&amp;L'!BB128+'Detailed P&amp;L'!BB162</f>
        <v>0</v>
      </c>
      <c r="BC52" s="205">
        <f ca="1">'Detailed P&amp;L'!BC50+'Detailed P&amp;L'!BC93+'Detailed P&amp;L'!BC128+'Detailed P&amp;L'!BC162</f>
        <v>0</v>
      </c>
    </row>
    <row r="53" spans="2:55" outlineLevel="1" x14ac:dyDescent="0.35">
      <c r="B53" s="43" t="s">
        <v>36</v>
      </c>
      <c r="C53" s="42">
        <f>'Detailed P&amp;L'!C51+'Detailed P&amp;L'!C94+'Detailed P&amp;L'!C129+'Detailed P&amp;L'!C163</f>
        <v>0</v>
      </c>
      <c r="D53" s="42">
        <f>'Detailed P&amp;L'!D51+'Detailed P&amp;L'!D94+'Detailed P&amp;L'!D129+'Detailed P&amp;L'!D163</f>
        <v>0</v>
      </c>
      <c r="E53" s="42">
        <f>'Detailed P&amp;L'!E51+'Detailed P&amp;L'!E94+'Detailed P&amp;L'!E129+'Detailed P&amp;L'!E163</f>
        <v>0</v>
      </c>
      <c r="F53" s="42">
        <f>'Detailed P&amp;L'!F51+'Detailed P&amp;L'!F94+'Detailed P&amp;L'!F129+'Detailed P&amp;L'!F163</f>
        <v>0</v>
      </c>
      <c r="G53" s="42">
        <f>'Detailed P&amp;L'!G51+'Detailed P&amp;L'!G94+'Detailed P&amp;L'!G129+'Detailed P&amp;L'!G163</f>
        <v>0</v>
      </c>
      <c r="H53" s="42">
        <f>'Detailed P&amp;L'!H51+'Detailed P&amp;L'!H94+'Detailed P&amp;L'!H129+'Detailed P&amp;L'!H163</f>
        <v>0</v>
      </c>
      <c r="I53" s="42">
        <f>'Detailed P&amp;L'!I51+'Detailed P&amp;L'!I94+'Detailed P&amp;L'!I129+'Detailed P&amp;L'!I163</f>
        <v>0</v>
      </c>
      <c r="J53" s="42">
        <f>'Detailed P&amp;L'!J51+'Detailed P&amp;L'!J94+'Detailed P&amp;L'!J129+'Detailed P&amp;L'!J163</f>
        <v>0</v>
      </c>
      <c r="K53" s="42">
        <f>'Detailed P&amp;L'!K51+'Detailed P&amp;L'!K94+'Detailed P&amp;L'!K129+'Detailed P&amp;L'!K163</f>
        <v>0</v>
      </c>
      <c r="L53" s="42">
        <f>'Detailed P&amp;L'!L51+'Detailed P&amp;L'!L94+'Detailed P&amp;L'!L129+'Detailed P&amp;L'!L163</f>
        <v>0</v>
      </c>
      <c r="M53" s="42">
        <f>'Detailed P&amp;L'!M51+'Detailed P&amp;L'!M94+'Detailed P&amp;L'!M129+'Detailed P&amp;L'!M163</f>
        <v>0</v>
      </c>
      <c r="N53" s="42">
        <f>'Detailed P&amp;L'!N51+'Detailed P&amp;L'!N94+'Detailed P&amp;L'!N129+'Detailed P&amp;L'!N163</f>
        <v>0</v>
      </c>
      <c r="O53" s="42">
        <f>'Detailed P&amp;L'!O51+'Detailed P&amp;L'!O94+'Detailed P&amp;L'!O129+'Detailed P&amp;L'!O163</f>
        <v>0</v>
      </c>
      <c r="P53" s="42">
        <f>'Detailed P&amp;L'!P51+'Detailed P&amp;L'!P94+'Detailed P&amp;L'!P129+'Detailed P&amp;L'!P163</f>
        <v>0</v>
      </c>
      <c r="Q53" s="42">
        <f>'Detailed P&amp;L'!Q51+'Detailed P&amp;L'!Q94+'Detailed P&amp;L'!Q129+'Detailed P&amp;L'!Q163</f>
        <v>0</v>
      </c>
      <c r="R53" s="42">
        <f>'Detailed P&amp;L'!R51+'Detailed P&amp;L'!R94+'Detailed P&amp;L'!R129+'Detailed P&amp;L'!R163</f>
        <v>0</v>
      </c>
      <c r="S53" s="42">
        <f>'Detailed P&amp;L'!S51+'Detailed P&amp;L'!S94+'Detailed P&amp;L'!S129+'Detailed P&amp;L'!S163</f>
        <v>0</v>
      </c>
      <c r="T53" s="42">
        <f>'Detailed P&amp;L'!T51+'Detailed P&amp;L'!T94+'Detailed P&amp;L'!T129+'Detailed P&amp;L'!T163</f>
        <v>0</v>
      </c>
      <c r="U53" s="42">
        <f>'Detailed P&amp;L'!U51+'Detailed P&amp;L'!U94+'Detailed P&amp;L'!U129+'Detailed P&amp;L'!U163</f>
        <v>0</v>
      </c>
      <c r="V53" s="42">
        <f>'Detailed P&amp;L'!V51+'Detailed P&amp;L'!V94+'Detailed P&amp;L'!V129+'Detailed P&amp;L'!V163</f>
        <v>0</v>
      </c>
      <c r="W53" s="42">
        <f>'Detailed P&amp;L'!W51+'Detailed P&amp;L'!W94+'Detailed P&amp;L'!W129+'Detailed P&amp;L'!W163</f>
        <v>0</v>
      </c>
      <c r="X53" s="42">
        <f>'Detailed P&amp;L'!X51+'Detailed P&amp;L'!X94+'Detailed P&amp;L'!X129+'Detailed P&amp;L'!X163</f>
        <v>0</v>
      </c>
      <c r="Y53" s="42">
        <f>'Detailed P&amp;L'!Y51+'Detailed P&amp;L'!Y94+'Detailed P&amp;L'!Y129+'Detailed P&amp;L'!Y163</f>
        <v>0</v>
      </c>
      <c r="Z53" s="42">
        <f>'Detailed P&amp;L'!Z51+'Detailed P&amp;L'!Z94+'Detailed P&amp;L'!Z129+'Detailed P&amp;L'!Z163</f>
        <v>0</v>
      </c>
      <c r="AA53" s="42">
        <f>'Detailed P&amp;L'!AA51+'Detailed P&amp;L'!AA94+'Detailed P&amp;L'!AA129+'Detailed P&amp;L'!AA163</f>
        <v>0</v>
      </c>
      <c r="AB53" s="42">
        <f>'Detailed P&amp;L'!AB51+'Detailed P&amp;L'!AB94+'Detailed P&amp;L'!AB129+'Detailed P&amp;L'!AB163</f>
        <v>0</v>
      </c>
      <c r="AC53" s="42">
        <f>'Detailed P&amp;L'!AC51+'Detailed P&amp;L'!AC94+'Detailed P&amp;L'!AC129+'Detailed P&amp;L'!AC163</f>
        <v>0</v>
      </c>
      <c r="AD53" s="42">
        <f>'Detailed P&amp;L'!AD51+'Detailed P&amp;L'!AD94+'Detailed P&amp;L'!AD129+'Detailed P&amp;L'!AD163</f>
        <v>0</v>
      </c>
      <c r="AE53" s="42">
        <f>'Detailed P&amp;L'!AE51+'Detailed P&amp;L'!AE94+'Detailed P&amp;L'!AE129+'Detailed P&amp;L'!AE163</f>
        <v>0</v>
      </c>
      <c r="AF53" s="42">
        <f>'Detailed P&amp;L'!AF51+'Detailed P&amp;L'!AF94+'Detailed P&amp;L'!AF129+'Detailed P&amp;L'!AF163</f>
        <v>0</v>
      </c>
      <c r="AG53" s="42">
        <f>'Detailed P&amp;L'!AG51+'Detailed P&amp;L'!AG94+'Detailed P&amp;L'!AG129+'Detailed P&amp;L'!AG163</f>
        <v>0</v>
      </c>
      <c r="AH53" s="42">
        <f>'Detailed P&amp;L'!AH51+'Detailed P&amp;L'!AH94+'Detailed P&amp;L'!AH129+'Detailed P&amp;L'!AH163</f>
        <v>0</v>
      </c>
      <c r="AI53" s="42">
        <f>'Detailed P&amp;L'!AI51+'Detailed P&amp;L'!AI94+'Detailed P&amp;L'!AI129+'Detailed P&amp;L'!AI163</f>
        <v>0</v>
      </c>
      <c r="AJ53" s="42">
        <f>'Detailed P&amp;L'!AJ51+'Detailed P&amp;L'!AJ94+'Detailed P&amp;L'!AJ129+'Detailed P&amp;L'!AJ163</f>
        <v>0</v>
      </c>
      <c r="AK53" s="42">
        <f>'Detailed P&amp;L'!AK51+'Detailed P&amp;L'!AK94+'Detailed P&amp;L'!AK129+'Detailed P&amp;L'!AK163</f>
        <v>0</v>
      </c>
      <c r="AL53" s="205">
        <f>'Detailed P&amp;L'!AL51+'Detailed P&amp;L'!AL94+'Detailed P&amp;L'!AL129+'Detailed P&amp;L'!AL163</f>
        <v>0</v>
      </c>
      <c r="AN53" s="234">
        <f ca="1">'Detailed P&amp;L'!AN51+'Detailed P&amp;L'!AN94+'Detailed P&amp;L'!AN129+'Detailed P&amp;L'!AN163</f>
        <v>0</v>
      </c>
      <c r="AO53" s="42">
        <f ca="1">'Detailed P&amp;L'!AO51+'Detailed P&amp;L'!AO94+'Detailed P&amp;L'!AO129+'Detailed P&amp;L'!AO163</f>
        <v>0</v>
      </c>
      <c r="AP53" s="42">
        <f ca="1">'Detailed P&amp;L'!AP51+'Detailed P&amp;L'!AP94+'Detailed P&amp;L'!AP129+'Detailed P&amp;L'!AP163</f>
        <v>0</v>
      </c>
      <c r="AQ53" s="42">
        <f ca="1">'Detailed P&amp;L'!AQ51+'Detailed P&amp;L'!AQ94+'Detailed P&amp;L'!AQ129+'Detailed P&amp;L'!AQ163</f>
        <v>0</v>
      </c>
      <c r="AR53" s="42">
        <f ca="1">'Detailed P&amp;L'!AR51+'Detailed P&amp;L'!AR94+'Detailed P&amp;L'!AR129+'Detailed P&amp;L'!AR163</f>
        <v>0</v>
      </c>
      <c r="AS53" s="42">
        <f ca="1">'Detailed P&amp;L'!AS51+'Detailed P&amp;L'!AS94+'Detailed P&amp;L'!AS129+'Detailed P&amp;L'!AS163</f>
        <v>0</v>
      </c>
      <c r="AT53" s="42">
        <f ca="1">'Detailed P&amp;L'!AT51+'Detailed P&amp;L'!AT94+'Detailed P&amp;L'!AT129+'Detailed P&amp;L'!AT163</f>
        <v>0</v>
      </c>
      <c r="AU53" s="42">
        <f ca="1">'Detailed P&amp;L'!AU51+'Detailed P&amp;L'!AU94+'Detailed P&amp;L'!AU129+'Detailed P&amp;L'!AU163</f>
        <v>0</v>
      </c>
      <c r="AV53" s="42">
        <f ca="1">'Detailed P&amp;L'!AV51+'Detailed P&amp;L'!AV94+'Detailed P&amp;L'!AV129+'Detailed P&amp;L'!AV163</f>
        <v>0</v>
      </c>
      <c r="AW53" s="42">
        <f ca="1">'Detailed P&amp;L'!AW51+'Detailed P&amp;L'!AW94+'Detailed P&amp;L'!AW129+'Detailed P&amp;L'!AW163</f>
        <v>0</v>
      </c>
      <c r="AX53" s="42">
        <f ca="1">'Detailed P&amp;L'!AX51+'Detailed P&amp;L'!AX94+'Detailed P&amp;L'!AX129+'Detailed P&amp;L'!AX163</f>
        <v>0</v>
      </c>
      <c r="AY53" s="205">
        <f ca="1">'Detailed P&amp;L'!AY51+'Detailed P&amp;L'!AY94+'Detailed P&amp;L'!AY129+'Detailed P&amp;L'!AY163</f>
        <v>0</v>
      </c>
      <c r="BA53" s="234">
        <f ca="1">'Detailed P&amp;L'!BA51+'Detailed P&amp;L'!BA94+'Detailed P&amp;L'!BA129+'Detailed P&amp;L'!BA163</f>
        <v>0</v>
      </c>
      <c r="BB53" s="42">
        <f ca="1">'Detailed P&amp;L'!BB51+'Detailed P&amp;L'!BB94+'Detailed P&amp;L'!BB129+'Detailed P&amp;L'!BB163</f>
        <v>0</v>
      </c>
      <c r="BC53" s="205">
        <f ca="1">'Detailed P&amp;L'!BC51+'Detailed P&amp;L'!BC94+'Detailed P&amp;L'!BC129+'Detailed P&amp;L'!BC163</f>
        <v>0</v>
      </c>
    </row>
    <row r="54" spans="2:55" x14ac:dyDescent="0.35">
      <c r="B54" s="44" t="s">
        <v>37</v>
      </c>
      <c r="C54" s="45">
        <f t="shared" ref="C54:Y54" si="65">SUM(C55:C59)</f>
        <v>0</v>
      </c>
      <c r="D54" s="45">
        <f t="shared" si="65"/>
        <v>0</v>
      </c>
      <c r="E54" s="45">
        <f t="shared" si="65"/>
        <v>0</v>
      </c>
      <c r="F54" s="45">
        <f t="shared" si="65"/>
        <v>0</v>
      </c>
      <c r="G54" s="45">
        <f t="shared" si="65"/>
        <v>0</v>
      </c>
      <c r="H54" s="45">
        <f t="shared" si="65"/>
        <v>0</v>
      </c>
      <c r="I54" s="45">
        <f t="shared" si="65"/>
        <v>0</v>
      </c>
      <c r="J54" s="45">
        <f t="shared" si="65"/>
        <v>0</v>
      </c>
      <c r="K54" s="45">
        <f t="shared" si="65"/>
        <v>0</v>
      </c>
      <c r="L54" s="45">
        <f t="shared" si="65"/>
        <v>0</v>
      </c>
      <c r="M54" s="45">
        <f t="shared" si="65"/>
        <v>0</v>
      </c>
      <c r="N54" s="45">
        <f t="shared" si="65"/>
        <v>0</v>
      </c>
      <c r="O54" s="45">
        <f t="shared" si="65"/>
        <v>0</v>
      </c>
      <c r="P54" s="45">
        <f t="shared" si="65"/>
        <v>0</v>
      </c>
      <c r="Q54" s="45">
        <f t="shared" si="65"/>
        <v>0</v>
      </c>
      <c r="R54" s="45">
        <f t="shared" si="65"/>
        <v>0</v>
      </c>
      <c r="S54" s="45">
        <f t="shared" si="65"/>
        <v>0</v>
      </c>
      <c r="T54" s="45">
        <f t="shared" si="65"/>
        <v>0</v>
      </c>
      <c r="U54" s="45">
        <f t="shared" si="65"/>
        <v>0</v>
      </c>
      <c r="V54" s="45">
        <f t="shared" si="65"/>
        <v>0</v>
      </c>
      <c r="W54" s="45">
        <f t="shared" si="65"/>
        <v>0</v>
      </c>
      <c r="X54" s="45">
        <f t="shared" si="65"/>
        <v>0</v>
      </c>
      <c r="Y54" s="45">
        <f t="shared" si="65"/>
        <v>0</v>
      </c>
      <c r="Z54" s="45">
        <f t="shared" ref="Z54:AL54" si="66">SUM(Z55:Z59)</f>
        <v>0</v>
      </c>
      <c r="AA54" s="45">
        <f t="shared" si="66"/>
        <v>0</v>
      </c>
      <c r="AB54" s="45">
        <f t="shared" si="66"/>
        <v>0</v>
      </c>
      <c r="AC54" s="45">
        <f t="shared" si="66"/>
        <v>0</v>
      </c>
      <c r="AD54" s="45">
        <f t="shared" si="66"/>
        <v>0</v>
      </c>
      <c r="AE54" s="45">
        <f t="shared" si="66"/>
        <v>0</v>
      </c>
      <c r="AF54" s="45">
        <f t="shared" si="66"/>
        <v>0</v>
      </c>
      <c r="AG54" s="45">
        <f t="shared" si="66"/>
        <v>0</v>
      </c>
      <c r="AH54" s="45">
        <f t="shared" si="66"/>
        <v>0</v>
      </c>
      <c r="AI54" s="45">
        <f t="shared" si="66"/>
        <v>0</v>
      </c>
      <c r="AJ54" s="45">
        <f t="shared" si="66"/>
        <v>0</v>
      </c>
      <c r="AK54" s="45">
        <f t="shared" si="66"/>
        <v>0</v>
      </c>
      <c r="AL54" s="206">
        <f t="shared" si="66"/>
        <v>0</v>
      </c>
      <c r="AN54" s="235">
        <f t="shared" ref="AN54:AT54" ca="1" si="67">SUM(AN55:AN59)</f>
        <v>0</v>
      </c>
      <c r="AO54" s="45">
        <f t="shared" ca="1" si="67"/>
        <v>0</v>
      </c>
      <c r="AP54" s="45">
        <f t="shared" ca="1" si="67"/>
        <v>0</v>
      </c>
      <c r="AQ54" s="45">
        <f t="shared" ca="1" si="67"/>
        <v>0</v>
      </c>
      <c r="AR54" s="45">
        <f t="shared" ca="1" si="67"/>
        <v>0</v>
      </c>
      <c r="AS54" s="45">
        <f t="shared" ca="1" si="67"/>
        <v>0</v>
      </c>
      <c r="AT54" s="45">
        <f t="shared" ca="1" si="67"/>
        <v>0</v>
      </c>
      <c r="AU54" s="45">
        <f t="shared" ref="AU54:AY54" ca="1" si="68">SUM(AU55:AU59)</f>
        <v>0</v>
      </c>
      <c r="AV54" s="45">
        <f t="shared" ca="1" si="68"/>
        <v>0</v>
      </c>
      <c r="AW54" s="45">
        <f t="shared" ca="1" si="68"/>
        <v>0</v>
      </c>
      <c r="AX54" s="45">
        <f t="shared" ca="1" si="68"/>
        <v>0</v>
      </c>
      <c r="AY54" s="206">
        <f t="shared" ca="1" si="68"/>
        <v>0</v>
      </c>
      <c r="BA54" s="235">
        <f t="shared" ref="BA54" ca="1" si="69">SUM(BA55:BA59)</f>
        <v>0</v>
      </c>
      <c r="BB54" s="45">
        <f t="shared" ref="BB54:BC54" ca="1" si="70">SUM(BB55:BB59)</f>
        <v>0</v>
      </c>
      <c r="BC54" s="206">
        <f t="shared" ca="1" si="70"/>
        <v>0</v>
      </c>
    </row>
    <row r="55" spans="2:55" outlineLevel="1" x14ac:dyDescent="0.35">
      <c r="B55" s="46" t="s">
        <v>38</v>
      </c>
      <c r="C55" s="47">
        <f>'Detailed P&amp;L'!C53</f>
        <v>0</v>
      </c>
      <c r="D55" s="47">
        <f>'Detailed P&amp;L'!D53</f>
        <v>0</v>
      </c>
      <c r="E55" s="47">
        <f>'Detailed P&amp;L'!E53</f>
        <v>0</v>
      </c>
      <c r="F55" s="47">
        <f>'Detailed P&amp;L'!F53</f>
        <v>0</v>
      </c>
      <c r="G55" s="47">
        <f>'Detailed P&amp;L'!G53</f>
        <v>0</v>
      </c>
      <c r="H55" s="47">
        <f>'Detailed P&amp;L'!H53</f>
        <v>0</v>
      </c>
      <c r="I55" s="47">
        <f>'Detailed P&amp;L'!I53</f>
        <v>0</v>
      </c>
      <c r="J55" s="47">
        <f>'Detailed P&amp;L'!J53</f>
        <v>0</v>
      </c>
      <c r="K55" s="47">
        <f>'Detailed P&amp;L'!K53</f>
        <v>0</v>
      </c>
      <c r="L55" s="47">
        <f>'Detailed P&amp;L'!L53</f>
        <v>0</v>
      </c>
      <c r="M55" s="47">
        <f>'Detailed P&amp;L'!M53</f>
        <v>0</v>
      </c>
      <c r="N55" s="47">
        <f>'Detailed P&amp;L'!N53</f>
        <v>0</v>
      </c>
      <c r="O55" s="47">
        <f>'Detailed P&amp;L'!O53</f>
        <v>0</v>
      </c>
      <c r="P55" s="47">
        <f>'Detailed P&amp;L'!P53</f>
        <v>0</v>
      </c>
      <c r="Q55" s="47">
        <f>'Detailed P&amp;L'!Q53</f>
        <v>0</v>
      </c>
      <c r="R55" s="47">
        <f>'Detailed P&amp;L'!R53</f>
        <v>0</v>
      </c>
      <c r="S55" s="47">
        <f>'Detailed P&amp;L'!S53</f>
        <v>0</v>
      </c>
      <c r="T55" s="47">
        <f>'Detailed P&amp;L'!T53</f>
        <v>0</v>
      </c>
      <c r="U55" s="47">
        <f>'Detailed P&amp;L'!U53</f>
        <v>0</v>
      </c>
      <c r="V55" s="47">
        <f>'Detailed P&amp;L'!V53</f>
        <v>0</v>
      </c>
      <c r="W55" s="47">
        <f>'Detailed P&amp;L'!W53</f>
        <v>0</v>
      </c>
      <c r="X55" s="47">
        <f>'Detailed P&amp;L'!X53</f>
        <v>0</v>
      </c>
      <c r="Y55" s="47">
        <f>'Detailed P&amp;L'!Y53</f>
        <v>0</v>
      </c>
      <c r="Z55" s="47">
        <f>'Detailed P&amp;L'!Z53</f>
        <v>0</v>
      </c>
      <c r="AA55" s="47">
        <f>'Detailed P&amp;L'!AA53</f>
        <v>0</v>
      </c>
      <c r="AB55" s="47">
        <f>'Detailed P&amp;L'!AB53</f>
        <v>0</v>
      </c>
      <c r="AC55" s="47">
        <f>'Detailed P&amp;L'!AC53</f>
        <v>0</v>
      </c>
      <c r="AD55" s="47">
        <f>'Detailed P&amp;L'!AD53</f>
        <v>0</v>
      </c>
      <c r="AE55" s="47">
        <f>'Detailed P&amp;L'!AE53</f>
        <v>0</v>
      </c>
      <c r="AF55" s="47">
        <f>'Detailed P&amp;L'!AF53</f>
        <v>0</v>
      </c>
      <c r="AG55" s="47">
        <f>'Detailed P&amp;L'!AG53</f>
        <v>0</v>
      </c>
      <c r="AH55" s="47">
        <f>'Detailed P&amp;L'!AH53</f>
        <v>0</v>
      </c>
      <c r="AI55" s="47">
        <f>'Detailed P&amp;L'!AI53</f>
        <v>0</v>
      </c>
      <c r="AJ55" s="47">
        <f>'Detailed P&amp;L'!AJ53</f>
        <v>0</v>
      </c>
      <c r="AK55" s="47">
        <f>'Detailed P&amp;L'!AK53</f>
        <v>0</v>
      </c>
      <c r="AL55" s="207">
        <f>'Detailed P&amp;L'!AL53</f>
        <v>0</v>
      </c>
      <c r="AN55" s="236">
        <f ca="1">'Detailed P&amp;L'!AN53</f>
        <v>0</v>
      </c>
      <c r="AO55" s="47">
        <f ca="1">'Detailed P&amp;L'!AO53</f>
        <v>0</v>
      </c>
      <c r="AP55" s="47">
        <f ca="1">'Detailed P&amp;L'!AP53</f>
        <v>0</v>
      </c>
      <c r="AQ55" s="47">
        <f ca="1">'Detailed P&amp;L'!AQ53</f>
        <v>0</v>
      </c>
      <c r="AR55" s="47">
        <f ca="1">'Detailed P&amp;L'!AR53</f>
        <v>0</v>
      </c>
      <c r="AS55" s="47">
        <f ca="1">'Detailed P&amp;L'!AS53</f>
        <v>0</v>
      </c>
      <c r="AT55" s="47">
        <f ca="1">'Detailed P&amp;L'!AT53</f>
        <v>0</v>
      </c>
      <c r="AU55" s="47">
        <f ca="1">'Detailed P&amp;L'!AU53</f>
        <v>0</v>
      </c>
      <c r="AV55" s="47">
        <f ca="1">'Detailed P&amp;L'!AV53</f>
        <v>0</v>
      </c>
      <c r="AW55" s="47">
        <f ca="1">'Detailed P&amp;L'!AW53</f>
        <v>0</v>
      </c>
      <c r="AX55" s="47">
        <f ca="1">'Detailed P&amp;L'!AX53</f>
        <v>0</v>
      </c>
      <c r="AY55" s="207">
        <f ca="1">'Detailed P&amp;L'!AY53</f>
        <v>0</v>
      </c>
      <c r="BA55" s="236">
        <f ca="1">'Detailed P&amp;L'!BA53</f>
        <v>0</v>
      </c>
      <c r="BB55" s="47">
        <f ca="1">'Detailed P&amp;L'!BB53</f>
        <v>0</v>
      </c>
      <c r="BC55" s="207">
        <f ca="1">'Detailed P&amp;L'!BC53</f>
        <v>0</v>
      </c>
    </row>
    <row r="56" spans="2:55" outlineLevel="1" x14ac:dyDescent="0.35">
      <c r="B56" s="46" t="s">
        <v>39</v>
      </c>
      <c r="C56" s="47">
        <f>'Detailed P&amp;L'!C54</f>
        <v>0</v>
      </c>
      <c r="D56" s="47">
        <f>'Detailed P&amp;L'!D54</f>
        <v>0</v>
      </c>
      <c r="E56" s="47">
        <f>'Detailed P&amp;L'!E54</f>
        <v>0</v>
      </c>
      <c r="F56" s="47">
        <f>'Detailed P&amp;L'!F54</f>
        <v>0</v>
      </c>
      <c r="G56" s="47">
        <f>'Detailed P&amp;L'!G54</f>
        <v>0</v>
      </c>
      <c r="H56" s="47">
        <f>'Detailed P&amp;L'!H54</f>
        <v>0</v>
      </c>
      <c r="I56" s="47">
        <f>'Detailed P&amp;L'!I54</f>
        <v>0</v>
      </c>
      <c r="J56" s="47">
        <f>'Detailed P&amp;L'!J54</f>
        <v>0</v>
      </c>
      <c r="K56" s="47">
        <f>'Detailed P&amp;L'!K54</f>
        <v>0</v>
      </c>
      <c r="L56" s="47">
        <f>'Detailed P&amp;L'!L54</f>
        <v>0</v>
      </c>
      <c r="M56" s="47">
        <f>'Detailed P&amp;L'!M54</f>
        <v>0</v>
      </c>
      <c r="N56" s="47">
        <f>'Detailed P&amp;L'!N54</f>
        <v>0</v>
      </c>
      <c r="O56" s="47">
        <f>'Detailed P&amp;L'!O54</f>
        <v>0</v>
      </c>
      <c r="P56" s="47">
        <f>'Detailed P&amp;L'!P54</f>
        <v>0</v>
      </c>
      <c r="Q56" s="47">
        <f>'Detailed P&amp;L'!Q54</f>
        <v>0</v>
      </c>
      <c r="R56" s="47">
        <f>'Detailed P&amp;L'!R54</f>
        <v>0</v>
      </c>
      <c r="S56" s="47">
        <f>'Detailed P&amp;L'!S54</f>
        <v>0</v>
      </c>
      <c r="T56" s="47">
        <f>'Detailed P&amp;L'!T54</f>
        <v>0</v>
      </c>
      <c r="U56" s="47">
        <f>'Detailed P&amp;L'!U54</f>
        <v>0</v>
      </c>
      <c r="V56" s="47">
        <f>'Detailed P&amp;L'!V54</f>
        <v>0</v>
      </c>
      <c r="W56" s="47">
        <f>'Detailed P&amp;L'!W54</f>
        <v>0</v>
      </c>
      <c r="X56" s="47">
        <f>'Detailed P&amp;L'!X54</f>
        <v>0</v>
      </c>
      <c r="Y56" s="47">
        <f>'Detailed P&amp;L'!Y54</f>
        <v>0</v>
      </c>
      <c r="Z56" s="47">
        <f>'Detailed P&amp;L'!Z54</f>
        <v>0</v>
      </c>
      <c r="AA56" s="47">
        <f>'Detailed P&amp;L'!AA54</f>
        <v>0</v>
      </c>
      <c r="AB56" s="47">
        <f>'Detailed P&amp;L'!AB54</f>
        <v>0</v>
      </c>
      <c r="AC56" s="47">
        <f>'Detailed P&amp;L'!AC54</f>
        <v>0</v>
      </c>
      <c r="AD56" s="47">
        <f>'Detailed P&amp;L'!AD54</f>
        <v>0</v>
      </c>
      <c r="AE56" s="47">
        <f>'Detailed P&amp;L'!AE54</f>
        <v>0</v>
      </c>
      <c r="AF56" s="47">
        <f>'Detailed P&amp;L'!AF54</f>
        <v>0</v>
      </c>
      <c r="AG56" s="47">
        <f>'Detailed P&amp;L'!AG54</f>
        <v>0</v>
      </c>
      <c r="AH56" s="47">
        <f>'Detailed P&amp;L'!AH54</f>
        <v>0</v>
      </c>
      <c r="AI56" s="47">
        <f>'Detailed P&amp;L'!AI54</f>
        <v>0</v>
      </c>
      <c r="AJ56" s="47">
        <f>'Detailed P&amp;L'!AJ54</f>
        <v>0</v>
      </c>
      <c r="AK56" s="47">
        <f>'Detailed P&amp;L'!AK54</f>
        <v>0</v>
      </c>
      <c r="AL56" s="207">
        <f>'Detailed P&amp;L'!AL54</f>
        <v>0</v>
      </c>
      <c r="AN56" s="236">
        <f ca="1">'Detailed P&amp;L'!AN54</f>
        <v>0</v>
      </c>
      <c r="AO56" s="47">
        <f ca="1">'Detailed P&amp;L'!AO54</f>
        <v>0</v>
      </c>
      <c r="AP56" s="47">
        <f ca="1">'Detailed P&amp;L'!AP54</f>
        <v>0</v>
      </c>
      <c r="AQ56" s="47">
        <f ca="1">'Detailed P&amp;L'!AQ54</f>
        <v>0</v>
      </c>
      <c r="AR56" s="47">
        <f ca="1">'Detailed P&amp;L'!AR54</f>
        <v>0</v>
      </c>
      <c r="AS56" s="47">
        <f ca="1">'Detailed P&amp;L'!AS54</f>
        <v>0</v>
      </c>
      <c r="AT56" s="47">
        <f ca="1">'Detailed P&amp;L'!AT54</f>
        <v>0</v>
      </c>
      <c r="AU56" s="47">
        <f ca="1">'Detailed P&amp;L'!AU54</f>
        <v>0</v>
      </c>
      <c r="AV56" s="47">
        <f ca="1">'Detailed P&amp;L'!AV54</f>
        <v>0</v>
      </c>
      <c r="AW56" s="47">
        <f ca="1">'Detailed P&amp;L'!AW54</f>
        <v>0</v>
      </c>
      <c r="AX56" s="47">
        <f ca="1">'Detailed P&amp;L'!AX54</f>
        <v>0</v>
      </c>
      <c r="AY56" s="207">
        <f ca="1">'Detailed P&amp;L'!AY54</f>
        <v>0</v>
      </c>
      <c r="BA56" s="236">
        <f ca="1">'Detailed P&amp;L'!BA54</f>
        <v>0</v>
      </c>
      <c r="BB56" s="47">
        <f ca="1">'Detailed P&amp;L'!BB54</f>
        <v>0</v>
      </c>
      <c r="BC56" s="207">
        <f ca="1">'Detailed P&amp;L'!BC54</f>
        <v>0</v>
      </c>
    </row>
    <row r="57" spans="2:55" outlineLevel="1" x14ac:dyDescent="0.35">
      <c r="B57" s="46" t="s">
        <v>40</v>
      </c>
      <c r="C57" s="47">
        <f>'Detailed P&amp;L'!C55</f>
        <v>0</v>
      </c>
      <c r="D57" s="47">
        <f>'Detailed P&amp;L'!D55</f>
        <v>0</v>
      </c>
      <c r="E57" s="47">
        <f>'Detailed P&amp;L'!E55</f>
        <v>0</v>
      </c>
      <c r="F57" s="47">
        <f>'Detailed P&amp;L'!F55</f>
        <v>0</v>
      </c>
      <c r="G57" s="47">
        <f>'Detailed P&amp;L'!G55</f>
        <v>0</v>
      </c>
      <c r="H57" s="47">
        <f>'Detailed P&amp;L'!H55</f>
        <v>0</v>
      </c>
      <c r="I57" s="47">
        <f>'Detailed P&amp;L'!I55</f>
        <v>0</v>
      </c>
      <c r="J57" s="47">
        <f>'Detailed P&amp;L'!J55</f>
        <v>0</v>
      </c>
      <c r="K57" s="47">
        <f>'Detailed P&amp;L'!K55</f>
        <v>0</v>
      </c>
      <c r="L57" s="47">
        <f>'Detailed P&amp;L'!L55</f>
        <v>0</v>
      </c>
      <c r="M57" s="47">
        <f>'Detailed P&amp;L'!M55</f>
        <v>0</v>
      </c>
      <c r="N57" s="47">
        <f>'Detailed P&amp;L'!N55</f>
        <v>0</v>
      </c>
      <c r="O57" s="47">
        <f>'Detailed P&amp;L'!O55</f>
        <v>0</v>
      </c>
      <c r="P57" s="47">
        <f>'Detailed P&amp;L'!P55</f>
        <v>0</v>
      </c>
      <c r="Q57" s="47">
        <f>'Detailed P&amp;L'!Q55</f>
        <v>0</v>
      </c>
      <c r="R57" s="47">
        <f>'Detailed P&amp;L'!R55</f>
        <v>0</v>
      </c>
      <c r="S57" s="47">
        <f>'Detailed P&amp;L'!S55</f>
        <v>0</v>
      </c>
      <c r="T57" s="47">
        <f>'Detailed P&amp;L'!T55</f>
        <v>0</v>
      </c>
      <c r="U57" s="47">
        <f>'Detailed P&amp;L'!U55</f>
        <v>0</v>
      </c>
      <c r="V57" s="47">
        <f>'Detailed P&amp;L'!V55</f>
        <v>0</v>
      </c>
      <c r="W57" s="47">
        <f>'Detailed P&amp;L'!W55</f>
        <v>0</v>
      </c>
      <c r="X57" s="47">
        <f>'Detailed P&amp;L'!X55</f>
        <v>0</v>
      </c>
      <c r="Y57" s="47">
        <f>'Detailed P&amp;L'!Y55</f>
        <v>0</v>
      </c>
      <c r="Z57" s="47">
        <f>'Detailed P&amp;L'!Z55</f>
        <v>0</v>
      </c>
      <c r="AA57" s="47">
        <f>'Detailed P&amp;L'!AA55</f>
        <v>0</v>
      </c>
      <c r="AB57" s="47">
        <f>'Detailed P&amp;L'!AB55</f>
        <v>0</v>
      </c>
      <c r="AC57" s="47">
        <f>'Detailed P&amp;L'!AC55</f>
        <v>0</v>
      </c>
      <c r="AD57" s="47">
        <f>'Detailed P&amp;L'!AD55</f>
        <v>0</v>
      </c>
      <c r="AE57" s="47">
        <f>'Detailed P&amp;L'!AE55</f>
        <v>0</v>
      </c>
      <c r="AF57" s="47">
        <f>'Detailed P&amp;L'!AF55</f>
        <v>0</v>
      </c>
      <c r="AG57" s="47">
        <f>'Detailed P&amp;L'!AG55</f>
        <v>0</v>
      </c>
      <c r="AH57" s="47">
        <f>'Detailed P&amp;L'!AH55</f>
        <v>0</v>
      </c>
      <c r="AI57" s="47">
        <f>'Detailed P&amp;L'!AI55</f>
        <v>0</v>
      </c>
      <c r="AJ57" s="47">
        <f>'Detailed P&amp;L'!AJ55</f>
        <v>0</v>
      </c>
      <c r="AK57" s="47">
        <f>'Detailed P&amp;L'!AK55</f>
        <v>0</v>
      </c>
      <c r="AL57" s="207">
        <f>'Detailed P&amp;L'!AL55</f>
        <v>0</v>
      </c>
      <c r="AN57" s="236">
        <f ca="1">'Detailed P&amp;L'!AN55</f>
        <v>0</v>
      </c>
      <c r="AO57" s="47">
        <f ca="1">'Detailed P&amp;L'!AO55</f>
        <v>0</v>
      </c>
      <c r="AP57" s="47">
        <f ca="1">'Detailed P&amp;L'!AP55</f>
        <v>0</v>
      </c>
      <c r="AQ57" s="47">
        <f ca="1">'Detailed P&amp;L'!AQ55</f>
        <v>0</v>
      </c>
      <c r="AR57" s="47">
        <f ca="1">'Detailed P&amp;L'!AR55</f>
        <v>0</v>
      </c>
      <c r="AS57" s="47">
        <f ca="1">'Detailed P&amp;L'!AS55</f>
        <v>0</v>
      </c>
      <c r="AT57" s="47">
        <f ca="1">'Detailed P&amp;L'!AT55</f>
        <v>0</v>
      </c>
      <c r="AU57" s="47">
        <f ca="1">'Detailed P&amp;L'!AU55</f>
        <v>0</v>
      </c>
      <c r="AV57" s="47">
        <f ca="1">'Detailed P&amp;L'!AV55</f>
        <v>0</v>
      </c>
      <c r="AW57" s="47">
        <f ca="1">'Detailed P&amp;L'!AW55</f>
        <v>0</v>
      </c>
      <c r="AX57" s="47">
        <f ca="1">'Detailed P&amp;L'!AX55</f>
        <v>0</v>
      </c>
      <c r="AY57" s="207">
        <f ca="1">'Detailed P&amp;L'!AY55</f>
        <v>0</v>
      </c>
      <c r="BA57" s="236">
        <f ca="1">'Detailed P&amp;L'!BA55</f>
        <v>0</v>
      </c>
      <c r="BB57" s="47">
        <f ca="1">'Detailed P&amp;L'!BB55</f>
        <v>0</v>
      </c>
      <c r="BC57" s="207">
        <f ca="1">'Detailed P&amp;L'!BC55</f>
        <v>0</v>
      </c>
    </row>
    <row r="58" spans="2:55" outlineLevel="1" x14ac:dyDescent="0.35">
      <c r="B58" s="46" t="s">
        <v>41</v>
      </c>
      <c r="C58" s="47">
        <f>'Detailed P&amp;L'!C56</f>
        <v>0</v>
      </c>
      <c r="D58" s="47">
        <f>'Detailed P&amp;L'!D56</f>
        <v>0</v>
      </c>
      <c r="E58" s="47">
        <f>'Detailed P&amp;L'!E56</f>
        <v>0</v>
      </c>
      <c r="F58" s="47">
        <f>'Detailed P&amp;L'!F56</f>
        <v>0</v>
      </c>
      <c r="G58" s="47">
        <f>'Detailed P&amp;L'!G56</f>
        <v>0</v>
      </c>
      <c r="H58" s="47">
        <f>'Detailed P&amp;L'!H56</f>
        <v>0</v>
      </c>
      <c r="I58" s="47">
        <f>'Detailed P&amp;L'!I56</f>
        <v>0</v>
      </c>
      <c r="J58" s="47">
        <f>'Detailed P&amp;L'!J56</f>
        <v>0</v>
      </c>
      <c r="K58" s="47">
        <f>'Detailed P&amp;L'!K56</f>
        <v>0</v>
      </c>
      <c r="L58" s="47">
        <f>'Detailed P&amp;L'!L56</f>
        <v>0</v>
      </c>
      <c r="M58" s="47">
        <f>'Detailed P&amp;L'!M56</f>
        <v>0</v>
      </c>
      <c r="N58" s="47">
        <f>'Detailed P&amp;L'!N56</f>
        <v>0</v>
      </c>
      <c r="O58" s="47">
        <f>'Detailed P&amp;L'!O56</f>
        <v>0</v>
      </c>
      <c r="P58" s="47">
        <f>'Detailed P&amp;L'!P56</f>
        <v>0</v>
      </c>
      <c r="Q58" s="47">
        <f>'Detailed P&amp;L'!Q56</f>
        <v>0</v>
      </c>
      <c r="R58" s="47">
        <f>'Detailed P&amp;L'!R56</f>
        <v>0</v>
      </c>
      <c r="S58" s="47">
        <f>'Detailed P&amp;L'!S56</f>
        <v>0</v>
      </c>
      <c r="T58" s="47">
        <f>'Detailed P&amp;L'!T56</f>
        <v>0</v>
      </c>
      <c r="U58" s="47">
        <f>'Detailed P&amp;L'!U56</f>
        <v>0</v>
      </c>
      <c r="V58" s="47">
        <f>'Detailed P&amp;L'!V56</f>
        <v>0</v>
      </c>
      <c r="W58" s="47">
        <f>'Detailed P&amp;L'!W56</f>
        <v>0</v>
      </c>
      <c r="X58" s="47">
        <f>'Detailed P&amp;L'!X56</f>
        <v>0</v>
      </c>
      <c r="Y58" s="47">
        <f>'Detailed P&amp;L'!Y56</f>
        <v>0</v>
      </c>
      <c r="Z58" s="47">
        <f>'Detailed P&amp;L'!Z56</f>
        <v>0</v>
      </c>
      <c r="AA58" s="47">
        <f>'Detailed P&amp;L'!AA56</f>
        <v>0</v>
      </c>
      <c r="AB58" s="47">
        <f>'Detailed P&amp;L'!AB56</f>
        <v>0</v>
      </c>
      <c r="AC58" s="47">
        <f>'Detailed P&amp;L'!AC56</f>
        <v>0</v>
      </c>
      <c r="AD58" s="47">
        <f>'Detailed P&amp;L'!AD56</f>
        <v>0</v>
      </c>
      <c r="AE58" s="47">
        <f>'Detailed P&amp;L'!AE56</f>
        <v>0</v>
      </c>
      <c r="AF58" s="47">
        <f>'Detailed P&amp;L'!AF56</f>
        <v>0</v>
      </c>
      <c r="AG58" s="47">
        <f>'Detailed P&amp;L'!AG56</f>
        <v>0</v>
      </c>
      <c r="AH58" s="47">
        <f>'Detailed P&amp;L'!AH56</f>
        <v>0</v>
      </c>
      <c r="AI58" s="47">
        <f>'Detailed P&amp;L'!AI56</f>
        <v>0</v>
      </c>
      <c r="AJ58" s="47">
        <f>'Detailed P&amp;L'!AJ56</f>
        <v>0</v>
      </c>
      <c r="AK58" s="47">
        <f>'Detailed P&amp;L'!AK56</f>
        <v>0</v>
      </c>
      <c r="AL58" s="207">
        <f>'Detailed P&amp;L'!AL56</f>
        <v>0</v>
      </c>
      <c r="AN58" s="236">
        <f ca="1">'Detailed P&amp;L'!AN56</f>
        <v>0</v>
      </c>
      <c r="AO58" s="47">
        <f ca="1">'Detailed P&amp;L'!AO56</f>
        <v>0</v>
      </c>
      <c r="AP58" s="47">
        <f ca="1">'Detailed P&amp;L'!AP56</f>
        <v>0</v>
      </c>
      <c r="AQ58" s="47">
        <f ca="1">'Detailed P&amp;L'!AQ56</f>
        <v>0</v>
      </c>
      <c r="AR58" s="47">
        <f ca="1">'Detailed P&amp;L'!AR56</f>
        <v>0</v>
      </c>
      <c r="AS58" s="47">
        <f ca="1">'Detailed P&amp;L'!AS56</f>
        <v>0</v>
      </c>
      <c r="AT58" s="47">
        <f ca="1">'Detailed P&amp;L'!AT56</f>
        <v>0</v>
      </c>
      <c r="AU58" s="47">
        <f ca="1">'Detailed P&amp;L'!AU56</f>
        <v>0</v>
      </c>
      <c r="AV58" s="47">
        <f ca="1">'Detailed P&amp;L'!AV56</f>
        <v>0</v>
      </c>
      <c r="AW58" s="47">
        <f ca="1">'Detailed P&amp;L'!AW56</f>
        <v>0</v>
      </c>
      <c r="AX58" s="47">
        <f ca="1">'Detailed P&amp;L'!AX56</f>
        <v>0</v>
      </c>
      <c r="AY58" s="207">
        <f ca="1">'Detailed P&amp;L'!AY56</f>
        <v>0</v>
      </c>
      <c r="BA58" s="236">
        <f ca="1">'Detailed P&amp;L'!BA56</f>
        <v>0</v>
      </c>
      <c r="BB58" s="47">
        <f ca="1">'Detailed P&amp;L'!BB56</f>
        <v>0</v>
      </c>
      <c r="BC58" s="207">
        <f ca="1">'Detailed P&amp;L'!BC56</f>
        <v>0</v>
      </c>
    </row>
    <row r="59" spans="2:55" outlineLevel="1" x14ac:dyDescent="0.35">
      <c r="B59" s="46" t="s">
        <v>42</v>
      </c>
      <c r="C59" s="47">
        <f>'Detailed P&amp;L'!C57</f>
        <v>0</v>
      </c>
      <c r="D59" s="47">
        <f>'Detailed P&amp;L'!D57</f>
        <v>0</v>
      </c>
      <c r="E59" s="47">
        <f>'Detailed P&amp;L'!E57</f>
        <v>0</v>
      </c>
      <c r="F59" s="47">
        <f>'Detailed P&amp;L'!F57</f>
        <v>0</v>
      </c>
      <c r="G59" s="47">
        <f>'Detailed P&amp;L'!G57</f>
        <v>0</v>
      </c>
      <c r="H59" s="47">
        <f>'Detailed P&amp;L'!H57</f>
        <v>0</v>
      </c>
      <c r="I59" s="47">
        <f>'Detailed P&amp;L'!I57</f>
        <v>0</v>
      </c>
      <c r="J59" s="47">
        <f>'Detailed P&amp;L'!J57</f>
        <v>0</v>
      </c>
      <c r="K59" s="47">
        <f>'Detailed P&amp;L'!K57</f>
        <v>0</v>
      </c>
      <c r="L59" s="47">
        <f>'Detailed P&amp;L'!L57</f>
        <v>0</v>
      </c>
      <c r="M59" s="47">
        <f>'Detailed P&amp;L'!M57</f>
        <v>0</v>
      </c>
      <c r="N59" s="47">
        <f>'Detailed P&amp;L'!N57</f>
        <v>0</v>
      </c>
      <c r="O59" s="47">
        <f>'Detailed P&amp;L'!O57</f>
        <v>0</v>
      </c>
      <c r="P59" s="47">
        <f>'Detailed P&amp;L'!P57</f>
        <v>0</v>
      </c>
      <c r="Q59" s="47">
        <f>'Detailed P&amp;L'!Q57</f>
        <v>0</v>
      </c>
      <c r="R59" s="47">
        <f>'Detailed P&amp;L'!R57</f>
        <v>0</v>
      </c>
      <c r="S59" s="47">
        <f>'Detailed P&amp;L'!S57</f>
        <v>0</v>
      </c>
      <c r="T59" s="47">
        <f>'Detailed P&amp;L'!T57</f>
        <v>0</v>
      </c>
      <c r="U59" s="47">
        <f>'Detailed P&amp;L'!U57</f>
        <v>0</v>
      </c>
      <c r="V59" s="47">
        <f>'Detailed P&amp;L'!V57</f>
        <v>0</v>
      </c>
      <c r="W59" s="47">
        <f>'Detailed P&amp;L'!W57</f>
        <v>0</v>
      </c>
      <c r="X59" s="47">
        <f>'Detailed P&amp;L'!X57</f>
        <v>0</v>
      </c>
      <c r="Y59" s="47">
        <f>'Detailed P&amp;L'!Y57</f>
        <v>0</v>
      </c>
      <c r="Z59" s="47">
        <f>'Detailed P&amp;L'!Z57</f>
        <v>0</v>
      </c>
      <c r="AA59" s="47">
        <f>'Detailed P&amp;L'!AA57</f>
        <v>0</v>
      </c>
      <c r="AB59" s="47">
        <f>'Detailed P&amp;L'!AB57</f>
        <v>0</v>
      </c>
      <c r="AC59" s="47">
        <f>'Detailed P&amp;L'!AC57</f>
        <v>0</v>
      </c>
      <c r="AD59" s="47">
        <f>'Detailed P&amp;L'!AD57</f>
        <v>0</v>
      </c>
      <c r="AE59" s="47">
        <f>'Detailed P&amp;L'!AE57</f>
        <v>0</v>
      </c>
      <c r="AF59" s="47">
        <f>'Detailed P&amp;L'!AF57</f>
        <v>0</v>
      </c>
      <c r="AG59" s="47">
        <f>'Detailed P&amp;L'!AG57</f>
        <v>0</v>
      </c>
      <c r="AH59" s="47">
        <f>'Detailed P&amp;L'!AH57</f>
        <v>0</v>
      </c>
      <c r="AI59" s="47">
        <f>'Detailed P&amp;L'!AI57</f>
        <v>0</v>
      </c>
      <c r="AJ59" s="47">
        <f>'Detailed P&amp;L'!AJ57</f>
        <v>0</v>
      </c>
      <c r="AK59" s="47">
        <f>'Detailed P&amp;L'!AK57</f>
        <v>0</v>
      </c>
      <c r="AL59" s="207">
        <f>'Detailed P&amp;L'!AL57</f>
        <v>0</v>
      </c>
      <c r="AN59" s="236">
        <f ca="1">'Detailed P&amp;L'!AN57</f>
        <v>0</v>
      </c>
      <c r="AO59" s="47">
        <f ca="1">'Detailed P&amp;L'!AO57</f>
        <v>0</v>
      </c>
      <c r="AP59" s="47">
        <f ca="1">'Detailed P&amp;L'!AP57</f>
        <v>0</v>
      </c>
      <c r="AQ59" s="47">
        <f ca="1">'Detailed P&amp;L'!AQ57</f>
        <v>0</v>
      </c>
      <c r="AR59" s="47">
        <f ca="1">'Detailed P&amp;L'!AR57</f>
        <v>0</v>
      </c>
      <c r="AS59" s="47">
        <f ca="1">'Detailed P&amp;L'!AS57</f>
        <v>0</v>
      </c>
      <c r="AT59" s="47">
        <f ca="1">'Detailed P&amp;L'!AT57</f>
        <v>0</v>
      </c>
      <c r="AU59" s="47">
        <f ca="1">'Detailed P&amp;L'!AU57</f>
        <v>0</v>
      </c>
      <c r="AV59" s="47">
        <f ca="1">'Detailed P&amp;L'!AV57</f>
        <v>0</v>
      </c>
      <c r="AW59" s="47">
        <f ca="1">'Detailed P&amp;L'!AW57</f>
        <v>0</v>
      </c>
      <c r="AX59" s="47">
        <f ca="1">'Detailed P&amp;L'!AX57</f>
        <v>0</v>
      </c>
      <c r="AY59" s="207">
        <f ca="1">'Detailed P&amp;L'!AY57</f>
        <v>0</v>
      </c>
      <c r="BA59" s="236">
        <f ca="1">'Detailed P&amp;L'!BA57</f>
        <v>0</v>
      </c>
      <c r="BB59" s="47">
        <f ca="1">'Detailed P&amp;L'!BB57</f>
        <v>0</v>
      </c>
      <c r="BC59" s="207">
        <f ca="1">'Detailed P&amp;L'!BC57</f>
        <v>0</v>
      </c>
    </row>
    <row r="60" spans="2:55" x14ac:dyDescent="0.35">
      <c r="B60" s="44" t="s">
        <v>43</v>
      </c>
      <c r="C60" s="45">
        <f>'Detailed P&amp;L'!C58</f>
        <v>0</v>
      </c>
      <c r="D60" s="45">
        <f>'Detailed P&amp;L'!D58</f>
        <v>0</v>
      </c>
      <c r="E60" s="45">
        <f>'Detailed P&amp;L'!E58</f>
        <v>0</v>
      </c>
      <c r="F60" s="45">
        <f>'Detailed P&amp;L'!F58</f>
        <v>0</v>
      </c>
      <c r="G60" s="45">
        <f>'Detailed P&amp;L'!G58</f>
        <v>0</v>
      </c>
      <c r="H60" s="45">
        <f>'Detailed P&amp;L'!H58</f>
        <v>0</v>
      </c>
      <c r="I60" s="45">
        <f>'Detailed P&amp;L'!I58</f>
        <v>0</v>
      </c>
      <c r="J60" s="45">
        <f>'Detailed P&amp;L'!J58</f>
        <v>0</v>
      </c>
      <c r="K60" s="45">
        <f>'Detailed P&amp;L'!K58</f>
        <v>0</v>
      </c>
      <c r="L60" s="45">
        <f>'Detailed P&amp;L'!L58</f>
        <v>0</v>
      </c>
      <c r="M60" s="45">
        <f>'Detailed P&amp;L'!M58</f>
        <v>0</v>
      </c>
      <c r="N60" s="45">
        <f>'Detailed P&amp;L'!N58</f>
        <v>0</v>
      </c>
      <c r="O60" s="45">
        <f>'Detailed P&amp;L'!O58</f>
        <v>0</v>
      </c>
      <c r="P60" s="45">
        <f>'Detailed P&amp;L'!P58</f>
        <v>0</v>
      </c>
      <c r="Q60" s="45">
        <f>'Detailed P&amp;L'!Q58</f>
        <v>0</v>
      </c>
      <c r="R60" s="45">
        <f>'Detailed P&amp;L'!R58</f>
        <v>0</v>
      </c>
      <c r="S60" s="45">
        <f>'Detailed P&amp;L'!S58</f>
        <v>0</v>
      </c>
      <c r="T60" s="45">
        <f>'Detailed P&amp;L'!T58</f>
        <v>0</v>
      </c>
      <c r="U60" s="45">
        <f>'Detailed P&amp;L'!U58</f>
        <v>0</v>
      </c>
      <c r="V60" s="45">
        <f>'Detailed P&amp;L'!V58</f>
        <v>0</v>
      </c>
      <c r="W60" s="45">
        <f>'Detailed P&amp;L'!W58</f>
        <v>0</v>
      </c>
      <c r="X60" s="45">
        <f>'Detailed P&amp;L'!X58</f>
        <v>0</v>
      </c>
      <c r="Y60" s="45">
        <f>'Detailed P&amp;L'!Y58</f>
        <v>0</v>
      </c>
      <c r="Z60" s="45">
        <f>'Detailed P&amp;L'!Z58</f>
        <v>0</v>
      </c>
      <c r="AA60" s="45">
        <f>'Detailed P&amp;L'!AA58</f>
        <v>0</v>
      </c>
      <c r="AB60" s="45">
        <f>'Detailed P&amp;L'!AB58</f>
        <v>0</v>
      </c>
      <c r="AC60" s="45">
        <f>'Detailed P&amp;L'!AC58</f>
        <v>0</v>
      </c>
      <c r="AD60" s="45">
        <f>'Detailed P&amp;L'!AD58</f>
        <v>0</v>
      </c>
      <c r="AE60" s="45">
        <f>'Detailed P&amp;L'!AE58</f>
        <v>0</v>
      </c>
      <c r="AF60" s="45">
        <f>'Detailed P&amp;L'!AF58</f>
        <v>0</v>
      </c>
      <c r="AG60" s="45">
        <f>'Detailed P&amp;L'!AG58</f>
        <v>0</v>
      </c>
      <c r="AH60" s="45">
        <f>'Detailed P&amp;L'!AH58</f>
        <v>0</v>
      </c>
      <c r="AI60" s="45">
        <f>'Detailed P&amp;L'!AI58</f>
        <v>0</v>
      </c>
      <c r="AJ60" s="45">
        <f>'Detailed P&amp;L'!AJ58</f>
        <v>0</v>
      </c>
      <c r="AK60" s="45">
        <f>'Detailed P&amp;L'!AK58</f>
        <v>0</v>
      </c>
      <c r="AL60" s="206">
        <f>'Detailed P&amp;L'!AL58</f>
        <v>0</v>
      </c>
      <c r="AN60" s="235">
        <f ca="1">'Detailed P&amp;L'!AN58</f>
        <v>0</v>
      </c>
      <c r="AO60" s="45">
        <f ca="1">'Detailed P&amp;L'!AO58</f>
        <v>0</v>
      </c>
      <c r="AP60" s="45">
        <f ca="1">'Detailed P&amp;L'!AP58</f>
        <v>0</v>
      </c>
      <c r="AQ60" s="45">
        <f ca="1">'Detailed P&amp;L'!AQ58</f>
        <v>0</v>
      </c>
      <c r="AR60" s="45">
        <f ca="1">'Detailed P&amp;L'!AR58</f>
        <v>0</v>
      </c>
      <c r="AS60" s="45">
        <f ca="1">'Detailed P&amp;L'!AS58</f>
        <v>0</v>
      </c>
      <c r="AT60" s="45">
        <f ca="1">'Detailed P&amp;L'!AT58</f>
        <v>0</v>
      </c>
      <c r="AU60" s="45">
        <f ca="1">'Detailed P&amp;L'!AU58</f>
        <v>0</v>
      </c>
      <c r="AV60" s="45">
        <f ca="1">'Detailed P&amp;L'!AV58</f>
        <v>0</v>
      </c>
      <c r="AW60" s="45">
        <f ca="1">'Detailed P&amp;L'!AW58</f>
        <v>0</v>
      </c>
      <c r="AX60" s="45">
        <f ca="1">'Detailed P&amp;L'!AX58</f>
        <v>0</v>
      </c>
      <c r="AY60" s="206">
        <f ca="1">'Detailed P&amp;L'!AY58</f>
        <v>0</v>
      </c>
      <c r="BA60" s="235">
        <f ca="1">'Detailed P&amp;L'!BA58</f>
        <v>0</v>
      </c>
      <c r="BB60" s="45">
        <f ca="1">'Detailed P&amp;L'!BB58</f>
        <v>0</v>
      </c>
      <c r="BC60" s="206">
        <f ca="1">'Detailed P&amp;L'!BC58</f>
        <v>0</v>
      </c>
    </row>
    <row r="61" spans="2:55" x14ac:dyDescent="0.35">
      <c r="B61" s="44" t="s">
        <v>44</v>
      </c>
      <c r="C61" s="48">
        <f>'Detailed P&amp;L'!C59+'Detailed P&amp;L'!C96+'Detailed P&amp;L'!C130+'Detailed P&amp;L'!C165</f>
        <v>0</v>
      </c>
      <c r="D61" s="48">
        <f>'Detailed P&amp;L'!D59+'Detailed P&amp;L'!D96+'Detailed P&amp;L'!D130+'Detailed P&amp;L'!D165</f>
        <v>0</v>
      </c>
      <c r="E61" s="48">
        <f>'Detailed P&amp;L'!E59+'Detailed P&amp;L'!E96+'Detailed P&amp;L'!E130+'Detailed P&amp;L'!E165</f>
        <v>0</v>
      </c>
      <c r="F61" s="48">
        <f>'Detailed P&amp;L'!F59+'Detailed P&amp;L'!F96+'Detailed P&amp;L'!F130+'Detailed P&amp;L'!F165</f>
        <v>0</v>
      </c>
      <c r="G61" s="48">
        <f>'Detailed P&amp;L'!G59+'Detailed P&amp;L'!G96+'Detailed P&amp;L'!G130+'Detailed P&amp;L'!G165</f>
        <v>0</v>
      </c>
      <c r="H61" s="48">
        <f>'Detailed P&amp;L'!H59+'Detailed P&amp;L'!H96+'Detailed P&amp;L'!H130+'Detailed P&amp;L'!H165</f>
        <v>0</v>
      </c>
      <c r="I61" s="48">
        <f>'Detailed P&amp;L'!I59+'Detailed P&amp;L'!I96+'Detailed P&amp;L'!I130+'Detailed P&amp;L'!I165</f>
        <v>0</v>
      </c>
      <c r="J61" s="48">
        <f>'Detailed P&amp;L'!J59+'Detailed P&amp;L'!J96+'Detailed P&amp;L'!J130+'Detailed P&amp;L'!J165</f>
        <v>0</v>
      </c>
      <c r="K61" s="48">
        <f>'Detailed P&amp;L'!K59+'Detailed P&amp;L'!K96+'Detailed P&amp;L'!K130+'Detailed P&amp;L'!K165</f>
        <v>0</v>
      </c>
      <c r="L61" s="48">
        <f>'Detailed P&amp;L'!L59+'Detailed P&amp;L'!L96+'Detailed P&amp;L'!L130+'Detailed P&amp;L'!L165</f>
        <v>0</v>
      </c>
      <c r="M61" s="48">
        <f>'Detailed P&amp;L'!M59+'Detailed P&amp;L'!M96+'Detailed P&amp;L'!M130+'Detailed P&amp;L'!M165</f>
        <v>0</v>
      </c>
      <c r="N61" s="48">
        <f>'Detailed P&amp;L'!N59+'Detailed P&amp;L'!N96+'Detailed P&amp;L'!N130+'Detailed P&amp;L'!N165</f>
        <v>0</v>
      </c>
      <c r="O61" s="48">
        <f>'Detailed P&amp;L'!O59+'Detailed P&amp;L'!O96+'Detailed P&amp;L'!O130+'Detailed P&amp;L'!O165</f>
        <v>0</v>
      </c>
      <c r="P61" s="48">
        <f>'Detailed P&amp;L'!P59+'Detailed P&amp;L'!P96+'Detailed P&amp;L'!P130+'Detailed P&amp;L'!P165</f>
        <v>0</v>
      </c>
      <c r="Q61" s="48">
        <f>'Detailed P&amp;L'!Q59+'Detailed P&amp;L'!Q96+'Detailed P&amp;L'!Q130+'Detailed P&amp;L'!Q165</f>
        <v>0</v>
      </c>
      <c r="R61" s="48">
        <f>'Detailed P&amp;L'!R59+'Detailed P&amp;L'!R96+'Detailed P&amp;L'!R130+'Detailed P&amp;L'!R165</f>
        <v>0</v>
      </c>
      <c r="S61" s="48">
        <f>'Detailed P&amp;L'!S59+'Detailed P&amp;L'!S96+'Detailed P&amp;L'!S130+'Detailed P&amp;L'!S165</f>
        <v>0</v>
      </c>
      <c r="T61" s="48">
        <f>'Detailed P&amp;L'!T59+'Detailed P&amp;L'!T96+'Detailed P&amp;L'!T130+'Detailed P&amp;L'!T165</f>
        <v>0</v>
      </c>
      <c r="U61" s="48">
        <f>'Detailed P&amp;L'!U59+'Detailed P&amp;L'!U96+'Detailed P&amp;L'!U130+'Detailed P&amp;L'!U165</f>
        <v>0</v>
      </c>
      <c r="V61" s="48">
        <f>'Detailed P&amp;L'!V59+'Detailed P&amp;L'!V96+'Detailed P&amp;L'!V130+'Detailed P&amp;L'!V165</f>
        <v>0</v>
      </c>
      <c r="W61" s="48">
        <f>'Detailed P&amp;L'!W59+'Detailed P&amp;L'!W96+'Detailed P&amp;L'!W130+'Detailed P&amp;L'!W165</f>
        <v>0</v>
      </c>
      <c r="X61" s="48">
        <f>'Detailed P&amp;L'!X59+'Detailed P&amp;L'!X96+'Detailed P&amp;L'!X130+'Detailed P&amp;L'!X165</f>
        <v>0</v>
      </c>
      <c r="Y61" s="48">
        <f>'Detailed P&amp;L'!Y59+'Detailed P&amp;L'!Y96+'Detailed P&amp;L'!Y130+'Detailed P&amp;L'!Y165</f>
        <v>0</v>
      </c>
      <c r="Z61" s="48">
        <f>'Detailed P&amp;L'!Z59+'Detailed P&amp;L'!Z96+'Detailed P&amp;L'!Z130+'Detailed P&amp;L'!Z165</f>
        <v>0</v>
      </c>
      <c r="AA61" s="48">
        <f>'Detailed P&amp;L'!AA59+'Detailed P&amp;L'!AA96+'Detailed P&amp;L'!AA130+'Detailed P&amp;L'!AA165</f>
        <v>0</v>
      </c>
      <c r="AB61" s="48">
        <f>'Detailed P&amp;L'!AB59+'Detailed P&amp;L'!AB96+'Detailed P&amp;L'!AB130+'Detailed P&amp;L'!AB165</f>
        <v>0</v>
      </c>
      <c r="AC61" s="48">
        <f>'Detailed P&amp;L'!AC59+'Detailed P&amp;L'!AC96+'Detailed P&amp;L'!AC130+'Detailed P&amp;L'!AC165</f>
        <v>0</v>
      </c>
      <c r="AD61" s="48">
        <f>'Detailed P&amp;L'!AD59+'Detailed P&amp;L'!AD96+'Detailed P&amp;L'!AD130+'Detailed P&amp;L'!AD165</f>
        <v>0</v>
      </c>
      <c r="AE61" s="48">
        <f>'Detailed P&amp;L'!AE59+'Detailed P&amp;L'!AE96+'Detailed P&amp;L'!AE130+'Detailed P&amp;L'!AE165</f>
        <v>0</v>
      </c>
      <c r="AF61" s="48">
        <f>'Detailed P&amp;L'!AF59+'Detailed P&amp;L'!AF96+'Detailed P&amp;L'!AF130+'Detailed P&amp;L'!AF165</f>
        <v>0</v>
      </c>
      <c r="AG61" s="48">
        <f>'Detailed P&amp;L'!AG59+'Detailed P&amp;L'!AG96+'Detailed P&amp;L'!AG130+'Detailed P&amp;L'!AG165</f>
        <v>0</v>
      </c>
      <c r="AH61" s="48">
        <f>'Detailed P&amp;L'!AH59+'Detailed P&amp;L'!AH96+'Detailed P&amp;L'!AH130+'Detailed P&amp;L'!AH165</f>
        <v>0</v>
      </c>
      <c r="AI61" s="48">
        <f>'Detailed P&amp;L'!AI59+'Detailed P&amp;L'!AI96+'Detailed P&amp;L'!AI130+'Detailed P&amp;L'!AI165</f>
        <v>0</v>
      </c>
      <c r="AJ61" s="48">
        <f>'Detailed P&amp;L'!AJ59+'Detailed P&amp;L'!AJ96+'Detailed P&amp;L'!AJ130+'Detailed P&amp;L'!AJ165</f>
        <v>0</v>
      </c>
      <c r="AK61" s="48">
        <f>'Detailed P&amp;L'!AK59+'Detailed P&amp;L'!AK96+'Detailed P&amp;L'!AK130+'Detailed P&amp;L'!AK165</f>
        <v>0</v>
      </c>
      <c r="AL61" s="208">
        <f>'Detailed P&amp;L'!AL59+'Detailed P&amp;L'!AL96+'Detailed P&amp;L'!AL130+'Detailed P&amp;L'!AL165</f>
        <v>0</v>
      </c>
      <c r="AN61" s="237">
        <f ca="1">'Detailed P&amp;L'!AN59+'Detailed P&amp;L'!AN96+'Detailed P&amp;L'!AN130+'Detailed P&amp;L'!AN165</f>
        <v>0</v>
      </c>
      <c r="AO61" s="48">
        <f ca="1">'Detailed P&amp;L'!AO59+'Detailed P&amp;L'!AO96+'Detailed P&amp;L'!AO130+'Detailed P&amp;L'!AO165</f>
        <v>0</v>
      </c>
      <c r="AP61" s="48">
        <f ca="1">'Detailed P&amp;L'!AP59+'Detailed P&amp;L'!AP96+'Detailed P&amp;L'!AP130+'Detailed P&amp;L'!AP165</f>
        <v>0</v>
      </c>
      <c r="AQ61" s="48">
        <f ca="1">'Detailed P&amp;L'!AQ59+'Detailed P&amp;L'!AQ96+'Detailed P&amp;L'!AQ130+'Detailed P&amp;L'!AQ165</f>
        <v>0</v>
      </c>
      <c r="AR61" s="48">
        <f ca="1">'Detailed P&amp;L'!AR59+'Detailed P&amp;L'!AR96+'Detailed P&amp;L'!AR130+'Detailed P&amp;L'!AR165</f>
        <v>0</v>
      </c>
      <c r="AS61" s="48">
        <f ca="1">'Detailed P&amp;L'!AS59+'Detailed P&amp;L'!AS96+'Detailed P&amp;L'!AS130+'Detailed P&amp;L'!AS165</f>
        <v>0</v>
      </c>
      <c r="AT61" s="48">
        <f ca="1">'Detailed P&amp;L'!AT59+'Detailed P&amp;L'!AT96+'Detailed P&amp;L'!AT130+'Detailed P&amp;L'!AT165</f>
        <v>0</v>
      </c>
      <c r="AU61" s="48">
        <f ca="1">'Detailed P&amp;L'!AU59+'Detailed P&amp;L'!AU96+'Detailed P&amp;L'!AU130+'Detailed P&amp;L'!AU165</f>
        <v>0</v>
      </c>
      <c r="AV61" s="48">
        <f ca="1">'Detailed P&amp;L'!AV59+'Detailed P&amp;L'!AV96+'Detailed P&amp;L'!AV130+'Detailed P&amp;L'!AV165</f>
        <v>0</v>
      </c>
      <c r="AW61" s="48">
        <f ca="1">'Detailed P&amp;L'!AW59+'Detailed P&amp;L'!AW96+'Detailed P&amp;L'!AW130+'Detailed P&amp;L'!AW165</f>
        <v>0</v>
      </c>
      <c r="AX61" s="48">
        <f ca="1">'Detailed P&amp;L'!AX59+'Detailed P&amp;L'!AX96+'Detailed P&amp;L'!AX130+'Detailed P&amp;L'!AX165</f>
        <v>0</v>
      </c>
      <c r="AY61" s="208">
        <f ca="1">'Detailed P&amp;L'!AY59+'Detailed P&amp;L'!AY96+'Detailed P&amp;L'!AY130+'Detailed P&amp;L'!AY165</f>
        <v>0</v>
      </c>
      <c r="BA61" s="237">
        <f ca="1">'Detailed P&amp;L'!BA59+'Detailed P&amp;L'!BA96+'Detailed P&amp;L'!BA130+'Detailed P&amp;L'!BA165</f>
        <v>0</v>
      </c>
      <c r="BB61" s="48">
        <f ca="1">'Detailed P&amp;L'!BB59+'Detailed P&amp;L'!BB96+'Detailed P&amp;L'!BB130+'Detailed P&amp;L'!BB165</f>
        <v>0</v>
      </c>
      <c r="BC61" s="208">
        <f ca="1">'Detailed P&amp;L'!BC59+'Detailed P&amp;L'!BC96+'Detailed P&amp;L'!BC130+'Detailed P&amp;L'!BC165</f>
        <v>0</v>
      </c>
    </row>
    <row r="62" spans="2:55" x14ac:dyDescent="0.35">
      <c r="B62" s="44" t="s">
        <v>45</v>
      </c>
      <c r="C62" s="48">
        <f>'Detailed P&amp;L'!C60+'Detailed P&amp;L'!C97+'Detailed P&amp;L'!C131+'Detailed P&amp;L'!C166</f>
        <v>0</v>
      </c>
      <c r="D62" s="48">
        <f>'Detailed P&amp;L'!D60+'Detailed P&amp;L'!D97+'Detailed P&amp;L'!D131+'Detailed P&amp;L'!D166</f>
        <v>0</v>
      </c>
      <c r="E62" s="48">
        <f>'Detailed P&amp;L'!E60+'Detailed P&amp;L'!E97+'Detailed P&amp;L'!E131+'Detailed P&amp;L'!E166</f>
        <v>0</v>
      </c>
      <c r="F62" s="48">
        <f>'Detailed P&amp;L'!F60+'Detailed P&amp;L'!F97+'Detailed P&amp;L'!F131+'Detailed P&amp;L'!F166</f>
        <v>0</v>
      </c>
      <c r="G62" s="48">
        <f>'Detailed P&amp;L'!G60+'Detailed P&amp;L'!G97+'Detailed P&amp;L'!G131+'Detailed P&amp;L'!G166</f>
        <v>0</v>
      </c>
      <c r="H62" s="48">
        <f>'Detailed P&amp;L'!H60+'Detailed P&amp;L'!H97+'Detailed P&amp;L'!H131+'Detailed P&amp;L'!H166</f>
        <v>0</v>
      </c>
      <c r="I62" s="48">
        <f>'Detailed P&amp;L'!I60+'Detailed P&amp;L'!I97+'Detailed P&amp;L'!I131+'Detailed P&amp;L'!I166</f>
        <v>0</v>
      </c>
      <c r="J62" s="48">
        <f>'Detailed P&amp;L'!J60+'Detailed P&amp;L'!J97+'Detailed P&amp;L'!J131+'Detailed P&amp;L'!J166</f>
        <v>0</v>
      </c>
      <c r="K62" s="48">
        <f>'Detailed P&amp;L'!K60+'Detailed P&amp;L'!K97+'Detailed P&amp;L'!K131+'Detailed P&amp;L'!K166</f>
        <v>0</v>
      </c>
      <c r="L62" s="48">
        <f>'Detailed P&amp;L'!L60+'Detailed P&amp;L'!L97+'Detailed P&amp;L'!L131+'Detailed P&amp;L'!L166</f>
        <v>0</v>
      </c>
      <c r="M62" s="48">
        <f>'Detailed P&amp;L'!M60+'Detailed P&amp;L'!M97+'Detailed P&amp;L'!M131+'Detailed P&amp;L'!M166</f>
        <v>0</v>
      </c>
      <c r="N62" s="48">
        <f>'Detailed P&amp;L'!N60+'Detailed P&amp;L'!N97+'Detailed P&amp;L'!N131+'Detailed P&amp;L'!N166</f>
        <v>0</v>
      </c>
      <c r="O62" s="48">
        <f>'Detailed P&amp;L'!O60+'Detailed P&amp;L'!O97+'Detailed P&amp;L'!O131+'Detailed P&amp;L'!O166</f>
        <v>0</v>
      </c>
      <c r="P62" s="48">
        <f>'Detailed P&amp;L'!P60+'Detailed P&amp;L'!P97+'Detailed P&amp;L'!P131+'Detailed P&amp;L'!P166</f>
        <v>0</v>
      </c>
      <c r="Q62" s="48">
        <f>'Detailed P&amp;L'!Q60+'Detailed P&amp;L'!Q97+'Detailed P&amp;L'!Q131+'Detailed P&amp;L'!Q166</f>
        <v>0</v>
      </c>
      <c r="R62" s="48">
        <f>'Detailed P&amp;L'!R60+'Detailed P&amp;L'!R97+'Detailed P&amp;L'!R131+'Detailed P&amp;L'!R166</f>
        <v>0</v>
      </c>
      <c r="S62" s="48">
        <f>'Detailed P&amp;L'!S60+'Detailed P&amp;L'!S97+'Detailed P&amp;L'!S131+'Detailed P&amp;L'!S166</f>
        <v>0</v>
      </c>
      <c r="T62" s="48">
        <f>'Detailed P&amp;L'!T60+'Detailed P&amp;L'!T97+'Detailed P&amp;L'!T131+'Detailed P&amp;L'!T166</f>
        <v>0</v>
      </c>
      <c r="U62" s="48">
        <f>'Detailed P&amp;L'!U60+'Detailed P&amp;L'!U97+'Detailed P&amp;L'!U131+'Detailed P&amp;L'!U166</f>
        <v>0</v>
      </c>
      <c r="V62" s="48">
        <f>'Detailed P&amp;L'!V60+'Detailed P&amp;L'!V97+'Detailed P&amp;L'!V131+'Detailed P&amp;L'!V166</f>
        <v>0</v>
      </c>
      <c r="W62" s="48">
        <f>'Detailed P&amp;L'!W60+'Detailed P&amp;L'!W97+'Detailed P&amp;L'!W131+'Detailed P&amp;L'!W166</f>
        <v>0</v>
      </c>
      <c r="X62" s="48">
        <f>'Detailed P&amp;L'!X60+'Detailed P&amp;L'!X97+'Detailed P&amp;L'!X131+'Detailed P&amp;L'!X166</f>
        <v>0</v>
      </c>
      <c r="Y62" s="48">
        <f>'Detailed P&amp;L'!Y60+'Detailed P&amp;L'!Y97+'Detailed P&amp;L'!Y131+'Detailed P&amp;L'!Y166</f>
        <v>0</v>
      </c>
      <c r="Z62" s="48">
        <f>'Detailed P&amp;L'!Z60+'Detailed P&amp;L'!Z97+'Detailed P&amp;L'!Z131+'Detailed P&amp;L'!Z166</f>
        <v>0</v>
      </c>
      <c r="AA62" s="48">
        <f>'Detailed P&amp;L'!AA60+'Detailed P&amp;L'!AA97+'Detailed P&amp;L'!AA131+'Detailed P&amp;L'!AA166</f>
        <v>0</v>
      </c>
      <c r="AB62" s="48">
        <f>'Detailed P&amp;L'!AB60+'Detailed P&amp;L'!AB97+'Detailed P&amp;L'!AB131+'Detailed P&amp;L'!AB166</f>
        <v>0</v>
      </c>
      <c r="AC62" s="48">
        <f>'Detailed P&amp;L'!AC60+'Detailed P&amp;L'!AC97+'Detailed P&amp;L'!AC131+'Detailed P&amp;L'!AC166</f>
        <v>0</v>
      </c>
      <c r="AD62" s="48">
        <f>'Detailed P&amp;L'!AD60+'Detailed P&amp;L'!AD97+'Detailed P&amp;L'!AD131+'Detailed P&amp;L'!AD166</f>
        <v>0</v>
      </c>
      <c r="AE62" s="48">
        <f>'Detailed P&amp;L'!AE60+'Detailed P&amp;L'!AE97+'Detailed P&amp;L'!AE131+'Detailed P&amp;L'!AE166</f>
        <v>0</v>
      </c>
      <c r="AF62" s="48">
        <f>'Detailed P&amp;L'!AF60+'Detailed P&amp;L'!AF97+'Detailed P&amp;L'!AF131+'Detailed P&amp;L'!AF166</f>
        <v>0</v>
      </c>
      <c r="AG62" s="48">
        <f>'Detailed P&amp;L'!AG60+'Detailed P&amp;L'!AG97+'Detailed P&amp;L'!AG131+'Detailed P&amp;L'!AG166</f>
        <v>0</v>
      </c>
      <c r="AH62" s="48">
        <f>'Detailed P&amp;L'!AH60+'Detailed P&amp;L'!AH97+'Detailed P&amp;L'!AH131+'Detailed P&amp;L'!AH166</f>
        <v>0</v>
      </c>
      <c r="AI62" s="48">
        <f>'Detailed P&amp;L'!AI60+'Detailed P&amp;L'!AI97+'Detailed P&amp;L'!AI131+'Detailed P&amp;L'!AI166</f>
        <v>0</v>
      </c>
      <c r="AJ62" s="48">
        <f>'Detailed P&amp;L'!AJ60+'Detailed P&amp;L'!AJ97+'Detailed P&amp;L'!AJ131+'Detailed P&amp;L'!AJ166</f>
        <v>0</v>
      </c>
      <c r="AK62" s="48">
        <f>'Detailed P&amp;L'!AK60+'Detailed P&amp;L'!AK97+'Detailed P&amp;L'!AK131+'Detailed P&amp;L'!AK166</f>
        <v>0</v>
      </c>
      <c r="AL62" s="208">
        <f>'Detailed P&amp;L'!AL60+'Detailed P&amp;L'!AL97+'Detailed P&amp;L'!AL131+'Detailed P&amp;L'!AL166</f>
        <v>0</v>
      </c>
      <c r="AN62" s="237">
        <f ca="1">'Detailed P&amp;L'!AN60+'Detailed P&amp;L'!AN97+'Detailed P&amp;L'!AN131+'Detailed P&amp;L'!AN166</f>
        <v>0</v>
      </c>
      <c r="AO62" s="48">
        <f ca="1">'Detailed P&amp;L'!AO60+'Detailed P&amp;L'!AO97+'Detailed P&amp;L'!AO131+'Detailed P&amp;L'!AO166</f>
        <v>0</v>
      </c>
      <c r="AP62" s="48">
        <f ca="1">'Detailed P&amp;L'!AP60+'Detailed P&amp;L'!AP97+'Detailed P&amp;L'!AP131+'Detailed P&amp;L'!AP166</f>
        <v>0</v>
      </c>
      <c r="AQ62" s="48">
        <f ca="1">'Detailed P&amp;L'!AQ60+'Detailed P&amp;L'!AQ97+'Detailed P&amp;L'!AQ131+'Detailed P&amp;L'!AQ166</f>
        <v>0</v>
      </c>
      <c r="AR62" s="48">
        <f ca="1">'Detailed P&amp;L'!AR60+'Detailed P&amp;L'!AR97+'Detailed P&amp;L'!AR131+'Detailed P&amp;L'!AR166</f>
        <v>0</v>
      </c>
      <c r="AS62" s="48">
        <f ca="1">'Detailed P&amp;L'!AS60+'Detailed P&amp;L'!AS97+'Detailed P&amp;L'!AS131+'Detailed P&amp;L'!AS166</f>
        <v>0</v>
      </c>
      <c r="AT62" s="48">
        <f ca="1">'Detailed P&amp;L'!AT60+'Detailed P&amp;L'!AT97+'Detailed P&amp;L'!AT131+'Detailed P&amp;L'!AT166</f>
        <v>0</v>
      </c>
      <c r="AU62" s="48">
        <f ca="1">'Detailed P&amp;L'!AU60+'Detailed P&amp;L'!AU97+'Detailed P&amp;L'!AU131+'Detailed P&amp;L'!AU166</f>
        <v>0</v>
      </c>
      <c r="AV62" s="48">
        <f ca="1">'Detailed P&amp;L'!AV60+'Detailed P&amp;L'!AV97+'Detailed P&amp;L'!AV131+'Detailed P&amp;L'!AV166</f>
        <v>0</v>
      </c>
      <c r="AW62" s="48">
        <f ca="1">'Detailed P&amp;L'!AW60+'Detailed P&amp;L'!AW97+'Detailed P&amp;L'!AW131+'Detailed P&amp;L'!AW166</f>
        <v>0</v>
      </c>
      <c r="AX62" s="48">
        <f ca="1">'Detailed P&amp;L'!AX60+'Detailed P&amp;L'!AX97+'Detailed P&amp;L'!AX131+'Detailed P&amp;L'!AX166</f>
        <v>0</v>
      </c>
      <c r="AY62" s="208">
        <f ca="1">'Detailed P&amp;L'!AY60+'Detailed P&amp;L'!AY97+'Detailed P&amp;L'!AY131+'Detailed P&amp;L'!AY166</f>
        <v>0</v>
      </c>
      <c r="BA62" s="237">
        <f ca="1">'Detailed P&amp;L'!BA60+'Detailed P&amp;L'!BA97+'Detailed P&amp;L'!BA131+'Detailed P&amp;L'!BA166</f>
        <v>0</v>
      </c>
      <c r="BB62" s="48">
        <f ca="1">'Detailed P&amp;L'!BB60+'Detailed P&amp;L'!BB97+'Detailed P&amp;L'!BB131+'Detailed P&amp;L'!BB166</f>
        <v>0</v>
      </c>
      <c r="BC62" s="208">
        <f ca="1">'Detailed P&amp;L'!BC60+'Detailed P&amp;L'!BC97+'Detailed P&amp;L'!BC131+'Detailed P&amp;L'!BC166</f>
        <v>0</v>
      </c>
    </row>
    <row r="63" spans="2:55" x14ac:dyDescent="0.35">
      <c r="B63" s="44" t="s">
        <v>46</v>
      </c>
      <c r="C63" s="45">
        <f>'Detailed P&amp;L'!C95+'Detailed P&amp;L'!C164</f>
        <v>0</v>
      </c>
      <c r="D63" s="45">
        <f>'Detailed P&amp;L'!D95+'Detailed P&amp;L'!D164</f>
        <v>0</v>
      </c>
      <c r="E63" s="45">
        <f>'Detailed P&amp;L'!E95+'Detailed P&amp;L'!E164</f>
        <v>0</v>
      </c>
      <c r="F63" s="45">
        <f>'Detailed P&amp;L'!F95+'Detailed P&amp;L'!F164</f>
        <v>0</v>
      </c>
      <c r="G63" s="45">
        <f>'Detailed P&amp;L'!G95+'Detailed P&amp;L'!G164</f>
        <v>0</v>
      </c>
      <c r="H63" s="45">
        <f>'Detailed P&amp;L'!H95+'Detailed P&amp;L'!H164</f>
        <v>0</v>
      </c>
      <c r="I63" s="45">
        <f>'Detailed P&amp;L'!I95+'Detailed P&amp;L'!I164</f>
        <v>0</v>
      </c>
      <c r="J63" s="45">
        <f>'Detailed P&amp;L'!J95+'Detailed P&amp;L'!J164</f>
        <v>0</v>
      </c>
      <c r="K63" s="45">
        <f>'Detailed P&amp;L'!K95+'Detailed P&amp;L'!K164</f>
        <v>0</v>
      </c>
      <c r="L63" s="45">
        <f>'Detailed P&amp;L'!L95+'Detailed P&amp;L'!L164</f>
        <v>0</v>
      </c>
      <c r="M63" s="45">
        <f>'Detailed P&amp;L'!M95+'Detailed P&amp;L'!M164</f>
        <v>0</v>
      </c>
      <c r="N63" s="45">
        <f>'Detailed P&amp;L'!N95+'Detailed P&amp;L'!N164</f>
        <v>0</v>
      </c>
      <c r="O63" s="45">
        <f>'Detailed P&amp;L'!O95+'Detailed P&amp;L'!O164</f>
        <v>0</v>
      </c>
      <c r="P63" s="45">
        <f>'Detailed P&amp;L'!P95+'Detailed P&amp;L'!P164</f>
        <v>0</v>
      </c>
      <c r="Q63" s="45">
        <f>'Detailed P&amp;L'!Q95+'Detailed P&amp;L'!Q164</f>
        <v>0</v>
      </c>
      <c r="R63" s="45">
        <f>'Detailed P&amp;L'!R95+'Detailed P&amp;L'!R164</f>
        <v>0</v>
      </c>
      <c r="S63" s="45">
        <f>'Detailed P&amp;L'!S95+'Detailed P&amp;L'!S164</f>
        <v>0</v>
      </c>
      <c r="T63" s="45">
        <f>'Detailed P&amp;L'!T95+'Detailed P&amp;L'!T164</f>
        <v>0</v>
      </c>
      <c r="U63" s="45">
        <f>'Detailed P&amp;L'!U95+'Detailed P&amp;L'!U164</f>
        <v>0</v>
      </c>
      <c r="V63" s="45">
        <f>'Detailed P&amp;L'!V95+'Detailed P&amp;L'!V164</f>
        <v>0</v>
      </c>
      <c r="W63" s="45">
        <f>'Detailed P&amp;L'!W95+'Detailed P&amp;L'!W164</f>
        <v>0</v>
      </c>
      <c r="X63" s="45">
        <f>'Detailed P&amp;L'!X95+'Detailed P&amp;L'!X164</f>
        <v>0</v>
      </c>
      <c r="Y63" s="45">
        <f>'Detailed P&amp;L'!Y95+'Detailed P&amp;L'!Y164</f>
        <v>0</v>
      </c>
      <c r="Z63" s="45">
        <f>'Detailed P&amp;L'!Z95+'Detailed P&amp;L'!Z164</f>
        <v>0</v>
      </c>
      <c r="AA63" s="45">
        <f>'Detailed P&amp;L'!AA95+'Detailed P&amp;L'!AA164</f>
        <v>0</v>
      </c>
      <c r="AB63" s="45">
        <f>'Detailed P&amp;L'!AB95+'Detailed P&amp;L'!AB164</f>
        <v>0</v>
      </c>
      <c r="AC63" s="45">
        <f>'Detailed P&amp;L'!AC95+'Detailed P&amp;L'!AC164</f>
        <v>0</v>
      </c>
      <c r="AD63" s="45">
        <f>'Detailed P&amp;L'!AD95+'Detailed P&amp;L'!AD164</f>
        <v>0</v>
      </c>
      <c r="AE63" s="45">
        <f>'Detailed P&amp;L'!AE95+'Detailed P&amp;L'!AE164</f>
        <v>0</v>
      </c>
      <c r="AF63" s="45">
        <f>'Detailed P&amp;L'!AF95+'Detailed P&amp;L'!AF164</f>
        <v>0</v>
      </c>
      <c r="AG63" s="45">
        <f>'Detailed P&amp;L'!AG95+'Detailed P&amp;L'!AG164</f>
        <v>0</v>
      </c>
      <c r="AH63" s="45">
        <f>'Detailed P&amp;L'!AH95+'Detailed P&amp;L'!AH164</f>
        <v>0</v>
      </c>
      <c r="AI63" s="45">
        <f>'Detailed P&amp;L'!AI95+'Detailed P&amp;L'!AI164</f>
        <v>0</v>
      </c>
      <c r="AJ63" s="45">
        <f>'Detailed P&amp;L'!AJ95+'Detailed P&amp;L'!AJ164</f>
        <v>0</v>
      </c>
      <c r="AK63" s="45">
        <f>'Detailed P&amp;L'!AK95+'Detailed P&amp;L'!AK164</f>
        <v>0</v>
      </c>
      <c r="AL63" s="206">
        <f>'Detailed P&amp;L'!AL95+'Detailed P&amp;L'!AL164</f>
        <v>0</v>
      </c>
      <c r="AN63" s="235">
        <f ca="1">'Detailed P&amp;L'!AN95+'Detailed P&amp;L'!AN164</f>
        <v>0</v>
      </c>
      <c r="AO63" s="45">
        <f ca="1">'Detailed P&amp;L'!AO95+'Detailed P&amp;L'!AO164</f>
        <v>0</v>
      </c>
      <c r="AP63" s="45">
        <f ca="1">'Detailed P&amp;L'!AP95+'Detailed P&amp;L'!AP164</f>
        <v>0</v>
      </c>
      <c r="AQ63" s="45">
        <f ca="1">'Detailed P&amp;L'!AQ95+'Detailed P&amp;L'!AQ164</f>
        <v>0</v>
      </c>
      <c r="AR63" s="45">
        <f ca="1">'Detailed P&amp;L'!AR95+'Detailed P&amp;L'!AR164</f>
        <v>0</v>
      </c>
      <c r="AS63" s="45">
        <f ca="1">'Detailed P&amp;L'!AS95+'Detailed P&amp;L'!AS164</f>
        <v>0</v>
      </c>
      <c r="AT63" s="45">
        <f ca="1">'Detailed P&amp;L'!AT95+'Detailed P&amp;L'!AT164</f>
        <v>0</v>
      </c>
      <c r="AU63" s="45">
        <f ca="1">'Detailed P&amp;L'!AU95+'Detailed P&amp;L'!AU164</f>
        <v>0</v>
      </c>
      <c r="AV63" s="45">
        <f ca="1">'Detailed P&amp;L'!AV95+'Detailed P&amp;L'!AV164</f>
        <v>0</v>
      </c>
      <c r="AW63" s="45">
        <f ca="1">'Detailed P&amp;L'!AW95+'Detailed P&amp;L'!AW164</f>
        <v>0</v>
      </c>
      <c r="AX63" s="45">
        <f ca="1">'Detailed P&amp;L'!AX95+'Detailed P&amp;L'!AX164</f>
        <v>0</v>
      </c>
      <c r="AY63" s="206">
        <f ca="1">'Detailed P&amp;L'!AY95+'Detailed P&amp;L'!AY164</f>
        <v>0</v>
      </c>
      <c r="BA63" s="235">
        <f ca="1">'Detailed P&amp;L'!BA95+'Detailed P&amp;L'!BA164</f>
        <v>0</v>
      </c>
      <c r="BB63" s="45">
        <f ca="1">'Detailed P&amp;L'!BB95+'Detailed P&amp;L'!BB164</f>
        <v>0</v>
      </c>
      <c r="BC63" s="206">
        <f ca="1">'Detailed P&amp;L'!BC95+'Detailed P&amp;L'!BC164</f>
        <v>0</v>
      </c>
    </row>
    <row r="64" spans="2:55" x14ac:dyDescent="0.35">
      <c r="B64" s="44" t="s">
        <v>47</v>
      </c>
      <c r="C64" s="45">
        <f t="shared" ref="C64:Y64" si="71">SUM(C65:C72)</f>
        <v>0</v>
      </c>
      <c r="D64" s="45">
        <f t="shared" si="71"/>
        <v>0</v>
      </c>
      <c r="E64" s="45">
        <f t="shared" si="71"/>
        <v>0</v>
      </c>
      <c r="F64" s="45">
        <f t="shared" si="71"/>
        <v>0</v>
      </c>
      <c r="G64" s="45">
        <f t="shared" si="71"/>
        <v>0</v>
      </c>
      <c r="H64" s="45">
        <f t="shared" si="71"/>
        <v>0</v>
      </c>
      <c r="I64" s="45">
        <f t="shared" si="71"/>
        <v>0</v>
      </c>
      <c r="J64" s="45">
        <f t="shared" si="71"/>
        <v>0</v>
      </c>
      <c r="K64" s="45">
        <f t="shared" si="71"/>
        <v>0</v>
      </c>
      <c r="L64" s="45">
        <f t="shared" si="71"/>
        <v>0</v>
      </c>
      <c r="M64" s="45">
        <f t="shared" si="71"/>
        <v>0</v>
      </c>
      <c r="N64" s="45">
        <f t="shared" si="71"/>
        <v>0</v>
      </c>
      <c r="O64" s="45">
        <f t="shared" si="71"/>
        <v>0</v>
      </c>
      <c r="P64" s="45">
        <f t="shared" si="71"/>
        <v>0</v>
      </c>
      <c r="Q64" s="45">
        <f t="shared" si="71"/>
        <v>0</v>
      </c>
      <c r="R64" s="45">
        <f t="shared" si="71"/>
        <v>0</v>
      </c>
      <c r="S64" s="45">
        <f t="shared" si="71"/>
        <v>0</v>
      </c>
      <c r="T64" s="45">
        <f t="shared" si="71"/>
        <v>0</v>
      </c>
      <c r="U64" s="45">
        <f t="shared" si="71"/>
        <v>0</v>
      </c>
      <c r="V64" s="45">
        <f t="shared" si="71"/>
        <v>0</v>
      </c>
      <c r="W64" s="45">
        <f t="shared" si="71"/>
        <v>0</v>
      </c>
      <c r="X64" s="45">
        <f t="shared" si="71"/>
        <v>0</v>
      </c>
      <c r="Y64" s="45">
        <f t="shared" si="71"/>
        <v>0</v>
      </c>
      <c r="Z64" s="45">
        <f t="shared" ref="Z64:AL64" si="72">SUM(Z65:Z72)</f>
        <v>0</v>
      </c>
      <c r="AA64" s="45">
        <f t="shared" si="72"/>
        <v>0</v>
      </c>
      <c r="AB64" s="45">
        <f t="shared" si="72"/>
        <v>0</v>
      </c>
      <c r="AC64" s="45">
        <f t="shared" si="72"/>
        <v>0</v>
      </c>
      <c r="AD64" s="45">
        <f t="shared" si="72"/>
        <v>0</v>
      </c>
      <c r="AE64" s="45">
        <f t="shared" si="72"/>
        <v>0</v>
      </c>
      <c r="AF64" s="45">
        <f t="shared" si="72"/>
        <v>0</v>
      </c>
      <c r="AG64" s="45">
        <f t="shared" si="72"/>
        <v>0</v>
      </c>
      <c r="AH64" s="45">
        <f t="shared" si="72"/>
        <v>0</v>
      </c>
      <c r="AI64" s="45">
        <f t="shared" si="72"/>
        <v>0</v>
      </c>
      <c r="AJ64" s="45">
        <f t="shared" si="72"/>
        <v>0</v>
      </c>
      <c r="AK64" s="45">
        <f t="shared" si="72"/>
        <v>0</v>
      </c>
      <c r="AL64" s="206">
        <f t="shared" si="72"/>
        <v>0</v>
      </c>
      <c r="AN64" s="235">
        <f t="shared" ref="AN64:AT64" ca="1" si="73">SUM(AN65:AN72)</f>
        <v>0</v>
      </c>
      <c r="AO64" s="45">
        <f t="shared" ca="1" si="73"/>
        <v>0</v>
      </c>
      <c r="AP64" s="45">
        <f t="shared" ca="1" si="73"/>
        <v>0</v>
      </c>
      <c r="AQ64" s="45">
        <f t="shared" ca="1" si="73"/>
        <v>0</v>
      </c>
      <c r="AR64" s="45">
        <f t="shared" ca="1" si="73"/>
        <v>0</v>
      </c>
      <c r="AS64" s="45">
        <f t="shared" ca="1" si="73"/>
        <v>0</v>
      </c>
      <c r="AT64" s="45">
        <f t="shared" ca="1" si="73"/>
        <v>0</v>
      </c>
      <c r="AU64" s="45">
        <f t="shared" ref="AU64:AY64" ca="1" si="74">SUM(AU65:AU72)</f>
        <v>0</v>
      </c>
      <c r="AV64" s="45">
        <f t="shared" ca="1" si="74"/>
        <v>0</v>
      </c>
      <c r="AW64" s="45">
        <f t="shared" ca="1" si="74"/>
        <v>0</v>
      </c>
      <c r="AX64" s="45">
        <f t="shared" ca="1" si="74"/>
        <v>0</v>
      </c>
      <c r="AY64" s="206">
        <f t="shared" ca="1" si="74"/>
        <v>0</v>
      </c>
      <c r="BA64" s="235">
        <f t="shared" ref="BA64" ca="1" si="75">SUM(BA65:BA72)</f>
        <v>0</v>
      </c>
      <c r="BB64" s="45">
        <f t="shared" ref="BB64:BC64" ca="1" si="76">SUM(BB65:BB72)</f>
        <v>0</v>
      </c>
      <c r="BC64" s="206">
        <f t="shared" ca="1" si="76"/>
        <v>0</v>
      </c>
    </row>
    <row r="65" spans="2:55" outlineLevel="1" x14ac:dyDescent="0.35">
      <c r="B65" s="46" t="s">
        <v>48</v>
      </c>
      <c r="C65" s="47">
        <f>'Detailed P&amp;L'!C62+'Detailed P&amp;L'!C99+'Detailed P&amp;L'!C133+'Detailed P&amp;L'!C168</f>
        <v>0</v>
      </c>
      <c r="D65" s="47">
        <f>'Detailed P&amp;L'!D62+'Detailed P&amp;L'!D99+'Detailed P&amp;L'!D133+'Detailed P&amp;L'!D168</f>
        <v>0</v>
      </c>
      <c r="E65" s="47">
        <f>'Detailed P&amp;L'!E62+'Detailed P&amp;L'!E99+'Detailed P&amp;L'!E133+'Detailed P&amp;L'!E168</f>
        <v>0</v>
      </c>
      <c r="F65" s="47">
        <f>'Detailed P&amp;L'!F62+'Detailed P&amp;L'!F99+'Detailed P&amp;L'!F133+'Detailed P&amp;L'!F168</f>
        <v>0</v>
      </c>
      <c r="G65" s="47">
        <f>'Detailed P&amp;L'!G62+'Detailed P&amp;L'!G99+'Detailed P&amp;L'!G133+'Detailed P&amp;L'!G168</f>
        <v>0</v>
      </c>
      <c r="H65" s="47">
        <f>'Detailed P&amp;L'!H62+'Detailed P&amp;L'!H99+'Detailed P&amp;L'!H133+'Detailed P&amp;L'!H168</f>
        <v>0</v>
      </c>
      <c r="I65" s="47">
        <f>'Detailed P&amp;L'!I62+'Detailed P&amp;L'!I99+'Detailed P&amp;L'!I133+'Detailed P&amp;L'!I168</f>
        <v>0</v>
      </c>
      <c r="J65" s="47">
        <f>'Detailed P&amp;L'!J62+'Detailed P&amp;L'!J99+'Detailed P&amp;L'!J133+'Detailed P&amp;L'!J168</f>
        <v>0</v>
      </c>
      <c r="K65" s="47">
        <f>'Detailed P&amp;L'!K62+'Detailed P&amp;L'!K99+'Detailed P&amp;L'!K133+'Detailed P&amp;L'!K168</f>
        <v>0</v>
      </c>
      <c r="L65" s="47">
        <f>'Detailed P&amp;L'!L62+'Detailed P&amp;L'!L99+'Detailed P&amp;L'!L133+'Detailed P&amp;L'!L168</f>
        <v>0</v>
      </c>
      <c r="M65" s="47">
        <f>'Detailed P&amp;L'!M62+'Detailed P&amp;L'!M99+'Detailed P&amp;L'!M133+'Detailed P&amp;L'!M168</f>
        <v>0</v>
      </c>
      <c r="N65" s="47">
        <f>'Detailed P&amp;L'!N62+'Detailed P&amp;L'!N99+'Detailed P&amp;L'!N133+'Detailed P&amp;L'!N168</f>
        <v>0</v>
      </c>
      <c r="O65" s="47">
        <f>'Detailed P&amp;L'!O62+'Detailed P&amp;L'!O99+'Detailed P&amp;L'!O133+'Detailed P&amp;L'!O168</f>
        <v>0</v>
      </c>
      <c r="P65" s="47">
        <f>'Detailed P&amp;L'!P62+'Detailed P&amp;L'!P99+'Detailed P&amp;L'!P133+'Detailed P&amp;L'!P168</f>
        <v>0</v>
      </c>
      <c r="Q65" s="47">
        <f>'Detailed P&amp;L'!Q62+'Detailed P&amp;L'!Q99+'Detailed P&amp;L'!Q133+'Detailed P&amp;L'!Q168</f>
        <v>0</v>
      </c>
      <c r="R65" s="47">
        <f>'Detailed P&amp;L'!R62+'Detailed P&amp;L'!R99+'Detailed P&amp;L'!R133+'Detailed P&amp;L'!R168</f>
        <v>0</v>
      </c>
      <c r="S65" s="47">
        <f>'Detailed P&amp;L'!S62+'Detailed P&amp;L'!S99+'Detailed P&amp;L'!S133+'Detailed P&amp;L'!S168</f>
        <v>0</v>
      </c>
      <c r="T65" s="47">
        <f>'Detailed P&amp;L'!T62+'Detailed P&amp;L'!T99+'Detailed P&amp;L'!T133+'Detailed P&amp;L'!T168</f>
        <v>0</v>
      </c>
      <c r="U65" s="47">
        <f>'Detailed P&amp;L'!U62+'Detailed P&amp;L'!U99+'Detailed P&amp;L'!U133+'Detailed P&amp;L'!U168</f>
        <v>0</v>
      </c>
      <c r="V65" s="47">
        <f>'Detailed P&amp;L'!V62+'Detailed P&amp;L'!V99+'Detailed P&amp;L'!V133+'Detailed P&amp;L'!V168</f>
        <v>0</v>
      </c>
      <c r="W65" s="47">
        <f>'Detailed P&amp;L'!W62+'Detailed P&amp;L'!W99+'Detailed P&amp;L'!W133+'Detailed P&amp;L'!W168</f>
        <v>0</v>
      </c>
      <c r="X65" s="47">
        <f>'Detailed P&amp;L'!X62+'Detailed P&amp;L'!X99+'Detailed P&amp;L'!X133+'Detailed P&amp;L'!X168</f>
        <v>0</v>
      </c>
      <c r="Y65" s="47">
        <f>'Detailed P&amp;L'!Y62+'Detailed P&amp;L'!Y99+'Detailed P&amp;L'!Y133+'Detailed P&amp;L'!Y168</f>
        <v>0</v>
      </c>
      <c r="Z65" s="47">
        <f>'Detailed P&amp;L'!Z62+'Detailed P&amp;L'!Z99+'Detailed P&amp;L'!Z133+'Detailed P&amp;L'!Z168</f>
        <v>0</v>
      </c>
      <c r="AA65" s="47">
        <f>'Detailed P&amp;L'!AA62+'Detailed P&amp;L'!AA99+'Detailed P&amp;L'!AA133+'Detailed P&amp;L'!AA168</f>
        <v>0</v>
      </c>
      <c r="AB65" s="47">
        <f>'Detailed P&amp;L'!AB62+'Detailed P&amp;L'!AB99+'Detailed P&amp;L'!AB133+'Detailed P&amp;L'!AB168</f>
        <v>0</v>
      </c>
      <c r="AC65" s="47">
        <f>'Detailed P&amp;L'!AC62+'Detailed P&amp;L'!AC99+'Detailed P&amp;L'!AC133+'Detailed P&amp;L'!AC168</f>
        <v>0</v>
      </c>
      <c r="AD65" s="47">
        <f>'Detailed P&amp;L'!AD62+'Detailed P&amp;L'!AD99+'Detailed P&amp;L'!AD133+'Detailed P&amp;L'!AD168</f>
        <v>0</v>
      </c>
      <c r="AE65" s="47">
        <f>'Detailed P&amp;L'!AE62+'Detailed P&amp;L'!AE99+'Detailed P&amp;L'!AE133+'Detailed P&amp;L'!AE168</f>
        <v>0</v>
      </c>
      <c r="AF65" s="47">
        <f>'Detailed P&amp;L'!AF62+'Detailed P&amp;L'!AF99+'Detailed P&amp;L'!AF133+'Detailed P&amp;L'!AF168</f>
        <v>0</v>
      </c>
      <c r="AG65" s="47">
        <f>'Detailed P&amp;L'!AG62+'Detailed P&amp;L'!AG99+'Detailed P&amp;L'!AG133+'Detailed P&amp;L'!AG168</f>
        <v>0</v>
      </c>
      <c r="AH65" s="47">
        <f>'Detailed P&amp;L'!AH62+'Detailed P&amp;L'!AH99+'Detailed P&amp;L'!AH133+'Detailed P&amp;L'!AH168</f>
        <v>0</v>
      </c>
      <c r="AI65" s="47">
        <f>'Detailed P&amp;L'!AI62+'Detailed P&amp;L'!AI99+'Detailed P&amp;L'!AI133+'Detailed P&amp;L'!AI168</f>
        <v>0</v>
      </c>
      <c r="AJ65" s="47">
        <f>'Detailed P&amp;L'!AJ62+'Detailed P&amp;L'!AJ99+'Detailed P&amp;L'!AJ133+'Detailed P&amp;L'!AJ168</f>
        <v>0</v>
      </c>
      <c r="AK65" s="47">
        <f>'Detailed P&amp;L'!AK62+'Detailed P&amp;L'!AK99+'Detailed P&amp;L'!AK133+'Detailed P&amp;L'!AK168</f>
        <v>0</v>
      </c>
      <c r="AL65" s="207">
        <f>'Detailed P&amp;L'!AL62+'Detailed P&amp;L'!AL99+'Detailed P&amp;L'!AL133+'Detailed P&amp;L'!AL168</f>
        <v>0</v>
      </c>
      <c r="AN65" s="236">
        <f ca="1">'Detailed P&amp;L'!AN62+'Detailed P&amp;L'!AN99+'Detailed P&amp;L'!AN133+'Detailed P&amp;L'!AN168</f>
        <v>0</v>
      </c>
      <c r="AO65" s="47">
        <f ca="1">'Detailed P&amp;L'!AO62+'Detailed P&amp;L'!AO99+'Detailed P&amp;L'!AO133+'Detailed P&amp;L'!AO168</f>
        <v>0</v>
      </c>
      <c r="AP65" s="47">
        <f ca="1">'Detailed P&amp;L'!AP62+'Detailed P&amp;L'!AP99+'Detailed P&amp;L'!AP133+'Detailed P&amp;L'!AP168</f>
        <v>0</v>
      </c>
      <c r="AQ65" s="47">
        <f ca="1">'Detailed P&amp;L'!AQ62+'Detailed P&amp;L'!AQ99+'Detailed P&amp;L'!AQ133+'Detailed P&amp;L'!AQ168</f>
        <v>0</v>
      </c>
      <c r="AR65" s="47">
        <f ca="1">'Detailed P&amp;L'!AR62+'Detailed P&amp;L'!AR99+'Detailed P&amp;L'!AR133+'Detailed P&amp;L'!AR168</f>
        <v>0</v>
      </c>
      <c r="AS65" s="47">
        <f ca="1">'Detailed P&amp;L'!AS62+'Detailed P&amp;L'!AS99+'Detailed P&amp;L'!AS133+'Detailed P&amp;L'!AS168</f>
        <v>0</v>
      </c>
      <c r="AT65" s="47">
        <f ca="1">'Detailed P&amp;L'!AT62+'Detailed P&amp;L'!AT99+'Detailed P&amp;L'!AT133+'Detailed P&amp;L'!AT168</f>
        <v>0</v>
      </c>
      <c r="AU65" s="47">
        <f ca="1">'Detailed P&amp;L'!AU62+'Detailed P&amp;L'!AU99+'Detailed P&amp;L'!AU133+'Detailed P&amp;L'!AU168</f>
        <v>0</v>
      </c>
      <c r="AV65" s="47">
        <f ca="1">'Detailed P&amp;L'!AV62+'Detailed P&amp;L'!AV99+'Detailed P&amp;L'!AV133+'Detailed P&amp;L'!AV168</f>
        <v>0</v>
      </c>
      <c r="AW65" s="47">
        <f ca="1">'Detailed P&amp;L'!AW62+'Detailed P&amp;L'!AW99+'Detailed P&amp;L'!AW133+'Detailed P&amp;L'!AW168</f>
        <v>0</v>
      </c>
      <c r="AX65" s="47">
        <f ca="1">'Detailed P&amp;L'!AX62+'Detailed P&amp;L'!AX99+'Detailed P&amp;L'!AX133+'Detailed P&amp;L'!AX168</f>
        <v>0</v>
      </c>
      <c r="AY65" s="207">
        <f ca="1">'Detailed P&amp;L'!AY62+'Detailed P&amp;L'!AY99+'Detailed P&amp;L'!AY133+'Detailed P&amp;L'!AY168</f>
        <v>0</v>
      </c>
      <c r="BA65" s="236">
        <f ca="1">'Detailed P&amp;L'!BA62+'Detailed P&amp;L'!BA99+'Detailed P&amp;L'!BA133+'Detailed P&amp;L'!BA168</f>
        <v>0</v>
      </c>
      <c r="BB65" s="47">
        <f ca="1">'Detailed P&amp;L'!BB62+'Detailed P&amp;L'!BB99+'Detailed P&amp;L'!BB133+'Detailed P&amp;L'!BB168</f>
        <v>0</v>
      </c>
      <c r="BC65" s="207">
        <f ca="1">'Detailed P&amp;L'!BC62+'Detailed P&amp;L'!BC99+'Detailed P&amp;L'!BC133+'Detailed P&amp;L'!BC168</f>
        <v>0</v>
      </c>
    </row>
    <row r="66" spans="2:55" outlineLevel="1" x14ac:dyDescent="0.35">
      <c r="B66" s="46" t="s">
        <v>49</v>
      </c>
      <c r="C66" s="47">
        <f>'Detailed P&amp;L'!C63+'Detailed P&amp;L'!C100+'Detailed P&amp;L'!C134+'Detailed P&amp;L'!C169</f>
        <v>0</v>
      </c>
      <c r="D66" s="47">
        <f>'Detailed P&amp;L'!D63+'Detailed P&amp;L'!D100+'Detailed P&amp;L'!D134+'Detailed P&amp;L'!D169</f>
        <v>0</v>
      </c>
      <c r="E66" s="47">
        <f>'Detailed P&amp;L'!E63+'Detailed P&amp;L'!E100+'Detailed P&amp;L'!E134+'Detailed P&amp;L'!E169</f>
        <v>0</v>
      </c>
      <c r="F66" s="47">
        <f>'Detailed P&amp;L'!F63+'Detailed P&amp;L'!F100+'Detailed P&amp;L'!F134+'Detailed P&amp;L'!F169</f>
        <v>0</v>
      </c>
      <c r="G66" s="47">
        <f>'Detailed P&amp;L'!G63+'Detailed P&amp;L'!G100+'Detailed P&amp;L'!G134+'Detailed P&amp;L'!G169</f>
        <v>0</v>
      </c>
      <c r="H66" s="47">
        <f>'Detailed P&amp;L'!H63+'Detailed P&amp;L'!H100+'Detailed P&amp;L'!H134+'Detailed P&amp;L'!H169</f>
        <v>0</v>
      </c>
      <c r="I66" s="47">
        <f>'Detailed P&amp;L'!I63+'Detailed P&amp;L'!I100+'Detailed P&amp;L'!I134+'Detailed P&amp;L'!I169</f>
        <v>0</v>
      </c>
      <c r="J66" s="47">
        <f>'Detailed P&amp;L'!J63+'Detailed P&amp;L'!J100+'Detailed P&amp;L'!J134+'Detailed P&amp;L'!J169</f>
        <v>0</v>
      </c>
      <c r="K66" s="47">
        <f>'Detailed P&amp;L'!K63+'Detailed P&amp;L'!K100+'Detailed P&amp;L'!K134+'Detailed P&amp;L'!K169</f>
        <v>0</v>
      </c>
      <c r="L66" s="47">
        <f>'Detailed P&amp;L'!L63+'Detailed P&amp;L'!L100+'Detailed P&amp;L'!L134+'Detailed P&amp;L'!L169</f>
        <v>0</v>
      </c>
      <c r="M66" s="47">
        <f>'Detailed P&amp;L'!M63+'Detailed P&amp;L'!M100+'Detailed P&amp;L'!M134+'Detailed P&amp;L'!M169</f>
        <v>0</v>
      </c>
      <c r="N66" s="47">
        <f>'Detailed P&amp;L'!N63+'Detailed P&amp;L'!N100+'Detailed P&amp;L'!N134+'Detailed P&amp;L'!N169</f>
        <v>0</v>
      </c>
      <c r="O66" s="47">
        <f>'Detailed P&amp;L'!O63+'Detailed P&amp;L'!O100+'Detailed P&amp;L'!O134+'Detailed P&amp;L'!O169</f>
        <v>0</v>
      </c>
      <c r="P66" s="47">
        <f>'Detailed P&amp;L'!P63+'Detailed P&amp;L'!P100+'Detailed P&amp;L'!P134+'Detailed P&amp;L'!P169</f>
        <v>0</v>
      </c>
      <c r="Q66" s="47">
        <f>'Detailed P&amp;L'!Q63+'Detailed P&amp;L'!Q100+'Detailed P&amp;L'!Q134+'Detailed P&amp;L'!Q169</f>
        <v>0</v>
      </c>
      <c r="R66" s="47">
        <f>'Detailed P&amp;L'!R63+'Detailed P&amp;L'!R100+'Detailed P&amp;L'!R134+'Detailed P&amp;L'!R169</f>
        <v>0</v>
      </c>
      <c r="S66" s="47">
        <f>'Detailed P&amp;L'!S63+'Detailed P&amp;L'!S100+'Detailed P&amp;L'!S134+'Detailed P&amp;L'!S169</f>
        <v>0</v>
      </c>
      <c r="T66" s="47">
        <f>'Detailed P&amp;L'!T63+'Detailed P&amp;L'!T100+'Detailed P&amp;L'!T134+'Detailed P&amp;L'!T169</f>
        <v>0</v>
      </c>
      <c r="U66" s="47">
        <f>'Detailed P&amp;L'!U63+'Detailed P&amp;L'!U100+'Detailed P&amp;L'!U134+'Detailed P&amp;L'!U169</f>
        <v>0</v>
      </c>
      <c r="V66" s="47">
        <f>'Detailed P&amp;L'!V63+'Detailed P&amp;L'!V100+'Detailed P&amp;L'!V134+'Detailed P&amp;L'!V169</f>
        <v>0</v>
      </c>
      <c r="W66" s="47">
        <f>'Detailed P&amp;L'!W63+'Detailed P&amp;L'!W100+'Detailed P&amp;L'!W134+'Detailed P&amp;L'!W169</f>
        <v>0</v>
      </c>
      <c r="X66" s="47">
        <f>'Detailed P&amp;L'!X63+'Detailed P&amp;L'!X100+'Detailed P&amp;L'!X134+'Detailed P&amp;L'!X169</f>
        <v>0</v>
      </c>
      <c r="Y66" s="47">
        <f>'Detailed P&amp;L'!Y63+'Detailed P&amp;L'!Y100+'Detailed P&amp;L'!Y134+'Detailed P&amp;L'!Y169</f>
        <v>0</v>
      </c>
      <c r="Z66" s="47">
        <f>'Detailed P&amp;L'!Z63+'Detailed P&amp;L'!Z100+'Detailed P&amp;L'!Z134+'Detailed P&amp;L'!Z169</f>
        <v>0</v>
      </c>
      <c r="AA66" s="47">
        <f>'Detailed P&amp;L'!AA63+'Detailed P&amp;L'!AA100+'Detailed P&amp;L'!AA134+'Detailed P&amp;L'!AA169</f>
        <v>0</v>
      </c>
      <c r="AB66" s="47">
        <f>'Detailed P&amp;L'!AB63+'Detailed P&amp;L'!AB100+'Detailed P&amp;L'!AB134+'Detailed P&amp;L'!AB169</f>
        <v>0</v>
      </c>
      <c r="AC66" s="47">
        <f>'Detailed P&amp;L'!AC63+'Detailed P&amp;L'!AC100+'Detailed P&amp;L'!AC134+'Detailed P&amp;L'!AC169</f>
        <v>0</v>
      </c>
      <c r="AD66" s="47">
        <f>'Detailed P&amp;L'!AD63+'Detailed P&amp;L'!AD100+'Detailed P&amp;L'!AD134+'Detailed P&amp;L'!AD169</f>
        <v>0</v>
      </c>
      <c r="AE66" s="47">
        <f>'Detailed P&amp;L'!AE63+'Detailed P&amp;L'!AE100+'Detailed P&amp;L'!AE134+'Detailed P&amp;L'!AE169</f>
        <v>0</v>
      </c>
      <c r="AF66" s="47">
        <f>'Detailed P&amp;L'!AF63+'Detailed P&amp;L'!AF100+'Detailed P&amp;L'!AF134+'Detailed P&amp;L'!AF169</f>
        <v>0</v>
      </c>
      <c r="AG66" s="47">
        <f>'Detailed P&amp;L'!AG63+'Detailed P&amp;L'!AG100+'Detailed P&amp;L'!AG134+'Detailed P&amp;L'!AG169</f>
        <v>0</v>
      </c>
      <c r="AH66" s="47">
        <f>'Detailed P&amp;L'!AH63+'Detailed P&amp;L'!AH100+'Detailed P&amp;L'!AH134+'Detailed P&amp;L'!AH169</f>
        <v>0</v>
      </c>
      <c r="AI66" s="47">
        <f>'Detailed P&amp;L'!AI63+'Detailed P&amp;L'!AI100+'Detailed P&amp;L'!AI134+'Detailed P&amp;L'!AI169</f>
        <v>0</v>
      </c>
      <c r="AJ66" s="47">
        <f>'Detailed P&amp;L'!AJ63+'Detailed P&amp;L'!AJ100+'Detailed P&amp;L'!AJ134+'Detailed P&amp;L'!AJ169</f>
        <v>0</v>
      </c>
      <c r="AK66" s="47">
        <f>'Detailed P&amp;L'!AK63+'Detailed P&amp;L'!AK100+'Detailed P&amp;L'!AK134+'Detailed P&amp;L'!AK169</f>
        <v>0</v>
      </c>
      <c r="AL66" s="207">
        <f>'Detailed P&amp;L'!AL63+'Detailed P&amp;L'!AL100+'Detailed P&amp;L'!AL134+'Detailed P&amp;L'!AL169</f>
        <v>0</v>
      </c>
      <c r="AN66" s="236">
        <f ca="1">'Detailed P&amp;L'!AN63+'Detailed P&amp;L'!AN100+'Detailed P&amp;L'!AN134+'Detailed P&amp;L'!AN169</f>
        <v>0</v>
      </c>
      <c r="AO66" s="47">
        <f ca="1">'Detailed P&amp;L'!AO63+'Detailed P&amp;L'!AO100+'Detailed P&amp;L'!AO134+'Detailed P&amp;L'!AO169</f>
        <v>0</v>
      </c>
      <c r="AP66" s="47">
        <f ca="1">'Detailed P&amp;L'!AP63+'Detailed P&amp;L'!AP100+'Detailed P&amp;L'!AP134+'Detailed P&amp;L'!AP169</f>
        <v>0</v>
      </c>
      <c r="AQ66" s="47">
        <f ca="1">'Detailed P&amp;L'!AQ63+'Detailed P&amp;L'!AQ100+'Detailed P&amp;L'!AQ134+'Detailed P&amp;L'!AQ169</f>
        <v>0</v>
      </c>
      <c r="AR66" s="47">
        <f ca="1">'Detailed P&amp;L'!AR63+'Detailed P&amp;L'!AR100+'Detailed P&amp;L'!AR134+'Detailed P&amp;L'!AR169</f>
        <v>0</v>
      </c>
      <c r="AS66" s="47">
        <f ca="1">'Detailed P&amp;L'!AS63+'Detailed P&amp;L'!AS100+'Detailed P&amp;L'!AS134+'Detailed P&amp;L'!AS169</f>
        <v>0</v>
      </c>
      <c r="AT66" s="47">
        <f ca="1">'Detailed P&amp;L'!AT63+'Detailed P&amp;L'!AT100+'Detailed P&amp;L'!AT134+'Detailed P&amp;L'!AT169</f>
        <v>0</v>
      </c>
      <c r="AU66" s="47">
        <f ca="1">'Detailed P&amp;L'!AU63+'Detailed P&amp;L'!AU100+'Detailed P&amp;L'!AU134+'Detailed P&amp;L'!AU169</f>
        <v>0</v>
      </c>
      <c r="AV66" s="47">
        <f ca="1">'Detailed P&amp;L'!AV63+'Detailed P&amp;L'!AV100+'Detailed P&amp;L'!AV134+'Detailed P&amp;L'!AV169</f>
        <v>0</v>
      </c>
      <c r="AW66" s="47">
        <f ca="1">'Detailed P&amp;L'!AW63+'Detailed P&amp;L'!AW100+'Detailed P&amp;L'!AW134+'Detailed P&amp;L'!AW169</f>
        <v>0</v>
      </c>
      <c r="AX66" s="47">
        <f ca="1">'Detailed P&amp;L'!AX63+'Detailed P&amp;L'!AX100+'Detailed P&amp;L'!AX134+'Detailed P&amp;L'!AX169</f>
        <v>0</v>
      </c>
      <c r="AY66" s="207">
        <f ca="1">'Detailed P&amp;L'!AY63+'Detailed P&amp;L'!AY100+'Detailed P&amp;L'!AY134+'Detailed P&amp;L'!AY169</f>
        <v>0</v>
      </c>
      <c r="BA66" s="236">
        <f ca="1">'Detailed P&amp;L'!BA63+'Detailed P&amp;L'!BA100+'Detailed P&amp;L'!BA134+'Detailed P&amp;L'!BA169</f>
        <v>0</v>
      </c>
      <c r="BB66" s="47">
        <f ca="1">'Detailed P&amp;L'!BB63+'Detailed P&amp;L'!BB100+'Detailed P&amp;L'!BB134+'Detailed P&amp;L'!BB169</f>
        <v>0</v>
      </c>
      <c r="BC66" s="207">
        <f ca="1">'Detailed P&amp;L'!BC63+'Detailed P&amp;L'!BC100+'Detailed P&amp;L'!BC134+'Detailed P&amp;L'!BC169</f>
        <v>0</v>
      </c>
    </row>
    <row r="67" spans="2:55" outlineLevel="1" x14ac:dyDescent="0.35">
      <c r="B67" s="46" t="s">
        <v>50</v>
      </c>
      <c r="C67" s="47">
        <f>'Detailed P&amp;L'!C64+'Detailed P&amp;L'!C101+'Detailed P&amp;L'!C135+'Detailed P&amp;L'!C170</f>
        <v>0</v>
      </c>
      <c r="D67" s="47">
        <f>'Detailed P&amp;L'!D64+'Detailed P&amp;L'!D101+'Detailed P&amp;L'!D135+'Detailed P&amp;L'!D170</f>
        <v>0</v>
      </c>
      <c r="E67" s="47">
        <f>'Detailed P&amp;L'!E64+'Detailed P&amp;L'!E101+'Detailed P&amp;L'!E135+'Detailed P&amp;L'!E170</f>
        <v>0</v>
      </c>
      <c r="F67" s="47">
        <f>'Detailed P&amp;L'!F64+'Detailed P&amp;L'!F101+'Detailed P&amp;L'!F135+'Detailed P&amp;L'!F170</f>
        <v>0</v>
      </c>
      <c r="G67" s="47">
        <f>'Detailed P&amp;L'!G64+'Detailed P&amp;L'!G101+'Detailed P&amp;L'!G135+'Detailed P&amp;L'!G170</f>
        <v>0</v>
      </c>
      <c r="H67" s="47">
        <f>'Detailed P&amp;L'!H64+'Detailed P&amp;L'!H101+'Detailed P&amp;L'!H135+'Detailed P&amp;L'!H170</f>
        <v>0</v>
      </c>
      <c r="I67" s="47">
        <f>'Detailed P&amp;L'!I64+'Detailed P&amp;L'!I101+'Detailed P&amp;L'!I135+'Detailed P&amp;L'!I170</f>
        <v>0</v>
      </c>
      <c r="J67" s="47">
        <f>'Detailed P&amp;L'!J64+'Detailed P&amp;L'!J101+'Detailed P&amp;L'!J135+'Detailed P&amp;L'!J170</f>
        <v>0</v>
      </c>
      <c r="K67" s="47">
        <f>'Detailed P&amp;L'!K64+'Detailed P&amp;L'!K101+'Detailed P&amp;L'!K135+'Detailed P&amp;L'!K170</f>
        <v>0</v>
      </c>
      <c r="L67" s="47">
        <f>'Detailed P&amp;L'!L64+'Detailed P&amp;L'!L101+'Detailed P&amp;L'!L135+'Detailed P&amp;L'!L170</f>
        <v>0</v>
      </c>
      <c r="M67" s="47">
        <f>'Detailed P&amp;L'!M64+'Detailed P&amp;L'!M101+'Detailed P&amp;L'!M135+'Detailed P&amp;L'!M170</f>
        <v>0</v>
      </c>
      <c r="N67" s="47">
        <f>'Detailed P&amp;L'!N64+'Detailed P&amp;L'!N101+'Detailed P&amp;L'!N135+'Detailed P&amp;L'!N170</f>
        <v>0</v>
      </c>
      <c r="O67" s="47">
        <f>'Detailed P&amp;L'!O64+'Detailed P&amp;L'!O101+'Detailed P&amp;L'!O135+'Detailed P&amp;L'!O170</f>
        <v>0</v>
      </c>
      <c r="P67" s="47">
        <f>'Detailed P&amp;L'!P64+'Detailed P&amp;L'!P101+'Detailed P&amp;L'!P135+'Detailed P&amp;L'!P170</f>
        <v>0</v>
      </c>
      <c r="Q67" s="47">
        <f>'Detailed P&amp;L'!Q64+'Detailed P&amp;L'!Q101+'Detailed P&amp;L'!Q135+'Detailed P&amp;L'!Q170</f>
        <v>0</v>
      </c>
      <c r="R67" s="47">
        <f>'Detailed P&amp;L'!R64+'Detailed P&amp;L'!R101+'Detailed P&amp;L'!R135+'Detailed P&amp;L'!R170</f>
        <v>0</v>
      </c>
      <c r="S67" s="47">
        <f>'Detailed P&amp;L'!S64+'Detailed P&amp;L'!S101+'Detailed P&amp;L'!S135+'Detailed P&amp;L'!S170</f>
        <v>0</v>
      </c>
      <c r="T67" s="47">
        <f>'Detailed P&amp;L'!T64+'Detailed P&amp;L'!T101+'Detailed P&amp;L'!T135+'Detailed P&amp;L'!T170</f>
        <v>0</v>
      </c>
      <c r="U67" s="47">
        <f>'Detailed P&amp;L'!U64+'Detailed P&amp;L'!U101+'Detailed P&amp;L'!U135+'Detailed P&amp;L'!U170</f>
        <v>0</v>
      </c>
      <c r="V67" s="47">
        <f>'Detailed P&amp;L'!V64+'Detailed P&amp;L'!V101+'Detailed P&amp;L'!V135+'Detailed P&amp;L'!V170</f>
        <v>0</v>
      </c>
      <c r="W67" s="47">
        <f>'Detailed P&amp;L'!W64+'Detailed P&amp;L'!W101+'Detailed P&amp;L'!W135+'Detailed P&amp;L'!W170</f>
        <v>0</v>
      </c>
      <c r="X67" s="47">
        <f>'Detailed P&amp;L'!X64+'Detailed P&amp;L'!X101+'Detailed P&amp;L'!X135+'Detailed P&amp;L'!X170</f>
        <v>0</v>
      </c>
      <c r="Y67" s="47">
        <f>'Detailed P&amp;L'!Y64+'Detailed P&amp;L'!Y101+'Detailed P&amp;L'!Y135+'Detailed P&amp;L'!Y170</f>
        <v>0</v>
      </c>
      <c r="Z67" s="47">
        <f>'Detailed P&amp;L'!Z64+'Detailed P&amp;L'!Z101+'Detailed P&amp;L'!Z135+'Detailed P&amp;L'!Z170</f>
        <v>0</v>
      </c>
      <c r="AA67" s="47">
        <f>'Detailed P&amp;L'!AA64+'Detailed P&amp;L'!AA101+'Detailed P&amp;L'!AA135+'Detailed P&amp;L'!AA170</f>
        <v>0</v>
      </c>
      <c r="AB67" s="47">
        <f>'Detailed P&amp;L'!AB64+'Detailed P&amp;L'!AB101+'Detailed P&amp;L'!AB135+'Detailed P&amp;L'!AB170</f>
        <v>0</v>
      </c>
      <c r="AC67" s="47">
        <f>'Detailed P&amp;L'!AC64+'Detailed P&amp;L'!AC101+'Detailed P&amp;L'!AC135+'Detailed P&amp;L'!AC170</f>
        <v>0</v>
      </c>
      <c r="AD67" s="47">
        <f>'Detailed P&amp;L'!AD64+'Detailed P&amp;L'!AD101+'Detailed P&amp;L'!AD135+'Detailed P&amp;L'!AD170</f>
        <v>0</v>
      </c>
      <c r="AE67" s="47">
        <f>'Detailed P&amp;L'!AE64+'Detailed P&amp;L'!AE101+'Detailed P&amp;L'!AE135+'Detailed P&amp;L'!AE170</f>
        <v>0</v>
      </c>
      <c r="AF67" s="47">
        <f>'Detailed P&amp;L'!AF64+'Detailed P&amp;L'!AF101+'Detailed P&amp;L'!AF135+'Detailed P&amp;L'!AF170</f>
        <v>0</v>
      </c>
      <c r="AG67" s="47">
        <f>'Detailed P&amp;L'!AG64+'Detailed P&amp;L'!AG101+'Detailed P&amp;L'!AG135+'Detailed P&amp;L'!AG170</f>
        <v>0</v>
      </c>
      <c r="AH67" s="47">
        <f>'Detailed P&amp;L'!AH64+'Detailed P&amp;L'!AH101+'Detailed P&amp;L'!AH135+'Detailed P&amp;L'!AH170</f>
        <v>0</v>
      </c>
      <c r="AI67" s="47">
        <f>'Detailed P&amp;L'!AI64+'Detailed P&amp;L'!AI101+'Detailed P&amp;L'!AI135+'Detailed P&amp;L'!AI170</f>
        <v>0</v>
      </c>
      <c r="AJ67" s="47">
        <f>'Detailed P&amp;L'!AJ64+'Detailed P&amp;L'!AJ101+'Detailed P&amp;L'!AJ135+'Detailed P&amp;L'!AJ170</f>
        <v>0</v>
      </c>
      <c r="AK67" s="47">
        <f>'Detailed P&amp;L'!AK64+'Detailed P&amp;L'!AK101+'Detailed P&amp;L'!AK135+'Detailed P&amp;L'!AK170</f>
        <v>0</v>
      </c>
      <c r="AL67" s="207">
        <f>'Detailed P&amp;L'!AL64+'Detailed P&amp;L'!AL101+'Detailed P&amp;L'!AL135+'Detailed P&amp;L'!AL170</f>
        <v>0</v>
      </c>
      <c r="AN67" s="236">
        <f ca="1">'Detailed P&amp;L'!AN64+'Detailed P&amp;L'!AN101+'Detailed P&amp;L'!AN135+'Detailed P&amp;L'!AN170</f>
        <v>0</v>
      </c>
      <c r="AO67" s="47">
        <f ca="1">'Detailed P&amp;L'!AO64+'Detailed P&amp;L'!AO101+'Detailed P&amp;L'!AO135+'Detailed P&amp;L'!AO170</f>
        <v>0</v>
      </c>
      <c r="AP67" s="47">
        <f ca="1">'Detailed P&amp;L'!AP64+'Detailed P&amp;L'!AP101+'Detailed P&amp;L'!AP135+'Detailed P&amp;L'!AP170</f>
        <v>0</v>
      </c>
      <c r="AQ67" s="47">
        <f ca="1">'Detailed P&amp;L'!AQ64+'Detailed P&amp;L'!AQ101+'Detailed P&amp;L'!AQ135+'Detailed P&amp;L'!AQ170</f>
        <v>0</v>
      </c>
      <c r="AR67" s="47">
        <f ca="1">'Detailed P&amp;L'!AR64+'Detailed P&amp;L'!AR101+'Detailed P&amp;L'!AR135+'Detailed P&amp;L'!AR170</f>
        <v>0</v>
      </c>
      <c r="AS67" s="47">
        <f ca="1">'Detailed P&amp;L'!AS64+'Detailed P&amp;L'!AS101+'Detailed P&amp;L'!AS135+'Detailed P&amp;L'!AS170</f>
        <v>0</v>
      </c>
      <c r="AT67" s="47">
        <f ca="1">'Detailed P&amp;L'!AT64+'Detailed P&amp;L'!AT101+'Detailed P&amp;L'!AT135+'Detailed P&amp;L'!AT170</f>
        <v>0</v>
      </c>
      <c r="AU67" s="47">
        <f ca="1">'Detailed P&amp;L'!AU64+'Detailed P&amp;L'!AU101+'Detailed P&amp;L'!AU135+'Detailed P&amp;L'!AU170</f>
        <v>0</v>
      </c>
      <c r="AV67" s="47">
        <f ca="1">'Detailed P&amp;L'!AV64+'Detailed P&amp;L'!AV101+'Detailed P&amp;L'!AV135+'Detailed P&amp;L'!AV170</f>
        <v>0</v>
      </c>
      <c r="AW67" s="47">
        <f ca="1">'Detailed P&amp;L'!AW64+'Detailed P&amp;L'!AW101+'Detailed P&amp;L'!AW135+'Detailed P&amp;L'!AW170</f>
        <v>0</v>
      </c>
      <c r="AX67" s="47">
        <f ca="1">'Detailed P&amp;L'!AX64+'Detailed P&amp;L'!AX101+'Detailed P&amp;L'!AX135+'Detailed P&amp;L'!AX170</f>
        <v>0</v>
      </c>
      <c r="AY67" s="207">
        <f ca="1">'Detailed P&amp;L'!AY64+'Detailed P&amp;L'!AY101+'Detailed P&amp;L'!AY135+'Detailed P&amp;L'!AY170</f>
        <v>0</v>
      </c>
      <c r="BA67" s="236">
        <f ca="1">'Detailed P&amp;L'!BA64+'Detailed P&amp;L'!BA101+'Detailed P&amp;L'!BA135+'Detailed P&amp;L'!BA170</f>
        <v>0</v>
      </c>
      <c r="BB67" s="47">
        <f ca="1">'Detailed P&amp;L'!BB64+'Detailed P&amp;L'!BB101+'Detailed P&amp;L'!BB135+'Detailed P&amp;L'!BB170</f>
        <v>0</v>
      </c>
      <c r="BC67" s="207">
        <f ca="1">'Detailed P&amp;L'!BC64+'Detailed P&amp;L'!BC101+'Detailed P&amp;L'!BC135+'Detailed P&amp;L'!BC170</f>
        <v>0</v>
      </c>
    </row>
    <row r="68" spans="2:55" outlineLevel="1" x14ac:dyDescent="0.35">
      <c r="B68" s="46" t="s">
        <v>51</v>
      </c>
      <c r="C68" s="47">
        <f>'Detailed P&amp;L'!C65+'Detailed P&amp;L'!C102+'Detailed P&amp;L'!C136+'Detailed P&amp;L'!C171</f>
        <v>0</v>
      </c>
      <c r="D68" s="47">
        <f>'Detailed P&amp;L'!D65+'Detailed P&amp;L'!D102+'Detailed P&amp;L'!D136+'Detailed P&amp;L'!D171</f>
        <v>0</v>
      </c>
      <c r="E68" s="47">
        <f>'Detailed P&amp;L'!E65+'Detailed P&amp;L'!E102+'Detailed P&amp;L'!E136+'Detailed P&amp;L'!E171</f>
        <v>0</v>
      </c>
      <c r="F68" s="47">
        <f>'Detailed P&amp;L'!F65+'Detailed P&amp;L'!F102+'Detailed P&amp;L'!F136+'Detailed P&amp;L'!F171</f>
        <v>0</v>
      </c>
      <c r="G68" s="47">
        <f>'Detailed P&amp;L'!G65+'Detailed P&amp;L'!G102+'Detailed P&amp;L'!G136+'Detailed P&amp;L'!G171</f>
        <v>0</v>
      </c>
      <c r="H68" s="47">
        <f>'Detailed P&amp;L'!H65+'Detailed P&amp;L'!H102+'Detailed P&amp;L'!H136+'Detailed P&amp;L'!H171</f>
        <v>0</v>
      </c>
      <c r="I68" s="47">
        <f>'Detailed P&amp;L'!I65+'Detailed P&amp;L'!I102+'Detailed P&amp;L'!I136+'Detailed P&amp;L'!I171</f>
        <v>0</v>
      </c>
      <c r="J68" s="47">
        <f>'Detailed P&amp;L'!J65+'Detailed P&amp;L'!J102+'Detailed P&amp;L'!J136+'Detailed P&amp;L'!J171</f>
        <v>0</v>
      </c>
      <c r="K68" s="47">
        <f>'Detailed P&amp;L'!K65+'Detailed P&amp;L'!K102+'Detailed P&amp;L'!K136+'Detailed P&amp;L'!K171</f>
        <v>0</v>
      </c>
      <c r="L68" s="47">
        <f>'Detailed P&amp;L'!L65+'Detailed P&amp;L'!L102+'Detailed P&amp;L'!L136+'Detailed P&amp;L'!L171</f>
        <v>0</v>
      </c>
      <c r="M68" s="47">
        <f>'Detailed P&amp;L'!M65+'Detailed P&amp;L'!M102+'Detailed P&amp;L'!M136+'Detailed P&amp;L'!M171</f>
        <v>0</v>
      </c>
      <c r="N68" s="47">
        <f>'Detailed P&amp;L'!N65+'Detailed P&amp;L'!N102+'Detailed P&amp;L'!N136+'Detailed P&amp;L'!N171</f>
        <v>0</v>
      </c>
      <c r="O68" s="47">
        <f>'Detailed P&amp;L'!O65+'Detailed P&amp;L'!O102+'Detailed P&amp;L'!O136+'Detailed P&amp;L'!O171</f>
        <v>0</v>
      </c>
      <c r="P68" s="47">
        <f>'Detailed P&amp;L'!P65+'Detailed P&amp;L'!P102+'Detailed P&amp;L'!P136+'Detailed P&amp;L'!P171</f>
        <v>0</v>
      </c>
      <c r="Q68" s="47">
        <f>'Detailed P&amp;L'!Q65+'Detailed P&amp;L'!Q102+'Detailed P&amp;L'!Q136+'Detailed P&amp;L'!Q171</f>
        <v>0</v>
      </c>
      <c r="R68" s="47">
        <f>'Detailed P&amp;L'!R65+'Detailed P&amp;L'!R102+'Detailed P&amp;L'!R136+'Detailed P&amp;L'!R171</f>
        <v>0</v>
      </c>
      <c r="S68" s="47">
        <f>'Detailed P&amp;L'!S65+'Detailed P&amp;L'!S102+'Detailed P&amp;L'!S136+'Detailed P&amp;L'!S171</f>
        <v>0</v>
      </c>
      <c r="T68" s="47">
        <f>'Detailed P&amp;L'!T65+'Detailed P&amp;L'!T102+'Detailed P&amp;L'!T136+'Detailed P&amp;L'!T171</f>
        <v>0</v>
      </c>
      <c r="U68" s="47">
        <f>'Detailed P&amp;L'!U65+'Detailed P&amp;L'!U102+'Detailed P&amp;L'!U136+'Detailed P&amp;L'!U171</f>
        <v>0</v>
      </c>
      <c r="V68" s="47">
        <f>'Detailed P&amp;L'!V65+'Detailed P&amp;L'!V102+'Detailed P&amp;L'!V136+'Detailed P&amp;L'!V171</f>
        <v>0</v>
      </c>
      <c r="W68" s="47">
        <f>'Detailed P&amp;L'!W65+'Detailed P&amp;L'!W102+'Detailed P&amp;L'!W136+'Detailed P&amp;L'!W171</f>
        <v>0</v>
      </c>
      <c r="X68" s="47">
        <f>'Detailed P&amp;L'!X65+'Detailed P&amp;L'!X102+'Detailed P&amp;L'!X136+'Detailed P&amp;L'!X171</f>
        <v>0</v>
      </c>
      <c r="Y68" s="47">
        <f>'Detailed P&amp;L'!Y65+'Detailed P&amp;L'!Y102+'Detailed P&amp;L'!Y136+'Detailed P&amp;L'!Y171</f>
        <v>0</v>
      </c>
      <c r="Z68" s="47">
        <f>'Detailed P&amp;L'!Z65+'Detailed P&amp;L'!Z102+'Detailed P&amp;L'!Z136+'Detailed P&amp;L'!Z171</f>
        <v>0</v>
      </c>
      <c r="AA68" s="47">
        <f>'Detailed P&amp;L'!AA65+'Detailed P&amp;L'!AA102+'Detailed P&amp;L'!AA136+'Detailed P&amp;L'!AA171</f>
        <v>0</v>
      </c>
      <c r="AB68" s="47">
        <f>'Detailed P&amp;L'!AB65+'Detailed P&amp;L'!AB102+'Detailed P&amp;L'!AB136+'Detailed P&amp;L'!AB171</f>
        <v>0</v>
      </c>
      <c r="AC68" s="47">
        <f>'Detailed P&amp;L'!AC65+'Detailed P&amp;L'!AC102+'Detailed P&amp;L'!AC136+'Detailed P&amp;L'!AC171</f>
        <v>0</v>
      </c>
      <c r="AD68" s="47">
        <f>'Detailed P&amp;L'!AD65+'Detailed P&amp;L'!AD102+'Detailed P&amp;L'!AD136+'Detailed P&amp;L'!AD171</f>
        <v>0</v>
      </c>
      <c r="AE68" s="47">
        <f>'Detailed P&amp;L'!AE65+'Detailed P&amp;L'!AE102+'Detailed P&amp;L'!AE136+'Detailed P&amp;L'!AE171</f>
        <v>0</v>
      </c>
      <c r="AF68" s="47">
        <f>'Detailed P&amp;L'!AF65+'Detailed P&amp;L'!AF102+'Detailed P&amp;L'!AF136+'Detailed P&amp;L'!AF171</f>
        <v>0</v>
      </c>
      <c r="AG68" s="47">
        <f>'Detailed P&amp;L'!AG65+'Detailed P&amp;L'!AG102+'Detailed P&amp;L'!AG136+'Detailed P&amp;L'!AG171</f>
        <v>0</v>
      </c>
      <c r="AH68" s="47">
        <f>'Detailed P&amp;L'!AH65+'Detailed P&amp;L'!AH102+'Detailed P&amp;L'!AH136+'Detailed P&amp;L'!AH171</f>
        <v>0</v>
      </c>
      <c r="AI68" s="47">
        <f>'Detailed P&amp;L'!AI65+'Detailed P&amp;L'!AI102+'Detailed P&amp;L'!AI136+'Detailed P&amp;L'!AI171</f>
        <v>0</v>
      </c>
      <c r="AJ68" s="47">
        <f>'Detailed P&amp;L'!AJ65+'Detailed P&amp;L'!AJ102+'Detailed P&amp;L'!AJ136+'Detailed P&amp;L'!AJ171</f>
        <v>0</v>
      </c>
      <c r="AK68" s="47">
        <f>'Detailed P&amp;L'!AK65+'Detailed P&amp;L'!AK102+'Detailed P&amp;L'!AK136+'Detailed P&amp;L'!AK171</f>
        <v>0</v>
      </c>
      <c r="AL68" s="207">
        <f>'Detailed P&amp;L'!AL65+'Detailed P&amp;L'!AL102+'Detailed P&amp;L'!AL136+'Detailed P&amp;L'!AL171</f>
        <v>0</v>
      </c>
      <c r="AN68" s="236">
        <f ca="1">'Detailed P&amp;L'!AN65+'Detailed P&amp;L'!AN102+'Detailed P&amp;L'!AN136+'Detailed P&amp;L'!AN171</f>
        <v>0</v>
      </c>
      <c r="AO68" s="47">
        <f ca="1">'Detailed P&amp;L'!AO65+'Detailed P&amp;L'!AO102+'Detailed P&amp;L'!AO136+'Detailed P&amp;L'!AO171</f>
        <v>0</v>
      </c>
      <c r="AP68" s="47">
        <f ca="1">'Detailed P&amp;L'!AP65+'Detailed P&amp;L'!AP102+'Detailed P&amp;L'!AP136+'Detailed P&amp;L'!AP171</f>
        <v>0</v>
      </c>
      <c r="AQ68" s="47">
        <f ca="1">'Detailed P&amp;L'!AQ65+'Detailed P&amp;L'!AQ102+'Detailed P&amp;L'!AQ136+'Detailed P&amp;L'!AQ171</f>
        <v>0</v>
      </c>
      <c r="AR68" s="47">
        <f ca="1">'Detailed P&amp;L'!AR65+'Detailed P&amp;L'!AR102+'Detailed P&amp;L'!AR136+'Detailed P&amp;L'!AR171</f>
        <v>0</v>
      </c>
      <c r="AS68" s="47">
        <f ca="1">'Detailed P&amp;L'!AS65+'Detailed P&amp;L'!AS102+'Detailed P&amp;L'!AS136+'Detailed P&amp;L'!AS171</f>
        <v>0</v>
      </c>
      <c r="AT68" s="47">
        <f ca="1">'Detailed P&amp;L'!AT65+'Detailed P&amp;L'!AT102+'Detailed P&amp;L'!AT136+'Detailed P&amp;L'!AT171</f>
        <v>0</v>
      </c>
      <c r="AU68" s="47">
        <f ca="1">'Detailed P&amp;L'!AU65+'Detailed P&amp;L'!AU102+'Detailed P&amp;L'!AU136+'Detailed P&amp;L'!AU171</f>
        <v>0</v>
      </c>
      <c r="AV68" s="47">
        <f ca="1">'Detailed P&amp;L'!AV65+'Detailed P&amp;L'!AV102+'Detailed P&amp;L'!AV136+'Detailed P&amp;L'!AV171</f>
        <v>0</v>
      </c>
      <c r="AW68" s="47">
        <f ca="1">'Detailed P&amp;L'!AW65+'Detailed P&amp;L'!AW102+'Detailed P&amp;L'!AW136+'Detailed P&amp;L'!AW171</f>
        <v>0</v>
      </c>
      <c r="AX68" s="47">
        <f ca="1">'Detailed P&amp;L'!AX65+'Detailed P&amp;L'!AX102+'Detailed P&amp;L'!AX136+'Detailed P&amp;L'!AX171</f>
        <v>0</v>
      </c>
      <c r="AY68" s="207">
        <f ca="1">'Detailed P&amp;L'!AY65+'Detailed P&amp;L'!AY102+'Detailed P&amp;L'!AY136+'Detailed P&amp;L'!AY171</f>
        <v>0</v>
      </c>
      <c r="BA68" s="236">
        <f ca="1">'Detailed P&amp;L'!BA65+'Detailed P&amp;L'!BA102+'Detailed P&amp;L'!BA136+'Detailed P&amp;L'!BA171</f>
        <v>0</v>
      </c>
      <c r="BB68" s="47">
        <f ca="1">'Detailed P&amp;L'!BB65+'Detailed P&amp;L'!BB102+'Detailed P&amp;L'!BB136+'Detailed P&amp;L'!BB171</f>
        <v>0</v>
      </c>
      <c r="BC68" s="207">
        <f ca="1">'Detailed P&amp;L'!BC65+'Detailed P&amp;L'!BC102+'Detailed P&amp;L'!BC136+'Detailed P&amp;L'!BC171</f>
        <v>0</v>
      </c>
    </row>
    <row r="69" spans="2:55" outlineLevel="1" x14ac:dyDescent="0.35">
      <c r="B69" s="46" t="s">
        <v>52</v>
      </c>
      <c r="C69" s="47">
        <f>'Detailed P&amp;L'!C66+'Detailed P&amp;L'!C103+'Detailed P&amp;L'!C137+'Detailed P&amp;L'!C172</f>
        <v>0</v>
      </c>
      <c r="D69" s="47">
        <f>'Detailed P&amp;L'!D66+'Detailed P&amp;L'!D103+'Detailed P&amp;L'!D137+'Detailed P&amp;L'!D172</f>
        <v>0</v>
      </c>
      <c r="E69" s="47">
        <f>'Detailed P&amp;L'!E66+'Detailed P&amp;L'!E103+'Detailed P&amp;L'!E137+'Detailed P&amp;L'!E172</f>
        <v>0</v>
      </c>
      <c r="F69" s="47">
        <f>'Detailed P&amp;L'!F66+'Detailed P&amp;L'!F103+'Detailed P&amp;L'!F137+'Detailed P&amp;L'!F172</f>
        <v>0</v>
      </c>
      <c r="G69" s="47">
        <f>'Detailed P&amp;L'!G66+'Detailed P&amp;L'!G103+'Detailed P&amp;L'!G137+'Detailed P&amp;L'!G172</f>
        <v>0</v>
      </c>
      <c r="H69" s="47">
        <f>'Detailed P&amp;L'!H66+'Detailed P&amp;L'!H103+'Detailed P&amp;L'!H137+'Detailed P&amp;L'!H172</f>
        <v>0</v>
      </c>
      <c r="I69" s="47">
        <f>'Detailed P&amp;L'!I66+'Detailed P&amp;L'!I103+'Detailed P&amp;L'!I137+'Detailed P&amp;L'!I172</f>
        <v>0</v>
      </c>
      <c r="J69" s="47">
        <f>'Detailed P&amp;L'!J66+'Detailed P&amp;L'!J103+'Detailed P&amp;L'!J137+'Detailed P&amp;L'!J172</f>
        <v>0</v>
      </c>
      <c r="K69" s="47">
        <f>'Detailed P&amp;L'!K66+'Detailed P&amp;L'!K103+'Detailed P&amp;L'!K137+'Detailed P&amp;L'!K172</f>
        <v>0</v>
      </c>
      <c r="L69" s="47">
        <f>'Detailed P&amp;L'!L66+'Detailed P&amp;L'!L103+'Detailed P&amp;L'!L137+'Detailed P&amp;L'!L172</f>
        <v>0</v>
      </c>
      <c r="M69" s="47">
        <f>'Detailed P&amp;L'!M66+'Detailed P&amp;L'!M103+'Detailed P&amp;L'!M137+'Detailed P&amp;L'!M172</f>
        <v>0</v>
      </c>
      <c r="N69" s="47">
        <f>'Detailed P&amp;L'!N66+'Detailed P&amp;L'!N103+'Detailed P&amp;L'!N137+'Detailed P&amp;L'!N172</f>
        <v>0</v>
      </c>
      <c r="O69" s="47">
        <f>'Detailed P&amp;L'!O66+'Detailed P&amp;L'!O103+'Detailed P&amp;L'!O137+'Detailed P&amp;L'!O172</f>
        <v>0</v>
      </c>
      <c r="P69" s="47">
        <f>'Detailed P&amp;L'!P66+'Detailed P&amp;L'!P103+'Detailed P&amp;L'!P137+'Detailed P&amp;L'!P172</f>
        <v>0</v>
      </c>
      <c r="Q69" s="47">
        <f>'Detailed P&amp;L'!Q66+'Detailed P&amp;L'!Q103+'Detailed P&amp;L'!Q137+'Detailed P&amp;L'!Q172</f>
        <v>0</v>
      </c>
      <c r="R69" s="47">
        <f>'Detailed P&amp;L'!R66+'Detailed P&amp;L'!R103+'Detailed P&amp;L'!R137+'Detailed P&amp;L'!R172</f>
        <v>0</v>
      </c>
      <c r="S69" s="47">
        <f>'Detailed P&amp;L'!S66+'Detailed P&amp;L'!S103+'Detailed P&amp;L'!S137+'Detailed P&amp;L'!S172</f>
        <v>0</v>
      </c>
      <c r="T69" s="47">
        <f>'Detailed P&amp;L'!T66+'Detailed P&amp;L'!T103+'Detailed P&amp;L'!T137+'Detailed P&amp;L'!T172</f>
        <v>0</v>
      </c>
      <c r="U69" s="47">
        <f>'Detailed P&amp;L'!U66+'Detailed P&amp;L'!U103+'Detailed P&amp;L'!U137+'Detailed P&amp;L'!U172</f>
        <v>0</v>
      </c>
      <c r="V69" s="47">
        <f>'Detailed P&amp;L'!V66+'Detailed P&amp;L'!V103+'Detailed P&amp;L'!V137+'Detailed P&amp;L'!V172</f>
        <v>0</v>
      </c>
      <c r="W69" s="47">
        <f>'Detailed P&amp;L'!W66+'Detailed P&amp;L'!W103+'Detailed P&amp;L'!W137+'Detailed P&amp;L'!W172</f>
        <v>0</v>
      </c>
      <c r="X69" s="47">
        <f>'Detailed P&amp;L'!X66+'Detailed P&amp;L'!X103+'Detailed P&amp;L'!X137+'Detailed P&amp;L'!X172</f>
        <v>0</v>
      </c>
      <c r="Y69" s="47">
        <f>'Detailed P&amp;L'!Y66+'Detailed P&amp;L'!Y103+'Detailed P&amp;L'!Y137+'Detailed P&amp;L'!Y172</f>
        <v>0</v>
      </c>
      <c r="Z69" s="47">
        <f>'Detailed P&amp;L'!Z66+'Detailed P&amp;L'!Z103+'Detailed P&amp;L'!Z137+'Detailed P&amp;L'!Z172</f>
        <v>0</v>
      </c>
      <c r="AA69" s="47">
        <f>'Detailed P&amp;L'!AA66+'Detailed P&amp;L'!AA103+'Detailed P&amp;L'!AA137+'Detailed P&amp;L'!AA172</f>
        <v>0</v>
      </c>
      <c r="AB69" s="47">
        <f>'Detailed P&amp;L'!AB66+'Detailed P&amp;L'!AB103+'Detailed P&amp;L'!AB137+'Detailed P&amp;L'!AB172</f>
        <v>0</v>
      </c>
      <c r="AC69" s="47">
        <f>'Detailed P&amp;L'!AC66+'Detailed P&amp;L'!AC103+'Detailed P&amp;L'!AC137+'Detailed P&amp;L'!AC172</f>
        <v>0</v>
      </c>
      <c r="AD69" s="47">
        <f>'Detailed P&amp;L'!AD66+'Detailed P&amp;L'!AD103+'Detailed P&amp;L'!AD137+'Detailed P&amp;L'!AD172</f>
        <v>0</v>
      </c>
      <c r="AE69" s="47">
        <f>'Detailed P&amp;L'!AE66+'Detailed P&amp;L'!AE103+'Detailed P&amp;L'!AE137+'Detailed P&amp;L'!AE172</f>
        <v>0</v>
      </c>
      <c r="AF69" s="47">
        <f>'Detailed P&amp;L'!AF66+'Detailed P&amp;L'!AF103+'Detailed P&amp;L'!AF137+'Detailed P&amp;L'!AF172</f>
        <v>0</v>
      </c>
      <c r="AG69" s="47">
        <f>'Detailed P&amp;L'!AG66+'Detailed P&amp;L'!AG103+'Detailed P&amp;L'!AG137+'Detailed P&amp;L'!AG172</f>
        <v>0</v>
      </c>
      <c r="AH69" s="47">
        <f>'Detailed P&amp;L'!AH66+'Detailed P&amp;L'!AH103+'Detailed P&amp;L'!AH137+'Detailed P&amp;L'!AH172</f>
        <v>0</v>
      </c>
      <c r="AI69" s="47">
        <f>'Detailed P&amp;L'!AI66+'Detailed P&amp;L'!AI103+'Detailed P&amp;L'!AI137+'Detailed P&amp;L'!AI172</f>
        <v>0</v>
      </c>
      <c r="AJ69" s="47">
        <f>'Detailed P&amp;L'!AJ66+'Detailed P&amp;L'!AJ103+'Detailed P&amp;L'!AJ137+'Detailed P&amp;L'!AJ172</f>
        <v>0</v>
      </c>
      <c r="AK69" s="47">
        <f>'Detailed P&amp;L'!AK66+'Detailed P&amp;L'!AK103+'Detailed P&amp;L'!AK137+'Detailed P&amp;L'!AK172</f>
        <v>0</v>
      </c>
      <c r="AL69" s="207">
        <f>'Detailed P&amp;L'!AL66+'Detailed P&amp;L'!AL103+'Detailed P&amp;L'!AL137+'Detailed P&amp;L'!AL172</f>
        <v>0</v>
      </c>
      <c r="AN69" s="236">
        <f ca="1">'Detailed P&amp;L'!AN66+'Detailed P&amp;L'!AN103+'Detailed P&amp;L'!AN137+'Detailed P&amp;L'!AN172</f>
        <v>0</v>
      </c>
      <c r="AO69" s="47">
        <f ca="1">'Detailed P&amp;L'!AO66+'Detailed P&amp;L'!AO103+'Detailed P&amp;L'!AO137+'Detailed P&amp;L'!AO172</f>
        <v>0</v>
      </c>
      <c r="AP69" s="47">
        <f ca="1">'Detailed P&amp;L'!AP66+'Detailed P&amp;L'!AP103+'Detailed P&amp;L'!AP137+'Detailed P&amp;L'!AP172</f>
        <v>0</v>
      </c>
      <c r="AQ69" s="47">
        <f ca="1">'Detailed P&amp;L'!AQ66+'Detailed P&amp;L'!AQ103+'Detailed P&amp;L'!AQ137+'Detailed P&amp;L'!AQ172</f>
        <v>0</v>
      </c>
      <c r="AR69" s="47">
        <f ca="1">'Detailed P&amp;L'!AR66+'Detailed P&amp;L'!AR103+'Detailed P&amp;L'!AR137+'Detailed P&amp;L'!AR172</f>
        <v>0</v>
      </c>
      <c r="AS69" s="47">
        <f ca="1">'Detailed P&amp;L'!AS66+'Detailed P&amp;L'!AS103+'Detailed P&amp;L'!AS137+'Detailed P&amp;L'!AS172</f>
        <v>0</v>
      </c>
      <c r="AT69" s="47">
        <f ca="1">'Detailed P&amp;L'!AT66+'Detailed P&amp;L'!AT103+'Detailed P&amp;L'!AT137+'Detailed P&amp;L'!AT172</f>
        <v>0</v>
      </c>
      <c r="AU69" s="47">
        <f ca="1">'Detailed P&amp;L'!AU66+'Detailed P&amp;L'!AU103+'Detailed P&amp;L'!AU137+'Detailed P&amp;L'!AU172</f>
        <v>0</v>
      </c>
      <c r="AV69" s="47">
        <f ca="1">'Detailed P&amp;L'!AV66+'Detailed P&amp;L'!AV103+'Detailed P&amp;L'!AV137+'Detailed P&amp;L'!AV172</f>
        <v>0</v>
      </c>
      <c r="AW69" s="47">
        <f ca="1">'Detailed P&amp;L'!AW66+'Detailed P&amp;L'!AW103+'Detailed P&amp;L'!AW137+'Detailed P&amp;L'!AW172</f>
        <v>0</v>
      </c>
      <c r="AX69" s="47">
        <f ca="1">'Detailed P&amp;L'!AX66+'Detailed P&amp;L'!AX103+'Detailed P&amp;L'!AX137+'Detailed P&amp;L'!AX172</f>
        <v>0</v>
      </c>
      <c r="AY69" s="207">
        <f ca="1">'Detailed P&amp;L'!AY66+'Detailed P&amp;L'!AY103+'Detailed P&amp;L'!AY137+'Detailed P&amp;L'!AY172</f>
        <v>0</v>
      </c>
      <c r="BA69" s="236">
        <f ca="1">'Detailed P&amp;L'!BA66+'Detailed P&amp;L'!BA103+'Detailed P&amp;L'!BA137+'Detailed P&amp;L'!BA172</f>
        <v>0</v>
      </c>
      <c r="BB69" s="47">
        <f ca="1">'Detailed P&amp;L'!BB66+'Detailed P&amp;L'!BB103+'Detailed P&amp;L'!BB137+'Detailed P&amp;L'!BB172</f>
        <v>0</v>
      </c>
      <c r="BC69" s="207">
        <f ca="1">'Detailed P&amp;L'!BC66+'Detailed P&amp;L'!BC103+'Detailed P&amp;L'!BC137+'Detailed P&amp;L'!BC172</f>
        <v>0</v>
      </c>
    </row>
    <row r="70" spans="2:55" outlineLevel="1" x14ac:dyDescent="0.35">
      <c r="B70" s="46" t="s">
        <v>53</v>
      </c>
      <c r="C70" s="47">
        <f>'Detailed P&amp;L'!C67+'Detailed P&amp;L'!C104+'Detailed P&amp;L'!C138+'Detailed P&amp;L'!C173</f>
        <v>0</v>
      </c>
      <c r="D70" s="47">
        <f>'Detailed P&amp;L'!D67+'Detailed P&amp;L'!D104+'Detailed P&amp;L'!D138+'Detailed P&amp;L'!D173</f>
        <v>0</v>
      </c>
      <c r="E70" s="47">
        <f>'Detailed P&amp;L'!E67+'Detailed P&amp;L'!E104+'Detailed P&amp;L'!E138+'Detailed P&amp;L'!E173</f>
        <v>0</v>
      </c>
      <c r="F70" s="47">
        <f>'Detailed P&amp;L'!F67+'Detailed P&amp;L'!F104+'Detailed P&amp;L'!F138+'Detailed P&amp;L'!F173</f>
        <v>0</v>
      </c>
      <c r="G70" s="47">
        <f>'Detailed P&amp;L'!G67+'Detailed P&amp;L'!G104+'Detailed P&amp;L'!G138+'Detailed P&amp;L'!G173</f>
        <v>0</v>
      </c>
      <c r="H70" s="47">
        <f>'Detailed P&amp;L'!H67+'Detailed P&amp;L'!H104+'Detailed P&amp;L'!H138+'Detailed P&amp;L'!H173</f>
        <v>0</v>
      </c>
      <c r="I70" s="47">
        <f>'Detailed P&amp;L'!I67+'Detailed P&amp;L'!I104+'Detailed P&amp;L'!I138+'Detailed P&amp;L'!I173</f>
        <v>0</v>
      </c>
      <c r="J70" s="47">
        <f>'Detailed P&amp;L'!J67+'Detailed P&amp;L'!J104+'Detailed P&amp;L'!J138+'Detailed P&amp;L'!J173</f>
        <v>0</v>
      </c>
      <c r="K70" s="47">
        <f>'Detailed P&amp;L'!K67+'Detailed P&amp;L'!K104+'Detailed P&amp;L'!K138+'Detailed P&amp;L'!K173</f>
        <v>0</v>
      </c>
      <c r="L70" s="47">
        <f>'Detailed P&amp;L'!L67+'Detailed P&amp;L'!L104+'Detailed P&amp;L'!L138+'Detailed P&amp;L'!L173</f>
        <v>0</v>
      </c>
      <c r="M70" s="47">
        <f>'Detailed P&amp;L'!M67+'Detailed P&amp;L'!M104+'Detailed P&amp;L'!M138+'Detailed P&amp;L'!M173</f>
        <v>0</v>
      </c>
      <c r="N70" s="47">
        <f>'Detailed P&amp;L'!N67+'Detailed P&amp;L'!N104+'Detailed P&amp;L'!N138+'Detailed P&amp;L'!N173</f>
        <v>0</v>
      </c>
      <c r="O70" s="47">
        <f>'Detailed P&amp;L'!O67+'Detailed P&amp;L'!O104+'Detailed P&amp;L'!O138+'Detailed P&amp;L'!O173</f>
        <v>0</v>
      </c>
      <c r="P70" s="47">
        <f>'Detailed P&amp;L'!P67+'Detailed P&amp;L'!P104+'Detailed P&amp;L'!P138+'Detailed P&amp;L'!P173</f>
        <v>0</v>
      </c>
      <c r="Q70" s="47">
        <f>'Detailed P&amp;L'!Q67+'Detailed P&amp;L'!Q104+'Detailed P&amp;L'!Q138+'Detailed P&amp;L'!Q173</f>
        <v>0</v>
      </c>
      <c r="R70" s="47">
        <f>'Detailed P&amp;L'!R67+'Detailed P&amp;L'!R104+'Detailed P&amp;L'!R138+'Detailed P&amp;L'!R173</f>
        <v>0</v>
      </c>
      <c r="S70" s="47">
        <f>'Detailed P&amp;L'!S67+'Detailed P&amp;L'!S104+'Detailed P&amp;L'!S138+'Detailed P&amp;L'!S173</f>
        <v>0</v>
      </c>
      <c r="T70" s="47">
        <f>'Detailed P&amp;L'!T67+'Detailed P&amp;L'!T104+'Detailed P&amp;L'!T138+'Detailed P&amp;L'!T173</f>
        <v>0</v>
      </c>
      <c r="U70" s="47">
        <f>'Detailed P&amp;L'!U67+'Detailed P&amp;L'!U104+'Detailed P&amp;L'!U138+'Detailed P&amp;L'!U173</f>
        <v>0</v>
      </c>
      <c r="V70" s="47">
        <f>'Detailed P&amp;L'!V67+'Detailed P&amp;L'!V104+'Detailed P&amp;L'!V138+'Detailed P&amp;L'!V173</f>
        <v>0</v>
      </c>
      <c r="W70" s="47">
        <f>'Detailed P&amp;L'!W67+'Detailed P&amp;L'!W104+'Detailed P&amp;L'!W138+'Detailed P&amp;L'!W173</f>
        <v>0</v>
      </c>
      <c r="X70" s="47">
        <f>'Detailed P&amp;L'!X67+'Detailed P&amp;L'!X104+'Detailed P&amp;L'!X138+'Detailed P&amp;L'!X173</f>
        <v>0</v>
      </c>
      <c r="Y70" s="47">
        <f>'Detailed P&amp;L'!Y67+'Detailed P&amp;L'!Y104+'Detailed P&amp;L'!Y138+'Detailed P&amp;L'!Y173</f>
        <v>0</v>
      </c>
      <c r="Z70" s="47">
        <f>'Detailed P&amp;L'!Z67+'Detailed P&amp;L'!Z104+'Detailed P&amp;L'!Z138+'Detailed P&amp;L'!Z173</f>
        <v>0</v>
      </c>
      <c r="AA70" s="47">
        <f>'Detailed P&amp;L'!AA67+'Detailed P&amp;L'!AA104+'Detailed P&amp;L'!AA138+'Detailed P&amp;L'!AA173</f>
        <v>0</v>
      </c>
      <c r="AB70" s="47">
        <f>'Detailed P&amp;L'!AB67+'Detailed P&amp;L'!AB104+'Detailed P&amp;L'!AB138+'Detailed P&amp;L'!AB173</f>
        <v>0</v>
      </c>
      <c r="AC70" s="47">
        <f>'Detailed P&amp;L'!AC67+'Detailed P&amp;L'!AC104+'Detailed P&amp;L'!AC138+'Detailed P&amp;L'!AC173</f>
        <v>0</v>
      </c>
      <c r="AD70" s="47">
        <f>'Detailed P&amp;L'!AD67+'Detailed P&amp;L'!AD104+'Detailed P&amp;L'!AD138+'Detailed P&amp;L'!AD173</f>
        <v>0</v>
      </c>
      <c r="AE70" s="47">
        <f>'Detailed P&amp;L'!AE67+'Detailed P&amp;L'!AE104+'Detailed P&amp;L'!AE138+'Detailed P&amp;L'!AE173</f>
        <v>0</v>
      </c>
      <c r="AF70" s="47">
        <f>'Detailed P&amp;L'!AF67+'Detailed P&amp;L'!AF104+'Detailed P&amp;L'!AF138+'Detailed P&amp;L'!AF173</f>
        <v>0</v>
      </c>
      <c r="AG70" s="47">
        <f>'Detailed P&amp;L'!AG67+'Detailed P&amp;L'!AG104+'Detailed P&amp;L'!AG138+'Detailed P&amp;L'!AG173</f>
        <v>0</v>
      </c>
      <c r="AH70" s="47">
        <f>'Detailed P&amp;L'!AH67+'Detailed P&amp;L'!AH104+'Detailed P&amp;L'!AH138+'Detailed P&amp;L'!AH173</f>
        <v>0</v>
      </c>
      <c r="AI70" s="47">
        <f>'Detailed P&amp;L'!AI67+'Detailed P&amp;L'!AI104+'Detailed P&amp;L'!AI138+'Detailed P&amp;L'!AI173</f>
        <v>0</v>
      </c>
      <c r="AJ70" s="47">
        <f>'Detailed P&amp;L'!AJ67+'Detailed P&amp;L'!AJ104+'Detailed P&amp;L'!AJ138+'Detailed P&amp;L'!AJ173</f>
        <v>0</v>
      </c>
      <c r="AK70" s="47">
        <f>'Detailed P&amp;L'!AK67+'Detailed P&amp;L'!AK104+'Detailed P&amp;L'!AK138+'Detailed P&amp;L'!AK173</f>
        <v>0</v>
      </c>
      <c r="AL70" s="207">
        <f>'Detailed P&amp;L'!AL67+'Detailed P&amp;L'!AL104+'Detailed P&amp;L'!AL138+'Detailed P&amp;L'!AL173</f>
        <v>0</v>
      </c>
      <c r="AN70" s="236">
        <f ca="1">'Detailed P&amp;L'!AN67+'Detailed P&amp;L'!AN104+'Detailed P&amp;L'!AN138+'Detailed P&amp;L'!AN173</f>
        <v>0</v>
      </c>
      <c r="AO70" s="47">
        <f ca="1">'Detailed P&amp;L'!AO67+'Detailed P&amp;L'!AO104+'Detailed P&amp;L'!AO138+'Detailed P&amp;L'!AO173</f>
        <v>0</v>
      </c>
      <c r="AP70" s="47">
        <f ca="1">'Detailed P&amp;L'!AP67+'Detailed P&amp;L'!AP104+'Detailed P&amp;L'!AP138+'Detailed P&amp;L'!AP173</f>
        <v>0</v>
      </c>
      <c r="AQ70" s="47">
        <f ca="1">'Detailed P&amp;L'!AQ67+'Detailed P&amp;L'!AQ104+'Detailed P&amp;L'!AQ138+'Detailed P&amp;L'!AQ173</f>
        <v>0</v>
      </c>
      <c r="AR70" s="47">
        <f ca="1">'Detailed P&amp;L'!AR67+'Detailed P&amp;L'!AR104+'Detailed P&amp;L'!AR138+'Detailed P&amp;L'!AR173</f>
        <v>0</v>
      </c>
      <c r="AS70" s="47">
        <f ca="1">'Detailed P&amp;L'!AS67+'Detailed P&amp;L'!AS104+'Detailed P&amp;L'!AS138+'Detailed P&amp;L'!AS173</f>
        <v>0</v>
      </c>
      <c r="AT70" s="47">
        <f ca="1">'Detailed P&amp;L'!AT67+'Detailed P&amp;L'!AT104+'Detailed P&amp;L'!AT138+'Detailed P&amp;L'!AT173</f>
        <v>0</v>
      </c>
      <c r="AU70" s="47">
        <f ca="1">'Detailed P&amp;L'!AU67+'Detailed P&amp;L'!AU104+'Detailed P&amp;L'!AU138+'Detailed P&amp;L'!AU173</f>
        <v>0</v>
      </c>
      <c r="AV70" s="47">
        <f ca="1">'Detailed P&amp;L'!AV67+'Detailed P&amp;L'!AV104+'Detailed P&amp;L'!AV138+'Detailed P&amp;L'!AV173</f>
        <v>0</v>
      </c>
      <c r="AW70" s="47">
        <f ca="1">'Detailed P&amp;L'!AW67+'Detailed P&amp;L'!AW104+'Detailed P&amp;L'!AW138+'Detailed P&amp;L'!AW173</f>
        <v>0</v>
      </c>
      <c r="AX70" s="47">
        <f ca="1">'Detailed P&amp;L'!AX67+'Detailed P&amp;L'!AX104+'Detailed P&amp;L'!AX138+'Detailed P&amp;L'!AX173</f>
        <v>0</v>
      </c>
      <c r="AY70" s="207">
        <f ca="1">'Detailed P&amp;L'!AY67+'Detailed P&amp;L'!AY104+'Detailed P&amp;L'!AY138+'Detailed P&amp;L'!AY173</f>
        <v>0</v>
      </c>
      <c r="BA70" s="236">
        <f ca="1">'Detailed P&amp;L'!BA67+'Detailed P&amp;L'!BA104+'Detailed P&amp;L'!BA138+'Detailed P&amp;L'!BA173</f>
        <v>0</v>
      </c>
      <c r="BB70" s="47">
        <f ca="1">'Detailed P&amp;L'!BB67+'Detailed P&amp;L'!BB104+'Detailed P&amp;L'!BB138+'Detailed P&amp;L'!BB173</f>
        <v>0</v>
      </c>
      <c r="BC70" s="207">
        <f ca="1">'Detailed P&amp;L'!BC67+'Detailed P&amp;L'!BC104+'Detailed P&amp;L'!BC138+'Detailed P&amp;L'!BC173</f>
        <v>0</v>
      </c>
    </row>
    <row r="71" spans="2:55" outlineLevel="1" x14ac:dyDescent="0.35">
      <c r="B71" s="46" t="s">
        <v>54</v>
      </c>
      <c r="C71" s="47">
        <f>'Detailed P&amp;L'!C68+'Detailed P&amp;L'!C105+'Detailed P&amp;L'!C139+'Detailed P&amp;L'!C174</f>
        <v>0</v>
      </c>
      <c r="D71" s="47">
        <f>'Detailed P&amp;L'!D68+'Detailed P&amp;L'!D105+'Detailed P&amp;L'!D139+'Detailed P&amp;L'!D174</f>
        <v>0</v>
      </c>
      <c r="E71" s="47">
        <f>'Detailed P&amp;L'!E68+'Detailed P&amp;L'!E105+'Detailed P&amp;L'!E139+'Detailed P&amp;L'!E174</f>
        <v>0</v>
      </c>
      <c r="F71" s="47">
        <f>'Detailed P&amp;L'!F68+'Detailed P&amp;L'!F105+'Detailed P&amp;L'!F139+'Detailed P&amp;L'!F174</f>
        <v>0</v>
      </c>
      <c r="G71" s="47">
        <f>'Detailed P&amp;L'!G68+'Detailed P&amp;L'!G105+'Detailed P&amp;L'!G139+'Detailed P&amp;L'!G174</f>
        <v>0</v>
      </c>
      <c r="H71" s="47">
        <f>'Detailed P&amp;L'!H68+'Detailed P&amp;L'!H105+'Detailed P&amp;L'!H139+'Detailed P&amp;L'!H174</f>
        <v>0</v>
      </c>
      <c r="I71" s="47">
        <f>'Detailed P&amp;L'!I68+'Detailed P&amp;L'!I105+'Detailed P&amp;L'!I139+'Detailed P&amp;L'!I174</f>
        <v>0</v>
      </c>
      <c r="J71" s="47">
        <f>'Detailed P&amp;L'!J68+'Detailed P&amp;L'!J105+'Detailed P&amp;L'!J139+'Detailed P&amp;L'!J174</f>
        <v>0</v>
      </c>
      <c r="K71" s="47">
        <f>'Detailed P&amp;L'!K68+'Detailed P&amp;L'!K105+'Detailed P&amp;L'!K139+'Detailed P&amp;L'!K174</f>
        <v>0</v>
      </c>
      <c r="L71" s="47">
        <f>'Detailed P&amp;L'!L68+'Detailed P&amp;L'!L105+'Detailed P&amp;L'!L139+'Detailed P&amp;L'!L174</f>
        <v>0</v>
      </c>
      <c r="M71" s="47">
        <f>'Detailed P&amp;L'!M68+'Detailed P&amp;L'!M105+'Detailed P&amp;L'!M139+'Detailed P&amp;L'!M174</f>
        <v>0</v>
      </c>
      <c r="N71" s="47">
        <f>'Detailed P&amp;L'!N68+'Detailed P&amp;L'!N105+'Detailed P&amp;L'!N139+'Detailed P&amp;L'!N174</f>
        <v>0</v>
      </c>
      <c r="O71" s="47">
        <f>'Detailed P&amp;L'!O68+'Detailed P&amp;L'!O105+'Detailed P&amp;L'!O139+'Detailed P&amp;L'!O174</f>
        <v>0</v>
      </c>
      <c r="P71" s="47">
        <f>'Detailed P&amp;L'!P68+'Detailed P&amp;L'!P105+'Detailed P&amp;L'!P139+'Detailed P&amp;L'!P174</f>
        <v>0</v>
      </c>
      <c r="Q71" s="47">
        <f>'Detailed P&amp;L'!Q68+'Detailed P&amp;L'!Q105+'Detailed P&amp;L'!Q139+'Detailed P&amp;L'!Q174</f>
        <v>0</v>
      </c>
      <c r="R71" s="47">
        <f>'Detailed P&amp;L'!R68+'Detailed P&amp;L'!R105+'Detailed P&amp;L'!R139+'Detailed P&amp;L'!R174</f>
        <v>0</v>
      </c>
      <c r="S71" s="47">
        <f>'Detailed P&amp;L'!S68+'Detailed P&amp;L'!S105+'Detailed P&amp;L'!S139+'Detailed P&amp;L'!S174</f>
        <v>0</v>
      </c>
      <c r="T71" s="47">
        <f>'Detailed P&amp;L'!T68+'Detailed P&amp;L'!T105+'Detailed P&amp;L'!T139+'Detailed P&amp;L'!T174</f>
        <v>0</v>
      </c>
      <c r="U71" s="47">
        <f>'Detailed P&amp;L'!U68+'Detailed P&amp;L'!U105+'Detailed P&amp;L'!U139+'Detailed P&amp;L'!U174</f>
        <v>0</v>
      </c>
      <c r="V71" s="47">
        <f>'Detailed P&amp;L'!V68+'Detailed P&amp;L'!V105+'Detailed P&amp;L'!V139+'Detailed P&amp;L'!V174</f>
        <v>0</v>
      </c>
      <c r="W71" s="47">
        <f>'Detailed P&amp;L'!W68+'Detailed P&amp;L'!W105+'Detailed P&amp;L'!W139+'Detailed P&amp;L'!W174</f>
        <v>0</v>
      </c>
      <c r="X71" s="47">
        <f>'Detailed P&amp;L'!X68+'Detailed P&amp;L'!X105+'Detailed P&amp;L'!X139+'Detailed P&amp;L'!X174</f>
        <v>0</v>
      </c>
      <c r="Y71" s="47">
        <f>'Detailed P&amp;L'!Y68+'Detailed P&amp;L'!Y105+'Detailed P&amp;L'!Y139+'Detailed P&amp;L'!Y174</f>
        <v>0</v>
      </c>
      <c r="Z71" s="47">
        <f>'Detailed P&amp;L'!Z68+'Detailed P&amp;L'!Z105+'Detailed P&amp;L'!Z139+'Detailed P&amp;L'!Z174</f>
        <v>0</v>
      </c>
      <c r="AA71" s="47">
        <f>'Detailed P&amp;L'!AA68+'Detailed P&amp;L'!AA105+'Detailed P&amp;L'!AA139+'Detailed P&amp;L'!AA174</f>
        <v>0</v>
      </c>
      <c r="AB71" s="47">
        <f>'Detailed P&amp;L'!AB68+'Detailed P&amp;L'!AB105+'Detailed P&amp;L'!AB139+'Detailed P&amp;L'!AB174</f>
        <v>0</v>
      </c>
      <c r="AC71" s="47">
        <f>'Detailed P&amp;L'!AC68+'Detailed P&amp;L'!AC105+'Detailed P&amp;L'!AC139+'Detailed P&amp;L'!AC174</f>
        <v>0</v>
      </c>
      <c r="AD71" s="47">
        <f>'Detailed P&amp;L'!AD68+'Detailed P&amp;L'!AD105+'Detailed P&amp;L'!AD139+'Detailed P&amp;L'!AD174</f>
        <v>0</v>
      </c>
      <c r="AE71" s="47">
        <f>'Detailed P&amp;L'!AE68+'Detailed P&amp;L'!AE105+'Detailed P&amp;L'!AE139+'Detailed P&amp;L'!AE174</f>
        <v>0</v>
      </c>
      <c r="AF71" s="47">
        <f>'Detailed P&amp;L'!AF68+'Detailed P&amp;L'!AF105+'Detailed P&amp;L'!AF139+'Detailed P&amp;L'!AF174</f>
        <v>0</v>
      </c>
      <c r="AG71" s="47">
        <f>'Detailed P&amp;L'!AG68+'Detailed P&amp;L'!AG105+'Detailed P&amp;L'!AG139+'Detailed P&amp;L'!AG174</f>
        <v>0</v>
      </c>
      <c r="AH71" s="47">
        <f>'Detailed P&amp;L'!AH68+'Detailed P&amp;L'!AH105+'Detailed P&amp;L'!AH139+'Detailed P&amp;L'!AH174</f>
        <v>0</v>
      </c>
      <c r="AI71" s="47">
        <f>'Detailed P&amp;L'!AI68+'Detailed P&amp;L'!AI105+'Detailed P&amp;L'!AI139+'Detailed P&amp;L'!AI174</f>
        <v>0</v>
      </c>
      <c r="AJ71" s="47">
        <f>'Detailed P&amp;L'!AJ68+'Detailed P&amp;L'!AJ105+'Detailed P&amp;L'!AJ139+'Detailed P&amp;L'!AJ174</f>
        <v>0</v>
      </c>
      <c r="AK71" s="47">
        <f>'Detailed P&amp;L'!AK68+'Detailed P&amp;L'!AK105+'Detailed P&amp;L'!AK139+'Detailed P&amp;L'!AK174</f>
        <v>0</v>
      </c>
      <c r="AL71" s="207">
        <f>'Detailed P&amp;L'!AL68+'Detailed P&amp;L'!AL105+'Detailed P&amp;L'!AL139+'Detailed P&amp;L'!AL174</f>
        <v>0</v>
      </c>
      <c r="AN71" s="236">
        <f ca="1">'Detailed P&amp;L'!AN68+'Detailed P&amp;L'!AN105+'Detailed P&amp;L'!AN139+'Detailed P&amp;L'!AN174</f>
        <v>0</v>
      </c>
      <c r="AO71" s="47">
        <f ca="1">'Detailed P&amp;L'!AO68+'Detailed P&amp;L'!AO105+'Detailed P&amp;L'!AO139+'Detailed P&amp;L'!AO174</f>
        <v>0</v>
      </c>
      <c r="AP71" s="47">
        <f ca="1">'Detailed P&amp;L'!AP68+'Detailed P&amp;L'!AP105+'Detailed P&amp;L'!AP139+'Detailed P&amp;L'!AP174</f>
        <v>0</v>
      </c>
      <c r="AQ71" s="47">
        <f ca="1">'Detailed P&amp;L'!AQ68+'Detailed P&amp;L'!AQ105+'Detailed P&amp;L'!AQ139+'Detailed P&amp;L'!AQ174</f>
        <v>0</v>
      </c>
      <c r="AR71" s="47">
        <f ca="1">'Detailed P&amp;L'!AR68+'Detailed P&amp;L'!AR105+'Detailed P&amp;L'!AR139+'Detailed P&amp;L'!AR174</f>
        <v>0</v>
      </c>
      <c r="AS71" s="47">
        <f ca="1">'Detailed P&amp;L'!AS68+'Detailed P&amp;L'!AS105+'Detailed P&amp;L'!AS139+'Detailed P&amp;L'!AS174</f>
        <v>0</v>
      </c>
      <c r="AT71" s="47">
        <f ca="1">'Detailed P&amp;L'!AT68+'Detailed P&amp;L'!AT105+'Detailed P&amp;L'!AT139+'Detailed P&amp;L'!AT174</f>
        <v>0</v>
      </c>
      <c r="AU71" s="47">
        <f ca="1">'Detailed P&amp;L'!AU68+'Detailed P&amp;L'!AU105+'Detailed P&amp;L'!AU139+'Detailed P&amp;L'!AU174</f>
        <v>0</v>
      </c>
      <c r="AV71" s="47">
        <f ca="1">'Detailed P&amp;L'!AV68+'Detailed P&amp;L'!AV105+'Detailed P&amp;L'!AV139+'Detailed P&amp;L'!AV174</f>
        <v>0</v>
      </c>
      <c r="AW71" s="47">
        <f ca="1">'Detailed P&amp;L'!AW68+'Detailed P&amp;L'!AW105+'Detailed P&amp;L'!AW139+'Detailed P&amp;L'!AW174</f>
        <v>0</v>
      </c>
      <c r="AX71" s="47">
        <f ca="1">'Detailed P&amp;L'!AX68+'Detailed P&amp;L'!AX105+'Detailed P&amp;L'!AX139+'Detailed P&amp;L'!AX174</f>
        <v>0</v>
      </c>
      <c r="AY71" s="207">
        <f ca="1">'Detailed P&amp;L'!AY68+'Detailed P&amp;L'!AY105+'Detailed P&amp;L'!AY139+'Detailed P&amp;L'!AY174</f>
        <v>0</v>
      </c>
      <c r="BA71" s="236">
        <f ca="1">'Detailed P&amp;L'!BA68+'Detailed P&amp;L'!BA105+'Detailed P&amp;L'!BA139+'Detailed P&amp;L'!BA174</f>
        <v>0</v>
      </c>
      <c r="BB71" s="47">
        <f ca="1">'Detailed P&amp;L'!BB68+'Detailed P&amp;L'!BB105+'Detailed P&amp;L'!BB139+'Detailed P&amp;L'!BB174</f>
        <v>0</v>
      </c>
      <c r="BC71" s="207">
        <f ca="1">'Detailed P&amp;L'!BC68+'Detailed P&amp;L'!BC105+'Detailed P&amp;L'!BC139+'Detailed P&amp;L'!BC174</f>
        <v>0</v>
      </c>
    </row>
    <row r="72" spans="2:55" ht="15" outlineLevel="1" x14ac:dyDescent="0.4">
      <c r="B72" s="46" t="s">
        <v>47</v>
      </c>
      <c r="C72" s="49">
        <f>'Detailed P&amp;L'!C69+'Detailed P&amp;L'!C106+'Detailed P&amp;L'!C140+'Detailed P&amp;L'!C175</f>
        <v>0</v>
      </c>
      <c r="D72" s="49">
        <f>'Detailed P&amp;L'!D69+'Detailed P&amp;L'!D106+'Detailed P&amp;L'!D140+'Detailed P&amp;L'!D175</f>
        <v>0</v>
      </c>
      <c r="E72" s="49">
        <f>'Detailed P&amp;L'!E69+'Detailed P&amp;L'!E106+'Detailed P&amp;L'!E140+'Detailed P&amp;L'!E175</f>
        <v>0</v>
      </c>
      <c r="F72" s="49">
        <f>'Detailed P&amp;L'!F69+'Detailed P&amp;L'!F106+'Detailed P&amp;L'!F140+'Detailed P&amp;L'!F175</f>
        <v>0</v>
      </c>
      <c r="G72" s="49">
        <f>'Detailed P&amp;L'!G69+'Detailed P&amp;L'!G106+'Detailed P&amp;L'!G140+'Detailed P&amp;L'!G175</f>
        <v>0</v>
      </c>
      <c r="H72" s="49">
        <f>'Detailed P&amp;L'!H69+'Detailed P&amp;L'!H106+'Detailed P&amp;L'!H140+'Detailed P&amp;L'!H175</f>
        <v>0</v>
      </c>
      <c r="I72" s="49">
        <f>'Detailed P&amp;L'!I69+'Detailed P&amp;L'!I106+'Detailed P&amp;L'!I140+'Detailed P&amp;L'!I175</f>
        <v>0</v>
      </c>
      <c r="J72" s="49">
        <f>'Detailed P&amp;L'!J69+'Detailed P&amp;L'!J106+'Detailed P&amp;L'!J140+'Detailed P&amp;L'!J175</f>
        <v>0</v>
      </c>
      <c r="K72" s="49">
        <f>'Detailed P&amp;L'!K69+'Detailed P&amp;L'!K106+'Detailed P&amp;L'!K140+'Detailed P&amp;L'!K175</f>
        <v>0</v>
      </c>
      <c r="L72" s="49">
        <f>'Detailed P&amp;L'!L69+'Detailed P&amp;L'!L106+'Detailed P&amp;L'!L140+'Detailed P&amp;L'!L175</f>
        <v>0</v>
      </c>
      <c r="M72" s="49">
        <f>'Detailed P&amp;L'!M69+'Detailed P&amp;L'!M106+'Detailed P&amp;L'!M140+'Detailed P&amp;L'!M175</f>
        <v>0</v>
      </c>
      <c r="N72" s="49">
        <f>'Detailed P&amp;L'!N69+'Detailed P&amp;L'!N106+'Detailed P&amp;L'!N140+'Detailed P&amp;L'!N175</f>
        <v>0</v>
      </c>
      <c r="O72" s="49">
        <f>'Detailed P&amp;L'!O69+'Detailed P&amp;L'!O106+'Detailed P&amp;L'!O140+'Detailed P&amp;L'!O175</f>
        <v>0</v>
      </c>
      <c r="P72" s="49">
        <f>'Detailed P&amp;L'!P69+'Detailed P&amp;L'!P106+'Detailed P&amp;L'!P140+'Detailed P&amp;L'!P175</f>
        <v>0</v>
      </c>
      <c r="Q72" s="49">
        <f>'Detailed P&amp;L'!Q69+'Detailed P&amp;L'!Q106+'Detailed P&amp;L'!Q140+'Detailed P&amp;L'!Q175</f>
        <v>0</v>
      </c>
      <c r="R72" s="49">
        <f>'Detailed P&amp;L'!R69+'Detailed P&amp;L'!R106+'Detailed P&amp;L'!R140+'Detailed P&amp;L'!R175</f>
        <v>0</v>
      </c>
      <c r="S72" s="49">
        <f>'Detailed P&amp;L'!S69+'Detailed P&amp;L'!S106+'Detailed P&amp;L'!S140+'Detailed P&amp;L'!S175</f>
        <v>0</v>
      </c>
      <c r="T72" s="49">
        <f>'Detailed P&amp;L'!T69+'Detailed P&amp;L'!T106+'Detailed P&amp;L'!T140+'Detailed P&amp;L'!T175</f>
        <v>0</v>
      </c>
      <c r="U72" s="49">
        <f>'Detailed P&amp;L'!U69+'Detailed P&amp;L'!U106+'Detailed P&amp;L'!U140+'Detailed P&amp;L'!U175</f>
        <v>0</v>
      </c>
      <c r="V72" s="49">
        <f>'Detailed P&amp;L'!V69+'Detailed P&amp;L'!V106+'Detailed P&amp;L'!V140+'Detailed P&amp;L'!V175</f>
        <v>0</v>
      </c>
      <c r="W72" s="49">
        <f>'Detailed P&amp;L'!W69+'Detailed P&amp;L'!W106+'Detailed P&amp;L'!W140+'Detailed P&amp;L'!W175</f>
        <v>0</v>
      </c>
      <c r="X72" s="49">
        <f>'Detailed P&amp;L'!X69+'Detailed P&amp;L'!X106+'Detailed P&amp;L'!X140+'Detailed P&amp;L'!X175</f>
        <v>0</v>
      </c>
      <c r="Y72" s="49">
        <f>'Detailed P&amp;L'!Y69+'Detailed P&amp;L'!Y106+'Detailed P&amp;L'!Y140+'Detailed P&amp;L'!Y175</f>
        <v>0</v>
      </c>
      <c r="Z72" s="49">
        <f>'Detailed P&amp;L'!Z69+'Detailed P&amp;L'!Z106+'Detailed P&amp;L'!Z140+'Detailed P&amp;L'!Z175</f>
        <v>0</v>
      </c>
      <c r="AA72" s="49">
        <f>'Detailed P&amp;L'!AA69+'Detailed P&amp;L'!AA106+'Detailed P&amp;L'!AA140+'Detailed P&amp;L'!AA175</f>
        <v>0</v>
      </c>
      <c r="AB72" s="49">
        <f>'Detailed P&amp;L'!AB69+'Detailed P&amp;L'!AB106+'Detailed P&amp;L'!AB140+'Detailed P&amp;L'!AB175</f>
        <v>0</v>
      </c>
      <c r="AC72" s="49">
        <f>'Detailed P&amp;L'!AC69+'Detailed P&amp;L'!AC106+'Detailed P&amp;L'!AC140+'Detailed P&amp;L'!AC175</f>
        <v>0</v>
      </c>
      <c r="AD72" s="49">
        <f>'Detailed P&amp;L'!AD69+'Detailed P&amp;L'!AD106+'Detailed P&amp;L'!AD140+'Detailed P&amp;L'!AD175</f>
        <v>0</v>
      </c>
      <c r="AE72" s="49">
        <f>'Detailed P&amp;L'!AE69+'Detailed P&amp;L'!AE106+'Detailed P&amp;L'!AE140+'Detailed P&amp;L'!AE175</f>
        <v>0</v>
      </c>
      <c r="AF72" s="49">
        <f>'Detailed P&amp;L'!AF69+'Detailed P&amp;L'!AF106+'Detailed P&amp;L'!AF140+'Detailed P&amp;L'!AF175</f>
        <v>0</v>
      </c>
      <c r="AG72" s="49">
        <f>'Detailed P&amp;L'!AG69+'Detailed P&amp;L'!AG106+'Detailed P&amp;L'!AG140+'Detailed P&amp;L'!AG175</f>
        <v>0</v>
      </c>
      <c r="AH72" s="49">
        <f>'Detailed P&amp;L'!AH69+'Detailed P&amp;L'!AH106+'Detailed P&amp;L'!AH140+'Detailed P&amp;L'!AH175</f>
        <v>0</v>
      </c>
      <c r="AI72" s="49">
        <f>'Detailed P&amp;L'!AI69+'Detailed P&amp;L'!AI106+'Detailed P&amp;L'!AI140+'Detailed P&amp;L'!AI175</f>
        <v>0</v>
      </c>
      <c r="AJ72" s="49">
        <f>'Detailed P&amp;L'!AJ69+'Detailed P&amp;L'!AJ106+'Detailed P&amp;L'!AJ140+'Detailed P&amp;L'!AJ175</f>
        <v>0</v>
      </c>
      <c r="AK72" s="49">
        <f>'Detailed P&amp;L'!AK69+'Detailed P&amp;L'!AK106+'Detailed P&amp;L'!AK140+'Detailed P&amp;L'!AK175</f>
        <v>0</v>
      </c>
      <c r="AL72" s="209">
        <f>'Detailed P&amp;L'!AL69+'Detailed P&amp;L'!AL106+'Detailed P&amp;L'!AL140+'Detailed P&amp;L'!AL175</f>
        <v>0</v>
      </c>
      <c r="AN72" s="238">
        <f ca="1">'Detailed P&amp;L'!AN69+'Detailed P&amp;L'!AN106+'Detailed P&amp;L'!AN140+'Detailed P&amp;L'!AN175</f>
        <v>0</v>
      </c>
      <c r="AO72" s="49">
        <f ca="1">'Detailed P&amp;L'!AO69+'Detailed P&amp;L'!AO106+'Detailed P&amp;L'!AO140+'Detailed P&amp;L'!AO175</f>
        <v>0</v>
      </c>
      <c r="AP72" s="49">
        <f ca="1">'Detailed P&amp;L'!AP69+'Detailed P&amp;L'!AP106+'Detailed P&amp;L'!AP140+'Detailed P&amp;L'!AP175</f>
        <v>0</v>
      </c>
      <c r="AQ72" s="49">
        <f ca="1">'Detailed P&amp;L'!AQ69+'Detailed P&amp;L'!AQ106+'Detailed P&amp;L'!AQ140+'Detailed P&amp;L'!AQ175</f>
        <v>0</v>
      </c>
      <c r="AR72" s="49">
        <f ca="1">'Detailed P&amp;L'!AR69+'Detailed P&amp;L'!AR106+'Detailed P&amp;L'!AR140+'Detailed P&amp;L'!AR175</f>
        <v>0</v>
      </c>
      <c r="AS72" s="49">
        <f ca="1">'Detailed P&amp;L'!AS69+'Detailed P&amp;L'!AS106+'Detailed P&amp;L'!AS140+'Detailed P&amp;L'!AS175</f>
        <v>0</v>
      </c>
      <c r="AT72" s="49">
        <f ca="1">'Detailed P&amp;L'!AT69+'Detailed P&amp;L'!AT106+'Detailed P&amp;L'!AT140+'Detailed P&amp;L'!AT175</f>
        <v>0</v>
      </c>
      <c r="AU72" s="49">
        <f ca="1">'Detailed P&amp;L'!AU69+'Detailed P&amp;L'!AU106+'Detailed P&amp;L'!AU140+'Detailed P&amp;L'!AU175</f>
        <v>0</v>
      </c>
      <c r="AV72" s="49">
        <f ca="1">'Detailed P&amp;L'!AV69+'Detailed P&amp;L'!AV106+'Detailed P&amp;L'!AV140+'Detailed P&amp;L'!AV175</f>
        <v>0</v>
      </c>
      <c r="AW72" s="49">
        <f ca="1">'Detailed P&amp;L'!AW69+'Detailed P&amp;L'!AW106+'Detailed P&amp;L'!AW140+'Detailed P&amp;L'!AW175</f>
        <v>0</v>
      </c>
      <c r="AX72" s="49">
        <f ca="1">'Detailed P&amp;L'!AX69+'Detailed P&amp;L'!AX106+'Detailed P&amp;L'!AX140+'Detailed P&amp;L'!AX175</f>
        <v>0</v>
      </c>
      <c r="AY72" s="209">
        <f ca="1">'Detailed P&amp;L'!AY69+'Detailed P&amp;L'!AY106+'Detailed P&amp;L'!AY140+'Detailed P&amp;L'!AY175</f>
        <v>0</v>
      </c>
      <c r="BA72" s="238">
        <f ca="1">'Detailed P&amp;L'!BA69+'Detailed P&amp;L'!BA106+'Detailed P&amp;L'!BA140+'Detailed P&amp;L'!BA175</f>
        <v>0</v>
      </c>
      <c r="BB72" s="49">
        <f ca="1">'Detailed P&amp;L'!BB69+'Detailed P&amp;L'!BB106+'Detailed P&amp;L'!BB140+'Detailed P&amp;L'!BB175</f>
        <v>0</v>
      </c>
      <c r="BC72" s="209">
        <f ca="1">'Detailed P&amp;L'!BC69+'Detailed P&amp;L'!BC106+'Detailed P&amp;L'!BC140+'Detailed P&amp;L'!BC175</f>
        <v>0</v>
      </c>
    </row>
    <row r="73" spans="2:55" x14ac:dyDescent="0.35">
      <c r="B73" s="31" t="s">
        <v>55</v>
      </c>
      <c r="C73" s="50">
        <f t="shared" ref="C73:Y73" si="77">SUM(C64,C63,C62,C61,C60,C54,C33,C34,C35)</f>
        <v>0</v>
      </c>
      <c r="D73" s="50">
        <f t="shared" si="77"/>
        <v>0</v>
      </c>
      <c r="E73" s="50">
        <f t="shared" si="77"/>
        <v>0</v>
      </c>
      <c r="F73" s="50">
        <f t="shared" si="77"/>
        <v>0</v>
      </c>
      <c r="G73" s="50">
        <f t="shared" si="77"/>
        <v>0</v>
      </c>
      <c r="H73" s="50">
        <f t="shared" si="77"/>
        <v>0</v>
      </c>
      <c r="I73" s="50">
        <f t="shared" si="77"/>
        <v>0</v>
      </c>
      <c r="J73" s="50">
        <f t="shared" si="77"/>
        <v>0</v>
      </c>
      <c r="K73" s="50">
        <f t="shared" si="77"/>
        <v>0</v>
      </c>
      <c r="L73" s="50">
        <f t="shared" si="77"/>
        <v>0</v>
      </c>
      <c r="M73" s="50">
        <f t="shared" si="77"/>
        <v>0</v>
      </c>
      <c r="N73" s="50">
        <f t="shared" si="77"/>
        <v>0</v>
      </c>
      <c r="O73" s="50">
        <f t="shared" si="77"/>
        <v>0</v>
      </c>
      <c r="P73" s="50">
        <f t="shared" si="77"/>
        <v>0</v>
      </c>
      <c r="Q73" s="50">
        <f t="shared" si="77"/>
        <v>0</v>
      </c>
      <c r="R73" s="50">
        <f t="shared" si="77"/>
        <v>0</v>
      </c>
      <c r="S73" s="50">
        <f t="shared" si="77"/>
        <v>0</v>
      </c>
      <c r="T73" s="50">
        <f t="shared" si="77"/>
        <v>0</v>
      </c>
      <c r="U73" s="50">
        <f t="shared" si="77"/>
        <v>0</v>
      </c>
      <c r="V73" s="50">
        <f t="shared" si="77"/>
        <v>0</v>
      </c>
      <c r="W73" s="50">
        <f t="shared" si="77"/>
        <v>0</v>
      </c>
      <c r="X73" s="50">
        <f t="shared" si="77"/>
        <v>0</v>
      </c>
      <c r="Y73" s="50">
        <f t="shared" si="77"/>
        <v>0</v>
      </c>
      <c r="Z73" s="50">
        <f t="shared" ref="Z73:AL73" si="78">SUM(Z64,Z63,Z62,Z61,Z60,Z54,Z33,Z34,Z35)</f>
        <v>0</v>
      </c>
      <c r="AA73" s="50">
        <f t="shared" si="78"/>
        <v>0</v>
      </c>
      <c r="AB73" s="50">
        <f t="shared" si="78"/>
        <v>0</v>
      </c>
      <c r="AC73" s="50">
        <f t="shared" si="78"/>
        <v>0</v>
      </c>
      <c r="AD73" s="50">
        <f t="shared" si="78"/>
        <v>0</v>
      </c>
      <c r="AE73" s="50">
        <f t="shared" si="78"/>
        <v>0</v>
      </c>
      <c r="AF73" s="50">
        <f t="shared" si="78"/>
        <v>0</v>
      </c>
      <c r="AG73" s="50">
        <f t="shared" si="78"/>
        <v>0</v>
      </c>
      <c r="AH73" s="50">
        <f t="shared" si="78"/>
        <v>0</v>
      </c>
      <c r="AI73" s="50">
        <f t="shared" si="78"/>
        <v>0</v>
      </c>
      <c r="AJ73" s="50">
        <f t="shared" si="78"/>
        <v>0</v>
      </c>
      <c r="AK73" s="50">
        <f t="shared" si="78"/>
        <v>0</v>
      </c>
      <c r="AL73" s="210">
        <f t="shared" si="78"/>
        <v>0</v>
      </c>
      <c r="AN73" s="239">
        <f t="shared" ref="AN73:AT73" ca="1" si="79">SUM(AN64,AN63,AN62,AN61,AN60,AN54,AN33,AN34,AN35)</f>
        <v>0</v>
      </c>
      <c r="AO73" s="50">
        <f t="shared" ca="1" si="79"/>
        <v>0</v>
      </c>
      <c r="AP73" s="50">
        <f t="shared" ca="1" si="79"/>
        <v>0</v>
      </c>
      <c r="AQ73" s="50">
        <f t="shared" ca="1" si="79"/>
        <v>0</v>
      </c>
      <c r="AR73" s="50">
        <f t="shared" ca="1" si="79"/>
        <v>0</v>
      </c>
      <c r="AS73" s="50">
        <f t="shared" ca="1" si="79"/>
        <v>0</v>
      </c>
      <c r="AT73" s="50">
        <f t="shared" ca="1" si="79"/>
        <v>0</v>
      </c>
      <c r="AU73" s="50">
        <f t="shared" ref="AU73:AY73" ca="1" si="80">SUM(AU64,AU63,AU62,AU61,AU60,AU54,AU33,AU34,AU35)</f>
        <v>0</v>
      </c>
      <c r="AV73" s="50">
        <f t="shared" ca="1" si="80"/>
        <v>0</v>
      </c>
      <c r="AW73" s="50">
        <f t="shared" ca="1" si="80"/>
        <v>0</v>
      </c>
      <c r="AX73" s="50">
        <f t="shared" ca="1" si="80"/>
        <v>0</v>
      </c>
      <c r="AY73" s="210">
        <f t="shared" ca="1" si="80"/>
        <v>0</v>
      </c>
      <c r="BA73" s="239">
        <f t="shared" ref="BA73" ca="1" si="81">SUM(BA64,BA63,BA62,BA61,BA60,BA54,BA33,BA34,BA35)</f>
        <v>0</v>
      </c>
      <c r="BB73" s="50">
        <f t="shared" ref="BB73:BC73" ca="1" si="82">SUM(BB64,BB63,BB62,BB61,BB60,BB54,BB33,BB34,BB35)</f>
        <v>0</v>
      </c>
      <c r="BC73" s="210">
        <f t="shared" ca="1" si="82"/>
        <v>0</v>
      </c>
    </row>
    <row r="74" spans="2:55" x14ac:dyDescent="0.35">
      <c r="B74" s="44"/>
      <c r="C74" s="5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210"/>
      <c r="AN74" s="239"/>
      <c r="AO74" s="50"/>
      <c r="AP74" s="50"/>
      <c r="AQ74" s="50"/>
      <c r="AR74" s="50"/>
      <c r="AS74" s="50"/>
      <c r="AT74" s="50"/>
      <c r="AU74" s="50"/>
      <c r="AV74" s="50"/>
      <c r="AW74" s="50"/>
      <c r="AX74" s="50"/>
      <c r="AY74" s="210"/>
      <c r="BA74" s="239"/>
      <c r="BB74" s="50"/>
      <c r="BC74" s="210"/>
    </row>
    <row r="75" spans="2:55" x14ac:dyDescent="0.35">
      <c r="B75" s="31" t="s">
        <v>56</v>
      </c>
      <c r="C75" s="50">
        <f t="shared" ref="C75:Y75" si="83">C29-C73</f>
        <v>0</v>
      </c>
      <c r="D75" s="50">
        <f t="shared" si="83"/>
        <v>0</v>
      </c>
      <c r="E75" s="50">
        <f t="shared" si="83"/>
        <v>0</v>
      </c>
      <c r="F75" s="50">
        <f t="shared" si="83"/>
        <v>0</v>
      </c>
      <c r="G75" s="50">
        <f t="shared" si="83"/>
        <v>0</v>
      </c>
      <c r="H75" s="50">
        <f t="shared" si="83"/>
        <v>0</v>
      </c>
      <c r="I75" s="50">
        <f t="shared" si="83"/>
        <v>0</v>
      </c>
      <c r="J75" s="50">
        <f t="shared" si="83"/>
        <v>0</v>
      </c>
      <c r="K75" s="50">
        <f t="shared" si="83"/>
        <v>0</v>
      </c>
      <c r="L75" s="50">
        <f t="shared" si="83"/>
        <v>0</v>
      </c>
      <c r="M75" s="50">
        <f t="shared" si="83"/>
        <v>0</v>
      </c>
      <c r="N75" s="50">
        <f t="shared" si="83"/>
        <v>0</v>
      </c>
      <c r="O75" s="50">
        <f t="shared" si="83"/>
        <v>0</v>
      </c>
      <c r="P75" s="50">
        <f t="shared" si="83"/>
        <v>0</v>
      </c>
      <c r="Q75" s="50">
        <f t="shared" si="83"/>
        <v>0</v>
      </c>
      <c r="R75" s="50">
        <f t="shared" si="83"/>
        <v>0</v>
      </c>
      <c r="S75" s="50">
        <f t="shared" si="83"/>
        <v>0</v>
      </c>
      <c r="T75" s="50">
        <f t="shared" si="83"/>
        <v>0</v>
      </c>
      <c r="U75" s="50">
        <f t="shared" si="83"/>
        <v>0</v>
      </c>
      <c r="V75" s="50">
        <f t="shared" si="83"/>
        <v>0</v>
      </c>
      <c r="W75" s="50">
        <f t="shared" si="83"/>
        <v>0</v>
      </c>
      <c r="X75" s="50">
        <f t="shared" si="83"/>
        <v>0</v>
      </c>
      <c r="Y75" s="50">
        <f t="shared" si="83"/>
        <v>0</v>
      </c>
      <c r="Z75" s="50">
        <f t="shared" ref="Z75:AL75" si="84">Z29-Z73</f>
        <v>0</v>
      </c>
      <c r="AA75" s="50">
        <f t="shared" si="84"/>
        <v>0</v>
      </c>
      <c r="AB75" s="50">
        <f t="shared" si="84"/>
        <v>0</v>
      </c>
      <c r="AC75" s="50">
        <f t="shared" si="84"/>
        <v>0</v>
      </c>
      <c r="AD75" s="50">
        <f t="shared" si="84"/>
        <v>0</v>
      </c>
      <c r="AE75" s="50">
        <f t="shared" si="84"/>
        <v>0</v>
      </c>
      <c r="AF75" s="50">
        <f t="shared" si="84"/>
        <v>0</v>
      </c>
      <c r="AG75" s="50">
        <f t="shared" si="84"/>
        <v>0</v>
      </c>
      <c r="AH75" s="50">
        <f t="shared" si="84"/>
        <v>0</v>
      </c>
      <c r="AI75" s="50">
        <f t="shared" si="84"/>
        <v>0</v>
      </c>
      <c r="AJ75" s="50">
        <f t="shared" si="84"/>
        <v>0</v>
      </c>
      <c r="AK75" s="50">
        <f t="shared" si="84"/>
        <v>0</v>
      </c>
      <c r="AL75" s="210">
        <f t="shared" si="84"/>
        <v>0</v>
      </c>
      <c r="AN75" s="239">
        <f t="shared" ref="AN75:AT75" ca="1" si="85">AN29-AN73</f>
        <v>0</v>
      </c>
      <c r="AO75" s="50">
        <f t="shared" ca="1" si="85"/>
        <v>0</v>
      </c>
      <c r="AP75" s="50">
        <f t="shared" ca="1" si="85"/>
        <v>0</v>
      </c>
      <c r="AQ75" s="50">
        <f t="shared" ca="1" si="85"/>
        <v>0</v>
      </c>
      <c r="AR75" s="50">
        <f t="shared" ca="1" si="85"/>
        <v>0</v>
      </c>
      <c r="AS75" s="50">
        <f t="shared" ca="1" si="85"/>
        <v>0</v>
      </c>
      <c r="AT75" s="50">
        <f t="shared" ca="1" si="85"/>
        <v>0</v>
      </c>
      <c r="AU75" s="50">
        <f t="shared" ref="AU75:AY75" ca="1" si="86">AU29-AU73</f>
        <v>0</v>
      </c>
      <c r="AV75" s="50">
        <f t="shared" ca="1" si="86"/>
        <v>0</v>
      </c>
      <c r="AW75" s="50">
        <f t="shared" ca="1" si="86"/>
        <v>0</v>
      </c>
      <c r="AX75" s="50">
        <f t="shared" ca="1" si="86"/>
        <v>0</v>
      </c>
      <c r="AY75" s="210">
        <f t="shared" ca="1" si="86"/>
        <v>0</v>
      </c>
      <c r="BA75" s="239">
        <f t="shared" ref="BA75" ca="1" si="87">BA29-BA73</f>
        <v>0</v>
      </c>
      <c r="BB75" s="50">
        <f t="shared" ref="BB75:BC75" ca="1" si="88">BB29-BB73</f>
        <v>0</v>
      </c>
      <c r="BC75" s="210">
        <f t="shared" ca="1" si="88"/>
        <v>0</v>
      </c>
    </row>
    <row r="76" spans="2:55" x14ac:dyDescent="0.35">
      <c r="B76" s="29" t="s">
        <v>57</v>
      </c>
      <c r="C76" s="30">
        <f t="shared" ref="C76:Y76" si="89">IFERROR(C75/C$29,0)</f>
        <v>0</v>
      </c>
      <c r="D76" s="30">
        <f t="shared" si="89"/>
        <v>0</v>
      </c>
      <c r="E76" s="30">
        <f t="shared" si="89"/>
        <v>0</v>
      </c>
      <c r="F76" s="30">
        <f t="shared" si="89"/>
        <v>0</v>
      </c>
      <c r="G76" s="30">
        <f t="shared" si="89"/>
        <v>0</v>
      </c>
      <c r="H76" s="30">
        <f t="shared" si="89"/>
        <v>0</v>
      </c>
      <c r="I76" s="30">
        <f t="shared" si="89"/>
        <v>0</v>
      </c>
      <c r="J76" s="30">
        <f t="shared" si="89"/>
        <v>0</v>
      </c>
      <c r="K76" s="30">
        <f t="shared" si="89"/>
        <v>0</v>
      </c>
      <c r="L76" s="30">
        <f t="shared" si="89"/>
        <v>0</v>
      </c>
      <c r="M76" s="30">
        <f t="shared" si="89"/>
        <v>0</v>
      </c>
      <c r="N76" s="30">
        <f t="shared" si="89"/>
        <v>0</v>
      </c>
      <c r="O76" s="30">
        <f t="shared" si="89"/>
        <v>0</v>
      </c>
      <c r="P76" s="30">
        <f t="shared" si="89"/>
        <v>0</v>
      </c>
      <c r="Q76" s="30">
        <f t="shared" si="89"/>
        <v>0</v>
      </c>
      <c r="R76" s="30">
        <f t="shared" si="89"/>
        <v>0</v>
      </c>
      <c r="S76" s="30">
        <f t="shared" si="89"/>
        <v>0</v>
      </c>
      <c r="T76" s="30">
        <f t="shared" si="89"/>
        <v>0</v>
      </c>
      <c r="U76" s="30">
        <f t="shared" si="89"/>
        <v>0</v>
      </c>
      <c r="V76" s="30">
        <f t="shared" si="89"/>
        <v>0</v>
      </c>
      <c r="W76" s="30">
        <f t="shared" si="89"/>
        <v>0</v>
      </c>
      <c r="X76" s="30">
        <f t="shared" si="89"/>
        <v>0</v>
      </c>
      <c r="Y76" s="30">
        <f t="shared" si="89"/>
        <v>0</v>
      </c>
      <c r="Z76" s="30">
        <f t="shared" ref="Z76:AL76" si="90">IFERROR(Z75/Z$29,0)</f>
        <v>0</v>
      </c>
      <c r="AA76" s="30">
        <f t="shared" si="90"/>
        <v>0</v>
      </c>
      <c r="AB76" s="30">
        <f t="shared" si="90"/>
        <v>0</v>
      </c>
      <c r="AC76" s="30">
        <f t="shared" si="90"/>
        <v>0</v>
      </c>
      <c r="AD76" s="30">
        <f t="shared" si="90"/>
        <v>0</v>
      </c>
      <c r="AE76" s="30">
        <f t="shared" si="90"/>
        <v>0</v>
      </c>
      <c r="AF76" s="30">
        <f t="shared" si="90"/>
        <v>0</v>
      </c>
      <c r="AG76" s="30">
        <f t="shared" si="90"/>
        <v>0</v>
      </c>
      <c r="AH76" s="30">
        <f t="shared" si="90"/>
        <v>0</v>
      </c>
      <c r="AI76" s="30">
        <f t="shared" si="90"/>
        <v>0</v>
      </c>
      <c r="AJ76" s="30">
        <f t="shared" si="90"/>
        <v>0</v>
      </c>
      <c r="AK76" s="30">
        <f t="shared" si="90"/>
        <v>0</v>
      </c>
      <c r="AL76" s="104">
        <f t="shared" si="90"/>
        <v>0</v>
      </c>
      <c r="AN76" s="115">
        <f t="shared" ref="AN76:AT76" ca="1" si="91">IFERROR(AN75/AN$29,0)</f>
        <v>0</v>
      </c>
      <c r="AO76" s="30">
        <f t="shared" ca="1" si="91"/>
        <v>0</v>
      </c>
      <c r="AP76" s="30">
        <f t="shared" ca="1" si="91"/>
        <v>0</v>
      </c>
      <c r="AQ76" s="30">
        <f t="shared" ca="1" si="91"/>
        <v>0</v>
      </c>
      <c r="AR76" s="30">
        <f t="shared" ca="1" si="91"/>
        <v>0</v>
      </c>
      <c r="AS76" s="30">
        <f t="shared" ca="1" si="91"/>
        <v>0</v>
      </c>
      <c r="AT76" s="30">
        <f t="shared" ca="1" si="91"/>
        <v>0</v>
      </c>
      <c r="AU76" s="30">
        <f t="shared" ref="AU76:AY76" ca="1" si="92">IFERROR(AU75/AU$29,0)</f>
        <v>0</v>
      </c>
      <c r="AV76" s="30">
        <f t="shared" ca="1" si="92"/>
        <v>0</v>
      </c>
      <c r="AW76" s="30">
        <f t="shared" ca="1" si="92"/>
        <v>0</v>
      </c>
      <c r="AX76" s="30">
        <f t="shared" ca="1" si="92"/>
        <v>0</v>
      </c>
      <c r="AY76" s="104">
        <f t="shared" ca="1" si="92"/>
        <v>0</v>
      </c>
      <c r="BA76" s="115">
        <f t="shared" ref="BA76" ca="1" si="93">IFERROR(BA75/BA$29,0)</f>
        <v>0</v>
      </c>
      <c r="BB76" s="30">
        <f t="shared" ref="BB76:BC76" ca="1" si="94">IFERROR(BB75/BB$29,0)</f>
        <v>0</v>
      </c>
      <c r="BC76" s="104">
        <f t="shared" ca="1" si="94"/>
        <v>0</v>
      </c>
    </row>
    <row r="77" spans="2:55" x14ac:dyDescent="0.35">
      <c r="B77" s="31" t="s">
        <v>58</v>
      </c>
      <c r="C77" s="50">
        <f t="shared" ref="C77:Y77" si="95">C75+SUM(C43)</f>
        <v>0</v>
      </c>
      <c r="D77" s="50">
        <f t="shared" si="95"/>
        <v>0</v>
      </c>
      <c r="E77" s="50">
        <f t="shared" si="95"/>
        <v>0</v>
      </c>
      <c r="F77" s="50">
        <f t="shared" si="95"/>
        <v>0</v>
      </c>
      <c r="G77" s="50">
        <f t="shared" si="95"/>
        <v>0</v>
      </c>
      <c r="H77" s="50">
        <f t="shared" si="95"/>
        <v>0</v>
      </c>
      <c r="I77" s="50">
        <f t="shared" si="95"/>
        <v>0</v>
      </c>
      <c r="J77" s="50">
        <f t="shared" si="95"/>
        <v>0</v>
      </c>
      <c r="K77" s="50">
        <f t="shared" si="95"/>
        <v>0</v>
      </c>
      <c r="L77" s="50">
        <f t="shared" si="95"/>
        <v>0</v>
      </c>
      <c r="M77" s="50">
        <f t="shared" si="95"/>
        <v>0</v>
      </c>
      <c r="N77" s="50">
        <f t="shared" si="95"/>
        <v>0</v>
      </c>
      <c r="O77" s="50">
        <f t="shared" si="95"/>
        <v>0</v>
      </c>
      <c r="P77" s="50">
        <f t="shared" si="95"/>
        <v>0</v>
      </c>
      <c r="Q77" s="50">
        <f t="shared" si="95"/>
        <v>0</v>
      </c>
      <c r="R77" s="50">
        <f t="shared" si="95"/>
        <v>0</v>
      </c>
      <c r="S77" s="50">
        <f t="shared" si="95"/>
        <v>0</v>
      </c>
      <c r="T77" s="50">
        <f t="shared" si="95"/>
        <v>0</v>
      </c>
      <c r="U77" s="50">
        <f t="shared" si="95"/>
        <v>0</v>
      </c>
      <c r="V77" s="50">
        <f t="shared" si="95"/>
        <v>0</v>
      </c>
      <c r="W77" s="50">
        <f t="shared" si="95"/>
        <v>0</v>
      </c>
      <c r="X77" s="50">
        <f t="shared" si="95"/>
        <v>0</v>
      </c>
      <c r="Y77" s="50">
        <f t="shared" si="95"/>
        <v>0</v>
      </c>
      <c r="Z77" s="50">
        <f t="shared" ref="Z77:AL77" si="96">Z75+SUM(Z43)</f>
        <v>0</v>
      </c>
      <c r="AA77" s="50">
        <f t="shared" si="96"/>
        <v>0</v>
      </c>
      <c r="AB77" s="50">
        <f t="shared" si="96"/>
        <v>0</v>
      </c>
      <c r="AC77" s="50">
        <f t="shared" si="96"/>
        <v>0</v>
      </c>
      <c r="AD77" s="50">
        <f t="shared" si="96"/>
        <v>0</v>
      </c>
      <c r="AE77" s="50">
        <f t="shared" si="96"/>
        <v>0</v>
      </c>
      <c r="AF77" s="50">
        <f t="shared" si="96"/>
        <v>0</v>
      </c>
      <c r="AG77" s="50">
        <f t="shared" si="96"/>
        <v>0</v>
      </c>
      <c r="AH77" s="50">
        <f t="shared" si="96"/>
        <v>0</v>
      </c>
      <c r="AI77" s="50">
        <f t="shared" si="96"/>
        <v>0</v>
      </c>
      <c r="AJ77" s="50">
        <f t="shared" si="96"/>
        <v>0</v>
      </c>
      <c r="AK77" s="50">
        <f t="shared" si="96"/>
        <v>0</v>
      </c>
      <c r="AL77" s="210">
        <f t="shared" si="96"/>
        <v>0</v>
      </c>
      <c r="AN77" s="239">
        <f t="shared" ref="AN77:AT77" ca="1" si="97">AN75+SUM(AN43)</f>
        <v>0</v>
      </c>
      <c r="AO77" s="50">
        <f t="shared" ca="1" si="97"/>
        <v>0</v>
      </c>
      <c r="AP77" s="50">
        <f t="shared" ca="1" si="97"/>
        <v>0</v>
      </c>
      <c r="AQ77" s="50">
        <f t="shared" ca="1" si="97"/>
        <v>0</v>
      </c>
      <c r="AR77" s="50">
        <f t="shared" ca="1" si="97"/>
        <v>0</v>
      </c>
      <c r="AS77" s="50">
        <f t="shared" ca="1" si="97"/>
        <v>0</v>
      </c>
      <c r="AT77" s="50">
        <f t="shared" ca="1" si="97"/>
        <v>0</v>
      </c>
      <c r="AU77" s="50">
        <f t="shared" ref="AU77:AY77" ca="1" si="98">AU75+SUM(AU43)</f>
        <v>0</v>
      </c>
      <c r="AV77" s="50">
        <f t="shared" ca="1" si="98"/>
        <v>0</v>
      </c>
      <c r="AW77" s="50">
        <f t="shared" ca="1" si="98"/>
        <v>0</v>
      </c>
      <c r="AX77" s="50">
        <f t="shared" ca="1" si="98"/>
        <v>0</v>
      </c>
      <c r="AY77" s="210">
        <f t="shared" ca="1" si="98"/>
        <v>0</v>
      </c>
      <c r="BA77" s="239">
        <f t="shared" ref="BA77" ca="1" si="99">BA75+SUM(BA43)</f>
        <v>0</v>
      </c>
      <c r="BB77" s="50">
        <f t="shared" ref="BB77:BC77" ca="1" si="100">BB75+SUM(BB43)</f>
        <v>0</v>
      </c>
      <c r="BC77" s="210">
        <f t="shared" ca="1" si="100"/>
        <v>0</v>
      </c>
    </row>
    <row r="78" spans="2:55" x14ac:dyDescent="0.35">
      <c r="B78" s="29" t="s">
        <v>59</v>
      </c>
      <c r="C78" s="30">
        <f t="shared" ref="C78:Y78" si="101">IFERROR(C77/C$29,0)</f>
        <v>0</v>
      </c>
      <c r="D78" s="30">
        <f t="shared" si="101"/>
        <v>0</v>
      </c>
      <c r="E78" s="30">
        <f t="shared" si="101"/>
        <v>0</v>
      </c>
      <c r="F78" s="30">
        <f t="shared" si="101"/>
        <v>0</v>
      </c>
      <c r="G78" s="30">
        <f t="shared" si="101"/>
        <v>0</v>
      </c>
      <c r="H78" s="30">
        <f t="shared" si="101"/>
        <v>0</v>
      </c>
      <c r="I78" s="30">
        <f t="shared" si="101"/>
        <v>0</v>
      </c>
      <c r="J78" s="30">
        <f t="shared" si="101"/>
        <v>0</v>
      </c>
      <c r="K78" s="30">
        <f t="shared" si="101"/>
        <v>0</v>
      </c>
      <c r="L78" s="30">
        <f t="shared" si="101"/>
        <v>0</v>
      </c>
      <c r="M78" s="30">
        <f t="shared" si="101"/>
        <v>0</v>
      </c>
      <c r="N78" s="30">
        <f t="shared" si="101"/>
        <v>0</v>
      </c>
      <c r="O78" s="30">
        <f t="shared" si="101"/>
        <v>0</v>
      </c>
      <c r="P78" s="30">
        <f t="shared" si="101"/>
        <v>0</v>
      </c>
      <c r="Q78" s="30">
        <f t="shared" si="101"/>
        <v>0</v>
      </c>
      <c r="R78" s="30">
        <f t="shared" si="101"/>
        <v>0</v>
      </c>
      <c r="S78" s="30">
        <f t="shared" si="101"/>
        <v>0</v>
      </c>
      <c r="T78" s="30">
        <f t="shared" si="101"/>
        <v>0</v>
      </c>
      <c r="U78" s="30">
        <f t="shared" si="101"/>
        <v>0</v>
      </c>
      <c r="V78" s="30">
        <f t="shared" si="101"/>
        <v>0</v>
      </c>
      <c r="W78" s="30">
        <f t="shared" si="101"/>
        <v>0</v>
      </c>
      <c r="X78" s="30">
        <f t="shared" si="101"/>
        <v>0</v>
      </c>
      <c r="Y78" s="30">
        <f t="shared" si="101"/>
        <v>0</v>
      </c>
      <c r="Z78" s="30">
        <f t="shared" ref="Z78:AL78" si="102">IFERROR(Z77/Z$29,0)</f>
        <v>0</v>
      </c>
      <c r="AA78" s="30">
        <f t="shared" si="102"/>
        <v>0</v>
      </c>
      <c r="AB78" s="30">
        <f t="shared" si="102"/>
        <v>0</v>
      </c>
      <c r="AC78" s="30">
        <f t="shared" si="102"/>
        <v>0</v>
      </c>
      <c r="AD78" s="30">
        <f t="shared" si="102"/>
        <v>0</v>
      </c>
      <c r="AE78" s="30">
        <f t="shared" si="102"/>
        <v>0</v>
      </c>
      <c r="AF78" s="30">
        <f t="shared" si="102"/>
        <v>0</v>
      </c>
      <c r="AG78" s="30">
        <f t="shared" si="102"/>
        <v>0</v>
      </c>
      <c r="AH78" s="30">
        <f t="shared" si="102"/>
        <v>0</v>
      </c>
      <c r="AI78" s="30">
        <f t="shared" si="102"/>
        <v>0</v>
      </c>
      <c r="AJ78" s="30">
        <f t="shared" si="102"/>
        <v>0</v>
      </c>
      <c r="AK78" s="30">
        <f t="shared" si="102"/>
        <v>0</v>
      </c>
      <c r="AL78" s="104">
        <f t="shared" si="102"/>
        <v>0</v>
      </c>
      <c r="AN78" s="115">
        <f t="shared" ref="AN78:AT78" ca="1" si="103">IFERROR(AN77/AN$29,0)</f>
        <v>0</v>
      </c>
      <c r="AO78" s="30">
        <f t="shared" ca="1" si="103"/>
        <v>0</v>
      </c>
      <c r="AP78" s="30">
        <f t="shared" ca="1" si="103"/>
        <v>0</v>
      </c>
      <c r="AQ78" s="30">
        <f t="shared" ca="1" si="103"/>
        <v>0</v>
      </c>
      <c r="AR78" s="30">
        <f t="shared" ca="1" si="103"/>
        <v>0</v>
      </c>
      <c r="AS78" s="30">
        <f t="shared" ca="1" si="103"/>
        <v>0</v>
      </c>
      <c r="AT78" s="30">
        <f t="shared" ca="1" si="103"/>
        <v>0</v>
      </c>
      <c r="AU78" s="30">
        <f t="shared" ref="AU78:AY78" ca="1" si="104">IFERROR(AU77/AU$29,0)</f>
        <v>0</v>
      </c>
      <c r="AV78" s="30">
        <f t="shared" ca="1" si="104"/>
        <v>0</v>
      </c>
      <c r="AW78" s="30">
        <f t="shared" ca="1" si="104"/>
        <v>0</v>
      </c>
      <c r="AX78" s="30">
        <f t="shared" ca="1" si="104"/>
        <v>0</v>
      </c>
      <c r="AY78" s="104">
        <f t="shared" ca="1" si="104"/>
        <v>0</v>
      </c>
      <c r="BA78" s="115">
        <f t="shared" ref="BA78" ca="1" si="105">IFERROR(BA77/BA$29,0)</f>
        <v>0</v>
      </c>
      <c r="BB78" s="30">
        <f t="shared" ref="BB78:BC78" ca="1" si="106">IFERROR(BB77/BB$29,0)</f>
        <v>0</v>
      </c>
      <c r="BC78" s="104">
        <f t="shared" ca="1" si="106"/>
        <v>0</v>
      </c>
    </row>
    <row r="79" spans="2:55" x14ac:dyDescent="0.35">
      <c r="B79" s="51"/>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211"/>
      <c r="AN79" s="240"/>
      <c r="AO79" s="52"/>
      <c r="AP79" s="52"/>
      <c r="AQ79" s="52"/>
      <c r="AR79" s="52"/>
      <c r="AS79" s="52"/>
      <c r="AT79" s="52"/>
      <c r="AU79" s="52"/>
      <c r="AV79" s="52"/>
      <c r="AW79" s="52"/>
      <c r="AX79" s="52"/>
      <c r="AY79" s="211"/>
      <c r="BA79" s="240"/>
      <c r="BB79" s="52"/>
      <c r="BC79" s="211"/>
    </row>
    <row r="80" spans="2:55" x14ac:dyDescent="0.35">
      <c r="B80" s="44" t="s">
        <v>60</v>
      </c>
      <c r="C80" s="52">
        <f>'Detailed P&amp;L'!C183</f>
        <v>0</v>
      </c>
      <c r="D80" s="52">
        <f>'Detailed P&amp;L'!D183</f>
        <v>0</v>
      </c>
      <c r="E80" s="52">
        <f>'Detailed P&amp;L'!E183</f>
        <v>0</v>
      </c>
      <c r="F80" s="52">
        <f>'Detailed P&amp;L'!F183</f>
        <v>0</v>
      </c>
      <c r="G80" s="52">
        <f>'Detailed P&amp;L'!G183</f>
        <v>0</v>
      </c>
      <c r="H80" s="52">
        <f>'Detailed P&amp;L'!H183</f>
        <v>0</v>
      </c>
      <c r="I80" s="52">
        <f>'Detailed P&amp;L'!I183</f>
        <v>0</v>
      </c>
      <c r="J80" s="52">
        <f>'Detailed P&amp;L'!J183</f>
        <v>0</v>
      </c>
      <c r="K80" s="52">
        <f>'Detailed P&amp;L'!K183</f>
        <v>0</v>
      </c>
      <c r="L80" s="52">
        <f>'Detailed P&amp;L'!L183</f>
        <v>0</v>
      </c>
      <c r="M80" s="52">
        <f>'Detailed P&amp;L'!M183</f>
        <v>0</v>
      </c>
      <c r="N80" s="52">
        <f>'Detailed P&amp;L'!N183</f>
        <v>0</v>
      </c>
      <c r="O80" s="52">
        <f>'Detailed P&amp;L'!O183</f>
        <v>0</v>
      </c>
      <c r="P80" s="52">
        <f>'Detailed P&amp;L'!P183</f>
        <v>0</v>
      </c>
      <c r="Q80" s="52">
        <f>'Detailed P&amp;L'!Q183</f>
        <v>0</v>
      </c>
      <c r="R80" s="52">
        <f>'Detailed P&amp;L'!R183</f>
        <v>0</v>
      </c>
      <c r="S80" s="52">
        <f>'Detailed P&amp;L'!S183</f>
        <v>0</v>
      </c>
      <c r="T80" s="52">
        <f>'Detailed P&amp;L'!T183</f>
        <v>0</v>
      </c>
      <c r="U80" s="52">
        <f>'Detailed P&amp;L'!U183</f>
        <v>0</v>
      </c>
      <c r="V80" s="52">
        <f>'Detailed P&amp;L'!V183</f>
        <v>0</v>
      </c>
      <c r="W80" s="52">
        <f>'Detailed P&amp;L'!W183</f>
        <v>0</v>
      </c>
      <c r="X80" s="52">
        <f>'Detailed P&amp;L'!X183</f>
        <v>0</v>
      </c>
      <c r="Y80" s="52">
        <f>'Detailed P&amp;L'!Y183</f>
        <v>0</v>
      </c>
      <c r="Z80" s="52">
        <f>'Detailed P&amp;L'!Z183</f>
        <v>0</v>
      </c>
      <c r="AA80" s="52">
        <f>'Detailed P&amp;L'!AA183</f>
        <v>0</v>
      </c>
      <c r="AB80" s="52">
        <f>'Detailed P&amp;L'!AB183</f>
        <v>0</v>
      </c>
      <c r="AC80" s="52">
        <f>'Detailed P&amp;L'!AC183</f>
        <v>0</v>
      </c>
      <c r="AD80" s="52">
        <f>'Detailed P&amp;L'!AD183</f>
        <v>0</v>
      </c>
      <c r="AE80" s="52">
        <f>'Detailed P&amp;L'!AE183</f>
        <v>0</v>
      </c>
      <c r="AF80" s="52">
        <f>'Detailed P&amp;L'!AF183</f>
        <v>0</v>
      </c>
      <c r="AG80" s="52">
        <f>'Detailed P&amp;L'!AG183</f>
        <v>0</v>
      </c>
      <c r="AH80" s="52">
        <f>'Detailed P&amp;L'!AH183</f>
        <v>0</v>
      </c>
      <c r="AI80" s="52">
        <f>'Detailed P&amp;L'!AI183</f>
        <v>0</v>
      </c>
      <c r="AJ80" s="52">
        <f>'Detailed P&amp;L'!AJ183</f>
        <v>0</v>
      </c>
      <c r="AK80" s="52">
        <f>'Detailed P&amp;L'!AK183</f>
        <v>0</v>
      </c>
      <c r="AL80" s="211">
        <f>'Detailed P&amp;L'!AL183</f>
        <v>0</v>
      </c>
      <c r="AN80" s="240">
        <f ca="1">'Detailed P&amp;L'!AN183</f>
        <v>0</v>
      </c>
      <c r="AO80" s="52">
        <f ca="1">'Detailed P&amp;L'!AO183</f>
        <v>0</v>
      </c>
      <c r="AP80" s="52">
        <f ca="1">'Detailed P&amp;L'!AP183</f>
        <v>0</v>
      </c>
      <c r="AQ80" s="52">
        <f ca="1">'Detailed P&amp;L'!AQ183</f>
        <v>0</v>
      </c>
      <c r="AR80" s="52">
        <f ca="1">'Detailed P&amp;L'!AR183</f>
        <v>0</v>
      </c>
      <c r="AS80" s="52">
        <f ca="1">'Detailed P&amp;L'!AS183</f>
        <v>0</v>
      </c>
      <c r="AT80" s="52">
        <f ca="1">'Detailed P&amp;L'!AT183</f>
        <v>0</v>
      </c>
      <c r="AU80" s="52">
        <f ca="1">'Detailed P&amp;L'!AU183</f>
        <v>0</v>
      </c>
      <c r="AV80" s="52">
        <f ca="1">'Detailed P&amp;L'!AV183</f>
        <v>0</v>
      </c>
      <c r="AW80" s="52">
        <f ca="1">'Detailed P&amp;L'!AW183</f>
        <v>0</v>
      </c>
      <c r="AX80" s="52">
        <f ca="1">'Detailed P&amp;L'!AX183</f>
        <v>0</v>
      </c>
      <c r="AY80" s="211">
        <f ca="1">'Detailed P&amp;L'!AY183</f>
        <v>0</v>
      </c>
      <c r="BA80" s="240">
        <f ca="1">'Detailed P&amp;L'!BA183</f>
        <v>0</v>
      </c>
      <c r="BB80" s="52">
        <f ca="1">'Detailed P&amp;L'!BB183</f>
        <v>0</v>
      </c>
      <c r="BC80" s="211">
        <f ca="1">'Detailed P&amp;L'!BC183</f>
        <v>0</v>
      </c>
    </row>
    <row r="81" spans="2:55" x14ac:dyDescent="0.35">
      <c r="B81" s="44"/>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211"/>
      <c r="AN81" s="240"/>
      <c r="AO81" s="52"/>
      <c r="AP81" s="52"/>
      <c r="AQ81" s="52"/>
      <c r="AR81" s="52"/>
      <c r="AS81" s="52"/>
      <c r="AT81" s="52"/>
      <c r="AU81" s="52"/>
      <c r="AV81" s="52"/>
      <c r="AW81" s="52"/>
      <c r="AX81" s="52"/>
      <c r="AY81" s="211"/>
      <c r="BA81" s="240"/>
      <c r="BB81" s="52"/>
      <c r="BC81" s="211"/>
    </row>
    <row r="82" spans="2:55" x14ac:dyDescent="0.35">
      <c r="B82" s="31" t="s">
        <v>61</v>
      </c>
      <c r="C82" s="50">
        <f t="shared" ref="C82:Y82" si="107">C75-C80</f>
        <v>0</v>
      </c>
      <c r="D82" s="50">
        <f t="shared" si="107"/>
        <v>0</v>
      </c>
      <c r="E82" s="50">
        <f t="shared" si="107"/>
        <v>0</v>
      </c>
      <c r="F82" s="50">
        <f t="shared" si="107"/>
        <v>0</v>
      </c>
      <c r="G82" s="50">
        <f t="shared" si="107"/>
        <v>0</v>
      </c>
      <c r="H82" s="50">
        <f t="shared" si="107"/>
        <v>0</v>
      </c>
      <c r="I82" s="50">
        <f t="shared" si="107"/>
        <v>0</v>
      </c>
      <c r="J82" s="50">
        <f t="shared" si="107"/>
        <v>0</v>
      </c>
      <c r="K82" s="50">
        <f t="shared" si="107"/>
        <v>0</v>
      </c>
      <c r="L82" s="50">
        <f t="shared" si="107"/>
        <v>0</v>
      </c>
      <c r="M82" s="50">
        <f t="shared" si="107"/>
        <v>0</v>
      </c>
      <c r="N82" s="50">
        <f t="shared" si="107"/>
        <v>0</v>
      </c>
      <c r="O82" s="50">
        <f t="shared" si="107"/>
        <v>0</v>
      </c>
      <c r="P82" s="50">
        <f t="shared" si="107"/>
        <v>0</v>
      </c>
      <c r="Q82" s="50">
        <f t="shared" si="107"/>
        <v>0</v>
      </c>
      <c r="R82" s="50">
        <f t="shared" si="107"/>
        <v>0</v>
      </c>
      <c r="S82" s="50">
        <f t="shared" si="107"/>
        <v>0</v>
      </c>
      <c r="T82" s="50">
        <f t="shared" si="107"/>
        <v>0</v>
      </c>
      <c r="U82" s="50">
        <f t="shared" si="107"/>
        <v>0</v>
      </c>
      <c r="V82" s="50">
        <f t="shared" si="107"/>
        <v>0</v>
      </c>
      <c r="W82" s="50">
        <f t="shared" si="107"/>
        <v>0</v>
      </c>
      <c r="X82" s="50">
        <f t="shared" si="107"/>
        <v>0</v>
      </c>
      <c r="Y82" s="50">
        <f t="shared" si="107"/>
        <v>0</v>
      </c>
      <c r="Z82" s="50">
        <f t="shared" ref="Z82:AL82" si="108">Z75-Z80</f>
        <v>0</v>
      </c>
      <c r="AA82" s="50">
        <f t="shared" si="108"/>
        <v>0</v>
      </c>
      <c r="AB82" s="50">
        <f t="shared" si="108"/>
        <v>0</v>
      </c>
      <c r="AC82" s="50">
        <f t="shared" si="108"/>
        <v>0</v>
      </c>
      <c r="AD82" s="50">
        <f t="shared" si="108"/>
        <v>0</v>
      </c>
      <c r="AE82" s="50">
        <f t="shared" si="108"/>
        <v>0</v>
      </c>
      <c r="AF82" s="50">
        <f t="shared" si="108"/>
        <v>0</v>
      </c>
      <c r="AG82" s="50">
        <f t="shared" si="108"/>
        <v>0</v>
      </c>
      <c r="AH82" s="50">
        <f t="shared" si="108"/>
        <v>0</v>
      </c>
      <c r="AI82" s="50">
        <f t="shared" si="108"/>
        <v>0</v>
      </c>
      <c r="AJ82" s="50">
        <f t="shared" si="108"/>
        <v>0</v>
      </c>
      <c r="AK82" s="50">
        <f t="shared" si="108"/>
        <v>0</v>
      </c>
      <c r="AL82" s="210">
        <f t="shared" si="108"/>
        <v>0</v>
      </c>
      <c r="AN82" s="239">
        <f t="shared" ref="AN82:AT82" ca="1" si="109">AN75-AN80</f>
        <v>0</v>
      </c>
      <c r="AO82" s="50">
        <f t="shared" ca="1" si="109"/>
        <v>0</v>
      </c>
      <c r="AP82" s="50">
        <f t="shared" ca="1" si="109"/>
        <v>0</v>
      </c>
      <c r="AQ82" s="50">
        <f t="shared" ca="1" si="109"/>
        <v>0</v>
      </c>
      <c r="AR82" s="50">
        <f t="shared" ca="1" si="109"/>
        <v>0</v>
      </c>
      <c r="AS82" s="50">
        <f t="shared" ca="1" si="109"/>
        <v>0</v>
      </c>
      <c r="AT82" s="50">
        <f t="shared" ca="1" si="109"/>
        <v>0</v>
      </c>
      <c r="AU82" s="50">
        <f t="shared" ref="AU82:AY82" ca="1" si="110">AU75-AU80</f>
        <v>0</v>
      </c>
      <c r="AV82" s="50">
        <f t="shared" ca="1" si="110"/>
        <v>0</v>
      </c>
      <c r="AW82" s="50">
        <f t="shared" ca="1" si="110"/>
        <v>0</v>
      </c>
      <c r="AX82" s="50">
        <f t="shared" ca="1" si="110"/>
        <v>0</v>
      </c>
      <c r="AY82" s="210">
        <f t="shared" ca="1" si="110"/>
        <v>0</v>
      </c>
      <c r="BA82" s="239">
        <f t="shared" ref="BA82" ca="1" si="111">BA75-BA80</f>
        <v>0</v>
      </c>
      <c r="BB82" s="50">
        <f t="shared" ref="BB82:BC82" ca="1" si="112">BB75-BB80</f>
        <v>0</v>
      </c>
      <c r="BC82" s="210">
        <f t="shared" ca="1" si="112"/>
        <v>0</v>
      </c>
    </row>
    <row r="83" spans="2:55" x14ac:dyDescent="0.35">
      <c r="B83" s="29" t="s">
        <v>62</v>
      </c>
      <c r="C83" s="30">
        <f t="shared" ref="C83:Y83" si="113">IFERROR(C82/C$29,0)</f>
        <v>0</v>
      </c>
      <c r="D83" s="30">
        <f t="shared" si="113"/>
        <v>0</v>
      </c>
      <c r="E83" s="30">
        <f t="shared" si="113"/>
        <v>0</v>
      </c>
      <c r="F83" s="30">
        <f t="shared" si="113"/>
        <v>0</v>
      </c>
      <c r="G83" s="30">
        <f t="shared" si="113"/>
        <v>0</v>
      </c>
      <c r="H83" s="30">
        <f t="shared" si="113"/>
        <v>0</v>
      </c>
      <c r="I83" s="30">
        <f t="shared" si="113"/>
        <v>0</v>
      </c>
      <c r="J83" s="30">
        <f t="shared" si="113"/>
        <v>0</v>
      </c>
      <c r="K83" s="30">
        <f t="shared" si="113"/>
        <v>0</v>
      </c>
      <c r="L83" s="30">
        <f t="shared" si="113"/>
        <v>0</v>
      </c>
      <c r="M83" s="30">
        <f t="shared" si="113"/>
        <v>0</v>
      </c>
      <c r="N83" s="30">
        <f t="shared" si="113"/>
        <v>0</v>
      </c>
      <c r="O83" s="30">
        <f t="shared" si="113"/>
        <v>0</v>
      </c>
      <c r="P83" s="30">
        <f t="shared" si="113"/>
        <v>0</v>
      </c>
      <c r="Q83" s="30">
        <f t="shared" si="113"/>
        <v>0</v>
      </c>
      <c r="R83" s="30">
        <f t="shared" si="113"/>
        <v>0</v>
      </c>
      <c r="S83" s="30">
        <f t="shared" si="113"/>
        <v>0</v>
      </c>
      <c r="T83" s="30">
        <f t="shared" si="113"/>
        <v>0</v>
      </c>
      <c r="U83" s="30">
        <f t="shared" si="113"/>
        <v>0</v>
      </c>
      <c r="V83" s="30">
        <f t="shared" si="113"/>
        <v>0</v>
      </c>
      <c r="W83" s="30">
        <f t="shared" si="113"/>
        <v>0</v>
      </c>
      <c r="X83" s="30">
        <f t="shared" si="113"/>
        <v>0</v>
      </c>
      <c r="Y83" s="30">
        <f t="shared" si="113"/>
        <v>0</v>
      </c>
      <c r="Z83" s="30">
        <f t="shared" ref="Z83:AL83" si="114">IFERROR(Z82/Z$29,0)</f>
        <v>0</v>
      </c>
      <c r="AA83" s="30">
        <f t="shared" si="114"/>
        <v>0</v>
      </c>
      <c r="AB83" s="30">
        <f t="shared" si="114"/>
        <v>0</v>
      </c>
      <c r="AC83" s="30">
        <f t="shared" si="114"/>
        <v>0</v>
      </c>
      <c r="AD83" s="30">
        <f t="shared" si="114"/>
        <v>0</v>
      </c>
      <c r="AE83" s="30">
        <f t="shared" si="114"/>
        <v>0</v>
      </c>
      <c r="AF83" s="30">
        <f t="shared" si="114"/>
        <v>0</v>
      </c>
      <c r="AG83" s="30">
        <f t="shared" si="114"/>
        <v>0</v>
      </c>
      <c r="AH83" s="30">
        <f t="shared" si="114"/>
        <v>0</v>
      </c>
      <c r="AI83" s="30">
        <f t="shared" si="114"/>
        <v>0</v>
      </c>
      <c r="AJ83" s="30">
        <f t="shared" si="114"/>
        <v>0</v>
      </c>
      <c r="AK83" s="30">
        <f t="shared" si="114"/>
        <v>0</v>
      </c>
      <c r="AL83" s="104">
        <f t="shared" si="114"/>
        <v>0</v>
      </c>
      <c r="AN83" s="115">
        <f t="shared" ref="AN83:AT83" ca="1" si="115">IFERROR(AN82/AN$29,0)</f>
        <v>0</v>
      </c>
      <c r="AO83" s="30">
        <f t="shared" ca="1" si="115"/>
        <v>0</v>
      </c>
      <c r="AP83" s="30">
        <f t="shared" ca="1" si="115"/>
        <v>0</v>
      </c>
      <c r="AQ83" s="30">
        <f t="shared" ca="1" si="115"/>
        <v>0</v>
      </c>
      <c r="AR83" s="30">
        <f t="shared" ca="1" si="115"/>
        <v>0</v>
      </c>
      <c r="AS83" s="30">
        <f t="shared" ca="1" si="115"/>
        <v>0</v>
      </c>
      <c r="AT83" s="30">
        <f t="shared" ca="1" si="115"/>
        <v>0</v>
      </c>
      <c r="AU83" s="30">
        <f t="shared" ref="AU83:AY83" ca="1" si="116">IFERROR(AU82/AU$29,0)</f>
        <v>0</v>
      </c>
      <c r="AV83" s="30">
        <f t="shared" ca="1" si="116"/>
        <v>0</v>
      </c>
      <c r="AW83" s="30">
        <f t="shared" ca="1" si="116"/>
        <v>0</v>
      </c>
      <c r="AX83" s="30">
        <f t="shared" ca="1" si="116"/>
        <v>0</v>
      </c>
      <c r="AY83" s="104">
        <f t="shared" ca="1" si="116"/>
        <v>0</v>
      </c>
      <c r="BA83" s="115">
        <f t="shared" ref="BA83" ca="1" si="117">IFERROR(BA82/BA$29,0)</f>
        <v>0</v>
      </c>
      <c r="BB83" s="30">
        <f t="shared" ref="BB83:BC83" ca="1" si="118">IFERROR(BB82/BB$29,0)</f>
        <v>0</v>
      </c>
      <c r="BC83" s="104">
        <f t="shared" ca="1" si="118"/>
        <v>0</v>
      </c>
    </row>
    <row r="84" spans="2:55" x14ac:dyDescent="0.35">
      <c r="B84" s="44"/>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211"/>
      <c r="AN84" s="240"/>
      <c r="AO84" s="52"/>
      <c r="AP84" s="52"/>
      <c r="AQ84" s="52"/>
      <c r="AR84" s="52"/>
      <c r="AS84" s="52"/>
      <c r="AT84" s="52"/>
      <c r="AU84" s="52"/>
      <c r="AV84" s="52"/>
      <c r="AW84" s="52"/>
      <c r="AX84" s="52"/>
      <c r="AY84" s="211"/>
      <c r="BA84" s="240"/>
      <c r="BB84" s="52"/>
      <c r="BC84" s="211"/>
    </row>
    <row r="85" spans="2:55" outlineLevel="1" x14ac:dyDescent="0.35">
      <c r="B85" s="44" t="s">
        <v>63</v>
      </c>
      <c r="C85" s="52">
        <f>'Detailed P&amp;L'!C188</f>
        <v>0</v>
      </c>
      <c r="D85" s="52">
        <f>'Detailed P&amp;L'!D188</f>
        <v>0</v>
      </c>
      <c r="E85" s="52">
        <f>'Detailed P&amp;L'!E188</f>
        <v>0</v>
      </c>
      <c r="F85" s="52">
        <f>'Detailed P&amp;L'!F188</f>
        <v>0</v>
      </c>
      <c r="G85" s="52">
        <f>'Detailed P&amp;L'!G188</f>
        <v>0</v>
      </c>
      <c r="H85" s="52">
        <f>'Detailed P&amp;L'!H188</f>
        <v>0</v>
      </c>
      <c r="I85" s="52">
        <f>'Detailed P&amp;L'!I188</f>
        <v>0</v>
      </c>
      <c r="J85" s="52">
        <f>'Detailed P&amp;L'!J188</f>
        <v>0</v>
      </c>
      <c r="K85" s="52">
        <f>'Detailed P&amp;L'!K188</f>
        <v>0</v>
      </c>
      <c r="L85" s="52">
        <f>'Detailed P&amp;L'!L188</f>
        <v>0</v>
      </c>
      <c r="M85" s="52">
        <f>'Detailed P&amp;L'!M188</f>
        <v>0</v>
      </c>
      <c r="N85" s="52">
        <f>'Detailed P&amp;L'!N188</f>
        <v>0</v>
      </c>
      <c r="O85" s="52">
        <f>'Detailed P&amp;L'!O188</f>
        <v>0</v>
      </c>
      <c r="P85" s="52">
        <f>'Detailed P&amp;L'!P188</f>
        <v>0</v>
      </c>
      <c r="Q85" s="52">
        <f>'Detailed P&amp;L'!Q188</f>
        <v>0</v>
      </c>
      <c r="R85" s="52">
        <f>'Detailed P&amp;L'!R188</f>
        <v>0</v>
      </c>
      <c r="S85" s="52">
        <f>'Detailed P&amp;L'!S188</f>
        <v>0</v>
      </c>
      <c r="T85" s="52">
        <f>'Detailed P&amp;L'!T188</f>
        <v>0</v>
      </c>
      <c r="U85" s="52">
        <f>'Detailed P&amp;L'!U188</f>
        <v>0</v>
      </c>
      <c r="V85" s="52">
        <f>'Detailed P&amp;L'!V188</f>
        <v>0</v>
      </c>
      <c r="W85" s="52">
        <f>'Detailed P&amp;L'!W188</f>
        <v>0</v>
      </c>
      <c r="X85" s="52">
        <f>'Detailed P&amp;L'!X188</f>
        <v>0</v>
      </c>
      <c r="Y85" s="52">
        <f>'Detailed P&amp;L'!Y188</f>
        <v>0</v>
      </c>
      <c r="Z85" s="52">
        <f>'Detailed P&amp;L'!Z188</f>
        <v>0</v>
      </c>
      <c r="AA85" s="52">
        <f>'Detailed P&amp;L'!AA188</f>
        <v>0</v>
      </c>
      <c r="AB85" s="52">
        <f>'Detailed P&amp;L'!AB188</f>
        <v>0</v>
      </c>
      <c r="AC85" s="52">
        <f>'Detailed P&amp;L'!AC188</f>
        <v>0</v>
      </c>
      <c r="AD85" s="52">
        <f>'Detailed P&amp;L'!AD188</f>
        <v>0</v>
      </c>
      <c r="AE85" s="52">
        <f>'Detailed P&amp;L'!AE188</f>
        <v>0</v>
      </c>
      <c r="AF85" s="52">
        <f>'Detailed P&amp;L'!AF188</f>
        <v>0</v>
      </c>
      <c r="AG85" s="52">
        <f>'Detailed P&amp;L'!AG188</f>
        <v>0</v>
      </c>
      <c r="AH85" s="52">
        <f>'Detailed P&amp;L'!AH188</f>
        <v>0</v>
      </c>
      <c r="AI85" s="52">
        <f>'Detailed P&amp;L'!AI188</f>
        <v>0</v>
      </c>
      <c r="AJ85" s="52">
        <f>'Detailed P&amp;L'!AJ188</f>
        <v>0</v>
      </c>
      <c r="AK85" s="52">
        <f>'Detailed P&amp;L'!AK188</f>
        <v>0</v>
      </c>
      <c r="AL85" s="211">
        <f>'Detailed P&amp;L'!AL188</f>
        <v>0</v>
      </c>
      <c r="AN85" s="240">
        <f ca="1">'Detailed P&amp;L'!AN188</f>
        <v>0</v>
      </c>
      <c r="AO85" s="52">
        <f ca="1">'Detailed P&amp;L'!AO188</f>
        <v>0</v>
      </c>
      <c r="AP85" s="52">
        <f ca="1">'Detailed P&amp;L'!AP188</f>
        <v>0</v>
      </c>
      <c r="AQ85" s="52">
        <f ca="1">'Detailed P&amp;L'!AQ188</f>
        <v>0</v>
      </c>
      <c r="AR85" s="52">
        <f ca="1">'Detailed P&amp;L'!AR188</f>
        <v>0</v>
      </c>
      <c r="AS85" s="52">
        <f ca="1">'Detailed P&amp;L'!AS188</f>
        <v>0</v>
      </c>
      <c r="AT85" s="52">
        <f ca="1">'Detailed P&amp;L'!AT188</f>
        <v>0</v>
      </c>
      <c r="AU85" s="52">
        <f ca="1">'Detailed P&amp;L'!AU188</f>
        <v>0</v>
      </c>
      <c r="AV85" s="52">
        <f ca="1">'Detailed P&amp;L'!AV188</f>
        <v>0</v>
      </c>
      <c r="AW85" s="52">
        <f ca="1">'Detailed P&amp;L'!AW188</f>
        <v>0</v>
      </c>
      <c r="AX85" s="52">
        <f ca="1">'Detailed P&amp;L'!AX188</f>
        <v>0</v>
      </c>
      <c r="AY85" s="211">
        <f ca="1">'Detailed P&amp;L'!AY188</f>
        <v>0</v>
      </c>
      <c r="BA85" s="240">
        <f ca="1">'Detailed P&amp;L'!BA188</f>
        <v>0</v>
      </c>
      <c r="BB85" s="52">
        <f ca="1">'Detailed P&amp;L'!BB188</f>
        <v>0</v>
      </c>
      <c r="BC85" s="211">
        <f ca="1">'Detailed P&amp;L'!BC188</f>
        <v>0</v>
      </c>
    </row>
    <row r="86" spans="2:55" outlineLevel="1" x14ac:dyDescent="0.35">
      <c r="B86" s="44" t="s">
        <v>64</v>
      </c>
      <c r="C86" s="45">
        <f>'Detailed P&amp;L'!C189</f>
        <v>0</v>
      </c>
      <c r="D86" s="45">
        <f>'Detailed P&amp;L'!D189</f>
        <v>0</v>
      </c>
      <c r="E86" s="45">
        <f>'Detailed P&amp;L'!E189</f>
        <v>0</v>
      </c>
      <c r="F86" s="45">
        <f>'Detailed P&amp;L'!F189</f>
        <v>0</v>
      </c>
      <c r="G86" s="45">
        <f>'Detailed P&amp;L'!G189</f>
        <v>0</v>
      </c>
      <c r="H86" s="45">
        <f>'Detailed P&amp;L'!H189</f>
        <v>0</v>
      </c>
      <c r="I86" s="45">
        <f>'Detailed P&amp;L'!I189</f>
        <v>0</v>
      </c>
      <c r="J86" s="45">
        <f>'Detailed P&amp;L'!J189</f>
        <v>0</v>
      </c>
      <c r="K86" s="45">
        <f>'Detailed P&amp;L'!K189</f>
        <v>0</v>
      </c>
      <c r="L86" s="45">
        <f>'Detailed P&amp;L'!L189</f>
        <v>0</v>
      </c>
      <c r="M86" s="45">
        <f>'Detailed P&amp;L'!M189</f>
        <v>0</v>
      </c>
      <c r="N86" s="45">
        <f>'Detailed P&amp;L'!N189</f>
        <v>0</v>
      </c>
      <c r="O86" s="45">
        <f>'Detailed P&amp;L'!O189</f>
        <v>0</v>
      </c>
      <c r="P86" s="45">
        <f>'Detailed P&amp;L'!P189</f>
        <v>0</v>
      </c>
      <c r="Q86" s="45">
        <f>'Detailed P&amp;L'!Q189</f>
        <v>0</v>
      </c>
      <c r="R86" s="45">
        <f>'Detailed P&amp;L'!R189</f>
        <v>0</v>
      </c>
      <c r="S86" s="45">
        <f>'Detailed P&amp;L'!S189</f>
        <v>0</v>
      </c>
      <c r="T86" s="45">
        <f>'Detailed P&amp;L'!T189</f>
        <v>0</v>
      </c>
      <c r="U86" s="45">
        <f>'Detailed P&amp;L'!U189</f>
        <v>0</v>
      </c>
      <c r="V86" s="45">
        <f>'Detailed P&amp;L'!V189</f>
        <v>0</v>
      </c>
      <c r="W86" s="45">
        <f>'Detailed P&amp;L'!W189</f>
        <v>0</v>
      </c>
      <c r="X86" s="45">
        <f>'Detailed P&amp;L'!X189</f>
        <v>0</v>
      </c>
      <c r="Y86" s="45">
        <f>'Detailed P&amp;L'!Y189</f>
        <v>0</v>
      </c>
      <c r="Z86" s="45">
        <f>'Detailed P&amp;L'!Z189</f>
        <v>0</v>
      </c>
      <c r="AA86" s="45">
        <f>'Detailed P&amp;L'!AA189</f>
        <v>0</v>
      </c>
      <c r="AB86" s="45">
        <f>'Detailed P&amp;L'!AB189</f>
        <v>0</v>
      </c>
      <c r="AC86" s="45">
        <f>'Detailed P&amp;L'!AC189</f>
        <v>0</v>
      </c>
      <c r="AD86" s="45">
        <f>'Detailed P&amp;L'!AD189</f>
        <v>0</v>
      </c>
      <c r="AE86" s="45">
        <f>'Detailed P&amp;L'!AE189</f>
        <v>0</v>
      </c>
      <c r="AF86" s="45">
        <f>'Detailed P&amp;L'!AF189</f>
        <v>0</v>
      </c>
      <c r="AG86" s="45">
        <f>'Detailed P&amp;L'!AG189</f>
        <v>0</v>
      </c>
      <c r="AH86" s="45">
        <f>'Detailed P&amp;L'!AH189</f>
        <v>0</v>
      </c>
      <c r="AI86" s="45">
        <f>'Detailed P&amp;L'!AI189</f>
        <v>0</v>
      </c>
      <c r="AJ86" s="45">
        <f>'Detailed P&amp;L'!AJ189</f>
        <v>0</v>
      </c>
      <c r="AK86" s="45">
        <f>'Detailed P&amp;L'!AK189</f>
        <v>0</v>
      </c>
      <c r="AL86" s="206">
        <f>'Detailed P&amp;L'!AL189</f>
        <v>0</v>
      </c>
      <c r="AN86" s="235">
        <f ca="1">'Detailed P&amp;L'!AN189</f>
        <v>0</v>
      </c>
      <c r="AO86" s="45">
        <f ca="1">'Detailed P&amp;L'!AO189</f>
        <v>0</v>
      </c>
      <c r="AP86" s="45">
        <f ca="1">'Detailed P&amp;L'!AP189</f>
        <v>0</v>
      </c>
      <c r="AQ86" s="45">
        <f ca="1">'Detailed P&amp;L'!AQ189</f>
        <v>0</v>
      </c>
      <c r="AR86" s="45">
        <f ca="1">'Detailed P&amp;L'!AR189</f>
        <v>0</v>
      </c>
      <c r="AS86" s="45">
        <f ca="1">'Detailed P&amp;L'!AS189</f>
        <v>0</v>
      </c>
      <c r="AT86" s="45">
        <f ca="1">'Detailed P&amp;L'!AT189</f>
        <v>0</v>
      </c>
      <c r="AU86" s="45">
        <f ca="1">'Detailed P&amp;L'!AU189</f>
        <v>0</v>
      </c>
      <c r="AV86" s="45">
        <f ca="1">'Detailed P&amp;L'!AV189</f>
        <v>0</v>
      </c>
      <c r="AW86" s="45">
        <f ca="1">'Detailed P&amp;L'!AW189</f>
        <v>0</v>
      </c>
      <c r="AX86" s="45">
        <f ca="1">'Detailed P&amp;L'!AX189</f>
        <v>0</v>
      </c>
      <c r="AY86" s="206">
        <f ca="1">'Detailed P&amp;L'!AY189</f>
        <v>0</v>
      </c>
      <c r="BA86" s="235">
        <f ca="1">'Detailed P&amp;L'!BA189</f>
        <v>0</v>
      </c>
      <c r="BB86" s="45">
        <f ca="1">'Detailed P&amp;L'!BB189</f>
        <v>0</v>
      </c>
      <c r="BC86" s="206">
        <f ca="1">'Detailed P&amp;L'!BC189</f>
        <v>0</v>
      </c>
    </row>
    <row r="87" spans="2:55" ht="15" outlineLevel="1" x14ac:dyDescent="0.4">
      <c r="B87" s="32" t="s">
        <v>65</v>
      </c>
      <c r="C87" s="53">
        <f>'Detailed P&amp;L'!C190</f>
        <v>0</v>
      </c>
      <c r="D87" s="53">
        <f>'Detailed P&amp;L'!D190</f>
        <v>0</v>
      </c>
      <c r="E87" s="53">
        <f>'Detailed P&amp;L'!E190</f>
        <v>0</v>
      </c>
      <c r="F87" s="53">
        <f>'Detailed P&amp;L'!F190</f>
        <v>0</v>
      </c>
      <c r="G87" s="53">
        <f>'Detailed P&amp;L'!G190</f>
        <v>0</v>
      </c>
      <c r="H87" s="53">
        <f>'Detailed P&amp;L'!H190</f>
        <v>0</v>
      </c>
      <c r="I87" s="53">
        <f>'Detailed P&amp;L'!I190</f>
        <v>0</v>
      </c>
      <c r="J87" s="53">
        <f>'Detailed P&amp;L'!J190</f>
        <v>0</v>
      </c>
      <c r="K87" s="53">
        <f>'Detailed P&amp;L'!K190</f>
        <v>0</v>
      </c>
      <c r="L87" s="53">
        <f>'Detailed P&amp;L'!L190</f>
        <v>0</v>
      </c>
      <c r="M87" s="53">
        <f>'Detailed P&amp;L'!M190</f>
        <v>0</v>
      </c>
      <c r="N87" s="53">
        <f>'Detailed P&amp;L'!N190</f>
        <v>0</v>
      </c>
      <c r="O87" s="53">
        <f>'Detailed P&amp;L'!O190</f>
        <v>0</v>
      </c>
      <c r="P87" s="53">
        <f>'Detailed P&amp;L'!P190</f>
        <v>0</v>
      </c>
      <c r="Q87" s="53">
        <f>'Detailed P&amp;L'!Q190</f>
        <v>0</v>
      </c>
      <c r="R87" s="53">
        <f>'Detailed P&amp;L'!R190</f>
        <v>0</v>
      </c>
      <c r="S87" s="53">
        <f>'Detailed P&amp;L'!S190</f>
        <v>0</v>
      </c>
      <c r="T87" s="53">
        <f>'Detailed P&amp;L'!T190</f>
        <v>0</v>
      </c>
      <c r="U87" s="53">
        <f>'Detailed P&amp;L'!U190</f>
        <v>0</v>
      </c>
      <c r="V87" s="53">
        <f>'Detailed P&amp;L'!V190</f>
        <v>0</v>
      </c>
      <c r="W87" s="53">
        <f>'Detailed P&amp;L'!W190</f>
        <v>0</v>
      </c>
      <c r="X87" s="53">
        <f>'Detailed P&amp;L'!X190</f>
        <v>0</v>
      </c>
      <c r="Y87" s="53">
        <f>'Detailed P&amp;L'!Y190</f>
        <v>0</v>
      </c>
      <c r="Z87" s="53">
        <f>'Detailed P&amp;L'!Z190</f>
        <v>0</v>
      </c>
      <c r="AA87" s="53">
        <f>'Detailed P&amp;L'!AA190</f>
        <v>0</v>
      </c>
      <c r="AB87" s="53">
        <f>'Detailed P&amp;L'!AB190</f>
        <v>0</v>
      </c>
      <c r="AC87" s="53">
        <f>'Detailed P&amp;L'!AC190</f>
        <v>0</v>
      </c>
      <c r="AD87" s="53">
        <f>'Detailed P&amp;L'!AD190</f>
        <v>0</v>
      </c>
      <c r="AE87" s="53">
        <f>'Detailed P&amp;L'!AE190</f>
        <v>0</v>
      </c>
      <c r="AF87" s="53">
        <f>'Detailed P&amp;L'!AF190</f>
        <v>0</v>
      </c>
      <c r="AG87" s="53">
        <f>'Detailed P&amp;L'!AG190</f>
        <v>0</v>
      </c>
      <c r="AH87" s="53">
        <f>'Detailed P&amp;L'!AH190</f>
        <v>0</v>
      </c>
      <c r="AI87" s="53">
        <f>'Detailed P&amp;L'!AI190</f>
        <v>0</v>
      </c>
      <c r="AJ87" s="53">
        <f>'Detailed P&amp;L'!AJ190</f>
        <v>0</v>
      </c>
      <c r="AK87" s="53">
        <f>'Detailed P&amp;L'!AK190</f>
        <v>0</v>
      </c>
      <c r="AL87" s="212">
        <f>'Detailed P&amp;L'!AL190</f>
        <v>0</v>
      </c>
      <c r="AN87" s="241">
        <f ca="1">'Detailed P&amp;L'!AN190</f>
        <v>0</v>
      </c>
      <c r="AO87" s="53">
        <f ca="1">'Detailed P&amp;L'!AO190</f>
        <v>0</v>
      </c>
      <c r="AP87" s="53">
        <f ca="1">'Detailed P&amp;L'!AP190</f>
        <v>0</v>
      </c>
      <c r="AQ87" s="53">
        <f ca="1">'Detailed P&amp;L'!AQ190</f>
        <v>0</v>
      </c>
      <c r="AR87" s="53">
        <f ca="1">'Detailed P&amp;L'!AR190</f>
        <v>0</v>
      </c>
      <c r="AS87" s="53">
        <f ca="1">'Detailed P&amp;L'!AS190</f>
        <v>0</v>
      </c>
      <c r="AT87" s="53">
        <f ca="1">'Detailed P&amp;L'!AT190</f>
        <v>0</v>
      </c>
      <c r="AU87" s="53">
        <f ca="1">'Detailed P&amp;L'!AU190</f>
        <v>0</v>
      </c>
      <c r="AV87" s="53">
        <f ca="1">'Detailed P&amp;L'!AV190</f>
        <v>0</v>
      </c>
      <c r="AW87" s="53">
        <f ca="1">'Detailed P&amp;L'!AW190</f>
        <v>0</v>
      </c>
      <c r="AX87" s="53">
        <f ca="1">'Detailed P&amp;L'!AX190</f>
        <v>0</v>
      </c>
      <c r="AY87" s="212">
        <f ca="1">'Detailed P&amp;L'!AY190</f>
        <v>0</v>
      </c>
      <c r="BA87" s="241">
        <f ca="1">'Detailed P&amp;L'!BA190</f>
        <v>0</v>
      </c>
      <c r="BB87" s="53">
        <f ca="1">'Detailed P&amp;L'!BB190</f>
        <v>0</v>
      </c>
      <c r="BC87" s="212">
        <f ca="1">'Detailed P&amp;L'!BC190</f>
        <v>0</v>
      </c>
    </row>
    <row r="88" spans="2:55" x14ac:dyDescent="0.35">
      <c r="B88" s="31" t="s">
        <v>66</v>
      </c>
      <c r="C88" s="50">
        <f t="shared" ref="C88:Y88" si="119">SUM(C85:C87)</f>
        <v>0</v>
      </c>
      <c r="D88" s="50">
        <f t="shared" si="119"/>
        <v>0</v>
      </c>
      <c r="E88" s="50">
        <f t="shared" si="119"/>
        <v>0</v>
      </c>
      <c r="F88" s="50">
        <f t="shared" si="119"/>
        <v>0</v>
      </c>
      <c r="G88" s="50">
        <f t="shared" si="119"/>
        <v>0</v>
      </c>
      <c r="H88" s="50">
        <f t="shared" si="119"/>
        <v>0</v>
      </c>
      <c r="I88" s="50">
        <f t="shared" si="119"/>
        <v>0</v>
      </c>
      <c r="J88" s="50">
        <f t="shared" si="119"/>
        <v>0</v>
      </c>
      <c r="K88" s="50">
        <f t="shared" si="119"/>
        <v>0</v>
      </c>
      <c r="L88" s="50">
        <f t="shared" si="119"/>
        <v>0</v>
      </c>
      <c r="M88" s="50">
        <f t="shared" si="119"/>
        <v>0</v>
      </c>
      <c r="N88" s="50">
        <f t="shared" si="119"/>
        <v>0</v>
      </c>
      <c r="O88" s="50">
        <f t="shared" si="119"/>
        <v>0</v>
      </c>
      <c r="P88" s="50">
        <f t="shared" si="119"/>
        <v>0</v>
      </c>
      <c r="Q88" s="50">
        <f t="shared" si="119"/>
        <v>0</v>
      </c>
      <c r="R88" s="50">
        <f t="shared" si="119"/>
        <v>0</v>
      </c>
      <c r="S88" s="50">
        <f t="shared" si="119"/>
        <v>0</v>
      </c>
      <c r="T88" s="50">
        <f t="shared" si="119"/>
        <v>0</v>
      </c>
      <c r="U88" s="50">
        <f t="shared" si="119"/>
        <v>0</v>
      </c>
      <c r="V88" s="50">
        <f t="shared" si="119"/>
        <v>0</v>
      </c>
      <c r="W88" s="50">
        <f t="shared" si="119"/>
        <v>0</v>
      </c>
      <c r="X88" s="50">
        <f t="shared" si="119"/>
        <v>0</v>
      </c>
      <c r="Y88" s="50">
        <f t="shared" si="119"/>
        <v>0</v>
      </c>
      <c r="Z88" s="50">
        <f t="shared" ref="Z88:AL88" si="120">SUM(Z85:Z87)</f>
        <v>0</v>
      </c>
      <c r="AA88" s="50">
        <f t="shared" si="120"/>
        <v>0</v>
      </c>
      <c r="AB88" s="50">
        <f t="shared" si="120"/>
        <v>0</v>
      </c>
      <c r="AC88" s="50">
        <f t="shared" si="120"/>
        <v>0</v>
      </c>
      <c r="AD88" s="50">
        <f t="shared" si="120"/>
        <v>0</v>
      </c>
      <c r="AE88" s="50">
        <f t="shared" si="120"/>
        <v>0</v>
      </c>
      <c r="AF88" s="50">
        <f t="shared" si="120"/>
        <v>0</v>
      </c>
      <c r="AG88" s="50">
        <f t="shared" si="120"/>
        <v>0</v>
      </c>
      <c r="AH88" s="50">
        <f t="shared" si="120"/>
        <v>0</v>
      </c>
      <c r="AI88" s="50">
        <f t="shared" si="120"/>
        <v>0</v>
      </c>
      <c r="AJ88" s="50">
        <f t="shared" si="120"/>
        <v>0</v>
      </c>
      <c r="AK88" s="50">
        <f t="shared" si="120"/>
        <v>0</v>
      </c>
      <c r="AL88" s="210">
        <f t="shared" si="120"/>
        <v>0</v>
      </c>
      <c r="AN88" s="239">
        <f t="shared" ref="AN88:AT88" ca="1" si="121">SUM(AN85:AN87)</f>
        <v>0</v>
      </c>
      <c r="AO88" s="50">
        <f t="shared" ca="1" si="121"/>
        <v>0</v>
      </c>
      <c r="AP88" s="50">
        <f t="shared" ca="1" si="121"/>
        <v>0</v>
      </c>
      <c r="AQ88" s="50">
        <f t="shared" ca="1" si="121"/>
        <v>0</v>
      </c>
      <c r="AR88" s="50">
        <f t="shared" ca="1" si="121"/>
        <v>0</v>
      </c>
      <c r="AS88" s="50">
        <f t="shared" ca="1" si="121"/>
        <v>0</v>
      </c>
      <c r="AT88" s="50">
        <f t="shared" ca="1" si="121"/>
        <v>0</v>
      </c>
      <c r="AU88" s="50">
        <f t="shared" ref="AU88:AY88" ca="1" si="122">SUM(AU85:AU87)</f>
        <v>0</v>
      </c>
      <c r="AV88" s="50">
        <f t="shared" ca="1" si="122"/>
        <v>0</v>
      </c>
      <c r="AW88" s="50">
        <f t="shared" ca="1" si="122"/>
        <v>0</v>
      </c>
      <c r="AX88" s="50">
        <f t="shared" ca="1" si="122"/>
        <v>0</v>
      </c>
      <c r="AY88" s="210">
        <f t="shared" ca="1" si="122"/>
        <v>0</v>
      </c>
      <c r="BA88" s="239">
        <f t="shared" ref="BA88" ca="1" si="123">SUM(BA85:BA87)</f>
        <v>0</v>
      </c>
      <c r="BB88" s="50">
        <f t="shared" ref="BB88:BC88" ca="1" si="124">SUM(BB85:BB87)</f>
        <v>0</v>
      </c>
      <c r="BC88" s="210">
        <f t="shared" ca="1" si="124"/>
        <v>0</v>
      </c>
    </row>
    <row r="89" spans="2:55" x14ac:dyDescent="0.35">
      <c r="B89" s="44"/>
      <c r="C89" s="54"/>
      <c r="D89" s="54"/>
      <c r="E89" s="54"/>
      <c r="F89" s="54"/>
      <c r="G89" s="54"/>
      <c r="H89" s="54"/>
      <c r="I89" s="54"/>
      <c r="J89" s="54"/>
      <c r="K89" s="54"/>
      <c r="L89" s="54"/>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54"/>
      <c r="AL89" s="213"/>
      <c r="AN89" s="242"/>
      <c r="AO89" s="54"/>
      <c r="AP89" s="54"/>
      <c r="AQ89" s="54"/>
      <c r="AR89" s="54"/>
      <c r="AS89" s="54"/>
      <c r="AT89" s="54"/>
      <c r="AU89" s="54"/>
      <c r="AV89" s="54"/>
      <c r="AW89" s="54"/>
      <c r="AX89" s="54"/>
      <c r="AY89" s="213"/>
      <c r="BA89" s="242"/>
      <c r="BB89" s="54"/>
      <c r="BC89" s="213"/>
    </row>
    <row r="90" spans="2:55" x14ac:dyDescent="0.35">
      <c r="B90" s="31" t="s">
        <v>67</v>
      </c>
      <c r="C90" s="50">
        <f t="shared" ref="C90:Y90" si="125">C82-C88</f>
        <v>0</v>
      </c>
      <c r="D90" s="50">
        <f t="shared" si="125"/>
        <v>0</v>
      </c>
      <c r="E90" s="50">
        <f t="shared" si="125"/>
        <v>0</v>
      </c>
      <c r="F90" s="50">
        <f t="shared" si="125"/>
        <v>0</v>
      </c>
      <c r="G90" s="50">
        <f t="shared" si="125"/>
        <v>0</v>
      </c>
      <c r="H90" s="50">
        <f t="shared" si="125"/>
        <v>0</v>
      </c>
      <c r="I90" s="50">
        <f t="shared" si="125"/>
        <v>0</v>
      </c>
      <c r="J90" s="50">
        <f t="shared" si="125"/>
        <v>0</v>
      </c>
      <c r="K90" s="50">
        <f t="shared" si="125"/>
        <v>0</v>
      </c>
      <c r="L90" s="50">
        <f t="shared" si="125"/>
        <v>0</v>
      </c>
      <c r="M90" s="50">
        <f t="shared" si="125"/>
        <v>0</v>
      </c>
      <c r="N90" s="50">
        <f t="shared" si="125"/>
        <v>0</v>
      </c>
      <c r="O90" s="50">
        <f t="shared" si="125"/>
        <v>0</v>
      </c>
      <c r="P90" s="50">
        <f t="shared" si="125"/>
        <v>0</v>
      </c>
      <c r="Q90" s="50">
        <f t="shared" si="125"/>
        <v>0</v>
      </c>
      <c r="R90" s="50">
        <f t="shared" si="125"/>
        <v>0</v>
      </c>
      <c r="S90" s="50">
        <f t="shared" si="125"/>
        <v>0</v>
      </c>
      <c r="T90" s="50">
        <f t="shared" si="125"/>
        <v>0</v>
      </c>
      <c r="U90" s="50">
        <f t="shared" si="125"/>
        <v>0</v>
      </c>
      <c r="V90" s="50">
        <f t="shared" si="125"/>
        <v>0</v>
      </c>
      <c r="W90" s="50">
        <f t="shared" si="125"/>
        <v>0</v>
      </c>
      <c r="X90" s="50">
        <f t="shared" si="125"/>
        <v>0</v>
      </c>
      <c r="Y90" s="50">
        <f t="shared" si="125"/>
        <v>0</v>
      </c>
      <c r="Z90" s="50">
        <f t="shared" ref="Z90:AL90" si="126">Z82-Z88</f>
        <v>0</v>
      </c>
      <c r="AA90" s="50">
        <f t="shared" si="126"/>
        <v>0</v>
      </c>
      <c r="AB90" s="50">
        <f t="shared" si="126"/>
        <v>0</v>
      </c>
      <c r="AC90" s="50">
        <f t="shared" si="126"/>
        <v>0</v>
      </c>
      <c r="AD90" s="50">
        <f t="shared" si="126"/>
        <v>0</v>
      </c>
      <c r="AE90" s="50">
        <f t="shared" si="126"/>
        <v>0</v>
      </c>
      <c r="AF90" s="50">
        <f t="shared" si="126"/>
        <v>0</v>
      </c>
      <c r="AG90" s="50">
        <f t="shared" si="126"/>
        <v>0</v>
      </c>
      <c r="AH90" s="50">
        <f t="shared" si="126"/>
        <v>0</v>
      </c>
      <c r="AI90" s="50">
        <f t="shared" si="126"/>
        <v>0</v>
      </c>
      <c r="AJ90" s="50">
        <f t="shared" si="126"/>
        <v>0</v>
      </c>
      <c r="AK90" s="50">
        <f t="shared" si="126"/>
        <v>0</v>
      </c>
      <c r="AL90" s="210">
        <f t="shared" si="126"/>
        <v>0</v>
      </c>
      <c r="AN90" s="239">
        <f t="shared" ref="AN90:AT90" ca="1" si="127">AN82-AN88</f>
        <v>0</v>
      </c>
      <c r="AO90" s="50">
        <f t="shared" ca="1" si="127"/>
        <v>0</v>
      </c>
      <c r="AP90" s="50">
        <f t="shared" ca="1" si="127"/>
        <v>0</v>
      </c>
      <c r="AQ90" s="50">
        <f t="shared" ca="1" si="127"/>
        <v>0</v>
      </c>
      <c r="AR90" s="50">
        <f t="shared" ca="1" si="127"/>
        <v>0</v>
      </c>
      <c r="AS90" s="50">
        <f t="shared" ca="1" si="127"/>
        <v>0</v>
      </c>
      <c r="AT90" s="50">
        <f t="shared" ca="1" si="127"/>
        <v>0</v>
      </c>
      <c r="AU90" s="50">
        <f t="shared" ref="AU90:AY90" ca="1" si="128">AU82-AU88</f>
        <v>0</v>
      </c>
      <c r="AV90" s="50">
        <f t="shared" ca="1" si="128"/>
        <v>0</v>
      </c>
      <c r="AW90" s="50">
        <f t="shared" ca="1" si="128"/>
        <v>0</v>
      </c>
      <c r="AX90" s="50">
        <f t="shared" ca="1" si="128"/>
        <v>0</v>
      </c>
      <c r="AY90" s="210">
        <f t="shared" ca="1" si="128"/>
        <v>0</v>
      </c>
      <c r="BA90" s="239">
        <f t="shared" ref="BA90" ca="1" si="129">BA82-BA88</f>
        <v>0</v>
      </c>
      <c r="BB90" s="50">
        <f t="shared" ref="BB90:BC90" ca="1" si="130">BB82-BB88</f>
        <v>0</v>
      </c>
      <c r="BC90" s="210">
        <f t="shared" ca="1" si="130"/>
        <v>0</v>
      </c>
    </row>
    <row r="91" spans="2:55" x14ac:dyDescent="0.35">
      <c r="B91" s="44"/>
      <c r="C91" s="54"/>
      <c r="D91" s="54"/>
      <c r="E91" s="54"/>
      <c r="F91" s="54"/>
      <c r="G91" s="54"/>
      <c r="H91" s="54"/>
      <c r="I91" s="54"/>
      <c r="J91" s="54"/>
      <c r="K91" s="54"/>
      <c r="L91" s="54"/>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54"/>
      <c r="AL91" s="213"/>
      <c r="AN91" s="242"/>
      <c r="AO91" s="54"/>
      <c r="AP91" s="54"/>
      <c r="AQ91" s="54"/>
      <c r="AR91" s="54"/>
      <c r="AS91" s="54"/>
      <c r="AT91" s="54"/>
      <c r="AU91" s="54"/>
      <c r="AV91" s="54"/>
      <c r="AW91" s="54"/>
      <c r="AX91" s="54"/>
      <c r="AY91" s="213"/>
      <c r="BA91" s="242"/>
      <c r="BB91" s="54"/>
      <c r="BC91" s="213"/>
    </row>
    <row r="92" spans="2:55" ht="15" x14ac:dyDescent="0.4">
      <c r="B92" s="44" t="s">
        <v>68</v>
      </c>
      <c r="C92" s="55">
        <f>'Detailed P&amp;L'!C195</f>
        <v>0</v>
      </c>
      <c r="D92" s="55">
        <f>'Detailed P&amp;L'!D195</f>
        <v>0</v>
      </c>
      <c r="E92" s="55">
        <f>'Detailed P&amp;L'!E195</f>
        <v>0</v>
      </c>
      <c r="F92" s="55">
        <f>'Detailed P&amp;L'!F195</f>
        <v>0</v>
      </c>
      <c r="G92" s="55">
        <f>'Detailed P&amp;L'!G195</f>
        <v>0</v>
      </c>
      <c r="H92" s="55">
        <f>'Detailed P&amp;L'!H195</f>
        <v>0</v>
      </c>
      <c r="I92" s="55">
        <f>'Detailed P&amp;L'!I195</f>
        <v>0</v>
      </c>
      <c r="J92" s="55">
        <f>'Detailed P&amp;L'!J195</f>
        <v>0</v>
      </c>
      <c r="K92" s="55">
        <f>'Detailed P&amp;L'!K195</f>
        <v>0</v>
      </c>
      <c r="L92" s="55">
        <f>'Detailed P&amp;L'!L195</f>
        <v>0</v>
      </c>
      <c r="M92" s="55">
        <f>'Detailed P&amp;L'!M195</f>
        <v>0</v>
      </c>
      <c r="N92" s="55">
        <f>'Detailed P&amp;L'!N195</f>
        <v>0</v>
      </c>
      <c r="O92" s="55">
        <f>'Detailed P&amp;L'!O195</f>
        <v>0</v>
      </c>
      <c r="P92" s="55">
        <f>'Detailed P&amp;L'!P195</f>
        <v>0</v>
      </c>
      <c r="Q92" s="55">
        <f>'Detailed P&amp;L'!Q195</f>
        <v>0</v>
      </c>
      <c r="R92" s="55">
        <f>'Detailed P&amp;L'!R195</f>
        <v>0</v>
      </c>
      <c r="S92" s="55">
        <f>'Detailed P&amp;L'!S195</f>
        <v>0</v>
      </c>
      <c r="T92" s="55">
        <f>'Detailed P&amp;L'!T195</f>
        <v>0</v>
      </c>
      <c r="U92" s="55">
        <f>'Detailed P&amp;L'!U195</f>
        <v>0</v>
      </c>
      <c r="V92" s="55">
        <f>'Detailed P&amp;L'!V195</f>
        <v>0</v>
      </c>
      <c r="W92" s="55">
        <f>'Detailed P&amp;L'!W195</f>
        <v>0</v>
      </c>
      <c r="X92" s="55">
        <f>'Detailed P&amp;L'!X195</f>
        <v>0</v>
      </c>
      <c r="Y92" s="55">
        <f>'Detailed P&amp;L'!Y195</f>
        <v>0</v>
      </c>
      <c r="Z92" s="55">
        <f>'Detailed P&amp;L'!Z195</f>
        <v>0</v>
      </c>
      <c r="AA92" s="55">
        <f>'Detailed P&amp;L'!AA195</f>
        <v>0</v>
      </c>
      <c r="AB92" s="55">
        <f>'Detailed P&amp;L'!AB195</f>
        <v>0</v>
      </c>
      <c r="AC92" s="55">
        <f>'Detailed P&amp;L'!AC195</f>
        <v>0</v>
      </c>
      <c r="AD92" s="55">
        <f>'Detailed P&amp;L'!AD195</f>
        <v>0</v>
      </c>
      <c r="AE92" s="55">
        <f>'Detailed P&amp;L'!AE195</f>
        <v>0</v>
      </c>
      <c r="AF92" s="55">
        <f>'Detailed P&amp;L'!AF195</f>
        <v>0</v>
      </c>
      <c r="AG92" s="55">
        <f>'Detailed P&amp;L'!AG195</f>
        <v>0</v>
      </c>
      <c r="AH92" s="55">
        <f>'Detailed P&amp;L'!AH195</f>
        <v>0</v>
      </c>
      <c r="AI92" s="55">
        <f>'Detailed P&amp;L'!AI195</f>
        <v>0</v>
      </c>
      <c r="AJ92" s="55">
        <f>'Detailed P&amp;L'!AJ195</f>
        <v>0</v>
      </c>
      <c r="AK92" s="55">
        <f>'Detailed P&amp;L'!AK195</f>
        <v>0</v>
      </c>
      <c r="AL92" s="214">
        <f>'Detailed P&amp;L'!AL195</f>
        <v>0</v>
      </c>
      <c r="AN92" s="243">
        <f ca="1">'Detailed P&amp;L'!AN195</f>
        <v>0</v>
      </c>
      <c r="AO92" s="55">
        <f ca="1">'Detailed P&amp;L'!AO195</f>
        <v>0</v>
      </c>
      <c r="AP92" s="55">
        <f ca="1">'Detailed P&amp;L'!AP195</f>
        <v>0</v>
      </c>
      <c r="AQ92" s="55">
        <f ca="1">'Detailed P&amp;L'!AQ195</f>
        <v>0</v>
      </c>
      <c r="AR92" s="55">
        <f ca="1">'Detailed P&amp;L'!AR195</f>
        <v>0</v>
      </c>
      <c r="AS92" s="55">
        <f ca="1">'Detailed P&amp;L'!AS195</f>
        <v>0</v>
      </c>
      <c r="AT92" s="55">
        <f ca="1">'Detailed P&amp;L'!AT195</f>
        <v>0</v>
      </c>
      <c r="AU92" s="55">
        <f ca="1">'Detailed P&amp;L'!AU195</f>
        <v>0</v>
      </c>
      <c r="AV92" s="55">
        <f ca="1">'Detailed P&amp;L'!AV195</f>
        <v>0</v>
      </c>
      <c r="AW92" s="55">
        <f ca="1">'Detailed P&amp;L'!AW195</f>
        <v>0</v>
      </c>
      <c r="AX92" s="55">
        <f ca="1">'Detailed P&amp;L'!AX195</f>
        <v>0</v>
      </c>
      <c r="AY92" s="214">
        <f ca="1">'Detailed P&amp;L'!AY195</f>
        <v>0</v>
      </c>
      <c r="BA92" s="243">
        <f ca="1">'Detailed P&amp;L'!BA195</f>
        <v>0</v>
      </c>
      <c r="BB92" s="55">
        <f ca="1">'Detailed P&amp;L'!BB195</f>
        <v>0</v>
      </c>
      <c r="BC92" s="214">
        <f ca="1">'Detailed P&amp;L'!BC195</f>
        <v>0</v>
      </c>
    </row>
    <row r="93" spans="2:55" x14ac:dyDescent="0.35">
      <c r="B93" s="31" t="s">
        <v>69</v>
      </c>
      <c r="C93" s="50">
        <f t="shared" ref="C93:Y93" si="131">C90-C92</f>
        <v>0</v>
      </c>
      <c r="D93" s="50">
        <f t="shared" si="131"/>
        <v>0</v>
      </c>
      <c r="E93" s="50">
        <f t="shared" si="131"/>
        <v>0</v>
      </c>
      <c r="F93" s="50">
        <f t="shared" si="131"/>
        <v>0</v>
      </c>
      <c r="G93" s="50">
        <f t="shared" si="131"/>
        <v>0</v>
      </c>
      <c r="H93" s="50">
        <f t="shared" si="131"/>
        <v>0</v>
      </c>
      <c r="I93" s="50">
        <f t="shared" si="131"/>
        <v>0</v>
      </c>
      <c r="J93" s="50">
        <f t="shared" si="131"/>
        <v>0</v>
      </c>
      <c r="K93" s="50">
        <f t="shared" si="131"/>
        <v>0</v>
      </c>
      <c r="L93" s="50">
        <f t="shared" si="131"/>
        <v>0</v>
      </c>
      <c r="M93" s="50">
        <f t="shared" si="131"/>
        <v>0</v>
      </c>
      <c r="N93" s="50">
        <f t="shared" si="131"/>
        <v>0</v>
      </c>
      <c r="O93" s="50">
        <f t="shared" si="131"/>
        <v>0</v>
      </c>
      <c r="P93" s="50">
        <f t="shared" si="131"/>
        <v>0</v>
      </c>
      <c r="Q93" s="50">
        <f t="shared" si="131"/>
        <v>0</v>
      </c>
      <c r="R93" s="50">
        <f t="shared" si="131"/>
        <v>0</v>
      </c>
      <c r="S93" s="50">
        <f t="shared" si="131"/>
        <v>0</v>
      </c>
      <c r="T93" s="50">
        <f t="shared" si="131"/>
        <v>0</v>
      </c>
      <c r="U93" s="50">
        <f t="shared" si="131"/>
        <v>0</v>
      </c>
      <c r="V93" s="50">
        <f t="shared" si="131"/>
        <v>0</v>
      </c>
      <c r="W93" s="50">
        <f t="shared" si="131"/>
        <v>0</v>
      </c>
      <c r="X93" s="50">
        <f t="shared" si="131"/>
        <v>0</v>
      </c>
      <c r="Y93" s="50">
        <f t="shared" si="131"/>
        <v>0</v>
      </c>
      <c r="Z93" s="50">
        <f t="shared" ref="Z93:AL93" si="132">Z90-Z92</f>
        <v>0</v>
      </c>
      <c r="AA93" s="50">
        <f t="shared" si="132"/>
        <v>0</v>
      </c>
      <c r="AB93" s="50">
        <f t="shared" si="132"/>
        <v>0</v>
      </c>
      <c r="AC93" s="50">
        <f t="shared" si="132"/>
        <v>0</v>
      </c>
      <c r="AD93" s="50">
        <f t="shared" si="132"/>
        <v>0</v>
      </c>
      <c r="AE93" s="50">
        <f t="shared" si="132"/>
        <v>0</v>
      </c>
      <c r="AF93" s="50">
        <f t="shared" si="132"/>
        <v>0</v>
      </c>
      <c r="AG93" s="50">
        <f t="shared" si="132"/>
        <v>0</v>
      </c>
      <c r="AH93" s="50">
        <f t="shared" si="132"/>
        <v>0</v>
      </c>
      <c r="AI93" s="50">
        <f t="shared" si="132"/>
        <v>0</v>
      </c>
      <c r="AJ93" s="50">
        <f t="shared" si="132"/>
        <v>0</v>
      </c>
      <c r="AK93" s="50">
        <f t="shared" si="132"/>
        <v>0</v>
      </c>
      <c r="AL93" s="210">
        <f t="shared" si="132"/>
        <v>0</v>
      </c>
      <c r="AN93" s="239">
        <f t="shared" ref="AN93:AT93" ca="1" si="133">AN90-AN92</f>
        <v>0</v>
      </c>
      <c r="AO93" s="50">
        <f t="shared" ca="1" si="133"/>
        <v>0</v>
      </c>
      <c r="AP93" s="50">
        <f t="shared" ca="1" si="133"/>
        <v>0</v>
      </c>
      <c r="AQ93" s="50">
        <f t="shared" ca="1" si="133"/>
        <v>0</v>
      </c>
      <c r="AR93" s="50">
        <f t="shared" ca="1" si="133"/>
        <v>0</v>
      </c>
      <c r="AS93" s="50">
        <f t="shared" ca="1" si="133"/>
        <v>0</v>
      </c>
      <c r="AT93" s="50">
        <f t="shared" ca="1" si="133"/>
        <v>0</v>
      </c>
      <c r="AU93" s="50">
        <f t="shared" ref="AU93:AY93" ca="1" si="134">AU90-AU92</f>
        <v>0</v>
      </c>
      <c r="AV93" s="50">
        <f t="shared" ca="1" si="134"/>
        <v>0</v>
      </c>
      <c r="AW93" s="50">
        <f t="shared" ca="1" si="134"/>
        <v>0</v>
      </c>
      <c r="AX93" s="50">
        <f t="shared" ca="1" si="134"/>
        <v>0</v>
      </c>
      <c r="AY93" s="210">
        <f t="shared" ca="1" si="134"/>
        <v>0</v>
      </c>
      <c r="BA93" s="239">
        <f t="shared" ref="BA93" ca="1" si="135">BA90-BA92</f>
        <v>0</v>
      </c>
      <c r="BB93" s="50">
        <f t="shared" ref="BB93:BC93" ca="1" si="136">BB90-BB92</f>
        <v>0</v>
      </c>
      <c r="BC93" s="210">
        <f t="shared" ca="1" si="136"/>
        <v>0</v>
      </c>
    </row>
    <row r="94" spans="2:55" x14ac:dyDescent="0.35">
      <c r="B94" s="29" t="s">
        <v>70</v>
      </c>
      <c r="C94" s="30">
        <f t="shared" ref="C94:Y94" si="137">IFERROR(C93/C$29,0)</f>
        <v>0</v>
      </c>
      <c r="D94" s="30">
        <f t="shared" si="137"/>
        <v>0</v>
      </c>
      <c r="E94" s="30">
        <f t="shared" si="137"/>
        <v>0</v>
      </c>
      <c r="F94" s="30">
        <f t="shared" si="137"/>
        <v>0</v>
      </c>
      <c r="G94" s="30">
        <f t="shared" si="137"/>
        <v>0</v>
      </c>
      <c r="H94" s="30">
        <f t="shared" si="137"/>
        <v>0</v>
      </c>
      <c r="I94" s="30">
        <f t="shared" si="137"/>
        <v>0</v>
      </c>
      <c r="J94" s="30">
        <f t="shared" si="137"/>
        <v>0</v>
      </c>
      <c r="K94" s="30">
        <f t="shared" si="137"/>
        <v>0</v>
      </c>
      <c r="L94" s="30">
        <f t="shared" si="137"/>
        <v>0</v>
      </c>
      <c r="M94" s="30">
        <f t="shared" si="137"/>
        <v>0</v>
      </c>
      <c r="N94" s="30">
        <f t="shared" si="137"/>
        <v>0</v>
      </c>
      <c r="O94" s="30">
        <f t="shared" si="137"/>
        <v>0</v>
      </c>
      <c r="P94" s="30">
        <f t="shared" si="137"/>
        <v>0</v>
      </c>
      <c r="Q94" s="30">
        <f t="shared" si="137"/>
        <v>0</v>
      </c>
      <c r="R94" s="30">
        <f t="shared" si="137"/>
        <v>0</v>
      </c>
      <c r="S94" s="30">
        <f t="shared" si="137"/>
        <v>0</v>
      </c>
      <c r="T94" s="30">
        <f t="shared" si="137"/>
        <v>0</v>
      </c>
      <c r="U94" s="30">
        <f t="shared" si="137"/>
        <v>0</v>
      </c>
      <c r="V94" s="30">
        <f t="shared" si="137"/>
        <v>0</v>
      </c>
      <c r="W94" s="30">
        <f t="shared" si="137"/>
        <v>0</v>
      </c>
      <c r="X94" s="30">
        <f t="shared" si="137"/>
        <v>0</v>
      </c>
      <c r="Y94" s="30">
        <f t="shared" si="137"/>
        <v>0</v>
      </c>
      <c r="Z94" s="30">
        <f t="shared" ref="Z94:AL94" si="138">IFERROR(Z93/Z$29,0)</f>
        <v>0</v>
      </c>
      <c r="AA94" s="30">
        <f t="shared" si="138"/>
        <v>0</v>
      </c>
      <c r="AB94" s="30">
        <f t="shared" si="138"/>
        <v>0</v>
      </c>
      <c r="AC94" s="30">
        <f t="shared" si="138"/>
        <v>0</v>
      </c>
      <c r="AD94" s="30">
        <f t="shared" si="138"/>
        <v>0</v>
      </c>
      <c r="AE94" s="30">
        <f t="shared" si="138"/>
        <v>0</v>
      </c>
      <c r="AF94" s="30">
        <f t="shared" si="138"/>
        <v>0</v>
      </c>
      <c r="AG94" s="30">
        <f t="shared" si="138"/>
        <v>0</v>
      </c>
      <c r="AH94" s="30">
        <f t="shared" si="138"/>
        <v>0</v>
      </c>
      <c r="AI94" s="30">
        <f t="shared" si="138"/>
        <v>0</v>
      </c>
      <c r="AJ94" s="30">
        <f t="shared" si="138"/>
        <v>0</v>
      </c>
      <c r="AK94" s="30">
        <f t="shared" si="138"/>
        <v>0</v>
      </c>
      <c r="AL94" s="104">
        <f t="shared" si="138"/>
        <v>0</v>
      </c>
      <c r="AN94" s="115">
        <f t="shared" ref="AN94:AT94" ca="1" si="139">IFERROR(AN93/AN$29,0)</f>
        <v>0</v>
      </c>
      <c r="AO94" s="30">
        <f t="shared" ca="1" si="139"/>
        <v>0</v>
      </c>
      <c r="AP94" s="30">
        <f t="shared" ca="1" si="139"/>
        <v>0</v>
      </c>
      <c r="AQ94" s="30">
        <f t="shared" ca="1" si="139"/>
        <v>0</v>
      </c>
      <c r="AR94" s="30">
        <f t="shared" ca="1" si="139"/>
        <v>0</v>
      </c>
      <c r="AS94" s="30">
        <f t="shared" ca="1" si="139"/>
        <v>0</v>
      </c>
      <c r="AT94" s="30">
        <f t="shared" ca="1" si="139"/>
        <v>0</v>
      </c>
      <c r="AU94" s="30">
        <f t="shared" ref="AU94:AY94" ca="1" si="140">IFERROR(AU93/AU$29,0)</f>
        <v>0</v>
      </c>
      <c r="AV94" s="30">
        <f t="shared" ca="1" si="140"/>
        <v>0</v>
      </c>
      <c r="AW94" s="30">
        <f t="shared" ca="1" si="140"/>
        <v>0</v>
      </c>
      <c r="AX94" s="30">
        <f t="shared" ca="1" si="140"/>
        <v>0</v>
      </c>
      <c r="AY94" s="104">
        <f t="shared" ca="1" si="140"/>
        <v>0</v>
      </c>
      <c r="BA94" s="115">
        <f t="shared" ref="BA94" ca="1" si="141">IFERROR(BA93/BA$29,0)</f>
        <v>0</v>
      </c>
      <c r="BB94" s="30">
        <f t="shared" ref="BB94:BC94" ca="1" si="142">IFERROR(BB93/BB$29,0)</f>
        <v>0</v>
      </c>
      <c r="BC94" s="104">
        <f t="shared" ca="1" si="142"/>
        <v>0</v>
      </c>
    </row>
    <row r="95" spans="2:55" x14ac:dyDescent="0.35">
      <c r="B95" s="9"/>
      <c r="C95" s="56"/>
      <c r="D95" s="56"/>
      <c r="E95" s="56"/>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215"/>
      <c r="AN95" s="244"/>
      <c r="AO95" s="56"/>
      <c r="AP95" s="56"/>
      <c r="AQ95" s="56"/>
      <c r="AR95" s="56"/>
      <c r="AS95" s="56"/>
      <c r="AT95" s="56"/>
      <c r="AU95" s="56"/>
      <c r="AV95" s="56"/>
      <c r="AW95" s="56"/>
      <c r="AX95" s="56"/>
      <c r="AY95" s="215"/>
      <c r="BA95" s="244"/>
      <c r="BB95" s="56"/>
      <c r="BC95" s="215"/>
    </row>
    <row r="96" spans="2:55" x14ac:dyDescent="0.35">
      <c r="B96" s="44" t="s">
        <v>71</v>
      </c>
      <c r="C96" s="30">
        <f t="shared" ref="C96:Y96" si="143">IFERROR(C92/C90,0)</f>
        <v>0</v>
      </c>
      <c r="D96" s="30">
        <f t="shared" si="143"/>
        <v>0</v>
      </c>
      <c r="E96" s="30">
        <f t="shared" si="143"/>
        <v>0</v>
      </c>
      <c r="F96" s="30">
        <f t="shared" si="143"/>
        <v>0</v>
      </c>
      <c r="G96" s="30">
        <f t="shared" si="143"/>
        <v>0</v>
      </c>
      <c r="H96" s="30">
        <f t="shared" si="143"/>
        <v>0</v>
      </c>
      <c r="I96" s="30">
        <f t="shared" si="143"/>
        <v>0</v>
      </c>
      <c r="J96" s="30">
        <f t="shared" si="143"/>
        <v>0</v>
      </c>
      <c r="K96" s="30">
        <f t="shared" si="143"/>
        <v>0</v>
      </c>
      <c r="L96" s="30">
        <f t="shared" si="143"/>
        <v>0</v>
      </c>
      <c r="M96" s="30">
        <f t="shared" si="143"/>
        <v>0</v>
      </c>
      <c r="N96" s="30">
        <f t="shared" si="143"/>
        <v>0</v>
      </c>
      <c r="O96" s="30">
        <f t="shared" si="143"/>
        <v>0</v>
      </c>
      <c r="P96" s="30">
        <f t="shared" si="143"/>
        <v>0</v>
      </c>
      <c r="Q96" s="30">
        <f t="shared" si="143"/>
        <v>0</v>
      </c>
      <c r="R96" s="30">
        <f t="shared" si="143"/>
        <v>0</v>
      </c>
      <c r="S96" s="30">
        <f t="shared" si="143"/>
        <v>0</v>
      </c>
      <c r="T96" s="30">
        <f t="shared" si="143"/>
        <v>0</v>
      </c>
      <c r="U96" s="30">
        <f t="shared" si="143"/>
        <v>0</v>
      </c>
      <c r="V96" s="30">
        <f t="shared" si="143"/>
        <v>0</v>
      </c>
      <c r="W96" s="30">
        <f t="shared" si="143"/>
        <v>0</v>
      </c>
      <c r="X96" s="30">
        <f t="shared" si="143"/>
        <v>0</v>
      </c>
      <c r="Y96" s="30">
        <f t="shared" si="143"/>
        <v>0</v>
      </c>
      <c r="Z96" s="30">
        <f t="shared" ref="Z96:AL96" si="144">IFERROR(Z92/Z90,0)</f>
        <v>0</v>
      </c>
      <c r="AA96" s="30">
        <f t="shared" si="144"/>
        <v>0</v>
      </c>
      <c r="AB96" s="30">
        <f t="shared" si="144"/>
        <v>0</v>
      </c>
      <c r="AC96" s="30">
        <f t="shared" si="144"/>
        <v>0</v>
      </c>
      <c r="AD96" s="30">
        <f t="shared" si="144"/>
        <v>0</v>
      </c>
      <c r="AE96" s="30">
        <f t="shared" si="144"/>
        <v>0</v>
      </c>
      <c r="AF96" s="30">
        <f t="shared" si="144"/>
        <v>0</v>
      </c>
      <c r="AG96" s="30">
        <f t="shared" si="144"/>
        <v>0</v>
      </c>
      <c r="AH96" s="30">
        <f t="shared" si="144"/>
        <v>0</v>
      </c>
      <c r="AI96" s="30">
        <f t="shared" si="144"/>
        <v>0</v>
      </c>
      <c r="AJ96" s="30">
        <f t="shared" si="144"/>
        <v>0</v>
      </c>
      <c r="AK96" s="30">
        <f t="shared" si="144"/>
        <v>0</v>
      </c>
      <c r="AL96" s="104">
        <f t="shared" si="144"/>
        <v>0</v>
      </c>
      <c r="AN96" s="115">
        <f t="shared" ref="AN96:AT96" ca="1" si="145">IFERROR(AN92/AN90,0)</f>
        <v>0</v>
      </c>
      <c r="AO96" s="30">
        <f t="shared" ca="1" si="145"/>
        <v>0</v>
      </c>
      <c r="AP96" s="30">
        <f t="shared" ca="1" si="145"/>
        <v>0</v>
      </c>
      <c r="AQ96" s="30">
        <f t="shared" ca="1" si="145"/>
        <v>0</v>
      </c>
      <c r="AR96" s="30">
        <f t="shared" ca="1" si="145"/>
        <v>0</v>
      </c>
      <c r="AS96" s="30">
        <f t="shared" ca="1" si="145"/>
        <v>0</v>
      </c>
      <c r="AT96" s="30">
        <f t="shared" ca="1" si="145"/>
        <v>0</v>
      </c>
      <c r="AU96" s="30">
        <f t="shared" ref="AU96:AY96" ca="1" si="146">IFERROR(AU92/AU90,0)</f>
        <v>0</v>
      </c>
      <c r="AV96" s="30">
        <f t="shared" ca="1" si="146"/>
        <v>0</v>
      </c>
      <c r="AW96" s="30">
        <f t="shared" ca="1" si="146"/>
        <v>0</v>
      </c>
      <c r="AX96" s="30">
        <f t="shared" ca="1" si="146"/>
        <v>0</v>
      </c>
      <c r="AY96" s="104">
        <f t="shared" ca="1" si="146"/>
        <v>0</v>
      </c>
      <c r="BA96" s="115">
        <f t="shared" ref="BA96" ca="1" si="147">IFERROR(BA92/BA90,0)</f>
        <v>0</v>
      </c>
      <c r="BB96" s="30">
        <f t="shared" ref="BB96:BC96" ca="1" si="148">IFERROR(BB92/BB90,0)</f>
        <v>0</v>
      </c>
      <c r="BC96" s="104">
        <f t="shared" ca="1" si="148"/>
        <v>0</v>
      </c>
    </row>
    <row r="97" spans="2:55" x14ac:dyDescent="0.35">
      <c r="B97" s="9"/>
      <c r="C97" s="56"/>
      <c r="D97" s="56"/>
      <c r="E97" s="56"/>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215"/>
      <c r="AN97" s="244"/>
      <c r="AO97" s="56"/>
      <c r="AP97" s="56"/>
      <c r="AQ97" s="56"/>
      <c r="AR97" s="56"/>
      <c r="AS97" s="56"/>
      <c r="AT97" s="56"/>
      <c r="AU97" s="56"/>
      <c r="AV97" s="56"/>
      <c r="AW97" s="56"/>
      <c r="AX97" s="56"/>
      <c r="AY97" s="215"/>
      <c r="BA97" s="244"/>
      <c r="BB97" s="56"/>
      <c r="BC97" s="215"/>
    </row>
    <row r="98" spans="2:55" x14ac:dyDescent="0.35">
      <c r="B98" s="9" t="s">
        <v>72</v>
      </c>
      <c r="C98" s="48">
        <f>'Detailed P&amp;L'!C201</f>
        <v>0</v>
      </c>
      <c r="D98" s="48">
        <f>'Detailed P&amp;L'!D201</f>
        <v>0</v>
      </c>
      <c r="E98" s="48">
        <f>'Detailed P&amp;L'!E201</f>
        <v>0</v>
      </c>
      <c r="F98" s="48">
        <f>'Detailed P&amp;L'!F201</f>
        <v>0</v>
      </c>
      <c r="G98" s="48">
        <f>'Detailed P&amp;L'!G201</f>
        <v>0</v>
      </c>
      <c r="H98" s="48">
        <f>'Detailed P&amp;L'!H201</f>
        <v>0</v>
      </c>
      <c r="I98" s="48">
        <f>'Detailed P&amp;L'!I201</f>
        <v>0</v>
      </c>
      <c r="J98" s="48">
        <f>'Detailed P&amp;L'!J201</f>
        <v>0</v>
      </c>
      <c r="K98" s="48">
        <f>'Detailed P&amp;L'!K201</f>
        <v>0</v>
      </c>
      <c r="L98" s="48">
        <f>'Detailed P&amp;L'!L201</f>
        <v>0</v>
      </c>
      <c r="M98" s="48">
        <f>'Detailed P&amp;L'!M201</f>
        <v>0</v>
      </c>
      <c r="N98" s="48">
        <f>'Detailed P&amp;L'!N201</f>
        <v>0</v>
      </c>
      <c r="O98" s="48">
        <f>'Detailed P&amp;L'!O201</f>
        <v>0</v>
      </c>
      <c r="P98" s="48">
        <f>'Detailed P&amp;L'!P201</f>
        <v>0</v>
      </c>
      <c r="Q98" s="48">
        <f>'Detailed P&amp;L'!Q201</f>
        <v>0</v>
      </c>
      <c r="R98" s="48">
        <f>'Detailed P&amp;L'!R201</f>
        <v>0</v>
      </c>
      <c r="S98" s="48">
        <f>'Detailed P&amp;L'!S201</f>
        <v>0</v>
      </c>
      <c r="T98" s="48">
        <f>'Detailed P&amp;L'!T201</f>
        <v>0</v>
      </c>
      <c r="U98" s="48">
        <f>'Detailed P&amp;L'!U201</f>
        <v>0</v>
      </c>
      <c r="V98" s="48">
        <f>'Detailed P&amp;L'!V201</f>
        <v>0</v>
      </c>
      <c r="W98" s="48">
        <f>'Detailed P&amp;L'!W201</f>
        <v>0</v>
      </c>
      <c r="X98" s="48">
        <f>'Detailed P&amp;L'!X201</f>
        <v>0</v>
      </c>
      <c r="Y98" s="48">
        <f>'Detailed P&amp;L'!Y201</f>
        <v>0</v>
      </c>
      <c r="Z98" s="48">
        <f>'Detailed P&amp;L'!Z201</f>
        <v>0</v>
      </c>
      <c r="AA98" s="48">
        <f>'Detailed P&amp;L'!AA201</f>
        <v>0</v>
      </c>
      <c r="AB98" s="48">
        <f>'Detailed P&amp;L'!AB201</f>
        <v>0</v>
      </c>
      <c r="AC98" s="48">
        <f>'Detailed P&amp;L'!AC201</f>
        <v>0</v>
      </c>
      <c r="AD98" s="48">
        <f>'Detailed P&amp;L'!AD201</f>
        <v>0</v>
      </c>
      <c r="AE98" s="48">
        <f>'Detailed P&amp;L'!AE201</f>
        <v>0</v>
      </c>
      <c r="AF98" s="48">
        <f>'Detailed P&amp;L'!AF201</f>
        <v>0</v>
      </c>
      <c r="AG98" s="48">
        <f>'Detailed P&amp;L'!AG201</f>
        <v>0</v>
      </c>
      <c r="AH98" s="48">
        <f>'Detailed P&amp;L'!AH201</f>
        <v>0</v>
      </c>
      <c r="AI98" s="48">
        <f>'Detailed P&amp;L'!AI201</f>
        <v>0</v>
      </c>
      <c r="AJ98" s="48">
        <f>'Detailed P&amp;L'!AJ201</f>
        <v>0</v>
      </c>
      <c r="AK98" s="48">
        <f>'Detailed P&amp;L'!AK201</f>
        <v>0</v>
      </c>
      <c r="AL98" s="208">
        <f>'Detailed P&amp;L'!AL201</f>
        <v>0</v>
      </c>
      <c r="AN98" s="237">
        <f ca="1">'Detailed P&amp;L'!AN201</f>
        <v>0</v>
      </c>
      <c r="AO98" s="48">
        <f ca="1">'Detailed P&amp;L'!AO201</f>
        <v>0</v>
      </c>
      <c r="AP98" s="48">
        <f ca="1">'Detailed P&amp;L'!AP201</f>
        <v>0</v>
      </c>
      <c r="AQ98" s="48">
        <f ca="1">'Detailed P&amp;L'!AQ201</f>
        <v>0</v>
      </c>
      <c r="AR98" s="48">
        <f ca="1">'Detailed P&amp;L'!AR201</f>
        <v>0</v>
      </c>
      <c r="AS98" s="48">
        <f ca="1">'Detailed P&amp;L'!AS201</f>
        <v>0</v>
      </c>
      <c r="AT98" s="48">
        <f ca="1">'Detailed P&amp;L'!AT201</f>
        <v>0</v>
      </c>
      <c r="AU98" s="48">
        <f ca="1">'Detailed P&amp;L'!AU201</f>
        <v>0</v>
      </c>
      <c r="AV98" s="48">
        <f ca="1">'Detailed P&amp;L'!AV201</f>
        <v>0</v>
      </c>
      <c r="AW98" s="48">
        <f ca="1">'Detailed P&amp;L'!AW201</f>
        <v>0</v>
      </c>
      <c r="AX98" s="48">
        <f ca="1">'Detailed P&amp;L'!AX201</f>
        <v>0</v>
      </c>
      <c r="AY98" s="208">
        <f ca="1">'Detailed P&amp;L'!AY201</f>
        <v>0</v>
      </c>
      <c r="BA98" s="237">
        <f ca="1">'Detailed P&amp;L'!BA201</f>
        <v>0</v>
      </c>
      <c r="BB98" s="48">
        <f ca="1">'Detailed P&amp;L'!BB201</f>
        <v>0</v>
      </c>
      <c r="BC98" s="208">
        <f ca="1">'Detailed P&amp;L'!BC201</f>
        <v>0</v>
      </c>
    </row>
    <row r="99" spans="2:55" ht="15" thickBot="1" x14ac:dyDescent="0.4">
      <c r="B99" s="57"/>
      <c r="C99" s="58"/>
      <c r="D99" s="58"/>
      <c r="E99" s="58"/>
      <c r="F99" s="58"/>
      <c r="G99" s="58"/>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216"/>
      <c r="AN99" s="245"/>
      <c r="AO99" s="58"/>
      <c r="AP99" s="58"/>
      <c r="AQ99" s="58"/>
      <c r="AR99" s="58"/>
      <c r="AS99" s="58"/>
      <c r="AT99" s="58"/>
      <c r="AU99" s="58"/>
      <c r="AV99" s="58"/>
      <c r="AW99" s="58"/>
      <c r="AX99" s="58"/>
      <c r="AY99" s="216"/>
      <c r="BA99" s="245"/>
      <c r="BB99" s="58"/>
      <c r="BC99" s="216"/>
    </row>
  </sheetData>
  <sheetProtection algorithmName="SHA-512" hashValue="LbwyASOQNfo9bRA11dUpN48WCeNlxIoezUaYjuteILG5ZLJF0djbfcaYhf2S7EZE0LGkw98ASFNN9ULBmLWG0w==" saltValue="WvhoicYHK5Dtk9PKp3izZA==" spinCount="100000" sheet="1" objects="1" scenarios="1"/>
  <conditionalFormatting sqref="C9:AL202 AN9:AY202 BA9:BC202">
    <cfRule type="expression" dxfId="109" priority="10">
      <formula>C$12="Forecast"</formula>
    </cfRule>
    <cfRule type="expression" dxfId="108" priority="11">
      <formula>C$12="Actual"</formula>
    </cfRule>
    <cfRule type="expression" dxfId="107" priority="12">
      <formula>C$12="Pro Forma"</formula>
    </cfRule>
    <cfRule type="expression" dxfId="106" priority="13">
      <formula>MATCH(C$12,DV_Scenarios,0)=2</formula>
    </cfRule>
  </conditionalFormatting>
  <conditionalFormatting sqref="C11:AL11 AN11:AY11 BA11:BC11">
    <cfRule type="expression" dxfId="105" priority="9">
      <formula>C12&lt;&gt;"Forecast"</formula>
    </cfRule>
  </conditionalFormatting>
  <conditionalFormatting sqref="C14:BC14 C22:BC22 C24:BC24 C26:BC26 C29:BC29 C33:BC33 C44:BC44 C73:BC73 C75:BC75 C77:BC77 C80:BC80 C82:BC82 C88:BC88 C90:BC90 C92:BC93">
    <cfRule type="expression" dxfId="104" priority="1">
      <formula>$C$13="INR"</formula>
    </cfRule>
    <cfRule type="expression" dxfId="103" priority="2">
      <formula>$C$13="ILS"</formula>
    </cfRule>
    <cfRule type="expression" dxfId="102" priority="3">
      <formula>$C$13="CHF"</formula>
    </cfRule>
    <cfRule type="expression" dxfId="101" priority="4">
      <formula>$C$13="AUD"</formula>
    </cfRule>
    <cfRule type="expression" dxfId="100" priority="5">
      <formula>$C$13="HKD"</formula>
    </cfRule>
    <cfRule type="expression" dxfId="99" priority="6">
      <formula>$C$13="EUR"</formula>
    </cfRule>
    <cfRule type="expression" dxfId="98" priority="7">
      <formula>$C$13="GBP"</formula>
    </cfRule>
    <cfRule type="expression" dxfId="97" priority="8">
      <formula>$C$13="USD"</formula>
    </cfRule>
  </conditionalFormatting>
  <pageMargins left="0.25" right="0.25" top="0.75" bottom="0.75" header="0.3" footer="0.3"/>
  <pageSetup paperSize="256" scale="1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tailedPL">
    <tabColor theme="4" tint="-0.249977111117893"/>
  </sheetPr>
  <dimension ref="B1:BC202"/>
  <sheetViews>
    <sheetView showGridLines="0" zoomScale="85" zoomScaleNormal="85" workbookViewId="0">
      <pane xSplit="2" ySplit="13" topLeftCell="C14" activePane="bottomRight" state="frozen"/>
      <selection activeCell="C14" sqref="C14"/>
      <selection pane="topRight" activeCell="C14" sqref="C14"/>
      <selection pane="bottomLeft" activeCell="C14" sqref="C14"/>
      <selection pane="bottomRight" activeCell="C14" sqref="C14"/>
    </sheetView>
  </sheetViews>
  <sheetFormatPr defaultColWidth="9.1796875" defaultRowHeight="14.5" outlineLevelRow="1" x14ac:dyDescent="0.35"/>
  <cols>
    <col min="1" max="1" width="2.7265625" style="1" customWidth="1"/>
    <col min="2" max="2" width="40.7265625" style="351" customWidth="1"/>
    <col min="3" max="3" width="14.54296875" style="1" customWidth="1"/>
    <col min="4" max="25" width="14.54296875" style="1" customWidth="1" collapsed="1"/>
    <col min="26" max="37" width="14.54296875" style="1" customWidth="1"/>
    <col min="38" max="38" width="14.54296875" style="1" customWidth="1" collapsed="1"/>
    <col min="39" max="39" width="3.7265625" style="1" customWidth="1"/>
    <col min="40" max="46" width="14.54296875" style="1" customWidth="1" collapsed="1"/>
    <col min="47" max="50" width="14.54296875" style="1" customWidth="1"/>
    <col min="51" max="51" width="14.54296875" style="1" customWidth="1" collapsed="1"/>
    <col min="52" max="52" width="3.7265625" style="1" customWidth="1"/>
    <col min="53" max="53" width="14.54296875" style="1" customWidth="1" collapsed="1"/>
    <col min="54" max="54" width="14.54296875" style="1" customWidth="1"/>
    <col min="55" max="55" width="14.54296875" style="1" customWidth="1" collapsed="1"/>
    <col min="56" max="16384" width="9.1796875" style="1"/>
  </cols>
  <sheetData>
    <row r="1" spans="2:55" hidden="1" outlineLevel="1" x14ac:dyDescent="0.35">
      <c r="B1" s="350" t="str">
        <f>'PT-All'!A1&amp;" - "&amp;'PT-All'!B1</f>
        <v>Company - (All)</v>
      </c>
    </row>
    <row r="2" spans="2:55" hidden="1" outlineLevel="1" x14ac:dyDescent="0.35">
      <c r="B2" s="350" t="str">
        <f>'PT-All'!A2&amp;" - "&amp;'PT-All'!B2</f>
        <v>Team - (All)</v>
      </c>
    </row>
    <row r="3" spans="2:55" hidden="1" outlineLevel="1" x14ac:dyDescent="0.35">
      <c r="B3" s="350" t="str">
        <f>'PT-All'!A3&amp;" - "&amp;'PT-All'!B3</f>
        <v>Location - (All)</v>
      </c>
    </row>
    <row r="4" spans="2:55" hidden="1" outlineLevel="1" x14ac:dyDescent="0.35">
      <c r="B4" s="350" t="str">
        <f>'PT-All'!A4&amp;" - "&amp;'PT-All'!B4</f>
        <v>Department - (All)</v>
      </c>
    </row>
    <row r="5" spans="2:55" hidden="1" outlineLevel="1" x14ac:dyDescent="0.35">
      <c r="B5" s="350" t="str">
        <f>'PT-All'!A5&amp;" - "&amp;'PT-All'!B5</f>
        <v>Division - (All)</v>
      </c>
    </row>
    <row r="6" spans="2:55" hidden="1" outlineLevel="1" x14ac:dyDescent="0.35">
      <c r="B6" s="350" t="str">
        <f>'PT-All'!A6&amp;" - "&amp;'PT-All'!B6</f>
        <v>Product - (All)</v>
      </c>
    </row>
    <row r="7" spans="2:55" ht="15" collapsed="1" thickBot="1" x14ac:dyDescent="0.4"/>
    <row r="8" spans="2:55" ht="22.5" x14ac:dyDescent="0.85">
      <c r="B8" s="59" t="str">
        <f>FileGroupName&amp;" - Detailed P&amp;L"</f>
        <v>Default - Detailed P&amp;L</v>
      </c>
      <c r="C8" s="60"/>
      <c r="D8" s="60"/>
      <c r="E8" s="60"/>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281"/>
      <c r="AN8" s="282"/>
      <c r="AO8" s="60"/>
      <c r="AP8" s="60"/>
      <c r="AQ8" s="60"/>
      <c r="AR8" s="60"/>
      <c r="AS8" s="60"/>
      <c r="AT8" s="60"/>
      <c r="AU8" s="60"/>
      <c r="AV8" s="60"/>
      <c r="AW8" s="60"/>
      <c r="AX8" s="60"/>
      <c r="AY8" s="281"/>
      <c r="BA8" s="282"/>
      <c r="BB8" s="60"/>
      <c r="BC8" s="281"/>
    </row>
    <row r="9" spans="2:55" ht="17" hidden="1" outlineLevel="1" x14ac:dyDescent="0.6">
      <c r="B9" s="352">
        <f>MATCH(OutputType,{"Default","Per Head","Per Revenue"},0)</f>
        <v>1</v>
      </c>
      <c r="C9" s="61" t="str">
        <f t="shared" ref="C9:AL9" si="0">"Month "&amp;COLUMN(C9)-COLUMN(PLColumn)</f>
        <v>Month 1</v>
      </c>
      <c r="D9" s="61" t="str">
        <f t="shared" si="0"/>
        <v>Month 2</v>
      </c>
      <c r="E9" s="61" t="str">
        <f t="shared" si="0"/>
        <v>Month 3</v>
      </c>
      <c r="F9" s="61" t="str">
        <f t="shared" si="0"/>
        <v>Month 4</v>
      </c>
      <c r="G9" s="61" t="str">
        <f t="shared" si="0"/>
        <v>Month 5</v>
      </c>
      <c r="H9" s="61" t="str">
        <f t="shared" si="0"/>
        <v>Month 6</v>
      </c>
      <c r="I9" s="61" t="str">
        <f t="shared" si="0"/>
        <v>Month 7</v>
      </c>
      <c r="J9" s="61" t="str">
        <f t="shared" si="0"/>
        <v>Month 8</v>
      </c>
      <c r="K9" s="61" t="str">
        <f t="shared" si="0"/>
        <v>Month 9</v>
      </c>
      <c r="L9" s="61" t="str">
        <f t="shared" si="0"/>
        <v>Month 10</v>
      </c>
      <c r="M9" s="61" t="str">
        <f t="shared" si="0"/>
        <v>Month 11</v>
      </c>
      <c r="N9" s="61" t="str">
        <f t="shared" si="0"/>
        <v>Month 12</v>
      </c>
      <c r="O9" s="61" t="str">
        <f t="shared" si="0"/>
        <v>Month 13</v>
      </c>
      <c r="P9" s="61" t="str">
        <f t="shared" si="0"/>
        <v>Month 14</v>
      </c>
      <c r="Q9" s="61" t="str">
        <f t="shared" si="0"/>
        <v>Month 15</v>
      </c>
      <c r="R9" s="61" t="str">
        <f t="shared" si="0"/>
        <v>Month 16</v>
      </c>
      <c r="S9" s="61" t="str">
        <f t="shared" si="0"/>
        <v>Month 17</v>
      </c>
      <c r="T9" s="61" t="str">
        <f t="shared" si="0"/>
        <v>Month 18</v>
      </c>
      <c r="U9" s="61" t="str">
        <f t="shared" si="0"/>
        <v>Month 19</v>
      </c>
      <c r="V9" s="61" t="str">
        <f t="shared" si="0"/>
        <v>Month 20</v>
      </c>
      <c r="W9" s="61" t="str">
        <f t="shared" si="0"/>
        <v>Month 21</v>
      </c>
      <c r="X9" s="61" t="str">
        <f t="shared" si="0"/>
        <v>Month 22</v>
      </c>
      <c r="Y9" s="61" t="str">
        <f t="shared" si="0"/>
        <v>Month 23</v>
      </c>
      <c r="Z9" s="61" t="str">
        <f t="shared" si="0"/>
        <v>Month 24</v>
      </c>
      <c r="AA9" s="61" t="str">
        <f t="shared" si="0"/>
        <v>Month 25</v>
      </c>
      <c r="AB9" s="61" t="str">
        <f t="shared" si="0"/>
        <v>Month 26</v>
      </c>
      <c r="AC9" s="61" t="str">
        <f t="shared" si="0"/>
        <v>Month 27</v>
      </c>
      <c r="AD9" s="61" t="str">
        <f t="shared" si="0"/>
        <v>Month 28</v>
      </c>
      <c r="AE9" s="61" t="str">
        <f t="shared" si="0"/>
        <v>Month 29</v>
      </c>
      <c r="AF9" s="61" t="str">
        <f t="shared" si="0"/>
        <v>Month 30</v>
      </c>
      <c r="AG9" s="61" t="str">
        <f t="shared" si="0"/>
        <v>Month 31</v>
      </c>
      <c r="AH9" s="61" t="str">
        <f t="shared" si="0"/>
        <v>Month 32</v>
      </c>
      <c r="AI9" s="61" t="str">
        <f t="shared" si="0"/>
        <v>Month 33</v>
      </c>
      <c r="AJ9" s="61" t="str">
        <f t="shared" si="0"/>
        <v>Month 34</v>
      </c>
      <c r="AK9" s="61" t="str">
        <f t="shared" si="0"/>
        <v>Month 35</v>
      </c>
      <c r="AL9" s="95" t="str">
        <f t="shared" si="0"/>
        <v>Month 36</v>
      </c>
      <c r="AN9" s="105">
        <v>0</v>
      </c>
      <c r="AO9" s="93">
        <f t="shared" ref="AO9:AT9" si="1">AN9+1</f>
        <v>1</v>
      </c>
      <c r="AP9" s="93">
        <f t="shared" si="1"/>
        <v>2</v>
      </c>
      <c r="AQ9" s="93">
        <f t="shared" si="1"/>
        <v>3</v>
      </c>
      <c r="AR9" s="93">
        <f t="shared" si="1"/>
        <v>4</v>
      </c>
      <c r="AS9" s="93">
        <f t="shared" si="1"/>
        <v>5</v>
      </c>
      <c r="AT9" s="93">
        <f t="shared" si="1"/>
        <v>6</v>
      </c>
      <c r="AU9" s="93">
        <f t="shared" ref="AU9" si="2">AT9+1</f>
        <v>7</v>
      </c>
      <c r="AV9" s="93">
        <f t="shared" ref="AV9" si="3">AU9+1</f>
        <v>8</v>
      </c>
      <c r="AW9" s="93">
        <f t="shared" ref="AW9" si="4">AV9+1</f>
        <v>9</v>
      </c>
      <c r="AX9" s="93">
        <f t="shared" ref="AX9" si="5">AW9+1</f>
        <v>10</v>
      </c>
      <c r="AY9" s="116">
        <f t="shared" ref="AY9" si="6">AX9+1</f>
        <v>11</v>
      </c>
      <c r="BA9" s="105">
        <v>0</v>
      </c>
      <c r="BB9" s="93">
        <f>BA9+1</f>
        <v>1</v>
      </c>
      <c r="BC9" s="116">
        <f>BB9+1</f>
        <v>2</v>
      </c>
    </row>
    <row r="10" spans="2:55" ht="17" collapsed="1" x14ac:dyDescent="0.6">
      <c r="B10" s="354"/>
      <c r="C10" s="10">
        <f>ForecastStartDate[start_date]</f>
        <v>41275</v>
      </c>
      <c r="D10" s="10">
        <f>EDATE(C10,1)</f>
        <v>41306</v>
      </c>
      <c r="E10" s="10">
        <f t="shared" ref="E10:Y10" si="7">EDATE(D10,1)</f>
        <v>41334</v>
      </c>
      <c r="F10" s="10">
        <f t="shared" si="7"/>
        <v>41365</v>
      </c>
      <c r="G10" s="10">
        <f t="shared" si="7"/>
        <v>41395</v>
      </c>
      <c r="H10" s="10">
        <f t="shared" si="7"/>
        <v>41426</v>
      </c>
      <c r="I10" s="10">
        <f t="shared" si="7"/>
        <v>41456</v>
      </c>
      <c r="J10" s="10">
        <f t="shared" si="7"/>
        <v>41487</v>
      </c>
      <c r="K10" s="10">
        <f t="shared" si="7"/>
        <v>41518</v>
      </c>
      <c r="L10" s="10">
        <f t="shared" si="7"/>
        <v>41548</v>
      </c>
      <c r="M10" s="10">
        <f t="shared" si="7"/>
        <v>41579</v>
      </c>
      <c r="N10" s="10">
        <f t="shared" si="7"/>
        <v>41609</v>
      </c>
      <c r="O10" s="10">
        <f t="shared" si="7"/>
        <v>41640</v>
      </c>
      <c r="P10" s="10">
        <f t="shared" si="7"/>
        <v>41671</v>
      </c>
      <c r="Q10" s="10">
        <f t="shared" si="7"/>
        <v>41699</v>
      </c>
      <c r="R10" s="10">
        <f t="shared" si="7"/>
        <v>41730</v>
      </c>
      <c r="S10" s="10">
        <f t="shared" si="7"/>
        <v>41760</v>
      </c>
      <c r="T10" s="10">
        <f t="shared" si="7"/>
        <v>41791</v>
      </c>
      <c r="U10" s="10">
        <f t="shared" si="7"/>
        <v>41821</v>
      </c>
      <c r="V10" s="10">
        <f t="shared" si="7"/>
        <v>41852</v>
      </c>
      <c r="W10" s="10">
        <f t="shared" si="7"/>
        <v>41883</v>
      </c>
      <c r="X10" s="10">
        <f t="shared" si="7"/>
        <v>41913</v>
      </c>
      <c r="Y10" s="10">
        <f t="shared" si="7"/>
        <v>41944</v>
      </c>
      <c r="Z10" s="10">
        <f t="shared" ref="Z10" si="8">EDATE(Y10,1)</f>
        <v>41974</v>
      </c>
      <c r="AA10" s="10">
        <f t="shared" ref="AA10" si="9">EDATE(Z10,1)</f>
        <v>42005</v>
      </c>
      <c r="AB10" s="10">
        <f t="shared" ref="AB10" si="10">EDATE(AA10,1)</f>
        <v>42036</v>
      </c>
      <c r="AC10" s="10">
        <f t="shared" ref="AC10" si="11">EDATE(AB10,1)</f>
        <v>42064</v>
      </c>
      <c r="AD10" s="10">
        <f t="shared" ref="AD10" si="12">EDATE(AC10,1)</f>
        <v>42095</v>
      </c>
      <c r="AE10" s="10">
        <f t="shared" ref="AE10" si="13">EDATE(AD10,1)</f>
        <v>42125</v>
      </c>
      <c r="AF10" s="10">
        <f t="shared" ref="AF10" si="14">EDATE(AE10,1)</f>
        <v>42156</v>
      </c>
      <c r="AG10" s="10">
        <f t="shared" ref="AG10" si="15">EDATE(AF10,1)</f>
        <v>42186</v>
      </c>
      <c r="AH10" s="10">
        <f t="shared" ref="AH10" si="16">EDATE(AG10,1)</f>
        <v>42217</v>
      </c>
      <c r="AI10" s="10">
        <f t="shared" ref="AI10" si="17">EDATE(AH10,1)</f>
        <v>42248</v>
      </c>
      <c r="AJ10" s="10">
        <f t="shared" ref="AJ10" si="18">EDATE(AI10,1)</f>
        <v>42278</v>
      </c>
      <c r="AK10" s="10">
        <f t="shared" ref="AK10" si="19">EDATE(AJ10,1)</f>
        <v>42309</v>
      </c>
      <c r="AL10" s="96">
        <f t="shared" ref="AL10" si="20">EDATE(AK10,1)</f>
        <v>42339</v>
      </c>
      <c r="AN10" s="106" t="str">
        <f>"Q"&amp;(1+(AN9-4*ROUNDDOWN(AN$9/4,0)))&amp;" "&amp;(ROUNDDOWN(AN$9/4,0)+YEAR($C$10))</f>
        <v>Q1 2013</v>
      </c>
      <c r="AO10" s="94" t="str">
        <f t="shared" ref="AO10:AT10" si="21">"Q"&amp;(1+(AO9-4*ROUNDDOWN(AO$9/4,0)))&amp;" "&amp;(ROUNDDOWN(AO$9/4,0)+YEAR($C$10))</f>
        <v>Q2 2013</v>
      </c>
      <c r="AP10" s="94" t="str">
        <f t="shared" si="21"/>
        <v>Q3 2013</v>
      </c>
      <c r="AQ10" s="94" t="str">
        <f t="shared" si="21"/>
        <v>Q4 2013</v>
      </c>
      <c r="AR10" s="94" t="str">
        <f t="shared" si="21"/>
        <v>Q1 2014</v>
      </c>
      <c r="AS10" s="94" t="str">
        <f t="shared" si="21"/>
        <v>Q2 2014</v>
      </c>
      <c r="AT10" s="94" t="str">
        <f t="shared" si="21"/>
        <v>Q3 2014</v>
      </c>
      <c r="AU10" s="94" t="str">
        <f t="shared" ref="AU10:AY10" si="22">"Q"&amp;(1+(AU9-4*ROUNDDOWN(AU$9/4,0)))&amp;" "&amp;(ROUNDDOWN(AU$9/4,0)+YEAR($C$10))</f>
        <v>Q4 2014</v>
      </c>
      <c r="AV10" s="94" t="str">
        <f t="shared" si="22"/>
        <v>Q1 2015</v>
      </c>
      <c r="AW10" s="94" t="str">
        <f t="shared" si="22"/>
        <v>Q2 2015</v>
      </c>
      <c r="AX10" s="94" t="str">
        <f t="shared" si="22"/>
        <v>Q3 2015</v>
      </c>
      <c r="AY10" s="117" t="str">
        <f t="shared" si="22"/>
        <v>Q4 2015</v>
      </c>
      <c r="BA10" s="107" t="str">
        <f>"FY "&amp;YEAR($C$10)+BA9</f>
        <v>FY 2013</v>
      </c>
      <c r="BB10" s="10" t="str">
        <f t="shared" ref="BB10:BC10" si="23">"FY "&amp;YEAR($C$10)+BB9</f>
        <v>FY 2014</v>
      </c>
      <c r="BC10" s="96" t="str">
        <f t="shared" si="23"/>
        <v>FY 2015</v>
      </c>
    </row>
    <row r="11" spans="2:55" x14ac:dyDescent="0.35">
      <c r="B11" s="636" t="s">
        <v>1091</v>
      </c>
      <c r="C11" s="576" t="s">
        <v>1210</v>
      </c>
      <c r="D11" s="576" t="s">
        <v>1210</v>
      </c>
      <c r="E11" s="576" t="s">
        <v>1210</v>
      </c>
      <c r="F11" s="576" t="s">
        <v>1210</v>
      </c>
      <c r="G11" s="576" t="s">
        <v>1210</v>
      </c>
      <c r="H11" s="576" t="s">
        <v>1210</v>
      </c>
      <c r="I11" s="576" t="s">
        <v>1210</v>
      </c>
      <c r="J11" s="576" t="s">
        <v>1210</v>
      </c>
      <c r="K11" s="576" t="s">
        <v>1210</v>
      </c>
      <c r="L11" s="576" t="s">
        <v>1210</v>
      </c>
      <c r="M11" s="576" t="s">
        <v>1210</v>
      </c>
      <c r="N11" s="576" t="s">
        <v>1210</v>
      </c>
      <c r="O11" s="576" t="s">
        <v>1210</v>
      </c>
      <c r="P11" s="576" t="s">
        <v>1210</v>
      </c>
      <c r="Q11" s="576" t="s">
        <v>1210</v>
      </c>
      <c r="R11" s="576" t="s">
        <v>1210</v>
      </c>
      <c r="S11" s="576" t="s">
        <v>1210</v>
      </c>
      <c r="T11" s="576" t="s">
        <v>1210</v>
      </c>
      <c r="U11" s="576" t="s">
        <v>1210</v>
      </c>
      <c r="V11" s="576" t="s">
        <v>1210</v>
      </c>
      <c r="W11" s="576" t="s">
        <v>1210</v>
      </c>
      <c r="X11" s="576" t="s">
        <v>1210</v>
      </c>
      <c r="Y11" s="576" t="s">
        <v>1210</v>
      </c>
      <c r="Z11" s="576" t="s">
        <v>1210</v>
      </c>
      <c r="AA11" s="576" t="s">
        <v>1210</v>
      </c>
      <c r="AB11" s="576" t="s">
        <v>1210</v>
      </c>
      <c r="AC11" s="576" t="s">
        <v>1210</v>
      </c>
      <c r="AD11" s="576" t="s">
        <v>1210</v>
      </c>
      <c r="AE11" s="576" t="s">
        <v>1210</v>
      </c>
      <c r="AF11" s="576" t="s">
        <v>1210</v>
      </c>
      <c r="AG11" s="576" t="s">
        <v>1210</v>
      </c>
      <c r="AH11" s="576" t="s">
        <v>1210</v>
      </c>
      <c r="AI11" s="576" t="s">
        <v>1210</v>
      </c>
      <c r="AJ11" s="576" t="s">
        <v>1210</v>
      </c>
      <c r="AK11" s="576" t="s">
        <v>1210</v>
      </c>
      <c r="AL11" s="577" t="s">
        <v>1210</v>
      </c>
      <c r="AN11" s="578" t="s">
        <v>1210</v>
      </c>
      <c r="AO11" s="579" t="s">
        <v>1210</v>
      </c>
      <c r="AP11" s="579" t="s">
        <v>1210</v>
      </c>
      <c r="AQ11" s="579" t="s">
        <v>1210</v>
      </c>
      <c r="AR11" s="579" t="s">
        <v>1210</v>
      </c>
      <c r="AS11" s="579" t="s">
        <v>1210</v>
      </c>
      <c r="AT11" s="579" t="s">
        <v>1210</v>
      </c>
      <c r="AU11" s="579" t="s">
        <v>1210</v>
      </c>
      <c r="AV11" s="579" t="s">
        <v>1210</v>
      </c>
      <c r="AW11" s="579" t="s">
        <v>1210</v>
      </c>
      <c r="AX11" s="579" t="s">
        <v>1210</v>
      </c>
      <c r="AY11" s="580" t="s">
        <v>1210</v>
      </c>
      <c r="BA11" s="581" t="s">
        <v>1210</v>
      </c>
      <c r="BB11" s="576" t="s">
        <v>1210</v>
      </c>
      <c r="BC11" s="577" t="s">
        <v>1210</v>
      </c>
    </row>
    <row r="12" spans="2:55" ht="17" x14ac:dyDescent="0.6">
      <c r="B12" s="354"/>
      <c r="C12" s="340" t="s">
        <v>0</v>
      </c>
      <c r="D12" s="340" t="s">
        <v>0</v>
      </c>
      <c r="E12" s="340" t="s">
        <v>0</v>
      </c>
      <c r="F12" s="340" t="s">
        <v>0</v>
      </c>
      <c r="G12" s="340" t="s">
        <v>0</v>
      </c>
      <c r="H12" s="340" t="s">
        <v>0</v>
      </c>
      <c r="I12" s="340" t="s">
        <v>0</v>
      </c>
      <c r="J12" s="340" t="s">
        <v>0</v>
      </c>
      <c r="K12" s="340" t="s">
        <v>0</v>
      </c>
      <c r="L12" s="340" t="s">
        <v>0</v>
      </c>
      <c r="M12" s="340" t="s">
        <v>0</v>
      </c>
      <c r="N12" s="340" t="s">
        <v>0</v>
      </c>
      <c r="O12" s="340" t="s">
        <v>0</v>
      </c>
      <c r="P12" s="340" t="s">
        <v>0</v>
      </c>
      <c r="Q12" s="340" t="s">
        <v>0</v>
      </c>
      <c r="R12" s="340" t="s">
        <v>0</v>
      </c>
      <c r="S12" s="340" t="s">
        <v>0</v>
      </c>
      <c r="T12" s="340" t="s">
        <v>0</v>
      </c>
      <c r="U12" s="340" t="s">
        <v>0</v>
      </c>
      <c r="V12" s="340" t="s">
        <v>0</v>
      </c>
      <c r="W12" s="340" t="s">
        <v>0</v>
      </c>
      <c r="X12" s="340" t="s">
        <v>0</v>
      </c>
      <c r="Y12" s="340" t="s">
        <v>0</v>
      </c>
      <c r="Z12" s="340" t="s">
        <v>0</v>
      </c>
      <c r="AA12" s="340" t="s">
        <v>0</v>
      </c>
      <c r="AB12" s="340" t="s">
        <v>0</v>
      </c>
      <c r="AC12" s="340" t="s">
        <v>0</v>
      </c>
      <c r="AD12" s="340" t="s">
        <v>0</v>
      </c>
      <c r="AE12" s="340" t="s">
        <v>0</v>
      </c>
      <c r="AF12" s="340" t="s">
        <v>0</v>
      </c>
      <c r="AG12" s="340" t="s">
        <v>0</v>
      </c>
      <c r="AH12" s="340" t="s">
        <v>0</v>
      </c>
      <c r="AI12" s="340" t="s">
        <v>0</v>
      </c>
      <c r="AJ12" s="340" t="s">
        <v>0</v>
      </c>
      <c r="AK12" s="340" t="s">
        <v>0</v>
      </c>
      <c r="AL12" s="341" t="s">
        <v>0</v>
      </c>
      <c r="AN12" s="342" t="s">
        <v>221</v>
      </c>
      <c r="AO12" s="340" t="s">
        <v>221</v>
      </c>
      <c r="AP12" s="340" t="s">
        <v>221</v>
      </c>
      <c r="AQ12" s="340" t="s">
        <v>221</v>
      </c>
      <c r="AR12" s="340" t="s">
        <v>221</v>
      </c>
      <c r="AS12" s="340" t="s">
        <v>221</v>
      </c>
      <c r="AT12" s="340" t="s">
        <v>221</v>
      </c>
      <c r="AU12" s="340" t="s">
        <v>221</v>
      </c>
      <c r="AV12" s="340" t="s">
        <v>221</v>
      </c>
      <c r="AW12" s="340" t="s">
        <v>221</v>
      </c>
      <c r="AX12" s="340" t="s">
        <v>221</v>
      </c>
      <c r="AY12" s="341" t="s">
        <v>221</v>
      </c>
      <c r="BA12" s="342" t="s">
        <v>221</v>
      </c>
      <c r="BB12" s="340" t="s">
        <v>221</v>
      </c>
      <c r="BC12" s="341" t="s">
        <v>221</v>
      </c>
    </row>
    <row r="13" spans="2:55" ht="17" x14ac:dyDescent="0.6">
      <c r="B13" s="355"/>
      <c r="C13" s="246" t="str">
        <f>OutputCurrency</f>
        <v>USD</v>
      </c>
      <c r="D13" s="246" t="str">
        <f>$C$13</f>
        <v>USD</v>
      </c>
      <c r="E13" s="246" t="str">
        <f t="shared" ref="E13:AL13" si="24">$C$13</f>
        <v>USD</v>
      </c>
      <c r="F13" s="246" t="str">
        <f t="shared" si="24"/>
        <v>USD</v>
      </c>
      <c r="G13" s="246" t="str">
        <f t="shared" si="24"/>
        <v>USD</v>
      </c>
      <c r="H13" s="246" t="str">
        <f t="shared" si="24"/>
        <v>USD</v>
      </c>
      <c r="I13" s="246" t="str">
        <f t="shared" si="24"/>
        <v>USD</v>
      </c>
      <c r="J13" s="246" t="str">
        <f t="shared" si="24"/>
        <v>USD</v>
      </c>
      <c r="K13" s="246" t="str">
        <f t="shared" si="24"/>
        <v>USD</v>
      </c>
      <c r="L13" s="246" t="str">
        <f t="shared" si="24"/>
        <v>USD</v>
      </c>
      <c r="M13" s="246" t="str">
        <f t="shared" si="24"/>
        <v>USD</v>
      </c>
      <c r="N13" s="246" t="str">
        <f t="shared" si="24"/>
        <v>USD</v>
      </c>
      <c r="O13" s="246" t="str">
        <f t="shared" si="24"/>
        <v>USD</v>
      </c>
      <c r="P13" s="246" t="str">
        <f t="shared" si="24"/>
        <v>USD</v>
      </c>
      <c r="Q13" s="246" t="str">
        <f t="shared" si="24"/>
        <v>USD</v>
      </c>
      <c r="R13" s="246" t="str">
        <f t="shared" si="24"/>
        <v>USD</v>
      </c>
      <c r="S13" s="246" t="str">
        <f t="shared" si="24"/>
        <v>USD</v>
      </c>
      <c r="T13" s="246" t="str">
        <f t="shared" si="24"/>
        <v>USD</v>
      </c>
      <c r="U13" s="246" t="str">
        <f t="shared" si="24"/>
        <v>USD</v>
      </c>
      <c r="V13" s="246" t="str">
        <f t="shared" si="24"/>
        <v>USD</v>
      </c>
      <c r="W13" s="246" t="str">
        <f t="shared" si="24"/>
        <v>USD</v>
      </c>
      <c r="X13" s="246" t="str">
        <f t="shared" si="24"/>
        <v>USD</v>
      </c>
      <c r="Y13" s="246" t="str">
        <f t="shared" si="24"/>
        <v>USD</v>
      </c>
      <c r="Z13" s="246" t="str">
        <f t="shared" si="24"/>
        <v>USD</v>
      </c>
      <c r="AA13" s="246" t="str">
        <f t="shared" si="24"/>
        <v>USD</v>
      </c>
      <c r="AB13" s="246" t="str">
        <f t="shared" si="24"/>
        <v>USD</v>
      </c>
      <c r="AC13" s="246" t="str">
        <f t="shared" si="24"/>
        <v>USD</v>
      </c>
      <c r="AD13" s="246" t="str">
        <f t="shared" si="24"/>
        <v>USD</v>
      </c>
      <c r="AE13" s="246" t="str">
        <f t="shared" si="24"/>
        <v>USD</v>
      </c>
      <c r="AF13" s="246" t="str">
        <f t="shared" si="24"/>
        <v>USD</v>
      </c>
      <c r="AG13" s="246" t="str">
        <f t="shared" si="24"/>
        <v>USD</v>
      </c>
      <c r="AH13" s="246" t="str">
        <f t="shared" si="24"/>
        <v>USD</v>
      </c>
      <c r="AI13" s="246" t="str">
        <f t="shared" si="24"/>
        <v>USD</v>
      </c>
      <c r="AJ13" s="246" t="str">
        <f t="shared" si="24"/>
        <v>USD</v>
      </c>
      <c r="AK13" s="246" t="str">
        <f t="shared" si="24"/>
        <v>USD</v>
      </c>
      <c r="AL13" s="247" t="str">
        <f t="shared" si="24"/>
        <v>USD</v>
      </c>
      <c r="AN13" s="275" t="str">
        <f t="shared" ref="AN13:AY13" si="25">$C$13</f>
        <v>USD</v>
      </c>
      <c r="AO13" s="277" t="str">
        <f t="shared" si="25"/>
        <v>USD</v>
      </c>
      <c r="AP13" s="277" t="str">
        <f t="shared" si="25"/>
        <v>USD</v>
      </c>
      <c r="AQ13" s="277" t="str">
        <f t="shared" si="25"/>
        <v>USD</v>
      </c>
      <c r="AR13" s="277" t="str">
        <f t="shared" si="25"/>
        <v>USD</v>
      </c>
      <c r="AS13" s="277" t="str">
        <f t="shared" si="25"/>
        <v>USD</v>
      </c>
      <c r="AT13" s="277" t="str">
        <f t="shared" si="25"/>
        <v>USD</v>
      </c>
      <c r="AU13" s="277" t="str">
        <f t="shared" si="25"/>
        <v>USD</v>
      </c>
      <c r="AV13" s="277" t="str">
        <f t="shared" si="25"/>
        <v>USD</v>
      </c>
      <c r="AW13" s="277" t="str">
        <f t="shared" si="25"/>
        <v>USD</v>
      </c>
      <c r="AX13" s="277" t="str">
        <f t="shared" si="25"/>
        <v>USD</v>
      </c>
      <c r="AY13" s="276" t="str">
        <f t="shared" si="25"/>
        <v>USD</v>
      </c>
      <c r="BA13" s="275" t="str">
        <f t="shared" ref="BA13:BC13" si="26">$C$13</f>
        <v>USD</v>
      </c>
      <c r="BB13" s="277" t="str">
        <f t="shared" si="26"/>
        <v>USD</v>
      </c>
      <c r="BC13" s="276" t="str">
        <f t="shared" si="26"/>
        <v>USD</v>
      </c>
    </row>
    <row r="14" spans="2:55" x14ac:dyDescent="0.35">
      <c r="B14" s="356" t="s">
        <v>1</v>
      </c>
      <c r="C14" s="588">
        <f>IFERROR(GETPIVOTDATA("Sum of "&amp;C$9,'PT-All'!$A$1,"Scenario",IF(C$12="Forecast",C$11,C$12),"P&amp;L Item",$B14),0)</f>
        <v>0</v>
      </c>
      <c r="D14" s="588">
        <f>IFERROR(GETPIVOTDATA("Sum of "&amp;D$9,'PT-All'!$A$1,"Scenario",IF(D$12="Forecast",D$11,D$12),"P&amp;L Item",$B14),0)</f>
        <v>0</v>
      </c>
      <c r="E14" s="588">
        <f>IFERROR(GETPIVOTDATA("Sum of "&amp;E$9,'PT-All'!$A$1,"Scenario",IF(E$12="Forecast",E$11,E$12),"P&amp;L Item",$B14),0)</f>
        <v>0</v>
      </c>
      <c r="F14" s="588">
        <f>IFERROR(GETPIVOTDATA("Sum of "&amp;F$9,'PT-All'!$A$1,"Scenario",IF(F$12="Forecast",F$11,F$12),"P&amp;L Item",$B14),0)</f>
        <v>0</v>
      </c>
      <c r="G14" s="588">
        <f>IFERROR(GETPIVOTDATA("Sum of "&amp;G$9,'PT-All'!$A$1,"Scenario",IF(G$12="Forecast",G$11,G$12),"P&amp;L Item",$B14),0)</f>
        <v>0</v>
      </c>
      <c r="H14" s="588">
        <f>IFERROR(GETPIVOTDATA("Sum of "&amp;H$9,'PT-All'!$A$1,"Scenario",IF(H$12="Forecast",H$11,H$12),"P&amp;L Item",$B14),0)</f>
        <v>0</v>
      </c>
      <c r="I14" s="588">
        <f>IFERROR(GETPIVOTDATA("Sum of "&amp;I$9,'PT-All'!$A$1,"Scenario",IF(I$12="Forecast",I$11,I$12),"P&amp;L Item",$B14),0)</f>
        <v>0</v>
      </c>
      <c r="J14" s="588">
        <f>IFERROR(GETPIVOTDATA("Sum of "&amp;J$9,'PT-All'!$A$1,"Scenario",IF(J$12="Forecast",J$11,J$12),"P&amp;L Item",$B14),0)</f>
        <v>0</v>
      </c>
      <c r="K14" s="588">
        <f>IFERROR(GETPIVOTDATA("Sum of "&amp;K$9,'PT-All'!$A$1,"Scenario",IF(K$12="Forecast",K$11,K$12),"P&amp;L Item",$B14),0)</f>
        <v>0</v>
      </c>
      <c r="L14" s="588">
        <f>IFERROR(GETPIVOTDATA("Sum of "&amp;L$9,'PT-All'!$A$1,"Scenario",IF(L$12="Forecast",L$11,L$12),"P&amp;L Item",$B14),0)</f>
        <v>0</v>
      </c>
      <c r="M14" s="588">
        <f>IFERROR(GETPIVOTDATA("Sum of "&amp;M$9,'PT-All'!$A$1,"Scenario",IF(M$12="Forecast",M$11,M$12),"P&amp;L Item",$B14),0)</f>
        <v>0</v>
      </c>
      <c r="N14" s="588">
        <f>IFERROR(GETPIVOTDATA("Sum of "&amp;N$9,'PT-All'!$A$1,"Scenario",IF(N$12="Forecast",N$11,N$12),"P&amp;L Item",$B14),0)</f>
        <v>0</v>
      </c>
      <c r="O14" s="588">
        <f>IFERROR(GETPIVOTDATA("Sum of "&amp;O$9,'PT-All'!$A$1,"Scenario",IF(O$12="Forecast",O$11,O$12),"P&amp;L Item",$B14),0)</f>
        <v>0</v>
      </c>
      <c r="P14" s="588">
        <f>IFERROR(GETPIVOTDATA("Sum of "&amp;P$9,'PT-All'!$A$1,"Scenario",IF(P$12="Forecast",P$11,P$12),"P&amp;L Item",$B14),0)</f>
        <v>0</v>
      </c>
      <c r="Q14" s="588">
        <f>IFERROR(GETPIVOTDATA("Sum of "&amp;Q$9,'PT-All'!$A$1,"Scenario",IF(Q$12="Forecast",Q$11,Q$12),"P&amp;L Item",$B14),0)</f>
        <v>0</v>
      </c>
      <c r="R14" s="588">
        <f>IFERROR(GETPIVOTDATA("Sum of "&amp;R$9,'PT-All'!$A$1,"Scenario",IF(R$12="Forecast",R$11,R$12),"P&amp;L Item",$B14),0)</f>
        <v>0</v>
      </c>
      <c r="S14" s="588">
        <f>IFERROR(GETPIVOTDATA("Sum of "&amp;S$9,'PT-All'!$A$1,"Scenario",IF(S$12="Forecast",S$11,S$12),"P&amp;L Item",$B14),0)</f>
        <v>0</v>
      </c>
      <c r="T14" s="588">
        <f>IFERROR(GETPIVOTDATA("Sum of "&amp;T$9,'PT-All'!$A$1,"Scenario",IF(T$12="Forecast",T$11,T$12),"P&amp;L Item",$B14),0)</f>
        <v>0</v>
      </c>
      <c r="U14" s="588">
        <f>IFERROR(GETPIVOTDATA("Sum of "&amp;U$9,'PT-All'!$A$1,"Scenario",IF(U$12="Forecast",U$11,U$12),"P&amp;L Item",$B14),0)</f>
        <v>0</v>
      </c>
      <c r="V14" s="588">
        <f>IFERROR(GETPIVOTDATA("Sum of "&amp;V$9,'PT-All'!$A$1,"Scenario",IF(V$12="Forecast",V$11,V$12),"P&amp;L Item",$B14),0)</f>
        <v>0</v>
      </c>
      <c r="W14" s="588">
        <f>IFERROR(GETPIVOTDATA("Sum of "&amp;W$9,'PT-All'!$A$1,"Scenario",IF(W$12="Forecast",W$11,W$12),"P&amp;L Item",$B14),0)</f>
        <v>0</v>
      </c>
      <c r="X14" s="588">
        <f>IFERROR(GETPIVOTDATA("Sum of "&amp;X$9,'PT-All'!$A$1,"Scenario",IF(X$12="Forecast",X$11,X$12),"P&amp;L Item",$B14),0)</f>
        <v>0</v>
      </c>
      <c r="Y14" s="588">
        <f>IFERROR(GETPIVOTDATA("Sum of "&amp;Y$9,'PT-All'!$A$1,"Scenario",IF(Y$12="Forecast",Y$11,Y$12),"P&amp;L Item",$B14),0)</f>
        <v>0</v>
      </c>
      <c r="Z14" s="588">
        <f>IFERROR(GETPIVOTDATA("Sum of "&amp;Z$9,'PT-All'!$A$1,"Scenario",IF(Z$12="Forecast",Z$11,Z$12),"P&amp;L Item",$B14),0)</f>
        <v>0</v>
      </c>
      <c r="AA14" s="588">
        <f>IFERROR(GETPIVOTDATA("Sum of "&amp;AA$9,'PT-All'!$A$1,"Scenario",IF(AA$12="Forecast",AA$11,AA$12),"P&amp;L Item",$B14),0)</f>
        <v>0</v>
      </c>
      <c r="AB14" s="588">
        <f>IFERROR(GETPIVOTDATA("Sum of "&amp;AB$9,'PT-All'!$A$1,"Scenario",IF(AB$12="Forecast",AB$11,AB$12),"P&amp;L Item",$B14),0)</f>
        <v>0</v>
      </c>
      <c r="AC14" s="588">
        <f>IFERROR(GETPIVOTDATA("Sum of "&amp;AC$9,'PT-All'!$A$1,"Scenario",IF(AC$12="Forecast",AC$11,AC$12),"P&amp;L Item",$B14),0)</f>
        <v>0</v>
      </c>
      <c r="AD14" s="588">
        <f>IFERROR(GETPIVOTDATA("Sum of "&amp;AD$9,'PT-All'!$A$1,"Scenario",IF(AD$12="Forecast",AD$11,AD$12),"P&amp;L Item",$B14),0)</f>
        <v>0</v>
      </c>
      <c r="AE14" s="588">
        <f>IFERROR(GETPIVOTDATA("Sum of "&amp;AE$9,'PT-All'!$A$1,"Scenario",IF(AE$12="Forecast",AE$11,AE$12),"P&amp;L Item",$B14),0)</f>
        <v>0</v>
      </c>
      <c r="AF14" s="588">
        <f>IFERROR(GETPIVOTDATA("Sum of "&amp;AF$9,'PT-All'!$A$1,"Scenario",IF(AF$12="Forecast",AF$11,AF$12),"P&amp;L Item",$B14),0)</f>
        <v>0</v>
      </c>
      <c r="AG14" s="588">
        <f>IFERROR(GETPIVOTDATA("Sum of "&amp;AG$9,'PT-All'!$A$1,"Scenario",IF(AG$12="Forecast",AG$11,AG$12),"P&amp;L Item",$B14),0)</f>
        <v>0</v>
      </c>
      <c r="AH14" s="588">
        <f>IFERROR(GETPIVOTDATA("Sum of "&amp;AH$9,'PT-All'!$A$1,"Scenario",IF(AH$12="Forecast",AH$11,AH$12),"P&amp;L Item",$B14),0)</f>
        <v>0</v>
      </c>
      <c r="AI14" s="588">
        <f>IFERROR(GETPIVOTDATA("Sum of "&amp;AI$9,'PT-All'!$A$1,"Scenario",IF(AI$12="Forecast",AI$11,AI$12),"P&amp;L Item",$B14),0)</f>
        <v>0</v>
      </c>
      <c r="AJ14" s="588">
        <f>IFERROR(GETPIVOTDATA("Sum of "&amp;AJ$9,'PT-All'!$A$1,"Scenario",IF(AJ$12="Forecast",AJ$11,AJ$12),"P&amp;L Item",$B14),0)</f>
        <v>0</v>
      </c>
      <c r="AK14" s="588">
        <f>IFERROR(GETPIVOTDATA("Sum of "&amp;AK$9,'PT-All'!$A$1,"Scenario",IF(AK$12="Forecast",AK$11,AK$12),"P&amp;L Item",$B14),0)</f>
        <v>0</v>
      </c>
      <c r="AL14" s="589">
        <f>IFERROR(GETPIVOTDATA("Sum of "&amp;AL$9,'PT-All'!$A$1,"Scenario",IF(AL$12="Forecast",AL$11,AL$12),"P&amp;L Item",$B14),0)</f>
        <v>0</v>
      </c>
      <c r="AM14" s="590"/>
      <c r="AN14" s="591">
        <f ca="1">IF(IF(AN$12="Forecast",AN$11,AN$12)="Pro Forma",SUM(OFFSET($B14,0,3*AN$9+1,1,3)),IFERROR(GETPIVOTDATA("Sum of Q"&amp;AN$9+1,'PT-All'!$A$1,"Scenario",IF(AN$12="Forecast",AN$11,AN$12),"P&amp;L Item",$B14),0))</f>
        <v>0</v>
      </c>
      <c r="AO14" s="588">
        <f ca="1">IF(IF(AO$12="Forecast",AO$11,AO$12)="Pro Forma",SUM(OFFSET($B14,0,3*AO$9+1,1,3)),IFERROR(GETPIVOTDATA("Sum of Q"&amp;AO$9+1,'PT-All'!$A$1,"Scenario",IF(AO$12="Forecast",AO$11,AO$12),"P&amp;L Item",$B14),0))</f>
        <v>0</v>
      </c>
      <c r="AP14" s="588">
        <f ca="1">IF(IF(AP$12="Forecast",AP$11,AP$12)="Pro Forma",SUM(OFFSET($B14,0,3*AP$9+1,1,3)),IFERROR(GETPIVOTDATA("Sum of Q"&amp;AP$9+1,'PT-All'!$A$1,"Scenario",IF(AP$12="Forecast",AP$11,AP$12),"P&amp;L Item",$B14),0))</f>
        <v>0</v>
      </c>
      <c r="AQ14" s="588">
        <f ca="1">IF(IF(AQ$12="Forecast",AQ$11,AQ$12)="Pro Forma",SUM(OFFSET($B14,0,3*AQ$9+1,1,3)),IFERROR(GETPIVOTDATA("Sum of Q"&amp;AQ$9+1,'PT-All'!$A$1,"Scenario",IF(AQ$12="Forecast",AQ$11,AQ$12),"P&amp;L Item",$B14),0))</f>
        <v>0</v>
      </c>
      <c r="AR14" s="588">
        <f ca="1">IF(IF(AR$12="Forecast",AR$11,AR$12)="Pro Forma",SUM(OFFSET($B14,0,3*AR$9+1,1,3)),IFERROR(GETPIVOTDATA("Sum of Q"&amp;AR$9+1,'PT-All'!$A$1,"Scenario",IF(AR$12="Forecast",AR$11,AR$12),"P&amp;L Item",$B14),0))</f>
        <v>0</v>
      </c>
      <c r="AS14" s="588">
        <f ca="1">IF(IF(AS$12="Forecast",AS$11,AS$12)="Pro Forma",SUM(OFFSET($B14,0,3*AS$9+1,1,3)),IFERROR(GETPIVOTDATA("Sum of Q"&amp;AS$9+1,'PT-All'!$A$1,"Scenario",IF(AS$12="Forecast",AS$11,AS$12),"P&amp;L Item",$B14),0))</f>
        <v>0</v>
      </c>
      <c r="AT14" s="588">
        <f ca="1">IF(IF(AT$12="Forecast",AT$11,AT$12)="Pro Forma",SUM(OFFSET($B14,0,3*AT$9+1,1,3)),IFERROR(GETPIVOTDATA("Sum of Q"&amp;AT$9+1,'PT-All'!$A$1,"Scenario",IF(AT$12="Forecast",AT$11,AT$12),"P&amp;L Item",$B14),0))</f>
        <v>0</v>
      </c>
      <c r="AU14" s="588">
        <f ca="1">IF(IF(AU$12="Forecast",AU$11,AU$12)="Pro Forma",SUM(OFFSET($B14,0,3*AU$9+1,1,3)),IFERROR(GETPIVOTDATA("Sum of Q"&amp;AU$9+1,'PT-All'!$A$1,"Scenario",IF(AU$12="Forecast",AU$11,AU$12),"P&amp;L Item",$B14),0))</f>
        <v>0</v>
      </c>
      <c r="AV14" s="588">
        <f ca="1">IF(IF(AV$12="Forecast",AV$11,AV$12)="Pro Forma",SUM(OFFSET($B14,0,3*AV$9+1,1,3)),IFERROR(GETPIVOTDATA("Sum of Q"&amp;AV$9+1,'PT-All'!$A$1,"Scenario",IF(AV$12="Forecast",AV$11,AV$12),"P&amp;L Item",$B14),0))</f>
        <v>0</v>
      </c>
      <c r="AW14" s="588">
        <f ca="1">IF(IF(AW$12="Forecast",AW$11,AW$12)="Pro Forma",SUM(OFFSET($B14,0,3*AW$9+1,1,3)),IFERROR(GETPIVOTDATA("Sum of Q"&amp;AW$9+1,'PT-All'!$A$1,"Scenario",IF(AW$12="Forecast",AW$11,AW$12),"P&amp;L Item",$B14),0))</f>
        <v>0</v>
      </c>
      <c r="AX14" s="588">
        <f ca="1">IF(IF(AX$12="Forecast",AX$11,AX$12)="Pro Forma",SUM(OFFSET($B14,0,3*AX$9+1,1,3)),IFERROR(GETPIVOTDATA("Sum of Q"&amp;AX$9+1,'PT-All'!$A$1,"Scenario",IF(AX$12="Forecast",AX$11,AX$12),"P&amp;L Item",$B14),0))</f>
        <v>0</v>
      </c>
      <c r="AY14" s="589">
        <f ca="1">IF(IF(AY$12="Forecast",AY$11,AY$12)="Pro Forma",SUM(OFFSET($B14,0,3*AY$9+1,1,3)),IFERROR(GETPIVOTDATA("Sum of Q"&amp;AY$9+1,'PT-All'!$A$1,"Scenario",IF(AY$12="Forecast",AY$11,AY$12),"P&amp;L Item",$B14),0))</f>
        <v>0</v>
      </c>
      <c r="AZ14" s="590"/>
      <c r="BA14" s="591">
        <f ca="1">IF(IF(BA$12="Forecast",BA$11,BA$12)="Pro Forma",SUM(OFFSET($B14,0,12*BA$9+1,1,12)),IFERROR(GETPIVOTDATA("Sum of FY"&amp;BA$9+1,'PT-All'!$A$1,"Scenario",IF(BA$12="Forecast",BA$11,BA$12),"P&amp;L Item",$B14),0))</f>
        <v>0</v>
      </c>
      <c r="BB14" s="588">
        <f ca="1">IF(IF(BB$12="Forecast",BB$11,BB$12)="Pro Forma",SUM(OFFSET($B14,0,12*BB$9+1,1,12)),IFERROR(GETPIVOTDATA("Sum of FY"&amp;BB$9+1,'PT-All'!$A$1,"Scenario",IF(BB$12="Forecast",BB$11,BB$12),"P&amp;L Item",$B14),0))</f>
        <v>0</v>
      </c>
      <c r="BC14" s="589">
        <f ca="1">IF(IF(BC$12="Forecast",BC$11,BC$12)="Pro Forma",SUM(OFFSET($B14,0,12*BC$9+1,1,12)),IFERROR(GETPIVOTDATA("Sum of FY"&amp;BC$9+1,'PT-All'!$A$1,"Scenario",IF(BC$12="Forecast",BC$11,BC$12),"P&amp;L Item",$B14),0))</f>
        <v>0</v>
      </c>
    </row>
    <row r="15" spans="2:55" x14ac:dyDescent="0.35">
      <c r="B15" s="356" t="s">
        <v>2</v>
      </c>
      <c r="C15" s="592">
        <f>IFERROR(GETPIVOTDATA("Sum of "&amp;C$9,'PT-All'!$A$1,"Scenario",IF(C$12="Forecast",C$11,C$12),"P&amp;L Item",$B15),0)</f>
        <v>0</v>
      </c>
      <c r="D15" s="592">
        <f>IFERROR(GETPIVOTDATA("Sum of "&amp;D$9,'PT-All'!$A$1,"Scenario",IF(D$12="Forecast",D$11,D$12),"P&amp;L Item",$B15),0)</f>
        <v>0</v>
      </c>
      <c r="E15" s="592">
        <f>IFERROR(GETPIVOTDATA("Sum of "&amp;E$9,'PT-All'!$A$1,"Scenario",IF(E$12="Forecast",E$11,E$12),"P&amp;L Item",$B15),0)</f>
        <v>0</v>
      </c>
      <c r="F15" s="592">
        <f>IFERROR(GETPIVOTDATA("Sum of "&amp;F$9,'PT-All'!$A$1,"Scenario",IF(F$12="Forecast",F$11,F$12),"P&amp;L Item",$B15),0)</f>
        <v>0</v>
      </c>
      <c r="G15" s="592">
        <f>IFERROR(GETPIVOTDATA("Sum of "&amp;G$9,'PT-All'!$A$1,"Scenario",IF(G$12="Forecast",G$11,G$12),"P&amp;L Item",$B15),0)</f>
        <v>0</v>
      </c>
      <c r="H15" s="592">
        <f>IFERROR(GETPIVOTDATA("Sum of "&amp;H$9,'PT-All'!$A$1,"Scenario",IF(H$12="Forecast",H$11,H$12),"P&amp;L Item",$B15),0)</f>
        <v>0</v>
      </c>
      <c r="I15" s="592">
        <f>IFERROR(GETPIVOTDATA("Sum of "&amp;I$9,'PT-All'!$A$1,"Scenario",IF(I$12="Forecast",I$11,I$12),"P&amp;L Item",$B15),0)</f>
        <v>0</v>
      </c>
      <c r="J15" s="592">
        <f>IFERROR(GETPIVOTDATA("Sum of "&amp;J$9,'PT-All'!$A$1,"Scenario",IF(J$12="Forecast",J$11,J$12),"P&amp;L Item",$B15),0)</f>
        <v>0</v>
      </c>
      <c r="K15" s="592">
        <f>IFERROR(GETPIVOTDATA("Sum of "&amp;K$9,'PT-All'!$A$1,"Scenario",IF(K$12="Forecast",K$11,K$12),"P&amp;L Item",$B15),0)</f>
        <v>0</v>
      </c>
      <c r="L15" s="592">
        <f>IFERROR(GETPIVOTDATA("Sum of "&amp;L$9,'PT-All'!$A$1,"Scenario",IF(L$12="Forecast",L$11,L$12),"P&amp;L Item",$B15),0)</f>
        <v>0</v>
      </c>
      <c r="M15" s="592">
        <f>IFERROR(GETPIVOTDATA("Sum of "&amp;M$9,'PT-All'!$A$1,"Scenario",IF(M$12="Forecast",M$11,M$12),"P&amp;L Item",$B15),0)</f>
        <v>0</v>
      </c>
      <c r="N15" s="592">
        <f>IFERROR(GETPIVOTDATA("Sum of "&amp;N$9,'PT-All'!$A$1,"Scenario",IF(N$12="Forecast",N$11,N$12),"P&amp;L Item",$B15),0)</f>
        <v>0</v>
      </c>
      <c r="O15" s="592">
        <f>IFERROR(GETPIVOTDATA("Sum of "&amp;O$9,'PT-All'!$A$1,"Scenario",IF(O$12="Forecast",O$11,O$12),"P&amp;L Item",$B15),0)</f>
        <v>0</v>
      </c>
      <c r="P15" s="592">
        <f>IFERROR(GETPIVOTDATA("Sum of "&amp;P$9,'PT-All'!$A$1,"Scenario",IF(P$12="Forecast",P$11,P$12),"P&amp;L Item",$B15),0)</f>
        <v>0</v>
      </c>
      <c r="Q15" s="592">
        <f>IFERROR(GETPIVOTDATA("Sum of "&amp;Q$9,'PT-All'!$A$1,"Scenario",IF(Q$12="Forecast",Q$11,Q$12),"P&amp;L Item",$B15),0)</f>
        <v>0</v>
      </c>
      <c r="R15" s="592">
        <f>IFERROR(GETPIVOTDATA("Sum of "&amp;R$9,'PT-All'!$A$1,"Scenario",IF(R$12="Forecast",R$11,R$12),"P&amp;L Item",$B15),0)</f>
        <v>0</v>
      </c>
      <c r="S15" s="592">
        <f>IFERROR(GETPIVOTDATA("Sum of "&amp;S$9,'PT-All'!$A$1,"Scenario",IF(S$12="Forecast",S$11,S$12),"P&amp;L Item",$B15),0)</f>
        <v>0</v>
      </c>
      <c r="T15" s="592">
        <f>IFERROR(GETPIVOTDATA("Sum of "&amp;T$9,'PT-All'!$A$1,"Scenario",IF(T$12="Forecast",T$11,T$12),"P&amp;L Item",$B15),0)</f>
        <v>0</v>
      </c>
      <c r="U15" s="592">
        <f>IFERROR(GETPIVOTDATA("Sum of "&amp;U$9,'PT-All'!$A$1,"Scenario",IF(U$12="Forecast",U$11,U$12),"P&amp;L Item",$B15),0)</f>
        <v>0</v>
      </c>
      <c r="V15" s="592">
        <f>IFERROR(GETPIVOTDATA("Sum of "&amp;V$9,'PT-All'!$A$1,"Scenario",IF(V$12="Forecast",V$11,V$12),"P&amp;L Item",$B15),0)</f>
        <v>0</v>
      </c>
      <c r="W15" s="592">
        <f>IFERROR(GETPIVOTDATA("Sum of "&amp;W$9,'PT-All'!$A$1,"Scenario",IF(W$12="Forecast",W$11,W$12),"P&amp;L Item",$B15),0)</f>
        <v>0</v>
      </c>
      <c r="X15" s="592">
        <f>IFERROR(GETPIVOTDATA("Sum of "&amp;X$9,'PT-All'!$A$1,"Scenario",IF(X$12="Forecast",X$11,X$12),"P&amp;L Item",$B15),0)</f>
        <v>0</v>
      </c>
      <c r="Y15" s="592">
        <f>IFERROR(GETPIVOTDATA("Sum of "&amp;Y$9,'PT-All'!$A$1,"Scenario",IF(Y$12="Forecast",Y$11,Y$12),"P&amp;L Item",$B15),0)</f>
        <v>0</v>
      </c>
      <c r="Z15" s="592">
        <f>IFERROR(GETPIVOTDATA("Sum of "&amp;Z$9,'PT-All'!$A$1,"Scenario",IF(Z$12="Forecast",Z$11,Z$12),"P&amp;L Item",$B15),0)</f>
        <v>0</v>
      </c>
      <c r="AA15" s="592">
        <f>IFERROR(GETPIVOTDATA("Sum of "&amp;AA$9,'PT-All'!$A$1,"Scenario",IF(AA$12="Forecast",AA$11,AA$12),"P&amp;L Item",$B15),0)</f>
        <v>0</v>
      </c>
      <c r="AB15" s="592">
        <f>IFERROR(GETPIVOTDATA("Sum of "&amp;AB$9,'PT-All'!$A$1,"Scenario",IF(AB$12="Forecast",AB$11,AB$12),"P&amp;L Item",$B15),0)</f>
        <v>0</v>
      </c>
      <c r="AC15" s="592">
        <f>IFERROR(GETPIVOTDATA("Sum of "&amp;AC$9,'PT-All'!$A$1,"Scenario",IF(AC$12="Forecast",AC$11,AC$12),"P&amp;L Item",$B15),0)</f>
        <v>0</v>
      </c>
      <c r="AD15" s="592">
        <f>IFERROR(GETPIVOTDATA("Sum of "&amp;AD$9,'PT-All'!$A$1,"Scenario",IF(AD$12="Forecast",AD$11,AD$12),"P&amp;L Item",$B15),0)</f>
        <v>0</v>
      </c>
      <c r="AE15" s="592">
        <f>IFERROR(GETPIVOTDATA("Sum of "&amp;AE$9,'PT-All'!$A$1,"Scenario",IF(AE$12="Forecast",AE$11,AE$12),"P&amp;L Item",$B15),0)</f>
        <v>0</v>
      </c>
      <c r="AF15" s="592">
        <f>IFERROR(GETPIVOTDATA("Sum of "&amp;AF$9,'PT-All'!$A$1,"Scenario",IF(AF$12="Forecast",AF$11,AF$12),"P&amp;L Item",$B15),0)</f>
        <v>0</v>
      </c>
      <c r="AG15" s="592">
        <f>IFERROR(GETPIVOTDATA("Sum of "&amp;AG$9,'PT-All'!$A$1,"Scenario",IF(AG$12="Forecast",AG$11,AG$12),"P&amp;L Item",$B15),0)</f>
        <v>0</v>
      </c>
      <c r="AH15" s="592">
        <f>IFERROR(GETPIVOTDATA("Sum of "&amp;AH$9,'PT-All'!$A$1,"Scenario",IF(AH$12="Forecast",AH$11,AH$12),"P&amp;L Item",$B15),0)</f>
        <v>0</v>
      </c>
      <c r="AI15" s="592">
        <f>IFERROR(GETPIVOTDATA("Sum of "&amp;AI$9,'PT-All'!$A$1,"Scenario",IF(AI$12="Forecast",AI$11,AI$12),"P&amp;L Item",$B15),0)</f>
        <v>0</v>
      </c>
      <c r="AJ15" s="592">
        <f>IFERROR(GETPIVOTDATA("Sum of "&amp;AJ$9,'PT-All'!$A$1,"Scenario",IF(AJ$12="Forecast",AJ$11,AJ$12),"P&amp;L Item",$B15),0)</f>
        <v>0</v>
      </c>
      <c r="AK15" s="592">
        <f>IFERROR(GETPIVOTDATA("Sum of "&amp;AK$9,'PT-All'!$A$1,"Scenario",IF(AK$12="Forecast",AK$11,AK$12),"P&amp;L Item",$B15),0)</f>
        <v>0</v>
      </c>
      <c r="AL15" s="593">
        <f>IFERROR(GETPIVOTDATA("Sum of "&amp;AL$9,'PT-All'!$A$1,"Scenario",IF(AL$12="Forecast",AL$11,AL$12),"P&amp;L Item",$B15),0)</f>
        <v>0</v>
      </c>
      <c r="AM15" s="590"/>
      <c r="AN15" s="594">
        <f ca="1">IF(IF(AN$12="Forecast",AN$11,AN$12)="Pro Forma",SUM(OFFSET($B15,0,3*AN$9+1,1,3)),IFERROR(GETPIVOTDATA("Sum of Q"&amp;AN$9+1,'PT-All'!$A$1,"Scenario",IF(AN$12="Forecast",AN$11,AN$12),"P&amp;L Item",$B15),0))</f>
        <v>0</v>
      </c>
      <c r="AO15" s="592">
        <f ca="1">IF(IF(AO$12="Forecast",AO$11,AO$12)="Pro Forma",SUM(OFFSET($B15,0,3*AO$9+1,1,3)),IFERROR(GETPIVOTDATA("Sum of Q"&amp;AO$9+1,'PT-All'!$A$1,"Scenario",IF(AO$12="Forecast",AO$11,AO$12),"P&amp;L Item",$B15),0))</f>
        <v>0</v>
      </c>
      <c r="AP15" s="592">
        <f ca="1">IF(IF(AP$12="Forecast",AP$11,AP$12)="Pro Forma",SUM(OFFSET($B15,0,3*AP$9+1,1,3)),IFERROR(GETPIVOTDATA("Sum of Q"&amp;AP$9+1,'PT-All'!$A$1,"Scenario",IF(AP$12="Forecast",AP$11,AP$12),"P&amp;L Item",$B15),0))</f>
        <v>0</v>
      </c>
      <c r="AQ15" s="592">
        <f ca="1">IF(IF(AQ$12="Forecast",AQ$11,AQ$12)="Pro Forma",SUM(OFFSET($B15,0,3*AQ$9+1,1,3)),IFERROR(GETPIVOTDATA("Sum of Q"&amp;AQ$9+1,'PT-All'!$A$1,"Scenario",IF(AQ$12="Forecast",AQ$11,AQ$12),"P&amp;L Item",$B15),0))</f>
        <v>0</v>
      </c>
      <c r="AR15" s="592">
        <f ca="1">IF(IF(AR$12="Forecast",AR$11,AR$12)="Pro Forma",SUM(OFFSET($B15,0,3*AR$9+1,1,3)),IFERROR(GETPIVOTDATA("Sum of Q"&amp;AR$9+1,'PT-All'!$A$1,"Scenario",IF(AR$12="Forecast",AR$11,AR$12),"P&amp;L Item",$B15),0))</f>
        <v>0</v>
      </c>
      <c r="AS15" s="592">
        <f ca="1">IF(IF(AS$12="Forecast",AS$11,AS$12)="Pro Forma",SUM(OFFSET($B15,0,3*AS$9+1,1,3)),IFERROR(GETPIVOTDATA("Sum of Q"&amp;AS$9+1,'PT-All'!$A$1,"Scenario",IF(AS$12="Forecast",AS$11,AS$12),"P&amp;L Item",$B15),0))</f>
        <v>0</v>
      </c>
      <c r="AT15" s="592">
        <f ca="1">IF(IF(AT$12="Forecast",AT$11,AT$12)="Pro Forma",SUM(OFFSET($B15,0,3*AT$9+1,1,3)),IFERROR(GETPIVOTDATA("Sum of Q"&amp;AT$9+1,'PT-All'!$A$1,"Scenario",IF(AT$12="Forecast",AT$11,AT$12),"P&amp;L Item",$B15),0))</f>
        <v>0</v>
      </c>
      <c r="AU15" s="592">
        <f ca="1">IF(IF(AU$12="Forecast",AU$11,AU$12)="Pro Forma",SUM(OFFSET($B15,0,3*AU$9+1,1,3)),IFERROR(GETPIVOTDATA("Sum of Q"&amp;AU$9+1,'PT-All'!$A$1,"Scenario",IF(AU$12="Forecast",AU$11,AU$12),"P&amp;L Item",$B15),0))</f>
        <v>0</v>
      </c>
      <c r="AV15" s="592">
        <f ca="1">IF(IF(AV$12="Forecast",AV$11,AV$12)="Pro Forma",SUM(OFFSET($B15,0,3*AV$9+1,1,3)),IFERROR(GETPIVOTDATA("Sum of Q"&amp;AV$9+1,'PT-All'!$A$1,"Scenario",IF(AV$12="Forecast",AV$11,AV$12),"P&amp;L Item",$B15),0))</f>
        <v>0</v>
      </c>
      <c r="AW15" s="592">
        <f ca="1">IF(IF(AW$12="Forecast",AW$11,AW$12)="Pro Forma",SUM(OFFSET($B15,0,3*AW$9+1,1,3)),IFERROR(GETPIVOTDATA("Sum of Q"&amp;AW$9+1,'PT-All'!$A$1,"Scenario",IF(AW$12="Forecast",AW$11,AW$12),"P&amp;L Item",$B15),0))</f>
        <v>0</v>
      </c>
      <c r="AX15" s="592">
        <f ca="1">IF(IF(AX$12="Forecast",AX$11,AX$12)="Pro Forma",SUM(OFFSET($B15,0,3*AX$9+1,1,3)),IFERROR(GETPIVOTDATA("Sum of Q"&amp;AX$9+1,'PT-All'!$A$1,"Scenario",IF(AX$12="Forecast",AX$11,AX$12),"P&amp;L Item",$B15),0))</f>
        <v>0</v>
      </c>
      <c r="AY15" s="593">
        <f ca="1">IF(IF(AY$12="Forecast",AY$11,AY$12)="Pro Forma",SUM(OFFSET($B15,0,3*AY$9+1,1,3)),IFERROR(GETPIVOTDATA("Sum of Q"&amp;AY$9+1,'PT-All'!$A$1,"Scenario",IF(AY$12="Forecast",AY$11,AY$12),"P&amp;L Item",$B15),0))</f>
        <v>0</v>
      </c>
      <c r="AZ15" s="590"/>
      <c r="BA15" s="594">
        <f ca="1">IF(IF(BA$12="Forecast",BA$11,BA$12)="Pro Forma",SUM(OFFSET($B15,0,12*BA$9+1,1,12)),IFERROR(GETPIVOTDATA("Sum of FY"&amp;BA$9+1,'PT-All'!$A$1,"Scenario",IF(BA$12="Forecast",BA$11,BA$12),"P&amp;L Item",$B15),0))</f>
        <v>0</v>
      </c>
      <c r="BB15" s="592">
        <f ca="1">IF(IF(BB$12="Forecast",BB$11,BB$12)="Pro Forma",SUM(OFFSET($B15,0,12*BB$9+1,1,12)),IFERROR(GETPIVOTDATA("Sum of FY"&amp;BB$9+1,'PT-All'!$A$1,"Scenario",IF(BB$12="Forecast",BB$11,BB$12),"P&amp;L Item",$B15),0))</f>
        <v>0</v>
      </c>
      <c r="BC15" s="593">
        <f ca="1">IF(IF(BC$12="Forecast",BC$11,BC$12)="Pro Forma",SUM(OFFSET($B15,0,12*BC$9+1,1,12)),IFERROR(GETPIVOTDATA("Sum of FY"&amp;BC$9+1,'PT-All'!$A$1,"Scenario",IF(BC$12="Forecast",BC$11,BC$12),"P&amp;L Item",$B15),0))</f>
        <v>0</v>
      </c>
    </row>
    <row r="16" spans="2:55" x14ac:dyDescent="0.35">
      <c r="B16" s="356" t="s">
        <v>3</v>
      </c>
      <c r="C16" s="592">
        <f>IFERROR(GETPIVOTDATA("Sum of "&amp;C$9,'PT-All'!$A$1,"Scenario",IF(C$12="Forecast",C$11,C$12),"P&amp;L Item",$B16),0)</f>
        <v>0</v>
      </c>
      <c r="D16" s="592">
        <f>IFERROR(GETPIVOTDATA("Sum of "&amp;D$9,'PT-All'!$A$1,"Scenario",IF(D$12="Forecast",D$11,D$12),"P&amp;L Item",$B16),0)</f>
        <v>0</v>
      </c>
      <c r="E16" s="592">
        <f>IFERROR(GETPIVOTDATA("Sum of "&amp;E$9,'PT-All'!$A$1,"Scenario",IF(E$12="Forecast",E$11,E$12),"P&amp;L Item",$B16),0)</f>
        <v>0</v>
      </c>
      <c r="F16" s="592">
        <f>IFERROR(GETPIVOTDATA("Sum of "&amp;F$9,'PT-All'!$A$1,"Scenario",IF(F$12="Forecast",F$11,F$12),"P&amp;L Item",$B16),0)</f>
        <v>0</v>
      </c>
      <c r="G16" s="592">
        <f>IFERROR(GETPIVOTDATA("Sum of "&amp;G$9,'PT-All'!$A$1,"Scenario",IF(G$12="Forecast",G$11,G$12),"P&amp;L Item",$B16),0)</f>
        <v>0</v>
      </c>
      <c r="H16" s="592">
        <f>IFERROR(GETPIVOTDATA("Sum of "&amp;H$9,'PT-All'!$A$1,"Scenario",IF(H$12="Forecast",H$11,H$12),"P&amp;L Item",$B16),0)</f>
        <v>0</v>
      </c>
      <c r="I16" s="592">
        <f>IFERROR(GETPIVOTDATA("Sum of "&amp;I$9,'PT-All'!$A$1,"Scenario",IF(I$12="Forecast",I$11,I$12),"P&amp;L Item",$B16),0)</f>
        <v>0</v>
      </c>
      <c r="J16" s="592">
        <f>IFERROR(GETPIVOTDATA("Sum of "&amp;J$9,'PT-All'!$A$1,"Scenario",IF(J$12="Forecast",J$11,J$12),"P&amp;L Item",$B16),0)</f>
        <v>0</v>
      </c>
      <c r="K16" s="592">
        <f>IFERROR(GETPIVOTDATA("Sum of "&amp;K$9,'PT-All'!$A$1,"Scenario",IF(K$12="Forecast",K$11,K$12),"P&amp;L Item",$B16),0)</f>
        <v>0</v>
      </c>
      <c r="L16" s="592">
        <f>IFERROR(GETPIVOTDATA("Sum of "&amp;L$9,'PT-All'!$A$1,"Scenario",IF(L$12="Forecast",L$11,L$12),"P&amp;L Item",$B16),0)</f>
        <v>0</v>
      </c>
      <c r="M16" s="592">
        <f>IFERROR(GETPIVOTDATA("Sum of "&amp;M$9,'PT-All'!$A$1,"Scenario",IF(M$12="Forecast",M$11,M$12),"P&amp;L Item",$B16),0)</f>
        <v>0</v>
      </c>
      <c r="N16" s="592">
        <f>IFERROR(GETPIVOTDATA("Sum of "&amp;N$9,'PT-All'!$A$1,"Scenario",IF(N$12="Forecast",N$11,N$12),"P&amp;L Item",$B16),0)</f>
        <v>0</v>
      </c>
      <c r="O16" s="592">
        <f>IFERROR(GETPIVOTDATA("Sum of "&amp;O$9,'PT-All'!$A$1,"Scenario",IF(O$12="Forecast",O$11,O$12),"P&amp;L Item",$B16),0)</f>
        <v>0</v>
      </c>
      <c r="P16" s="592">
        <f>IFERROR(GETPIVOTDATA("Sum of "&amp;P$9,'PT-All'!$A$1,"Scenario",IF(P$12="Forecast",P$11,P$12),"P&amp;L Item",$B16),0)</f>
        <v>0</v>
      </c>
      <c r="Q16" s="592">
        <f>IFERROR(GETPIVOTDATA("Sum of "&amp;Q$9,'PT-All'!$A$1,"Scenario",IF(Q$12="Forecast",Q$11,Q$12),"P&amp;L Item",$B16),0)</f>
        <v>0</v>
      </c>
      <c r="R16" s="592">
        <f>IFERROR(GETPIVOTDATA("Sum of "&amp;R$9,'PT-All'!$A$1,"Scenario",IF(R$12="Forecast",R$11,R$12),"P&amp;L Item",$B16),0)</f>
        <v>0</v>
      </c>
      <c r="S16" s="592">
        <f>IFERROR(GETPIVOTDATA("Sum of "&amp;S$9,'PT-All'!$A$1,"Scenario",IF(S$12="Forecast",S$11,S$12),"P&amp;L Item",$B16),0)</f>
        <v>0</v>
      </c>
      <c r="T16" s="592">
        <f>IFERROR(GETPIVOTDATA("Sum of "&amp;T$9,'PT-All'!$A$1,"Scenario",IF(T$12="Forecast",T$11,T$12),"P&amp;L Item",$B16),0)</f>
        <v>0</v>
      </c>
      <c r="U16" s="592">
        <f>IFERROR(GETPIVOTDATA("Sum of "&amp;U$9,'PT-All'!$A$1,"Scenario",IF(U$12="Forecast",U$11,U$12),"P&amp;L Item",$B16),0)</f>
        <v>0</v>
      </c>
      <c r="V16" s="592">
        <f>IFERROR(GETPIVOTDATA("Sum of "&amp;V$9,'PT-All'!$A$1,"Scenario",IF(V$12="Forecast",V$11,V$12),"P&amp;L Item",$B16),0)</f>
        <v>0</v>
      </c>
      <c r="W16" s="592">
        <f>IFERROR(GETPIVOTDATA("Sum of "&amp;W$9,'PT-All'!$A$1,"Scenario",IF(W$12="Forecast",W$11,W$12),"P&amp;L Item",$B16),0)</f>
        <v>0</v>
      </c>
      <c r="X16" s="592">
        <f>IFERROR(GETPIVOTDATA("Sum of "&amp;X$9,'PT-All'!$A$1,"Scenario",IF(X$12="Forecast",X$11,X$12),"P&amp;L Item",$B16),0)</f>
        <v>0</v>
      </c>
      <c r="Y16" s="592">
        <f>IFERROR(GETPIVOTDATA("Sum of "&amp;Y$9,'PT-All'!$A$1,"Scenario",IF(Y$12="Forecast",Y$11,Y$12),"P&amp;L Item",$B16),0)</f>
        <v>0</v>
      </c>
      <c r="Z16" s="592">
        <f>IFERROR(GETPIVOTDATA("Sum of "&amp;Z$9,'PT-All'!$A$1,"Scenario",IF(Z$12="Forecast",Z$11,Z$12),"P&amp;L Item",$B16),0)</f>
        <v>0</v>
      </c>
      <c r="AA16" s="592">
        <f>IFERROR(GETPIVOTDATA("Sum of "&amp;AA$9,'PT-All'!$A$1,"Scenario",IF(AA$12="Forecast",AA$11,AA$12),"P&amp;L Item",$B16),0)</f>
        <v>0</v>
      </c>
      <c r="AB16" s="592">
        <f>IFERROR(GETPIVOTDATA("Sum of "&amp;AB$9,'PT-All'!$A$1,"Scenario",IF(AB$12="Forecast",AB$11,AB$12),"P&amp;L Item",$B16),0)</f>
        <v>0</v>
      </c>
      <c r="AC16" s="592">
        <f>IFERROR(GETPIVOTDATA("Sum of "&amp;AC$9,'PT-All'!$A$1,"Scenario",IF(AC$12="Forecast",AC$11,AC$12),"P&amp;L Item",$B16),0)</f>
        <v>0</v>
      </c>
      <c r="AD16" s="592">
        <f>IFERROR(GETPIVOTDATA("Sum of "&amp;AD$9,'PT-All'!$A$1,"Scenario",IF(AD$12="Forecast",AD$11,AD$12),"P&amp;L Item",$B16),0)</f>
        <v>0</v>
      </c>
      <c r="AE16" s="592">
        <f>IFERROR(GETPIVOTDATA("Sum of "&amp;AE$9,'PT-All'!$A$1,"Scenario",IF(AE$12="Forecast",AE$11,AE$12),"P&amp;L Item",$B16),0)</f>
        <v>0</v>
      </c>
      <c r="AF16" s="592">
        <f>IFERROR(GETPIVOTDATA("Sum of "&amp;AF$9,'PT-All'!$A$1,"Scenario",IF(AF$12="Forecast",AF$11,AF$12),"P&amp;L Item",$B16),0)</f>
        <v>0</v>
      </c>
      <c r="AG16" s="592">
        <f>IFERROR(GETPIVOTDATA("Sum of "&amp;AG$9,'PT-All'!$A$1,"Scenario",IF(AG$12="Forecast",AG$11,AG$12),"P&amp;L Item",$B16),0)</f>
        <v>0</v>
      </c>
      <c r="AH16" s="592">
        <f>IFERROR(GETPIVOTDATA("Sum of "&amp;AH$9,'PT-All'!$A$1,"Scenario",IF(AH$12="Forecast",AH$11,AH$12),"P&amp;L Item",$B16),0)</f>
        <v>0</v>
      </c>
      <c r="AI16" s="592">
        <f>IFERROR(GETPIVOTDATA("Sum of "&amp;AI$9,'PT-All'!$A$1,"Scenario",IF(AI$12="Forecast",AI$11,AI$12),"P&amp;L Item",$B16),0)</f>
        <v>0</v>
      </c>
      <c r="AJ16" s="592">
        <f>IFERROR(GETPIVOTDATA("Sum of "&amp;AJ$9,'PT-All'!$A$1,"Scenario",IF(AJ$12="Forecast",AJ$11,AJ$12),"P&amp;L Item",$B16),0)</f>
        <v>0</v>
      </c>
      <c r="AK16" s="592">
        <f>IFERROR(GETPIVOTDATA("Sum of "&amp;AK$9,'PT-All'!$A$1,"Scenario",IF(AK$12="Forecast",AK$11,AK$12),"P&amp;L Item",$B16),0)</f>
        <v>0</v>
      </c>
      <c r="AL16" s="593">
        <f>IFERROR(GETPIVOTDATA("Sum of "&amp;AL$9,'PT-All'!$A$1,"Scenario",IF(AL$12="Forecast",AL$11,AL$12),"P&amp;L Item",$B16),0)</f>
        <v>0</v>
      </c>
      <c r="AM16" s="590"/>
      <c r="AN16" s="594">
        <f ca="1">IF(IF(AN$12="Forecast",AN$11,AN$12)="Pro Forma",SUM(OFFSET($B16,0,3*AN$9+1,1,3)),IFERROR(GETPIVOTDATA("Sum of Q"&amp;AN$9+1,'PT-All'!$A$1,"Scenario",IF(AN$12="Forecast",AN$11,AN$12),"P&amp;L Item",$B16),0))</f>
        <v>0</v>
      </c>
      <c r="AO16" s="592">
        <f ca="1">IF(IF(AO$12="Forecast",AO$11,AO$12)="Pro Forma",SUM(OFFSET($B16,0,3*AO$9+1,1,3)),IFERROR(GETPIVOTDATA("Sum of Q"&amp;AO$9+1,'PT-All'!$A$1,"Scenario",IF(AO$12="Forecast",AO$11,AO$12),"P&amp;L Item",$B16),0))</f>
        <v>0</v>
      </c>
      <c r="AP16" s="592">
        <f ca="1">IF(IF(AP$12="Forecast",AP$11,AP$12)="Pro Forma",SUM(OFFSET($B16,0,3*AP$9+1,1,3)),IFERROR(GETPIVOTDATA("Sum of Q"&amp;AP$9+1,'PT-All'!$A$1,"Scenario",IF(AP$12="Forecast",AP$11,AP$12),"P&amp;L Item",$B16),0))</f>
        <v>0</v>
      </c>
      <c r="AQ16" s="592">
        <f ca="1">IF(IF(AQ$12="Forecast",AQ$11,AQ$12)="Pro Forma",SUM(OFFSET($B16,0,3*AQ$9+1,1,3)),IFERROR(GETPIVOTDATA("Sum of Q"&amp;AQ$9+1,'PT-All'!$A$1,"Scenario",IF(AQ$12="Forecast",AQ$11,AQ$12),"P&amp;L Item",$B16),0))</f>
        <v>0</v>
      </c>
      <c r="AR16" s="592">
        <f ca="1">IF(IF(AR$12="Forecast",AR$11,AR$12)="Pro Forma",SUM(OFFSET($B16,0,3*AR$9+1,1,3)),IFERROR(GETPIVOTDATA("Sum of Q"&amp;AR$9+1,'PT-All'!$A$1,"Scenario",IF(AR$12="Forecast",AR$11,AR$12),"P&amp;L Item",$B16),0))</f>
        <v>0</v>
      </c>
      <c r="AS16" s="592">
        <f ca="1">IF(IF(AS$12="Forecast",AS$11,AS$12)="Pro Forma",SUM(OFFSET($B16,0,3*AS$9+1,1,3)),IFERROR(GETPIVOTDATA("Sum of Q"&amp;AS$9+1,'PT-All'!$A$1,"Scenario",IF(AS$12="Forecast",AS$11,AS$12),"P&amp;L Item",$B16),0))</f>
        <v>0</v>
      </c>
      <c r="AT16" s="592">
        <f ca="1">IF(IF(AT$12="Forecast",AT$11,AT$12)="Pro Forma",SUM(OFFSET($B16,0,3*AT$9+1,1,3)),IFERROR(GETPIVOTDATA("Sum of Q"&amp;AT$9+1,'PT-All'!$A$1,"Scenario",IF(AT$12="Forecast",AT$11,AT$12),"P&amp;L Item",$B16),0))</f>
        <v>0</v>
      </c>
      <c r="AU16" s="592">
        <f ca="1">IF(IF(AU$12="Forecast",AU$11,AU$12)="Pro Forma",SUM(OFFSET($B16,0,3*AU$9+1,1,3)),IFERROR(GETPIVOTDATA("Sum of Q"&amp;AU$9+1,'PT-All'!$A$1,"Scenario",IF(AU$12="Forecast",AU$11,AU$12),"P&amp;L Item",$B16),0))</f>
        <v>0</v>
      </c>
      <c r="AV16" s="592">
        <f ca="1">IF(IF(AV$12="Forecast",AV$11,AV$12)="Pro Forma",SUM(OFFSET($B16,0,3*AV$9+1,1,3)),IFERROR(GETPIVOTDATA("Sum of Q"&amp;AV$9+1,'PT-All'!$A$1,"Scenario",IF(AV$12="Forecast",AV$11,AV$12),"P&amp;L Item",$B16),0))</f>
        <v>0</v>
      </c>
      <c r="AW16" s="592">
        <f ca="1">IF(IF(AW$12="Forecast",AW$11,AW$12)="Pro Forma",SUM(OFFSET($B16,0,3*AW$9+1,1,3)),IFERROR(GETPIVOTDATA("Sum of Q"&amp;AW$9+1,'PT-All'!$A$1,"Scenario",IF(AW$12="Forecast",AW$11,AW$12),"P&amp;L Item",$B16),0))</f>
        <v>0</v>
      </c>
      <c r="AX16" s="592">
        <f ca="1">IF(IF(AX$12="Forecast",AX$11,AX$12)="Pro Forma",SUM(OFFSET($B16,0,3*AX$9+1,1,3)),IFERROR(GETPIVOTDATA("Sum of Q"&amp;AX$9+1,'PT-All'!$A$1,"Scenario",IF(AX$12="Forecast",AX$11,AX$12),"P&amp;L Item",$B16),0))</f>
        <v>0</v>
      </c>
      <c r="AY16" s="593">
        <f ca="1">IF(IF(AY$12="Forecast",AY$11,AY$12)="Pro Forma",SUM(OFFSET($B16,0,3*AY$9+1,1,3)),IFERROR(GETPIVOTDATA("Sum of Q"&amp;AY$9+1,'PT-All'!$A$1,"Scenario",IF(AY$12="Forecast",AY$11,AY$12),"P&amp;L Item",$B16),0))</f>
        <v>0</v>
      </c>
      <c r="AZ16" s="590"/>
      <c r="BA16" s="594">
        <f ca="1">IF(IF(BA$12="Forecast",BA$11,BA$12)="Pro Forma",SUM(OFFSET($B16,0,12*BA$9+1,1,12)),IFERROR(GETPIVOTDATA("Sum of FY"&amp;BA$9+1,'PT-All'!$A$1,"Scenario",IF(BA$12="Forecast",BA$11,BA$12),"P&amp;L Item",$B16),0))</f>
        <v>0</v>
      </c>
      <c r="BB16" s="592">
        <f ca="1">IF(IF(BB$12="Forecast",BB$11,BB$12)="Pro Forma",SUM(OFFSET($B16,0,12*BB$9+1,1,12)),IFERROR(GETPIVOTDATA("Sum of FY"&amp;BB$9+1,'PT-All'!$A$1,"Scenario",IF(BB$12="Forecast",BB$11,BB$12),"P&amp;L Item",$B16),0))</f>
        <v>0</v>
      </c>
      <c r="BC16" s="593">
        <f ca="1">IF(IF(BC$12="Forecast",BC$11,BC$12)="Pro Forma",SUM(OFFSET($B16,0,12*BC$9+1,1,12)),IFERROR(GETPIVOTDATA("Sum of FY"&amp;BC$9+1,'PT-All'!$A$1,"Scenario",IF(BC$12="Forecast",BC$11,BC$12),"P&amp;L Item",$B16),0))</f>
        <v>0</v>
      </c>
    </row>
    <row r="17" spans="2:55" x14ac:dyDescent="0.35">
      <c r="B17" s="356" t="s">
        <v>4</v>
      </c>
      <c r="C17" s="592">
        <f>IFERROR(GETPIVOTDATA("Sum of "&amp;C$9,'PT-All'!$A$1,"Scenario",IF(C$12="Forecast",C$11,C$12),"P&amp;L Item",$B17),0)</f>
        <v>0</v>
      </c>
      <c r="D17" s="592">
        <f>IFERROR(GETPIVOTDATA("Sum of "&amp;D$9,'PT-All'!$A$1,"Scenario",IF(D$12="Forecast",D$11,D$12),"P&amp;L Item",$B17),0)</f>
        <v>0</v>
      </c>
      <c r="E17" s="592">
        <f>IFERROR(GETPIVOTDATA("Sum of "&amp;E$9,'PT-All'!$A$1,"Scenario",IF(E$12="Forecast",E$11,E$12),"P&amp;L Item",$B17),0)</f>
        <v>0</v>
      </c>
      <c r="F17" s="592">
        <f>IFERROR(GETPIVOTDATA("Sum of "&amp;F$9,'PT-All'!$A$1,"Scenario",IF(F$12="Forecast",F$11,F$12),"P&amp;L Item",$B17),0)</f>
        <v>0</v>
      </c>
      <c r="G17" s="592">
        <f>IFERROR(GETPIVOTDATA("Sum of "&amp;G$9,'PT-All'!$A$1,"Scenario",IF(G$12="Forecast",G$11,G$12),"P&amp;L Item",$B17),0)</f>
        <v>0</v>
      </c>
      <c r="H17" s="592">
        <f>IFERROR(GETPIVOTDATA("Sum of "&amp;H$9,'PT-All'!$A$1,"Scenario",IF(H$12="Forecast",H$11,H$12),"P&amp;L Item",$B17),0)</f>
        <v>0</v>
      </c>
      <c r="I17" s="592">
        <f>IFERROR(GETPIVOTDATA("Sum of "&amp;I$9,'PT-All'!$A$1,"Scenario",IF(I$12="Forecast",I$11,I$12),"P&amp;L Item",$B17),0)</f>
        <v>0</v>
      </c>
      <c r="J17" s="592">
        <f>IFERROR(GETPIVOTDATA("Sum of "&amp;J$9,'PT-All'!$A$1,"Scenario",IF(J$12="Forecast",J$11,J$12),"P&amp;L Item",$B17),0)</f>
        <v>0</v>
      </c>
      <c r="K17" s="592">
        <f>IFERROR(GETPIVOTDATA("Sum of "&amp;K$9,'PT-All'!$A$1,"Scenario",IF(K$12="Forecast",K$11,K$12),"P&amp;L Item",$B17),0)</f>
        <v>0</v>
      </c>
      <c r="L17" s="592">
        <f>IFERROR(GETPIVOTDATA("Sum of "&amp;L$9,'PT-All'!$A$1,"Scenario",IF(L$12="Forecast",L$11,L$12),"P&amp;L Item",$B17),0)</f>
        <v>0</v>
      </c>
      <c r="M17" s="592">
        <f>IFERROR(GETPIVOTDATA("Sum of "&amp;M$9,'PT-All'!$A$1,"Scenario",IF(M$12="Forecast",M$11,M$12),"P&amp;L Item",$B17),0)</f>
        <v>0</v>
      </c>
      <c r="N17" s="592">
        <f>IFERROR(GETPIVOTDATA("Sum of "&amp;N$9,'PT-All'!$A$1,"Scenario",IF(N$12="Forecast",N$11,N$12),"P&amp;L Item",$B17),0)</f>
        <v>0</v>
      </c>
      <c r="O17" s="592">
        <f>IFERROR(GETPIVOTDATA("Sum of "&amp;O$9,'PT-All'!$A$1,"Scenario",IF(O$12="Forecast",O$11,O$12),"P&amp;L Item",$B17),0)</f>
        <v>0</v>
      </c>
      <c r="P17" s="592">
        <f>IFERROR(GETPIVOTDATA("Sum of "&amp;P$9,'PT-All'!$A$1,"Scenario",IF(P$12="Forecast",P$11,P$12),"P&amp;L Item",$B17),0)</f>
        <v>0</v>
      </c>
      <c r="Q17" s="592">
        <f>IFERROR(GETPIVOTDATA("Sum of "&amp;Q$9,'PT-All'!$A$1,"Scenario",IF(Q$12="Forecast",Q$11,Q$12),"P&amp;L Item",$B17),0)</f>
        <v>0</v>
      </c>
      <c r="R17" s="592">
        <f>IFERROR(GETPIVOTDATA("Sum of "&amp;R$9,'PT-All'!$A$1,"Scenario",IF(R$12="Forecast",R$11,R$12),"P&amp;L Item",$B17),0)</f>
        <v>0</v>
      </c>
      <c r="S17" s="592">
        <f>IFERROR(GETPIVOTDATA("Sum of "&amp;S$9,'PT-All'!$A$1,"Scenario",IF(S$12="Forecast",S$11,S$12),"P&amp;L Item",$B17),0)</f>
        <v>0</v>
      </c>
      <c r="T17" s="592">
        <f>IFERROR(GETPIVOTDATA("Sum of "&amp;T$9,'PT-All'!$A$1,"Scenario",IF(T$12="Forecast",T$11,T$12),"P&amp;L Item",$B17),0)</f>
        <v>0</v>
      </c>
      <c r="U17" s="592">
        <f>IFERROR(GETPIVOTDATA("Sum of "&amp;U$9,'PT-All'!$A$1,"Scenario",IF(U$12="Forecast",U$11,U$12),"P&amp;L Item",$B17),0)</f>
        <v>0</v>
      </c>
      <c r="V17" s="592">
        <f>IFERROR(GETPIVOTDATA("Sum of "&amp;V$9,'PT-All'!$A$1,"Scenario",IF(V$12="Forecast",V$11,V$12),"P&amp;L Item",$B17),0)</f>
        <v>0</v>
      </c>
      <c r="W17" s="592">
        <f>IFERROR(GETPIVOTDATA("Sum of "&amp;W$9,'PT-All'!$A$1,"Scenario",IF(W$12="Forecast",W$11,W$12),"P&amp;L Item",$B17),0)</f>
        <v>0</v>
      </c>
      <c r="X17" s="592">
        <f>IFERROR(GETPIVOTDATA("Sum of "&amp;X$9,'PT-All'!$A$1,"Scenario",IF(X$12="Forecast",X$11,X$12),"P&amp;L Item",$B17),0)</f>
        <v>0</v>
      </c>
      <c r="Y17" s="592">
        <f>IFERROR(GETPIVOTDATA("Sum of "&amp;Y$9,'PT-All'!$A$1,"Scenario",IF(Y$12="Forecast",Y$11,Y$12),"P&amp;L Item",$B17),0)</f>
        <v>0</v>
      </c>
      <c r="Z17" s="592">
        <f>IFERROR(GETPIVOTDATA("Sum of "&amp;Z$9,'PT-All'!$A$1,"Scenario",IF(Z$12="Forecast",Z$11,Z$12),"P&amp;L Item",$B17),0)</f>
        <v>0</v>
      </c>
      <c r="AA17" s="592">
        <f>IFERROR(GETPIVOTDATA("Sum of "&amp;AA$9,'PT-All'!$A$1,"Scenario",IF(AA$12="Forecast",AA$11,AA$12),"P&amp;L Item",$B17),0)</f>
        <v>0</v>
      </c>
      <c r="AB17" s="592">
        <f>IFERROR(GETPIVOTDATA("Sum of "&amp;AB$9,'PT-All'!$A$1,"Scenario",IF(AB$12="Forecast",AB$11,AB$12),"P&amp;L Item",$B17),0)</f>
        <v>0</v>
      </c>
      <c r="AC17" s="592">
        <f>IFERROR(GETPIVOTDATA("Sum of "&amp;AC$9,'PT-All'!$A$1,"Scenario",IF(AC$12="Forecast",AC$11,AC$12),"P&amp;L Item",$B17),0)</f>
        <v>0</v>
      </c>
      <c r="AD17" s="592">
        <f>IFERROR(GETPIVOTDATA("Sum of "&amp;AD$9,'PT-All'!$A$1,"Scenario",IF(AD$12="Forecast",AD$11,AD$12),"P&amp;L Item",$B17),0)</f>
        <v>0</v>
      </c>
      <c r="AE17" s="592">
        <f>IFERROR(GETPIVOTDATA("Sum of "&amp;AE$9,'PT-All'!$A$1,"Scenario",IF(AE$12="Forecast",AE$11,AE$12),"P&amp;L Item",$B17),0)</f>
        <v>0</v>
      </c>
      <c r="AF17" s="592">
        <f>IFERROR(GETPIVOTDATA("Sum of "&amp;AF$9,'PT-All'!$A$1,"Scenario",IF(AF$12="Forecast",AF$11,AF$12),"P&amp;L Item",$B17),0)</f>
        <v>0</v>
      </c>
      <c r="AG17" s="592">
        <f>IFERROR(GETPIVOTDATA("Sum of "&amp;AG$9,'PT-All'!$A$1,"Scenario",IF(AG$12="Forecast",AG$11,AG$12),"P&amp;L Item",$B17),0)</f>
        <v>0</v>
      </c>
      <c r="AH17" s="592">
        <f>IFERROR(GETPIVOTDATA("Sum of "&amp;AH$9,'PT-All'!$A$1,"Scenario",IF(AH$12="Forecast",AH$11,AH$12),"P&amp;L Item",$B17),0)</f>
        <v>0</v>
      </c>
      <c r="AI17" s="592">
        <f>IFERROR(GETPIVOTDATA("Sum of "&amp;AI$9,'PT-All'!$A$1,"Scenario",IF(AI$12="Forecast",AI$11,AI$12),"P&amp;L Item",$B17),0)</f>
        <v>0</v>
      </c>
      <c r="AJ17" s="592">
        <f>IFERROR(GETPIVOTDATA("Sum of "&amp;AJ$9,'PT-All'!$A$1,"Scenario",IF(AJ$12="Forecast",AJ$11,AJ$12),"P&amp;L Item",$B17),0)</f>
        <v>0</v>
      </c>
      <c r="AK17" s="592">
        <f>IFERROR(GETPIVOTDATA("Sum of "&amp;AK$9,'PT-All'!$A$1,"Scenario",IF(AK$12="Forecast",AK$11,AK$12),"P&amp;L Item",$B17),0)</f>
        <v>0</v>
      </c>
      <c r="AL17" s="593">
        <f>IFERROR(GETPIVOTDATA("Sum of "&amp;AL$9,'PT-All'!$A$1,"Scenario",IF(AL$12="Forecast",AL$11,AL$12),"P&amp;L Item",$B17),0)</f>
        <v>0</v>
      </c>
      <c r="AM17" s="590"/>
      <c r="AN17" s="594">
        <f ca="1">IF(IF(AN$12="Forecast",AN$11,AN$12)="Pro Forma",SUM(OFFSET($B17,0,3*AN$9+1,1,3)),IFERROR(GETPIVOTDATA("Sum of Q"&amp;AN$9+1,'PT-All'!$A$1,"Scenario",IF(AN$12="Forecast",AN$11,AN$12),"P&amp;L Item",$B17),0))</f>
        <v>0</v>
      </c>
      <c r="AO17" s="592">
        <f ca="1">IF(IF(AO$12="Forecast",AO$11,AO$12)="Pro Forma",SUM(OFFSET($B17,0,3*AO$9+1,1,3)),IFERROR(GETPIVOTDATA("Sum of Q"&amp;AO$9+1,'PT-All'!$A$1,"Scenario",IF(AO$12="Forecast",AO$11,AO$12),"P&amp;L Item",$B17),0))</f>
        <v>0</v>
      </c>
      <c r="AP17" s="592">
        <f ca="1">IF(IF(AP$12="Forecast",AP$11,AP$12)="Pro Forma",SUM(OFFSET($B17,0,3*AP$9+1,1,3)),IFERROR(GETPIVOTDATA("Sum of Q"&amp;AP$9+1,'PT-All'!$A$1,"Scenario",IF(AP$12="Forecast",AP$11,AP$12),"P&amp;L Item",$B17),0))</f>
        <v>0</v>
      </c>
      <c r="AQ17" s="592">
        <f ca="1">IF(IF(AQ$12="Forecast",AQ$11,AQ$12)="Pro Forma",SUM(OFFSET($B17,0,3*AQ$9+1,1,3)),IFERROR(GETPIVOTDATA("Sum of Q"&amp;AQ$9+1,'PT-All'!$A$1,"Scenario",IF(AQ$12="Forecast",AQ$11,AQ$12),"P&amp;L Item",$B17),0))</f>
        <v>0</v>
      </c>
      <c r="AR17" s="592">
        <f ca="1">IF(IF(AR$12="Forecast",AR$11,AR$12)="Pro Forma",SUM(OFFSET($B17,0,3*AR$9+1,1,3)),IFERROR(GETPIVOTDATA("Sum of Q"&amp;AR$9+1,'PT-All'!$A$1,"Scenario",IF(AR$12="Forecast",AR$11,AR$12),"P&amp;L Item",$B17),0))</f>
        <v>0</v>
      </c>
      <c r="AS17" s="592">
        <f ca="1">IF(IF(AS$12="Forecast",AS$11,AS$12)="Pro Forma",SUM(OFFSET($B17,0,3*AS$9+1,1,3)),IFERROR(GETPIVOTDATA("Sum of Q"&amp;AS$9+1,'PT-All'!$A$1,"Scenario",IF(AS$12="Forecast",AS$11,AS$12),"P&amp;L Item",$B17),0))</f>
        <v>0</v>
      </c>
      <c r="AT17" s="592">
        <f ca="1">IF(IF(AT$12="Forecast",AT$11,AT$12)="Pro Forma",SUM(OFFSET($B17,0,3*AT$9+1,1,3)),IFERROR(GETPIVOTDATA("Sum of Q"&amp;AT$9+1,'PT-All'!$A$1,"Scenario",IF(AT$12="Forecast",AT$11,AT$12),"P&amp;L Item",$B17),0))</f>
        <v>0</v>
      </c>
      <c r="AU17" s="592">
        <f ca="1">IF(IF(AU$12="Forecast",AU$11,AU$12)="Pro Forma",SUM(OFFSET($B17,0,3*AU$9+1,1,3)),IFERROR(GETPIVOTDATA("Sum of Q"&amp;AU$9+1,'PT-All'!$A$1,"Scenario",IF(AU$12="Forecast",AU$11,AU$12),"P&amp;L Item",$B17),0))</f>
        <v>0</v>
      </c>
      <c r="AV17" s="592">
        <f ca="1">IF(IF(AV$12="Forecast",AV$11,AV$12)="Pro Forma",SUM(OFFSET($B17,0,3*AV$9+1,1,3)),IFERROR(GETPIVOTDATA("Sum of Q"&amp;AV$9+1,'PT-All'!$A$1,"Scenario",IF(AV$12="Forecast",AV$11,AV$12),"P&amp;L Item",$B17),0))</f>
        <v>0</v>
      </c>
      <c r="AW17" s="592">
        <f ca="1">IF(IF(AW$12="Forecast",AW$11,AW$12)="Pro Forma",SUM(OFFSET($B17,0,3*AW$9+1,1,3)),IFERROR(GETPIVOTDATA("Sum of Q"&amp;AW$9+1,'PT-All'!$A$1,"Scenario",IF(AW$12="Forecast",AW$11,AW$12),"P&amp;L Item",$B17),0))</f>
        <v>0</v>
      </c>
      <c r="AX17" s="592">
        <f ca="1">IF(IF(AX$12="Forecast",AX$11,AX$12)="Pro Forma",SUM(OFFSET($B17,0,3*AX$9+1,1,3)),IFERROR(GETPIVOTDATA("Sum of Q"&amp;AX$9+1,'PT-All'!$A$1,"Scenario",IF(AX$12="Forecast",AX$11,AX$12),"P&amp;L Item",$B17),0))</f>
        <v>0</v>
      </c>
      <c r="AY17" s="593">
        <f ca="1">IF(IF(AY$12="Forecast",AY$11,AY$12)="Pro Forma",SUM(OFFSET($B17,0,3*AY$9+1,1,3)),IFERROR(GETPIVOTDATA("Sum of Q"&amp;AY$9+1,'PT-All'!$A$1,"Scenario",IF(AY$12="Forecast",AY$11,AY$12),"P&amp;L Item",$B17),0))</f>
        <v>0</v>
      </c>
      <c r="AZ17" s="590"/>
      <c r="BA17" s="594">
        <f ca="1">IF(IF(BA$12="Forecast",BA$11,BA$12)="Pro Forma",SUM(OFFSET($B17,0,12*BA$9+1,1,12)),IFERROR(GETPIVOTDATA("Sum of FY"&amp;BA$9+1,'PT-All'!$A$1,"Scenario",IF(BA$12="Forecast",BA$11,BA$12),"P&amp;L Item",$B17),0))</f>
        <v>0</v>
      </c>
      <c r="BB17" s="592">
        <f ca="1">IF(IF(BB$12="Forecast",BB$11,BB$12)="Pro Forma",SUM(OFFSET($B17,0,12*BB$9+1,1,12)),IFERROR(GETPIVOTDATA("Sum of FY"&amp;BB$9+1,'PT-All'!$A$1,"Scenario",IF(BB$12="Forecast",BB$11,BB$12),"P&amp;L Item",$B17),0))</f>
        <v>0</v>
      </c>
      <c r="BC17" s="593">
        <f ca="1">IF(IF(BC$12="Forecast",BC$11,BC$12)="Pro Forma",SUM(OFFSET($B17,0,12*BC$9+1,1,12)),IFERROR(GETPIVOTDATA("Sum of FY"&amp;BC$9+1,'PT-All'!$A$1,"Scenario",IF(BC$12="Forecast",BC$11,BC$12),"P&amp;L Item",$B17),0))</f>
        <v>0</v>
      </c>
    </row>
    <row r="18" spans="2:55" x14ac:dyDescent="0.35">
      <c r="B18" s="356" t="s">
        <v>5</v>
      </c>
      <c r="C18" s="592">
        <f>IFERROR(GETPIVOTDATA("Sum of "&amp;C$9,'PT-All'!$A$1,"Scenario",IF(C$12="Forecast",C$11,C$12),"P&amp;L Item",$B18),0)</f>
        <v>0</v>
      </c>
      <c r="D18" s="592">
        <f>IFERROR(GETPIVOTDATA("Sum of "&amp;D$9,'PT-All'!$A$1,"Scenario",IF(D$12="Forecast",D$11,D$12),"P&amp;L Item",$B18),0)</f>
        <v>0</v>
      </c>
      <c r="E18" s="592">
        <f>IFERROR(GETPIVOTDATA("Sum of "&amp;E$9,'PT-All'!$A$1,"Scenario",IF(E$12="Forecast",E$11,E$12),"P&amp;L Item",$B18),0)</f>
        <v>0</v>
      </c>
      <c r="F18" s="592">
        <f>IFERROR(GETPIVOTDATA("Sum of "&amp;F$9,'PT-All'!$A$1,"Scenario",IF(F$12="Forecast",F$11,F$12),"P&amp;L Item",$B18),0)</f>
        <v>0</v>
      </c>
      <c r="G18" s="592">
        <f>IFERROR(GETPIVOTDATA("Sum of "&amp;G$9,'PT-All'!$A$1,"Scenario",IF(G$12="Forecast",G$11,G$12),"P&amp;L Item",$B18),0)</f>
        <v>0</v>
      </c>
      <c r="H18" s="592">
        <f>IFERROR(GETPIVOTDATA("Sum of "&amp;H$9,'PT-All'!$A$1,"Scenario",IF(H$12="Forecast",H$11,H$12),"P&amp;L Item",$B18),0)</f>
        <v>0</v>
      </c>
      <c r="I18" s="592">
        <f>IFERROR(GETPIVOTDATA("Sum of "&amp;I$9,'PT-All'!$A$1,"Scenario",IF(I$12="Forecast",I$11,I$12),"P&amp;L Item",$B18),0)</f>
        <v>0</v>
      </c>
      <c r="J18" s="592">
        <f>IFERROR(GETPIVOTDATA("Sum of "&amp;J$9,'PT-All'!$A$1,"Scenario",IF(J$12="Forecast",J$11,J$12),"P&amp;L Item",$B18),0)</f>
        <v>0</v>
      </c>
      <c r="K18" s="592">
        <f>IFERROR(GETPIVOTDATA("Sum of "&amp;K$9,'PT-All'!$A$1,"Scenario",IF(K$12="Forecast",K$11,K$12),"P&amp;L Item",$B18),0)</f>
        <v>0</v>
      </c>
      <c r="L18" s="592">
        <f>IFERROR(GETPIVOTDATA("Sum of "&amp;L$9,'PT-All'!$A$1,"Scenario",IF(L$12="Forecast",L$11,L$12),"P&amp;L Item",$B18),0)</f>
        <v>0</v>
      </c>
      <c r="M18" s="592">
        <f>IFERROR(GETPIVOTDATA("Sum of "&amp;M$9,'PT-All'!$A$1,"Scenario",IF(M$12="Forecast",M$11,M$12),"P&amp;L Item",$B18),0)</f>
        <v>0</v>
      </c>
      <c r="N18" s="592">
        <f>IFERROR(GETPIVOTDATA("Sum of "&amp;N$9,'PT-All'!$A$1,"Scenario",IF(N$12="Forecast",N$11,N$12),"P&amp;L Item",$B18),0)</f>
        <v>0</v>
      </c>
      <c r="O18" s="592">
        <f>IFERROR(GETPIVOTDATA("Sum of "&amp;O$9,'PT-All'!$A$1,"Scenario",IF(O$12="Forecast",O$11,O$12),"P&amp;L Item",$B18),0)</f>
        <v>0</v>
      </c>
      <c r="P18" s="592">
        <f>IFERROR(GETPIVOTDATA("Sum of "&amp;P$9,'PT-All'!$A$1,"Scenario",IF(P$12="Forecast",P$11,P$12),"P&amp;L Item",$B18),0)</f>
        <v>0</v>
      </c>
      <c r="Q18" s="592">
        <f>IFERROR(GETPIVOTDATA("Sum of "&amp;Q$9,'PT-All'!$A$1,"Scenario",IF(Q$12="Forecast",Q$11,Q$12),"P&amp;L Item",$B18),0)</f>
        <v>0</v>
      </c>
      <c r="R18" s="592">
        <f>IFERROR(GETPIVOTDATA("Sum of "&amp;R$9,'PT-All'!$A$1,"Scenario",IF(R$12="Forecast",R$11,R$12),"P&amp;L Item",$B18),0)</f>
        <v>0</v>
      </c>
      <c r="S18" s="592">
        <f>IFERROR(GETPIVOTDATA("Sum of "&amp;S$9,'PT-All'!$A$1,"Scenario",IF(S$12="Forecast",S$11,S$12),"P&amp;L Item",$B18),0)</f>
        <v>0</v>
      </c>
      <c r="T18" s="592">
        <f>IFERROR(GETPIVOTDATA("Sum of "&amp;T$9,'PT-All'!$A$1,"Scenario",IF(T$12="Forecast",T$11,T$12),"P&amp;L Item",$B18),0)</f>
        <v>0</v>
      </c>
      <c r="U18" s="592">
        <f>IFERROR(GETPIVOTDATA("Sum of "&amp;U$9,'PT-All'!$A$1,"Scenario",IF(U$12="Forecast",U$11,U$12),"P&amp;L Item",$B18),0)</f>
        <v>0</v>
      </c>
      <c r="V18" s="592">
        <f>IFERROR(GETPIVOTDATA("Sum of "&amp;V$9,'PT-All'!$A$1,"Scenario",IF(V$12="Forecast",V$11,V$12),"P&amp;L Item",$B18),0)</f>
        <v>0</v>
      </c>
      <c r="W18" s="592">
        <f>IFERROR(GETPIVOTDATA("Sum of "&amp;W$9,'PT-All'!$A$1,"Scenario",IF(W$12="Forecast",W$11,W$12),"P&amp;L Item",$B18),0)</f>
        <v>0</v>
      </c>
      <c r="X18" s="592">
        <f>IFERROR(GETPIVOTDATA("Sum of "&amp;X$9,'PT-All'!$A$1,"Scenario",IF(X$12="Forecast",X$11,X$12),"P&amp;L Item",$B18),0)</f>
        <v>0</v>
      </c>
      <c r="Y18" s="592">
        <f>IFERROR(GETPIVOTDATA("Sum of "&amp;Y$9,'PT-All'!$A$1,"Scenario",IF(Y$12="Forecast",Y$11,Y$12),"P&amp;L Item",$B18),0)</f>
        <v>0</v>
      </c>
      <c r="Z18" s="592">
        <f>IFERROR(GETPIVOTDATA("Sum of "&amp;Z$9,'PT-All'!$A$1,"Scenario",IF(Z$12="Forecast",Z$11,Z$12),"P&amp;L Item",$B18),0)</f>
        <v>0</v>
      </c>
      <c r="AA18" s="592">
        <f>IFERROR(GETPIVOTDATA("Sum of "&amp;AA$9,'PT-All'!$A$1,"Scenario",IF(AA$12="Forecast",AA$11,AA$12),"P&amp;L Item",$B18),0)</f>
        <v>0</v>
      </c>
      <c r="AB18" s="592">
        <f>IFERROR(GETPIVOTDATA("Sum of "&amp;AB$9,'PT-All'!$A$1,"Scenario",IF(AB$12="Forecast",AB$11,AB$12),"P&amp;L Item",$B18),0)</f>
        <v>0</v>
      </c>
      <c r="AC18" s="592">
        <f>IFERROR(GETPIVOTDATA("Sum of "&amp;AC$9,'PT-All'!$A$1,"Scenario",IF(AC$12="Forecast",AC$11,AC$12),"P&amp;L Item",$B18),0)</f>
        <v>0</v>
      </c>
      <c r="AD18" s="592">
        <f>IFERROR(GETPIVOTDATA("Sum of "&amp;AD$9,'PT-All'!$A$1,"Scenario",IF(AD$12="Forecast",AD$11,AD$12),"P&amp;L Item",$B18),0)</f>
        <v>0</v>
      </c>
      <c r="AE18" s="592">
        <f>IFERROR(GETPIVOTDATA("Sum of "&amp;AE$9,'PT-All'!$A$1,"Scenario",IF(AE$12="Forecast",AE$11,AE$12),"P&amp;L Item",$B18),0)</f>
        <v>0</v>
      </c>
      <c r="AF18" s="592">
        <f>IFERROR(GETPIVOTDATA("Sum of "&amp;AF$9,'PT-All'!$A$1,"Scenario",IF(AF$12="Forecast",AF$11,AF$12),"P&amp;L Item",$B18),0)</f>
        <v>0</v>
      </c>
      <c r="AG18" s="592">
        <f>IFERROR(GETPIVOTDATA("Sum of "&amp;AG$9,'PT-All'!$A$1,"Scenario",IF(AG$12="Forecast",AG$11,AG$12),"P&amp;L Item",$B18),0)</f>
        <v>0</v>
      </c>
      <c r="AH18" s="592">
        <f>IFERROR(GETPIVOTDATA("Sum of "&amp;AH$9,'PT-All'!$A$1,"Scenario",IF(AH$12="Forecast",AH$11,AH$12),"P&amp;L Item",$B18),0)</f>
        <v>0</v>
      </c>
      <c r="AI18" s="592">
        <f>IFERROR(GETPIVOTDATA("Sum of "&amp;AI$9,'PT-All'!$A$1,"Scenario",IF(AI$12="Forecast",AI$11,AI$12),"P&amp;L Item",$B18),0)</f>
        <v>0</v>
      </c>
      <c r="AJ18" s="592">
        <f>IFERROR(GETPIVOTDATA("Sum of "&amp;AJ$9,'PT-All'!$A$1,"Scenario",IF(AJ$12="Forecast",AJ$11,AJ$12),"P&amp;L Item",$B18),0)</f>
        <v>0</v>
      </c>
      <c r="AK18" s="592">
        <f>IFERROR(GETPIVOTDATA("Sum of "&amp;AK$9,'PT-All'!$A$1,"Scenario",IF(AK$12="Forecast",AK$11,AK$12),"P&amp;L Item",$B18),0)</f>
        <v>0</v>
      </c>
      <c r="AL18" s="593">
        <f>IFERROR(GETPIVOTDATA("Sum of "&amp;AL$9,'PT-All'!$A$1,"Scenario",IF(AL$12="Forecast",AL$11,AL$12),"P&amp;L Item",$B18),0)</f>
        <v>0</v>
      </c>
      <c r="AM18" s="590"/>
      <c r="AN18" s="594">
        <f ca="1">IF(IF(AN$12="Forecast",AN$11,AN$12)="Pro Forma",SUM(OFFSET($B18,0,3*AN$9+1,1,3)),IFERROR(GETPIVOTDATA("Sum of Q"&amp;AN$9+1,'PT-All'!$A$1,"Scenario",IF(AN$12="Forecast",AN$11,AN$12),"P&amp;L Item",$B18),0))</f>
        <v>0</v>
      </c>
      <c r="AO18" s="592">
        <f ca="1">IF(IF(AO$12="Forecast",AO$11,AO$12)="Pro Forma",SUM(OFFSET($B18,0,3*AO$9+1,1,3)),IFERROR(GETPIVOTDATA("Sum of Q"&amp;AO$9+1,'PT-All'!$A$1,"Scenario",IF(AO$12="Forecast",AO$11,AO$12),"P&amp;L Item",$B18),0))</f>
        <v>0</v>
      </c>
      <c r="AP18" s="592">
        <f ca="1">IF(IF(AP$12="Forecast",AP$11,AP$12)="Pro Forma",SUM(OFFSET($B18,0,3*AP$9+1,1,3)),IFERROR(GETPIVOTDATA("Sum of Q"&amp;AP$9+1,'PT-All'!$A$1,"Scenario",IF(AP$12="Forecast",AP$11,AP$12),"P&amp;L Item",$B18),0))</f>
        <v>0</v>
      </c>
      <c r="AQ18" s="592">
        <f ca="1">IF(IF(AQ$12="Forecast",AQ$11,AQ$12)="Pro Forma",SUM(OFFSET($B18,0,3*AQ$9+1,1,3)),IFERROR(GETPIVOTDATA("Sum of Q"&amp;AQ$9+1,'PT-All'!$A$1,"Scenario",IF(AQ$12="Forecast",AQ$11,AQ$12),"P&amp;L Item",$B18),0))</f>
        <v>0</v>
      </c>
      <c r="AR18" s="592">
        <f ca="1">IF(IF(AR$12="Forecast",AR$11,AR$12)="Pro Forma",SUM(OFFSET($B18,0,3*AR$9+1,1,3)),IFERROR(GETPIVOTDATA("Sum of Q"&amp;AR$9+1,'PT-All'!$A$1,"Scenario",IF(AR$12="Forecast",AR$11,AR$12),"P&amp;L Item",$B18),0))</f>
        <v>0</v>
      </c>
      <c r="AS18" s="592">
        <f ca="1">IF(IF(AS$12="Forecast",AS$11,AS$12)="Pro Forma",SUM(OFFSET($B18,0,3*AS$9+1,1,3)),IFERROR(GETPIVOTDATA("Sum of Q"&amp;AS$9+1,'PT-All'!$A$1,"Scenario",IF(AS$12="Forecast",AS$11,AS$12),"P&amp;L Item",$B18),0))</f>
        <v>0</v>
      </c>
      <c r="AT18" s="592">
        <f ca="1">IF(IF(AT$12="Forecast",AT$11,AT$12)="Pro Forma",SUM(OFFSET($B18,0,3*AT$9+1,1,3)),IFERROR(GETPIVOTDATA("Sum of Q"&amp;AT$9+1,'PT-All'!$A$1,"Scenario",IF(AT$12="Forecast",AT$11,AT$12),"P&amp;L Item",$B18),0))</f>
        <v>0</v>
      </c>
      <c r="AU18" s="592">
        <f ca="1">IF(IF(AU$12="Forecast",AU$11,AU$12)="Pro Forma",SUM(OFFSET($B18,0,3*AU$9+1,1,3)),IFERROR(GETPIVOTDATA("Sum of Q"&amp;AU$9+1,'PT-All'!$A$1,"Scenario",IF(AU$12="Forecast",AU$11,AU$12),"P&amp;L Item",$B18),0))</f>
        <v>0</v>
      </c>
      <c r="AV18" s="592">
        <f ca="1">IF(IF(AV$12="Forecast",AV$11,AV$12)="Pro Forma",SUM(OFFSET($B18,0,3*AV$9+1,1,3)),IFERROR(GETPIVOTDATA("Sum of Q"&amp;AV$9+1,'PT-All'!$A$1,"Scenario",IF(AV$12="Forecast",AV$11,AV$12),"P&amp;L Item",$B18),0))</f>
        <v>0</v>
      </c>
      <c r="AW18" s="592">
        <f ca="1">IF(IF(AW$12="Forecast",AW$11,AW$12)="Pro Forma",SUM(OFFSET($B18,0,3*AW$9+1,1,3)),IFERROR(GETPIVOTDATA("Sum of Q"&amp;AW$9+1,'PT-All'!$A$1,"Scenario",IF(AW$12="Forecast",AW$11,AW$12),"P&amp;L Item",$B18),0))</f>
        <v>0</v>
      </c>
      <c r="AX18" s="592">
        <f ca="1">IF(IF(AX$12="Forecast",AX$11,AX$12)="Pro Forma",SUM(OFFSET($B18,0,3*AX$9+1,1,3)),IFERROR(GETPIVOTDATA("Sum of Q"&amp;AX$9+1,'PT-All'!$A$1,"Scenario",IF(AX$12="Forecast",AX$11,AX$12),"P&amp;L Item",$B18),0))</f>
        <v>0</v>
      </c>
      <c r="AY18" s="593">
        <f ca="1">IF(IF(AY$12="Forecast",AY$11,AY$12)="Pro Forma",SUM(OFFSET($B18,0,3*AY$9+1,1,3)),IFERROR(GETPIVOTDATA("Sum of Q"&amp;AY$9+1,'PT-All'!$A$1,"Scenario",IF(AY$12="Forecast",AY$11,AY$12),"P&amp;L Item",$B18),0))</f>
        <v>0</v>
      </c>
      <c r="AZ18" s="590"/>
      <c r="BA18" s="594">
        <f ca="1">IF(IF(BA$12="Forecast",BA$11,BA$12)="Pro Forma",SUM(OFFSET($B18,0,12*BA$9+1,1,12)),IFERROR(GETPIVOTDATA("Sum of FY"&amp;BA$9+1,'PT-All'!$A$1,"Scenario",IF(BA$12="Forecast",BA$11,BA$12),"P&amp;L Item",$B18),0))</f>
        <v>0</v>
      </c>
      <c r="BB18" s="592">
        <f ca="1">IF(IF(BB$12="Forecast",BB$11,BB$12)="Pro Forma",SUM(OFFSET($B18,0,12*BB$9+1,1,12)),IFERROR(GETPIVOTDATA("Sum of FY"&amp;BB$9+1,'PT-All'!$A$1,"Scenario",IF(BB$12="Forecast",BB$11,BB$12),"P&amp;L Item",$B18),0))</f>
        <v>0</v>
      </c>
      <c r="BC18" s="593">
        <f ca="1">IF(IF(BC$12="Forecast",BC$11,BC$12)="Pro Forma",SUM(OFFSET($B18,0,12*BC$9+1,1,12)),IFERROR(GETPIVOTDATA("Sum of FY"&amp;BC$9+1,'PT-All'!$A$1,"Scenario",IF(BC$12="Forecast",BC$11,BC$12),"P&amp;L Item",$B18),0))</f>
        <v>0</v>
      </c>
    </row>
    <row r="19" spans="2:55" ht="15" x14ac:dyDescent="0.4">
      <c r="B19" s="356" t="s">
        <v>6</v>
      </c>
      <c r="C19" s="70">
        <f t="shared" ref="C19:AN19" si="27">SUM(C20:C21)</f>
        <v>0</v>
      </c>
      <c r="D19" s="70">
        <f t="shared" si="27"/>
        <v>0</v>
      </c>
      <c r="E19" s="70">
        <f t="shared" si="27"/>
        <v>0</v>
      </c>
      <c r="F19" s="70">
        <f t="shared" si="27"/>
        <v>0</v>
      </c>
      <c r="G19" s="70">
        <f t="shared" si="27"/>
        <v>0</v>
      </c>
      <c r="H19" s="70">
        <f t="shared" si="27"/>
        <v>0</v>
      </c>
      <c r="I19" s="70">
        <f t="shared" si="27"/>
        <v>0</v>
      </c>
      <c r="J19" s="70">
        <f t="shared" si="27"/>
        <v>0</v>
      </c>
      <c r="K19" s="70">
        <f t="shared" si="27"/>
        <v>0</v>
      </c>
      <c r="L19" s="70">
        <f t="shared" si="27"/>
        <v>0</v>
      </c>
      <c r="M19" s="70">
        <f t="shared" si="27"/>
        <v>0</v>
      </c>
      <c r="N19" s="70">
        <f t="shared" si="27"/>
        <v>0</v>
      </c>
      <c r="O19" s="70">
        <f t="shared" si="27"/>
        <v>0</v>
      </c>
      <c r="P19" s="70">
        <f t="shared" si="27"/>
        <v>0</v>
      </c>
      <c r="Q19" s="70">
        <f t="shared" si="27"/>
        <v>0</v>
      </c>
      <c r="R19" s="70">
        <f t="shared" si="27"/>
        <v>0</v>
      </c>
      <c r="S19" s="70">
        <f t="shared" si="27"/>
        <v>0</v>
      </c>
      <c r="T19" s="70">
        <f t="shared" si="27"/>
        <v>0</v>
      </c>
      <c r="U19" s="70">
        <f t="shared" si="27"/>
        <v>0</v>
      </c>
      <c r="V19" s="70">
        <f t="shared" si="27"/>
        <v>0</v>
      </c>
      <c r="W19" s="70">
        <f t="shared" si="27"/>
        <v>0</v>
      </c>
      <c r="X19" s="70">
        <f t="shared" si="27"/>
        <v>0</v>
      </c>
      <c r="Y19" s="70">
        <f t="shared" si="27"/>
        <v>0</v>
      </c>
      <c r="Z19" s="70">
        <f t="shared" ref="Z19:AL19" si="28">SUM(Z20:Z21)</f>
        <v>0</v>
      </c>
      <c r="AA19" s="70">
        <f t="shared" si="28"/>
        <v>0</v>
      </c>
      <c r="AB19" s="70">
        <f t="shared" si="28"/>
        <v>0</v>
      </c>
      <c r="AC19" s="70">
        <f t="shared" si="28"/>
        <v>0</v>
      </c>
      <c r="AD19" s="70">
        <f t="shared" si="28"/>
        <v>0</v>
      </c>
      <c r="AE19" s="70">
        <f t="shared" si="28"/>
        <v>0</v>
      </c>
      <c r="AF19" s="70">
        <f t="shared" si="28"/>
        <v>0</v>
      </c>
      <c r="AG19" s="70">
        <f t="shared" si="28"/>
        <v>0</v>
      </c>
      <c r="AH19" s="70">
        <f t="shared" si="28"/>
        <v>0</v>
      </c>
      <c r="AI19" s="70">
        <f t="shared" si="28"/>
        <v>0</v>
      </c>
      <c r="AJ19" s="70">
        <f t="shared" si="28"/>
        <v>0</v>
      </c>
      <c r="AK19" s="70">
        <f t="shared" si="28"/>
        <v>0</v>
      </c>
      <c r="AL19" s="99">
        <f t="shared" si="28"/>
        <v>0</v>
      </c>
      <c r="AM19" s="590"/>
      <c r="AN19" s="110">
        <f t="shared" ca="1" si="27"/>
        <v>0</v>
      </c>
      <c r="AO19" s="70">
        <f t="shared" ref="AO19" ca="1" si="29">SUM(AO20:AO21)</f>
        <v>0</v>
      </c>
      <c r="AP19" s="70">
        <f t="shared" ref="AP19" ca="1" si="30">SUM(AP20:AP21)</f>
        <v>0</v>
      </c>
      <c r="AQ19" s="70">
        <f t="shared" ref="AQ19" ca="1" si="31">SUM(AQ20:AQ21)</f>
        <v>0</v>
      </c>
      <c r="AR19" s="70">
        <f t="shared" ref="AR19" ca="1" si="32">SUM(AR20:AR21)</f>
        <v>0</v>
      </c>
      <c r="AS19" s="70">
        <f t="shared" ref="AS19" ca="1" si="33">SUM(AS20:AS21)</f>
        <v>0</v>
      </c>
      <c r="AT19" s="70">
        <f t="shared" ref="AT19:AY19" ca="1" si="34">SUM(AT20:AT21)</f>
        <v>0</v>
      </c>
      <c r="AU19" s="70">
        <f t="shared" ca="1" si="34"/>
        <v>0</v>
      </c>
      <c r="AV19" s="70">
        <f t="shared" ca="1" si="34"/>
        <v>0</v>
      </c>
      <c r="AW19" s="70">
        <f t="shared" ca="1" si="34"/>
        <v>0</v>
      </c>
      <c r="AX19" s="70">
        <f t="shared" ca="1" si="34"/>
        <v>0</v>
      </c>
      <c r="AY19" s="99">
        <f t="shared" ca="1" si="34"/>
        <v>0</v>
      </c>
      <c r="AZ19" s="590"/>
      <c r="BA19" s="110">
        <f t="shared" ref="BA19" ca="1" si="35">SUM(BA20:BA21)</f>
        <v>0</v>
      </c>
      <c r="BB19" s="70">
        <f t="shared" ref="BB19:BC19" ca="1" si="36">SUM(BB20:BB21)</f>
        <v>0</v>
      </c>
      <c r="BC19" s="99">
        <f t="shared" ca="1" si="36"/>
        <v>0</v>
      </c>
    </row>
    <row r="20" spans="2:55" x14ac:dyDescent="0.35">
      <c r="B20" s="64" t="s">
        <v>7</v>
      </c>
      <c r="C20" s="65">
        <f>IFERROR(GETPIVOTDATA("Sum of "&amp;C$9,'PT-All'!$A$1,"Scenario",IF(C$12="Forecast",C$11,C$12),"P&amp;L Item",$B20),0)</f>
        <v>0</v>
      </c>
      <c r="D20" s="65">
        <f>IFERROR(GETPIVOTDATA("Sum of "&amp;D$9,'PT-All'!$A$1,"Scenario",IF(D$12="Forecast",D$11,D$12),"P&amp;L Item",$B20),0)</f>
        <v>0</v>
      </c>
      <c r="E20" s="65">
        <f>IFERROR(GETPIVOTDATA("Sum of "&amp;E$9,'PT-All'!$A$1,"Scenario",IF(E$12="Forecast",E$11,E$12),"P&amp;L Item",$B20),0)</f>
        <v>0</v>
      </c>
      <c r="F20" s="65">
        <f>IFERROR(GETPIVOTDATA("Sum of "&amp;F$9,'PT-All'!$A$1,"Scenario",IF(F$12="Forecast",F$11,F$12),"P&amp;L Item",$B20),0)</f>
        <v>0</v>
      </c>
      <c r="G20" s="65">
        <f>IFERROR(GETPIVOTDATA("Sum of "&amp;G$9,'PT-All'!$A$1,"Scenario",IF(G$12="Forecast",G$11,G$12),"P&amp;L Item",$B20),0)</f>
        <v>0</v>
      </c>
      <c r="H20" s="65">
        <f>IFERROR(GETPIVOTDATA("Sum of "&amp;H$9,'PT-All'!$A$1,"Scenario",IF(H$12="Forecast",H$11,H$12),"P&amp;L Item",$B20),0)</f>
        <v>0</v>
      </c>
      <c r="I20" s="65">
        <f>IFERROR(GETPIVOTDATA("Sum of "&amp;I$9,'PT-All'!$A$1,"Scenario",IF(I$12="Forecast",I$11,I$12),"P&amp;L Item",$B20),0)</f>
        <v>0</v>
      </c>
      <c r="J20" s="65">
        <f>IFERROR(GETPIVOTDATA("Sum of "&amp;J$9,'PT-All'!$A$1,"Scenario",IF(J$12="Forecast",J$11,J$12),"P&amp;L Item",$B20),0)</f>
        <v>0</v>
      </c>
      <c r="K20" s="65">
        <f>IFERROR(GETPIVOTDATA("Sum of "&amp;K$9,'PT-All'!$A$1,"Scenario",IF(K$12="Forecast",K$11,K$12),"P&amp;L Item",$B20),0)</f>
        <v>0</v>
      </c>
      <c r="L20" s="65">
        <f>IFERROR(GETPIVOTDATA("Sum of "&amp;L$9,'PT-All'!$A$1,"Scenario",IF(L$12="Forecast",L$11,L$12),"P&amp;L Item",$B20),0)</f>
        <v>0</v>
      </c>
      <c r="M20" s="65">
        <f>IFERROR(GETPIVOTDATA("Sum of "&amp;M$9,'PT-All'!$A$1,"Scenario",IF(M$12="Forecast",M$11,M$12),"P&amp;L Item",$B20),0)</f>
        <v>0</v>
      </c>
      <c r="N20" s="65">
        <f>IFERROR(GETPIVOTDATA("Sum of "&amp;N$9,'PT-All'!$A$1,"Scenario",IF(N$12="Forecast",N$11,N$12),"P&amp;L Item",$B20),0)</f>
        <v>0</v>
      </c>
      <c r="O20" s="65">
        <f>IFERROR(GETPIVOTDATA("Sum of "&amp;O$9,'PT-All'!$A$1,"Scenario",IF(O$12="Forecast",O$11,O$12),"P&amp;L Item",$B20),0)</f>
        <v>0</v>
      </c>
      <c r="P20" s="65">
        <f>IFERROR(GETPIVOTDATA("Sum of "&amp;P$9,'PT-All'!$A$1,"Scenario",IF(P$12="Forecast",P$11,P$12),"P&amp;L Item",$B20),0)</f>
        <v>0</v>
      </c>
      <c r="Q20" s="65">
        <f>IFERROR(GETPIVOTDATA("Sum of "&amp;Q$9,'PT-All'!$A$1,"Scenario",IF(Q$12="Forecast",Q$11,Q$12),"P&amp;L Item",$B20),0)</f>
        <v>0</v>
      </c>
      <c r="R20" s="65">
        <f>IFERROR(GETPIVOTDATA("Sum of "&amp;R$9,'PT-All'!$A$1,"Scenario",IF(R$12="Forecast",R$11,R$12),"P&amp;L Item",$B20),0)</f>
        <v>0</v>
      </c>
      <c r="S20" s="65">
        <f>IFERROR(GETPIVOTDATA("Sum of "&amp;S$9,'PT-All'!$A$1,"Scenario",IF(S$12="Forecast",S$11,S$12),"P&amp;L Item",$B20),0)</f>
        <v>0</v>
      </c>
      <c r="T20" s="65">
        <f>IFERROR(GETPIVOTDATA("Sum of "&amp;T$9,'PT-All'!$A$1,"Scenario",IF(T$12="Forecast",T$11,T$12),"P&amp;L Item",$B20),0)</f>
        <v>0</v>
      </c>
      <c r="U20" s="65">
        <f>IFERROR(GETPIVOTDATA("Sum of "&amp;U$9,'PT-All'!$A$1,"Scenario",IF(U$12="Forecast",U$11,U$12),"P&amp;L Item",$B20),0)</f>
        <v>0</v>
      </c>
      <c r="V20" s="65">
        <f>IFERROR(GETPIVOTDATA("Sum of "&amp;V$9,'PT-All'!$A$1,"Scenario",IF(V$12="Forecast",V$11,V$12),"P&amp;L Item",$B20),0)</f>
        <v>0</v>
      </c>
      <c r="W20" s="65">
        <f>IFERROR(GETPIVOTDATA("Sum of "&amp;W$9,'PT-All'!$A$1,"Scenario",IF(W$12="Forecast",W$11,W$12),"P&amp;L Item",$B20),0)</f>
        <v>0</v>
      </c>
      <c r="X20" s="65">
        <f>IFERROR(GETPIVOTDATA("Sum of "&amp;X$9,'PT-All'!$A$1,"Scenario",IF(X$12="Forecast",X$11,X$12),"P&amp;L Item",$B20),0)</f>
        <v>0</v>
      </c>
      <c r="Y20" s="65">
        <f>IFERROR(GETPIVOTDATA("Sum of "&amp;Y$9,'PT-All'!$A$1,"Scenario",IF(Y$12="Forecast",Y$11,Y$12),"P&amp;L Item",$B20),0)</f>
        <v>0</v>
      </c>
      <c r="Z20" s="65">
        <f>IFERROR(GETPIVOTDATA("Sum of "&amp;Z$9,'PT-All'!$A$1,"Scenario",IF(Z$12="Forecast",Z$11,Z$12),"P&amp;L Item",$B20),0)</f>
        <v>0</v>
      </c>
      <c r="AA20" s="65">
        <f>IFERROR(GETPIVOTDATA("Sum of "&amp;AA$9,'PT-All'!$A$1,"Scenario",IF(AA$12="Forecast",AA$11,AA$12),"P&amp;L Item",$B20),0)</f>
        <v>0</v>
      </c>
      <c r="AB20" s="65">
        <f>IFERROR(GETPIVOTDATA("Sum of "&amp;AB$9,'PT-All'!$A$1,"Scenario",IF(AB$12="Forecast",AB$11,AB$12),"P&amp;L Item",$B20),0)</f>
        <v>0</v>
      </c>
      <c r="AC20" s="65">
        <f>IFERROR(GETPIVOTDATA("Sum of "&amp;AC$9,'PT-All'!$A$1,"Scenario",IF(AC$12="Forecast",AC$11,AC$12),"P&amp;L Item",$B20),0)</f>
        <v>0</v>
      </c>
      <c r="AD20" s="65">
        <f>IFERROR(GETPIVOTDATA("Sum of "&amp;AD$9,'PT-All'!$A$1,"Scenario",IF(AD$12="Forecast",AD$11,AD$12),"P&amp;L Item",$B20),0)</f>
        <v>0</v>
      </c>
      <c r="AE20" s="65">
        <f>IFERROR(GETPIVOTDATA("Sum of "&amp;AE$9,'PT-All'!$A$1,"Scenario",IF(AE$12="Forecast",AE$11,AE$12),"P&amp;L Item",$B20),0)</f>
        <v>0</v>
      </c>
      <c r="AF20" s="65">
        <f>IFERROR(GETPIVOTDATA("Sum of "&amp;AF$9,'PT-All'!$A$1,"Scenario",IF(AF$12="Forecast",AF$11,AF$12),"P&amp;L Item",$B20),0)</f>
        <v>0</v>
      </c>
      <c r="AG20" s="65">
        <f>IFERROR(GETPIVOTDATA("Sum of "&amp;AG$9,'PT-All'!$A$1,"Scenario",IF(AG$12="Forecast",AG$11,AG$12),"P&amp;L Item",$B20),0)</f>
        <v>0</v>
      </c>
      <c r="AH20" s="65">
        <f>IFERROR(GETPIVOTDATA("Sum of "&amp;AH$9,'PT-All'!$A$1,"Scenario",IF(AH$12="Forecast",AH$11,AH$12),"P&amp;L Item",$B20),0)</f>
        <v>0</v>
      </c>
      <c r="AI20" s="65">
        <f>IFERROR(GETPIVOTDATA("Sum of "&amp;AI$9,'PT-All'!$A$1,"Scenario",IF(AI$12="Forecast",AI$11,AI$12),"P&amp;L Item",$B20),0)</f>
        <v>0</v>
      </c>
      <c r="AJ20" s="65">
        <f>IFERROR(GETPIVOTDATA("Sum of "&amp;AJ$9,'PT-All'!$A$1,"Scenario",IF(AJ$12="Forecast",AJ$11,AJ$12),"P&amp;L Item",$B20),0)</f>
        <v>0</v>
      </c>
      <c r="AK20" s="65">
        <f>IFERROR(GETPIVOTDATA("Sum of "&amp;AK$9,'PT-All'!$A$1,"Scenario",IF(AK$12="Forecast",AK$11,AK$12),"P&amp;L Item",$B20),0)</f>
        <v>0</v>
      </c>
      <c r="AL20" s="97">
        <f>IFERROR(GETPIVOTDATA("Sum of "&amp;AL$9,'PT-All'!$A$1,"Scenario",IF(AL$12="Forecast",AL$11,AL$12),"P&amp;L Item",$B20),0)</f>
        <v>0</v>
      </c>
      <c r="AM20" s="590"/>
      <c r="AN20" s="108">
        <f ca="1">IF(IF(AN$12="Forecast",AN$11,AN$12)="Pro Forma",SUM(OFFSET($B20,0,3*AN$9+1,1,3)),IFERROR(GETPIVOTDATA("Sum of Q"&amp;AN$9+1,'PT-All'!$A$1,"Scenario",IF(AN$12="Forecast",AN$11,AN$12),"P&amp;L Item",$B20),0))</f>
        <v>0</v>
      </c>
      <c r="AO20" s="65">
        <f ca="1">IF(IF(AO$12="Forecast",AO$11,AO$12)="Pro Forma",SUM(OFFSET($B20,0,3*AO$9+1,1,3)),IFERROR(GETPIVOTDATA("Sum of Q"&amp;AO$9+1,'PT-All'!$A$1,"Scenario",IF(AO$12="Forecast",AO$11,AO$12),"P&amp;L Item",$B20),0))</f>
        <v>0</v>
      </c>
      <c r="AP20" s="65">
        <f ca="1">IF(IF(AP$12="Forecast",AP$11,AP$12)="Pro Forma",SUM(OFFSET($B20,0,3*AP$9+1,1,3)),IFERROR(GETPIVOTDATA("Sum of Q"&amp;AP$9+1,'PT-All'!$A$1,"Scenario",IF(AP$12="Forecast",AP$11,AP$12),"P&amp;L Item",$B20),0))</f>
        <v>0</v>
      </c>
      <c r="AQ20" s="65">
        <f ca="1">IF(IF(AQ$12="Forecast",AQ$11,AQ$12)="Pro Forma",SUM(OFFSET($B20,0,3*AQ$9+1,1,3)),IFERROR(GETPIVOTDATA("Sum of Q"&amp;AQ$9+1,'PT-All'!$A$1,"Scenario",IF(AQ$12="Forecast",AQ$11,AQ$12),"P&amp;L Item",$B20),0))</f>
        <v>0</v>
      </c>
      <c r="AR20" s="65">
        <f ca="1">IF(IF(AR$12="Forecast",AR$11,AR$12)="Pro Forma",SUM(OFFSET($B20,0,3*AR$9+1,1,3)),IFERROR(GETPIVOTDATA("Sum of Q"&amp;AR$9+1,'PT-All'!$A$1,"Scenario",IF(AR$12="Forecast",AR$11,AR$12),"P&amp;L Item",$B20),0))</f>
        <v>0</v>
      </c>
      <c r="AS20" s="65">
        <f ca="1">IF(IF(AS$12="Forecast",AS$11,AS$12)="Pro Forma",SUM(OFFSET($B20,0,3*AS$9+1,1,3)),IFERROR(GETPIVOTDATA("Sum of Q"&amp;AS$9+1,'PT-All'!$A$1,"Scenario",IF(AS$12="Forecast",AS$11,AS$12),"P&amp;L Item",$B20),0))</f>
        <v>0</v>
      </c>
      <c r="AT20" s="65">
        <f ca="1">IF(IF(AT$12="Forecast",AT$11,AT$12)="Pro Forma",SUM(OFFSET($B20,0,3*AT$9+1,1,3)),IFERROR(GETPIVOTDATA("Sum of Q"&amp;AT$9+1,'PT-All'!$A$1,"Scenario",IF(AT$12="Forecast",AT$11,AT$12),"P&amp;L Item",$B20),0))</f>
        <v>0</v>
      </c>
      <c r="AU20" s="65">
        <f ca="1">IF(IF(AU$12="Forecast",AU$11,AU$12)="Pro Forma",SUM(OFFSET($B20,0,3*AU$9+1,1,3)),IFERROR(GETPIVOTDATA("Sum of Q"&amp;AU$9+1,'PT-All'!$A$1,"Scenario",IF(AU$12="Forecast",AU$11,AU$12),"P&amp;L Item",$B20),0))</f>
        <v>0</v>
      </c>
      <c r="AV20" s="65">
        <f ca="1">IF(IF(AV$12="Forecast",AV$11,AV$12)="Pro Forma",SUM(OFFSET($B20,0,3*AV$9+1,1,3)),IFERROR(GETPIVOTDATA("Sum of Q"&amp;AV$9+1,'PT-All'!$A$1,"Scenario",IF(AV$12="Forecast",AV$11,AV$12),"P&amp;L Item",$B20),0))</f>
        <v>0</v>
      </c>
      <c r="AW20" s="65">
        <f ca="1">IF(IF(AW$12="Forecast",AW$11,AW$12)="Pro Forma",SUM(OFFSET($B20,0,3*AW$9+1,1,3)),IFERROR(GETPIVOTDATA("Sum of Q"&amp;AW$9+1,'PT-All'!$A$1,"Scenario",IF(AW$12="Forecast",AW$11,AW$12),"P&amp;L Item",$B20),0))</f>
        <v>0</v>
      </c>
      <c r="AX20" s="65">
        <f ca="1">IF(IF(AX$12="Forecast",AX$11,AX$12)="Pro Forma",SUM(OFFSET($B20,0,3*AX$9+1,1,3)),IFERROR(GETPIVOTDATA("Sum of Q"&amp;AX$9+1,'PT-All'!$A$1,"Scenario",IF(AX$12="Forecast",AX$11,AX$12),"P&amp;L Item",$B20),0))</f>
        <v>0</v>
      </c>
      <c r="AY20" s="97">
        <f ca="1">IF(IF(AY$12="Forecast",AY$11,AY$12)="Pro Forma",SUM(OFFSET($B20,0,3*AY$9+1,1,3)),IFERROR(GETPIVOTDATA("Sum of Q"&amp;AY$9+1,'PT-All'!$A$1,"Scenario",IF(AY$12="Forecast",AY$11,AY$12),"P&amp;L Item",$B20),0))</f>
        <v>0</v>
      </c>
      <c r="AZ20" s="590"/>
      <c r="BA20" s="108">
        <f ca="1">IF(IF(BA$12="Forecast",BA$11,BA$12)="Pro Forma",SUM(OFFSET($B20,0,12*BA$9+1,1,12)),IFERROR(GETPIVOTDATA("Sum of FY"&amp;BA$9+1,'PT-All'!$A$1,"Scenario",IF(BA$12="Forecast",BA$11,BA$12),"P&amp;L Item",$B20),0))</f>
        <v>0</v>
      </c>
      <c r="BB20" s="65">
        <f ca="1">IF(IF(BB$12="Forecast",BB$11,BB$12)="Pro Forma",SUM(OFFSET($B20,0,12*BB$9+1,1,12)),IFERROR(GETPIVOTDATA("Sum of FY"&amp;BB$9+1,'PT-All'!$A$1,"Scenario",IF(BB$12="Forecast",BB$11,BB$12),"P&amp;L Item",$B20),0))</f>
        <v>0</v>
      </c>
      <c r="BC20" s="97">
        <f ca="1">IF(IF(BC$12="Forecast",BC$11,BC$12)="Pro Forma",SUM(OFFSET($B20,0,12*BC$9+1,1,12)),IFERROR(GETPIVOTDATA("Sum of FY"&amp;BC$9+1,'PT-All'!$A$1,"Scenario",IF(BC$12="Forecast",BC$11,BC$12),"P&amp;L Item",$B20),0))</f>
        <v>0</v>
      </c>
    </row>
    <row r="21" spans="2:55" ht="15" x14ac:dyDescent="0.4">
      <c r="B21" s="64" t="s">
        <v>8</v>
      </c>
      <c r="C21" s="66">
        <f>IFERROR(GETPIVOTDATA("Sum of "&amp;C$9,'PT-All'!$A$1,"Scenario",IF(C$12="Forecast",C$11,C$12),"P&amp;L Item",$B21),0)</f>
        <v>0</v>
      </c>
      <c r="D21" s="66">
        <f>IFERROR(GETPIVOTDATA("Sum of "&amp;D$9,'PT-All'!$A$1,"Scenario",IF(D$12="Forecast",D$11,D$12),"P&amp;L Item",$B21),0)</f>
        <v>0</v>
      </c>
      <c r="E21" s="66">
        <f>IFERROR(GETPIVOTDATA("Sum of "&amp;E$9,'PT-All'!$A$1,"Scenario",IF(E$12="Forecast",E$11,E$12),"P&amp;L Item",$B21),0)</f>
        <v>0</v>
      </c>
      <c r="F21" s="66">
        <f>IFERROR(GETPIVOTDATA("Sum of "&amp;F$9,'PT-All'!$A$1,"Scenario",IF(F$12="Forecast",F$11,F$12),"P&amp;L Item",$B21),0)</f>
        <v>0</v>
      </c>
      <c r="G21" s="66">
        <f>IFERROR(GETPIVOTDATA("Sum of "&amp;G$9,'PT-All'!$A$1,"Scenario",IF(G$12="Forecast",G$11,G$12),"P&amp;L Item",$B21),0)</f>
        <v>0</v>
      </c>
      <c r="H21" s="66">
        <f>IFERROR(GETPIVOTDATA("Sum of "&amp;H$9,'PT-All'!$A$1,"Scenario",IF(H$12="Forecast",H$11,H$12),"P&amp;L Item",$B21),0)</f>
        <v>0</v>
      </c>
      <c r="I21" s="66">
        <f>IFERROR(GETPIVOTDATA("Sum of "&amp;I$9,'PT-All'!$A$1,"Scenario",IF(I$12="Forecast",I$11,I$12),"P&amp;L Item",$B21),0)</f>
        <v>0</v>
      </c>
      <c r="J21" s="66">
        <f>IFERROR(GETPIVOTDATA("Sum of "&amp;J$9,'PT-All'!$A$1,"Scenario",IF(J$12="Forecast",J$11,J$12),"P&amp;L Item",$B21),0)</f>
        <v>0</v>
      </c>
      <c r="K21" s="66">
        <f>IFERROR(GETPIVOTDATA("Sum of "&amp;K$9,'PT-All'!$A$1,"Scenario",IF(K$12="Forecast",K$11,K$12),"P&amp;L Item",$B21),0)</f>
        <v>0</v>
      </c>
      <c r="L21" s="66">
        <f>IFERROR(GETPIVOTDATA("Sum of "&amp;L$9,'PT-All'!$A$1,"Scenario",IF(L$12="Forecast",L$11,L$12),"P&amp;L Item",$B21),0)</f>
        <v>0</v>
      </c>
      <c r="M21" s="66">
        <f>IFERROR(GETPIVOTDATA("Sum of "&amp;M$9,'PT-All'!$A$1,"Scenario",IF(M$12="Forecast",M$11,M$12),"P&amp;L Item",$B21),0)</f>
        <v>0</v>
      </c>
      <c r="N21" s="66">
        <f>IFERROR(GETPIVOTDATA("Sum of "&amp;N$9,'PT-All'!$A$1,"Scenario",IF(N$12="Forecast",N$11,N$12),"P&amp;L Item",$B21),0)</f>
        <v>0</v>
      </c>
      <c r="O21" s="66">
        <f>IFERROR(GETPIVOTDATA("Sum of "&amp;O$9,'PT-All'!$A$1,"Scenario",IF(O$12="Forecast",O$11,O$12),"P&amp;L Item",$B21),0)</f>
        <v>0</v>
      </c>
      <c r="P21" s="66">
        <f>IFERROR(GETPIVOTDATA("Sum of "&amp;P$9,'PT-All'!$A$1,"Scenario",IF(P$12="Forecast",P$11,P$12),"P&amp;L Item",$B21),0)</f>
        <v>0</v>
      </c>
      <c r="Q21" s="66">
        <f>IFERROR(GETPIVOTDATA("Sum of "&amp;Q$9,'PT-All'!$A$1,"Scenario",IF(Q$12="Forecast",Q$11,Q$12),"P&amp;L Item",$B21),0)</f>
        <v>0</v>
      </c>
      <c r="R21" s="66">
        <f>IFERROR(GETPIVOTDATA("Sum of "&amp;R$9,'PT-All'!$A$1,"Scenario",IF(R$12="Forecast",R$11,R$12),"P&amp;L Item",$B21),0)</f>
        <v>0</v>
      </c>
      <c r="S21" s="66">
        <f>IFERROR(GETPIVOTDATA("Sum of "&amp;S$9,'PT-All'!$A$1,"Scenario",IF(S$12="Forecast",S$11,S$12),"P&amp;L Item",$B21),0)</f>
        <v>0</v>
      </c>
      <c r="T21" s="66">
        <f>IFERROR(GETPIVOTDATA("Sum of "&amp;T$9,'PT-All'!$A$1,"Scenario",IF(T$12="Forecast",T$11,T$12),"P&amp;L Item",$B21),0)</f>
        <v>0</v>
      </c>
      <c r="U21" s="66">
        <f>IFERROR(GETPIVOTDATA("Sum of "&amp;U$9,'PT-All'!$A$1,"Scenario",IF(U$12="Forecast",U$11,U$12),"P&amp;L Item",$B21),0)</f>
        <v>0</v>
      </c>
      <c r="V21" s="66">
        <f>IFERROR(GETPIVOTDATA("Sum of "&amp;V$9,'PT-All'!$A$1,"Scenario",IF(V$12="Forecast",V$11,V$12),"P&amp;L Item",$B21),0)</f>
        <v>0</v>
      </c>
      <c r="W21" s="66">
        <f>IFERROR(GETPIVOTDATA("Sum of "&amp;W$9,'PT-All'!$A$1,"Scenario",IF(W$12="Forecast",W$11,W$12),"P&amp;L Item",$B21),0)</f>
        <v>0</v>
      </c>
      <c r="X21" s="66">
        <f>IFERROR(GETPIVOTDATA("Sum of "&amp;X$9,'PT-All'!$A$1,"Scenario",IF(X$12="Forecast",X$11,X$12),"P&amp;L Item",$B21),0)</f>
        <v>0</v>
      </c>
      <c r="Y21" s="66">
        <f>IFERROR(GETPIVOTDATA("Sum of "&amp;Y$9,'PT-All'!$A$1,"Scenario",IF(Y$12="Forecast",Y$11,Y$12),"P&amp;L Item",$B21),0)</f>
        <v>0</v>
      </c>
      <c r="Z21" s="66">
        <f>IFERROR(GETPIVOTDATA("Sum of "&amp;Z$9,'PT-All'!$A$1,"Scenario",IF(Z$12="Forecast",Z$11,Z$12),"P&amp;L Item",$B21),0)</f>
        <v>0</v>
      </c>
      <c r="AA21" s="66">
        <f>IFERROR(GETPIVOTDATA("Sum of "&amp;AA$9,'PT-All'!$A$1,"Scenario",IF(AA$12="Forecast",AA$11,AA$12),"P&amp;L Item",$B21),0)</f>
        <v>0</v>
      </c>
      <c r="AB21" s="66">
        <f>IFERROR(GETPIVOTDATA("Sum of "&amp;AB$9,'PT-All'!$A$1,"Scenario",IF(AB$12="Forecast",AB$11,AB$12),"P&amp;L Item",$B21),0)</f>
        <v>0</v>
      </c>
      <c r="AC21" s="66">
        <f>IFERROR(GETPIVOTDATA("Sum of "&amp;AC$9,'PT-All'!$A$1,"Scenario",IF(AC$12="Forecast",AC$11,AC$12),"P&amp;L Item",$B21),0)</f>
        <v>0</v>
      </c>
      <c r="AD21" s="66">
        <f>IFERROR(GETPIVOTDATA("Sum of "&amp;AD$9,'PT-All'!$A$1,"Scenario",IF(AD$12="Forecast",AD$11,AD$12),"P&amp;L Item",$B21),0)</f>
        <v>0</v>
      </c>
      <c r="AE21" s="66">
        <f>IFERROR(GETPIVOTDATA("Sum of "&amp;AE$9,'PT-All'!$A$1,"Scenario",IF(AE$12="Forecast",AE$11,AE$12),"P&amp;L Item",$B21),0)</f>
        <v>0</v>
      </c>
      <c r="AF21" s="66">
        <f>IFERROR(GETPIVOTDATA("Sum of "&amp;AF$9,'PT-All'!$A$1,"Scenario",IF(AF$12="Forecast",AF$11,AF$12),"P&amp;L Item",$B21),0)</f>
        <v>0</v>
      </c>
      <c r="AG21" s="66">
        <f>IFERROR(GETPIVOTDATA("Sum of "&amp;AG$9,'PT-All'!$A$1,"Scenario",IF(AG$12="Forecast",AG$11,AG$12),"P&amp;L Item",$B21),0)</f>
        <v>0</v>
      </c>
      <c r="AH21" s="66">
        <f>IFERROR(GETPIVOTDATA("Sum of "&amp;AH$9,'PT-All'!$A$1,"Scenario",IF(AH$12="Forecast",AH$11,AH$12),"P&amp;L Item",$B21),0)</f>
        <v>0</v>
      </c>
      <c r="AI21" s="66">
        <f>IFERROR(GETPIVOTDATA("Sum of "&amp;AI$9,'PT-All'!$A$1,"Scenario",IF(AI$12="Forecast",AI$11,AI$12),"P&amp;L Item",$B21),0)</f>
        <v>0</v>
      </c>
      <c r="AJ21" s="66">
        <f>IFERROR(GETPIVOTDATA("Sum of "&amp;AJ$9,'PT-All'!$A$1,"Scenario",IF(AJ$12="Forecast",AJ$11,AJ$12),"P&amp;L Item",$B21),0)</f>
        <v>0</v>
      </c>
      <c r="AK21" s="66">
        <f>IFERROR(GETPIVOTDATA("Sum of "&amp;AK$9,'PT-All'!$A$1,"Scenario",IF(AK$12="Forecast",AK$11,AK$12),"P&amp;L Item",$B21),0)</f>
        <v>0</v>
      </c>
      <c r="AL21" s="98">
        <f>IFERROR(GETPIVOTDATA("Sum of "&amp;AL$9,'PT-All'!$A$1,"Scenario",IF(AL$12="Forecast",AL$11,AL$12),"P&amp;L Item",$B21),0)</f>
        <v>0</v>
      </c>
      <c r="AM21" s="590"/>
      <c r="AN21" s="109">
        <f ca="1">IF(IF(AN$12="Forecast",AN$11,AN$12)="Pro Forma",SUM(OFFSET($B21,0,3*AN$9+1,1,3)),IFERROR(GETPIVOTDATA("Sum of Q"&amp;AN$9+1,'PT-All'!$A$1,"Scenario",IF(AN$12="Forecast",AN$11,AN$12),"P&amp;L Item",$B21),0))</f>
        <v>0</v>
      </c>
      <c r="AO21" s="66">
        <f ca="1">IF(IF(AO$12="Forecast",AO$11,AO$12)="Pro Forma",SUM(OFFSET($B21,0,3*AO$9+1,1,3)),IFERROR(GETPIVOTDATA("Sum of Q"&amp;AO$9+1,'PT-All'!$A$1,"Scenario",IF(AO$12="Forecast",AO$11,AO$12),"P&amp;L Item",$B21),0))</f>
        <v>0</v>
      </c>
      <c r="AP21" s="66">
        <f ca="1">IF(IF(AP$12="Forecast",AP$11,AP$12)="Pro Forma",SUM(OFFSET($B21,0,3*AP$9+1,1,3)),IFERROR(GETPIVOTDATA("Sum of Q"&amp;AP$9+1,'PT-All'!$A$1,"Scenario",IF(AP$12="Forecast",AP$11,AP$12),"P&amp;L Item",$B21),0))</f>
        <v>0</v>
      </c>
      <c r="AQ21" s="66">
        <f ca="1">IF(IF(AQ$12="Forecast",AQ$11,AQ$12)="Pro Forma",SUM(OFFSET($B21,0,3*AQ$9+1,1,3)),IFERROR(GETPIVOTDATA("Sum of Q"&amp;AQ$9+1,'PT-All'!$A$1,"Scenario",IF(AQ$12="Forecast",AQ$11,AQ$12),"P&amp;L Item",$B21),0))</f>
        <v>0</v>
      </c>
      <c r="AR21" s="66">
        <f ca="1">IF(IF(AR$12="Forecast",AR$11,AR$12)="Pro Forma",SUM(OFFSET($B21,0,3*AR$9+1,1,3)),IFERROR(GETPIVOTDATA("Sum of Q"&amp;AR$9+1,'PT-All'!$A$1,"Scenario",IF(AR$12="Forecast",AR$11,AR$12),"P&amp;L Item",$B21),0))</f>
        <v>0</v>
      </c>
      <c r="AS21" s="66">
        <f ca="1">IF(IF(AS$12="Forecast",AS$11,AS$12)="Pro Forma",SUM(OFFSET($B21,0,3*AS$9+1,1,3)),IFERROR(GETPIVOTDATA("Sum of Q"&amp;AS$9+1,'PT-All'!$A$1,"Scenario",IF(AS$12="Forecast",AS$11,AS$12),"P&amp;L Item",$B21),0))</f>
        <v>0</v>
      </c>
      <c r="AT21" s="66">
        <f ca="1">IF(IF(AT$12="Forecast",AT$11,AT$12)="Pro Forma",SUM(OFFSET($B21,0,3*AT$9+1,1,3)),IFERROR(GETPIVOTDATA("Sum of Q"&amp;AT$9+1,'PT-All'!$A$1,"Scenario",IF(AT$12="Forecast",AT$11,AT$12),"P&amp;L Item",$B21),0))</f>
        <v>0</v>
      </c>
      <c r="AU21" s="66">
        <f ca="1">IF(IF(AU$12="Forecast",AU$11,AU$12)="Pro Forma",SUM(OFFSET($B21,0,3*AU$9+1,1,3)),IFERROR(GETPIVOTDATA("Sum of Q"&amp;AU$9+1,'PT-All'!$A$1,"Scenario",IF(AU$12="Forecast",AU$11,AU$12),"P&amp;L Item",$B21),0))</f>
        <v>0</v>
      </c>
      <c r="AV21" s="66">
        <f ca="1">IF(IF(AV$12="Forecast",AV$11,AV$12)="Pro Forma",SUM(OFFSET($B21,0,3*AV$9+1,1,3)),IFERROR(GETPIVOTDATA("Sum of Q"&amp;AV$9+1,'PT-All'!$A$1,"Scenario",IF(AV$12="Forecast",AV$11,AV$12),"P&amp;L Item",$B21),0))</f>
        <v>0</v>
      </c>
      <c r="AW21" s="66">
        <f ca="1">IF(IF(AW$12="Forecast",AW$11,AW$12)="Pro Forma",SUM(OFFSET($B21,0,3*AW$9+1,1,3)),IFERROR(GETPIVOTDATA("Sum of Q"&amp;AW$9+1,'PT-All'!$A$1,"Scenario",IF(AW$12="Forecast",AW$11,AW$12),"P&amp;L Item",$B21),0))</f>
        <v>0</v>
      </c>
      <c r="AX21" s="66">
        <f ca="1">IF(IF(AX$12="Forecast",AX$11,AX$12)="Pro Forma",SUM(OFFSET($B21,0,3*AX$9+1,1,3)),IFERROR(GETPIVOTDATA("Sum of Q"&amp;AX$9+1,'PT-All'!$A$1,"Scenario",IF(AX$12="Forecast",AX$11,AX$12),"P&amp;L Item",$B21),0))</f>
        <v>0</v>
      </c>
      <c r="AY21" s="98">
        <f ca="1">IF(IF(AY$12="Forecast",AY$11,AY$12)="Pro Forma",SUM(OFFSET($B21,0,3*AY$9+1,1,3)),IFERROR(GETPIVOTDATA("Sum of Q"&amp;AY$9+1,'PT-All'!$A$1,"Scenario",IF(AY$12="Forecast",AY$11,AY$12),"P&amp;L Item",$B21),0))</f>
        <v>0</v>
      </c>
      <c r="AZ21" s="590"/>
      <c r="BA21" s="109">
        <f ca="1">IF(IF(BA$12="Forecast",BA$11,BA$12)="Pro Forma",SUM(OFFSET($B21,0,12*BA$9+1,1,12)),IFERROR(GETPIVOTDATA("Sum of FY"&amp;BA$9+1,'PT-All'!$A$1,"Scenario",IF(BA$12="Forecast",BA$11,BA$12),"P&amp;L Item",$B21),0))</f>
        <v>0</v>
      </c>
      <c r="BB21" s="66">
        <f ca="1">IF(IF(BB$12="Forecast",BB$11,BB$12)="Pro Forma",SUM(OFFSET($B21,0,12*BB$9+1,1,12)),IFERROR(GETPIVOTDATA("Sum of FY"&amp;BB$9+1,'PT-All'!$A$1,"Scenario",IF(BB$12="Forecast",BB$11,BB$12),"P&amp;L Item",$B21),0))</f>
        <v>0</v>
      </c>
      <c r="BC21" s="98">
        <f ca="1">IF(IF(BC$12="Forecast",BC$11,BC$12)="Pro Forma",SUM(OFFSET($B21,0,12*BC$9+1,1,12)),IFERROR(GETPIVOTDATA("Sum of FY"&amp;BC$9+1,'PT-All'!$A$1,"Scenario",IF(BC$12="Forecast",BC$11,BC$12),"P&amp;L Item",$B21),0))</f>
        <v>0</v>
      </c>
    </row>
    <row r="22" spans="2:55" x14ac:dyDescent="0.35">
      <c r="B22" s="67" t="s">
        <v>9</v>
      </c>
      <c r="C22" s="619">
        <f t="shared" ref="C22:Y22" si="37">SUM(C14:C19)</f>
        <v>0</v>
      </c>
      <c r="D22" s="619">
        <f t="shared" si="37"/>
        <v>0</v>
      </c>
      <c r="E22" s="619">
        <f t="shared" si="37"/>
        <v>0</v>
      </c>
      <c r="F22" s="619">
        <f t="shared" si="37"/>
        <v>0</v>
      </c>
      <c r="G22" s="619">
        <f t="shared" si="37"/>
        <v>0</v>
      </c>
      <c r="H22" s="619">
        <f t="shared" si="37"/>
        <v>0</v>
      </c>
      <c r="I22" s="619">
        <f t="shared" si="37"/>
        <v>0</v>
      </c>
      <c r="J22" s="619">
        <f t="shared" si="37"/>
        <v>0</v>
      </c>
      <c r="K22" s="619">
        <f t="shared" si="37"/>
        <v>0</v>
      </c>
      <c r="L22" s="619">
        <f t="shared" si="37"/>
        <v>0</v>
      </c>
      <c r="M22" s="619">
        <f t="shared" si="37"/>
        <v>0</v>
      </c>
      <c r="N22" s="619">
        <f t="shared" si="37"/>
        <v>0</v>
      </c>
      <c r="O22" s="619">
        <f t="shared" si="37"/>
        <v>0</v>
      </c>
      <c r="P22" s="619">
        <f t="shared" si="37"/>
        <v>0</v>
      </c>
      <c r="Q22" s="619">
        <f t="shared" si="37"/>
        <v>0</v>
      </c>
      <c r="R22" s="619">
        <f t="shared" si="37"/>
        <v>0</v>
      </c>
      <c r="S22" s="619">
        <f t="shared" si="37"/>
        <v>0</v>
      </c>
      <c r="T22" s="619">
        <f t="shared" si="37"/>
        <v>0</v>
      </c>
      <c r="U22" s="619">
        <f t="shared" si="37"/>
        <v>0</v>
      </c>
      <c r="V22" s="619">
        <f t="shared" si="37"/>
        <v>0</v>
      </c>
      <c r="W22" s="619">
        <f t="shared" si="37"/>
        <v>0</v>
      </c>
      <c r="X22" s="619">
        <f t="shared" si="37"/>
        <v>0</v>
      </c>
      <c r="Y22" s="619">
        <f t="shared" si="37"/>
        <v>0</v>
      </c>
      <c r="Z22" s="619">
        <f t="shared" ref="Z22:AL22" si="38">SUM(Z14:Z19)</f>
        <v>0</v>
      </c>
      <c r="AA22" s="619">
        <f t="shared" si="38"/>
        <v>0</v>
      </c>
      <c r="AB22" s="619">
        <f t="shared" si="38"/>
        <v>0</v>
      </c>
      <c r="AC22" s="619">
        <f t="shared" si="38"/>
        <v>0</v>
      </c>
      <c r="AD22" s="619">
        <f t="shared" si="38"/>
        <v>0</v>
      </c>
      <c r="AE22" s="619">
        <f t="shared" si="38"/>
        <v>0</v>
      </c>
      <c r="AF22" s="619">
        <f t="shared" si="38"/>
        <v>0</v>
      </c>
      <c r="AG22" s="619">
        <f t="shared" si="38"/>
        <v>0</v>
      </c>
      <c r="AH22" s="619">
        <f t="shared" si="38"/>
        <v>0</v>
      </c>
      <c r="AI22" s="619">
        <f t="shared" si="38"/>
        <v>0</v>
      </c>
      <c r="AJ22" s="619">
        <f t="shared" si="38"/>
        <v>0</v>
      </c>
      <c r="AK22" s="619">
        <f t="shared" si="38"/>
        <v>0</v>
      </c>
      <c r="AL22" s="620">
        <f t="shared" si="38"/>
        <v>0</v>
      </c>
      <c r="AM22" s="590"/>
      <c r="AN22" s="627">
        <f t="shared" ref="AN22:AT22" ca="1" si="39">SUM(AN14:AN19)</f>
        <v>0</v>
      </c>
      <c r="AO22" s="619">
        <f t="shared" ca="1" si="39"/>
        <v>0</v>
      </c>
      <c r="AP22" s="619">
        <f t="shared" ca="1" si="39"/>
        <v>0</v>
      </c>
      <c r="AQ22" s="619">
        <f t="shared" ca="1" si="39"/>
        <v>0</v>
      </c>
      <c r="AR22" s="619">
        <f t="shared" ca="1" si="39"/>
        <v>0</v>
      </c>
      <c r="AS22" s="619">
        <f t="shared" ca="1" si="39"/>
        <v>0</v>
      </c>
      <c r="AT22" s="619">
        <f t="shared" ca="1" si="39"/>
        <v>0</v>
      </c>
      <c r="AU22" s="619">
        <f t="shared" ref="AU22:AY22" ca="1" si="40">SUM(AU14:AU19)</f>
        <v>0</v>
      </c>
      <c r="AV22" s="619">
        <f t="shared" ca="1" si="40"/>
        <v>0</v>
      </c>
      <c r="AW22" s="619">
        <f t="shared" ca="1" si="40"/>
        <v>0</v>
      </c>
      <c r="AX22" s="619">
        <f t="shared" ca="1" si="40"/>
        <v>0</v>
      </c>
      <c r="AY22" s="620">
        <f t="shared" ca="1" si="40"/>
        <v>0</v>
      </c>
      <c r="AZ22" s="590"/>
      <c r="BA22" s="627">
        <f t="shared" ref="BA22" ca="1" si="41">SUM(BA14:BA19)</f>
        <v>0</v>
      </c>
      <c r="BB22" s="619">
        <f t="shared" ref="BB22:BC22" ca="1" si="42">SUM(BB14:BB19)</f>
        <v>0</v>
      </c>
      <c r="BC22" s="620">
        <f t="shared" ca="1" si="42"/>
        <v>0</v>
      </c>
    </row>
    <row r="23" spans="2:55" x14ac:dyDescent="0.35">
      <c r="B23" s="356"/>
      <c r="C23" s="588"/>
      <c r="D23" s="588"/>
      <c r="E23" s="588"/>
      <c r="F23" s="588"/>
      <c r="G23" s="588"/>
      <c r="H23" s="588"/>
      <c r="I23" s="588"/>
      <c r="J23" s="588"/>
      <c r="K23" s="588"/>
      <c r="L23" s="588"/>
      <c r="M23" s="588"/>
      <c r="N23" s="588"/>
      <c r="O23" s="588"/>
      <c r="P23" s="588"/>
      <c r="Q23" s="588"/>
      <c r="R23" s="588"/>
      <c r="S23" s="588"/>
      <c r="T23" s="588"/>
      <c r="U23" s="588"/>
      <c r="V23" s="588"/>
      <c r="W23" s="588"/>
      <c r="X23" s="588"/>
      <c r="Y23" s="588"/>
      <c r="Z23" s="588"/>
      <c r="AA23" s="588"/>
      <c r="AB23" s="588"/>
      <c r="AC23" s="588"/>
      <c r="AD23" s="588"/>
      <c r="AE23" s="588"/>
      <c r="AF23" s="588"/>
      <c r="AG23" s="588"/>
      <c r="AH23" s="588"/>
      <c r="AI23" s="588"/>
      <c r="AJ23" s="588"/>
      <c r="AK23" s="588"/>
      <c r="AL23" s="589"/>
      <c r="AM23" s="590"/>
      <c r="AN23" s="591"/>
      <c r="AO23" s="588"/>
      <c r="AP23" s="588"/>
      <c r="AQ23" s="588"/>
      <c r="AR23" s="588"/>
      <c r="AS23" s="588"/>
      <c r="AT23" s="588"/>
      <c r="AU23" s="588"/>
      <c r="AV23" s="588"/>
      <c r="AW23" s="588"/>
      <c r="AX23" s="588"/>
      <c r="AY23" s="589"/>
      <c r="AZ23" s="590"/>
      <c r="BA23" s="591"/>
      <c r="BB23" s="588"/>
      <c r="BC23" s="589"/>
    </row>
    <row r="24" spans="2:55" x14ac:dyDescent="0.35">
      <c r="B24" s="67" t="s">
        <v>10</v>
      </c>
      <c r="C24" s="619">
        <f>IFERROR(GETPIVOTDATA("Sum of "&amp;C$9,'PT-All'!$A$1,"Scenario",IF(C$12="Forecast",C$11,C$12),"P&amp;L Item",$B24),0)</f>
        <v>0</v>
      </c>
      <c r="D24" s="619">
        <f>IFERROR(GETPIVOTDATA("Sum of "&amp;D$9,'PT-All'!$A$1,"Scenario",IF(D$12="Forecast",D$11,D$12),"P&amp;L Item",$B24),0)</f>
        <v>0</v>
      </c>
      <c r="E24" s="619">
        <f>IFERROR(GETPIVOTDATA("Sum of "&amp;E$9,'PT-All'!$A$1,"Scenario",IF(E$12="Forecast",E$11,E$12),"P&amp;L Item",$B24),0)</f>
        <v>0</v>
      </c>
      <c r="F24" s="619">
        <f>IFERROR(GETPIVOTDATA("Sum of "&amp;F$9,'PT-All'!$A$1,"Scenario",IF(F$12="Forecast",F$11,F$12),"P&amp;L Item",$B24),0)</f>
        <v>0</v>
      </c>
      <c r="G24" s="619">
        <f>IFERROR(GETPIVOTDATA("Sum of "&amp;G$9,'PT-All'!$A$1,"Scenario",IF(G$12="Forecast",G$11,G$12),"P&amp;L Item",$B24),0)</f>
        <v>0</v>
      </c>
      <c r="H24" s="619">
        <f>IFERROR(GETPIVOTDATA("Sum of "&amp;H$9,'PT-All'!$A$1,"Scenario",IF(H$12="Forecast",H$11,H$12),"P&amp;L Item",$B24),0)</f>
        <v>0</v>
      </c>
      <c r="I24" s="619">
        <f>IFERROR(GETPIVOTDATA("Sum of "&amp;I$9,'PT-All'!$A$1,"Scenario",IF(I$12="Forecast",I$11,I$12),"P&amp;L Item",$B24),0)</f>
        <v>0</v>
      </c>
      <c r="J24" s="619">
        <f>IFERROR(GETPIVOTDATA("Sum of "&amp;J$9,'PT-All'!$A$1,"Scenario",IF(J$12="Forecast",J$11,J$12),"P&amp;L Item",$B24),0)</f>
        <v>0</v>
      </c>
      <c r="K24" s="619">
        <f>IFERROR(GETPIVOTDATA("Sum of "&amp;K$9,'PT-All'!$A$1,"Scenario",IF(K$12="Forecast",K$11,K$12),"P&amp;L Item",$B24),0)</f>
        <v>0</v>
      </c>
      <c r="L24" s="619">
        <f>IFERROR(GETPIVOTDATA("Sum of "&amp;L$9,'PT-All'!$A$1,"Scenario",IF(L$12="Forecast",L$11,L$12),"P&amp;L Item",$B24),0)</f>
        <v>0</v>
      </c>
      <c r="M24" s="619">
        <f>IFERROR(GETPIVOTDATA("Sum of "&amp;M$9,'PT-All'!$A$1,"Scenario",IF(M$12="Forecast",M$11,M$12),"P&amp;L Item",$B24),0)</f>
        <v>0</v>
      </c>
      <c r="N24" s="619">
        <f>IFERROR(GETPIVOTDATA("Sum of "&amp;N$9,'PT-All'!$A$1,"Scenario",IF(N$12="Forecast",N$11,N$12),"P&amp;L Item",$B24),0)</f>
        <v>0</v>
      </c>
      <c r="O24" s="619">
        <f>IFERROR(GETPIVOTDATA("Sum of "&amp;O$9,'PT-All'!$A$1,"Scenario",IF(O$12="Forecast",O$11,O$12),"P&amp;L Item",$B24),0)</f>
        <v>0</v>
      </c>
      <c r="P24" s="619">
        <f>IFERROR(GETPIVOTDATA("Sum of "&amp;P$9,'PT-All'!$A$1,"Scenario",IF(P$12="Forecast",P$11,P$12),"P&amp;L Item",$B24),0)</f>
        <v>0</v>
      </c>
      <c r="Q24" s="619">
        <f>IFERROR(GETPIVOTDATA("Sum of "&amp;Q$9,'PT-All'!$A$1,"Scenario",IF(Q$12="Forecast",Q$11,Q$12),"P&amp;L Item",$B24),0)</f>
        <v>0</v>
      </c>
      <c r="R24" s="619">
        <f>IFERROR(GETPIVOTDATA("Sum of "&amp;R$9,'PT-All'!$A$1,"Scenario",IF(R$12="Forecast",R$11,R$12),"P&amp;L Item",$B24),0)</f>
        <v>0</v>
      </c>
      <c r="S24" s="619">
        <f>IFERROR(GETPIVOTDATA("Sum of "&amp;S$9,'PT-All'!$A$1,"Scenario",IF(S$12="Forecast",S$11,S$12),"P&amp;L Item",$B24),0)</f>
        <v>0</v>
      </c>
      <c r="T24" s="619">
        <f>IFERROR(GETPIVOTDATA("Sum of "&amp;T$9,'PT-All'!$A$1,"Scenario",IF(T$12="Forecast",T$11,T$12),"P&amp;L Item",$B24),0)</f>
        <v>0</v>
      </c>
      <c r="U24" s="619">
        <f>IFERROR(GETPIVOTDATA("Sum of "&amp;U$9,'PT-All'!$A$1,"Scenario",IF(U$12="Forecast",U$11,U$12),"P&amp;L Item",$B24),0)</f>
        <v>0</v>
      </c>
      <c r="V24" s="619">
        <f>IFERROR(GETPIVOTDATA("Sum of "&amp;V$9,'PT-All'!$A$1,"Scenario",IF(V$12="Forecast",V$11,V$12),"P&amp;L Item",$B24),0)</f>
        <v>0</v>
      </c>
      <c r="W24" s="619">
        <f>IFERROR(GETPIVOTDATA("Sum of "&amp;W$9,'PT-All'!$A$1,"Scenario",IF(W$12="Forecast",W$11,W$12),"P&amp;L Item",$B24),0)</f>
        <v>0</v>
      </c>
      <c r="X24" s="619">
        <f>IFERROR(GETPIVOTDATA("Sum of "&amp;X$9,'PT-All'!$A$1,"Scenario",IF(X$12="Forecast",X$11,X$12),"P&amp;L Item",$B24),0)</f>
        <v>0</v>
      </c>
      <c r="Y24" s="619">
        <f>IFERROR(GETPIVOTDATA("Sum of "&amp;Y$9,'PT-All'!$A$1,"Scenario",IF(Y$12="Forecast",Y$11,Y$12),"P&amp;L Item",$B24),0)</f>
        <v>0</v>
      </c>
      <c r="Z24" s="619">
        <f>IFERROR(GETPIVOTDATA("Sum of "&amp;Z$9,'PT-All'!$A$1,"Scenario",IF(Z$12="Forecast",Z$11,Z$12),"P&amp;L Item",$B24),0)</f>
        <v>0</v>
      </c>
      <c r="AA24" s="619">
        <f>IFERROR(GETPIVOTDATA("Sum of "&amp;AA$9,'PT-All'!$A$1,"Scenario",IF(AA$12="Forecast",AA$11,AA$12),"P&amp;L Item",$B24),0)</f>
        <v>0</v>
      </c>
      <c r="AB24" s="619">
        <f>IFERROR(GETPIVOTDATA("Sum of "&amp;AB$9,'PT-All'!$A$1,"Scenario",IF(AB$12="Forecast",AB$11,AB$12),"P&amp;L Item",$B24),0)</f>
        <v>0</v>
      </c>
      <c r="AC24" s="619">
        <f>IFERROR(GETPIVOTDATA("Sum of "&amp;AC$9,'PT-All'!$A$1,"Scenario",IF(AC$12="Forecast",AC$11,AC$12),"P&amp;L Item",$B24),0)</f>
        <v>0</v>
      </c>
      <c r="AD24" s="619">
        <f>IFERROR(GETPIVOTDATA("Sum of "&amp;AD$9,'PT-All'!$A$1,"Scenario",IF(AD$12="Forecast",AD$11,AD$12),"P&amp;L Item",$B24),0)</f>
        <v>0</v>
      </c>
      <c r="AE24" s="619">
        <f>IFERROR(GETPIVOTDATA("Sum of "&amp;AE$9,'PT-All'!$A$1,"Scenario",IF(AE$12="Forecast",AE$11,AE$12),"P&amp;L Item",$B24),0)</f>
        <v>0</v>
      </c>
      <c r="AF24" s="619">
        <f>IFERROR(GETPIVOTDATA("Sum of "&amp;AF$9,'PT-All'!$A$1,"Scenario",IF(AF$12="Forecast",AF$11,AF$12),"P&amp;L Item",$B24),0)</f>
        <v>0</v>
      </c>
      <c r="AG24" s="619">
        <f>IFERROR(GETPIVOTDATA("Sum of "&amp;AG$9,'PT-All'!$A$1,"Scenario",IF(AG$12="Forecast",AG$11,AG$12),"P&amp;L Item",$B24),0)</f>
        <v>0</v>
      </c>
      <c r="AH24" s="619">
        <f>IFERROR(GETPIVOTDATA("Sum of "&amp;AH$9,'PT-All'!$A$1,"Scenario",IF(AH$12="Forecast",AH$11,AH$12),"P&amp;L Item",$B24),0)</f>
        <v>0</v>
      </c>
      <c r="AI24" s="619">
        <f>IFERROR(GETPIVOTDATA("Sum of "&amp;AI$9,'PT-All'!$A$1,"Scenario",IF(AI$12="Forecast",AI$11,AI$12),"P&amp;L Item",$B24),0)</f>
        <v>0</v>
      </c>
      <c r="AJ24" s="619">
        <f>IFERROR(GETPIVOTDATA("Sum of "&amp;AJ$9,'PT-All'!$A$1,"Scenario",IF(AJ$12="Forecast",AJ$11,AJ$12),"P&amp;L Item",$B24),0)</f>
        <v>0</v>
      </c>
      <c r="AK24" s="619">
        <f>IFERROR(GETPIVOTDATA("Sum of "&amp;AK$9,'PT-All'!$A$1,"Scenario",IF(AK$12="Forecast",AK$11,AK$12),"P&amp;L Item",$B24),0)</f>
        <v>0</v>
      </c>
      <c r="AL24" s="620">
        <f>IFERROR(GETPIVOTDATA("Sum of "&amp;AL$9,'PT-All'!$A$1,"Scenario",IF(AL$12="Forecast",AL$11,AL$12),"P&amp;L Item",$B24),0)</f>
        <v>0</v>
      </c>
      <c r="AM24" s="590"/>
      <c r="AN24" s="627">
        <f ca="1">IF(IF(AN$12="Forecast",AN$11,AN$12)="Pro Forma",SUM(OFFSET($B24,0,3*AN$9+1,1,3)),IFERROR(GETPIVOTDATA("Sum of Q"&amp;AN$9+1,'PT-All'!$A$1,"Scenario",IF(AN$12="Forecast",AN$11,AN$12),"P&amp;L Item",$B24),0))</f>
        <v>0</v>
      </c>
      <c r="AO24" s="619">
        <f ca="1">IF(IF(AO$12="Forecast",AO$11,AO$12)="Pro Forma",SUM(OFFSET($B24,0,3*AO$9+1,1,3)),IFERROR(GETPIVOTDATA("Sum of Q"&amp;AO$9+1,'PT-All'!$A$1,"Scenario",IF(AO$12="Forecast",AO$11,AO$12),"P&amp;L Item",$B24),0))</f>
        <v>0</v>
      </c>
      <c r="AP24" s="619">
        <f ca="1">IF(IF(AP$12="Forecast",AP$11,AP$12)="Pro Forma",SUM(OFFSET($B24,0,3*AP$9+1,1,3)),IFERROR(GETPIVOTDATA("Sum of Q"&amp;AP$9+1,'PT-All'!$A$1,"Scenario",IF(AP$12="Forecast",AP$11,AP$12),"P&amp;L Item",$B24),0))</f>
        <v>0</v>
      </c>
      <c r="AQ24" s="619">
        <f ca="1">IF(IF(AQ$12="Forecast",AQ$11,AQ$12)="Pro Forma",SUM(OFFSET($B24,0,3*AQ$9+1,1,3)),IFERROR(GETPIVOTDATA("Sum of Q"&amp;AQ$9+1,'PT-All'!$A$1,"Scenario",IF(AQ$12="Forecast",AQ$11,AQ$12),"P&amp;L Item",$B24),0))</f>
        <v>0</v>
      </c>
      <c r="AR24" s="619">
        <f ca="1">IF(IF(AR$12="Forecast",AR$11,AR$12)="Pro Forma",SUM(OFFSET($B24,0,3*AR$9+1,1,3)),IFERROR(GETPIVOTDATA("Sum of Q"&amp;AR$9+1,'PT-All'!$A$1,"Scenario",IF(AR$12="Forecast",AR$11,AR$12),"P&amp;L Item",$B24),0))</f>
        <v>0</v>
      </c>
      <c r="AS24" s="619">
        <f ca="1">IF(IF(AS$12="Forecast",AS$11,AS$12)="Pro Forma",SUM(OFFSET($B24,0,3*AS$9+1,1,3)),IFERROR(GETPIVOTDATA("Sum of Q"&amp;AS$9+1,'PT-All'!$A$1,"Scenario",IF(AS$12="Forecast",AS$11,AS$12),"P&amp;L Item",$B24),0))</f>
        <v>0</v>
      </c>
      <c r="AT24" s="619">
        <f ca="1">IF(IF(AT$12="Forecast",AT$11,AT$12)="Pro Forma",SUM(OFFSET($B24,0,3*AT$9+1,1,3)),IFERROR(GETPIVOTDATA("Sum of Q"&amp;AT$9+1,'PT-All'!$A$1,"Scenario",IF(AT$12="Forecast",AT$11,AT$12),"P&amp;L Item",$B24),0))</f>
        <v>0</v>
      </c>
      <c r="AU24" s="619">
        <f ca="1">IF(IF(AU$12="Forecast",AU$11,AU$12)="Pro Forma",SUM(OFFSET($B24,0,3*AU$9+1,1,3)),IFERROR(GETPIVOTDATA("Sum of Q"&amp;AU$9+1,'PT-All'!$A$1,"Scenario",IF(AU$12="Forecast",AU$11,AU$12),"P&amp;L Item",$B24),0))</f>
        <v>0</v>
      </c>
      <c r="AV24" s="619">
        <f ca="1">IF(IF(AV$12="Forecast",AV$11,AV$12)="Pro Forma",SUM(OFFSET($B24,0,3*AV$9+1,1,3)),IFERROR(GETPIVOTDATA("Sum of Q"&amp;AV$9+1,'PT-All'!$A$1,"Scenario",IF(AV$12="Forecast",AV$11,AV$12),"P&amp;L Item",$B24),0))</f>
        <v>0</v>
      </c>
      <c r="AW24" s="619">
        <f ca="1">IF(IF(AW$12="Forecast",AW$11,AW$12)="Pro Forma",SUM(OFFSET($B24,0,3*AW$9+1,1,3)),IFERROR(GETPIVOTDATA("Sum of Q"&amp;AW$9+1,'PT-All'!$A$1,"Scenario",IF(AW$12="Forecast",AW$11,AW$12),"P&amp;L Item",$B24),0))</f>
        <v>0</v>
      </c>
      <c r="AX24" s="619">
        <f ca="1">IF(IF(AX$12="Forecast",AX$11,AX$12)="Pro Forma",SUM(OFFSET($B24,0,3*AX$9+1,1,3)),IFERROR(GETPIVOTDATA("Sum of Q"&amp;AX$9+1,'PT-All'!$A$1,"Scenario",IF(AX$12="Forecast",AX$11,AX$12),"P&amp;L Item",$B24),0))</f>
        <v>0</v>
      </c>
      <c r="AY24" s="620">
        <f ca="1">IF(IF(AY$12="Forecast",AY$11,AY$12)="Pro Forma",SUM(OFFSET($B24,0,3*AY$9+1,1,3)),IFERROR(GETPIVOTDATA("Sum of Q"&amp;AY$9+1,'PT-All'!$A$1,"Scenario",IF(AY$12="Forecast",AY$11,AY$12),"P&amp;L Item",$B24),0))</f>
        <v>0</v>
      </c>
      <c r="AZ24" s="590"/>
      <c r="BA24" s="627">
        <f ca="1">IF(IF(BA$12="Forecast",BA$11,BA$12)="Pro Forma",SUM(OFFSET($B24,0,12*BA$9+1,1,12)),IFERROR(GETPIVOTDATA("Sum of FY"&amp;BA$9+1,'PT-All'!$A$1,"Scenario",IF(BA$12="Forecast",BA$11,BA$12),"P&amp;L Item",$B24),0))</f>
        <v>0</v>
      </c>
      <c r="BB24" s="619">
        <f ca="1">IF(IF(BB$12="Forecast",BB$11,BB$12)="Pro Forma",SUM(OFFSET($B24,0,12*BB$9+1,1,12)),IFERROR(GETPIVOTDATA("Sum of FY"&amp;BB$9+1,'PT-All'!$A$1,"Scenario",IF(BB$12="Forecast",BB$11,BB$12),"P&amp;L Item",$B24),0))</f>
        <v>0</v>
      </c>
      <c r="BC24" s="620">
        <f ca="1">IF(IF(BC$12="Forecast",BC$11,BC$12)="Pro Forma",SUM(OFFSET($B24,0,12*BC$9+1,1,12)),IFERROR(GETPIVOTDATA("Sum of FY"&amp;BC$9+1,'PT-All'!$A$1,"Scenario",IF(BC$12="Forecast",BC$11,BC$12),"P&amp;L Item",$B24),0))</f>
        <v>0</v>
      </c>
    </row>
    <row r="25" spans="2:55" x14ac:dyDescent="0.35">
      <c r="B25" s="357"/>
      <c r="C25" s="595"/>
      <c r="D25" s="595"/>
      <c r="E25" s="595"/>
      <c r="F25" s="595"/>
      <c r="G25" s="595"/>
      <c r="H25" s="595"/>
      <c r="I25" s="595"/>
      <c r="J25" s="595"/>
      <c r="K25" s="595"/>
      <c r="L25" s="595"/>
      <c r="M25" s="595"/>
      <c r="N25" s="595"/>
      <c r="O25" s="595"/>
      <c r="P25" s="595"/>
      <c r="Q25" s="595"/>
      <c r="R25" s="595"/>
      <c r="S25" s="595"/>
      <c r="T25" s="595"/>
      <c r="U25" s="595"/>
      <c r="V25" s="595"/>
      <c r="W25" s="595"/>
      <c r="X25" s="595"/>
      <c r="Y25" s="595"/>
      <c r="Z25" s="595"/>
      <c r="AA25" s="595"/>
      <c r="AB25" s="595"/>
      <c r="AC25" s="595"/>
      <c r="AD25" s="595"/>
      <c r="AE25" s="595"/>
      <c r="AF25" s="595"/>
      <c r="AG25" s="595"/>
      <c r="AH25" s="595"/>
      <c r="AI25" s="595"/>
      <c r="AJ25" s="595"/>
      <c r="AK25" s="595"/>
      <c r="AL25" s="596"/>
      <c r="AM25" s="590"/>
      <c r="AN25" s="597"/>
      <c r="AO25" s="595"/>
      <c r="AP25" s="595"/>
      <c r="AQ25" s="595"/>
      <c r="AR25" s="595"/>
      <c r="AS25" s="595"/>
      <c r="AT25" s="595"/>
      <c r="AU25" s="595"/>
      <c r="AV25" s="595"/>
      <c r="AW25" s="595"/>
      <c r="AX25" s="595"/>
      <c r="AY25" s="596"/>
      <c r="AZ25" s="590"/>
      <c r="BA25" s="597"/>
      <c r="BB25" s="595"/>
      <c r="BC25" s="596"/>
    </row>
    <row r="26" spans="2:55" x14ac:dyDescent="0.35">
      <c r="B26" s="618" t="s">
        <v>11</v>
      </c>
      <c r="C26" s="621">
        <f>C22+C24</f>
        <v>0</v>
      </c>
      <c r="D26" s="621">
        <f t="shared" ref="D26:BA26" si="43">D22+D24</f>
        <v>0</v>
      </c>
      <c r="E26" s="621">
        <f t="shared" si="43"/>
        <v>0</v>
      </c>
      <c r="F26" s="621">
        <f t="shared" si="43"/>
        <v>0</v>
      </c>
      <c r="G26" s="621">
        <f t="shared" si="43"/>
        <v>0</v>
      </c>
      <c r="H26" s="621">
        <f t="shared" si="43"/>
        <v>0</v>
      </c>
      <c r="I26" s="621">
        <f t="shared" si="43"/>
        <v>0</v>
      </c>
      <c r="J26" s="621">
        <f t="shared" si="43"/>
        <v>0</v>
      </c>
      <c r="K26" s="621">
        <f t="shared" si="43"/>
        <v>0</v>
      </c>
      <c r="L26" s="621">
        <f t="shared" si="43"/>
        <v>0</v>
      </c>
      <c r="M26" s="621">
        <f t="shared" si="43"/>
        <v>0</v>
      </c>
      <c r="N26" s="621">
        <f t="shared" si="43"/>
        <v>0</v>
      </c>
      <c r="O26" s="621">
        <f t="shared" si="43"/>
        <v>0</v>
      </c>
      <c r="P26" s="621">
        <f t="shared" si="43"/>
        <v>0</v>
      </c>
      <c r="Q26" s="621">
        <f t="shared" si="43"/>
        <v>0</v>
      </c>
      <c r="R26" s="621">
        <f t="shared" si="43"/>
        <v>0</v>
      </c>
      <c r="S26" s="621">
        <f t="shared" si="43"/>
        <v>0</v>
      </c>
      <c r="T26" s="621">
        <f t="shared" si="43"/>
        <v>0</v>
      </c>
      <c r="U26" s="621">
        <f t="shared" si="43"/>
        <v>0</v>
      </c>
      <c r="V26" s="621">
        <f t="shared" si="43"/>
        <v>0</v>
      </c>
      <c r="W26" s="621">
        <f t="shared" si="43"/>
        <v>0</v>
      </c>
      <c r="X26" s="621">
        <f t="shared" si="43"/>
        <v>0</v>
      </c>
      <c r="Y26" s="621">
        <f t="shared" si="43"/>
        <v>0</v>
      </c>
      <c r="Z26" s="621">
        <f t="shared" ref="Z26:AL26" si="44">Z22+Z24</f>
        <v>0</v>
      </c>
      <c r="AA26" s="621">
        <f t="shared" si="44"/>
        <v>0</v>
      </c>
      <c r="AB26" s="621">
        <f t="shared" si="44"/>
        <v>0</v>
      </c>
      <c r="AC26" s="621">
        <f t="shared" si="44"/>
        <v>0</v>
      </c>
      <c r="AD26" s="621">
        <f t="shared" si="44"/>
        <v>0</v>
      </c>
      <c r="AE26" s="621">
        <f t="shared" si="44"/>
        <v>0</v>
      </c>
      <c r="AF26" s="621">
        <f t="shared" si="44"/>
        <v>0</v>
      </c>
      <c r="AG26" s="621">
        <f t="shared" si="44"/>
        <v>0</v>
      </c>
      <c r="AH26" s="621">
        <f t="shared" si="44"/>
        <v>0</v>
      </c>
      <c r="AI26" s="621">
        <f t="shared" si="44"/>
        <v>0</v>
      </c>
      <c r="AJ26" s="621">
        <f t="shared" si="44"/>
        <v>0</v>
      </c>
      <c r="AK26" s="621">
        <f t="shared" si="44"/>
        <v>0</v>
      </c>
      <c r="AL26" s="622">
        <f t="shared" si="44"/>
        <v>0</v>
      </c>
      <c r="AM26" s="590"/>
      <c r="AN26" s="626">
        <f t="shared" ca="1" si="43"/>
        <v>0</v>
      </c>
      <c r="AO26" s="621">
        <f t="shared" ca="1" si="43"/>
        <v>0</v>
      </c>
      <c r="AP26" s="621">
        <f t="shared" ca="1" si="43"/>
        <v>0</v>
      </c>
      <c r="AQ26" s="621">
        <f t="shared" ca="1" si="43"/>
        <v>0</v>
      </c>
      <c r="AR26" s="621">
        <f t="shared" ca="1" si="43"/>
        <v>0</v>
      </c>
      <c r="AS26" s="621">
        <f t="shared" ca="1" si="43"/>
        <v>0</v>
      </c>
      <c r="AT26" s="621">
        <f t="shared" ca="1" si="43"/>
        <v>0</v>
      </c>
      <c r="AU26" s="621">
        <f t="shared" ref="AU26:AY26" ca="1" si="45">AU22+AU24</f>
        <v>0</v>
      </c>
      <c r="AV26" s="621">
        <f t="shared" ca="1" si="45"/>
        <v>0</v>
      </c>
      <c r="AW26" s="621">
        <f t="shared" ca="1" si="45"/>
        <v>0</v>
      </c>
      <c r="AX26" s="621">
        <f t="shared" ca="1" si="45"/>
        <v>0</v>
      </c>
      <c r="AY26" s="622">
        <f t="shared" ca="1" si="45"/>
        <v>0</v>
      </c>
      <c r="AZ26" s="590"/>
      <c r="BA26" s="626">
        <f t="shared" ca="1" si="43"/>
        <v>0</v>
      </c>
      <c r="BB26" s="621">
        <f t="shared" ref="BB26:BC26" ca="1" si="46">BB22+BB24</f>
        <v>0</v>
      </c>
      <c r="BC26" s="622">
        <f t="shared" ca="1" si="46"/>
        <v>0</v>
      </c>
    </row>
    <row r="27" spans="2:55" x14ac:dyDescent="0.35">
      <c r="B27" s="356" t="s">
        <v>12</v>
      </c>
      <c r="C27" s="592">
        <f>IFERROR(GETPIVOTDATA("Sum of "&amp;C$9,'PT-All'!$A$1,"Scenario",IF(C$12="Forecast",C$11,C$12),"P&amp;L Item",$B27),0)</f>
        <v>0</v>
      </c>
      <c r="D27" s="592">
        <f>IFERROR(GETPIVOTDATA("Sum of "&amp;D$9,'PT-All'!$A$1,"Scenario",IF(D$12="Forecast",D$11,D$12),"P&amp;L Item",$B27),0)</f>
        <v>0</v>
      </c>
      <c r="E27" s="592">
        <f>IFERROR(GETPIVOTDATA("Sum of "&amp;E$9,'PT-All'!$A$1,"Scenario",IF(E$12="Forecast",E$11,E$12),"P&amp;L Item",$B27),0)</f>
        <v>0</v>
      </c>
      <c r="F27" s="592">
        <f>IFERROR(GETPIVOTDATA("Sum of "&amp;F$9,'PT-All'!$A$1,"Scenario",IF(F$12="Forecast",F$11,F$12),"P&amp;L Item",$B27),0)</f>
        <v>0</v>
      </c>
      <c r="G27" s="592">
        <f>IFERROR(GETPIVOTDATA("Sum of "&amp;G$9,'PT-All'!$A$1,"Scenario",IF(G$12="Forecast",G$11,G$12),"P&amp;L Item",$B27),0)</f>
        <v>0</v>
      </c>
      <c r="H27" s="592">
        <f>IFERROR(GETPIVOTDATA("Sum of "&amp;H$9,'PT-All'!$A$1,"Scenario",IF(H$12="Forecast",H$11,H$12),"P&amp;L Item",$B27),0)</f>
        <v>0</v>
      </c>
      <c r="I27" s="592">
        <f>IFERROR(GETPIVOTDATA("Sum of "&amp;I$9,'PT-All'!$A$1,"Scenario",IF(I$12="Forecast",I$11,I$12),"P&amp;L Item",$B27),0)</f>
        <v>0</v>
      </c>
      <c r="J27" s="592">
        <f>IFERROR(GETPIVOTDATA("Sum of "&amp;J$9,'PT-All'!$A$1,"Scenario",IF(J$12="Forecast",J$11,J$12),"P&amp;L Item",$B27),0)</f>
        <v>0</v>
      </c>
      <c r="K27" s="592">
        <f>IFERROR(GETPIVOTDATA("Sum of "&amp;K$9,'PT-All'!$A$1,"Scenario",IF(K$12="Forecast",K$11,K$12),"P&amp;L Item",$B27),0)</f>
        <v>0</v>
      </c>
      <c r="L27" s="592">
        <f>IFERROR(GETPIVOTDATA("Sum of "&amp;L$9,'PT-All'!$A$1,"Scenario",IF(L$12="Forecast",L$11,L$12),"P&amp;L Item",$B27),0)</f>
        <v>0</v>
      </c>
      <c r="M27" s="592">
        <f>IFERROR(GETPIVOTDATA("Sum of "&amp;M$9,'PT-All'!$A$1,"Scenario",IF(M$12="Forecast",M$11,M$12),"P&amp;L Item",$B27),0)</f>
        <v>0</v>
      </c>
      <c r="N27" s="592">
        <f>IFERROR(GETPIVOTDATA("Sum of "&amp;N$9,'PT-All'!$A$1,"Scenario",IF(N$12="Forecast",N$11,N$12),"P&amp;L Item",$B27),0)</f>
        <v>0</v>
      </c>
      <c r="O27" s="592">
        <f>IFERROR(GETPIVOTDATA("Sum of "&amp;O$9,'PT-All'!$A$1,"Scenario",IF(O$12="Forecast",O$11,O$12),"P&amp;L Item",$B27),0)</f>
        <v>0</v>
      </c>
      <c r="P27" s="592">
        <f>IFERROR(GETPIVOTDATA("Sum of "&amp;P$9,'PT-All'!$A$1,"Scenario",IF(P$12="Forecast",P$11,P$12),"P&amp;L Item",$B27),0)</f>
        <v>0</v>
      </c>
      <c r="Q27" s="592">
        <f>IFERROR(GETPIVOTDATA("Sum of "&amp;Q$9,'PT-All'!$A$1,"Scenario",IF(Q$12="Forecast",Q$11,Q$12),"P&amp;L Item",$B27),0)</f>
        <v>0</v>
      </c>
      <c r="R27" s="592">
        <f>IFERROR(GETPIVOTDATA("Sum of "&amp;R$9,'PT-All'!$A$1,"Scenario",IF(R$12="Forecast",R$11,R$12),"P&amp;L Item",$B27),0)</f>
        <v>0</v>
      </c>
      <c r="S27" s="592">
        <f>IFERROR(GETPIVOTDATA("Sum of "&amp;S$9,'PT-All'!$A$1,"Scenario",IF(S$12="Forecast",S$11,S$12),"P&amp;L Item",$B27),0)</f>
        <v>0</v>
      </c>
      <c r="T27" s="592">
        <f>IFERROR(GETPIVOTDATA("Sum of "&amp;T$9,'PT-All'!$A$1,"Scenario",IF(T$12="Forecast",T$11,T$12),"P&amp;L Item",$B27),0)</f>
        <v>0</v>
      </c>
      <c r="U27" s="592">
        <f>IFERROR(GETPIVOTDATA("Sum of "&amp;U$9,'PT-All'!$A$1,"Scenario",IF(U$12="Forecast",U$11,U$12),"P&amp;L Item",$B27),0)</f>
        <v>0</v>
      </c>
      <c r="V27" s="592">
        <f>IFERROR(GETPIVOTDATA("Sum of "&amp;V$9,'PT-All'!$A$1,"Scenario",IF(V$12="Forecast",V$11,V$12),"P&amp;L Item",$B27),0)</f>
        <v>0</v>
      </c>
      <c r="W27" s="592">
        <f>IFERROR(GETPIVOTDATA("Sum of "&amp;W$9,'PT-All'!$A$1,"Scenario",IF(W$12="Forecast",W$11,W$12),"P&amp;L Item",$B27),0)</f>
        <v>0</v>
      </c>
      <c r="X27" s="592">
        <f>IFERROR(GETPIVOTDATA("Sum of "&amp;X$9,'PT-All'!$A$1,"Scenario",IF(X$12="Forecast",X$11,X$12),"P&amp;L Item",$B27),0)</f>
        <v>0</v>
      </c>
      <c r="Y27" s="592">
        <f>IFERROR(GETPIVOTDATA("Sum of "&amp;Y$9,'PT-All'!$A$1,"Scenario",IF(Y$12="Forecast",Y$11,Y$12),"P&amp;L Item",$B27),0)</f>
        <v>0</v>
      </c>
      <c r="Z27" s="592">
        <f>IFERROR(GETPIVOTDATA("Sum of "&amp;Z$9,'PT-All'!$A$1,"Scenario",IF(Z$12="Forecast",Z$11,Z$12),"P&amp;L Item",$B27),0)</f>
        <v>0</v>
      </c>
      <c r="AA27" s="592">
        <f>IFERROR(GETPIVOTDATA("Sum of "&amp;AA$9,'PT-All'!$A$1,"Scenario",IF(AA$12="Forecast",AA$11,AA$12),"P&amp;L Item",$B27),0)</f>
        <v>0</v>
      </c>
      <c r="AB27" s="592">
        <f>IFERROR(GETPIVOTDATA("Sum of "&amp;AB$9,'PT-All'!$A$1,"Scenario",IF(AB$12="Forecast",AB$11,AB$12),"P&amp;L Item",$B27),0)</f>
        <v>0</v>
      </c>
      <c r="AC27" s="592">
        <f>IFERROR(GETPIVOTDATA("Sum of "&amp;AC$9,'PT-All'!$A$1,"Scenario",IF(AC$12="Forecast",AC$11,AC$12),"P&amp;L Item",$B27),0)</f>
        <v>0</v>
      </c>
      <c r="AD27" s="592">
        <f>IFERROR(GETPIVOTDATA("Sum of "&amp;AD$9,'PT-All'!$A$1,"Scenario",IF(AD$12="Forecast",AD$11,AD$12),"P&amp;L Item",$B27),0)</f>
        <v>0</v>
      </c>
      <c r="AE27" s="592">
        <f>IFERROR(GETPIVOTDATA("Sum of "&amp;AE$9,'PT-All'!$A$1,"Scenario",IF(AE$12="Forecast",AE$11,AE$12),"P&amp;L Item",$B27),0)</f>
        <v>0</v>
      </c>
      <c r="AF27" s="592">
        <f>IFERROR(GETPIVOTDATA("Sum of "&amp;AF$9,'PT-All'!$A$1,"Scenario",IF(AF$12="Forecast",AF$11,AF$12),"P&amp;L Item",$B27),0)</f>
        <v>0</v>
      </c>
      <c r="AG27" s="592">
        <f>IFERROR(GETPIVOTDATA("Sum of "&amp;AG$9,'PT-All'!$A$1,"Scenario",IF(AG$12="Forecast",AG$11,AG$12),"P&amp;L Item",$B27),0)</f>
        <v>0</v>
      </c>
      <c r="AH27" s="592">
        <f>IFERROR(GETPIVOTDATA("Sum of "&amp;AH$9,'PT-All'!$A$1,"Scenario",IF(AH$12="Forecast",AH$11,AH$12),"P&amp;L Item",$B27),0)</f>
        <v>0</v>
      </c>
      <c r="AI27" s="592">
        <f>IFERROR(GETPIVOTDATA("Sum of "&amp;AI$9,'PT-All'!$A$1,"Scenario",IF(AI$12="Forecast",AI$11,AI$12),"P&amp;L Item",$B27),0)</f>
        <v>0</v>
      </c>
      <c r="AJ27" s="592">
        <f>IFERROR(GETPIVOTDATA("Sum of "&amp;AJ$9,'PT-All'!$A$1,"Scenario",IF(AJ$12="Forecast",AJ$11,AJ$12),"P&amp;L Item",$B27),0)</f>
        <v>0</v>
      </c>
      <c r="AK27" s="592">
        <f>IFERROR(GETPIVOTDATA("Sum of "&amp;AK$9,'PT-All'!$A$1,"Scenario",IF(AK$12="Forecast",AK$11,AK$12),"P&amp;L Item",$B27),0)</f>
        <v>0</v>
      </c>
      <c r="AL27" s="593">
        <f>IFERROR(GETPIVOTDATA("Sum of "&amp;AL$9,'PT-All'!$A$1,"Scenario",IF(AL$12="Forecast",AL$11,AL$12),"P&amp;L Item",$B27),0)</f>
        <v>0</v>
      </c>
      <c r="AM27" s="590"/>
      <c r="AN27" s="594">
        <f ca="1">IF(IF(AN$12="Forecast",AN$11,AN$12)="Pro Forma",SUM(OFFSET($B27,0,3*AN$9+1,1,3)),IFERROR(GETPIVOTDATA("Sum of Q"&amp;AN$9+1,'PT-All'!$A$1,"Scenario",IF(AN$12="Forecast",AN$11,AN$12),"P&amp;L Item",$B27),0))</f>
        <v>0</v>
      </c>
      <c r="AO27" s="592">
        <f ca="1">IF(IF(AO$12="Forecast",AO$11,AO$12)="Pro Forma",SUM(OFFSET($B27,0,3*AO$9+1,1,3)),IFERROR(GETPIVOTDATA("Sum of Q"&amp;AO$9+1,'PT-All'!$A$1,"Scenario",IF(AO$12="Forecast",AO$11,AO$12),"P&amp;L Item",$B27),0))</f>
        <v>0</v>
      </c>
      <c r="AP27" s="592">
        <f ca="1">IF(IF(AP$12="Forecast",AP$11,AP$12)="Pro Forma",SUM(OFFSET($B27,0,3*AP$9+1,1,3)),IFERROR(GETPIVOTDATA("Sum of Q"&amp;AP$9+1,'PT-All'!$A$1,"Scenario",IF(AP$12="Forecast",AP$11,AP$12),"P&amp;L Item",$B27),0))</f>
        <v>0</v>
      </c>
      <c r="AQ27" s="592">
        <f ca="1">IF(IF(AQ$12="Forecast",AQ$11,AQ$12)="Pro Forma",SUM(OFFSET($B27,0,3*AQ$9+1,1,3)),IFERROR(GETPIVOTDATA("Sum of Q"&amp;AQ$9+1,'PT-All'!$A$1,"Scenario",IF(AQ$12="Forecast",AQ$11,AQ$12),"P&amp;L Item",$B27),0))</f>
        <v>0</v>
      </c>
      <c r="AR27" s="592">
        <f ca="1">IF(IF(AR$12="Forecast",AR$11,AR$12)="Pro Forma",SUM(OFFSET($B27,0,3*AR$9+1,1,3)),IFERROR(GETPIVOTDATA("Sum of Q"&amp;AR$9+1,'PT-All'!$A$1,"Scenario",IF(AR$12="Forecast",AR$11,AR$12),"P&amp;L Item",$B27),0))</f>
        <v>0</v>
      </c>
      <c r="AS27" s="592">
        <f ca="1">IF(IF(AS$12="Forecast",AS$11,AS$12)="Pro Forma",SUM(OFFSET($B27,0,3*AS$9+1,1,3)),IFERROR(GETPIVOTDATA("Sum of Q"&amp;AS$9+1,'PT-All'!$A$1,"Scenario",IF(AS$12="Forecast",AS$11,AS$12),"P&amp;L Item",$B27),0))</f>
        <v>0</v>
      </c>
      <c r="AT27" s="592">
        <f ca="1">IF(IF(AT$12="Forecast",AT$11,AT$12)="Pro Forma",SUM(OFFSET($B27,0,3*AT$9+1,1,3)),IFERROR(GETPIVOTDATA("Sum of Q"&amp;AT$9+1,'PT-All'!$A$1,"Scenario",IF(AT$12="Forecast",AT$11,AT$12),"P&amp;L Item",$B27),0))</f>
        <v>0</v>
      </c>
      <c r="AU27" s="592">
        <f ca="1">IF(IF(AU$12="Forecast",AU$11,AU$12)="Pro Forma",SUM(OFFSET($B27,0,3*AU$9+1,1,3)),IFERROR(GETPIVOTDATA("Sum of Q"&amp;AU$9+1,'PT-All'!$A$1,"Scenario",IF(AU$12="Forecast",AU$11,AU$12),"P&amp;L Item",$B27),0))</f>
        <v>0</v>
      </c>
      <c r="AV27" s="592">
        <f ca="1">IF(IF(AV$12="Forecast",AV$11,AV$12)="Pro Forma",SUM(OFFSET($B27,0,3*AV$9+1,1,3)),IFERROR(GETPIVOTDATA("Sum of Q"&amp;AV$9+1,'PT-All'!$A$1,"Scenario",IF(AV$12="Forecast",AV$11,AV$12),"P&amp;L Item",$B27),0))</f>
        <v>0</v>
      </c>
      <c r="AW27" s="592">
        <f ca="1">IF(IF(AW$12="Forecast",AW$11,AW$12)="Pro Forma",SUM(OFFSET($B27,0,3*AW$9+1,1,3)),IFERROR(GETPIVOTDATA("Sum of Q"&amp;AW$9+1,'PT-All'!$A$1,"Scenario",IF(AW$12="Forecast",AW$11,AW$12),"P&amp;L Item",$B27),0))</f>
        <v>0</v>
      </c>
      <c r="AX27" s="592">
        <f ca="1">IF(IF(AX$12="Forecast",AX$11,AX$12)="Pro Forma",SUM(OFFSET($B27,0,3*AX$9+1,1,3)),IFERROR(GETPIVOTDATA("Sum of Q"&amp;AX$9+1,'PT-All'!$A$1,"Scenario",IF(AX$12="Forecast",AX$11,AX$12),"P&amp;L Item",$B27),0))</f>
        <v>0</v>
      </c>
      <c r="AY27" s="593">
        <f ca="1">IF(IF(AY$12="Forecast",AY$11,AY$12)="Pro Forma",SUM(OFFSET($B27,0,3*AY$9+1,1,3)),IFERROR(GETPIVOTDATA("Sum of Q"&amp;AY$9+1,'PT-All'!$A$1,"Scenario",IF(AY$12="Forecast",AY$11,AY$12),"P&amp;L Item",$B27),0))</f>
        <v>0</v>
      </c>
      <c r="AZ27" s="590"/>
      <c r="BA27" s="594">
        <f ca="1">IF(IF(BA$12="Forecast",BA$11,BA$12)="Pro Forma",SUM(OFFSET($B27,0,12*BA$9+1,1,12)),IFERROR(GETPIVOTDATA("Sum of FY"&amp;BA$9+1,'PT-All'!$A$1,"Scenario",IF(BA$12="Forecast",BA$11,BA$12),"P&amp;L Item",$B27),0))</f>
        <v>0</v>
      </c>
      <c r="BB27" s="592">
        <f ca="1">IF(IF(BB$12="Forecast",BB$11,BB$12)="Pro Forma",SUM(OFFSET($B27,0,12*BB$9+1,1,12)),IFERROR(GETPIVOTDATA("Sum of FY"&amp;BB$9+1,'PT-All'!$A$1,"Scenario",IF(BB$12="Forecast",BB$11,BB$12),"P&amp;L Item",$B27),0))</f>
        <v>0</v>
      </c>
      <c r="BC27" s="593">
        <f ca="1">IF(IF(BC$12="Forecast",BC$11,BC$12)="Pro Forma",SUM(OFFSET($B27,0,12*BC$9+1,1,12)),IFERROR(GETPIVOTDATA("Sum of FY"&amp;BC$9+1,'PT-All'!$A$1,"Scenario",IF(BC$12="Forecast",BC$11,BC$12),"P&amp;L Item",$B27),0))</f>
        <v>0</v>
      </c>
    </row>
    <row r="28" spans="2:55" ht="15" x14ac:dyDescent="0.4">
      <c r="B28" s="356" t="s">
        <v>13</v>
      </c>
      <c r="C28" s="70">
        <f>IFERROR(GETPIVOTDATA("Sum of "&amp;C$9,'PT-All'!$A$1,"Scenario",IF(C$12="Forecast",C$11,C$12),"P&amp;L Item",$B28),0)</f>
        <v>0</v>
      </c>
      <c r="D28" s="70">
        <f>IFERROR(GETPIVOTDATA("Sum of "&amp;D$9,'PT-All'!$A$1,"Scenario",IF(D$12="Forecast",D$11,D$12),"P&amp;L Item",$B28),0)</f>
        <v>0</v>
      </c>
      <c r="E28" s="70">
        <f>IFERROR(GETPIVOTDATA("Sum of "&amp;E$9,'PT-All'!$A$1,"Scenario",IF(E$12="Forecast",E$11,E$12),"P&amp;L Item",$B28),0)</f>
        <v>0</v>
      </c>
      <c r="F28" s="70">
        <f>IFERROR(GETPIVOTDATA("Sum of "&amp;F$9,'PT-All'!$A$1,"Scenario",IF(F$12="Forecast",F$11,F$12),"P&amp;L Item",$B28),0)</f>
        <v>0</v>
      </c>
      <c r="G28" s="70">
        <f>IFERROR(GETPIVOTDATA("Sum of "&amp;G$9,'PT-All'!$A$1,"Scenario",IF(G$12="Forecast",G$11,G$12),"P&amp;L Item",$B28),0)</f>
        <v>0</v>
      </c>
      <c r="H28" s="70">
        <f>IFERROR(GETPIVOTDATA("Sum of "&amp;H$9,'PT-All'!$A$1,"Scenario",IF(H$12="Forecast",H$11,H$12),"P&amp;L Item",$B28),0)</f>
        <v>0</v>
      </c>
      <c r="I28" s="70">
        <f>IFERROR(GETPIVOTDATA("Sum of "&amp;I$9,'PT-All'!$A$1,"Scenario",IF(I$12="Forecast",I$11,I$12),"P&amp;L Item",$B28),0)</f>
        <v>0</v>
      </c>
      <c r="J28" s="70">
        <f>IFERROR(GETPIVOTDATA("Sum of "&amp;J$9,'PT-All'!$A$1,"Scenario",IF(J$12="Forecast",J$11,J$12),"P&amp;L Item",$B28),0)</f>
        <v>0</v>
      </c>
      <c r="K28" s="70">
        <f>IFERROR(GETPIVOTDATA("Sum of "&amp;K$9,'PT-All'!$A$1,"Scenario",IF(K$12="Forecast",K$11,K$12),"P&amp;L Item",$B28),0)</f>
        <v>0</v>
      </c>
      <c r="L28" s="70">
        <f>IFERROR(GETPIVOTDATA("Sum of "&amp;L$9,'PT-All'!$A$1,"Scenario",IF(L$12="Forecast",L$11,L$12),"P&amp;L Item",$B28),0)</f>
        <v>0</v>
      </c>
      <c r="M28" s="70">
        <f>IFERROR(GETPIVOTDATA("Sum of "&amp;M$9,'PT-All'!$A$1,"Scenario",IF(M$12="Forecast",M$11,M$12),"P&amp;L Item",$B28),0)</f>
        <v>0</v>
      </c>
      <c r="N28" s="70">
        <f>IFERROR(GETPIVOTDATA("Sum of "&amp;N$9,'PT-All'!$A$1,"Scenario",IF(N$12="Forecast",N$11,N$12),"P&amp;L Item",$B28),0)</f>
        <v>0</v>
      </c>
      <c r="O28" s="70">
        <f>IFERROR(GETPIVOTDATA("Sum of "&amp;O$9,'PT-All'!$A$1,"Scenario",IF(O$12="Forecast",O$11,O$12),"P&amp;L Item",$B28),0)</f>
        <v>0</v>
      </c>
      <c r="P28" s="70">
        <f>IFERROR(GETPIVOTDATA("Sum of "&amp;P$9,'PT-All'!$A$1,"Scenario",IF(P$12="Forecast",P$11,P$12),"P&amp;L Item",$B28),0)</f>
        <v>0</v>
      </c>
      <c r="Q28" s="70">
        <f>IFERROR(GETPIVOTDATA("Sum of "&amp;Q$9,'PT-All'!$A$1,"Scenario",IF(Q$12="Forecast",Q$11,Q$12),"P&amp;L Item",$B28),0)</f>
        <v>0</v>
      </c>
      <c r="R28" s="70">
        <f>IFERROR(GETPIVOTDATA("Sum of "&amp;R$9,'PT-All'!$A$1,"Scenario",IF(R$12="Forecast",R$11,R$12),"P&amp;L Item",$B28),0)</f>
        <v>0</v>
      </c>
      <c r="S28" s="70">
        <f>IFERROR(GETPIVOTDATA("Sum of "&amp;S$9,'PT-All'!$A$1,"Scenario",IF(S$12="Forecast",S$11,S$12),"P&amp;L Item",$B28),0)</f>
        <v>0</v>
      </c>
      <c r="T28" s="70">
        <f>IFERROR(GETPIVOTDATA("Sum of "&amp;T$9,'PT-All'!$A$1,"Scenario",IF(T$12="Forecast",T$11,T$12),"P&amp;L Item",$B28),0)</f>
        <v>0</v>
      </c>
      <c r="U28" s="70">
        <f>IFERROR(GETPIVOTDATA("Sum of "&amp;U$9,'PT-All'!$A$1,"Scenario",IF(U$12="Forecast",U$11,U$12),"P&amp;L Item",$B28),0)</f>
        <v>0</v>
      </c>
      <c r="V28" s="70">
        <f>IFERROR(GETPIVOTDATA("Sum of "&amp;V$9,'PT-All'!$A$1,"Scenario",IF(V$12="Forecast",V$11,V$12),"P&amp;L Item",$B28),0)</f>
        <v>0</v>
      </c>
      <c r="W28" s="70">
        <f>IFERROR(GETPIVOTDATA("Sum of "&amp;W$9,'PT-All'!$A$1,"Scenario",IF(W$12="Forecast",W$11,W$12),"P&amp;L Item",$B28),0)</f>
        <v>0</v>
      </c>
      <c r="X28" s="70">
        <f>IFERROR(GETPIVOTDATA("Sum of "&amp;X$9,'PT-All'!$A$1,"Scenario",IF(X$12="Forecast",X$11,X$12),"P&amp;L Item",$B28),0)</f>
        <v>0</v>
      </c>
      <c r="Y28" s="70">
        <f>IFERROR(GETPIVOTDATA("Sum of "&amp;Y$9,'PT-All'!$A$1,"Scenario",IF(Y$12="Forecast",Y$11,Y$12),"P&amp;L Item",$B28),0)</f>
        <v>0</v>
      </c>
      <c r="Z28" s="70">
        <f>IFERROR(GETPIVOTDATA("Sum of "&amp;Z$9,'PT-All'!$A$1,"Scenario",IF(Z$12="Forecast",Z$11,Z$12),"P&amp;L Item",$B28),0)</f>
        <v>0</v>
      </c>
      <c r="AA28" s="70">
        <f>IFERROR(GETPIVOTDATA("Sum of "&amp;AA$9,'PT-All'!$A$1,"Scenario",IF(AA$12="Forecast",AA$11,AA$12),"P&amp;L Item",$B28),0)</f>
        <v>0</v>
      </c>
      <c r="AB28" s="70">
        <f>IFERROR(GETPIVOTDATA("Sum of "&amp;AB$9,'PT-All'!$A$1,"Scenario",IF(AB$12="Forecast",AB$11,AB$12),"P&amp;L Item",$B28),0)</f>
        <v>0</v>
      </c>
      <c r="AC28" s="70">
        <f>IFERROR(GETPIVOTDATA("Sum of "&amp;AC$9,'PT-All'!$A$1,"Scenario",IF(AC$12="Forecast",AC$11,AC$12),"P&amp;L Item",$B28),0)</f>
        <v>0</v>
      </c>
      <c r="AD28" s="70">
        <f>IFERROR(GETPIVOTDATA("Sum of "&amp;AD$9,'PT-All'!$A$1,"Scenario",IF(AD$12="Forecast",AD$11,AD$12),"P&amp;L Item",$B28),0)</f>
        <v>0</v>
      </c>
      <c r="AE28" s="70">
        <f>IFERROR(GETPIVOTDATA("Sum of "&amp;AE$9,'PT-All'!$A$1,"Scenario",IF(AE$12="Forecast",AE$11,AE$12),"P&amp;L Item",$B28),0)</f>
        <v>0</v>
      </c>
      <c r="AF28" s="70">
        <f>IFERROR(GETPIVOTDATA("Sum of "&amp;AF$9,'PT-All'!$A$1,"Scenario",IF(AF$12="Forecast",AF$11,AF$12),"P&amp;L Item",$B28),0)</f>
        <v>0</v>
      </c>
      <c r="AG28" s="70">
        <f>IFERROR(GETPIVOTDATA("Sum of "&amp;AG$9,'PT-All'!$A$1,"Scenario",IF(AG$12="Forecast",AG$11,AG$12),"P&amp;L Item",$B28),0)</f>
        <v>0</v>
      </c>
      <c r="AH28" s="70">
        <f>IFERROR(GETPIVOTDATA("Sum of "&amp;AH$9,'PT-All'!$A$1,"Scenario",IF(AH$12="Forecast",AH$11,AH$12),"P&amp;L Item",$B28),0)</f>
        <v>0</v>
      </c>
      <c r="AI28" s="70">
        <f>IFERROR(GETPIVOTDATA("Sum of "&amp;AI$9,'PT-All'!$A$1,"Scenario",IF(AI$12="Forecast",AI$11,AI$12),"P&amp;L Item",$B28),0)</f>
        <v>0</v>
      </c>
      <c r="AJ28" s="70">
        <f>IFERROR(GETPIVOTDATA("Sum of "&amp;AJ$9,'PT-All'!$A$1,"Scenario",IF(AJ$12="Forecast",AJ$11,AJ$12),"P&amp;L Item",$B28),0)</f>
        <v>0</v>
      </c>
      <c r="AK28" s="70">
        <f>IFERROR(GETPIVOTDATA("Sum of "&amp;AK$9,'PT-All'!$A$1,"Scenario",IF(AK$12="Forecast",AK$11,AK$12),"P&amp;L Item",$B28),0)</f>
        <v>0</v>
      </c>
      <c r="AL28" s="99">
        <f>IFERROR(GETPIVOTDATA("Sum of "&amp;AL$9,'PT-All'!$A$1,"Scenario",IF(AL$12="Forecast",AL$11,AL$12),"P&amp;L Item",$B28),0)</f>
        <v>0</v>
      </c>
      <c r="AM28" s="590"/>
      <c r="AN28" s="110">
        <f ca="1">IF(IF(AN$12="Forecast",AN$11,AN$12)="Pro Forma",SUM(OFFSET($B28,0,3*AN$9+1,1,3)),IFERROR(GETPIVOTDATA("Sum of Q"&amp;AN$9+1,'PT-All'!$A$1,"Scenario",IF(AN$12="Forecast",AN$11,AN$12),"P&amp;L Item",$B28),0))</f>
        <v>0</v>
      </c>
      <c r="AO28" s="70">
        <f ca="1">IF(IF(AO$12="Forecast",AO$11,AO$12)="Pro Forma",SUM(OFFSET($B28,0,3*AO$9+1,1,3)),IFERROR(GETPIVOTDATA("Sum of Q"&amp;AO$9+1,'PT-All'!$A$1,"Scenario",IF(AO$12="Forecast",AO$11,AO$12),"P&amp;L Item",$B28),0))</f>
        <v>0</v>
      </c>
      <c r="AP28" s="70">
        <f ca="1">IF(IF(AP$12="Forecast",AP$11,AP$12)="Pro Forma",SUM(OFFSET($B28,0,3*AP$9+1,1,3)),IFERROR(GETPIVOTDATA("Sum of Q"&amp;AP$9+1,'PT-All'!$A$1,"Scenario",IF(AP$12="Forecast",AP$11,AP$12),"P&amp;L Item",$B28),0))</f>
        <v>0</v>
      </c>
      <c r="AQ28" s="70">
        <f ca="1">IF(IF(AQ$12="Forecast",AQ$11,AQ$12)="Pro Forma",SUM(OFFSET($B28,0,3*AQ$9+1,1,3)),IFERROR(GETPIVOTDATA("Sum of Q"&amp;AQ$9+1,'PT-All'!$A$1,"Scenario",IF(AQ$12="Forecast",AQ$11,AQ$12),"P&amp;L Item",$B28),0))</f>
        <v>0</v>
      </c>
      <c r="AR28" s="70">
        <f ca="1">IF(IF(AR$12="Forecast",AR$11,AR$12)="Pro Forma",SUM(OFFSET($B28,0,3*AR$9+1,1,3)),IFERROR(GETPIVOTDATA("Sum of Q"&amp;AR$9+1,'PT-All'!$A$1,"Scenario",IF(AR$12="Forecast",AR$11,AR$12),"P&amp;L Item",$B28),0))</f>
        <v>0</v>
      </c>
      <c r="AS28" s="70">
        <f ca="1">IF(IF(AS$12="Forecast",AS$11,AS$12)="Pro Forma",SUM(OFFSET($B28,0,3*AS$9+1,1,3)),IFERROR(GETPIVOTDATA("Sum of Q"&amp;AS$9+1,'PT-All'!$A$1,"Scenario",IF(AS$12="Forecast",AS$11,AS$12),"P&amp;L Item",$B28),0))</f>
        <v>0</v>
      </c>
      <c r="AT28" s="70">
        <f ca="1">IF(IF(AT$12="Forecast",AT$11,AT$12)="Pro Forma",SUM(OFFSET($B28,0,3*AT$9+1,1,3)),IFERROR(GETPIVOTDATA("Sum of Q"&amp;AT$9+1,'PT-All'!$A$1,"Scenario",IF(AT$12="Forecast",AT$11,AT$12),"P&amp;L Item",$B28),0))</f>
        <v>0</v>
      </c>
      <c r="AU28" s="70">
        <f ca="1">IF(IF(AU$12="Forecast",AU$11,AU$12)="Pro Forma",SUM(OFFSET($B28,0,3*AU$9+1,1,3)),IFERROR(GETPIVOTDATA("Sum of Q"&amp;AU$9+1,'PT-All'!$A$1,"Scenario",IF(AU$12="Forecast",AU$11,AU$12),"P&amp;L Item",$B28),0))</f>
        <v>0</v>
      </c>
      <c r="AV28" s="70">
        <f ca="1">IF(IF(AV$12="Forecast",AV$11,AV$12)="Pro Forma",SUM(OFFSET($B28,0,3*AV$9+1,1,3)),IFERROR(GETPIVOTDATA("Sum of Q"&amp;AV$9+1,'PT-All'!$A$1,"Scenario",IF(AV$12="Forecast",AV$11,AV$12),"P&amp;L Item",$B28),0))</f>
        <v>0</v>
      </c>
      <c r="AW28" s="70">
        <f ca="1">IF(IF(AW$12="Forecast",AW$11,AW$12)="Pro Forma",SUM(OFFSET($B28,0,3*AW$9+1,1,3)),IFERROR(GETPIVOTDATA("Sum of Q"&amp;AW$9+1,'PT-All'!$A$1,"Scenario",IF(AW$12="Forecast",AW$11,AW$12),"P&amp;L Item",$B28),0))</f>
        <v>0</v>
      </c>
      <c r="AX28" s="70">
        <f ca="1">IF(IF(AX$12="Forecast",AX$11,AX$12)="Pro Forma",SUM(OFFSET($B28,0,3*AX$9+1,1,3)),IFERROR(GETPIVOTDATA("Sum of Q"&amp;AX$9+1,'PT-All'!$A$1,"Scenario",IF(AX$12="Forecast",AX$11,AX$12),"P&amp;L Item",$B28),0))</f>
        <v>0</v>
      </c>
      <c r="AY28" s="99">
        <f ca="1">IF(IF(AY$12="Forecast",AY$11,AY$12)="Pro Forma",SUM(OFFSET($B28,0,3*AY$9+1,1,3)),IFERROR(GETPIVOTDATA("Sum of Q"&amp;AY$9+1,'PT-All'!$A$1,"Scenario",IF(AY$12="Forecast",AY$11,AY$12),"P&amp;L Item",$B28),0))</f>
        <v>0</v>
      </c>
      <c r="AZ28" s="590"/>
      <c r="BA28" s="110">
        <f ca="1">IF(IF(BA$12="Forecast",BA$11,BA$12)="Pro Forma",SUM(OFFSET($B28,0,12*BA$9+1,1,12)),IFERROR(GETPIVOTDATA("Sum of FY"&amp;BA$9+1,'PT-All'!$A$1,"Scenario",IF(BA$12="Forecast",BA$11,BA$12),"P&amp;L Item",$B28),0))</f>
        <v>0</v>
      </c>
      <c r="BB28" s="70">
        <f ca="1">IF(IF(BB$12="Forecast",BB$11,BB$12)="Pro Forma",SUM(OFFSET($B28,0,12*BB$9+1,1,12)),IFERROR(GETPIVOTDATA("Sum of FY"&amp;BB$9+1,'PT-All'!$A$1,"Scenario",IF(BB$12="Forecast",BB$11,BB$12),"P&amp;L Item",$B28),0))</f>
        <v>0</v>
      </c>
      <c r="BC28" s="99">
        <f ca="1">IF(IF(BC$12="Forecast",BC$11,BC$12)="Pro Forma",SUM(OFFSET($B28,0,12*BC$9+1,1,12)),IFERROR(GETPIVOTDATA("Sum of FY"&amp;BC$9+1,'PT-All'!$A$1,"Scenario",IF(BC$12="Forecast",BC$11,BC$12),"P&amp;L Item",$B28),0))</f>
        <v>0</v>
      </c>
    </row>
    <row r="29" spans="2:55" x14ac:dyDescent="0.35">
      <c r="B29" s="71" t="s">
        <v>14</v>
      </c>
      <c r="C29" s="623">
        <f>SUM(C26:C28)</f>
        <v>0</v>
      </c>
      <c r="D29" s="623">
        <f t="shared" ref="D29:Y29" si="47">SUM(D26:D28)</f>
        <v>0</v>
      </c>
      <c r="E29" s="623">
        <f t="shared" si="47"/>
        <v>0</v>
      </c>
      <c r="F29" s="623">
        <f t="shared" si="47"/>
        <v>0</v>
      </c>
      <c r="G29" s="623">
        <f t="shared" si="47"/>
        <v>0</v>
      </c>
      <c r="H29" s="623">
        <f t="shared" si="47"/>
        <v>0</v>
      </c>
      <c r="I29" s="623">
        <f t="shared" si="47"/>
        <v>0</v>
      </c>
      <c r="J29" s="623">
        <f t="shared" si="47"/>
        <v>0</v>
      </c>
      <c r="K29" s="623">
        <f t="shared" si="47"/>
        <v>0</v>
      </c>
      <c r="L29" s="623">
        <f t="shared" si="47"/>
        <v>0</v>
      </c>
      <c r="M29" s="623">
        <f t="shared" si="47"/>
        <v>0</v>
      </c>
      <c r="N29" s="623">
        <f t="shared" si="47"/>
        <v>0</v>
      </c>
      <c r="O29" s="623">
        <f t="shared" si="47"/>
        <v>0</v>
      </c>
      <c r="P29" s="623">
        <f t="shared" si="47"/>
        <v>0</v>
      </c>
      <c r="Q29" s="623">
        <f t="shared" si="47"/>
        <v>0</v>
      </c>
      <c r="R29" s="623">
        <f t="shared" si="47"/>
        <v>0</v>
      </c>
      <c r="S29" s="623">
        <f t="shared" si="47"/>
        <v>0</v>
      </c>
      <c r="T29" s="623">
        <f t="shared" si="47"/>
        <v>0</v>
      </c>
      <c r="U29" s="623">
        <f t="shared" si="47"/>
        <v>0</v>
      </c>
      <c r="V29" s="623">
        <f t="shared" si="47"/>
        <v>0</v>
      </c>
      <c r="W29" s="623">
        <f t="shared" si="47"/>
        <v>0</v>
      </c>
      <c r="X29" s="623">
        <f t="shared" si="47"/>
        <v>0</v>
      </c>
      <c r="Y29" s="623">
        <f t="shared" si="47"/>
        <v>0</v>
      </c>
      <c r="Z29" s="623">
        <f t="shared" ref="Z29:AL29" si="48">SUM(Z26:Z28)</f>
        <v>0</v>
      </c>
      <c r="AA29" s="623">
        <f t="shared" si="48"/>
        <v>0</v>
      </c>
      <c r="AB29" s="623">
        <f t="shared" si="48"/>
        <v>0</v>
      </c>
      <c r="AC29" s="623">
        <f t="shared" si="48"/>
        <v>0</v>
      </c>
      <c r="AD29" s="623">
        <f t="shared" si="48"/>
        <v>0</v>
      </c>
      <c r="AE29" s="623">
        <f t="shared" si="48"/>
        <v>0</v>
      </c>
      <c r="AF29" s="623">
        <f t="shared" si="48"/>
        <v>0</v>
      </c>
      <c r="AG29" s="623">
        <f t="shared" si="48"/>
        <v>0</v>
      </c>
      <c r="AH29" s="623">
        <f t="shared" si="48"/>
        <v>0</v>
      </c>
      <c r="AI29" s="623">
        <f t="shared" si="48"/>
        <v>0</v>
      </c>
      <c r="AJ29" s="623">
        <f t="shared" si="48"/>
        <v>0</v>
      </c>
      <c r="AK29" s="623">
        <f t="shared" si="48"/>
        <v>0</v>
      </c>
      <c r="AL29" s="624">
        <f t="shared" si="48"/>
        <v>0</v>
      </c>
      <c r="AM29" s="590"/>
      <c r="AN29" s="625">
        <f t="shared" ref="AN29:AT29" ca="1" si="49">SUM(AN26:AN28)</f>
        <v>0</v>
      </c>
      <c r="AO29" s="623">
        <f t="shared" ca="1" si="49"/>
        <v>0</v>
      </c>
      <c r="AP29" s="623">
        <f t="shared" ca="1" si="49"/>
        <v>0</v>
      </c>
      <c r="AQ29" s="623">
        <f t="shared" ca="1" si="49"/>
        <v>0</v>
      </c>
      <c r="AR29" s="623">
        <f t="shared" ca="1" si="49"/>
        <v>0</v>
      </c>
      <c r="AS29" s="623">
        <f t="shared" ca="1" si="49"/>
        <v>0</v>
      </c>
      <c r="AT29" s="623">
        <f t="shared" ca="1" si="49"/>
        <v>0</v>
      </c>
      <c r="AU29" s="623">
        <f t="shared" ref="AU29:AY29" ca="1" si="50">SUM(AU26:AU28)</f>
        <v>0</v>
      </c>
      <c r="AV29" s="623">
        <f t="shared" ca="1" si="50"/>
        <v>0</v>
      </c>
      <c r="AW29" s="623">
        <f t="shared" ca="1" si="50"/>
        <v>0</v>
      </c>
      <c r="AX29" s="623">
        <f t="shared" ca="1" si="50"/>
        <v>0</v>
      </c>
      <c r="AY29" s="624">
        <f t="shared" ca="1" si="50"/>
        <v>0</v>
      </c>
      <c r="AZ29" s="590"/>
      <c r="BA29" s="625">
        <f t="shared" ref="BA29" ca="1" si="51">SUM(BA26:BA28)</f>
        <v>0</v>
      </c>
      <c r="BB29" s="623">
        <f t="shared" ref="BB29:BC29" ca="1" si="52">SUM(BB26:BB28)</f>
        <v>0</v>
      </c>
      <c r="BC29" s="624">
        <f t="shared" ca="1" si="52"/>
        <v>0</v>
      </c>
    </row>
    <row r="30" spans="2:55" x14ac:dyDescent="0.35">
      <c r="B30" s="72" t="s">
        <v>15</v>
      </c>
      <c r="C30" s="598">
        <f t="shared" ref="C30:AN30" si="53">IFERROR(C29/B29-1,0)</f>
        <v>0</v>
      </c>
      <c r="D30" s="598">
        <f t="shared" si="53"/>
        <v>0</v>
      </c>
      <c r="E30" s="598">
        <f t="shared" si="53"/>
        <v>0</v>
      </c>
      <c r="F30" s="598">
        <f t="shared" si="53"/>
        <v>0</v>
      </c>
      <c r="G30" s="598">
        <f t="shared" si="53"/>
        <v>0</v>
      </c>
      <c r="H30" s="598">
        <f t="shared" si="53"/>
        <v>0</v>
      </c>
      <c r="I30" s="598">
        <f t="shared" si="53"/>
        <v>0</v>
      </c>
      <c r="J30" s="598">
        <f t="shared" si="53"/>
        <v>0</v>
      </c>
      <c r="K30" s="598">
        <f t="shared" si="53"/>
        <v>0</v>
      </c>
      <c r="L30" s="598">
        <f t="shared" si="53"/>
        <v>0</v>
      </c>
      <c r="M30" s="598">
        <f t="shared" si="53"/>
        <v>0</v>
      </c>
      <c r="N30" s="598">
        <f t="shared" si="53"/>
        <v>0</v>
      </c>
      <c r="O30" s="598">
        <f t="shared" si="53"/>
        <v>0</v>
      </c>
      <c r="P30" s="598">
        <f t="shared" si="53"/>
        <v>0</v>
      </c>
      <c r="Q30" s="598">
        <f t="shared" si="53"/>
        <v>0</v>
      </c>
      <c r="R30" s="598">
        <f t="shared" si="53"/>
        <v>0</v>
      </c>
      <c r="S30" s="598">
        <f t="shared" si="53"/>
        <v>0</v>
      </c>
      <c r="T30" s="598">
        <f t="shared" si="53"/>
        <v>0</v>
      </c>
      <c r="U30" s="598">
        <f t="shared" si="53"/>
        <v>0</v>
      </c>
      <c r="V30" s="598">
        <f t="shared" si="53"/>
        <v>0</v>
      </c>
      <c r="W30" s="598">
        <f t="shared" si="53"/>
        <v>0</v>
      </c>
      <c r="X30" s="598">
        <f t="shared" si="53"/>
        <v>0</v>
      </c>
      <c r="Y30" s="598">
        <f t="shared" si="53"/>
        <v>0</v>
      </c>
      <c r="Z30" s="598">
        <f t="shared" ref="Z30" si="54">IFERROR(Z29/Y29-1,0)</f>
        <v>0</v>
      </c>
      <c r="AA30" s="598">
        <f t="shared" ref="AA30" si="55">IFERROR(AA29/Z29-1,0)</f>
        <v>0</v>
      </c>
      <c r="AB30" s="598">
        <f t="shared" ref="AB30" si="56">IFERROR(AB29/AA29-1,0)</f>
        <v>0</v>
      </c>
      <c r="AC30" s="598">
        <f t="shared" ref="AC30" si="57">IFERROR(AC29/AB29-1,0)</f>
        <v>0</v>
      </c>
      <c r="AD30" s="598">
        <f t="shared" ref="AD30" si="58">IFERROR(AD29/AC29-1,0)</f>
        <v>0</v>
      </c>
      <c r="AE30" s="598">
        <f t="shared" ref="AE30" si="59">IFERROR(AE29/AD29-1,0)</f>
        <v>0</v>
      </c>
      <c r="AF30" s="598">
        <f t="shared" ref="AF30" si="60">IFERROR(AF29/AE29-1,0)</f>
        <v>0</v>
      </c>
      <c r="AG30" s="598">
        <f t="shared" ref="AG30" si="61">IFERROR(AG29/AF29-1,0)</f>
        <v>0</v>
      </c>
      <c r="AH30" s="598">
        <f t="shared" ref="AH30" si="62">IFERROR(AH29/AG29-1,0)</f>
        <v>0</v>
      </c>
      <c r="AI30" s="598">
        <f t="shared" ref="AI30" si="63">IFERROR(AI29/AH29-1,0)</f>
        <v>0</v>
      </c>
      <c r="AJ30" s="598">
        <f t="shared" ref="AJ30" si="64">IFERROR(AJ29/AI29-1,0)</f>
        <v>0</v>
      </c>
      <c r="AK30" s="598">
        <f t="shared" ref="AK30" si="65">IFERROR(AK29/AJ29-1,0)</f>
        <v>0</v>
      </c>
      <c r="AL30" s="599">
        <f t="shared" ref="AL30" si="66">IFERROR(AL29/AK29-1,0)</f>
        <v>0</v>
      </c>
      <c r="AM30" s="590"/>
      <c r="AN30" s="600">
        <f t="shared" ca="1" si="53"/>
        <v>0</v>
      </c>
      <c r="AO30" s="598">
        <f t="shared" ref="AO30" ca="1" si="67">IFERROR(AO29/AN29-1,0)</f>
        <v>0</v>
      </c>
      <c r="AP30" s="598">
        <f t="shared" ref="AP30" ca="1" si="68">IFERROR(AP29/AO29-1,0)</f>
        <v>0</v>
      </c>
      <c r="AQ30" s="598">
        <f t="shared" ref="AQ30" ca="1" si="69">IFERROR(AQ29/AP29-1,0)</f>
        <v>0</v>
      </c>
      <c r="AR30" s="598">
        <f t="shared" ref="AR30" ca="1" si="70">IFERROR(AR29/AQ29-1,0)</f>
        <v>0</v>
      </c>
      <c r="AS30" s="598">
        <f t="shared" ref="AS30" ca="1" si="71">IFERROR(AS29/AR29-1,0)</f>
        <v>0</v>
      </c>
      <c r="AT30" s="598">
        <f t="shared" ref="AT30" ca="1" si="72">IFERROR(AT29/AS29-1,0)</f>
        <v>0</v>
      </c>
      <c r="AU30" s="598">
        <f t="shared" ref="AU30" ca="1" si="73">IFERROR(AU29/AT29-1,0)</f>
        <v>0</v>
      </c>
      <c r="AV30" s="598">
        <f t="shared" ref="AV30" ca="1" si="74">IFERROR(AV29/AU29-1,0)</f>
        <v>0</v>
      </c>
      <c r="AW30" s="598">
        <f t="shared" ref="AW30" ca="1" si="75">IFERROR(AW29/AV29-1,0)</f>
        <v>0</v>
      </c>
      <c r="AX30" s="598">
        <f t="shared" ref="AX30" ca="1" si="76">IFERROR(AX29/AW29-1,0)</f>
        <v>0</v>
      </c>
      <c r="AY30" s="599">
        <f t="shared" ref="AY30" ca="1" si="77">IFERROR(AY29/AX29-1,0)</f>
        <v>0</v>
      </c>
      <c r="AZ30" s="590"/>
      <c r="BA30" s="600">
        <f t="shared" ref="BA30" ca="1" si="78">IFERROR(BA29/AZ29-1,0)</f>
        <v>0</v>
      </c>
      <c r="BB30" s="598">
        <f t="shared" ref="BB30" ca="1" si="79">IFERROR(BB29/BA29-1,0)</f>
        <v>0</v>
      </c>
      <c r="BC30" s="599">
        <f t="shared" ref="BC30" ca="1" si="80">IFERROR(BC29/BB29-1,0)</f>
        <v>0</v>
      </c>
    </row>
    <row r="31" spans="2:55" x14ac:dyDescent="0.35">
      <c r="B31" s="358"/>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E31" s="595"/>
      <c r="AF31" s="595"/>
      <c r="AG31" s="595"/>
      <c r="AH31" s="595"/>
      <c r="AI31" s="595"/>
      <c r="AJ31" s="595"/>
      <c r="AK31" s="595"/>
      <c r="AL31" s="596"/>
      <c r="AM31" s="590"/>
      <c r="AN31" s="597"/>
      <c r="AO31" s="595"/>
      <c r="AP31" s="595"/>
      <c r="AQ31" s="595"/>
      <c r="AR31" s="595"/>
      <c r="AS31" s="595"/>
      <c r="AT31" s="595"/>
      <c r="AU31" s="595"/>
      <c r="AV31" s="595"/>
      <c r="AW31" s="595"/>
      <c r="AX31" s="595"/>
      <c r="AY31" s="596"/>
      <c r="AZ31" s="590"/>
      <c r="BA31" s="597"/>
      <c r="BB31" s="595"/>
      <c r="BC31" s="596"/>
    </row>
    <row r="32" spans="2:55" x14ac:dyDescent="0.35">
      <c r="B32" s="67" t="s">
        <v>73</v>
      </c>
      <c r="C32" s="588"/>
      <c r="D32" s="588"/>
      <c r="E32" s="588"/>
      <c r="F32" s="588"/>
      <c r="G32" s="588"/>
      <c r="H32" s="588"/>
      <c r="I32" s="588"/>
      <c r="J32" s="588"/>
      <c r="K32" s="588"/>
      <c r="L32" s="588"/>
      <c r="M32" s="588"/>
      <c r="N32" s="588"/>
      <c r="O32" s="588"/>
      <c r="P32" s="588"/>
      <c r="Q32" s="588"/>
      <c r="R32" s="588"/>
      <c r="S32" s="588"/>
      <c r="T32" s="588"/>
      <c r="U32" s="588"/>
      <c r="V32" s="588"/>
      <c r="W32" s="588"/>
      <c r="X32" s="588"/>
      <c r="Y32" s="588"/>
      <c r="Z32" s="588"/>
      <c r="AA32" s="588"/>
      <c r="AB32" s="588"/>
      <c r="AC32" s="588"/>
      <c r="AD32" s="588"/>
      <c r="AE32" s="588"/>
      <c r="AF32" s="588"/>
      <c r="AG32" s="588"/>
      <c r="AH32" s="588"/>
      <c r="AI32" s="588"/>
      <c r="AJ32" s="588"/>
      <c r="AK32" s="588"/>
      <c r="AL32" s="589"/>
      <c r="AM32" s="590"/>
      <c r="AN32" s="591"/>
      <c r="AO32" s="588"/>
      <c r="AP32" s="588"/>
      <c r="AQ32" s="588"/>
      <c r="AR32" s="588"/>
      <c r="AS32" s="588"/>
      <c r="AT32" s="588"/>
      <c r="AU32" s="588"/>
      <c r="AV32" s="588"/>
      <c r="AW32" s="588"/>
      <c r="AX32" s="588"/>
      <c r="AY32" s="589"/>
      <c r="AZ32" s="590"/>
      <c r="BA32" s="591"/>
      <c r="BB32" s="588"/>
      <c r="BC32" s="589"/>
    </row>
    <row r="33" spans="2:55" x14ac:dyDescent="0.35">
      <c r="B33" s="74" t="s">
        <v>74</v>
      </c>
      <c r="C33" s="588">
        <f t="shared" ref="C33:AN33" si="81">SUM(C34,C42)</f>
        <v>0</v>
      </c>
      <c r="D33" s="588">
        <f t="shared" si="81"/>
        <v>0</v>
      </c>
      <c r="E33" s="588">
        <f t="shared" si="81"/>
        <v>0</v>
      </c>
      <c r="F33" s="588">
        <f t="shared" si="81"/>
        <v>0</v>
      </c>
      <c r="G33" s="588">
        <f t="shared" si="81"/>
        <v>0</v>
      </c>
      <c r="H33" s="588">
        <f t="shared" si="81"/>
        <v>0</v>
      </c>
      <c r="I33" s="588">
        <f t="shared" si="81"/>
        <v>0</v>
      </c>
      <c r="J33" s="588">
        <f t="shared" si="81"/>
        <v>0</v>
      </c>
      <c r="K33" s="588">
        <f t="shared" si="81"/>
        <v>0</v>
      </c>
      <c r="L33" s="588">
        <f t="shared" si="81"/>
        <v>0</v>
      </c>
      <c r="M33" s="588">
        <f t="shared" si="81"/>
        <v>0</v>
      </c>
      <c r="N33" s="588">
        <f t="shared" si="81"/>
        <v>0</v>
      </c>
      <c r="O33" s="588">
        <f t="shared" si="81"/>
        <v>0</v>
      </c>
      <c r="P33" s="588">
        <f t="shared" si="81"/>
        <v>0</v>
      </c>
      <c r="Q33" s="588">
        <f t="shared" si="81"/>
        <v>0</v>
      </c>
      <c r="R33" s="588">
        <f t="shared" si="81"/>
        <v>0</v>
      </c>
      <c r="S33" s="588">
        <f t="shared" si="81"/>
        <v>0</v>
      </c>
      <c r="T33" s="588">
        <f t="shared" si="81"/>
        <v>0</v>
      </c>
      <c r="U33" s="588">
        <f t="shared" si="81"/>
        <v>0</v>
      </c>
      <c r="V33" s="588">
        <f t="shared" si="81"/>
        <v>0</v>
      </c>
      <c r="W33" s="588">
        <f t="shared" si="81"/>
        <v>0</v>
      </c>
      <c r="X33" s="588">
        <f t="shared" si="81"/>
        <v>0</v>
      </c>
      <c r="Y33" s="588">
        <f t="shared" si="81"/>
        <v>0</v>
      </c>
      <c r="Z33" s="588">
        <f t="shared" ref="Z33:AL33" si="82">SUM(Z34,Z42)</f>
        <v>0</v>
      </c>
      <c r="AA33" s="588">
        <f t="shared" si="82"/>
        <v>0</v>
      </c>
      <c r="AB33" s="588">
        <f t="shared" si="82"/>
        <v>0</v>
      </c>
      <c r="AC33" s="588">
        <f t="shared" si="82"/>
        <v>0</v>
      </c>
      <c r="AD33" s="588">
        <f t="shared" si="82"/>
        <v>0</v>
      </c>
      <c r="AE33" s="588">
        <f t="shared" si="82"/>
        <v>0</v>
      </c>
      <c r="AF33" s="588">
        <f t="shared" si="82"/>
        <v>0</v>
      </c>
      <c r="AG33" s="588">
        <f t="shared" si="82"/>
        <v>0</v>
      </c>
      <c r="AH33" s="588">
        <f t="shared" si="82"/>
        <v>0</v>
      </c>
      <c r="AI33" s="588">
        <f t="shared" si="82"/>
        <v>0</v>
      </c>
      <c r="AJ33" s="588">
        <f t="shared" si="82"/>
        <v>0</v>
      </c>
      <c r="AK33" s="588">
        <f t="shared" si="82"/>
        <v>0</v>
      </c>
      <c r="AL33" s="589">
        <f t="shared" si="82"/>
        <v>0</v>
      </c>
      <c r="AM33" s="590"/>
      <c r="AN33" s="591">
        <f t="shared" ca="1" si="81"/>
        <v>0</v>
      </c>
      <c r="AO33" s="588">
        <f t="shared" ref="AO33" ca="1" si="83">SUM(AO34,AO42)</f>
        <v>0</v>
      </c>
      <c r="AP33" s="588">
        <f t="shared" ref="AP33" ca="1" si="84">SUM(AP34,AP42)</f>
        <v>0</v>
      </c>
      <c r="AQ33" s="588">
        <f t="shared" ref="AQ33" ca="1" si="85">SUM(AQ34,AQ42)</f>
        <v>0</v>
      </c>
      <c r="AR33" s="588">
        <f t="shared" ref="AR33" ca="1" si="86">SUM(AR34,AR42)</f>
        <v>0</v>
      </c>
      <c r="AS33" s="588">
        <f t="shared" ref="AS33" ca="1" si="87">SUM(AS34,AS42)</f>
        <v>0</v>
      </c>
      <c r="AT33" s="588">
        <f t="shared" ref="AT33:AY33" ca="1" si="88">SUM(AT34,AT42)</f>
        <v>0</v>
      </c>
      <c r="AU33" s="588">
        <f t="shared" ca="1" si="88"/>
        <v>0</v>
      </c>
      <c r="AV33" s="588">
        <f t="shared" ca="1" si="88"/>
        <v>0</v>
      </c>
      <c r="AW33" s="588">
        <f t="shared" ca="1" si="88"/>
        <v>0</v>
      </c>
      <c r="AX33" s="588">
        <f t="shared" ca="1" si="88"/>
        <v>0</v>
      </c>
      <c r="AY33" s="589">
        <f t="shared" ca="1" si="88"/>
        <v>0</v>
      </c>
      <c r="AZ33" s="590"/>
      <c r="BA33" s="591">
        <f t="shared" ref="BA33" ca="1" si="89">SUM(BA34,BA42)</f>
        <v>0</v>
      </c>
      <c r="BB33" s="588">
        <f t="shared" ref="BB33:BC33" ca="1" si="90">SUM(BB34,BB42)</f>
        <v>0</v>
      </c>
      <c r="BC33" s="589">
        <f t="shared" ca="1" si="90"/>
        <v>0</v>
      </c>
    </row>
    <row r="34" spans="2:55" x14ac:dyDescent="0.35">
      <c r="B34" s="359" t="s">
        <v>75</v>
      </c>
      <c r="C34" s="592">
        <f t="shared" ref="C34:AN34" si="91">SUM(C35:C41)</f>
        <v>0</v>
      </c>
      <c r="D34" s="592">
        <f t="shared" si="91"/>
        <v>0</v>
      </c>
      <c r="E34" s="592">
        <f t="shared" si="91"/>
        <v>0</v>
      </c>
      <c r="F34" s="592">
        <f t="shared" si="91"/>
        <v>0</v>
      </c>
      <c r="G34" s="592">
        <f t="shared" si="91"/>
        <v>0</v>
      </c>
      <c r="H34" s="592">
        <f t="shared" si="91"/>
        <v>0</v>
      </c>
      <c r="I34" s="592">
        <f t="shared" si="91"/>
        <v>0</v>
      </c>
      <c r="J34" s="592">
        <f t="shared" si="91"/>
        <v>0</v>
      </c>
      <c r="K34" s="592">
        <f t="shared" si="91"/>
        <v>0</v>
      </c>
      <c r="L34" s="592">
        <f t="shared" si="91"/>
        <v>0</v>
      </c>
      <c r="M34" s="592">
        <f t="shared" si="91"/>
        <v>0</v>
      </c>
      <c r="N34" s="592">
        <f t="shared" si="91"/>
        <v>0</v>
      </c>
      <c r="O34" s="592">
        <f t="shared" si="91"/>
        <v>0</v>
      </c>
      <c r="P34" s="592">
        <f t="shared" si="91"/>
        <v>0</v>
      </c>
      <c r="Q34" s="592">
        <f t="shared" si="91"/>
        <v>0</v>
      </c>
      <c r="R34" s="592">
        <f t="shared" si="91"/>
        <v>0</v>
      </c>
      <c r="S34" s="592">
        <f t="shared" si="91"/>
        <v>0</v>
      </c>
      <c r="T34" s="592">
        <f t="shared" si="91"/>
        <v>0</v>
      </c>
      <c r="U34" s="592">
        <f t="shared" si="91"/>
        <v>0</v>
      </c>
      <c r="V34" s="592">
        <f t="shared" si="91"/>
        <v>0</v>
      </c>
      <c r="W34" s="592">
        <f t="shared" si="91"/>
        <v>0</v>
      </c>
      <c r="X34" s="592">
        <f t="shared" si="91"/>
        <v>0</v>
      </c>
      <c r="Y34" s="592">
        <f t="shared" si="91"/>
        <v>0</v>
      </c>
      <c r="Z34" s="592">
        <f t="shared" ref="Z34:AL34" si="92">SUM(Z35:Z41)</f>
        <v>0</v>
      </c>
      <c r="AA34" s="592">
        <f t="shared" si="92"/>
        <v>0</v>
      </c>
      <c r="AB34" s="592">
        <f t="shared" si="92"/>
        <v>0</v>
      </c>
      <c r="AC34" s="592">
        <f t="shared" si="92"/>
        <v>0</v>
      </c>
      <c r="AD34" s="592">
        <f t="shared" si="92"/>
        <v>0</v>
      </c>
      <c r="AE34" s="592">
        <f t="shared" si="92"/>
        <v>0</v>
      </c>
      <c r="AF34" s="592">
        <f t="shared" si="92"/>
        <v>0</v>
      </c>
      <c r="AG34" s="592">
        <f t="shared" si="92"/>
        <v>0</v>
      </c>
      <c r="AH34" s="592">
        <f t="shared" si="92"/>
        <v>0</v>
      </c>
      <c r="AI34" s="592">
        <f t="shared" si="92"/>
        <v>0</v>
      </c>
      <c r="AJ34" s="592">
        <f t="shared" si="92"/>
        <v>0</v>
      </c>
      <c r="AK34" s="592">
        <f t="shared" si="92"/>
        <v>0</v>
      </c>
      <c r="AL34" s="593">
        <f t="shared" si="92"/>
        <v>0</v>
      </c>
      <c r="AM34" s="590"/>
      <c r="AN34" s="594">
        <f t="shared" ca="1" si="91"/>
        <v>0</v>
      </c>
      <c r="AO34" s="592">
        <f t="shared" ref="AO34" ca="1" si="93">SUM(AO35:AO41)</f>
        <v>0</v>
      </c>
      <c r="AP34" s="592">
        <f t="shared" ref="AP34" ca="1" si="94">SUM(AP35:AP41)</f>
        <v>0</v>
      </c>
      <c r="AQ34" s="592">
        <f t="shared" ref="AQ34" ca="1" si="95">SUM(AQ35:AQ41)</f>
        <v>0</v>
      </c>
      <c r="AR34" s="592">
        <f t="shared" ref="AR34" ca="1" si="96">SUM(AR35:AR41)</f>
        <v>0</v>
      </c>
      <c r="AS34" s="592">
        <f t="shared" ref="AS34" ca="1" si="97">SUM(AS35:AS41)</f>
        <v>0</v>
      </c>
      <c r="AT34" s="592">
        <f t="shared" ref="AT34:AY34" ca="1" si="98">SUM(AT35:AT41)</f>
        <v>0</v>
      </c>
      <c r="AU34" s="592">
        <f t="shared" ca="1" si="98"/>
        <v>0</v>
      </c>
      <c r="AV34" s="592">
        <f t="shared" ca="1" si="98"/>
        <v>0</v>
      </c>
      <c r="AW34" s="592">
        <f t="shared" ca="1" si="98"/>
        <v>0</v>
      </c>
      <c r="AX34" s="592">
        <f t="shared" ca="1" si="98"/>
        <v>0</v>
      </c>
      <c r="AY34" s="593">
        <f t="shared" ca="1" si="98"/>
        <v>0</v>
      </c>
      <c r="AZ34" s="590"/>
      <c r="BA34" s="594">
        <f t="shared" ref="BA34" ca="1" si="99">SUM(BA35:BA41)</f>
        <v>0</v>
      </c>
      <c r="BB34" s="592">
        <f t="shared" ref="BB34:BC34" ca="1" si="100">SUM(BB35:BB41)</f>
        <v>0</v>
      </c>
      <c r="BC34" s="593">
        <f t="shared" ca="1" si="100"/>
        <v>0</v>
      </c>
    </row>
    <row r="35" spans="2:55" x14ac:dyDescent="0.35">
      <c r="B35" s="76" t="s">
        <v>76</v>
      </c>
      <c r="C35" s="65">
        <f>CHOOSE(PLColumn,IFERROR(GETPIVOTDATA("Sum of "&amp;C$9,'PT-All'!$A$1,"Scenario",C$12,"P&amp;L Item",$B35),0),IFERROR(GETPIVOTDATA("Sum of "&amp;C$9,'PT-All'!$A$1,"Scenario",C$12,"P&amp;L Item",$B35)/C$201,0),TEXT(IFERROR(GETPIVOTDATA("Sum of "&amp;C$9,'PT-All'!$A$1,"Scenario",C$12,"P&amp;L Item",$B35)/C$29,0),"0.00%"))</f>
        <v>0</v>
      </c>
      <c r="D35" s="65">
        <f>CHOOSE(PLColumn,IFERROR(GETPIVOTDATA("Sum of "&amp;D$9,'PT-All'!$A$1,"Scenario",D$12,"P&amp;L Item",$B35),0),IFERROR(GETPIVOTDATA("Sum of "&amp;D$9,'PT-All'!$A$1,"Scenario",D$12,"P&amp;L Item",$B35)/D$201,0),TEXT(IFERROR(GETPIVOTDATA("Sum of "&amp;D$9,'PT-All'!$A$1,"Scenario",D$12,"P&amp;L Item",$B35)/D$29,0),"0.00%"))</f>
        <v>0</v>
      </c>
      <c r="E35" s="65">
        <f>CHOOSE(PLColumn,IFERROR(GETPIVOTDATA("Sum of "&amp;E$9,'PT-All'!$A$1,"Scenario",E$12,"P&amp;L Item",$B35),0),IFERROR(GETPIVOTDATA("Sum of "&amp;E$9,'PT-All'!$A$1,"Scenario",E$12,"P&amp;L Item",$B35)/E$201,0),TEXT(IFERROR(GETPIVOTDATA("Sum of "&amp;E$9,'PT-All'!$A$1,"Scenario",E$12,"P&amp;L Item",$B35)/E$29,0),"0.00%"))</f>
        <v>0</v>
      </c>
      <c r="F35" s="65">
        <f>CHOOSE(PLColumn,IFERROR(GETPIVOTDATA("Sum of "&amp;F$9,'PT-All'!$A$1,"Scenario",F$12,"P&amp;L Item",$B35),0),IFERROR(GETPIVOTDATA("Sum of "&amp;F$9,'PT-All'!$A$1,"Scenario",F$12,"P&amp;L Item",$B35)/F$201,0),TEXT(IFERROR(GETPIVOTDATA("Sum of "&amp;F$9,'PT-All'!$A$1,"Scenario",F$12,"P&amp;L Item",$B35)/F$29,0),"0.00%"))</f>
        <v>0</v>
      </c>
      <c r="G35" s="65">
        <f>CHOOSE(PLColumn,IFERROR(GETPIVOTDATA("Sum of "&amp;G$9,'PT-All'!$A$1,"Scenario",G$12,"P&amp;L Item",$B35),0),IFERROR(GETPIVOTDATA("Sum of "&amp;G$9,'PT-All'!$A$1,"Scenario",G$12,"P&amp;L Item",$B35)/G$201,0),TEXT(IFERROR(GETPIVOTDATA("Sum of "&amp;G$9,'PT-All'!$A$1,"Scenario",G$12,"P&amp;L Item",$B35)/G$29,0),"0.00%"))</f>
        <v>0</v>
      </c>
      <c r="H35" s="65">
        <f>CHOOSE(PLColumn,IFERROR(GETPIVOTDATA("Sum of "&amp;H$9,'PT-All'!$A$1,"Scenario",H$12,"P&amp;L Item",$B35),0),IFERROR(GETPIVOTDATA("Sum of "&amp;H$9,'PT-All'!$A$1,"Scenario",H$12,"P&amp;L Item",$B35)/H$201,0),TEXT(IFERROR(GETPIVOTDATA("Sum of "&amp;H$9,'PT-All'!$A$1,"Scenario",H$12,"P&amp;L Item",$B35)/H$29,0),"0.00%"))</f>
        <v>0</v>
      </c>
      <c r="I35" s="65">
        <f>CHOOSE(PLColumn,IFERROR(GETPIVOTDATA("Sum of "&amp;I$9,'PT-All'!$A$1,"Scenario",I$12,"P&amp;L Item",$B35),0),IFERROR(GETPIVOTDATA("Sum of "&amp;I$9,'PT-All'!$A$1,"Scenario",I$12,"P&amp;L Item",$B35)/I$201,0),TEXT(IFERROR(GETPIVOTDATA("Sum of "&amp;I$9,'PT-All'!$A$1,"Scenario",I$12,"P&amp;L Item",$B35)/I$29,0),"0.00%"))</f>
        <v>0</v>
      </c>
      <c r="J35" s="65">
        <f>CHOOSE(PLColumn,IFERROR(GETPIVOTDATA("Sum of "&amp;J$9,'PT-All'!$A$1,"Scenario",J$12,"P&amp;L Item",$B35),0),IFERROR(GETPIVOTDATA("Sum of "&amp;J$9,'PT-All'!$A$1,"Scenario",J$12,"P&amp;L Item",$B35)/J$201,0),TEXT(IFERROR(GETPIVOTDATA("Sum of "&amp;J$9,'PT-All'!$A$1,"Scenario",J$12,"P&amp;L Item",$B35)/J$29,0),"0.00%"))</f>
        <v>0</v>
      </c>
      <c r="K35" s="65">
        <f>CHOOSE(PLColumn,IFERROR(GETPIVOTDATA("Sum of "&amp;K$9,'PT-All'!$A$1,"Scenario",K$12,"P&amp;L Item",$B35),0),IFERROR(GETPIVOTDATA("Sum of "&amp;K$9,'PT-All'!$A$1,"Scenario",K$12,"P&amp;L Item",$B35)/K$201,0),TEXT(IFERROR(GETPIVOTDATA("Sum of "&amp;K$9,'PT-All'!$A$1,"Scenario",K$12,"P&amp;L Item",$B35)/K$29,0),"0.00%"))</f>
        <v>0</v>
      </c>
      <c r="L35" s="65">
        <f>CHOOSE(PLColumn,IFERROR(GETPIVOTDATA("Sum of "&amp;L$9,'PT-All'!$A$1,"Scenario",L$12,"P&amp;L Item",$B35),0),IFERROR(GETPIVOTDATA("Sum of "&amp;L$9,'PT-All'!$A$1,"Scenario",L$12,"P&amp;L Item",$B35)/L$201,0),TEXT(IFERROR(GETPIVOTDATA("Sum of "&amp;L$9,'PT-All'!$A$1,"Scenario",L$12,"P&amp;L Item",$B35)/L$29,0),"0.00%"))</f>
        <v>0</v>
      </c>
      <c r="M35" s="65">
        <f>CHOOSE(PLColumn,IFERROR(GETPIVOTDATA("Sum of "&amp;M$9,'PT-All'!$A$1,"Scenario",M$12,"P&amp;L Item",$B35),0),IFERROR(GETPIVOTDATA("Sum of "&amp;M$9,'PT-All'!$A$1,"Scenario",M$12,"P&amp;L Item",$B35)/M$201,0),TEXT(IFERROR(GETPIVOTDATA("Sum of "&amp;M$9,'PT-All'!$A$1,"Scenario",M$12,"P&amp;L Item",$B35)/M$29,0),"0.00%"))</f>
        <v>0</v>
      </c>
      <c r="N35" s="65">
        <f>CHOOSE(PLColumn,IFERROR(GETPIVOTDATA("Sum of "&amp;N$9,'PT-All'!$A$1,"Scenario",N$12,"P&amp;L Item",$B35),0),IFERROR(GETPIVOTDATA("Sum of "&amp;N$9,'PT-All'!$A$1,"Scenario",N$12,"P&amp;L Item",$B35)/N$201,0),TEXT(IFERROR(GETPIVOTDATA("Sum of "&amp;N$9,'PT-All'!$A$1,"Scenario",N$12,"P&amp;L Item",$B35)/N$29,0),"0.00%"))</f>
        <v>0</v>
      </c>
      <c r="O35" s="65">
        <f>CHOOSE(PLColumn,IFERROR(GETPIVOTDATA("Sum of "&amp;O$9,'PT-All'!$A$1,"Scenario",O$12,"P&amp;L Item",$B35),0),IFERROR(GETPIVOTDATA("Sum of "&amp;O$9,'PT-All'!$A$1,"Scenario",O$12,"P&amp;L Item",$B35)/O$201,0),TEXT(IFERROR(GETPIVOTDATA("Sum of "&amp;O$9,'PT-All'!$A$1,"Scenario",O$12,"P&amp;L Item",$B35)/O$29,0),"0.00%"))</f>
        <v>0</v>
      </c>
      <c r="P35" s="65">
        <f>CHOOSE(PLColumn,IFERROR(GETPIVOTDATA("Sum of "&amp;P$9,'PT-All'!$A$1,"Scenario",P$12,"P&amp;L Item",$B35),0),IFERROR(GETPIVOTDATA("Sum of "&amp;P$9,'PT-All'!$A$1,"Scenario",P$12,"P&amp;L Item",$B35)/P$201,0),TEXT(IFERROR(GETPIVOTDATA("Sum of "&amp;P$9,'PT-All'!$A$1,"Scenario",P$12,"P&amp;L Item",$B35)/P$29,0),"0.00%"))</f>
        <v>0</v>
      </c>
      <c r="Q35" s="65">
        <f>CHOOSE(PLColumn,IFERROR(GETPIVOTDATA("Sum of "&amp;Q$9,'PT-All'!$A$1,"Scenario",Q$12,"P&amp;L Item",$B35),0),IFERROR(GETPIVOTDATA("Sum of "&amp;Q$9,'PT-All'!$A$1,"Scenario",Q$12,"P&amp;L Item",$B35)/Q$201,0),TEXT(IFERROR(GETPIVOTDATA("Sum of "&amp;Q$9,'PT-All'!$A$1,"Scenario",Q$12,"P&amp;L Item",$B35)/Q$29,0),"0.00%"))</f>
        <v>0</v>
      </c>
      <c r="R35" s="65">
        <f>CHOOSE(PLColumn,IFERROR(GETPIVOTDATA("Sum of "&amp;R$9,'PT-All'!$A$1,"Scenario",R$12,"P&amp;L Item",$B35),0),IFERROR(GETPIVOTDATA("Sum of "&amp;R$9,'PT-All'!$A$1,"Scenario",R$12,"P&amp;L Item",$B35)/R$201,0),TEXT(IFERROR(GETPIVOTDATA("Sum of "&amp;R$9,'PT-All'!$A$1,"Scenario",R$12,"P&amp;L Item",$B35)/R$29,0),"0.00%"))</f>
        <v>0</v>
      </c>
      <c r="S35" s="65">
        <f>CHOOSE(PLColumn,IFERROR(GETPIVOTDATA("Sum of "&amp;S$9,'PT-All'!$A$1,"Scenario",S$12,"P&amp;L Item",$B35),0),IFERROR(GETPIVOTDATA("Sum of "&amp;S$9,'PT-All'!$A$1,"Scenario",S$12,"P&amp;L Item",$B35)/S$201,0),TEXT(IFERROR(GETPIVOTDATA("Sum of "&amp;S$9,'PT-All'!$A$1,"Scenario",S$12,"P&amp;L Item",$B35)/S$29,0),"0.00%"))</f>
        <v>0</v>
      </c>
      <c r="T35" s="65">
        <f>CHOOSE(PLColumn,IFERROR(GETPIVOTDATA("Sum of "&amp;T$9,'PT-All'!$A$1,"Scenario",T$12,"P&amp;L Item",$B35),0),IFERROR(GETPIVOTDATA("Sum of "&amp;T$9,'PT-All'!$A$1,"Scenario",T$12,"P&amp;L Item",$B35)/T$201,0),TEXT(IFERROR(GETPIVOTDATA("Sum of "&amp;T$9,'PT-All'!$A$1,"Scenario",T$12,"P&amp;L Item",$B35)/T$29,0),"0.00%"))</f>
        <v>0</v>
      </c>
      <c r="U35" s="65">
        <f>CHOOSE(PLColumn,IFERROR(GETPIVOTDATA("Sum of "&amp;U$9,'PT-All'!$A$1,"Scenario",U$12,"P&amp;L Item",$B35),0),IFERROR(GETPIVOTDATA("Sum of "&amp;U$9,'PT-All'!$A$1,"Scenario",U$12,"P&amp;L Item",$B35)/U$201,0),TEXT(IFERROR(GETPIVOTDATA("Sum of "&amp;U$9,'PT-All'!$A$1,"Scenario",U$12,"P&amp;L Item",$B35)/U$29,0),"0.00%"))</f>
        <v>0</v>
      </c>
      <c r="V35" s="65">
        <f>CHOOSE(PLColumn,IFERROR(GETPIVOTDATA("Sum of "&amp;V$9,'PT-All'!$A$1,"Scenario",V$12,"P&amp;L Item",$B35),0),IFERROR(GETPIVOTDATA("Sum of "&amp;V$9,'PT-All'!$A$1,"Scenario",V$12,"P&amp;L Item",$B35)/V$201,0),TEXT(IFERROR(GETPIVOTDATA("Sum of "&amp;V$9,'PT-All'!$A$1,"Scenario",V$12,"P&amp;L Item",$B35)/V$29,0),"0.00%"))</f>
        <v>0</v>
      </c>
      <c r="W35" s="65">
        <f>CHOOSE(PLColumn,IFERROR(GETPIVOTDATA("Sum of "&amp;W$9,'PT-All'!$A$1,"Scenario",W$12,"P&amp;L Item",$B35),0),IFERROR(GETPIVOTDATA("Sum of "&amp;W$9,'PT-All'!$A$1,"Scenario",W$12,"P&amp;L Item",$B35)/W$201,0),TEXT(IFERROR(GETPIVOTDATA("Sum of "&amp;W$9,'PT-All'!$A$1,"Scenario",W$12,"P&amp;L Item",$B35)/W$29,0),"0.00%"))</f>
        <v>0</v>
      </c>
      <c r="X35" s="65">
        <f>CHOOSE(PLColumn,IFERROR(GETPIVOTDATA("Sum of "&amp;X$9,'PT-All'!$A$1,"Scenario",X$12,"P&amp;L Item",$B35),0),IFERROR(GETPIVOTDATA("Sum of "&amp;X$9,'PT-All'!$A$1,"Scenario",X$12,"P&amp;L Item",$B35)/X$201,0),TEXT(IFERROR(GETPIVOTDATA("Sum of "&amp;X$9,'PT-All'!$A$1,"Scenario",X$12,"P&amp;L Item",$B35)/X$29,0),"0.00%"))</f>
        <v>0</v>
      </c>
      <c r="Y35" s="65">
        <f>CHOOSE(PLColumn,IFERROR(GETPIVOTDATA("Sum of "&amp;Y$9,'PT-All'!$A$1,"Scenario",Y$12,"P&amp;L Item",$B35),0),IFERROR(GETPIVOTDATA("Sum of "&amp;Y$9,'PT-All'!$A$1,"Scenario",Y$12,"P&amp;L Item",$B35)/Y$201,0),TEXT(IFERROR(GETPIVOTDATA("Sum of "&amp;Y$9,'PT-All'!$A$1,"Scenario",Y$12,"P&amp;L Item",$B35)/Y$29,0),"0.00%"))</f>
        <v>0</v>
      </c>
      <c r="Z35" s="65">
        <f>CHOOSE(PLColumn,IFERROR(GETPIVOTDATA("Sum of "&amp;Z$9,'PT-All'!$A$1,"Scenario",Z$12,"P&amp;L Item",$B35),0),IFERROR(GETPIVOTDATA("Sum of "&amp;Z$9,'PT-All'!$A$1,"Scenario",Z$12,"P&amp;L Item",$B35)/Z$201,0),TEXT(IFERROR(GETPIVOTDATA("Sum of "&amp;Z$9,'PT-All'!$A$1,"Scenario",Z$12,"P&amp;L Item",$B35)/Z$29,0),"0.00%"))</f>
        <v>0</v>
      </c>
      <c r="AA35" s="65">
        <f>CHOOSE(PLColumn,IFERROR(GETPIVOTDATA("Sum of "&amp;AA$9,'PT-All'!$A$1,"Scenario",AA$12,"P&amp;L Item",$B35),0),IFERROR(GETPIVOTDATA("Sum of "&amp;AA$9,'PT-All'!$A$1,"Scenario",AA$12,"P&amp;L Item",$B35)/AA$201,0),TEXT(IFERROR(GETPIVOTDATA("Sum of "&amp;AA$9,'PT-All'!$A$1,"Scenario",AA$12,"P&amp;L Item",$B35)/AA$29,0),"0.00%"))</f>
        <v>0</v>
      </c>
      <c r="AB35" s="65">
        <f>CHOOSE(PLColumn,IFERROR(GETPIVOTDATA("Sum of "&amp;AB$9,'PT-All'!$A$1,"Scenario",AB$12,"P&amp;L Item",$B35),0),IFERROR(GETPIVOTDATA("Sum of "&amp;AB$9,'PT-All'!$A$1,"Scenario",AB$12,"P&amp;L Item",$B35)/AB$201,0),TEXT(IFERROR(GETPIVOTDATA("Sum of "&amp;AB$9,'PT-All'!$A$1,"Scenario",AB$12,"P&amp;L Item",$B35)/AB$29,0),"0.00%"))</f>
        <v>0</v>
      </c>
      <c r="AC35" s="65">
        <f>CHOOSE(PLColumn,IFERROR(GETPIVOTDATA("Sum of "&amp;AC$9,'PT-All'!$A$1,"Scenario",AC$12,"P&amp;L Item",$B35),0),IFERROR(GETPIVOTDATA("Sum of "&amp;AC$9,'PT-All'!$A$1,"Scenario",AC$12,"P&amp;L Item",$B35)/AC$201,0),TEXT(IFERROR(GETPIVOTDATA("Sum of "&amp;AC$9,'PT-All'!$A$1,"Scenario",AC$12,"P&amp;L Item",$B35)/AC$29,0),"0.00%"))</f>
        <v>0</v>
      </c>
      <c r="AD35" s="65">
        <f>CHOOSE(PLColumn,IFERROR(GETPIVOTDATA("Sum of "&amp;AD$9,'PT-All'!$A$1,"Scenario",AD$12,"P&amp;L Item",$B35),0),IFERROR(GETPIVOTDATA("Sum of "&amp;AD$9,'PT-All'!$A$1,"Scenario",AD$12,"P&amp;L Item",$B35)/AD$201,0),TEXT(IFERROR(GETPIVOTDATA("Sum of "&amp;AD$9,'PT-All'!$A$1,"Scenario",AD$12,"P&amp;L Item",$B35)/AD$29,0),"0.00%"))</f>
        <v>0</v>
      </c>
      <c r="AE35" s="65">
        <f>CHOOSE(PLColumn,IFERROR(GETPIVOTDATA("Sum of "&amp;AE$9,'PT-All'!$A$1,"Scenario",AE$12,"P&amp;L Item",$B35),0),IFERROR(GETPIVOTDATA("Sum of "&amp;AE$9,'PT-All'!$A$1,"Scenario",AE$12,"P&amp;L Item",$B35)/AE$201,0),TEXT(IFERROR(GETPIVOTDATA("Sum of "&amp;AE$9,'PT-All'!$A$1,"Scenario",AE$12,"P&amp;L Item",$B35)/AE$29,0),"0.00%"))</f>
        <v>0</v>
      </c>
      <c r="AF35" s="65">
        <f>CHOOSE(PLColumn,IFERROR(GETPIVOTDATA("Sum of "&amp;AF$9,'PT-All'!$A$1,"Scenario",AF$12,"P&amp;L Item",$B35),0),IFERROR(GETPIVOTDATA("Sum of "&amp;AF$9,'PT-All'!$A$1,"Scenario",AF$12,"P&amp;L Item",$B35)/AF$201,0),TEXT(IFERROR(GETPIVOTDATA("Sum of "&amp;AF$9,'PT-All'!$A$1,"Scenario",AF$12,"P&amp;L Item",$B35)/AF$29,0),"0.00%"))</f>
        <v>0</v>
      </c>
      <c r="AG35" s="65">
        <f>CHOOSE(PLColumn,IFERROR(GETPIVOTDATA("Sum of "&amp;AG$9,'PT-All'!$A$1,"Scenario",AG$12,"P&amp;L Item",$B35),0),IFERROR(GETPIVOTDATA("Sum of "&amp;AG$9,'PT-All'!$A$1,"Scenario",AG$12,"P&amp;L Item",$B35)/AG$201,0),TEXT(IFERROR(GETPIVOTDATA("Sum of "&amp;AG$9,'PT-All'!$A$1,"Scenario",AG$12,"P&amp;L Item",$B35)/AG$29,0),"0.00%"))</f>
        <v>0</v>
      </c>
      <c r="AH35" s="65">
        <f>CHOOSE(PLColumn,IFERROR(GETPIVOTDATA("Sum of "&amp;AH$9,'PT-All'!$A$1,"Scenario",AH$12,"P&amp;L Item",$B35),0),IFERROR(GETPIVOTDATA("Sum of "&amp;AH$9,'PT-All'!$A$1,"Scenario",AH$12,"P&amp;L Item",$B35)/AH$201,0),TEXT(IFERROR(GETPIVOTDATA("Sum of "&amp;AH$9,'PT-All'!$A$1,"Scenario",AH$12,"P&amp;L Item",$B35)/AH$29,0),"0.00%"))</f>
        <v>0</v>
      </c>
      <c r="AI35" s="65">
        <f>CHOOSE(PLColumn,IFERROR(GETPIVOTDATA("Sum of "&amp;AI$9,'PT-All'!$A$1,"Scenario",AI$12,"P&amp;L Item",$B35),0),IFERROR(GETPIVOTDATA("Sum of "&amp;AI$9,'PT-All'!$A$1,"Scenario",AI$12,"P&amp;L Item",$B35)/AI$201,0),TEXT(IFERROR(GETPIVOTDATA("Sum of "&amp;AI$9,'PT-All'!$A$1,"Scenario",AI$12,"P&amp;L Item",$B35)/AI$29,0),"0.00%"))</f>
        <v>0</v>
      </c>
      <c r="AJ35" s="65">
        <f>CHOOSE(PLColumn,IFERROR(GETPIVOTDATA("Sum of "&amp;AJ$9,'PT-All'!$A$1,"Scenario",AJ$12,"P&amp;L Item",$B35),0),IFERROR(GETPIVOTDATA("Sum of "&amp;AJ$9,'PT-All'!$A$1,"Scenario",AJ$12,"P&amp;L Item",$B35)/AJ$201,0),TEXT(IFERROR(GETPIVOTDATA("Sum of "&amp;AJ$9,'PT-All'!$A$1,"Scenario",AJ$12,"P&amp;L Item",$B35)/AJ$29,0),"0.00%"))</f>
        <v>0</v>
      </c>
      <c r="AK35" s="65">
        <f>CHOOSE(PLColumn,IFERROR(GETPIVOTDATA("Sum of "&amp;AK$9,'PT-All'!$A$1,"Scenario",AK$12,"P&amp;L Item",$B35),0),IFERROR(GETPIVOTDATA("Sum of "&amp;AK$9,'PT-All'!$A$1,"Scenario",AK$12,"P&amp;L Item",$B35)/AK$201,0),TEXT(IFERROR(GETPIVOTDATA("Sum of "&amp;AK$9,'PT-All'!$A$1,"Scenario",AK$12,"P&amp;L Item",$B35)/AK$29,0),"0.00%"))</f>
        <v>0</v>
      </c>
      <c r="AL35" s="97">
        <f>CHOOSE(PLColumn,IFERROR(GETPIVOTDATA("Sum of "&amp;AL$9,'PT-All'!$A$1,"Scenario",AL$12,"P&amp;L Item",$B35),0),IFERROR(GETPIVOTDATA("Sum of "&amp;AL$9,'PT-All'!$A$1,"Scenario",AL$12,"P&amp;L Item",$B35)/AL$201,0),TEXT(IFERROR(GETPIVOTDATA("Sum of "&amp;AL$9,'PT-All'!$A$1,"Scenario",AL$12,"P&amp;L Item",$B35)/AL$29,0),"0.00%"))</f>
        <v>0</v>
      </c>
      <c r="AM35" s="590"/>
      <c r="AN35" s="108">
        <f ca="1">IF(AN$12="Pro Forma",SUM(OFFSET($B35,0,3*AN$9+1,1,3)),IFERROR(GETPIVOTDATA("Sum of Q"&amp;AN$9+1,'PT-All'!$A$1,"Scenario",AN$12,"P&amp;L Item",$B35),0))</f>
        <v>0</v>
      </c>
      <c r="AO35" s="65">
        <f ca="1">IF(AO$12="Pro Forma",SUM(OFFSET($B35,0,3*AO$9+1,1,3)),IFERROR(GETPIVOTDATA("Sum of Q"&amp;AO$9+1,'PT-All'!$A$1,"Scenario",AO$12,"P&amp;L Item",$B35),0))</f>
        <v>0</v>
      </c>
      <c r="AP35" s="65">
        <f ca="1">IF(AP$12="Pro Forma",SUM(OFFSET($B35,0,3*AP$9+1,1,3)),IFERROR(GETPIVOTDATA("Sum of Q"&amp;AP$9+1,'PT-All'!$A$1,"Scenario",AP$12,"P&amp;L Item",$B35),0))</f>
        <v>0</v>
      </c>
      <c r="AQ35" s="65">
        <f ca="1">IF(AQ$12="Pro Forma",SUM(OFFSET($B35,0,3*AQ$9+1,1,3)),IFERROR(GETPIVOTDATA("Sum of Q"&amp;AQ$9+1,'PT-All'!$A$1,"Scenario",AQ$12,"P&amp;L Item",$B35),0))</f>
        <v>0</v>
      </c>
      <c r="AR35" s="65">
        <f ca="1">IF(AR$12="Pro Forma",SUM(OFFSET($B35,0,3*AR$9+1,1,3)),IFERROR(GETPIVOTDATA("Sum of Q"&amp;AR$9+1,'PT-All'!$A$1,"Scenario",AR$12,"P&amp;L Item",$B35),0))</f>
        <v>0</v>
      </c>
      <c r="AS35" s="65">
        <f ca="1">IF(AS$12="Pro Forma",SUM(OFFSET($B35,0,3*AS$9+1,1,3)),IFERROR(GETPIVOTDATA("Sum of Q"&amp;AS$9+1,'PT-All'!$A$1,"Scenario",AS$12,"P&amp;L Item",$B35),0))</f>
        <v>0</v>
      </c>
      <c r="AT35" s="65">
        <f ca="1">IF(AT$12="Pro Forma",SUM(OFFSET($B35,0,3*AT$9+1,1,3)),IFERROR(GETPIVOTDATA("Sum of Q"&amp;AT$9+1,'PT-All'!$A$1,"Scenario",AT$12,"P&amp;L Item",$B35),0))</f>
        <v>0</v>
      </c>
      <c r="AU35" s="65">
        <f ca="1">IF(AU$12="Pro Forma",SUM(OFFSET($B35,0,3*AU$9+1,1,3)),IFERROR(GETPIVOTDATA("Sum of Q"&amp;AU$9+1,'PT-All'!$A$1,"Scenario",AU$12,"P&amp;L Item",$B35),0))</f>
        <v>0</v>
      </c>
      <c r="AV35" s="65">
        <f ca="1">IF(AV$12="Pro Forma",SUM(OFFSET($B35,0,3*AV$9+1,1,3)),IFERROR(GETPIVOTDATA("Sum of Q"&amp;AV$9+1,'PT-All'!$A$1,"Scenario",AV$12,"P&amp;L Item",$B35),0))</f>
        <v>0</v>
      </c>
      <c r="AW35" s="65">
        <f ca="1">IF(AW$12="Pro Forma",SUM(OFFSET($B35,0,3*AW$9+1,1,3)),IFERROR(GETPIVOTDATA("Sum of Q"&amp;AW$9+1,'PT-All'!$A$1,"Scenario",AW$12,"P&amp;L Item",$B35),0))</f>
        <v>0</v>
      </c>
      <c r="AX35" s="65">
        <f ca="1">IF(AX$12="Pro Forma",SUM(OFFSET($B35,0,3*AX$9+1,1,3)),IFERROR(GETPIVOTDATA("Sum of Q"&amp;AX$9+1,'PT-All'!$A$1,"Scenario",AX$12,"P&amp;L Item",$B35),0))</f>
        <v>0</v>
      </c>
      <c r="AY35" s="97">
        <f ca="1">IF(AY$12="Pro Forma",SUM(OFFSET($B35,0,3*AY$9+1,1,3)),IFERROR(GETPIVOTDATA("Sum of Q"&amp;AY$9+1,'PT-All'!$A$1,"Scenario",AY$12,"P&amp;L Item",$B35),0))</f>
        <v>0</v>
      </c>
      <c r="AZ35" s="590"/>
      <c r="BA35" s="108">
        <f ca="1">IF(BA$12="Pro Forma",SUM(OFFSET($B35,0,12*BA$9+1,1,12)),IFERROR(GETPIVOTDATA("Sum of FY"&amp;BA$9+1,'PT-All'!$A$1,"Scenario",BA$12,"P&amp;L Item",$B35),0))</f>
        <v>0</v>
      </c>
      <c r="BB35" s="65">
        <f ca="1">IF(BB$12="Pro Forma",SUM(OFFSET($B35,0,12*BB$9+1,1,12)),IFERROR(GETPIVOTDATA("Sum of FY"&amp;BB$9+1,'PT-All'!$A$1,"Scenario",BB$12,"P&amp;L Item",$B35),0))</f>
        <v>0</v>
      </c>
      <c r="BC35" s="97">
        <f ca="1">IF(BC$12="Pro Forma",SUM(OFFSET($B35,0,12*BC$9+1,1,12)),IFERROR(GETPIVOTDATA("Sum of FY"&amp;BC$9+1,'PT-All'!$A$1,"Scenario",BC$12,"P&amp;L Item",$B35),0))</f>
        <v>0</v>
      </c>
    </row>
    <row r="36" spans="2:55" x14ac:dyDescent="0.35">
      <c r="B36" s="76" t="s">
        <v>77</v>
      </c>
      <c r="C36" s="65">
        <f>CHOOSE(PLColumn,IFERROR(GETPIVOTDATA("Sum of "&amp;C$9,'PT-All'!$A$1,"Scenario",C$12,"P&amp;L Item",$B36),0),IFERROR(GETPIVOTDATA("Sum of "&amp;C$9,'PT-All'!$A$1,"Scenario",C$12,"P&amp;L Item",$B36)/C$201,0),TEXT(IFERROR(GETPIVOTDATA("Sum of "&amp;C$9,'PT-All'!$A$1,"Scenario",C$12,"P&amp;L Item",$B36)/C$29,0),"0.00%"))</f>
        <v>0</v>
      </c>
      <c r="D36" s="65">
        <f>CHOOSE(PLColumn,IFERROR(GETPIVOTDATA("Sum of "&amp;D$9,'PT-All'!$A$1,"Scenario",D$12,"P&amp;L Item",$B36),0),IFERROR(GETPIVOTDATA("Sum of "&amp;D$9,'PT-All'!$A$1,"Scenario",D$12,"P&amp;L Item",$B36)/D$201,0),TEXT(IFERROR(GETPIVOTDATA("Sum of "&amp;D$9,'PT-All'!$A$1,"Scenario",D$12,"P&amp;L Item",$B36)/D$29,0),"0.00%"))</f>
        <v>0</v>
      </c>
      <c r="E36" s="65">
        <f>CHOOSE(PLColumn,IFERROR(GETPIVOTDATA("Sum of "&amp;E$9,'PT-All'!$A$1,"Scenario",E$12,"P&amp;L Item",$B36),0),IFERROR(GETPIVOTDATA("Sum of "&amp;E$9,'PT-All'!$A$1,"Scenario",E$12,"P&amp;L Item",$B36)/E$201,0),TEXT(IFERROR(GETPIVOTDATA("Sum of "&amp;E$9,'PT-All'!$A$1,"Scenario",E$12,"P&amp;L Item",$B36)/E$29,0),"0.00%"))</f>
        <v>0</v>
      </c>
      <c r="F36" s="65">
        <f>CHOOSE(PLColumn,IFERROR(GETPIVOTDATA("Sum of "&amp;F$9,'PT-All'!$A$1,"Scenario",F$12,"P&amp;L Item",$B36),0),IFERROR(GETPIVOTDATA("Sum of "&amp;F$9,'PT-All'!$A$1,"Scenario",F$12,"P&amp;L Item",$B36)/F$201,0),TEXT(IFERROR(GETPIVOTDATA("Sum of "&amp;F$9,'PT-All'!$A$1,"Scenario",F$12,"P&amp;L Item",$B36)/F$29,0),"0.00%"))</f>
        <v>0</v>
      </c>
      <c r="G36" s="65">
        <f>CHOOSE(PLColumn,IFERROR(GETPIVOTDATA("Sum of "&amp;G$9,'PT-All'!$A$1,"Scenario",G$12,"P&amp;L Item",$B36),0),IFERROR(GETPIVOTDATA("Sum of "&amp;G$9,'PT-All'!$A$1,"Scenario",G$12,"P&amp;L Item",$B36)/G$201,0),TEXT(IFERROR(GETPIVOTDATA("Sum of "&amp;G$9,'PT-All'!$A$1,"Scenario",G$12,"P&amp;L Item",$B36)/G$29,0),"0.00%"))</f>
        <v>0</v>
      </c>
      <c r="H36" s="65">
        <f>CHOOSE(PLColumn,IFERROR(GETPIVOTDATA("Sum of "&amp;H$9,'PT-All'!$A$1,"Scenario",H$12,"P&amp;L Item",$B36),0),IFERROR(GETPIVOTDATA("Sum of "&amp;H$9,'PT-All'!$A$1,"Scenario",H$12,"P&amp;L Item",$B36)/H$201,0),TEXT(IFERROR(GETPIVOTDATA("Sum of "&amp;H$9,'PT-All'!$A$1,"Scenario",H$12,"P&amp;L Item",$B36)/H$29,0),"0.00%"))</f>
        <v>0</v>
      </c>
      <c r="I36" s="65">
        <f>CHOOSE(PLColumn,IFERROR(GETPIVOTDATA("Sum of "&amp;I$9,'PT-All'!$A$1,"Scenario",I$12,"P&amp;L Item",$B36),0),IFERROR(GETPIVOTDATA("Sum of "&amp;I$9,'PT-All'!$A$1,"Scenario",I$12,"P&amp;L Item",$B36)/I$201,0),TEXT(IFERROR(GETPIVOTDATA("Sum of "&amp;I$9,'PT-All'!$A$1,"Scenario",I$12,"P&amp;L Item",$B36)/I$29,0),"0.00%"))</f>
        <v>0</v>
      </c>
      <c r="J36" s="65">
        <f>CHOOSE(PLColumn,IFERROR(GETPIVOTDATA("Sum of "&amp;J$9,'PT-All'!$A$1,"Scenario",J$12,"P&amp;L Item",$B36),0),IFERROR(GETPIVOTDATA("Sum of "&amp;J$9,'PT-All'!$A$1,"Scenario",J$12,"P&amp;L Item",$B36)/J$201,0),TEXT(IFERROR(GETPIVOTDATA("Sum of "&amp;J$9,'PT-All'!$A$1,"Scenario",J$12,"P&amp;L Item",$B36)/J$29,0),"0.00%"))</f>
        <v>0</v>
      </c>
      <c r="K36" s="65">
        <f>CHOOSE(PLColumn,IFERROR(GETPIVOTDATA("Sum of "&amp;K$9,'PT-All'!$A$1,"Scenario",K$12,"P&amp;L Item",$B36),0),IFERROR(GETPIVOTDATA("Sum of "&amp;K$9,'PT-All'!$A$1,"Scenario",K$12,"P&amp;L Item",$B36)/K$201,0),TEXT(IFERROR(GETPIVOTDATA("Sum of "&amp;K$9,'PT-All'!$A$1,"Scenario",K$12,"P&amp;L Item",$B36)/K$29,0),"0.00%"))</f>
        <v>0</v>
      </c>
      <c r="L36" s="65">
        <f>CHOOSE(PLColumn,IFERROR(GETPIVOTDATA("Sum of "&amp;L$9,'PT-All'!$A$1,"Scenario",L$12,"P&amp;L Item",$B36),0),IFERROR(GETPIVOTDATA("Sum of "&amp;L$9,'PT-All'!$A$1,"Scenario",L$12,"P&amp;L Item",$B36)/L$201,0),TEXT(IFERROR(GETPIVOTDATA("Sum of "&amp;L$9,'PT-All'!$A$1,"Scenario",L$12,"P&amp;L Item",$B36)/L$29,0),"0.00%"))</f>
        <v>0</v>
      </c>
      <c r="M36" s="65">
        <f>CHOOSE(PLColumn,IFERROR(GETPIVOTDATA("Sum of "&amp;M$9,'PT-All'!$A$1,"Scenario",M$12,"P&amp;L Item",$B36),0),IFERROR(GETPIVOTDATA("Sum of "&amp;M$9,'PT-All'!$A$1,"Scenario",M$12,"P&amp;L Item",$B36)/M$201,0),TEXT(IFERROR(GETPIVOTDATA("Sum of "&amp;M$9,'PT-All'!$A$1,"Scenario",M$12,"P&amp;L Item",$B36)/M$29,0),"0.00%"))</f>
        <v>0</v>
      </c>
      <c r="N36" s="65">
        <f>CHOOSE(PLColumn,IFERROR(GETPIVOTDATA("Sum of "&amp;N$9,'PT-All'!$A$1,"Scenario",N$12,"P&amp;L Item",$B36),0),IFERROR(GETPIVOTDATA("Sum of "&amp;N$9,'PT-All'!$A$1,"Scenario",N$12,"P&amp;L Item",$B36)/N$201,0),TEXT(IFERROR(GETPIVOTDATA("Sum of "&amp;N$9,'PT-All'!$A$1,"Scenario",N$12,"P&amp;L Item",$B36)/N$29,0),"0.00%"))</f>
        <v>0</v>
      </c>
      <c r="O36" s="65">
        <f>CHOOSE(PLColumn,IFERROR(GETPIVOTDATA("Sum of "&amp;O$9,'PT-All'!$A$1,"Scenario",O$12,"P&amp;L Item",$B36),0),IFERROR(GETPIVOTDATA("Sum of "&amp;O$9,'PT-All'!$A$1,"Scenario",O$12,"P&amp;L Item",$B36)/O$201,0),TEXT(IFERROR(GETPIVOTDATA("Sum of "&amp;O$9,'PT-All'!$A$1,"Scenario",O$12,"P&amp;L Item",$B36)/O$29,0),"0.00%"))</f>
        <v>0</v>
      </c>
      <c r="P36" s="65">
        <f>CHOOSE(PLColumn,IFERROR(GETPIVOTDATA("Sum of "&amp;P$9,'PT-All'!$A$1,"Scenario",P$12,"P&amp;L Item",$B36),0),IFERROR(GETPIVOTDATA("Sum of "&amp;P$9,'PT-All'!$A$1,"Scenario",P$12,"P&amp;L Item",$B36)/P$201,0),TEXT(IFERROR(GETPIVOTDATA("Sum of "&amp;P$9,'PT-All'!$A$1,"Scenario",P$12,"P&amp;L Item",$B36)/P$29,0),"0.00%"))</f>
        <v>0</v>
      </c>
      <c r="Q36" s="65">
        <f>CHOOSE(PLColumn,IFERROR(GETPIVOTDATA("Sum of "&amp;Q$9,'PT-All'!$A$1,"Scenario",Q$12,"P&amp;L Item",$B36),0),IFERROR(GETPIVOTDATA("Sum of "&amp;Q$9,'PT-All'!$A$1,"Scenario",Q$12,"P&amp;L Item",$B36)/Q$201,0),TEXT(IFERROR(GETPIVOTDATA("Sum of "&amp;Q$9,'PT-All'!$A$1,"Scenario",Q$12,"P&amp;L Item",$B36)/Q$29,0),"0.00%"))</f>
        <v>0</v>
      </c>
      <c r="R36" s="65">
        <f>CHOOSE(PLColumn,IFERROR(GETPIVOTDATA("Sum of "&amp;R$9,'PT-All'!$A$1,"Scenario",R$12,"P&amp;L Item",$B36),0),IFERROR(GETPIVOTDATA("Sum of "&amp;R$9,'PT-All'!$A$1,"Scenario",R$12,"P&amp;L Item",$B36)/R$201,0),TEXT(IFERROR(GETPIVOTDATA("Sum of "&amp;R$9,'PT-All'!$A$1,"Scenario",R$12,"P&amp;L Item",$B36)/R$29,0),"0.00%"))</f>
        <v>0</v>
      </c>
      <c r="S36" s="65">
        <f>CHOOSE(PLColumn,IFERROR(GETPIVOTDATA("Sum of "&amp;S$9,'PT-All'!$A$1,"Scenario",S$12,"P&amp;L Item",$B36),0),IFERROR(GETPIVOTDATA("Sum of "&amp;S$9,'PT-All'!$A$1,"Scenario",S$12,"P&amp;L Item",$B36)/S$201,0),TEXT(IFERROR(GETPIVOTDATA("Sum of "&amp;S$9,'PT-All'!$A$1,"Scenario",S$12,"P&amp;L Item",$B36)/S$29,0),"0.00%"))</f>
        <v>0</v>
      </c>
      <c r="T36" s="65">
        <f>CHOOSE(PLColumn,IFERROR(GETPIVOTDATA("Sum of "&amp;T$9,'PT-All'!$A$1,"Scenario",T$12,"P&amp;L Item",$B36),0),IFERROR(GETPIVOTDATA("Sum of "&amp;T$9,'PT-All'!$A$1,"Scenario",T$12,"P&amp;L Item",$B36)/T$201,0),TEXT(IFERROR(GETPIVOTDATA("Sum of "&amp;T$9,'PT-All'!$A$1,"Scenario",T$12,"P&amp;L Item",$B36)/T$29,0),"0.00%"))</f>
        <v>0</v>
      </c>
      <c r="U36" s="65">
        <f>CHOOSE(PLColumn,IFERROR(GETPIVOTDATA("Sum of "&amp;U$9,'PT-All'!$A$1,"Scenario",U$12,"P&amp;L Item",$B36),0),IFERROR(GETPIVOTDATA("Sum of "&amp;U$9,'PT-All'!$A$1,"Scenario",U$12,"P&amp;L Item",$B36)/U$201,0),TEXT(IFERROR(GETPIVOTDATA("Sum of "&amp;U$9,'PT-All'!$A$1,"Scenario",U$12,"P&amp;L Item",$B36)/U$29,0),"0.00%"))</f>
        <v>0</v>
      </c>
      <c r="V36" s="65">
        <f>CHOOSE(PLColumn,IFERROR(GETPIVOTDATA("Sum of "&amp;V$9,'PT-All'!$A$1,"Scenario",V$12,"P&amp;L Item",$B36),0),IFERROR(GETPIVOTDATA("Sum of "&amp;V$9,'PT-All'!$A$1,"Scenario",V$12,"P&amp;L Item",$B36)/V$201,0),TEXT(IFERROR(GETPIVOTDATA("Sum of "&amp;V$9,'PT-All'!$A$1,"Scenario",V$12,"P&amp;L Item",$B36)/V$29,0),"0.00%"))</f>
        <v>0</v>
      </c>
      <c r="W36" s="65">
        <f>CHOOSE(PLColumn,IFERROR(GETPIVOTDATA("Sum of "&amp;W$9,'PT-All'!$A$1,"Scenario",W$12,"P&amp;L Item",$B36),0),IFERROR(GETPIVOTDATA("Sum of "&amp;W$9,'PT-All'!$A$1,"Scenario",W$12,"P&amp;L Item",$B36)/W$201,0),TEXT(IFERROR(GETPIVOTDATA("Sum of "&amp;W$9,'PT-All'!$A$1,"Scenario",W$12,"P&amp;L Item",$B36)/W$29,0),"0.00%"))</f>
        <v>0</v>
      </c>
      <c r="X36" s="65">
        <f>CHOOSE(PLColumn,IFERROR(GETPIVOTDATA("Sum of "&amp;X$9,'PT-All'!$A$1,"Scenario",X$12,"P&amp;L Item",$B36),0),IFERROR(GETPIVOTDATA("Sum of "&amp;X$9,'PT-All'!$A$1,"Scenario",X$12,"P&amp;L Item",$B36)/X$201,0),TEXT(IFERROR(GETPIVOTDATA("Sum of "&amp;X$9,'PT-All'!$A$1,"Scenario",X$12,"P&amp;L Item",$B36)/X$29,0),"0.00%"))</f>
        <v>0</v>
      </c>
      <c r="Y36" s="65">
        <f>CHOOSE(PLColumn,IFERROR(GETPIVOTDATA("Sum of "&amp;Y$9,'PT-All'!$A$1,"Scenario",Y$12,"P&amp;L Item",$B36),0),IFERROR(GETPIVOTDATA("Sum of "&amp;Y$9,'PT-All'!$A$1,"Scenario",Y$12,"P&amp;L Item",$B36)/Y$201,0),TEXT(IFERROR(GETPIVOTDATA("Sum of "&amp;Y$9,'PT-All'!$A$1,"Scenario",Y$12,"P&amp;L Item",$B36)/Y$29,0),"0.00%"))</f>
        <v>0</v>
      </c>
      <c r="Z36" s="65">
        <f>CHOOSE(PLColumn,IFERROR(GETPIVOTDATA("Sum of "&amp;Z$9,'PT-All'!$A$1,"Scenario",Z$12,"P&amp;L Item",$B36),0),IFERROR(GETPIVOTDATA("Sum of "&amp;Z$9,'PT-All'!$A$1,"Scenario",Z$12,"P&amp;L Item",$B36)/Z$201,0),TEXT(IFERROR(GETPIVOTDATA("Sum of "&amp;Z$9,'PT-All'!$A$1,"Scenario",Z$12,"P&amp;L Item",$B36)/Z$29,0),"0.00%"))</f>
        <v>0</v>
      </c>
      <c r="AA36" s="65">
        <f>CHOOSE(PLColumn,IFERROR(GETPIVOTDATA("Sum of "&amp;AA$9,'PT-All'!$A$1,"Scenario",AA$12,"P&amp;L Item",$B36),0),IFERROR(GETPIVOTDATA("Sum of "&amp;AA$9,'PT-All'!$A$1,"Scenario",AA$12,"P&amp;L Item",$B36)/AA$201,0),TEXT(IFERROR(GETPIVOTDATA("Sum of "&amp;AA$9,'PT-All'!$A$1,"Scenario",AA$12,"P&amp;L Item",$B36)/AA$29,0),"0.00%"))</f>
        <v>0</v>
      </c>
      <c r="AB36" s="65">
        <f>CHOOSE(PLColumn,IFERROR(GETPIVOTDATA("Sum of "&amp;AB$9,'PT-All'!$A$1,"Scenario",AB$12,"P&amp;L Item",$B36),0),IFERROR(GETPIVOTDATA("Sum of "&amp;AB$9,'PT-All'!$A$1,"Scenario",AB$12,"P&amp;L Item",$B36)/AB$201,0),TEXT(IFERROR(GETPIVOTDATA("Sum of "&amp;AB$9,'PT-All'!$A$1,"Scenario",AB$12,"P&amp;L Item",$B36)/AB$29,0),"0.00%"))</f>
        <v>0</v>
      </c>
      <c r="AC36" s="65">
        <f>CHOOSE(PLColumn,IFERROR(GETPIVOTDATA("Sum of "&amp;AC$9,'PT-All'!$A$1,"Scenario",AC$12,"P&amp;L Item",$B36),0),IFERROR(GETPIVOTDATA("Sum of "&amp;AC$9,'PT-All'!$A$1,"Scenario",AC$12,"P&amp;L Item",$B36)/AC$201,0),TEXT(IFERROR(GETPIVOTDATA("Sum of "&amp;AC$9,'PT-All'!$A$1,"Scenario",AC$12,"P&amp;L Item",$B36)/AC$29,0),"0.00%"))</f>
        <v>0</v>
      </c>
      <c r="AD36" s="65">
        <f>CHOOSE(PLColumn,IFERROR(GETPIVOTDATA("Sum of "&amp;AD$9,'PT-All'!$A$1,"Scenario",AD$12,"P&amp;L Item",$B36),0),IFERROR(GETPIVOTDATA("Sum of "&amp;AD$9,'PT-All'!$A$1,"Scenario",AD$12,"P&amp;L Item",$B36)/AD$201,0),TEXT(IFERROR(GETPIVOTDATA("Sum of "&amp;AD$9,'PT-All'!$A$1,"Scenario",AD$12,"P&amp;L Item",$B36)/AD$29,0),"0.00%"))</f>
        <v>0</v>
      </c>
      <c r="AE36" s="65">
        <f>CHOOSE(PLColumn,IFERROR(GETPIVOTDATA("Sum of "&amp;AE$9,'PT-All'!$A$1,"Scenario",AE$12,"P&amp;L Item",$B36),0),IFERROR(GETPIVOTDATA("Sum of "&amp;AE$9,'PT-All'!$A$1,"Scenario",AE$12,"P&amp;L Item",$B36)/AE$201,0),TEXT(IFERROR(GETPIVOTDATA("Sum of "&amp;AE$9,'PT-All'!$A$1,"Scenario",AE$12,"P&amp;L Item",$B36)/AE$29,0),"0.00%"))</f>
        <v>0</v>
      </c>
      <c r="AF36" s="65">
        <f>CHOOSE(PLColumn,IFERROR(GETPIVOTDATA("Sum of "&amp;AF$9,'PT-All'!$A$1,"Scenario",AF$12,"P&amp;L Item",$B36),0),IFERROR(GETPIVOTDATA("Sum of "&amp;AF$9,'PT-All'!$A$1,"Scenario",AF$12,"P&amp;L Item",$B36)/AF$201,0),TEXT(IFERROR(GETPIVOTDATA("Sum of "&amp;AF$9,'PT-All'!$A$1,"Scenario",AF$12,"P&amp;L Item",$B36)/AF$29,0),"0.00%"))</f>
        <v>0</v>
      </c>
      <c r="AG36" s="65">
        <f>CHOOSE(PLColumn,IFERROR(GETPIVOTDATA("Sum of "&amp;AG$9,'PT-All'!$A$1,"Scenario",AG$12,"P&amp;L Item",$B36),0),IFERROR(GETPIVOTDATA("Sum of "&amp;AG$9,'PT-All'!$A$1,"Scenario",AG$12,"P&amp;L Item",$B36)/AG$201,0),TEXT(IFERROR(GETPIVOTDATA("Sum of "&amp;AG$9,'PT-All'!$A$1,"Scenario",AG$12,"P&amp;L Item",$B36)/AG$29,0),"0.00%"))</f>
        <v>0</v>
      </c>
      <c r="AH36" s="65">
        <f>CHOOSE(PLColumn,IFERROR(GETPIVOTDATA("Sum of "&amp;AH$9,'PT-All'!$A$1,"Scenario",AH$12,"P&amp;L Item",$B36),0),IFERROR(GETPIVOTDATA("Sum of "&amp;AH$9,'PT-All'!$A$1,"Scenario",AH$12,"P&amp;L Item",$B36)/AH$201,0),TEXT(IFERROR(GETPIVOTDATA("Sum of "&amp;AH$9,'PT-All'!$A$1,"Scenario",AH$12,"P&amp;L Item",$B36)/AH$29,0),"0.00%"))</f>
        <v>0</v>
      </c>
      <c r="AI36" s="65">
        <f>CHOOSE(PLColumn,IFERROR(GETPIVOTDATA("Sum of "&amp;AI$9,'PT-All'!$A$1,"Scenario",AI$12,"P&amp;L Item",$B36),0),IFERROR(GETPIVOTDATA("Sum of "&amp;AI$9,'PT-All'!$A$1,"Scenario",AI$12,"P&amp;L Item",$B36)/AI$201,0),TEXT(IFERROR(GETPIVOTDATA("Sum of "&amp;AI$9,'PT-All'!$A$1,"Scenario",AI$12,"P&amp;L Item",$B36)/AI$29,0),"0.00%"))</f>
        <v>0</v>
      </c>
      <c r="AJ36" s="65">
        <f>CHOOSE(PLColumn,IFERROR(GETPIVOTDATA("Sum of "&amp;AJ$9,'PT-All'!$A$1,"Scenario",AJ$12,"P&amp;L Item",$B36),0),IFERROR(GETPIVOTDATA("Sum of "&amp;AJ$9,'PT-All'!$A$1,"Scenario",AJ$12,"P&amp;L Item",$B36)/AJ$201,0),TEXT(IFERROR(GETPIVOTDATA("Sum of "&amp;AJ$9,'PT-All'!$A$1,"Scenario",AJ$12,"P&amp;L Item",$B36)/AJ$29,0),"0.00%"))</f>
        <v>0</v>
      </c>
      <c r="AK36" s="65">
        <f>CHOOSE(PLColumn,IFERROR(GETPIVOTDATA("Sum of "&amp;AK$9,'PT-All'!$A$1,"Scenario",AK$12,"P&amp;L Item",$B36),0),IFERROR(GETPIVOTDATA("Sum of "&amp;AK$9,'PT-All'!$A$1,"Scenario",AK$12,"P&amp;L Item",$B36)/AK$201,0),TEXT(IFERROR(GETPIVOTDATA("Sum of "&amp;AK$9,'PT-All'!$A$1,"Scenario",AK$12,"P&amp;L Item",$B36)/AK$29,0),"0.00%"))</f>
        <v>0</v>
      </c>
      <c r="AL36" s="97">
        <f>CHOOSE(PLColumn,IFERROR(GETPIVOTDATA("Sum of "&amp;AL$9,'PT-All'!$A$1,"Scenario",AL$12,"P&amp;L Item",$B36),0),IFERROR(GETPIVOTDATA("Sum of "&amp;AL$9,'PT-All'!$A$1,"Scenario",AL$12,"P&amp;L Item",$B36)/AL$201,0),TEXT(IFERROR(GETPIVOTDATA("Sum of "&amp;AL$9,'PT-All'!$A$1,"Scenario",AL$12,"P&amp;L Item",$B36)/AL$29,0),"0.00%"))</f>
        <v>0</v>
      </c>
      <c r="AM36" s="590"/>
      <c r="AN36" s="108">
        <f ca="1">IF(AN$12="Pro Forma",SUM(OFFSET($B36,0,3*AN$9+1,1,3)),IFERROR(GETPIVOTDATA("Sum of Q"&amp;AN$9+1,'PT-All'!$A$1,"Scenario",AN$12,"P&amp;L Item",$B36),0))</f>
        <v>0</v>
      </c>
      <c r="AO36" s="65">
        <f ca="1">IF(AO$12="Pro Forma",SUM(OFFSET($B36,0,3*AO$9+1,1,3)),IFERROR(GETPIVOTDATA("Sum of Q"&amp;AO$9+1,'PT-All'!$A$1,"Scenario",AO$12,"P&amp;L Item",$B36),0))</f>
        <v>0</v>
      </c>
      <c r="AP36" s="65">
        <f ca="1">IF(AP$12="Pro Forma",SUM(OFFSET($B36,0,3*AP$9+1,1,3)),IFERROR(GETPIVOTDATA("Sum of Q"&amp;AP$9+1,'PT-All'!$A$1,"Scenario",AP$12,"P&amp;L Item",$B36),0))</f>
        <v>0</v>
      </c>
      <c r="AQ36" s="65">
        <f ca="1">IF(AQ$12="Pro Forma",SUM(OFFSET($B36,0,3*AQ$9+1,1,3)),IFERROR(GETPIVOTDATA("Sum of Q"&amp;AQ$9+1,'PT-All'!$A$1,"Scenario",AQ$12,"P&amp;L Item",$B36),0))</f>
        <v>0</v>
      </c>
      <c r="AR36" s="65">
        <f ca="1">IF(AR$12="Pro Forma",SUM(OFFSET($B36,0,3*AR$9+1,1,3)),IFERROR(GETPIVOTDATA("Sum of Q"&amp;AR$9+1,'PT-All'!$A$1,"Scenario",AR$12,"P&amp;L Item",$B36),0))</f>
        <v>0</v>
      </c>
      <c r="AS36" s="65">
        <f ca="1">IF(AS$12="Pro Forma",SUM(OFFSET($B36,0,3*AS$9+1,1,3)),IFERROR(GETPIVOTDATA("Sum of Q"&amp;AS$9+1,'PT-All'!$A$1,"Scenario",AS$12,"P&amp;L Item",$B36),0))</f>
        <v>0</v>
      </c>
      <c r="AT36" s="65">
        <f ca="1">IF(AT$12="Pro Forma",SUM(OFFSET($B36,0,3*AT$9+1,1,3)),IFERROR(GETPIVOTDATA("Sum of Q"&amp;AT$9+1,'PT-All'!$A$1,"Scenario",AT$12,"P&amp;L Item",$B36),0))</f>
        <v>0</v>
      </c>
      <c r="AU36" s="65">
        <f ca="1">IF(AU$12="Pro Forma",SUM(OFFSET($B36,0,3*AU$9+1,1,3)),IFERROR(GETPIVOTDATA("Sum of Q"&amp;AU$9+1,'PT-All'!$A$1,"Scenario",AU$12,"P&amp;L Item",$B36),0))</f>
        <v>0</v>
      </c>
      <c r="AV36" s="65">
        <f ca="1">IF(AV$12="Pro Forma",SUM(OFFSET($B36,0,3*AV$9+1,1,3)),IFERROR(GETPIVOTDATA("Sum of Q"&amp;AV$9+1,'PT-All'!$A$1,"Scenario",AV$12,"P&amp;L Item",$B36),0))</f>
        <v>0</v>
      </c>
      <c r="AW36" s="65">
        <f ca="1">IF(AW$12="Pro Forma",SUM(OFFSET($B36,0,3*AW$9+1,1,3)),IFERROR(GETPIVOTDATA("Sum of Q"&amp;AW$9+1,'PT-All'!$A$1,"Scenario",AW$12,"P&amp;L Item",$B36),0))</f>
        <v>0</v>
      </c>
      <c r="AX36" s="65">
        <f ca="1">IF(AX$12="Pro Forma",SUM(OFFSET($B36,0,3*AX$9+1,1,3)),IFERROR(GETPIVOTDATA("Sum of Q"&amp;AX$9+1,'PT-All'!$A$1,"Scenario",AX$12,"P&amp;L Item",$B36),0))</f>
        <v>0</v>
      </c>
      <c r="AY36" s="97">
        <f ca="1">IF(AY$12="Pro Forma",SUM(OFFSET($B36,0,3*AY$9+1,1,3)),IFERROR(GETPIVOTDATA("Sum of Q"&amp;AY$9+1,'PT-All'!$A$1,"Scenario",AY$12,"P&amp;L Item",$B36),0))</f>
        <v>0</v>
      </c>
      <c r="AZ36" s="590"/>
      <c r="BA36" s="108">
        <f ca="1">IF(BA$12="Pro Forma",SUM(OFFSET($B36,0,12*BA$9+1,1,12)),IFERROR(GETPIVOTDATA("Sum of FY"&amp;BA$9+1,'PT-All'!$A$1,"Scenario",BA$12,"P&amp;L Item",$B36),0))</f>
        <v>0</v>
      </c>
      <c r="BB36" s="65">
        <f ca="1">IF(BB$12="Pro Forma",SUM(OFFSET($B36,0,12*BB$9+1,1,12)),IFERROR(GETPIVOTDATA("Sum of FY"&amp;BB$9+1,'PT-All'!$A$1,"Scenario",BB$12,"P&amp;L Item",$B36),0))</f>
        <v>0</v>
      </c>
      <c r="BC36" s="97">
        <f ca="1">IF(BC$12="Pro Forma",SUM(OFFSET($B36,0,12*BC$9+1,1,12)),IFERROR(GETPIVOTDATA("Sum of FY"&amp;BC$9+1,'PT-All'!$A$1,"Scenario",BC$12,"P&amp;L Item",$B36),0))</f>
        <v>0</v>
      </c>
    </row>
    <row r="37" spans="2:55" x14ac:dyDescent="0.35">
      <c r="B37" s="76" t="s">
        <v>78</v>
      </c>
      <c r="C37" s="65">
        <f>CHOOSE(PLColumn,IFERROR(GETPIVOTDATA("Sum of "&amp;C$9,'PT-All'!$A$1,"Scenario",C$12,"P&amp;L Item",$B37),0),IFERROR(GETPIVOTDATA("Sum of "&amp;C$9,'PT-All'!$A$1,"Scenario",C$12,"P&amp;L Item",$B37)/C$201,0),TEXT(IFERROR(GETPIVOTDATA("Sum of "&amp;C$9,'PT-All'!$A$1,"Scenario",C$12,"P&amp;L Item",$B37)/C$29,0),"0.00%"))</f>
        <v>0</v>
      </c>
      <c r="D37" s="65">
        <f>CHOOSE(PLColumn,IFERROR(GETPIVOTDATA("Sum of "&amp;D$9,'PT-All'!$A$1,"Scenario",D$12,"P&amp;L Item",$B37),0),IFERROR(GETPIVOTDATA("Sum of "&amp;D$9,'PT-All'!$A$1,"Scenario",D$12,"P&amp;L Item",$B37)/D$201,0),TEXT(IFERROR(GETPIVOTDATA("Sum of "&amp;D$9,'PT-All'!$A$1,"Scenario",D$12,"P&amp;L Item",$B37)/D$29,0),"0.00%"))</f>
        <v>0</v>
      </c>
      <c r="E37" s="65">
        <f>CHOOSE(PLColumn,IFERROR(GETPIVOTDATA("Sum of "&amp;E$9,'PT-All'!$A$1,"Scenario",E$12,"P&amp;L Item",$B37),0),IFERROR(GETPIVOTDATA("Sum of "&amp;E$9,'PT-All'!$A$1,"Scenario",E$12,"P&amp;L Item",$B37)/E$201,0),TEXT(IFERROR(GETPIVOTDATA("Sum of "&amp;E$9,'PT-All'!$A$1,"Scenario",E$12,"P&amp;L Item",$B37)/E$29,0),"0.00%"))</f>
        <v>0</v>
      </c>
      <c r="F37" s="65">
        <f>CHOOSE(PLColumn,IFERROR(GETPIVOTDATA("Sum of "&amp;F$9,'PT-All'!$A$1,"Scenario",F$12,"P&amp;L Item",$B37),0),IFERROR(GETPIVOTDATA("Sum of "&amp;F$9,'PT-All'!$A$1,"Scenario",F$12,"P&amp;L Item",$B37)/F$201,0),TEXT(IFERROR(GETPIVOTDATA("Sum of "&amp;F$9,'PT-All'!$A$1,"Scenario",F$12,"P&amp;L Item",$B37)/F$29,0),"0.00%"))</f>
        <v>0</v>
      </c>
      <c r="G37" s="65">
        <f>CHOOSE(PLColumn,IFERROR(GETPIVOTDATA("Sum of "&amp;G$9,'PT-All'!$A$1,"Scenario",G$12,"P&amp;L Item",$B37),0),IFERROR(GETPIVOTDATA("Sum of "&amp;G$9,'PT-All'!$A$1,"Scenario",G$12,"P&amp;L Item",$B37)/G$201,0),TEXT(IFERROR(GETPIVOTDATA("Sum of "&amp;G$9,'PT-All'!$A$1,"Scenario",G$12,"P&amp;L Item",$B37)/G$29,0),"0.00%"))</f>
        <v>0</v>
      </c>
      <c r="H37" s="65">
        <f>CHOOSE(PLColumn,IFERROR(GETPIVOTDATA("Sum of "&amp;H$9,'PT-All'!$A$1,"Scenario",H$12,"P&amp;L Item",$B37),0),IFERROR(GETPIVOTDATA("Sum of "&amp;H$9,'PT-All'!$A$1,"Scenario",H$12,"P&amp;L Item",$B37)/H$201,0),TEXT(IFERROR(GETPIVOTDATA("Sum of "&amp;H$9,'PT-All'!$A$1,"Scenario",H$12,"P&amp;L Item",$B37)/H$29,0),"0.00%"))</f>
        <v>0</v>
      </c>
      <c r="I37" s="65">
        <f>CHOOSE(PLColumn,IFERROR(GETPIVOTDATA("Sum of "&amp;I$9,'PT-All'!$A$1,"Scenario",I$12,"P&amp;L Item",$B37),0),IFERROR(GETPIVOTDATA("Sum of "&amp;I$9,'PT-All'!$A$1,"Scenario",I$12,"P&amp;L Item",$B37)/I$201,0),TEXT(IFERROR(GETPIVOTDATA("Sum of "&amp;I$9,'PT-All'!$A$1,"Scenario",I$12,"P&amp;L Item",$B37)/I$29,0),"0.00%"))</f>
        <v>0</v>
      </c>
      <c r="J37" s="65">
        <f>CHOOSE(PLColumn,IFERROR(GETPIVOTDATA("Sum of "&amp;J$9,'PT-All'!$A$1,"Scenario",J$12,"P&amp;L Item",$B37),0),IFERROR(GETPIVOTDATA("Sum of "&amp;J$9,'PT-All'!$A$1,"Scenario",J$12,"P&amp;L Item",$B37)/J$201,0),TEXT(IFERROR(GETPIVOTDATA("Sum of "&amp;J$9,'PT-All'!$A$1,"Scenario",J$12,"P&amp;L Item",$B37)/J$29,0),"0.00%"))</f>
        <v>0</v>
      </c>
      <c r="K37" s="65">
        <f>CHOOSE(PLColumn,IFERROR(GETPIVOTDATA("Sum of "&amp;K$9,'PT-All'!$A$1,"Scenario",K$12,"P&amp;L Item",$B37),0),IFERROR(GETPIVOTDATA("Sum of "&amp;K$9,'PT-All'!$A$1,"Scenario",K$12,"P&amp;L Item",$B37)/K$201,0),TEXT(IFERROR(GETPIVOTDATA("Sum of "&amp;K$9,'PT-All'!$A$1,"Scenario",K$12,"P&amp;L Item",$B37)/K$29,0),"0.00%"))</f>
        <v>0</v>
      </c>
      <c r="L37" s="65">
        <f>CHOOSE(PLColumn,IFERROR(GETPIVOTDATA("Sum of "&amp;L$9,'PT-All'!$A$1,"Scenario",L$12,"P&amp;L Item",$B37),0),IFERROR(GETPIVOTDATA("Sum of "&amp;L$9,'PT-All'!$A$1,"Scenario",L$12,"P&amp;L Item",$B37)/L$201,0),TEXT(IFERROR(GETPIVOTDATA("Sum of "&amp;L$9,'PT-All'!$A$1,"Scenario",L$12,"P&amp;L Item",$B37)/L$29,0),"0.00%"))</f>
        <v>0</v>
      </c>
      <c r="M37" s="65">
        <f>CHOOSE(PLColumn,IFERROR(GETPIVOTDATA("Sum of "&amp;M$9,'PT-All'!$A$1,"Scenario",M$12,"P&amp;L Item",$B37),0),IFERROR(GETPIVOTDATA("Sum of "&amp;M$9,'PT-All'!$A$1,"Scenario",M$12,"P&amp;L Item",$B37)/M$201,0),TEXT(IFERROR(GETPIVOTDATA("Sum of "&amp;M$9,'PT-All'!$A$1,"Scenario",M$12,"P&amp;L Item",$B37)/M$29,0),"0.00%"))</f>
        <v>0</v>
      </c>
      <c r="N37" s="65">
        <f>CHOOSE(PLColumn,IFERROR(GETPIVOTDATA("Sum of "&amp;N$9,'PT-All'!$A$1,"Scenario",N$12,"P&amp;L Item",$B37),0),IFERROR(GETPIVOTDATA("Sum of "&amp;N$9,'PT-All'!$A$1,"Scenario",N$12,"P&amp;L Item",$B37)/N$201,0),TEXT(IFERROR(GETPIVOTDATA("Sum of "&amp;N$9,'PT-All'!$A$1,"Scenario",N$12,"P&amp;L Item",$B37)/N$29,0),"0.00%"))</f>
        <v>0</v>
      </c>
      <c r="O37" s="65">
        <f>CHOOSE(PLColumn,IFERROR(GETPIVOTDATA("Sum of "&amp;O$9,'PT-All'!$A$1,"Scenario",O$12,"P&amp;L Item",$B37),0),IFERROR(GETPIVOTDATA("Sum of "&amp;O$9,'PT-All'!$A$1,"Scenario",O$12,"P&amp;L Item",$B37)/O$201,0),TEXT(IFERROR(GETPIVOTDATA("Sum of "&amp;O$9,'PT-All'!$A$1,"Scenario",O$12,"P&amp;L Item",$B37)/O$29,0),"0.00%"))</f>
        <v>0</v>
      </c>
      <c r="P37" s="65">
        <f>CHOOSE(PLColumn,IFERROR(GETPIVOTDATA("Sum of "&amp;P$9,'PT-All'!$A$1,"Scenario",P$12,"P&amp;L Item",$B37),0),IFERROR(GETPIVOTDATA("Sum of "&amp;P$9,'PT-All'!$A$1,"Scenario",P$12,"P&amp;L Item",$B37)/P$201,0),TEXT(IFERROR(GETPIVOTDATA("Sum of "&amp;P$9,'PT-All'!$A$1,"Scenario",P$12,"P&amp;L Item",$B37)/P$29,0),"0.00%"))</f>
        <v>0</v>
      </c>
      <c r="Q37" s="65">
        <f>CHOOSE(PLColumn,IFERROR(GETPIVOTDATA("Sum of "&amp;Q$9,'PT-All'!$A$1,"Scenario",Q$12,"P&amp;L Item",$B37),0),IFERROR(GETPIVOTDATA("Sum of "&amp;Q$9,'PT-All'!$A$1,"Scenario",Q$12,"P&amp;L Item",$B37)/Q$201,0),TEXT(IFERROR(GETPIVOTDATA("Sum of "&amp;Q$9,'PT-All'!$A$1,"Scenario",Q$12,"P&amp;L Item",$B37)/Q$29,0),"0.00%"))</f>
        <v>0</v>
      </c>
      <c r="R37" s="65">
        <f>CHOOSE(PLColumn,IFERROR(GETPIVOTDATA("Sum of "&amp;R$9,'PT-All'!$A$1,"Scenario",R$12,"P&amp;L Item",$B37),0),IFERROR(GETPIVOTDATA("Sum of "&amp;R$9,'PT-All'!$A$1,"Scenario",R$12,"P&amp;L Item",$B37)/R$201,0),TEXT(IFERROR(GETPIVOTDATA("Sum of "&amp;R$9,'PT-All'!$A$1,"Scenario",R$12,"P&amp;L Item",$B37)/R$29,0),"0.00%"))</f>
        <v>0</v>
      </c>
      <c r="S37" s="65">
        <f>CHOOSE(PLColumn,IFERROR(GETPIVOTDATA("Sum of "&amp;S$9,'PT-All'!$A$1,"Scenario",S$12,"P&amp;L Item",$B37),0),IFERROR(GETPIVOTDATA("Sum of "&amp;S$9,'PT-All'!$A$1,"Scenario",S$12,"P&amp;L Item",$B37)/S$201,0),TEXT(IFERROR(GETPIVOTDATA("Sum of "&amp;S$9,'PT-All'!$A$1,"Scenario",S$12,"P&amp;L Item",$B37)/S$29,0),"0.00%"))</f>
        <v>0</v>
      </c>
      <c r="T37" s="65">
        <f>CHOOSE(PLColumn,IFERROR(GETPIVOTDATA("Sum of "&amp;T$9,'PT-All'!$A$1,"Scenario",T$12,"P&amp;L Item",$B37),0),IFERROR(GETPIVOTDATA("Sum of "&amp;T$9,'PT-All'!$A$1,"Scenario",T$12,"P&amp;L Item",$B37)/T$201,0),TEXT(IFERROR(GETPIVOTDATA("Sum of "&amp;T$9,'PT-All'!$A$1,"Scenario",T$12,"P&amp;L Item",$B37)/T$29,0),"0.00%"))</f>
        <v>0</v>
      </c>
      <c r="U37" s="65">
        <f>CHOOSE(PLColumn,IFERROR(GETPIVOTDATA("Sum of "&amp;U$9,'PT-All'!$A$1,"Scenario",U$12,"P&amp;L Item",$B37),0),IFERROR(GETPIVOTDATA("Sum of "&amp;U$9,'PT-All'!$A$1,"Scenario",U$12,"P&amp;L Item",$B37)/U$201,0),TEXT(IFERROR(GETPIVOTDATA("Sum of "&amp;U$9,'PT-All'!$A$1,"Scenario",U$12,"P&amp;L Item",$B37)/U$29,0),"0.00%"))</f>
        <v>0</v>
      </c>
      <c r="V37" s="65">
        <f>CHOOSE(PLColumn,IFERROR(GETPIVOTDATA("Sum of "&amp;V$9,'PT-All'!$A$1,"Scenario",V$12,"P&amp;L Item",$B37),0),IFERROR(GETPIVOTDATA("Sum of "&amp;V$9,'PT-All'!$A$1,"Scenario",V$12,"P&amp;L Item",$B37)/V$201,0),TEXT(IFERROR(GETPIVOTDATA("Sum of "&amp;V$9,'PT-All'!$A$1,"Scenario",V$12,"P&amp;L Item",$B37)/V$29,0),"0.00%"))</f>
        <v>0</v>
      </c>
      <c r="W37" s="65">
        <f>CHOOSE(PLColumn,IFERROR(GETPIVOTDATA("Sum of "&amp;W$9,'PT-All'!$A$1,"Scenario",W$12,"P&amp;L Item",$B37),0),IFERROR(GETPIVOTDATA("Sum of "&amp;W$9,'PT-All'!$A$1,"Scenario",W$12,"P&amp;L Item",$B37)/W$201,0),TEXT(IFERROR(GETPIVOTDATA("Sum of "&amp;W$9,'PT-All'!$A$1,"Scenario",W$12,"P&amp;L Item",$B37)/W$29,0),"0.00%"))</f>
        <v>0</v>
      </c>
      <c r="X37" s="65">
        <f>CHOOSE(PLColumn,IFERROR(GETPIVOTDATA("Sum of "&amp;X$9,'PT-All'!$A$1,"Scenario",X$12,"P&amp;L Item",$B37),0),IFERROR(GETPIVOTDATA("Sum of "&amp;X$9,'PT-All'!$A$1,"Scenario",X$12,"P&amp;L Item",$B37)/X$201,0),TEXT(IFERROR(GETPIVOTDATA("Sum of "&amp;X$9,'PT-All'!$A$1,"Scenario",X$12,"P&amp;L Item",$B37)/X$29,0),"0.00%"))</f>
        <v>0</v>
      </c>
      <c r="Y37" s="65">
        <f>CHOOSE(PLColumn,IFERROR(GETPIVOTDATA("Sum of "&amp;Y$9,'PT-All'!$A$1,"Scenario",Y$12,"P&amp;L Item",$B37),0),IFERROR(GETPIVOTDATA("Sum of "&amp;Y$9,'PT-All'!$A$1,"Scenario",Y$12,"P&amp;L Item",$B37)/Y$201,0),TEXT(IFERROR(GETPIVOTDATA("Sum of "&amp;Y$9,'PT-All'!$A$1,"Scenario",Y$12,"P&amp;L Item",$B37)/Y$29,0),"0.00%"))</f>
        <v>0</v>
      </c>
      <c r="Z37" s="65">
        <f>CHOOSE(PLColumn,IFERROR(GETPIVOTDATA("Sum of "&amp;Z$9,'PT-All'!$A$1,"Scenario",Z$12,"P&amp;L Item",$B37),0),IFERROR(GETPIVOTDATA("Sum of "&amp;Z$9,'PT-All'!$A$1,"Scenario",Z$12,"P&amp;L Item",$B37)/Z$201,0),TEXT(IFERROR(GETPIVOTDATA("Sum of "&amp;Z$9,'PT-All'!$A$1,"Scenario",Z$12,"P&amp;L Item",$B37)/Z$29,0),"0.00%"))</f>
        <v>0</v>
      </c>
      <c r="AA37" s="65">
        <f>CHOOSE(PLColumn,IFERROR(GETPIVOTDATA("Sum of "&amp;AA$9,'PT-All'!$A$1,"Scenario",AA$12,"P&amp;L Item",$B37),0),IFERROR(GETPIVOTDATA("Sum of "&amp;AA$9,'PT-All'!$A$1,"Scenario",AA$12,"P&amp;L Item",$B37)/AA$201,0),TEXT(IFERROR(GETPIVOTDATA("Sum of "&amp;AA$9,'PT-All'!$A$1,"Scenario",AA$12,"P&amp;L Item",$B37)/AA$29,0),"0.00%"))</f>
        <v>0</v>
      </c>
      <c r="AB37" s="65">
        <f>CHOOSE(PLColumn,IFERROR(GETPIVOTDATA("Sum of "&amp;AB$9,'PT-All'!$A$1,"Scenario",AB$12,"P&amp;L Item",$B37),0),IFERROR(GETPIVOTDATA("Sum of "&amp;AB$9,'PT-All'!$A$1,"Scenario",AB$12,"P&amp;L Item",$B37)/AB$201,0),TEXT(IFERROR(GETPIVOTDATA("Sum of "&amp;AB$9,'PT-All'!$A$1,"Scenario",AB$12,"P&amp;L Item",$B37)/AB$29,0),"0.00%"))</f>
        <v>0</v>
      </c>
      <c r="AC37" s="65">
        <f>CHOOSE(PLColumn,IFERROR(GETPIVOTDATA("Sum of "&amp;AC$9,'PT-All'!$A$1,"Scenario",AC$12,"P&amp;L Item",$B37),0),IFERROR(GETPIVOTDATA("Sum of "&amp;AC$9,'PT-All'!$A$1,"Scenario",AC$12,"P&amp;L Item",$B37)/AC$201,0),TEXT(IFERROR(GETPIVOTDATA("Sum of "&amp;AC$9,'PT-All'!$A$1,"Scenario",AC$12,"P&amp;L Item",$B37)/AC$29,0),"0.00%"))</f>
        <v>0</v>
      </c>
      <c r="AD37" s="65">
        <f>CHOOSE(PLColumn,IFERROR(GETPIVOTDATA("Sum of "&amp;AD$9,'PT-All'!$A$1,"Scenario",AD$12,"P&amp;L Item",$B37),0),IFERROR(GETPIVOTDATA("Sum of "&amp;AD$9,'PT-All'!$A$1,"Scenario",AD$12,"P&amp;L Item",$B37)/AD$201,0),TEXT(IFERROR(GETPIVOTDATA("Sum of "&amp;AD$9,'PT-All'!$A$1,"Scenario",AD$12,"P&amp;L Item",$B37)/AD$29,0),"0.00%"))</f>
        <v>0</v>
      </c>
      <c r="AE37" s="65">
        <f>CHOOSE(PLColumn,IFERROR(GETPIVOTDATA("Sum of "&amp;AE$9,'PT-All'!$A$1,"Scenario",AE$12,"P&amp;L Item",$B37),0),IFERROR(GETPIVOTDATA("Sum of "&amp;AE$9,'PT-All'!$A$1,"Scenario",AE$12,"P&amp;L Item",$B37)/AE$201,0),TEXT(IFERROR(GETPIVOTDATA("Sum of "&amp;AE$9,'PT-All'!$A$1,"Scenario",AE$12,"P&amp;L Item",$B37)/AE$29,0),"0.00%"))</f>
        <v>0</v>
      </c>
      <c r="AF37" s="65">
        <f>CHOOSE(PLColumn,IFERROR(GETPIVOTDATA("Sum of "&amp;AF$9,'PT-All'!$A$1,"Scenario",AF$12,"P&amp;L Item",$B37),0),IFERROR(GETPIVOTDATA("Sum of "&amp;AF$9,'PT-All'!$A$1,"Scenario",AF$12,"P&amp;L Item",$B37)/AF$201,0),TEXT(IFERROR(GETPIVOTDATA("Sum of "&amp;AF$9,'PT-All'!$A$1,"Scenario",AF$12,"P&amp;L Item",$B37)/AF$29,0),"0.00%"))</f>
        <v>0</v>
      </c>
      <c r="AG37" s="65">
        <f>CHOOSE(PLColumn,IFERROR(GETPIVOTDATA("Sum of "&amp;AG$9,'PT-All'!$A$1,"Scenario",AG$12,"P&amp;L Item",$B37),0),IFERROR(GETPIVOTDATA("Sum of "&amp;AG$9,'PT-All'!$A$1,"Scenario",AG$12,"P&amp;L Item",$B37)/AG$201,0),TEXT(IFERROR(GETPIVOTDATA("Sum of "&amp;AG$9,'PT-All'!$A$1,"Scenario",AG$12,"P&amp;L Item",$B37)/AG$29,0),"0.00%"))</f>
        <v>0</v>
      </c>
      <c r="AH37" s="65">
        <f>CHOOSE(PLColumn,IFERROR(GETPIVOTDATA("Sum of "&amp;AH$9,'PT-All'!$A$1,"Scenario",AH$12,"P&amp;L Item",$B37),0),IFERROR(GETPIVOTDATA("Sum of "&amp;AH$9,'PT-All'!$A$1,"Scenario",AH$12,"P&amp;L Item",$B37)/AH$201,0),TEXT(IFERROR(GETPIVOTDATA("Sum of "&amp;AH$9,'PT-All'!$A$1,"Scenario",AH$12,"P&amp;L Item",$B37)/AH$29,0),"0.00%"))</f>
        <v>0</v>
      </c>
      <c r="AI37" s="65">
        <f>CHOOSE(PLColumn,IFERROR(GETPIVOTDATA("Sum of "&amp;AI$9,'PT-All'!$A$1,"Scenario",AI$12,"P&amp;L Item",$B37),0),IFERROR(GETPIVOTDATA("Sum of "&amp;AI$9,'PT-All'!$A$1,"Scenario",AI$12,"P&amp;L Item",$B37)/AI$201,0),TEXT(IFERROR(GETPIVOTDATA("Sum of "&amp;AI$9,'PT-All'!$A$1,"Scenario",AI$12,"P&amp;L Item",$B37)/AI$29,0),"0.00%"))</f>
        <v>0</v>
      </c>
      <c r="AJ37" s="65">
        <f>CHOOSE(PLColumn,IFERROR(GETPIVOTDATA("Sum of "&amp;AJ$9,'PT-All'!$A$1,"Scenario",AJ$12,"P&amp;L Item",$B37),0),IFERROR(GETPIVOTDATA("Sum of "&amp;AJ$9,'PT-All'!$A$1,"Scenario",AJ$12,"P&amp;L Item",$B37)/AJ$201,0),TEXT(IFERROR(GETPIVOTDATA("Sum of "&amp;AJ$9,'PT-All'!$A$1,"Scenario",AJ$12,"P&amp;L Item",$B37)/AJ$29,0),"0.00%"))</f>
        <v>0</v>
      </c>
      <c r="AK37" s="65">
        <f>CHOOSE(PLColumn,IFERROR(GETPIVOTDATA("Sum of "&amp;AK$9,'PT-All'!$A$1,"Scenario",AK$12,"P&amp;L Item",$B37),0),IFERROR(GETPIVOTDATA("Sum of "&amp;AK$9,'PT-All'!$A$1,"Scenario",AK$12,"P&amp;L Item",$B37)/AK$201,0),TEXT(IFERROR(GETPIVOTDATA("Sum of "&amp;AK$9,'PT-All'!$A$1,"Scenario",AK$12,"P&amp;L Item",$B37)/AK$29,0),"0.00%"))</f>
        <v>0</v>
      </c>
      <c r="AL37" s="97">
        <f>CHOOSE(PLColumn,IFERROR(GETPIVOTDATA("Sum of "&amp;AL$9,'PT-All'!$A$1,"Scenario",AL$12,"P&amp;L Item",$B37),0),IFERROR(GETPIVOTDATA("Sum of "&amp;AL$9,'PT-All'!$A$1,"Scenario",AL$12,"P&amp;L Item",$B37)/AL$201,0),TEXT(IFERROR(GETPIVOTDATA("Sum of "&amp;AL$9,'PT-All'!$A$1,"Scenario",AL$12,"P&amp;L Item",$B37)/AL$29,0),"0.00%"))</f>
        <v>0</v>
      </c>
      <c r="AM37" s="590"/>
      <c r="AN37" s="108">
        <f ca="1">IF(AN$12="Pro Forma",SUM(OFFSET($B37,0,3*AN$9+1,1,3)),IFERROR(GETPIVOTDATA("Sum of Q"&amp;AN$9+1,'PT-All'!$A$1,"Scenario",AN$12,"P&amp;L Item",$B37),0))</f>
        <v>0</v>
      </c>
      <c r="AO37" s="65">
        <f ca="1">IF(AO$12="Pro Forma",SUM(OFFSET($B37,0,3*AO$9+1,1,3)),IFERROR(GETPIVOTDATA("Sum of Q"&amp;AO$9+1,'PT-All'!$A$1,"Scenario",AO$12,"P&amp;L Item",$B37),0))</f>
        <v>0</v>
      </c>
      <c r="AP37" s="65">
        <f ca="1">IF(AP$12="Pro Forma",SUM(OFFSET($B37,0,3*AP$9+1,1,3)),IFERROR(GETPIVOTDATA("Sum of Q"&amp;AP$9+1,'PT-All'!$A$1,"Scenario",AP$12,"P&amp;L Item",$B37),0))</f>
        <v>0</v>
      </c>
      <c r="AQ37" s="65">
        <f ca="1">IF(AQ$12="Pro Forma",SUM(OFFSET($B37,0,3*AQ$9+1,1,3)),IFERROR(GETPIVOTDATA("Sum of Q"&amp;AQ$9+1,'PT-All'!$A$1,"Scenario",AQ$12,"P&amp;L Item",$B37),0))</f>
        <v>0</v>
      </c>
      <c r="AR37" s="65">
        <f ca="1">IF(AR$12="Pro Forma",SUM(OFFSET($B37,0,3*AR$9+1,1,3)),IFERROR(GETPIVOTDATA("Sum of Q"&amp;AR$9+1,'PT-All'!$A$1,"Scenario",AR$12,"P&amp;L Item",$B37),0))</f>
        <v>0</v>
      </c>
      <c r="AS37" s="65">
        <f ca="1">IF(AS$12="Pro Forma",SUM(OFFSET($B37,0,3*AS$9+1,1,3)),IFERROR(GETPIVOTDATA("Sum of Q"&amp;AS$9+1,'PT-All'!$A$1,"Scenario",AS$12,"P&amp;L Item",$B37),0))</f>
        <v>0</v>
      </c>
      <c r="AT37" s="65">
        <f ca="1">IF(AT$12="Pro Forma",SUM(OFFSET($B37,0,3*AT$9+1,1,3)),IFERROR(GETPIVOTDATA("Sum of Q"&amp;AT$9+1,'PT-All'!$A$1,"Scenario",AT$12,"P&amp;L Item",$B37),0))</f>
        <v>0</v>
      </c>
      <c r="AU37" s="65">
        <f ca="1">IF(AU$12="Pro Forma",SUM(OFFSET($B37,0,3*AU$9+1,1,3)),IFERROR(GETPIVOTDATA("Sum of Q"&amp;AU$9+1,'PT-All'!$A$1,"Scenario",AU$12,"P&amp;L Item",$B37),0))</f>
        <v>0</v>
      </c>
      <c r="AV37" s="65">
        <f ca="1">IF(AV$12="Pro Forma",SUM(OFFSET($B37,0,3*AV$9+1,1,3)),IFERROR(GETPIVOTDATA("Sum of Q"&amp;AV$9+1,'PT-All'!$A$1,"Scenario",AV$12,"P&amp;L Item",$B37),0))</f>
        <v>0</v>
      </c>
      <c r="AW37" s="65">
        <f ca="1">IF(AW$12="Pro Forma",SUM(OFFSET($B37,0,3*AW$9+1,1,3)),IFERROR(GETPIVOTDATA("Sum of Q"&amp;AW$9+1,'PT-All'!$A$1,"Scenario",AW$12,"P&amp;L Item",$B37),0))</f>
        <v>0</v>
      </c>
      <c r="AX37" s="65">
        <f ca="1">IF(AX$12="Pro Forma",SUM(OFFSET($B37,0,3*AX$9+1,1,3)),IFERROR(GETPIVOTDATA("Sum of Q"&amp;AX$9+1,'PT-All'!$A$1,"Scenario",AX$12,"P&amp;L Item",$B37),0))</f>
        <v>0</v>
      </c>
      <c r="AY37" s="97">
        <f ca="1">IF(AY$12="Pro Forma",SUM(OFFSET($B37,0,3*AY$9+1,1,3)),IFERROR(GETPIVOTDATA("Sum of Q"&amp;AY$9+1,'PT-All'!$A$1,"Scenario",AY$12,"P&amp;L Item",$B37),0))</f>
        <v>0</v>
      </c>
      <c r="AZ37" s="590"/>
      <c r="BA37" s="108">
        <f ca="1">IF(BA$12="Pro Forma",SUM(OFFSET($B37,0,12*BA$9+1,1,12)),IFERROR(GETPIVOTDATA("Sum of FY"&amp;BA$9+1,'PT-All'!$A$1,"Scenario",BA$12,"P&amp;L Item",$B37),0))</f>
        <v>0</v>
      </c>
      <c r="BB37" s="65">
        <f ca="1">IF(BB$12="Pro Forma",SUM(OFFSET($B37,0,12*BB$9+1,1,12)),IFERROR(GETPIVOTDATA("Sum of FY"&amp;BB$9+1,'PT-All'!$A$1,"Scenario",BB$12,"P&amp;L Item",$B37),0))</f>
        <v>0</v>
      </c>
      <c r="BC37" s="97">
        <f ca="1">IF(BC$12="Pro Forma",SUM(OFFSET($B37,0,12*BC$9+1,1,12)),IFERROR(GETPIVOTDATA("Sum of FY"&amp;BC$9+1,'PT-All'!$A$1,"Scenario",BC$12,"P&amp;L Item",$B37),0))</f>
        <v>0</v>
      </c>
    </row>
    <row r="38" spans="2:55" x14ac:dyDescent="0.35">
      <c r="B38" s="76" t="s">
        <v>79</v>
      </c>
      <c r="C38" s="65">
        <f>CHOOSE(PLColumn,IFERROR(GETPIVOTDATA("Sum of "&amp;C$9,'PT-All'!$A$1,"Scenario",C$12,"P&amp;L Item",$B38),0),IFERROR(GETPIVOTDATA("Sum of "&amp;C$9,'PT-All'!$A$1,"Scenario",C$12,"P&amp;L Item",$B38)/C$201,0),TEXT(IFERROR(GETPIVOTDATA("Sum of "&amp;C$9,'PT-All'!$A$1,"Scenario",C$12,"P&amp;L Item",$B38)/C$29,0),"0.00%"))</f>
        <v>0</v>
      </c>
      <c r="D38" s="65">
        <f>CHOOSE(PLColumn,IFERROR(GETPIVOTDATA("Sum of "&amp;D$9,'PT-All'!$A$1,"Scenario",D$12,"P&amp;L Item",$B38),0),IFERROR(GETPIVOTDATA("Sum of "&amp;D$9,'PT-All'!$A$1,"Scenario",D$12,"P&amp;L Item",$B38)/D$201,0),TEXT(IFERROR(GETPIVOTDATA("Sum of "&amp;D$9,'PT-All'!$A$1,"Scenario",D$12,"P&amp;L Item",$B38)/D$29,0),"0.00%"))</f>
        <v>0</v>
      </c>
      <c r="E38" s="65">
        <f>CHOOSE(PLColumn,IFERROR(GETPIVOTDATA("Sum of "&amp;E$9,'PT-All'!$A$1,"Scenario",E$12,"P&amp;L Item",$B38),0),IFERROR(GETPIVOTDATA("Sum of "&amp;E$9,'PT-All'!$A$1,"Scenario",E$12,"P&amp;L Item",$B38)/E$201,0),TEXT(IFERROR(GETPIVOTDATA("Sum of "&amp;E$9,'PT-All'!$A$1,"Scenario",E$12,"P&amp;L Item",$B38)/E$29,0),"0.00%"))</f>
        <v>0</v>
      </c>
      <c r="F38" s="65">
        <f>CHOOSE(PLColumn,IFERROR(GETPIVOTDATA("Sum of "&amp;F$9,'PT-All'!$A$1,"Scenario",F$12,"P&amp;L Item",$B38),0),IFERROR(GETPIVOTDATA("Sum of "&amp;F$9,'PT-All'!$A$1,"Scenario",F$12,"P&amp;L Item",$B38)/F$201,0),TEXT(IFERROR(GETPIVOTDATA("Sum of "&amp;F$9,'PT-All'!$A$1,"Scenario",F$12,"P&amp;L Item",$B38)/F$29,0),"0.00%"))</f>
        <v>0</v>
      </c>
      <c r="G38" s="65">
        <f>CHOOSE(PLColumn,IFERROR(GETPIVOTDATA("Sum of "&amp;G$9,'PT-All'!$A$1,"Scenario",G$12,"P&amp;L Item",$B38),0),IFERROR(GETPIVOTDATA("Sum of "&amp;G$9,'PT-All'!$A$1,"Scenario",G$12,"P&amp;L Item",$B38)/G$201,0),TEXT(IFERROR(GETPIVOTDATA("Sum of "&amp;G$9,'PT-All'!$A$1,"Scenario",G$12,"P&amp;L Item",$B38)/G$29,0),"0.00%"))</f>
        <v>0</v>
      </c>
      <c r="H38" s="65">
        <f>CHOOSE(PLColumn,IFERROR(GETPIVOTDATA("Sum of "&amp;H$9,'PT-All'!$A$1,"Scenario",H$12,"P&amp;L Item",$B38),0),IFERROR(GETPIVOTDATA("Sum of "&amp;H$9,'PT-All'!$A$1,"Scenario",H$12,"P&amp;L Item",$B38)/H$201,0),TEXT(IFERROR(GETPIVOTDATA("Sum of "&amp;H$9,'PT-All'!$A$1,"Scenario",H$12,"P&amp;L Item",$B38)/H$29,0),"0.00%"))</f>
        <v>0</v>
      </c>
      <c r="I38" s="65">
        <f>CHOOSE(PLColumn,IFERROR(GETPIVOTDATA("Sum of "&amp;I$9,'PT-All'!$A$1,"Scenario",I$12,"P&amp;L Item",$B38),0),IFERROR(GETPIVOTDATA("Sum of "&amp;I$9,'PT-All'!$A$1,"Scenario",I$12,"P&amp;L Item",$B38)/I$201,0),TEXT(IFERROR(GETPIVOTDATA("Sum of "&amp;I$9,'PT-All'!$A$1,"Scenario",I$12,"P&amp;L Item",$B38)/I$29,0),"0.00%"))</f>
        <v>0</v>
      </c>
      <c r="J38" s="65">
        <f>CHOOSE(PLColumn,IFERROR(GETPIVOTDATA("Sum of "&amp;J$9,'PT-All'!$A$1,"Scenario",J$12,"P&amp;L Item",$B38),0),IFERROR(GETPIVOTDATA("Sum of "&amp;J$9,'PT-All'!$A$1,"Scenario",J$12,"P&amp;L Item",$B38)/J$201,0),TEXT(IFERROR(GETPIVOTDATA("Sum of "&amp;J$9,'PT-All'!$A$1,"Scenario",J$12,"P&amp;L Item",$B38)/J$29,0),"0.00%"))</f>
        <v>0</v>
      </c>
      <c r="K38" s="65">
        <f>CHOOSE(PLColumn,IFERROR(GETPIVOTDATA("Sum of "&amp;K$9,'PT-All'!$A$1,"Scenario",K$12,"P&amp;L Item",$B38),0),IFERROR(GETPIVOTDATA("Sum of "&amp;K$9,'PT-All'!$A$1,"Scenario",K$12,"P&amp;L Item",$B38)/K$201,0),TEXT(IFERROR(GETPIVOTDATA("Sum of "&amp;K$9,'PT-All'!$A$1,"Scenario",K$12,"P&amp;L Item",$B38)/K$29,0),"0.00%"))</f>
        <v>0</v>
      </c>
      <c r="L38" s="65">
        <f>CHOOSE(PLColumn,IFERROR(GETPIVOTDATA("Sum of "&amp;L$9,'PT-All'!$A$1,"Scenario",L$12,"P&amp;L Item",$B38),0),IFERROR(GETPIVOTDATA("Sum of "&amp;L$9,'PT-All'!$A$1,"Scenario",L$12,"P&amp;L Item",$B38)/L$201,0),TEXT(IFERROR(GETPIVOTDATA("Sum of "&amp;L$9,'PT-All'!$A$1,"Scenario",L$12,"P&amp;L Item",$B38)/L$29,0),"0.00%"))</f>
        <v>0</v>
      </c>
      <c r="M38" s="65">
        <f>CHOOSE(PLColumn,IFERROR(GETPIVOTDATA("Sum of "&amp;M$9,'PT-All'!$A$1,"Scenario",M$12,"P&amp;L Item",$B38),0),IFERROR(GETPIVOTDATA("Sum of "&amp;M$9,'PT-All'!$A$1,"Scenario",M$12,"P&amp;L Item",$B38)/M$201,0),TEXT(IFERROR(GETPIVOTDATA("Sum of "&amp;M$9,'PT-All'!$A$1,"Scenario",M$12,"P&amp;L Item",$B38)/M$29,0),"0.00%"))</f>
        <v>0</v>
      </c>
      <c r="N38" s="65">
        <f>CHOOSE(PLColumn,IFERROR(GETPIVOTDATA("Sum of "&amp;N$9,'PT-All'!$A$1,"Scenario",N$12,"P&amp;L Item",$B38),0),IFERROR(GETPIVOTDATA("Sum of "&amp;N$9,'PT-All'!$A$1,"Scenario",N$12,"P&amp;L Item",$B38)/N$201,0),TEXT(IFERROR(GETPIVOTDATA("Sum of "&amp;N$9,'PT-All'!$A$1,"Scenario",N$12,"P&amp;L Item",$B38)/N$29,0),"0.00%"))</f>
        <v>0</v>
      </c>
      <c r="O38" s="65">
        <f>CHOOSE(PLColumn,IFERROR(GETPIVOTDATA("Sum of "&amp;O$9,'PT-All'!$A$1,"Scenario",O$12,"P&amp;L Item",$B38),0),IFERROR(GETPIVOTDATA("Sum of "&amp;O$9,'PT-All'!$A$1,"Scenario",O$12,"P&amp;L Item",$B38)/O$201,0),TEXT(IFERROR(GETPIVOTDATA("Sum of "&amp;O$9,'PT-All'!$A$1,"Scenario",O$12,"P&amp;L Item",$B38)/O$29,0),"0.00%"))</f>
        <v>0</v>
      </c>
      <c r="P38" s="65">
        <f>CHOOSE(PLColumn,IFERROR(GETPIVOTDATA("Sum of "&amp;P$9,'PT-All'!$A$1,"Scenario",P$12,"P&amp;L Item",$B38),0),IFERROR(GETPIVOTDATA("Sum of "&amp;P$9,'PT-All'!$A$1,"Scenario",P$12,"P&amp;L Item",$B38)/P$201,0),TEXT(IFERROR(GETPIVOTDATA("Sum of "&amp;P$9,'PT-All'!$A$1,"Scenario",P$12,"P&amp;L Item",$B38)/P$29,0),"0.00%"))</f>
        <v>0</v>
      </c>
      <c r="Q38" s="65">
        <f>CHOOSE(PLColumn,IFERROR(GETPIVOTDATA("Sum of "&amp;Q$9,'PT-All'!$A$1,"Scenario",Q$12,"P&amp;L Item",$B38),0),IFERROR(GETPIVOTDATA("Sum of "&amp;Q$9,'PT-All'!$A$1,"Scenario",Q$12,"P&amp;L Item",$B38)/Q$201,0),TEXT(IFERROR(GETPIVOTDATA("Sum of "&amp;Q$9,'PT-All'!$A$1,"Scenario",Q$12,"P&amp;L Item",$B38)/Q$29,0),"0.00%"))</f>
        <v>0</v>
      </c>
      <c r="R38" s="65">
        <f>CHOOSE(PLColumn,IFERROR(GETPIVOTDATA("Sum of "&amp;R$9,'PT-All'!$A$1,"Scenario",R$12,"P&amp;L Item",$B38),0),IFERROR(GETPIVOTDATA("Sum of "&amp;R$9,'PT-All'!$A$1,"Scenario",R$12,"P&amp;L Item",$B38)/R$201,0),TEXT(IFERROR(GETPIVOTDATA("Sum of "&amp;R$9,'PT-All'!$A$1,"Scenario",R$12,"P&amp;L Item",$B38)/R$29,0),"0.00%"))</f>
        <v>0</v>
      </c>
      <c r="S38" s="65">
        <f>CHOOSE(PLColumn,IFERROR(GETPIVOTDATA("Sum of "&amp;S$9,'PT-All'!$A$1,"Scenario",S$12,"P&amp;L Item",$B38),0),IFERROR(GETPIVOTDATA("Sum of "&amp;S$9,'PT-All'!$A$1,"Scenario",S$12,"P&amp;L Item",$B38)/S$201,0),TEXT(IFERROR(GETPIVOTDATA("Sum of "&amp;S$9,'PT-All'!$A$1,"Scenario",S$12,"P&amp;L Item",$B38)/S$29,0),"0.00%"))</f>
        <v>0</v>
      </c>
      <c r="T38" s="65">
        <f>CHOOSE(PLColumn,IFERROR(GETPIVOTDATA("Sum of "&amp;T$9,'PT-All'!$A$1,"Scenario",T$12,"P&amp;L Item",$B38),0),IFERROR(GETPIVOTDATA("Sum of "&amp;T$9,'PT-All'!$A$1,"Scenario",T$12,"P&amp;L Item",$B38)/T$201,0),TEXT(IFERROR(GETPIVOTDATA("Sum of "&amp;T$9,'PT-All'!$A$1,"Scenario",T$12,"P&amp;L Item",$B38)/T$29,0),"0.00%"))</f>
        <v>0</v>
      </c>
      <c r="U38" s="65">
        <f>CHOOSE(PLColumn,IFERROR(GETPIVOTDATA("Sum of "&amp;U$9,'PT-All'!$A$1,"Scenario",U$12,"P&amp;L Item",$B38),0),IFERROR(GETPIVOTDATA("Sum of "&amp;U$9,'PT-All'!$A$1,"Scenario",U$12,"P&amp;L Item",$B38)/U$201,0),TEXT(IFERROR(GETPIVOTDATA("Sum of "&amp;U$9,'PT-All'!$A$1,"Scenario",U$12,"P&amp;L Item",$B38)/U$29,0),"0.00%"))</f>
        <v>0</v>
      </c>
      <c r="V38" s="65">
        <f>CHOOSE(PLColumn,IFERROR(GETPIVOTDATA("Sum of "&amp;V$9,'PT-All'!$A$1,"Scenario",V$12,"P&amp;L Item",$B38),0),IFERROR(GETPIVOTDATA("Sum of "&amp;V$9,'PT-All'!$A$1,"Scenario",V$12,"P&amp;L Item",$B38)/V$201,0),TEXT(IFERROR(GETPIVOTDATA("Sum of "&amp;V$9,'PT-All'!$A$1,"Scenario",V$12,"P&amp;L Item",$B38)/V$29,0),"0.00%"))</f>
        <v>0</v>
      </c>
      <c r="W38" s="65">
        <f>CHOOSE(PLColumn,IFERROR(GETPIVOTDATA("Sum of "&amp;W$9,'PT-All'!$A$1,"Scenario",W$12,"P&amp;L Item",$B38),0),IFERROR(GETPIVOTDATA("Sum of "&amp;W$9,'PT-All'!$A$1,"Scenario",W$12,"P&amp;L Item",$B38)/W$201,0),TEXT(IFERROR(GETPIVOTDATA("Sum of "&amp;W$9,'PT-All'!$A$1,"Scenario",W$12,"P&amp;L Item",$B38)/W$29,0),"0.00%"))</f>
        <v>0</v>
      </c>
      <c r="X38" s="65">
        <f>CHOOSE(PLColumn,IFERROR(GETPIVOTDATA("Sum of "&amp;X$9,'PT-All'!$A$1,"Scenario",X$12,"P&amp;L Item",$B38),0),IFERROR(GETPIVOTDATA("Sum of "&amp;X$9,'PT-All'!$A$1,"Scenario",X$12,"P&amp;L Item",$B38)/X$201,0),TEXT(IFERROR(GETPIVOTDATA("Sum of "&amp;X$9,'PT-All'!$A$1,"Scenario",X$12,"P&amp;L Item",$B38)/X$29,0),"0.00%"))</f>
        <v>0</v>
      </c>
      <c r="Y38" s="65">
        <f>CHOOSE(PLColumn,IFERROR(GETPIVOTDATA("Sum of "&amp;Y$9,'PT-All'!$A$1,"Scenario",Y$12,"P&amp;L Item",$B38),0),IFERROR(GETPIVOTDATA("Sum of "&amp;Y$9,'PT-All'!$A$1,"Scenario",Y$12,"P&amp;L Item",$B38)/Y$201,0),TEXT(IFERROR(GETPIVOTDATA("Sum of "&amp;Y$9,'PT-All'!$A$1,"Scenario",Y$12,"P&amp;L Item",$B38)/Y$29,0),"0.00%"))</f>
        <v>0</v>
      </c>
      <c r="Z38" s="65">
        <f>CHOOSE(PLColumn,IFERROR(GETPIVOTDATA("Sum of "&amp;Z$9,'PT-All'!$A$1,"Scenario",Z$12,"P&amp;L Item",$B38),0),IFERROR(GETPIVOTDATA("Sum of "&amp;Z$9,'PT-All'!$A$1,"Scenario",Z$12,"P&amp;L Item",$B38)/Z$201,0),TEXT(IFERROR(GETPIVOTDATA("Sum of "&amp;Z$9,'PT-All'!$A$1,"Scenario",Z$12,"P&amp;L Item",$B38)/Z$29,0),"0.00%"))</f>
        <v>0</v>
      </c>
      <c r="AA38" s="65">
        <f>CHOOSE(PLColumn,IFERROR(GETPIVOTDATA("Sum of "&amp;AA$9,'PT-All'!$A$1,"Scenario",AA$12,"P&amp;L Item",$B38),0),IFERROR(GETPIVOTDATA("Sum of "&amp;AA$9,'PT-All'!$A$1,"Scenario",AA$12,"P&amp;L Item",$B38)/AA$201,0),TEXT(IFERROR(GETPIVOTDATA("Sum of "&amp;AA$9,'PT-All'!$A$1,"Scenario",AA$12,"P&amp;L Item",$B38)/AA$29,0),"0.00%"))</f>
        <v>0</v>
      </c>
      <c r="AB38" s="65">
        <f>CHOOSE(PLColumn,IFERROR(GETPIVOTDATA("Sum of "&amp;AB$9,'PT-All'!$A$1,"Scenario",AB$12,"P&amp;L Item",$B38),0),IFERROR(GETPIVOTDATA("Sum of "&amp;AB$9,'PT-All'!$A$1,"Scenario",AB$12,"P&amp;L Item",$B38)/AB$201,0),TEXT(IFERROR(GETPIVOTDATA("Sum of "&amp;AB$9,'PT-All'!$A$1,"Scenario",AB$12,"P&amp;L Item",$B38)/AB$29,0),"0.00%"))</f>
        <v>0</v>
      </c>
      <c r="AC38" s="65">
        <f>CHOOSE(PLColumn,IFERROR(GETPIVOTDATA("Sum of "&amp;AC$9,'PT-All'!$A$1,"Scenario",AC$12,"P&amp;L Item",$B38),0),IFERROR(GETPIVOTDATA("Sum of "&amp;AC$9,'PT-All'!$A$1,"Scenario",AC$12,"P&amp;L Item",$B38)/AC$201,0),TEXT(IFERROR(GETPIVOTDATA("Sum of "&amp;AC$9,'PT-All'!$A$1,"Scenario",AC$12,"P&amp;L Item",$B38)/AC$29,0),"0.00%"))</f>
        <v>0</v>
      </c>
      <c r="AD38" s="65">
        <f>CHOOSE(PLColumn,IFERROR(GETPIVOTDATA("Sum of "&amp;AD$9,'PT-All'!$A$1,"Scenario",AD$12,"P&amp;L Item",$B38),0),IFERROR(GETPIVOTDATA("Sum of "&amp;AD$9,'PT-All'!$A$1,"Scenario",AD$12,"P&amp;L Item",$B38)/AD$201,0),TEXT(IFERROR(GETPIVOTDATA("Sum of "&amp;AD$9,'PT-All'!$A$1,"Scenario",AD$12,"P&amp;L Item",$B38)/AD$29,0),"0.00%"))</f>
        <v>0</v>
      </c>
      <c r="AE38" s="65">
        <f>CHOOSE(PLColumn,IFERROR(GETPIVOTDATA("Sum of "&amp;AE$9,'PT-All'!$A$1,"Scenario",AE$12,"P&amp;L Item",$B38),0),IFERROR(GETPIVOTDATA("Sum of "&amp;AE$9,'PT-All'!$A$1,"Scenario",AE$12,"P&amp;L Item",$B38)/AE$201,0),TEXT(IFERROR(GETPIVOTDATA("Sum of "&amp;AE$9,'PT-All'!$A$1,"Scenario",AE$12,"P&amp;L Item",$B38)/AE$29,0),"0.00%"))</f>
        <v>0</v>
      </c>
      <c r="AF38" s="65">
        <f>CHOOSE(PLColumn,IFERROR(GETPIVOTDATA("Sum of "&amp;AF$9,'PT-All'!$A$1,"Scenario",AF$12,"P&amp;L Item",$B38),0),IFERROR(GETPIVOTDATA("Sum of "&amp;AF$9,'PT-All'!$A$1,"Scenario",AF$12,"P&amp;L Item",$B38)/AF$201,0),TEXT(IFERROR(GETPIVOTDATA("Sum of "&amp;AF$9,'PT-All'!$A$1,"Scenario",AF$12,"P&amp;L Item",$B38)/AF$29,0),"0.00%"))</f>
        <v>0</v>
      </c>
      <c r="AG38" s="65">
        <f>CHOOSE(PLColumn,IFERROR(GETPIVOTDATA("Sum of "&amp;AG$9,'PT-All'!$A$1,"Scenario",AG$12,"P&amp;L Item",$B38),0),IFERROR(GETPIVOTDATA("Sum of "&amp;AG$9,'PT-All'!$A$1,"Scenario",AG$12,"P&amp;L Item",$B38)/AG$201,0),TEXT(IFERROR(GETPIVOTDATA("Sum of "&amp;AG$9,'PT-All'!$A$1,"Scenario",AG$12,"P&amp;L Item",$B38)/AG$29,0),"0.00%"))</f>
        <v>0</v>
      </c>
      <c r="AH38" s="65">
        <f>CHOOSE(PLColumn,IFERROR(GETPIVOTDATA("Sum of "&amp;AH$9,'PT-All'!$A$1,"Scenario",AH$12,"P&amp;L Item",$B38),0),IFERROR(GETPIVOTDATA("Sum of "&amp;AH$9,'PT-All'!$A$1,"Scenario",AH$12,"P&amp;L Item",$B38)/AH$201,0),TEXT(IFERROR(GETPIVOTDATA("Sum of "&amp;AH$9,'PT-All'!$A$1,"Scenario",AH$12,"P&amp;L Item",$B38)/AH$29,0),"0.00%"))</f>
        <v>0</v>
      </c>
      <c r="AI38" s="65">
        <f>CHOOSE(PLColumn,IFERROR(GETPIVOTDATA("Sum of "&amp;AI$9,'PT-All'!$A$1,"Scenario",AI$12,"P&amp;L Item",$B38),0),IFERROR(GETPIVOTDATA("Sum of "&amp;AI$9,'PT-All'!$A$1,"Scenario",AI$12,"P&amp;L Item",$B38)/AI$201,0),TEXT(IFERROR(GETPIVOTDATA("Sum of "&amp;AI$9,'PT-All'!$A$1,"Scenario",AI$12,"P&amp;L Item",$B38)/AI$29,0),"0.00%"))</f>
        <v>0</v>
      </c>
      <c r="AJ38" s="65">
        <f>CHOOSE(PLColumn,IFERROR(GETPIVOTDATA("Sum of "&amp;AJ$9,'PT-All'!$A$1,"Scenario",AJ$12,"P&amp;L Item",$B38),0),IFERROR(GETPIVOTDATA("Sum of "&amp;AJ$9,'PT-All'!$A$1,"Scenario",AJ$12,"P&amp;L Item",$B38)/AJ$201,0),TEXT(IFERROR(GETPIVOTDATA("Sum of "&amp;AJ$9,'PT-All'!$A$1,"Scenario",AJ$12,"P&amp;L Item",$B38)/AJ$29,0),"0.00%"))</f>
        <v>0</v>
      </c>
      <c r="AK38" s="65">
        <f>CHOOSE(PLColumn,IFERROR(GETPIVOTDATA("Sum of "&amp;AK$9,'PT-All'!$A$1,"Scenario",AK$12,"P&amp;L Item",$B38),0),IFERROR(GETPIVOTDATA("Sum of "&amp;AK$9,'PT-All'!$A$1,"Scenario",AK$12,"P&amp;L Item",$B38)/AK$201,0),TEXT(IFERROR(GETPIVOTDATA("Sum of "&amp;AK$9,'PT-All'!$A$1,"Scenario",AK$12,"P&amp;L Item",$B38)/AK$29,0),"0.00%"))</f>
        <v>0</v>
      </c>
      <c r="AL38" s="97">
        <f>CHOOSE(PLColumn,IFERROR(GETPIVOTDATA("Sum of "&amp;AL$9,'PT-All'!$A$1,"Scenario",AL$12,"P&amp;L Item",$B38),0),IFERROR(GETPIVOTDATA("Sum of "&amp;AL$9,'PT-All'!$A$1,"Scenario",AL$12,"P&amp;L Item",$B38)/AL$201,0),TEXT(IFERROR(GETPIVOTDATA("Sum of "&amp;AL$9,'PT-All'!$A$1,"Scenario",AL$12,"P&amp;L Item",$B38)/AL$29,0),"0.00%"))</f>
        <v>0</v>
      </c>
      <c r="AM38" s="590"/>
      <c r="AN38" s="108">
        <f ca="1">IF(AN$12="Pro Forma",SUM(OFFSET($B38,0,3*AN$9+1,1,3)),IFERROR(GETPIVOTDATA("Sum of Q"&amp;AN$9+1,'PT-All'!$A$1,"Scenario",AN$12,"P&amp;L Item",$B38),0))</f>
        <v>0</v>
      </c>
      <c r="AO38" s="65">
        <f ca="1">IF(AO$12="Pro Forma",SUM(OFFSET($B38,0,3*AO$9+1,1,3)),IFERROR(GETPIVOTDATA("Sum of Q"&amp;AO$9+1,'PT-All'!$A$1,"Scenario",AO$12,"P&amp;L Item",$B38),0))</f>
        <v>0</v>
      </c>
      <c r="AP38" s="65">
        <f ca="1">IF(AP$12="Pro Forma",SUM(OFFSET($B38,0,3*AP$9+1,1,3)),IFERROR(GETPIVOTDATA("Sum of Q"&amp;AP$9+1,'PT-All'!$A$1,"Scenario",AP$12,"P&amp;L Item",$B38),0))</f>
        <v>0</v>
      </c>
      <c r="AQ38" s="65">
        <f ca="1">IF(AQ$12="Pro Forma",SUM(OFFSET($B38,0,3*AQ$9+1,1,3)),IFERROR(GETPIVOTDATA("Sum of Q"&amp;AQ$9+1,'PT-All'!$A$1,"Scenario",AQ$12,"P&amp;L Item",$B38),0))</f>
        <v>0</v>
      </c>
      <c r="AR38" s="65">
        <f ca="1">IF(AR$12="Pro Forma",SUM(OFFSET($B38,0,3*AR$9+1,1,3)),IFERROR(GETPIVOTDATA("Sum of Q"&amp;AR$9+1,'PT-All'!$A$1,"Scenario",AR$12,"P&amp;L Item",$B38),0))</f>
        <v>0</v>
      </c>
      <c r="AS38" s="65">
        <f ca="1">IF(AS$12="Pro Forma",SUM(OFFSET($B38,0,3*AS$9+1,1,3)),IFERROR(GETPIVOTDATA("Sum of Q"&amp;AS$9+1,'PT-All'!$A$1,"Scenario",AS$12,"P&amp;L Item",$B38),0))</f>
        <v>0</v>
      </c>
      <c r="AT38" s="65">
        <f ca="1">IF(AT$12="Pro Forma",SUM(OFFSET($B38,0,3*AT$9+1,1,3)),IFERROR(GETPIVOTDATA("Sum of Q"&amp;AT$9+1,'PT-All'!$A$1,"Scenario",AT$12,"P&amp;L Item",$B38),0))</f>
        <v>0</v>
      </c>
      <c r="AU38" s="65">
        <f ca="1">IF(AU$12="Pro Forma",SUM(OFFSET($B38,0,3*AU$9+1,1,3)),IFERROR(GETPIVOTDATA("Sum of Q"&amp;AU$9+1,'PT-All'!$A$1,"Scenario",AU$12,"P&amp;L Item",$B38),0))</f>
        <v>0</v>
      </c>
      <c r="AV38" s="65">
        <f ca="1">IF(AV$12="Pro Forma",SUM(OFFSET($B38,0,3*AV$9+1,1,3)),IFERROR(GETPIVOTDATA("Sum of Q"&amp;AV$9+1,'PT-All'!$A$1,"Scenario",AV$12,"P&amp;L Item",$B38),0))</f>
        <v>0</v>
      </c>
      <c r="AW38" s="65">
        <f ca="1">IF(AW$12="Pro Forma",SUM(OFFSET($B38,0,3*AW$9+1,1,3)),IFERROR(GETPIVOTDATA("Sum of Q"&amp;AW$9+1,'PT-All'!$A$1,"Scenario",AW$12,"P&amp;L Item",$B38),0))</f>
        <v>0</v>
      </c>
      <c r="AX38" s="65">
        <f ca="1">IF(AX$12="Pro Forma",SUM(OFFSET($B38,0,3*AX$9+1,1,3)),IFERROR(GETPIVOTDATA("Sum of Q"&amp;AX$9+1,'PT-All'!$A$1,"Scenario",AX$12,"P&amp;L Item",$B38),0))</f>
        <v>0</v>
      </c>
      <c r="AY38" s="97">
        <f ca="1">IF(AY$12="Pro Forma",SUM(OFFSET($B38,0,3*AY$9+1,1,3)),IFERROR(GETPIVOTDATA("Sum of Q"&amp;AY$9+1,'PT-All'!$A$1,"Scenario",AY$12,"P&amp;L Item",$B38),0))</f>
        <v>0</v>
      </c>
      <c r="AZ38" s="590"/>
      <c r="BA38" s="108">
        <f ca="1">IF(BA$12="Pro Forma",SUM(OFFSET($B38,0,12*BA$9+1,1,12)),IFERROR(GETPIVOTDATA("Sum of FY"&amp;BA$9+1,'PT-All'!$A$1,"Scenario",BA$12,"P&amp;L Item",$B38),0))</f>
        <v>0</v>
      </c>
      <c r="BB38" s="65">
        <f ca="1">IF(BB$12="Pro Forma",SUM(OFFSET($B38,0,12*BB$9+1,1,12)),IFERROR(GETPIVOTDATA("Sum of FY"&amp;BB$9+1,'PT-All'!$A$1,"Scenario",BB$12,"P&amp;L Item",$B38),0))</f>
        <v>0</v>
      </c>
      <c r="BC38" s="97">
        <f ca="1">IF(BC$12="Pro Forma",SUM(OFFSET($B38,0,12*BC$9+1,1,12)),IFERROR(GETPIVOTDATA("Sum of FY"&amp;BC$9+1,'PT-All'!$A$1,"Scenario",BC$12,"P&amp;L Item",$B38),0))</f>
        <v>0</v>
      </c>
    </row>
    <row r="39" spans="2:55" x14ac:dyDescent="0.35">
      <c r="B39" s="76" t="s">
        <v>80</v>
      </c>
      <c r="C39" s="65">
        <f>CHOOSE(PLColumn,IFERROR(GETPIVOTDATA("Sum of "&amp;C$9,'PT-All'!$A$1,"Scenario",C$12,"P&amp;L Item",$B39),0),IFERROR(GETPIVOTDATA("Sum of "&amp;C$9,'PT-All'!$A$1,"Scenario",C$12,"P&amp;L Item",$B39)/C$201,0),TEXT(IFERROR(GETPIVOTDATA("Sum of "&amp;C$9,'PT-All'!$A$1,"Scenario",C$12,"P&amp;L Item",$B39)/C$29,0),"0.00%"))</f>
        <v>0</v>
      </c>
      <c r="D39" s="65">
        <f>CHOOSE(PLColumn,IFERROR(GETPIVOTDATA("Sum of "&amp;D$9,'PT-All'!$A$1,"Scenario",D$12,"P&amp;L Item",$B39),0),IFERROR(GETPIVOTDATA("Sum of "&amp;D$9,'PT-All'!$A$1,"Scenario",D$12,"P&amp;L Item",$B39)/D$201,0),TEXT(IFERROR(GETPIVOTDATA("Sum of "&amp;D$9,'PT-All'!$A$1,"Scenario",D$12,"P&amp;L Item",$B39)/D$29,0),"0.00%"))</f>
        <v>0</v>
      </c>
      <c r="E39" s="65">
        <f>CHOOSE(PLColumn,IFERROR(GETPIVOTDATA("Sum of "&amp;E$9,'PT-All'!$A$1,"Scenario",E$12,"P&amp;L Item",$B39),0),IFERROR(GETPIVOTDATA("Sum of "&amp;E$9,'PT-All'!$A$1,"Scenario",E$12,"P&amp;L Item",$B39)/E$201,0),TEXT(IFERROR(GETPIVOTDATA("Sum of "&amp;E$9,'PT-All'!$A$1,"Scenario",E$12,"P&amp;L Item",$B39)/E$29,0),"0.00%"))</f>
        <v>0</v>
      </c>
      <c r="F39" s="65">
        <f>CHOOSE(PLColumn,IFERROR(GETPIVOTDATA("Sum of "&amp;F$9,'PT-All'!$A$1,"Scenario",F$12,"P&amp;L Item",$B39),0),IFERROR(GETPIVOTDATA("Sum of "&amp;F$9,'PT-All'!$A$1,"Scenario",F$12,"P&amp;L Item",$B39)/F$201,0),TEXT(IFERROR(GETPIVOTDATA("Sum of "&amp;F$9,'PT-All'!$A$1,"Scenario",F$12,"P&amp;L Item",$B39)/F$29,0),"0.00%"))</f>
        <v>0</v>
      </c>
      <c r="G39" s="65">
        <f>CHOOSE(PLColumn,IFERROR(GETPIVOTDATA("Sum of "&amp;G$9,'PT-All'!$A$1,"Scenario",G$12,"P&amp;L Item",$B39),0),IFERROR(GETPIVOTDATA("Sum of "&amp;G$9,'PT-All'!$A$1,"Scenario",G$12,"P&amp;L Item",$B39)/G$201,0),TEXT(IFERROR(GETPIVOTDATA("Sum of "&amp;G$9,'PT-All'!$A$1,"Scenario",G$12,"P&amp;L Item",$B39)/G$29,0),"0.00%"))</f>
        <v>0</v>
      </c>
      <c r="H39" s="65">
        <f>CHOOSE(PLColumn,IFERROR(GETPIVOTDATA("Sum of "&amp;H$9,'PT-All'!$A$1,"Scenario",H$12,"P&amp;L Item",$B39),0),IFERROR(GETPIVOTDATA("Sum of "&amp;H$9,'PT-All'!$A$1,"Scenario",H$12,"P&amp;L Item",$B39)/H$201,0),TEXT(IFERROR(GETPIVOTDATA("Sum of "&amp;H$9,'PT-All'!$A$1,"Scenario",H$12,"P&amp;L Item",$B39)/H$29,0),"0.00%"))</f>
        <v>0</v>
      </c>
      <c r="I39" s="65">
        <f>CHOOSE(PLColumn,IFERROR(GETPIVOTDATA("Sum of "&amp;I$9,'PT-All'!$A$1,"Scenario",I$12,"P&amp;L Item",$B39),0),IFERROR(GETPIVOTDATA("Sum of "&amp;I$9,'PT-All'!$A$1,"Scenario",I$12,"P&amp;L Item",$B39)/I$201,0),TEXT(IFERROR(GETPIVOTDATA("Sum of "&amp;I$9,'PT-All'!$A$1,"Scenario",I$12,"P&amp;L Item",$B39)/I$29,0),"0.00%"))</f>
        <v>0</v>
      </c>
      <c r="J39" s="65">
        <f>CHOOSE(PLColumn,IFERROR(GETPIVOTDATA("Sum of "&amp;J$9,'PT-All'!$A$1,"Scenario",J$12,"P&amp;L Item",$B39),0),IFERROR(GETPIVOTDATA("Sum of "&amp;J$9,'PT-All'!$A$1,"Scenario",J$12,"P&amp;L Item",$B39)/J$201,0),TEXT(IFERROR(GETPIVOTDATA("Sum of "&amp;J$9,'PT-All'!$A$1,"Scenario",J$12,"P&amp;L Item",$B39)/J$29,0),"0.00%"))</f>
        <v>0</v>
      </c>
      <c r="K39" s="65">
        <f>CHOOSE(PLColumn,IFERROR(GETPIVOTDATA("Sum of "&amp;K$9,'PT-All'!$A$1,"Scenario",K$12,"P&amp;L Item",$B39),0),IFERROR(GETPIVOTDATA("Sum of "&amp;K$9,'PT-All'!$A$1,"Scenario",K$12,"P&amp;L Item",$B39)/K$201,0),TEXT(IFERROR(GETPIVOTDATA("Sum of "&amp;K$9,'PT-All'!$A$1,"Scenario",K$12,"P&amp;L Item",$B39)/K$29,0),"0.00%"))</f>
        <v>0</v>
      </c>
      <c r="L39" s="65">
        <f>CHOOSE(PLColumn,IFERROR(GETPIVOTDATA("Sum of "&amp;L$9,'PT-All'!$A$1,"Scenario",L$12,"P&amp;L Item",$B39),0),IFERROR(GETPIVOTDATA("Sum of "&amp;L$9,'PT-All'!$A$1,"Scenario",L$12,"P&amp;L Item",$B39)/L$201,0),TEXT(IFERROR(GETPIVOTDATA("Sum of "&amp;L$9,'PT-All'!$A$1,"Scenario",L$12,"P&amp;L Item",$B39)/L$29,0),"0.00%"))</f>
        <v>0</v>
      </c>
      <c r="M39" s="65">
        <f>CHOOSE(PLColumn,IFERROR(GETPIVOTDATA("Sum of "&amp;M$9,'PT-All'!$A$1,"Scenario",M$12,"P&amp;L Item",$B39),0),IFERROR(GETPIVOTDATA("Sum of "&amp;M$9,'PT-All'!$A$1,"Scenario",M$12,"P&amp;L Item",$B39)/M$201,0),TEXT(IFERROR(GETPIVOTDATA("Sum of "&amp;M$9,'PT-All'!$A$1,"Scenario",M$12,"P&amp;L Item",$B39)/M$29,0),"0.00%"))</f>
        <v>0</v>
      </c>
      <c r="N39" s="65">
        <f>CHOOSE(PLColumn,IFERROR(GETPIVOTDATA("Sum of "&amp;N$9,'PT-All'!$A$1,"Scenario",N$12,"P&amp;L Item",$B39),0),IFERROR(GETPIVOTDATA("Sum of "&amp;N$9,'PT-All'!$A$1,"Scenario",N$12,"P&amp;L Item",$B39)/N$201,0),TEXT(IFERROR(GETPIVOTDATA("Sum of "&amp;N$9,'PT-All'!$A$1,"Scenario",N$12,"P&amp;L Item",$B39)/N$29,0),"0.00%"))</f>
        <v>0</v>
      </c>
      <c r="O39" s="65">
        <f>CHOOSE(PLColumn,IFERROR(GETPIVOTDATA("Sum of "&amp;O$9,'PT-All'!$A$1,"Scenario",O$12,"P&amp;L Item",$B39),0),IFERROR(GETPIVOTDATA("Sum of "&amp;O$9,'PT-All'!$A$1,"Scenario",O$12,"P&amp;L Item",$B39)/O$201,0),TEXT(IFERROR(GETPIVOTDATA("Sum of "&amp;O$9,'PT-All'!$A$1,"Scenario",O$12,"P&amp;L Item",$B39)/O$29,0),"0.00%"))</f>
        <v>0</v>
      </c>
      <c r="P39" s="65">
        <f>CHOOSE(PLColumn,IFERROR(GETPIVOTDATA("Sum of "&amp;P$9,'PT-All'!$A$1,"Scenario",P$12,"P&amp;L Item",$B39),0),IFERROR(GETPIVOTDATA("Sum of "&amp;P$9,'PT-All'!$A$1,"Scenario",P$12,"P&amp;L Item",$B39)/P$201,0),TEXT(IFERROR(GETPIVOTDATA("Sum of "&amp;P$9,'PT-All'!$A$1,"Scenario",P$12,"P&amp;L Item",$B39)/P$29,0),"0.00%"))</f>
        <v>0</v>
      </c>
      <c r="Q39" s="65">
        <f>CHOOSE(PLColumn,IFERROR(GETPIVOTDATA("Sum of "&amp;Q$9,'PT-All'!$A$1,"Scenario",Q$12,"P&amp;L Item",$B39),0),IFERROR(GETPIVOTDATA("Sum of "&amp;Q$9,'PT-All'!$A$1,"Scenario",Q$12,"P&amp;L Item",$B39)/Q$201,0),TEXT(IFERROR(GETPIVOTDATA("Sum of "&amp;Q$9,'PT-All'!$A$1,"Scenario",Q$12,"P&amp;L Item",$B39)/Q$29,0),"0.00%"))</f>
        <v>0</v>
      </c>
      <c r="R39" s="65">
        <f>CHOOSE(PLColumn,IFERROR(GETPIVOTDATA("Sum of "&amp;R$9,'PT-All'!$A$1,"Scenario",R$12,"P&amp;L Item",$B39),0),IFERROR(GETPIVOTDATA("Sum of "&amp;R$9,'PT-All'!$A$1,"Scenario",R$12,"P&amp;L Item",$B39)/R$201,0),TEXT(IFERROR(GETPIVOTDATA("Sum of "&amp;R$9,'PT-All'!$A$1,"Scenario",R$12,"P&amp;L Item",$B39)/R$29,0),"0.00%"))</f>
        <v>0</v>
      </c>
      <c r="S39" s="65">
        <f>CHOOSE(PLColumn,IFERROR(GETPIVOTDATA("Sum of "&amp;S$9,'PT-All'!$A$1,"Scenario",S$12,"P&amp;L Item",$B39),0),IFERROR(GETPIVOTDATA("Sum of "&amp;S$9,'PT-All'!$A$1,"Scenario",S$12,"P&amp;L Item",$B39)/S$201,0),TEXT(IFERROR(GETPIVOTDATA("Sum of "&amp;S$9,'PT-All'!$A$1,"Scenario",S$12,"P&amp;L Item",$B39)/S$29,0),"0.00%"))</f>
        <v>0</v>
      </c>
      <c r="T39" s="65">
        <f>CHOOSE(PLColumn,IFERROR(GETPIVOTDATA("Sum of "&amp;T$9,'PT-All'!$A$1,"Scenario",T$12,"P&amp;L Item",$B39),0),IFERROR(GETPIVOTDATA("Sum of "&amp;T$9,'PT-All'!$A$1,"Scenario",T$12,"P&amp;L Item",$B39)/T$201,0),TEXT(IFERROR(GETPIVOTDATA("Sum of "&amp;T$9,'PT-All'!$A$1,"Scenario",T$12,"P&amp;L Item",$B39)/T$29,0),"0.00%"))</f>
        <v>0</v>
      </c>
      <c r="U39" s="65">
        <f>CHOOSE(PLColumn,IFERROR(GETPIVOTDATA("Sum of "&amp;U$9,'PT-All'!$A$1,"Scenario",U$12,"P&amp;L Item",$B39),0),IFERROR(GETPIVOTDATA("Sum of "&amp;U$9,'PT-All'!$A$1,"Scenario",U$12,"P&amp;L Item",$B39)/U$201,0),TEXT(IFERROR(GETPIVOTDATA("Sum of "&amp;U$9,'PT-All'!$A$1,"Scenario",U$12,"P&amp;L Item",$B39)/U$29,0),"0.00%"))</f>
        <v>0</v>
      </c>
      <c r="V39" s="65">
        <f>CHOOSE(PLColumn,IFERROR(GETPIVOTDATA("Sum of "&amp;V$9,'PT-All'!$A$1,"Scenario",V$12,"P&amp;L Item",$B39),0),IFERROR(GETPIVOTDATA("Sum of "&amp;V$9,'PT-All'!$A$1,"Scenario",V$12,"P&amp;L Item",$B39)/V$201,0),TEXT(IFERROR(GETPIVOTDATA("Sum of "&amp;V$9,'PT-All'!$A$1,"Scenario",V$12,"P&amp;L Item",$B39)/V$29,0),"0.00%"))</f>
        <v>0</v>
      </c>
      <c r="W39" s="65">
        <f>CHOOSE(PLColumn,IFERROR(GETPIVOTDATA("Sum of "&amp;W$9,'PT-All'!$A$1,"Scenario",W$12,"P&amp;L Item",$B39),0),IFERROR(GETPIVOTDATA("Sum of "&amp;W$9,'PT-All'!$A$1,"Scenario",W$12,"P&amp;L Item",$B39)/W$201,0),TEXT(IFERROR(GETPIVOTDATA("Sum of "&amp;W$9,'PT-All'!$A$1,"Scenario",W$12,"P&amp;L Item",$B39)/W$29,0),"0.00%"))</f>
        <v>0</v>
      </c>
      <c r="X39" s="65">
        <f>CHOOSE(PLColumn,IFERROR(GETPIVOTDATA("Sum of "&amp;X$9,'PT-All'!$A$1,"Scenario",X$12,"P&amp;L Item",$B39),0),IFERROR(GETPIVOTDATA("Sum of "&amp;X$9,'PT-All'!$A$1,"Scenario",X$12,"P&amp;L Item",$B39)/X$201,0),TEXT(IFERROR(GETPIVOTDATA("Sum of "&amp;X$9,'PT-All'!$A$1,"Scenario",X$12,"P&amp;L Item",$B39)/X$29,0),"0.00%"))</f>
        <v>0</v>
      </c>
      <c r="Y39" s="65">
        <f>CHOOSE(PLColumn,IFERROR(GETPIVOTDATA("Sum of "&amp;Y$9,'PT-All'!$A$1,"Scenario",Y$12,"P&amp;L Item",$B39),0),IFERROR(GETPIVOTDATA("Sum of "&amp;Y$9,'PT-All'!$A$1,"Scenario",Y$12,"P&amp;L Item",$B39)/Y$201,0),TEXT(IFERROR(GETPIVOTDATA("Sum of "&amp;Y$9,'PT-All'!$A$1,"Scenario",Y$12,"P&amp;L Item",$B39)/Y$29,0),"0.00%"))</f>
        <v>0</v>
      </c>
      <c r="Z39" s="65">
        <f>CHOOSE(PLColumn,IFERROR(GETPIVOTDATA("Sum of "&amp;Z$9,'PT-All'!$A$1,"Scenario",Z$12,"P&amp;L Item",$B39),0),IFERROR(GETPIVOTDATA("Sum of "&amp;Z$9,'PT-All'!$A$1,"Scenario",Z$12,"P&amp;L Item",$B39)/Z$201,0),TEXT(IFERROR(GETPIVOTDATA("Sum of "&amp;Z$9,'PT-All'!$A$1,"Scenario",Z$12,"P&amp;L Item",$B39)/Z$29,0),"0.00%"))</f>
        <v>0</v>
      </c>
      <c r="AA39" s="65">
        <f>CHOOSE(PLColumn,IFERROR(GETPIVOTDATA("Sum of "&amp;AA$9,'PT-All'!$A$1,"Scenario",AA$12,"P&amp;L Item",$B39),0),IFERROR(GETPIVOTDATA("Sum of "&amp;AA$9,'PT-All'!$A$1,"Scenario",AA$12,"P&amp;L Item",$B39)/AA$201,0),TEXT(IFERROR(GETPIVOTDATA("Sum of "&amp;AA$9,'PT-All'!$A$1,"Scenario",AA$12,"P&amp;L Item",$B39)/AA$29,0),"0.00%"))</f>
        <v>0</v>
      </c>
      <c r="AB39" s="65">
        <f>CHOOSE(PLColumn,IFERROR(GETPIVOTDATA("Sum of "&amp;AB$9,'PT-All'!$A$1,"Scenario",AB$12,"P&amp;L Item",$B39),0),IFERROR(GETPIVOTDATA("Sum of "&amp;AB$9,'PT-All'!$A$1,"Scenario",AB$12,"P&amp;L Item",$B39)/AB$201,0),TEXT(IFERROR(GETPIVOTDATA("Sum of "&amp;AB$9,'PT-All'!$A$1,"Scenario",AB$12,"P&amp;L Item",$B39)/AB$29,0),"0.00%"))</f>
        <v>0</v>
      </c>
      <c r="AC39" s="65">
        <f>CHOOSE(PLColumn,IFERROR(GETPIVOTDATA("Sum of "&amp;AC$9,'PT-All'!$A$1,"Scenario",AC$12,"P&amp;L Item",$B39),0),IFERROR(GETPIVOTDATA("Sum of "&amp;AC$9,'PT-All'!$A$1,"Scenario",AC$12,"P&amp;L Item",$B39)/AC$201,0),TEXT(IFERROR(GETPIVOTDATA("Sum of "&amp;AC$9,'PT-All'!$A$1,"Scenario",AC$12,"P&amp;L Item",$B39)/AC$29,0),"0.00%"))</f>
        <v>0</v>
      </c>
      <c r="AD39" s="65">
        <f>CHOOSE(PLColumn,IFERROR(GETPIVOTDATA("Sum of "&amp;AD$9,'PT-All'!$A$1,"Scenario",AD$12,"P&amp;L Item",$B39),0),IFERROR(GETPIVOTDATA("Sum of "&amp;AD$9,'PT-All'!$A$1,"Scenario",AD$12,"P&amp;L Item",$B39)/AD$201,0),TEXT(IFERROR(GETPIVOTDATA("Sum of "&amp;AD$9,'PT-All'!$A$1,"Scenario",AD$12,"P&amp;L Item",$B39)/AD$29,0),"0.00%"))</f>
        <v>0</v>
      </c>
      <c r="AE39" s="65">
        <f>CHOOSE(PLColumn,IFERROR(GETPIVOTDATA("Sum of "&amp;AE$9,'PT-All'!$A$1,"Scenario",AE$12,"P&amp;L Item",$B39),0),IFERROR(GETPIVOTDATA("Sum of "&amp;AE$9,'PT-All'!$A$1,"Scenario",AE$12,"P&amp;L Item",$B39)/AE$201,0),TEXT(IFERROR(GETPIVOTDATA("Sum of "&amp;AE$9,'PT-All'!$A$1,"Scenario",AE$12,"P&amp;L Item",$B39)/AE$29,0),"0.00%"))</f>
        <v>0</v>
      </c>
      <c r="AF39" s="65">
        <f>CHOOSE(PLColumn,IFERROR(GETPIVOTDATA("Sum of "&amp;AF$9,'PT-All'!$A$1,"Scenario",AF$12,"P&amp;L Item",$B39),0),IFERROR(GETPIVOTDATA("Sum of "&amp;AF$9,'PT-All'!$A$1,"Scenario",AF$12,"P&amp;L Item",$B39)/AF$201,0),TEXT(IFERROR(GETPIVOTDATA("Sum of "&amp;AF$9,'PT-All'!$A$1,"Scenario",AF$12,"P&amp;L Item",$B39)/AF$29,0),"0.00%"))</f>
        <v>0</v>
      </c>
      <c r="AG39" s="65">
        <f>CHOOSE(PLColumn,IFERROR(GETPIVOTDATA("Sum of "&amp;AG$9,'PT-All'!$A$1,"Scenario",AG$12,"P&amp;L Item",$B39),0),IFERROR(GETPIVOTDATA("Sum of "&amp;AG$9,'PT-All'!$A$1,"Scenario",AG$12,"P&amp;L Item",$B39)/AG$201,0),TEXT(IFERROR(GETPIVOTDATA("Sum of "&amp;AG$9,'PT-All'!$A$1,"Scenario",AG$12,"P&amp;L Item",$B39)/AG$29,0),"0.00%"))</f>
        <v>0</v>
      </c>
      <c r="AH39" s="65">
        <f>CHOOSE(PLColumn,IFERROR(GETPIVOTDATA("Sum of "&amp;AH$9,'PT-All'!$A$1,"Scenario",AH$12,"P&amp;L Item",$B39),0),IFERROR(GETPIVOTDATA("Sum of "&amp;AH$9,'PT-All'!$A$1,"Scenario",AH$12,"P&amp;L Item",$B39)/AH$201,0),TEXT(IFERROR(GETPIVOTDATA("Sum of "&amp;AH$9,'PT-All'!$A$1,"Scenario",AH$12,"P&amp;L Item",$B39)/AH$29,0),"0.00%"))</f>
        <v>0</v>
      </c>
      <c r="AI39" s="65">
        <f>CHOOSE(PLColumn,IFERROR(GETPIVOTDATA("Sum of "&amp;AI$9,'PT-All'!$A$1,"Scenario",AI$12,"P&amp;L Item",$B39),0),IFERROR(GETPIVOTDATA("Sum of "&amp;AI$9,'PT-All'!$A$1,"Scenario",AI$12,"P&amp;L Item",$B39)/AI$201,0),TEXT(IFERROR(GETPIVOTDATA("Sum of "&amp;AI$9,'PT-All'!$A$1,"Scenario",AI$12,"P&amp;L Item",$B39)/AI$29,0),"0.00%"))</f>
        <v>0</v>
      </c>
      <c r="AJ39" s="65">
        <f>CHOOSE(PLColumn,IFERROR(GETPIVOTDATA("Sum of "&amp;AJ$9,'PT-All'!$A$1,"Scenario",AJ$12,"P&amp;L Item",$B39),0),IFERROR(GETPIVOTDATA("Sum of "&amp;AJ$9,'PT-All'!$A$1,"Scenario",AJ$12,"P&amp;L Item",$B39)/AJ$201,0),TEXT(IFERROR(GETPIVOTDATA("Sum of "&amp;AJ$9,'PT-All'!$A$1,"Scenario",AJ$12,"P&amp;L Item",$B39)/AJ$29,0),"0.00%"))</f>
        <v>0</v>
      </c>
      <c r="AK39" s="65">
        <f>CHOOSE(PLColumn,IFERROR(GETPIVOTDATA("Sum of "&amp;AK$9,'PT-All'!$A$1,"Scenario",AK$12,"P&amp;L Item",$B39),0),IFERROR(GETPIVOTDATA("Sum of "&amp;AK$9,'PT-All'!$A$1,"Scenario",AK$12,"P&amp;L Item",$B39)/AK$201,0),TEXT(IFERROR(GETPIVOTDATA("Sum of "&amp;AK$9,'PT-All'!$A$1,"Scenario",AK$12,"P&amp;L Item",$B39)/AK$29,0),"0.00%"))</f>
        <v>0</v>
      </c>
      <c r="AL39" s="97">
        <f>CHOOSE(PLColumn,IFERROR(GETPIVOTDATA("Sum of "&amp;AL$9,'PT-All'!$A$1,"Scenario",AL$12,"P&amp;L Item",$B39),0),IFERROR(GETPIVOTDATA("Sum of "&amp;AL$9,'PT-All'!$A$1,"Scenario",AL$12,"P&amp;L Item",$B39)/AL$201,0),TEXT(IFERROR(GETPIVOTDATA("Sum of "&amp;AL$9,'PT-All'!$A$1,"Scenario",AL$12,"P&amp;L Item",$B39)/AL$29,0),"0.00%"))</f>
        <v>0</v>
      </c>
      <c r="AM39" s="590"/>
      <c r="AN39" s="108">
        <f ca="1">IF(AN$12="Pro Forma",SUM(OFFSET($B39,0,3*AN$9+1,1,3)),IFERROR(GETPIVOTDATA("Sum of Q"&amp;AN$9+1,'PT-All'!$A$1,"Scenario",AN$12,"P&amp;L Item",$B39),0))</f>
        <v>0</v>
      </c>
      <c r="AO39" s="65">
        <f ca="1">IF(AO$12="Pro Forma",SUM(OFFSET($B39,0,3*AO$9+1,1,3)),IFERROR(GETPIVOTDATA("Sum of Q"&amp;AO$9+1,'PT-All'!$A$1,"Scenario",AO$12,"P&amp;L Item",$B39),0))</f>
        <v>0</v>
      </c>
      <c r="AP39" s="65">
        <f ca="1">IF(AP$12="Pro Forma",SUM(OFFSET($B39,0,3*AP$9+1,1,3)),IFERROR(GETPIVOTDATA("Sum of Q"&amp;AP$9+1,'PT-All'!$A$1,"Scenario",AP$12,"P&amp;L Item",$B39),0))</f>
        <v>0</v>
      </c>
      <c r="AQ39" s="65">
        <f ca="1">IF(AQ$12="Pro Forma",SUM(OFFSET($B39,0,3*AQ$9+1,1,3)),IFERROR(GETPIVOTDATA("Sum of Q"&amp;AQ$9+1,'PT-All'!$A$1,"Scenario",AQ$12,"P&amp;L Item",$B39),0))</f>
        <v>0</v>
      </c>
      <c r="AR39" s="65">
        <f ca="1">IF(AR$12="Pro Forma",SUM(OFFSET($B39,0,3*AR$9+1,1,3)),IFERROR(GETPIVOTDATA("Sum of Q"&amp;AR$9+1,'PT-All'!$A$1,"Scenario",AR$12,"P&amp;L Item",$B39),0))</f>
        <v>0</v>
      </c>
      <c r="AS39" s="65">
        <f ca="1">IF(AS$12="Pro Forma",SUM(OFFSET($B39,0,3*AS$9+1,1,3)),IFERROR(GETPIVOTDATA("Sum of Q"&amp;AS$9+1,'PT-All'!$A$1,"Scenario",AS$12,"P&amp;L Item",$B39),0))</f>
        <v>0</v>
      </c>
      <c r="AT39" s="65">
        <f ca="1">IF(AT$12="Pro Forma",SUM(OFFSET($B39,0,3*AT$9+1,1,3)),IFERROR(GETPIVOTDATA("Sum of Q"&amp;AT$9+1,'PT-All'!$A$1,"Scenario",AT$12,"P&amp;L Item",$B39),0))</f>
        <v>0</v>
      </c>
      <c r="AU39" s="65">
        <f ca="1">IF(AU$12="Pro Forma",SUM(OFFSET($B39,0,3*AU$9+1,1,3)),IFERROR(GETPIVOTDATA("Sum of Q"&amp;AU$9+1,'PT-All'!$A$1,"Scenario",AU$12,"P&amp;L Item",$B39),0))</f>
        <v>0</v>
      </c>
      <c r="AV39" s="65">
        <f ca="1">IF(AV$12="Pro Forma",SUM(OFFSET($B39,0,3*AV$9+1,1,3)),IFERROR(GETPIVOTDATA("Sum of Q"&amp;AV$9+1,'PT-All'!$A$1,"Scenario",AV$12,"P&amp;L Item",$B39),0))</f>
        <v>0</v>
      </c>
      <c r="AW39" s="65">
        <f ca="1">IF(AW$12="Pro Forma",SUM(OFFSET($B39,0,3*AW$9+1,1,3)),IFERROR(GETPIVOTDATA("Sum of Q"&amp;AW$9+1,'PT-All'!$A$1,"Scenario",AW$12,"P&amp;L Item",$B39),0))</f>
        <v>0</v>
      </c>
      <c r="AX39" s="65">
        <f ca="1">IF(AX$12="Pro Forma",SUM(OFFSET($B39,0,3*AX$9+1,1,3)),IFERROR(GETPIVOTDATA("Sum of Q"&amp;AX$9+1,'PT-All'!$A$1,"Scenario",AX$12,"P&amp;L Item",$B39),0))</f>
        <v>0</v>
      </c>
      <c r="AY39" s="97">
        <f ca="1">IF(AY$12="Pro Forma",SUM(OFFSET($B39,0,3*AY$9+1,1,3)),IFERROR(GETPIVOTDATA("Sum of Q"&amp;AY$9+1,'PT-All'!$A$1,"Scenario",AY$12,"P&amp;L Item",$B39),0))</f>
        <v>0</v>
      </c>
      <c r="AZ39" s="590"/>
      <c r="BA39" s="108">
        <f ca="1">IF(BA$12="Pro Forma",SUM(OFFSET($B39,0,12*BA$9+1,1,12)),IFERROR(GETPIVOTDATA("Sum of FY"&amp;BA$9+1,'PT-All'!$A$1,"Scenario",BA$12,"P&amp;L Item",$B39),0))</f>
        <v>0</v>
      </c>
      <c r="BB39" s="65">
        <f ca="1">IF(BB$12="Pro Forma",SUM(OFFSET($B39,0,12*BB$9+1,1,12)),IFERROR(GETPIVOTDATA("Sum of FY"&amp;BB$9+1,'PT-All'!$A$1,"Scenario",BB$12,"P&amp;L Item",$B39),0))</f>
        <v>0</v>
      </c>
      <c r="BC39" s="97">
        <f ca="1">IF(BC$12="Pro Forma",SUM(OFFSET($B39,0,12*BC$9+1,1,12)),IFERROR(GETPIVOTDATA("Sum of FY"&amp;BC$9+1,'PT-All'!$A$1,"Scenario",BC$12,"P&amp;L Item",$B39),0))</f>
        <v>0</v>
      </c>
    </row>
    <row r="40" spans="2:55" x14ac:dyDescent="0.35">
      <c r="B40" s="76" t="s">
        <v>81</v>
      </c>
      <c r="C40" s="65">
        <f>CHOOSE(PLColumn,IFERROR(GETPIVOTDATA("Sum of "&amp;C$9,'PT-All'!$A$1,"Scenario",C$12,"P&amp;L Item",$B40),0),IFERROR(GETPIVOTDATA("Sum of "&amp;C$9,'PT-All'!$A$1,"Scenario",C$12,"P&amp;L Item",$B40)/C$201,0),TEXT(IFERROR(GETPIVOTDATA("Sum of "&amp;C$9,'PT-All'!$A$1,"Scenario",C$12,"P&amp;L Item",$B40)/C$29,0),"0.00%"))</f>
        <v>0</v>
      </c>
      <c r="D40" s="65">
        <f>CHOOSE(PLColumn,IFERROR(GETPIVOTDATA("Sum of "&amp;D$9,'PT-All'!$A$1,"Scenario",D$12,"P&amp;L Item",$B40),0),IFERROR(GETPIVOTDATA("Sum of "&amp;D$9,'PT-All'!$A$1,"Scenario",D$12,"P&amp;L Item",$B40)/D$201,0),TEXT(IFERROR(GETPIVOTDATA("Sum of "&amp;D$9,'PT-All'!$A$1,"Scenario",D$12,"P&amp;L Item",$B40)/D$29,0),"0.00%"))</f>
        <v>0</v>
      </c>
      <c r="E40" s="65">
        <f>CHOOSE(PLColumn,IFERROR(GETPIVOTDATA("Sum of "&amp;E$9,'PT-All'!$A$1,"Scenario",E$12,"P&amp;L Item",$B40),0),IFERROR(GETPIVOTDATA("Sum of "&amp;E$9,'PT-All'!$A$1,"Scenario",E$12,"P&amp;L Item",$B40)/E$201,0),TEXT(IFERROR(GETPIVOTDATA("Sum of "&amp;E$9,'PT-All'!$A$1,"Scenario",E$12,"P&amp;L Item",$B40)/E$29,0),"0.00%"))</f>
        <v>0</v>
      </c>
      <c r="F40" s="65">
        <f>CHOOSE(PLColumn,IFERROR(GETPIVOTDATA("Sum of "&amp;F$9,'PT-All'!$A$1,"Scenario",F$12,"P&amp;L Item",$B40),0),IFERROR(GETPIVOTDATA("Sum of "&amp;F$9,'PT-All'!$A$1,"Scenario",F$12,"P&amp;L Item",$B40)/F$201,0),TEXT(IFERROR(GETPIVOTDATA("Sum of "&amp;F$9,'PT-All'!$A$1,"Scenario",F$12,"P&amp;L Item",$B40)/F$29,0),"0.00%"))</f>
        <v>0</v>
      </c>
      <c r="G40" s="65">
        <f>CHOOSE(PLColumn,IFERROR(GETPIVOTDATA("Sum of "&amp;G$9,'PT-All'!$A$1,"Scenario",G$12,"P&amp;L Item",$B40),0),IFERROR(GETPIVOTDATA("Sum of "&amp;G$9,'PT-All'!$A$1,"Scenario",G$12,"P&amp;L Item",$B40)/G$201,0),TEXT(IFERROR(GETPIVOTDATA("Sum of "&amp;G$9,'PT-All'!$A$1,"Scenario",G$12,"P&amp;L Item",$B40)/G$29,0),"0.00%"))</f>
        <v>0</v>
      </c>
      <c r="H40" s="65">
        <f>CHOOSE(PLColumn,IFERROR(GETPIVOTDATA("Sum of "&amp;H$9,'PT-All'!$A$1,"Scenario",H$12,"P&amp;L Item",$B40),0),IFERROR(GETPIVOTDATA("Sum of "&amp;H$9,'PT-All'!$A$1,"Scenario",H$12,"P&amp;L Item",$B40)/H$201,0),TEXT(IFERROR(GETPIVOTDATA("Sum of "&amp;H$9,'PT-All'!$A$1,"Scenario",H$12,"P&amp;L Item",$B40)/H$29,0),"0.00%"))</f>
        <v>0</v>
      </c>
      <c r="I40" s="65">
        <f>CHOOSE(PLColumn,IFERROR(GETPIVOTDATA("Sum of "&amp;I$9,'PT-All'!$A$1,"Scenario",I$12,"P&amp;L Item",$B40),0),IFERROR(GETPIVOTDATA("Sum of "&amp;I$9,'PT-All'!$A$1,"Scenario",I$12,"P&amp;L Item",$B40)/I$201,0),TEXT(IFERROR(GETPIVOTDATA("Sum of "&amp;I$9,'PT-All'!$A$1,"Scenario",I$12,"P&amp;L Item",$B40)/I$29,0),"0.00%"))</f>
        <v>0</v>
      </c>
      <c r="J40" s="65">
        <f>CHOOSE(PLColumn,IFERROR(GETPIVOTDATA("Sum of "&amp;J$9,'PT-All'!$A$1,"Scenario",J$12,"P&amp;L Item",$B40),0),IFERROR(GETPIVOTDATA("Sum of "&amp;J$9,'PT-All'!$A$1,"Scenario",J$12,"P&amp;L Item",$B40)/J$201,0),TEXT(IFERROR(GETPIVOTDATA("Sum of "&amp;J$9,'PT-All'!$A$1,"Scenario",J$12,"P&amp;L Item",$B40)/J$29,0),"0.00%"))</f>
        <v>0</v>
      </c>
      <c r="K40" s="65">
        <f>CHOOSE(PLColumn,IFERROR(GETPIVOTDATA("Sum of "&amp;K$9,'PT-All'!$A$1,"Scenario",K$12,"P&amp;L Item",$B40),0),IFERROR(GETPIVOTDATA("Sum of "&amp;K$9,'PT-All'!$A$1,"Scenario",K$12,"P&amp;L Item",$B40)/K$201,0),TEXT(IFERROR(GETPIVOTDATA("Sum of "&amp;K$9,'PT-All'!$A$1,"Scenario",K$12,"P&amp;L Item",$B40)/K$29,0),"0.00%"))</f>
        <v>0</v>
      </c>
      <c r="L40" s="65">
        <f>CHOOSE(PLColumn,IFERROR(GETPIVOTDATA("Sum of "&amp;L$9,'PT-All'!$A$1,"Scenario",L$12,"P&amp;L Item",$B40),0),IFERROR(GETPIVOTDATA("Sum of "&amp;L$9,'PT-All'!$A$1,"Scenario",L$12,"P&amp;L Item",$B40)/L$201,0),TEXT(IFERROR(GETPIVOTDATA("Sum of "&amp;L$9,'PT-All'!$A$1,"Scenario",L$12,"P&amp;L Item",$B40)/L$29,0),"0.00%"))</f>
        <v>0</v>
      </c>
      <c r="M40" s="65">
        <f>CHOOSE(PLColumn,IFERROR(GETPIVOTDATA("Sum of "&amp;M$9,'PT-All'!$A$1,"Scenario",M$12,"P&amp;L Item",$B40),0),IFERROR(GETPIVOTDATA("Sum of "&amp;M$9,'PT-All'!$A$1,"Scenario",M$12,"P&amp;L Item",$B40)/M$201,0),TEXT(IFERROR(GETPIVOTDATA("Sum of "&amp;M$9,'PT-All'!$A$1,"Scenario",M$12,"P&amp;L Item",$B40)/M$29,0),"0.00%"))</f>
        <v>0</v>
      </c>
      <c r="N40" s="65">
        <f>CHOOSE(PLColumn,IFERROR(GETPIVOTDATA("Sum of "&amp;N$9,'PT-All'!$A$1,"Scenario",N$12,"P&amp;L Item",$B40),0),IFERROR(GETPIVOTDATA("Sum of "&amp;N$9,'PT-All'!$A$1,"Scenario",N$12,"P&amp;L Item",$B40)/N$201,0),TEXT(IFERROR(GETPIVOTDATA("Sum of "&amp;N$9,'PT-All'!$A$1,"Scenario",N$12,"P&amp;L Item",$B40)/N$29,0),"0.00%"))</f>
        <v>0</v>
      </c>
      <c r="O40" s="65">
        <f>CHOOSE(PLColumn,IFERROR(GETPIVOTDATA("Sum of "&amp;O$9,'PT-All'!$A$1,"Scenario",O$12,"P&amp;L Item",$B40),0),IFERROR(GETPIVOTDATA("Sum of "&amp;O$9,'PT-All'!$A$1,"Scenario",O$12,"P&amp;L Item",$B40)/O$201,0),TEXT(IFERROR(GETPIVOTDATA("Sum of "&amp;O$9,'PT-All'!$A$1,"Scenario",O$12,"P&amp;L Item",$B40)/O$29,0),"0.00%"))</f>
        <v>0</v>
      </c>
      <c r="P40" s="65">
        <f>CHOOSE(PLColumn,IFERROR(GETPIVOTDATA("Sum of "&amp;P$9,'PT-All'!$A$1,"Scenario",P$12,"P&amp;L Item",$B40),0),IFERROR(GETPIVOTDATA("Sum of "&amp;P$9,'PT-All'!$A$1,"Scenario",P$12,"P&amp;L Item",$B40)/P$201,0),TEXT(IFERROR(GETPIVOTDATA("Sum of "&amp;P$9,'PT-All'!$A$1,"Scenario",P$12,"P&amp;L Item",$B40)/P$29,0),"0.00%"))</f>
        <v>0</v>
      </c>
      <c r="Q40" s="65">
        <f>CHOOSE(PLColumn,IFERROR(GETPIVOTDATA("Sum of "&amp;Q$9,'PT-All'!$A$1,"Scenario",Q$12,"P&amp;L Item",$B40),0),IFERROR(GETPIVOTDATA("Sum of "&amp;Q$9,'PT-All'!$A$1,"Scenario",Q$12,"P&amp;L Item",$B40)/Q$201,0),TEXT(IFERROR(GETPIVOTDATA("Sum of "&amp;Q$9,'PT-All'!$A$1,"Scenario",Q$12,"P&amp;L Item",$B40)/Q$29,0),"0.00%"))</f>
        <v>0</v>
      </c>
      <c r="R40" s="65">
        <f>CHOOSE(PLColumn,IFERROR(GETPIVOTDATA("Sum of "&amp;R$9,'PT-All'!$A$1,"Scenario",R$12,"P&amp;L Item",$B40),0),IFERROR(GETPIVOTDATA("Sum of "&amp;R$9,'PT-All'!$A$1,"Scenario",R$12,"P&amp;L Item",$B40)/R$201,0),TEXT(IFERROR(GETPIVOTDATA("Sum of "&amp;R$9,'PT-All'!$A$1,"Scenario",R$12,"P&amp;L Item",$B40)/R$29,0),"0.00%"))</f>
        <v>0</v>
      </c>
      <c r="S40" s="65">
        <f>CHOOSE(PLColumn,IFERROR(GETPIVOTDATA("Sum of "&amp;S$9,'PT-All'!$A$1,"Scenario",S$12,"P&amp;L Item",$B40),0),IFERROR(GETPIVOTDATA("Sum of "&amp;S$9,'PT-All'!$A$1,"Scenario",S$12,"P&amp;L Item",$B40)/S$201,0),TEXT(IFERROR(GETPIVOTDATA("Sum of "&amp;S$9,'PT-All'!$A$1,"Scenario",S$12,"P&amp;L Item",$B40)/S$29,0),"0.00%"))</f>
        <v>0</v>
      </c>
      <c r="T40" s="65">
        <f>CHOOSE(PLColumn,IFERROR(GETPIVOTDATA("Sum of "&amp;T$9,'PT-All'!$A$1,"Scenario",T$12,"P&amp;L Item",$B40),0),IFERROR(GETPIVOTDATA("Sum of "&amp;T$9,'PT-All'!$A$1,"Scenario",T$12,"P&amp;L Item",$B40)/T$201,0),TEXT(IFERROR(GETPIVOTDATA("Sum of "&amp;T$9,'PT-All'!$A$1,"Scenario",T$12,"P&amp;L Item",$B40)/T$29,0),"0.00%"))</f>
        <v>0</v>
      </c>
      <c r="U40" s="65">
        <f>CHOOSE(PLColumn,IFERROR(GETPIVOTDATA("Sum of "&amp;U$9,'PT-All'!$A$1,"Scenario",U$12,"P&amp;L Item",$B40),0),IFERROR(GETPIVOTDATA("Sum of "&amp;U$9,'PT-All'!$A$1,"Scenario",U$12,"P&amp;L Item",$B40)/U$201,0),TEXT(IFERROR(GETPIVOTDATA("Sum of "&amp;U$9,'PT-All'!$A$1,"Scenario",U$12,"P&amp;L Item",$B40)/U$29,0),"0.00%"))</f>
        <v>0</v>
      </c>
      <c r="V40" s="65">
        <f>CHOOSE(PLColumn,IFERROR(GETPIVOTDATA("Sum of "&amp;V$9,'PT-All'!$A$1,"Scenario",V$12,"P&amp;L Item",$B40),0),IFERROR(GETPIVOTDATA("Sum of "&amp;V$9,'PT-All'!$A$1,"Scenario",V$12,"P&amp;L Item",$B40)/V$201,0),TEXT(IFERROR(GETPIVOTDATA("Sum of "&amp;V$9,'PT-All'!$A$1,"Scenario",V$12,"P&amp;L Item",$B40)/V$29,0),"0.00%"))</f>
        <v>0</v>
      </c>
      <c r="W40" s="65">
        <f>CHOOSE(PLColumn,IFERROR(GETPIVOTDATA("Sum of "&amp;W$9,'PT-All'!$A$1,"Scenario",W$12,"P&amp;L Item",$B40),0),IFERROR(GETPIVOTDATA("Sum of "&amp;W$9,'PT-All'!$A$1,"Scenario",W$12,"P&amp;L Item",$B40)/W$201,0),TEXT(IFERROR(GETPIVOTDATA("Sum of "&amp;W$9,'PT-All'!$A$1,"Scenario",W$12,"P&amp;L Item",$B40)/W$29,0),"0.00%"))</f>
        <v>0</v>
      </c>
      <c r="X40" s="65">
        <f>CHOOSE(PLColumn,IFERROR(GETPIVOTDATA("Sum of "&amp;X$9,'PT-All'!$A$1,"Scenario",X$12,"P&amp;L Item",$B40),0),IFERROR(GETPIVOTDATA("Sum of "&amp;X$9,'PT-All'!$A$1,"Scenario",X$12,"P&amp;L Item",$B40)/X$201,0),TEXT(IFERROR(GETPIVOTDATA("Sum of "&amp;X$9,'PT-All'!$A$1,"Scenario",X$12,"P&amp;L Item",$B40)/X$29,0),"0.00%"))</f>
        <v>0</v>
      </c>
      <c r="Y40" s="65">
        <f>CHOOSE(PLColumn,IFERROR(GETPIVOTDATA("Sum of "&amp;Y$9,'PT-All'!$A$1,"Scenario",Y$12,"P&amp;L Item",$B40),0),IFERROR(GETPIVOTDATA("Sum of "&amp;Y$9,'PT-All'!$A$1,"Scenario",Y$12,"P&amp;L Item",$B40)/Y$201,0),TEXT(IFERROR(GETPIVOTDATA("Sum of "&amp;Y$9,'PT-All'!$A$1,"Scenario",Y$12,"P&amp;L Item",$B40)/Y$29,0),"0.00%"))</f>
        <v>0</v>
      </c>
      <c r="Z40" s="65">
        <f>CHOOSE(PLColumn,IFERROR(GETPIVOTDATA("Sum of "&amp;Z$9,'PT-All'!$A$1,"Scenario",Z$12,"P&amp;L Item",$B40),0),IFERROR(GETPIVOTDATA("Sum of "&amp;Z$9,'PT-All'!$A$1,"Scenario",Z$12,"P&amp;L Item",$B40)/Z$201,0),TEXT(IFERROR(GETPIVOTDATA("Sum of "&amp;Z$9,'PT-All'!$A$1,"Scenario",Z$12,"P&amp;L Item",$B40)/Z$29,0),"0.00%"))</f>
        <v>0</v>
      </c>
      <c r="AA40" s="65">
        <f>CHOOSE(PLColumn,IFERROR(GETPIVOTDATA("Sum of "&amp;AA$9,'PT-All'!$A$1,"Scenario",AA$12,"P&amp;L Item",$B40),0),IFERROR(GETPIVOTDATA("Sum of "&amp;AA$9,'PT-All'!$A$1,"Scenario",AA$12,"P&amp;L Item",$B40)/AA$201,0),TEXT(IFERROR(GETPIVOTDATA("Sum of "&amp;AA$9,'PT-All'!$A$1,"Scenario",AA$12,"P&amp;L Item",$B40)/AA$29,0),"0.00%"))</f>
        <v>0</v>
      </c>
      <c r="AB40" s="65">
        <f>CHOOSE(PLColumn,IFERROR(GETPIVOTDATA("Sum of "&amp;AB$9,'PT-All'!$A$1,"Scenario",AB$12,"P&amp;L Item",$B40),0),IFERROR(GETPIVOTDATA("Sum of "&amp;AB$9,'PT-All'!$A$1,"Scenario",AB$12,"P&amp;L Item",$B40)/AB$201,0),TEXT(IFERROR(GETPIVOTDATA("Sum of "&amp;AB$9,'PT-All'!$A$1,"Scenario",AB$12,"P&amp;L Item",$B40)/AB$29,0),"0.00%"))</f>
        <v>0</v>
      </c>
      <c r="AC40" s="65">
        <f>CHOOSE(PLColumn,IFERROR(GETPIVOTDATA("Sum of "&amp;AC$9,'PT-All'!$A$1,"Scenario",AC$12,"P&amp;L Item",$B40),0),IFERROR(GETPIVOTDATA("Sum of "&amp;AC$9,'PT-All'!$A$1,"Scenario",AC$12,"P&amp;L Item",$B40)/AC$201,0),TEXT(IFERROR(GETPIVOTDATA("Sum of "&amp;AC$9,'PT-All'!$A$1,"Scenario",AC$12,"P&amp;L Item",$B40)/AC$29,0),"0.00%"))</f>
        <v>0</v>
      </c>
      <c r="AD40" s="65">
        <f>CHOOSE(PLColumn,IFERROR(GETPIVOTDATA("Sum of "&amp;AD$9,'PT-All'!$A$1,"Scenario",AD$12,"P&amp;L Item",$B40),0),IFERROR(GETPIVOTDATA("Sum of "&amp;AD$9,'PT-All'!$A$1,"Scenario",AD$12,"P&amp;L Item",$B40)/AD$201,0),TEXT(IFERROR(GETPIVOTDATA("Sum of "&amp;AD$9,'PT-All'!$A$1,"Scenario",AD$12,"P&amp;L Item",$B40)/AD$29,0),"0.00%"))</f>
        <v>0</v>
      </c>
      <c r="AE40" s="65">
        <f>CHOOSE(PLColumn,IFERROR(GETPIVOTDATA("Sum of "&amp;AE$9,'PT-All'!$A$1,"Scenario",AE$12,"P&amp;L Item",$B40),0),IFERROR(GETPIVOTDATA("Sum of "&amp;AE$9,'PT-All'!$A$1,"Scenario",AE$12,"P&amp;L Item",$B40)/AE$201,0),TEXT(IFERROR(GETPIVOTDATA("Sum of "&amp;AE$9,'PT-All'!$A$1,"Scenario",AE$12,"P&amp;L Item",$B40)/AE$29,0),"0.00%"))</f>
        <v>0</v>
      </c>
      <c r="AF40" s="65">
        <f>CHOOSE(PLColumn,IFERROR(GETPIVOTDATA("Sum of "&amp;AF$9,'PT-All'!$A$1,"Scenario",AF$12,"P&amp;L Item",$B40),0),IFERROR(GETPIVOTDATA("Sum of "&amp;AF$9,'PT-All'!$A$1,"Scenario",AF$12,"P&amp;L Item",$B40)/AF$201,0),TEXT(IFERROR(GETPIVOTDATA("Sum of "&amp;AF$9,'PT-All'!$A$1,"Scenario",AF$12,"P&amp;L Item",$B40)/AF$29,0),"0.00%"))</f>
        <v>0</v>
      </c>
      <c r="AG40" s="65">
        <f>CHOOSE(PLColumn,IFERROR(GETPIVOTDATA("Sum of "&amp;AG$9,'PT-All'!$A$1,"Scenario",AG$12,"P&amp;L Item",$B40),0),IFERROR(GETPIVOTDATA("Sum of "&amp;AG$9,'PT-All'!$A$1,"Scenario",AG$12,"P&amp;L Item",$B40)/AG$201,0),TEXT(IFERROR(GETPIVOTDATA("Sum of "&amp;AG$9,'PT-All'!$A$1,"Scenario",AG$12,"P&amp;L Item",$B40)/AG$29,0),"0.00%"))</f>
        <v>0</v>
      </c>
      <c r="AH40" s="65">
        <f>CHOOSE(PLColumn,IFERROR(GETPIVOTDATA("Sum of "&amp;AH$9,'PT-All'!$A$1,"Scenario",AH$12,"P&amp;L Item",$B40),0),IFERROR(GETPIVOTDATA("Sum of "&amp;AH$9,'PT-All'!$A$1,"Scenario",AH$12,"P&amp;L Item",$B40)/AH$201,0),TEXT(IFERROR(GETPIVOTDATA("Sum of "&amp;AH$9,'PT-All'!$A$1,"Scenario",AH$12,"P&amp;L Item",$B40)/AH$29,0),"0.00%"))</f>
        <v>0</v>
      </c>
      <c r="AI40" s="65">
        <f>CHOOSE(PLColumn,IFERROR(GETPIVOTDATA("Sum of "&amp;AI$9,'PT-All'!$A$1,"Scenario",AI$12,"P&amp;L Item",$B40),0),IFERROR(GETPIVOTDATA("Sum of "&amp;AI$9,'PT-All'!$A$1,"Scenario",AI$12,"P&amp;L Item",$B40)/AI$201,0),TEXT(IFERROR(GETPIVOTDATA("Sum of "&amp;AI$9,'PT-All'!$A$1,"Scenario",AI$12,"P&amp;L Item",$B40)/AI$29,0),"0.00%"))</f>
        <v>0</v>
      </c>
      <c r="AJ40" s="65">
        <f>CHOOSE(PLColumn,IFERROR(GETPIVOTDATA("Sum of "&amp;AJ$9,'PT-All'!$A$1,"Scenario",AJ$12,"P&amp;L Item",$B40),0),IFERROR(GETPIVOTDATA("Sum of "&amp;AJ$9,'PT-All'!$A$1,"Scenario",AJ$12,"P&amp;L Item",$B40)/AJ$201,0),TEXT(IFERROR(GETPIVOTDATA("Sum of "&amp;AJ$9,'PT-All'!$A$1,"Scenario",AJ$12,"P&amp;L Item",$B40)/AJ$29,0),"0.00%"))</f>
        <v>0</v>
      </c>
      <c r="AK40" s="65">
        <f>CHOOSE(PLColumn,IFERROR(GETPIVOTDATA("Sum of "&amp;AK$9,'PT-All'!$A$1,"Scenario",AK$12,"P&amp;L Item",$B40),0),IFERROR(GETPIVOTDATA("Sum of "&amp;AK$9,'PT-All'!$A$1,"Scenario",AK$12,"P&amp;L Item",$B40)/AK$201,0),TEXT(IFERROR(GETPIVOTDATA("Sum of "&amp;AK$9,'PT-All'!$A$1,"Scenario",AK$12,"P&amp;L Item",$B40)/AK$29,0),"0.00%"))</f>
        <v>0</v>
      </c>
      <c r="AL40" s="97">
        <f>CHOOSE(PLColumn,IFERROR(GETPIVOTDATA("Sum of "&amp;AL$9,'PT-All'!$A$1,"Scenario",AL$12,"P&amp;L Item",$B40),0),IFERROR(GETPIVOTDATA("Sum of "&amp;AL$9,'PT-All'!$A$1,"Scenario",AL$12,"P&amp;L Item",$B40)/AL$201,0),TEXT(IFERROR(GETPIVOTDATA("Sum of "&amp;AL$9,'PT-All'!$A$1,"Scenario",AL$12,"P&amp;L Item",$B40)/AL$29,0),"0.00%"))</f>
        <v>0</v>
      </c>
      <c r="AM40" s="590"/>
      <c r="AN40" s="108">
        <f ca="1">IF(AN$12="Pro Forma",SUM(OFFSET($B40,0,3*AN$9+1,1,3)),IFERROR(GETPIVOTDATA("Sum of Q"&amp;AN$9+1,'PT-All'!$A$1,"Scenario",AN$12,"P&amp;L Item",$B40),0))</f>
        <v>0</v>
      </c>
      <c r="AO40" s="65">
        <f ca="1">IF(AO$12="Pro Forma",SUM(OFFSET($B40,0,3*AO$9+1,1,3)),IFERROR(GETPIVOTDATA("Sum of Q"&amp;AO$9+1,'PT-All'!$A$1,"Scenario",AO$12,"P&amp;L Item",$B40),0))</f>
        <v>0</v>
      </c>
      <c r="AP40" s="65">
        <f ca="1">IF(AP$12="Pro Forma",SUM(OFFSET($B40,0,3*AP$9+1,1,3)),IFERROR(GETPIVOTDATA("Sum of Q"&amp;AP$9+1,'PT-All'!$A$1,"Scenario",AP$12,"P&amp;L Item",$B40),0))</f>
        <v>0</v>
      </c>
      <c r="AQ40" s="65">
        <f ca="1">IF(AQ$12="Pro Forma",SUM(OFFSET($B40,0,3*AQ$9+1,1,3)),IFERROR(GETPIVOTDATA("Sum of Q"&amp;AQ$9+1,'PT-All'!$A$1,"Scenario",AQ$12,"P&amp;L Item",$B40),0))</f>
        <v>0</v>
      </c>
      <c r="AR40" s="65">
        <f ca="1">IF(AR$12="Pro Forma",SUM(OFFSET($B40,0,3*AR$9+1,1,3)),IFERROR(GETPIVOTDATA("Sum of Q"&amp;AR$9+1,'PT-All'!$A$1,"Scenario",AR$12,"P&amp;L Item",$B40),0))</f>
        <v>0</v>
      </c>
      <c r="AS40" s="65">
        <f ca="1">IF(AS$12="Pro Forma",SUM(OFFSET($B40,0,3*AS$9+1,1,3)),IFERROR(GETPIVOTDATA("Sum of Q"&amp;AS$9+1,'PT-All'!$A$1,"Scenario",AS$12,"P&amp;L Item",$B40),0))</f>
        <v>0</v>
      </c>
      <c r="AT40" s="65">
        <f ca="1">IF(AT$12="Pro Forma",SUM(OFFSET($B40,0,3*AT$9+1,1,3)),IFERROR(GETPIVOTDATA("Sum of Q"&amp;AT$9+1,'PT-All'!$A$1,"Scenario",AT$12,"P&amp;L Item",$B40),0))</f>
        <v>0</v>
      </c>
      <c r="AU40" s="65">
        <f ca="1">IF(AU$12="Pro Forma",SUM(OFFSET($B40,0,3*AU$9+1,1,3)),IFERROR(GETPIVOTDATA("Sum of Q"&amp;AU$9+1,'PT-All'!$A$1,"Scenario",AU$12,"P&amp;L Item",$B40),0))</f>
        <v>0</v>
      </c>
      <c r="AV40" s="65">
        <f ca="1">IF(AV$12="Pro Forma",SUM(OFFSET($B40,0,3*AV$9+1,1,3)),IFERROR(GETPIVOTDATA("Sum of Q"&amp;AV$9+1,'PT-All'!$A$1,"Scenario",AV$12,"P&amp;L Item",$B40),0))</f>
        <v>0</v>
      </c>
      <c r="AW40" s="65">
        <f ca="1">IF(AW$12="Pro Forma",SUM(OFFSET($B40,0,3*AW$9+1,1,3)),IFERROR(GETPIVOTDATA("Sum of Q"&amp;AW$9+1,'PT-All'!$A$1,"Scenario",AW$12,"P&amp;L Item",$B40),0))</f>
        <v>0</v>
      </c>
      <c r="AX40" s="65">
        <f ca="1">IF(AX$12="Pro Forma",SUM(OFFSET($B40,0,3*AX$9+1,1,3)),IFERROR(GETPIVOTDATA("Sum of Q"&amp;AX$9+1,'PT-All'!$A$1,"Scenario",AX$12,"P&amp;L Item",$B40),0))</f>
        <v>0</v>
      </c>
      <c r="AY40" s="97">
        <f ca="1">IF(AY$12="Pro Forma",SUM(OFFSET($B40,0,3*AY$9+1,1,3)),IFERROR(GETPIVOTDATA("Sum of Q"&amp;AY$9+1,'PT-All'!$A$1,"Scenario",AY$12,"P&amp;L Item",$B40),0))</f>
        <v>0</v>
      </c>
      <c r="AZ40" s="590"/>
      <c r="BA40" s="108">
        <f ca="1">IF(BA$12="Pro Forma",SUM(OFFSET($B40,0,12*BA$9+1,1,12)),IFERROR(GETPIVOTDATA("Sum of FY"&amp;BA$9+1,'PT-All'!$A$1,"Scenario",BA$12,"P&amp;L Item",$B40),0))</f>
        <v>0</v>
      </c>
      <c r="BB40" s="65">
        <f ca="1">IF(BB$12="Pro Forma",SUM(OFFSET($B40,0,12*BB$9+1,1,12)),IFERROR(GETPIVOTDATA("Sum of FY"&amp;BB$9+1,'PT-All'!$A$1,"Scenario",BB$12,"P&amp;L Item",$B40),0))</f>
        <v>0</v>
      </c>
      <c r="BC40" s="97">
        <f ca="1">IF(BC$12="Pro Forma",SUM(OFFSET($B40,0,12*BC$9+1,1,12)),IFERROR(GETPIVOTDATA("Sum of FY"&amp;BC$9+1,'PT-All'!$A$1,"Scenario",BC$12,"P&amp;L Item",$B40),0))</f>
        <v>0</v>
      </c>
    </row>
    <row r="41" spans="2:55" x14ac:dyDescent="0.35">
      <c r="B41" s="76" t="s">
        <v>82</v>
      </c>
      <c r="C41" s="65">
        <f>CHOOSE(PLColumn,IFERROR(GETPIVOTDATA("Sum of "&amp;C$9,'PT-All'!$A$1,"Scenario",C$12,"P&amp;L Item",$B41),0),IFERROR(GETPIVOTDATA("Sum of "&amp;C$9,'PT-All'!$A$1,"Scenario",C$12,"P&amp;L Item",$B41)/C$201,0),TEXT(IFERROR(GETPIVOTDATA("Sum of "&amp;C$9,'PT-All'!$A$1,"Scenario",C$12,"P&amp;L Item",$B41)/C$29,0),"0.00%"))</f>
        <v>0</v>
      </c>
      <c r="D41" s="65">
        <f>CHOOSE(PLColumn,IFERROR(GETPIVOTDATA("Sum of "&amp;D$9,'PT-All'!$A$1,"Scenario",D$12,"P&amp;L Item",$B41),0),IFERROR(GETPIVOTDATA("Sum of "&amp;D$9,'PT-All'!$A$1,"Scenario",D$12,"P&amp;L Item",$B41)/D$201,0),TEXT(IFERROR(GETPIVOTDATA("Sum of "&amp;D$9,'PT-All'!$A$1,"Scenario",D$12,"P&amp;L Item",$B41)/D$29,0),"0.00%"))</f>
        <v>0</v>
      </c>
      <c r="E41" s="65">
        <f>CHOOSE(PLColumn,IFERROR(GETPIVOTDATA("Sum of "&amp;E$9,'PT-All'!$A$1,"Scenario",E$12,"P&amp;L Item",$B41),0),IFERROR(GETPIVOTDATA("Sum of "&amp;E$9,'PT-All'!$A$1,"Scenario",E$12,"P&amp;L Item",$B41)/E$201,0),TEXT(IFERROR(GETPIVOTDATA("Sum of "&amp;E$9,'PT-All'!$A$1,"Scenario",E$12,"P&amp;L Item",$B41)/E$29,0),"0.00%"))</f>
        <v>0</v>
      </c>
      <c r="F41" s="65">
        <f>CHOOSE(PLColumn,IFERROR(GETPIVOTDATA("Sum of "&amp;F$9,'PT-All'!$A$1,"Scenario",F$12,"P&amp;L Item",$B41),0),IFERROR(GETPIVOTDATA("Sum of "&amp;F$9,'PT-All'!$A$1,"Scenario",F$12,"P&amp;L Item",$B41)/F$201,0),TEXT(IFERROR(GETPIVOTDATA("Sum of "&amp;F$9,'PT-All'!$A$1,"Scenario",F$12,"P&amp;L Item",$B41)/F$29,0),"0.00%"))</f>
        <v>0</v>
      </c>
      <c r="G41" s="65">
        <f>CHOOSE(PLColumn,IFERROR(GETPIVOTDATA("Sum of "&amp;G$9,'PT-All'!$A$1,"Scenario",G$12,"P&amp;L Item",$B41),0),IFERROR(GETPIVOTDATA("Sum of "&amp;G$9,'PT-All'!$A$1,"Scenario",G$12,"P&amp;L Item",$B41)/G$201,0),TEXT(IFERROR(GETPIVOTDATA("Sum of "&amp;G$9,'PT-All'!$A$1,"Scenario",G$12,"P&amp;L Item",$B41)/G$29,0),"0.00%"))</f>
        <v>0</v>
      </c>
      <c r="H41" s="65">
        <f>CHOOSE(PLColumn,IFERROR(GETPIVOTDATA("Sum of "&amp;H$9,'PT-All'!$A$1,"Scenario",H$12,"P&amp;L Item",$B41),0),IFERROR(GETPIVOTDATA("Sum of "&amp;H$9,'PT-All'!$A$1,"Scenario",H$12,"P&amp;L Item",$B41)/H$201,0),TEXT(IFERROR(GETPIVOTDATA("Sum of "&amp;H$9,'PT-All'!$A$1,"Scenario",H$12,"P&amp;L Item",$B41)/H$29,0),"0.00%"))</f>
        <v>0</v>
      </c>
      <c r="I41" s="65">
        <f>CHOOSE(PLColumn,IFERROR(GETPIVOTDATA("Sum of "&amp;I$9,'PT-All'!$A$1,"Scenario",I$12,"P&amp;L Item",$B41),0),IFERROR(GETPIVOTDATA("Sum of "&amp;I$9,'PT-All'!$A$1,"Scenario",I$12,"P&amp;L Item",$B41)/I$201,0),TEXT(IFERROR(GETPIVOTDATA("Sum of "&amp;I$9,'PT-All'!$A$1,"Scenario",I$12,"P&amp;L Item",$B41)/I$29,0),"0.00%"))</f>
        <v>0</v>
      </c>
      <c r="J41" s="65">
        <f>CHOOSE(PLColumn,IFERROR(GETPIVOTDATA("Sum of "&amp;J$9,'PT-All'!$A$1,"Scenario",J$12,"P&amp;L Item",$B41),0),IFERROR(GETPIVOTDATA("Sum of "&amp;J$9,'PT-All'!$A$1,"Scenario",J$12,"P&amp;L Item",$B41)/J$201,0),TEXT(IFERROR(GETPIVOTDATA("Sum of "&amp;J$9,'PT-All'!$A$1,"Scenario",J$12,"P&amp;L Item",$B41)/J$29,0),"0.00%"))</f>
        <v>0</v>
      </c>
      <c r="K41" s="65">
        <f>CHOOSE(PLColumn,IFERROR(GETPIVOTDATA("Sum of "&amp;K$9,'PT-All'!$A$1,"Scenario",K$12,"P&amp;L Item",$B41),0),IFERROR(GETPIVOTDATA("Sum of "&amp;K$9,'PT-All'!$A$1,"Scenario",K$12,"P&amp;L Item",$B41)/K$201,0),TEXT(IFERROR(GETPIVOTDATA("Sum of "&amp;K$9,'PT-All'!$A$1,"Scenario",K$12,"P&amp;L Item",$B41)/K$29,0),"0.00%"))</f>
        <v>0</v>
      </c>
      <c r="L41" s="65">
        <f>CHOOSE(PLColumn,IFERROR(GETPIVOTDATA("Sum of "&amp;L$9,'PT-All'!$A$1,"Scenario",L$12,"P&amp;L Item",$B41),0),IFERROR(GETPIVOTDATA("Sum of "&amp;L$9,'PT-All'!$A$1,"Scenario",L$12,"P&amp;L Item",$B41)/L$201,0),TEXT(IFERROR(GETPIVOTDATA("Sum of "&amp;L$9,'PT-All'!$A$1,"Scenario",L$12,"P&amp;L Item",$B41)/L$29,0),"0.00%"))</f>
        <v>0</v>
      </c>
      <c r="M41" s="65">
        <f>CHOOSE(PLColumn,IFERROR(GETPIVOTDATA("Sum of "&amp;M$9,'PT-All'!$A$1,"Scenario",M$12,"P&amp;L Item",$B41),0),IFERROR(GETPIVOTDATA("Sum of "&amp;M$9,'PT-All'!$A$1,"Scenario",M$12,"P&amp;L Item",$B41)/M$201,0),TEXT(IFERROR(GETPIVOTDATA("Sum of "&amp;M$9,'PT-All'!$A$1,"Scenario",M$12,"P&amp;L Item",$B41)/M$29,0),"0.00%"))</f>
        <v>0</v>
      </c>
      <c r="N41" s="65">
        <f>CHOOSE(PLColumn,IFERROR(GETPIVOTDATA("Sum of "&amp;N$9,'PT-All'!$A$1,"Scenario",N$12,"P&amp;L Item",$B41),0),IFERROR(GETPIVOTDATA("Sum of "&amp;N$9,'PT-All'!$A$1,"Scenario",N$12,"P&amp;L Item",$B41)/N$201,0),TEXT(IFERROR(GETPIVOTDATA("Sum of "&amp;N$9,'PT-All'!$A$1,"Scenario",N$12,"P&amp;L Item",$B41)/N$29,0),"0.00%"))</f>
        <v>0</v>
      </c>
      <c r="O41" s="65">
        <f>CHOOSE(PLColumn,IFERROR(GETPIVOTDATA("Sum of "&amp;O$9,'PT-All'!$A$1,"Scenario",O$12,"P&amp;L Item",$B41),0),IFERROR(GETPIVOTDATA("Sum of "&amp;O$9,'PT-All'!$A$1,"Scenario",O$12,"P&amp;L Item",$B41)/O$201,0),TEXT(IFERROR(GETPIVOTDATA("Sum of "&amp;O$9,'PT-All'!$A$1,"Scenario",O$12,"P&amp;L Item",$B41)/O$29,0),"0.00%"))</f>
        <v>0</v>
      </c>
      <c r="P41" s="65">
        <f>CHOOSE(PLColumn,IFERROR(GETPIVOTDATA("Sum of "&amp;P$9,'PT-All'!$A$1,"Scenario",P$12,"P&amp;L Item",$B41),0),IFERROR(GETPIVOTDATA("Sum of "&amp;P$9,'PT-All'!$A$1,"Scenario",P$12,"P&amp;L Item",$B41)/P$201,0),TEXT(IFERROR(GETPIVOTDATA("Sum of "&amp;P$9,'PT-All'!$A$1,"Scenario",P$12,"P&amp;L Item",$B41)/P$29,0),"0.00%"))</f>
        <v>0</v>
      </c>
      <c r="Q41" s="65">
        <f>CHOOSE(PLColumn,IFERROR(GETPIVOTDATA("Sum of "&amp;Q$9,'PT-All'!$A$1,"Scenario",Q$12,"P&amp;L Item",$B41),0),IFERROR(GETPIVOTDATA("Sum of "&amp;Q$9,'PT-All'!$A$1,"Scenario",Q$12,"P&amp;L Item",$B41)/Q$201,0),TEXT(IFERROR(GETPIVOTDATA("Sum of "&amp;Q$9,'PT-All'!$A$1,"Scenario",Q$12,"P&amp;L Item",$B41)/Q$29,0),"0.00%"))</f>
        <v>0</v>
      </c>
      <c r="R41" s="65">
        <f>CHOOSE(PLColumn,IFERROR(GETPIVOTDATA("Sum of "&amp;R$9,'PT-All'!$A$1,"Scenario",R$12,"P&amp;L Item",$B41),0),IFERROR(GETPIVOTDATA("Sum of "&amp;R$9,'PT-All'!$A$1,"Scenario",R$12,"P&amp;L Item",$B41)/R$201,0),TEXT(IFERROR(GETPIVOTDATA("Sum of "&amp;R$9,'PT-All'!$A$1,"Scenario",R$12,"P&amp;L Item",$B41)/R$29,0),"0.00%"))</f>
        <v>0</v>
      </c>
      <c r="S41" s="65">
        <f>CHOOSE(PLColumn,IFERROR(GETPIVOTDATA("Sum of "&amp;S$9,'PT-All'!$A$1,"Scenario",S$12,"P&amp;L Item",$B41),0),IFERROR(GETPIVOTDATA("Sum of "&amp;S$9,'PT-All'!$A$1,"Scenario",S$12,"P&amp;L Item",$B41)/S$201,0),TEXT(IFERROR(GETPIVOTDATA("Sum of "&amp;S$9,'PT-All'!$A$1,"Scenario",S$12,"P&amp;L Item",$B41)/S$29,0),"0.00%"))</f>
        <v>0</v>
      </c>
      <c r="T41" s="65">
        <f>CHOOSE(PLColumn,IFERROR(GETPIVOTDATA("Sum of "&amp;T$9,'PT-All'!$A$1,"Scenario",T$12,"P&amp;L Item",$B41),0),IFERROR(GETPIVOTDATA("Sum of "&amp;T$9,'PT-All'!$A$1,"Scenario",T$12,"P&amp;L Item",$B41)/T$201,0),TEXT(IFERROR(GETPIVOTDATA("Sum of "&amp;T$9,'PT-All'!$A$1,"Scenario",T$12,"P&amp;L Item",$B41)/T$29,0),"0.00%"))</f>
        <v>0</v>
      </c>
      <c r="U41" s="65">
        <f>CHOOSE(PLColumn,IFERROR(GETPIVOTDATA("Sum of "&amp;U$9,'PT-All'!$A$1,"Scenario",U$12,"P&amp;L Item",$B41),0),IFERROR(GETPIVOTDATA("Sum of "&amp;U$9,'PT-All'!$A$1,"Scenario",U$12,"P&amp;L Item",$B41)/U$201,0),TEXT(IFERROR(GETPIVOTDATA("Sum of "&amp;U$9,'PT-All'!$A$1,"Scenario",U$12,"P&amp;L Item",$B41)/U$29,0),"0.00%"))</f>
        <v>0</v>
      </c>
      <c r="V41" s="65">
        <f>CHOOSE(PLColumn,IFERROR(GETPIVOTDATA("Sum of "&amp;V$9,'PT-All'!$A$1,"Scenario",V$12,"P&amp;L Item",$B41),0),IFERROR(GETPIVOTDATA("Sum of "&amp;V$9,'PT-All'!$A$1,"Scenario",V$12,"P&amp;L Item",$B41)/V$201,0),TEXT(IFERROR(GETPIVOTDATA("Sum of "&amp;V$9,'PT-All'!$A$1,"Scenario",V$12,"P&amp;L Item",$B41)/V$29,0),"0.00%"))</f>
        <v>0</v>
      </c>
      <c r="W41" s="65">
        <f>CHOOSE(PLColumn,IFERROR(GETPIVOTDATA("Sum of "&amp;W$9,'PT-All'!$A$1,"Scenario",W$12,"P&amp;L Item",$B41),0),IFERROR(GETPIVOTDATA("Sum of "&amp;W$9,'PT-All'!$A$1,"Scenario",W$12,"P&amp;L Item",$B41)/W$201,0),TEXT(IFERROR(GETPIVOTDATA("Sum of "&amp;W$9,'PT-All'!$A$1,"Scenario",W$12,"P&amp;L Item",$B41)/W$29,0),"0.00%"))</f>
        <v>0</v>
      </c>
      <c r="X41" s="65">
        <f>CHOOSE(PLColumn,IFERROR(GETPIVOTDATA("Sum of "&amp;X$9,'PT-All'!$A$1,"Scenario",X$12,"P&amp;L Item",$B41),0),IFERROR(GETPIVOTDATA("Sum of "&amp;X$9,'PT-All'!$A$1,"Scenario",X$12,"P&amp;L Item",$B41)/X$201,0),TEXT(IFERROR(GETPIVOTDATA("Sum of "&amp;X$9,'PT-All'!$A$1,"Scenario",X$12,"P&amp;L Item",$B41)/X$29,0),"0.00%"))</f>
        <v>0</v>
      </c>
      <c r="Y41" s="65">
        <f>CHOOSE(PLColumn,IFERROR(GETPIVOTDATA("Sum of "&amp;Y$9,'PT-All'!$A$1,"Scenario",Y$12,"P&amp;L Item",$B41),0),IFERROR(GETPIVOTDATA("Sum of "&amp;Y$9,'PT-All'!$A$1,"Scenario",Y$12,"P&amp;L Item",$B41)/Y$201,0),TEXT(IFERROR(GETPIVOTDATA("Sum of "&amp;Y$9,'PT-All'!$A$1,"Scenario",Y$12,"P&amp;L Item",$B41)/Y$29,0),"0.00%"))</f>
        <v>0</v>
      </c>
      <c r="Z41" s="65">
        <f>CHOOSE(PLColumn,IFERROR(GETPIVOTDATA("Sum of "&amp;Z$9,'PT-All'!$A$1,"Scenario",Z$12,"P&amp;L Item",$B41),0),IFERROR(GETPIVOTDATA("Sum of "&amp;Z$9,'PT-All'!$A$1,"Scenario",Z$12,"P&amp;L Item",$B41)/Z$201,0),TEXT(IFERROR(GETPIVOTDATA("Sum of "&amp;Z$9,'PT-All'!$A$1,"Scenario",Z$12,"P&amp;L Item",$B41)/Z$29,0),"0.00%"))</f>
        <v>0</v>
      </c>
      <c r="AA41" s="65">
        <f>CHOOSE(PLColumn,IFERROR(GETPIVOTDATA("Sum of "&amp;AA$9,'PT-All'!$A$1,"Scenario",AA$12,"P&amp;L Item",$B41),0),IFERROR(GETPIVOTDATA("Sum of "&amp;AA$9,'PT-All'!$A$1,"Scenario",AA$12,"P&amp;L Item",$B41)/AA$201,0),TEXT(IFERROR(GETPIVOTDATA("Sum of "&amp;AA$9,'PT-All'!$A$1,"Scenario",AA$12,"P&amp;L Item",$B41)/AA$29,0),"0.00%"))</f>
        <v>0</v>
      </c>
      <c r="AB41" s="65">
        <f>CHOOSE(PLColumn,IFERROR(GETPIVOTDATA("Sum of "&amp;AB$9,'PT-All'!$A$1,"Scenario",AB$12,"P&amp;L Item",$B41),0),IFERROR(GETPIVOTDATA("Sum of "&amp;AB$9,'PT-All'!$A$1,"Scenario",AB$12,"P&amp;L Item",$B41)/AB$201,0),TEXT(IFERROR(GETPIVOTDATA("Sum of "&amp;AB$9,'PT-All'!$A$1,"Scenario",AB$12,"P&amp;L Item",$B41)/AB$29,0),"0.00%"))</f>
        <v>0</v>
      </c>
      <c r="AC41" s="65">
        <f>CHOOSE(PLColumn,IFERROR(GETPIVOTDATA("Sum of "&amp;AC$9,'PT-All'!$A$1,"Scenario",AC$12,"P&amp;L Item",$B41),0),IFERROR(GETPIVOTDATA("Sum of "&amp;AC$9,'PT-All'!$A$1,"Scenario",AC$12,"P&amp;L Item",$B41)/AC$201,0),TEXT(IFERROR(GETPIVOTDATA("Sum of "&amp;AC$9,'PT-All'!$A$1,"Scenario",AC$12,"P&amp;L Item",$B41)/AC$29,0),"0.00%"))</f>
        <v>0</v>
      </c>
      <c r="AD41" s="65">
        <f>CHOOSE(PLColumn,IFERROR(GETPIVOTDATA("Sum of "&amp;AD$9,'PT-All'!$A$1,"Scenario",AD$12,"P&amp;L Item",$B41),0),IFERROR(GETPIVOTDATA("Sum of "&amp;AD$9,'PT-All'!$A$1,"Scenario",AD$12,"P&amp;L Item",$B41)/AD$201,0),TEXT(IFERROR(GETPIVOTDATA("Sum of "&amp;AD$9,'PT-All'!$A$1,"Scenario",AD$12,"P&amp;L Item",$B41)/AD$29,0),"0.00%"))</f>
        <v>0</v>
      </c>
      <c r="AE41" s="65">
        <f>CHOOSE(PLColumn,IFERROR(GETPIVOTDATA("Sum of "&amp;AE$9,'PT-All'!$A$1,"Scenario",AE$12,"P&amp;L Item",$B41),0),IFERROR(GETPIVOTDATA("Sum of "&amp;AE$9,'PT-All'!$A$1,"Scenario",AE$12,"P&amp;L Item",$B41)/AE$201,0),TEXT(IFERROR(GETPIVOTDATA("Sum of "&amp;AE$9,'PT-All'!$A$1,"Scenario",AE$12,"P&amp;L Item",$B41)/AE$29,0),"0.00%"))</f>
        <v>0</v>
      </c>
      <c r="AF41" s="65">
        <f>CHOOSE(PLColumn,IFERROR(GETPIVOTDATA("Sum of "&amp;AF$9,'PT-All'!$A$1,"Scenario",AF$12,"P&amp;L Item",$B41),0),IFERROR(GETPIVOTDATA("Sum of "&amp;AF$9,'PT-All'!$A$1,"Scenario",AF$12,"P&amp;L Item",$B41)/AF$201,0),TEXT(IFERROR(GETPIVOTDATA("Sum of "&amp;AF$9,'PT-All'!$A$1,"Scenario",AF$12,"P&amp;L Item",$B41)/AF$29,0),"0.00%"))</f>
        <v>0</v>
      </c>
      <c r="AG41" s="65">
        <f>CHOOSE(PLColumn,IFERROR(GETPIVOTDATA("Sum of "&amp;AG$9,'PT-All'!$A$1,"Scenario",AG$12,"P&amp;L Item",$B41),0),IFERROR(GETPIVOTDATA("Sum of "&amp;AG$9,'PT-All'!$A$1,"Scenario",AG$12,"P&amp;L Item",$B41)/AG$201,0),TEXT(IFERROR(GETPIVOTDATA("Sum of "&amp;AG$9,'PT-All'!$A$1,"Scenario",AG$12,"P&amp;L Item",$B41)/AG$29,0),"0.00%"))</f>
        <v>0</v>
      </c>
      <c r="AH41" s="65">
        <f>CHOOSE(PLColumn,IFERROR(GETPIVOTDATA("Sum of "&amp;AH$9,'PT-All'!$A$1,"Scenario",AH$12,"P&amp;L Item",$B41),0),IFERROR(GETPIVOTDATA("Sum of "&amp;AH$9,'PT-All'!$A$1,"Scenario",AH$12,"P&amp;L Item",$B41)/AH$201,0),TEXT(IFERROR(GETPIVOTDATA("Sum of "&amp;AH$9,'PT-All'!$A$1,"Scenario",AH$12,"P&amp;L Item",$B41)/AH$29,0),"0.00%"))</f>
        <v>0</v>
      </c>
      <c r="AI41" s="65">
        <f>CHOOSE(PLColumn,IFERROR(GETPIVOTDATA("Sum of "&amp;AI$9,'PT-All'!$A$1,"Scenario",AI$12,"P&amp;L Item",$B41),0),IFERROR(GETPIVOTDATA("Sum of "&amp;AI$9,'PT-All'!$A$1,"Scenario",AI$12,"P&amp;L Item",$B41)/AI$201,0),TEXT(IFERROR(GETPIVOTDATA("Sum of "&amp;AI$9,'PT-All'!$A$1,"Scenario",AI$12,"P&amp;L Item",$B41)/AI$29,0),"0.00%"))</f>
        <v>0</v>
      </c>
      <c r="AJ41" s="65">
        <f>CHOOSE(PLColumn,IFERROR(GETPIVOTDATA("Sum of "&amp;AJ$9,'PT-All'!$A$1,"Scenario",AJ$12,"P&amp;L Item",$B41),0),IFERROR(GETPIVOTDATA("Sum of "&amp;AJ$9,'PT-All'!$A$1,"Scenario",AJ$12,"P&amp;L Item",$B41)/AJ$201,0),TEXT(IFERROR(GETPIVOTDATA("Sum of "&amp;AJ$9,'PT-All'!$A$1,"Scenario",AJ$12,"P&amp;L Item",$B41)/AJ$29,0),"0.00%"))</f>
        <v>0</v>
      </c>
      <c r="AK41" s="65">
        <f>CHOOSE(PLColumn,IFERROR(GETPIVOTDATA("Sum of "&amp;AK$9,'PT-All'!$A$1,"Scenario",AK$12,"P&amp;L Item",$B41),0),IFERROR(GETPIVOTDATA("Sum of "&amp;AK$9,'PT-All'!$A$1,"Scenario",AK$12,"P&amp;L Item",$B41)/AK$201,0),TEXT(IFERROR(GETPIVOTDATA("Sum of "&amp;AK$9,'PT-All'!$A$1,"Scenario",AK$12,"P&amp;L Item",$B41)/AK$29,0),"0.00%"))</f>
        <v>0</v>
      </c>
      <c r="AL41" s="97">
        <f>CHOOSE(PLColumn,IFERROR(GETPIVOTDATA("Sum of "&amp;AL$9,'PT-All'!$A$1,"Scenario",AL$12,"P&amp;L Item",$B41),0),IFERROR(GETPIVOTDATA("Sum of "&amp;AL$9,'PT-All'!$A$1,"Scenario",AL$12,"P&amp;L Item",$B41)/AL$201,0),TEXT(IFERROR(GETPIVOTDATA("Sum of "&amp;AL$9,'PT-All'!$A$1,"Scenario",AL$12,"P&amp;L Item",$B41)/AL$29,0),"0.00%"))</f>
        <v>0</v>
      </c>
      <c r="AM41" s="590"/>
      <c r="AN41" s="108">
        <f ca="1">IF(AN$12="Pro Forma",SUM(OFFSET($B41,0,3*AN$9+1,1,3)),IFERROR(GETPIVOTDATA("Sum of Q"&amp;AN$9+1,'PT-All'!$A$1,"Scenario",AN$12,"P&amp;L Item",$B41),0))</f>
        <v>0</v>
      </c>
      <c r="AO41" s="65">
        <f ca="1">IF(AO$12="Pro Forma",SUM(OFFSET($B41,0,3*AO$9+1,1,3)),IFERROR(GETPIVOTDATA("Sum of Q"&amp;AO$9+1,'PT-All'!$A$1,"Scenario",AO$12,"P&amp;L Item",$B41),0))</f>
        <v>0</v>
      </c>
      <c r="AP41" s="65">
        <f ca="1">IF(AP$12="Pro Forma",SUM(OFFSET($B41,0,3*AP$9+1,1,3)),IFERROR(GETPIVOTDATA("Sum of Q"&amp;AP$9+1,'PT-All'!$A$1,"Scenario",AP$12,"P&amp;L Item",$B41),0))</f>
        <v>0</v>
      </c>
      <c r="AQ41" s="65">
        <f ca="1">IF(AQ$12="Pro Forma",SUM(OFFSET($B41,0,3*AQ$9+1,1,3)),IFERROR(GETPIVOTDATA("Sum of Q"&amp;AQ$9+1,'PT-All'!$A$1,"Scenario",AQ$12,"P&amp;L Item",$B41),0))</f>
        <v>0</v>
      </c>
      <c r="AR41" s="65">
        <f ca="1">IF(AR$12="Pro Forma",SUM(OFFSET($B41,0,3*AR$9+1,1,3)),IFERROR(GETPIVOTDATA("Sum of Q"&amp;AR$9+1,'PT-All'!$A$1,"Scenario",AR$12,"P&amp;L Item",$B41),0))</f>
        <v>0</v>
      </c>
      <c r="AS41" s="65">
        <f ca="1">IF(AS$12="Pro Forma",SUM(OFFSET($B41,0,3*AS$9+1,1,3)),IFERROR(GETPIVOTDATA("Sum of Q"&amp;AS$9+1,'PT-All'!$A$1,"Scenario",AS$12,"P&amp;L Item",$B41),0))</f>
        <v>0</v>
      </c>
      <c r="AT41" s="65">
        <f ca="1">IF(AT$12="Pro Forma",SUM(OFFSET($B41,0,3*AT$9+1,1,3)),IFERROR(GETPIVOTDATA("Sum of Q"&amp;AT$9+1,'PT-All'!$A$1,"Scenario",AT$12,"P&amp;L Item",$B41),0))</f>
        <v>0</v>
      </c>
      <c r="AU41" s="65">
        <f ca="1">IF(AU$12="Pro Forma",SUM(OFFSET($B41,0,3*AU$9+1,1,3)),IFERROR(GETPIVOTDATA("Sum of Q"&amp;AU$9+1,'PT-All'!$A$1,"Scenario",AU$12,"P&amp;L Item",$B41),0))</f>
        <v>0</v>
      </c>
      <c r="AV41" s="65">
        <f ca="1">IF(AV$12="Pro Forma",SUM(OFFSET($B41,0,3*AV$9+1,1,3)),IFERROR(GETPIVOTDATA("Sum of Q"&amp;AV$9+1,'PT-All'!$A$1,"Scenario",AV$12,"P&amp;L Item",$B41),0))</f>
        <v>0</v>
      </c>
      <c r="AW41" s="65">
        <f ca="1">IF(AW$12="Pro Forma",SUM(OFFSET($B41,0,3*AW$9+1,1,3)),IFERROR(GETPIVOTDATA("Sum of Q"&amp;AW$9+1,'PT-All'!$A$1,"Scenario",AW$12,"P&amp;L Item",$B41),0))</f>
        <v>0</v>
      </c>
      <c r="AX41" s="65">
        <f ca="1">IF(AX$12="Pro Forma",SUM(OFFSET($B41,0,3*AX$9+1,1,3)),IFERROR(GETPIVOTDATA("Sum of Q"&amp;AX$9+1,'PT-All'!$A$1,"Scenario",AX$12,"P&amp;L Item",$B41),0))</f>
        <v>0</v>
      </c>
      <c r="AY41" s="97">
        <f ca="1">IF(AY$12="Pro Forma",SUM(OFFSET($B41,0,3*AY$9+1,1,3)),IFERROR(GETPIVOTDATA("Sum of Q"&amp;AY$9+1,'PT-All'!$A$1,"Scenario",AY$12,"P&amp;L Item",$B41),0))</f>
        <v>0</v>
      </c>
      <c r="AZ41" s="590"/>
      <c r="BA41" s="108">
        <f ca="1">IF(BA$12="Pro Forma",SUM(OFFSET($B41,0,12*BA$9+1,1,12)),IFERROR(GETPIVOTDATA("Sum of FY"&amp;BA$9+1,'PT-All'!$A$1,"Scenario",BA$12,"P&amp;L Item",$B41),0))</f>
        <v>0</v>
      </c>
      <c r="BB41" s="65">
        <f ca="1">IF(BB$12="Pro Forma",SUM(OFFSET($B41,0,12*BB$9+1,1,12)),IFERROR(GETPIVOTDATA("Sum of FY"&amp;BB$9+1,'PT-All'!$A$1,"Scenario",BB$12,"P&amp;L Item",$B41),0))</f>
        <v>0</v>
      </c>
      <c r="BC41" s="97">
        <f ca="1">IF(BC$12="Pro Forma",SUM(OFFSET($B41,0,12*BC$9+1,1,12)),IFERROR(GETPIVOTDATA("Sum of FY"&amp;BC$9+1,'PT-All'!$A$1,"Scenario",BC$12,"P&amp;L Item",$B41),0))</f>
        <v>0</v>
      </c>
    </row>
    <row r="42" spans="2:55" x14ac:dyDescent="0.35">
      <c r="B42" s="77" t="s">
        <v>83</v>
      </c>
      <c r="C42" s="78">
        <f t="shared" ref="C42:AN42" si="101">SUM(C43,C46)</f>
        <v>0</v>
      </c>
      <c r="D42" s="78">
        <f t="shared" si="101"/>
        <v>0</v>
      </c>
      <c r="E42" s="78">
        <f t="shared" si="101"/>
        <v>0</v>
      </c>
      <c r="F42" s="78">
        <f t="shared" si="101"/>
        <v>0</v>
      </c>
      <c r="G42" s="78">
        <f t="shared" si="101"/>
        <v>0</v>
      </c>
      <c r="H42" s="78">
        <f t="shared" si="101"/>
        <v>0</v>
      </c>
      <c r="I42" s="78">
        <f t="shared" si="101"/>
        <v>0</v>
      </c>
      <c r="J42" s="78">
        <f t="shared" si="101"/>
        <v>0</v>
      </c>
      <c r="K42" s="78">
        <f t="shared" si="101"/>
        <v>0</v>
      </c>
      <c r="L42" s="78">
        <f t="shared" si="101"/>
        <v>0</v>
      </c>
      <c r="M42" s="78">
        <f t="shared" si="101"/>
        <v>0</v>
      </c>
      <c r="N42" s="78">
        <f t="shared" si="101"/>
        <v>0</v>
      </c>
      <c r="O42" s="78">
        <f t="shared" si="101"/>
        <v>0</v>
      </c>
      <c r="P42" s="78">
        <f t="shared" si="101"/>
        <v>0</v>
      </c>
      <c r="Q42" s="78">
        <f t="shared" si="101"/>
        <v>0</v>
      </c>
      <c r="R42" s="78">
        <f t="shared" si="101"/>
        <v>0</v>
      </c>
      <c r="S42" s="78">
        <f t="shared" si="101"/>
        <v>0</v>
      </c>
      <c r="T42" s="78">
        <f t="shared" si="101"/>
        <v>0</v>
      </c>
      <c r="U42" s="78">
        <f t="shared" si="101"/>
        <v>0</v>
      </c>
      <c r="V42" s="78">
        <f t="shared" si="101"/>
        <v>0</v>
      </c>
      <c r="W42" s="78">
        <f t="shared" si="101"/>
        <v>0</v>
      </c>
      <c r="X42" s="78">
        <f t="shared" si="101"/>
        <v>0</v>
      </c>
      <c r="Y42" s="78">
        <f t="shared" si="101"/>
        <v>0</v>
      </c>
      <c r="Z42" s="78">
        <f t="shared" ref="Z42:AL42" si="102">SUM(Z43,Z46)</f>
        <v>0</v>
      </c>
      <c r="AA42" s="78">
        <f t="shared" si="102"/>
        <v>0</v>
      </c>
      <c r="AB42" s="78">
        <f t="shared" si="102"/>
        <v>0</v>
      </c>
      <c r="AC42" s="78">
        <f t="shared" si="102"/>
        <v>0</v>
      </c>
      <c r="AD42" s="78">
        <f t="shared" si="102"/>
        <v>0</v>
      </c>
      <c r="AE42" s="78">
        <f t="shared" si="102"/>
        <v>0</v>
      </c>
      <c r="AF42" s="78">
        <f t="shared" si="102"/>
        <v>0</v>
      </c>
      <c r="AG42" s="78">
        <f t="shared" si="102"/>
        <v>0</v>
      </c>
      <c r="AH42" s="78">
        <f t="shared" si="102"/>
        <v>0</v>
      </c>
      <c r="AI42" s="78">
        <f t="shared" si="102"/>
        <v>0</v>
      </c>
      <c r="AJ42" s="78">
        <f t="shared" si="102"/>
        <v>0</v>
      </c>
      <c r="AK42" s="78">
        <f t="shared" si="102"/>
        <v>0</v>
      </c>
      <c r="AL42" s="100">
        <f t="shared" si="102"/>
        <v>0</v>
      </c>
      <c r="AM42" s="590"/>
      <c r="AN42" s="111">
        <f t="shared" ca="1" si="101"/>
        <v>0</v>
      </c>
      <c r="AO42" s="78">
        <f t="shared" ref="AO42" ca="1" si="103">SUM(AO43,AO46)</f>
        <v>0</v>
      </c>
      <c r="AP42" s="78">
        <f t="shared" ref="AP42" ca="1" si="104">SUM(AP43,AP46)</f>
        <v>0</v>
      </c>
      <c r="AQ42" s="78">
        <f t="shared" ref="AQ42" ca="1" si="105">SUM(AQ43,AQ46)</f>
        <v>0</v>
      </c>
      <c r="AR42" s="78">
        <f t="shared" ref="AR42" ca="1" si="106">SUM(AR43,AR46)</f>
        <v>0</v>
      </c>
      <c r="AS42" s="78">
        <f t="shared" ref="AS42" ca="1" si="107">SUM(AS43,AS46)</f>
        <v>0</v>
      </c>
      <c r="AT42" s="78">
        <f t="shared" ref="AT42:AY42" ca="1" si="108">SUM(AT43,AT46)</f>
        <v>0</v>
      </c>
      <c r="AU42" s="78">
        <f t="shared" ca="1" si="108"/>
        <v>0</v>
      </c>
      <c r="AV42" s="78">
        <f t="shared" ca="1" si="108"/>
        <v>0</v>
      </c>
      <c r="AW42" s="78">
        <f t="shared" ca="1" si="108"/>
        <v>0</v>
      </c>
      <c r="AX42" s="78">
        <f t="shared" ca="1" si="108"/>
        <v>0</v>
      </c>
      <c r="AY42" s="100">
        <f t="shared" ca="1" si="108"/>
        <v>0</v>
      </c>
      <c r="AZ42" s="590"/>
      <c r="BA42" s="111">
        <f t="shared" ref="BA42" ca="1" si="109">SUM(BA43,BA46)</f>
        <v>0</v>
      </c>
      <c r="BB42" s="78">
        <f t="shared" ref="BB42:BC42" ca="1" si="110">SUM(BB43,BB46)</f>
        <v>0</v>
      </c>
      <c r="BC42" s="100">
        <f t="shared" ca="1" si="110"/>
        <v>0</v>
      </c>
    </row>
    <row r="43" spans="2:55" x14ac:dyDescent="0.35">
      <c r="B43" s="79" t="s">
        <v>84</v>
      </c>
      <c r="C43" s="78">
        <f t="shared" ref="C43:AN43" si="111">SUM(C44:C45)</f>
        <v>0</v>
      </c>
      <c r="D43" s="78">
        <f t="shared" si="111"/>
        <v>0</v>
      </c>
      <c r="E43" s="78">
        <f t="shared" si="111"/>
        <v>0</v>
      </c>
      <c r="F43" s="78">
        <f t="shared" si="111"/>
        <v>0</v>
      </c>
      <c r="G43" s="78">
        <f t="shared" si="111"/>
        <v>0</v>
      </c>
      <c r="H43" s="78">
        <f t="shared" si="111"/>
        <v>0</v>
      </c>
      <c r="I43" s="78">
        <f t="shared" si="111"/>
        <v>0</v>
      </c>
      <c r="J43" s="78">
        <f t="shared" si="111"/>
        <v>0</v>
      </c>
      <c r="K43" s="78">
        <f t="shared" si="111"/>
        <v>0</v>
      </c>
      <c r="L43" s="78">
        <f t="shared" si="111"/>
        <v>0</v>
      </c>
      <c r="M43" s="78">
        <f t="shared" si="111"/>
        <v>0</v>
      </c>
      <c r="N43" s="78">
        <f t="shared" si="111"/>
        <v>0</v>
      </c>
      <c r="O43" s="78">
        <f t="shared" si="111"/>
        <v>0</v>
      </c>
      <c r="P43" s="78">
        <f t="shared" si="111"/>
        <v>0</v>
      </c>
      <c r="Q43" s="78">
        <f t="shared" si="111"/>
        <v>0</v>
      </c>
      <c r="R43" s="78">
        <f t="shared" si="111"/>
        <v>0</v>
      </c>
      <c r="S43" s="78">
        <f t="shared" si="111"/>
        <v>0</v>
      </c>
      <c r="T43" s="78">
        <f t="shared" si="111"/>
        <v>0</v>
      </c>
      <c r="U43" s="78">
        <f t="shared" si="111"/>
        <v>0</v>
      </c>
      <c r="V43" s="78">
        <f t="shared" si="111"/>
        <v>0</v>
      </c>
      <c r="W43" s="78">
        <f t="shared" si="111"/>
        <v>0</v>
      </c>
      <c r="X43" s="78">
        <f t="shared" si="111"/>
        <v>0</v>
      </c>
      <c r="Y43" s="78">
        <f t="shared" si="111"/>
        <v>0</v>
      </c>
      <c r="Z43" s="78">
        <f t="shared" ref="Z43:AL43" si="112">SUM(Z44:Z45)</f>
        <v>0</v>
      </c>
      <c r="AA43" s="78">
        <f t="shared" si="112"/>
        <v>0</v>
      </c>
      <c r="AB43" s="78">
        <f t="shared" si="112"/>
        <v>0</v>
      </c>
      <c r="AC43" s="78">
        <f t="shared" si="112"/>
        <v>0</v>
      </c>
      <c r="AD43" s="78">
        <f t="shared" si="112"/>
        <v>0</v>
      </c>
      <c r="AE43" s="78">
        <f t="shared" si="112"/>
        <v>0</v>
      </c>
      <c r="AF43" s="78">
        <f t="shared" si="112"/>
        <v>0</v>
      </c>
      <c r="AG43" s="78">
        <f t="shared" si="112"/>
        <v>0</v>
      </c>
      <c r="AH43" s="78">
        <f t="shared" si="112"/>
        <v>0</v>
      </c>
      <c r="AI43" s="78">
        <f t="shared" si="112"/>
        <v>0</v>
      </c>
      <c r="AJ43" s="78">
        <f t="shared" si="112"/>
        <v>0</v>
      </c>
      <c r="AK43" s="78">
        <f t="shared" si="112"/>
        <v>0</v>
      </c>
      <c r="AL43" s="100">
        <f t="shared" si="112"/>
        <v>0</v>
      </c>
      <c r="AM43" s="590"/>
      <c r="AN43" s="111">
        <f t="shared" ca="1" si="111"/>
        <v>0</v>
      </c>
      <c r="AO43" s="78">
        <f t="shared" ref="AO43" ca="1" si="113">SUM(AO44:AO45)</f>
        <v>0</v>
      </c>
      <c r="AP43" s="78">
        <f t="shared" ref="AP43" ca="1" si="114">SUM(AP44:AP45)</f>
        <v>0</v>
      </c>
      <c r="AQ43" s="78">
        <f t="shared" ref="AQ43" ca="1" si="115">SUM(AQ44:AQ45)</f>
        <v>0</v>
      </c>
      <c r="AR43" s="78">
        <f t="shared" ref="AR43" ca="1" si="116">SUM(AR44:AR45)</f>
        <v>0</v>
      </c>
      <c r="AS43" s="78">
        <f t="shared" ref="AS43" ca="1" si="117">SUM(AS44:AS45)</f>
        <v>0</v>
      </c>
      <c r="AT43" s="78">
        <f t="shared" ref="AT43:AY43" ca="1" si="118">SUM(AT44:AT45)</f>
        <v>0</v>
      </c>
      <c r="AU43" s="78">
        <f t="shared" ca="1" si="118"/>
        <v>0</v>
      </c>
      <c r="AV43" s="78">
        <f t="shared" ca="1" si="118"/>
        <v>0</v>
      </c>
      <c r="AW43" s="78">
        <f t="shared" ca="1" si="118"/>
        <v>0</v>
      </c>
      <c r="AX43" s="78">
        <f t="shared" ca="1" si="118"/>
        <v>0</v>
      </c>
      <c r="AY43" s="100">
        <f t="shared" ca="1" si="118"/>
        <v>0</v>
      </c>
      <c r="AZ43" s="590"/>
      <c r="BA43" s="111">
        <f t="shared" ref="BA43" ca="1" si="119">SUM(BA44:BA45)</f>
        <v>0</v>
      </c>
      <c r="BB43" s="78">
        <f t="shared" ref="BB43:BC43" ca="1" si="120">SUM(BB44:BB45)</f>
        <v>0</v>
      </c>
      <c r="BC43" s="100">
        <f t="shared" ca="1" si="120"/>
        <v>0</v>
      </c>
    </row>
    <row r="44" spans="2:55" x14ac:dyDescent="0.35">
      <c r="B44" s="80" t="s">
        <v>85</v>
      </c>
      <c r="C44" s="65">
        <f>CHOOSE(PLColumn,IFERROR(GETPIVOTDATA("Sum of "&amp;C$9,'PT-All'!$A$1,"Scenario",C$12,"P&amp;L Item",$B44),0),IFERROR(GETPIVOTDATA("Sum of "&amp;C$9,'PT-All'!$A$1,"Scenario",C$12,"P&amp;L Item",$B44)/C$201,0),TEXT(IFERROR(GETPIVOTDATA("Sum of "&amp;C$9,'PT-All'!$A$1,"Scenario",C$12,"P&amp;L Item",$B44)/C$29,0),"0.00%"))</f>
        <v>0</v>
      </c>
      <c r="D44" s="65">
        <f>CHOOSE(PLColumn,IFERROR(GETPIVOTDATA("Sum of "&amp;D$9,'PT-All'!$A$1,"Scenario",D$12,"P&amp;L Item",$B44),0),IFERROR(GETPIVOTDATA("Sum of "&amp;D$9,'PT-All'!$A$1,"Scenario",D$12,"P&amp;L Item",$B44)/D$201,0),TEXT(IFERROR(GETPIVOTDATA("Sum of "&amp;D$9,'PT-All'!$A$1,"Scenario",D$12,"P&amp;L Item",$B44)/D$29,0),"0.00%"))</f>
        <v>0</v>
      </c>
      <c r="E44" s="65">
        <f>CHOOSE(PLColumn,IFERROR(GETPIVOTDATA("Sum of "&amp;E$9,'PT-All'!$A$1,"Scenario",E$12,"P&amp;L Item",$B44),0),IFERROR(GETPIVOTDATA("Sum of "&amp;E$9,'PT-All'!$A$1,"Scenario",E$12,"P&amp;L Item",$B44)/E$201,0),TEXT(IFERROR(GETPIVOTDATA("Sum of "&amp;E$9,'PT-All'!$A$1,"Scenario",E$12,"P&amp;L Item",$B44)/E$29,0),"0.00%"))</f>
        <v>0</v>
      </c>
      <c r="F44" s="65">
        <f>CHOOSE(PLColumn,IFERROR(GETPIVOTDATA("Sum of "&amp;F$9,'PT-All'!$A$1,"Scenario",F$12,"P&amp;L Item",$B44),0),IFERROR(GETPIVOTDATA("Sum of "&amp;F$9,'PT-All'!$A$1,"Scenario",F$12,"P&amp;L Item",$B44)/F$201,0),TEXT(IFERROR(GETPIVOTDATA("Sum of "&amp;F$9,'PT-All'!$A$1,"Scenario",F$12,"P&amp;L Item",$B44)/F$29,0),"0.00%"))</f>
        <v>0</v>
      </c>
      <c r="G44" s="65">
        <f>CHOOSE(PLColumn,IFERROR(GETPIVOTDATA("Sum of "&amp;G$9,'PT-All'!$A$1,"Scenario",G$12,"P&amp;L Item",$B44),0),IFERROR(GETPIVOTDATA("Sum of "&amp;G$9,'PT-All'!$A$1,"Scenario",G$12,"P&amp;L Item",$B44)/G$201,0),TEXT(IFERROR(GETPIVOTDATA("Sum of "&amp;G$9,'PT-All'!$A$1,"Scenario",G$12,"P&amp;L Item",$B44)/G$29,0),"0.00%"))</f>
        <v>0</v>
      </c>
      <c r="H44" s="65">
        <f>CHOOSE(PLColumn,IFERROR(GETPIVOTDATA("Sum of "&amp;H$9,'PT-All'!$A$1,"Scenario",H$12,"P&amp;L Item",$B44),0),IFERROR(GETPIVOTDATA("Sum of "&amp;H$9,'PT-All'!$A$1,"Scenario",H$12,"P&amp;L Item",$B44)/H$201,0),TEXT(IFERROR(GETPIVOTDATA("Sum of "&amp;H$9,'PT-All'!$A$1,"Scenario",H$12,"P&amp;L Item",$B44)/H$29,0),"0.00%"))</f>
        <v>0</v>
      </c>
      <c r="I44" s="65">
        <f>CHOOSE(PLColumn,IFERROR(GETPIVOTDATA("Sum of "&amp;I$9,'PT-All'!$A$1,"Scenario",I$12,"P&amp;L Item",$B44),0),IFERROR(GETPIVOTDATA("Sum of "&amp;I$9,'PT-All'!$A$1,"Scenario",I$12,"P&amp;L Item",$B44)/I$201,0),TEXT(IFERROR(GETPIVOTDATA("Sum of "&amp;I$9,'PT-All'!$A$1,"Scenario",I$12,"P&amp;L Item",$B44)/I$29,0),"0.00%"))</f>
        <v>0</v>
      </c>
      <c r="J44" s="65">
        <f>CHOOSE(PLColumn,IFERROR(GETPIVOTDATA("Sum of "&amp;J$9,'PT-All'!$A$1,"Scenario",J$12,"P&amp;L Item",$B44),0),IFERROR(GETPIVOTDATA("Sum of "&amp;J$9,'PT-All'!$A$1,"Scenario",J$12,"P&amp;L Item",$B44)/J$201,0),TEXT(IFERROR(GETPIVOTDATA("Sum of "&amp;J$9,'PT-All'!$A$1,"Scenario",J$12,"P&amp;L Item",$B44)/J$29,0),"0.00%"))</f>
        <v>0</v>
      </c>
      <c r="K44" s="65">
        <f>CHOOSE(PLColumn,IFERROR(GETPIVOTDATA("Sum of "&amp;K$9,'PT-All'!$A$1,"Scenario",K$12,"P&amp;L Item",$B44),0),IFERROR(GETPIVOTDATA("Sum of "&amp;K$9,'PT-All'!$A$1,"Scenario",K$12,"P&amp;L Item",$B44)/K$201,0),TEXT(IFERROR(GETPIVOTDATA("Sum of "&amp;K$9,'PT-All'!$A$1,"Scenario",K$12,"P&amp;L Item",$B44)/K$29,0),"0.00%"))</f>
        <v>0</v>
      </c>
      <c r="L44" s="65">
        <f>CHOOSE(PLColumn,IFERROR(GETPIVOTDATA("Sum of "&amp;L$9,'PT-All'!$A$1,"Scenario",L$12,"P&amp;L Item",$B44),0),IFERROR(GETPIVOTDATA("Sum of "&amp;L$9,'PT-All'!$A$1,"Scenario",L$12,"P&amp;L Item",$B44)/L$201,0),TEXT(IFERROR(GETPIVOTDATA("Sum of "&amp;L$9,'PT-All'!$A$1,"Scenario",L$12,"P&amp;L Item",$B44)/L$29,0),"0.00%"))</f>
        <v>0</v>
      </c>
      <c r="M44" s="65">
        <f>CHOOSE(PLColumn,IFERROR(GETPIVOTDATA("Sum of "&amp;M$9,'PT-All'!$A$1,"Scenario",M$12,"P&amp;L Item",$B44),0),IFERROR(GETPIVOTDATA("Sum of "&amp;M$9,'PT-All'!$A$1,"Scenario",M$12,"P&amp;L Item",$B44)/M$201,0),TEXT(IFERROR(GETPIVOTDATA("Sum of "&amp;M$9,'PT-All'!$A$1,"Scenario",M$12,"P&amp;L Item",$B44)/M$29,0),"0.00%"))</f>
        <v>0</v>
      </c>
      <c r="N44" s="65">
        <f>CHOOSE(PLColumn,IFERROR(GETPIVOTDATA("Sum of "&amp;N$9,'PT-All'!$A$1,"Scenario",N$12,"P&amp;L Item",$B44),0),IFERROR(GETPIVOTDATA("Sum of "&amp;N$9,'PT-All'!$A$1,"Scenario",N$12,"P&amp;L Item",$B44)/N$201,0),TEXT(IFERROR(GETPIVOTDATA("Sum of "&amp;N$9,'PT-All'!$A$1,"Scenario",N$12,"P&amp;L Item",$B44)/N$29,0),"0.00%"))</f>
        <v>0</v>
      </c>
      <c r="O44" s="65">
        <f>CHOOSE(PLColumn,IFERROR(GETPIVOTDATA("Sum of "&amp;O$9,'PT-All'!$A$1,"Scenario",O$12,"P&amp;L Item",$B44),0),IFERROR(GETPIVOTDATA("Sum of "&amp;O$9,'PT-All'!$A$1,"Scenario",O$12,"P&amp;L Item",$B44)/O$201,0),TEXT(IFERROR(GETPIVOTDATA("Sum of "&amp;O$9,'PT-All'!$A$1,"Scenario",O$12,"P&amp;L Item",$B44)/O$29,0),"0.00%"))</f>
        <v>0</v>
      </c>
      <c r="P44" s="65">
        <f>CHOOSE(PLColumn,IFERROR(GETPIVOTDATA("Sum of "&amp;P$9,'PT-All'!$A$1,"Scenario",P$12,"P&amp;L Item",$B44),0),IFERROR(GETPIVOTDATA("Sum of "&amp;P$9,'PT-All'!$A$1,"Scenario",P$12,"P&amp;L Item",$B44)/P$201,0),TEXT(IFERROR(GETPIVOTDATA("Sum of "&amp;P$9,'PT-All'!$A$1,"Scenario",P$12,"P&amp;L Item",$B44)/P$29,0),"0.00%"))</f>
        <v>0</v>
      </c>
      <c r="Q44" s="65">
        <f>CHOOSE(PLColumn,IFERROR(GETPIVOTDATA("Sum of "&amp;Q$9,'PT-All'!$A$1,"Scenario",Q$12,"P&amp;L Item",$B44),0),IFERROR(GETPIVOTDATA("Sum of "&amp;Q$9,'PT-All'!$A$1,"Scenario",Q$12,"P&amp;L Item",$B44)/Q$201,0),TEXT(IFERROR(GETPIVOTDATA("Sum of "&amp;Q$9,'PT-All'!$A$1,"Scenario",Q$12,"P&amp;L Item",$B44)/Q$29,0),"0.00%"))</f>
        <v>0</v>
      </c>
      <c r="R44" s="65">
        <f>CHOOSE(PLColumn,IFERROR(GETPIVOTDATA("Sum of "&amp;R$9,'PT-All'!$A$1,"Scenario",R$12,"P&amp;L Item",$B44),0),IFERROR(GETPIVOTDATA("Sum of "&amp;R$9,'PT-All'!$A$1,"Scenario",R$12,"P&amp;L Item",$B44)/R$201,0),TEXT(IFERROR(GETPIVOTDATA("Sum of "&amp;R$9,'PT-All'!$A$1,"Scenario",R$12,"P&amp;L Item",$B44)/R$29,0),"0.00%"))</f>
        <v>0</v>
      </c>
      <c r="S44" s="65">
        <f>CHOOSE(PLColumn,IFERROR(GETPIVOTDATA("Sum of "&amp;S$9,'PT-All'!$A$1,"Scenario",S$12,"P&amp;L Item",$B44),0),IFERROR(GETPIVOTDATA("Sum of "&amp;S$9,'PT-All'!$A$1,"Scenario",S$12,"P&amp;L Item",$B44)/S$201,0),TEXT(IFERROR(GETPIVOTDATA("Sum of "&amp;S$9,'PT-All'!$A$1,"Scenario",S$12,"P&amp;L Item",$B44)/S$29,0),"0.00%"))</f>
        <v>0</v>
      </c>
      <c r="T44" s="65">
        <f>CHOOSE(PLColumn,IFERROR(GETPIVOTDATA("Sum of "&amp;T$9,'PT-All'!$A$1,"Scenario",T$12,"P&amp;L Item",$B44),0),IFERROR(GETPIVOTDATA("Sum of "&amp;T$9,'PT-All'!$A$1,"Scenario",T$12,"P&amp;L Item",$B44)/T$201,0),TEXT(IFERROR(GETPIVOTDATA("Sum of "&amp;T$9,'PT-All'!$A$1,"Scenario",T$12,"P&amp;L Item",$B44)/T$29,0),"0.00%"))</f>
        <v>0</v>
      </c>
      <c r="U44" s="65">
        <f>CHOOSE(PLColumn,IFERROR(GETPIVOTDATA("Sum of "&amp;U$9,'PT-All'!$A$1,"Scenario",U$12,"P&amp;L Item",$B44),0),IFERROR(GETPIVOTDATA("Sum of "&amp;U$9,'PT-All'!$A$1,"Scenario",U$12,"P&amp;L Item",$B44)/U$201,0),TEXT(IFERROR(GETPIVOTDATA("Sum of "&amp;U$9,'PT-All'!$A$1,"Scenario",U$12,"P&amp;L Item",$B44)/U$29,0),"0.00%"))</f>
        <v>0</v>
      </c>
      <c r="V44" s="65">
        <f>CHOOSE(PLColumn,IFERROR(GETPIVOTDATA("Sum of "&amp;V$9,'PT-All'!$A$1,"Scenario",V$12,"P&amp;L Item",$B44),0),IFERROR(GETPIVOTDATA("Sum of "&amp;V$9,'PT-All'!$A$1,"Scenario",V$12,"P&amp;L Item",$B44)/V$201,0),TEXT(IFERROR(GETPIVOTDATA("Sum of "&amp;V$9,'PT-All'!$A$1,"Scenario",V$12,"P&amp;L Item",$B44)/V$29,0),"0.00%"))</f>
        <v>0</v>
      </c>
      <c r="W44" s="65">
        <f>CHOOSE(PLColumn,IFERROR(GETPIVOTDATA("Sum of "&amp;W$9,'PT-All'!$A$1,"Scenario",W$12,"P&amp;L Item",$B44),0),IFERROR(GETPIVOTDATA("Sum of "&amp;W$9,'PT-All'!$A$1,"Scenario",W$12,"P&amp;L Item",$B44)/W$201,0),TEXT(IFERROR(GETPIVOTDATA("Sum of "&amp;W$9,'PT-All'!$A$1,"Scenario",W$12,"P&amp;L Item",$B44)/W$29,0),"0.00%"))</f>
        <v>0</v>
      </c>
      <c r="X44" s="65">
        <f>CHOOSE(PLColumn,IFERROR(GETPIVOTDATA("Sum of "&amp;X$9,'PT-All'!$A$1,"Scenario",X$12,"P&amp;L Item",$B44),0),IFERROR(GETPIVOTDATA("Sum of "&amp;X$9,'PT-All'!$A$1,"Scenario",X$12,"P&amp;L Item",$B44)/X$201,0),TEXT(IFERROR(GETPIVOTDATA("Sum of "&amp;X$9,'PT-All'!$A$1,"Scenario",X$12,"P&amp;L Item",$B44)/X$29,0),"0.00%"))</f>
        <v>0</v>
      </c>
      <c r="Y44" s="65">
        <f>CHOOSE(PLColumn,IFERROR(GETPIVOTDATA("Sum of "&amp;Y$9,'PT-All'!$A$1,"Scenario",Y$12,"P&amp;L Item",$B44),0),IFERROR(GETPIVOTDATA("Sum of "&amp;Y$9,'PT-All'!$A$1,"Scenario",Y$12,"P&amp;L Item",$B44)/Y$201,0),TEXT(IFERROR(GETPIVOTDATA("Sum of "&amp;Y$9,'PT-All'!$A$1,"Scenario",Y$12,"P&amp;L Item",$B44)/Y$29,0),"0.00%"))</f>
        <v>0</v>
      </c>
      <c r="Z44" s="65">
        <f>CHOOSE(PLColumn,IFERROR(GETPIVOTDATA("Sum of "&amp;Z$9,'PT-All'!$A$1,"Scenario",Z$12,"P&amp;L Item",$B44),0),IFERROR(GETPIVOTDATA("Sum of "&amp;Z$9,'PT-All'!$A$1,"Scenario",Z$12,"P&amp;L Item",$B44)/Z$201,0),TEXT(IFERROR(GETPIVOTDATA("Sum of "&amp;Z$9,'PT-All'!$A$1,"Scenario",Z$12,"P&amp;L Item",$B44)/Z$29,0),"0.00%"))</f>
        <v>0</v>
      </c>
      <c r="AA44" s="65">
        <f>CHOOSE(PLColumn,IFERROR(GETPIVOTDATA("Sum of "&amp;AA$9,'PT-All'!$A$1,"Scenario",AA$12,"P&amp;L Item",$B44),0),IFERROR(GETPIVOTDATA("Sum of "&amp;AA$9,'PT-All'!$A$1,"Scenario",AA$12,"P&amp;L Item",$B44)/AA$201,0),TEXT(IFERROR(GETPIVOTDATA("Sum of "&amp;AA$9,'PT-All'!$A$1,"Scenario",AA$12,"P&amp;L Item",$B44)/AA$29,0),"0.00%"))</f>
        <v>0</v>
      </c>
      <c r="AB44" s="65">
        <f>CHOOSE(PLColumn,IFERROR(GETPIVOTDATA("Sum of "&amp;AB$9,'PT-All'!$A$1,"Scenario",AB$12,"P&amp;L Item",$B44),0),IFERROR(GETPIVOTDATA("Sum of "&amp;AB$9,'PT-All'!$A$1,"Scenario",AB$12,"P&amp;L Item",$B44)/AB$201,0),TEXT(IFERROR(GETPIVOTDATA("Sum of "&amp;AB$9,'PT-All'!$A$1,"Scenario",AB$12,"P&amp;L Item",$B44)/AB$29,0),"0.00%"))</f>
        <v>0</v>
      </c>
      <c r="AC44" s="65">
        <f>CHOOSE(PLColumn,IFERROR(GETPIVOTDATA("Sum of "&amp;AC$9,'PT-All'!$A$1,"Scenario",AC$12,"P&amp;L Item",$B44),0),IFERROR(GETPIVOTDATA("Sum of "&amp;AC$9,'PT-All'!$A$1,"Scenario",AC$12,"P&amp;L Item",$B44)/AC$201,0),TEXT(IFERROR(GETPIVOTDATA("Sum of "&amp;AC$9,'PT-All'!$A$1,"Scenario",AC$12,"P&amp;L Item",$B44)/AC$29,0),"0.00%"))</f>
        <v>0</v>
      </c>
      <c r="AD44" s="65">
        <f>CHOOSE(PLColumn,IFERROR(GETPIVOTDATA("Sum of "&amp;AD$9,'PT-All'!$A$1,"Scenario",AD$12,"P&amp;L Item",$B44),0),IFERROR(GETPIVOTDATA("Sum of "&amp;AD$9,'PT-All'!$A$1,"Scenario",AD$12,"P&amp;L Item",$B44)/AD$201,0),TEXT(IFERROR(GETPIVOTDATA("Sum of "&amp;AD$9,'PT-All'!$A$1,"Scenario",AD$12,"P&amp;L Item",$B44)/AD$29,0),"0.00%"))</f>
        <v>0</v>
      </c>
      <c r="AE44" s="65">
        <f>CHOOSE(PLColumn,IFERROR(GETPIVOTDATA("Sum of "&amp;AE$9,'PT-All'!$A$1,"Scenario",AE$12,"P&amp;L Item",$B44),0),IFERROR(GETPIVOTDATA("Sum of "&amp;AE$9,'PT-All'!$A$1,"Scenario",AE$12,"P&amp;L Item",$B44)/AE$201,0),TEXT(IFERROR(GETPIVOTDATA("Sum of "&amp;AE$9,'PT-All'!$A$1,"Scenario",AE$12,"P&amp;L Item",$B44)/AE$29,0),"0.00%"))</f>
        <v>0</v>
      </c>
      <c r="AF44" s="65">
        <f>CHOOSE(PLColumn,IFERROR(GETPIVOTDATA("Sum of "&amp;AF$9,'PT-All'!$A$1,"Scenario",AF$12,"P&amp;L Item",$B44),0),IFERROR(GETPIVOTDATA("Sum of "&amp;AF$9,'PT-All'!$A$1,"Scenario",AF$12,"P&amp;L Item",$B44)/AF$201,0),TEXT(IFERROR(GETPIVOTDATA("Sum of "&amp;AF$9,'PT-All'!$A$1,"Scenario",AF$12,"P&amp;L Item",$B44)/AF$29,0),"0.00%"))</f>
        <v>0</v>
      </c>
      <c r="AG44" s="65">
        <f>CHOOSE(PLColumn,IFERROR(GETPIVOTDATA("Sum of "&amp;AG$9,'PT-All'!$A$1,"Scenario",AG$12,"P&amp;L Item",$B44),0),IFERROR(GETPIVOTDATA("Sum of "&amp;AG$9,'PT-All'!$A$1,"Scenario",AG$12,"P&amp;L Item",$B44)/AG$201,0),TEXT(IFERROR(GETPIVOTDATA("Sum of "&amp;AG$9,'PT-All'!$A$1,"Scenario",AG$12,"P&amp;L Item",$B44)/AG$29,0),"0.00%"))</f>
        <v>0</v>
      </c>
      <c r="AH44" s="65">
        <f>CHOOSE(PLColumn,IFERROR(GETPIVOTDATA("Sum of "&amp;AH$9,'PT-All'!$A$1,"Scenario",AH$12,"P&amp;L Item",$B44),0),IFERROR(GETPIVOTDATA("Sum of "&amp;AH$9,'PT-All'!$A$1,"Scenario",AH$12,"P&amp;L Item",$B44)/AH$201,0),TEXT(IFERROR(GETPIVOTDATA("Sum of "&amp;AH$9,'PT-All'!$A$1,"Scenario",AH$12,"P&amp;L Item",$B44)/AH$29,0),"0.00%"))</f>
        <v>0</v>
      </c>
      <c r="AI44" s="65">
        <f>CHOOSE(PLColumn,IFERROR(GETPIVOTDATA("Sum of "&amp;AI$9,'PT-All'!$A$1,"Scenario",AI$12,"P&amp;L Item",$B44),0),IFERROR(GETPIVOTDATA("Sum of "&amp;AI$9,'PT-All'!$A$1,"Scenario",AI$12,"P&amp;L Item",$B44)/AI$201,0),TEXT(IFERROR(GETPIVOTDATA("Sum of "&amp;AI$9,'PT-All'!$A$1,"Scenario",AI$12,"P&amp;L Item",$B44)/AI$29,0),"0.00%"))</f>
        <v>0</v>
      </c>
      <c r="AJ44" s="65">
        <f>CHOOSE(PLColumn,IFERROR(GETPIVOTDATA("Sum of "&amp;AJ$9,'PT-All'!$A$1,"Scenario",AJ$12,"P&amp;L Item",$B44),0),IFERROR(GETPIVOTDATA("Sum of "&amp;AJ$9,'PT-All'!$A$1,"Scenario",AJ$12,"P&amp;L Item",$B44)/AJ$201,0),TEXT(IFERROR(GETPIVOTDATA("Sum of "&amp;AJ$9,'PT-All'!$A$1,"Scenario",AJ$12,"P&amp;L Item",$B44)/AJ$29,0),"0.00%"))</f>
        <v>0</v>
      </c>
      <c r="AK44" s="65">
        <f>CHOOSE(PLColumn,IFERROR(GETPIVOTDATA("Sum of "&amp;AK$9,'PT-All'!$A$1,"Scenario",AK$12,"P&amp;L Item",$B44),0),IFERROR(GETPIVOTDATA("Sum of "&amp;AK$9,'PT-All'!$A$1,"Scenario",AK$12,"P&amp;L Item",$B44)/AK$201,0),TEXT(IFERROR(GETPIVOTDATA("Sum of "&amp;AK$9,'PT-All'!$A$1,"Scenario",AK$12,"P&amp;L Item",$B44)/AK$29,0),"0.00%"))</f>
        <v>0</v>
      </c>
      <c r="AL44" s="97">
        <f>CHOOSE(PLColumn,IFERROR(GETPIVOTDATA("Sum of "&amp;AL$9,'PT-All'!$A$1,"Scenario",AL$12,"P&amp;L Item",$B44),0),IFERROR(GETPIVOTDATA("Sum of "&amp;AL$9,'PT-All'!$A$1,"Scenario",AL$12,"P&amp;L Item",$B44)/AL$201,0),TEXT(IFERROR(GETPIVOTDATA("Sum of "&amp;AL$9,'PT-All'!$A$1,"Scenario",AL$12,"P&amp;L Item",$B44)/AL$29,0),"0.00%"))</f>
        <v>0</v>
      </c>
      <c r="AM44" s="590"/>
      <c r="AN44" s="108">
        <f ca="1">IF(AN$12="Pro Forma",SUM(OFFSET($B44,0,3*AN$9+1,1,3)),IFERROR(GETPIVOTDATA("Sum of Q"&amp;AN$9+1,'PT-All'!$A$1,"Scenario",AN$12,"P&amp;L Item",$B44),0))</f>
        <v>0</v>
      </c>
      <c r="AO44" s="65">
        <f ca="1">IF(AO$12="Pro Forma",SUM(OFFSET($B44,0,3*AO$9+1,1,3)),IFERROR(GETPIVOTDATA("Sum of Q"&amp;AO$9+1,'PT-All'!$A$1,"Scenario",AO$12,"P&amp;L Item",$B44),0))</f>
        <v>0</v>
      </c>
      <c r="AP44" s="65">
        <f ca="1">IF(AP$12="Pro Forma",SUM(OFFSET($B44,0,3*AP$9+1,1,3)),IFERROR(GETPIVOTDATA("Sum of Q"&amp;AP$9+1,'PT-All'!$A$1,"Scenario",AP$12,"P&amp;L Item",$B44),0))</f>
        <v>0</v>
      </c>
      <c r="AQ44" s="65">
        <f ca="1">IF(AQ$12="Pro Forma",SUM(OFFSET($B44,0,3*AQ$9+1,1,3)),IFERROR(GETPIVOTDATA("Sum of Q"&amp;AQ$9+1,'PT-All'!$A$1,"Scenario",AQ$12,"P&amp;L Item",$B44),0))</f>
        <v>0</v>
      </c>
      <c r="AR44" s="65">
        <f ca="1">IF(AR$12="Pro Forma",SUM(OFFSET($B44,0,3*AR$9+1,1,3)),IFERROR(GETPIVOTDATA("Sum of Q"&amp;AR$9+1,'PT-All'!$A$1,"Scenario",AR$12,"P&amp;L Item",$B44),0))</f>
        <v>0</v>
      </c>
      <c r="AS44" s="65">
        <f ca="1">IF(AS$12="Pro Forma",SUM(OFFSET($B44,0,3*AS$9+1,1,3)),IFERROR(GETPIVOTDATA("Sum of Q"&amp;AS$9+1,'PT-All'!$A$1,"Scenario",AS$12,"P&amp;L Item",$B44),0))</f>
        <v>0</v>
      </c>
      <c r="AT44" s="65">
        <f ca="1">IF(AT$12="Pro Forma",SUM(OFFSET($B44,0,3*AT$9+1,1,3)),IFERROR(GETPIVOTDATA("Sum of Q"&amp;AT$9+1,'PT-All'!$A$1,"Scenario",AT$12,"P&amp;L Item",$B44),0))</f>
        <v>0</v>
      </c>
      <c r="AU44" s="65">
        <f ca="1">IF(AU$12="Pro Forma",SUM(OFFSET($B44,0,3*AU$9+1,1,3)),IFERROR(GETPIVOTDATA("Sum of Q"&amp;AU$9+1,'PT-All'!$A$1,"Scenario",AU$12,"P&amp;L Item",$B44),0))</f>
        <v>0</v>
      </c>
      <c r="AV44" s="65">
        <f ca="1">IF(AV$12="Pro Forma",SUM(OFFSET($B44,0,3*AV$9+1,1,3)),IFERROR(GETPIVOTDATA("Sum of Q"&amp;AV$9+1,'PT-All'!$A$1,"Scenario",AV$12,"P&amp;L Item",$B44),0))</f>
        <v>0</v>
      </c>
      <c r="AW44" s="65">
        <f ca="1">IF(AW$12="Pro Forma",SUM(OFFSET($B44,0,3*AW$9+1,1,3)),IFERROR(GETPIVOTDATA("Sum of Q"&amp;AW$9+1,'PT-All'!$A$1,"Scenario",AW$12,"P&amp;L Item",$B44),0))</f>
        <v>0</v>
      </c>
      <c r="AX44" s="65">
        <f ca="1">IF(AX$12="Pro Forma",SUM(OFFSET($B44,0,3*AX$9+1,1,3)),IFERROR(GETPIVOTDATA("Sum of Q"&amp;AX$9+1,'PT-All'!$A$1,"Scenario",AX$12,"P&amp;L Item",$B44),0))</f>
        <v>0</v>
      </c>
      <c r="AY44" s="97">
        <f ca="1">IF(AY$12="Pro Forma",SUM(OFFSET($B44,0,3*AY$9+1,1,3)),IFERROR(GETPIVOTDATA("Sum of Q"&amp;AY$9+1,'PT-All'!$A$1,"Scenario",AY$12,"P&amp;L Item",$B44),0))</f>
        <v>0</v>
      </c>
      <c r="AZ44" s="590"/>
      <c r="BA44" s="108">
        <f ca="1">IF(BA$12="Pro Forma",SUM(OFFSET($B44,0,12*BA$9+1,1,12)),IFERROR(GETPIVOTDATA("Sum of FY"&amp;BA$9+1,'PT-All'!$A$1,"Scenario",BA$12,"P&amp;L Item",$B44),0))</f>
        <v>0</v>
      </c>
      <c r="BB44" s="65">
        <f ca="1">IF(BB$12="Pro Forma",SUM(OFFSET($B44,0,12*BB$9+1,1,12)),IFERROR(GETPIVOTDATA("Sum of FY"&amp;BB$9+1,'PT-All'!$A$1,"Scenario",BB$12,"P&amp;L Item",$B44),0))</f>
        <v>0</v>
      </c>
      <c r="BC44" s="97">
        <f ca="1">IF(BC$12="Pro Forma",SUM(OFFSET($B44,0,12*BC$9+1,1,12)),IFERROR(GETPIVOTDATA("Sum of FY"&amp;BC$9+1,'PT-All'!$A$1,"Scenario",BC$12,"P&amp;L Item",$B44),0))</f>
        <v>0</v>
      </c>
    </row>
    <row r="45" spans="2:55" x14ac:dyDescent="0.35">
      <c r="B45" s="80" t="s">
        <v>86</v>
      </c>
      <c r="C45" s="65">
        <f>CHOOSE(PLColumn,IFERROR(GETPIVOTDATA("Sum of "&amp;C$9,'PT-All'!$A$1,"Scenario",C$12,"P&amp;L Item",$B45),0),IFERROR(GETPIVOTDATA("Sum of "&amp;C$9,'PT-All'!$A$1,"Scenario",C$12,"P&amp;L Item",$B45)/C$201,0),TEXT(IFERROR(GETPIVOTDATA("Sum of "&amp;C$9,'PT-All'!$A$1,"Scenario",C$12,"P&amp;L Item",$B45)/C$29,0),"0.00%"))</f>
        <v>0</v>
      </c>
      <c r="D45" s="65">
        <f>CHOOSE(PLColumn,IFERROR(GETPIVOTDATA("Sum of "&amp;D$9,'PT-All'!$A$1,"Scenario",D$12,"P&amp;L Item",$B45),0),IFERROR(GETPIVOTDATA("Sum of "&amp;D$9,'PT-All'!$A$1,"Scenario",D$12,"P&amp;L Item",$B45)/D$201,0),TEXT(IFERROR(GETPIVOTDATA("Sum of "&amp;D$9,'PT-All'!$A$1,"Scenario",D$12,"P&amp;L Item",$B45)/D$29,0),"0.00%"))</f>
        <v>0</v>
      </c>
      <c r="E45" s="65">
        <f>CHOOSE(PLColumn,IFERROR(GETPIVOTDATA("Sum of "&amp;E$9,'PT-All'!$A$1,"Scenario",E$12,"P&amp;L Item",$B45),0),IFERROR(GETPIVOTDATA("Sum of "&amp;E$9,'PT-All'!$A$1,"Scenario",E$12,"P&amp;L Item",$B45)/E$201,0),TEXT(IFERROR(GETPIVOTDATA("Sum of "&amp;E$9,'PT-All'!$A$1,"Scenario",E$12,"P&amp;L Item",$B45)/E$29,0),"0.00%"))</f>
        <v>0</v>
      </c>
      <c r="F45" s="65">
        <f>CHOOSE(PLColumn,IFERROR(GETPIVOTDATA("Sum of "&amp;F$9,'PT-All'!$A$1,"Scenario",F$12,"P&amp;L Item",$B45),0),IFERROR(GETPIVOTDATA("Sum of "&amp;F$9,'PT-All'!$A$1,"Scenario",F$12,"P&amp;L Item",$B45)/F$201,0),TEXT(IFERROR(GETPIVOTDATA("Sum of "&amp;F$9,'PT-All'!$A$1,"Scenario",F$12,"P&amp;L Item",$B45)/F$29,0),"0.00%"))</f>
        <v>0</v>
      </c>
      <c r="G45" s="65">
        <f>CHOOSE(PLColumn,IFERROR(GETPIVOTDATA("Sum of "&amp;G$9,'PT-All'!$A$1,"Scenario",G$12,"P&amp;L Item",$B45),0),IFERROR(GETPIVOTDATA("Sum of "&amp;G$9,'PT-All'!$A$1,"Scenario",G$12,"P&amp;L Item",$B45)/G$201,0),TEXT(IFERROR(GETPIVOTDATA("Sum of "&amp;G$9,'PT-All'!$A$1,"Scenario",G$12,"P&amp;L Item",$B45)/G$29,0),"0.00%"))</f>
        <v>0</v>
      </c>
      <c r="H45" s="65">
        <f>CHOOSE(PLColumn,IFERROR(GETPIVOTDATA("Sum of "&amp;H$9,'PT-All'!$A$1,"Scenario",H$12,"P&amp;L Item",$B45),0),IFERROR(GETPIVOTDATA("Sum of "&amp;H$9,'PT-All'!$A$1,"Scenario",H$12,"P&amp;L Item",$B45)/H$201,0),TEXT(IFERROR(GETPIVOTDATA("Sum of "&amp;H$9,'PT-All'!$A$1,"Scenario",H$12,"P&amp;L Item",$B45)/H$29,0),"0.00%"))</f>
        <v>0</v>
      </c>
      <c r="I45" s="65">
        <f>CHOOSE(PLColumn,IFERROR(GETPIVOTDATA("Sum of "&amp;I$9,'PT-All'!$A$1,"Scenario",I$12,"P&amp;L Item",$B45),0),IFERROR(GETPIVOTDATA("Sum of "&amp;I$9,'PT-All'!$A$1,"Scenario",I$12,"P&amp;L Item",$B45)/I$201,0),TEXT(IFERROR(GETPIVOTDATA("Sum of "&amp;I$9,'PT-All'!$A$1,"Scenario",I$12,"P&amp;L Item",$B45)/I$29,0),"0.00%"))</f>
        <v>0</v>
      </c>
      <c r="J45" s="65">
        <f>CHOOSE(PLColumn,IFERROR(GETPIVOTDATA("Sum of "&amp;J$9,'PT-All'!$A$1,"Scenario",J$12,"P&amp;L Item",$B45),0),IFERROR(GETPIVOTDATA("Sum of "&amp;J$9,'PT-All'!$A$1,"Scenario",J$12,"P&amp;L Item",$B45)/J$201,0),TEXT(IFERROR(GETPIVOTDATA("Sum of "&amp;J$9,'PT-All'!$A$1,"Scenario",J$12,"P&amp;L Item",$B45)/J$29,0),"0.00%"))</f>
        <v>0</v>
      </c>
      <c r="K45" s="65">
        <f>CHOOSE(PLColumn,IFERROR(GETPIVOTDATA("Sum of "&amp;K$9,'PT-All'!$A$1,"Scenario",K$12,"P&amp;L Item",$B45),0),IFERROR(GETPIVOTDATA("Sum of "&amp;K$9,'PT-All'!$A$1,"Scenario",K$12,"P&amp;L Item",$B45)/K$201,0),TEXT(IFERROR(GETPIVOTDATA("Sum of "&amp;K$9,'PT-All'!$A$1,"Scenario",K$12,"P&amp;L Item",$B45)/K$29,0),"0.00%"))</f>
        <v>0</v>
      </c>
      <c r="L45" s="65">
        <f>CHOOSE(PLColumn,IFERROR(GETPIVOTDATA("Sum of "&amp;L$9,'PT-All'!$A$1,"Scenario",L$12,"P&amp;L Item",$B45),0),IFERROR(GETPIVOTDATA("Sum of "&amp;L$9,'PT-All'!$A$1,"Scenario",L$12,"P&amp;L Item",$B45)/L$201,0),TEXT(IFERROR(GETPIVOTDATA("Sum of "&amp;L$9,'PT-All'!$A$1,"Scenario",L$12,"P&amp;L Item",$B45)/L$29,0),"0.00%"))</f>
        <v>0</v>
      </c>
      <c r="M45" s="65">
        <f>CHOOSE(PLColumn,IFERROR(GETPIVOTDATA("Sum of "&amp;M$9,'PT-All'!$A$1,"Scenario",M$12,"P&amp;L Item",$B45),0),IFERROR(GETPIVOTDATA("Sum of "&amp;M$9,'PT-All'!$A$1,"Scenario",M$12,"P&amp;L Item",$B45)/M$201,0),TEXT(IFERROR(GETPIVOTDATA("Sum of "&amp;M$9,'PT-All'!$A$1,"Scenario",M$12,"P&amp;L Item",$B45)/M$29,0),"0.00%"))</f>
        <v>0</v>
      </c>
      <c r="N45" s="65">
        <f>CHOOSE(PLColumn,IFERROR(GETPIVOTDATA("Sum of "&amp;N$9,'PT-All'!$A$1,"Scenario",N$12,"P&amp;L Item",$B45),0),IFERROR(GETPIVOTDATA("Sum of "&amp;N$9,'PT-All'!$A$1,"Scenario",N$12,"P&amp;L Item",$B45)/N$201,0),TEXT(IFERROR(GETPIVOTDATA("Sum of "&amp;N$9,'PT-All'!$A$1,"Scenario",N$12,"P&amp;L Item",$B45)/N$29,0),"0.00%"))</f>
        <v>0</v>
      </c>
      <c r="O45" s="65">
        <f>CHOOSE(PLColumn,IFERROR(GETPIVOTDATA("Sum of "&amp;O$9,'PT-All'!$A$1,"Scenario",O$12,"P&amp;L Item",$B45),0),IFERROR(GETPIVOTDATA("Sum of "&amp;O$9,'PT-All'!$A$1,"Scenario",O$12,"P&amp;L Item",$B45)/O$201,0),TEXT(IFERROR(GETPIVOTDATA("Sum of "&amp;O$9,'PT-All'!$A$1,"Scenario",O$12,"P&amp;L Item",$B45)/O$29,0),"0.00%"))</f>
        <v>0</v>
      </c>
      <c r="P45" s="65">
        <f>CHOOSE(PLColumn,IFERROR(GETPIVOTDATA("Sum of "&amp;P$9,'PT-All'!$A$1,"Scenario",P$12,"P&amp;L Item",$B45),0),IFERROR(GETPIVOTDATA("Sum of "&amp;P$9,'PT-All'!$A$1,"Scenario",P$12,"P&amp;L Item",$B45)/P$201,0),TEXT(IFERROR(GETPIVOTDATA("Sum of "&amp;P$9,'PT-All'!$A$1,"Scenario",P$12,"P&amp;L Item",$B45)/P$29,0),"0.00%"))</f>
        <v>0</v>
      </c>
      <c r="Q45" s="65">
        <f>CHOOSE(PLColumn,IFERROR(GETPIVOTDATA("Sum of "&amp;Q$9,'PT-All'!$A$1,"Scenario",Q$12,"P&amp;L Item",$B45),0),IFERROR(GETPIVOTDATA("Sum of "&amp;Q$9,'PT-All'!$A$1,"Scenario",Q$12,"P&amp;L Item",$B45)/Q$201,0),TEXT(IFERROR(GETPIVOTDATA("Sum of "&amp;Q$9,'PT-All'!$A$1,"Scenario",Q$12,"P&amp;L Item",$B45)/Q$29,0),"0.00%"))</f>
        <v>0</v>
      </c>
      <c r="R45" s="65">
        <f>CHOOSE(PLColumn,IFERROR(GETPIVOTDATA("Sum of "&amp;R$9,'PT-All'!$A$1,"Scenario",R$12,"P&amp;L Item",$B45),0),IFERROR(GETPIVOTDATA("Sum of "&amp;R$9,'PT-All'!$A$1,"Scenario",R$12,"P&amp;L Item",$B45)/R$201,0),TEXT(IFERROR(GETPIVOTDATA("Sum of "&amp;R$9,'PT-All'!$A$1,"Scenario",R$12,"P&amp;L Item",$B45)/R$29,0),"0.00%"))</f>
        <v>0</v>
      </c>
      <c r="S45" s="65">
        <f>CHOOSE(PLColumn,IFERROR(GETPIVOTDATA("Sum of "&amp;S$9,'PT-All'!$A$1,"Scenario",S$12,"P&amp;L Item",$B45),0),IFERROR(GETPIVOTDATA("Sum of "&amp;S$9,'PT-All'!$A$1,"Scenario",S$12,"P&amp;L Item",$B45)/S$201,0),TEXT(IFERROR(GETPIVOTDATA("Sum of "&amp;S$9,'PT-All'!$A$1,"Scenario",S$12,"P&amp;L Item",$B45)/S$29,0),"0.00%"))</f>
        <v>0</v>
      </c>
      <c r="T45" s="65">
        <f>CHOOSE(PLColumn,IFERROR(GETPIVOTDATA("Sum of "&amp;T$9,'PT-All'!$A$1,"Scenario",T$12,"P&amp;L Item",$B45),0),IFERROR(GETPIVOTDATA("Sum of "&amp;T$9,'PT-All'!$A$1,"Scenario",T$12,"P&amp;L Item",$B45)/T$201,0),TEXT(IFERROR(GETPIVOTDATA("Sum of "&amp;T$9,'PT-All'!$A$1,"Scenario",T$12,"P&amp;L Item",$B45)/T$29,0),"0.00%"))</f>
        <v>0</v>
      </c>
      <c r="U45" s="65">
        <f>CHOOSE(PLColumn,IFERROR(GETPIVOTDATA("Sum of "&amp;U$9,'PT-All'!$A$1,"Scenario",U$12,"P&amp;L Item",$B45),0),IFERROR(GETPIVOTDATA("Sum of "&amp;U$9,'PT-All'!$A$1,"Scenario",U$12,"P&amp;L Item",$B45)/U$201,0),TEXT(IFERROR(GETPIVOTDATA("Sum of "&amp;U$9,'PT-All'!$A$1,"Scenario",U$12,"P&amp;L Item",$B45)/U$29,0),"0.00%"))</f>
        <v>0</v>
      </c>
      <c r="V45" s="65">
        <f>CHOOSE(PLColumn,IFERROR(GETPIVOTDATA("Sum of "&amp;V$9,'PT-All'!$A$1,"Scenario",V$12,"P&amp;L Item",$B45),0),IFERROR(GETPIVOTDATA("Sum of "&amp;V$9,'PT-All'!$A$1,"Scenario",V$12,"P&amp;L Item",$B45)/V$201,0),TEXT(IFERROR(GETPIVOTDATA("Sum of "&amp;V$9,'PT-All'!$A$1,"Scenario",V$12,"P&amp;L Item",$B45)/V$29,0),"0.00%"))</f>
        <v>0</v>
      </c>
      <c r="W45" s="65">
        <f>CHOOSE(PLColumn,IFERROR(GETPIVOTDATA("Sum of "&amp;W$9,'PT-All'!$A$1,"Scenario",W$12,"P&amp;L Item",$B45),0),IFERROR(GETPIVOTDATA("Sum of "&amp;W$9,'PT-All'!$A$1,"Scenario",W$12,"P&amp;L Item",$B45)/W$201,0),TEXT(IFERROR(GETPIVOTDATA("Sum of "&amp;W$9,'PT-All'!$A$1,"Scenario",W$12,"P&amp;L Item",$B45)/W$29,0),"0.00%"))</f>
        <v>0</v>
      </c>
      <c r="X45" s="65">
        <f>CHOOSE(PLColumn,IFERROR(GETPIVOTDATA("Sum of "&amp;X$9,'PT-All'!$A$1,"Scenario",X$12,"P&amp;L Item",$B45),0),IFERROR(GETPIVOTDATA("Sum of "&amp;X$9,'PT-All'!$A$1,"Scenario",X$12,"P&amp;L Item",$B45)/X$201,0),TEXT(IFERROR(GETPIVOTDATA("Sum of "&amp;X$9,'PT-All'!$A$1,"Scenario",X$12,"P&amp;L Item",$B45)/X$29,0),"0.00%"))</f>
        <v>0</v>
      </c>
      <c r="Y45" s="65">
        <f>CHOOSE(PLColumn,IFERROR(GETPIVOTDATA("Sum of "&amp;Y$9,'PT-All'!$A$1,"Scenario",Y$12,"P&amp;L Item",$B45),0),IFERROR(GETPIVOTDATA("Sum of "&amp;Y$9,'PT-All'!$A$1,"Scenario",Y$12,"P&amp;L Item",$B45)/Y$201,0),TEXT(IFERROR(GETPIVOTDATA("Sum of "&amp;Y$9,'PT-All'!$A$1,"Scenario",Y$12,"P&amp;L Item",$B45)/Y$29,0),"0.00%"))</f>
        <v>0</v>
      </c>
      <c r="Z45" s="65">
        <f>CHOOSE(PLColumn,IFERROR(GETPIVOTDATA("Sum of "&amp;Z$9,'PT-All'!$A$1,"Scenario",Z$12,"P&amp;L Item",$B45),0),IFERROR(GETPIVOTDATA("Sum of "&amp;Z$9,'PT-All'!$A$1,"Scenario",Z$12,"P&amp;L Item",$B45)/Z$201,0),TEXT(IFERROR(GETPIVOTDATA("Sum of "&amp;Z$9,'PT-All'!$A$1,"Scenario",Z$12,"P&amp;L Item",$B45)/Z$29,0),"0.00%"))</f>
        <v>0</v>
      </c>
      <c r="AA45" s="65">
        <f>CHOOSE(PLColumn,IFERROR(GETPIVOTDATA("Sum of "&amp;AA$9,'PT-All'!$A$1,"Scenario",AA$12,"P&amp;L Item",$B45),0),IFERROR(GETPIVOTDATA("Sum of "&amp;AA$9,'PT-All'!$A$1,"Scenario",AA$12,"P&amp;L Item",$B45)/AA$201,0),TEXT(IFERROR(GETPIVOTDATA("Sum of "&amp;AA$9,'PT-All'!$A$1,"Scenario",AA$12,"P&amp;L Item",$B45)/AA$29,0),"0.00%"))</f>
        <v>0</v>
      </c>
      <c r="AB45" s="65">
        <f>CHOOSE(PLColumn,IFERROR(GETPIVOTDATA("Sum of "&amp;AB$9,'PT-All'!$A$1,"Scenario",AB$12,"P&amp;L Item",$B45),0),IFERROR(GETPIVOTDATA("Sum of "&amp;AB$9,'PT-All'!$A$1,"Scenario",AB$12,"P&amp;L Item",$B45)/AB$201,0),TEXT(IFERROR(GETPIVOTDATA("Sum of "&amp;AB$9,'PT-All'!$A$1,"Scenario",AB$12,"P&amp;L Item",$B45)/AB$29,0),"0.00%"))</f>
        <v>0</v>
      </c>
      <c r="AC45" s="65">
        <f>CHOOSE(PLColumn,IFERROR(GETPIVOTDATA("Sum of "&amp;AC$9,'PT-All'!$A$1,"Scenario",AC$12,"P&amp;L Item",$B45),0),IFERROR(GETPIVOTDATA("Sum of "&amp;AC$9,'PT-All'!$A$1,"Scenario",AC$12,"P&amp;L Item",$B45)/AC$201,0),TEXT(IFERROR(GETPIVOTDATA("Sum of "&amp;AC$9,'PT-All'!$A$1,"Scenario",AC$12,"P&amp;L Item",$B45)/AC$29,0),"0.00%"))</f>
        <v>0</v>
      </c>
      <c r="AD45" s="65">
        <f>CHOOSE(PLColumn,IFERROR(GETPIVOTDATA("Sum of "&amp;AD$9,'PT-All'!$A$1,"Scenario",AD$12,"P&amp;L Item",$B45),0),IFERROR(GETPIVOTDATA("Sum of "&amp;AD$9,'PT-All'!$A$1,"Scenario",AD$12,"P&amp;L Item",$B45)/AD$201,0),TEXT(IFERROR(GETPIVOTDATA("Sum of "&amp;AD$9,'PT-All'!$A$1,"Scenario",AD$12,"P&amp;L Item",$B45)/AD$29,0),"0.00%"))</f>
        <v>0</v>
      </c>
      <c r="AE45" s="65">
        <f>CHOOSE(PLColumn,IFERROR(GETPIVOTDATA("Sum of "&amp;AE$9,'PT-All'!$A$1,"Scenario",AE$12,"P&amp;L Item",$B45),0),IFERROR(GETPIVOTDATA("Sum of "&amp;AE$9,'PT-All'!$A$1,"Scenario",AE$12,"P&amp;L Item",$B45)/AE$201,0),TEXT(IFERROR(GETPIVOTDATA("Sum of "&amp;AE$9,'PT-All'!$A$1,"Scenario",AE$12,"P&amp;L Item",$B45)/AE$29,0),"0.00%"))</f>
        <v>0</v>
      </c>
      <c r="AF45" s="65">
        <f>CHOOSE(PLColumn,IFERROR(GETPIVOTDATA("Sum of "&amp;AF$9,'PT-All'!$A$1,"Scenario",AF$12,"P&amp;L Item",$B45),0),IFERROR(GETPIVOTDATA("Sum of "&amp;AF$9,'PT-All'!$A$1,"Scenario",AF$12,"P&amp;L Item",$B45)/AF$201,0),TEXT(IFERROR(GETPIVOTDATA("Sum of "&amp;AF$9,'PT-All'!$A$1,"Scenario",AF$12,"P&amp;L Item",$B45)/AF$29,0),"0.00%"))</f>
        <v>0</v>
      </c>
      <c r="AG45" s="65">
        <f>CHOOSE(PLColumn,IFERROR(GETPIVOTDATA("Sum of "&amp;AG$9,'PT-All'!$A$1,"Scenario",AG$12,"P&amp;L Item",$B45),0),IFERROR(GETPIVOTDATA("Sum of "&amp;AG$9,'PT-All'!$A$1,"Scenario",AG$12,"P&amp;L Item",$B45)/AG$201,0),TEXT(IFERROR(GETPIVOTDATA("Sum of "&amp;AG$9,'PT-All'!$A$1,"Scenario",AG$12,"P&amp;L Item",$B45)/AG$29,0),"0.00%"))</f>
        <v>0</v>
      </c>
      <c r="AH45" s="65">
        <f>CHOOSE(PLColumn,IFERROR(GETPIVOTDATA("Sum of "&amp;AH$9,'PT-All'!$A$1,"Scenario",AH$12,"P&amp;L Item",$B45),0),IFERROR(GETPIVOTDATA("Sum of "&amp;AH$9,'PT-All'!$A$1,"Scenario",AH$12,"P&amp;L Item",$B45)/AH$201,0),TEXT(IFERROR(GETPIVOTDATA("Sum of "&amp;AH$9,'PT-All'!$A$1,"Scenario",AH$12,"P&amp;L Item",$B45)/AH$29,0),"0.00%"))</f>
        <v>0</v>
      </c>
      <c r="AI45" s="65">
        <f>CHOOSE(PLColumn,IFERROR(GETPIVOTDATA("Sum of "&amp;AI$9,'PT-All'!$A$1,"Scenario",AI$12,"P&amp;L Item",$B45),0),IFERROR(GETPIVOTDATA("Sum of "&amp;AI$9,'PT-All'!$A$1,"Scenario",AI$12,"P&amp;L Item",$B45)/AI$201,0),TEXT(IFERROR(GETPIVOTDATA("Sum of "&amp;AI$9,'PT-All'!$A$1,"Scenario",AI$12,"P&amp;L Item",$B45)/AI$29,0),"0.00%"))</f>
        <v>0</v>
      </c>
      <c r="AJ45" s="65">
        <f>CHOOSE(PLColumn,IFERROR(GETPIVOTDATA("Sum of "&amp;AJ$9,'PT-All'!$A$1,"Scenario",AJ$12,"P&amp;L Item",$B45),0),IFERROR(GETPIVOTDATA("Sum of "&amp;AJ$9,'PT-All'!$A$1,"Scenario",AJ$12,"P&amp;L Item",$B45)/AJ$201,0),TEXT(IFERROR(GETPIVOTDATA("Sum of "&amp;AJ$9,'PT-All'!$A$1,"Scenario",AJ$12,"P&amp;L Item",$B45)/AJ$29,0),"0.00%"))</f>
        <v>0</v>
      </c>
      <c r="AK45" s="65">
        <f>CHOOSE(PLColumn,IFERROR(GETPIVOTDATA("Sum of "&amp;AK$9,'PT-All'!$A$1,"Scenario",AK$12,"P&amp;L Item",$B45),0),IFERROR(GETPIVOTDATA("Sum of "&amp;AK$9,'PT-All'!$A$1,"Scenario",AK$12,"P&amp;L Item",$B45)/AK$201,0),TEXT(IFERROR(GETPIVOTDATA("Sum of "&amp;AK$9,'PT-All'!$A$1,"Scenario",AK$12,"P&amp;L Item",$B45)/AK$29,0),"0.00%"))</f>
        <v>0</v>
      </c>
      <c r="AL45" s="97">
        <f>CHOOSE(PLColumn,IFERROR(GETPIVOTDATA("Sum of "&amp;AL$9,'PT-All'!$A$1,"Scenario",AL$12,"P&amp;L Item",$B45),0),IFERROR(GETPIVOTDATA("Sum of "&amp;AL$9,'PT-All'!$A$1,"Scenario",AL$12,"P&amp;L Item",$B45)/AL$201,0),TEXT(IFERROR(GETPIVOTDATA("Sum of "&amp;AL$9,'PT-All'!$A$1,"Scenario",AL$12,"P&amp;L Item",$B45)/AL$29,0),"0.00%"))</f>
        <v>0</v>
      </c>
      <c r="AM45" s="590"/>
      <c r="AN45" s="108">
        <f ca="1">IF(AN$12="Pro Forma",SUM(OFFSET($B45,0,3*AN$9+1,1,3)),IFERROR(GETPIVOTDATA("Sum of Q"&amp;AN$9+1,'PT-All'!$A$1,"Scenario",AN$12,"P&amp;L Item",$B45),0))</f>
        <v>0</v>
      </c>
      <c r="AO45" s="65">
        <f ca="1">IF(AO$12="Pro Forma",SUM(OFFSET($B45,0,3*AO$9+1,1,3)),IFERROR(GETPIVOTDATA("Sum of Q"&amp;AO$9+1,'PT-All'!$A$1,"Scenario",AO$12,"P&amp;L Item",$B45),0))</f>
        <v>0</v>
      </c>
      <c r="AP45" s="65">
        <f ca="1">IF(AP$12="Pro Forma",SUM(OFFSET($B45,0,3*AP$9+1,1,3)),IFERROR(GETPIVOTDATA("Sum of Q"&amp;AP$9+1,'PT-All'!$A$1,"Scenario",AP$12,"P&amp;L Item",$B45),0))</f>
        <v>0</v>
      </c>
      <c r="AQ45" s="65">
        <f ca="1">IF(AQ$12="Pro Forma",SUM(OFFSET($B45,0,3*AQ$9+1,1,3)),IFERROR(GETPIVOTDATA("Sum of Q"&amp;AQ$9+1,'PT-All'!$A$1,"Scenario",AQ$12,"P&amp;L Item",$B45),0))</f>
        <v>0</v>
      </c>
      <c r="AR45" s="65">
        <f ca="1">IF(AR$12="Pro Forma",SUM(OFFSET($B45,0,3*AR$9+1,1,3)),IFERROR(GETPIVOTDATA("Sum of Q"&amp;AR$9+1,'PT-All'!$A$1,"Scenario",AR$12,"P&amp;L Item",$B45),0))</f>
        <v>0</v>
      </c>
      <c r="AS45" s="65">
        <f ca="1">IF(AS$12="Pro Forma",SUM(OFFSET($B45,0,3*AS$9+1,1,3)),IFERROR(GETPIVOTDATA("Sum of Q"&amp;AS$9+1,'PT-All'!$A$1,"Scenario",AS$12,"P&amp;L Item",$B45),0))</f>
        <v>0</v>
      </c>
      <c r="AT45" s="65">
        <f ca="1">IF(AT$12="Pro Forma",SUM(OFFSET($B45,0,3*AT$9+1,1,3)),IFERROR(GETPIVOTDATA("Sum of Q"&amp;AT$9+1,'PT-All'!$A$1,"Scenario",AT$12,"P&amp;L Item",$B45),0))</f>
        <v>0</v>
      </c>
      <c r="AU45" s="65">
        <f ca="1">IF(AU$12="Pro Forma",SUM(OFFSET($B45,0,3*AU$9+1,1,3)),IFERROR(GETPIVOTDATA("Sum of Q"&amp;AU$9+1,'PT-All'!$A$1,"Scenario",AU$12,"P&amp;L Item",$B45),0))</f>
        <v>0</v>
      </c>
      <c r="AV45" s="65">
        <f ca="1">IF(AV$12="Pro Forma",SUM(OFFSET($B45,0,3*AV$9+1,1,3)),IFERROR(GETPIVOTDATA("Sum of Q"&amp;AV$9+1,'PT-All'!$A$1,"Scenario",AV$12,"P&amp;L Item",$B45),0))</f>
        <v>0</v>
      </c>
      <c r="AW45" s="65">
        <f ca="1">IF(AW$12="Pro Forma",SUM(OFFSET($B45,0,3*AW$9+1,1,3)),IFERROR(GETPIVOTDATA("Sum of Q"&amp;AW$9+1,'PT-All'!$A$1,"Scenario",AW$12,"P&amp;L Item",$B45),0))</f>
        <v>0</v>
      </c>
      <c r="AX45" s="65">
        <f ca="1">IF(AX$12="Pro Forma",SUM(OFFSET($B45,0,3*AX$9+1,1,3)),IFERROR(GETPIVOTDATA("Sum of Q"&amp;AX$9+1,'PT-All'!$A$1,"Scenario",AX$12,"P&amp;L Item",$B45),0))</f>
        <v>0</v>
      </c>
      <c r="AY45" s="97">
        <f ca="1">IF(AY$12="Pro Forma",SUM(OFFSET($B45,0,3*AY$9+1,1,3)),IFERROR(GETPIVOTDATA("Sum of Q"&amp;AY$9+1,'PT-All'!$A$1,"Scenario",AY$12,"P&amp;L Item",$B45),0))</f>
        <v>0</v>
      </c>
      <c r="AZ45" s="590"/>
      <c r="BA45" s="108">
        <f ca="1">IF(BA$12="Pro Forma",SUM(OFFSET($B45,0,12*BA$9+1,1,12)),IFERROR(GETPIVOTDATA("Sum of FY"&amp;BA$9+1,'PT-All'!$A$1,"Scenario",BA$12,"P&amp;L Item",$B45),0))</f>
        <v>0</v>
      </c>
      <c r="BB45" s="65">
        <f ca="1">IF(BB$12="Pro Forma",SUM(OFFSET($B45,0,12*BB$9+1,1,12)),IFERROR(GETPIVOTDATA("Sum of FY"&amp;BB$9+1,'PT-All'!$A$1,"Scenario",BB$12,"P&amp;L Item",$B45),0))</f>
        <v>0</v>
      </c>
      <c r="BC45" s="97">
        <f ca="1">IF(BC$12="Pro Forma",SUM(OFFSET($B45,0,12*BC$9+1,1,12)),IFERROR(GETPIVOTDATA("Sum of FY"&amp;BC$9+1,'PT-All'!$A$1,"Scenario",BC$12,"P&amp;L Item",$B45),0))</f>
        <v>0</v>
      </c>
    </row>
    <row r="46" spans="2:55" x14ac:dyDescent="0.35">
      <c r="B46" s="79" t="s">
        <v>87</v>
      </c>
      <c r="C46" s="78">
        <f t="shared" ref="C46:AN46" si="121">SUM(C47:C51)</f>
        <v>0</v>
      </c>
      <c r="D46" s="78">
        <f t="shared" si="121"/>
        <v>0</v>
      </c>
      <c r="E46" s="78">
        <f t="shared" si="121"/>
        <v>0</v>
      </c>
      <c r="F46" s="78">
        <f t="shared" si="121"/>
        <v>0</v>
      </c>
      <c r="G46" s="78">
        <f t="shared" si="121"/>
        <v>0</v>
      </c>
      <c r="H46" s="78">
        <f t="shared" si="121"/>
        <v>0</v>
      </c>
      <c r="I46" s="78">
        <f t="shared" si="121"/>
        <v>0</v>
      </c>
      <c r="J46" s="78">
        <f t="shared" si="121"/>
        <v>0</v>
      </c>
      <c r="K46" s="78">
        <f t="shared" si="121"/>
        <v>0</v>
      </c>
      <c r="L46" s="78">
        <f t="shared" si="121"/>
        <v>0</v>
      </c>
      <c r="M46" s="78">
        <f t="shared" si="121"/>
        <v>0</v>
      </c>
      <c r="N46" s="78">
        <f t="shared" si="121"/>
        <v>0</v>
      </c>
      <c r="O46" s="78">
        <f t="shared" si="121"/>
        <v>0</v>
      </c>
      <c r="P46" s="78">
        <f t="shared" si="121"/>
        <v>0</v>
      </c>
      <c r="Q46" s="78">
        <f t="shared" si="121"/>
        <v>0</v>
      </c>
      <c r="R46" s="78">
        <f t="shared" si="121"/>
        <v>0</v>
      </c>
      <c r="S46" s="78">
        <f t="shared" si="121"/>
        <v>0</v>
      </c>
      <c r="T46" s="78">
        <f t="shared" si="121"/>
        <v>0</v>
      </c>
      <c r="U46" s="78">
        <f t="shared" si="121"/>
        <v>0</v>
      </c>
      <c r="V46" s="78">
        <f t="shared" si="121"/>
        <v>0</v>
      </c>
      <c r="W46" s="78">
        <f t="shared" si="121"/>
        <v>0</v>
      </c>
      <c r="X46" s="78">
        <f t="shared" si="121"/>
        <v>0</v>
      </c>
      <c r="Y46" s="78">
        <f t="shared" si="121"/>
        <v>0</v>
      </c>
      <c r="Z46" s="78">
        <f t="shared" ref="Z46:AL46" si="122">SUM(Z47:Z51)</f>
        <v>0</v>
      </c>
      <c r="AA46" s="78">
        <f t="shared" si="122"/>
        <v>0</v>
      </c>
      <c r="AB46" s="78">
        <f t="shared" si="122"/>
        <v>0</v>
      </c>
      <c r="AC46" s="78">
        <f t="shared" si="122"/>
        <v>0</v>
      </c>
      <c r="AD46" s="78">
        <f t="shared" si="122"/>
        <v>0</v>
      </c>
      <c r="AE46" s="78">
        <f t="shared" si="122"/>
        <v>0</v>
      </c>
      <c r="AF46" s="78">
        <f t="shared" si="122"/>
        <v>0</v>
      </c>
      <c r="AG46" s="78">
        <f t="shared" si="122"/>
        <v>0</v>
      </c>
      <c r="AH46" s="78">
        <f t="shared" si="122"/>
        <v>0</v>
      </c>
      <c r="AI46" s="78">
        <f t="shared" si="122"/>
        <v>0</v>
      </c>
      <c r="AJ46" s="78">
        <f t="shared" si="122"/>
        <v>0</v>
      </c>
      <c r="AK46" s="78">
        <f t="shared" si="122"/>
        <v>0</v>
      </c>
      <c r="AL46" s="100">
        <f t="shared" si="122"/>
        <v>0</v>
      </c>
      <c r="AM46" s="590"/>
      <c r="AN46" s="111">
        <f t="shared" ca="1" si="121"/>
        <v>0</v>
      </c>
      <c r="AO46" s="78">
        <f t="shared" ref="AO46" ca="1" si="123">SUM(AO47:AO51)</f>
        <v>0</v>
      </c>
      <c r="AP46" s="78">
        <f t="shared" ref="AP46" ca="1" si="124">SUM(AP47:AP51)</f>
        <v>0</v>
      </c>
      <c r="AQ46" s="78">
        <f t="shared" ref="AQ46" ca="1" si="125">SUM(AQ47:AQ51)</f>
        <v>0</v>
      </c>
      <c r="AR46" s="78">
        <f t="shared" ref="AR46" ca="1" si="126">SUM(AR47:AR51)</f>
        <v>0</v>
      </c>
      <c r="AS46" s="78">
        <f t="shared" ref="AS46" ca="1" si="127">SUM(AS47:AS51)</f>
        <v>0</v>
      </c>
      <c r="AT46" s="78">
        <f t="shared" ref="AT46:AY46" ca="1" si="128">SUM(AT47:AT51)</f>
        <v>0</v>
      </c>
      <c r="AU46" s="78">
        <f t="shared" ca="1" si="128"/>
        <v>0</v>
      </c>
      <c r="AV46" s="78">
        <f t="shared" ca="1" si="128"/>
        <v>0</v>
      </c>
      <c r="AW46" s="78">
        <f t="shared" ca="1" si="128"/>
        <v>0</v>
      </c>
      <c r="AX46" s="78">
        <f t="shared" ca="1" si="128"/>
        <v>0</v>
      </c>
      <c r="AY46" s="100">
        <f t="shared" ca="1" si="128"/>
        <v>0</v>
      </c>
      <c r="AZ46" s="590"/>
      <c r="BA46" s="111">
        <f t="shared" ref="BA46" ca="1" si="129">SUM(BA47:BA51)</f>
        <v>0</v>
      </c>
      <c r="BB46" s="78">
        <f t="shared" ref="BB46:BC46" ca="1" si="130">SUM(BB47:BB51)</f>
        <v>0</v>
      </c>
      <c r="BC46" s="100">
        <f t="shared" ca="1" si="130"/>
        <v>0</v>
      </c>
    </row>
    <row r="47" spans="2:55" x14ac:dyDescent="0.35">
      <c r="B47" s="80" t="s">
        <v>88</v>
      </c>
      <c r="C47" s="65">
        <f>CHOOSE(PLColumn,IFERROR(GETPIVOTDATA("Sum of "&amp;C$9,'PT-All'!$A$1,"Scenario",C$12,"P&amp;L Item",$B47),0),IFERROR(GETPIVOTDATA("Sum of "&amp;C$9,'PT-All'!$A$1,"Scenario",C$12,"P&amp;L Item",$B47)/C$201,0),TEXT(IFERROR(GETPIVOTDATA("Sum of "&amp;C$9,'PT-All'!$A$1,"Scenario",C$12,"P&amp;L Item",$B47)/C$29,0),"0.00%"))</f>
        <v>0</v>
      </c>
      <c r="D47" s="65">
        <f>CHOOSE(PLColumn,IFERROR(GETPIVOTDATA("Sum of "&amp;D$9,'PT-All'!$A$1,"Scenario",D$12,"P&amp;L Item",$B47),0),IFERROR(GETPIVOTDATA("Sum of "&amp;D$9,'PT-All'!$A$1,"Scenario",D$12,"P&amp;L Item",$B47)/D$201,0),TEXT(IFERROR(GETPIVOTDATA("Sum of "&amp;D$9,'PT-All'!$A$1,"Scenario",D$12,"P&amp;L Item",$B47)/D$29,0),"0.00%"))</f>
        <v>0</v>
      </c>
      <c r="E47" s="65">
        <f>CHOOSE(PLColumn,IFERROR(GETPIVOTDATA("Sum of "&amp;E$9,'PT-All'!$A$1,"Scenario",E$12,"P&amp;L Item",$B47),0),IFERROR(GETPIVOTDATA("Sum of "&amp;E$9,'PT-All'!$A$1,"Scenario",E$12,"P&amp;L Item",$B47)/E$201,0),TEXT(IFERROR(GETPIVOTDATA("Sum of "&amp;E$9,'PT-All'!$A$1,"Scenario",E$12,"P&amp;L Item",$B47)/E$29,0),"0.00%"))</f>
        <v>0</v>
      </c>
      <c r="F47" s="65">
        <f>CHOOSE(PLColumn,IFERROR(GETPIVOTDATA("Sum of "&amp;F$9,'PT-All'!$A$1,"Scenario",F$12,"P&amp;L Item",$B47),0),IFERROR(GETPIVOTDATA("Sum of "&amp;F$9,'PT-All'!$A$1,"Scenario",F$12,"P&amp;L Item",$B47)/F$201,0),TEXT(IFERROR(GETPIVOTDATA("Sum of "&amp;F$9,'PT-All'!$A$1,"Scenario",F$12,"P&amp;L Item",$B47)/F$29,0),"0.00%"))</f>
        <v>0</v>
      </c>
      <c r="G47" s="65">
        <f>CHOOSE(PLColumn,IFERROR(GETPIVOTDATA("Sum of "&amp;G$9,'PT-All'!$A$1,"Scenario",G$12,"P&amp;L Item",$B47),0),IFERROR(GETPIVOTDATA("Sum of "&amp;G$9,'PT-All'!$A$1,"Scenario",G$12,"P&amp;L Item",$B47)/G$201,0),TEXT(IFERROR(GETPIVOTDATA("Sum of "&amp;G$9,'PT-All'!$A$1,"Scenario",G$12,"P&amp;L Item",$B47)/G$29,0),"0.00%"))</f>
        <v>0</v>
      </c>
      <c r="H47" s="65">
        <f>CHOOSE(PLColumn,IFERROR(GETPIVOTDATA("Sum of "&amp;H$9,'PT-All'!$A$1,"Scenario",H$12,"P&amp;L Item",$B47),0),IFERROR(GETPIVOTDATA("Sum of "&amp;H$9,'PT-All'!$A$1,"Scenario",H$12,"P&amp;L Item",$B47)/H$201,0),TEXT(IFERROR(GETPIVOTDATA("Sum of "&amp;H$9,'PT-All'!$A$1,"Scenario",H$12,"P&amp;L Item",$B47)/H$29,0),"0.00%"))</f>
        <v>0</v>
      </c>
      <c r="I47" s="65">
        <f>CHOOSE(PLColumn,IFERROR(GETPIVOTDATA("Sum of "&amp;I$9,'PT-All'!$A$1,"Scenario",I$12,"P&amp;L Item",$B47),0),IFERROR(GETPIVOTDATA("Sum of "&amp;I$9,'PT-All'!$A$1,"Scenario",I$12,"P&amp;L Item",$B47)/I$201,0),TEXT(IFERROR(GETPIVOTDATA("Sum of "&amp;I$9,'PT-All'!$A$1,"Scenario",I$12,"P&amp;L Item",$B47)/I$29,0),"0.00%"))</f>
        <v>0</v>
      </c>
      <c r="J47" s="65">
        <f>CHOOSE(PLColumn,IFERROR(GETPIVOTDATA("Sum of "&amp;J$9,'PT-All'!$A$1,"Scenario",J$12,"P&amp;L Item",$B47),0),IFERROR(GETPIVOTDATA("Sum of "&amp;J$9,'PT-All'!$A$1,"Scenario",J$12,"P&amp;L Item",$B47)/J$201,0),TEXT(IFERROR(GETPIVOTDATA("Sum of "&amp;J$9,'PT-All'!$A$1,"Scenario",J$12,"P&amp;L Item",$B47)/J$29,0),"0.00%"))</f>
        <v>0</v>
      </c>
      <c r="K47" s="65">
        <f>CHOOSE(PLColumn,IFERROR(GETPIVOTDATA("Sum of "&amp;K$9,'PT-All'!$A$1,"Scenario",K$12,"P&amp;L Item",$B47),0),IFERROR(GETPIVOTDATA("Sum of "&amp;K$9,'PT-All'!$A$1,"Scenario",K$12,"P&amp;L Item",$B47)/K$201,0),TEXT(IFERROR(GETPIVOTDATA("Sum of "&amp;K$9,'PT-All'!$A$1,"Scenario",K$12,"P&amp;L Item",$B47)/K$29,0),"0.00%"))</f>
        <v>0</v>
      </c>
      <c r="L47" s="65">
        <f>CHOOSE(PLColumn,IFERROR(GETPIVOTDATA("Sum of "&amp;L$9,'PT-All'!$A$1,"Scenario",L$12,"P&amp;L Item",$B47),0),IFERROR(GETPIVOTDATA("Sum of "&amp;L$9,'PT-All'!$A$1,"Scenario",L$12,"P&amp;L Item",$B47)/L$201,0),TEXT(IFERROR(GETPIVOTDATA("Sum of "&amp;L$9,'PT-All'!$A$1,"Scenario",L$12,"P&amp;L Item",$B47)/L$29,0),"0.00%"))</f>
        <v>0</v>
      </c>
      <c r="M47" s="65">
        <f>CHOOSE(PLColumn,IFERROR(GETPIVOTDATA("Sum of "&amp;M$9,'PT-All'!$A$1,"Scenario",M$12,"P&amp;L Item",$B47),0),IFERROR(GETPIVOTDATA("Sum of "&amp;M$9,'PT-All'!$A$1,"Scenario",M$12,"P&amp;L Item",$B47)/M$201,0),TEXT(IFERROR(GETPIVOTDATA("Sum of "&amp;M$9,'PT-All'!$A$1,"Scenario",M$12,"P&amp;L Item",$B47)/M$29,0),"0.00%"))</f>
        <v>0</v>
      </c>
      <c r="N47" s="65">
        <f>CHOOSE(PLColumn,IFERROR(GETPIVOTDATA("Sum of "&amp;N$9,'PT-All'!$A$1,"Scenario",N$12,"P&amp;L Item",$B47),0),IFERROR(GETPIVOTDATA("Sum of "&amp;N$9,'PT-All'!$A$1,"Scenario",N$12,"P&amp;L Item",$B47)/N$201,0),TEXT(IFERROR(GETPIVOTDATA("Sum of "&amp;N$9,'PT-All'!$A$1,"Scenario",N$12,"P&amp;L Item",$B47)/N$29,0),"0.00%"))</f>
        <v>0</v>
      </c>
      <c r="O47" s="65">
        <f>CHOOSE(PLColumn,IFERROR(GETPIVOTDATA("Sum of "&amp;O$9,'PT-All'!$A$1,"Scenario",O$12,"P&amp;L Item",$B47),0),IFERROR(GETPIVOTDATA("Sum of "&amp;O$9,'PT-All'!$A$1,"Scenario",O$12,"P&amp;L Item",$B47)/O$201,0),TEXT(IFERROR(GETPIVOTDATA("Sum of "&amp;O$9,'PT-All'!$A$1,"Scenario",O$12,"P&amp;L Item",$B47)/O$29,0),"0.00%"))</f>
        <v>0</v>
      </c>
      <c r="P47" s="65">
        <f>CHOOSE(PLColumn,IFERROR(GETPIVOTDATA("Sum of "&amp;P$9,'PT-All'!$A$1,"Scenario",P$12,"P&amp;L Item",$B47),0),IFERROR(GETPIVOTDATA("Sum of "&amp;P$9,'PT-All'!$A$1,"Scenario",P$12,"P&amp;L Item",$B47)/P$201,0),TEXT(IFERROR(GETPIVOTDATA("Sum of "&amp;P$9,'PT-All'!$A$1,"Scenario",P$12,"P&amp;L Item",$B47)/P$29,0),"0.00%"))</f>
        <v>0</v>
      </c>
      <c r="Q47" s="65">
        <f>CHOOSE(PLColumn,IFERROR(GETPIVOTDATA("Sum of "&amp;Q$9,'PT-All'!$A$1,"Scenario",Q$12,"P&amp;L Item",$B47),0),IFERROR(GETPIVOTDATA("Sum of "&amp;Q$9,'PT-All'!$A$1,"Scenario",Q$12,"P&amp;L Item",$B47)/Q$201,0),TEXT(IFERROR(GETPIVOTDATA("Sum of "&amp;Q$9,'PT-All'!$A$1,"Scenario",Q$12,"P&amp;L Item",$B47)/Q$29,0),"0.00%"))</f>
        <v>0</v>
      </c>
      <c r="R47" s="65">
        <f>CHOOSE(PLColumn,IFERROR(GETPIVOTDATA("Sum of "&amp;R$9,'PT-All'!$A$1,"Scenario",R$12,"P&amp;L Item",$B47),0),IFERROR(GETPIVOTDATA("Sum of "&amp;R$9,'PT-All'!$A$1,"Scenario",R$12,"P&amp;L Item",$B47)/R$201,0),TEXT(IFERROR(GETPIVOTDATA("Sum of "&amp;R$9,'PT-All'!$A$1,"Scenario",R$12,"P&amp;L Item",$B47)/R$29,0),"0.00%"))</f>
        <v>0</v>
      </c>
      <c r="S47" s="65">
        <f>CHOOSE(PLColumn,IFERROR(GETPIVOTDATA("Sum of "&amp;S$9,'PT-All'!$A$1,"Scenario",S$12,"P&amp;L Item",$B47),0),IFERROR(GETPIVOTDATA("Sum of "&amp;S$9,'PT-All'!$A$1,"Scenario",S$12,"P&amp;L Item",$B47)/S$201,0),TEXT(IFERROR(GETPIVOTDATA("Sum of "&amp;S$9,'PT-All'!$A$1,"Scenario",S$12,"P&amp;L Item",$B47)/S$29,0),"0.00%"))</f>
        <v>0</v>
      </c>
      <c r="T47" s="65">
        <f>CHOOSE(PLColumn,IFERROR(GETPIVOTDATA("Sum of "&amp;T$9,'PT-All'!$A$1,"Scenario",T$12,"P&amp;L Item",$B47),0),IFERROR(GETPIVOTDATA("Sum of "&amp;T$9,'PT-All'!$A$1,"Scenario",T$12,"P&amp;L Item",$B47)/T$201,0),TEXT(IFERROR(GETPIVOTDATA("Sum of "&amp;T$9,'PT-All'!$A$1,"Scenario",T$12,"P&amp;L Item",$B47)/T$29,0),"0.00%"))</f>
        <v>0</v>
      </c>
      <c r="U47" s="65">
        <f>CHOOSE(PLColumn,IFERROR(GETPIVOTDATA("Sum of "&amp;U$9,'PT-All'!$A$1,"Scenario",U$12,"P&amp;L Item",$B47),0),IFERROR(GETPIVOTDATA("Sum of "&amp;U$9,'PT-All'!$A$1,"Scenario",U$12,"P&amp;L Item",$B47)/U$201,0),TEXT(IFERROR(GETPIVOTDATA("Sum of "&amp;U$9,'PT-All'!$A$1,"Scenario",U$12,"P&amp;L Item",$B47)/U$29,0),"0.00%"))</f>
        <v>0</v>
      </c>
      <c r="V47" s="65">
        <f>CHOOSE(PLColumn,IFERROR(GETPIVOTDATA("Sum of "&amp;V$9,'PT-All'!$A$1,"Scenario",V$12,"P&amp;L Item",$B47),0),IFERROR(GETPIVOTDATA("Sum of "&amp;V$9,'PT-All'!$A$1,"Scenario",V$12,"P&amp;L Item",$B47)/V$201,0),TEXT(IFERROR(GETPIVOTDATA("Sum of "&amp;V$9,'PT-All'!$A$1,"Scenario",V$12,"P&amp;L Item",$B47)/V$29,0),"0.00%"))</f>
        <v>0</v>
      </c>
      <c r="W47" s="65">
        <f>CHOOSE(PLColumn,IFERROR(GETPIVOTDATA("Sum of "&amp;W$9,'PT-All'!$A$1,"Scenario",W$12,"P&amp;L Item",$B47),0),IFERROR(GETPIVOTDATA("Sum of "&amp;W$9,'PT-All'!$A$1,"Scenario",W$12,"P&amp;L Item",$B47)/W$201,0),TEXT(IFERROR(GETPIVOTDATA("Sum of "&amp;W$9,'PT-All'!$A$1,"Scenario",W$12,"P&amp;L Item",$B47)/W$29,0),"0.00%"))</f>
        <v>0</v>
      </c>
      <c r="X47" s="65">
        <f>CHOOSE(PLColumn,IFERROR(GETPIVOTDATA("Sum of "&amp;X$9,'PT-All'!$A$1,"Scenario",X$12,"P&amp;L Item",$B47),0),IFERROR(GETPIVOTDATA("Sum of "&amp;X$9,'PT-All'!$A$1,"Scenario",X$12,"P&amp;L Item",$B47)/X$201,0),TEXT(IFERROR(GETPIVOTDATA("Sum of "&amp;X$9,'PT-All'!$A$1,"Scenario",X$12,"P&amp;L Item",$B47)/X$29,0),"0.00%"))</f>
        <v>0</v>
      </c>
      <c r="Y47" s="65">
        <f>CHOOSE(PLColumn,IFERROR(GETPIVOTDATA("Sum of "&amp;Y$9,'PT-All'!$A$1,"Scenario",Y$12,"P&amp;L Item",$B47),0),IFERROR(GETPIVOTDATA("Sum of "&amp;Y$9,'PT-All'!$A$1,"Scenario",Y$12,"P&amp;L Item",$B47)/Y$201,0),TEXT(IFERROR(GETPIVOTDATA("Sum of "&amp;Y$9,'PT-All'!$A$1,"Scenario",Y$12,"P&amp;L Item",$B47)/Y$29,0),"0.00%"))</f>
        <v>0</v>
      </c>
      <c r="Z47" s="65">
        <f>CHOOSE(PLColumn,IFERROR(GETPIVOTDATA("Sum of "&amp;Z$9,'PT-All'!$A$1,"Scenario",Z$12,"P&amp;L Item",$B47),0),IFERROR(GETPIVOTDATA("Sum of "&amp;Z$9,'PT-All'!$A$1,"Scenario",Z$12,"P&amp;L Item",$B47)/Z$201,0),TEXT(IFERROR(GETPIVOTDATA("Sum of "&amp;Z$9,'PT-All'!$A$1,"Scenario",Z$12,"P&amp;L Item",$B47)/Z$29,0),"0.00%"))</f>
        <v>0</v>
      </c>
      <c r="AA47" s="65">
        <f>CHOOSE(PLColumn,IFERROR(GETPIVOTDATA("Sum of "&amp;AA$9,'PT-All'!$A$1,"Scenario",AA$12,"P&amp;L Item",$B47),0),IFERROR(GETPIVOTDATA("Sum of "&amp;AA$9,'PT-All'!$A$1,"Scenario",AA$12,"P&amp;L Item",$B47)/AA$201,0),TEXT(IFERROR(GETPIVOTDATA("Sum of "&amp;AA$9,'PT-All'!$A$1,"Scenario",AA$12,"P&amp;L Item",$B47)/AA$29,0),"0.00%"))</f>
        <v>0</v>
      </c>
      <c r="AB47" s="65">
        <f>CHOOSE(PLColumn,IFERROR(GETPIVOTDATA("Sum of "&amp;AB$9,'PT-All'!$A$1,"Scenario",AB$12,"P&amp;L Item",$B47),0),IFERROR(GETPIVOTDATA("Sum of "&amp;AB$9,'PT-All'!$A$1,"Scenario",AB$12,"P&amp;L Item",$B47)/AB$201,0),TEXT(IFERROR(GETPIVOTDATA("Sum of "&amp;AB$9,'PT-All'!$A$1,"Scenario",AB$12,"P&amp;L Item",$B47)/AB$29,0),"0.00%"))</f>
        <v>0</v>
      </c>
      <c r="AC47" s="65">
        <f>CHOOSE(PLColumn,IFERROR(GETPIVOTDATA("Sum of "&amp;AC$9,'PT-All'!$A$1,"Scenario",AC$12,"P&amp;L Item",$B47),0),IFERROR(GETPIVOTDATA("Sum of "&amp;AC$9,'PT-All'!$A$1,"Scenario",AC$12,"P&amp;L Item",$B47)/AC$201,0),TEXT(IFERROR(GETPIVOTDATA("Sum of "&amp;AC$9,'PT-All'!$A$1,"Scenario",AC$12,"P&amp;L Item",$B47)/AC$29,0),"0.00%"))</f>
        <v>0</v>
      </c>
      <c r="AD47" s="65">
        <f>CHOOSE(PLColumn,IFERROR(GETPIVOTDATA("Sum of "&amp;AD$9,'PT-All'!$A$1,"Scenario",AD$12,"P&amp;L Item",$B47),0),IFERROR(GETPIVOTDATA("Sum of "&amp;AD$9,'PT-All'!$A$1,"Scenario",AD$12,"P&amp;L Item",$B47)/AD$201,0),TEXT(IFERROR(GETPIVOTDATA("Sum of "&amp;AD$9,'PT-All'!$A$1,"Scenario",AD$12,"P&amp;L Item",$B47)/AD$29,0),"0.00%"))</f>
        <v>0</v>
      </c>
      <c r="AE47" s="65">
        <f>CHOOSE(PLColumn,IFERROR(GETPIVOTDATA("Sum of "&amp;AE$9,'PT-All'!$A$1,"Scenario",AE$12,"P&amp;L Item",$B47),0),IFERROR(GETPIVOTDATA("Sum of "&amp;AE$9,'PT-All'!$A$1,"Scenario",AE$12,"P&amp;L Item",$B47)/AE$201,0),TEXT(IFERROR(GETPIVOTDATA("Sum of "&amp;AE$9,'PT-All'!$A$1,"Scenario",AE$12,"P&amp;L Item",$B47)/AE$29,0),"0.00%"))</f>
        <v>0</v>
      </c>
      <c r="AF47" s="65">
        <f>CHOOSE(PLColumn,IFERROR(GETPIVOTDATA("Sum of "&amp;AF$9,'PT-All'!$A$1,"Scenario",AF$12,"P&amp;L Item",$B47),0),IFERROR(GETPIVOTDATA("Sum of "&amp;AF$9,'PT-All'!$A$1,"Scenario",AF$12,"P&amp;L Item",$B47)/AF$201,0),TEXT(IFERROR(GETPIVOTDATA("Sum of "&amp;AF$9,'PT-All'!$A$1,"Scenario",AF$12,"P&amp;L Item",$B47)/AF$29,0),"0.00%"))</f>
        <v>0</v>
      </c>
      <c r="AG47" s="65">
        <f>CHOOSE(PLColumn,IFERROR(GETPIVOTDATA("Sum of "&amp;AG$9,'PT-All'!$A$1,"Scenario",AG$12,"P&amp;L Item",$B47),0),IFERROR(GETPIVOTDATA("Sum of "&amp;AG$9,'PT-All'!$A$1,"Scenario",AG$12,"P&amp;L Item",$B47)/AG$201,0),TEXT(IFERROR(GETPIVOTDATA("Sum of "&amp;AG$9,'PT-All'!$A$1,"Scenario",AG$12,"P&amp;L Item",$B47)/AG$29,0),"0.00%"))</f>
        <v>0</v>
      </c>
      <c r="AH47" s="65">
        <f>CHOOSE(PLColumn,IFERROR(GETPIVOTDATA("Sum of "&amp;AH$9,'PT-All'!$A$1,"Scenario",AH$12,"P&amp;L Item",$B47),0),IFERROR(GETPIVOTDATA("Sum of "&amp;AH$9,'PT-All'!$A$1,"Scenario",AH$12,"P&amp;L Item",$B47)/AH$201,0),TEXT(IFERROR(GETPIVOTDATA("Sum of "&amp;AH$9,'PT-All'!$A$1,"Scenario",AH$12,"P&amp;L Item",$B47)/AH$29,0),"0.00%"))</f>
        <v>0</v>
      </c>
      <c r="AI47" s="65">
        <f>CHOOSE(PLColumn,IFERROR(GETPIVOTDATA("Sum of "&amp;AI$9,'PT-All'!$A$1,"Scenario",AI$12,"P&amp;L Item",$B47),0),IFERROR(GETPIVOTDATA("Sum of "&amp;AI$9,'PT-All'!$A$1,"Scenario",AI$12,"P&amp;L Item",$B47)/AI$201,0),TEXT(IFERROR(GETPIVOTDATA("Sum of "&amp;AI$9,'PT-All'!$A$1,"Scenario",AI$12,"P&amp;L Item",$B47)/AI$29,0),"0.00%"))</f>
        <v>0</v>
      </c>
      <c r="AJ47" s="65">
        <f>CHOOSE(PLColumn,IFERROR(GETPIVOTDATA("Sum of "&amp;AJ$9,'PT-All'!$A$1,"Scenario",AJ$12,"P&amp;L Item",$B47),0),IFERROR(GETPIVOTDATA("Sum of "&amp;AJ$9,'PT-All'!$A$1,"Scenario",AJ$12,"P&amp;L Item",$B47)/AJ$201,0),TEXT(IFERROR(GETPIVOTDATA("Sum of "&amp;AJ$9,'PT-All'!$A$1,"Scenario",AJ$12,"P&amp;L Item",$B47)/AJ$29,0),"0.00%"))</f>
        <v>0</v>
      </c>
      <c r="AK47" s="65">
        <f>CHOOSE(PLColumn,IFERROR(GETPIVOTDATA("Sum of "&amp;AK$9,'PT-All'!$A$1,"Scenario",AK$12,"P&amp;L Item",$B47),0),IFERROR(GETPIVOTDATA("Sum of "&amp;AK$9,'PT-All'!$A$1,"Scenario",AK$12,"P&amp;L Item",$B47)/AK$201,0),TEXT(IFERROR(GETPIVOTDATA("Sum of "&amp;AK$9,'PT-All'!$A$1,"Scenario",AK$12,"P&amp;L Item",$B47)/AK$29,0),"0.00%"))</f>
        <v>0</v>
      </c>
      <c r="AL47" s="97">
        <f>CHOOSE(PLColumn,IFERROR(GETPIVOTDATA("Sum of "&amp;AL$9,'PT-All'!$A$1,"Scenario",AL$12,"P&amp;L Item",$B47),0),IFERROR(GETPIVOTDATA("Sum of "&amp;AL$9,'PT-All'!$A$1,"Scenario",AL$12,"P&amp;L Item",$B47)/AL$201,0),TEXT(IFERROR(GETPIVOTDATA("Sum of "&amp;AL$9,'PT-All'!$A$1,"Scenario",AL$12,"P&amp;L Item",$B47)/AL$29,0),"0.00%"))</f>
        <v>0</v>
      </c>
      <c r="AM47" s="590"/>
      <c r="AN47" s="108">
        <f ca="1">IF(AN$12="Pro Forma",SUM(OFFSET($B47,0,3*AN$9+1,1,3)),IFERROR(GETPIVOTDATA("Sum of Q"&amp;AN$9+1,'PT-All'!$A$1,"Scenario",AN$12,"P&amp;L Item",$B47),0))</f>
        <v>0</v>
      </c>
      <c r="AO47" s="65">
        <f ca="1">IF(AO$12="Pro Forma",SUM(OFFSET($B47,0,3*AO$9+1,1,3)),IFERROR(GETPIVOTDATA("Sum of Q"&amp;AO$9+1,'PT-All'!$A$1,"Scenario",AO$12,"P&amp;L Item",$B47),0))</f>
        <v>0</v>
      </c>
      <c r="AP47" s="65">
        <f ca="1">IF(AP$12="Pro Forma",SUM(OFFSET($B47,0,3*AP$9+1,1,3)),IFERROR(GETPIVOTDATA("Sum of Q"&amp;AP$9+1,'PT-All'!$A$1,"Scenario",AP$12,"P&amp;L Item",$B47),0))</f>
        <v>0</v>
      </c>
      <c r="AQ47" s="65">
        <f ca="1">IF(AQ$12="Pro Forma",SUM(OFFSET($B47,0,3*AQ$9+1,1,3)),IFERROR(GETPIVOTDATA("Sum of Q"&amp;AQ$9+1,'PT-All'!$A$1,"Scenario",AQ$12,"P&amp;L Item",$B47),0))</f>
        <v>0</v>
      </c>
      <c r="AR47" s="65">
        <f ca="1">IF(AR$12="Pro Forma",SUM(OFFSET($B47,0,3*AR$9+1,1,3)),IFERROR(GETPIVOTDATA("Sum of Q"&amp;AR$9+1,'PT-All'!$A$1,"Scenario",AR$12,"P&amp;L Item",$B47),0))</f>
        <v>0</v>
      </c>
      <c r="AS47" s="65">
        <f ca="1">IF(AS$12="Pro Forma",SUM(OFFSET($B47,0,3*AS$9+1,1,3)),IFERROR(GETPIVOTDATA("Sum of Q"&amp;AS$9+1,'PT-All'!$A$1,"Scenario",AS$12,"P&amp;L Item",$B47),0))</f>
        <v>0</v>
      </c>
      <c r="AT47" s="65">
        <f ca="1">IF(AT$12="Pro Forma",SUM(OFFSET($B47,0,3*AT$9+1,1,3)),IFERROR(GETPIVOTDATA("Sum of Q"&amp;AT$9+1,'PT-All'!$A$1,"Scenario",AT$12,"P&amp;L Item",$B47),0))</f>
        <v>0</v>
      </c>
      <c r="AU47" s="65">
        <f ca="1">IF(AU$12="Pro Forma",SUM(OFFSET($B47,0,3*AU$9+1,1,3)),IFERROR(GETPIVOTDATA("Sum of Q"&amp;AU$9+1,'PT-All'!$A$1,"Scenario",AU$12,"P&amp;L Item",$B47),0))</f>
        <v>0</v>
      </c>
      <c r="AV47" s="65">
        <f ca="1">IF(AV$12="Pro Forma",SUM(OFFSET($B47,0,3*AV$9+1,1,3)),IFERROR(GETPIVOTDATA("Sum of Q"&amp;AV$9+1,'PT-All'!$A$1,"Scenario",AV$12,"P&amp;L Item",$B47),0))</f>
        <v>0</v>
      </c>
      <c r="AW47" s="65">
        <f ca="1">IF(AW$12="Pro Forma",SUM(OFFSET($B47,0,3*AW$9+1,1,3)),IFERROR(GETPIVOTDATA("Sum of Q"&amp;AW$9+1,'PT-All'!$A$1,"Scenario",AW$12,"P&amp;L Item",$B47),0))</f>
        <v>0</v>
      </c>
      <c r="AX47" s="65">
        <f ca="1">IF(AX$12="Pro Forma",SUM(OFFSET($B47,0,3*AX$9+1,1,3)),IFERROR(GETPIVOTDATA("Sum of Q"&amp;AX$9+1,'PT-All'!$A$1,"Scenario",AX$12,"P&amp;L Item",$B47),0))</f>
        <v>0</v>
      </c>
      <c r="AY47" s="97">
        <f ca="1">IF(AY$12="Pro Forma",SUM(OFFSET($B47,0,3*AY$9+1,1,3)),IFERROR(GETPIVOTDATA("Sum of Q"&amp;AY$9+1,'PT-All'!$A$1,"Scenario",AY$12,"P&amp;L Item",$B47),0))</f>
        <v>0</v>
      </c>
      <c r="AZ47" s="590"/>
      <c r="BA47" s="108">
        <f ca="1">IF(BA$12="Pro Forma",SUM(OFFSET($B47,0,12*BA$9+1,1,12)),IFERROR(GETPIVOTDATA("Sum of FY"&amp;BA$9+1,'PT-All'!$A$1,"Scenario",BA$12,"P&amp;L Item",$B47),0))</f>
        <v>0</v>
      </c>
      <c r="BB47" s="65">
        <f ca="1">IF(BB$12="Pro Forma",SUM(OFFSET($B47,0,12*BB$9+1,1,12)),IFERROR(GETPIVOTDATA("Sum of FY"&amp;BB$9+1,'PT-All'!$A$1,"Scenario",BB$12,"P&amp;L Item",$B47),0))</f>
        <v>0</v>
      </c>
      <c r="BC47" s="97">
        <f ca="1">IF(BC$12="Pro Forma",SUM(OFFSET($B47,0,12*BC$9+1,1,12)),IFERROR(GETPIVOTDATA("Sum of FY"&amp;BC$9+1,'PT-All'!$A$1,"Scenario",BC$12,"P&amp;L Item",$B47),0))</f>
        <v>0</v>
      </c>
    </row>
    <row r="48" spans="2:55" x14ac:dyDescent="0.35">
      <c r="B48" s="80" t="s">
        <v>89</v>
      </c>
      <c r="C48" s="65">
        <f>CHOOSE(PLColumn,IFERROR(GETPIVOTDATA("Sum of "&amp;C$9,'PT-All'!$A$1,"Scenario",C$12,"P&amp;L Item",$B48),0),IFERROR(GETPIVOTDATA("Sum of "&amp;C$9,'PT-All'!$A$1,"Scenario",C$12,"P&amp;L Item",$B48)/C$201,0),TEXT(IFERROR(GETPIVOTDATA("Sum of "&amp;C$9,'PT-All'!$A$1,"Scenario",C$12,"P&amp;L Item",$B48)/C$29,0),"0.00%"))</f>
        <v>0</v>
      </c>
      <c r="D48" s="65">
        <f>CHOOSE(PLColumn,IFERROR(GETPIVOTDATA("Sum of "&amp;D$9,'PT-All'!$A$1,"Scenario",D$12,"P&amp;L Item",$B48),0),IFERROR(GETPIVOTDATA("Sum of "&amp;D$9,'PT-All'!$A$1,"Scenario",D$12,"P&amp;L Item",$B48)/D$201,0),TEXT(IFERROR(GETPIVOTDATA("Sum of "&amp;D$9,'PT-All'!$A$1,"Scenario",D$12,"P&amp;L Item",$B48)/D$29,0),"0.00%"))</f>
        <v>0</v>
      </c>
      <c r="E48" s="65">
        <f>CHOOSE(PLColumn,IFERROR(GETPIVOTDATA("Sum of "&amp;E$9,'PT-All'!$A$1,"Scenario",E$12,"P&amp;L Item",$B48),0),IFERROR(GETPIVOTDATA("Sum of "&amp;E$9,'PT-All'!$A$1,"Scenario",E$12,"P&amp;L Item",$B48)/E$201,0),TEXT(IFERROR(GETPIVOTDATA("Sum of "&amp;E$9,'PT-All'!$A$1,"Scenario",E$12,"P&amp;L Item",$B48)/E$29,0),"0.00%"))</f>
        <v>0</v>
      </c>
      <c r="F48" s="65">
        <f>CHOOSE(PLColumn,IFERROR(GETPIVOTDATA("Sum of "&amp;F$9,'PT-All'!$A$1,"Scenario",F$12,"P&amp;L Item",$B48),0),IFERROR(GETPIVOTDATA("Sum of "&amp;F$9,'PT-All'!$A$1,"Scenario",F$12,"P&amp;L Item",$B48)/F$201,0),TEXT(IFERROR(GETPIVOTDATA("Sum of "&amp;F$9,'PT-All'!$A$1,"Scenario",F$12,"P&amp;L Item",$B48)/F$29,0),"0.00%"))</f>
        <v>0</v>
      </c>
      <c r="G48" s="65">
        <f>CHOOSE(PLColumn,IFERROR(GETPIVOTDATA("Sum of "&amp;G$9,'PT-All'!$A$1,"Scenario",G$12,"P&amp;L Item",$B48),0),IFERROR(GETPIVOTDATA("Sum of "&amp;G$9,'PT-All'!$A$1,"Scenario",G$12,"P&amp;L Item",$B48)/G$201,0),TEXT(IFERROR(GETPIVOTDATA("Sum of "&amp;G$9,'PT-All'!$A$1,"Scenario",G$12,"P&amp;L Item",$B48)/G$29,0),"0.00%"))</f>
        <v>0</v>
      </c>
      <c r="H48" s="65">
        <f>CHOOSE(PLColumn,IFERROR(GETPIVOTDATA("Sum of "&amp;H$9,'PT-All'!$A$1,"Scenario",H$12,"P&amp;L Item",$B48),0),IFERROR(GETPIVOTDATA("Sum of "&amp;H$9,'PT-All'!$A$1,"Scenario",H$12,"P&amp;L Item",$B48)/H$201,0),TEXT(IFERROR(GETPIVOTDATA("Sum of "&amp;H$9,'PT-All'!$A$1,"Scenario",H$12,"P&amp;L Item",$B48)/H$29,0),"0.00%"))</f>
        <v>0</v>
      </c>
      <c r="I48" s="65">
        <f>CHOOSE(PLColumn,IFERROR(GETPIVOTDATA("Sum of "&amp;I$9,'PT-All'!$A$1,"Scenario",I$12,"P&amp;L Item",$B48),0),IFERROR(GETPIVOTDATA("Sum of "&amp;I$9,'PT-All'!$A$1,"Scenario",I$12,"P&amp;L Item",$B48)/I$201,0),TEXT(IFERROR(GETPIVOTDATA("Sum of "&amp;I$9,'PT-All'!$A$1,"Scenario",I$12,"P&amp;L Item",$B48)/I$29,0),"0.00%"))</f>
        <v>0</v>
      </c>
      <c r="J48" s="65">
        <f>CHOOSE(PLColumn,IFERROR(GETPIVOTDATA("Sum of "&amp;J$9,'PT-All'!$A$1,"Scenario",J$12,"P&amp;L Item",$B48),0),IFERROR(GETPIVOTDATA("Sum of "&amp;J$9,'PT-All'!$A$1,"Scenario",J$12,"P&amp;L Item",$B48)/J$201,0),TEXT(IFERROR(GETPIVOTDATA("Sum of "&amp;J$9,'PT-All'!$A$1,"Scenario",J$12,"P&amp;L Item",$B48)/J$29,0),"0.00%"))</f>
        <v>0</v>
      </c>
      <c r="K48" s="65">
        <f>CHOOSE(PLColumn,IFERROR(GETPIVOTDATA("Sum of "&amp;K$9,'PT-All'!$A$1,"Scenario",K$12,"P&amp;L Item",$B48),0),IFERROR(GETPIVOTDATA("Sum of "&amp;K$9,'PT-All'!$A$1,"Scenario",K$12,"P&amp;L Item",$B48)/K$201,0),TEXT(IFERROR(GETPIVOTDATA("Sum of "&amp;K$9,'PT-All'!$A$1,"Scenario",K$12,"P&amp;L Item",$B48)/K$29,0),"0.00%"))</f>
        <v>0</v>
      </c>
      <c r="L48" s="65">
        <f>CHOOSE(PLColumn,IFERROR(GETPIVOTDATA("Sum of "&amp;L$9,'PT-All'!$A$1,"Scenario",L$12,"P&amp;L Item",$B48),0),IFERROR(GETPIVOTDATA("Sum of "&amp;L$9,'PT-All'!$A$1,"Scenario",L$12,"P&amp;L Item",$B48)/L$201,0),TEXT(IFERROR(GETPIVOTDATA("Sum of "&amp;L$9,'PT-All'!$A$1,"Scenario",L$12,"P&amp;L Item",$B48)/L$29,0),"0.00%"))</f>
        <v>0</v>
      </c>
      <c r="M48" s="65">
        <f>CHOOSE(PLColumn,IFERROR(GETPIVOTDATA("Sum of "&amp;M$9,'PT-All'!$A$1,"Scenario",M$12,"P&amp;L Item",$B48),0),IFERROR(GETPIVOTDATA("Sum of "&amp;M$9,'PT-All'!$A$1,"Scenario",M$12,"P&amp;L Item",$B48)/M$201,0),TEXT(IFERROR(GETPIVOTDATA("Sum of "&amp;M$9,'PT-All'!$A$1,"Scenario",M$12,"P&amp;L Item",$B48)/M$29,0),"0.00%"))</f>
        <v>0</v>
      </c>
      <c r="N48" s="65">
        <f>CHOOSE(PLColumn,IFERROR(GETPIVOTDATA("Sum of "&amp;N$9,'PT-All'!$A$1,"Scenario",N$12,"P&amp;L Item",$B48),0),IFERROR(GETPIVOTDATA("Sum of "&amp;N$9,'PT-All'!$A$1,"Scenario",N$12,"P&amp;L Item",$B48)/N$201,0),TEXT(IFERROR(GETPIVOTDATA("Sum of "&amp;N$9,'PT-All'!$A$1,"Scenario",N$12,"P&amp;L Item",$B48)/N$29,0),"0.00%"))</f>
        <v>0</v>
      </c>
      <c r="O48" s="65">
        <f>CHOOSE(PLColumn,IFERROR(GETPIVOTDATA("Sum of "&amp;O$9,'PT-All'!$A$1,"Scenario",O$12,"P&amp;L Item",$B48),0),IFERROR(GETPIVOTDATA("Sum of "&amp;O$9,'PT-All'!$A$1,"Scenario",O$12,"P&amp;L Item",$B48)/O$201,0),TEXT(IFERROR(GETPIVOTDATA("Sum of "&amp;O$9,'PT-All'!$A$1,"Scenario",O$12,"P&amp;L Item",$B48)/O$29,0),"0.00%"))</f>
        <v>0</v>
      </c>
      <c r="P48" s="65">
        <f>CHOOSE(PLColumn,IFERROR(GETPIVOTDATA("Sum of "&amp;P$9,'PT-All'!$A$1,"Scenario",P$12,"P&amp;L Item",$B48),0),IFERROR(GETPIVOTDATA("Sum of "&amp;P$9,'PT-All'!$A$1,"Scenario",P$12,"P&amp;L Item",$B48)/P$201,0),TEXT(IFERROR(GETPIVOTDATA("Sum of "&amp;P$9,'PT-All'!$A$1,"Scenario",P$12,"P&amp;L Item",$B48)/P$29,0),"0.00%"))</f>
        <v>0</v>
      </c>
      <c r="Q48" s="65">
        <f>CHOOSE(PLColumn,IFERROR(GETPIVOTDATA("Sum of "&amp;Q$9,'PT-All'!$A$1,"Scenario",Q$12,"P&amp;L Item",$B48),0),IFERROR(GETPIVOTDATA("Sum of "&amp;Q$9,'PT-All'!$A$1,"Scenario",Q$12,"P&amp;L Item",$B48)/Q$201,0),TEXT(IFERROR(GETPIVOTDATA("Sum of "&amp;Q$9,'PT-All'!$A$1,"Scenario",Q$12,"P&amp;L Item",$B48)/Q$29,0),"0.00%"))</f>
        <v>0</v>
      </c>
      <c r="R48" s="65">
        <f>CHOOSE(PLColumn,IFERROR(GETPIVOTDATA("Sum of "&amp;R$9,'PT-All'!$A$1,"Scenario",R$12,"P&amp;L Item",$B48),0),IFERROR(GETPIVOTDATA("Sum of "&amp;R$9,'PT-All'!$A$1,"Scenario",R$12,"P&amp;L Item",$B48)/R$201,0),TEXT(IFERROR(GETPIVOTDATA("Sum of "&amp;R$9,'PT-All'!$A$1,"Scenario",R$12,"P&amp;L Item",$B48)/R$29,0),"0.00%"))</f>
        <v>0</v>
      </c>
      <c r="S48" s="65">
        <f>CHOOSE(PLColumn,IFERROR(GETPIVOTDATA("Sum of "&amp;S$9,'PT-All'!$A$1,"Scenario",S$12,"P&amp;L Item",$B48),0),IFERROR(GETPIVOTDATA("Sum of "&amp;S$9,'PT-All'!$A$1,"Scenario",S$12,"P&amp;L Item",$B48)/S$201,0),TEXT(IFERROR(GETPIVOTDATA("Sum of "&amp;S$9,'PT-All'!$A$1,"Scenario",S$12,"P&amp;L Item",$B48)/S$29,0),"0.00%"))</f>
        <v>0</v>
      </c>
      <c r="T48" s="65">
        <f>CHOOSE(PLColumn,IFERROR(GETPIVOTDATA("Sum of "&amp;T$9,'PT-All'!$A$1,"Scenario",T$12,"P&amp;L Item",$B48),0),IFERROR(GETPIVOTDATA("Sum of "&amp;T$9,'PT-All'!$A$1,"Scenario",T$12,"P&amp;L Item",$B48)/T$201,0),TEXT(IFERROR(GETPIVOTDATA("Sum of "&amp;T$9,'PT-All'!$A$1,"Scenario",T$12,"P&amp;L Item",$B48)/T$29,0),"0.00%"))</f>
        <v>0</v>
      </c>
      <c r="U48" s="65">
        <f>CHOOSE(PLColumn,IFERROR(GETPIVOTDATA("Sum of "&amp;U$9,'PT-All'!$A$1,"Scenario",U$12,"P&amp;L Item",$B48),0),IFERROR(GETPIVOTDATA("Sum of "&amp;U$9,'PT-All'!$A$1,"Scenario",U$12,"P&amp;L Item",$B48)/U$201,0),TEXT(IFERROR(GETPIVOTDATA("Sum of "&amp;U$9,'PT-All'!$A$1,"Scenario",U$12,"P&amp;L Item",$B48)/U$29,0),"0.00%"))</f>
        <v>0</v>
      </c>
      <c r="V48" s="65">
        <f>CHOOSE(PLColumn,IFERROR(GETPIVOTDATA("Sum of "&amp;V$9,'PT-All'!$A$1,"Scenario",V$12,"P&amp;L Item",$B48),0),IFERROR(GETPIVOTDATA("Sum of "&amp;V$9,'PT-All'!$A$1,"Scenario",V$12,"P&amp;L Item",$B48)/V$201,0),TEXT(IFERROR(GETPIVOTDATA("Sum of "&amp;V$9,'PT-All'!$A$1,"Scenario",V$12,"P&amp;L Item",$B48)/V$29,0),"0.00%"))</f>
        <v>0</v>
      </c>
      <c r="W48" s="65">
        <f>CHOOSE(PLColumn,IFERROR(GETPIVOTDATA("Sum of "&amp;W$9,'PT-All'!$A$1,"Scenario",W$12,"P&amp;L Item",$B48),0),IFERROR(GETPIVOTDATA("Sum of "&amp;W$9,'PT-All'!$A$1,"Scenario",W$12,"P&amp;L Item",$B48)/W$201,0),TEXT(IFERROR(GETPIVOTDATA("Sum of "&amp;W$9,'PT-All'!$A$1,"Scenario",W$12,"P&amp;L Item",$B48)/W$29,0),"0.00%"))</f>
        <v>0</v>
      </c>
      <c r="X48" s="65">
        <f>CHOOSE(PLColumn,IFERROR(GETPIVOTDATA("Sum of "&amp;X$9,'PT-All'!$A$1,"Scenario",X$12,"P&amp;L Item",$B48),0),IFERROR(GETPIVOTDATA("Sum of "&amp;X$9,'PT-All'!$A$1,"Scenario",X$12,"P&amp;L Item",$B48)/X$201,0),TEXT(IFERROR(GETPIVOTDATA("Sum of "&amp;X$9,'PT-All'!$A$1,"Scenario",X$12,"P&amp;L Item",$B48)/X$29,0),"0.00%"))</f>
        <v>0</v>
      </c>
      <c r="Y48" s="65">
        <f>CHOOSE(PLColumn,IFERROR(GETPIVOTDATA("Sum of "&amp;Y$9,'PT-All'!$A$1,"Scenario",Y$12,"P&amp;L Item",$B48),0),IFERROR(GETPIVOTDATA("Sum of "&amp;Y$9,'PT-All'!$A$1,"Scenario",Y$12,"P&amp;L Item",$B48)/Y$201,0),TEXT(IFERROR(GETPIVOTDATA("Sum of "&amp;Y$9,'PT-All'!$A$1,"Scenario",Y$12,"P&amp;L Item",$B48)/Y$29,0),"0.00%"))</f>
        <v>0</v>
      </c>
      <c r="Z48" s="65">
        <f>CHOOSE(PLColumn,IFERROR(GETPIVOTDATA("Sum of "&amp;Z$9,'PT-All'!$A$1,"Scenario",Z$12,"P&amp;L Item",$B48),0),IFERROR(GETPIVOTDATA("Sum of "&amp;Z$9,'PT-All'!$A$1,"Scenario",Z$12,"P&amp;L Item",$B48)/Z$201,0),TEXT(IFERROR(GETPIVOTDATA("Sum of "&amp;Z$9,'PT-All'!$A$1,"Scenario",Z$12,"P&amp;L Item",$B48)/Z$29,0),"0.00%"))</f>
        <v>0</v>
      </c>
      <c r="AA48" s="65">
        <f>CHOOSE(PLColumn,IFERROR(GETPIVOTDATA("Sum of "&amp;AA$9,'PT-All'!$A$1,"Scenario",AA$12,"P&amp;L Item",$B48),0),IFERROR(GETPIVOTDATA("Sum of "&amp;AA$9,'PT-All'!$A$1,"Scenario",AA$12,"P&amp;L Item",$B48)/AA$201,0),TEXT(IFERROR(GETPIVOTDATA("Sum of "&amp;AA$9,'PT-All'!$A$1,"Scenario",AA$12,"P&amp;L Item",$B48)/AA$29,0),"0.00%"))</f>
        <v>0</v>
      </c>
      <c r="AB48" s="65">
        <f>CHOOSE(PLColumn,IFERROR(GETPIVOTDATA("Sum of "&amp;AB$9,'PT-All'!$A$1,"Scenario",AB$12,"P&amp;L Item",$B48),0),IFERROR(GETPIVOTDATA("Sum of "&amp;AB$9,'PT-All'!$A$1,"Scenario",AB$12,"P&amp;L Item",$B48)/AB$201,0),TEXT(IFERROR(GETPIVOTDATA("Sum of "&amp;AB$9,'PT-All'!$A$1,"Scenario",AB$12,"P&amp;L Item",$B48)/AB$29,0),"0.00%"))</f>
        <v>0</v>
      </c>
      <c r="AC48" s="65">
        <f>CHOOSE(PLColumn,IFERROR(GETPIVOTDATA("Sum of "&amp;AC$9,'PT-All'!$A$1,"Scenario",AC$12,"P&amp;L Item",$B48),0),IFERROR(GETPIVOTDATA("Sum of "&amp;AC$9,'PT-All'!$A$1,"Scenario",AC$12,"P&amp;L Item",$B48)/AC$201,0),TEXT(IFERROR(GETPIVOTDATA("Sum of "&amp;AC$9,'PT-All'!$A$1,"Scenario",AC$12,"P&amp;L Item",$B48)/AC$29,0),"0.00%"))</f>
        <v>0</v>
      </c>
      <c r="AD48" s="65">
        <f>CHOOSE(PLColumn,IFERROR(GETPIVOTDATA("Sum of "&amp;AD$9,'PT-All'!$A$1,"Scenario",AD$12,"P&amp;L Item",$B48),0),IFERROR(GETPIVOTDATA("Sum of "&amp;AD$9,'PT-All'!$A$1,"Scenario",AD$12,"P&amp;L Item",$B48)/AD$201,0),TEXT(IFERROR(GETPIVOTDATA("Sum of "&amp;AD$9,'PT-All'!$A$1,"Scenario",AD$12,"P&amp;L Item",$B48)/AD$29,0),"0.00%"))</f>
        <v>0</v>
      </c>
      <c r="AE48" s="65">
        <f>CHOOSE(PLColumn,IFERROR(GETPIVOTDATA("Sum of "&amp;AE$9,'PT-All'!$A$1,"Scenario",AE$12,"P&amp;L Item",$B48),0),IFERROR(GETPIVOTDATA("Sum of "&amp;AE$9,'PT-All'!$A$1,"Scenario",AE$12,"P&amp;L Item",$B48)/AE$201,0),TEXT(IFERROR(GETPIVOTDATA("Sum of "&amp;AE$9,'PT-All'!$A$1,"Scenario",AE$12,"P&amp;L Item",$B48)/AE$29,0),"0.00%"))</f>
        <v>0</v>
      </c>
      <c r="AF48" s="65">
        <f>CHOOSE(PLColumn,IFERROR(GETPIVOTDATA("Sum of "&amp;AF$9,'PT-All'!$A$1,"Scenario",AF$12,"P&amp;L Item",$B48),0),IFERROR(GETPIVOTDATA("Sum of "&amp;AF$9,'PT-All'!$A$1,"Scenario",AF$12,"P&amp;L Item",$B48)/AF$201,0),TEXT(IFERROR(GETPIVOTDATA("Sum of "&amp;AF$9,'PT-All'!$A$1,"Scenario",AF$12,"P&amp;L Item",$B48)/AF$29,0),"0.00%"))</f>
        <v>0</v>
      </c>
      <c r="AG48" s="65">
        <f>CHOOSE(PLColumn,IFERROR(GETPIVOTDATA("Sum of "&amp;AG$9,'PT-All'!$A$1,"Scenario",AG$12,"P&amp;L Item",$B48),0),IFERROR(GETPIVOTDATA("Sum of "&amp;AG$9,'PT-All'!$A$1,"Scenario",AG$12,"P&amp;L Item",$B48)/AG$201,0),TEXT(IFERROR(GETPIVOTDATA("Sum of "&amp;AG$9,'PT-All'!$A$1,"Scenario",AG$12,"P&amp;L Item",$B48)/AG$29,0),"0.00%"))</f>
        <v>0</v>
      </c>
      <c r="AH48" s="65">
        <f>CHOOSE(PLColumn,IFERROR(GETPIVOTDATA("Sum of "&amp;AH$9,'PT-All'!$A$1,"Scenario",AH$12,"P&amp;L Item",$B48),0),IFERROR(GETPIVOTDATA("Sum of "&amp;AH$9,'PT-All'!$A$1,"Scenario",AH$12,"P&amp;L Item",$B48)/AH$201,0),TEXT(IFERROR(GETPIVOTDATA("Sum of "&amp;AH$9,'PT-All'!$A$1,"Scenario",AH$12,"P&amp;L Item",$B48)/AH$29,0),"0.00%"))</f>
        <v>0</v>
      </c>
      <c r="AI48" s="65">
        <f>CHOOSE(PLColumn,IFERROR(GETPIVOTDATA("Sum of "&amp;AI$9,'PT-All'!$A$1,"Scenario",AI$12,"P&amp;L Item",$B48),0),IFERROR(GETPIVOTDATA("Sum of "&amp;AI$9,'PT-All'!$A$1,"Scenario",AI$12,"P&amp;L Item",$B48)/AI$201,0),TEXT(IFERROR(GETPIVOTDATA("Sum of "&amp;AI$9,'PT-All'!$A$1,"Scenario",AI$12,"P&amp;L Item",$B48)/AI$29,0),"0.00%"))</f>
        <v>0</v>
      </c>
      <c r="AJ48" s="65">
        <f>CHOOSE(PLColumn,IFERROR(GETPIVOTDATA("Sum of "&amp;AJ$9,'PT-All'!$A$1,"Scenario",AJ$12,"P&amp;L Item",$B48),0),IFERROR(GETPIVOTDATA("Sum of "&amp;AJ$9,'PT-All'!$A$1,"Scenario",AJ$12,"P&amp;L Item",$B48)/AJ$201,0),TEXT(IFERROR(GETPIVOTDATA("Sum of "&amp;AJ$9,'PT-All'!$A$1,"Scenario",AJ$12,"P&amp;L Item",$B48)/AJ$29,0),"0.00%"))</f>
        <v>0</v>
      </c>
      <c r="AK48" s="65">
        <f>CHOOSE(PLColumn,IFERROR(GETPIVOTDATA("Sum of "&amp;AK$9,'PT-All'!$A$1,"Scenario",AK$12,"P&amp;L Item",$B48),0),IFERROR(GETPIVOTDATA("Sum of "&amp;AK$9,'PT-All'!$A$1,"Scenario",AK$12,"P&amp;L Item",$B48)/AK$201,0),TEXT(IFERROR(GETPIVOTDATA("Sum of "&amp;AK$9,'PT-All'!$A$1,"Scenario",AK$12,"P&amp;L Item",$B48)/AK$29,0),"0.00%"))</f>
        <v>0</v>
      </c>
      <c r="AL48" s="97">
        <f>CHOOSE(PLColumn,IFERROR(GETPIVOTDATA("Sum of "&amp;AL$9,'PT-All'!$A$1,"Scenario",AL$12,"P&amp;L Item",$B48),0),IFERROR(GETPIVOTDATA("Sum of "&amp;AL$9,'PT-All'!$A$1,"Scenario",AL$12,"P&amp;L Item",$B48)/AL$201,0),TEXT(IFERROR(GETPIVOTDATA("Sum of "&amp;AL$9,'PT-All'!$A$1,"Scenario",AL$12,"P&amp;L Item",$B48)/AL$29,0),"0.00%"))</f>
        <v>0</v>
      </c>
      <c r="AM48" s="590"/>
      <c r="AN48" s="108">
        <f ca="1">IF(AN$12="Pro Forma",SUM(OFFSET($B48,0,3*AN$9+1,1,3)),IFERROR(GETPIVOTDATA("Sum of Q"&amp;AN$9+1,'PT-All'!$A$1,"Scenario",AN$12,"P&amp;L Item",$B48),0))</f>
        <v>0</v>
      </c>
      <c r="AO48" s="65">
        <f ca="1">IF(AO$12="Pro Forma",SUM(OFFSET($B48,0,3*AO$9+1,1,3)),IFERROR(GETPIVOTDATA("Sum of Q"&amp;AO$9+1,'PT-All'!$A$1,"Scenario",AO$12,"P&amp;L Item",$B48),0))</f>
        <v>0</v>
      </c>
      <c r="AP48" s="65">
        <f ca="1">IF(AP$12="Pro Forma",SUM(OFFSET($B48,0,3*AP$9+1,1,3)),IFERROR(GETPIVOTDATA("Sum of Q"&amp;AP$9+1,'PT-All'!$A$1,"Scenario",AP$12,"P&amp;L Item",$B48),0))</f>
        <v>0</v>
      </c>
      <c r="AQ48" s="65">
        <f ca="1">IF(AQ$12="Pro Forma",SUM(OFFSET($B48,0,3*AQ$9+1,1,3)),IFERROR(GETPIVOTDATA("Sum of Q"&amp;AQ$9+1,'PT-All'!$A$1,"Scenario",AQ$12,"P&amp;L Item",$B48),0))</f>
        <v>0</v>
      </c>
      <c r="AR48" s="65">
        <f ca="1">IF(AR$12="Pro Forma",SUM(OFFSET($B48,0,3*AR$9+1,1,3)),IFERROR(GETPIVOTDATA("Sum of Q"&amp;AR$9+1,'PT-All'!$A$1,"Scenario",AR$12,"P&amp;L Item",$B48),0))</f>
        <v>0</v>
      </c>
      <c r="AS48" s="65">
        <f ca="1">IF(AS$12="Pro Forma",SUM(OFFSET($B48,0,3*AS$9+1,1,3)),IFERROR(GETPIVOTDATA("Sum of Q"&amp;AS$9+1,'PT-All'!$A$1,"Scenario",AS$12,"P&amp;L Item",$B48),0))</f>
        <v>0</v>
      </c>
      <c r="AT48" s="65">
        <f ca="1">IF(AT$12="Pro Forma",SUM(OFFSET($B48,0,3*AT$9+1,1,3)),IFERROR(GETPIVOTDATA("Sum of Q"&amp;AT$9+1,'PT-All'!$A$1,"Scenario",AT$12,"P&amp;L Item",$B48),0))</f>
        <v>0</v>
      </c>
      <c r="AU48" s="65">
        <f ca="1">IF(AU$12="Pro Forma",SUM(OFFSET($B48,0,3*AU$9+1,1,3)),IFERROR(GETPIVOTDATA("Sum of Q"&amp;AU$9+1,'PT-All'!$A$1,"Scenario",AU$12,"P&amp;L Item",$B48),0))</f>
        <v>0</v>
      </c>
      <c r="AV48" s="65">
        <f ca="1">IF(AV$12="Pro Forma",SUM(OFFSET($B48,0,3*AV$9+1,1,3)),IFERROR(GETPIVOTDATA("Sum of Q"&amp;AV$9+1,'PT-All'!$A$1,"Scenario",AV$12,"P&amp;L Item",$B48),0))</f>
        <v>0</v>
      </c>
      <c r="AW48" s="65">
        <f ca="1">IF(AW$12="Pro Forma",SUM(OFFSET($B48,0,3*AW$9+1,1,3)),IFERROR(GETPIVOTDATA("Sum of Q"&amp;AW$9+1,'PT-All'!$A$1,"Scenario",AW$12,"P&amp;L Item",$B48),0))</f>
        <v>0</v>
      </c>
      <c r="AX48" s="65">
        <f ca="1">IF(AX$12="Pro Forma",SUM(OFFSET($B48,0,3*AX$9+1,1,3)),IFERROR(GETPIVOTDATA("Sum of Q"&amp;AX$9+1,'PT-All'!$A$1,"Scenario",AX$12,"P&amp;L Item",$B48),0))</f>
        <v>0</v>
      </c>
      <c r="AY48" s="97">
        <f ca="1">IF(AY$12="Pro Forma",SUM(OFFSET($B48,0,3*AY$9+1,1,3)),IFERROR(GETPIVOTDATA("Sum of Q"&amp;AY$9+1,'PT-All'!$A$1,"Scenario",AY$12,"P&amp;L Item",$B48),0))</f>
        <v>0</v>
      </c>
      <c r="AZ48" s="590"/>
      <c r="BA48" s="108">
        <f ca="1">IF(BA$12="Pro Forma",SUM(OFFSET($B48,0,12*BA$9+1,1,12)),IFERROR(GETPIVOTDATA("Sum of FY"&amp;BA$9+1,'PT-All'!$A$1,"Scenario",BA$12,"P&amp;L Item",$B48),0))</f>
        <v>0</v>
      </c>
      <c r="BB48" s="65">
        <f ca="1">IF(BB$12="Pro Forma",SUM(OFFSET($B48,0,12*BB$9+1,1,12)),IFERROR(GETPIVOTDATA("Sum of FY"&amp;BB$9+1,'PT-All'!$A$1,"Scenario",BB$12,"P&amp;L Item",$B48),0))</f>
        <v>0</v>
      </c>
      <c r="BC48" s="97">
        <f ca="1">IF(BC$12="Pro Forma",SUM(OFFSET($B48,0,12*BC$9+1,1,12)),IFERROR(GETPIVOTDATA("Sum of FY"&amp;BC$9+1,'PT-All'!$A$1,"Scenario",BC$12,"P&amp;L Item",$B48),0))</f>
        <v>0</v>
      </c>
    </row>
    <row r="49" spans="2:55" x14ac:dyDescent="0.35">
      <c r="B49" s="80" t="s">
        <v>90</v>
      </c>
      <c r="C49" s="65">
        <f>CHOOSE(PLColumn,IFERROR(GETPIVOTDATA("Sum of "&amp;C$9,'PT-All'!$A$1,"Scenario",C$12,"P&amp;L Item",$B49),0),IFERROR(GETPIVOTDATA("Sum of "&amp;C$9,'PT-All'!$A$1,"Scenario",C$12,"P&amp;L Item",$B49)/C$201,0),TEXT(IFERROR(GETPIVOTDATA("Sum of "&amp;C$9,'PT-All'!$A$1,"Scenario",C$12,"P&amp;L Item",$B49)/C$29,0),"0.00%"))</f>
        <v>0</v>
      </c>
      <c r="D49" s="65">
        <f>CHOOSE(PLColumn,IFERROR(GETPIVOTDATA("Sum of "&amp;D$9,'PT-All'!$A$1,"Scenario",D$12,"P&amp;L Item",$B49),0),IFERROR(GETPIVOTDATA("Sum of "&amp;D$9,'PT-All'!$A$1,"Scenario",D$12,"P&amp;L Item",$B49)/D$201,0),TEXT(IFERROR(GETPIVOTDATA("Sum of "&amp;D$9,'PT-All'!$A$1,"Scenario",D$12,"P&amp;L Item",$B49)/D$29,0),"0.00%"))</f>
        <v>0</v>
      </c>
      <c r="E49" s="65">
        <f>CHOOSE(PLColumn,IFERROR(GETPIVOTDATA("Sum of "&amp;E$9,'PT-All'!$A$1,"Scenario",E$12,"P&amp;L Item",$B49),0),IFERROR(GETPIVOTDATA("Sum of "&amp;E$9,'PT-All'!$A$1,"Scenario",E$12,"P&amp;L Item",$B49)/E$201,0),TEXT(IFERROR(GETPIVOTDATA("Sum of "&amp;E$9,'PT-All'!$A$1,"Scenario",E$12,"P&amp;L Item",$B49)/E$29,0),"0.00%"))</f>
        <v>0</v>
      </c>
      <c r="F49" s="65">
        <f>CHOOSE(PLColumn,IFERROR(GETPIVOTDATA("Sum of "&amp;F$9,'PT-All'!$A$1,"Scenario",F$12,"P&amp;L Item",$B49),0),IFERROR(GETPIVOTDATA("Sum of "&amp;F$9,'PT-All'!$A$1,"Scenario",F$12,"P&amp;L Item",$B49)/F$201,0),TEXT(IFERROR(GETPIVOTDATA("Sum of "&amp;F$9,'PT-All'!$A$1,"Scenario",F$12,"P&amp;L Item",$B49)/F$29,0),"0.00%"))</f>
        <v>0</v>
      </c>
      <c r="G49" s="65">
        <f>CHOOSE(PLColumn,IFERROR(GETPIVOTDATA("Sum of "&amp;G$9,'PT-All'!$A$1,"Scenario",G$12,"P&amp;L Item",$B49),0),IFERROR(GETPIVOTDATA("Sum of "&amp;G$9,'PT-All'!$A$1,"Scenario",G$12,"P&amp;L Item",$B49)/G$201,0),TEXT(IFERROR(GETPIVOTDATA("Sum of "&amp;G$9,'PT-All'!$A$1,"Scenario",G$12,"P&amp;L Item",$B49)/G$29,0),"0.00%"))</f>
        <v>0</v>
      </c>
      <c r="H49" s="65">
        <f>CHOOSE(PLColumn,IFERROR(GETPIVOTDATA("Sum of "&amp;H$9,'PT-All'!$A$1,"Scenario",H$12,"P&amp;L Item",$B49),0),IFERROR(GETPIVOTDATA("Sum of "&amp;H$9,'PT-All'!$A$1,"Scenario",H$12,"P&amp;L Item",$B49)/H$201,0),TEXT(IFERROR(GETPIVOTDATA("Sum of "&amp;H$9,'PT-All'!$A$1,"Scenario",H$12,"P&amp;L Item",$B49)/H$29,0),"0.00%"))</f>
        <v>0</v>
      </c>
      <c r="I49" s="65">
        <f>CHOOSE(PLColumn,IFERROR(GETPIVOTDATA("Sum of "&amp;I$9,'PT-All'!$A$1,"Scenario",I$12,"P&amp;L Item",$B49),0),IFERROR(GETPIVOTDATA("Sum of "&amp;I$9,'PT-All'!$A$1,"Scenario",I$12,"P&amp;L Item",$B49)/I$201,0),TEXT(IFERROR(GETPIVOTDATA("Sum of "&amp;I$9,'PT-All'!$A$1,"Scenario",I$12,"P&amp;L Item",$B49)/I$29,0),"0.00%"))</f>
        <v>0</v>
      </c>
      <c r="J49" s="65">
        <f>CHOOSE(PLColumn,IFERROR(GETPIVOTDATA("Sum of "&amp;J$9,'PT-All'!$A$1,"Scenario",J$12,"P&amp;L Item",$B49),0),IFERROR(GETPIVOTDATA("Sum of "&amp;J$9,'PT-All'!$A$1,"Scenario",J$12,"P&amp;L Item",$B49)/J$201,0),TEXT(IFERROR(GETPIVOTDATA("Sum of "&amp;J$9,'PT-All'!$A$1,"Scenario",J$12,"P&amp;L Item",$B49)/J$29,0),"0.00%"))</f>
        <v>0</v>
      </c>
      <c r="K49" s="65">
        <f>CHOOSE(PLColumn,IFERROR(GETPIVOTDATA("Sum of "&amp;K$9,'PT-All'!$A$1,"Scenario",K$12,"P&amp;L Item",$B49),0),IFERROR(GETPIVOTDATA("Sum of "&amp;K$9,'PT-All'!$A$1,"Scenario",K$12,"P&amp;L Item",$B49)/K$201,0),TEXT(IFERROR(GETPIVOTDATA("Sum of "&amp;K$9,'PT-All'!$A$1,"Scenario",K$12,"P&amp;L Item",$B49)/K$29,0),"0.00%"))</f>
        <v>0</v>
      </c>
      <c r="L49" s="65">
        <f>CHOOSE(PLColumn,IFERROR(GETPIVOTDATA("Sum of "&amp;L$9,'PT-All'!$A$1,"Scenario",L$12,"P&amp;L Item",$B49),0),IFERROR(GETPIVOTDATA("Sum of "&amp;L$9,'PT-All'!$A$1,"Scenario",L$12,"P&amp;L Item",$B49)/L$201,0),TEXT(IFERROR(GETPIVOTDATA("Sum of "&amp;L$9,'PT-All'!$A$1,"Scenario",L$12,"P&amp;L Item",$B49)/L$29,0),"0.00%"))</f>
        <v>0</v>
      </c>
      <c r="M49" s="65">
        <f>CHOOSE(PLColumn,IFERROR(GETPIVOTDATA("Sum of "&amp;M$9,'PT-All'!$A$1,"Scenario",M$12,"P&amp;L Item",$B49),0),IFERROR(GETPIVOTDATA("Sum of "&amp;M$9,'PT-All'!$A$1,"Scenario",M$12,"P&amp;L Item",$B49)/M$201,0),TEXT(IFERROR(GETPIVOTDATA("Sum of "&amp;M$9,'PT-All'!$A$1,"Scenario",M$12,"P&amp;L Item",$B49)/M$29,0),"0.00%"))</f>
        <v>0</v>
      </c>
      <c r="N49" s="65">
        <f>CHOOSE(PLColumn,IFERROR(GETPIVOTDATA("Sum of "&amp;N$9,'PT-All'!$A$1,"Scenario",N$12,"P&amp;L Item",$B49),0),IFERROR(GETPIVOTDATA("Sum of "&amp;N$9,'PT-All'!$A$1,"Scenario",N$12,"P&amp;L Item",$B49)/N$201,0),TEXT(IFERROR(GETPIVOTDATA("Sum of "&amp;N$9,'PT-All'!$A$1,"Scenario",N$12,"P&amp;L Item",$B49)/N$29,0),"0.00%"))</f>
        <v>0</v>
      </c>
      <c r="O49" s="65">
        <f>CHOOSE(PLColumn,IFERROR(GETPIVOTDATA("Sum of "&amp;O$9,'PT-All'!$A$1,"Scenario",O$12,"P&amp;L Item",$B49),0),IFERROR(GETPIVOTDATA("Sum of "&amp;O$9,'PT-All'!$A$1,"Scenario",O$12,"P&amp;L Item",$B49)/O$201,0),TEXT(IFERROR(GETPIVOTDATA("Sum of "&amp;O$9,'PT-All'!$A$1,"Scenario",O$12,"P&amp;L Item",$B49)/O$29,0),"0.00%"))</f>
        <v>0</v>
      </c>
      <c r="P49" s="65">
        <f>CHOOSE(PLColumn,IFERROR(GETPIVOTDATA("Sum of "&amp;P$9,'PT-All'!$A$1,"Scenario",P$12,"P&amp;L Item",$B49),0),IFERROR(GETPIVOTDATA("Sum of "&amp;P$9,'PT-All'!$A$1,"Scenario",P$12,"P&amp;L Item",$B49)/P$201,0),TEXT(IFERROR(GETPIVOTDATA("Sum of "&amp;P$9,'PT-All'!$A$1,"Scenario",P$12,"P&amp;L Item",$B49)/P$29,0),"0.00%"))</f>
        <v>0</v>
      </c>
      <c r="Q49" s="65">
        <f>CHOOSE(PLColumn,IFERROR(GETPIVOTDATA("Sum of "&amp;Q$9,'PT-All'!$A$1,"Scenario",Q$12,"P&amp;L Item",$B49),0),IFERROR(GETPIVOTDATA("Sum of "&amp;Q$9,'PT-All'!$A$1,"Scenario",Q$12,"P&amp;L Item",$B49)/Q$201,0),TEXT(IFERROR(GETPIVOTDATA("Sum of "&amp;Q$9,'PT-All'!$A$1,"Scenario",Q$12,"P&amp;L Item",$B49)/Q$29,0),"0.00%"))</f>
        <v>0</v>
      </c>
      <c r="R49" s="65">
        <f>CHOOSE(PLColumn,IFERROR(GETPIVOTDATA("Sum of "&amp;R$9,'PT-All'!$A$1,"Scenario",R$12,"P&amp;L Item",$B49),0),IFERROR(GETPIVOTDATA("Sum of "&amp;R$9,'PT-All'!$A$1,"Scenario",R$12,"P&amp;L Item",$B49)/R$201,0),TEXT(IFERROR(GETPIVOTDATA("Sum of "&amp;R$9,'PT-All'!$A$1,"Scenario",R$12,"P&amp;L Item",$B49)/R$29,0),"0.00%"))</f>
        <v>0</v>
      </c>
      <c r="S49" s="65">
        <f>CHOOSE(PLColumn,IFERROR(GETPIVOTDATA("Sum of "&amp;S$9,'PT-All'!$A$1,"Scenario",S$12,"P&amp;L Item",$B49),0),IFERROR(GETPIVOTDATA("Sum of "&amp;S$9,'PT-All'!$A$1,"Scenario",S$12,"P&amp;L Item",$B49)/S$201,0),TEXT(IFERROR(GETPIVOTDATA("Sum of "&amp;S$9,'PT-All'!$A$1,"Scenario",S$12,"P&amp;L Item",$B49)/S$29,0),"0.00%"))</f>
        <v>0</v>
      </c>
      <c r="T49" s="65">
        <f>CHOOSE(PLColumn,IFERROR(GETPIVOTDATA("Sum of "&amp;T$9,'PT-All'!$A$1,"Scenario",T$12,"P&amp;L Item",$B49),0),IFERROR(GETPIVOTDATA("Sum of "&amp;T$9,'PT-All'!$A$1,"Scenario",T$12,"P&amp;L Item",$B49)/T$201,0),TEXT(IFERROR(GETPIVOTDATA("Sum of "&amp;T$9,'PT-All'!$A$1,"Scenario",T$12,"P&amp;L Item",$B49)/T$29,0),"0.00%"))</f>
        <v>0</v>
      </c>
      <c r="U49" s="65">
        <f>CHOOSE(PLColumn,IFERROR(GETPIVOTDATA("Sum of "&amp;U$9,'PT-All'!$A$1,"Scenario",U$12,"P&amp;L Item",$B49),0),IFERROR(GETPIVOTDATA("Sum of "&amp;U$9,'PT-All'!$A$1,"Scenario",U$12,"P&amp;L Item",$B49)/U$201,0),TEXT(IFERROR(GETPIVOTDATA("Sum of "&amp;U$9,'PT-All'!$A$1,"Scenario",U$12,"P&amp;L Item",$B49)/U$29,0),"0.00%"))</f>
        <v>0</v>
      </c>
      <c r="V49" s="65">
        <f>CHOOSE(PLColumn,IFERROR(GETPIVOTDATA("Sum of "&amp;V$9,'PT-All'!$A$1,"Scenario",V$12,"P&amp;L Item",$B49),0),IFERROR(GETPIVOTDATA("Sum of "&amp;V$9,'PT-All'!$A$1,"Scenario",V$12,"P&amp;L Item",$B49)/V$201,0),TEXT(IFERROR(GETPIVOTDATA("Sum of "&amp;V$9,'PT-All'!$A$1,"Scenario",V$12,"P&amp;L Item",$B49)/V$29,0),"0.00%"))</f>
        <v>0</v>
      </c>
      <c r="W49" s="65">
        <f>CHOOSE(PLColumn,IFERROR(GETPIVOTDATA("Sum of "&amp;W$9,'PT-All'!$A$1,"Scenario",W$12,"P&amp;L Item",$B49),0),IFERROR(GETPIVOTDATA("Sum of "&amp;W$9,'PT-All'!$A$1,"Scenario",W$12,"P&amp;L Item",$B49)/W$201,0),TEXT(IFERROR(GETPIVOTDATA("Sum of "&amp;W$9,'PT-All'!$A$1,"Scenario",W$12,"P&amp;L Item",$B49)/W$29,0),"0.00%"))</f>
        <v>0</v>
      </c>
      <c r="X49" s="65">
        <f>CHOOSE(PLColumn,IFERROR(GETPIVOTDATA("Sum of "&amp;X$9,'PT-All'!$A$1,"Scenario",X$12,"P&amp;L Item",$B49),0),IFERROR(GETPIVOTDATA("Sum of "&amp;X$9,'PT-All'!$A$1,"Scenario",X$12,"P&amp;L Item",$B49)/X$201,0),TEXT(IFERROR(GETPIVOTDATA("Sum of "&amp;X$9,'PT-All'!$A$1,"Scenario",X$12,"P&amp;L Item",$B49)/X$29,0),"0.00%"))</f>
        <v>0</v>
      </c>
      <c r="Y49" s="65">
        <f>CHOOSE(PLColumn,IFERROR(GETPIVOTDATA("Sum of "&amp;Y$9,'PT-All'!$A$1,"Scenario",Y$12,"P&amp;L Item",$B49),0),IFERROR(GETPIVOTDATA("Sum of "&amp;Y$9,'PT-All'!$A$1,"Scenario",Y$12,"P&amp;L Item",$B49)/Y$201,0),TEXT(IFERROR(GETPIVOTDATA("Sum of "&amp;Y$9,'PT-All'!$A$1,"Scenario",Y$12,"P&amp;L Item",$B49)/Y$29,0),"0.00%"))</f>
        <v>0</v>
      </c>
      <c r="Z49" s="65">
        <f>CHOOSE(PLColumn,IFERROR(GETPIVOTDATA("Sum of "&amp;Z$9,'PT-All'!$A$1,"Scenario",Z$12,"P&amp;L Item",$B49),0),IFERROR(GETPIVOTDATA("Sum of "&amp;Z$9,'PT-All'!$A$1,"Scenario",Z$12,"P&amp;L Item",$B49)/Z$201,0),TEXT(IFERROR(GETPIVOTDATA("Sum of "&amp;Z$9,'PT-All'!$A$1,"Scenario",Z$12,"P&amp;L Item",$B49)/Z$29,0),"0.00%"))</f>
        <v>0</v>
      </c>
      <c r="AA49" s="65">
        <f>CHOOSE(PLColumn,IFERROR(GETPIVOTDATA("Sum of "&amp;AA$9,'PT-All'!$A$1,"Scenario",AA$12,"P&amp;L Item",$B49),0),IFERROR(GETPIVOTDATA("Sum of "&amp;AA$9,'PT-All'!$A$1,"Scenario",AA$12,"P&amp;L Item",$B49)/AA$201,0),TEXT(IFERROR(GETPIVOTDATA("Sum of "&amp;AA$9,'PT-All'!$A$1,"Scenario",AA$12,"P&amp;L Item",$B49)/AA$29,0),"0.00%"))</f>
        <v>0</v>
      </c>
      <c r="AB49" s="65">
        <f>CHOOSE(PLColumn,IFERROR(GETPIVOTDATA("Sum of "&amp;AB$9,'PT-All'!$A$1,"Scenario",AB$12,"P&amp;L Item",$B49),0),IFERROR(GETPIVOTDATA("Sum of "&amp;AB$9,'PT-All'!$A$1,"Scenario",AB$12,"P&amp;L Item",$B49)/AB$201,0),TEXT(IFERROR(GETPIVOTDATA("Sum of "&amp;AB$9,'PT-All'!$A$1,"Scenario",AB$12,"P&amp;L Item",$B49)/AB$29,0),"0.00%"))</f>
        <v>0</v>
      </c>
      <c r="AC49" s="65">
        <f>CHOOSE(PLColumn,IFERROR(GETPIVOTDATA("Sum of "&amp;AC$9,'PT-All'!$A$1,"Scenario",AC$12,"P&amp;L Item",$B49),0),IFERROR(GETPIVOTDATA("Sum of "&amp;AC$9,'PT-All'!$A$1,"Scenario",AC$12,"P&amp;L Item",$B49)/AC$201,0),TEXT(IFERROR(GETPIVOTDATA("Sum of "&amp;AC$9,'PT-All'!$A$1,"Scenario",AC$12,"P&amp;L Item",$B49)/AC$29,0),"0.00%"))</f>
        <v>0</v>
      </c>
      <c r="AD49" s="65">
        <f>CHOOSE(PLColumn,IFERROR(GETPIVOTDATA("Sum of "&amp;AD$9,'PT-All'!$A$1,"Scenario",AD$12,"P&amp;L Item",$B49),0),IFERROR(GETPIVOTDATA("Sum of "&amp;AD$9,'PT-All'!$A$1,"Scenario",AD$12,"P&amp;L Item",$B49)/AD$201,0),TEXT(IFERROR(GETPIVOTDATA("Sum of "&amp;AD$9,'PT-All'!$A$1,"Scenario",AD$12,"P&amp;L Item",$B49)/AD$29,0),"0.00%"))</f>
        <v>0</v>
      </c>
      <c r="AE49" s="65">
        <f>CHOOSE(PLColumn,IFERROR(GETPIVOTDATA("Sum of "&amp;AE$9,'PT-All'!$A$1,"Scenario",AE$12,"P&amp;L Item",$B49),0),IFERROR(GETPIVOTDATA("Sum of "&amp;AE$9,'PT-All'!$A$1,"Scenario",AE$12,"P&amp;L Item",$B49)/AE$201,0),TEXT(IFERROR(GETPIVOTDATA("Sum of "&amp;AE$9,'PT-All'!$A$1,"Scenario",AE$12,"P&amp;L Item",$B49)/AE$29,0),"0.00%"))</f>
        <v>0</v>
      </c>
      <c r="AF49" s="65">
        <f>CHOOSE(PLColumn,IFERROR(GETPIVOTDATA("Sum of "&amp;AF$9,'PT-All'!$A$1,"Scenario",AF$12,"P&amp;L Item",$B49),0),IFERROR(GETPIVOTDATA("Sum of "&amp;AF$9,'PT-All'!$A$1,"Scenario",AF$12,"P&amp;L Item",$B49)/AF$201,0),TEXT(IFERROR(GETPIVOTDATA("Sum of "&amp;AF$9,'PT-All'!$A$1,"Scenario",AF$12,"P&amp;L Item",$B49)/AF$29,0),"0.00%"))</f>
        <v>0</v>
      </c>
      <c r="AG49" s="65">
        <f>CHOOSE(PLColumn,IFERROR(GETPIVOTDATA("Sum of "&amp;AG$9,'PT-All'!$A$1,"Scenario",AG$12,"P&amp;L Item",$B49),0),IFERROR(GETPIVOTDATA("Sum of "&amp;AG$9,'PT-All'!$A$1,"Scenario",AG$12,"P&amp;L Item",$B49)/AG$201,0),TEXT(IFERROR(GETPIVOTDATA("Sum of "&amp;AG$9,'PT-All'!$A$1,"Scenario",AG$12,"P&amp;L Item",$B49)/AG$29,0),"0.00%"))</f>
        <v>0</v>
      </c>
      <c r="AH49" s="65">
        <f>CHOOSE(PLColumn,IFERROR(GETPIVOTDATA("Sum of "&amp;AH$9,'PT-All'!$A$1,"Scenario",AH$12,"P&amp;L Item",$B49),0),IFERROR(GETPIVOTDATA("Sum of "&amp;AH$9,'PT-All'!$A$1,"Scenario",AH$12,"P&amp;L Item",$B49)/AH$201,0),TEXT(IFERROR(GETPIVOTDATA("Sum of "&amp;AH$9,'PT-All'!$A$1,"Scenario",AH$12,"P&amp;L Item",$B49)/AH$29,0),"0.00%"))</f>
        <v>0</v>
      </c>
      <c r="AI49" s="65">
        <f>CHOOSE(PLColumn,IFERROR(GETPIVOTDATA("Sum of "&amp;AI$9,'PT-All'!$A$1,"Scenario",AI$12,"P&amp;L Item",$B49),0),IFERROR(GETPIVOTDATA("Sum of "&amp;AI$9,'PT-All'!$A$1,"Scenario",AI$12,"P&amp;L Item",$B49)/AI$201,0),TEXT(IFERROR(GETPIVOTDATA("Sum of "&amp;AI$9,'PT-All'!$A$1,"Scenario",AI$12,"P&amp;L Item",$B49)/AI$29,0),"0.00%"))</f>
        <v>0</v>
      </c>
      <c r="AJ49" s="65">
        <f>CHOOSE(PLColumn,IFERROR(GETPIVOTDATA("Sum of "&amp;AJ$9,'PT-All'!$A$1,"Scenario",AJ$12,"P&amp;L Item",$B49),0),IFERROR(GETPIVOTDATA("Sum of "&amp;AJ$9,'PT-All'!$A$1,"Scenario",AJ$12,"P&amp;L Item",$B49)/AJ$201,0),TEXT(IFERROR(GETPIVOTDATA("Sum of "&amp;AJ$9,'PT-All'!$A$1,"Scenario",AJ$12,"P&amp;L Item",$B49)/AJ$29,0),"0.00%"))</f>
        <v>0</v>
      </c>
      <c r="AK49" s="65">
        <f>CHOOSE(PLColumn,IFERROR(GETPIVOTDATA("Sum of "&amp;AK$9,'PT-All'!$A$1,"Scenario",AK$12,"P&amp;L Item",$B49),0),IFERROR(GETPIVOTDATA("Sum of "&amp;AK$9,'PT-All'!$A$1,"Scenario",AK$12,"P&amp;L Item",$B49)/AK$201,0),TEXT(IFERROR(GETPIVOTDATA("Sum of "&amp;AK$9,'PT-All'!$A$1,"Scenario",AK$12,"P&amp;L Item",$B49)/AK$29,0),"0.00%"))</f>
        <v>0</v>
      </c>
      <c r="AL49" s="97">
        <f>CHOOSE(PLColumn,IFERROR(GETPIVOTDATA("Sum of "&amp;AL$9,'PT-All'!$A$1,"Scenario",AL$12,"P&amp;L Item",$B49),0),IFERROR(GETPIVOTDATA("Sum of "&amp;AL$9,'PT-All'!$A$1,"Scenario",AL$12,"P&amp;L Item",$B49)/AL$201,0),TEXT(IFERROR(GETPIVOTDATA("Sum of "&amp;AL$9,'PT-All'!$A$1,"Scenario",AL$12,"P&amp;L Item",$B49)/AL$29,0),"0.00%"))</f>
        <v>0</v>
      </c>
      <c r="AM49" s="590"/>
      <c r="AN49" s="108">
        <f ca="1">IF(AN$12="Pro Forma",SUM(OFFSET($B49,0,3*AN$9+1,1,3)),IFERROR(GETPIVOTDATA("Sum of Q"&amp;AN$9+1,'PT-All'!$A$1,"Scenario",AN$12,"P&amp;L Item",$B49),0))</f>
        <v>0</v>
      </c>
      <c r="AO49" s="65">
        <f ca="1">IF(AO$12="Pro Forma",SUM(OFFSET($B49,0,3*AO$9+1,1,3)),IFERROR(GETPIVOTDATA("Sum of Q"&amp;AO$9+1,'PT-All'!$A$1,"Scenario",AO$12,"P&amp;L Item",$B49),0))</f>
        <v>0</v>
      </c>
      <c r="AP49" s="65">
        <f ca="1">IF(AP$12="Pro Forma",SUM(OFFSET($B49,0,3*AP$9+1,1,3)),IFERROR(GETPIVOTDATA("Sum of Q"&amp;AP$9+1,'PT-All'!$A$1,"Scenario",AP$12,"P&amp;L Item",$B49),0))</f>
        <v>0</v>
      </c>
      <c r="AQ49" s="65">
        <f ca="1">IF(AQ$12="Pro Forma",SUM(OFFSET($B49,0,3*AQ$9+1,1,3)),IFERROR(GETPIVOTDATA("Sum of Q"&amp;AQ$9+1,'PT-All'!$A$1,"Scenario",AQ$12,"P&amp;L Item",$B49),0))</f>
        <v>0</v>
      </c>
      <c r="AR49" s="65">
        <f ca="1">IF(AR$12="Pro Forma",SUM(OFFSET($B49,0,3*AR$9+1,1,3)),IFERROR(GETPIVOTDATA("Sum of Q"&amp;AR$9+1,'PT-All'!$A$1,"Scenario",AR$12,"P&amp;L Item",$B49),0))</f>
        <v>0</v>
      </c>
      <c r="AS49" s="65">
        <f ca="1">IF(AS$12="Pro Forma",SUM(OFFSET($B49,0,3*AS$9+1,1,3)),IFERROR(GETPIVOTDATA("Sum of Q"&amp;AS$9+1,'PT-All'!$A$1,"Scenario",AS$12,"P&amp;L Item",$B49),0))</f>
        <v>0</v>
      </c>
      <c r="AT49" s="65">
        <f ca="1">IF(AT$12="Pro Forma",SUM(OFFSET($B49,0,3*AT$9+1,1,3)),IFERROR(GETPIVOTDATA("Sum of Q"&amp;AT$9+1,'PT-All'!$A$1,"Scenario",AT$12,"P&amp;L Item",$B49),0))</f>
        <v>0</v>
      </c>
      <c r="AU49" s="65">
        <f ca="1">IF(AU$12="Pro Forma",SUM(OFFSET($B49,0,3*AU$9+1,1,3)),IFERROR(GETPIVOTDATA("Sum of Q"&amp;AU$9+1,'PT-All'!$A$1,"Scenario",AU$12,"P&amp;L Item",$B49),0))</f>
        <v>0</v>
      </c>
      <c r="AV49" s="65">
        <f ca="1">IF(AV$12="Pro Forma",SUM(OFFSET($B49,0,3*AV$9+1,1,3)),IFERROR(GETPIVOTDATA("Sum of Q"&amp;AV$9+1,'PT-All'!$A$1,"Scenario",AV$12,"P&amp;L Item",$B49),0))</f>
        <v>0</v>
      </c>
      <c r="AW49" s="65">
        <f ca="1">IF(AW$12="Pro Forma",SUM(OFFSET($B49,0,3*AW$9+1,1,3)),IFERROR(GETPIVOTDATA("Sum of Q"&amp;AW$9+1,'PT-All'!$A$1,"Scenario",AW$12,"P&amp;L Item",$B49),0))</f>
        <v>0</v>
      </c>
      <c r="AX49" s="65">
        <f ca="1">IF(AX$12="Pro Forma",SUM(OFFSET($B49,0,3*AX$9+1,1,3)),IFERROR(GETPIVOTDATA("Sum of Q"&amp;AX$9+1,'PT-All'!$A$1,"Scenario",AX$12,"P&amp;L Item",$B49),0))</f>
        <v>0</v>
      </c>
      <c r="AY49" s="97">
        <f ca="1">IF(AY$12="Pro Forma",SUM(OFFSET($B49,0,3*AY$9+1,1,3)),IFERROR(GETPIVOTDATA("Sum of Q"&amp;AY$9+1,'PT-All'!$A$1,"Scenario",AY$12,"P&amp;L Item",$B49),0))</f>
        <v>0</v>
      </c>
      <c r="AZ49" s="590"/>
      <c r="BA49" s="108">
        <f ca="1">IF(BA$12="Pro Forma",SUM(OFFSET($B49,0,12*BA$9+1,1,12)),IFERROR(GETPIVOTDATA("Sum of FY"&amp;BA$9+1,'PT-All'!$A$1,"Scenario",BA$12,"P&amp;L Item",$B49),0))</f>
        <v>0</v>
      </c>
      <c r="BB49" s="65">
        <f ca="1">IF(BB$12="Pro Forma",SUM(OFFSET($B49,0,12*BB$9+1,1,12)),IFERROR(GETPIVOTDATA("Sum of FY"&amp;BB$9+1,'PT-All'!$A$1,"Scenario",BB$12,"P&amp;L Item",$B49),0))</f>
        <v>0</v>
      </c>
      <c r="BC49" s="97">
        <f ca="1">IF(BC$12="Pro Forma",SUM(OFFSET($B49,0,12*BC$9+1,1,12)),IFERROR(GETPIVOTDATA("Sum of FY"&amp;BC$9+1,'PT-All'!$A$1,"Scenario",BC$12,"P&amp;L Item",$B49),0))</f>
        <v>0</v>
      </c>
    </row>
    <row r="50" spans="2:55" x14ac:dyDescent="0.35">
      <c r="B50" s="80" t="s">
        <v>91</v>
      </c>
      <c r="C50" s="65">
        <f>CHOOSE(PLColumn,IFERROR(GETPIVOTDATA("Sum of "&amp;C$9,'PT-All'!$A$1,"Scenario",C$12,"P&amp;L Item",$B50),0),IFERROR(GETPIVOTDATA("Sum of "&amp;C$9,'PT-All'!$A$1,"Scenario",C$12,"P&amp;L Item",$B50)/C$201,0),TEXT(IFERROR(GETPIVOTDATA("Sum of "&amp;C$9,'PT-All'!$A$1,"Scenario",C$12,"P&amp;L Item",$B50)/C$29,0),"0.00%"))</f>
        <v>0</v>
      </c>
      <c r="D50" s="65">
        <f>CHOOSE(PLColumn,IFERROR(GETPIVOTDATA("Sum of "&amp;D$9,'PT-All'!$A$1,"Scenario",D$12,"P&amp;L Item",$B50),0),IFERROR(GETPIVOTDATA("Sum of "&amp;D$9,'PT-All'!$A$1,"Scenario",D$12,"P&amp;L Item",$B50)/D$201,0),TEXT(IFERROR(GETPIVOTDATA("Sum of "&amp;D$9,'PT-All'!$A$1,"Scenario",D$12,"P&amp;L Item",$B50)/D$29,0),"0.00%"))</f>
        <v>0</v>
      </c>
      <c r="E50" s="65">
        <f>CHOOSE(PLColumn,IFERROR(GETPIVOTDATA("Sum of "&amp;E$9,'PT-All'!$A$1,"Scenario",E$12,"P&amp;L Item",$B50),0),IFERROR(GETPIVOTDATA("Sum of "&amp;E$9,'PT-All'!$A$1,"Scenario",E$12,"P&amp;L Item",$B50)/E$201,0),TEXT(IFERROR(GETPIVOTDATA("Sum of "&amp;E$9,'PT-All'!$A$1,"Scenario",E$12,"P&amp;L Item",$B50)/E$29,0),"0.00%"))</f>
        <v>0</v>
      </c>
      <c r="F50" s="65">
        <f>CHOOSE(PLColumn,IFERROR(GETPIVOTDATA("Sum of "&amp;F$9,'PT-All'!$A$1,"Scenario",F$12,"P&amp;L Item",$B50),0),IFERROR(GETPIVOTDATA("Sum of "&amp;F$9,'PT-All'!$A$1,"Scenario",F$12,"P&amp;L Item",$B50)/F$201,0),TEXT(IFERROR(GETPIVOTDATA("Sum of "&amp;F$9,'PT-All'!$A$1,"Scenario",F$12,"P&amp;L Item",$B50)/F$29,0),"0.00%"))</f>
        <v>0</v>
      </c>
      <c r="G50" s="65">
        <f>CHOOSE(PLColumn,IFERROR(GETPIVOTDATA("Sum of "&amp;G$9,'PT-All'!$A$1,"Scenario",G$12,"P&amp;L Item",$B50),0),IFERROR(GETPIVOTDATA("Sum of "&amp;G$9,'PT-All'!$A$1,"Scenario",G$12,"P&amp;L Item",$B50)/G$201,0),TEXT(IFERROR(GETPIVOTDATA("Sum of "&amp;G$9,'PT-All'!$A$1,"Scenario",G$12,"P&amp;L Item",$B50)/G$29,0),"0.00%"))</f>
        <v>0</v>
      </c>
      <c r="H50" s="65">
        <f>CHOOSE(PLColumn,IFERROR(GETPIVOTDATA("Sum of "&amp;H$9,'PT-All'!$A$1,"Scenario",H$12,"P&amp;L Item",$B50),0),IFERROR(GETPIVOTDATA("Sum of "&amp;H$9,'PT-All'!$A$1,"Scenario",H$12,"P&amp;L Item",$B50)/H$201,0),TEXT(IFERROR(GETPIVOTDATA("Sum of "&amp;H$9,'PT-All'!$A$1,"Scenario",H$12,"P&amp;L Item",$B50)/H$29,0),"0.00%"))</f>
        <v>0</v>
      </c>
      <c r="I50" s="65">
        <f>CHOOSE(PLColumn,IFERROR(GETPIVOTDATA("Sum of "&amp;I$9,'PT-All'!$A$1,"Scenario",I$12,"P&amp;L Item",$B50),0),IFERROR(GETPIVOTDATA("Sum of "&amp;I$9,'PT-All'!$A$1,"Scenario",I$12,"P&amp;L Item",$B50)/I$201,0),TEXT(IFERROR(GETPIVOTDATA("Sum of "&amp;I$9,'PT-All'!$A$1,"Scenario",I$12,"P&amp;L Item",$B50)/I$29,0),"0.00%"))</f>
        <v>0</v>
      </c>
      <c r="J50" s="65">
        <f>CHOOSE(PLColumn,IFERROR(GETPIVOTDATA("Sum of "&amp;J$9,'PT-All'!$A$1,"Scenario",J$12,"P&amp;L Item",$B50),0),IFERROR(GETPIVOTDATA("Sum of "&amp;J$9,'PT-All'!$A$1,"Scenario",J$12,"P&amp;L Item",$B50)/J$201,0),TEXT(IFERROR(GETPIVOTDATA("Sum of "&amp;J$9,'PT-All'!$A$1,"Scenario",J$12,"P&amp;L Item",$B50)/J$29,0),"0.00%"))</f>
        <v>0</v>
      </c>
      <c r="K50" s="65">
        <f>CHOOSE(PLColumn,IFERROR(GETPIVOTDATA("Sum of "&amp;K$9,'PT-All'!$A$1,"Scenario",K$12,"P&amp;L Item",$B50),0),IFERROR(GETPIVOTDATA("Sum of "&amp;K$9,'PT-All'!$A$1,"Scenario",K$12,"P&amp;L Item",$B50)/K$201,0),TEXT(IFERROR(GETPIVOTDATA("Sum of "&amp;K$9,'PT-All'!$A$1,"Scenario",K$12,"P&amp;L Item",$B50)/K$29,0),"0.00%"))</f>
        <v>0</v>
      </c>
      <c r="L50" s="65">
        <f>CHOOSE(PLColumn,IFERROR(GETPIVOTDATA("Sum of "&amp;L$9,'PT-All'!$A$1,"Scenario",L$12,"P&amp;L Item",$B50),0),IFERROR(GETPIVOTDATA("Sum of "&amp;L$9,'PT-All'!$A$1,"Scenario",L$12,"P&amp;L Item",$B50)/L$201,0),TEXT(IFERROR(GETPIVOTDATA("Sum of "&amp;L$9,'PT-All'!$A$1,"Scenario",L$12,"P&amp;L Item",$B50)/L$29,0),"0.00%"))</f>
        <v>0</v>
      </c>
      <c r="M50" s="65">
        <f>CHOOSE(PLColumn,IFERROR(GETPIVOTDATA("Sum of "&amp;M$9,'PT-All'!$A$1,"Scenario",M$12,"P&amp;L Item",$B50),0),IFERROR(GETPIVOTDATA("Sum of "&amp;M$9,'PT-All'!$A$1,"Scenario",M$12,"P&amp;L Item",$B50)/M$201,0),TEXT(IFERROR(GETPIVOTDATA("Sum of "&amp;M$9,'PT-All'!$A$1,"Scenario",M$12,"P&amp;L Item",$B50)/M$29,0),"0.00%"))</f>
        <v>0</v>
      </c>
      <c r="N50" s="65">
        <f>CHOOSE(PLColumn,IFERROR(GETPIVOTDATA("Sum of "&amp;N$9,'PT-All'!$A$1,"Scenario",N$12,"P&amp;L Item",$B50),0),IFERROR(GETPIVOTDATA("Sum of "&amp;N$9,'PT-All'!$A$1,"Scenario",N$12,"P&amp;L Item",$B50)/N$201,0),TEXT(IFERROR(GETPIVOTDATA("Sum of "&amp;N$9,'PT-All'!$A$1,"Scenario",N$12,"P&amp;L Item",$B50)/N$29,0),"0.00%"))</f>
        <v>0</v>
      </c>
      <c r="O50" s="65">
        <f>CHOOSE(PLColumn,IFERROR(GETPIVOTDATA("Sum of "&amp;O$9,'PT-All'!$A$1,"Scenario",O$12,"P&amp;L Item",$B50),0),IFERROR(GETPIVOTDATA("Sum of "&amp;O$9,'PT-All'!$A$1,"Scenario",O$12,"P&amp;L Item",$B50)/O$201,0),TEXT(IFERROR(GETPIVOTDATA("Sum of "&amp;O$9,'PT-All'!$A$1,"Scenario",O$12,"P&amp;L Item",$B50)/O$29,0),"0.00%"))</f>
        <v>0</v>
      </c>
      <c r="P50" s="65">
        <f>CHOOSE(PLColumn,IFERROR(GETPIVOTDATA("Sum of "&amp;P$9,'PT-All'!$A$1,"Scenario",P$12,"P&amp;L Item",$B50),0),IFERROR(GETPIVOTDATA("Sum of "&amp;P$9,'PT-All'!$A$1,"Scenario",P$12,"P&amp;L Item",$B50)/P$201,0),TEXT(IFERROR(GETPIVOTDATA("Sum of "&amp;P$9,'PT-All'!$A$1,"Scenario",P$12,"P&amp;L Item",$B50)/P$29,0),"0.00%"))</f>
        <v>0</v>
      </c>
      <c r="Q50" s="65">
        <f>CHOOSE(PLColumn,IFERROR(GETPIVOTDATA("Sum of "&amp;Q$9,'PT-All'!$A$1,"Scenario",Q$12,"P&amp;L Item",$B50),0),IFERROR(GETPIVOTDATA("Sum of "&amp;Q$9,'PT-All'!$A$1,"Scenario",Q$12,"P&amp;L Item",$B50)/Q$201,0),TEXT(IFERROR(GETPIVOTDATA("Sum of "&amp;Q$9,'PT-All'!$A$1,"Scenario",Q$12,"P&amp;L Item",$B50)/Q$29,0),"0.00%"))</f>
        <v>0</v>
      </c>
      <c r="R50" s="65">
        <f>CHOOSE(PLColumn,IFERROR(GETPIVOTDATA("Sum of "&amp;R$9,'PT-All'!$A$1,"Scenario",R$12,"P&amp;L Item",$B50),0),IFERROR(GETPIVOTDATA("Sum of "&amp;R$9,'PT-All'!$A$1,"Scenario",R$12,"P&amp;L Item",$B50)/R$201,0),TEXT(IFERROR(GETPIVOTDATA("Sum of "&amp;R$9,'PT-All'!$A$1,"Scenario",R$12,"P&amp;L Item",$B50)/R$29,0),"0.00%"))</f>
        <v>0</v>
      </c>
      <c r="S50" s="65">
        <f>CHOOSE(PLColumn,IFERROR(GETPIVOTDATA("Sum of "&amp;S$9,'PT-All'!$A$1,"Scenario",S$12,"P&amp;L Item",$B50),0),IFERROR(GETPIVOTDATA("Sum of "&amp;S$9,'PT-All'!$A$1,"Scenario",S$12,"P&amp;L Item",$B50)/S$201,0),TEXT(IFERROR(GETPIVOTDATA("Sum of "&amp;S$9,'PT-All'!$A$1,"Scenario",S$12,"P&amp;L Item",$B50)/S$29,0),"0.00%"))</f>
        <v>0</v>
      </c>
      <c r="T50" s="65">
        <f>CHOOSE(PLColumn,IFERROR(GETPIVOTDATA("Sum of "&amp;T$9,'PT-All'!$A$1,"Scenario",T$12,"P&amp;L Item",$B50),0),IFERROR(GETPIVOTDATA("Sum of "&amp;T$9,'PT-All'!$A$1,"Scenario",T$12,"P&amp;L Item",$B50)/T$201,0),TEXT(IFERROR(GETPIVOTDATA("Sum of "&amp;T$9,'PT-All'!$A$1,"Scenario",T$12,"P&amp;L Item",$B50)/T$29,0),"0.00%"))</f>
        <v>0</v>
      </c>
      <c r="U50" s="65">
        <f>CHOOSE(PLColumn,IFERROR(GETPIVOTDATA("Sum of "&amp;U$9,'PT-All'!$A$1,"Scenario",U$12,"P&amp;L Item",$B50),0),IFERROR(GETPIVOTDATA("Sum of "&amp;U$9,'PT-All'!$A$1,"Scenario",U$12,"P&amp;L Item",$B50)/U$201,0),TEXT(IFERROR(GETPIVOTDATA("Sum of "&amp;U$9,'PT-All'!$A$1,"Scenario",U$12,"P&amp;L Item",$B50)/U$29,0),"0.00%"))</f>
        <v>0</v>
      </c>
      <c r="V50" s="65">
        <f>CHOOSE(PLColumn,IFERROR(GETPIVOTDATA("Sum of "&amp;V$9,'PT-All'!$A$1,"Scenario",V$12,"P&amp;L Item",$B50),0),IFERROR(GETPIVOTDATA("Sum of "&amp;V$9,'PT-All'!$A$1,"Scenario",V$12,"P&amp;L Item",$B50)/V$201,0),TEXT(IFERROR(GETPIVOTDATA("Sum of "&amp;V$9,'PT-All'!$A$1,"Scenario",V$12,"P&amp;L Item",$B50)/V$29,0),"0.00%"))</f>
        <v>0</v>
      </c>
      <c r="W50" s="65">
        <f>CHOOSE(PLColumn,IFERROR(GETPIVOTDATA("Sum of "&amp;W$9,'PT-All'!$A$1,"Scenario",W$12,"P&amp;L Item",$B50),0),IFERROR(GETPIVOTDATA("Sum of "&amp;W$9,'PT-All'!$A$1,"Scenario",W$12,"P&amp;L Item",$B50)/W$201,0),TEXT(IFERROR(GETPIVOTDATA("Sum of "&amp;W$9,'PT-All'!$A$1,"Scenario",W$12,"P&amp;L Item",$B50)/W$29,0),"0.00%"))</f>
        <v>0</v>
      </c>
      <c r="X50" s="65">
        <f>CHOOSE(PLColumn,IFERROR(GETPIVOTDATA("Sum of "&amp;X$9,'PT-All'!$A$1,"Scenario",X$12,"P&amp;L Item",$B50),0),IFERROR(GETPIVOTDATA("Sum of "&amp;X$9,'PT-All'!$A$1,"Scenario",X$12,"P&amp;L Item",$B50)/X$201,0),TEXT(IFERROR(GETPIVOTDATA("Sum of "&amp;X$9,'PT-All'!$A$1,"Scenario",X$12,"P&amp;L Item",$B50)/X$29,0),"0.00%"))</f>
        <v>0</v>
      </c>
      <c r="Y50" s="65">
        <f>CHOOSE(PLColumn,IFERROR(GETPIVOTDATA("Sum of "&amp;Y$9,'PT-All'!$A$1,"Scenario",Y$12,"P&amp;L Item",$B50),0),IFERROR(GETPIVOTDATA("Sum of "&amp;Y$9,'PT-All'!$A$1,"Scenario",Y$12,"P&amp;L Item",$B50)/Y$201,0),TEXT(IFERROR(GETPIVOTDATA("Sum of "&amp;Y$9,'PT-All'!$A$1,"Scenario",Y$12,"P&amp;L Item",$B50)/Y$29,0),"0.00%"))</f>
        <v>0</v>
      </c>
      <c r="Z50" s="65">
        <f>CHOOSE(PLColumn,IFERROR(GETPIVOTDATA("Sum of "&amp;Z$9,'PT-All'!$A$1,"Scenario",Z$12,"P&amp;L Item",$B50),0),IFERROR(GETPIVOTDATA("Sum of "&amp;Z$9,'PT-All'!$A$1,"Scenario",Z$12,"P&amp;L Item",$B50)/Z$201,0),TEXT(IFERROR(GETPIVOTDATA("Sum of "&amp;Z$9,'PT-All'!$A$1,"Scenario",Z$12,"P&amp;L Item",$B50)/Z$29,0),"0.00%"))</f>
        <v>0</v>
      </c>
      <c r="AA50" s="65">
        <f>CHOOSE(PLColumn,IFERROR(GETPIVOTDATA("Sum of "&amp;AA$9,'PT-All'!$A$1,"Scenario",AA$12,"P&amp;L Item",$B50),0),IFERROR(GETPIVOTDATA("Sum of "&amp;AA$9,'PT-All'!$A$1,"Scenario",AA$12,"P&amp;L Item",$B50)/AA$201,0),TEXT(IFERROR(GETPIVOTDATA("Sum of "&amp;AA$9,'PT-All'!$A$1,"Scenario",AA$12,"P&amp;L Item",$B50)/AA$29,0),"0.00%"))</f>
        <v>0</v>
      </c>
      <c r="AB50" s="65">
        <f>CHOOSE(PLColumn,IFERROR(GETPIVOTDATA("Sum of "&amp;AB$9,'PT-All'!$A$1,"Scenario",AB$12,"P&amp;L Item",$B50),0),IFERROR(GETPIVOTDATA("Sum of "&amp;AB$9,'PT-All'!$A$1,"Scenario",AB$12,"P&amp;L Item",$B50)/AB$201,0),TEXT(IFERROR(GETPIVOTDATA("Sum of "&amp;AB$9,'PT-All'!$A$1,"Scenario",AB$12,"P&amp;L Item",$B50)/AB$29,0),"0.00%"))</f>
        <v>0</v>
      </c>
      <c r="AC50" s="65">
        <f>CHOOSE(PLColumn,IFERROR(GETPIVOTDATA("Sum of "&amp;AC$9,'PT-All'!$A$1,"Scenario",AC$12,"P&amp;L Item",$B50),0),IFERROR(GETPIVOTDATA("Sum of "&amp;AC$9,'PT-All'!$A$1,"Scenario",AC$12,"P&amp;L Item",$B50)/AC$201,0),TEXT(IFERROR(GETPIVOTDATA("Sum of "&amp;AC$9,'PT-All'!$A$1,"Scenario",AC$12,"P&amp;L Item",$B50)/AC$29,0),"0.00%"))</f>
        <v>0</v>
      </c>
      <c r="AD50" s="65">
        <f>CHOOSE(PLColumn,IFERROR(GETPIVOTDATA("Sum of "&amp;AD$9,'PT-All'!$A$1,"Scenario",AD$12,"P&amp;L Item",$B50),0),IFERROR(GETPIVOTDATA("Sum of "&amp;AD$9,'PT-All'!$A$1,"Scenario",AD$12,"P&amp;L Item",$B50)/AD$201,0),TEXT(IFERROR(GETPIVOTDATA("Sum of "&amp;AD$9,'PT-All'!$A$1,"Scenario",AD$12,"P&amp;L Item",$B50)/AD$29,0),"0.00%"))</f>
        <v>0</v>
      </c>
      <c r="AE50" s="65">
        <f>CHOOSE(PLColumn,IFERROR(GETPIVOTDATA("Sum of "&amp;AE$9,'PT-All'!$A$1,"Scenario",AE$12,"P&amp;L Item",$B50),0),IFERROR(GETPIVOTDATA("Sum of "&amp;AE$9,'PT-All'!$A$1,"Scenario",AE$12,"P&amp;L Item",$B50)/AE$201,0),TEXT(IFERROR(GETPIVOTDATA("Sum of "&amp;AE$9,'PT-All'!$A$1,"Scenario",AE$12,"P&amp;L Item",$B50)/AE$29,0),"0.00%"))</f>
        <v>0</v>
      </c>
      <c r="AF50" s="65">
        <f>CHOOSE(PLColumn,IFERROR(GETPIVOTDATA("Sum of "&amp;AF$9,'PT-All'!$A$1,"Scenario",AF$12,"P&amp;L Item",$B50),0),IFERROR(GETPIVOTDATA("Sum of "&amp;AF$9,'PT-All'!$A$1,"Scenario",AF$12,"P&amp;L Item",$B50)/AF$201,0),TEXT(IFERROR(GETPIVOTDATA("Sum of "&amp;AF$9,'PT-All'!$A$1,"Scenario",AF$12,"P&amp;L Item",$B50)/AF$29,0),"0.00%"))</f>
        <v>0</v>
      </c>
      <c r="AG50" s="65">
        <f>CHOOSE(PLColumn,IFERROR(GETPIVOTDATA("Sum of "&amp;AG$9,'PT-All'!$A$1,"Scenario",AG$12,"P&amp;L Item",$B50),0),IFERROR(GETPIVOTDATA("Sum of "&amp;AG$9,'PT-All'!$A$1,"Scenario",AG$12,"P&amp;L Item",$B50)/AG$201,0),TEXT(IFERROR(GETPIVOTDATA("Sum of "&amp;AG$9,'PT-All'!$A$1,"Scenario",AG$12,"P&amp;L Item",$B50)/AG$29,0),"0.00%"))</f>
        <v>0</v>
      </c>
      <c r="AH50" s="65">
        <f>CHOOSE(PLColumn,IFERROR(GETPIVOTDATA("Sum of "&amp;AH$9,'PT-All'!$A$1,"Scenario",AH$12,"P&amp;L Item",$B50),0),IFERROR(GETPIVOTDATA("Sum of "&amp;AH$9,'PT-All'!$A$1,"Scenario",AH$12,"P&amp;L Item",$B50)/AH$201,0),TEXT(IFERROR(GETPIVOTDATA("Sum of "&amp;AH$9,'PT-All'!$A$1,"Scenario",AH$12,"P&amp;L Item",$B50)/AH$29,0),"0.00%"))</f>
        <v>0</v>
      </c>
      <c r="AI50" s="65">
        <f>CHOOSE(PLColumn,IFERROR(GETPIVOTDATA("Sum of "&amp;AI$9,'PT-All'!$A$1,"Scenario",AI$12,"P&amp;L Item",$B50),0),IFERROR(GETPIVOTDATA("Sum of "&amp;AI$9,'PT-All'!$A$1,"Scenario",AI$12,"P&amp;L Item",$B50)/AI$201,0),TEXT(IFERROR(GETPIVOTDATA("Sum of "&amp;AI$9,'PT-All'!$A$1,"Scenario",AI$12,"P&amp;L Item",$B50)/AI$29,0),"0.00%"))</f>
        <v>0</v>
      </c>
      <c r="AJ50" s="65">
        <f>CHOOSE(PLColumn,IFERROR(GETPIVOTDATA("Sum of "&amp;AJ$9,'PT-All'!$A$1,"Scenario",AJ$12,"P&amp;L Item",$B50),0),IFERROR(GETPIVOTDATA("Sum of "&amp;AJ$9,'PT-All'!$A$1,"Scenario",AJ$12,"P&amp;L Item",$B50)/AJ$201,0),TEXT(IFERROR(GETPIVOTDATA("Sum of "&amp;AJ$9,'PT-All'!$A$1,"Scenario",AJ$12,"P&amp;L Item",$B50)/AJ$29,0),"0.00%"))</f>
        <v>0</v>
      </c>
      <c r="AK50" s="65">
        <f>CHOOSE(PLColumn,IFERROR(GETPIVOTDATA("Sum of "&amp;AK$9,'PT-All'!$A$1,"Scenario",AK$12,"P&amp;L Item",$B50),0),IFERROR(GETPIVOTDATA("Sum of "&amp;AK$9,'PT-All'!$A$1,"Scenario",AK$12,"P&amp;L Item",$B50)/AK$201,0),TEXT(IFERROR(GETPIVOTDATA("Sum of "&amp;AK$9,'PT-All'!$A$1,"Scenario",AK$12,"P&amp;L Item",$B50)/AK$29,0),"0.00%"))</f>
        <v>0</v>
      </c>
      <c r="AL50" s="97">
        <f>CHOOSE(PLColumn,IFERROR(GETPIVOTDATA("Sum of "&amp;AL$9,'PT-All'!$A$1,"Scenario",AL$12,"P&amp;L Item",$B50),0),IFERROR(GETPIVOTDATA("Sum of "&amp;AL$9,'PT-All'!$A$1,"Scenario",AL$12,"P&amp;L Item",$B50)/AL$201,0),TEXT(IFERROR(GETPIVOTDATA("Sum of "&amp;AL$9,'PT-All'!$A$1,"Scenario",AL$12,"P&amp;L Item",$B50)/AL$29,0),"0.00%"))</f>
        <v>0</v>
      </c>
      <c r="AM50" s="590"/>
      <c r="AN50" s="108">
        <f ca="1">IF(AN$12="Pro Forma",SUM(OFFSET($B50,0,3*AN$9+1,1,3)),IFERROR(GETPIVOTDATA("Sum of Q"&amp;AN$9+1,'PT-All'!$A$1,"Scenario",AN$12,"P&amp;L Item",$B50),0))</f>
        <v>0</v>
      </c>
      <c r="AO50" s="65">
        <f ca="1">IF(AO$12="Pro Forma",SUM(OFFSET($B50,0,3*AO$9+1,1,3)),IFERROR(GETPIVOTDATA("Sum of Q"&amp;AO$9+1,'PT-All'!$A$1,"Scenario",AO$12,"P&amp;L Item",$B50),0))</f>
        <v>0</v>
      </c>
      <c r="AP50" s="65">
        <f ca="1">IF(AP$12="Pro Forma",SUM(OFFSET($B50,0,3*AP$9+1,1,3)),IFERROR(GETPIVOTDATA("Sum of Q"&amp;AP$9+1,'PT-All'!$A$1,"Scenario",AP$12,"P&amp;L Item",$B50),0))</f>
        <v>0</v>
      </c>
      <c r="AQ50" s="65">
        <f ca="1">IF(AQ$12="Pro Forma",SUM(OFFSET($B50,0,3*AQ$9+1,1,3)),IFERROR(GETPIVOTDATA("Sum of Q"&amp;AQ$9+1,'PT-All'!$A$1,"Scenario",AQ$12,"P&amp;L Item",$B50),0))</f>
        <v>0</v>
      </c>
      <c r="AR50" s="65">
        <f ca="1">IF(AR$12="Pro Forma",SUM(OFFSET($B50,0,3*AR$9+1,1,3)),IFERROR(GETPIVOTDATA("Sum of Q"&amp;AR$9+1,'PT-All'!$A$1,"Scenario",AR$12,"P&amp;L Item",$B50),0))</f>
        <v>0</v>
      </c>
      <c r="AS50" s="65">
        <f ca="1">IF(AS$12="Pro Forma",SUM(OFFSET($B50,0,3*AS$9+1,1,3)),IFERROR(GETPIVOTDATA("Sum of Q"&amp;AS$9+1,'PT-All'!$A$1,"Scenario",AS$12,"P&amp;L Item",$B50),0))</f>
        <v>0</v>
      </c>
      <c r="AT50" s="65">
        <f ca="1">IF(AT$12="Pro Forma",SUM(OFFSET($B50,0,3*AT$9+1,1,3)),IFERROR(GETPIVOTDATA("Sum of Q"&amp;AT$9+1,'PT-All'!$A$1,"Scenario",AT$12,"P&amp;L Item",$B50),0))</f>
        <v>0</v>
      </c>
      <c r="AU50" s="65">
        <f ca="1">IF(AU$12="Pro Forma",SUM(OFFSET($B50,0,3*AU$9+1,1,3)),IFERROR(GETPIVOTDATA("Sum of Q"&amp;AU$9+1,'PT-All'!$A$1,"Scenario",AU$12,"P&amp;L Item",$B50),0))</f>
        <v>0</v>
      </c>
      <c r="AV50" s="65">
        <f ca="1">IF(AV$12="Pro Forma",SUM(OFFSET($B50,0,3*AV$9+1,1,3)),IFERROR(GETPIVOTDATA("Sum of Q"&amp;AV$9+1,'PT-All'!$A$1,"Scenario",AV$12,"P&amp;L Item",$B50),0))</f>
        <v>0</v>
      </c>
      <c r="AW50" s="65">
        <f ca="1">IF(AW$12="Pro Forma",SUM(OFFSET($B50,0,3*AW$9+1,1,3)),IFERROR(GETPIVOTDATA("Sum of Q"&amp;AW$9+1,'PT-All'!$A$1,"Scenario",AW$12,"P&amp;L Item",$B50),0))</f>
        <v>0</v>
      </c>
      <c r="AX50" s="65">
        <f ca="1">IF(AX$12="Pro Forma",SUM(OFFSET($B50,0,3*AX$9+1,1,3)),IFERROR(GETPIVOTDATA("Sum of Q"&amp;AX$9+1,'PT-All'!$A$1,"Scenario",AX$12,"P&amp;L Item",$B50),0))</f>
        <v>0</v>
      </c>
      <c r="AY50" s="97">
        <f ca="1">IF(AY$12="Pro Forma",SUM(OFFSET($B50,0,3*AY$9+1,1,3)),IFERROR(GETPIVOTDATA("Sum of Q"&amp;AY$9+1,'PT-All'!$A$1,"Scenario",AY$12,"P&amp;L Item",$B50),0))</f>
        <v>0</v>
      </c>
      <c r="AZ50" s="590"/>
      <c r="BA50" s="108">
        <f ca="1">IF(BA$12="Pro Forma",SUM(OFFSET($B50,0,12*BA$9+1,1,12)),IFERROR(GETPIVOTDATA("Sum of FY"&amp;BA$9+1,'PT-All'!$A$1,"Scenario",BA$12,"P&amp;L Item",$B50),0))</f>
        <v>0</v>
      </c>
      <c r="BB50" s="65">
        <f ca="1">IF(BB$12="Pro Forma",SUM(OFFSET($B50,0,12*BB$9+1,1,12)),IFERROR(GETPIVOTDATA("Sum of FY"&amp;BB$9+1,'PT-All'!$A$1,"Scenario",BB$12,"P&amp;L Item",$B50),0))</f>
        <v>0</v>
      </c>
      <c r="BC50" s="97">
        <f ca="1">IF(BC$12="Pro Forma",SUM(OFFSET($B50,0,12*BC$9+1,1,12)),IFERROR(GETPIVOTDATA("Sum of FY"&amp;BC$9+1,'PT-All'!$A$1,"Scenario",BC$12,"P&amp;L Item",$B50),0))</f>
        <v>0</v>
      </c>
    </row>
    <row r="51" spans="2:55" x14ac:dyDescent="0.35">
      <c r="B51" s="80" t="s">
        <v>92</v>
      </c>
      <c r="C51" s="65">
        <f>CHOOSE(PLColumn,IFERROR(GETPIVOTDATA("Sum of "&amp;C$9,'PT-All'!$A$1,"Scenario",C$12,"P&amp;L Item",$B51),0),IFERROR(GETPIVOTDATA("Sum of "&amp;C$9,'PT-All'!$A$1,"Scenario",C$12,"P&amp;L Item",$B51)/C$201,0),TEXT(IFERROR(GETPIVOTDATA("Sum of "&amp;C$9,'PT-All'!$A$1,"Scenario",C$12,"P&amp;L Item",$B51)/C$29,0),"0.00%"))</f>
        <v>0</v>
      </c>
      <c r="D51" s="65">
        <f>CHOOSE(PLColumn,IFERROR(GETPIVOTDATA("Sum of "&amp;D$9,'PT-All'!$A$1,"Scenario",D$12,"P&amp;L Item",$B51),0),IFERROR(GETPIVOTDATA("Sum of "&amp;D$9,'PT-All'!$A$1,"Scenario",D$12,"P&amp;L Item",$B51)/D$201,0),TEXT(IFERROR(GETPIVOTDATA("Sum of "&amp;D$9,'PT-All'!$A$1,"Scenario",D$12,"P&amp;L Item",$B51)/D$29,0),"0.00%"))</f>
        <v>0</v>
      </c>
      <c r="E51" s="65">
        <f>CHOOSE(PLColumn,IFERROR(GETPIVOTDATA("Sum of "&amp;E$9,'PT-All'!$A$1,"Scenario",E$12,"P&amp;L Item",$B51),0),IFERROR(GETPIVOTDATA("Sum of "&amp;E$9,'PT-All'!$A$1,"Scenario",E$12,"P&amp;L Item",$B51)/E$201,0),TEXT(IFERROR(GETPIVOTDATA("Sum of "&amp;E$9,'PT-All'!$A$1,"Scenario",E$12,"P&amp;L Item",$B51)/E$29,0),"0.00%"))</f>
        <v>0</v>
      </c>
      <c r="F51" s="65">
        <f>CHOOSE(PLColumn,IFERROR(GETPIVOTDATA("Sum of "&amp;F$9,'PT-All'!$A$1,"Scenario",F$12,"P&amp;L Item",$B51),0),IFERROR(GETPIVOTDATA("Sum of "&amp;F$9,'PT-All'!$A$1,"Scenario",F$12,"P&amp;L Item",$B51)/F$201,0),TEXT(IFERROR(GETPIVOTDATA("Sum of "&amp;F$9,'PT-All'!$A$1,"Scenario",F$12,"P&amp;L Item",$B51)/F$29,0),"0.00%"))</f>
        <v>0</v>
      </c>
      <c r="G51" s="65">
        <f>CHOOSE(PLColumn,IFERROR(GETPIVOTDATA("Sum of "&amp;G$9,'PT-All'!$A$1,"Scenario",G$12,"P&amp;L Item",$B51),0),IFERROR(GETPIVOTDATA("Sum of "&amp;G$9,'PT-All'!$A$1,"Scenario",G$12,"P&amp;L Item",$B51)/G$201,0),TEXT(IFERROR(GETPIVOTDATA("Sum of "&amp;G$9,'PT-All'!$A$1,"Scenario",G$12,"P&amp;L Item",$B51)/G$29,0),"0.00%"))</f>
        <v>0</v>
      </c>
      <c r="H51" s="65">
        <f>CHOOSE(PLColumn,IFERROR(GETPIVOTDATA("Sum of "&amp;H$9,'PT-All'!$A$1,"Scenario",H$12,"P&amp;L Item",$B51),0),IFERROR(GETPIVOTDATA("Sum of "&amp;H$9,'PT-All'!$A$1,"Scenario",H$12,"P&amp;L Item",$B51)/H$201,0),TEXT(IFERROR(GETPIVOTDATA("Sum of "&amp;H$9,'PT-All'!$A$1,"Scenario",H$12,"P&amp;L Item",$B51)/H$29,0),"0.00%"))</f>
        <v>0</v>
      </c>
      <c r="I51" s="65">
        <f>CHOOSE(PLColumn,IFERROR(GETPIVOTDATA("Sum of "&amp;I$9,'PT-All'!$A$1,"Scenario",I$12,"P&amp;L Item",$B51),0),IFERROR(GETPIVOTDATA("Sum of "&amp;I$9,'PT-All'!$A$1,"Scenario",I$12,"P&amp;L Item",$B51)/I$201,0),TEXT(IFERROR(GETPIVOTDATA("Sum of "&amp;I$9,'PT-All'!$A$1,"Scenario",I$12,"P&amp;L Item",$B51)/I$29,0),"0.00%"))</f>
        <v>0</v>
      </c>
      <c r="J51" s="65">
        <f>CHOOSE(PLColumn,IFERROR(GETPIVOTDATA("Sum of "&amp;J$9,'PT-All'!$A$1,"Scenario",J$12,"P&amp;L Item",$B51),0),IFERROR(GETPIVOTDATA("Sum of "&amp;J$9,'PT-All'!$A$1,"Scenario",J$12,"P&amp;L Item",$B51)/J$201,0),TEXT(IFERROR(GETPIVOTDATA("Sum of "&amp;J$9,'PT-All'!$A$1,"Scenario",J$12,"P&amp;L Item",$B51)/J$29,0),"0.00%"))</f>
        <v>0</v>
      </c>
      <c r="K51" s="65">
        <f>CHOOSE(PLColumn,IFERROR(GETPIVOTDATA("Sum of "&amp;K$9,'PT-All'!$A$1,"Scenario",K$12,"P&amp;L Item",$B51),0),IFERROR(GETPIVOTDATA("Sum of "&amp;K$9,'PT-All'!$A$1,"Scenario",K$12,"P&amp;L Item",$B51)/K$201,0),TEXT(IFERROR(GETPIVOTDATA("Sum of "&amp;K$9,'PT-All'!$A$1,"Scenario",K$12,"P&amp;L Item",$B51)/K$29,0),"0.00%"))</f>
        <v>0</v>
      </c>
      <c r="L51" s="65">
        <f>CHOOSE(PLColumn,IFERROR(GETPIVOTDATA("Sum of "&amp;L$9,'PT-All'!$A$1,"Scenario",L$12,"P&amp;L Item",$B51),0),IFERROR(GETPIVOTDATA("Sum of "&amp;L$9,'PT-All'!$A$1,"Scenario",L$12,"P&amp;L Item",$B51)/L$201,0),TEXT(IFERROR(GETPIVOTDATA("Sum of "&amp;L$9,'PT-All'!$A$1,"Scenario",L$12,"P&amp;L Item",$B51)/L$29,0),"0.00%"))</f>
        <v>0</v>
      </c>
      <c r="M51" s="65">
        <f>CHOOSE(PLColumn,IFERROR(GETPIVOTDATA("Sum of "&amp;M$9,'PT-All'!$A$1,"Scenario",M$12,"P&amp;L Item",$B51),0),IFERROR(GETPIVOTDATA("Sum of "&amp;M$9,'PT-All'!$A$1,"Scenario",M$12,"P&amp;L Item",$B51)/M$201,0),TEXT(IFERROR(GETPIVOTDATA("Sum of "&amp;M$9,'PT-All'!$A$1,"Scenario",M$12,"P&amp;L Item",$B51)/M$29,0),"0.00%"))</f>
        <v>0</v>
      </c>
      <c r="N51" s="65">
        <f>CHOOSE(PLColumn,IFERROR(GETPIVOTDATA("Sum of "&amp;N$9,'PT-All'!$A$1,"Scenario",N$12,"P&amp;L Item",$B51),0),IFERROR(GETPIVOTDATA("Sum of "&amp;N$9,'PT-All'!$A$1,"Scenario",N$12,"P&amp;L Item",$B51)/N$201,0),TEXT(IFERROR(GETPIVOTDATA("Sum of "&amp;N$9,'PT-All'!$A$1,"Scenario",N$12,"P&amp;L Item",$B51)/N$29,0),"0.00%"))</f>
        <v>0</v>
      </c>
      <c r="O51" s="65">
        <f>CHOOSE(PLColumn,IFERROR(GETPIVOTDATA("Sum of "&amp;O$9,'PT-All'!$A$1,"Scenario",O$12,"P&amp;L Item",$B51),0),IFERROR(GETPIVOTDATA("Sum of "&amp;O$9,'PT-All'!$A$1,"Scenario",O$12,"P&amp;L Item",$B51)/O$201,0),TEXT(IFERROR(GETPIVOTDATA("Sum of "&amp;O$9,'PT-All'!$A$1,"Scenario",O$12,"P&amp;L Item",$B51)/O$29,0),"0.00%"))</f>
        <v>0</v>
      </c>
      <c r="P51" s="65">
        <f>CHOOSE(PLColumn,IFERROR(GETPIVOTDATA("Sum of "&amp;P$9,'PT-All'!$A$1,"Scenario",P$12,"P&amp;L Item",$B51),0),IFERROR(GETPIVOTDATA("Sum of "&amp;P$9,'PT-All'!$A$1,"Scenario",P$12,"P&amp;L Item",$B51)/P$201,0),TEXT(IFERROR(GETPIVOTDATA("Sum of "&amp;P$9,'PT-All'!$A$1,"Scenario",P$12,"P&amp;L Item",$B51)/P$29,0),"0.00%"))</f>
        <v>0</v>
      </c>
      <c r="Q51" s="65">
        <f>CHOOSE(PLColumn,IFERROR(GETPIVOTDATA("Sum of "&amp;Q$9,'PT-All'!$A$1,"Scenario",Q$12,"P&amp;L Item",$B51),0),IFERROR(GETPIVOTDATA("Sum of "&amp;Q$9,'PT-All'!$A$1,"Scenario",Q$12,"P&amp;L Item",$B51)/Q$201,0),TEXT(IFERROR(GETPIVOTDATA("Sum of "&amp;Q$9,'PT-All'!$A$1,"Scenario",Q$12,"P&amp;L Item",$B51)/Q$29,0),"0.00%"))</f>
        <v>0</v>
      </c>
      <c r="R51" s="65">
        <f>CHOOSE(PLColumn,IFERROR(GETPIVOTDATA("Sum of "&amp;R$9,'PT-All'!$A$1,"Scenario",R$12,"P&amp;L Item",$B51),0),IFERROR(GETPIVOTDATA("Sum of "&amp;R$9,'PT-All'!$A$1,"Scenario",R$12,"P&amp;L Item",$B51)/R$201,0),TEXT(IFERROR(GETPIVOTDATA("Sum of "&amp;R$9,'PT-All'!$A$1,"Scenario",R$12,"P&amp;L Item",$B51)/R$29,0),"0.00%"))</f>
        <v>0</v>
      </c>
      <c r="S51" s="65">
        <f>CHOOSE(PLColumn,IFERROR(GETPIVOTDATA("Sum of "&amp;S$9,'PT-All'!$A$1,"Scenario",S$12,"P&amp;L Item",$B51),0),IFERROR(GETPIVOTDATA("Sum of "&amp;S$9,'PT-All'!$A$1,"Scenario",S$12,"P&amp;L Item",$B51)/S$201,0),TEXT(IFERROR(GETPIVOTDATA("Sum of "&amp;S$9,'PT-All'!$A$1,"Scenario",S$12,"P&amp;L Item",$B51)/S$29,0),"0.00%"))</f>
        <v>0</v>
      </c>
      <c r="T51" s="65">
        <f>CHOOSE(PLColumn,IFERROR(GETPIVOTDATA("Sum of "&amp;T$9,'PT-All'!$A$1,"Scenario",T$12,"P&amp;L Item",$B51),0),IFERROR(GETPIVOTDATA("Sum of "&amp;T$9,'PT-All'!$A$1,"Scenario",T$12,"P&amp;L Item",$B51)/T$201,0),TEXT(IFERROR(GETPIVOTDATA("Sum of "&amp;T$9,'PT-All'!$A$1,"Scenario",T$12,"P&amp;L Item",$B51)/T$29,0),"0.00%"))</f>
        <v>0</v>
      </c>
      <c r="U51" s="65">
        <f>CHOOSE(PLColumn,IFERROR(GETPIVOTDATA("Sum of "&amp;U$9,'PT-All'!$A$1,"Scenario",U$12,"P&amp;L Item",$B51),0),IFERROR(GETPIVOTDATA("Sum of "&amp;U$9,'PT-All'!$A$1,"Scenario",U$12,"P&amp;L Item",$B51)/U$201,0),TEXT(IFERROR(GETPIVOTDATA("Sum of "&amp;U$9,'PT-All'!$A$1,"Scenario",U$12,"P&amp;L Item",$B51)/U$29,0),"0.00%"))</f>
        <v>0</v>
      </c>
      <c r="V51" s="65">
        <f>CHOOSE(PLColumn,IFERROR(GETPIVOTDATA("Sum of "&amp;V$9,'PT-All'!$A$1,"Scenario",V$12,"P&amp;L Item",$B51),0),IFERROR(GETPIVOTDATA("Sum of "&amp;V$9,'PT-All'!$A$1,"Scenario",V$12,"P&amp;L Item",$B51)/V$201,0),TEXT(IFERROR(GETPIVOTDATA("Sum of "&amp;V$9,'PT-All'!$A$1,"Scenario",V$12,"P&amp;L Item",$B51)/V$29,0),"0.00%"))</f>
        <v>0</v>
      </c>
      <c r="W51" s="65">
        <f>CHOOSE(PLColumn,IFERROR(GETPIVOTDATA("Sum of "&amp;W$9,'PT-All'!$A$1,"Scenario",W$12,"P&amp;L Item",$B51),0),IFERROR(GETPIVOTDATA("Sum of "&amp;W$9,'PT-All'!$A$1,"Scenario",W$12,"P&amp;L Item",$B51)/W$201,0),TEXT(IFERROR(GETPIVOTDATA("Sum of "&amp;W$9,'PT-All'!$A$1,"Scenario",W$12,"P&amp;L Item",$B51)/W$29,0),"0.00%"))</f>
        <v>0</v>
      </c>
      <c r="X51" s="65">
        <f>CHOOSE(PLColumn,IFERROR(GETPIVOTDATA("Sum of "&amp;X$9,'PT-All'!$A$1,"Scenario",X$12,"P&amp;L Item",$B51),0),IFERROR(GETPIVOTDATA("Sum of "&amp;X$9,'PT-All'!$A$1,"Scenario",X$12,"P&amp;L Item",$B51)/X$201,0),TEXT(IFERROR(GETPIVOTDATA("Sum of "&amp;X$9,'PT-All'!$A$1,"Scenario",X$12,"P&amp;L Item",$B51)/X$29,0),"0.00%"))</f>
        <v>0</v>
      </c>
      <c r="Y51" s="65">
        <f>CHOOSE(PLColumn,IFERROR(GETPIVOTDATA("Sum of "&amp;Y$9,'PT-All'!$A$1,"Scenario",Y$12,"P&amp;L Item",$B51),0),IFERROR(GETPIVOTDATA("Sum of "&amp;Y$9,'PT-All'!$A$1,"Scenario",Y$12,"P&amp;L Item",$B51)/Y$201,0),TEXT(IFERROR(GETPIVOTDATA("Sum of "&amp;Y$9,'PT-All'!$A$1,"Scenario",Y$12,"P&amp;L Item",$B51)/Y$29,0),"0.00%"))</f>
        <v>0</v>
      </c>
      <c r="Z51" s="65">
        <f>CHOOSE(PLColumn,IFERROR(GETPIVOTDATA("Sum of "&amp;Z$9,'PT-All'!$A$1,"Scenario",Z$12,"P&amp;L Item",$B51),0),IFERROR(GETPIVOTDATA("Sum of "&amp;Z$9,'PT-All'!$A$1,"Scenario",Z$12,"P&amp;L Item",$B51)/Z$201,0),TEXT(IFERROR(GETPIVOTDATA("Sum of "&amp;Z$9,'PT-All'!$A$1,"Scenario",Z$12,"P&amp;L Item",$B51)/Z$29,0),"0.00%"))</f>
        <v>0</v>
      </c>
      <c r="AA51" s="65">
        <f>CHOOSE(PLColumn,IFERROR(GETPIVOTDATA("Sum of "&amp;AA$9,'PT-All'!$A$1,"Scenario",AA$12,"P&amp;L Item",$B51),0),IFERROR(GETPIVOTDATA("Sum of "&amp;AA$9,'PT-All'!$A$1,"Scenario",AA$12,"P&amp;L Item",$B51)/AA$201,0),TEXT(IFERROR(GETPIVOTDATA("Sum of "&amp;AA$9,'PT-All'!$A$1,"Scenario",AA$12,"P&amp;L Item",$B51)/AA$29,0),"0.00%"))</f>
        <v>0</v>
      </c>
      <c r="AB51" s="65">
        <f>CHOOSE(PLColumn,IFERROR(GETPIVOTDATA("Sum of "&amp;AB$9,'PT-All'!$A$1,"Scenario",AB$12,"P&amp;L Item",$B51),0),IFERROR(GETPIVOTDATA("Sum of "&amp;AB$9,'PT-All'!$A$1,"Scenario",AB$12,"P&amp;L Item",$B51)/AB$201,0),TEXT(IFERROR(GETPIVOTDATA("Sum of "&amp;AB$9,'PT-All'!$A$1,"Scenario",AB$12,"P&amp;L Item",$B51)/AB$29,0),"0.00%"))</f>
        <v>0</v>
      </c>
      <c r="AC51" s="65">
        <f>CHOOSE(PLColumn,IFERROR(GETPIVOTDATA("Sum of "&amp;AC$9,'PT-All'!$A$1,"Scenario",AC$12,"P&amp;L Item",$B51),0),IFERROR(GETPIVOTDATA("Sum of "&amp;AC$9,'PT-All'!$A$1,"Scenario",AC$12,"P&amp;L Item",$B51)/AC$201,0),TEXT(IFERROR(GETPIVOTDATA("Sum of "&amp;AC$9,'PT-All'!$A$1,"Scenario",AC$12,"P&amp;L Item",$B51)/AC$29,0),"0.00%"))</f>
        <v>0</v>
      </c>
      <c r="AD51" s="65">
        <f>CHOOSE(PLColumn,IFERROR(GETPIVOTDATA("Sum of "&amp;AD$9,'PT-All'!$A$1,"Scenario",AD$12,"P&amp;L Item",$B51),0),IFERROR(GETPIVOTDATA("Sum of "&amp;AD$9,'PT-All'!$A$1,"Scenario",AD$12,"P&amp;L Item",$B51)/AD$201,0),TEXT(IFERROR(GETPIVOTDATA("Sum of "&amp;AD$9,'PT-All'!$A$1,"Scenario",AD$12,"P&amp;L Item",$B51)/AD$29,0),"0.00%"))</f>
        <v>0</v>
      </c>
      <c r="AE51" s="65">
        <f>CHOOSE(PLColumn,IFERROR(GETPIVOTDATA("Sum of "&amp;AE$9,'PT-All'!$A$1,"Scenario",AE$12,"P&amp;L Item",$B51),0),IFERROR(GETPIVOTDATA("Sum of "&amp;AE$9,'PT-All'!$A$1,"Scenario",AE$12,"P&amp;L Item",$B51)/AE$201,0),TEXT(IFERROR(GETPIVOTDATA("Sum of "&amp;AE$9,'PT-All'!$A$1,"Scenario",AE$12,"P&amp;L Item",$B51)/AE$29,0),"0.00%"))</f>
        <v>0</v>
      </c>
      <c r="AF51" s="65">
        <f>CHOOSE(PLColumn,IFERROR(GETPIVOTDATA("Sum of "&amp;AF$9,'PT-All'!$A$1,"Scenario",AF$12,"P&amp;L Item",$B51),0),IFERROR(GETPIVOTDATA("Sum of "&amp;AF$9,'PT-All'!$A$1,"Scenario",AF$12,"P&amp;L Item",$B51)/AF$201,0),TEXT(IFERROR(GETPIVOTDATA("Sum of "&amp;AF$9,'PT-All'!$A$1,"Scenario",AF$12,"P&amp;L Item",$B51)/AF$29,0),"0.00%"))</f>
        <v>0</v>
      </c>
      <c r="AG51" s="65">
        <f>CHOOSE(PLColumn,IFERROR(GETPIVOTDATA("Sum of "&amp;AG$9,'PT-All'!$A$1,"Scenario",AG$12,"P&amp;L Item",$B51),0),IFERROR(GETPIVOTDATA("Sum of "&amp;AG$9,'PT-All'!$A$1,"Scenario",AG$12,"P&amp;L Item",$B51)/AG$201,0),TEXT(IFERROR(GETPIVOTDATA("Sum of "&amp;AG$9,'PT-All'!$A$1,"Scenario",AG$12,"P&amp;L Item",$B51)/AG$29,0),"0.00%"))</f>
        <v>0</v>
      </c>
      <c r="AH51" s="65">
        <f>CHOOSE(PLColumn,IFERROR(GETPIVOTDATA("Sum of "&amp;AH$9,'PT-All'!$A$1,"Scenario",AH$12,"P&amp;L Item",$B51),0),IFERROR(GETPIVOTDATA("Sum of "&amp;AH$9,'PT-All'!$A$1,"Scenario",AH$12,"P&amp;L Item",$B51)/AH$201,0),TEXT(IFERROR(GETPIVOTDATA("Sum of "&amp;AH$9,'PT-All'!$A$1,"Scenario",AH$12,"P&amp;L Item",$B51)/AH$29,0),"0.00%"))</f>
        <v>0</v>
      </c>
      <c r="AI51" s="65">
        <f>CHOOSE(PLColumn,IFERROR(GETPIVOTDATA("Sum of "&amp;AI$9,'PT-All'!$A$1,"Scenario",AI$12,"P&amp;L Item",$B51),0),IFERROR(GETPIVOTDATA("Sum of "&amp;AI$9,'PT-All'!$A$1,"Scenario",AI$12,"P&amp;L Item",$B51)/AI$201,0),TEXT(IFERROR(GETPIVOTDATA("Sum of "&amp;AI$9,'PT-All'!$A$1,"Scenario",AI$12,"P&amp;L Item",$B51)/AI$29,0),"0.00%"))</f>
        <v>0</v>
      </c>
      <c r="AJ51" s="65">
        <f>CHOOSE(PLColumn,IFERROR(GETPIVOTDATA("Sum of "&amp;AJ$9,'PT-All'!$A$1,"Scenario",AJ$12,"P&amp;L Item",$B51),0),IFERROR(GETPIVOTDATA("Sum of "&amp;AJ$9,'PT-All'!$A$1,"Scenario",AJ$12,"P&amp;L Item",$B51)/AJ$201,0),TEXT(IFERROR(GETPIVOTDATA("Sum of "&amp;AJ$9,'PT-All'!$A$1,"Scenario",AJ$12,"P&amp;L Item",$B51)/AJ$29,0),"0.00%"))</f>
        <v>0</v>
      </c>
      <c r="AK51" s="65">
        <f>CHOOSE(PLColumn,IFERROR(GETPIVOTDATA("Sum of "&amp;AK$9,'PT-All'!$A$1,"Scenario",AK$12,"P&amp;L Item",$B51),0),IFERROR(GETPIVOTDATA("Sum of "&amp;AK$9,'PT-All'!$A$1,"Scenario",AK$12,"P&amp;L Item",$B51)/AK$201,0),TEXT(IFERROR(GETPIVOTDATA("Sum of "&amp;AK$9,'PT-All'!$A$1,"Scenario",AK$12,"P&amp;L Item",$B51)/AK$29,0),"0.00%"))</f>
        <v>0</v>
      </c>
      <c r="AL51" s="97">
        <f>CHOOSE(PLColumn,IFERROR(GETPIVOTDATA("Sum of "&amp;AL$9,'PT-All'!$A$1,"Scenario",AL$12,"P&amp;L Item",$B51),0),IFERROR(GETPIVOTDATA("Sum of "&amp;AL$9,'PT-All'!$A$1,"Scenario",AL$12,"P&amp;L Item",$B51)/AL$201,0),TEXT(IFERROR(GETPIVOTDATA("Sum of "&amp;AL$9,'PT-All'!$A$1,"Scenario",AL$12,"P&amp;L Item",$B51)/AL$29,0),"0.00%"))</f>
        <v>0</v>
      </c>
      <c r="AM51" s="590"/>
      <c r="AN51" s="108">
        <f ca="1">IF(AN$12="Pro Forma",SUM(OFFSET($B51,0,3*AN$9+1,1,3)),IFERROR(GETPIVOTDATA("Sum of Q"&amp;AN$9+1,'PT-All'!$A$1,"Scenario",AN$12,"P&amp;L Item",$B51),0))</f>
        <v>0</v>
      </c>
      <c r="AO51" s="65">
        <f ca="1">IF(AO$12="Pro Forma",SUM(OFFSET($B51,0,3*AO$9+1,1,3)),IFERROR(GETPIVOTDATA("Sum of Q"&amp;AO$9+1,'PT-All'!$A$1,"Scenario",AO$12,"P&amp;L Item",$B51),0))</f>
        <v>0</v>
      </c>
      <c r="AP51" s="65">
        <f ca="1">IF(AP$12="Pro Forma",SUM(OFFSET($B51,0,3*AP$9+1,1,3)),IFERROR(GETPIVOTDATA("Sum of Q"&amp;AP$9+1,'PT-All'!$A$1,"Scenario",AP$12,"P&amp;L Item",$B51),0))</f>
        <v>0</v>
      </c>
      <c r="AQ51" s="65">
        <f ca="1">IF(AQ$12="Pro Forma",SUM(OFFSET($B51,0,3*AQ$9+1,1,3)),IFERROR(GETPIVOTDATA("Sum of Q"&amp;AQ$9+1,'PT-All'!$A$1,"Scenario",AQ$12,"P&amp;L Item",$B51),0))</f>
        <v>0</v>
      </c>
      <c r="AR51" s="65">
        <f ca="1">IF(AR$12="Pro Forma",SUM(OFFSET($B51,0,3*AR$9+1,1,3)),IFERROR(GETPIVOTDATA("Sum of Q"&amp;AR$9+1,'PT-All'!$A$1,"Scenario",AR$12,"P&amp;L Item",$B51),0))</f>
        <v>0</v>
      </c>
      <c r="AS51" s="65">
        <f ca="1">IF(AS$12="Pro Forma",SUM(OFFSET($B51,0,3*AS$9+1,1,3)),IFERROR(GETPIVOTDATA("Sum of Q"&amp;AS$9+1,'PT-All'!$A$1,"Scenario",AS$12,"P&amp;L Item",$B51),0))</f>
        <v>0</v>
      </c>
      <c r="AT51" s="65">
        <f ca="1">IF(AT$12="Pro Forma",SUM(OFFSET($B51,0,3*AT$9+1,1,3)),IFERROR(GETPIVOTDATA("Sum of Q"&amp;AT$9+1,'PT-All'!$A$1,"Scenario",AT$12,"P&amp;L Item",$B51),0))</f>
        <v>0</v>
      </c>
      <c r="AU51" s="65">
        <f ca="1">IF(AU$12="Pro Forma",SUM(OFFSET($B51,0,3*AU$9+1,1,3)),IFERROR(GETPIVOTDATA("Sum of Q"&amp;AU$9+1,'PT-All'!$A$1,"Scenario",AU$12,"P&amp;L Item",$B51),0))</f>
        <v>0</v>
      </c>
      <c r="AV51" s="65">
        <f ca="1">IF(AV$12="Pro Forma",SUM(OFFSET($B51,0,3*AV$9+1,1,3)),IFERROR(GETPIVOTDATA("Sum of Q"&amp;AV$9+1,'PT-All'!$A$1,"Scenario",AV$12,"P&amp;L Item",$B51),0))</f>
        <v>0</v>
      </c>
      <c r="AW51" s="65">
        <f ca="1">IF(AW$12="Pro Forma",SUM(OFFSET($B51,0,3*AW$9+1,1,3)),IFERROR(GETPIVOTDATA("Sum of Q"&amp;AW$9+1,'PT-All'!$A$1,"Scenario",AW$12,"P&amp;L Item",$B51),0))</f>
        <v>0</v>
      </c>
      <c r="AX51" s="65">
        <f ca="1">IF(AX$12="Pro Forma",SUM(OFFSET($B51,0,3*AX$9+1,1,3)),IFERROR(GETPIVOTDATA("Sum of Q"&amp;AX$9+1,'PT-All'!$A$1,"Scenario",AX$12,"P&amp;L Item",$B51),0))</f>
        <v>0</v>
      </c>
      <c r="AY51" s="97">
        <f ca="1">IF(AY$12="Pro Forma",SUM(OFFSET($B51,0,3*AY$9+1,1,3)),IFERROR(GETPIVOTDATA("Sum of Q"&amp;AY$9+1,'PT-All'!$A$1,"Scenario",AY$12,"P&amp;L Item",$B51),0))</f>
        <v>0</v>
      </c>
      <c r="AZ51" s="590"/>
      <c r="BA51" s="108">
        <f ca="1">IF(BA$12="Pro Forma",SUM(OFFSET($B51,0,12*BA$9+1,1,12)),IFERROR(GETPIVOTDATA("Sum of FY"&amp;BA$9+1,'PT-All'!$A$1,"Scenario",BA$12,"P&amp;L Item",$B51),0))</f>
        <v>0</v>
      </c>
      <c r="BB51" s="65">
        <f ca="1">IF(BB$12="Pro Forma",SUM(OFFSET($B51,0,12*BB$9+1,1,12)),IFERROR(GETPIVOTDATA("Sum of FY"&amp;BB$9+1,'PT-All'!$A$1,"Scenario",BB$12,"P&amp;L Item",$B51),0))</f>
        <v>0</v>
      </c>
      <c r="BC51" s="97">
        <f ca="1">IF(BC$12="Pro Forma",SUM(OFFSET($B51,0,12*BC$9+1,1,12)),IFERROR(GETPIVOTDATA("Sum of FY"&amp;BC$9+1,'PT-All'!$A$1,"Scenario",BC$12,"P&amp;L Item",$B51),0))</f>
        <v>0</v>
      </c>
    </row>
    <row r="52" spans="2:55" x14ac:dyDescent="0.35">
      <c r="B52" s="81" t="s">
        <v>37</v>
      </c>
      <c r="C52" s="78">
        <f t="shared" ref="C52:AN52" si="131">SUM(C53:C57)</f>
        <v>0</v>
      </c>
      <c r="D52" s="78">
        <f t="shared" si="131"/>
        <v>0</v>
      </c>
      <c r="E52" s="78">
        <f t="shared" si="131"/>
        <v>0</v>
      </c>
      <c r="F52" s="78">
        <f t="shared" si="131"/>
        <v>0</v>
      </c>
      <c r="G52" s="78">
        <f t="shared" si="131"/>
        <v>0</v>
      </c>
      <c r="H52" s="78">
        <f t="shared" si="131"/>
        <v>0</v>
      </c>
      <c r="I52" s="78">
        <f t="shared" si="131"/>
        <v>0</v>
      </c>
      <c r="J52" s="78">
        <f t="shared" si="131"/>
        <v>0</v>
      </c>
      <c r="K52" s="78">
        <f t="shared" si="131"/>
        <v>0</v>
      </c>
      <c r="L52" s="78">
        <f t="shared" si="131"/>
        <v>0</v>
      </c>
      <c r="M52" s="78">
        <f t="shared" si="131"/>
        <v>0</v>
      </c>
      <c r="N52" s="78">
        <f t="shared" si="131"/>
        <v>0</v>
      </c>
      <c r="O52" s="78">
        <f t="shared" si="131"/>
        <v>0</v>
      </c>
      <c r="P52" s="78">
        <f t="shared" si="131"/>
        <v>0</v>
      </c>
      <c r="Q52" s="78">
        <f t="shared" si="131"/>
        <v>0</v>
      </c>
      <c r="R52" s="78">
        <f t="shared" si="131"/>
        <v>0</v>
      </c>
      <c r="S52" s="78">
        <f t="shared" si="131"/>
        <v>0</v>
      </c>
      <c r="T52" s="78">
        <f t="shared" si="131"/>
        <v>0</v>
      </c>
      <c r="U52" s="78">
        <f t="shared" si="131"/>
        <v>0</v>
      </c>
      <c r="V52" s="78">
        <f t="shared" si="131"/>
        <v>0</v>
      </c>
      <c r="W52" s="78">
        <f t="shared" si="131"/>
        <v>0</v>
      </c>
      <c r="X52" s="78">
        <f t="shared" si="131"/>
        <v>0</v>
      </c>
      <c r="Y52" s="78">
        <f t="shared" si="131"/>
        <v>0</v>
      </c>
      <c r="Z52" s="78">
        <f t="shared" ref="Z52:AL52" si="132">SUM(Z53:Z57)</f>
        <v>0</v>
      </c>
      <c r="AA52" s="78">
        <f t="shared" si="132"/>
        <v>0</v>
      </c>
      <c r="AB52" s="78">
        <f t="shared" si="132"/>
        <v>0</v>
      </c>
      <c r="AC52" s="78">
        <f t="shared" si="132"/>
        <v>0</v>
      </c>
      <c r="AD52" s="78">
        <f t="shared" si="132"/>
        <v>0</v>
      </c>
      <c r="AE52" s="78">
        <f t="shared" si="132"/>
        <v>0</v>
      </c>
      <c r="AF52" s="78">
        <f t="shared" si="132"/>
        <v>0</v>
      </c>
      <c r="AG52" s="78">
        <f t="shared" si="132"/>
        <v>0</v>
      </c>
      <c r="AH52" s="78">
        <f t="shared" si="132"/>
        <v>0</v>
      </c>
      <c r="AI52" s="78">
        <f t="shared" si="132"/>
        <v>0</v>
      </c>
      <c r="AJ52" s="78">
        <f t="shared" si="132"/>
        <v>0</v>
      </c>
      <c r="AK52" s="78">
        <f t="shared" si="132"/>
        <v>0</v>
      </c>
      <c r="AL52" s="100">
        <f t="shared" si="132"/>
        <v>0</v>
      </c>
      <c r="AM52" s="590"/>
      <c r="AN52" s="111">
        <f t="shared" ca="1" si="131"/>
        <v>0</v>
      </c>
      <c r="AO52" s="78">
        <f t="shared" ref="AO52" ca="1" si="133">SUM(AO53:AO57)</f>
        <v>0</v>
      </c>
      <c r="AP52" s="78">
        <f t="shared" ref="AP52" ca="1" si="134">SUM(AP53:AP57)</f>
        <v>0</v>
      </c>
      <c r="AQ52" s="78">
        <f t="shared" ref="AQ52" ca="1" si="135">SUM(AQ53:AQ57)</f>
        <v>0</v>
      </c>
      <c r="AR52" s="78">
        <f t="shared" ref="AR52" ca="1" si="136">SUM(AR53:AR57)</f>
        <v>0</v>
      </c>
      <c r="AS52" s="78">
        <f t="shared" ref="AS52" ca="1" si="137">SUM(AS53:AS57)</f>
        <v>0</v>
      </c>
      <c r="AT52" s="78">
        <f t="shared" ref="AT52:AY52" ca="1" si="138">SUM(AT53:AT57)</f>
        <v>0</v>
      </c>
      <c r="AU52" s="78">
        <f t="shared" ca="1" si="138"/>
        <v>0</v>
      </c>
      <c r="AV52" s="78">
        <f t="shared" ca="1" si="138"/>
        <v>0</v>
      </c>
      <c r="AW52" s="78">
        <f t="shared" ca="1" si="138"/>
        <v>0</v>
      </c>
      <c r="AX52" s="78">
        <f t="shared" ca="1" si="138"/>
        <v>0</v>
      </c>
      <c r="AY52" s="100">
        <f t="shared" ca="1" si="138"/>
        <v>0</v>
      </c>
      <c r="AZ52" s="590"/>
      <c r="BA52" s="111">
        <f t="shared" ref="BA52" ca="1" si="139">SUM(BA53:BA57)</f>
        <v>0</v>
      </c>
      <c r="BB52" s="78">
        <f t="shared" ref="BB52:BC52" ca="1" si="140">SUM(BB53:BB57)</f>
        <v>0</v>
      </c>
      <c r="BC52" s="100">
        <f t="shared" ca="1" si="140"/>
        <v>0</v>
      </c>
    </row>
    <row r="53" spans="2:55" x14ac:dyDescent="0.35">
      <c r="B53" s="64" t="s">
        <v>38</v>
      </c>
      <c r="C53" s="65">
        <f>CHOOSE(PLColumn,IFERROR(GETPIVOTDATA("Sum of "&amp;C$9,'PT-All'!$A$1,"Scenario",C$12,"P&amp;L Item",$B53),0),IFERROR(GETPIVOTDATA("Sum of "&amp;C$9,'PT-All'!$A$1,"Scenario",C$12,"P&amp;L Item",$B53)/C$201,0),TEXT(IFERROR(GETPIVOTDATA("Sum of "&amp;C$9,'PT-All'!$A$1,"Scenario",C$12,"P&amp;L Item",$B53)/C$29,0),"0.00%"))</f>
        <v>0</v>
      </c>
      <c r="D53" s="65">
        <f>CHOOSE(PLColumn,IFERROR(GETPIVOTDATA("Sum of "&amp;D$9,'PT-All'!$A$1,"Scenario",D$12,"P&amp;L Item",$B53),0),IFERROR(GETPIVOTDATA("Sum of "&amp;D$9,'PT-All'!$A$1,"Scenario",D$12,"P&amp;L Item",$B53)/D$201,0),TEXT(IFERROR(GETPIVOTDATA("Sum of "&amp;D$9,'PT-All'!$A$1,"Scenario",D$12,"P&amp;L Item",$B53)/D$29,0),"0.00%"))</f>
        <v>0</v>
      </c>
      <c r="E53" s="65">
        <f>CHOOSE(PLColumn,IFERROR(GETPIVOTDATA("Sum of "&amp;E$9,'PT-All'!$A$1,"Scenario",E$12,"P&amp;L Item",$B53),0),IFERROR(GETPIVOTDATA("Sum of "&amp;E$9,'PT-All'!$A$1,"Scenario",E$12,"P&amp;L Item",$B53)/E$201,0),TEXT(IFERROR(GETPIVOTDATA("Sum of "&amp;E$9,'PT-All'!$A$1,"Scenario",E$12,"P&amp;L Item",$B53)/E$29,0),"0.00%"))</f>
        <v>0</v>
      </c>
      <c r="F53" s="65">
        <f>CHOOSE(PLColumn,IFERROR(GETPIVOTDATA("Sum of "&amp;F$9,'PT-All'!$A$1,"Scenario",F$12,"P&amp;L Item",$B53),0),IFERROR(GETPIVOTDATA("Sum of "&amp;F$9,'PT-All'!$A$1,"Scenario",F$12,"P&amp;L Item",$B53)/F$201,0),TEXT(IFERROR(GETPIVOTDATA("Sum of "&amp;F$9,'PT-All'!$A$1,"Scenario",F$12,"P&amp;L Item",$B53)/F$29,0),"0.00%"))</f>
        <v>0</v>
      </c>
      <c r="G53" s="65">
        <f>CHOOSE(PLColumn,IFERROR(GETPIVOTDATA("Sum of "&amp;G$9,'PT-All'!$A$1,"Scenario",G$12,"P&amp;L Item",$B53),0),IFERROR(GETPIVOTDATA("Sum of "&amp;G$9,'PT-All'!$A$1,"Scenario",G$12,"P&amp;L Item",$B53)/G$201,0),TEXT(IFERROR(GETPIVOTDATA("Sum of "&amp;G$9,'PT-All'!$A$1,"Scenario",G$12,"P&amp;L Item",$B53)/G$29,0),"0.00%"))</f>
        <v>0</v>
      </c>
      <c r="H53" s="65">
        <f>CHOOSE(PLColumn,IFERROR(GETPIVOTDATA("Sum of "&amp;H$9,'PT-All'!$A$1,"Scenario",H$12,"P&amp;L Item",$B53),0),IFERROR(GETPIVOTDATA("Sum of "&amp;H$9,'PT-All'!$A$1,"Scenario",H$12,"P&amp;L Item",$B53)/H$201,0),TEXT(IFERROR(GETPIVOTDATA("Sum of "&amp;H$9,'PT-All'!$A$1,"Scenario",H$12,"P&amp;L Item",$B53)/H$29,0),"0.00%"))</f>
        <v>0</v>
      </c>
      <c r="I53" s="65">
        <f>CHOOSE(PLColumn,IFERROR(GETPIVOTDATA("Sum of "&amp;I$9,'PT-All'!$A$1,"Scenario",I$12,"P&amp;L Item",$B53),0),IFERROR(GETPIVOTDATA("Sum of "&amp;I$9,'PT-All'!$A$1,"Scenario",I$12,"P&amp;L Item",$B53)/I$201,0),TEXT(IFERROR(GETPIVOTDATA("Sum of "&amp;I$9,'PT-All'!$A$1,"Scenario",I$12,"P&amp;L Item",$B53)/I$29,0),"0.00%"))</f>
        <v>0</v>
      </c>
      <c r="J53" s="65">
        <f>CHOOSE(PLColumn,IFERROR(GETPIVOTDATA("Sum of "&amp;J$9,'PT-All'!$A$1,"Scenario",J$12,"P&amp;L Item",$B53),0),IFERROR(GETPIVOTDATA("Sum of "&amp;J$9,'PT-All'!$A$1,"Scenario",J$12,"P&amp;L Item",$B53)/J$201,0),TEXT(IFERROR(GETPIVOTDATA("Sum of "&amp;J$9,'PT-All'!$A$1,"Scenario",J$12,"P&amp;L Item",$B53)/J$29,0),"0.00%"))</f>
        <v>0</v>
      </c>
      <c r="K53" s="65">
        <f>CHOOSE(PLColumn,IFERROR(GETPIVOTDATA("Sum of "&amp;K$9,'PT-All'!$A$1,"Scenario",K$12,"P&amp;L Item",$B53),0),IFERROR(GETPIVOTDATA("Sum of "&amp;K$9,'PT-All'!$A$1,"Scenario",K$12,"P&amp;L Item",$B53)/K$201,0),TEXT(IFERROR(GETPIVOTDATA("Sum of "&amp;K$9,'PT-All'!$A$1,"Scenario",K$12,"P&amp;L Item",$B53)/K$29,0),"0.00%"))</f>
        <v>0</v>
      </c>
      <c r="L53" s="65">
        <f>CHOOSE(PLColumn,IFERROR(GETPIVOTDATA("Sum of "&amp;L$9,'PT-All'!$A$1,"Scenario",L$12,"P&amp;L Item",$B53),0),IFERROR(GETPIVOTDATA("Sum of "&amp;L$9,'PT-All'!$A$1,"Scenario",L$12,"P&amp;L Item",$B53)/L$201,0),TEXT(IFERROR(GETPIVOTDATA("Sum of "&amp;L$9,'PT-All'!$A$1,"Scenario",L$12,"P&amp;L Item",$B53)/L$29,0),"0.00%"))</f>
        <v>0</v>
      </c>
      <c r="M53" s="65">
        <f>CHOOSE(PLColumn,IFERROR(GETPIVOTDATA("Sum of "&amp;M$9,'PT-All'!$A$1,"Scenario",M$12,"P&amp;L Item",$B53),0),IFERROR(GETPIVOTDATA("Sum of "&amp;M$9,'PT-All'!$A$1,"Scenario",M$12,"P&amp;L Item",$B53)/M$201,0),TEXT(IFERROR(GETPIVOTDATA("Sum of "&amp;M$9,'PT-All'!$A$1,"Scenario",M$12,"P&amp;L Item",$B53)/M$29,0),"0.00%"))</f>
        <v>0</v>
      </c>
      <c r="N53" s="65">
        <f>CHOOSE(PLColumn,IFERROR(GETPIVOTDATA("Sum of "&amp;N$9,'PT-All'!$A$1,"Scenario",N$12,"P&amp;L Item",$B53),0),IFERROR(GETPIVOTDATA("Sum of "&amp;N$9,'PT-All'!$A$1,"Scenario",N$12,"P&amp;L Item",$B53)/N$201,0),TEXT(IFERROR(GETPIVOTDATA("Sum of "&amp;N$9,'PT-All'!$A$1,"Scenario",N$12,"P&amp;L Item",$B53)/N$29,0),"0.00%"))</f>
        <v>0</v>
      </c>
      <c r="O53" s="65">
        <f>CHOOSE(PLColumn,IFERROR(GETPIVOTDATA("Sum of "&amp;O$9,'PT-All'!$A$1,"Scenario",O$12,"P&amp;L Item",$B53),0),IFERROR(GETPIVOTDATA("Sum of "&amp;O$9,'PT-All'!$A$1,"Scenario",O$12,"P&amp;L Item",$B53)/O$201,0),TEXT(IFERROR(GETPIVOTDATA("Sum of "&amp;O$9,'PT-All'!$A$1,"Scenario",O$12,"P&amp;L Item",$B53)/O$29,0),"0.00%"))</f>
        <v>0</v>
      </c>
      <c r="P53" s="65">
        <f>CHOOSE(PLColumn,IFERROR(GETPIVOTDATA("Sum of "&amp;P$9,'PT-All'!$A$1,"Scenario",P$12,"P&amp;L Item",$B53),0),IFERROR(GETPIVOTDATA("Sum of "&amp;P$9,'PT-All'!$A$1,"Scenario",P$12,"P&amp;L Item",$B53)/P$201,0),TEXT(IFERROR(GETPIVOTDATA("Sum of "&amp;P$9,'PT-All'!$A$1,"Scenario",P$12,"P&amp;L Item",$B53)/P$29,0),"0.00%"))</f>
        <v>0</v>
      </c>
      <c r="Q53" s="65">
        <f>CHOOSE(PLColumn,IFERROR(GETPIVOTDATA("Sum of "&amp;Q$9,'PT-All'!$A$1,"Scenario",Q$12,"P&amp;L Item",$B53),0),IFERROR(GETPIVOTDATA("Sum of "&amp;Q$9,'PT-All'!$A$1,"Scenario",Q$12,"P&amp;L Item",$B53)/Q$201,0),TEXT(IFERROR(GETPIVOTDATA("Sum of "&amp;Q$9,'PT-All'!$A$1,"Scenario",Q$12,"P&amp;L Item",$B53)/Q$29,0),"0.00%"))</f>
        <v>0</v>
      </c>
      <c r="R53" s="65">
        <f>CHOOSE(PLColumn,IFERROR(GETPIVOTDATA("Sum of "&amp;R$9,'PT-All'!$A$1,"Scenario",R$12,"P&amp;L Item",$B53),0),IFERROR(GETPIVOTDATA("Sum of "&amp;R$9,'PT-All'!$A$1,"Scenario",R$12,"P&amp;L Item",$B53)/R$201,0),TEXT(IFERROR(GETPIVOTDATA("Sum of "&amp;R$9,'PT-All'!$A$1,"Scenario",R$12,"P&amp;L Item",$B53)/R$29,0),"0.00%"))</f>
        <v>0</v>
      </c>
      <c r="S53" s="65">
        <f>CHOOSE(PLColumn,IFERROR(GETPIVOTDATA("Sum of "&amp;S$9,'PT-All'!$A$1,"Scenario",S$12,"P&amp;L Item",$B53),0),IFERROR(GETPIVOTDATA("Sum of "&amp;S$9,'PT-All'!$A$1,"Scenario",S$12,"P&amp;L Item",$B53)/S$201,0),TEXT(IFERROR(GETPIVOTDATA("Sum of "&amp;S$9,'PT-All'!$A$1,"Scenario",S$12,"P&amp;L Item",$B53)/S$29,0),"0.00%"))</f>
        <v>0</v>
      </c>
      <c r="T53" s="65">
        <f>CHOOSE(PLColumn,IFERROR(GETPIVOTDATA("Sum of "&amp;T$9,'PT-All'!$A$1,"Scenario",T$12,"P&amp;L Item",$B53),0),IFERROR(GETPIVOTDATA("Sum of "&amp;T$9,'PT-All'!$A$1,"Scenario",T$12,"P&amp;L Item",$B53)/T$201,0),TEXT(IFERROR(GETPIVOTDATA("Sum of "&amp;T$9,'PT-All'!$A$1,"Scenario",T$12,"P&amp;L Item",$B53)/T$29,0),"0.00%"))</f>
        <v>0</v>
      </c>
      <c r="U53" s="65">
        <f>CHOOSE(PLColumn,IFERROR(GETPIVOTDATA("Sum of "&amp;U$9,'PT-All'!$A$1,"Scenario",U$12,"P&amp;L Item",$B53),0),IFERROR(GETPIVOTDATA("Sum of "&amp;U$9,'PT-All'!$A$1,"Scenario",U$12,"P&amp;L Item",$B53)/U$201,0),TEXT(IFERROR(GETPIVOTDATA("Sum of "&amp;U$9,'PT-All'!$A$1,"Scenario",U$12,"P&amp;L Item",$B53)/U$29,0),"0.00%"))</f>
        <v>0</v>
      </c>
      <c r="V53" s="65">
        <f>CHOOSE(PLColumn,IFERROR(GETPIVOTDATA("Sum of "&amp;V$9,'PT-All'!$A$1,"Scenario",V$12,"P&amp;L Item",$B53),0),IFERROR(GETPIVOTDATA("Sum of "&amp;V$9,'PT-All'!$A$1,"Scenario",V$12,"P&amp;L Item",$B53)/V$201,0),TEXT(IFERROR(GETPIVOTDATA("Sum of "&amp;V$9,'PT-All'!$A$1,"Scenario",V$12,"P&amp;L Item",$B53)/V$29,0),"0.00%"))</f>
        <v>0</v>
      </c>
      <c r="W53" s="65">
        <f>CHOOSE(PLColumn,IFERROR(GETPIVOTDATA("Sum of "&amp;W$9,'PT-All'!$A$1,"Scenario",W$12,"P&amp;L Item",$B53),0),IFERROR(GETPIVOTDATA("Sum of "&amp;W$9,'PT-All'!$A$1,"Scenario",W$12,"P&amp;L Item",$B53)/W$201,0),TEXT(IFERROR(GETPIVOTDATA("Sum of "&amp;W$9,'PT-All'!$A$1,"Scenario",W$12,"P&amp;L Item",$B53)/W$29,0),"0.00%"))</f>
        <v>0</v>
      </c>
      <c r="X53" s="65">
        <f>CHOOSE(PLColumn,IFERROR(GETPIVOTDATA("Sum of "&amp;X$9,'PT-All'!$A$1,"Scenario",X$12,"P&amp;L Item",$B53),0),IFERROR(GETPIVOTDATA("Sum of "&amp;X$9,'PT-All'!$A$1,"Scenario",X$12,"P&amp;L Item",$B53)/X$201,0),TEXT(IFERROR(GETPIVOTDATA("Sum of "&amp;X$9,'PT-All'!$A$1,"Scenario",X$12,"P&amp;L Item",$B53)/X$29,0),"0.00%"))</f>
        <v>0</v>
      </c>
      <c r="Y53" s="65">
        <f>CHOOSE(PLColumn,IFERROR(GETPIVOTDATA("Sum of "&amp;Y$9,'PT-All'!$A$1,"Scenario",Y$12,"P&amp;L Item",$B53),0),IFERROR(GETPIVOTDATA("Sum of "&amp;Y$9,'PT-All'!$A$1,"Scenario",Y$12,"P&amp;L Item",$B53)/Y$201,0),TEXT(IFERROR(GETPIVOTDATA("Sum of "&amp;Y$9,'PT-All'!$A$1,"Scenario",Y$12,"P&amp;L Item",$B53)/Y$29,0),"0.00%"))</f>
        <v>0</v>
      </c>
      <c r="Z53" s="65">
        <f>CHOOSE(PLColumn,IFERROR(GETPIVOTDATA("Sum of "&amp;Z$9,'PT-All'!$A$1,"Scenario",Z$12,"P&amp;L Item",$B53),0),IFERROR(GETPIVOTDATA("Sum of "&amp;Z$9,'PT-All'!$A$1,"Scenario",Z$12,"P&amp;L Item",$B53)/Z$201,0),TEXT(IFERROR(GETPIVOTDATA("Sum of "&amp;Z$9,'PT-All'!$A$1,"Scenario",Z$12,"P&amp;L Item",$B53)/Z$29,0),"0.00%"))</f>
        <v>0</v>
      </c>
      <c r="AA53" s="65">
        <f>CHOOSE(PLColumn,IFERROR(GETPIVOTDATA("Sum of "&amp;AA$9,'PT-All'!$A$1,"Scenario",AA$12,"P&amp;L Item",$B53),0),IFERROR(GETPIVOTDATA("Sum of "&amp;AA$9,'PT-All'!$A$1,"Scenario",AA$12,"P&amp;L Item",$B53)/AA$201,0),TEXT(IFERROR(GETPIVOTDATA("Sum of "&amp;AA$9,'PT-All'!$A$1,"Scenario",AA$12,"P&amp;L Item",$B53)/AA$29,0),"0.00%"))</f>
        <v>0</v>
      </c>
      <c r="AB53" s="65">
        <f>CHOOSE(PLColumn,IFERROR(GETPIVOTDATA("Sum of "&amp;AB$9,'PT-All'!$A$1,"Scenario",AB$12,"P&amp;L Item",$B53),0),IFERROR(GETPIVOTDATA("Sum of "&amp;AB$9,'PT-All'!$A$1,"Scenario",AB$12,"P&amp;L Item",$B53)/AB$201,0),TEXT(IFERROR(GETPIVOTDATA("Sum of "&amp;AB$9,'PT-All'!$A$1,"Scenario",AB$12,"P&amp;L Item",$B53)/AB$29,0),"0.00%"))</f>
        <v>0</v>
      </c>
      <c r="AC53" s="65">
        <f>CHOOSE(PLColumn,IFERROR(GETPIVOTDATA("Sum of "&amp;AC$9,'PT-All'!$A$1,"Scenario",AC$12,"P&amp;L Item",$B53),0),IFERROR(GETPIVOTDATA("Sum of "&amp;AC$9,'PT-All'!$A$1,"Scenario",AC$12,"P&amp;L Item",$B53)/AC$201,0),TEXT(IFERROR(GETPIVOTDATA("Sum of "&amp;AC$9,'PT-All'!$A$1,"Scenario",AC$12,"P&amp;L Item",$B53)/AC$29,0),"0.00%"))</f>
        <v>0</v>
      </c>
      <c r="AD53" s="65">
        <f>CHOOSE(PLColumn,IFERROR(GETPIVOTDATA("Sum of "&amp;AD$9,'PT-All'!$A$1,"Scenario",AD$12,"P&amp;L Item",$B53),0),IFERROR(GETPIVOTDATA("Sum of "&amp;AD$9,'PT-All'!$A$1,"Scenario",AD$12,"P&amp;L Item",$B53)/AD$201,0),TEXT(IFERROR(GETPIVOTDATA("Sum of "&amp;AD$9,'PT-All'!$A$1,"Scenario",AD$12,"P&amp;L Item",$B53)/AD$29,0),"0.00%"))</f>
        <v>0</v>
      </c>
      <c r="AE53" s="65">
        <f>CHOOSE(PLColumn,IFERROR(GETPIVOTDATA("Sum of "&amp;AE$9,'PT-All'!$A$1,"Scenario",AE$12,"P&amp;L Item",$B53),0),IFERROR(GETPIVOTDATA("Sum of "&amp;AE$9,'PT-All'!$A$1,"Scenario",AE$12,"P&amp;L Item",$B53)/AE$201,0),TEXT(IFERROR(GETPIVOTDATA("Sum of "&amp;AE$9,'PT-All'!$A$1,"Scenario",AE$12,"P&amp;L Item",$B53)/AE$29,0),"0.00%"))</f>
        <v>0</v>
      </c>
      <c r="AF53" s="65">
        <f>CHOOSE(PLColumn,IFERROR(GETPIVOTDATA("Sum of "&amp;AF$9,'PT-All'!$A$1,"Scenario",AF$12,"P&amp;L Item",$B53),0),IFERROR(GETPIVOTDATA("Sum of "&amp;AF$9,'PT-All'!$A$1,"Scenario",AF$12,"P&amp;L Item",$B53)/AF$201,0),TEXT(IFERROR(GETPIVOTDATA("Sum of "&amp;AF$9,'PT-All'!$A$1,"Scenario",AF$12,"P&amp;L Item",$B53)/AF$29,0),"0.00%"))</f>
        <v>0</v>
      </c>
      <c r="AG53" s="65">
        <f>CHOOSE(PLColumn,IFERROR(GETPIVOTDATA("Sum of "&amp;AG$9,'PT-All'!$A$1,"Scenario",AG$12,"P&amp;L Item",$B53),0),IFERROR(GETPIVOTDATA("Sum of "&amp;AG$9,'PT-All'!$A$1,"Scenario",AG$12,"P&amp;L Item",$B53)/AG$201,0),TEXT(IFERROR(GETPIVOTDATA("Sum of "&amp;AG$9,'PT-All'!$A$1,"Scenario",AG$12,"P&amp;L Item",$B53)/AG$29,0),"0.00%"))</f>
        <v>0</v>
      </c>
      <c r="AH53" s="65">
        <f>CHOOSE(PLColumn,IFERROR(GETPIVOTDATA("Sum of "&amp;AH$9,'PT-All'!$A$1,"Scenario",AH$12,"P&amp;L Item",$B53),0),IFERROR(GETPIVOTDATA("Sum of "&amp;AH$9,'PT-All'!$A$1,"Scenario",AH$12,"P&amp;L Item",$B53)/AH$201,0),TEXT(IFERROR(GETPIVOTDATA("Sum of "&amp;AH$9,'PT-All'!$A$1,"Scenario",AH$12,"P&amp;L Item",$B53)/AH$29,0),"0.00%"))</f>
        <v>0</v>
      </c>
      <c r="AI53" s="65">
        <f>CHOOSE(PLColumn,IFERROR(GETPIVOTDATA("Sum of "&amp;AI$9,'PT-All'!$A$1,"Scenario",AI$12,"P&amp;L Item",$B53),0),IFERROR(GETPIVOTDATA("Sum of "&amp;AI$9,'PT-All'!$A$1,"Scenario",AI$12,"P&amp;L Item",$B53)/AI$201,0),TEXT(IFERROR(GETPIVOTDATA("Sum of "&amp;AI$9,'PT-All'!$A$1,"Scenario",AI$12,"P&amp;L Item",$B53)/AI$29,0),"0.00%"))</f>
        <v>0</v>
      </c>
      <c r="AJ53" s="65">
        <f>CHOOSE(PLColumn,IFERROR(GETPIVOTDATA("Sum of "&amp;AJ$9,'PT-All'!$A$1,"Scenario",AJ$12,"P&amp;L Item",$B53),0),IFERROR(GETPIVOTDATA("Sum of "&amp;AJ$9,'PT-All'!$A$1,"Scenario",AJ$12,"P&amp;L Item",$B53)/AJ$201,0),TEXT(IFERROR(GETPIVOTDATA("Sum of "&amp;AJ$9,'PT-All'!$A$1,"Scenario",AJ$12,"P&amp;L Item",$B53)/AJ$29,0),"0.00%"))</f>
        <v>0</v>
      </c>
      <c r="AK53" s="65">
        <f>CHOOSE(PLColumn,IFERROR(GETPIVOTDATA("Sum of "&amp;AK$9,'PT-All'!$A$1,"Scenario",AK$12,"P&amp;L Item",$B53),0),IFERROR(GETPIVOTDATA("Sum of "&amp;AK$9,'PT-All'!$A$1,"Scenario",AK$12,"P&amp;L Item",$B53)/AK$201,0),TEXT(IFERROR(GETPIVOTDATA("Sum of "&amp;AK$9,'PT-All'!$A$1,"Scenario",AK$12,"P&amp;L Item",$B53)/AK$29,0),"0.00%"))</f>
        <v>0</v>
      </c>
      <c r="AL53" s="97">
        <f>CHOOSE(PLColumn,IFERROR(GETPIVOTDATA("Sum of "&amp;AL$9,'PT-All'!$A$1,"Scenario",AL$12,"P&amp;L Item",$B53),0),IFERROR(GETPIVOTDATA("Sum of "&amp;AL$9,'PT-All'!$A$1,"Scenario",AL$12,"P&amp;L Item",$B53)/AL$201,0),TEXT(IFERROR(GETPIVOTDATA("Sum of "&amp;AL$9,'PT-All'!$A$1,"Scenario",AL$12,"P&amp;L Item",$B53)/AL$29,0),"0.00%"))</f>
        <v>0</v>
      </c>
      <c r="AM53" s="590"/>
      <c r="AN53" s="108">
        <f ca="1">IF(AN$12="Pro Forma",SUM(OFFSET($B53,0,3*AN$9+1,1,3)),IFERROR(GETPIVOTDATA("Sum of Q"&amp;AN$9+1,'PT-All'!$A$1,"Scenario",AN$12,"P&amp;L Item",$B53),0))</f>
        <v>0</v>
      </c>
      <c r="AO53" s="65">
        <f ca="1">IF(AO$12="Pro Forma",SUM(OFFSET($B53,0,3*AO$9+1,1,3)),IFERROR(GETPIVOTDATA("Sum of Q"&amp;AO$9+1,'PT-All'!$A$1,"Scenario",AO$12,"P&amp;L Item",$B53),0))</f>
        <v>0</v>
      </c>
      <c r="AP53" s="65">
        <f ca="1">IF(AP$12="Pro Forma",SUM(OFFSET($B53,0,3*AP$9+1,1,3)),IFERROR(GETPIVOTDATA("Sum of Q"&amp;AP$9+1,'PT-All'!$A$1,"Scenario",AP$12,"P&amp;L Item",$B53),0))</f>
        <v>0</v>
      </c>
      <c r="AQ53" s="65">
        <f ca="1">IF(AQ$12="Pro Forma",SUM(OFFSET($B53,0,3*AQ$9+1,1,3)),IFERROR(GETPIVOTDATA("Sum of Q"&amp;AQ$9+1,'PT-All'!$A$1,"Scenario",AQ$12,"P&amp;L Item",$B53),0))</f>
        <v>0</v>
      </c>
      <c r="AR53" s="65">
        <f ca="1">IF(AR$12="Pro Forma",SUM(OFFSET($B53,0,3*AR$9+1,1,3)),IFERROR(GETPIVOTDATA("Sum of Q"&amp;AR$9+1,'PT-All'!$A$1,"Scenario",AR$12,"P&amp;L Item",$B53),0))</f>
        <v>0</v>
      </c>
      <c r="AS53" s="65">
        <f ca="1">IF(AS$12="Pro Forma",SUM(OFFSET($B53,0,3*AS$9+1,1,3)),IFERROR(GETPIVOTDATA("Sum of Q"&amp;AS$9+1,'PT-All'!$A$1,"Scenario",AS$12,"P&amp;L Item",$B53),0))</f>
        <v>0</v>
      </c>
      <c r="AT53" s="65">
        <f ca="1">IF(AT$12="Pro Forma",SUM(OFFSET($B53,0,3*AT$9+1,1,3)),IFERROR(GETPIVOTDATA("Sum of Q"&amp;AT$9+1,'PT-All'!$A$1,"Scenario",AT$12,"P&amp;L Item",$B53),0))</f>
        <v>0</v>
      </c>
      <c r="AU53" s="65">
        <f ca="1">IF(AU$12="Pro Forma",SUM(OFFSET($B53,0,3*AU$9+1,1,3)),IFERROR(GETPIVOTDATA("Sum of Q"&amp;AU$9+1,'PT-All'!$A$1,"Scenario",AU$12,"P&amp;L Item",$B53),0))</f>
        <v>0</v>
      </c>
      <c r="AV53" s="65">
        <f ca="1">IF(AV$12="Pro Forma",SUM(OFFSET($B53,0,3*AV$9+1,1,3)),IFERROR(GETPIVOTDATA("Sum of Q"&amp;AV$9+1,'PT-All'!$A$1,"Scenario",AV$12,"P&amp;L Item",$B53),0))</f>
        <v>0</v>
      </c>
      <c r="AW53" s="65">
        <f ca="1">IF(AW$12="Pro Forma",SUM(OFFSET($B53,0,3*AW$9+1,1,3)),IFERROR(GETPIVOTDATA("Sum of Q"&amp;AW$9+1,'PT-All'!$A$1,"Scenario",AW$12,"P&amp;L Item",$B53),0))</f>
        <v>0</v>
      </c>
      <c r="AX53" s="65">
        <f ca="1">IF(AX$12="Pro Forma",SUM(OFFSET($B53,0,3*AX$9+1,1,3)),IFERROR(GETPIVOTDATA("Sum of Q"&amp;AX$9+1,'PT-All'!$A$1,"Scenario",AX$12,"P&amp;L Item",$B53),0))</f>
        <v>0</v>
      </c>
      <c r="AY53" s="97">
        <f ca="1">IF(AY$12="Pro Forma",SUM(OFFSET($B53,0,3*AY$9+1,1,3)),IFERROR(GETPIVOTDATA("Sum of Q"&amp;AY$9+1,'PT-All'!$A$1,"Scenario",AY$12,"P&amp;L Item",$B53),0))</f>
        <v>0</v>
      </c>
      <c r="AZ53" s="590"/>
      <c r="BA53" s="108">
        <f ca="1">IF(BA$12="Pro Forma",SUM(OFFSET($B53,0,12*BA$9+1,1,12)),IFERROR(GETPIVOTDATA("Sum of FY"&amp;BA$9+1,'PT-All'!$A$1,"Scenario",BA$12,"P&amp;L Item",$B53),0))</f>
        <v>0</v>
      </c>
      <c r="BB53" s="65">
        <f ca="1">IF(BB$12="Pro Forma",SUM(OFFSET($B53,0,12*BB$9+1,1,12)),IFERROR(GETPIVOTDATA("Sum of FY"&amp;BB$9+1,'PT-All'!$A$1,"Scenario",BB$12,"P&amp;L Item",$B53),0))</f>
        <v>0</v>
      </c>
      <c r="BC53" s="97">
        <f ca="1">IF(BC$12="Pro Forma",SUM(OFFSET($B53,0,12*BC$9+1,1,12)),IFERROR(GETPIVOTDATA("Sum of FY"&amp;BC$9+1,'PT-All'!$A$1,"Scenario",BC$12,"P&amp;L Item",$B53),0))</f>
        <v>0</v>
      </c>
    </row>
    <row r="54" spans="2:55" x14ac:dyDescent="0.35">
      <c r="B54" s="64" t="s">
        <v>39</v>
      </c>
      <c r="C54" s="65">
        <f>CHOOSE(PLColumn,IFERROR(GETPIVOTDATA("Sum of "&amp;C$9,'PT-All'!$A$1,"Scenario",C$12,"P&amp;L Item",$B54),0),IFERROR(GETPIVOTDATA("Sum of "&amp;C$9,'PT-All'!$A$1,"Scenario",C$12,"P&amp;L Item",$B54)/C$201,0),TEXT(IFERROR(GETPIVOTDATA("Sum of "&amp;C$9,'PT-All'!$A$1,"Scenario",C$12,"P&amp;L Item",$B54)/C$29,0),"0.00%"))</f>
        <v>0</v>
      </c>
      <c r="D54" s="65">
        <f>CHOOSE(PLColumn,IFERROR(GETPIVOTDATA("Sum of "&amp;D$9,'PT-All'!$A$1,"Scenario",D$12,"P&amp;L Item",$B54),0),IFERROR(GETPIVOTDATA("Sum of "&amp;D$9,'PT-All'!$A$1,"Scenario",D$12,"P&amp;L Item",$B54)/D$201,0),TEXT(IFERROR(GETPIVOTDATA("Sum of "&amp;D$9,'PT-All'!$A$1,"Scenario",D$12,"P&amp;L Item",$B54)/D$29,0),"0.00%"))</f>
        <v>0</v>
      </c>
      <c r="E54" s="65">
        <f>CHOOSE(PLColumn,IFERROR(GETPIVOTDATA("Sum of "&amp;E$9,'PT-All'!$A$1,"Scenario",E$12,"P&amp;L Item",$B54),0),IFERROR(GETPIVOTDATA("Sum of "&amp;E$9,'PT-All'!$A$1,"Scenario",E$12,"P&amp;L Item",$B54)/E$201,0),TEXT(IFERROR(GETPIVOTDATA("Sum of "&amp;E$9,'PT-All'!$A$1,"Scenario",E$12,"P&amp;L Item",$B54)/E$29,0),"0.00%"))</f>
        <v>0</v>
      </c>
      <c r="F54" s="65">
        <f>CHOOSE(PLColumn,IFERROR(GETPIVOTDATA("Sum of "&amp;F$9,'PT-All'!$A$1,"Scenario",F$12,"P&amp;L Item",$B54),0),IFERROR(GETPIVOTDATA("Sum of "&amp;F$9,'PT-All'!$A$1,"Scenario",F$12,"P&amp;L Item",$B54)/F$201,0),TEXT(IFERROR(GETPIVOTDATA("Sum of "&amp;F$9,'PT-All'!$A$1,"Scenario",F$12,"P&amp;L Item",$B54)/F$29,0),"0.00%"))</f>
        <v>0</v>
      </c>
      <c r="G54" s="65">
        <f>CHOOSE(PLColumn,IFERROR(GETPIVOTDATA("Sum of "&amp;G$9,'PT-All'!$A$1,"Scenario",G$12,"P&amp;L Item",$B54),0),IFERROR(GETPIVOTDATA("Sum of "&amp;G$9,'PT-All'!$A$1,"Scenario",G$12,"P&amp;L Item",$B54)/G$201,0),TEXT(IFERROR(GETPIVOTDATA("Sum of "&amp;G$9,'PT-All'!$A$1,"Scenario",G$12,"P&amp;L Item",$B54)/G$29,0),"0.00%"))</f>
        <v>0</v>
      </c>
      <c r="H54" s="65">
        <f>CHOOSE(PLColumn,IFERROR(GETPIVOTDATA("Sum of "&amp;H$9,'PT-All'!$A$1,"Scenario",H$12,"P&amp;L Item",$B54),0),IFERROR(GETPIVOTDATA("Sum of "&amp;H$9,'PT-All'!$A$1,"Scenario",H$12,"P&amp;L Item",$B54)/H$201,0),TEXT(IFERROR(GETPIVOTDATA("Sum of "&amp;H$9,'PT-All'!$A$1,"Scenario",H$12,"P&amp;L Item",$B54)/H$29,0),"0.00%"))</f>
        <v>0</v>
      </c>
      <c r="I54" s="65">
        <f>CHOOSE(PLColumn,IFERROR(GETPIVOTDATA("Sum of "&amp;I$9,'PT-All'!$A$1,"Scenario",I$12,"P&amp;L Item",$B54),0),IFERROR(GETPIVOTDATA("Sum of "&amp;I$9,'PT-All'!$A$1,"Scenario",I$12,"P&amp;L Item",$B54)/I$201,0),TEXT(IFERROR(GETPIVOTDATA("Sum of "&amp;I$9,'PT-All'!$A$1,"Scenario",I$12,"P&amp;L Item",$B54)/I$29,0),"0.00%"))</f>
        <v>0</v>
      </c>
      <c r="J54" s="65">
        <f>CHOOSE(PLColumn,IFERROR(GETPIVOTDATA("Sum of "&amp;J$9,'PT-All'!$A$1,"Scenario",J$12,"P&amp;L Item",$B54),0),IFERROR(GETPIVOTDATA("Sum of "&amp;J$9,'PT-All'!$A$1,"Scenario",J$12,"P&amp;L Item",$B54)/J$201,0),TEXT(IFERROR(GETPIVOTDATA("Sum of "&amp;J$9,'PT-All'!$A$1,"Scenario",J$12,"P&amp;L Item",$B54)/J$29,0),"0.00%"))</f>
        <v>0</v>
      </c>
      <c r="K54" s="65">
        <f>CHOOSE(PLColumn,IFERROR(GETPIVOTDATA("Sum of "&amp;K$9,'PT-All'!$A$1,"Scenario",K$12,"P&amp;L Item",$B54),0),IFERROR(GETPIVOTDATA("Sum of "&amp;K$9,'PT-All'!$A$1,"Scenario",K$12,"P&amp;L Item",$B54)/K$201,0),TEXT(IFERROR(GETPIVOTDATA("Sum of "&amp;K$9,'PT-All'!$A$1,"Scenario",K$12,"P&amp;L Item",$B54)/K$29,0),"0.00%"))</f>
        <v>0</v>
      </c>
      <c r="L54" s="65">
        <f>CHOOSE(PLColumn,IFERROR(GETPIVOTDATA("Sum of "&amp;L$9,'PT-All'!$A$1,"Scenario",L$12,"P&amp;L Item",$B54),0),IFERROR(GETPIVOTDATA("Sum of "&amp;L$9,'PT-All'!$A$1,"Scenario",L$12,"P&amp;L Item",$B54)/L$201,0),TEXT(IFERROR(GETPIVOTDATA("Sum of "&amp;L$9,'PT-All'!$A$1,"Scenario",L$12,"P&amp;L Item",$B54)/L$29,0),"0.00%"))</f>
        <v>0</v>
      </c>
      <c r="M54" s="65">
        <f>CHOOSE(PLColumn,IFERROR(GETPIVOTDATA("Sum of "&amp;M$9,'PT-All'!$A$1,"Scenario",M$12,"P&amp;L Item",$B54),0),IFERROR(GETPIVOTDATA("Sum of "&amp;M$9,'PT-All'!$A$1,"Scenario",M$12,"P&amp;L Item",$B54)/M$201,0),TEXT(IFERROR(GETPIVOTDATA("Sum of "&amp;M$9,'PT-All'!$A$1,"Scenario",M$12,"P&amp;L Item",$B54)/M$29,0),"0.00%"))</f>
        <v>0</v>
      </c>
      <c r="N54" s="65">
        <f>CHOOSE(PLColumn,IFERROR(GETPIVOTDATA("Sum of "&amp;N$9,'PT-All'!$A$1,"Scenario",N$12,"P&amp;L Item",$B54),0),IFERROR(GETPIVOTDATA("Sum of "&amp;N$9,'PT-All'!$A$1,"Scenario",N$12,"P&amp;L Item",$B54)/N$201,0),TEXT(IFERROR(GETPIVOTDATA("Sum of "&amp;N$9,'PT-All'!$A$1,"Scenario",N$12,"P&amp;L Item",$B54)/N$29,0),"0.00%"))</f>
        <v>0</v>
      </c>
      <c r="O54" s="65">
        <f>CHOOSE(PLColumn,IFERROR(GETPIVOTDATA("Sum of "&amp;O$9,'PT-All'!$A$1,"Scenario",O$12,"P&amp;L Item",$B54),0),IFERROR(GETPIVOTDATA("Sum of "&amp;O$9,'PT-All'!$A$1,"Scenario",O$12,"P&amp;L Item",$B54)/O$201,0),TEXT(IFERROR(GETPIVOTDATA("Sum of "&amp;O$9,'PT-All'!$A$1,"Scenario",O$12,"P&amp;L Item",$B54)/O$29,0),"0.00%"))</f>
        <v>0</v>
      </c>
      <c r="P54" s="65">
        <f>CHOOSE(PLColumn,IFERROR(GETPIVOTDATA("Sum of "&amp;P$9,'PT-All'!$A$1,"Scenario",P$12,"P&amp;L Item",$B54),0),IFERROR(GETPIVOTDATA("Sum of "&amp;P$9,'PT-All'!$A$1,"Scenario",P$12,"P&amp;L Item",$B54)/P$201,0),TEXT(IFERROR(GETPIVOTDATA("Sum of "&amp;P$9,'PT-All'!$A$1,"Scenario",P$12,"P&amp;L Item",$B54)/P$29,0),"0.00%"))</f>
        <v>0</v>
      </c>
      <c r="Q54" s="65">
        <f>CHOOSE(PLColumn,IFERROR(GETPIVOTDATA("Sum of "&amp;Q$9,'PT-All'!$A$1,"Scenario",Q$12,"P&amp;L Item",$B54),0),IFERROR(GETPIVOTDATA("Sum of "&amp;Q$9,'PT-All'!$A$1,"Scenario",Q$12,"P&amp;L Item",$B54)/Q$201,0),TEXT(IFERROR(GETPIVOTDATA("Sum of "&amp;Q$9,'PT-All'!$A$1,"Scenario",Q$12,"P&amp;L Item",$B54)/Q$29,0),"0.00%"))</f>
        <v>0</v>
      </c>
      <c r="R54" s="65">
        <f>CHOOSE(PLColumn,IFERROR(GETPIVOTDATA("Sum of "&amp;R$9,'PT-All'!$A$1,"Scenario",R$12,"P&amp;L Item",$B54),0),IFERROR(GETPIVOTDATA("Sum of "&amp;R$9,'PT-All'!$A$1,"Scenario",R$12,"P&amp;L Item",$B54)/R$201,0),TEXT(IFERROR(GETPIVOTDATA("Sum of "&amp;R$9,'PT-All'!$A$1,"Scenario",R$12,"P&amp;L Item",$B54)/R$29,0),"0.00%"))</f>
        <v>0</v>
      </c>
      <c r="S54" s="65">
        <f>CHOOSE(PLColumn,IFERROR(GETPIVOTDATA("Sum of "&amp;S$9,'PT-All'!$A$1,"Scenario",S$12,"P&amp;L Item",$B54),0),IFERROR(GETPIVOTDATA("Sum of "&amp;S$9,'PT-All'!$A$1,"Scenario",S$12,"P&amp;L Item",$B54)/S$201,0),TEXT(IFERROR(GETPIVOTDATA("Sum of "&amp;S$9,'PT-All'!$A$1,"Scenario",S$12,"P&amp;L Item",$B54)/S$29,0),"0.00%"))</f>
        <v>0</v>
      </c>
      <c r="T54" s="65">
        <f>CHOOSE(PLColumn,IFERROR(GETPIVOTDATA("Sum of "&amp;T$9,'PT-All'!$A$1,"Scenario",T$12,"P&amp;L Item",$B54),0),IFERROR(GETPIVOTDATA("Sum of "&amp;T$9,'PT-All'!$A$1,"Scenario",T$12,"P&amp;L Item",$B54)/T$201,0),TEXT(IFERROR(GETPIVOTDATA("Sum of "&amp;T$9,'PT-All'!$A$1,"Scenario",T$12,"P&amp;L Item",$B54)/T$29,0),"0.00%"))</f>
        <v>0</v>
      </c>
      <c r="U54" s="65">
        <f>CHOOSE(PLColumn,IFERROR(GETPIVOTDATA("Sum of "&amp;U$9,'PT-All'!$A$1,"Scenario",U$12,"P&amp;L Item",$B54),0),IFERROR(GETPIVOTDATA("Sum of "&amp;U$9,'PT-All'!$A$1,"Scenario",U$12,"P&amp;L Item",$B54)/U$201,0),TEXT(IFERROR(GETPIVOTDATA("Sum of "&amp;U$9,'PT-All'!$A$1,"Scenario",U$12,"P&amp;L Item",$B54)/U$29,0),"0.00%"))</f>
        <v>0</v>
      </c>
      <c r="V54" s="65">
        <f>CHOOSE(PLColumn,IFERROR(GETPIVOTDATA("Sum of "&amp;V$9,'PT-All'!$A$1,"Scenario",V$12,"P&amp;L Item",$B54),0),IFERROR(GETPIVOTDATA("Sum of "&amp;V$9,'PT-All'!$A$1,"Scenario",V$12,"P&amp;L Item",$B54)/V$201,0),TEXT(IFERROR(GETPIVOTDATA("Sum of "&amp;V$9,'PT-All'!$A$1,"Scenario",V$12,"P&amp;L Item",$B54)/V$29,0),"0.00%"))</f>
        <v>0</v>
      </c>
      <c r="W54" s="65">
        <f>CHOOSE(PLColumn,IFERROR(GETPIVOTDATA("Sum of "&amp;W$9,'PT-All'!$A$1,"Scenario",W$12,"P&amp;L Item",$B54),0),IFERROR(GETPIVOTDATA("Sum of "&amp;W$9,'PT-All'!$A$1,"Scenario",W$12,"P&amp;L Item",$B54)/W$201,0),TEXT(IFERROR(GETPIVOTDATA("Sum of "&amp;W$9,'PT-All'!$A$1,"Scenario",W$12,"P&amp;L Item",$B54)/W$29,0),"0.00%"))</f>
        <v>0</v>
      </c>
      <c r="X54" s="65">
        <f>CHOOSE(PLColumn,IFERROR(GETPIVOTDATA("Sum of "&amp;X$9,'PT-All'!$A$1,"Scenario",X$12,"P&amp;L Item",$B54),0),IFERROR(GETPIVOTDATA("Sum of "&amp;X$9,'PT-All'!$A$1,"Scenario",X$12,"P&amp;L Item",$B54)/X$201,0),TEXT(IFERROR(GETPIVOTDATA("Sum of "&amp;X$9,'PT-All'!$A$1,"Scenario",X$12,"P&amp;L Item",$B54)/X$29,0),"0.00%"))</f>
        <v>0</v>
      </c>
      <c r="Y54" s="65">
        <f>CHOOSE(PLColumn,IFERROR(GETPIVOTDATA("Sum of "&amp;Y$9,'PT-All'!$A$1,"Scenario",Y$12,"P&amp;L Item",$B54),0),IFERROR(GETPIVOTDATA("Sum of "&amp;Y$9,'PT-All'!$A$1,"Scenario",Y$12,"P&amp;L Item",$B54)/Y$201,0),TEXT(IFERROR(GETPIVOTDATA("Sum of "&amp;Y$9,'PT-All'!$A$1,"Scenario",Y$12,"P&amp;L Item",$B54)/Y$29,0),"0.00%"))</f>
        <v>0</v>
      </c>
      <c r="Z54" s="65">
        <f>CHOOSE(PLColumn,IFERROR(GETPIVOTDATA("Sum of "&amp;Z$9,'PT-All'!$A$1,"Scenario",Z$12,"P&amp;L Item",$B54),0),IFERROR(GETPIVOTDATA("Sum of "&amp;Z$9,'PT-All'!$A$1,"Scenario",Z$12,"P&amp;L Item",$B54)/Z$201,0),TEXT(IFERROR(GETPIVOTDATA("Sum of "&amp;Z$9,'PT-All'!$A$1,"Scenario",Z$12,"P&amp;L Item",$B54)/Z$29,0),"0.00%"))</f>
        <v>0</v>
      </c>
      <c r="AA54" s="65">
        <f>CHOOSE(PLColumn,IFERROR(GETPIVOTDATA("Sum of "&amp;AA$9,'PT-All'!$A$1,"Scenario",AA$12,"P&amp;L Item",$B54),0),IFERROR(GETPIVOTDATA("Sum of "&amp;AA$9,'PT-All'!$A$1,"Scenario",AA$12,"P&amp;L Item",$B54)/AA$201,0),TEXT(IFERROR(GETPIVOTDATA("Sum of "&amp;AA$9,'PT-All'!$A$1,"Scenario",AA$12,"P&amp;L Item",$B54)/AA$29,0),"0.00%"))</f>
        <v>0</v>
      </c>
      <c r="AB54" s="65">
        <f>CHOOSE(PLColumn,IFERROR(GETPIVOTDATA("Sum of "&amp;AB$9,'PT-All'!$A$1,"Scenario",AB$12,"P&amp;L Item",$B54),0),IFERROR(GETPIVOTDATA("Sum of "&amp;AB$9,'PT-All'!$A$1,"Scenario",AB$12,"P&amp;L Item",$B54)/AB$201,0),TEXT(IFERROR(GETPIVOTDATA("Sum of "&amp;AB$9,'PT-All'!$A$1,"Scenario",AB$12,"P&amp;L Item",$B54)/AB$29,0),"0.00%"))</f>
        <v>0</v>
      </c>
      <c r="AC54" s="65">
        <f>CHOOSE(PLColumn,IFERROR(GETPIVOTDATA("Sum of "&amp;AC$9,'PT-All'!$A$1,"Scenario",AC$12,"P&amp;L Item",$B54),0),IFERROR(GETPIVOTDATA("Sum of "&amp;AC$9,'PT-All'!$A$1,"Scenario",AC$12,"P&amp;L Item",$B54)/AC$201,0),TEXT(IFERROR(GETPIVOTDATA("Sum of "&amp;AC$9,'PT-All'!$A$1,"Scenario",AC$12,"P&amp;L Item",$B54)/AC$29,0),"0.00%"))</f>
        <v>0</v>
      </c>
      <c r="AD54" s="65">
        <f>CHOOSE(PLColumn,IFERROR(GETPIVOTDATA("Sum of "&amp;AD$9,'PT-All'!$A$1,"Scenario",AD$12,"P&amp;L Item",$B54),0),IFERROR(GETPIVOTDATA("Sum of "&amp;AD$9,'PT-All'!$A$1,"Scenario",AD$12,"P&amp;L Item",$B54)/AD$201,0),TEXT(IFERROR(GETPIVOTDATA("Sum of "&amp;AD$9,'PT-All'!$A$1,"Scenario",AD$12,"P&amp;L Item",$B54)/AD$29,0),"0.00%"))</f>
        <v>0</v>
      </c>
      <c r="AE54" s="65">
        <f>CHOOSE(PLColumn,IFERROR(GETPIVOTDATA("Sum of "&amp;AE$9,'PT-All'!$A$1,"Scenario",AE$12,"P&amp;L Item",$B54),0),IFERROR(GETPIVOTDATA("Sum of "&amp;AE$9,'PT-All'!$A$1,"Scenario",AE$12,"P&amp;L Item",$B54)/AE$201,0),TEXT(IFERROR(GETPIVOTDATA("Sum of "&amp;AE$9,'PT-All'!$A$1,"Scenario",AE$12,"P&amp;L Item",$B54)/AE$29,0),"0.00%"))</f>
        <v>0</v>
      </c>
      <c r="AF54" s="65">
        <f>CHOOSE(PLColumn,IFERROR(GETPIVOTDATA("Sum of "&amp;AF$9,'PT-All'!$A$1,"Scenario",AF$12,"P&amp;L Item",$B54),0),IFERROR(GETPIVOTDATA("Sum of "&amp;AF$9,'PT-All'!$A$1,"Scenario",AF$12,"P&amp;L Item",$B54)/AF$201,0),TEXT(IFERROR(GETPIVOTDATA("Sum of "&amp;AF$9,'PT-All'!$A$1,"Scenario",AF$12,"P&amp;L Item",$B54)/AF$29,0),"0.00%"))</f>
        <v>0</v>
      </c>
      <c r="AG54" s="65">
        <f>CHOOSE(PLColumn,IFERROR(GETPIVOTDATA("Sum of "&amp;AG$9,'PT-All'!$A$1,"Scenario",AG$12,"P&amp;L Item",$B54),0),IFERROR(GETPIVOTDATA("Sum of "&amp;AG$9,'PT-All'!$A$1,"Scenario",AG$12,"P&amp;L Item",$B54)/AG$201,0),TEXT(IFERROR(GETPIVOTDATA("Sum of "&amp;AG$9,'PT-All'!$A$1,"Scenario",AG$12,"P&amp;L Item",$B54)/AG$29,0),"0.00%"))</f>
        <v>0</v>
      </c>
      <c r="AH54" s="65">
        <f>CHOOSE(PLColumn,IFERROR(GETPIVOTDATA("Sum of "&amp;AH$9,'PT-All'!$A$1,"Scenario",AH$12,"P&amp;L Item",$B54),0),IFERROR(GETPIVOTDATA("Sum of "&amp;AH$9,'PT-All'!$A$1,"Scenario",AH$12,"P&amp;L Item",$B54)/AH$201,0),TEXT(IFERROR(GETPIVOTDATA("Sum of "&amp;AH$9,'PT-All'!$A$1,"Scenario",AH$12,"P&amp;L Item",$B54)/AH$29,0),"0.00%"))</f>
        <v>0</v>
      </c>
      <c r="AI54" s="65">
        <f>CHOOSE(PLColumn,IFERROR(GETPIVOTDATA("Sum of "&amp;AI$9,'PT-All'!$A$1,"Scenario",AI$12,"P&amp;L Item",$B54),0),IFERROR(GETPIVOTDATA("Sum of "&amp;AI$9,'PT-All'!$A$1,"Scenario",AI$12,"P&amp;L Item",$B54)/AI$201,0),TEXT(IFERROR(GETPIVOTDATA("Sum of "&amp;AI$9,'PT-All'!$A$1,"Scenario",AI$12,"P&amp;L Item",$B54)/AI$29,0),"0.00%"))</f>
        <v>0</v>
      </c>
      <c r="AJ54" s="65">
        <f>CHOOSE(PLColumn,IFERROR(GETPIVOTDATA("Sum of "&amp;AJ$9,'PT-All'!$A$1,"Scenario",AJ$12,"P&amp;L Item",$B54),0),IFERROR(GETPIVOTDATA("Sum of "&amp;AJ$9,'PT-All'!$A$1,"Scenario",AJ$12,"P&amp;L Item",$B54)/AJ$201,0),TEXT(IFERROR(GETPIVOTDATA("Sum of "&amp;AJ$9,'PT-All'!$A$1,"Scenario",AJ$12,"P&amp;L Item",$B54)/AJ$29,0),"0.00%"))</f>
        <v>0</v>
      </c>
      <c r="AK54" s="65">
        <f>CHOOSE(PLColumn,IFERROR(GETPIVOTDATA("Sum of "&amp;AK$9,'PT-All'!$A$1,"Scenario",AK$12,"P&amp;L Item",$B54),0),IFERROR(GETPIVOTDATA("Sum of "&amp;AK$9,'PT-All'!$A$1,"Scenario",AK$12,"P&amp;L Item",$B54)/AK$201,0),TEXT(IFERROR(GETPIVOTDATA("Sum of "&amp;AK$9,'PT-All'!$A$1,"Scenario",AK$12,"P&amp;L Item",$B54)/AK$29,0),"0.00%"))</f>
        <v>0</v>
      </c>
      <c r="AL54" s="97">
        <f>CHOOSE(PLColumn,IFERROR(GETPIVOTDATA("Sum of "&amp;AL$9,'PT-All'!$A$1,"Scenario",AL$12,"P&amp;L Item",$B54),0),IFERROR(GETPIVOTDATA("Sum of "&amp;AL$9,'PT-All'!$A$1,"Scenario",AL$12,"P&amp;L Item",$B54)/AL$201,0),TEXT(IFERROR(GETPIVOTDATA("Sum of "&amp;AL$9,'PT-All'!$A$1,"Scenario",AL$12,"P&amp;L Item",$B54)/AL$29,0),"0.00%"))</f>
        <v>0</v>
      </c>
      <c r="AM54" s="590"/>
      <c r="AN54" s="108">
        <f ca="1">IF(AN$12="Pro Forma",SUM(OFFSET($B54,0,3*AN$9+1,1,3)),IFERROR(GETPIVOTDATA("Sum of Q"&amp;AN$9+1,'PT-All'!$A$1,"Scenario",AN$12,"P&amp;L Item",$B54),0))</f>
        <v>0</v>
      </c>
      <c r="AO54" s="65">
        <f ca="1">IF(AO$12="Pro Forma",SUM(OFFSET($B54,0,3*AO$9+1,1,3)),IFERROR(GETPIVOTDATA("Sum of Q"&amp;AO$9+1,'PT-All'!$A$1,"Scenario",AO$12,"P&amp;L Item",$B54),0))</f>
        <v>0</v>
      </c>
      <c r="AP54" s="65">
        <f ca="1">IF(AP$12="Pro Forma",SUM(OFFSET($B54,0,3*AP$9+1,1,3)),IFERROR(GETPIVOTDATA("Sum of Q"&amp;AP$9+1,'PT-All'!$A$1,"Scenario",AP$12,"P&amp;L Item",$B54),0))</f>
        <v>0</v>
      </c>
      <c r="AQ54" s="65">
        <f ca="1">IF(AQ$12="Pro Forma",SUM(OFFSET($B54,0,3*AQ$9+1,1,3)),IFERROR(GETPIVOTDATA("Sum of Q"&amp;AQ$9+1,'PT-All'!$A$1,"Scenario",AQ$12,"P&amp;L Item",$B54),0))</f>
        <v>0</v>
      </c>
      <c r="AR54" s="65">
        <f ca="1">IF(AR$12="Pro Forma",SUM(OFFSET($B54,0,3*AR$9+1,1,3)),IFERROR(GETPIVOTDATA("Sum of Q"&amp;AR$9+1,'PT-All'!$A$1,"Scenario",AR$12,"P&amp;L Item",$B54),0))</f>
        <v>0</v>
      </c>
      <c r="AS54" s="65">
        <f ca="1">IF(AS$12="Pro Forma",SUM(OFFSET($B54,0,3*AS$9+1,1,3)),IFERROR(GETPIVOTDATA("Sum of Q"&amp;AS$9+1,'PT-All'!$A$1,"Scenario",AS$12,"P&amp;L Item",$B54),0))</f>
        <v>0</v>
      </c>
      <c r="AT54" s="65">
        <f ca="1">IF(AT$12="Pro Forma",SUM(OFFSET($B54,0,3*AT$9+1,1,3)),IFERROR(GETPIVOTDATA("Sum of Q"&amp;AT$9+1,'PT-All'!$A$1,"Scenario",AT$12,"P&amp;L Item",$B54),0))</f>
        <v>0</v>
      </c>
      <c r="AU54" s="65">
        <f ca="1">IF(AU$12="Pro Forma",SUM(OFFSET($B54,0,3*AU$9+1,1,3)),IFERROR(GETPIVOTDATA("Sum of Q"&amp;AU$9+1,'PT-All'!$A$1,"Scenario",AU$12,"P&amp;L Item",$B54),0))</f>
        <v>0</v>
      </c>
      <c r="AV54" s="65">
        <f ca="1">IF(AV$12="Pro Forma",SUM(OFFSET($B54,0,3*AV$9+1,1,3)),IFERROR(GETPIVOTDATA("Sum of Q"&amp;AV$9+1,'PT-All'!$A$1,"Scenario",AV$12,"P&amp;L Item",$B54),0))</f>
        <v>0</v>
      </c>
      <c r="AW54" s="65">
        <f ca="1">IF(AW$12="Pro Forma",SUM(OFFSET($B54,0,3*AW$9+1,1,3)),IFERROR(GETPIVOTDATA("Sum of Q"&amp;AW$9+1,'PT-All'!$A$1,"Scenario",AW$12,"P&amp;L Item",$B54),0))</f>
        <v>0</v>
      </c>
      <c r="AX54" s="65">
        <f ca="1">IF(AX$12="Pro Forma",SUM(OFFSET($B54,0,3*AX$9+1,1,3)),IFERROR(GETPIVOTDATA("Sum of Q"&amp;AX$9+1,'PT-All'!$A$1,"Scenario",AX$12,"P&amp;L Item",$B54),0))</f>
        <v>0</v>
      </c>
      <c r="AY54" s="97">
        <f ca="1">IF(AY$12="Pro Forma",SUM(OFFSET($B54,0,3*AY$9+1,1,3)),IFERROR(GETPIVOTDATA("Sum of Q"&amp;AY$9+1,'PT-All'!$A$1,"Scenario",AY$12,"P&amp;L Item",$B54),0))</f>
        <v>0</v>
      </c>
      <c r="AZ54" s="590"/>
      <c r="BA54" s="108">
        <f ca="1">IF(BA$12="Pro Forma",SUM(OFFSET($B54,0,12*BA$9+1,1,12)),IFERROR(GETPIVOTDATA("Sum of FY"&amp;BA$9+1,'PT-All'!$A$1,"Scenario",BA$12,"P&amp;L Item",$B54),0))</f>
        <v>0</v>
      </c>
      <c r="BB54" s="65">
        <f ca="1">IF(BB$12="Pro Forma",SUM(OFFSET($B54,0,12*BB$9+1,1,12)),IFERROR(GETPIVOTDATA("Sum of FY"&amp;BB$9+1,'PT-All'!$A$1,"Scenario",BB$12,"P&amp;L Item",$B54),0))</f>
        <v>0</v>
      </c>
      <c r="BC54" s="97">
        <f ca="1">IF(BC$12="Pro Forma",SUM(OFFSET($B54,0,12*BC$9+1,1,12)),IFERROR(GETPIVOTDATA("Sum of FY"&amp;BC$9+1,'PT-All'!$A$1,"Scenario",BC$12,"P&amp;L Item",$B54),0))</f>
        <v>0</v>
      </c>
    </row>
    <row r="55" spans="2:55" x14ac:dyDescent="0.35">
      <c r="B55" s="64" t="s">
        <v>40</v>
      </c>
      <c r="C55" s="65">
        <f>CHOOSE(PLColumn,IFERROR(GETPIVOTDATA("Sum of "&amp;C$9,'PT-All'!$A$1,"Scenario",C$12,"P&amp;L Item",$B55),0),IFERROR(GETPIVOTDATA("Sum of "&amp;C$9,'PT-All'!$A$1,"Scenario",C$12,"P&amp;L Item",$B55)/C$201,0),TEXT(IFERROR(GETPIVOTDATA("Sum of "&amp;C$9,'PT-All'!$A$1,"Scenario",C$12,"P&amp;L Item",$B55)/C$29,0),"0.00%"))</f>
        <v>0</v>
      </c>
      <c r="D55" s="65">
        <f>CHOOSE(PLColumn,IFERROR(GETPIVOTDATA("Sum of "&amp;D$9,'PT-All'!$A$1,"Scenario",D$12,"P&amp;L Item",$B55),0),IFERROR(GETPIVOTDATA("Sum of "&amp;D$9,'PT-All'!$A$1,"Scenario",D$12,"P&amp;L Item",$B55)/D$201,0),TEXT(IFERROR(GETPIVOTDATA("Sum of "&amp;D$9,'PT-All'!$A$1,"Scenario",D$12,"P&amp;L Item",$B55)/D$29,0),"0.00%"))</f>
        <v>0</v>
      </c>
      <c r="E55" s="65">
        <f>CHOOSE(PLColumn,IFERROR(GETPIVOTDATA("Sum of "&amp;E$9,'PT-All'!$A$1,"Scenario",E$12,"P&amp;L Item",$B55),0),IFERROR(GETPIVOTDATA("Sum of "&amp;E$9,'PT-All'!$A$1,"Scenario",E$12,"P&amp;L Item",$B55)/E$201,0),TEXT(IFERROR(GETPIVOTDATA("Sum of "&amp;E$9,'PT-All'!$A$1,"Scenario",E$12,"P&amp;L Item",$B55)/E$29,0),"0.00%"))</f>
        <v>0</v>
      </c>
      <c r="F55" s="65">
        <f>CHOOSE(PLColumn,IFERROR(GETPIVOTDATA("Sum of "&amp;F$9,'PT-All'!$A$1,"Scenario",F$12,"P&amp;L Item",$B55),0),IFERROR(GETPIVOTDATA("Sum of "&amp;F$9,'PT-All'!$A$1,"Scenario",F$12,"P&amp;L Item",$B55)/F$201,0),TEXT(IFERROR(GETPIVOTDATA("Sum of "&amp;F$9,'PT-All'!$A$1,"Scenario",F$12,"P&amp;L Item",$B55)/F$29,0),"0.00%"))</f>
        <v>0</v>
      </c>
      <c r="G55" s="65">
        <f>CHOOSE(PLColumn,IFERROR(GETPIVOTDATA("Sum of "&amp;G$9,'PT-All'!$A$1,"Scenario",G$12,"P&amp;L Item",$B55),0),IFERROR(GETPIVOTDATA("Sum of "&amp;G$9,'PT-All'!$A$1,"Scenario",G$12,"P&amp;L Item",$B55)/G$201,0),TEXT(IFERROR(GETPIVOTDATA("Sum of "&amp;G$9,'PT-All'!$A$1,"Scenario",G$12,"P&amp;L Item",$B55)/G$29,0),"0.00%"))</f>
        <v>0</v>
      </c>
      <c r="H55" s="65">
        <f>CHOOSE(PLColumn,IFERROR(GETPIVOTDATA("Sum of "&amp;H$9,'PT-All'!$A$1,"Scenario",H$12,"P&amp;L Item",$B55),0),IFERROR(GETPIVOTDATA("Sum of "&amp;H$9,'PT-All'!$A$1,"Scenario",H$12,"P&amp;L Item",$B55)/H$201,0),TEXT(IFERROR(GETPIVOTDATA("Sum of "&amp;H$9,'PT-All'!$A$1,"Scenario",H$12,"P&amp;L Item",$B55)/H$29,0),"0.00%"))</f>
        <v>0</v>
      </c>
      <c r="I55" s="65">
        <f>CHOOSE(PLColumn,IFERROR(GETPIVOTDATA("Sum of "&amp;I$9,'PT-All'!$A$1,"Scenario",I$12,"P&amp;L Item",$B55),0),IFERROR(GETPIVOTDATA("Sum of "&amp;I$9,'PT-All'!$A$1,"Scenario",I$12,"P&amp;L Item",$B55)/I$201,0),TEXT(IFERROR(GETPIVOTDATA("Sum of "&amp;I$9,'PT-All'!$A$1,"Scenario",I$12,"P&amp;L Item",$B55)/I$29,0),"0.00%"))</f>
        <v>0</v>
      </c>
      <c r="J55" s="65">
        <f>CHOOSE(PLColumn,IFERROR(GETPIVOTDATA("Sum of "&amp;J$9,'PT-All'!$A$1,"Scenario",J$12,"P&amp;L Item",$B55),0),IFERROR(GETPIVOTDATA("Sum of "&amp;J$9,'PT-All'!$A$1,"Scenario",J$12,"P&amp;L Item",$B55)/J$201,0),TEXT(IFERROR(GETPIVOTDATA("Sum of "&amp;J$9,'PT-All'!$A$1,"Scenario",J$12,"P&amp;L Item",$B55)/J$29,0),"0.00%"))</f>
        <v>0</v>
      </c>
      <c r="K55" s="65">
        <f>CHOOSE(PLColumn,IFERROR(GETPIVOTDATA("Sum of "&amp;K$9,'PT-All'!$A$1,"Scenario",K$12,"P&amp;L Item",$B55),0),IFERROR(GETPIVOTDATA("Sum of "&amp;K$9,'PT-All'!$A$1,"Scenario",K$12,"P&amp;L Item",$B55)/K$201,0),TEXT(IFERROR(GETPIVOTDATA("Sum of "&amp;K$9,'PT-All'!$A$1,"Scenario",K$12,"P&amp;L Item",$B55)/K$29,0),"0.00%"))</f>
        <v>0</v>
      </c>
      <c r="L55" s="65">
        <f>CHOOSE(PLColumn,IFERROR(GETPIVOTDATA("Sum of "&amp;L$9,'PT-All'!$A$1,"Scenario",L$12,"P&amp;L Item",$B55),0),IFERROR(GETPIVOTDATA("Sum of "&amp;L$9,'PT-All'!$A$1,"Scenario",L$12,"P&amp;L Item",$B55)/L$201,0),TEXT(IFERROR(GETPIVOTDATA("Sum of "&amp;L$9,'PT-All'!$A$1,"Scenario",L$12,"P&amp;L Item",$B55)/L$29,0),"0.00%"))</f>
        <v>0</v>
      </c>
      <c r="M55" s="65">
        <f>CHOOSE(PLColumn,IFERROR(GETPIVOTDATA("Sum of "&amp;M$9,'PT-All'!$A$1,"Scenario",M$12,"P&amp;L Item",$B55),0),IFERROR(GETPIVOTDATA("Sum of "&amp;M$9,'PT-All'!$A$1,"Scenario",M$12,"P&amp;L Item",$B55)/M$201,0),TEXT(IFERROR(GETPIVOTDATA("Sum of "&amp;M$9,'PT-All'!$A$1,"Scenario",M$12,"P&amp;L Item",$B55)/M$29,0),"0.00%"))</f>
        <v>0</v>
      </c>
      <c r="N55" s="65">
        <f>CHOOSE(PLColumn,IFERROR(GETPIVOTDATA("Sum of "&amp;N$9,'PT-All'!$A$1,"Scenario",N$12,"P&amp;L Item",$B55),0),IFERROR(GETPIVOTDATA("Sum of "&amp;N$9,'PT-All'!$A$1,"Scenario",N$12,"P&amp;L Item",$B55)/N$201,0),TEXT(IFERROR(GETPIVOTDATA("Sum of "&amp;N$9,'PT-All'!$A$1,"Scenario",N$12,"P&amp;L Item",$B55)/N$29,0),"0.00%"))</f>
        <v>0</v>
      </c>
      <c r="O55" s="65">
        <f>CHOOSE(PLColumn,IFERROR(GETPIVOTDATA("Sum of "&amp;O$9,'PT-All'!$A$1,"Scenario",O$12,"P&amp;L Item",$B55),0),IFERROR(GETPIVOTDATA("Sum of "&amp;O$9,'PT-All'!$A$1,"Scenario",O$12,"P&amp;L Item",$B55)/O$201,0),TEXT(IFERROR(GETPIVOTDATA("Sum of "&amp;O$9,'PT-All'!$A$1,"Scenario",O$12,"P&amp;L Item",$B55)/O$29,0),"0.00%"))</f>
        <v>0</v>
      </c>
      <c r="P55" s="65">
        <f>CHOOSE(PLColumn,IFERROR(GETPIVOTDATA("Sum of "&amp;P$9,'PT-All'!$A$1,"Scenario",P$12,"P&amp;L Item",$B55),0),IFERROR(GETPIVOTDATA("Sum of "&amp;P$9,'PT-All'!$A$1,"Scenario",P$12,"P&amp;L Item",$B55)/P$201,0),TEXT(IFERROR(GETPIVOTDATA("Sum of "&amp;P$9,'PT-All'!$A$1,"Scenario",P$12,"P&amp;L Item",$B55)/P$29,0),"0.00%"))</f>
        <v>0</v>
      </c>
      <c r="Q55" s="65">
        <f>CHOOSE(PLColumn,IFERROR(GETPIVOTDATA("Sum of "&amp;Q$9,'PT-All'!$A$1,"Scenario",Q$12,"P&amp;L Item",$B55),0),IFERROR(GETPIVOTDATA("Sum of "&amp;Q$9,'PT-All'!$A$1,"Scenario",Q$12,"P&amp;L Item",$B55)/Q$201,0),TEXT(IFERROR(GETPIVOTDATA("Sum of "&amp;Q$9,'PT-All'!$A$1,"Scenario",Q$12,"P&amp;L Item",$B55)/Q$29,0),"0.00%"))</f>
        <v>0</v>
      </c>
      <c r="R55" s="65">
        <f>CHOOSE(PLColumn,IFERROR(GETPIVOTDATA("Sum of "&amp;R$9,'PT-All'!$A$1,"Scenario",R$12,"P&amp;L Item",$B55),0),IFERROR(GETPIVOTDATA("Sum of "&amp;R$9,'PT-All'!$A$1,"Scenario",R$12,"P&amp;L Item",$B55)/R$201,0),TEXT(IFERROR(GETPIVOTDATA("Sum of "&amp;R$9,'PT-All'!$A$1,"Scenario",R$12,"P&amp;L Item",$B55)/R$29,0),"0.00%"))</f>
        <v>0</v>
      </c>
      <c r="S55" s="65">
        <f>CHOOSE(PLColumn,IFERROR(GETPIVOTDATA("Sum of "&amp;S$9,'PT-All'!$A$1,"Scenario",S$12,"P&amp;L Item",$B55),0),IFERROR(GETPIVOTDATA("Sum of "&amp;S$9,'PT-All'!$A$1,"Scenario",S$12,"P&amp;L Item",$B55)/S$201,0),TEXT(IFERROR(GETPIVOTDATA("Sum of "&amp;S$9,'PT-All'!$A$1,"Scenario",S$12,"P&amp;L Item",$B55)/S$29,0),"0.00%"))</f>
        <v>0</v>
      </c>
      <c r="T55" s="65">
        <f>CHOOSE(PLColumn,IFERROR(GETPIVOTDATA("Sum of "&amp;T$9,'PT-All'!$A$1,"Scenario",T$12,"P&amp;L Item",$B55),0),IFERROR(GETPIVOTDATA("Sum of "&amp;T$9,'PT-All'!$A$1,"Scenario",T$12,"P&amp;L Item",$B55)/T$201,0),TEXT(IFERROR(GETPIVOTDATA("Sum of "&amp;T$9,'PT-All'!$A$1,"Scenario",T$12,"P&amp;L Item",$B55)/T$29,0),"0.00%"))</f>
        <v>0</v>
      </c>
      <c r="U55" s="65">
        <f>CHOOSE(PLColumn,IFERROR(GETPIVOTDATA("Sum of "&amp;U$9,'PT-All'!$A$1,"Scenario",U$12,"P&amp;L Item",$B55),0),IFERROR(GETPIVOTDATA("Sum of "&amp;U$9,'PT-All'!$A$1,"Scenario",U$12,"P&amp;L Item",$B55)/U$201,0),TEXT(IFERROR(GETPIVOTDATA("Sum of "&amp;U$9,'PT-All'!$A$1,"Scenario",U$12,"P&amp;L Item",$B55)/U$29,0),"0.00%"))</f>
        <v>0</v>
      </c>
      <c r="V55" s="65">
        <f>CHOOSE(PLColumn,IFERROR(GETPIVOTDATA("Sum of "&amp;V$9,'PT-All'!$A$1,"Scenario",V$12,"P&amp;L Item",$B55),0),IFERROR(GETPIVOTDATA("Sum of "&amp;V$9,'PT-All'!$A$1,"Scenario",V$12,"P&amp;L Item",$B55)/V$201,0),TEXT(IFERROR(GETPIVOTDATA("Sum of "&amp;V$9,'PT-All'!$A$1,"Scenario",V$12,"P&amp;L Item",$B55)/V$29,0),"0.00%"))</f>
        <v>0</v>
      </c>
      <c r="W55" s="65">
        <f>CHOOSE(PLColumn,IFERROR(GETPIVOTDATA("Sum of "&amp;W$9,'PT-All'!$A$1,"Scenario",W$12,"P&amp;L Item",$B55),0),IFERROR(GETPIVOTDATA("Sum of "&amp;W$9,'PT-All'!$A$1,"Scenario",W$12,"P&amp;L Item",$B55)/W$201,0),TEXT(IFERROR(GETPIVOTDATA("Sum of "&amp;W$9,'PT-All'!$A$1,"Scenario",W$12,"P&amp;L Item",$B55)/W$29,0),"0.00%"))</f>
        <v>0</v>
      </c>
      <c r="X55" s="65">
        <f>CHOOSE(PLColumn,IFERROR(GETPIVOTDATA("Sum of "&amp;X$9,'PT-All'!$A$1,"Scenario",X$12,"P&amp;L Item",$B55),0),IFERROR(GETPIVOTDATA("Sum of "&amp;X$9,'PT-All'!$A$1,"Scenario",X$12,"P&amp;L Item",$B55)/X$201,0),TEXT(IFERROR(GETPIVOTDATA("Sum of "&amp;X$9,'PT-All'!$A$1,"Scenario",X$12,"P&amp;L Item",$B55)/X$29,0),"0.00%"))</f>
        <v>0</v>
      </c>
      <c r="Y55" s="65">
        <f>CHOOSE(PLColumn,IFERROR(GETPIVOTDATA("Sum of "&amp;Y$9,'PT-All'!$A$1,"Scenario",Y$12,"P&amp;L Item",$B55),0),IFERROR(GETPIVOTDATA("Sum of "&amp;Y$9,'PT-All'!$A$1,"Scenario",Y$12,"P&amp;L Item",$B55)/Y$201,0),TEXT(IFERROR(GETPIVOTDATA("Sum of "&amp;Y$9,'PT-All'!$A$1,"Scenario",Y$12,"P&amp;L Item",$B55)/Y$29,0),"0.00%"))</f>
        <v>0</v>
      </c>
      <c r="Z55" s="65">
        <f>CHOOSE(PLColumn,IFERROR(GETPIVOTDATA("Sum of "&amp;Z$9,'PT-All'!$A$1,"Scenario",Z$12,"P&amp;L Item",$B55),0),IFERROR(GETPIVOTDATA("Sum of "&amp;Z$9,'PT-All'!$A$1,"Scenario",Z$12,"P&amp;L Item",$B55)/Z$201,0),TEXT(IFERROR(GETPIVOTDATA("Sum of "&amp;Z$9,'PT-All'!$A$1,"Scenario",Z$12,"P&amp;L Item",$B55)/Z$29,0),"0.00%"))</f>
        <v>0</v>
      </c>
      <c r="AA55" s="65">
        <f>CHOOSE(PLColumn,IFERROR(GETPIVOTDATA("Sum of "&amp;AA$9,'PT-All'!$A$1,"Scenario",AA$12,"P&amp;L Item",$B55),0),IFERROR(GETPIVOTDATA("Sum of "&amp;AA$9,'PT-All'!$A$1,"Scenario",AA$12,"P&amp;L Item",$B55)/AA$201,0),TEXT(IFERROR(GETPIVOTDATA("Sum of "&amp;AA$9,'PT-All'!$A$1,"Scenario",AA$12,"P&amp;L Item",$B55)/AA$29,0),"0.00%"))</f>
        <v>0</v>
      </c>
      <c r="AB55" s="65">
        <f>CHOOSE(PLColumn,IFERROR(GETPIVOTDATA("Sum of "&amp;AB$9,'PT-All'!$A$1,"Scenario",AB$12,"P&amp;L Item",$B55),0),IFERROR(GETPIVOTDATA("Sum of "&amp;AB$9,'PT-All'!$A$1,"Scenario",AB$12,"P&amp;L Item",$B55)/AB$201,0),TEXT(IFERROR(GETPIVOTDATA("Sum of "&amp;AB$9,'PT-All'!$A$1,"Scenario",AB$12,"P&amp;L Item",$B55)/AB$29,0),"0.00%"))</f>
        <v>0</v>
      </c>
      <c r="AC55" s="65">
        <f>CHOOSE(PLColumn,IFERROR(GETPIVOTDATA("Sum of "&amp;AC$9,'PT-All'!$A$1,"Scenario",AC$12,"P&amp;L Item",$B55),0),IFERROR(GETPIVOTDATA("Sum of "&amp;AC$9,'PT-All'!$A$1,"Scenario",AC$12,"P&amp;L Item",$B55)/AC$201,0),TEXT(IFERROR(GETPIVOTDATA("Sum of "&amp;AC$9,'PT-All'!$A$1,"Scenario",AC$12,"P&amp;L Item",$B55)/AC$29,0),"0.00%"))</f>
        <v>0</v>
      </c>
      <c r="AD55" s="65">
        <f>CHOOSE(PLColumn,IFERROR(GETPIVOTDATA("Sum of "&amp;AD$9,'PT-All'!$A$1,"Scenario",AD$12,"P&amp;L Item",$B55),0),IFERROR(GETPIVOTDATA("Sum of "&amp;AD$9,'PT-All'!$A$1,"Scenario",AD$12,"P&amp;L Item",$B55)/AD$201,0),TEXT(IFERROR(GETPIVOTDATA("Sum of "&amp;AD$9,'PT-All'!$A$1,"Scenario",AD$12,"P&amp;L Item",$B55)/AD$29,0),"0.00%"))</f>
        <v>0</v>
      </c>
      <c r="AE55" s="65">
        <f>CHOOSE(PLColumn,IFERROR(GETPIVOTDATA("Sum of "&amp;AE$9,'PT-All'!$A$1,"Scenario",AE$12,"P&amp;L Item",$B55),0),IFERROR(GETPIVOTDATA("Sum of "&amp;AE$9,'PT-All'!$A$1,"Scenario",AE$12,"P&amp;L Item",$B55)/AE$201,0),TEXT(IFERROR(GETPIVOTDATA("Sum of "&amp;AE$9,'PT-All'!$A$1,"Scenario",AE$12,"P&amp;L Item",$B55)/AE$29,0),"0.00%"))</f>
        <v>0</v>
      </c>
      <c r="AF55" s="65">
        <f>CHOOSE(PLColumn,IFERROR(GETPIVOTDATA("Sum of "&amp;AF$9,'PT-All'!$A$1,"Scenario",AF$12,"P&amp;L Item",$B55),0),IFERROR(GETPIVOTDATA("Sum of "&amp;AF$9,'PT-All'!$A$1,"Scenario",AF$12,"P&amp;L Item",$B55)/AF$201,0),TEXT(IFERROR(GETPIVOTDATA("Sum of "&amp;AF$9,'PT-All'!$A$1,"Scenario",AF$12,"P&amp;L Item",$B55)/AF$29,0),"0.00%"))</f>
        <v>0</v>
      </c>
      <c r="AG55" s="65">
        <f>CHOOSE(PLColumn,IFERROR(GETPIVOTDATA("Sum of "&amp;AG$9,'PT-All'!$A$1,"Scenario",AG$12,"P&amp;L Item",$B55),0),IFERROR(GETPIVOTDATA("Sum of "&amp;AG$9,'PT-All'!$A$1,"Scenario",AG$12,"P&amp;L Item",$B55)/AG$201,0),TEXT(IFERROR(GETPIVOTDATA("Sum of "&amp;AG$9,'PT-All'!$A$1,"Scenario",AG$12,"P&amp;L Item",$B55)/AG$29,0),"0.00%"))</f>
        <v>0</v>
      </c>
      <c r="AH55" s="65">
        <f>CHOOSE(PLColumn,IFERROR(GETPIVOTDATA("Sum of "&amp;AH$9,'PT-All'!$A$1,"Scenario",AH$12,"P&amp;L Item",$B55),0),IFERROR(GETPIVOTDATA("Sum of "&amp;AH$9,'PT-All'!$A$1,"Scenario",AH$12,"P&amp;L Item",$B55)/AH$201,0),TEXT(IFERROR(GETPIVOTDATA("Sum of "&amp;AH$9,'PT-All'!$A$1,"Scenario",AH$12,"P&amp;L Item",$B55)/AH$29,0),"0.00%"))</f>
        <v>0</v>
      </c>
      <c r="AI55" s="65">
        <f>CHOOSE(PLColumn,IFERROR(GETPIVOTDATA("Sum of "&amp;AI$9,'PT-All'!$A$1,"Scenario",AI$12,"P&amp;L Item",$B55),0),IFERROR(GETPIVOTDATA("Sum of "&amp;AI$9,'PT-All'!$A$1,"Scenario",AI$12,"P&amp;L Item",$B55)/AI$201,0),TEXT(IFERROR(GETPIVOTDATA("Sum of "&amp;AI$9,'PT-All'!$A$1,"Scenario",AI$12,"P&amp;L Item",$B55)/AI$29,0),"0.00%"))</f>
        <v>0</v>
      </c>
      <c r="AJ55" s="65">
        <f>CHOOSE(PLColumn,IFERROR(GETPIVOTDATA("Sum of "&amp;AJ$9,'PT-All'!$A$1,"Scenario",AJ$12,"P&amp;L Item",$B55),0),IFERROR(GETPIVOTDATA("Sum of "&amp;AJ$9,'PT-All'!$A$1,"Scenario",AJ$12,"P&amp;L Item",$B55)/AJ$201,0),TEXT(IFERROR(GETPIVOTDATA("Sum of "&amp;AJ$9,'PT-All'!$A$1,"Scenario",AJ$12,"P&amp;L Item",$B55)/AJ$29,0),"0.00%"))</f>
        <v>0</v>
      </c>
      <c r="AK55" s="65">
        <f>CHOOSE(PLColumn,IFERROR(GETPIVOTDATA("Sum of "&amp;AK$9,'PT-All'!$A$1,"Scenario",AK$12,"P&amp;L Item",$B55),0),IFERROR(GETPIVOTDATA("Sum of "&amp;AK$9,'PT-All'!$A$1,"Scenario",AK$12,"P&amp;L Item",$B55)/AK$201,0),TEXT(IFERROR(GETPIVOTDATA("Sum of "&amp;AK$9,'PT-All'!$A$1,"Scenario",AK$12,"P&amp;L Item",$B55)/AK$29,0),"0.00%"))</f>
        <v>0</v>
      </c>
      <c r="AL55" s="97">
        <f>CHOOSE(PLColumn,IFERROR(GETPIVOTDATA("Sum of "&amp;AL$9,'PT-All'!$A$1,"Scenario",AL$12,"P&amp;L Item",$B55),0),IFERROR(GETPIVOTDATA("Sum of "&amp;AL$9,'PT-All'!$A$1,"Scenario",AL$12,"P&amp;L Item",$B55)/AL$201,0),TEXT(IFERROR(GETPIVOTDATA("Sum of "&amp;AL$9,'PT-All'!$A$1,"Scenario",AL$12,"P&amp;L Item",$B55)/AL$29,0),"0.00%"))</f>
        <v>0</v>
      </c>
      <c r="AM55" s="590"/>
      <c r="AN55" s="108">
        <f ca="1">IF(AN$12="Pro Forma",SUM(OFFSET($B55,0,3*AN$9+1,1,3)),IFERROR(GETPIVOTDATA("Sum of Q"&amp;AN$9+1,'PT-All'!$A$1,"Scenario",AN$12,"P&amp;L Item",$B55),0))</f>
        <v>0</v>
      </c>
      <c r="AO55" s="65">
        <f ca="1">IF(AO$12="Pro Forma",SUM(OFFSET($B55,0,3*AO$9+1,1,3)),IFERROR(GETPIVOTDATA("Sum of Q"&amp;AO$9+1,'PT-All'!$A$1,"Scenario",AO$12,"P&amp;L Item",$B55),0))</f>
        <v>0</v>
      </c>
      <c r="AP55" s="65">
        <f ca="1">IF(AP$12="Pro Forma",SUM(OFFSET($B55,0,3*AP$9+1,1,3)),IFERROR(GETPIVOTDATA("Sum of Q"&amp;AP$9+1,'PT-All'!$A$1,"Scenario",AP$12,"P&amp;L Item",$B55),0))</f>
        <v>0</v>
      </c>
      <c r="AQ55" s="65">
        <f ca="1">IF(AQ$12="Pro Forma",SUM(OFFSET($B55,0,3*AQ$9+1,1,3)),IFERROR(GETPIVOTDATA("Sum of Q"&amp;AQ$9+1,'PT-All'!$A$1,"Scenario",AQ$12,"P&amp;L Item",$B55),0))</f>
        <v>0</v>
      </c>
      <c r="AR55" s="65">
        <f ca="1">IF(AR$12="Pro Forma",SUM(OFFSET($B55,0,3*AR$9+1,1,3)),IFERROR(GETPIVOTDATA("Sum of Q"&amp;AR$9+1,'PT-All'!$A$1,"Scenario",AR$12,"P&amp;L Item",$B55),0))</f>
        <v>0</v>
      </c>
      <c r="AS55" s="65">
        <f ca="1">IF(AS$12="Pro Forma",SUM(OFFSET($B55,0,3*AS$9+1,1,3)),IFERROR(GETPIVOTDATA("Sum of Q"&amp;AS$9+1,'PT-All'!$A$1,"Scenario",AS$12,"P&amp;L Item",$B55),0))</f>
        <v>0</v>
      </c>
      <c r="AT55" s="65">
        <f ca="1">IF(AT$12="Pro Forma",SUM(OFFSET($B55,0,3*AT$9+1,1,3)),IFERROR(GETPIVOTDATA("Sum of Q"&amp;AT$9+1,'PT-All'!$A$1,"Scenario",AT$12,"P&amp;L Item",$B55),0))</f>
        <v>0</v>
      </c>
      <c r="AU55" s="65">
        <f ca="1">IF(AU$12="Pro Forma",SUM(OFFSET($B55,0,3*AU$9+1,1,3)),IFERROR(GETPIVOTDATA("Sum of Q"&amp;AU$9+1,'PT-All'!$A$1,"Scenario",AU$12,"P&amp;L Item",$B55),0))</f>
        <v>0</v>
      </c>
      <c r="AV55" s="65">
        <f ca="1">IF(AV$12="Pro Forma",SUM(OFFSET($B55,0,3*AV$9+1,1,3)),IFERROR(GETPIVOTDATA("Sum of Q"&amp;AV$9+1,'PT-All'!$A$1,"Scenario",AV$12,"P&amp;L Item",$B55),0))</f>
        <v>0</v>
      </c>
      <c r="AW55" s="65">
        <f ca="1">IF(AW$12="Pro Forma",SUM(OFFSET($B55,0,3*AW$9+1,1,3)),IFERROR(GETPIVOTDATA("Sum of Q"&amp;AW$9+1,'PT-All'!$A$1,"Scenario",AW$12,"P&amp;L Item",$B55),0))</f>
        <v>0</v>
      </c>
      <c r="AX55" s="65">
        <f ca="1">IF(AX$12="Pro Forma",SUM(OFFSET($B55,0,3*AX$9+1,1,3)),IFERROR(GETPIVOTDATA("Sum of Q"&amp;AX$9+1,'PT-All'!$A$1,"Scenario",AX$12,"P&amp;L Item",$B55),0))</f>
        <v>0</v>
      </c>
      <c r="AY55" s="97">
        <f ca="1">IF(AY$12="Pro Forma",SUM(OFFSET($B55,0,3*AY$9+1,1,3)),IFERROR(GETPIVOTDATA("Sum of Q"&amp;AY$9+1,'PT-All'!$A$1,"Scenario",AY$12,"P&amp;L Item",$B55),0))</f>
        <v>0</v>
      </c>
      <c r="AZ55" s="590"/>
      <c r="BA55" s="108">
        <f ca="1">IF(BA$12="Pro Forma",SUM(OFFSET($B55,0,12*BA$9+1,1,12)),IFERROR(GETPIVOTDATA("Sum of FY"&amp;BA$9+1,'PT-All'!$A$1,"Scenario",BA$12,"P&amp;L Item",$B55),0))</f>
        <v>0</v>
      </c>
      <c r="BB55" s="65">
        <f ca="1">IF(BB$12="Pro Forma",SUM(OFFSET($B55,0,12*BB$9+1,1,12)),IFERROR(GETPIVOTDATA("Sum of FY"&amp;BB$9+1,'PT-All'!$A$1,"Scenario",BB$12,"P&amp;L Item",$B55),0))</f>
        <v>0</v>
      </c>
      <c r="BC55" s="97">
        <f ca="1">IF(BC$12="Pro Forma",SUM(OFFSET($B55,0,12*BC$9+1,1,12)),IFERROR(GETPIVOTDATA("Sum of FY"&amp;BC$9+1,'PT-All'!$A$1,"Scenario",BC$12,"P&amp;L Item",$B55),0))</f>
        <v>0</v>
      </c>
    </row>
    <row r="56" spans="2:55" x14ac:dyDescent="0.35">
      <c r="B56" s="64" t="s">
        <v>41</v>
      </c>
      <c r="C56" s="65">
        <f>CHOOSE(PLColumn,IFERROR(GETPIVOTDATA("Sum of "&amp;C$9,'PT-All'!$A$1,"Scenario",C$12,"P&amp;L Item",$B56),0),IFERROR(GETPIVOTDATA("Sum of "&amp;C$9,'PT-All'!$A$1,"Scenario",C$12,"P&amp;L Item",$B56)/C$201,0),TEXT(IFERROR(GETPIVOTDATA("Sum of "&amp;C$9,'PT-All'!$A$1,"Scenario",C$12,"P&amp;L Item",$B56)/C$29,0),"0.00%"))</f>
        <v>0</v>
      </c>
      <c r="D56" s="65">
        <f>CHOOSE(PLColumn,IFERROR(GETPIVOTDATA("Sum of "&amp;D$9,'PT-All'!$A$1,"Scenario",D$12,"P&amp;L Item",$B56),0),IFERROR(GETPIVOTDATA("Sum of "&amp;D$9,'PT-All'!$A$1,"Scenario",D$12,"P&amp;L Item",$B56)/D$201,0),TEXT(IFERROR(GETPIVOTDATA("Sum of "&amp;D$9,'PT-All'!$A$1,"Scenario",D$12,"P&amp;L Item",$B56)/D$29,0),"0.00%"))</f>
        <v>0</v>
      </c>
      <c r="E56" s="65">
        <f>CHOOSE(PLColumn,IFERROR(GETPIVOTDATA("Sum of "&amp;E$9,'PT-All'!$A$1,"Scenario",E$12,"P&amp;L Item",$B56),0),IFERROR(GETPIVOTDATA("Sum of "&amp;E$9,'PT-All'!$A$1,"Scenario",E$12,"P&amp;L Item",$B56)/E$201,0),TEXT(IFERROR(GETPIVOTDATA("Sum of "&amp;E$9,'PT-All'!$A$1,"Scenario",E$12,"P&amp;L Item",$B56)/E$29,0),"0.00%"))</f>
        <v>0</v>
      </c>
      <c r="F56" s="65">
        <f>CHOOSE(PLColumn,IFERROR(GETPIVOTDATA("Sum of "&amp;F$9,'PT-All'!$A$1,"Scenario",F$12,"P&amp;L Item",$B56),0),IFERROR(GETPIVOTDATA("Sum of "&amp;F$9,'PT-All'!$A$1,"Scenario",F$12,"P&amp;L Item",$B56)/F$201,0),TEXT(IFERROR(GETPIVOTDATA("Sum of "&amp;F$9,'PT-All'!$A$1,"Scenario",F$12,"P&amp;L Item",$B56)/F$29,0),"0.00%"))</f>
        <v>0</v>
      </c>
      <c r="G56" s="65">
        <f>CHOOSE(PLColumn,IFERROR(GETPIVOTDATA("Sum of "&amp;G$9,'PT-All'!$A$1,"Scenario",G$12,"P&amp;L Item",$B56),0),IFERROR(GETPIVOTDATA("Sum of "&amp;G$9,'PT-All'!$A$1,"Scenario",G$12,"P&amp;L Item",$B56)/G$201,0),TEXT(IFERROR(GETPIVOTDATA("Sum of "&amp;G$9,'PT-All'!$A$1,"Scenario",G$12,"P&amp;L Item",$B56)/G$29,0),"0.00%"))</f>
        <v>0</v>
      </c>
      <c r="H56" s="65">
        <f>CHOOSE(PLColumn,IFERROR(GETPIVOTDATA("Sum of "&amp;H$9,'PT-All'!$A$1,"Scenario",H$12,"P&amp;L Item",$B56),0),IFERROR(GETPIVOTDATA("Sum of "&amp;H$9,'PT-All'!$A$1,"Scenario",H$12,"P&amp;L Item",$B56)/H$201,0),TEXT(IFERROR(GETPIVOTDATA("Sum of "&amp;H$9,'PT-All'!$A$1,"Scenario",H$12,"P&amp;L Item",$B56)/H$29,0),"0.00%"))</f>
        <v>0</v>
      </c>
      <c r="I56" s="65">
        <f>CHOOSE(PLColumn,IFERROR(GETPIVOTDATA("Sum of "&amp;I$9,'PT-All'!$A$1,"Scenario",I$12,"P&amp;L Item",$B56),0),IFERROR(GETPIVOTDATA("Sum of "&amp;I$9,'PT-All'!$A$1,"Scenario",I$12,"P&amp;L Item",$B56)/I$201,0),TEXT(IFERROR(GETPIVOTDATA("Sum of "&amp;I$9,'PT-All'!$A$1,"Scenario",I$12,"P&amp;L Item",$B56)/I$29,0),"0.00%"))</f>
        <v>0</v>
      </c>
      <c r="J56" s="65">
        <f>CHOOSE(PLColumn,IFERROR(GETPIVOTDATA("Sum of "&amp;J$9,'PT-All'!$A$1,"Scenario",J$12,"P&amp;L Item",$B56),0),IFERROR(GETPIVOTDATA("Sum of "&amp;J$9,'PT-All'!$A$1,"Scenario",J$12,"P&amp;L Item",$B56)/J$201,0),TEXT(IFERROR(GETPIVOTDATA("Sum of "&amp;J$9,'PT-All'!$A$1,"Scenario",J$12,"P&amp;L Item",$B56)/J$29,0),"0.00%"))</f>
        <v>0</v>
      </c>
      <c r="K56" s="65">
        <f>CHOOSE(PLColumn,IFERROR(GETPIVOTDATA("Sum of "&amp;K$9,'PT-All'!$A$1,"Scenario",K$12,"P&amp;L Item",$B56),0),IFERROR(GETPIVOTDATA("Sum of "&amp;K$9,'PT-All'!$A$1,"Scenario",K$12,"P&amp;L Item",$B56)/K$201,0),TEXT(IFERROR(GETPIVOTDATA("Sum of "&amp;K$9,'PT-All'!$A$1,"Scenario",K$12,"P&amp;L Item",$B56)/K$29,0),"0.00%"))</f>
        <v>0</v>
      </c>
      <c r="L56" s="65">
        <f>CHOOSE(PLColumn,IFERROR(GETPIVOTDATA("Sum of "&amp;L$9,'PT-All'!$A$1,"Scenario",L$12,"P&amp;L Item",$B56),0),IFERROR(GETPIVOTDATA("Sum of "&amp;L$9,'PT-All'!$A$1,"Scenario",L$12,"P&amp;L Item",$B56)/L$201,0),TEXT(IFERROR(GETPIVOTDATA("Sum of "&amp;L$9,'PT-All'!$A$1,"Scenario",L$12,"P&amp;L Item",$B56)/L$29,0),"0.00%"))</f>
        <v>0</v>
      </c>
      <c r="M56" s="65">
        <f>CHOOSE(PLColumn,IFERROR(GETPIVOTDATA("Sum of "&amp;M$9,'PT-All'!$A$1,"Scenario",M$12,"P&amp;L Item",$B56),0),IFERROR(GETPIVOTDATA("Sum of "&amp;M$9,'PT-All'!$A$1,"Scenario",M$12,"P&amp;L Item",$B56)/M$201,0),TEXT(IFERROR(GETPIVOTDATA("Sum of "&amp;M$9,'PT-All'!$A$1,"Scenario",M$12,"P&amp;L Item",$B56)/M$29,0),"0.00%"))</f>
        <v>0</v>
      </c>
      <c r="N56" s="65">
        <f>CHOOSE(PLColumn,IFERROR(GETPIVOTDATA("Sum of "&amp;N$9,'PT-All'!$A$1,"Scenario",N$12,"P&amp;L Item",$B56),0),IFERROR(GETPIVOTDATA("Sum of "&amp;N$9,'PT-All'!$A$1,"Scenario",N$12,"P&amp;L Item",$B56)/N$201,0),TEXT(IFERROR(GETPIVOTDATA("Sum of "&amp;N$9,'PT-All'!$A$1,"Scenario",N$12,"P&amp;L Item",$B56)/N$29,0),"0.00%"))</f>
        <v>0</v>
      </c>
      <c r="O56" s="65">
        <f>CHOOSE(PLColumn,IFERROR(GETPIVOTDATA("Sum of "&amp;O$9,'PT-All'!$A$1,"Scenario",O$12,"P&amp;L Item",$B56),0),IFERROR(GETPIVOTDATA("Sum of "&amp;O$9,'PT-All'!$A$1,"Scenario",O$12,"P&amp;L Item",$B56)/O$201,0),TEXT(IFERROR(GETPIVOTDATA("Sum of "&amp;O$9,'PT-All'!$A$1,"Scenario",O$12,"P&amp;L Item",$B56)/O$29,0),"0.00%"))</f>
        <v>0</v>
      </c>
      <c r="P56" s="65">
        <f>CHOOSE(PLColumn,IFERROR(GETPIVOTDATA("Sum of "&amp;P$9,'PT-All'!$A$1,"Scenario",P$12,"P&amp;L Item",$B56),0),IFERROR(GETPIVOTDATA("Sum of "&amp;P$9,'PT-All'!$A$1,"Scenario",P$12,"P&amp;L Item",$B56)/P$201,0),TEXT(IFERROR(GETPIVOTDATA("Sum of "&amp;P$9,'PT-All'!$A$1,"Scenario",P$12,"P&amp;L Item",$B56)/P$29,0),"0.00%"))</f>
        <v>0</v>
      </c>
      <c r="Q56" s="65">
        <f>CHOOSE(PLColumn,IFERROR(GETPIVOTDATA("Sum of "&amp;Q$9,'PT-All'!$A$1,"Scenario",Q$12,"P&amp;L Item",$B56),0),IFERROR(GETPIVOTDATA("Sum of "&amp;Q$9,'PT-All'!$A$1,"Scenario",Q$12,"P&amp;L Item",$B56)/Q$201,0),TEXT(IFERROR(GETPIVOTDATA("Sum of "&amp;Q$9,'PT-All'!$A$1,"Scenario",Q$12,"P&amp;L Item",$B56)/Q$29,0),"0.00%"))</f>
        <v>0</v>
      </c>
      <c r="R56" s="65">
        <f>CHOOSE(PLColumn,IFERROR(GETPIVOTDATA("Sum of "&amp;R$9,'PT-All'!$A$1,"Scenario",R$12,"P&amp;L Item",$B56),0),IFERROR(GETPIVOTDATA("Sum of "&amp;R$9,'PT-All'!$A$1,"Scenario",R$12,"P&amp;L Item",$B56)/R$201,0),TEXT(IFERROR(GETPIVOTDATA("Sum of "&amp;R$9,'PT-All'!$A$1,"Scenario",R$12,"P&amp;L Item",$B56)/R$29,0),"0.00%"))</f>
        <v>0</v>
      </c>
      <c r="S56" s="65">
        <f>CHOOSE(PLColumn,IFERROR(GETPIVOTDATA("Sum of "&amp;S$9,'PT-All'!$A$1,"Scenario",S$12,"P&amp;L Item",$B56),0),IFERROR(GETPIVOTDATA("Sum of "&amp;S$9,'PT-All'!$A$1,"Scenario",S$12,"P&amp;L Item",$B56)/S$201,0),TEXT(IFERROR(GETPIVOTDATA("Sum of "&amp;S$9,'PT-All'!$A$1,"Scenario",S$12,"P&amp;L Item",$B56)/S$29,0),"0.00%"))</f>
        <v>0</v>
      </c>
      <c r="T56" s="65">
        <f>CHOOSE(PLColumn,IFERROR(GETPIVOTDATA("Sum of "&amp;T$9,'PT-All'!$A$1,"Scenario",T$12,"P&amp;L Item",$B56),0),IFERROR(GETPIVOTDATA("Sum of "&amp;T$9,'PT-All'!$A$1,"Scenario",T$12,"P&amp;L Item",$B56)/T$201,0),TEXT(IFERROR(GETPIVOTDATA("Sum of "&amp;T$9,'PT-All'!$A$1,"Scenario",T$12,"P&amp;L Item",$B56)/T$29,0),"0.00%"))</f>
        <v>0</v>
      </c>
      <c r="U56" s="65">
        <f>CHOOSE(PLColumn,IFERROR(GETPIVOTDATA("Sum of "&amp;U$9,'PT-All'!$A$1,"Scenario",U$12,"P&amp;L Item",$B56),0),IFERROR(GETPIVOTDATA("Sum of "&amp;U$9,'PT-All'!$A$1,"Scenario",U$12,"P&amp;L Item",$B56)/U$201,0),TEXT(IFERROR(GETPIVOTDATA("Sum of "&amp;U$9,'PT-All'!$A$1,"Scenario",U$12,"P&amp;L Item",$B56)/U$29,0),"0.00%"))</f>
        <v>0</v>
      </c>
      <c r="V56" s="65">
        <f>CHOOSE(PLColumn,IFERROR(GETPIVOTDATA("Sum of "&amp;V$9,'PT-All'!$A$1,"Scenario",V$12,"P&amp;L Item",$B56),0),IFERROR(GETPIVOTDATA("Sum of "&amp;V$9,'PT-All'!$A$1,"Scenario",V$12,"P&amp;L Item",$B56)/V$201,0),TEXT(IFERROR(GETPIVOTDATA("Sum of "&amp;V$9,'PT-All'!$A$1,"Scenario",V$12,"P&amp;L Item",$B56)/V$29,0),"0.00%"))</f>
        <v>0</v>
      </c>
      <c r="W56" s="65">
        <f>CHOOSE(PLColumn,IFERROR(GETPIVOTDATA("Sum of "&amp;W$9,'PT-All'!$A$1,"Scenario",W$12,"P&amp;L Item",$B56),0),IFERROR(GETPIVOTDATA("Sum of "&amp;W$9,'PT-All'!$A$1,"Scenario",W$12,"P&amp;L Item",$B56)/W$201,0),TEXT(IFERROR(GETPIVOTDATA("Sum of "&amp;W$9,'PT-All'!$A$1,"Scenario",W$12,"P&amp;L Item",$B56)/W$29,0),"0.00%"))</f>
        <v>0</v>
      </c>
      <c r="X56" s="65">
        <f>CHOOSE(PLColumn,IFERROR(GETPIVOTDATA("Sum of "&amp;X$9,'PT-All'!$A$1,"Scenario",X$12,"P&amp;L Item",$B56),0),IFERROR(GETPIVOTDATA("Sum of "&amp;X$9,'PT-All'!$A$1,"Scenario",X$12,"P&amp;L Item",$B56)/X$201,0),TEXT(IFERROR(GETPIVOTDATA("Sum of "&amp;X$9,'PT-All'!$A$1,"Scenario",X$12,"P&amp;L Item",$B56)/X$29,0),"0.00%"))</f>
        <v>0</v>
      </c>
      <c r="Y56" s="65">
        <f>CHOOSE(PLColumn,IFERROR(GETPIVOTDATA("Sum of "&amp;Y$9,'PT-All'!$A$1,"Scenario",Y$12,"P&amp;L Item",$B56),0),IFERROR(GETPIVOTDATA("Sum of "&amp;Y$9,'PT-All'!$A$1,"Scenario",Y$12,"P&amp;L Item",$B56)/Y$201,0),TEXT(IFERROR(GETPIVOTDATA("Sum of "&amp;Y$9,'PT-All'!$A$1,"Scenario",Y$12,"P&amp;L Item",$B56)/Y$29,0),"0.00%"))</f>
        <v>0</v>
      </c>
      <c r="Z56" s="65">
        <f>CHOOSE(PLColumn,IFERROR(GETPIVOTDATA("Sum of "&amp;Z$9,'PT-All'!$A$1,"Scenario",Z$12,"P&amp;L Item",$B56),0),IFERROR(GETPIVOTDATA("Sum of "&amp;Z$9,'PT-All'!$A$1,"Scenario",Z$12,"P&amp;L Item",$B56)/Z$201,0),TEXT(IFERROR(GETPIVOTDATA("Sum of "&amp;Z$9,'PT-All'!$A$1,"Scenario",Z$12,"P&amp;L Item",$B56)/Z$29,0),"0.00%"))</f>
        <v>0</v>
      </c>
      <c r="AA56" s="65">
        <f>CHOOSE(PLColumn,IFERROR(GETPIVOTDATA("Sum of "&amp;AA$9,'PT-All'!$A$1,"Scenario",AA$12,"P&amp;L Item",$B56),0),IFERROR(GETPIVOTDATA("Sum of "&amp;AA$9,'PT-All'!$A$1,"Scenario",AA$12,"P&amp;L Item",$B56)/AA$201,0),TEXT(IFERROR(GETPIVOTDATA("Sum of "&amp;AA$9,'PT-All'!$A$1,"Scenario",AA$12,"P&amp;L Item",$B56)/AA$29,0),"0.00%"))</f>
        <v>0</v>
      </c>
      <c r="AB56" s="65">
        <f>CHOOSE(PLColumn,IFERROR(GETPIVOTDATA("Sum of "&amp;AB$9,'PT-All'!$A$1,"Scenario",AB$12,"P&amp;L Item",$B56),0),IFERROR(GETPIVOTDATA("Sum of "&amp;AB$9,'PT-All'!$A$1,"Scenario",AB$12,"P&amp;L Item",$B56)/AB$201,0),TEXT(IFERROR(GETPIVOTDATA("Sum of "&amp;AB$9,'PT-All'!$A$1,"Scenario",AB$12,"P&amp;L Item",$B56)/AB$29,0),"0.00%"))</f>
        <v>0</v>
      </c>
      <c r="AC56" s="65">
        <f>CHOOSE(PLColumn,IFERROR(GETPIVOTDATA("Sum of "&amp;AC$9,'PT-All'!$A$1,"Scenario",AC$12,"P&amp;L Item",$B56),0),IFERROR(GETPIVOTDATA("Sum of "&amp;AC$9,'PT-All'!$A$1,"Scenario",AC$12,"P&amp;L Item",$B56)/AC$201,0),TEXT(IFERROR(GETPIVOTDATA("Sum of "&amp;AC$9,'PT-All'!$A$1,"Scenario",AC$12,"P&amp;L Item",$B56)/AC$29,0),"0.00%"))</f>
        <v>0</v>
      </c>
      <c r="AD56" s="65">
        <f>CHOOSE(PLColumn,IFERROR(GETPIVOTDATA("Sum of "&amp;AD$9,'PT-All'!$A$1,"Scenario",AD$12,"P&amp;L Item",$B56),0),IFERROR(GETPIVOTDATA("Sum of "&amp;AD$9,'PT-All'!$A$1,"Scenario",AD$12,"P&amp;L Item",$B56)/AD$201,0),TEXT(IFERROR(GETPIVOTDATA("Sum of "&amp;AD$9,'PT-All'!$A$1,"Scenario",AD$12,"P&amp;L Item",$B56)/AD$29,0),"0.00%"))</f>
        <v>0</v>
      </c>
      <c r="AE56" s="65">
        <f>CHOOSE(PLColumn,IFERROR(GETPIVOTDATA("Sum of "&amp;AE$9,'PT-All'!$A$1,"Scenario",AE$12,"P&amp;L Item",$B56),0),IFERROR(GETPIVOTDATA("Sum of "&amp;AE$9,'PT-All'!$A$1,"Scenario",AE$12,"P&amp;L Item",$B56)/AE$201,0),TEXT(IFERROR(GETPIVOTDATA("Sum of "&amp;AE$9,'PT-All'!$A$1,"Scenario",AE$12,"P&amp;L Item",$B56)/AE$29,0),"0.00%"))</f>
        <v>0</v>
      </c>
      <c r="AF56" s="65">
        <f>CHOOSE(PLColumn,IFERROR(GETPIVOTDATA("Sum of "&amp;AF$9,'PT-All'!$A$1,"Scenario",AF$12,"P&amp;L Item",$B56),0),IFERROR(GETPIVOTDATA("Sum of "&amp;AF$9,'PT-All'!$A$1,"Scenario",AF$12,"P&amp;L Item",$B56)/AF$201,0),TEXT(IFERROR(GETPIVOTDATA("Sum of "&amp;AF$9,'PT-All'!$A$1,"Scenario",AF$12,"P&amp;L Item",$B56)/AF$29,0),"0.00%"))</f>
        <v>0</v>
      </c>
      <c r="AG56" s="65">
        <f>CHOOSE(PLColumn,IFERROR(GETPIVOTDATA("Sum of "&amp;AG$9,'PT-All'!$A$1,"Scenario",AG$12,"P&amp;L Item",$B56),0),IFERROR(GETPIVOTDATA("Sum of "&amp;AG$9,'PT-All'!$A$1,"Scenario",AG$12,"P&amp;L Item",$B56)/AG$201,0),TEXT(IFERROR(GETPIVOTDATA("Sum of "&amp;AG$9,'PT-All'!$A$1,"Scenario",AG$12,"P&amp;L Item",$B56)/AG$29,0),"0.00%"))</f>
        <v>0</v>
      </c>
      <c r="AH56" s="65">
        <f>CHOOSE(PLColumn,IFERROR(GETPIVOTDATA("Sum of "&amp;AH$9,'PT-All'!$A$1,"Scenario",AH$12,"P&amp;L Item",$B56),0),IFERROR(GETPIVOTDATA("Sum of "&amp;AH$9,'PT-All'!$A$1,"Scenario",AH$12,"P&amp;L Item",$B56)/AH$201,0),TEXT(IFERROR(GETPIVOTDATA("Sum of "&amp;AH$9,'PT-All'!$A$1,"Scenario",AH$12,"P&amp;L Item",$B56)/AH$29,0),"0.00%"))</f>
        <v>0</v>
      </c>
      <c r="AI56" s="65">
        <f>CHOOSE(PLColumn,IFERROR(GETPIVOTDATA("Sum of "&amp;AI$9,'PT-All'!$A$1,"Scenario",AI$12,"P&amp;L Item",$B56),0),IFERROR(GETPIVOTDATA("Sum of "&amp;AI$9,'PT-All'!$A$1,"Scenario",AI$12,"P&amp;L Item",$B56)/AI$201,0),TEXT(IFERROR(GETPIVOTDATA("Sum of "&amp;AI$9,'PT-All'!$A$1,"Scenario",AI$12,"P&amp;L Item",$B56)/AI$29,0),"0.00%"))</f>
        <v>0</v>
      </c>
      <c r="AJ56" s="65">
        <f>CHOOSE(PLColumn,IFERROR(GETPIVOTDATA("Sum of "&amp;AJ$9,'PT-All'!$A$1,"Scenario",AJ$12,"P&amp;L Item",$B56),0),IFERROR(GETPIVOTDATA("Sum of "&amp;AJ$9,'PT-All'!$A$1,"Scenario",AJ$12,"P&amp;L Item",$B56)/AJ$201,0),TEXT(IFERROR(GETPIVOTDATA("Sum of "&amp;AJ$9,'PT-All'!$A$1,"Scenario",AJ$12,"P&amp;L Item",$B56)/AJ$29,0),"0.00%"))</f>
        <v>0</v>
      </c>
      <c r="AK56" s="65">
        <f>CHOOSE(PLColumn,IFERROR(GETPIVOTDATA("Sum of "&amp;AK$9,'PT-All'!$A$1,"Scenario",AK$12,"P&amp;L Item",$B56),0),IFERROR(GETPIVOTDATA("Sum of "&amp;AK$9,'PT-All'!$A$1,"Scenario",AK$12,"P&amp;L Item",$B56)/AK$201,0),TEXT(IFERROR(GETPIVOTDATA("Sum of "&amp;AK$9,'PT-All'!$A$1,"Scenario",AK$12,"P&amp;L Item",$B56)/AK$29,0),"0.00%"))</f>
        <v>0</v>
      </c>
      <c r="AL56" s="97">
        <f>CHOOSE(PLColumn,IFERROR(GETPIVOTDATA("Sum of "&amp;AL$9,'PT-All'!$A$1,"Scenario",AL$12,"P&amp;L Item",$B56),0),IFERROR(GETPIVOTDATA("Sum of "&amp;AL$9,'PT-All'!$A$1,"Scenario",AL$12,"P&amp;L Item",$B56)/AL$201,0),TEXT(IFERROR(GETPIVOTDATA("Sum of "&amp;AL$9,'PT-All'!$A$1,"Scenario",AL$12,"P&amp;L Item",$B56)/AL$29,0),"0.00%"))</f>
        <v>0</v>
      </c>
      <c r="AM56" s="590"/>
      <c r="AN56" s="108">
        <f ca="1">IF(AN$12="Pro Forma",SUM(OFFSET($B56,0,3*AN$9+1,1,3)),IFERROR(GETPIVOTDATA("Sum of Q"&amp;AN$9+1,'PT-All'!$A$1,"Scenario",AN$12,"P&amp;L Item",$B56),0))</f>
        <v>0</v>
      </c>
      <c r="AO56" s="65">
        <f ca="1">IF(AO$12="Pro Forma",SUM(OFFSET($B56,0,3*AO$9+1,1,3)),IFERROR(GETPIVOTDATA("Sum of Q"&amp;AO$9+1,'PT-All'!$A$1,"Scenario",AO$12,"P&amp;L Item",$B56),0))</f>
        <v>0</v>
      </c>
      <c r="AP56" s="65">
        <f ca="1">IF(AP$12="Pro Forma",SUM(OFFSET($B56,0,3*AP$9+1,1,3)),IFERROR(GETPIVOTDATA("Sum of Q"&amp;AP$9+1,'PT-All'!$A$1,"Scenario",AP$12,"P&amp;L Item",$B56),0))</f>
        <v>0</v>
      </c>
      <c r="AQ56" s="65">
        <f ca="1">IF(AQ$12="Pro Forma",SUM(OFFSET($B56,0,3*AQ$9+1,1,3)),IFERROR(GETPIVOTDATA("Sum of Q"&amp;AQ$9+1,'PT-All'!$A$1,"Scenario",AQ$12,"P&amp;L Item",$B56),0))</f>
        <v>0</v>
      </c>
      <c r="AR56" s="65">
        <f ca="1">IF(AR$12="Pro Forma",SUM(OFFSET($B56,0,3*AR$9+1,1,3)),IFERROR(GETPIVOTDATA("Sum of Q"&amp;AR$9+1,'PT-All'!$A$1,"Scenario",AR$12,"P&amp;L Item",$B56),0))</f>
        <v>0</v>
      </c>
      <c r="AS56" s="65">
        <f ca="1">IF(AS$12="Pro Forma",SUM(OFFSET($B56,0,3*AS$9+1,1,3)),IFERROR(GETPIVOTDATA("Sum of Q"&amp;AS$9+1,'PT-All'!$A$1,"Scenario",AS$12,"P&amp;L Item",$B56),0))</f>
        <v>0</v>
      </c>
      <c r="AT56" s="65">
        <f ca="1">IF(AT$12="Pro Forma",SUM(OFFSET($B56,0,3*AT$9+1,1,3)),IFERROR(GETPIVOTDATA("Sum of Q"&amp;AT$9+1,'PT-All'!$A$1,"Scenario",AT$12,"P&amp;L Item",$B56),0))</f>
        <v>0</v>
      </c>
      <c r="AU56" s="65">
        <f ca="1">IF(AU$12="Pro Forma",SUM(OFFSET($B56,0,3*AU$9+1,1,3)),IFERROR(GETPIVOTDATA("Sum of Q"&amp;AU$9+1,'PT-All'!$A$1,"Scenario",AU$12,"P&amp;L Item",$B56),0))</f>
        <v>0</v>
      </c>
      <c r="AV56" s="65">
        <f ca="1">IF(AV$12="Pro Forma",SUM(OFFSET($B56,0,3*AV$9+1,1,3)),IFERROR(GETPIVOTDATA("Sum of Q"&amp;AV$9+1,'PT-All'!$A$1,"Scenario",AV$12,"P&amp;L Item",$B56),0))</f>
        <v>0</v>
      </c>
      <c r="AW56" s="65">
        <f ca="1">IF(AW$12="Pro Forma",SUM(OFFSET($B56,0,3*AW$9+1,1,3)),IFERROR(GETPIVOTDATA("Sum of Q"&amp;AW$9+1,'PT-All'!$A$1,"Scenario",AW$12,"P&amp;L Item",$B56),0))</f>
        <v>0</v>
      </c>
      <c r="AX56" s="65">
        <f ca="1">IF(AX$12="Pro Forma",SUM(OFFSET($B56,0,3*AX$9+1,1,3)),IFERROR(GETPIVOTDATA("Sum of Q"&amp;AX$9+1,'PT-All'!$A$1,"Scenario",AX$12,"P&amp;L Item",$B56),0))</f>
        <v>0</v>
      </c>
      <c r="AY56" s="97">
        <f ca="1">IF(AY$12="Pro Forma",SUM(OFFSET($B56,0,3*AY$9+1,1,3)),IFERROR(GETPIVOTDATA("Sum of Q"&amp;AY$9+1,'PT-All'!$A$1,"Scenario",AY$12,"P&amp;L Item",$B56),0))</f>
        <v>0</v>
      </c>
      <c r="AZ56" s="590"/>
      <c r="BA56" s="108">
        <f ca="1">IF(BA$12="Pro Forma",SUM(OFFSET($B56,0,12*BA$9+1,1,12)),IFERROR(GETPIVOTDATA("Sum of FY"&amp;BA$9+1,'PT-All'!$A$1,"Scenario",BA$12,"P&amp;L Item",$B56),0))</f>
        <v>0</v>
      </c>
      <c r="BB56" s="65">
        <f ca="1">IF(BB$12="Pro Forma",SUM(OFFSET($B56,0,12*BB$9+1,1,12)),IFERROR(GETPIVOTDATA("Sum of FY"&amp;BB$9+1,'PT-All'!$A$1,"Scenario",BB$12,"P&amp;L Item",$B56),0))</f>
        <v>0</v>
      </c>
      <c r="BC56" s="97">
        <f ca="1">IF(BC$12="Pro Forma",SUM(OFFSET($B56,0,12*BC$9+1,1,12)),IFERROR(GETPIVOTDATA("Sum of FY"&amp;BC$9+1,'PT-All'!$A$1,"Scenario",BC$12,"P&amp;L Item",$B56),0))</f>
        <v>0</v>
      </c>
    </row>
    <row r="57" spans="2:55" x14ac:dyDescent="0.35">
      <c r="B57" s="64" t="s">
        <v>42</v>
      </c>
      <c r="C57" s="65">
        <f>CHOOSE(PLColumn,IFERROR(GETPIVOTDATA("Sum of "&amp;C$9,'PT-All'!$A$1,"Scenario",C$12,"P&amp;L Item",$B57),0),IFERROR(GETPIVOTDATA("Sum of "&amp;C$9,'PT-All'!$A$1,"Scenario",C$12,"P&amp;L Item",$B57)/C$201,0),TEXT(IFERROR(GETPIVOTDATA("Sum of "&amp;C$9,'PT-All'!$A$1,"Scenario",C$12,"P&amp;L Item",$B57)/C$29,0),"0.00%"))</f>
        <v>0</v>
      </c>
      <c r="D57" s="65">
        <f>CHOOSE(PLColumn,IFERROR(GETPIVOTDATA("Sum of "&amp;D$9,'PT-All'!$A$1,"Scenario",D$12,"P&amp;L Item",$B57),0),IFERROR(GETPIVOTDATA("Sum of "&amp;D$9,'PT-All'!$A$1,"Scenario",D$12,"P&amp;L Item",$B57)/D$201,0),TEXT(IFERROR(GETPIVOTDATA("Sum of "&amp;D$9,'PT-All'!$A$1,"Scenario",D$12,"P&amp;L Item",$B57)/D$29,0),"0.00%"))</f>
        <v>0</v>
      </c>
      <c r="E57" s="65">
        <f>CHOOSE(PLColumn,IFERROR(GETPIVOTDATA("Sum of "&amp;E$9,'PT-All'!$A$1,"Scenario",E$12,"P&amp;L Item",$B57),0),IFERROR(GETPIVOTDATA("Sum of "&amp;E$9,'PT-All'!$A$1,"Scenario",E$12,"P&amp;L Item",$B57)/E$201,0),TEXT(IFERROR(GETPIVOTDATA("Sum of "&amp;E$9,'PT-All'!$A$1,"Scenario",E$12,"P&amp;L Item",$B57)/E$29,0),"0.00%"))</f>
        <v>0</v>
      </c>
      <c r="F57" s="65">
        <f>CHOOSE(PLColumn,IFERROR(GETPIVOTDATA("Sum of "&amp;F$9,'PT-All'!$A$1,"Scenario",F$12,"P&amp;L Item",$B57),0),IFERROR(GETPIVOTDATA("Sum of "&amp;F$9,'PT-All'!$A$1,"Scenario",F$12,"P&amp;L Item",$B57)/F$201,0),TEXT(IFERROR(GETPIVOTDATA("Sum of "&amp;F$9,'PT-All'!$A$1,"Scenario",F$12,"P&amp;L Item",$B57)/F$29,0),"0.00%"))</f>
        <v>0</v>
      </c>
      <c r="G57" s="65">
        <f>CHOOSE(PLColumn,IFERROR(GETPIVOTDATA("Sum of "&amp;G$9,'PT-All'!$A$1,"Scenario",G$12,"P&amp;L Item",$B57),0),IFERROR(GETPIVOTDATA("Sum of "&amp;G$9,'PT-All'!$A$1,"Scenario",G$12,"P&amp;L Item",$B57)/G$201,0),TEXT(IFERROR(GETPIVOTDATA("Sum of "&amp;G$9,'PT-All'!$A$1,"Scenario",G$12,"P&amp;L Item",$B57)/G$29,0),"0.00%"))</f>
        <v>0</v>
      </c>
      <c r="H57" s="65">
        <f>CHOOSE(PLColumn,IFERROR(GETPIVOTDATA("Sum of "&amp;H$9,'PT-All'!$A$1,"Scenario",H$12,"P&amp;L Item",$B57),0),IFERROR(GETPIVOTDATA("Sum of "&amp;H$9,'PT-All'!$A$1,"Scenario",H$12,"P&amp;L Item",$B57)/H$201,0),TEXT(IFERROR(GETPIVOTDATA("Sum of "&amp;H$9,'PT-All'!$A$1,"Scenario",H$12,"P&amp;L Item",$B57)/H$29,0),"0.00%"))</f>
        <v>0</v>
      </c>
      <c r="I57" s="65">
        <f>CHOOSE(PLColumn,IFERROR(GETPIVOTDATA("Sum of "&amp;I$9,'PT-All'!$A$1,"Scenario",I$12,"P&amp;L Item",$B57),0),IFERROR(GETPIVOTDATA("Sum of "&amp;I$9,'PT-All'!$A$1,"Scenario",I$12,"P&amp;L Item",$B57)/I$201,0),TEXT(IFERROR(GETPIVOTDATA("Sum of "&amp;I$9,'PT-All'!$A$1,"Scenario",I$12,"P&amp;L Item",$B57)/I$29,0),"0.00%"))</f>
        <v>0</v>
      </c>
      <c r="J57" s="65">
        <f>CHOOSE(PLColumn,IFERROR(GETPIVOTDATA("Sum of "&amp;J$9,'PT-All'!$A$1,"Scenario",J$12,"P&amp;L Item",$B57),0),IFERROR(GETPIVOTDATA("Sum of "&amp;J$9,'PT-All'!$A$1,"Scenario",J$12,"P&amp;L Item",$B57)/J$201,0),TEXT(IFERROR(GETPIVOTDATA("Sum of "&amp;J$9,'PT-All'!$A$1,"Scenario",J$12,"P&amp;L Item",$B57)/J$29,0),"0.00%"))</f>
        <v>0</v>
      </c>
      <c r="K57" s="65">
        <f>CHOOSE(PLColumn,IFERROR(GETPIVOTDATA("Sum of "&amp;K$9,'PT-All'!$A$1,"Scenario",K$12,"P&amp;L Item",$B57),0),IFERROR(GETPIVOTDATA("Sum of "&amp;K$9,'PT-All'!$A$1,"Scenario",K$12,"P&amp;L Item",$B57)/K$201,0),TEXT(IFERROR(GETPIVOTDATA("Sum of "&amp;K$9,'PT-All'!$A$1,"Scenario",K$12,"P&amp;L Item",$B57)/K$29,0),"0.00%"))</f>
        <v>0</v>
      </c>
      <c r="L57" s="65">
        <f>CHOOSE(PLColumn,IFERROR(GETPIVOTDATA("Sum of "&amp;L$9,'PT-All'!$A$1,"Scenario",L$12,"P&amp;L Item",$B57),0),IFERROR(GETPIVOTDATA("Sum of "&amp;L$9,'PT-All'!$A$1,"Scenario",L$12,"P&amp;L Item",$B57)/L$201,0),TEXT(IFERROR(GETPIVOTDATA("Sum of "&amp;L$9,'PT-All'!$A$1,"Scenario",L$12,"P&amp;L Item",$B57)/L$29,0),"0.00%"))</f>
        <v>0</v>
      </c>
      <c r="M57" s="65">
        <f>CHOOSE(PLColumn,IFERROR(GETPIVOTDATA("Sum of "&amp;M$9,'PT-All'!$A$1,"Scenario",M$12,"P&amp;L Item",$B57),0),IFERROR(GETPIVOTDATA("Sum of "&amp;M$9,'PT-All'!$A$1,"Scenario",M$12,"P&amp;L Item",$B57)/M$201,0),TEXT(IFERROR(GETPIVOTDATA("Sum of "&amp;M$9,'PT-All'!$A$1,"Scenario",M$12,"P&amp;L Item",$B57)/M$29,0),"0.00%"))</f>
        <v>0</v>
      </c>
      <c r="N57" s="65">
        <f>CHOOSE(PLColumn,IFERROR(GETPIVOTDATA("Sum of "&amp;N$9,'PT-All'!$A$1,"Scenario",N$12,"P&amp;L Item",$B57),0),IFERROR(GETPIVOTDATA("Sum of "&amp;N$9,'PT-All'!$A$1,"Scenario",N$12,"P&amp;L Item",$B57)/N$201,0),TEXT(IFERROR(GETPIVOTDATA("Sum of "&amp;N$9,'PT-All'!$A$1,"Scenario",N$12,"P&amp;L Item",$B57)/N$29,0),"0.00%"))</f>
        <v>0</v>
      </c>
      <c r="O57" s="65">
        <f>CHOOSE(PLColumn,IFERROR(GETPIVOTDATA("Sum of "&amp;O$9,'PT-All'!$A$1,"Scenario",O$12,"P&amp;L Item",$B57),0),IFERROR(GETPIVOTDATA("Sum of "&amp;O$9,'PT-All'!$A$1,"Scenario",O$12,"P&amp;L Item",$B57)/O$201,0),TEXT(IFERROR(GETPIVOTDATA("Sum of "&amp;O$9,'PT-All'!$A$1,"Scenario",O$12,"P&amp;L Item",$B57)/O$29,0),"0.00%"))</f>
        <v>0</v>
      </c>
      <c r="P57" s="65">
        <f>CHOOSE(PLColumn,IFERROR(GETPIVOTDATA("Sum of "&amp;P$9,'PT-All'!$A$1,"Scenario",P$12,"P&amp;L Item",$B57),0),IFERROR(GETPIVOTDATA("Sum of "&amp;P$9,'PT-All'!$A$1,"Scenario",P$12,"P&amp;L Item",$B57)/P$201,0),TEXT(IFERROR(GETPIVOTDATA("Sum of "&amp;P$9,'PT-All'!$A$1,"Scenario",P$12,"P&amp;L Item",$B57)/P$29,0),"0.00%"))</f>
        <v>0</v>
      </c>
      <c r="Q57" s="65">
        <f>CHOOSE(PLColumn,IFERROR(GETPIVOTDATA("Sum of "&amp;Q$9,'PT-All'!$A$1,"Scenario",Q$12,"P&amp;L Item",$B57),0),IFERROR(GETPIVOTDATA("Sum of "&amp;Q$9,'PT-All'!$A$1,"Scenario",Q$12,"P&amp;L Item",$B57)/Q$201,0),TEXT(IFERROR(GETPIVOTDATA("Sum of "&amp;Q$9,'PT-All'!$A$1,"Scenario",Q$12,"P&amp;L Item",$B57)/Q$29,0),"0.00%"))</f>
        <v>0</v>
      </c>
      <c r="R57" s="65">
        <f>CHOOSE(PLColumn,IFERROR(GETPIVOTDATA("Sum of "&amp;R$9,'PT-All'!$A$1,"Scenario",R$12,"P&amp;L Item",$B57),0),IFERROR(GETPIVOTDATA("Sum of "&amp;R$9,'PT-All'!$A$1,"Scenario",R$12,"P&amp;L Item",$B57)/R$201,0),TEXT(IFERROR(GETPIVOTDATA("Sum of "&amp;R$9,'PT-All'!$A$1,"Scenario",R$12,"P&amp;L Item",$B57)/R$29,0),"0.00%"))</f>
        <v>0</v>
      </c>
      <c r="S57" s="65">
        <f>CHOOSE(PLColumn,IFERROR(GETPIVOTDATA("Sum of "&amp;S$9,'PT-All'!$A$1,"Scenario",S$12,"P&amp;L Item",$B57),0),IFERROR(GETPIVOTDATA("Sum of "&amp;S$9,'PT-All'!$A$1,"Scenario",S$12,"P&amp;L Item",$B57)/S$201,0),TEXT(IFERROR(GETPIVOTDATA("Sum of "&amp;S$9,'PT-All'!$A$1,"Scenario",S$12,"P&amp;L Item",$B57)/S$29,0),"0.00%"))</f>
        <v>0</v>
      </c>
      <c r="T57" s="65">
        <f>CHOOSE(PLColumn,IFERROR(GETPIVOTDATA("Sum of "&amp;T$9,'PT-All'!$A$1,"Scenario",T$12,"P&amp;L Item",$B57),0),IFERROR(GETPIVOTDATA("Sum of "&amp;T$9,'PT-All'!$A$1,"Scenario",T$12,"P&amp;L Item",$B57)/T$201,0),TEXT(IFERROR(GETPIVOTDATA("Sum of "&amp;T$9,'PT-All'!$A$1,"Scenario",T$12,"P&amp;L Item",$B57)/T$29,0),"0.00%"))</f>
        <v>0</v>
      </c>
      <c r="U57" s="65">
        <f>CHOOSE(PLColumn,IFERROR(GETPIVOTDATA("Sum of "&amp;U$9,'PT-All'!$A$1,"Scenario",U$12,"P&amp;L Item",$B57),0),IFERROR(GETPIVOTDATA("Sum of "&amp;U$9,'PT-All'!$A$1,"Scenario",U$12,"P&amp;L Item",$B57)/U$201,0),TEXT(IFERROR(GETPIVOTDATA("Sum of "&amp;U$9,'PT-All'!$A$1,"Scenario",U$12,"P&amp;L Item",$B57)/U$29,0),"0.00%"))</f>
        <v>0</v>
      </c>
      <c r="V57" s="65">
        <f>CHOOSE(PLColumn,IFERROR(GETPIVOTDATA("Sum of "&amp;V$9,'PT-All'!$A$1,"Scenario",V$12,"P&amp;L Item",$B57),0),IFERROR(GETPIVOTDATA("Sum of "&amp;V$9,'PT-All'!$A$1,"Scenario",V$12,"P&amp;L Item",$B57)/V$201,0),TEXT(IFERROR(GETPIVOTDATA("Sum of "&amp;V$9,'PT-All'!$A$1,"Scenario",V$12,"P&amp;L Item",$B57)/V$29,0),"0.00%"))</f>
        <v>0</v>
      </c>
      <c r="W57" s="65">
        <f>CHOOSE(PLColumn,IFERROR(GETPIVOTDATA("Sum of "&amp;W$9,'PT-All'!$A$1,"Scenario",W$12,"P&amp;L Item",$B57),0),IFERROR(GETPIVOTDATA("Sum of "&amp;W$9,'PT-All'!$A$1,"Scenario",W$12,"P&amp;L Item",$B57)/W$201,0),TEXT(IFERROR(GETPIVOTDATA("Sum of "&amp;W$9,'PT-All'!$A$1,"Scenario",W$12,"P&amp;L Item",$B57)/W$29,0),"0.00%"))</f>
        <v>0</v>
      </c>
      <c r="X57" s="65">
        <f>CHOOSE(PLColumn,IFERROR(GETPIVOTDATA("Sum of "&amp;X$9,'PT-All'!$A$1,"Scenario",X$12,"P&amp;L Item",$B57),0),IFERROR(GETPIVOTDATA("Sum of "&amp;X$9,'PT-All'!$A$1,"Scenario",X$12,"P&amp;L Item",$B57)/X$201,0),TEXT(IFERROR(GETPIVOTDATA("Sum of "&amp;X$9,'PT-All'!$A$1,"Scenario",X$12,"P&amp;L Item",$B57)/X$29,0),"0.00%"))</f>
        <v>0</v>
      </c>
      <c r="Y57" s="65">
        <f>CHOOSE(PLColumn,IFERROR(GETPIVOTDATA("Sum of "&amp;Y$9,'PT-All'!$A$1,"Scenario",Y$12,"P&amp;L Item",$B57),0),IFERROR(GETPIVOTDATA("Sum of "&amp;Y$9,'PT-All'!$A$1,"Scenario",Y$12,"P&amp;L Item",$B57)/Y$201,0),TEXT(IFERROR(GETPIVOTDATA("Sum of "&amp;Y$9,'PT-All'!$A$1,"Scenario",Y$12,"P&amp;L Item",$B57)/Y$29,0),"0.00%"))</f>
        <v>0</v>
      </c>
      <c r="Z57" s="65">
        <f>CHOOSE(PLColumn,IFERROR(GETPIVOTDATA("Sum of "&amp;Z$9,'PT-All'!$A$1,"Scenario",Z$12,"P&amp;L Item",$B57),0),IFERROR(GETPIVOTDATA("Sum of "&amp;Z$9,'PT-All'!$A$1,"Scenario",Z$12,"P&amp;L Item",$B57)/Z$201,0),TEXT(IFERROR(GETPIVOTDATA("Sum of "&amp;Z$9,'PT-All'!$A$1,"Scenario",Z$12,"P&amp;L Item",$B57)/Z$29,0),"0.00%"))</f>
        <v>0</v>
      </c>
      <c r="AA57" s="65">
        <f>CHOOSE(PLColumn,IFERROR(GETPIVOTDATA("Sum of "&amp;AA$9,'PT-All'!$A$1,"Scenario",AA$12,"P&amp;L Item",$B57),0),IFERROR(GETPIVOTDATA("Sum of "&amp;AA$9,'PT-All'!$A$1,"Scenario",AA$12,"P&amp;L Item",$B57)/AA$201,0),TEXT(IFERROR(GETPIVOTDATA("Sum of "&amp;AA$9,'PT-All'!$A$1,"Scenario",AA$12,"P&amp;L Item",$B57)/AA$29,0),"0.00%"))</f>
        <v>0</v>
      </c>
      <c r="AB57" s="65">
        <f>CHOOSE(PLColumn,IFERROR(GETPIVOTDATA("Sum of "&amp;AB$9,'PT-All'!$A$1,"Scenario",AB$12,"P&amp;L Item",$B57),0),IFERROR(GETPIVOTDATA("Sum of "&amp;AB$9,'PT-All'!$A$1,"Scenario",AB$12,"P&amp;L Item",$B57)/AB$201,0),TEXT(IFERROR(GETPIVOTDATA("Sum of "&amp;AB$9,'PT-All'!$A$1,"Scenario",AB$12,"P&amp;L Item",$B57)/AB$29,0),"0.00%"))</f>
        <v>0</v>
      </c>
      <c r="AC57" s="65">
        <f>CHOOSE(PLColumn,IFERROR(GETPIVOTDATA("Sum of "&amp;AC$9,'PT-All'!$A$1,"Scenario",AC$12,"P&amp;L Item",$B57),0),IFERROR(GETPIVOTDATA("Sum of "&amp;AC$9,'PT-All'!$A$1,"Scenario",AC$12,"P&amp;L Item",$B57)/AC$201,0),TEXT(IFERROR(GETPIVOTDATA("Sum of "&amp;AC$9,'PT-All'!$A$1,"Scenario",AC$12,"P&amp;L Item",$B57)/AC$29,0),"0.00%"))</f>
        <v>0</v>
      </c>
      <c r="AD57" s="65">
        <f>CHOOSE(PLColumn,IFERROR(GETPIVOTDATA("Sum of "&amp;AD$9,'PT-All'!$A$1,"Scenario",AD$12,"P&amp;L Item",$B57),0),IFERROR(GETPIVOTDATA("Sum of "&amp;AD$9,'PT-All'!$A$1,"Scenario",AD$12,"P&amp;L Item",$B57)/AD$201,0),TEXT(IFERROR(GETPIVOTDATA("Sum of "&amp;AD$9,'PT-All'!$A$1,"Scenario",AD$12,"P&amp;L Item",$B57)/AD$29,0),"0.00%"))</f>
        <v>0</v>
      </c>
      <c r="AE57" s="65">
        <f>CHOOSE(PLColumn,IFERROR(GETPIVOTDATA("Sum of "&amp;AE$9,'PT-All'!$A$1,"Scenario",AE$12,"P&amp;L Item",$B57),0),IFERROR(GETPIVOTDATA("Sum of "&amp;AE$9,'PT-All'!$A$1,"Scenario",AE$12,"P&amp;L Item",$B57)/AE$201,0),TEXT(IFERROR(GETPIVOTDATA("Sum of "&amp;AE$9,'PT-All'!$A$1,"Scenario",AE$12,"P&amp;L Item",$B57)/AE$29,0),"0.00%"))</f>
        <v>0</v>
      </c>
      <c r="AF57" s="65">
        <f>CHOOSE(PLColumn,IFERROR(GETPIVOTDATA("Sum of "&amp;AF$9,'PT-All'!$A$1,"Scenario",AF$12,"P&amp;L Item",$B57),0),IFERROR(GETPIVOTDATA("Sum of "&amp;AF$9,'PT-All'!$A$1,"Scenario",AF$12,"P&amp;L Item",$B57)/AF$201,0),TEXT(IFERROR(GETPIVOTDATA("Sum of "&amp;AF$9,'PT-All'!$A$1,"Scenario",AF$12,"P&amp;L Item",$B57)/AF$29,0),"0.00%"))</f>
        <v>0</v>
      </c>
      <c r="AG57" s="65">
        <f>CHOOSE(PLColumn,IFERROR(GETPIVOTDATA("Sum of "&amp;AG$9,'PT-All'!$A$1,"Scenario",AG$12,"P&amp;L Item",$B57),0),IFERROR(GETPIVOTDATA("Sum of "&amp;AG$9,'PT-All'!$A$1,"Scenario",AG$12,"P&amp;L Item",$B57)/AG$201,0),TEXT(IFERROR(GETPIVOTDATA("Sum of "&amp;AG$9,'PT-All'!$A$1,"Scenario",AG$12,"P&amp;L Item",$B57)/AG$29,0),"0.00%"))</f>
        <v>0</v>
      </c>
      <c r="AH57" s="65">
        <f>CHOOSE(PLColumn,IFERROR(GETPIVOTDATA("Sum of "&amp;AH$9,'PT-All'!$A$1,"Scenario",AH$12,"P&amp;L Item",$B57),0),IFERROR(GETPIVOTDATA("Sum of "&amp;AH$9,'PT-All'!$A$1,"Scenario",AH$12,"P&amp;L Item",$B57)/AH$201,0),TEXT(IFERROR(GETPIVOTDATA("Sum of "&amp;AH$9,'PT-All'!$A$1,"Scenario",AH$12,"P&amp;L Item",$B57)/AH$29,0),"0.00%"))</f>
        <v>0</v>
      </c>
      <c r="AI57" s="65">
        <f>CHOOSE(PLColumn,IFERROR(GETPIVOTDATA("Sum of "&amp;AI$9,'PT-All'!$A$1,"Scenario",AI$12,"P&amp;L Item",$B57),0),IFERROR(GETPIVOTDATA("Sum of "&amp;AI$9,'PT-All'!$A$1,"Scenario",AI$12,"P&amp;L Item",$B57)/AI$201,0),TEXT(IFERROR(GETPIVOTDATA("Sum of "&amp;AI$9,'PT-All'!$A$1,"Scenario",AI$12,"P&amp;L Item",$B57)/AI$29,0),"0.00%"))</f>
        <v>0</v>
      </c>
      <c r="AJ57" s="65">
        <f>CHOOSE(PLColumn,IFERROR(GETPIVOTDATA("Sum of "&amp;AJ$9,'PT-All'!$A$1,"Scenario",AJ$12,"P&amp;L Item",$B57),0),IFERROR(GETPIVOTDATA("Sum of "&amp;AJ$9,'PT-All'!$A$1,"Scenario",AJ$12,"P&amp;L Item",$B57)/AJ$201,0),TEXT(IFERROR(GETPIVOTDATA("Sum of "&amp;AJ$9,'PT-All'!$A$1,"Scenario",AJ$12,"P&amp;L Item",$B57)/AJ$29,0),"0.00%"))</f>
        <v>0</v>
      </c>
      <c r="AK57" s="65">
        <f>CHOOSE(PLColumn,IFERROR(GETPIVOTDATA("Sum of "&amp;AK$9,'PT-All'!$A$1,"Scenario",AK$12,"P&amp;L Item",$B57),0),IFERROR(GETPIVOTDATA("Sum of "&amp;AK$9,'PT-All'!$A$1,"Scenario",AK$12,"P&amp;L Item",$B57)/AK$201,0),TEXT(IFERROR(GETPIVOTDATA("Sum of "&amp;AK$9,'PT-All'!$A$1,"Scenario",AK$12,"P&amp;L Item",$B57)/AK$29,0),"0.00%"))</f>
        <v>0</v>
      </c>
      <c r="AL57" s="97">
        <f>CHOOSE(PLColumn,IFERROR(GETPIVOTDATA("Sum of "&amp;AL$9,'PT-All'!$A$1,"Scenario",AL$12,"P&amp;L Item",$B57),0),IFERROR(GETPIVOTDATA("Sum of "&amp;AL$9,'PT-All'!$A$1,"Scenario",AL$12,"P&amp;L Item",$B57)/AL$201,0),TEXT(IFERROR(GETPIVOTDATA("Sum of "&amp;AL$9,'PT-All'!$A$1,"Scenario",AL$12,"P&amp;L Item",$B57)/AL$29,0),"0.00%"))</f>
        <v>0</v>
      </c>
      <c r="AM57" s="590"/>
      <c r="AN57" s="108">
        <f ca="1">IF(AN$12="Pro Forma",SUM(OFFSET($B57,0,3*AN$9+1,1,3)),IFERROR(GETPIVOTDATA("Sum of Q"&amp;AN$9+1,'PT-All'!$A$1,"Scenario",AN$12,"P&amp;L Item",$B57),0))</f>
        <v>0</v>
      </c>
      <c r="AO57" s="65">
        <f ca="1">IF(AO$12="Pro Forma",SUM(OFFSET($B57,0,3*AO$9+1,1,3)),IFERROR(GETPIVOTDATA("Sum of Q"&amp;AO$9+1,'PT-All'!$A$1,"Scenario",AO$12,"P&amp;L Item",$B57),0))</f>
        <v>0</v>
      </c>
      <c r="AP57" s="65">
        <f ca="1">IF(AP$12="Pro Forma",SUM(OFFSET($B57,0,3*AP$9+1,1,3)),IFERROR(GETPIVOTDATA("Sum of Q"&amp;AP$9+1,'PT-All'!$A$1,"Scenario",AP$12,"P&amp;L Item",$B57),0))</f>
        <v>0</v>
      </c>
      <c r="AQ57" s="65">
        <f ca="1">IF(AQ$12="Pro Forma",SUM(OFFSET($B57,0,3*AQ$9+1,1,3)),IFERROR(GETPIVOTDATA("Sum of Q"&amp;AQ$9+1,'PT-All'!$A$1,"Scenario",AQ$12,"P&amp;L Item",$B57),0))</f>
        <v>0</v>
      </c>
      <c r="AR57" s="65">
        <f ca="1">IF(AR$12="Pro Forma",SUM(OFFSET($B57,0,3*AR$9+1,1,3)),IFERROR(GETPIVOTDATA("Sum of Q"&amp;AR$9+1,'PT-All'!$A$1,"Scenario",AR$12,"P&amp;L Item",$B57),0))</f>
        <v>0</v>
      </c>
      <c r="AS57" s="65">
        <f ca="1">IF(AS$12="Pro Forma",SUM(OFFSET($B57,0,3*AS$9+1,1,3)),IFERROR(GETPIVOTDATA("Sum of Q"&amp;AS$9+1,'PT-All'!$A$1,"Scenario",AS$12,"P&amp;L Item",$B57),0))</f>
        <v>0</v>
      </c>
      <c r="AT57" s="65">
        <f ca="1">IF(AT$12="Pro Forma",SUM(OFFSET($B57,0,3*AT$9+1,1,3)),IFERROR(GETPIVOTDATA("Sum of Q"&amp;AT$9+1,'PT-All'!$A$1,"Scenario",AT$12,"P&amp;L Item",$B57),0))</f>
        <v>0</v>
      </c>
      <c r="AU57" s="65">
        <f ca="1">IF(AU$12="Pro Forma",SUM(OFFSET($B57,0,3*AU$9+1,1,3)),IFERROR(GETPIVOTDATA("Sum of Q"&amp;AU$9+1,'PT-All'!$A$1,"Scenario",AU$12,"P&amp;L Item",$B57),0))</f>
        <v>0</v>
      </c>
      <c r="AV57" s="65">
        <f ca="1">IF(AV$12="Pro Forma",SUM(OFFSET($B57,0,3*AV$9+1,1,3)),IFERROR(GETPIVOTDATA("Sum of Q"&amp;AV$9+1,'PT-All'!$A$1,"Scenario",AV$12,"P&amp;L Item",$B57),0))</f>
        <v>0</v>
      </c>
      <c r="AW57" s="65">
        <f ca="1">IF(AW$12="Pro Forma",SUM(OFFSET($B57,0,3*AW$9+1,1,3)),IFERROR(GETPIVOTDATA("Sum of Q"&amp;AW$9+1,'PT-All'!$A$1,"Scenario",AW$12,"P&amp;L Item",$B57),0))</f>
        <v>0</v>
      </c>
      <c r="AX57" s="65">
        <f ca="1">IF(AX$12="Pro Forma",SUM(OFFSET($B57,0,3*AX$9+1,1,3)),IFERROR(GETPIVOTDATA("Sum of Q"&amp;AX$9+1,'PT-All'!$A$1,"Scenario",AX$12,"P&amp;L Item",$B57),0))</f>
        <v>0</v>
      </c>
      <c r="AY57" s="97">
        <f ca="1">IF(AY$12="Pro Forma",SUM(OFFSET($B57,0,3*AY$9+1,1,3)),IFERROR(GETPIVOTDATA("Sum of Q"&amp;AY$9+1,'PT-All'!$A$1,"Scenario",AY$12,"P&amp;L Item",$B57),0))</f>
        <v>0</v>
      </c>
      <c r="AZ57" s="590"/>
      <c r="BA57" s="108">
        <f ca="1">IF(BA$12="Pro Forma",SUM(OFFSET($B57,0,12*BA$9+1,1,12)),IFERROR(GETPIVOTDATA("Sum of FY"&amp;BA$9+1,'PT-All'!$A$1,"Scenario",BA$12,"P&amp;L Item",$B57),0))</f>
        <v>0</v>
      </c>
      <c r="BB57" s="65">
        <f ca="1">IF(BB$12="Pro Forma",SUM(OFFSET($B57,0,12*BB$9+1,1,12)),IFERROR(GETPIVOTDATA("Sum of FY"&amp;BB$9+1,'PT-All'!$A$1,"Scenario",BB$12,"P&amp;L Item",$B57),0))</f>
        <v>0</v>
      </c>
      <c r="BC57" s="97">
        <f ca="1">IF(BC$12="Pro Forma",SUM(OFFSET($B57,0,12*BC$9+1,1,12)),IFERROR(GETPIVOTDATA("Sum of FY"&amp;BC$9+1,'PT-All'!$A$1,"Scenario",BC$12,"P&amp;L Item",$B57),0))</f>
        <v>0</v>
      </c>
    </row>
    <row r="58" spans="2:55" x14ac:dyDescent="0.35">
      <c r="B58" s="81" t="s">
        <v>43</v>
      </c>
      <c r="C58" s="78">
        <f>CHOOSE(PLColumn,IFERROR(GETPIVOTDATA("Sum of "&amp;C$9,'PT-All'!$A$1,"Scenario",C$12,"P&amp;L Item",$B58),0),IFERROR(GETPIVOTDATA("Sum of "&amp;C$9,'PT-All'!$A$1,"Scenario",C$12,"P&amp;L Item",$B58)/C$201,0),TEXT(IFERROR(GETPIVOTDATA("Sum of "&amp;C$9,'PT-All'!$A$1,"Scenario",C$12,"P&amp;L Item",$B58)/C$29,0),"0.00%"))</f>
        <v>0</v>
      </c>
      <c r="D58" s="78">
        <f>CHOOSE(PLColumn,IFERROR(GETPIVOTDATA("Sum of "&amp;D$9,'PT-All'!$A$1,"Scenario",D$12,"P&amp;L Item",$B58),0),IFERROR(GETPIVOTDATA("Sum of "&amp;D$9,'PT-All'!$A$1,"Scenario",D$12,"P&amp;L Item",$B58)/D$201,0),TEXT(IFERROR(GETPIVOTDATA("Sum of "&amp;D$9,'PT-All'!$A$1,"Scenario",D$12,"P&amp;L Item",$B58)/D$29,0),"0.00%"))</f>
        <v>0</v>
      </c>
      <c r="E58" s="78">
        <f>CHOOSE(PLColumn,IFERROR(GETPIVOTDATA("Sum of "&amp;E$9,'PT-All'!$A$1,"Scenario",E$12,"P&amp;L Item",$B58),0),IFERROR(GETPIVOTDATA("Sum of "&amp;E$9,'PT-All'!$A$1,"Scenario",E$12,"P&amp;L Item",$B58)/E$201,0),TEXT(IFERROR(GETPIVOTDATA("Sum of "&amp;E$9,'PT-All'!$A$1,"Scenario",E$12,"P&amp;L Item",$B58)/E$29,0),"0.00%"))</f>
        <v>0</v>
      </c>
      <c r="F58" s="78">
        <f>CHOOSE(PLColumn,IFERROR(GETPIVOTDATA("Sum of "&amp;F$9,'PT-All'!$A$1,"Scenario",F$12,"P&amp;L Item",$B58),0),IFERROR(GETPIVOTDATA("Sum of "&amp;F$9,'PT-All'!$A$1,"Scenario",F$12,"P&amp;L Item",$B58)/F$201,0),TEXT(IFERROR(GETPIVOTDATA("Sum of "&amp;F$9,'PT-All'!$A$1,"Scenario",F$12,"P&amp;L Item",$B58)/F$29,0),"0.00%"))</f>
        <v>0</v>
      </c>
      <c r="G58" s="78">
        <f>CHOOSE(PLColumn,IFERROR(GETPIVOTDATA("Sum of "&amp;G$9,'PT-All'!$A$1,"Scenario",G$12,"P&amp;L Item",$B58),0),IFERROR(GETPIVOTDATA("Sum of "&amp;G$9,'PT-All'!$A$1,"Scenario",G$12,"P&amp;L Item",$B58)/G$201,0),TEXT(IFERROR(GETPIVOTDATA("Sum of "&amp;G$9,'PT-All'!$A$1,"Scenario",G$12,"P&amp;L Item",$B58)/G$29,0),"0.00%"))</f>
        <v>0</v>
      </c>
      <c r="H58" s="78">
        <f>CHOOSE(PLColumn,IFERROR(GETPIVOTDATA("Sum of "&amp;H$9,'PT-All'!$A$1,"Scenario",H$12,"P&amp;L Item",$B58),0),IFERROR(GETPIVOTDATA("Sum of "&amp;H$9,'PT-All'!$A$1,"Scenario",H$12,"P&amp;L Item",$B58)/H$201,0),TEXT(IFERROR(GETPIVOTDATA("Sum of "&amp;H$9,'PT-All'!$A$1,"Scenario",H$12,"P&amp;L Item",$B58)/H$29,0),"0.00%"))</f>
        <v>0</v>
      </c>
      <c r="I58" s="78">
        <f>CHOOSE(PLColumn,IFERROR(GETPIVOTDATA("Sum of "&amp;I$9,'PT-All'!$A$1,"Scenario",I$12,"P&amp;L Item",$B58),0),IFERROR(GETPIVOTDATA("Sum of "&amp;I$9,'PT-All'!$A$1,"Scenario",I$12,"P&amp;L Item",$B58)/I$201,0),TEXT(IFERROR(GETPIVOTDATA("Sum of "&amp;I$9,'PT-All'!$A$1,"Scenario",I$12,"P&amp;L Item",$B58)/I$29,0),"0.00%"))</f>
        <v>0</v>
      </c>
      <c r="J58" s="78">
        <f>CHOOSE(PLColumn,IFERROR(GETPIVOTDATA("Sum of "&amp;J$9,'PT-All'!$A$1,"Scenario",J$12,"P&amp;L Item",$B58),0),IFERROR(GETPIVOTDATA("Sum of "&amp;J$9,'PT-All'!$A$1,"Scenario",J$12,"P&amp;L Item",$B58)/J$201,0),TEXT(IFERROR(GETPIVOTDATA("Sum of "&amp;J$9,'PT-All'!$A$1,"Scenario",J$12,"P&amp;L Item",$B58)/J$29,0),"0.00%"))</f>
        <v>0</v>
      </c>
      <c r="K58" s="78">
        <f>CHOOSE(PLColumn,IFERROR(GETPIVOTDATA("Sum of "&amp;K$9,'PT-All'!$A$1,"Scenario",K$12,"P&amp;L Item",$B58),0),IFERROR(GETPIVOTDATA("Sum of "&amp;K$9,'PT-All'!$A$1,"Scenario",K$12,"P&amp;L Item",$B58)/K$201,0),TEXT(IFERROR(GETPIVOTDATA("Sum of "&amp;K$9,'PT-All'!$A$1,"Scenario",K$12,"P&amp;L Item",$B58)/K$29,0),"0.00%"))</f>
        <v>0</v>
      </c>
      <c r="L58" s="78">
        <f>CHOOSE(PLColumn,IFERROR(GETPIVOTDATA("Sum of "&amp;L$9,'PT-All'!$A$1,"Scenario",L$12,"P&amp;L Item",$B58),0),IFERROR(GETPIVOTDATA("Sum of "&amp;L$9,'PT-All'!$A$1,"Scenario",L$12,"P&amp;L Item",$B58)/L$201,0),TEXT(IFERROR(GETPIVOTDATA("Sum of "&amp;L$9,'PT-All'!$A$1,"Scenario",L$12,"P&amp;L Item",$B58)/L$29,0),"0.00%"))</f>
        <v>0</v>
      </c>
      <c r="M58" s="78">
        <f>CHOOSE(PLColumn,IFERROR(GETPIVOTDATA("Sum of "&amp;M$9,'PT-All'!$A$1,"Scenario",M$12,"P&amp;L Item",$B58),0),IFERROR(GETPIVOTDATA("Sum of "&amp;M$9,'PT-All'!$A$1,"Scenario",M$12,"P&amp;L Item",$B58)/M$201,0),TEXT(IFERROR(GETPIVOTDATA("Sum of "&amp;M$9,'PT-All'!$A$1,"Scenario",M$12,"P&amp;L Item",$B58)/M$29,0),"0.00%"))</f>
        <v>0</v>
      </c>
      <c r="N58" s="78">
        <f>CHOOSE(PLColumn,IFERROR(GETPIVOTDATA("Sum of "&amp;N$9,'PT-All'!$A$1,"Scenario",N$12,"P&amp;L Item",$B58),0),IFERROR(GETPIVOTDATA("Sum of "&amp;N$9,'PT-All'!$A$1,"Scenario",N$12,"P&amp;L Item",$B58)/N$201,0),TEXT(IFERROR(GETPIVOTDATA("Sum of "&amp;N$9,'PT-All'!$A$1,"Scenario",N$12,"P&amp;L Item",$B58)/N$29,0),"0.00%"))</f>
        <v>0</v>
      </c>
      <c r="O58" s="78">
        <f>CHOOSE(PLColumn,IFERROR(GETPIVOTDATA("Sum of "&amp;O$9,'PT-All'!$A$1,"Scenario",O$12,"P&amp;L Item",$B58),0),IFERROR(GETPIVOTDATA("Sum of "&amp;O$9,'PT-All'!$A$1,"Scenario",O$12,"P&amp;L Item",$B58)/O$201,0),TEXT(IFERROR(GETPIVOTDATA("Sum of "&amp;O$9,'PT-All'!$A$1,"Scenario",O$12,"P&amp;L Item",$B58)/O$29,0),"0.00%"))</f>
        <v>0</v>
      </c>
      <c r="P58" s="78">
        <f>CHOOSE(PLColumn,IFERROR(GETPIVOTDATA("Sum of "&amp;P$9,'PT-All'!$A$1,"Scenario",P$12,"P&amp;L Item",$B58),0),IFERROR(GETPIVOTDATA("Sum of "&amp;P$9,'PT-All'!$A$1,"Scenario",P$12,"P&amp;L Item",$B58)/P$201,0),TEXT(IFERROR(GETPIVOTDATA("Sum of "&amp;P$9,'PT-All'!$A$1,"Scenario",P$12,"P&amp;L Item",$B58)/P$29,0),"0.00%"))</f>
        <v>0</v>
      </c>
      <c r="Q58" s="78">
        <f>CHOOSE(PLColumn,IFERROR(GETPIVOTDATA("Sum of "&amp;Q$9,'PT-All'!$A$1,"Scenario",Q$12,"P&amp;L Item",$B58),0),IFERROR(GETPIVOTDATA("Sum of "&amp;Q$9,'PT-All'!$A$1,"Scenario",Q$12,"P&amp;L Item",$B58)/Q$201,0),TEXT(IFERROR(GETPIVOTDATA("Sum of "&amp;Q$9,'PT-All'!$A$1,"Scenario",Q$12,"P&amp;L Item",$B58)/Q$29,0),"0.00%"))</f>
        <v>0</v>
      </c>
      <c r="R58" s="78">
        <f>CHOOSE(PLColumn,IFERROR(GETPIVOTDATA("Sum of "&amp;R$9,'PT-All'!$A$1,"Scenario",R$12,"P&amp;L Item",$B58),0),IFERROR(GETPIVOTDATA("Sum of "&amp;R$9,'PT-All'!$A$1,"Scenario",R$12,"P&amp;L Item",$B58)/R$201,0),TEXT(IFERROR(GETPIVOTDATA("Sum of "&amp;R$9,'PT-All'!$A$1,"Scenario",R$12,"P&amp;L Item",$B58)/R$29,0),"0.00%"))</f>
        <v>0</v>
      </c>
      <c r="S58" s="78">
        <f>CHOOSE(PLColumn,IFERROR(GETPIVOTDATA("Sum of "&amp;S$9,'PT-All'!$A$1,"Scenario",S$12,"P&amp;L Item",$B58),0),IFERROR(GETPIVOTDATA("Sum of "&amp;S$9,'PT-All'!$A$1,"Scenario",S$12,"P&amp;L Item",$B58)/S$201,0),TEXT(IFERROR(GETPIVOTDATA("Sum of "&amp;S$9,'PT-All'!$A$1,"Scenario",S$12,"P&amp;L Item",$B58)/S$29,0),"0.00%"))</f>
        <v>0</v>
      </c>
      <c r="T58" s="78">
        <f>CHOOSE(PLColumn,IFERROR(GETPIVOTDATA("Sum of "&amp;T$9,'PT-All'!$A$1,"Scenario",T$12,"P&amp;L Item",$B58),0),IFERROR(GETPIVOTDATA("Sum of "&amp;T$9,'PT-All'!$A$1,"Scenario",T$12,"P&amp;L Item",$B58)/T$201,0),TEXT(IFERROR(GETPIVOTDATA("Sum of "&amp;T$9,'PT-All'!$A$1,"Scenario",T$12,"P&amp;L Item",$B58)/T$29,0),"0.00%"))</f>
        <v>0</v>
      </c>
      <c r="U58" s="78">
        <f>CHOOSE(PLColumn,IFERROR(GETPIVOTDATA("Sum of "&amp;U$9,'PT-All'!$A$1,"Scenario",U$12,"P&amp;L Item",$B58),0),IFERROR(GETPIVOTDATA("Sum of "&amp;U$9,'PT-All'!$A$1,"Scenario",U$12,"P&amp;L Item",$B58)/U$201,0),TEXT(IFERROR(GETPIVOTDATA("Sum of "&amp;U$9,'PT-All'!$A$1,"Scenario",U$12,"P&amp;L Item",$B58)/U$29,0),"0.00%"))</f>
        <v>0</v>
      </c>
      <c r="V58" s="78">
        <f>CHOOSE(PLColumn,IFERROR(GETPIVOTDATA("Sum of "&amp;V$9,'PT-All'!$A$1,"Scenario",V$12,"P&amp;L Item",$B58),0),IFERROR(GETPIVOTDATA("Sum of "&amp;V$9,'PT-All'!$A$1,"Scenario",V$12,"P&amp;L Item",$B58)/V$201,0),TEXT(IFERROR(GETPIVOTDATA("Sum of "&amp;V$9,'PT-All'!$A$1,"Scenario",V$12,"P&amp;L Item",$B58)/V$29,0),"0.00%"))</f>
        <v>0</v>
      </c>
      <c r="W58" s="78">
        <f>CHOOSE(PLColumn,IFERROR(GETPIVOTDATA("Sum of "&amp;W$9,'PT-All'!$A$1,"Scenario",W$12,"P&amp;L Item",$B58),0),IFERROR(GETPIVOTDATA("Sum of "&amp;W$9,'PT-All'!$A$1,"Scenario",W$12,"P&amp;L Item",$B58)/W$201,0),TEXT(IFERROR(GETPIVOTDATA("Sum of "&amp;W$9,'PT-All'!$A$1,"Scenario",W$12,"P&amp;L Item",$B58)/W$29,0),"0.00%"))</f>
        <v>0</v>
      </c>
      <c r="X58" s="78">
        <f>CHOOSE(PLColumn,IFERROR(GETPIVOTDATA("Sum of "&amp;X$9,'PT-All'!$A$1,"Scenario",X$12,"P&amp;L Item",$B58),0),IFERROR(GETPIVOTDATA("Sum of "&amp;X$9,'PT-All'!$A$1,"Scenario",X$12,"P&amp;L Item",$B58)/X$201,0),TEXT(IFERROR(GETPIVOTDATA("Sum of "&amp;X$9,'PT-All'!$A$1,"Scenario",X$12,"P&amp;L Item",$B58)/X$29,0),"0.00%"))</f>
        <v>0</v>
      </c>
      <c r="Y58" s="78">
        <f>CHOOSE(PLColumn,IFERROR(GETPIVOTDATA("Sum of "&amp;Y$9,'PT-All'!$A$1,"Scenario",Y$12,"P&amp;L Item",$B58),0),IFERROR(GETPIVOTDATA("Sum of "&amp;Y$9,'PT-All'!$A$1,"Scenario",Y$12,"P&amp;L Item",$B58)/Y$201,0),TEXT(IFERROR(GETPIVOTDATA("Sum of "&amp;Y$9,'PT-All'!$A$1,"Scenario",Y$12,"P&amp;L Item",$B58)/Y$29,0),"0.00%"))</f>
        <v>0</v>
      </c>
      <c r="Z58" s="78">
        <f>CHOOSE(PLColumn,IFERROR(GETPIVOTDATA("Sum of "&amp;Z$9,'PT-All'!$A$1,"Scenario",Z$12,"P&amp;L Item",$B58),0),IFERROR(GETPIVOTDATA("Sum of "&amp;Z$9,'PT-All'!$A$1,"Scenario",Z$12,"P&amp;L Item",$B58)/Z$201,0),TEXT(IFERROR(GETPIVOTDATA("Sum of "&amp;Z$9,'PT-All'!$A$1,"Scenario",Z$12,"P&amp;L Item",$B58)/Z$29,0),"0.00%"))</f>
        <v>0</v>
      </c>
      <c r="AA58" s="78">
        <f>CHOOSE(PLColumn,IFERROR(GETPIVOTDATA("Sum of "&amp;AA$9,'PT-All'!$A$1,"Scenario",AA$12,"P&amp;L Item",$B58),0),IFERROR(GETPIVOTDATA("Sum of "&amp;AA$9,'PT-All'!$A$1,"Scenario",AA$12,"P&amp;L Item",$B58)/AA$201,0),TEXT(IFERROR(GETPIVOTDATA("Sum of "&amp;AA$9,'PT-All'!$A$1,"Scenario",AA$12,"P&amp;L Item",$B58)/AA$29,0),"0.00%"))</f>
        <v>0</v>
      </c>
      <c r="AB58" s="78">
        <f>CHOOSE(PLColumn,IFERROR(GETPIVOTDATA("Sum of "&amp;AB$9,'PT-All'!$A$1,"Scenario",AB$12,"P&amp;L Item",$B58),0),IFERROR(GETPIVOTDATA("Sum of "&amp;AB$9,'PT-All'!$A$1,"Scenario",AB$12,"P&amp;L Item",$B58)/AB$201,0),TEXT(IFERROR(GETPIVOTDATA("Sum of "&amp;AB$9,'PT-All'!$A$1,"Scenario",AB$12,"P&amp;L Item",$B58)/AB$29,0),"0.00%"))</f>
        <v>0</v>
      </c>
      <c r="AC58" s="78">
        <f>CHOOSE(PLColumn,IFERROR(GETPIVOTDATA("Sum of "&amp;AC$9,'PT-All'!$A$1,"Scenario",AC$12,"P&amp;L Item",$B58),0),IFERROR(GETPIVOTDATA("Sum of "&amp;AC$9,'PT-All'!$A$1,"Scenario",AC$12,"P&amp;L Item",$B58)/AC$201,0),TEXT(IFERROR(GETPIVOTDATA("Sum of "&amp;AC$9,'PT-All'!$A$1,"Scenario",AC$12,"P&amp;L Item",$B58)/AC$29,0),"0.00%"))</f>
        <v>0</v>
      </c>
      <c r="AD58" s="78">
        <f>CHOOSE(PLColumn,IFERROR(GETPIVOTDATA("Sum of "&amp;AD$9,'PT-All'!$A$1,"Scenario",AD$12,"P&amp;L Item",$B58),0),IFERROR(GETPIVOTDATA("Sum of "&amp;AD$9,'PT-All'!$A$1,"Scenario",AD$12,"P&amp;L Item",$B58)/AD$201,0),TEXT(IFERROR(GETPIVOTDATA("Sum of "&amp;AD$9,'PT-All'!$A$1,"Scenario",AD$12,"P&amp;L Item",$B58)/AD$29,0),"0.00%"))</f>
        <v>0</v>
      </c>
      <c r="AE58" s="78">
        <f>CHOOSE(PLColumn,IFERROR(GETPIVOTDATA("Sum of "&amp;AE$9,'PT-All'!$A$1,"Scenario",AE$12,"P&amp;L Item",$B58),0),IFERROR(GETPIVOTDATA("Sum of "&amp;AE$9,'PT-All'!$A$1,"Scenario",AE$12,"P&amp;L Item",$B58)/AE$201,0),TEXT(IFERROR(GETPIVOTDATA("Sum of "&amp;AE$9,'PT-All'!$A$1,"Scenario",AE$12,"P&amp;L Item",$B58)/AE$29,0),"0.00%"))</f>
        <v>0</v>
      </c>
      <c r="AF58" s="78">
        <f>CHOOSE(PLColumn,IFERROR(GETPIVOTDATA("Sum of "&amp;AF$9,'PT-All'!$A$1,"Scenario",AF$12,"P&amp;L Item",$B58),0),IFERROR(GETPIVOTDATA("Sum of "&amp;AF$9,'PT-All'!$A$1,"Scenario",AF$12,"P&amp;L Item",$B58)/AF$201,0),TEXT(IFERROR(GETPIVOTDATA("Sum of "&amp;AF$9,'PT-All'!$A$1,"Scenario",AF$12,"P&amp;L Item",$B58)/AF$29,0),"0.00%"))</f>
        <v>0</v>
      </c>
      <c r="AG58" s="78">
        <f>CHOOSE(PLColumn,IFERROR(GETPIVOTDATA("Sum of "&amp;AG$9,'PT-All'!$A$1,"Scenario",AG$12,"P&amp;L Item",$B58),0),IFERROR(GETPIVOTDATA("Sum of "&amp;AG$9,'PT-All'!$A$1,"Scenario",AG$12,"P&amp;L Item",$B58)/AG$201,0),TEXT(IFERROR(GETPIVOTDATA("Sum of "&amp;AG$9,'PT-All'!$A$1,"Scenario",AG$12,"P&amp;L Item",$B58)/AG$29,0),"0.00%"))</f>
        <v>0</v>
      </c>
      <c r="AH58" s="78">
        <f>CHOOSE(PLColumn,IFERROR(GETPIVOTDATA("Sum of "&amp;AH$9,'PT-All'!$A$1,"Scenario",AH$12,"P&amp;L Item",$B58),0),IFERROR(GETPIVOTDATA("Sum of "&amp;AH$9,'PT-All'!$A$1,"Scenario",AH$12,"P&amp;L Item",$B58)/AH$201,0),TEXT(IFERROR(GETPIVOTDATA("Sum of "&amp;AH$9,'PT-All'!$A$1,"Scenario",AH$12,"P&amp;L Item",$B58)/AH$29,0),"0.00%"))</f>
        <v>0</v>
      </c>
      <c r="AI58" s="78">
        <f>CHOOSE(PLColumn,IFERROR(GETPIVOTDATA("Sum of "&amp;AI$9,'PT-All'!$A$1,"Scenario",AI$12,"P&amp;L Item",$B58),0),IFERROR(GETPIVOTDATA("Sum of "&amp;AI$9,'PT-All'!$A$1,"Scenario",AI$12,"P&amp;L Item",$B58)/AI$201,0),TEXT(IFERROR(GETPIVOTDATA("Sum of "&amp;AI$9,'PT-All'!$A$1,"Scenario",AI$12,"P&amp;L Item",$B58)/AI$29,0),"0.00%"))</f>
        <v>0</v>
      </c>
      <c r="AJ58" s="78">
        <f>CHOOSE(PLColumn,IFERROR(GETPIVOTDATA("Sum of "&amp;AJ$9,'PT-All'!$A$1,"Scenario",AJ$12,"P&amp;L Item",$B58),0),IFERROR(GETPIVOTDATA("Sum of "&amp;AJ$9,'PT-All'!$A$1,"Scenario",AJ$12,"P&amp;L Item",$B58)/AJ$201,0),TEXT(IFERROR(GETPIVOTDATA("Sum of "&amp;AJ$9,'PT-All'!$A$1,"Scenario",AJ$12,"P&amp;L Item",$B58)/AJ$29,0),"0.00%"))</f>
        <v>0</v>
      </c>
      <c r="AK58" s="78">
        <f>CHOOSE(PLColumn,IFERROR(GETPIVOTDATA("Sum of "&amp;AK$9,'PT-All'!$A$1,"Scenario",AK$12,"P&amp;L Item",$B58),0),IFERROR(GETPIVOTDATA("Sum of "&amp;AK$9,'PT-All'!$A$1,"Scenario",AK$12,"P&amp;L Item",$B58)/AK$201,0),TEXT(IFERROR(GETPIVOTDATA("Sum of "&amp;AK$9,'PT-All'!$A$1,"Scenario",AK$12,"P&amp;L Item",$B58)/AK$29,0),"0.00%"))</f>
        <v>0</v>
      </c>
      <c r="AL58" s="100">
        <f>CHOOSE(PLColumn,IFERROR(GETPIVOTDATA("Sum of "&amp;AL$9,'PT-All'!$A$1,"Scenario",AL$12,"P&amp;L Item",$B58),0),IFERROR(GETPIVOTDATA("Sum of "&amp;AL$9,'PT-All'!$A$1,"Scenario",AL$12,"P&amp;L Item",$B58)/AL$201,0),TEXT(IFERROR(GETPIVOTDATA("Sum of "&amp;AL$9,'PT-All'!$A$1,"Scenario",AL$12,"P&amp;L Item",$B58)/AL$29,0),"0.00%"))</f>
        <v>0</v>
      </c>
      <c r="AM58" s="590"/>
      <c r="AN58" s="111">
        <f ca="1">IF(AN$12="Pro Forma",SUM(OFFSET($B58,0,3*AN$9+1,1,3)),IFERROR(GETPIVOTDATA("Sum of Q"&amp;AN$9+1,'PT-All'!$A$1,"Scenario",AN$12,"P&amp;L Item",$B58),0))</f>
        <v>0</v>
      </c>
      <c r="AO58" s="78">
        <f ca="1">IF(AO$12="Pro Forma",SUM(OFFSET($B58,0,3*AO$9+1,1,3)),IFERROR(GETPIVOTDATA("Sum of Q"&amp;AO$9+1,'PT-All'!$A$1,"Scenario",AO$12,"P&amp;L Item",$B58),0))</f>
        <v>0</v>
      </c>
      <c r="AP58" s="78">
        <f ca="1">IF(AP$12="Pro Forma",SUM(OFFSET($B58,0,3*AP$9+1,1,3)),IFERROR(GETPIVOTDATA("Sum of Q"&amp;AP$9+1,'PT-All'!$A$1,"Scenario",AP$12,"P&amp;L Item",$B58),0))</f>
        <v>0</v>
      </c>
      <c r="AQ58" s="78">
        <f ca="1">IF(AQ$12="Pro Forma",SUM(OFFSET($B58,0,3*AQ$9+1,1,3)),IFERROR(GETPIVOTDATA("Sum of Q"&amp;AQ$9+1,'PT-All'!$A$1,"Scenario",AQ$12,"P&amp;L Item",$B58),0))</f>
        <v>0</v>
      </c>
      <c r="AR58" s="78">
        <f ca="1">IF(AR$12="Pro Forma",SUM(OFFSET($B58,0,3*AR$9+1,1,3)),IFERROR(GETPIVOTDATA("Sum of Q"&amp;AR$9+1,'PT-All'!$A$1,"Scenario",AR$12,"P&amp;L Item",$B58),0))</f>
        <v>0</v>
      </c>
      <c r="AS58" s="78">
        <f ca="1">IF(AS$12="Pro Forma",SUM(OFFSET($B58,0,3*AS$9+1,1,3)),IFERROR(GETPIVOTDATA("Sum of Q"&amp;AS$9+1,'PT-All'!$A$1,"Scenario",AS$12,"P&amp;L Item",$B58),0))</f>
        <v>0</v>
      </c>
      <c r="AT58" s="78">
        <f ca="1">IF(AT$12="Pro Forma",SUM(OFFSET($B58,0,3*AT$9+1,1,3)),IFERROR(GETPIVOTDATA("Sum of Q"&amp;AT$9+1,'PT-All'!$A$1,"Scenario",AT$12,"P&amp;L Item",$B58),0))</f>
        <v>0</v>
      </c>
      <c r="AU58" s="78">
        <f ca="1">IF(AU$12="Pro Forma",SUM(OFFSET($B58,0,3*AU$9+1,1,3)),IFERROR(GETPIVOTDATA("Sum of Q"&amp;AU$9+1,'PT-All'!$A$1,"Scenario",AU$12,"P&amp;L Item",$B58),0))</f>
        <v>0</v>
      </c>
      <c r="AV58" s="78">
        <f ca="1">IF(AV$12="Pro Forma",SUM(OFFSET($B58,0,3*AV$9+1,1,3)),IFERROR(GETPIVOTDATA("Sum of Q"&amp;AV$9+1,'PT-All'!$A$1,"Scenario",AV$12,"P&amp;L Item",$B58),0))</f>
        <v>0</v>
      </c>
      <c r="AW58" s="78">
        <f ca="1">IF(AW$12="Pro Forma",SUM(OFFSET($B58,0,3*AW$9+1,1,3)),IFERROR(GETPIVOTDATA("Sum of Q"&amp;AW$9+1,'PT-All'!$A$1,"Scenario",AW$12,"P&amp;L Item",$B58),0))</f>
        <v>0</v>
      </c>
      <c r="AX58" s="78">
        <f ca="1">IF(AX$12="Pro Forma",SUM(OFFSET($B58,0,3*AX$9+1,1,3)),IFERROR(GETPIVOTDATA("Sum of Q"&amp;AX$9+1,'PT-All'!$A$1,"Scenario",AX$12,"P&amp;L Item",$B58),0))</f>
        <v>0</v>
      </c>
      <c r="AY58" s="100">
        <f ca="1">IF(AY$12="Pro Forma",SUM(OFFSET($B58,0,3*AY$9+1,1,3)),IFERROR(GETPIVOTDATA("Sum of Q"&amp;AY$9+1,'PT-All'!$A$1,"Scenario",AY$12,"P&amp;L Item",$B58),0))</f>
        <v>0</v>
      </c>
      <c r="AZ58" s="590"/>
      <c r="BA58" s="111">
        <f ca="1">IF(BA$12="Pro Forma",SUM(OFFSET($B58,0,12*BA$9+1,1,12)),IFERROR(GETPIVOTDATA("Sum of FY"&amp;BA$9+1,'PT-All'!$A$1,"Scenario",BA$12,"P&amp;L Item",$B58),0))</f>
        <v>0</v>
      </c>
      <c r="BB58" s="78">
        <f ca="1">IF(BB$12="Pro Forma",SUM(OFFSET($B58,0,12*BB$9+1,1,12)),IFERROR(GETPIVOTDATA("Sum of FY"&amp;BB$9+1,'PT-All'!$A$1,"Scenario",BB$12,"P&amp;L Item",$B58),0))</f>
        <v>0</v>
      </c>
      <c r="BC58" s="100">
        <f ca="1">IF(BC$12="Pro Forma",SUM(OFFSET($B58,0,12*BC$9+1,1,12)),IFERROR(GETPIVOTDATA("Sum of FY"&amp;BC$9+1,'PT-All'!$A$1,"Scenario",BC$12,"P&amp;L Item",$B58),0))</f>
        <v>0</v>
      </c>
    </row>
    <row r="59" spans="2:55" x14ac:dyDescent="0.35">
      <c r="B59" s="81" t="s">
        <v>93</v>
      </c>
      <c r="C59" s="78">
        <f>CHOOSE(PLColumn,IFERROR(GETPIVOTDATA("Sum of "&amp;C$9,'PT-All'!$A$1,"Scenario",C$12,"P&amp;L Item",$B59),0),IFERROR(GETPIVOTDATA("Sum of "&amp;C$9,'PT-All'!$A$1,"Scenario",C$12,"P&amp;L Item",$B59)/C$201,0),TEXT(IFERROR(GETPIVOTDATA("Sum of "&amp;C$9,'PT-All'!$A$1,"Scenario",C$12,"P&amp;L Item",$B59)/C$29,0),"0.00%"))</f>
        <v>0</v>
      </c>
      <c r="D59" s="78">
        <f>CHOOSE(PLColumn,IFERROR(GETPIVOTDATA("Sum of "&amp;D$9,'PT-All'!$A$1,"Scenario",D$12,"P&amp;L Item",$B59),0),IFERROR(GETPIVOTDATA("Sum of "&amp;D$9,'PT-All'!$A$1,"Scenario",D$12,"P&amp;L Item",$B59)/D$201,0),TEXT(IFERROR(GETPIVOTDATA("Sum of "&amp;D$9,'PT-All'!$A$1,"Scenario",D$12,"P&amp;L Item",$B59)/D$29,0),"0.00%"))</f>
        <v>0</v>
      </c>
      <c r="E59" s="78">
        <f>CHOOSE(PLColumn,IFERROR(GETPIVOTDATA("Sum of "&amp;E$9,'PT-All'!$A$1,"Scenario",E$12,"P&amp;L Item",$B59),0),IFERROR(GETPIVOTDATA("Sum of "&amp;E$9,'PT-All'!$A$1,"Scenario",E$12,"P&amp;L Item",$B59)/E$201,0),TEXT(IFERROR(GETPIVOTDATA("Sum of "&amp;E$9,'PT-All'!$A$1,"Scenario",E$12,"P&amp;L Item",$B59)/E$29,0),"0.00%"))</f>
        <v>0</v>
      </c>
      <c r="F59" s="78">
        <f>CHOOSE(PLColumn,IFERROR(GETPIVOTDATA("Sum of "&amp;F$9,'PT-All'!$A$1,"Scenario",F$12,"P&amp;L Item",$B59),0),IFERROR(GETPIVOTDATA("Sum of "&amp;F$9,'PT-All'!$A$1,"Scenario",F$12,"P&amp;L Item",$B59)/F$201,0),TEXT(IFERROR(GETPIVOTDATA("Sum of "&amp;F$9,'PT-All'!$A$1,"Scenario",F$12,"P&amp;L Item",$B59)/F$29,0),"0.00%"))</f>
        <v>0</v>
      </c>
      <c r="G59" s="78">
        <f>CHOOSE(PLColumn,IFERROR(GETPIVOTDATA("Sum of "&amp;G$9,'PT-All'!$A$1,"Scenario",G$12,"P&amp;L Item",$B59),0),IFERROR(GETPIVOTDATA("Sum of "&amp;G$9,'PT-All'!$A$1,"Scenario",G$12,"P&amp;L Item",$B59)/G$201,0),TEXT(IFERROR(GETPIVOTDATA("Sum of "&amp;G$9,'PT-All'!$A$1,"Scenario",G$12,"P&amp;L Item",$B59)/G$29,0),"0.00%"))</f>
        <v>0</v>
      </c>
      <c r="H59" s="78">
        <f>CHOOSE(PLColumn,IFERROR(GETPIVOTDATA("Sum of "&amp;H$9,'PT-All'!$A$1,"Scenario",H$12,"P&amp;L Item",$B59),0),IFERROR(GETPIVOTDATA("Sum of "&amp;H$9,'PT-All'!$A$1,"Scenario",H$12,"P&amp;L Item",$B59)/H$201,0),TEXT(IFERROR(GETPIVOTDATA("Sum of "&amp;H$9,'PT-All'!$A$1,"Scenario",H$12,"P&amp;L Item",$B59)/H$29,0),"0.00%"))</f>
        <v>0</v>
      </c>
      <c r="I59" s="78">
        <f>CHOOSE(PLColumn,IFERROR(GETPIVOTDATA("Sum of "&amp;I$9,'PT-All'!$A$1,"Scenario",I$12,"P&amp;L Item",$B59),0),IFERROR(GETPIVOTDATA("Sum of "&amp;I$9,'PT-All'!$A$1,"Scenario",I$12,"P&amp;L Item",$B59)/I$201,0),TEXT(IFERROR(GETPIVOTDATA("Sum of "&amp;I$9,'PT-All'!$A$1,"Scenario",I$12,"P&amp;L Item",$B59)/I$29,0),"0.00%"))</f>
        <v>0</v>
      </c>
      <c r="J59" s="78">
        <f>CHOOSE(PLColumn,IFERROR(GETPIVOTDATA("Sum of "&amp;J$9,'PT-All'!$A$1,"Scenario",J$12,"P&amp;L Item",$B59),0),IFERROR(GETPIVOTDATA("Sum of "&amp;J$9,'PT-All'!$A$1,"Scenario",J$12,"P&amp;L Item",$B59)/J$201,0),TEXT(IFERROR(GETPIVOTDATA("Sum of "&amp;J$9,'PT-All'!$A$1,"Scenario",J$12,"P&amp;L Item",$B59)/J$29,0),"0.00%"))</f>
        <v>0</v>
      </c>
      <c r="K59" s="78">
        <f>CHOOSE(PLColumn,IFERROR(GETPIVOTDATA("Sum of "&amp;K$9,'PT-All'!$A$1,"Scenario",K$12,"P&amp;L Item",$B59),0),IFERROR(GETPIVOTDATA("Sum of "&amp;K$9,'PT-All'!$A$1,"Scenario",K$12,"P&amp;L Item",$B59)/K$201,0),TEXT(IFERROR(GETPIVOTDATA("Sum of "&amp;K$9,'PT-All'!$A$1,"Scenario",K$12,"P&amp;L Item",$B59)/K$29,0),"0.00%"))</f>
        <v>0</v>
      </c>
      <c r="L59" s="78">
        <f>CHOOSE(PLColumn,IFERROR(GETPIVOTDATA("Sum of "&amp;L$9,'PT-All'!$A$1,"Scenario",L$12,"P&amp;L Item",$B59),0),IFERROR(GETPIVOTDATA("Sum of "&amp;L$9,'PT-All'!$A$1,"Scenario",L$12,"P&amp;L Item",$B59)/L$201,0),TEXT(IFERROR(GETPIVOTDATA("Sum of "&amp;L$9,'PT-All'!$A$1,"Scenario",L$12,"P&amp;L Item",$B59)/L$29,0),"0.00%"))</f>
        <v>0</v>
      </c>
      <c r="M59" s="78">
        <f>CHOOSE(PLColumn,IFERROR(GETPIVOTDATA("Sum of "&amp;M$9,'PT-All'!$A$1,"Scenario",M$12,"P&amp;L Item",$B59),0),IFERROR(GETPIVOTDATA("Sum of "&amp;M$9,'PT-All'!$A$1,"Scenario",M$12,"P&amp;L Item",$B59)/M$201,0),TEXT(IFERROR(GETPIVOTDATA("Sum of "&amp;M$9,'PT-All'!$A$1,"Scenario",M$12,"P&amp;L Item",$B59)/M$29,0),"0.00%"))</f>
        <v>0</v>
      </c>
      <c r="N59" s="78">
        <f>CHOOSE(PLColumn,IFERROR(GETPIVOTDATA("Sum of "&amp;N$9,'PT-All'!$A$1,"Scenario",N$12,"P&amp;L Item",$B59),0),IFERROR(GETPIVOTDATA("Sum of "&amp;N$9,'PT-All'!$A$1,"Scenario",N$12,"P&amp;L Item",$B59)/N$201,0),TEXT(IFERROR(GETPIVOTDATA("Sum of "&amp;N$9,'PT-All'!$A$1,"Scenario",N$12,"P&amp;L Item",$B59)/N$29,0),"0.00%"))</f>
        <v>0</v>
      </c>
      <c r="O59" s="78">
        <f>CHOOSE(PLColumn,IFERROR(GETPIVOTDATA("Sum of "&amp;O$9,'PT-All'!$A$1,"Scenario",O$12,"P&amp;L Item",$B59),0),IFERROR(GETPIVOTDATA("Sum of "&amp;O$9,'PT-All'!$A$1,"Scenario",O$12,"P&amp;L Item",$B59)/O$201,0),TEXT(IFERROR(GETPIVOTDATA("Sum of "&amp;O$9,'PT-All'!$A$1,"Scenario",O$12,"P&amp;L Item",$B59)/O$29,0),"0.00%"))</f>
        <v>0</v>
      </c>
      <c r="P59" s="78">
        <f>CHOOSE(PLColumn,IFERROR(GETPIVOTDATA("Sum of "&amp;P$9,'PT-All'!$A$1,"Scenario",P$12,"P&amp;L Item",$B59),0),IFERROR(GETPIVOTDATA("Sum of "&amp;P$9,'PT-All'!$A$1,"Scenario",P$12,"P&amp;L Item",$B59)/P$201,0),TEXT(IFERROR(GETPIVOTDATA("Sum of "&amp;P$9,'PT-All'!$A$1,"Scenario",P$12,"P&amp;L Item",$B59)/P$29,0),"0.00%"))</f>
        <v>0</v>
      </c>
      <c r="Q59" s="78">
        <f>CHOOSE(PLColumn,IFERROR(GETPIVOTDATA("Sum of "&amp;Q$9,'PT-All'!$A$1,"Scenario",Q$12,"P&amp;L Item",$B59),0),IFERROR(GETPIVOTDATA("Sum of "&amp;Q$9,'PT-All'!$A$1,"Scenario",Q$12,"P&amp;L Item",$B59)/Q$201,0),TEXT(IFERROR(GETPIVOTDATA("Sum of "&amp;Q$9,'PT-All'!$A$1,"Scenario",Q$12,"P&amp;L Item",$B59)/Q$29,0),"0.00%"))</f>
        <v>0</v>
      </c>
      <c r="R59" s="78">
        <f>CHOOSE(PLColumn,IFERROR(GETPIVOTDATA("Sum of "&amp;R$9,'PT-All'!$A$1,"Scenario",R$12,"P&amp;L Item",$B59),0),IFERROR(GETPIVOTDATA("Sum of "&amp;R$9,'PT-All'!$A$1,"Scenario",R$12,"P&amp;L Item",$B59)/R$201,0),TEXT(IFERROR(GETPIVOTDATA("Sum of "&amp;R$9,'PT-All'!$A$1,"Scenario",R$12,"P&amp;L Item",$B59)/R$29,0),"0.00%"))</f>
        <v>0</v>
      </c>
      <c r="S59" s="78">
        <f>CHOOSE(PLColumn,IFERROR(GETPIVOTDATA("Sum of "&amp;S$9,'PT-All'!$A$1,"Scenario",S$12,"P&amp;L Item",$B59),0),IFERROR(GETPIVOTDATA("Sum of "&amp;S$9,'PT-All'!$A$1,"Scenario",S$12,"P&amp;L Item",$B59)/S$201,0),TEXT(IFERROR(GETPIVOTDATA("Sum of "&amp;S$9,'PT-All'!$A$1,"Scenario",S$12,"P&amp;L Item",$B59)/S$29,0),"0.00%"))</f>
        <v>0</v>
      </c>
      <c r="T59" s="78">
        <f>CHOOSE(PLColumn,IFERROR(GETPIVOTDATA("Sum of "&amp;T$9,'PT-All'!$A$1,"Scenario",T$12,"P&amp;L Item",$B59),0),IFERROR(GETPIVOTDATA("Sum of "&amp;T$9,'PT-All'!$A$1,"Scenario",T$12,"P&amp;L Item",$B59)/T$201,0),TEXT(IFERROR(GETPIVOTDATA("Sum of "&amp;T$9,'PT-All'!$A$1,"Scenario",T$12,"P&amp;L Item",$B59)/T$29,0),"0.00%"))</f>
        <v>0</v>
      </c>
      <c r="U59" s="78">
        <f>CHOOSE(PLColumn,IFERROR(GETPIVOTDATA("Sum of "&amp;U$9,'PT-All'!$A$1,"Scenario",U$12,"P&amp;L Item",$B59),0),IFERROR(GETPIVOTDATA("Sum of "&amp;U$9,'PT-All'!$A$1,"Scenario",U$12,"P&amp;L Item",$B59)/U$201,0),TEXT(IFERROR(GETPIVOTDATA("Sum of "&amp;U$9,'PT-All'!$A$1,"Scenario",U$12,"P&amp;L Item",$B59)/U$29,0),"0.00%"))</f>
        <v>0</v>
      </c>
      <c r="V59" s="78">
        <f>CHOOSE(PLColumn,IFERROR(GETPIVOTDATA("Sum of "&amp;V$9,'PT-All'!$A$1,"Scenario",V$12,"P&amp;L Item",$B59),0),IFERROR(GETPIVOTDATA("Sum of "&amp;V$9,'PT-All'!$A$1,"Scenario",V$12,"P&amp;L Item",$B59)/V$201,0),TEXT(IFERROR(GETPIVOTDATA("Sum of "&amp;V$9,'PT-All'!$A$1,"Scenario",V$12,"P&amp;L Item",$B59)/V$29,0),"0.00%"))</f>
        <v>0</v>
      </c>
      <c r="W59" s="78">
        <f>CHOOSE(PLColumn,IFERROR(GETPIVOTDATA("Sum of "&amp;W$9,'PT-All'!$A$1,"Scenario",W$12,"P&amp;L Item",$B59),0),IFERROR(GETPIVOTDATA("Sum of "&amp;W$9,'PT-All'!$A$1,"Scenario",W$12,"P&amp;L Item",$B59)/W$201,0),TEXT(IFERROR(GETPIVOTDATA("Sum of "&amp;W$9,'PT-All'!$A$1,"Scenario",W$12,"P&amp;L Item",$B59)/W$29,0),"0.00%"))</f>
        <v>0</v>
      </c>
      <c r="X59" s="78">
        <f>CHOOSE(PLColumn,IFERROR(GETPIVOTDATA("Sum of "&amp;X$9,'PT-All'!$A$1,"Scenario",X$12,"P&amp;L Item",$B59),0),IFERROR(GETPIVOTDATA("Sum of "&amp;X$9,'PT-All'!$A$1,"Scenario",X$12,"P&amp;L Item",$B59)/X$201,0),TEXT(IFERROR(GETPIVOTDATA("Sum of "&amp;X$9,'PT-All'!$A$1,"Scenario",X$12,"P&amp;L Item",$B59)/X$29,0),"0.00%"))</f>
        <v>0</v>
      </c>
      <c r="Y59" s="78">
        <f>CHOOSE(PLColumn,IFERROR(GETPIVOTDATA("Sum of "&amp;Y$9,'PT-All'!$A$1,"Scenario",Y$12,"P&amp;L Item",$B59),0),IFERROR(GETPIVOTDATA("Sum of "&amp;Y$9,'PT-All'!$A$1,"Scenario",Y$12,"P&amp;L Item",$B59)/Y$201,0),TEXT(IFERROR(GETPIVOTDATA("Sum of "&amp;Y$9,'PT-All'!$A$1,"Scenario",Y$12,"P&amp;L Item",$B59)/Y$29,0),"0.00%"))</f>
        <v>0</v>
      </c>
      <c r="Z59" s="78">
        <f>CHOOSE(PLColumn,IFERROR(GETPIVOTDATA("Sum of "&amp;Z$9,'PT-All'!$A$1,"Scenario",Z$12,"P&amp;L Item",$B59),0),IFERROR(GETPIVOTDATA("Sum of "&amp;Z$9,'PT-All'!$A$1,"Scenario",Z$12,"P&amp;L Item",$B59)/Z$201,0),TEXT(IFERROR(GETPIVOTDATA("Sum of "&amp;Z$9,'PT-All'!$A$1,"Scenario",Z$12,"P&amp;L Item",$B59)/Z$29,0),"0.00%"))</f>
        <v>0</v>
      </c>
      <c r="AA59" s="78">
        <f>CHOOSE(PLColumn,IFERROR(GETPIVOTDATA("Sum of "&amp;AA$9,'PT-All'!$A$1,"Scenario",AA$12,"P&amp;L Item",$B59),0),IFERROR(GETPIVOTDATA("Sum of "&amp;AA$9,'PT-All'!$A$1,"Scenario",AA$12,"P&amp;L Item",$B59)/AA$201,0),TEXT(IFERROR(GETPIVOTDATA("Sum of "&amp;AA$9,'PT-All'!$A$1,"Scenario",AA$12,"P&amp;L Item",$B59)/AA$29,0),"0.00%"))</f>
        <v>0</v>
      </c>
      <c r="AB59" s="78">
        <f>CHOOSE(PLColumn,IFERROR(GETPIVOTDATA("Sum of "&amp;AB$9,'PT-All'!$A$1,"Scenario",AB$12,"P&amp;L Item",$B59),0),IFERROR(GETPIVOTDATA("Sum of "&amp;AB$9,'PT-All'!$A$1,"Scenario",AB$12,"P&amp;L Item",$B59)/AB$201,0),TEXT(IFERROR(GETPIVOTDATA("Sum of "&amp;AB$9,'PT-All'!$A$1,"Scenario",AB$12,"P&amp;L Item",$B59)/AB$29,0),"0.00%"))</f>
        <v>0</v>
      </c>
      <c r="AC59" s="78">
        <f>CHOOSE(PLColumn,IFERROR(GETPIVOTDATA("Sum of "&amp;AC$9,'PT-All'!$A$1,"Scenario",AC$12,"P&amp;L Item",$B59),0),IFERROR(GETPIVOTDATA("Sum of "&amp;AC$9,'PT-All'!$A$1,"Scenario",AC$12,"P&amp;L Item",$B59)/AC$201,0),TEXT(IFERROR(GETPIVOTDATA("Sum of "&amp;AC$9,'PT-All'!$A$1,"Scenario",AC$12,"P&amp;L Item",$B59)/AC$29,0),"0.00%"))</f>
        <v>0</v>
      </c>
      <c r="AD59" s="78">
        <f>CHOOSE(PLColumn,IFERROR(GETPIVOTDATA("Sum of "&amp;AD$9,'PT-All'!$A$1,"Scenario",AD$12,"P&amp;L Item",$B59),0),IFERROR(GETPIVOTDATA("Sum of "&amp;AD$9,'PT-All'!$A$1,"Scenario",AD$12,"P&amp;L Item",$B59)/AD$201,0),TEXT(IFERROR(GETPIVOTDATA("Sum of "&amp;AD$9,'PT-All'!$A$1,"Scenario",AD$12,"P&amp;L Item",$B59)/AD$29,0),"0.00%"))</f>
        <v>0</v>
      </c>
      <c r="AE59" s="78">
        <f>CHOOSE(PLColumn,IFERROR(GETPIVOTDATA("Sum of "&amp;AE$9,'PT-All'!$A$1,"Scenario",AE$12,"P&amp;L Item",$B59),0),IFERROR(GETPIVOTDATA("Sum of "&amp;AE$9,'PT-All'!$A$1,"Scenario",AE$12,"P&amp;L Item",$B59)/AE$201,0),TEXT(IFERROR(GETPIVOTDATA("Sum of "&amp;AE$9,'PT-All'!$A$1,"Scenario",AE$12,"P&amp;L Item",$B59)/AE$29,0),"0.00%"))</f>
        <v>0</v>
      </c>
      <c r="AF59" s="78">
        <f>CHOOSE(PLColumn,IFERROR(GETPIVOTDATA("Sum of "&amp;AF$9,'PT-All'!$A$1,"Scenario",AF$12,"P&amp;L Item",$B59),0),IFERROR(GETPIVOTDATA("Sum of "&amp;AF$9,'PT-All'!$A$1,"Scenario",AF$12,"P&amp;L Item",$B59)/AF$201,0),TEXT(IFERROR(GETPIVOTDATA("Sum of "&amp;AF$9,'PT-All'!$A$1,"Scenario",AF$12,"P&amp;L Item",$B59)/AF$29,0),"0.00%"))</f>
        <v>0</v>
      </c>
      <c r="AG59" s="78">
        <f>CHOOSE(PLColumn,IFERROR(GETPIVOTDATA("Sum of "&amp;AG$9,'PT-All'!$A$1,"Scenario",AG$12,"P&amp;L Item",$B59),0),IFERROR(GETPIVOTDATA("Sum of "&amp;AG$9,'PT-All'!$A$1,"Scenario",AG$12,"P&amp;L Item",$B59)/AG$201,0),TEXT(IFERROR(GETPIVOTDATA("Sum of "&amp;AG$9,'PT-All'!$A$1,"Scenario",AG$12,"P&amp;L Item",$B59)/AG$29,0),"0.00%"))</f>
        <v>0</v>
      </c>
      <c r="AH59" s="78">
        <f>CHOOSE(PLColumn,IFERROR(GETPIVOTDATA("Sum of "&amp;AH$9,'PT-All'!$A$1,"Scenario",AH$12,"P&amp;L Item",$B59),0),IFERROR(GETPIVOTDATA("Sum of "&amp;AH$9,'PT-All'!$A$1,"Scenario",AH$12,"P&amp;L Item",$B59)/AH$201,0),TEXT(IFERROR(GETPIVOTDATA("Sum of "&amp;AH$9,'PT-All'!$A$1,"Scenario",AH$12,"P&amp;L Item",$B59)/AH$29,0),"0.00%"))</f>
        <v>0</v>
      </c>
      <c r="AI59" s="78">
        <f>CHOOSE(PLColumn,IFERROR(GETPIVOTDATA("Sum of "&amp;AI$9,'PT-All'!$A$1,"Scenario",AI$12,"P&amp;L Item",$B59),0),IFERROR(GETPIVOTDATA("Sum of "&amp;AI$9,'PT-All'!$A$1,"Scenario",AI$12,"P&amp;L Item",$B59)/AI$201,0),TEXT(IFERROR(GETPIVOTDATA("Sum of "&amp;AI$9,'PT-All'!$A$1,"Scenario",AI$12,"P&amp;L Item",$B59)/AI$29,0),"0.00%"))</f>
        <v>0</v>
      </c>
      <c r="AJ59" s="78">
        <f>CHOOSE(PLColumn,IFERROR(GETPIVOTDATA("Sum of "&amp;AJ$9,'PT-All'!$A$1,"Scenario",AJ$12,"P&amp;L Item",$B59),0),IFERROR(GETPIVOTDATA("Sum of "&amp;AJ$9,'PT-All'!$A$1,"Scenario",AJ$12,"P&amp;L Item",$B59)/AJ$201,0),TEXT(IFERROR(GETPIVOTDATA("Sum of "&amp;AJ$9,'PT-All'!$A$1,"Scenario",AJ$12,"P&amp;L Item",$B59)/AJ$29,0),"0.00%"))</f>
        <v>0</v>
      </c>
      <c r="AK59" s="78">
        <f>CHOOSE(PLColumn,IFERROR(GETPIVOTDATA("Sum of "&amp;AK$9,'PT-All'!$A$1,"Scenario",AK$12,"P&amp;L Item",$B59),0),IFERROR(GETPIVOTDATA("Sum of "&amp;AK$9,'PT-All'!$A$1,"Scenario",AK$12,"P&amp;L Item",$B59)/AK$201,0),TEXT(IFERROR(GETPIVOTDATA("Sum of "&amp;AK$9,'PT-All'!$A$1,"Scenario",AK$12,"P&amp;L Item",$B59)/AK$29,0),"0.00%"))</f>
        <v>0</v>
      </c>
      <c r="AL59" s="100">
        <f>CHOOSE(PLColumn,IFERROR(GETPIVOTDATA("Sum of "&amp;AL$9,'PT-All'!$A$1,"Scenario",AL$12,"P&amp;L Item",$B59),0),IFERROR(GETPIVOTDATA("Sum of "&amp;AL$9,'PT-All'!$A$1,"Scenario",AL$12,"P&amp;L Item",$B59)/AL$201,0),TEXT(IFERROR(GETPIVOTDATA("Sum of "&amp;AL$9,'PT-All'!$A$1,"Scenario",AL$12,"P&amp;L Item",$B59)/AL$29,0),"0.00%"))</f>
        <v>0</v>
      </c>
      <c r="AM59" s="590"/>
      <c r="AN59" s="111">
        <f ca="1">IF(AN$12="Pro Forma",SUM(OFFSET($B59,0,3*AN$9+1,1,3)),IFERROR(GETPIVOTDATA("Sum of Q"&amp;AN$9+1,'PT-All'!$A$1,"Scenario",AN$12,"P&amp;L Item",$B59),0))</f>
        <v>0</v>
      </c>
      <c r="AO59" s="78">
        <f ca="1">IF(AO$12="Pro Forma",SUM(OFFSET($B59,0,3*AO$9+1,1,3)),IFERROR(GETPIVOTDATA("Sum of Q"&amp;AO$9+1,'PT-All'!$A$1,"Scenario",AO$12,"P&amp;L Item",$B59),0))</f>
        <v>0</v>
      </c>
      <c r="AP59" s="78">
        <f ca="1">IF(AP$12="Pro Forma",SUM(OFFSET($B59,0,3*AP$9+1,1,3)),IFERROR(GETPIVOTDATA("Sum of Q"&amp;AP$9+1,'PT-All'!$A$1,"Scenario",AP$12,"P&amp;L Item",$B59),0))</f>
        <v>0</v>
      </c>
      <c r="AQ59" s="78">
        <f ca="1">IF(AQ$12="Pro Forma",SUM(OFFSET($B59,0,3*AQ$9+1,1,3)),IFERROR(GETPIVOTDATA("Sum of Q"&amp;AQ$9+1,'PT-All'!$A$1,"Scenario",AQ$12,"P&amp;L Item",$B59),0))</f>
        <v>0</v>
      </c>
      <c r="AR59" s="78">
        <f ca="1">IF(AR$12="Pro Forma",SUM(OFFSET($B59,0,3*AR$9+1,1,3)),IFERROR(GETPIVOTDATA("Sum of Q"&amp;AR$9+1,'PT-All'!$A$1,"Scenario",AR$12,"P&amp;L Item",$B59),0))</f>
        <v>0</v>
      </c>
      <c r="AS59" s="78">
        <f ca="1">IF(AS$12="Pro Forma",SUM(OFFSET($B59,0,3*AS$9+1,1,3)),IFERROR(GETPIVOTDATA("Sum of Q"&amp;AS$9+1,'PT-All'!$A$1,"Scenario",AS$12,"P&amp;L Item",$B59),0))</f>
        <v>0</v>
      </c>
      <c r="AT59" s="78">
        <f ca="1">IF(AT$12="Pro Forma",SUM(OFFSET($B59,0,3*AT$9+1,1,3)),IFERROR(GETPIVOTDATA("Sum of Q"&amp;AT$9+1,'PT-All'!$A$1,"Scenario",AT$12,"P&amp;L Item",$B59),0))</f>
        <v>0</v>
      </c>
      <c r="AU59" s="78">
        <f ca="1">IF(AU$12="Pro Forma",SUM(OFFSET($B59,0,3*AU$9+1,1,3)),IFERROR(GETPIVOTDATA("Sum of Q"&amp;AU$9+1,'PT-All'!$A$1,"Scenario",AU$12,"P&amp;L Item",$B59),0))</f>
        <v>0</v>
      </c>
      <c r="AV59" s="78">
        <f ca="1">IF(AV$12="Pro Forma",SUM(OFFSET($B59,0,3*AV$9+1,1,3)),IFERROR(GETPIVOTDATA("Sum of Q"&amp;AV$9+1,'PT-All'!$A$1,"Scenario",AV$12,"P&amp;L Item",$B59),0))</f>
        <v>0</v>
      </c>
      <c r="AW59" s="78">
        <f ca="1">IF(AW$12="Pro Forma",SUM(OFFSET($B59,0,3*AW$9+1,1,3)),IFERROR(GETPIVOTDATA("Sum of Q"&amp;AW$9+1,'PT-All'!$A$1,"Scenario",AW$12,"P&amp;L Item",$B59),0))</f>
        <v>0</v>
      </c>
      <c r="AX59" s="78">
        <f ca="1">IF(AX$12="Pro Forma",SUM(OFFSET($B59,0,3*AX$9+1,1,3)),IFERROR(GETPIVOTDATA("Sum of Q"&amp;AX$9+1,'PT-All'!$A$1,"Scenario",AX$12,"P&amp;L Item",$B59),0))</f>
        <v>0</v>
      </c>
      <c r="AY59" s="100">
        <f ca="1">IF(AY$12="Pro Forma",SUM(OFFSET($B59,0,3*AY$9+1,1,3)),IFERROR(GETPIVOTDATA("Sum of Q"&amp;AY$9+1,'PT-All'!$A$1,"Scenario",AY$12,"P&amp;L Item",$B59),0))</f>
        <v>0</v>
      </c>
      <c r="AZ59" s="590"/>
      <c r="BA59" s="111">
        <f ca="1">IF(BA$12="Pro Forma",SUM(OFFSET($B59,0,12*BA$9+1,1,12)),IFERROR(GETPIVOTDATA("Sum of FY"&amp;BA$9+1,'PT-All'!$A$1,"Scenario",BA$12,"P&amp;L Item",$B59),0))</f>
        <v>0</v>
      </c>
      <c r="BB59" s="78">
        <f ca="1">IF(BB$12="Pro Forma",SUM(OFFSET($B59,0,12*BB$9+1,1,12)),IFERROR(GETPIVOTDATA("Sum of FY"&amp;BB$9+1,'PT-All'!$A$1,"Scenario",BB$12,"P&amp;L Item",$B59),0))</f>
        <v>0</v>
      </c>
      <c r="BC59" s="100">
        <f ca="1">IF(BC$12="Pro Forma",SUM(OFFSET($B59,0,12*BC$9+1,1,12)),IFERROR(GETPIVOTDATA("Sum of FY"&amp;BC$9+1,'PT-All'!$A$1,"Scenario",BC$12,"P&amp;L Item",$B59),0))</f>
        <v>0</v>
      </c>
    </row>
    <row r="60" spans="2:55" x14ac:dyDescent="0.35">
      <c r="B60" s="356" t="s">
        <v>94</v>
      </c>
      <c r="C60" s="78">
        <f>CHOOSE(PLColumn,IFERROR(GETPIVOTDATA("Sum of "&amp;C$9,'PT-All'!$A$1,"Scenario",C$12,"P&amp;L Item",$B60),0),IFERROR(GETPIVOTDATA("Sum of "&amp;C$9,'PT-All'!$A$1,"Scenario",C$12,"P&amp;L Item",$B60)/C$201,0),TEXT(IFERROR(GETPIVOTDATA("Sum of "&amp;C$9,'PT-All'!$A$1,"Scenario",C$12,"P&amp;L Item",$B60)/C$29,0),"0.00%"))</f>
        <v>0</v>
      </c>
      <c r="D60" s="78">
        <f>CHOOSE(PLColumn,IFERROR(GETPIVOTDATA("Sum of "&amp;D$9,'PT-All'!$A$1,"Scenario",D$12,"P&amp;L Item",$B60),0),IFERROR(GETPIVOTDATA("Sum of "&amp;D$9,'PT-All'!$A$1,"Scenario",D$12,"P&amp;L Item",$B60)/D$201,0),TEXT(IFERROR(GETPIVOTDATA("Sum of "&amp;D$9,'PT-All'!$A$1,"Scenario",D$12,"P&amp;L Item",$B60)/D$29,0),"0.00%"))</f>
        <v>0</v>
      </c>
      <c r="E60" s="78">
        <f>CHOOSE(PLColumn,IFERROR(GETPIVOTDATA("Sum of "&amp;E$9,'PT-All'!$A$1,"Scenario",E$12,"P&amp;L Item",$B60),0),IFERROR(GETPIVOTDATA("Sum of "&amp;E$9,'PT-All'!$A$1,"Scenario",E$12,"P&amp;L Item",$B60)/E$201,0),TEXT(IFERROR(GETPIVOTDATA("Sum of "&amp;E$9,'PT-All'!$A$1,"Scenario",E$12,"P&amp;L Item",$B60)/E$29,0),"0.00%"))</f>
        <v>0</v>
      </c>
      <c r="F60" s="78">
        <f>CHOOSE(PLColumn,IFERROR(GETPIVOTDATA("Sum of "&amp;F$9,'PT-All'!$A$1,"Scenario",F$12,"P&amp;L Item",$B60),0),IFERROR(GETPIVOTDATA("Sum of "&amp;F$9,'PT-All'!$A$1,"Scenario",F$12,"P&amp;L Item",$B60)/F$201,0),TEXT(IFERROR(GETPIVOTDATA("Sum of "&amp;F$9,'PT-All'!$A$1,"Scenario",F$12,"P&amp;L Item",$B60)/F$29,0),"0.00%"))</f>
        <v>0</v>
      </c>
      <c r="G60" s="78">
        <f>CHOOSE(PLColumn,IFERROR(GETPIVOTDATA("Sum of "&amp;G$9,'PT-All'!$A$1,"Scenario",G$12,"P&amp;L Item",$B60),0),IFERROR(GETPIVOTDATA("Sum of "&amp;G$9,'PT-All'!$A$1,"Scenario",G$12,"P&amp;L Item",$B60)/G$201,0),TEXT(IFERROR(GETPIVOTDATA("Sum of "&amp;G$9,'PT-All'!$A$1,"Scenario",G$12,"P&amp;L Item",$B60)/G$29,0),"0.00%"))</f>
        <v>0</v>
      </c>
      <c r="H60" s="78">
        <f>CHOOSE(PLColumn,IFERROR(GETPIVOTDATA("Sum of "&amp;H$9,'PT-All'!$A$1,"Scenario",H$12,"P&amp;L Item",$B60),0),IFERROR(GETPIVOTDATA("Sum of "&amp;H$9,'PT-All'!$A$1,"Scenario",H$12,"P&amp;L Item",$B60)/H$201,0),TEXT(IFERROR(GETPIVOTDATA("Sum of "&amp;H$9,'PT-All'!$A$1,"Scenario",H$12,"P&amp;L Item",$B60)/H$29,0),"0.00%"))</f>
        <v>0</v>
      </c>
      <c r="I60" s="78">
        <f>CHOOSE(PLColumn,IFERROR(GETPIVOTDATA("Sum of "&amp;I$9,'PT-All'!$A$1,"Scenario",I$12,"P&amp;L Item",$B60),0),IFERROR(GETPIVOTDATA("Sum of "&amp;I$9,'PT-All'!$A$1,"Scenario",I$12,"P&amp;L Item",$B60)/I$201,0),TEXT(IFERROR(GETPIVOTDATA("Sum of "&amp;I$9,'PT-All'!$A$1,"Scenario",I$12,"P&amp;L Item",$B60)/I$29,0),"0.00%"))</f>
        <v>0</v>
      </c>
      <c r="J60" s="78">
        <f>CHOOSE(PLColumn,IFERROR(GETPIVOTDATA("Sum of "&amp;J$9,'PT-All'!$A$1,"Scenario",J$12,"P&amp;L Item",$B60),0),IFERROR(GETPIVOTDATA("Sum of "&amp;J$9,'PT-All'!$A$1,"Scenario",J$12,"P&amp;L Item",$B60)/J$201,0),TEXT(IFERROR(GETPIVOTDATA("Sum of "&amp;J$9,'PT-All'!$A$1,"Scenario",J$12,"P&amp;L Item",$B60)/J$29,0),"0.00%"))</f>
        <v>0</v>
      </c>
      <c r="K60" s="78">
        <f>CHOOSE(PLColumn,IFERROR(GETPIVOTDATA("Sum of "&amp;K$9,'PT-All'!$A$1,"Scenario",K$12,"P&amp;L Item",$B60),0),IFERROR(GETPIVOTDATA("Sum of "&amp;K$9,'PT-All'!$A$1,"Scenario",K$12,"P&amp;L Item",$B60)/K$201,0),TEXT(IFERROR(GETPIVOTDATA("Sum of "&amp;K$9,'PT-All'!$A$1,"Scenario",K$12,"P&amp;L Item",$B60)/K$29,0),"0.00%"))</f>
        <v>0</v>
      </c>
      <c r="L60" s="78">
        <f>CHOOSE(PLColumn,IFERROR(GETPIVOTDATA("Sum of "&amp;L$9,'PT-All'!$A$1,"Scenario",L$12,"P&amp;L Item",$B60),0),IFERROR(GETPIVOTDATA("Sum of "&amp;L$9,'PT-All'!$A$1,"Scenario",L$12,"P&amp;L Item",$B60)/L$201,0),TEXT(IFERROR(GETPIVOTDATA("Sum of "&amp;L$9,'PT-All'!$A$1,"Scenario",L$12,"P&amp;L Item",$B60)/L$29,0),"0.00%"))</f>
        <v>0</v>
      </c>
      <c r="M60" s="78">
        <f>CHOOSE(PLColumn,IFERROR(GETPIVOTDATA("Sum of "&amp;M$9,'PT-All'!$A$1,"Scenario",M$12,"P&amp;L Item",$B60),0),IFERROR(GETPIVOTDATA("Sum of "&amp;M$9,'PT-All'!$A$1,"Scenario",M$12,"P&amp;L Item",$B60)/M$201,0),TEXT(IFERROR(GETPIVOTDATA("Sum of "&amp;M$9,'PT-All'!$A$1,"Scenario",M$12,"P&amp;L Item",$B60)/M$29,0),"0.00%"))</f>
        <v>0</v>
      </c>
      <c r="N60" s="78">
        <f>CHOOSE(PLColumn,IFERROR(GETPIVOTDATA("Sum of "&amp;N$9,'PT-All'!$A$1,"Scenario",N$12,"P&amp;L Item",$B60),0),IFERROR(GETPIVOTDATA("Sum of "&amp;N$9,'PT-All'!$A$1,"Scenario",N$12,"P&amp;L Item",$B60)/N$201,0),TEXT(IFERROR(GETPIVOTDATA("Sum of "&amp;N$9,'PT-All'!$A$1,"Scenario",N$12,"P&amp;L Item",$B60)/N$29,0),"0.00%"))</f>
        <v>0</v>
      </c>
      <c r="O60" s="78">
        <f>CHOOSE(PLColumn,IFERROR(GETPIVOTDATA("Sum of "&amp;O$9,'PT-All'!$A$1,"Scenario",O$12,"P&amp;L Item",$B60),0),IFERROR(GETPIVOTDATA("Sum of "&amp;O$9,'PT-All'!$A$1,"Scenario",O$12,"P&amp;L Item",$B60)/O$201,0),TEXT(IFERROR(GETPIVOTDATA("Sum of "&amp;O$9,'PT-All'!$A$1,"Scenario",O$12,"P&amp;L Item",$B60)/O$29,0),"0.00%"))</f>
        <v>0</v>
      </c>
      <c r="P60" s="78">
        <f>CHOOSE(PLColumn,IFERROR(GETPIVOTDATA("Sum of "&amp;P$9,'PT-All'!$A$1,"Scenario",P$12,"P&amp;L Item",$B60),0),IFERROR(GETPIVOTDATA("Sum of "&amp;P$9,'PT-All'!$A$1,"Scenario",P$12,"P&amp;L Item",$B60)/P$201,0),TEXT(IFERROR(GETPIVOTDATA("Sum of "&amp;P$9,'PT-All'!$A$1,"Scenario",P$12,"P&amp;L Item",$B60)/P$29,0),"0.00%"))</f>
        <v>0</v>
      </c>
      <c r="Q60" s="78">
        <f>CHOOSE(PLColumn,IFERROR(GETPIVOTDATA("Sum of "&amp;Q$9,'PT-All'!$A$1,"Scenario",Q$12,"P&amp;L Item",$B60),0),IFERROR(GETPIVOTDATA("Sum of "&amp;Q$9,'PT-All'!$A$1,"Scenario",Q$12,"P&amp;L Item",$B60)/Q$201,0),TEXT(IFERROR(GETPIVOTDATA("Sum of "&amp;Q$9,'PT-All'!$A$1,"Scenario",Q$12,"P&amp;L Item",$B60)/Q$29,0),"0.00%"))</f>
        <v>0</v>
      </c>
      <c r="R60" s="78">
        <f>CHOOSE(PLColumn,IFERROR(GETPIVOTDATA("Sum of "&amp;R$9,'PT-All'!$A$1,"Scenario",R$12,"P&amp;L Item",$B60),0),IFERROR(GETPIVOTDATA("Sum of "&amp;R$9,'PT-All'!$A$1,"Scenario",R$12,"P&amp;L Item",$B60)/R$201,0),TEXT(IFERROR(GETPIVOTDATA("Sum of "&amp;R$9,'PT-All'!$A$1,"Scenario",R$12,"P&amp;L Item",$B60)/R$29,0),"0.00%"))</f>
        <v>0</v>
      </c>
      <c r="S60" s="78">
        <f>CHOOSE(PLColumn,IFERROR(GETPIVOTDATA("Sum of "&amp;S$9,'PT-All'!$A$1,"Scenario",S$12,"P&amp;L Item",$B60),0),IFERROR(GETPIVOTDATA("Sum of "&amp;S$9,'PT-All'!$A$1,"Scenario",S$12,"P&amp;L Item",$B60)/S$201,0),TEXT(IFERROR(GETPIVOTDATA("Sum of "&amp;S$9,'PT-All'!$A$1,"Scenario",S$12,"P&amp;L Item",$B60)/S$29,0),"0.00%"))</f>
        <v>0</v>
      </c>
      <c r="T60" s="78">
        <f>CHOOSE(PLColumn,IFERROR(GETPIVOTDATA("Sum of "&amp;T$9,'PT-All'!$A$1,"Scenario",T$12,"P&amp;L Item",$B60),0),IFERROR(GETPIVOTDATA("Sum of "&amp;T$9,'PT-All'!$A$1,"Scenario",T$12,"P&amp;L Item",$B60)/T$201,0),TEXT(IFERROR(GETPIVOTDATA("Sum of "&amp;T$9,'PT-All'!$A$1,"Scenario",T$12,"P&amp;L Item",$B60)/T$29,0),"0.00%"))</f>
        <v>0</v>
      </c>
      <c r="U60" s="78">
        <f>CHOOSE(PLColumn,IFERROR(GETPIVOTDATA("Sum of "&amp;U$9,'PT-All'!$A$1,"Scenario",U$12,"P&amp;L Item",$B60),0),IFERROR(GETPIVOTDATA("Sum of "&amp;U$9,'PT-All'!$A$1,"Scenario",U$12,"P&amp;L Item",$B60)/U$201,0),TEXT(IFERROR(GETPIVOTDATA("Sum of "&amp;U$9,'PT-All'!$A$1,"Scenario",U$12,"P&amp;L Item",$B60)/U$29,0),"0.00%"))</f>
        <v>0</v>
      </c>
      <c r="V60" s="78">
        <f>CHOOSE(PLColumn,IFERROR(GETPIVOTDATA("Sum of "&amp;V$9,'PT-All'!$A$1,"Scenario",V$12,"P&amp;L Item",$B60),0),IFERROR(GETPIVOTDATA("Sum of "&amp;V$9,'PT-All'!$A$1,"Scenario",V$12,"P&amp;L Item",$B60)/V$201,0),TEXT(IFERROR(GETPIVOTDATA("Sum of "&amp;V$9,'PT-All'!$A$1,"Scenario",V$12,"P&amp;L Item",$B60)/V$29,0),"0.00%"))</f>
        <v>0</v>
      </c>
      <c r="W60" s="78">
        <f>CHOOSE(PLColumn,IFERROR(GETPIVOTDATA("Sum of "&amp;W$9,'PT-All'!$A$1,"Scenario",W$12,"P&amp;L Item",$B60),0),IFERROR(GETPIVOTDATA("Sum of "&amp;W$9,'PT-All'!$A$1,"Scenario",W$12,"P&amp;L Item",$B60)/W$201,0),TEXT(IFERROR(GETPIVOTDATA("Sum of "&amp;W$9,'PT-All'!$A$1,"Scenario",W$12,"P&amp;L Item",$B60)/W$29,0),"0.00%"))</f>
        <v>0</v>
      </c>
      <c r="X60" s="78">
        <f>CHOOSE(PLColumn,IFERROR(GETPIVOTDATA("Sum of "&amp;X$9,'PT-All'!$A$1,"Scenario",X$12,"P&amp;L Item",$B60),0),IFERROR(GETPIVOTDATA("Sum of "&amp;X$9,'PT-All'!$A$1,"Scenario",X$12,"P&amp;L Item",$B60)/X$201,0),TEXT(IFERROR(GETPIVOTDATA("Sum of "&amp;X$9,'PT-All'!$A$1,"Scenario",X$12,"P&amp;L Item",$B60)/X$29,0),"0.00%"))</f>
        <v>0</v>
      </c>
      <c r="Y60" s="78">
        <f>CHOOSE(PLColumn,IFERROR(GETPIVOTDATA("Sum of "&amp;Y$9,'PT-All'!$A$1,"Scenario",Y$12,"P&amp;L Item",$B60),0),IFERROR(GETPIVOTDATA("Sum of "&amp;Y$9,'PT-All'!$A$1,"Scenario",Y$12,"P&amp;L Item",$B60)/Y$201,0),TEXT(IFERROR(GETPIVOTDATA("Sum of "&amp;Y$9,'PT-All'!$A$1,"Scenario",Y$12,"P&amp;L Item",$B60)/Y$29,0),"0.00%"))</f>
        <v>0</v>
      </c>
      <c r="Z60" s="78">
        <f>CHOOSE(PLColumn,IFERROR(GETPIVOTDATA("Sum of "&amp;Z$9,'PT-All'!$A$1,"Scenario",Z$12,"P&amp;L Item",$B60),0),IFERROR(GETPIVOTDATA("Sum of "&amp;Z$9,'PT-All'!$A$1,"Scenario",Z$12,"P&amp;L Item",$B60)/Z$201,0),TEXT(IFERROR(GETPIVOTDATA("Sum of "&amp;Z$9,'PT-All'!$A$1,"Scenario",Z$12,"P&amp;L Item",$B60)/Z$29,0),"0.00%"))</f>
        <v>0</v>
      </c>
      <c r="AA60" s="78">
        <f>CHOOSE(PLColumn,IFERROR(GETPIVOTDATA("Sum of "&amp;AA$9,'PT-All'!$A$1,"Scenario",AA$12,"P&amp;L Item",$B60),0),IFERROR(GETPIVOTDATA("Sum of "&amp;AA$9,'PT-All'!$A$1,"Scenario",AA$12,"P&amp;L Item",$B60)/AA$201,0),TEXT(IFERROR(GETPIVOTDATA("Sum of "&amp;AA$9,'PT-All'!$A$1,"Scenario",AA$12,"P&amp;L Item",$B60)/AA$29,0),"0.00%"))</f>
        <v>0</v>
      </c>
      <c r="AB60" s="78">
        <f>CHOOSE(PLColumn,IFERROR(GETPIVOTDATA("Sum of "&amp;AB$9,'PT-All'!$A$1,"Scenario",AB$12,"P&amp;L Item",$B60),0),IFERROR(GETPIVOTDATA("Sum of "&amp;AB$9,'PT-All'!$A$1,"Scenario",AB$12,"P&amp;L Item",$B60)/AB$201,0),TEXT(IFERROR(GETPIVOTDATA("Sum of "&amp;AB$9,'PT-All'!$A$1,"Scenario",AB$12,"P&amp;L Item",$B60)/AB$29,0),"0.00%"))</f>
        <v>0</v>
      </c>
      <c r="AC60" s="78">
        <f>CHOOSE(PLColumn,IFERROR(GETPIVOTDATA("Sum of "&amp;AC$9,'PT-All'!$A$1,"Scenario",AC$12,"P&amp;L Item",$B60),0),IFERROR(GETPIVOTDATA("Sum of "&amp;AC$9,'PT-All'!$A$1,"Scenario",AC$12,"P&amp;L Item",$B60)/AC$201,0),TEXT(IFERROR(GETPIVOTDATA("Sum of "&amp;AC$9,'PT-All'!$A$1,"Scenario",AC$12,"P&amp;L Item",$B60)/AC$29,0),"0.00%"))</f>
        <v>0</v>
      </c>
      <c r="AD60" s="78">
        <f>CHOOSE(PLColumn,IFERROR(GETPIVOTDATA("Sum of "&amp;AD$9,'PT-All'!$A$1,"Scenario",AD$12,"P&amp;L Item",$B60),0),IFERROR(GETPIVOTDATA("Sum of "&amp;AD$9,'PT-All'!$A$1,"Scenario",AD$12,"P&amp;L Item",$B60)/AD$201,0),TEXT(IFERROR(GETPIVOTDATA("Sum of "&amp;AD$9,'PT-All'!$A$1,"Scenario",AD$12,"P&amp;L Item",$B60)/AD$29,0),"0.00%"))</f>
        <v>0</v>
      </c>
      <c r="AE60" s="78">
        <f>CHOOSE(PLColumn,IFERROR(GETPIVOTDATA("Sum of "&amp;AE$9,'PT-All'!$A$1,"Scenario",AE$12,"P&amp;L Item",$B60),0),IFERROR(GETPIVOTDATA("Sum of "&amp;AE$9,'PT-All'!$A$1,"Scenario",AE$12,"P&amp;L Item",$B60)/AE$201,0),TEXT(IFERROR(GETPIVOTDATA("Sum of "&amp;AE$9,'PT-All'!$A$1,"Scenario",AE$12,"P&amp;L Item",$B60)/AE$29,0),"0.00%"))</f>
        <v>0</v>
      </c>
      <c r="AF60" s="78">
        <f>CHOOSE(PLColumn,IFERROR(GETPIVOTDATA("Sum of "&amp;AF$9,'PT-All'!$A$1,"Scenario",AF$12,"P&amp;L Item",$B60),0),IFERROR(GETPIVOTDATA("Sum of "&amp;AF$9,'PT-All'!$A$1,"Scenario",AF$12,"P&amp;L Item",$B60)/AF$201,0),TEXT(IFERROR(GETPIVOTDATA("Sum of "&amp;AF$9,'PT-All'!$A$1,"Scenario",AF$12,"P&amp;L Item",$B60)/AF$29,0),"0.00%"))</f>
        <v>0</v>
      </c>
      <c r="AG60" s="78">
        <f>CHOOSE(PLColumn,IFERROR(GETPIVOTDATA("Sum of "&amp;AG$9,'PT-All'!$A$1,"Scenario",AG$12,"P&amp;L Item",$B60),0),IFERROR(GETPIVOTDATA("Sum of "&amp;AG$9,'PT-All'!$A$1,"Scenario",AG$12,"P&amp;L Item",$B60)/AG$201,0),TEXT(IFERROR(GETPIVOTDATA("Sum of "&amp;AG$9,'PT-All'!$A$1,"Scenario",AG$12,"P&amp;L Item",$B60)/AG$29,0),"0.00%"))</f>
        <v>0</v>
      </c>
      <c r="AH60" s="78">
        <f>CHOOSE(PLColumn,IFERROR(GETPIVOTDATA("Sum of "&amp;AH$9,'PT-All'!$A$1,"Scenario",AH$12,"P&amp;L Item",$B60),0),IFERROR(GETPIVOTDATA("Sum of "&amp;AH$9,'PT-All'!$A$1,"Scenario",AH$12,"P&amp;L Item",$B60)/AH$201,0),TEXT(IFERROR(GETPIVOTDATA("Sum of "&amp;AH$9,'PT-All'!$A$1,"Scenario",AH$12,"P&amp;L Item",$B60)/AH$29,0),"0.00%"))</f>
        <v>0</v>
      </c>
      <c r="AI60" s="78">
        <f>CHOOSE(PLColumn,IFERROR(GETPIVOTDATA("Sum of "&amp;AI$9,'PT-All'!$A$1,"Scenario",AI$12,"P&amp;L Item",$B60),0),IFERROR(GETPIVOTDATA("Sum of "&amp;AI$9,'PT-All'!$A$1,"Scenario",AI$12,"P&amp;L Item",$B60)/AI$201,0),TEXT(IFERROR(GETPIVOTDATA("Sum of "&amp;AI$9,'PT-All'!$A$1,"Scenario",AI$12,"P&amp;L Item",$B60)/AI$29,0),"0.00%"))</f>
        <v>0</v>
      </c>
      <c r="AJ60" s="78">
        <f>CHOOSE(PLColumn,IFERROR(GETPIVOTDATA("Sum of "&amp;AJ$9,'PT-All'!$A$1,"Scenario",AJ$12,"P&amp;L Item",$B60),0),IFERROR(GETPIVOTDATA("Sum of "&amp;AJ$9,'PT-All'!$A$1,"Scenario",AJ$12,"P&amp;L Item",$B60)/AJ$201,0),TEXT(IFERROR(GETPIVOTDATA("Sum of "&amp;AJ$9,'PT-All'!$A$1,"Scenario",AJ$12,"P&amp;L Item",$B60)/AJ$29,0),"0.00%"))</f>
        <v>0</v>
      </c>
      <c r="AK60" s="78">
        <f>CHOOSE(PLColumn,IFERROR(GETPIVOTDATA("Sum of "&amp;AK$9,'PT-All'!$A$1,"Scenario",AK$12,"P&amp;L Item",$B60),0),IFERROR(GETPIVOTDATA("Sum of "&amp;AK$9,'PT-All'!$A$1,"Scenario",AK$12,"P&amp;L Item",$B60)/AK$201,0),TEXT(IFERROR(GETPIVOTDATA("Sum of "&amp;AK$9,'PT-All'!$A$1,"Scenario",AK$12,"P&amp;L Item",$B60)/AK$29,0),"0.00%"))</f>
        <v>0</v>
      </c>
      <c r="AL60" s="100">
        <f>CHOOSE(PLColumn,IFERROR(GETPIVOTDATA("Sum of "&amp;AL$9,'PT-All'!$A$1,"Scenario",AL$12,"P&amp;L Item",$B60),0),IFERROR(GETPIVOTDATA("Sum of "&amp;AL$9,'PT-All'!$A$1,"Scenario",AL$12,"P&amp;L Item",$B60)/AL$201,0),TEXT(IFERROR(GETPIVOTDATA("Sum of "&amp;AL$9,'PT-All'!$A$1,"Scenario",AL$12,"P&amp;L Item",$B60)/AL$29,0),"0.00%"))</f>
        <v>0</v>
      </c>
      <c r="AM60" s="590"/>
      <c r="AN60" s="111">
        <f ca="1">IF(AN$12="Pro Forma",SUM(OFFSET($B60,0,3*AN$9+1,1,3)),IFERROR(GETPIVOTDATA("Sum of Q"&amp;AN$9+1,'PT-All'!$A$1,"Scenario",AN$12,"P&amp;L Item",$B60),0))</f>
        <v>0</v>
      </c>
      <c r="AO60" s="78">
        <f ca="1">IF(AO$12="Pro Forma",SUM(OFFSET($B60,0,3*AO$9+1,1,3)),IFERROR(GETPIVOTDATA("Sum of Q"&amp;AO$9+1,'PT-All'!$A$1,"Scenario",AO$12,"P&amp;L Item",$B60),0))</f>
        <v>0</v>
      </c>
      <c r="AP60" s="78">
        <f ca="1">IF(AP$12="Pro Forma",SUM(OFFSET($B60,0,3*AP$9+1,1,3)),IFERROR(GETPIVOTDATA("Sum of Q"&amp;AP$9+1,'PT-All'!$A$1,"Scenario",AP$12,"P&amp;L Item",$B60),0))</f>
        <v>0</v>
      </c>
      <c r="AQ60" s="78">
        <f ca="1">IF(AQ$12="Pro Forma",SUM(OFFSET($B60,0,3*AQ$9+1,1,3)),IFERROR(GETPIVOTDATA("Sum of Q"&amp;AQ$9+1,'PT-All'!$A$1,"Scenario",AQ$12,"P&amp;L Item",$B60),0))</f>
        <v>0</v>
      </c>
      <c r="AR60" s="78">
        <f ca="1">IF(AR$12="Pro Forma",SUM(OFFSET($B60,0,3*AR$9+1,1,3)),IFERROR(GETPIVOTDATA("Sum of Q"&amp;AR$9+1,'PT-All'!$A$1,"Scenario",AR$12,"P&amp;L Item",$B60),0))</f>
        <v>0</v>
      </c>
      <c r="AS60" s="78">
        <f ca="1">IF(AS$12="Pro Forma",SUM(OFFSET($B60,0,3*AS$9+1,1,3)),IFERROR(GETPIVOTDATA("Sum of Q"&amp;AS$9+1,'PT-All'!$A$1,"Scenario",AS$12,"P&amp;L Item",$B60),0))</f>
        <v>0</v>
      </c>
      <c r="AT60" s="78">
        <f ca="1">IF(AT$12="Pro Forma",SUM(OFFSET($B60,0,3*AT$9+1,1,3)),IFERROR(GETPIVOTDATA("Sum of Q"&amp;AT$9+1,'PT-All'!$A$1,"Scenario",AT$12,"P&amp;L Item",$B60),0))</f>
        <v>0</v>
      </c>
      <c r="AU60" s="78">
        <f ca="1">IF(AU$12="Pro Forma",SUM(OFFSET($B60,0,3*AU$9+1,1,3)),IFERROR(GETPIVOTDATA("Sum of Q"&amp;AU$9+1,'PT-All'!$A$1,"Scenario",AU$12,"P&amp;L Item",$B60),0))</f>
        <v>0</v>
      </c>
      <c r="AV60" s="78">
        <f ca="1">IF(AV$12="Pro Forma",SUM(OFFSET($B60,0,3*AV$9+1,1,3)),IFERROR(GETPIVOTDATA("Sum of Q"&amp;AV$9+1,'PT-All'!$A$1,"Scenario",AV$12,"P&amp;L Item",$B60),0))</f>
        <v>0</v>
      </c>
      <c r="AW60" s="78">
        <f ca="1">IF(AW$12="Pro Forma",SUM(OFFSET($B60,0,3*AW$9+1,1,3)),IFERROR(GETPIVOTDATA("Sum of Q"&amp;AW$9+1,'PT-All'!$A$1,"Scenario",AW$12,"P&amp;L Item",$B60),0))</f>
        <v>0</v>
      </c>
      <c r="AX60" s="78">
        <f ca="1">IF(AX$12="Pro Forma",SUM(OFFSET($B60,0,3*AX$9+1,1,3)),IFERROR(GETPIVOTDATA("Sum of Q"&amp;AX$9+1,'PT-All'!$A$1,"Scenario",AX$12,"P&amp;L Item",$B60),0))</f>
        <v>0</v>
      </c>
      <c r="AY60" s="100">
        <f ca="1">IF(AY$12="Pro Forma",SUM(OFFSET($B60,0,3*AY$9+1,1,3)),IFERROR(GETPIVOTDATA("Sum of Q"&amp;AY$9+1,'PT-All'!$A$1,"Scenario",AY$12,"P&amp;L Item",$B60),0))</f>
        <v>0</v>
      </c>
      <c r="AZ60" s="590"/>
      <c r="BA60" s="111">
        <f ca="1">IF(BA$12="Pro Forma",SUM(OFFSET($B60,0,12*BA$9+1,1,12)),IFERROR(GETPIVOTDATA("Sum of FY"&amp;BA$9+1,'PT-All'!$A$1,"Scenario",BA$12,"P&amp;L Item",$B60),0))</f>
        <v>0</v>
      </c>
      <c r="BB60" s="78">
        <f ca="1">IF(BB$12="Pro Forma",SUM(OFFSET($B60,0,12*BB$9+1,1,12)),IFERROR(GETPIVOTDATA("Sum of FY"&amp;BB$9+1,'PT-All'!$A$1,"Scenario",BB$12,"P&amp;L Item",$B60),0))</f>
        <v>0</v>
      </c>
      <c r="BC60" s="100">
        <f ca="1">IF(BC$12="Pro Forma",SUM(OFFSET($B60,0,12*BC$9+1,1,12)),IFERROR(GETPIVOTDATA("Sum of FY"&amp;BC$9+1,'PT-All'!$A$1,"Scenario",BC$12,"P&amp;L Item",$B60),0))</f>
        <v>0</v>
      </c>
    </row>
    <row r="61" spans="2:55" ht="15" x14ac:dyDescent="0.4">
      <c r="B61" s="82" t="s">
        <v>95</v>
      </c>
      <c r="C61" s="83">
        <f t="shared" ref="C61:AN61" si="141">SUM(C62:C69)</f>
        <v>0</v>
      </c>
      <c r="D61" s="83">
        <f t="shared" si="141"/>
        <v>0</v>
      </c>
      <c r="E61" s="83">
        <f t="shared" si="141"/>
        <v>0</v>
      </c>
      <c r="F61" s="83">
        <f t="shared" si="141"/>
        <v>0</v>
      </c>
      <c r="G61" s="83">
        <f t="shared" si="141"/>
        <v>0</v>
      </c>
      <c r="H61" s="83">
        <f t="shared" si="141"/>
        <v>0</v>
      </c>
      <c r="I61" s="83">
        <f t="shared" si="141"/>
        <v>0</v>
      </c>
      <c r="J61" s="83">
        <f t="shared" si="141"/>
        <v>0</v>
      </c>
      <c r="K61" s="83">
        <f t="shared" si="141"/>
        <v>0</v>
      </c>
      <c r="L61" s="83">
        <f t="shared" si="141"/>
        <v>0</v>
      </c>
      <c r="M61" s="83">
        <f t="shared" si="141"/>
        <v>0</v>
      </c>
      <c r="N61" s="83">
        <f t="shared" si="141"/>
        <v>0</v>
      </c>
      <c r="O61" s="83">
        <f t="shared" si="141"/>
        <v>0</v>
      </c>
      <c r="P61" s="83">
        <f t="shared" si="141"/>
        <v>0</v>
      </c>
      <c r="Q61" s="83">
        <f t="shared" si="141"/>
        <v>0</v>
      </c>
      <c r="R61" s="83">
        <f t="shared" si="141"/>
        <v>0</v>
      </c>
      <c r="S61" s="83">
        <f t="shared" si="141"/>
        <v>0</v>
      </c>
      <c r="T61" s="83">
        <f t="shared" si="141"/>
        <v>0</v>
      </c>
      <c r="U61" s="83">
        <f t="shared" si="141"/>
        <v>0</v>
      </c>
      <c r="V61" s="83">
        <f t="shared" si="141"/>
        <v>0</v>
      </c>
      <c r="W61" s="83">
        <f t="shared" si="141"/>
        <v>0</v>
      </c>
      <c r="X61" s="83">
        <f t="shared" si="141"/>
        <v>0</v>
      </c>
      <c r="Y61" s="83">
        <f t="shared" si="141"/>
        <v>0</v>
      </c>
      <c r="Z61" s="83">
        <f t="shared" ref="Z61:AL61" si="142">SUM(Z62:Z69)</f>
        <v>0</v>
      </c>
      <c r="AA61" s="83">
        <f t="shared" si="142"/>
        <v>0</v>
      </c>
      <c r="AB61" s="83">
        <f t="shared" si="142"/>
        <v>0</v>
      </c>
      <c r="AC61" s="83">
        <f t="shared" si="142"/>
        <v>0</v>
      </c>
      <c r="AD61" s="83">
        <f t="shared" si="142"/>
        <v>0</v>
      </c>
      <c r="AE61" s="83">
        <f t="shared" si="142"/>
        <v>0</v>
      </c>
      <c r="AF61" s="83">
        <f t="shared" si="142"/>
        <v>0</v>
      </c>
      <c r="AG61" s="83">
        <f t="shared" si="142"/>
        <v>0</v>
      </c>
      <c r="AH61" s="83">
        <f t="shared" si="142"/>
        <v>0</v>
      </c>
      <c r="AI61" s="83">
        <f t="shared" si="142"/>
        <v>0</v>
      </c>
      <c r="AJ61" s="83">
        <f t="shared" si="142"/>
        <v>0</v>
      </c>
      <c r="AK61" s="83">
        <f t="shared" si="142"/>
        <v>0</v>
      </c>
      <c r="AL61" s="101">
        <f t="shared" si="142"/>
        <v>0</v>
      </c>
      <c r="AM61" s="590"/>
      <c r="AN61" s="112">
        <f t="shared" ca="1" si="141"/>
        <v>0</v>
      </c>
      <c r="AO61" s="83">
        <f t="shared" ref="AO61" ca="1" si="143">SUM(AO62:AO69)</f>
        <v>0</v>
      </c>
      <c r="AP61" s="83">
        <f t="shared" ref="AP61" ca="1" si="144">SUM(AP62:AP69)</f>
        <v>0</v>
      </c>
      <c r="AQ61" s="83">
        <f t="shared" ref="AQ61" ca="1" si="145">SUM(AQ62:AQ69)</f>
        <v>0</v>
      </c>
      <c r="AR61" s="83">
        <f t="shared" ref="AR61" ca="1" si="146">SUM(AR62:AR69)</f>
        <v>0</v>
      </c>
      <c r="AS61" s="83">
        <f t="shared" ref="AS61" ca="1" si="147">SUM(AS62:AS69)</f>
        <v>0</v>
      </c>
      <c r="AT61" s="83">
        <f t="shared" ref="AT61:AY61" ca="1" si="148">SUM(AT62:AT69)</f>
        <v>0</v>
      </c>
      <c r="AU61" s="83">
        <f t="shared" ca="1" si="148"/>
        <v>0</v>
      </c>
      <c r="AV61" s="83">
        <f t="shared" ca="1" si="148"/>
        <v>0</v>
      </c>
      <c r="AW61" s="83">
        <f t="shared" ca="1" si="148"/>
        <v>0</v>
      </c>
      <c r="AX61" s="83">
        <f t="shared" ca="1" si="148"/>
        <v>0</v>
      </c>
      <c r="AY61" s="101">
        <f t="shared" ca="1" si="148"/>
        <v>0</v>
      </c>
      <c r="AZ61" s="590"/>
      <c r="BA61" s="112">
        <f t="shared" ref="BA61" ca="1" si="149">SUM(BA62:BA69)</f>
        <v>0</v>
      </c>
      <c r="BB61" s="83">
        <f t="shared" ref="BB61:BC61" ca="1" si="150">SUM(BB62:BB69)</f>
        <v>0</v>
      </c>
      <c r="BC61" s="101">
        <f t="shared" ca="1" si="150"/>
        <v>0</v>
      </c>
    </row>
    <row r="62" spans="2:55" x14ac:dyDescent="0.35">
      <c r="B62" s="64" t="s">
        <v>96</v>
      </c>
      <c r="C62" s="65">
        <f>CHOOSE(PLColumn,IFERROR(GETPIVOTDATA("Sum of "&amp;C$9,'PT-All'!$A$1,"Scenario",C$12,"P&amp;L Item",$B62),0),IFERROR(GETPIVOTDATA("Sum of "&amp;C$9,'PT-All'!$A$1,"Scenario",C$12,"P&amp;L Item",$B62)/C$201,0),TEXT(IFERROR(GETPIVOTDATA("Sum of "&amp;C$9,'PT-All'!$A$1,"Scenario",C$12,"P&amp;L Item",$B62)/C$29,0),"0.00%"))</f>
        <v>0</v>
      </c>
      <c r="D62" s="65">
        <f>CHOOSE(PLColumn,IFERROR(GETPIVOTDATA("Sum of "&amp;D$9,'PT-All'!$A$1,"Scenario",D$12,"P&amp;L Item",$B62),0),IFERROR(GETPIVOTDATA("Sum of "&amp;D$9,'PT-All'!$A$1,"Scenario",D$12,"P&amp;L Item",$B62)/D$201,0),TEXT(IFERROR(GETPIVOTDATA("Sum of "&amp;D$9,'PT-All'!$A$1,"Scenario",D$12,"P&amp;L Item",$B62)/D$29,0),"0.00%"))</f>
        <v>0</v>
      </c>
      <c r="E62" s="65">
        <f>CHOOSE(PLColumn,IFERROR(GETPIVOTDATA("Sum of "&amp;E$9,'PT-All'!$A$1,"Scenario",E$12,"P&amp;L Item",$B62),0),IFERROR(GETPIVOTDATA("Sum of "&amp;E$9,'PT-All'!$A$1,"Scenario",E$12,"P&amp;L Item",$B62)/E$201,0),TEXT(IFERROR(GETPIVOTDATA("Sum of "&amp;E$9,'PT-All'!$A$1,"Scenario",E$12,"P&amp;L Item",$B62)/E$29,0),"0.00%"))</f>
        <v>0</v>
      </c>
      <c r="F62" s="65">
        <f>CHOOSE(PLColumn,IFERROR(GETPIVOTDATA("Sum of "&amp;F$9,'PT-All'!$A$1,"Scenario",F$12,"P&amp;L Item",$B62),0),IFERROR(GETPIVOTDATA("Sum of "&amp;F$9,'PT-All'!$A$1,"Scenario",F$12,"P&amp;L Item",$B62)/F$201,0),TEXT(IFERROR(GETPIVOTDATA("Sum of "&amp;F$9,'PT-All'!$A$1,"Scenario",F$12,"P&amp;L Item",$B62)/F$29,0),"0.00%"))</f>
        <v>0</v>
      </c>
      <c r="G62" s="65">
        <f>CHOOSE(PLColumn,IFERROR(GETPIVOTDATA("Sum of "&amp;G$9,'PT-All'!$A$1,"Scenario",G$12,"P&amp;L Item",$B62),0),IFERROR(GETPIVOTDATA("Sum of "&amp;G$9,'PT-All'!$A$1,"Scenario",G$12,"P&amp;L Item",$B62)/G$201,0),TEXT(IFERROR(GETPIVOTDATA("Sum of "&amp;G$9,'PT-All'!$A$1,"Scenario",G$12,"P&amp;L Item",$B62)/G$29,0),"0.00%"))</f>
        <v>0</v>
      </c>
      <c r="H62" s="65">
        <f>CHOOSE(PLColumn,IFERROR(GETPIVOTDATA("Sum of "&amp;H$9,'PT-All'!$A$1,"Scenario",H$12,"P&amp;L Item",$B62),0),IFERROR(GETPIVOTDATA("Sum of "&amp;H$9,'PT-All'!$A$1,"Scenario",H$12,"P&amp;L Item",$B62)/H$201,0),TEXT(IFERROR(GETPIVOTDATA("Sum of "&amp;H$9,'PT-All'!$A$1,"Scenario",H$12,"P&amp;L Item",$B62)/H$29,0),"0.00%"))</f>
        <v>0</v>
      </c>
      <c r="I62" s="65">
        <f>CHOOSE(PLColumn,IFERROR(GETPIVOTDATA("Sum of "&amp;I$9,'PT-All'!$A$1,"Scenario",I$12,"P&amp;L Item",$B62),0),IFERROR(GETPIVOTDATA("Sum of "&amp;I$9,'PT-All'!$A$1,"Scenario",I$12,"P&amp;L Item",$B62)/I$201,0),TEXT(IFERROR(GETPIVOTDATA("Sum of "&amp;I$9,'PT-All'!$A$1,"Scenario",I$12,"P&amp;L Item",$B62)/I$29,0),"0.00%"))</f>
        <v>0</v>
      </c>
      <c r="J62" s="65">
        <f>CHOOSE(PLColumn,IFERROR(GETPIVOTDATA("Sum of "&amp;J$9,'PT-All'!$A$1,"Scenario",J$12,"P&amp;L Item",$B62),0),IFERROR(GETPIVOTDATA("Sum of "&amp;J$9,'PT-All'!$A$1,"Scenario",J$12,"P&amp;L Item",$B62)/J$201,0),TEXT(IFERROR(GETPIVOTDATA("Sum of "&amp;J$9,'PT-All'!$A$1,"Scenario",J$12,"P&amp;L Item",$B62)/J$29,0),"0.00%"))</f>
        <v>0</v>
      </c>
      <c r="K62" s="65">
        <f>CHOOSE(PLColumn,IFERROR(GETPIVOTDATA("Sum of "&amp;K$9,'PT-All'!$A$1,"Scenario",K$12,"P&amp;L Item",$B62),0),IFERROR(GETPIVOTDATA("Sum of "&amp;K$9,'PT-All'!$A$1,"Scenario",K$12,"P&amp;L Item",$B62)/K$201,0),TEXT(IFERROR(GETPIVOTDATA("Sum of "&amp;K$9,'PT-All'!$A$1,"Scenario",K$12,"P&amp;L Item",$B62)/K$29,0),"0.00%"))</f>
        <v>0</v>
      </c>
      <c r="L62" s="65">
        <f>CHOOSE(PLColumn,IFERROR(GETPIVOTDATA("Sum of "&amp;L$9,'PT-All'!$A$1,"Scenario",L$12,"P&amp;L Item",$B62),0),IFERROR(GETPIVOTDATA("Sum of "&amp;L$9,'PT-All'!$A$1,"Scenario",L$12,"P&amp;L Item",$B62)/L$201,0),TEXT(IFERROR(GETPIVOTDATA("Sum of "&amp;L$9,'PT-All'!$A$1,"Scenario",L$12,"P&amp;L Item",$B62)/L$29,0),"0.00%"))</f>
        <v>0</v>
      </c>
      <c r="M62" s="65">
        <f>CHOOSE(PLColumn,IFERROR(GETPIVOTDATA("Sum of "&amp;M$9,'PT-All'!$A$1,"Scenario",M$12,"P&amp;L Item",$B62),0),IFERROR(GETPIVOTDATA("Sum of "&amp;M$9,'PT-All'!$A$1,"Scenario",M$12,"P&amp;L Item",$B62)/M$201,0),TEXT(IFERROR(GETPIVOTDATA("Sum of "&amp;M$9,'PT-All'!$A$1,"Scenario",M$12,"P&amp;L Item",$B62)/M$29,0),"0.00%"))</f>
        <v>0</v>
      </c>
      <c r="N62" s="65">
        <f>CHOOSE(PLColumn,IFERROR(GETPIVOTDATA("Sum of "&amp;N$9,'PT-All'!$A$1,"Scenario",N$12,"P&amp;L Item",$B62),0),IFERROR(GETPIVOTDATA("Sum of "&amp;N$9,'PT-All'!$A$1,"Scenario",N$12,"P&amp;L Item",$B62)/N$201,0),TEXT(IFERROR(GETPIVOTDATA("Sum of "&amp;N$9,'PT-All'!$A$1,"Scenario",N$12,"P&amp;L Item",$B62)/N$29,0),"0.00%"))</f>
        <v>0</v>
      </c>
      <c r="O62" s="65">
        <f>CHOOSE(PLColumn,IFERROR(GETPIVOTDATA("Sum of "&amp;O$9,'PT-All'!$A$1,"Scenario",O$12,"P&amp;L Item",$B62),0),IFERROR(GETPIVOTDATA("Sum of "&amp;O$9,'PT-All'!$A$1,"Scenario",O$12,"P&amp;L Item",$B62)/O$201,0),TEXT(IFERROR(GETPIVOTDATA("Sum of "&amp;O$9,'PT-All'!$A$1,"Scenario",O$12,"P&amp;L Item",$B62)/O$29,0),"0.00%"))</f>
        <v>0</v>
      </c>
      <c r="P62" s="65">
        <f>CHOOSE(PLColumn,IFERROR(GETPIVOTDATA("Sum of "&amp;P$9,'PT-All'!$A$1,"Scenario",P$12,"P&amp;L Item",$B62),0),IFERROR(GETPIVOTDATA("Sum of "&amp;P$9,'PT-All'!$A$1,"Scenario",P$12,"P&amp;L Item",$B62)/P$201,0),TEXT(IFERROR(GETPIVOTDATA("Sum of "&amp;P$9,'PT-All'!$A$1,"Scenario",P$12,"P&amp;L Item",$B62)/P$29,0),"0.00%"))</f>
        <v>0</v>
      </c>
      <c r="Q62" s="65">
        <f>CHOOSE(PLColumn,IFERROR(GETPIVOTDATA("Sum of "&amp;Q$9,'PT-All'!$A$1,"Scenario",Q$12,"P&amp;L Item",$B62),0),IFERROR(GETPIVOTDATA("Sum of "&amp;Q$9,'PT-All'!$A$1,"Scenario",Q$12,"P&amp;L Item",$B62)/Q$201,0),TEXT(IFERROR(GETPIVOTDATA("Sum of "&amp;Q$9,'PT-All'!$A$1,"Scenario",Q$12,"P&amp;L Item",$B62)/Q$29,0),"0.00%"))</f>
        <v>0</v>
      </c>
      <c r="R62" s="65">
        <f>CHOOSE(PLColumn,IFERROR(GETPIVOTDATA("Sum of "&amp;R$9,'PT-All'!$A$1,"Scenario",R$12,"P&amp;L Item",$B62),0),IFERROR(GETPIVOTDATA("Sum of "&amp;R$9,'PT-All'!$A$1,"Scenario",R$12,"P&amp;L Item",$B62)/R$201,0),TEXT(IFERROR(GETPIVOTDATA("Sum of "&amp;R$9,'PT-All'!$A$1,"Scenario",R$12,"P&amp;L Item",$B62)/R$29,0),"0.00%"))</f>
        <v>0</v>
      </c>
      <c r="S62" s="65">
        <f>CHOOSE(PLColumn,IFERROR(GETPIVOTDATA("Sum of "&amp;S$9,'PT-All'!$A$1,"Scenario",S$12,"P&amp;L Item",$B62),0),IFERROR(GETPIVOTDATA("Sum of "&amp;S$9,'PT-All'!$A$1,"Scenario",S$12,"P&amp;L Item",$B62)/S$201,0),TEXT(IFERROR(GETPIVOTDATA("Sum of "&amp;S$9,'PT-All'!$A$1,"Scenario",S$12,"P&amp;L Item",$B62)/S$29,0),"0.00%"))</f>
        <v>0</v>
      </c>
      <c r="T62" s="65">
        <f>CHOOSE(PLColumn,IFERROR(GETPIVOTDATA("Sum of "&amp;T$9,'PT-All'!$A$1,"Scenario",T$12,"P&amp;L Item",$B62),0),IFERROR(GETPIVOTDATA("Sum of "&amp;T$9,'PT-All'!$A$1,"Scenario",T$12,"P&amp;L Item",$B62)/T$201,0),TEXT(IFERROR(GETPIVOTDATA("Sum of "&amp;T$9,'PT-All'!$A$1,"Scenario",T$12,"P&amp;L Item",$B62)/T$29,0),"0.00%"))</f>
        <v>0</v>
      </c>
      <c r="U62" s="65">
        <f>CHOOSE(PLColumn,IFERROR(GETPIVOTDATA("Sum of "&amp;U$9,'PT-All'!$A$1,"Scenario",U$12,"P&amp;L Item",$B62),0),IFERROR(GETPIVOTDATA("Sum of "&amp;U$9,'PT-All'!$A$1,"Scenario",U$12,"P&amp;L Item",$B62)/U$201,0),TEXT(IFERROR(GETPIVOTDATA("Sum of "&amp;U$9,'PT-All'!$A$1,"Scenario",U$12,"P&amp;L Item",$B62)/U$29,0),"0.00%"))</f>
        <v>0</v>
      </c>
      <c r="V62" s="65">
        <f>CHOOSE(PLColumn,IFERROR(GETPIVOTDATA("Sum of "&amp;V$9,'PT-All'!$A$1,"Scenario",V$12,"P&amp;L Item",$B62),0),IFERROR(GETPIVOTDATA("Sum of "&amp;V$9,'PT-All'!$A$1,"Scenario",V$12,"P&amp;L Item",$B62)/V$201,0),TEXT(IFERROR(GETPIVOTDATA("Sum of "&amp;V$9,'PT-All'!$A$1,"Scenario",V$12,"P&amp;L Item",$B62)/V$29,0),"0.00%"))</f>
        <v>0</v>
      </c>
      <c r="W62" s="65">
        <f>CHOOSE(PLColumn,IFERROR(GETPIVOTDATA("Sum of "&amp;W$9,'PT-All'!$A$1,"Scenario",W$12,"P&amp;L Item",$B62),0),IFERROR(GETPIVOTDATA("Sum of "&amp;W$9,'PT-All'!$A$1,"Scenario",W$12,"P&amp;L Item",$B62)/W$201,0),TEXT(IFERROR(GETPIVOTDATA("Sum of "&amp;W$9,'PT-All'!$A$1,"Scenario",W$12,"P&amp;L Item",$B62)/W$29,0),"0.00%"))</f>
        <v>0</v>
      </c>
      <c r="X62" s="65">
        <f>CHOOSE(PLColumn,IFERROR(GETPIVOTDATA("Sum of "&amp;X$9,'PT-All'!$A$1,"Scenario",X$12,"P&amp;L Item",$B62),0),IFERROR(GETPIVOTDATA("Sum of "&amp;X$9,'PT-All'!$A$1,"Scenario",X$12,"P&amp;L Item",$B62)/X$201,0),TEXT(IFERROR(GETPIVOTDATA("Sum of "&amp;X$9,'PT-All'!$A$1,"Scenario",X$12,"P&amp;L Item",$B62)/X$29,0),"0.00%"))</f>
        <v>0</v>
      </c>
      <c r="Y62" s="65">
        <f>CHOOSE(PLColumn,IFERROR(GETPIVOTDATA("Sum of "&amp;Y$9,'PT-All'!$A$1,"Scenario",Y$12,"P&amp;L Item",$B62),0),IFERROR(GETPIVOTDATA("Sum of "&amp;Y$9,'PT-All'!$A$1,"Scenario",Y$12,"P&amp;L Item",$B62)/Y$201,0),TEXT(IFERROR(GETPIVOTDATA("Sum of "&amp;Y$9,'PT-All'!$A$1,"Scenario",Y$12,"P&amp;L Item",$B62)/Y$29,0),"0.00%"))</f>
        <v>0</v>
      </c>
      <c r="Z62" s="65">
        <f>CHOOSE(PLColumn,IFERROR(GETPIVOTDATA("Sum of "&amp;Z$9,'PT-All'!$A$1,"Scenario",Z$12,"P&amp;L Item",$B62),0),IFERROR(GETPIVOTDATA("Sum of "&amp;Z$9,'PT-All'!$A$1,"Scenario",Z$12,"P&amp;L Item",$B62)/Z$201,0),TEXT(IFERROR(GETPIVOTDATA("Sum of "&amp;Z$9,'PT-All'!$A$1,"Scenario",Z$12,"P&amp;L Item",$B62)/Z$29,0),"0.00%"))</f>
        <v>0</v>
      </c>
      <c r="AA62" s="65">
        <f>CHOOSE(PLColumn,IFERROR(GETPIVOTDATA("Sum of "&amp;AA$9,'PT-All'!$A$1,"Scenario",AA$12,"P&amp;L Item",$B62),0),IFERROR(GETPIVOTDATA("Sum of "&amp;AA$9,'PT-All'!$A$1,"Scenario",AA$12,"P&amp;L Item",$B62)/AA$201,0),TEXT(IFERROR(GETPIVOTDATA("Sum of "&amp;AA$9,'PT-All'!$A$1,"Scenario",AA$12,"P&amp;L Item",$B62)/AA$29,0),"0.00%"))</f>
        <v>0</v>
      </c>
      <c r="AB62" s="65">
        <f>CHOOSE(PLColumn,IFERROR(GETPIVOTDATA("Sum of "&amp;AB$9,'PT-All'!$A$1,"Scenario",AB$12,"P&amp;L Item",$B62),0),IFERROR(GETPIVOTDATA("Sum of "&amp;AB$9,'PT-All'!$A$1,"Scenario",AB$12,"P&amp;L Item",$B62)/AB$201,0),TEXT(IFERROR(GETPIVOTDATA("Sum of "&amp;AB$9,'PT-All'!$A$1,"Scenario",AB$12,"P&amp;L Item",$B62)/AB$29,0),"0.00%"))</f>
        <v>0</v>
      </c>
      <c r="AC62" s="65">
        <f>CHOOSE(PLColumn,IFERROR(GETPIVOTDATA("Sum of "&amp;AC$9,'PT-All'!$A$1,"Scenario",AC$12,"P&amp;L Item",$B62),0),IFERROR(GETPIVOTDATA("Sum of "&amp;AC$9,'PT-All'!$A$1,"Scenario",AC$12,"P&amp;L Item",$B62)/AC$201,0),TEXT(IFERROR(GETPIVOTDATA("Sum of "&amp;AC$9,'PT-All'!$A$1,"Scenario",AC$12,"P&amp;L Item",$B62)/AC$29,0),"0.00%"))</f>
        <v>0</v>
      </c>
      <c r="AD62" s="65">
        <f>CHOOSE(PLColumn,IFERROR(GETPIVOTDATA("Sum of "&amp;AD$9,'PT-All'!$A$1,"Scenario",AD$12,"P&amp;L Item",$B62),0),IFERROR(GETPIVOTDATA("Sum of "&amp;AD$9,'PT-All'!$A$1,"Scenario",AD$12,"P&amp;L Item",$B62)/AD$201,0),TEXT(IFERROR(GETPIVOTDATA("Sum of "&amp;AD$9,'PT-All'!$A$1,"Scenario",AD$12,"P&amp;L Item",$B62)/AD$29,0),"0.00%"))</f>
        <v>0</v>
      </c>
      <c r="AE62" s="65">
        <f>CHOOSE(PLColumn,IFERROR(GETPIVOTDATA("Sum of "&amp;AE$9,'PT-All'!$A$1,"Scenario",AE$12,"P&amp;L Item",$B62),0),IFERROR(GETPIVOTDATA("Sum of "&amp;AE$9,'PT-All'!$A$1,"Scenario",AE$12,"P&amp;L Item",$B62)/AE$201,0),TEXT(IFERROR(GETPIVOTDATA("Sum of "&amp;AE$9,'PT-All'!$A$1,"Scenario",AE$12,"P&amp;L Item",$B62)/AE$29,0),"0.00%"))</f>
        <v>0</v>
      </c>
      <c r="AF62" s="65">
        <f>CHOOSE(PLColumn,IFERROR(GETPIVOTDATA("Sum of "&amp;AF$9,'PT-All'!$A$1,"Scenario",AF$12,"P&amp;L Item",$B62),0),IFERROR(GETPIVOTDATA("Sum of "&amp;AF$9,'PT-All'!$A$1,"Scenario",AF$12,"P&amp;L Item",$B62)/AF$201,0),TEXT(IFERROR(GETPIVOTDATA("Sum of "&amp;AF$9,'PT-All'!$A$1,"Scenario",AF$12,"P&amp;L Item",$B62)/AF$29,0),"0.00%"))</f>
        <v>0</v>
      </c>
      <c r="AG62" s="65">
        <f>CHOOSE(PLColumn,IFERROR(GETPIVOTDATA("Sum of "&amp;AG$9,'PT-All'!$A$1,"Scenario",AG$12,"P&amp;L Item",$B62),0),IFERROR(GETPIVOTDATA("Sum of "&amp;AG$9,'PT-All'!$A$1,"Scenario",AG$12,"P&amp;L Item",$B62)/AG$201,0),TEXT(IFERROR(GETPIVOTDATA("Sum of "&amp;AG$9,'PT-All'!$A$1,"Scenario",AG$12,"P&amp;L Item",$B62)/AG$29,0),"0.00%"))</f>
        <v>0</v>
      </c>
      <c r="AH62" s="65">
        <f>CHOOSE(PLColumn,IFERROR(GETPIVOTDATA("Sum of "&amp;AH$9,'PT-All'!$A$1,"Scenario",AH$12,"P&amp;L Item",$B62),0),IFERROR(GETPIVOTDATA("Sum of "&amp;AH$9,'PT-All'!$A$1,"Scenario",AH$12,"P&amp;L Item",$B62)/AH$201,0),TEXT(IFERROR(GETPIVOTDATA("Sum of "&amp;AH$9,'PT-All'!$A$1,"Scenario",AH$12,"P&amp;L Item",$B62)/AH$29,0),"0.00%"))</f>
        <v>0</v>
      </c>
      <c r="AI62" s="65">
        <f>CHOOSE(PLColumn,IFERROR(GETPIVOTDATA("Sum of "&amp;AI$9,'PT-All'!$A$1,"Scenario",AI$12,"P&amp;L Item",$B62),0),IFERROR(GETPIVOTDATA("Sum of "&amp;AI$9,'PT-All'!$A$1,"Scenario",AI$12,"P&amp;L Item",$B62)/AI$201,0),TEXT(IFERROR(GETPIVOTDATA("Sum of "&amp;AI$9,'PT-All'!$A$1,"Scenario",AI$12,"P&amp;L Item",$B62)/AI$29,0),"0.00%"))</f>
        <v>0</v>
      </c>
      <c r="AJ62" s="65">
        <f>CHOOSE(PLColumn,IFERROR(GETPIVOTDATA("Sum of "&amp;AJ$9,'PT-All'!$A$1,"Scenario",AJ$12,"P&amp;L Item",$B62),0),IFERROR(GETPIVOTDATA("Sum of "&amp;AJ$9,'PT-All'!$A$1,"Scenario",AJ$12,"P&amp;L Item",$B62)/AJ$201,0),TEXT(IFERROR(GETPIVOTDATA("Sum of "&amp;AJ$9,'PT-All'!$A$1,"Scenario",AJ$12,"P&amp;L Item",$B62)/AJ$29,0),"0.00%"))</f>
        <v>0</v>
      </c>
      <c r="AK62" s="65">
        <f>CHOOSE(PLColumn,IFERROR(GETPIVOTDATA("Sum of "&amp;AK$9,'PT-All'!$A$1,"Scenario",AK$12,"P&amp;L Item",$B62),0),IFERROR(GETPIVOTDATA("Sum of "&amp;AK$9,'PT-All'!$A$1,"Scenario",AK$12,"P&amp;L Item",$B62)/AK$201,0),TEXT(IFERROR(GETPIVOTDATA("Sum of "&amp;AK$9,'PT-All'!$A$1,"Scenario",AK$12,"P&amp;L Item",$B62)/AK$29,0),"0.00%"))</f>
        <v>0</v>
      </c>
      <c r="AL62" s="97">
        <f>CHOOSE(PLColumn,IFERROR(GETPIVOTDATA("Sum of "&amp;AL$9,'PT-All'!$A$1,"Scenario",AL$12,"P&amp;L Item",$B62),0),IFERROR(GETPIVOTDATA("Sum of "&amp;AL$9,'PT-All'!$A$1,"Scenario",AL$12,"P&amp;L Item",$B62)/AL$201,0),TEXT(IFERROR(GETPIVOTDATA("Sum of "&amp;AL$9,'PT-All'!$A$1,"Scenario",AL$12,"P&amp;L Item",$B62)/AL$29,0),"0.00%"))</f>
        <v>0</v>
      </c>
      <c r="AM62" s="590"/>
      <c r="AN62" s="108">
        <f ca="1">IF(AN$12="Pro Forma",SUM(OFFSET($B62,0,3*AN$9+1,1,3)),IFERROR(GETPIVOTDATA("Sum of Q"&amp;AN$9+1,'PT-All'!$A$1,"Scenario",AN$12,"P&amp;L Item",$B62),0))</f>
        <v>0</v>
      </c>
      <c r="AO62" s="65">
        <f ca="1">IF(AO$12="Pro Forma",SUM(OFFSET($B62,0,3*AO$9+1,1,3)),IFERROR(GETPIVOTDATA("Sum of Q"&amp;AO$9+1,'PT-All'!$A$1,"Scenario",AO$12,"P&amp;L Item",$B62),0))</f>
        <v>0</v>
      </c>
      <c r="AP62" s="65">
        <f ca="1">IF(AP$12="Pro Forma",SUM(OFFSET($B62,0,3*AP$9+1,1,3)),IFERROR(GETPIVOTDATA("Sum of Q"&amp;AP$9+1,'PT-All'!$A$1,"Scenario",AP$12,"P&amp;L Item",$B62),0))</f>
        <v>0</v>
      </c>
      <c r="AQ62" s="65">
        <f ca="1">IF(AQ$12="Pro Forma",SUM(OFFSET($B62,0,3*AQ$9+1,1,3)),IFERROR(GETPIVOTDATA("Sum of Q"&amp;AQ$9+1,'PT-All'!$A$1,"Scenario",AQ$12,"P&amp;L Item",$B62),0))</f>
        <v>0</v>
      </c>
      <c r="AR62" s="65">
        <f ca="1">IF(AR$12="Pro Forma",SUM(OFFSET($B62,0,3*AR$9+1,1,3)),IFERROR(GETPIVOTDATA("Sum of Q"&amp;AR$9+1,'PT-All'!$A$1,"Scenario",AR$12,"P&amp;L Item",$B62),0))</f>
        <v>0</v>
      </c>
      <c r="AS62" s="65">
        <f ca="1">IF(AS$12="Pro Forma",SUM(OFFSET($B62,0,3*AS$9+1,1,3)),IFERROR(GETPIVOTDATA("Sum of Q"&amp;AS$9+1,'PT-All'!$A$1,"Scenario",AS$12,"P&amp;L Item",$B62),0))</f>
        <v>0</v>
      </c>
      <c r="AT62" s="65">
        <f ca="1">IF(AT$12="Pro Forma",SUM(OFFSET($B62,0,3*AT$9+1,1,3)),IFERROR(GETPIVOTDATA("Sum of Q"&amp;AT$9+1,'PT-All'!$A$1,"Scenario",AT$12,"P&amp;L Item",$B62),0))</f>
        <v>0</v>
      </c>
      <c r="AU62" s="65">
        <f ca="1">IF(AU$12="Pro Forma",SUM(OFFSET($B62,0,3*AU$9+1,1,3)),IFERROR(GETPIVOTDATA("Sum of Q"&amp;AU$9+1,'PT-All'!$A$1,"Scenario",AU$12,"P&amp;L Item",$B62),0))</f>
        <v>0</v>
      </c>
      <c r="AV62" s="65">
        <f ca="1">IF(AV$12="Pro Forma",SUM(OFFSET($B62,0,3*AV$9+1,1,3)),IFERROR(GETPIVOTDATA("Sum of Q"&amp;AV$9+1,'PT-All'!$A$1,"Scenario",AV$12,"P&amp;L Item",$B62),0))</f>
        <v>0</v>
      </c>
      <c r="AW62" s="65">
        <f ca="1">IF(AW$12="Pro Forma",SUM(OFFSET($B62,0,3*AW$9+1,1,3)),IFERROR(GETPIVOTDATA("Sum of Q"&amp;AW$9+1,'PT-All'!$A$1,"Scenario",AW$12,"P&amp;L Item",$B62),0))</f>
        <v>0</v>
      </c>
      <c r="AX62" s="65">
        <f ca="1">IF(AX$12="Pro Forma",SUM(OFFSET($B62,0,3*AX$9+1,1,3)),IFERROR(GETPIVOTDATA("Sum of Q"&amp;AX$9+1,'PT-All'!$A$1,"Scenario",AX$12,"P&amp;L Item",$B62),0))</f>
        <v>0</v>
      </c>
      <c r="AY62" s="97">
        <f ca="1">IF(AY$12="Pro Forma",SUM(OFFSET($B62,0,3*AY$9+1,1,3)),IFERROR(GETPIVOTDATA("Sum of Q"&amp;AY$9+1,'PT-All'!$A$1,"Scenario",AY$12,"P&amp;L Item",$B62),0))</f>
        <v>0</v>
      </c>
      <c r="AZ62" s="590"/>
      <c r="BA62" s="108">
        <f ca="1">IF(BA$12="Pro Forma",SUM(OFFSET($B62,0,12*BA$9+1,1,12)),IFERROR(GETPIVOTDATA("Sum of FY"&amp;BA$9+1,'PT-All'!$A$1,"Scenario",BA$12,"P&amp;L Item",$B62),0))</f>
        <v>0</v>
      </c>
      <c r="BB62" s="65">
        <f ca="1">IF(BB$12="Pro Forma",SUM(OFFSET($B62,0,12*BB$9+1,1,12)),IFERROR(GETPIVOTDATA("Sum of FY"&amp;BB$9+1,'PT-All'!$A$1,"Scenario",BB$12,"P&amp;L Item",$B62),0))</f>
        <v>0</v>
      </c>
      <c r="BC62" s="97">
        <f ca="1">IF(BC$12="Pro Forma",SUM(OFFSET($B62,0,12*BC$9+1,1,12)),IFERROR(GETPIVOTDATA("Sum of FY"&amp;BC$9+1,'PT-All'!$A$1,"Scenario",BC$12,"P&amp;L Item",$B62),0))</f>
        <v>0</v>
      </c>
    </row>
    <row r="63" spans="2:55" x14ac:dyDescent="0.35">
      <c r="B63" s="64" t="s">
        <v>97</v>
      </c>
      <c r="C63" s="65">
        <f>CHOOSE(PLColumn,IFERROR(GETPIVOTDATA("Sum of "&amp;C$9,'PT-All'!$A$1,"Scenario",C$12,"P&amp;L Item",$B63),0),IFERROR(GETPIVOTDATA("Sum of "&amp;C$9,'PT-All'!$A$1,"Scenario",C$12,"P&amp;L Item",$B63)/C$201,0),TEXT(IFERROR(GETPIVOTDATA("Sum of "&amp;C$9,'PT-All'!$A$1,"Scenario",C$12,"P&amp;L Item",$B63)/C$29,0),"0.00%"))</f>
        <v>0</v>
      </c>
      <c r="D63" s="65">
        <f>CHOOSE(PLColumn,IFERROR(GETPIVOTDATA("Sum of "&amp;D$9,'PT-All'!$A$1,"Scenario",D$12,"P&amp;L Item",$B63),0),IFERROR(GETPIVOTDATA("Sum of "&amp;D$9,'PT-All'!$A$1,"Scenario",D$12,"P&amp;L Item",$B63)/D$201,0),TEXT(IFERROR(GETPIVOTDATA("Sum of "&amp;D$9,'PT-All'!$A$1,"Scenario",D$12,"P&amp;L Item",$B63)/D$29,0),"0.00%"))</f>
        <v>0</v>
      </c>
      <c r="E63" s="65">
        <f>CHOOSE(PLColumn,IFERROR(GETPIVOTDATA("Sum of "&amp;E$9,'PT-All'!$A$1,"Scenario",E$12,"P&amp;L Item",$B63),0),IFERROR(GETPIVOTDATA("Sum of "&amp;E$9,'PT-All'!$A$1,"Scenario",E$12,"P&amp;L Item",$B63)/E$201,0),TEXT(IFERROR(GETPIVOTDATA("Sum of "&amp;E$9,'PT-All'!$A$1,"Scenario",E$12,"P&amp;L Item",$B63)/E$29,0),"0.00%"))</f>
        <v>0</v>
      </c>
      <c r="F63" s="65">
        <f>CHOOSE(PLColumn,IFERROR(GETPIVOTDATA("Sum of "&amp;F$9,'PT-All'!$A$1,"Scenario",F$12,"P&amp;L Item",$B63),0),IFERROR(GETPIVOTDATA("Sum of "&amp;F$9,'PT-All'!$A$1,"Scenario",F$12,"P&amp;L Item",$B63)/F$201,0),TEXT(IFERROR(GETPIVOTDATA("Sum of "&amp;F$9,'PT-All'!$A$1,"Scenario",F$12,"P&amp;L Item",$B63)/F$29,0),"0.00%"))</f>
        <v>0</v>
      </c>
      <c r="G63" s="65">
        <f>CHOOSE(PLColumn,IFERROR(GETPIVOTDATA("Sum of "&amp;G$9,'PT-All'!$A$1,"Scenario",G$12,"P&amp;L Item",$B63),0),IFERROR(GETPIVOTDATA("Sum of "&amp;G$9,'PT-All'!$A$1,"Scenario",G$12,"P&amp;L Item",$B63)/G$201,0),TEXT(IFERROR(GETPIVOTDATA("Sum of "&amp;G$9,'PT-All'!$A$1,"Scenario",G$12,"P&amp;L Item",$B63)/G$29,0),"0.00%"))</f>
        <v>0</v>
      </c>
      <c r="H63" s="65">
        <f>CHOOSE(PLColumn,IFERROR(GETPIVOTDATA("Sum of "&amp;H$9,'PT-All'!$A$1,"Scenario",H$12,"P&amp;L Item",$B63),0),IFERROR(GETPIVOTDATA("Sum of "&amp;H$9,'PT-All'!$A$1,"Scenario",H$12,"P&amp;L Item",$B63)/H$201,0),TEXT(IFERROR(GETPIVOTDATA("Sum of "&amp;H$9,'PT-All'!$A$1,"Scenario",H$12,"P&amp;L Item",$B63)/H$29,0),"0.00%"))</f>
        <v>0</v>
      </c>
      <c r="I63" s="65">
        <f>CHOOSE(PLColumn,IFERROR(GETPIVOTDATA("Sum of "&amp;I$9,'PT-All'!$A$1,"Scenario",I$12,"P&amp;L Item",$B63),0),IFERROR(GETPIVOTDATA("Sum of "&amp;I$9,'PT-All'!$A$1,"Scenario",I$12,"P&amp;L Item",$B63)/I$201,0),TEXT(IFERROR(GETPIVOTDATA("Sum of "&amp;I$9,'PT-All'!$A$1,"Scenario",I$12,"P&amp;L Item",$B63)/I$29,0),"0.00%"))</f>
        <v>0</v>
      </c>
      <c r="J63" s="65">
        <f>CHOOSE(PLColumn,IFERROR(GETPIVOTDATA("Sum of "&amp;J$9,'PT-All'!$A$1,"Scenario",J$12,"P&amp;L Item",$B63),0),IFERROR(GETPIVOTDATA("Sum of "&amp;J$9,'PT-All'!$A$1,"Scenario",J$12,"P&amp;L Item",$B63)/J$201,0),TEXT(IFERROR(GETPIVOTDATA("Sum of "&amp;J$9,'PT-All'!$A$1,"Scenario",J$12,"P&amp;L Item",$B63)/J$29,0),"0.00%"))</f>
        <v>0</v>
      </c>
      <c r="K63" s="65">
        <f>CHOOSE(PLColumn,IFERROR(GETPIVOTDATA("Sum of "&amp;K$9,'PT-All'!$A$1,"Scenario",K$12,"P&amp;L Item",$B63),0),IFERROR(GETPIVOTDATA("Sum of "&amp;K$9,'PT-All'!$A$1,"Scenario",K$12,"P&amp;L Item",$B63)/K$201,0),TEXT(IFERROR(GETPIVOTDATA("Sum of "&amp;K$9,'PT-All'!$A$1,"Scenario",K$12,"P&amp;L Item",$B63)/K$29,0),"0.00%"))</f>
        <v>0</v>
      </c>
      <c r="L63" s="65">
        <f>CHOOSE(PLColumn,IFERROR(GETPIVOTDATA("Sum of "&amp;L$9,'PT-All'!$A$1,"Scenario",L$12,"P&amp;L Item",$B63),0),IFERROR(GETPIVOTDATA("Sum of "&amp;L$9,'PT-All'!$A$1,"Scenario",L$12,"P&amp;L Item",$B63)/L$201,0),TEXT(IFERROR(GETPIVOTDATA("Sum of "&amp;L$9,'PT-All'!$A$1,"Scenario",L$12,"P&amp;L Item",$B63)/L$29,0),"0.00%"))</f>
        <v>0</v>
      </c>
      <c r="M63" s="65">
        <f>CHOOSE(PLColumn,IFERROR(GETPIVOTDATA("Sum of "&amp;M$9,'PT-All'!$A$1,"Scenario",M$12,"P&amp;L Item",$B63),0),IFERROR(GETPIVOTDATA("Sum of "&amp;M$9,'PT-All'!$A$1,"Scenario",M$12,"P&amp;L Item",$B63)/M$201,0),TEXT(IFERROR(GETPIVOTDATA("Sum of "&amp;M$9,'PT-All'!$A$1,"Scenario",M$12,"P&amp;L Item",$B63)/M$29,0),"0.00%"))</f>
        <v>0</v>
      </c>
      <c r="N63" s="65">
        <f>CHOOSE(PLColumn,IFERROR(GETPIVOTDATA("Sum of "&amp;N$9,'PT-All'!$A$1,"Scenario",N$12,"P&amp;L Item",$B63),0),IFERROR(GETPIVOTDATA("Sum of "&amp;N$9,'PT-All'!$A$1,"Scenario",N$12,"P&amp;L Item",$B63)/N$201,0),TEXT(IFERROR(GETPIVOTDATA("Sum of "&amp;N$9,'PT-All'!$A$1,"Scenario",N$12,"P&amp;L Item",$B63)/N$29,0),"0.00%"))</f>
        <v>0</v>
      </c>
      <c r="O63" s="65">
        <f>CHOOSE(PLColumn,IFERROR(GETPIVOTDATA("Sum of "&amp;O$9,'PT-All'!$A$1,"Scenario",O$12,"P&amp;L Item",$B63),0),IFERROR(GETPIVOTDATA("Sum of "&amp;O$9,'PT-All'!$A$1,"Scenario",O$12,"P&amp;L Item",$B63)/O$201,0),TEXT(IFERROR(GETPIVOTDATA("Sum of "&amp;O$9,'PT-All'!$A$1,"Scenario",O$12,"P&amp;L Item",$B63)/O$29,0),"0.00%"))</f>
        <v>0</v>
      </c>
      <c r="P63" s="65">
        <f>CHOOSE(PLColumn,IFERROR(GETPIVOTDATA("Sum of "&amp;P$9,'PT-All'!$A$1,"Scenario",P$12,"P&amp;L Item",$B63),0),IFERROR(GETPIVOTDATA("Sum of "&amp;P$9,'PT-All'!$A$1,"Scenario",P$12,"P&amp;L Item",$B63)/P$201,0),TEXT(IFERROR(GETPIVOTDATA("Sum of "&amp;P$9,'PT-All'!$A$1,"Scenario",P$12,"P&amp;L Item",$B63)/P$29,0),"0.00%"))</f>
        <v>0</v>
      </c>
      <c r="Q63" s="65">
        <f>CHOOSE(PLColumn,IFERROR(GETPIVOTDATA("Sum of "&amp;Q$9,'PT-All'!$A$1,"Scenario",Q$12,"P&amp;L Item",$B63),0),IFERROR(GETPIVOTDATA("Sum of "&amp;Q$9,'PT-All'!$A$1,"Scenario",Q$12,"P&amp;L Item",$B63)/Q$201,0),TEXT(IFERROR(GETPIVOTDATA("Sum of "&amp;Q$9,'PT-All'!$A$1,"Scenario",Q$12,"P&amp;L Item",$B63)/Q$29,0),"0.00%"))</f>
        <v>0</v>
      </c>
      <c r="R63" s="65">
        <f>CHOOSE(PLColumn,IFERROR(GETPIVOTDATA("Sum of "&amp;R$9,'PT-All'!$A$1,"Scenario",R$12,"P&amp;L Item",$B63),0),IFERROR(GETPIVOTDATA("Sum of "&amp;R$9,'PT-All'!$A$1,"Scenario",R$12,"P&amp;L Item",$B63)/R$201,0),TEXT(IFERROR(GETPIVOTDATA("Sum of "&amp;R$9,'PT-All'!$A$1,"Scenario",R$12,"P&amp;L Item",$B63)/R$29,0),"0.00%"))</f>
        <v>0</v>
      </c>
      <c r="S63" s="65">
        <f>CHOOSE(PLColumn,IFERROR(GETPIVOTDATA("Sum of "&amp;S$9,'PT-All'!$A$1,"Scenario",S$12,"P&amp;L Item",$B63),0),IFERROR(GETPIVOTDATA("Sum of "&amp;S$9,'PT-All'!$A$1,"Scenario",S$12,"P&amp;L Item",$B63)/S$201,0),TEXT(IFERROR(GETPIVOTDATA("Sum of "&amp;S$9,'PT-All'!$A$1,"Scenario",S$12,"P&amp;L Item",$B63)/S$29,0),"0.00%"))</f>
        <v>0</v>
      </c>
      <c r="T63" s="65">
        <f>CHOOSE(PLColumn,IFERROR(GETPIVOTDATA("Sum of "&amp;T$9,'PT-All'!$A$1,"Scenario",T$12,"P&amp;L Item",$B63),0),IFERROR(GETPIVOTDATA("Sum of "&amp;T$9,'PT-All'!$A$1,"Scenario",T$12,"P&amp;L Item",$B63)/T$201,0),TEXT(IFERROR(GETPIVOTDATA("Sum of "&amp;T$9,'PT-All'!$A$1,"Scenario",T$12,"P&amp;L Item",$B63)/T$29,0),"0.00%"))</f>
        <v>0</v>
      </c>
      <c r="U63" s="65">
        <f>CHOOSE(PLColumn,IFERROR(GETPIVOTDATA("Sum of "&amp;U$9,'PT-All'!$A$1,"Scenario",U$12,"P&amp;L Item",$B63),0),IFERROR(GETPIVOTDATA("Sum of "&amp;U$9,'PT-All'!$A$1,"Scenario",U$12,"P&amp;L Item",$B63)/U$201,0),TEXT(IFERROR(GETPIVOTDATA("Sum of "&amp;U$9,'PT-All'!$A$1,"Scenario",U$12,"P&amp;L Item",$B63)/U$29,0),"0.00%"))</f>
        <v>0</v>
      </c>
      <c r="V63" s="65">
        <f>CHOOSE(PLColumn,IFERROR(GETPIVOTDATA("Sum of "&amp;V$9,'PT-All'!$A$1,"Scenario",V$12,"P&amp;L Item",$B63),0),IFERROR(GETPIVOTDATA("Sum of "&amp;V$9,'PT-All'!$A$1,"Scenario",V$12,"P&amp;L Item",$B63)/V$201,0),TEXT(IFERROR(GETPIVOTDATA("Sum of "&amp;V$9,'PT-All'!$A$1,"Scenario",V$12,"P&amp;L Item",$B63)/V$29,0),"0.00%"))</f>
        <v>0</v>
      </c>
      <c r="W63" s="65">
        <f>CHOOSE(PLColumn,IFERROR(GETPIVOTDATA("Sum of "&amp;W$9,'PT-All'!$A$1,"Scenario",W$12,"P&amp;L Item",$B63),0),IFERROR(GETPIVOTDATA("Sum of "&amp;W$9,'PT-All'!$A$1,"Scenario",W$12,"P&amp;L Item",$B63)/W$201,0),TEXT(IFERROR(GETPIVOTDATA("Sum of "&amp;W$9,'PT-All'!$A$1,"Scenario",W$12,"P&amp;L Item",$B63)/W$29,0),"0.00%"))</f>
        <v>0</v>
      </c>
      <c r="X63" s="65">
        <f>CHOOSE(PLColumn,IFERROR(GETPIVOTDATA("Sum of "&amp;X$9,'PT-All'!$A$1,"Scenario",X$12,"P&amp;L Item",$B63),0),IFERROR(GETPIVOTDATA("Sum of "&amp;X$9,'PT-All'!$A$1,"Scenario",X$12,"P&amp;L Item",$B63)/X$201,0),TEXT(IFERROR(GETPIVOTDATA("Sum of "&amp;X$9,'PT-All'!$A$1,"Scenario",X$12,"P&amp;L Item",$B63)/X$29,0),"0.00%"))</f>
        <v>0</v>
      </c>
      <c r="Y63" s="65">
        <f>CHOOSE(PLColumn,IFERROR(GETPIVOTDATA("Sum of "&amp;Y$9,'PT-All'!$A$1,"Scenario",Y$12,"P&amp;L Item",$B63),0),IFERROR(GETPIVOTDATA("Sum of "&amp;Y$9,'PT-All'!$A$1,"Scenario",Y$12,"P&amp;L Item",$B63)/Y$201,0),TEXT(IFERROR(GETPIVOTDATA("Sum of "&amp;Y$9,'PT-All'!$A$1,"Scenario",Y$12,"P&amp;L Item",$B63)/Y$29,0),"0.00%"))</f>
        <v>0</v>
      </c>
      <c r="Z63" s="65">
        <f>CHOOSE(PLColumn,IFERROR(GETPIVOTDATA("Sum of "&amp;Z$9,'PT-All'!$A$1,"Scenario",Z$12,"P&amp;L Item",$B63),0),IFERROR(GETPIVOTDATA("Sum of "&amp;Z$9,'PT-All'!$A$1,"Scenario",Z$12,"P&amp;L Item",$B63)/Z$201,0),TEXT(IFERROR(GETPIVOTDATA("Sum of "&amp;Z$9,'PT-All'!$A$1,"Scenario",Z$12,"P&amp;L Item",$B63)/Z$29,0),"0.00%"))</f>
        <v>0</v>
      </c>
      <c r="AA63" s="65">
        <f>CHOOSE(PLColumn,IFERROR(GETPIVOTDATA("Sum of "&amp;AA$9,'PT-All'!$A$1,"Scenario",AA$12,"P&amp;L Item",$B63),0),IFERROR(GETPIVOTDATA("Sum of "&amp;AA$9,'PT-All'!$A$1,"Scenario",AA$12,"P&amp;L Item",$B63)/AA$201,0),TEXT(IFERROR(GETPIVOTDATA("Sum of "&amp;AA$9,'PT-All'!$A$1,"Scenario",AA$12,"P&amp;L Item",$B63)/AA$29,0),"0.00%"))</f>
        <v>0</v>
      </c>
      <c r="AB63" s="65">
        <f>CHOOSE(PLColumn,IFERROR(GETPIVOTDATA("Sum of "&amp;AB$9,'PT-All'!$A$1,"Scenario",AB$12,"P&amp;L Item",$B63),0),IFERROR(GETPIVOTDATA("Sum of "&amp;AB$9,'PT-All'!$A$1,"Scenario",AB$12,"P&amp;L Item",$B63)/AB$201,0),TEXT(IFERROR(GETPIVOTDATA("Sum of "&amp;AB$9,'PT-All'!$A$1,"Scenario",AB$12,"P&amp;L Item",$B63)/AB$29,0),"0.00%"))</f>
        <v>0</v>
      </c>
      <c r="AC63" s="65">
        <f>CHOOSE(PLColumn,IFERROR(GETPIVOTDATA("Sum of "&amp;AC$9,'PT-All'!$A$1,"Scenario",AC$12,"P&amp;L Item",$B63),0),IFERROR(GETPIVOTDATA("Sum of "&amp;AC$9,'PT-All'!$A$1,"Scenario",AC$12,"P&amp;L Item",$B63)/AC$201,0),TEXT(IFERROR(GETPIVOTDATA("Sum of "&amp;AC$9,'PT-All'!$A$1,"Scenario",AC$12,"P&amp;L Item",$B63)/AC$29,0),"0.00%"))</f>
        <v>0</v>
      </c>
      <c r="AD63" s="65">
        <f>CHOOSE(PLColumn,IFERROR(GETPIVOTDATA("Sum of "&amp;AD$9,'PT-All'!$A$1,"Scenario",AD$12,"P&amp;L Item",$B63),0),IFERROR(GETPIVOTDATA("Sum of "&amp;AD$9,'PT-All'!$A$1,"Scenario",AD$12,"P&amp;L Item",$B63)/AD$201,0),TEXT(IFERROR(GETPIVOTDATA("Sum of "&amp;AD$9,'PT-All'!$A$1,"Scenario",AD$12,"P&amp;L Item",$B63)/AD$29,0),"0.00%"))</f>
        <v>0</v>
      </c>
      <c r="AE63" s="65">
        <f>CHOOSE(PLColumn,IFERROR(GETPIVOTDATA("Sum of "&amp;AE$9,'PT-All'!$A$1,"Scenario",AE$12,"P&amp;L Item",$B63),0),IFERROR(GETPIVOTDATA("Sum of "&amp;AE$9,'PT-All'!$A$1,"Scenario",AE$12,"P&amp;L Item",$B63)/AE$201,0),TEXT(IFERROR(GETPIVOTDATA("Sum of "&amp;AE$9,'PT-All'!$A$1,"Scenario",AE$12,"P&amp;L Item",$B63)/AE$29,0),"0.00%"))</f>
        <v>0</v>
      </c>
      <c r="AF63" s="65">
        <f>CHOOSE(PLColumn,IFERROR(GETPIVOTDATA("Sum of "&amp;AF$9,'PT-All'!$A$1,"Scenario",AF$12,"P&amp;L Item",$B63),0),IFERROR(GETPIVOTDATA("Sum of "&amp;AF$9,'PT-All'!$A$1,"Scenario",AF$12,"P&amp;L Item",$B63)/AF$201,0),TEXT(IFERROR(GETPIVOTDATA("Sum of "&amp;AF$9,'PT-All'!$A$1,"Scenario",AF$12,"P&amp;L Item",$B63)/AF$29,0),"0.00%"))</f>
        <v>0</v>
      </c>
      <c r="AG63" s="65">
        <f>CHOOSE(PLColumn,IFERROR(GETPIVOTDATA("Sum of "&amp;AG$9,'PT-All'!$A$1,"Scenario",AG$12,"P&amp;L Item",$B63),0),IFERROR(GETPIVOTDATA("Sum of "&amp;AG$9,'PT-All'!$A$1,"Scenario",AG$12,"P&amp;L Item",$B63)/AG$201,0),TEXT(IFERROR(GETPIVOTDATA("Sum of "&amp;AG$9,'PT-All'!$A$1,"Scenario",AG$12,"P&amp;L Item",$B63)/AG$29,0),"0.00%"))</f>
        <v>0</v>
      </c>
      <c r="AH63" s="65">
        <f>CHOOSE(PLColumn,IFERROR(GETPIVOTDATA("Sum of "&amp;AH$9,'PT-All'!$A$1,"Scenario",AH$12,"P&amp;L Item",$B63),0),IFERROR(GETPIVOTDATA("Sum of "&amp;AH$9,'PT-All'!$A$1,"Scenario",AH$12,"P&amp;L Item",$B63)/AH$201,0),TEXT(IFERROR(GETPIVOTDATA("Sum of "&amp;AH$9,'PT-All'!$A$1,"Scenario",AH$12,"P&amp;L Item",$B63)/AH$29,0),"0.00%"))</f>
        <v>0</v>
      </c>
      <c r="AI63" s="65">
        <f>CHOOSE(PLColumn,IFERROR(GETPIVOTDATA("Sum of "&amp;AI$9,'PT-All'!$A$1,"Scenario",AI$12,"P&amp;L Item",$B63),0),IFERROR(GETPIVOTDATA("Sum of "&amp;AI$9,'PT-All'!$A$1,"Scenario",AI$12,"P&amp;L Item",$B63)/AI$201,0),TEXT(IFERROR(GETPIVOTDATA("Sum of "&amp;AI$9,'PT-All'!$A$1,"Scenario",AI$12,"P&amp;L Item",$B63)/AI$29,0),"0.00%"))</f>
        <v>0</v>
      </c>
      <c r="AJ63" s="65">
        <f>CHOOSE(PLColumn,IFERROR(GETPIVOTDATA("Sum of "&amp;AJ$9,'PT-All'!$A$1,"Scenario",AJ$12,"P&amp;L Item",$B63),0),IFERROR(GETPIVOTDATA("Sum of "&amp;AJ$9,'PT-All'!$A$1,"Scenario",AJ$12,"P&amp;L Item",$B63)/AJ$201,0),TEXT(IFERROR(GETPIVOTDATA("Sum of "&amp;AJ$9,'PT-All'!$A$1,"Scenario",AJ$12,"P&amp;L Item",$B63)/AJ$29,0),"0.00%"))</f>
        <v>0</v>
      </c>
      <c r="AK63" s="65">
        <f>CHOOSE(PLColumn,IFERROR(GETPIVOTDATA("Sum of "&amp;AK$9,'PT-All'!$A$1,"Scenario",AK$12,"P&amp;L Item",$B63),0),IFERROR(GETPIVOTDATA("Sum of "&amp;AK$9,'PT-All'!$A$1,"Scenario",AK$12,"P&amp;L Item",$B63)/AK$201,0),TEXT(IFERROR(GETPIVOTDATA("Sum of "&amp;AK$9,'PT-All'!$A$1,"Scenario",AK$12,"P&amp;L Item",$B63)/AK$29,0),"0.00%"))</f>
        <v>0</v>
      </c>
      <c r="AL63" s="97">
        <f>CHOOSE(PLColumn,IFERROR(GETPIVOTDATA("Sum of "&amp;AL$9,'PT-All'!$A$1,"Scenario",AL$12,"P&amp;L Item",$B63),0),IFERROR(GETPIVOTDATA("Sum of "&amp;AL$9,'PT-All'!$A$1,"Scenario",AL$12,"P&amp;L Item",$B63)/AL$201,0),TEXT(IFERROR(GETPIVOTDATA("Sum of "&amp;AL$9,'PT-All'!$A$1,"Scenario",AL$12,"P&amp;L Item",$B63)/AL$29,0),"0.00%"))</f>
        <v>0</v>
      </c>
      <c r="AM63" s="590"/>
      <c r="AN63" s="108">
        <f ca="1">IF(AN$12="Pro Forma",SUM(OFFSET($B63,0,3*AN$9+1,1,3)),IFERROR(GETPIVOTDATA("Sum of Q"&amp;AN$9+1,'PT-All'!$A$1,"Scenario",AN$12,"P&amp;L Item",$B63),0))</f>
        <v>0</v>
      </c>
      <c r="AO63" s="65">
        <f ca="1">IF(AO$12="Pro Forma",SUM(OFFSET($B63,0,3*AO$9+1,1,3)),IFERROR(GETPIVOTDATA("Sum of Q"&amp;AO$9+1,'PT-All'!$A$1,"Scenario",AO$12,"P&amp;L Item",$B63),0))</f>
        <v>0</v>
      </c>
      <c r="AP63" s="65">
        <f ca="1">IF(AP$12="Pro Forma",SUM(OFFSET($B63,0,3*AP$9+1,1,3)),IFERROR(GETPIVOTDATA("Sum of Q"&amp;AP$9+1,'PT-All'!$A$1,"Scenario",AP$12,"P&amp;L Item",$B63),0))</f>
        <v>0</v>
      </c>
      <c r="AQ63" s="65">
        <f ca="1">IF(AQ$12="Pro Forma",SUM(OFFSET($B63,0,3*AQ$9+1,1,3)),IFERROR(GETPIVOTDATA("Sum of Q"&amp;AQ$9+1,'PT-All'!$A$1,"Scenario",AQ$12,"P&amp;L Item",$B63),0))</f>
        <v>0</v>
      </c>
      <c r="AR63" s="65">
        <f ca="1">IF(AR$12="Pro Forma",SUM(OFFSET($B63,0,3*AR$9+1,1,3)),IFERROR(GETPIVOTDATA("Sum of Q"&amp;AR$9+1,'PT-All'!$A$1,"Scenario",AR$12,"P&amp;L Item",$B63),0))</f>
        <v>0</v>
      </c>
      <c r="AS63" s="65">
        <f ca="1">IF(AS$12="Pro Forma",SUM(OFFSET($B63,0,3*AS$9+1,1,3)),IFERROR(GETPIVOTDATA("Sum of Q"&amp;AS$9+1,'PT-All'!$A$1,"Scenario",AS$12,"P&amp;L Item",$B63),0))</f>
        <v>0</v>
      </c>
      <c r="AT63" s="65">
        <f ca="1">IF(AT$12="Pro Forma",SUM(OFFSET($B63,0,3*AT$9+1,1,3)),IFERROR(GETPIVOTDATA("Sum of Q"&amp;AT$9+1,'PT-All'!$A$1,"Scenario",AT$12,"P&amp;L Item",$B63),0))</f>
        <v>0</v>
      </c>
      <c r="AU63" s="65">
        <f ca="1">IF(AU$12="Pro Forma",SUM(OFFSET($B63,0,3*AU$9+1,1,3)),IFERROR(GETPIVOTDATA("Sum of Q"&amp;AU$9+1,'PT-All'!$A$1,"Scenario",AU$12,"P&amp;L Item",$B63),0))</f>
        <v>0</v>
      </c>
      <c r="AV63" s="65">
        <f ca="1">IF(AV$12="Pro Forma",SUM(OFFSET($B63,0,3*AV$9+1,1,3)),IFERROR(GETPIVOTDATA("Sum of Q"&amp;AV$9+1,'PT-All'!$A$1,"Scenario",AV$12,"P&amp;L Item",$B63),0))</f>
        <v>0</v>
      </c>
      <c r="AW63" s="65">
        <f ca="1">IF(AW$12="Pro Forma",SUM(OFFSET($B63,0,3*AW$9+1,1,3)),IFERROR(GETPIVOTDATA("Sum of Q"&amp;AW$9+1,'PT-All'!$A$1,"Scenario",AW$12,"P&amp;L Item",$B63),0))</f>
        <v>0</v>
      </c>
      <c r="AX63" s="65">
        <f ca="1">IF(AX$12="Pro Forma",SUM(OFFSET($B63,0,3*AX$9+1,1,3)),IFERROR(GETPIVOTDATA("Sum of Q"&amp;AX$9+1,'PT-All'!$A$1,"Scenario",AX$12,"P&amp;L Item",$B63),0))</f>
        <v>0</v>
      </c>
      <c r="AY63" s="97">
        <f ca="1">IF(AY$12="Pro Forma",SUM(OFFSET($B63,0,3*AY$9+1,1,3)),IFERROR(GETPIVOTDATA("Sum of Q"&amp;AY$9+1,'PT-All'!$A$1,"Scenario",AY$12,"P&amp;L Item",$B63),0))</f>
        <v>0</v>
      </c>
      <c r="AZ63" s="590"/>
      <c r="BA63" s="108">
        <f ca="1">IF(BA$12="Pro Forma",SUM(OFFSET($B63,0,12*BA$9+1,1,12)),IFERROR(GETPIVOTDATA("Sum of FY"&amp;BA$9+1,'PT-All'!$A$1,"Scenario",BA$12,"P&amp;L Item",$B63),0))</f>
        <v>0</v>
      </c>
      <c r="BB63" s="65">
        <f ca="1">IF(BB$12="Pro Forma",SUM(OFFSET($B63,0,12*BB$9+1,1,12)),IFERROR(GETPIVOTDATA("Sum of FY"&amp;BB$9+1,'PT-All'!$A$1,"Scenario",BB$12,"P&amp;L Item",$B63),0))</f>
        <v>0</v>
      </c>
      <c r="BC63" s="97">
        <f ca="1">IF(BC$12="Pro Forma",SUM(OFFSET($B63,0,12*BC$9+1,1,12)),IFERROR(GETPIVOTDATA("Sum of FY"&amp;BC$9+1,'PT-All'!$A$1,"Scenario",BC$12,"P&amp;L Item",$B63),0))</f>
        <v>0</v>
      </c>
    </row>
    <row r="64" spans="2:55" x14ac:dyDescent="0.35">
      <c r="B64" s="64" t="s">
        <v>98</v>
      </c>
      <c r="C64" s="65">
        <f>CHOOSE(PLColumn,IFERROR(GETPIVOTDATA("Sum of "&amp;C$9,'PT-All'!$A$1,"Scenario",C$12,"P&amp;L Item",$B64),0),IFERROR(GETPIVOTDATA("Sum of "&amp;C$9,'PT-All'!$A$1,"Scenario",C$12,"P&amp;L Item",$B64)/C$201,0),TEXT(IFERROR(GETPIVOTDATA("Sum of "&amp;C$9,'PT-All'!$A$1,"Scenario",C$12,"P&amp;L Item",$B64)/C$29,0),"0.00%"))</f>
        <v>0</v>
      </c>
      <c r="D64" s="65">
        <f>CHOOSE(PLColumn,IFERROR(GETPIVOTDATA("Sum of "&amp;D$9,'PT-All'!$A$1,"Scenario",D$12,"P&amp;L Item",$B64),0),IFERROR(GETPIVOTDATA("Sum of "&amp;D$9,'PT-All'!$A$1,"Scenario",D$12,"P&amp;L Item",$B64)/D$201,0),TEXT(IFERROR(GETPIVOTDATA("Sum of "&amp;D$9,'PT-All'!$A$1,"Scenario",D$12,"P&amp;L Item",$B64)/D$29,0),"0.00%"))</f>
        <v>0</v>
      </c>
      <c r="E64" s="65">
        <f>CHOOSE(PLColumn,IFERROR(GETPIVOTDATA("Sum of "&amp;E$9,'PT-All'!$A$1,"Scenario",E$12,"P&amp;L Item",$B64),0),IFERROR(GETPIVOTDATA("Sum of "&amp;E$9,'PT-All'!$A$1,"Scenario",E$12,"P&amp;L Item",$B64)/E$201,0),TEXT(IFERROR(GETPIVOTDATA("Sum of "&amp;E$9,'PT-All'!$A$1,"Scenario",E$12,"P&amp;L Item",$B64)/E$29,0),"0.00%"))</f>
        <v>0</v>
      </c>
      <c r="F64" s="65">
        <f>CHOOSE(PLColumn,IFERROR(GETPIVOTDATA("Sum of "&amp;F$9,'PT-All'!$A$1,"Scenario",F$12,"P&amp;L Item",$B64),0),IFERROR(GETPIVOTDATA("Sum of "&amp;F$9,'PT-All'!$A$1,"Scenario",F$12,"P&amp;L Item",$B64)/F$201,0),TEXT(IFERROR(GETPIVOTDATA("Sum of "&amp;F$9,'PT-All'!$A$1,"Scenario",F$12,"P&amp;L Item",$B64)/F$29,0),"0.00%"))</f>
        <v>0</v>
      </c>
      <c r="G64" s="65">
        <f>CHOOSE(PLColumn,IFERROR(GETPIVOTDATA("Sum of "&amp;G$9,'PT-All'!$A$1,"Scenario",G$12,"P&amp;L Item",$B64),0),IFERROR(GETPIVOTDATA("Sum of "&amp;G$9,'PT-All'!$A$1,"Scenario",G$12,"P&amp;L Item",$B64)/G$201,0),TEXT(IFERROR(GETPIVOTDATA("Sum of "&amp;G$9,'PT-All'!$A$1,"Scenario",G$12,"P&amp;L Item",$B64)/G$29,0),"0.00%"))</f>
        <v>0</v>
      </c>
      <c r="H64" s="65">
        <f>CHOOSE(PLColumn,IFERROR(GETPIVOTDATA("Sum of "&amp;H$9,'PT-All'!$A$1,"Scenario",H$12,"P&amp;L Item",$B64),0),IFERROR(GETPIVOTDATA("Sum of "&amp;H$9,'PT-All'!$A$1,"Scenario",H$12,"P&amp;L Item",$B64)/H$201,0),TEXT(IFERROR(GETPIVOTDATA("Sum of "&amp;H$9,'PT-All'!$A$1,"Scenario",H$12,"P&amp;L Item",$B64)/H$29,0),"0.00%"))</f>
        <v>0</v>
      </c>
      <c r="I64" s="65">
        <f>CHOOSE(PLColumn,IFERROR(GETPIVOTDATA("Sum of "&amp;I$9,'PT-All'!$A$1,"Scenario",I$12,"P&amp;L Item",$B64),0),IFERROR(GETPIVOTDATA("Sum of "&amp;I$9,'PT-All'!$A$1,"Scenario",I$12,"P&amp;L Item",$B64)/I$201,0),TEXT(IFERROR(GETPIVOTDATA("Sum of "&amp;I$9,'PT-All'!$A$1,"Scenario",I$12,"P&amp;L Item",$B64)/I$29,0),"0.00%"))</f>
        <v>0</v>
      </c>
      <c r="J64" s="65">
        <f>CHOOSE(PLColumn,IFERROR(GETPIVOTDATA("Sum of "&amp;J$9,'PT-All'!$A$1,"Scenario",J$12,"P&amp;L Item",$B64),0),IFERROR(GETPIVOTDATA("Sum of "&amp;J$9,'PT-All'!$A$1,"Scenario",J$12,"P&amp;L Item",$B64)/J$201,0),TEXT(IFERROR(GETPIVOTDATA("Sum of "&amp;J$9,'PT-All'!$A$1,"Scenario",J$12,"P&amp;L Item",$B64)/J$29,0),"0.00%"))</f>
        <v>0</v>
      </c>
      <c r="K64" s="65">
        <f>CHOOSE(PLColumn,IFERROR(GETPIVOTDATA("Sum of "&amp;K$9,'PT-All'!$A$1,"Scenario",K$12,"P&amp;L Item",$B64),0),IFERROR(GETPIVOTDATA("Sum of "&amp;K$9,'PT-All'!$A$1,"Scenario",K$12,"P&amp;L Item",$B64)/K$201,0),TEXT(IFERROR(GETPIVOTDATA("Sum of "&amp;K$9,'PT-All'!$A$1,"Scenario",K$12,"P&amp;L Item",$B64)/K$29,0),"0.00%"))</f>
        <v>0</v>
      </c>
      <c r="L64" s="65">
        <f>CHOOSE(PLColumn,IFERROR(GETPIVOTDATA("Sum of "&amp;L$9,'PT-All'!$A$1,"Scenario",L$12,"P&amp;L Item",$B64),0),IFERROR(GETPIVOTDATA("Sum of "&amp;L$9,'PT-All'!$A$1,"Scenario",L$12,"P&amp;L Item",$B64)/L$201,0),TEXT(IFERROR(GETPIVOTDATA("Sum of "&amp;L$9,'PT-All'!$A$1,"Scenario",L$12,"P&amp;L Item",$B64)/L$29,0),"0.00%"))</f>
        <v>0</v>
      </c>
      <c r="M64" s="65">
        <f>CHOOSE(PLColumn,IFERROR(GETPIVOTDATA("Sum of "&amp;M$9,'PT-All'!$A$1,"Scenario",M$12,"P&amp;L Item",$B64),0),IFERROR(GETPIVOTDATA("Sum of "&amp;M$9,'PT-All'!$A$1,"Scenario",M$12,"P&amp;L Item",$B64)/M$201,0),TEXT(IFERROR(GETPIVOTDATA("Sum of "&amp;M$9,'PT-All'!$A$1,"Scenario",M$12,"P&amp;L Item",$B64)/M$29,0),"0.00%"))</f>
        <v>0</v>
      </c>
      <c r="N64" s="65">
        <f>CHOOSE(PLColumn,IFERROR(GETPIVOTDATA("Sum of "&amp;N$9,'PT-All'!$A$1,"Scenario",N$12,"P&amp;L Item",$B64),0),IFERROR(GETPIVOTDATA("Sum of "&amp;N$9,'PT-All'!$A$1,"Scenario",N$12,"P&amp;L Item",$B64)/N$201,0),TEXT(IFERROR(GETPIVOTDATA("Sum of "&amp;N$9,'PT-All'!$A$1,"Scenario",N$12,"P&amp;L Item",$B64)/N$29,0),"0.00%"))</f>
        <v>0</v>
      </c>
      <c r="O64" s="65">
        <f>CHOOSE(PLColumn,IFERROR(GETPIVOTDATA("Sum of "&amp;O$9,'PT-All'!$A$1,"Scenario",O$12,"P&amp;L Item",$B64),0),IFERROR(GETPIVOTDATA("Sum of "&amp;O$9,'PT-All'!$A$1,"Scenario",O$12,"P&amp;L Item",$B64)/O$201,0),TEXT(IFERROR(GETPIVOTDATA("Sum of "&amp;O$9,'PT-All'!$A$1,"Scenario",O$12,"P&amp;L Item",$B64)/O$29,0),"0.00%"))</f>
        <v>0</v>
      </c>
      <c r="P64" s="65">
        <f>CHOOSE(PLColumn,IFERROR(GETPIVOTDATA("Sum of "&amp;P$9,'PT-All'!$A$1,"Scenario",P$12,"P&amp;L Item",$B64),0),IFERROR(GETPIVOTDATA("Sum of "&amp;P$9,'PT-All'!$A$1,"Scenario",P$12,"P&amp;L Item",$B64)/P$201,0),TEXT(IFERROR(GETPIVOTDATA("Sum of "&amp;P$9,'PT-All'!$A$1,"Scenario",P$12,"P&amp;L Item",$B64)/P$29,0),"0.00%"))</f>
        <v>0</v>
      </c>
      <c r="Q64" s="65">
        <f>CHOOSE(PLColumn,IFERROR(GETPIVOTDATA("Sum of "&amp;Q$9,'PT-All'!$A$1,"Scenario",Q$12,"P&amp;L Item",$B64),0),IFERROR(GETPIVOTDATA("Sum of "&amp;Q$9,'PT-All'!$A$1,"Scenario",Q$12,"P&amp;L Item",$B64)/Q$201,0),TEXT(IFERROR(GETPIVOTDATA("Sum of "&amp;Q$9,'PT-All'!$A$1,"Scenario",Q$12,"P&amp;L Item",$B64)/Q$29,0),"0.00%"))</f>
        <v>0</v>
      </c>
      <c r="R64" s="65">
        <f>CHOOSE(PLColumn,IFERROR(GETPIVOTDATA("Sum of "&amp;R$9,'PT-All'!$A$1,"Scenario",R$12,"P&amp;L Item",$B64),0),IFERROR(GETPIVOTDATA("Sum of "&amp;R$9,'PT-All'!$A$1,"Scenario",R$12,"P&amp;L Item",$B64)/R$201,0),TEXT(IFERROR(GETPIVOTDATA("Sum of "&amp;R$9,'PT-All'!$A$1,"Scenario",R$12,"P&amp;L Item",$B64)/R$29,0),"0.00%"))</f>
        <v>0</v>
      </c>
      <c r="S64" s="65">
        <f>CHOOSE(PLColumn,IFERROR(GETPIVOTDATA("Sum of "&amp;S$9,'PT-All'!$A$1,"Scenario",S$12,"P&amp;L Item",$B64),0),IFERROR(GETPIVOTDATA("Sum of "&amp;S$9,'PT-All'!$A$1,"Scenario",S$12,"P&amp;L Item",$B64)/S$201,0),TEXT(IFERROR(GETPIVOTDATA("Sum of "&amp;S$9,'PT-All'!$A$1,"Scenario",S$12,"P&amp;L Item",$B64)/S$29,0),"0.00%"))</f>
        <v>0</v>
      </c>
      <c r="T64" s="65">
        <f>CHOOSE(PLColumn,IFERROR(GETPIVOTDATA("Sum of "&amp;T$9,'PT-All'!$A$1,"Scenario",T$12,"P&amp;L Item",$B64),0),IFERROR(GETPIVOTDATA("Sum of "&amp;T$9,'PT-All'!$A$1,"Scenario",T$12,"P&amp;L Item",$B64)/T$201,0),TEXT(IFERROR(GETPIVOTDATA("Sum of "&amp;T$9,'PT-All'!$A$1,"Scenario",T$12,"P&amp;L Item",$B64)/T$29,0),"0.00%"))</f>
        <v>0</v>
      </c>
      <c r="U64" s="65">
        <f>CHOOSE(PLColumn,IFERROR(GETPIVOTDATA("Sum of "&amp;U$9,'PT-All'!$A$1,"Scenario",U$12,"P&amp;L Item",$B64),0),IFERROR(GETPIVOTDATA("Sum of "&amp;U$9,'PT-All'!$A$1,"Scenario",U$12,"P&amp;L Item",$B64)/U$201,0),TEXT(IFERROR(GETPIVOTDATA("Sum of "&amp;U$9,'PT-All'!$A$1,"Scenario",U$12,"P&amp;L Item",$B64)/U$29,0),"0.00%"))</f>
        <v>0</v>
      </c>
      <c r="V64" s="65">
        <f>CHOOSE(PLColumn,IFERROR(GETPIVOTDATA("Sum of "&amp;V$9,'PT-All'!$A$1,"Scenario",V$12,"P&amp;L Item",$B64),0),IFERROR(GETPIVOTDATA("Sum of "&amp;V$9,'PT-All'!$A$1,"Scenario",V$12,"P&amp;L Item",$B64)/V$201,0),TEXT(IFERROR(GETPIVOTDATA("Sum of "&amp;V$9,'PT-All'!$A$1,"Scenario",V$12,"P&amp;L Item",$B64)/V$29,0),"0.00%"))</f>
        <v>0</v>
      </c>
      <c r="W64" s="65">
        <f>CHOOSE(PLColumn,IFERROR(GETPIVOTDATA("Sum of "&amp;W$9,'PT-All'!$A$1,"Scenario",W$12,"P&amp;L Item",$B64),0),IFERROR(GETPIVOTDATA("Sum of "&amp;W$9,'PT-All'!$A$1,"Scenario",W$12,"P&amp;L Item",$B64)/W$201,0),TEXT(IFERROR(GETPIVOTDATA("Sum of "&amp;W$9,'PT-All'!$A$1,"Scenario",W$12,"P&amp;L Item",$B64)/W$29,0),"0.00%"))</f>
        <v>0</v>
      </c>
      <c r="X64" s="65">
        <f>CHOOSE(PLColumn,IFERROR(GETPIVOTDATA("Sum of "&amp;X$9,'PT-All'!$A$1,"Scenario",X$12,"P&amp;L Item",$B64),0),IFERROR(GETPIVOTDATA("Sum of "&amp;X$9,'PT-All'!$A$1,"Scenario",X$12,"P&amp;L Item",$B64)/X$201,0),TEXT(IFERROR(GETPIVOTDATA("Sum of "&amp;X$9,'PT-All'!$A$1,"Scenario",X$12,"P&amp;L Item",$B64)/X$29,0),"0.00%"))</f>
        <v>0</v>
      </c>
      <c r="Y64" s="65">
        <f>CHOOSE(PLColumn,IFERROR(GETPIVOTDATA("Sum of "&amp;Y$9,'PT-All'!$A$1,"Scenario",Y$12,"P&amp;L Item",$B64),0),IFERROR(GETPIVOTDATA("Sum of "&amp;Y$9,'PT-All'!$A$1,"Scenario",Y$12,"P&amp;L Item",$B64)/Y$201,0),TEXT(IFERROR(GETPIVOTDATA("Sum of "&amp;Y$9,'PT-All'!$A$1,"Scenario",Y$12,"P&amp;L Item",$B64)/Y$29,0),"0.00%"))</f>
        <v>0</v>
      </c>
      <c r="Z64" s="65">
        <f>CHOOSE(PLColumn,IFERROR(GETPIVOTDATA("Sum of "&amp;Z$9,'PT-All'!$A$1,"Scenario",Z$12,"P&amp;L Item",$B64),0),IFERROR(GETPIVOTDATA("Sum of "&amp;Z$9,'PT-All'!$A$1,"Scenario",Z$12,"P&amp;L Item",$B64)/Z$201,0),TEXT(IFERROR(GETPIVOTDATA("Sum of "&amp;Z$9,'PT-All'!$A$1,"Scenario",Z$12,"P&amp;L Item",$B64)/Z$29,0),"0.00%"))</f>
        <v>0</v>
      </c>
      <c r="AA64" s="65">
        <f>CHOOSE(PLColumn,IFERROR(GETPIVOTDATA("Sum of "&amp;AA$9,'PT-All'!$A$1,"Scenario",AA$12,"P&amp;L Item",$B64),0),IFERROR(GETPIVOTDATA("Sum of "&amp;AA$9,'PT-All'!$A$1,"Scenario",AA$12,"P&amp;L Item",$B64)/AA$201,0),TEXT(IFERROR(GETPIVOTDATA("Sum of "&amp;AA$9,'PT-All'!$A$1,"Scenario",AA$12,"P&amp;L Item",$B64)/AA$29,0),"0.00%"))</f>
        <v>0</v>
      </c>
      <c r="AB64" s="65">
        <f>CHOOSE(PLColumn,IFERROR(GETPIVOTDATA("Sum of "&amp;AB$9,'PT-All'!$A$1,"Scenario",AB$12,"P&amp;L Item",$B64),0),IFERROR(GETPIVOTDATA("Sum of "&amp;AB$9,'PT-All'!$A$1,"Scenario",AB$12,"P&amp;L Item",$B64)/AB$201,0),TEXT(IFERROR(GETPIVOTDATA("Sum of "&amp;AB$9,'PT-All'!$A$1,"Scenario",AB$12,"P&amp;L Item",$B64)/AB$29,0),"0.00%"))</f>
        <v>0</v>
      </c>
      <c r="AC64" s="65">
        <f>CHOOSE(PLColumn,IFERROR(GETPIVOTDATA("Sum of "&amp;AC$9,'PT-All'!$A$1,"Scenario",AC$12,"P&amp;L Item",$B64),0),IFERROR(GETPIVOTDATA("Sum of "&amp;AC$9,'PT-All'!$A$1,"Scenario",AC$12,"P&amp;L Item",$B64)/AC$201,0),TEXT(IFERROR(GETPIVOTDATA("Sum of "&amp;AC$9,'PT-All'!$A$1,"Scenario",AC$12,"P&amp;L Item",$B64)/AC$29,0),"0.00%"))</f>
        <v>0</v>
      </c>
      <c r="AD64" s="65">
        <f>CHOOSE(PLColumn,IFERROR(GETPIVOTDATA("Sum of "&amp;AD$9,'PT-All'!$A$1,"Scenario",AD$12,"P&amp;L Item",$B64),0),IFERROR(GETPIVOTDATA("Sum of "&amp;AD$9,'PT-All'!$A$1,"Scenario",AD$12,"P&amp;L Item",$B64)/AD$201,0),TEXT(IFERROR(GETPIVOTDATA("Sum of "&amp;AD$9,'PT-All'!$A$1,"Scenario",AD$12,"P&amp;L Item",$B64)/AD$29,0),"0.00%"))</f>
        <v>0</v>
      </c>
      <c r="AE64" s="65">
        <f>CHOOSE(PLColumn,IFERROR(GETPIVOTDATA("Sum of "&amp;AE$9,'PT-All'!$A$1,"Scenario",AE$12,"P&amp;L Item",$B64),0),IFERROR(GETPIVOTDATA("Sum of "&amp;AE$9,'PT-All'!$A$1,"Scenario",AE$12,"P&amp;L Item",$B64)/AE$201,0),TEXT(IFERROR(GETPIVOTDATA("Sum of "&amp;AE$9,'PT-All'!$A$1,"Scenario",AE$12,"P&amp;L Item",$B64)/AE$29,0),"0.00%"))</f>
        <v>0</v>
      </c>
      <c r="AF64" s="65">
        <f>CHOOSE(PLColumn,IFERROR(GETPIVOTDATA("Sum of "&amp;AF$9,'PT-All'!$A$1,"Scenario",AF$12,"P&amp;L Item",$B64),0),IFERROR(GETPIVOTDATA("Sum of "&amp;AF$9,'PT-All'!$A$1,"Scenario",AF$12,"P&amp;L Item",$B64)/AF$201,0),TEXT(IFERROR(GETPIVOTDATA("Sum of "&amp;AF$9,'PT-All'!$A$1,"Scenario",AF$12,"P&amp;L Item",$B64)/AF$29,0),"0.00%"))</f>
        <v>0</v>
      </c>
      <c r="AG64" s="65">
        <f>CHOOSE(PLColumn,IFERROR(GETPIVOTDATA("Sum of "&amp;AG$9,'PT-All'!$A$1,"Scenario",AG$12,"P&amp;L Item",$B64),0),IFERROR(GETPIVOTDATA("Sum of "&amp;AG$9,'PT-All'!$A$1,"Scenario",AG$12,"P&amp;L Item",$B64)/AG$201,0),TEXT(IFERROR(GETPIVOTDATA("Sum of "&amp;AG$9,'PT-All'!$A$1,"Scenario",AG$12,"P&amp;L Item",$B64)/AG$29,0),"0.00%"))</f>
        <v>0</v>
      </c>
      <c r="AH64" s="65">
        <f>CHOOSE(PLColumn,IFERROR(GETPIVOTDATA("Sum of "&amp;AH$9,'PT-All'!$A$1,"Scenario",AH$12,"P&amp;L Item",$B64),0),IFERROR(GETPIVOTDATA("Sum of "&amp;AH$9,'PT-All'!$A$1,"Scenario",AH$12,"P&amp;L Item",$B64)/AH$201,0),TEXT(IFERROR(GETPIVOTDATA("Sum of "&amp;AH$9,'PT-All'!$A$1,"Scenario",AH$12,"P&amp;L Item",$B64)/AH$29,0),"0.00%"))</f>
        <v>0</v>
      </c>
      <c r="AI64" s="65">
        <f>CHOOSE(PLColumn,IFERROR(GETPIVOTDATA("Sum of "&amp;AI$9,'PT-All'!$A$1,"Scenario",AI$12,"P&amp;L Item",$B64),0),IFERROR(GETPIVOTDATA("Sum of "&amp;AI$9,'PT-All'!$A$1,"Scenario",AI$12,"P&amp;L Item",$B64)/AI$201,0),TEXT(IFERROR(GETPIVOTDATA("Sum of "&amp;AI$9,'PT-All'!$A$1,"Scenario",AI$12,"P&amp;L Item",$B64)/AI$29,0),"0.00%"))</f>
        <v>0</v>
      </c>
      <c r="AJ64" s="65">
        <f>CHOOSE(PLColumn,IFERROR(GETPIVOTDATA("Sum of "&amp;AJ$9,'PT-All'!$A$1,"Scenario",AJ$12,"P&amp;L Item",$B64),0),IFERROR(GETPIVOTDATA("Sum of "&amp;AJ$9,'PT-All'!$A$1,"Scenario",AJ$12,"P&amp;L Item",$B64)/AJ$201,0),TEXT(IFERROR(GETPIVOTDATA("Sum of "&amp;AJ$9,'PT-All'!$A$1,"Scenario",AJ$12,"P&amp;L Item",$B64)/AJ$29,0),"0.00%"))</f>
        <v>0</v>
      </c>
      <c r="AK64" s="65">
        <f>CHOOSE(PLColumn,IFERROR(GETPIVOTDATA("Sum of "&amp;AK$9,'PT-All'!$A$1,"Scenario",AK$12,"P&amp;L Item",$B64),0),IFERROR(GETPIVOTDATA("Sum of "&amp;AK$9,'PT-All'!$A$1,"Scenario",AK$12,"P&amp;L Item",$B64)/AK$201,0),TEXT(IFERROR(GETPIVOTDATA("Sum of "&amp;AK$9,'PT-All'!$A$1,"Scenario",AK$12,"P&amp;L Item",$B64)/AK$29,0),"0.00%"))</f>
        <v>0</v>
      </c>
      <c r="AL64" s="97">
        <f>CHOOSE(PLColumn,IFERROR(GETPIVOTDATA("Sum of "&amp;AL$9,'PT-All'!$A$1,"Scenario",AL$12,"P&amp;L Item",$B64),0),IFERROR(GETPIVOTDATA("Sum of "&amp;AL$9,'PT-All'!$A$1,"Scenario",AL$12,"P&amp;L Item",$B64)/AL$201,0),TEXT(IFERROR(GETPIVOTDATA("Sum of "&amp;AL$9,'PT-All'!$A$1,"Scenario",AL$12,"P&amp;L Item",$B64)/AL$29,0),"0.00%"))</f>
        <v>0</v>
      </c>
      <c r="AM64" s="590"/>
      <c r="AN64" s="108">
        <f ca="1">IF(AN$12="Pro Forma",SUM(OFFSET($B64,0,3*AN$9+1,1,3)),IFERROR(GETPIVOTDATA("Sum of Q"&amp;AN$9+1,'PT-All'!$A$1,"Scenario",AN$12,"P&amp;L Item",$B64),0))</f>
        <v>0</v>
      </c>
      <c r="AO64" s="65">
        <f ca="1">IF(AO$12="Pro Forma",SUM(OFFSET($B64,0,3*AO$9+1,1,3)),IFERROR(GETPIVOTDATA("Sum of Q"&amp;AO$9+1,'PT-All'!$A$1,"Scenario",AO$12,"P&amp;L Item",$B64),0))</f>
        <v>0</v>
      </c>
      <c r="AP64" s="65">
        <f ca="1">IF(AP$12="Pro Forma",SUM(OFFSET($B64,0,3*AP$9+1,1,3)),IFERROR(GETPIVOTDATA("Sum of Q"&amp;AP$9+1,'PT-All'!$A$1,"Scenario",AP$12,"P&amp;L Item",$B64),0))</f>
        <v>0</v>
      </c>
      <c r="AQ64" s="65">
        <f ca="1">IF(AQ$12="Pro Forma",SUM(OFFSET($B64,0,3*AQ$9+1,1,3)),IFERROR(GETPIVOTDATA("Sum of Q"&amp;AQ$9+1,'PT-All'!$A$1,"Scenario",AQ$12,"P&amp;L Item",$B64),0))</f>
        <v>0</v>
      </c>
      <c r="AR64" s="65">
        <f ca="1">IF(AR$12="Pro Forma",SUM(OFFSET($B64,0,3*AR$9+1,1,3)),IFERROR(GETPIVOTDATA("Sum of Q"&amp;AR$9+1,'PT-All'!$A$1,"Scenario",AR$12,"P&amp;L Item",$B64),0))</f>
        <v>0</v>
      </c>
      <c r="AS64" s="65">
        <f ca="1">IF(AS$12="Pro Forma",SUM(OFFSET($B64,0,3*AS$9+1,1,3)),IFERROR(GETPIVOTDATA("Sum of Q"&amp;AS$9+1,'PT-All'!$A$1,"Scenario",AS$12,"P&amp;L Item",$B64),0))</f>
        <v>0</v>
      </c>
      <c r="AT64" s="65">
        <f ca="1">IF(AT$12="Pro Forma",SUM(OFFSET($B64,0,3*AT$9+1,1,3)),IFERROR(GETPIVOTDATA("Sum of Q"&amp;AT$9+1,'PT-All'!$A$1,"Scenario",AT$12,"P&amp;L Item",$B64),0))</f>
        <v>0</v>
      </c>
      <c r="AU64" s="65">
        <f ca="1">IF(AU$12="Pro Forma",SUM(OFFSET($B64,0,3*AU$9+1,1,3)),IFERROR(GETPIVOTDATA("Sum of Q"&amp;AU$9+1,'PT-All'!$A$1,"Scenario",AU$12,"P&amp;L Item",$B64),0))</f>
        <v>0</v>
      </c>
      <c r="AV64" s="65">
        <f ca="1">IF(AV$12="Pro Forma",SUM(OFFSET($B64,0,3*AV$9+1,1,3)),IFERROR(GETPIVOTDATA("Sum of Q"&amp;AV$9+1,'PT-All'!$A$1,"Scenario",AV$12,"P&amp;L Item",$B64),0))</f>
        <v>0</v>
      </c>
      <c r="AW64" s="65">
        <f ca="1">IF(AW$12="Pro Forma",SUM(OFFSET($B64,0,3*AW$9+1,1,3)),IFERROR(GETPIVOTDATA("Sum of Q"&amp;AW$9+1,'PT-All'!$A$1,"Scenario",AW$12,"P&amp;L Item",$B64),0))</f>
        <v>0</v>
      </c>
      <c r="AX64" s="65">
        <f ca="1">IF(AX$12="Pro Forma",SUM(OFFSET($B64,0,3*AX$9+1,1,3)),IFERROR(GETPIVOTDATA("Sum of Q"&amp;AX$9+1,'PT-All'!$A$1,"Scenario",AX$12,"P&amp;L Item",$B64),0))</f>
        <v>0</v>
      </c>
      <c r="AY64" s="97">
        <f ca="1">IF(AY$12="Pro Forma",SUM(OFFSET($B64,0,3*AY$9+1,1,3)),IFERROR(GETPIVOTDATA("Sum of Q"&amp;AY$9+1,'PT-All'!$A$1,"Scenario",AY$12,"P&amp;L Item",$B64),0))</f>
        <v>0</v>
      </c>
      <c r="AZ64" s="590"/>
      <c r="BA64" s="108">
        <f ca="1">IF(BA$12="Pro Forma",SUM(OFFSET($B64,0,12*BA$9+1,1,12)),IFERROR(GETPIVOTDATA("Sum of FY"&amp;BA$9+1,'PT-All'!$A$1,"Scenario",BA$12,"P&amp;L Item",$B64),0))</f>
        <v>0</v>
      </c>
      <c r="BB64" s="65">
        <f ca="1">IF(BB$12="Pro Forma",SUM(OFFSET($B64,0,12*BB$9+1,1,12)),IFERROR(GETPIVOTDATA("Sum of FY"&amp;BB$9+1,'PT-All'!$A$1,"Scenario",BB$12,"P&amp;L Item",$B64),0))</f>
        <v>0</v>
      </c>
      <c r="BC64" s="97">
        <f ca="1">IF(BC$12="Pro Forma",SUM(OFFSET($B64,0,12*BC$9+1,1,12)),IFERROR(GETPIVOTDATA("Sum of FY"&amp;BC$9+1,'PT-All'!$A$1,"Scenario",BC$12,"P&amp;L Item",$B64),0))</f>
        <v>0</v>
      </c>
    </row>
    <row r="65" spans="2:55" x14ac:dyDescent="0.35">
      <c r="B65" s="64" t="s">
        <v>99</v>
      </c>
      <c r="C65" s="65">
        <f>CHOOSE(PLColumn,IFERROR(GETPIVOTDATA("Sum of "&amp;C$9,'PT-All'!$A$1,"Scenario",C$12,"P&amp;L Item",$B65),0),IFERROR(GETPIVOTDATA("Sum of "&amp;C$9,'PT-All'!$A$1,"Scenario",C$12,"P&amp;L Item",$B65)/C$201,0),TEXT(IFERROR(GETPIVOTDATA("Sum of "&amp;C$9,'PT-All'!$A$1,"Scenario",C$12,"P&amp;L Item",$B65)/C$29,0),"0.00%"))</f>
        <v>0</v>
      </c>
      <c r="D65" s="65">
        <f>CHOOSE(PLColumn,IFERROR(GETPIVOTDATA("Sum of "&amp;D$9,'PT-All'!$A$1,"Scenario",D$12,"P&amp;L Item",$B65),0),IFERROR(GETPIVOTDATA("Sum of "&amp;D$9,'PT-All'!$A$1,"Scenario",D$12,"P&amp;L Item",$B65)/D$201,0),TEXT(IFERROR(GETPIVOTDATA("Sum of "&amp;D$9,'PT-All'!$A$1,"Scenario",D$12,"P&amp;L Item",$B65)/D$29,0),"0.00%"))</f>
        <v>0</v>
      </c>
      <c r="E65" s="65">
        <f>CHOOSE(PLColumn,IFERROR(GETPIVOTDATA("Sum of "&amp;E$9,'PT-All'!$A$1,"Scenario",E$12,"P&amp;L Item",$B65),0),IFERROR(GETPIVOTDATA("Sum of "&amp;E$9,'PT-All'!$A$1,"Scenario",E$12,"P&amp;L Item",$B65)/E$201,0),TEXT(IFERROR(GETPIVOTDATA("Sum of "&amp;E$9,'PT-All'!$A$1,"Scenario",E$12,"P&amp;L Item",$B65)/E$29,0),"0.00%"))</f>
        <v>0</v>
      </c>
      <c r="F65" s="65">
        <f>CHOOSE(PLColumn,IFERROR(GETPIVOTDATA("Sum of "&amp;F$9,'PT-All'!$A$1,"Scenario",F$12,"P&amp;L Item",$B65),0),IFERROR(GETPIVOTDATA("Sum of "&amp;F$9,'PT-All'!$A$1,"Scenario",F$12,"P&amp;L Item",$B65)/F$201,0),TEXT(IFERROR(GETPIVOTDATA("Sum of "&amp;F$9,'PT-All'!$A$1,"Scenario",F$12,"P&amp;L Item",$B65)/F$29,0),"0.00%"))</f>
        <v>0</v>
      </c>
      <c r="G65" s="65">
        <f>CHOOSE(PLColumn,IFERROR(GETPIVOTDATA("Sum of "&amp;G$9,'PT-All'!$A$1,"Scenario",G$12,"P&amp;L Item",$B65),0),IFERROR(GETPIVOTDATA("Sum of "&amp;G$9,'PT-All'!$A$1,"Scenario",G$12,"P&amp;L Item",$B65)/G$201,0),TEXT(IFERROR(GETPIVOTDATA("Sum of "&amp;G$9,'PT-All'!$A$1,"Scenario",G$12,"P&amp;L Item",$B65)/G$29,0),"0.00%"))</f>
        <v>0</v>
      </c>
      <c r="H65" s="65">
        <f>CHOOSE(PLColumn,IFERROR(GETPIVOTDATA("Sum of "&amp;H$9,'PT-All'!$A$1,"Scenario",H$12,"P&amp;L Item",$B65),0),IFERROR(GETPIVOTDATA("Sum of "&amp;H$9,'PT-All'!$A$1,"Scenario",H$12,"P&amp;L Item",$B65)/H$201,0),TEXT(IFERROR(GETPIVOTDATA("Sum of "&amp;H$9,'PT-All'!$A$1,"Scenario",H$12,"P&amp;L Item",$B65)/H$29,0),"0.00%"))</f>
        <v>0</v>
      </c>
      <c r="I65" s="65">
        <f>CHOOSE(PLColumn,IFERROR(GETPIVOTDATA("Sum of "&amp;I$9,'PT-All'!$A$1,"Scenario",I$12,"P&amp;L Item",$B65),0),IFERROR(GETPIVOTDATA("Sum of "&amp;I$9,'PT-All'!$A$1,"Scenario",I$12,"P&amp;L Item",$B65)/I$201,0),TEXT(IFERROR(GETPIVOTDATA("Sum of "&amp;I$9,'PT-All'!$A$1,"Scenario",I$12,"P&amp;L Item",$B65)/I$29,0),"0.00%"))</f>
        <v>0</v>
      </c>
      <c r="J65" s="65">
        <f>CHOOSE(PLColumn,IFERROR(GETPIVOTDATA("Sum of "&amp;J$9,'PT-All'!$A$1,"Scenario",J$12,"P&amp;L Item",$B65),0),IFERROR(GETPIVOTDATA("Sum of "&amp;J$9,'PT-All'!$A$1,"Scenario",J$12,"P&amp;L Item",$B65)/J$201,0),TEXT(IFERROR(GETPIVOTDATA("Sum of "&amp;J$9,'PT-All'!$A$1,"Scenario",J$12,"P&amp;L Item",$B65)/J$29,0),"0.00%"))</f>
        <v>0</v>
      </c>
      <c r="K65" s="65">
        <f>CHOOSE(PLColumn,IFERROR(GETPIVOTDATA("Sum of "&amp;K$9,'PT-All'!$A$1,"Scenario",K$12,"P&amp;L Item",$B65),0),IFERROR(GETPIVOTDATA("Sum of "&amp;K$9,'PT-All'!$A$1,"Scenario",K$12,"P&amp;L Item",$B65)/K$201,0),TEXT(IFERROR(GETPIVOTDATA("Sum of "&amp;K$9,'PT-All'!$A$1,"Scenario",K$12,"P&amp;L Item",$B65)/K$29,0),"0.00%"))</f>
        <v>0</v>
      </c>
      <c r="L65" s="65">
        <f>CHOOSE(PLColumn,IFERROR(GETPIVOTDATA("Sum of "&amp;L$9,'PT-All'!$A$1,"Scenario",L$12,"P&amp;L Item",$B65),0),IFERROR(GETPIVOTDATA("Sum of "&amp;L$9,'PT-All'!$A$1,"Scenario",L$12,"P&amp;L Item",$B65)/L$201,0),TEXT(IFERROR(GETPIVOTDATA("Sum of "&amp;L$9,'PT-All'!$A$1,"Scenario",L$12,"P&amp;L Item",$B65)/L$29,0),"0.00%"))</f>
        <v>0</v>
      </c>
      <c r="M65" s="65">
        <f>CHOOSE(PLColumn,IFERROR(GETPIVOTDATA("Sum of "&amp;M$9,'PT-All'!$A$1,"Scenario",M$12,"P&amp;L Item",$B65),0),IFERROR(GETPIVOTDATA("Sum of "&amp;M$9,'PT-All'!$A$1,"Scenario",M$12,"P&amp;L Item",$B65)/M$201,0),TEXT(IFERROR(GETPIVOTDATA("Sum of "&amp;M$9,'PT-All'!$A$1,"Scenario",M$12,"P&amp;L Item",$B65)/M$29,0),"0.00%"))</f>
        <v>0</v>
      </c>
      <c r="N65" s="65">
        <f>CHOOSE(PLColumn,IFERROR(GETPIVOTDATA("Sum of "&amp;N$9,'PT-All'!$A$1,"Scenario",N$12,"P&amp;L Item",$B65),0),IFERROR(GETPIVOTDATA("Sum of "&amp;N$9,'PT-All'!$A$1,"Scenario",N$12,"P&amp;L Item",$B65)/N$201,0),TEXT(IFERROR(GETPIVOTDATA("Sum of "&amp;N$9,'PT-All'!$A$1,"Scenario",N$12,"P&amp;L Item",$B65)/N$29,0),"0.00%"))</f>
        <v>0</v>
      </c>
      <c r="O65" s="65">
        <f>CHOOSE(PLColumn,IFERROR(GETPIVOTDATA("Sum of "&amp;O$9,'PT-All'!$A$1,"Scenario",O$12,"P&amp;L Item",$B65),0),IFERROR(GETPIVOTDATA("Sum of "&amp;O$9,'PT-All'!$A$1,"Scenario",O$12,"P&amp;L Item",$B65)/O$201,0),TEXT(IFERROR(GETPIVOTDATA("Sum of "&amp;O$9,'PT-All'!$A$1,"Scenario",O$12,"P&amp;L Item",$B65)/O$29,0),"0.00%"))</f>
        <v>0</v>
      </c>
      <c r="P65" s="65">
        <f>CHOOSE(PLColumn,IFERROR(GETPIVOTDATA("Sum of "&amp;P$9,'PT-All'!$A$1,"Scenario",P$12,"P&amp;L Item",$B65),0),IFERROR(GETPIVOTDATA("Sum of "&amp;P$9,'PT-All'!$A$1,"Scenario",P$12,"P&amp;L Item",$B65)/P$201,0),TEXT(IFERROR(GETPIVOTDATA("Sum of "&amp;P$9,'PT-All'!$A$1,"Scenario",P$12,"P&amp;L Item",$B65)/P$29,0),"0.00%"))</f>
        <v>0</v>
      </c>
      <c r="Q65" s="65">
        <f>CHOOSE(PLColumn,IFERROR(GETPIVOTDATA("Sum of "&amp;Q$9,'PT-All'!$A$1,"Scenario",Q$12,"P&amp;L Item",$B65),0),IFERROR(GETPIVOTDATA("Sum of "&amp;Q$9,'PT-All'!$A$1,"Scenario",Q$12,"P&amp;L Item",$B65)/Q$201,0),TEXT(IFERROR(GETPIVOTDATA("Sum of "&amp;Q$9,'PT-All'!$A$1,"Scenario",Q$12,"P&amp;L Item",$B65)/Q$29,0),"0.00%"))</f>
        <v>0</v>
      </c>
      <c r="R65" s="65">
        <f>CHOOSE(PLColumn,IFERROR(GETPIVOTDATA("Sum of "&amp;R$9,'PT-All'!$A$1,"Scenario",R$12,"P&amp;L Item",$B65),0),IFERROR(GETPIVOTDATA("Sum of "&amp;R$9,'PT-All'!$A$1,"Scenario",R$12,"P&amp;L Item",$B65)/R$201,0),TEXT(IFERROR(GETPIVOTDATA("Sum of "&amp;R$9,'PT-All'!$A$1,"Scenario",R$12,"P&amp;L Item",$B65)/R$29,0),"0.00%"))</f>
        <v>0</v>
      </c>
      <c r="S65" s="65">
        <f>CHOOSE(PLColumn,IFERROR(GETPIVOTDATA("Sum of "&amp;S$9,'PT-All'!$A$1,"Scenario",S$12,"P&amp;L Item",$B65),0),IFERROR(GETPIVOTDATA("Sum of "&amp;S$9,'PT-All'!$A$1,"Scenario",S$12,"P&amp;L Item",$B65)/S$201,0),TEXT(IFERROR(GETPIVOTDATA("Sum of "&amp;S$9,'PT-All'!$A$1,"Scenario",S$12,"P&amp;L Item",$B65)/S$29,0),"0.00%"))</f>
        <v>0</v>
      </c>
      <c r="T65" s="65">
        <f>CHOOSE(PLColumn,IFERROR(GETPIVOTDATA("Sum of "&amp;T$9,'PT-All'!$A$1,"Scenario",T$12,"P&amp;L Item",$B65),0),IFERROR(GETPIVOTDATA("Sum of "&amp;T$9,'PT-All'!$A$1,"Scenario",T$12,"P&amp;L Item",$B65)/T$201,0),TEXT(IFERROR(GETPIVOTDATA("Sum of "&amp;T$9,'PT-All'!$A$1,"Scenario",T$12,"P&amp;L Item",$B65)/T$29,0),"0.00%"))</f>
        <v>0</v>
      </c>
      <c r="U65" s="65">
        <f>CHOOSE(PLColumn,IFERROR(GETPIVOTDATA("Sum of "&amp;U$9,'PT-All'!$A$1,"Scenario",U$12,"P&amp;L Item",$B65),0),IFERROR(GETPIVOTDATA("Sum of "&amp;U$9,'PT-All'!$A$1,"Scenario",U$12,"P&amp;L Item",$B65)/U$201,0),TEXT(IFERROR(GETPIVOTDATA("Sum of "&amp;U$9,'PT-All'!$A$1,"Scenario",U$12,"P&amp;L Item",$B65)/U$29,0),"0.00%"))</f>
        <v>0</v>
      </c>
      <c r="V65" s="65">
        <f>CHOOSE(PLColumn,IFERROR(GETPIVOTDATA("Sum of "&amp;V$9,'PT-All'!$A$1,"Scenario",V$12,"P&amp;L Item",$B65),0),IFERROR(GETPIVOTDATA("Sum of "&amp;V$9,'PT-All'!$A$1,"Scenario",V$12,"P&amp;L Item",$B65)/V$201,0),TEXT(IFERROR(GETPIVOTDATA("Sum of "&amp;V$9,'PT-All'!$A$1,"Scenario",V$12,"P&amp;L Item",$B65)/V$29,0),"0.00%"))</f>
        <v>0</v>
      </c>
      <c r="W65" s="65">
        <f>CHOOSE(PLColumn,IFERROR(GETPIVOTDATA("Sum of "&amp;W$9,'PT-All'!$A$1,"Scenario",W$12,"P&amp;L Item",$B65),0),IFERROR(GETPIVOTDATA("Sum of "&amp;W$9,'PT-All'!$A$1,"Scenario",W$12,"P&amp;L Item",$B65)/W$201,0),TEXT(IFERROR(GETPIVOTDATA("Sum of "&amp;W$9,'PT-All'!$A$1,"Scenario",W$12,"P&amp;L Item",$B65)/W$29,0),"0.00%"))</f>
        <v>0</v>
      </c>
      <c r="X65" s="65">
        <f>CHOOSE(PLColumn,IFERROR(GETPIVOTDATA("Sum of "&amp;X$9,'PT-All'!$A$1,"Scenario",X$12,"P&amp;L Item",$B65),0),IFERROR(GETPIVOTDATA("Sum of "&amp;X$9,'PT-All'!$A$1,"Scenario",X$12,"P&amp;L Item",$B65)/X$201,0),TEXT(IFERROR(GETPIVOTDATA("Sum of "&amp;X$9,'PT-All'!$A$1,"Scenario",X$12,"P&amp;L Item",$B65)/X$29,0),"0.00%"))</f>
        <v>0</v>
      </c>
      <c r="Y65" s="65">
        <f>CHOOSE(PLColumn,IFERROR(GETPIVOTDATA("Sum of "&amp;Y$9,'PT-All'!$A$1,"Scenario",Y$12,"P&amp;L Item",$B65),0),IFERROR(GETPIVOTDATA("Sum of "&amp;Y$9,'PT-All'!$A$1,"Scenario",Y$12,"P&amp;L Item",$B65)/Y$201,0),TEXT(IFERROR(GETPIVOTDATA("Sum of "&amp;Y$9,'PT-All'!$A$1,"Scenario",Y$12,"P&amp;L Item",$B65)/Y$29,0),"0.00%"))</f>
        <v>0</v>
      </c>
      <c r="Z65" s="65">
        <f>CHOOSE(PLColumn,IFERROR(GETPIVOTDATA("Sum of "&amp;Z$9,'PT-All'!$A$1,"Scenario",Z$12,"P&amp;L Item",$B65),0),IFERROR(GETPIVOTDATA("Sum of "&amp;Z$9,'PT-All'!$A$1,"Scenario",Z$12,"P&amp;L Item",$B65)/Z$201,0),TEXT(IFERROR(GETPIVOTDATA("Sum of "&amp;Z$9,'PT-All'!$A$1,"Scenario",Z$12,"P&amp;L Item",$B65)/Z$29,0),"0.00%"))</f>
        <v>0</v>
      </c>
      <c r="AA65" s="65">
        <f>CHOOSE(PLColumn,IFERROR(GETPIVOTDATA("Sum of "&amp;AA$9,'PT-All'!$A$1,"Scenario",AA$12,"P&amp;L Item",$B65),0),IFERROR(GETPIVOTDATA("Sum of "&amp;AA$9,'PT-All'!$A$1,"Scenario",AA$12,"P&amp;L Item",$B65)/AA$201,0),TEXT(IFERROR(GETPIVOTDATA("Sum of "&amp;AA$9,'PT-All'!$A$1,"Scenario",AA$12,"P&amp;L Item",$B65)/AA$29,0),"0.00%"))</f>
        <v>0</v>
      </c>
      <c r="AB65" s="65">
        <f>CHOOSE(PLColumn,IFERROR(GETPIVOTDATA("Sum of "&amp;AB$9,'PT-All'!$A$1,"Scenario",AB$12,"P&amp;L Item",$B65),0),IFERROR(GETPIVOTDATA("Sum of "&amp;AB$9,'PT-All'!$A$1,"Scenario",AB$12,"P&amp;L Item",$B65)/AB$201,0),TEXT(IFERROR(GETPIVOTDATA("Sum of "&amp;AB$9,'PT-All'!$A$1,"Scenario",AB$12,"P&amp;L Item",$B65)/AB$29,0),"0.00%"))</f>
        <v>0</v>
      </c>
      <c r="AC65" s="65">
        <f>CHOOSE(PLColumn,IFERROR(GETPIVOTDATA("Sum of "&amp;AC$9,'PT-All'!$A$1,"Scenario",AC$12,"P&amp;L Item",$B65),0),IFERROR(GETPIVOTDATA("Sum of "&amp;AC$9,'PT-All'!$A$1,"Scenario",AC$12,"P&amp;L Item",$B65)/AC$201,0),TEXT(IFERROR(GETPIVOTDATA("Sum of "&amp;AC$9,'PT-All'!$A$1,"Scenario",AC$12,"P&amp;L Item",$B65)/AC$29,0),"0.00%"))</f>
        <v>0</v>
      </c>
      <c r="AD65" s="65">
        <f>CHOOSE(PLColumn,IFERROR(GETPIVOTDATA("Sum of "&amp;AD$9,'PT-All'!$A$1,"Scenario",AD$12,"P&amp;L Item",$B65),0),IFERROR(GETPIVOTDATA("Sum of "&amp;AD$9,'PT-All'!$A$1,"Scenario",AD$12,"P&amp;L Item",$B65)/AD$201,0),TEXT(IFERROR(GETPIVOTDATA("Sum of "&amp;AD$9,'PT-All'!$A$1,"Scenario",AD$12,"P&amp;L Item",$B65)/AD$29,0),"0.00%"))</f>
        <v>0</v>
      </c>
      <c r="AE65" s="65">
        <f>CHOOSE(PLColumn,IFERROR(GETPIVOTDATA("Sum of "&amp;AE$9,'PT-All'!$A$1,"Scenario",AE$12,"P&amp;L Item",$B65),0),IFERROR(GETPIVOTDATA("Sum of "&amp;AE$9,'PT-All'!$A$1,"Scenario",AE$12,"P&amp;L Item",$B65)/AE$201,0),TEXT(IFERROR(GETPIVOTDATA("Sum of "&amp;AE$9,'PT-All'!$A$1,"Scenario",AE$12,"P&amp;L Item",$B65)/AE$29,0),"0.00%"))</f>
        <v>0</v>
      </c>
      <c r="AF65" s="65">
        <f>CHOOSE(PLColumn,IFERROR(GETPIVOTDATA("Sum of "&amp;AF$9,'PT-All'!$A$1,"Scenario",AF$12,"P&amp;L Item",$B65),0),IFERROR(GETPIVOTDATA("Sum of "&amp;AF$9,'PT-All'!$A$1,"Scenario",AF$12,"P&amp;L Item",$B65)/AF$201,0),TEXT(IFERROR(GETPIVOTDATA("Sum of "&amp;AF$9,'PT-All'!$A$1,"Scenario",AF$12,"P&amp;L Item",$B65)/AF$29,0),"0.00%"))</f>
        <v>0</v>
      </c>
      <c r="AG65" s="65">
        <f>CHOOSE(PLColumn,IFERROR(GETPIVOTDATA("Sum of "&amp;AG$9,'PT-All'!$A$1,"Scenario",AG$12,"P&amp;L Item",$B65),0),IFERROR(GETPIVOTDATA("Sum of "&amp;AG$9,'PT-All'!$A$1,"Scenario",AG$12,"P&amp;L Item",$B65)/AG$201,0),TEXT(IFERROR(GETPIVOTDATA("Sum of "&amp;AG$9,'PT-All'!$A$1,"Scenario",AG$12,"P&amp;L Item",$B65)/AG$29,0),"0.00%"))</f>
        <v>0</v>
      </c>
      <c r="AH65" s="65">
        <f>CHOOSE(PLColumn,IFERROR(GETPIVOTDATA("Sum of "&amp;AH$9,'PT-All'!$A$1,"Scenario",AH$12,"P&amp;L Item",$B65),0),IFERROR(GETPIVOTDATA("Sum of "&amp;AH$9,'PT-All'!$A$1,"Scenario",AH$12,"P&amp;L Item",$B65)/AH$201,0),TEXT(IFERROR(GETPIVOTDATA("Sum of "&amp;AH$9,'PT-All'!$A$1,"Scenario",AH$12,"P&amp;L Item",$B65)/AH$29,0),"0.00%"))</f>
        <v>0</v>
      </c>
      <c r="AI65" s="65">
        <f>CHOOSE(PLColumn,IFERROR(GETPIVOTDATA("Sum of "&amp;AI$9,'PT-All'!$A$1,"Scenario",AI$12,"P&amp;L Item",$B65),0),IFERROR(GETPIVOTDATA("Sum of "&amp;AI$9,'PT-All'!$A$1,"Scenario",AI$12,"P&amp;L Item",$B65)/AI$201,0),TEXT(IFERROR(GETPIVOTDATA("Sum of "&amp;AI$9,'PT-All'!$A$1,"Scenario",AI$12,"P&amp;L Item",$B65)/AI$29,0),"0.00%"))</f>
        <v>0</v>
      </c>
      <c r="AJ65" s="65">
        <f>CHOOSE(PLColumn,IFERROR(GETPIVOTDATA("Sum of "&amp;AJ$9,'PT-All'!$A$1,"Scenario",AJ$12,"P&amp;L Item",$B65),0),IFERROR(GETPIVOTDATA("Sum of "&amp;AJ$9,'PT-All'!$A$1,"Scenario",AJ$12,"P&amp;L Item",$B65)/AJ$201,0),TEXT(IFERROR(GETPIVOTDATA("Sum of "&amp;AJ$9,'PT-All'!$A$1,"Scenario",AJ$12,"P&amp;L Item",$B65)/AJ$29,0),"0.00%"))</f>
        <v>0</v>
      </c>
      <c r="AK65" s="65">
        <f>CHOOSE(PLColumn,IFERROR(GETPIVOTDATA("Sum of "&amp;AK$9,'PT-All'!$A$1,"Scenario",AK$12,"P&amp;L Item",$B65),0),IFERROR(GETPIVOTDATA("Sum of "&amp;AK$9,'PT-All'!$A$1,"Scenario",AK$12,"P&amp;L Item",$B65)/AK$201,0),TEXT(IFERROR(GETPIVOTDATA("Sum of "&amp;AK$9,'PT-All'!$A$1,"Scenario",AK$12,"P&amp;L Item",$B65)/AK$29,0),"0.00%"))</f>
        <v>0</v>
      </c>
      <c r="AL65" s="97">
        <f>CHOOSE(PLColumn,IFERROR(GETPIVOTDATA("Sum of "&amp;AL$9,'PT-All'!$A$1,"Scenario",AL$12,"P&amp;L Item",$B65),0),IFERROR(GETPIVOTDATA("Sum of "&amp;AL$9,'PT-All'!$A$1,"Scenario",AL$12,"P&amp;L Item",$B65)/AL$201,0),TEXT(IFERROR(GETPIVOTDATA("Sum of "&amp;AL$9,'PT-All'!$A$1,"Scenario",AL$12,"P&amp;L Item",$B65)/AL$29,0),"0.00%"))</f>
        <v>0</v>
      </c>
      <c r="AM65" s="590"/>
      <c r="AN65" s="108">
        <f ca="1">IF(AN$12="Pro Forma",SUM(OFFSET($B65,0,3*AN$9+1,1,3)),IFERROR(GETPIVOTDATA("Sum of Q"&amp;AN$9+1,'PT-All'!$A$1,"Scenario",AN$12,"P&amp;L Item",$B65),0))</f>
        <v>0</v>
      </c>
      <c r="AO65" s="65">
        <f ca="1">IF(AO$12="Pro Forma",SUM(OFFSET($B65,0,3*AO$9+1,1,3)),IFERROR(GETPIVOTDATA("Sum of Q"&amp;AO$9+1,'PT-All'!$A$1,"Scenario",AO$12,"P&amp;L Item",$B65),0))</f>
        <v>0</v>
      </c>
      <c r="AP65" s="65">
        <f ca="1">IF(AP$12="Pro Forma",SUM(OFFSET($B65,0,3*AP$9+1,1,3)),IFERROR(GETPIVOTDATA("Sum of Q"&amp;AP$9+1,'PT-All'!$A$1,"Scenario",AP$12,"P&amp;L Item",$B65),0))</f>
        <v>0</v>
      </c>
      <c r="AQ65" s="65">
        <f ca="1">IF(AQ$12="Pro Forma",SUM(OFFSET($B65,0,3*AQ$9+1,1,3)),IFERROR(GETPIVOTDATA("Sum of Q"&amp;AQ$9+1,'PT-All'!$A$1,"Scenario",AQ$12,"P&amp;L Item",$B65),0))</f>
        <v>0</v>
      </c>
      <c r="AR65" s="65">
        <f ca="1">IF(AR$12="Pro Forma",SUM(OFFSET($B65,0,3*AR$9+1,1,3)),IFERROR(GETPIVOTDATA("Sum of Q"&amp;AR$9+1,'PT-All'!$A$1,"Scenario",AR$12,"P&amp;L Item",$B65),0))</f>
        <v>0</v>
      </c>
      <c r="AS65" s="65">
        <f ca="1">IF(AS$12="Pro Forma",SUM(OFFSET($B65,0,3*AS$9+1,1,3)),IFERROR(GETPIVOTDATA("Sum of Q"&amp;AS$9+1,'PT-All'!$A$1,"Scenario",AS$12,"P&amp;L Item",$B65),0))</f>
        <v>0</v>
      </c>
      <c r="AT65" s="65">
        <f ca="1">IF(AT$12="Pro Forma",SUM(OFFSET($B65,0,3*AT$9+1,1,3)),IFERROR(GETPIVOTDATA("Sum of Q"&amp;AT$9+1,'PT-All'!$A$1,"Scenario",AT$12,"P&amp;L Item",$B65),0))</f>
        <v>0</v>
      </c>
      <c r="AU65" s="65">
        <f ca="1">IF(AU$12="Pro Forma",SUM(OFFSET($B65,0,3*AU$9+1,1,3)),IFERROR(GETPIVOTDATA("Sum of Q"&amp;AU$9+1,'PT-All'!$A$1,"Scenario",AU$12,"P&amp;L Item",$B65),0))</f>
        <v>0</v>
      </c>
      <c r="AV65" s="65">
        <f ca="1">IF(AV$12="Pro Forma",SUM(OFFSET($B65,0,3*AV$9+1,1,3)),IFERROR(GETPIVOTDATA("Sum of Q"&amp;AV$9+1,'PT-All'!$A$1,"Scenario",AV$12,"P&amp;L Item",$B65),0))</f>
        <v>0</v>
      </c>
      <c r="AW65" s="65">
        <f ca="1">IF(AW$12="Pro Forma",SUM(OFFSET($B65,0,3*AW$9+1,1,3)),IFERROR(GETPIVOTDATA("Sum of Q"&amp;AW$9+1,'PT-All'!$A$1,"Scenario",AW$12,"P&amp;L Item",$B65),0))</f>
        <v>0</v>
      </c>
      <c r="AX65" s="65">
        <f ca="1">IF(AX$12="Pro Forma",SUM(OFFSET($B65,0,3*AX$9+1,1,3)),IFERROR(GETPIVOTDATA("Sum of Q"&amp;AX$9+1,'PT-All'!$A$1,"Scenario",AX$12,"P&amp;L Item",$B65),0))</f>
        <v>0</v>
      </c>
      <c r="AY65" s="97">
        <f ca="1">IF(AY$12="Pro Forma",SUM(OFFSET($B65,0,3*AY$9+1,1,3)),IFERROR(GETPIVOTDATA("Sum of Q"&amp;AY$9+1,'PT-All'!$A$1,"Scenario",AY$12,"P&amp;L Item",$B65),0))</f>
        <v>0</v>
      </c>
      <c r="AZ65" s="590"/>
      <c r="BA65" s="108">
        <f ca="1">IF(BA$12="Pro Forma",SUM(OFFSET($B65,0,12*BA$9+1,1,12)),IFERROR(GETPIVOTDATA("Sum of FY"&amp;BA$9+1,'PT-All'!$A$1,"Scenario",BA$12,"P&amp;L Item",$B65),0))</f>
        <v>0</v>
      </c>
      <c r="BB65" s="65">
        <f ca="1">IF(BB$12="Pro Forma",SUM(OFFSET($B65,0,12*BB$9+1,1,12)),IFERROR(GETPIVOTDATA("Sum of FY"&amp;BB$9+1,'PT-All'!$A$1,"Scenario",BB$12,"P&amp;L Item",$B65),0))</f>
        <v>0</v>
      </c>
      <c r="BC65" s="97">
        <f ca="1">IF(BC$12="Pro Forma",SUM(OFFSET($B65,0,12*BC$9+1,1,12)),IFERROR(GETPIVOTDATA("Sum of FY"&amp;BC$9+1,'PT-All'!$A$1,"Scenario",BC$12,"P&amp;L Item",$B65),0))</f>
        <v>0</v>
      </c>
    </row>
    <row r="66" spans="2:55" x14ac:dyDescent="0.35">
      <c r="B66" s="64" t="s">
        <v>100</v>
      </c>
      <c r="C66" s="65">
        <f>CHOOSE(PLColumn,IFERROR(GETPIVOTDATA("Sum of "&amp;C$9,'PT-All'!$A$1,"Scenario",C$12,"P&amp;L Item",$B66),0),IFERROR(GETPIVOTDATA("Sum of "&amp;C$9,'PT-All'!$A$1,"Scenario",C$12,"P&amp;L Item",$B66)/C$201,0),TEXT(IFERROR(GETPIVOTDATA("Sum of "&amp;C$9,'PT-All'!$A$1,"Scenario",C$12,"P&amp;L Item",$B66)/C$29,0),"0.00%"))</f>
        <v>0</v>
      </c>
      <c r="D66" s="65">
        <f>CHOOSE(PLColumn,IFERROR(GETPIVOTDATA("Sum of "&amp;D$9,'PT-All'!$A$1,"Scenario",D$12,"P&amp;L Item",$B66),0),IFERROR(GETPIVOTDATA("Sum of "&amp;D$9,'PT-All'!$A$1,"Scenario",D$12,"P&amp;L Item",$B66)/D$201,0),TEXT(IFERROR(GETPIVOTDATA("Sum of "&amp;D$9,'PT-All'!$A$1,"Scenario",D$12,"P&amp;L Item",$B66)/D$29,0),"0.00%"))</f>
        <v>0</v>
      </c>
      <c r="E66" s="65">
        <f>CHOOSE(PLColumn,IFERROR(GETPIVOTDATA("Sum of "&amp;E$9,'PT-All'!$A$1,"Scenario",E$12,"P&amp;L Item",$B66),0),IFERROR(GETPIVOTDATA("Sum of "&amp;E$9,'PT-All'!$A$1,"Scenario",E$12,"P&amp;L Item",$B66)/E$201,0),TEXT(IFERROR(GETPIVOTDATA("Sum of "&amp;E$9,'PT-All'!$A$1,"Scenario",E$12,"P&amp;L Item",$B66)/E$29,0),"0.00%"))</f>
        <v>0</v>
      </c>
      <c r="F66" s="65">
        <f>CHOOSE(PLColumn,IFERROR(GETPIVOTDATA("Sum of "&amp;F$9,'PT-All'!$A$1,"Scenario",F$12,"P&amp;L Item",$B66),0),IFERROR(GETPIVOTDATA("Sum of "&amp;F$9,'PT-All'!$A$1,"Scenario",F$12,"P&amp;L Item",$B66)/F$201,0),TEXT(IFERROR(GETPIVOTDATA("Sum of "&amp;F$9,'PT-All'!$A$1,"Scenario",F$12,"P&amp;L Item",$B66)/F$29,0),"0.00%"))</f>
        <v>0</v>
      </c>
      <c r="G66" s="65">
        <f>CHOOSE(PLColumn,IFERROR(GETPIVOTDATA("Sum of "&amp;G$9,'PT-All'!$A$1,"Scenario",G$12,"P&amp;L Item",$B66),0),IFERROR(GETPIVOTDATA("Sum of "&amp;G$9,'PT-All'!$A$1,"Scenario",G$12,"P&amp;L Item",$B66)/G$201,0),TEXT(IFERROR(GETPIVOTDATA("Sum of "&amp;G$9,'PT-All'!$A$1,"Scenario",G$12,"P&amp;L Item",$B66)/G$29,0),"0.00%"))</f>
        <v>0</v>
      </c>
      <c r="H66" s="65">
        <f>CHOOSE(PLColumn,IFERROR(GETPIVOTDATA("Sum of "&amp;H$9,'PT-All'!$A$1,"Scenario",H$12,"P&amp;L Item",$B66),0),IFERROR(GETPIVOTDATA("Sum of "&amp;H$9,'PT-All'!$A$1,"Scenario",H$12,"P&amp;L Item",$B66)/H$201,0),TEXT(IFERROR(GETPIVOTDATA("Sum of "&amp;H$9,'PT-All'!$A$1,"Scenario",H$12,"P&amp;L Item",$B66)/H$29,0),"0.00%"))</f>
        <v>0</v>
      </c>
      <c r="I66" s="65">
        <f>CHOOSE(PLColumn,IFERROR(GETPIVOTDATA("Sum of "&amp;I$9,'PT-All'!$A$1,"Scenario",I$12,"P&amp;L Item",$B66),0),IFERROR(GETPIVOTDATA("Sum of "&amp;I$9,'PT-All'!$A$1,"Scenario",I$12,"P&amp;L Item",$B66)/I$201,0),TEXT(IFERROR(GETPIVOTDATA("Sum of "&amp;I$9,'PT-All'!$A$1,"Scenario",I$12,"P&amp;L Item",$B66)/I$29,0),"0.00%"))</f>
        <v>0</v>
      </c>
      <c r="J66" s="65">
        <f>CHOOSE(PLColumn,IFERROR(GETPIVOTDATA("Sum of "&amp;J$9,'PT-All'!$A$1,"Scenario",J$12,"P&amp;L Item",$B66),0),IFERROR(GETPIVOTDATA("Sum of "&amp;J$9,'PT-All'!$A$1,"Scenario",J$12,"P&amp;L Item",$B66)/J$201,0),TEXT(IFERROR(GETPIVOTDATA("Sum of "&amp;J$9,'PT-All'!$A$1,"Scenario",J$12,"P&amp;L Item",$B66)/J$29,0),"0.00%"))</f>
        <v>0</v>
      </c>
      <c r="K66" s="65">
        <f>CHOOSE(PLColumn,IFERROR(GETPIVOTDATA("Sum of "&amp;K$9,'PT-All'!$A$1,"Scenario",K$12,"P&amp;L Item",$B66),0),IFERROR(GETPIVOTDATA("Sum of "&amp;K$9,'PT-All'!$A$1,"Scenario",K$12,"P&amp;L Item",$B66)/K$201,0),TEXT(IFERROR(GETPIVOTDATA("Sum of "&amp;K$9,'PT-All'!$A$1,"Scenario",K$12,"P&amp;L Item",$B66)/K$29,0),"0.00%"))</f>
        <v>0</v>
      </c>
      <c r="L66" s="65">
        <f>CHOOSE(PLColumn,IFERROR(GETPIVOTDATA("Sum of "&amp;L$9,'PT-All'!$A$1,"Scenario",L$12,"P&amp;L Item",$B66),0),IFERROR(GETPIVOTDATA("Sum of "&amp;L$9,'PT-All'!$A$1,"Scenario",L$12,"P&amp;L Item",$B66)/L$201,0),TEXT(IFERROR(GETPIVOTDATA("Sum of "&amp;L$9,'PT-All'!$A$1,"Scenario",L$12,"P&amp;L Item",$B66)/L$29,0),"0.00%"))</f>
        <v>0</v>
      </c>
      <c r="M66" s="65">
        <f>CHOOSE(PLColumn,IFERROR(GETPIVOTDATA("Sum of "&amp;M$9,'PT-All'!$A$1,"Scenario",M$12,"P&amp;L Item",$B66),0),IFERROR(GETPIVOTDATA("Sum of "&amp;M$9,'PT-All'!$A$1,"Scenario",M$12,"P&amp;L Item",$B66)/M$201,0),TEXT(IFERROR(GETPIVOTDATA("Sum of "&amp;M$9,'PT-All'!$A$1,"Scenario",M$12,"P&amp;L Item",$B66)/M$29,0),"0.00%"))</f>
        <v>0</v>
      </c>
      <c r="N66" s="65">
        <f>CHOOSE(PLColumn,IFERROR(GETPIVOTDATA("Sum of "&amp;N$9,'PT-All'!$A$1,"Scenario",N$12,"P&amp;L Item",$B66),0),IFERROR(GETPIVOTDATA("Sum of "&amp;N$9,'PT-All'!$A$1,"Scenario",N$12,"P&amp;L Item",$B66)/N$201,0),TEXT(IFERROR(GETPIVOTDATA("Sum of "&amp;N$9,'PT-All'!$A$1,"Scenario",N$12,"P&amp;L Item",$B66)/N$29,0),"0.00%"))</f>
        <v>0</v>
      </c>
      <c r="O66" s="65">
        <f>CHOOSE(PLColumn,IFERROR(GETPIVOTDATA("Sum of "&amp;O$9,'PT-All'!$A$1,"Scenario",O$12,"P&amp;L Item",$B66),0),IFERROR(GETPIVOTDATA("Sum of "&amp;O$9,'PT-All'!$A$1,"Scenario",O$12,"P&amp;L Item",$B66)/O$201,0),TEXT(IFERROR(GETPIVOTDATA("Sum of "&amp;O$9,'PT-All'!$A$1,"Scenario",O$12,"P&amp;L Item",$B66)/O$29,0),"0.00%"))</f>
        <v>0</v>
      </c>
      <c r="P66" s="65">
        <f>CHOOSE(PLColumn,IFERROR(GETPIVOTDATA("Sum of "&amp;P$9,'PT-All'!$A$1,"Scenario",P$12,"P&amp;L Item",$B66),0),IFERROR(GETPIVOTDATA("Sum of "&amp;P$9,'PT-All'!$A$1,"Scenario",P$12,"P&amp;L Item",$B66)/P$201,0),TEXT(IFERROR(GETPIVOTDATA("Sum of "&amp;P$9,'PT-All'!$A$1,"Scenario",P$12,"P&amp;L Item",$B66)/P$29,0),"0.00%"))</f>
        <v>0</v>
      </c>
      <c r="Q66" s="65">
        <f>CHOOSE(PLColumn,IFERROR(GETPIVOTDATA("Sum of "&amp;Q$9,'PT-All'!$A$1,"Scenario",Q$12,"P&amp;L Item",$B66),0),IFERROR(GETPIVOTDATA("Sum of "&amp;Q$9,'PT-All'!$A$1,"Scenario",Q$12,"P&amp;L Item",$B66)/Q$201,0),TEXT(IFERROR(GETPIVOTDATA("Sum of "&amp;Q$9,'PT-All'!$A$1,"Scenario",Q$12,"P&amp;L Item",$B66)/Q$29,0),"0.00%"))</f>
        <v>0</v>
      </c>
      <c r="R66" s="65">
        <f>CHOOSE(PLColumn,IFERROR(GETPIVOTDATA("Sum of "&amp;R$9,'PT-All'!$A$1,"Scenario",R$12,"P&amp;L Item",$B66),0),IFERROR(GETPIVOTDATA("Sum of "&amp;R$9,'PT-All'!$A$1,"Scenario",R$12,"P&amp;L Item",$B66)/R$201,0),TEXT(IFERROR(GETPIVOTDATA("Sum of "&amp;R$9,'PT-All'!$A$1,"Scenario",R$12,"P&amp;L Item",$B66)/R$29,0),"0.00%"))</f>
        <v>0</v>
      </c>
      <c r="S66" s="65">
        <f>CHOOSE(PLColumn,IFERROR(GETPIVOTDATA("Sum of "&amp;S$9,'PT-All'!$A$1,"Scenario",S$12,"P&amp;L Item",$B66),0),IFERROR(GETPIVOTDATA("Sum of "&amp;S$9,'PT-All'!$A$1,"Scenario",S$12,"P&amp;L Item",$B66)/S$201,0),TEXT(IFERROR(GETPIVOTDATA("Sum of "&amp;S$9,'PT-All'!$A$1,"Scenario",S$12,"P&amp;L Item",$B66)/S$29,0),"0.00%"))</f>
        <v>0</v>
      </c>
      <c r="T66" s="65">
        <f>CHOOSE(PLColumn,IFERROR(GETPIVOTDATA("Sum of "&amp;T$9,'PT-All'!$A$1,"Scenario",T$12,"P&amp;L Item",$B66),0),IFERROR(GETPIVOTDATA("Sum of "&amp;T$9,'PT-All'!$A$1,"Scenario",T$12,"P&amp;L Item",$B66)/T$201,0),TEXT(IFERROR(GETPIVOTDATA("Sum of "&amp;T$9,'PT-All'!$A$1,"Scenario",T$12,"P&amp;L Item",$B66)/T$29,0),"0.00%"))</f>
        <v>0</v>
      </c>
      <c r="U66" s="65">
        <f>CHOOSE(PLColumn,IFERROR(GETPIVOTDATA("Sum of "&amp;U$9,'PT-All'!$A$1,"Scenario",U$12,"P&amp;L Item",$B66),0),IFERROR(GETPIVOTDATA("Sum of "&amp;U$9,'PT-All'!$A$1,"Scenario",U$12,"P&amp;L Item",$B66)/U$201,0),TEXT(IFERROR(GETPIVOTDATA("Sum of "&amp;U$9,'PT-All'!$A$1,"Scenario",U$12,"P&amp;L Item",$B66)/U$29,0),"0.00%"))</f>
        <v>0</v>
      </c>
      <c r="V66" s="65">
        <f>CHOOSE(PLColumn,IFERROR(GETPIVOTDATA("Sum of "&amp;V$9,'PT-All'!$A$1,"Scenario",V$12,"P&amp;L Item",$B66),0),IFERROR(GETPIVOTDATA("Sum of "&amp;V$9,'PT-All'!$A$1,"Scenario",V$12,"P&amp;L Item",$B66)/V$201,0),TEXT(IFERROR(GETPIVOTDATA("Sum of "&amp;V$9,'PT-All'!$A$1,"Scenario",V$12,"P&amp;L Item",$B66)/V$29,0),"0.00%"))</f>
        <v>0</v>
      </c>
      <c r="W66" s="65">
        <f>CHOOSE(PLColumn,IFERROR(GETPIVOTDATA("Sum of "&amp;W$9,'PT-All'!$A$1,"Scenario",W$12,"P&amp;L Item",$B66),0),IFERROR(GETPIVOTDATA("Sum of "&amp;W$9,'PT-All'!$A$1,"Scenario",W$12,"P&amp;L Item",$B66)/W$201,0),TEXT(IFERROR(GETPIVOTDATA("Sum of "&amp;W$9,'PT-All'!$A$1,"Scenario",W$12,"P&amp;L Item",$B66)/W$29,0),"0.00%"))</f>
        <v>0</v>
      </c>
      <c r="X66" s="65">
        <f>CHOOSE(PLColumn,IFERROR(GETPIVOTDATA("Sum of "&amp;X$9,'PT-All'!$A$1,"Scenario",X$12,"P&amp;L Item",$B66),0),IFERROR(GETPIVOTDATA("Sum of "&amp;X$9,'PT-All'!$A$1,"Scenario",X$12,"P&amp;L Item",$B66)/X$201,0),TEXT(IFERROR(GETPIVOTDATA("Sum of "&amp;X$9,'PT-All'!$A$1,"Scenario",X$12,"P&amp;L Item",$B66)/X$29,0),"0.00%"))</f>
        <v>0</v>
      </c>
      <c r="Y66" s="65">
        <f>CHOOSE(PLColumn,IFERROR(GETPIVOTDATA("Sum of "&amp;Y$9,'PT-All'!$A$1,"Scenario",Y$12,"P&amp;L Item",$B66),0),IFERROR(GETPIVOTDATA("Sum of "&amp;Y$9,'PT-All'!$A$1,"Scenario",Y$12,"P&amp;L Item",$B66)/Y$201,0),TEXT(IFERROR(GETPIVOTDATA("Sum of "&amp;Y$9,'PT-All'!$A$1,"Scenario",Y$12,"P&amp;L Item",$B66)/Y$29,0),"0.00%"))</f>
        <v>0</v>
      </c>
      <c r="Z66" s="65">
        <f>CHOOSE(PLColumn,IFERROR(GETPIVOTDATA("Sum of "&amp;Z$9,'PT-All'!$A$1,"Scenario",Z$12,"P&amp;L Item",$B66),0),IFERROR(GETPIVOTDATA("Sum of "&amp;Z$9,'PT-All'!$A$1,"Scenario",Z$12,"P&amp;L Item",$B66)/Z$201,0),TEXT(IFERROR(GETPIVOTDATA("Sum of "&amp;Z$9,'PT-All'!$A$1,"Scenario",Z$12,"P&amp;L Item",$B66)/Z$29,0),"0.00%"))</f>
        <v>0</v>
      </c>
      <c r="AA66" s="65">
        <f>CHOOSE(PLColumn,IFERROR(GETPIVOTDATA("Sum of "&amp;AA$9,'PT-All'!$A$1,"Scenario",AA$12,"P&amp;L Item",$B66),0),IFERROR(GETPIVOTDATA("Sum of "&amp;AA$9,'PT-All'!$A$1,"Scenario",AA$12,"P&amp;L Item",$B66)/AA$201,0),TEXT(IFERROR(GETPIVOTDATA("Sum of "&amp;AA$9,'PT-All'!$A$1,"Scenario",AA$12,"P&amp;L Item",$B66)/AA$29,0),"0.00%"))</f>
        <v>0</v>
      </c>
      <c r="AB66" s="65">
        <f>CHOOSE(PLColumn,IFERROR(GETPIVOTDATA("Sum of "&amp;AB$9,'PT-All'!$A$1,"Scenario",AB$12,"P&amp;L Item",$B66),0),IFERROR(GETPIVOTDATA("Sum of "&amp;AB$9,'PT-All'!$A$1,"Scenario",AB$12,"P&amp;L Item",$B66)/AB$201,0),TEXT(IFERROR(GETPIVOTDATA("Sum of "&amp;AB$9,'PT-All'!$A$1,"Scenario",AB$12,"P&amp;L Item",$B66)/AB$29,0),"0.00%"))</f>
        <v>0</v>
      </c>
      <c r="AC66" s="65">
        <f>CHOOSE(PLColumn,IFERROR(GETPIVOTDATA("Sum of "&amp;AC$9,'PT-All'!$A$1,"Scenario",AC$12,"P&amp;L Item",$B66),0),IFERROR(GETPIVOTDATA("Sum of "&amp;AC$9,'PT-All'!$A$1,"Scenario",AC$12,"P&amp;L Item",$B66)/AC$201,0),TEXT(IFERROR(GETPIVOTDATA("Sum of "&amp;AC$9,'PT-All'!$A$1,"Scenario",AC$12,"P&amp;L Item",$B66)/AC$29,0),"0.00%"))</f>
        <v>0</v>
      </c>
      <c r="AD66" s="65">
        <f>CHOOSE(PLColumn,IFERROR(GETPIVOTDATA("Sum of "&amp;AD$9,'PT-All'!$A$1,"Scenario",AD$12,"P&amp;L Item",$B66),0),IFERROR(GETPIVOTDATA("Sum of "&amp;AD$9,'PT-All'!$A$1,"Scenario",AD$12,"P&amp;L Item",$B66)/AD$201,0),TEXT(IFERROR(GETPIVOTDATA("Sum of "&amp;AD$9,'PT-All'!$A$1,"Scenario",AD$12,"P&amp;L Item",$B66)/AD$29,0),"0.00%"))</f>
        <v>0</v>
      </c>
      <c r="AE66" s="65">
        <f>CHOOSE(PLColumn,IFERROR(GETPIVOTDATA("Sum of "&amp;AE$9,'PT-All'!$A$1,"Scenario",AE$12,"P&amp;L Item",$B66),0),IFERROR(GETPIVOTDATA("Sum of "&amp;AE$9,'PT-All'!$A$1,"Scenario",AE$12,"P&amp;L Item",$B66)/AE$201,0),TEXT(IFERROR(GETPIVOTDATA("Sum of "&amp;AE$9,'PT-All'!$A$1,"Scenario",AE$12,"P&amp;L Item",$B66)/AE$29,0),"0.00%"))</f>
        <v>0</v>
      </c>
      <c r="AF66" s="65">
        <f>CHOOSE(PLColumn,IFERROR(GETPIVOTDATA("Sum of "&amp;AF$9,'PT-All'!$A$1,"Scenario",AF$12,"P&amp;L Item",$B66),0),IFERROR(GETPIVOTDATA("Sum of "&amp;AF$9,'PT-All'!$A$1,"Scenario",AF$12,"P&amp;L Item",$B66)/AF$201,0),TEXT(IFERROR(GETPIVOTDATA("Sum of "&amp;AF$9,'PT-All'!$A$1,"Scenario",AF$12,"P&amp;L Item",$B66)/AF$29,0),"0.00%"))</f>
        <v>0</v>
      </c>
      <c r="AG66" s="65">
        <f>CHOOSE(PLColumn,IFERROR(GETPIVOTDATA("Sum of "&amp;AG$9,'PT-All'!$A$1,"Scenario",AG$12,"P&amp;L Item",$B66),0),IFERROR(GETPIVOTDATA("Sum of "&amp;AG$9,'PT-All'!$A$1,"Scenario",AG$12,"P&amp;L Item",$B66)/AG$201,0),TEXT(IFERROR(GETPIVOTDATA("Sum of "&amp;AG$9,'PT-All'!$A$1,"Scenario",AG$12,"P&amp;L Item",$B66)/AG$29,0),"0.00%"))</f>
        <v>0</v>
      </c>
      <c r="AH66" s="65">
        <f>CHOOSE(PLColumn,IFERROR(GETPIVOTDATA("Sum of "&amp;AH$9,'PT-All'!$A$1,"Scenario",AH$12,"P&amp;L Item",$B66),0),IFERROR(GETPIVOTDATA("Sum of "&amp;AH$9,'PT-All'!$A$1,"Scenario",AH$12,"P&amp;L Item",$B66)/AH$201,0),TEXT(IFERROR(GETPIVOTDATA("Sum of "&amp;AH$9,'PT-All'!$A$1,"Scenario",AH$12,"P&amp;L Item",$B66)/AH$29,0),"0.00%"))</f>
        <v>0</v>
      </c>
      <c r="AI66" s="65">
        <f>CHOOSE(PLColumn,IFERROR(GETPIVOTDATA("Sum of "&amp;AI$9,'PT-All'!$A$1,"Scenario",AI$12,"P&amp;L Item",$B66),0),IFERROR(GETPIVOTDATA("Sum of "&amp;AI$9,'PT-All'!$A$1,"Scenario",AI$12,"P&amp;L Item",$B66)/AI$201,0),TEXT(IFERROR(GETPIVOTDATA("Sum of "&amp;AI$9,'PT-All'!$A$1,"Scenario",AI$12,"P&amp;L Item",$B66)/AI$29,0),"0.00%"))</f>
        <v>0</v>
      </c>
      <c r="AJ66" s="65">
        <f>CHOOSE(PLColumn,IFERROR(GETPIVOTDATA("Sum of "&amp;AJ$9,'PT-All'!$A$1,"Scenario",AJ$12,"P&amp;L Item",$B66),0),IFERROR(GETPIVOTDATA("Sum of "&amp;AJ$9,'PT-All'!$A$1,"Scenario",AJ$12,"P&amp;L Item",$B66)/AJ$201,0),TEXT(IFERROR(GETPIVOTDATA("Sum of "&amp;AJ$9,'PT-All'!$A$1,"Scenario",AJ$12,"P&amp;L Item",$B66)/AJ$29,0),"0.00%"))</f>
        <v>0</v>
      </c>
      <c r="AK66" s="65">
        <f>CHOOSE(PLColumn,IFERROR(GETPIVOTDATA("Sum of "&amp;AK$9,'PT-All'!$A$1,"Scenario",AK$12,"P&amp;L Item",$B66),0),IFERROR(GETPIVOTDATA("Sum of "&amp;AK$9,'PT-All'!$A$1,"Scenario",AK$12,"P&amp;L Item",$B66)/AK$201,0),TEXT(IFERROR(GETPIVOTDATA("Sum of "&amp;AK$9,'PT-All'!$A$1,"Scenario",AK$12,"P&amp;L Item",$B66)/AK$29,0),"0.00%"))</f>
        <v>0</v>
      </c>
      <c r="AL66" s="97">
        <f>CHOOSE(PLColumn,IFERROR(GETPIVOTDATA("Sum of "&amp;AL$9,'PT-All'!$A$1,"Scenario",AL$12,"P&amp;L Item",$B66),0),IFERROR(GETPIVOTDATA("Sum of "&amp;AL$9,'PT-All'!$A$1,"Scenario",AL$12,"P&amp;L Item",$B66)/AL$201,0),TEXT(IFERROR(GETPIVOTDATA("Sum of "&amp;AL$9,'PT-All'!$A$1,"Scenario",AL$12,"P&amp;L Item",$B66)/AL$29,0),"0.00%"))</f>
        <v>0</v>
      </c>
      <c r="AM66" s="590"/>
      <c r="AN66" s="108">
        <f ca="1">IF(AN$12="Pro Forma",SUM(OFFSET($B66,0,3*AN$9+1,1,3)),IFERROR(GETPIVOTDATA("Sum of Q"&amp;AN$9+1,'PT-All'!$A$1,"Scenario",AN$12,"P&amp;L Item",$B66),0))</f>
        <v>0</v>
      </c>
      <c r="AO66" s="65">
        <f ca="1">IF(AO$12="Pro Forma",SUM(OFFSET($B66,0,3*AO$9+1,1,3)),IFERROR(GETPIVOTDATA("Sum of Q"&amp;AO$9+1,'PT-All'!$A$1,"Scenario",AO$12,"P&amp;L Item",$B66),0))</f>
        <v>0</v>
      </c>
      <c r="AP66" s="65">
        <f ca="1">IF(AP$12="Pro Forma",SUM(OFFSET($B66,0,3*AP$9+1,1,3)),IFERROR(GETPIVOTDATA("Sum of Q"&amp;AP$9+1,'PT-All'!$A$1,"Scenario",AP$12,"P&amp;L Item",$B66),0))</f>
        <v>0</v>
      </c>
      <c r="AQ66" s="65">
        <f ca="1">IF(AQ$12="Pro Forma",SUM(OFFSET($B66,0,3*AQ$9+1,1,3)),IFERROR(GETPIVOTDATA("Sum of Q"&amp;AQ$9+1,'PT-All'!$A$1,"Scenario",AQ$12,"P&amp;L Item",$B66),0))</f>
        <v>0</v>
      </c>
      <c r="AR66" s="65">
        <f ca="1">IF(AR$12="Pro Forma",SUM(OFFSET($B66,0,3*AR$9+1,1,3)),IFERROR(GETPIVOTDATA("Sum of Q"&amp;AR$9+1,'PT-All'!$A$1,"Scenario",AR$12,"P&amp;L Item",$B66),0))</f>
        <v>0</v>
      </c>
      <c r="AS66" s="65">
        <f ca="1">IF(AS$12="Pro Forma",SUM(OFFSET($B66,0,3*AS$9+1,1,3)),IFERROR(GETPIVOTDATA("Sum of Q"&amp;AS$9+1,'PT-All'!$A$1,"Scenario",AS$12,"P&amp;L Item",$B66),0))</f>
        <v>0</v>
      </c>
      <c r="AT66" s="65">
        <f ca="1">IF(AT$12="Pro Forma",SUM(OFFSET($B66,0,3*AT$9+1,1,3)),IFERROR(GETPIVOTDATA("Sum of Q"&amp;AT$9+1,'PT-All'!$A$1,"Scenario",AT$12,"P&amp;L Item",$B66),0))</f>
        <v>0</v>
      </c>
      <c r="AU66" s="65">
        <f ca="1">IF(AU$12="Pro Forma",SUM(OFFSET($B66,0,3*AU$9+1,1,3)),IFERROR(GETPIVOTDATA("Sum of Q"&amp;AU$9+1,'PT-All'!$A$1,"Scenario",AU$12,"P&amp;L Item",$B66),0))</f>
        <v>0</v>
      </c>
      <c r="AV66" s="65">
        <f ca="1">IF(AV$12="Pro Forma",SUM(OFFSET($B66,0,3*AV$9+1,1,3)),IFERROR(GETPIVOTDATA("Sum of Q"&amp;AV$9+1,'PT-All'!$A$1,"Scenario",AV$12,"P&amp;L Item",$B66),0))</f>
        <v>0</v>
      </c>
      <c r="AW66" s="65">
        <f ca="1">IF(AW$12="Pro Forma",SUM(OFFSET($B66,0,3*AW$9+1,1,3)),IFERROR(GETPIVOTDATA("Sum of Q"&amp;AW$9+1,'PT-All'!$A$1,"Scenario",AW$12,"P&amp;L Item",$B66),0))</f>
        <v>0</v>
      </c>
      <c r="AX66" s="65">
        <f ca="1">IF(AX$12="Pro Forma",SUM(OFFSET($B66,0,3*AX$9+1,1,3)),IFERROR(GETPIVOTDATA("Sum of Q"&amp;AX$9+1,'PT-All'!$A$1,"Scenario",AX$12,"P&amp;L Item",$B66),0))</f>
        <v>0</v>
      </c>
      <c r="AY66" s="97">
        <f ca="1">IF(AY$12="Pro Forma",SUM(OFFSET($B66,0,3*AY$9+1,1,3)),IFERROR(GETPIVOTDATA("Sum of Q"&amp;AY$9+1,'PT-All'!$A$1,"Scenario",AY$12,"P&amp;L Item",$B66),0))</f>
        <v>0</v>
      </c>
      <c r="AZ66" s="590"/>
      <c r="BA66" s="108">
        <f ca="1">IF(BA$12="Pro Forma",SUM(OFFSET($B66,0,12*BA$9+1,1,12)),IFERROR(GETPIVOTDATA("Sum of FY"&amp;BA$9+1,'PT-All'!$A$1,"Scenario",BA$12,"P&amp;L Item",$B66),0))</f>
        <v>0</v>
      </c>
      <c r="BB66" s="65">
        <f ca="1">IF(BB$12="Pro Forma",SUM(OFFSET($B66,0,12*BB$9+1,1,12)),IFERROR(GETPIVOTDATA("Sum of FY"&amp;BB$9+1,'PT-All'!$A$1,"Scenario",BB$12,"P&amp;L Item",$B66),0))</f>
        <v>0</v>
      </c>
      <c r="BC66" s="97">
        <f ca="1">IF(BC$12="Pro Forma",SUM(OFFSET($B66,0,12*BC$9+1,1,12)),IFERROR(GETPIVOTDATA("Sum of FY"&amp;BC$9+1,'PT-All'!$A$1,"Scenario",BC$12,"P&amp;L Item",$B66),0))</f>
        <v>0</v>
      </c>
    </row>
    <row r="67" spans="2:55" x14ac:dyDescent="0.35">
      <c r="B67" s="64" t="s">
        <v>101</v>
      </c>
      <c r="C67" s="65">
        <f>CHOOSE(PLColumn,IFERROR(GETPIVOTDATA("Sum of "&amp;C$9,'PT-All'!$A$1,"Scenario",C$12,"P&amp;L Item",$B67),0),IFERROR(GETPIVOTDATA("Sum of "&amp;C$9,'PT-All'!$A$1,"Scenario",C$12,"P&amp;L Item",$B67)/C$201,0),TEXT(IFERROR(GETPIVOTDATA("Sum of "&amp;C$9,'PT-All'!$A$1,"Scenario",C$12,"P&amp;L Item",$B67)/C$29,0),"0.00%"))</f>
        <v>0</v>
      </c>
      <c r="D67" s="65">
        <f>CHOOSE(PLColumn,IFERROR(GETPIVOTDATA("Sum of "&amp;D$9,'PT-All'!$A$1,"Scenario",D$12,"P&amp;L Item",$B67),0),IFERROR(GETPIVOTDATA("Sum of "&amp;D$9,'PT-All'!$A$1,"Scenario",D$12,"P&amp;L Item",$B67)/D$201,0),TEXT(IFERROR(GETPIVOTDATA("Sum of "&amp;D$9,'PT-All'!$A$1,"Scenario",D$12,"P&amp;L Item",$B67)/D$29,0),"0.00%"))</f>
        <v>0</v>
      </c>
      <c r="E67" s="65">
        <f>CHOOSE(PLColumn,IFERROR(GETPIVOTDATA("Sum of "&amp;E$9,'PT-All'!$A$1,"Scenario",E$12,"P&amp;L Item",$B67),0),IFERROR(GETPIVOTDATA("Sum of "&amp;E$9,'PT-All'!$A$1,"Scenario",E$12,"P&amp;L Item",$B67)/E$201,0),TEXT(IFERROR(GETPIVOTDATA("Sum of "&amp;E$9,'PT-All'!$A$1,"Scenario",E$12,"P&amp;L Item",$B67)/E$29,0),"0.00%"))</f>
        <v>0</v>
      </c>
      <c r="F67" s="65">
        <f>CHOOSE(PLColumn,IFERROR(GETPIVOTDATA("Sum of "&amp;F$9,'PT-All'!$A$1,"Scenario",F$12,"P&amp;L Item",$B67),0),IFERROR(GETPIVOTDATA("Sum of "&amp;F$9,'PT-All'!$A$1,"Scenario",F$12,"P&amp;L Item",$B67)/F$201,0),TEXT(IFERROR(GETPIVOTDATA("Sum of "&amp;F$9,'PT-All'!$A$1,"Scenario",F$12,"P&amp;L Item",$B67)/F$29,0),"0.00%"))</f>
        <v>0</v>
      </c>
      <c r="G67" s="65">
        <f>CHOOSE(PLColumn,IFERROR(GETPIVOTDATA("Sum of "&amp;G$9,'PT-All'!$A$1,"Scenario",G$12,"P&amp;L Item",$B67),0),IFERROR(GETPIVOTDATA("Sum of "&amp;G$9,'PT-All'!$A$1,"Scenario",G$12,"P&amp;L Item",$B67)/G$201,0),TEXT(IFERROR(GETPIVOTDATA("Sum of "&amp;G$9,'PT-All'!$A$1,"Scenario",G$12,"P&amp;L Item",$B67)/G$29,0),"0.00%"))</f>
        <v>0</v>
      </c>
      <c r="H67" s="65">
        <f>CHOOSE(PLColumn,IFERROR(GETPIVOTDATA("Sum of "&amp;H$9,'PT-All'!$A$1,"Scenario",H$12,"P&amp;L Item",$B67),0),IFERROR(GETPIVOTDATA("Sum of "&amp;H$9,'PT-All'!$A$1,"Scenario",H$12,"P&amp;L Item",$B67)/H$201,0),TEXT(IFERROR(GETPIVOTDATA("Sum of "&amp;H$9,'PT-All'!$A$1,"Scenario",H$12,"P&amp;L Item",$B67)/H$29,0),"0.00%"))</f>
        <v>0</v>
      </c>
      <c r="I67" s="65">
        <f>CHOOSE(PLColumn,IFERROR(GETPIVOTDATA("Sum of "&amp;I$9,'PT-All'!$A$1,"Scenario",I$12,"P&amp;L Item",$B67),0),IFERROR(GETPIVOTDATA("Sum of "&amp;I$9,'PT-All'!$A$1,"Scenario",I$12,"P&amp;L Item",$B67)/I$201,0),TEXT(IFERROR(GETPIVOTDATA("Sum of "&amp;I$9,'PT-All'!$A$1,"Scenario",I$12,"P&amp;L Item",$B67)/I$29,0),"0.00%"))</f>
        <v>0</v>
      </c>
      <c r="J67" s="65">
        <f>CHOOSE(PLColumn,IFERROR(GETPIVOTDATA("Sum of "&amp;J$9,'PT-All'!$A$1,"Scenario",J$12,"P&amp;L Item",$B67),0),IFERROR(GETPIVOTDATA("Sum of "&amp;J$9,'PT-All'!$A$1,"Scenario",J$12,"P&amp;L Item",$B67)/J$201,0),TEXT(IFERROR(GETPIVOTDATA("Sum of "&amp;J$9,'PT-All'!$A$1,"Scenario",J$12,"P&amp;L Item",$B67)/J$29,0),"0.00%"))</f>
        <v>0</v>
      </c>
      <c r="K67" s="65">
        <f>CHOOSE(PLColumn,IFERROR(GETPIVOTDATA("Sum of "&amp;K$9,'PT-All'!$A$1,"Scenario",K$12,"P&amp;L Item",$B67),0),IFERROR(GETPIVOTDATA("Sum of "&amp;K$9,'PT-All'!$A$1,"Scenario",K$12,"P&amp;L Item",$B67)/K$201,0),TEXT(IFERROR(GETPIVOTDATA("Sum of "&amp;K$9,'PT-All'!$A$1,"Scenario",K$12,"P&amp;L Item",$B67)/K$29,0),"0.00%"))</f>
        <v>0</v>
      </c>
      <c r="L67" s="65">
        <f>CHOOSE(PLColumn,IFERROR(GETPIVOTDATA("Sum of "&amp;L$9,'PT-All'!$A$1,"Scenario",L$12,"P&amp;L Item",$B67),0),IFERROR(GETPIVOTDATA("Sum of "&amp;L$9,'PT-All'!$A$1,"Scenario",L$12,"P&amp;L Item",$B67)/L$201,0),TEXT(IFERROR(GETPIVOTDATA("Sum of "&amp;L$9,'PT-All'!$A$1,"Scenario",L$12,"P&amp;L Item",$B67)/L$29,0),"0.00%"))</f>
        <v>0</v>
      </c>
      <c r="M67" s="65">
        <f>CHOOSE(PLColumn,IFERROR(GETPIVOTDATA("Sum of "&amp;M$9,'PT-All'!$A$1,"Scenario",M$12,"P&amp;L Item",$B67),0),IFERROR(GETPIVOTDATA("Sum of "&amp;M$9,'PT-All'!$A$1,"Scenario",M$12,"P&amp;L Item",$B67)/M$201,0),TEXT(IFERROR(GETPIVOTDATA("Sum of "&amp;M$9,'PT-All'!$A$1,"Scenario",M$12,"P&amp;L Item",$B67)/M$29,0),"0.00%"))</f>
        <v>0</v>
      </c>
      <c r="N67" s="65">
        <f>CHOOSE(PLColumn,IFERROR(GETPIVOTDATA("Sum of "&amp;N$9,'PT-All'!$A$1,"Scenario",N$12,"P&amp;L Item",$B67),0),IFERROR(GETPIVOTDATA("Sum of "&amp;N$9,'PT-All'!$A$1,"Scenario",N$12,"P&amp;L Item",$B67)/N$201,0),TEXT(IFERROR(GETPIVOTDATA("Sum of "&amp;N$9,'PT-All'!$A$1,"Scenario",N$12,"P&amp;L Item",$B67)/N$29,0),"0.00%"))</f>
        <v>0</v>
      </c>
      <c r="O67" s="65">
        <f>CHOOSE(PLColumn,IFERROR(GETPIVOTDATA("Sum of "&amp;O$9,'PT-All'!$A$1,"Scenario",O$12,"P&amp;L Item",$B67),0),IFERROR(GETPIVOTDATA("Sum of "&amp;O$9,'PT-All'!$A$1,"Scenario",O$12,"P&amp;L Item",$B67)/O$201,0),TEXT(IFERROR(GETPIVOTDATA("Sum of "&amp;O$9,'PT-All'!$A$1,"Scenario",O$12,"P&amp;L Item",$B67)/O$29,0),"0.00%"))</f>
        <v>0</v>
      </c>
      <c r="P67" s="65">
        <f>CHOOSE(PLColumn,IFERROR(GETPIVOTDATA("Sum of "&amp;P$9,'PT-All'!$A$1,"Scenario",P$12,"P&amp;L Item",$B67),0),IFERROR(GETPIVOTDATA("Sum of "&amp;P$9,'PT-All'!$A$1,"Scenario",P$12,"P&amp;L Item",$B67)/P$201,0),TEXT(IFERROR(GETPIVOTDATA("Sum of "&amp;P$9,'PT-All'!$A$1,"Scenario",P$12,"P&amp;L Item",$B67)/P$29,0),"0.00%"))</f>
        <v>0</v>
      </c>
      <c r="Q67" s="65">
        <f>CHOOSE(PLColumn,IFERROR(GETPIVOTDATA("Sum of "&amp;Q$9,'PT-All'!$A$1,"Scenario",Q$12,"P&amp;L Item",$B67),0),IFERROR(GETPIVOTDATA("Sum of "&amp;Q$9,'PT-All'!$A$1,"Scenario",Q$12,"P&amp;L Item",$B67)/Q$201,0),TEXT(IFERROR(GETPIVOTDATA("Sum of "&amp;Q$9,'PT-All'!$A$1,"Scenario",Q$12,"P&amp;L Item",$B67)/Q$29,0),"0.00%"))</f>
        <v>0</v>
      </c>
      <c r="R67" s="65">
        <f>CHOOSE(PLColumn,IFERROR(GETPIVOTDATA("Sum of "&amp;R$9,'PT-All'!$A$1,"Scenario",R$12,"P&amp;L Item",$B67),0),IFERROR(GETPIVOTDATA("Sum of "&amp;R$9,'PT-All'!$A$1,"Scenario",R$12,"P&amp;L Item",$B67)/R$201,0),TEXT(IFERROR(GETPIVOTDATA("Sum of "&amp;R$9,'PT-All'!$A$1,"Scenario",R$12,"P&amp;L Item",$B67)/R$29,0),"0.00%"))</f>
        <v>0</v>
      </c>
      <c r="S67" s="65">
        <f>CHOOSE(PLColumn,IFERROR(GETPIVOTDATA("Sum of "&amp;S$9,'PT-All'!$A$1,"Scenario",S$12,"P&amp;L Item",$B67),0),IFERROR(GETPIVOTDATA("Sum of "&amp;S$9,'PT-All'!$A$1,"Scenario",S$12,"P&amp;L Item",$B67)/S$201,0),TEXT(IFERROR(GETPIVOTDATA("Sum of "&amp;S$9,'PT-All'!$A$1,"Scenario",S$12,"P&amp;L Item",$B67)/S$29,0),"0.00%"))</f>
        <v>0</v>
      </c>
      <c r="T67" s="65">
        <f>CHOOSE(PLColumn,IFERROR(GETPIVOTDATA("Sum of "&amp;T$9,'PT-All'!$A$1,"Scenario",T$12,"P&amp;L Item",$B67),0),IFERROR(GETPIVOTDATA("Sum of "&amp;T$9,'PT-All'!$A$1,"Scenario",T$12,"P&amp;L Item",$B67)/T$201,0),TEXT(IFERROR(GETPIVOTDATA("Sum of "&amp;T$9,'PT-All'!$A$1,"Scenario",T$12,"P&amp;L Item",$B67)/T$29,0),"0.00%"))</f>
        <v>0</v>
      </c>
      <c r="U67" s="65">
        <f>CHOOSE(PLColumn,IFERROR(GETPIVOTDATA("Sum of "&amp;U$9,'PT-All'!$A$1,"Scenario",U$12,"P&amp;L Item",$B67),0),IFERROR(GETPIVOTDATA("Sum of "&amp;U$9,'PT-All'!$A$1,"Scenario",U$12,"P&amp;L Item",$B67)/U$201,0),TEXT(IFERROR(GETPIVOTDATA("Sum of "&amp;U$9,'PT-All'!$A$1,"Scenario",U$12,"P&amp;L Item",$B67)/U$29,0),"0.00%"))</f>
        <v>0</v>
      </c>
      <c r="V67" s="65">
        <f>CHOOSE(PLColumn,IFERROR(GETPIVOTDATA("Sum of "&amp;V$9,'PT-All'!$A$1,"Scenario",V$12,"P&amp;L Item",$B67),0),IFERROR(GETPIVOTDATA("Sum of "&amp;V$9,'PT-All'!$A$1,"Scenario",V$12,"P&amp;L Item",$B67)/V$201,0),TEXT(IFERROR(GETPIVOTDATA("Sum of "&amp;V$9,'PT-All'!$A$1,"Scenario",V$12,"P&amp;L Item",$B67)/V$29,0),"0.00%"))</f>
        <v>0</v>
      </c>
      <c r="W67" s="65">
        <f>CHOOSE(PLColumn,IFERROR(GETPIVOTDATA("Sum of "&amp;W$9,'PT-All'!$A$1,"Scenario",W$12,"P&amp;L Item",$B67),0),IFERROR(GETPIVOTDATA("Sum of "&amp;W$9,'PT-All'!$A$1,"Scenario",W$12,"P&amp;L Item",$B67)/W$201,0),TEXT(IFERROR(GETPIVOTDATA("Sum of "&amp;W$9,'PT-All'!$A$1,"Scenario",W$12,"P&amp;L Item",$B67)/W$29,0),"0.00%"))</f>
        <v>0</v>
      </c>
      <c r="X67" s="65">
        <f>CHOOSE(PLColumn,IFERROR(GETPIVOTDATA("Sum of "&amp;X$9,'PT-All'!$A$1,"Scenario",X$12,"P&amp;L Item",$B67),0),IFERROR(GETPIVOTDATA("Sum of "&amp;X$9,'PT-All'!$A$1,"Scenario",X$12,"P&amp;L Item",$B67)/X$201,0),TEXT(IFERROR(GETPIVOTDATA("Sum of "&amp;X$9,'PT-All'!$A$1,"Scenario",X$12,"P&amp;L Item",$B67)/X$29,0),"0.00%"))</f>
        <v>0</v>
      </c>
      <c r="Y67" s="65">
        <f>CHOOSE(PLColumn,IFERROR(GETPIVOTDATA("Sum of "&amp;Y$9,'PT-All'!$A$1,"Scenario",Y$12,"P&amp;L Item",$B67),0),IFERROR(GETPIVOTDATA("Sum of "&amp;Y$9,'PT-All'!$A$1,"Scenario",Y$12,"P&amp;L Item",$B67)/Y$201,0),TEXT(IFERROR(GETPIVOTDATA("Sum of "&amp;Y$9,'PT-All'!$A$1,"Scenario",Y$12,"P&amp;L Item",$B67)/Y$29,0),"0.00%"))</f>
        <v>0</v>
      </c>
      <c r="Z67" s="65">
        <f>CHOOSE(PLColumn,IFERROR(GETPIVOTDATA("Sum of "&amp;Z$9,'PT-All'!$A$1,"Scenario",Z$12,"P&amp;L Item",$B67),0),IFERROR(GETPIVOTDATA("Sum of "&amp;Z$9,'PT-All'!$A$1,"Scenario",Z$12,"P&amp;L Item",$B67)/Z$201,0),TEXT(IFERROR(GETPIVOTDATA("Sum of "&amp;Z$9,'PT-All'!$A$1,"Scenario",Z$12,"P&amp;L Item",$B67)/Z$29,0),"0.00%"))</f>
        <v>0</v>
      </c>
      <c r="AA67" s="65">
        <f>CHOOSE(PLColumn,IFERROR(GETPIVOTDATA("Sum of "&amp;AA$9,'PT-All'!$A$1,"Scenario",AA$12,"P&amp;L Item",$B67),0),IFERROR(GETPIVOTDATA("Sum of "&amp;AA$9,'PT-All'!$A$1,"Scenario",AA$12,"P&amp;L Item",$B67)/AA$201,0),TEXT(IFERROR(GETPIVOTDATA("Sum of "&amp;AA$9,'PT-All'!$A$1,"Scenario",AA$12,"P&amp;L Item",$B67)/AA$29,0),"0.00%"))</f>
        <v>0</v>
      </c>
      <c r="AB67" s="65">
        <f>CHOOSE(PLColumn,IFERROR(GETPIVOTDATA("Sum of "&amp;AB$9,'PT-All'!$A$1,"Scenario",AB$12,"P&amp;L Item",$B67),0),IFERROR(GETPIVOTDATA("Sum of "&amp;AB$9,'PT-All'!$A$1,"Scenario",AB$12,"P&amp;L Item",$B67)/AB$201,0),TEXT(IFERROR(GETPIVOTDATA("Sum of "&amp;AB$9,'PT-All'!$A$1,"Scenario",AB$12,"P&amp;L Item",$B67)/AB$29,0),"0.00%"))</f>
        <v>0</v>
      </c>
      <c r="AC67" s="65">
        <f>CHOOSE(PLColumn,IFERROR(GETPIVOTDATA("Sum of "&amp;AC$9,'PT-All'!$A$1,"Scenario",AC$12,"P&amp;L Item",$B67),0),IFERROR(GETPIVOTDATA("Sum of "&amp;AC$9,'PT-All'!$A$1,"Scenario",AC$12,"P&amp;L Item",$B67)/AC$201,0),TEXT(IFERROR(GETPIVOTDATA("Sum of "&amp;AC$9,'PT-All'!$A$1,"Scenario",AC$12,"P&amp;L Item",$B67)/AC$29,0),"0.00%"))</f>
        <v>0</v>
      </c>
      <c r="AD67" s="65">
        <f>CHOOSE(PLColumn,IFERROR(GETPIVOTDATA("Sum of "&amp;AD$9,'PT-All'!$A$1,"Scenario",AD$12,"P&amp;L Item",$B67),0),IFERROR(GETPIVOTDATA("Sum of "&amp;AD$9,'PT-All'!$A$1,"Scenario",AD$12,"P&amp;L Item",$B67)/AD$201,0),TEXT(IFERROR(GETPIVOTDATA("Sum of "&amp;AD$9,'PT-All'!$A$1,"Scenario",AD$12,"P&amp;L Item",$B67)/AD$29,0),"0.00%"))</f>
        <v>0</v>
      </c>
      <c r="AE67" s="65">
        <f>CHOOSE(PLColumn,IFERROR(GETPIVOTDATA("Sum of "&amp;AE$9,'PT-All'!$A$1,"Scenario",AE$12,"P&amp;L Item",$B67),0),IFERROR(GETPIVOTDATA("Sum of "&amp;AE$9,'PT-All'!$A$1,"Scenario",AE$12,"P&amp;L Item",$B67)/AE$201,0),TEXT(IFERROR(GETPIVOTDATA("Sum of "&amp;AE$9,'PT-All'!$A$1,"Scenario",AE$12,"P&amp;L Item",$B67)/AE$29,0),"0.00%"))</f>
        <v>0</v>
      </c>
      <c r="AF67" s="65">
        <f>CHOOSE(PLColumn,IFERROR(GETPIVOTDATA("Sum of "&amp;AF$9,'PT-All'!$A$1,"Scenario",AF$12,"P&amp;L Item",$B67),0),IFERROR(GETPIVOTDATA("Sum of "&amp;AF$9,'PT-All'!$A$1,"Scenario",AF$12,"P&amp;L Item",$B67)/AF$201,0),TEXT(IFERROR(GETPIVOTDATA("Sum of "&amp;AF$9,'PT-All'!$A$1,"Scenario",AF$12,"P&amp;L Item",$B67)/AF$29,0),"0.00%"))</f>
        <v>0</v>
      </c>
      <c r="AG67" s="65">
        <f>CHOOSE(PLColumn,IFERROR(GETPIVOTDATA("Sum of "&amp;AG$9,'PT-All'!$A$1,"Scenario",AG$12,"P&amp;L Item",$B67),0),IFERROR(GETPIVOTDATA("Sum of "&amp;AG$9,'PT-All'!$A$1,"Scenario",AG$12,"P&amp;L Item",$B67)/AG$201,0),TEXT(IFERROR(GETPIVOTDATA("Sum of "&amp;AG$9,'PT-All'!$A$1,"Scenario",AG$12,"P&amp;L Item",$B67)/AG$29,0),"0.00%"))</f>
        <v>0</v>
      </c>
      <c r="AH67" s="65">
        <f>CHOOSE(PLColumn,IFERROR(GETPIVOTDATA("Sum of "&amp;AH$9,'PT-All'!$A$1,"Scenario",AH$12,"P&amp;L Item",$B67),0),IFERROR(GETPIVOTDATA("Sum of "&amp;AH$9,'PT-All'!$A$1,"Scenario",AH$12,"P&amp;L Item",$B67)/AH$201,0),TEXT(IFERROR(GETPIVOTDATA("Sum of "&amp;AH$9,'PT-All'!$A$1,"Scenario",AH$12,"P&amp;L Item",$B67)/AH$29,0),"0.00%"))</f>
        <v>0</v>
      </c>
      <c r="AI67" s="65">
        <f>CHOOSE(PLColumn,IFERROR(GETPIVOTDATA("Sum of "&amp;AI$9,'PT-All'!$A$1,"Scenario",AI$12,"P&amp;L Item",$B67),0),IFERROR(GETPIVOTDATA("Sum of "&amp;AI$9,'PT-All'!$A$1,"Scenario",AI$12,"P&amp;L Item",$B67)/AI$201,0),TEXT(IFERROR(GETPIVOTDATA("Sum of "&amp;AI$9,'PT-All'!$A$1,"Scenario",AI$12,"P&amp;L Item",$B67)/AI$29,0),"0.00%"))</f>
        <v>0</v>
      </c>
      <c r="AJ67" s="65">
        <f>CHOOSE(PLColumn,IFERROR(GETPIVOTDATA("Sum of "&amp;AJ$9,'PT-All'!$A$1,"Scenario",AJ$12,"P&amp;L Item",$B67),0),IFERROR(GETPIVOTDATA("Sum of "&amp;AJ$9,'PT-All'!$A$1,"Scenario",AJ$12,"P&amp;L Item",$B67)/AJ$201,0),TEXT(IFERROR(GETPIVOTDATA("Sum of "&amp;AJ$9,'PT-All'!$A$1,"Scenario",AJ$12,"P&amp;L Item",$B67)/AJ$29,0),"0.00%"))</f>
        <v>0</v>
      </c>
      <c r="AK67" s="65">
        <f>CHOOSE(PLColumn,IFERROR(GETPIVOTDATA("Sum of "&amp;AK$9,'PT-All'!$A$1,"Scenario",AK$12,"P&amp;L Item",$B67),0),IFERROR(GETPIVOTDATA("Sum of "&amp;AK$9,'PT-All'!$A$1,"Scenario",AK$12,"P&amp;L Item",$B67)/AK$201,0),TEXT(IFERROR(GETPIVOTDATA("Sum of "&amp;AK$9,'PT-All'!$A$1,"Scenario",AK$12,"P&amp;L Item",$B67)/AK$29,0),"0.00%"))</f>
        <v>0</v>
      </c>
      <c r="AL67" s="97">
        <f>CHOOSE(PLColumn,IFERROR(GETPIVOTDATA("Sum of "&amp;AL$9,'PT-All'!$A$1,"Scenario",AL$12,"P&amp;L Item",$B67),0),IFERROR(GETPIVOTDATA("Sum of "&amp;AL$9,'PT-All'!$A$1,"Scenario",AL$12,"P&amp;L Item",$B67)/AL$201,0),TEXT(IFERROR(GETPIVOTDATA("Sum of "&amp;AL$9,'PT-All'!$A$1,"Scenario",AL$12,"P&amp;L Item",$B67)/AL$29,0),"0.00%"))</f>
        <v>0</v>
      </c>
      <c r="AM67" s="590"/>
      <c r="AN67" s="108">
        <f ca="1">IF(AN$12="Pro Forma",SUM(OFFSET($B67,0,3*AN$9+1,1,3)),IFERROR(GETPIVOTDATA("Sum of Q"&amp;AN$9+1,'PT-All'!$A$1,"Scenario",AN$12,"P&amp;L Item",$B67),0))</f>
        <v>0</v>
      </c>
      <c r="AO67" s="65">
        <f ca="1">IF(AO$12="Pro Forma",SUM(OFFSET($B67,0,3*AO$9+1,1,3)),IFERROR(GETPIVOTDATA("Sum of Q"&amp;AO$9+1,'PT-All'!$A$1,"Scenario",AO$12,"P&amp;L Item",$B67),0))</f>
        <v>0</v>
      </c>
      <c r="AP67" s="65">
        <f ca="1">IF(AP$12="Pro Forma",SUM(OFFSET($B67,0,3*AP$9+1,1,3)),IFERROR(GETPIVOTDATA("Sum of Q"&amp;AP$9+1,'PT-All'!$A$1,"Scenario",AP$12,"P&amp;L Item",$B67),0))</f>
        <v>0</v>
      </c>
      <c r="AQ67" s="65">
        <f ca="1">IF(AQ$12="Pro Forma",SUM(OFFSET($B67,0,3*AQ$9+1,1,3)),IFERROR(GETPIVOTDATA("Sum of Q"&amp;AQ$9+1,'PT-All'!$A$1,"Scenario",AQ$12,"P&amp;L Item",$B67),0))</f>
        <v>0</v>
      </c>
      <c r="AR67" s="65">
        <f ca="1">IF(AR$12="Pro Forma",SUM(OFFSET($B67,0,3*AR$9+1,1,3)),IFERROR(GETPIVOTDATA("Sum of Q"&amp;AR$9+1,'PT-All'!$A$1,"Scenario",AR$12,"P&amp;L Item",$B67),0))</f>
        <v>0</v>
      </c>
      <c r="AS67" s="65">
        <f ca="1">IF(AS$12="Pro Forma",SUM(OFFSET($B67,0,3*AS$9+1,1,3)),IFERROR(GETPIVOTDATA("Sum of Q"&amp;AS$9+1,'PT-All'!$A$1,"Scenario",AS$12,"P&amp;L Item",$B67),0))</f>
        <v>0</v>
      </c>
      <c r="AT67" s="65">
        <f ca="1">IF(AT$12="Pro Forma",SUM(OFFSET($B67,0,3*AT$9+1,1,3)),IFERROR(GETPIVOTDATA("Sum of Q"&amp;AT$9+1,'PT-All'!$A$1,"Scenario",AT$12,"P&amp;L Item",$B67),0))</f>
        <v>0</v>
      </c>
      <c r="AU67" s="65">
        <f ca="1">IF(AU$12="Pro Forma",SUM(OFFSET($B67,0,3*AU$9+1,1,3)),IFERROR(GETPIVOTDATA("Sum of Q"&amp;AU$9+1,'PT-All'!$A$1,"Scenario",AU$12,"P&amp;L Item",$B67),0))</f>
        <v>0</v>
      </c>
      <c r="AV67" s="65">
        <f ca="1">IF(AV$12="Pro Forma",SUM(OFFSET($B67,0,3*AV$9+1,1,3)),IFERROR(GETPIVOTDATA("Sum of Q"&amp;AV$9+1,'PT-All'!$A$1,"Scenario",AV$12,"P&amp;L Item",$B67),0))</f>
        <v>0</v>
      </c>
      <c r="AW67" s="65">
        <f ca="1">IF(AW$12="Pro Forma",SUM(OFFSET($B67,0,3*AW$9+1,1,3)),IFERROR(GETPIVOTDATA("Sum of Q"&amp;AW$9+1,'PT-All'!$A$1,"Scenario",AW$12,"P&amp;L Item",$B67),0))</f>
        <v>0</v>
      </c>
      <c r="AX67" s="65">
        <f ca="1">IF(AX$12="Pro Forma",SUM(OFFSET($B67,0,3*AX$9+1,1,3)),IFERROR(GETPIVOTDATA("Sum of Q"&amp;AX$9+1,'PT-All'!$A$1,"Scenario",AX$12,"P&amp;L Item",$B67),0))</f>
        <v>0</v>
      </c>
      <c r="AY67" s="97">
        <f ca="1">IF(AY$12="Pro Forma",SUM(OFFSET($B67,0,3*AY$9+1,1,3)),IFERROR(GETPIVOTDATA("Sum of Q"&amp;AY$9+1,'PT-All'!$A$1,"Scenario",AY$12,"P&amp;L Item",$B67),0))</f>
        <v>0</v>
      </c>
      <c r="AZ67" s="590"/>
      <c r="BA67" s="108">
        <f ca="1">IF(BA$12="Pro Forma",SUM(OFFSET($B67,0,12*BA$9+1,1,12)),IFERROR(GETPIVOTDATA("Sum of FY"&amp;BA$9+1,'PT-All'!$A$1,"Scenario",BA$12,"P&amp;L Item",$B67),0))</f>
        <v>0</v>
      </c>
      <c r="BB67" s="65">
        <f ca="1">IF(BB$12="Pro Forma",SUM(OFFSET($B67,0,12*BB$9+1,1,12)),IFERROR(GETPIVOTDATA("Sum of FY"&amp;BB$9+1,'PT-All'!$A$1,"Scenario",BB$12,"P&amp;L Item",$B67),0))</f>
        <v>0</v>
      </c>
      <c r="BC67" s="97">
        <f ca="1">IF(BC$12="Pro Forma",SUM(OFFSET($B67,0,12*BC$9+1,1,12)),IFERROR(GETPIVOTDATA("Sum of FY"&amp;BC$9+1,'PT-All'!$A$1,"Scenario",BC$12,"P&amp;L Item",$B67),0))</f>
        <v>0</v>
      </c>
    </row>
    <row r="68" spans="2:55" x14ac:dyDescent="0.35">
      <c r="B68" s="64" t="s">
        <v>102</v>
      </c>
      <c r="C68" s="65">
        <f>CHOOSE(PLColumn,IFERROR(GETPIVOTDATA("Sum of "&amp;C$9,'PT-All'!$A$1,"Scenario",C$12,"P&amp;L Item",$B68),0),IFERROR(GETPIVOTDATA("Sum of "&amp;C$9,'PT-All'!$A$1,"Scenario",C$12,"P&amp;L Item",$B68)/C$201,0),TEXT(IFERROR(GETPIVOTDATA("Sum of "&amp;C$9,'PT-All'!$A$1,"Scenario",C$12,"P&amp;L Item",$B68)/C$29,0),"0.00%"))</f>
        <v>0</v>
      </c>
      <c r="D68" s="65">
        <f>CHOOSE(PLColumn,IFERROR(GETPIVOTDATA("Sum of "&amp;D$9,'PT-All'!$A$1,"Scenario",D$12,"P&amp;L Item",$B68),0),IFERROR(GETPIVOTDATA("Sum of "&amp;D$9,'PT-All'!$A$1,"Scenario",D$12,"P&amp;L Item",$B68)/D$201,0),TEXT(IFERROR(GETPIVOTDATA("Sum of "&amp;D$9,'PT-All'!$A$1,"Scenario",D$12,"P&amp;L Item",$B68)/D$29,0),"0.00%"))</f>
        <v>0</v>
      </c>
      <c r="E68" s="65">
        <f>CHOOSE(PLColumn,IFERROR(GETPIVOTDATA("Sum of "&amp;E$9,'PT-All'!$A$1,"Scenario",E$12,"P&amp;L Item",$B68),0),IFERROR(GETPIVOTDATA("Sum of "&amp;E$9,'PT-All'!$A$1,"Scenario",E$12,"P&amp;L Item",$B68)/E$201,0),TEXT(IFERROR(GETPIVOTDATA("Sum of "&amp;E$9,'PT-All'!$A$1,"Scenario",E$12,"P&amp;L Item",$B68)/E$29,0),"0.00%"))</f>
        <v>0</v>
      </c>
      <c r="F68" s="65">
        <f>CHOOSE(PLColumn,IFERROR(GETPIVOTDATA("Sum of "&amp;F$9,'PT-All'!$A$1,"Scenario",F$12,"P&amp;L Item",$B68),0),IFERROR(GETPIVOTDATA("Sum of "&amp;F$9,'PT-All'!$A$1,"Scenario",F$12,"P&amp;L Item",$B68)/F$201,0),TEXT(IFERROR(GETPIVOTDATA("Sum of "&amp;F$9,'PT-All'!$A$1,"Scenario",F$12,"P&amp;L Item",$B68)/F$29,0),"0.00%"))</f>
        <v>0</v>
      </c>
      <c r="G68" s="65">
        <f>CHOOSE(PLColumn,IFERROR(GETPIVOTDATA("Sum of "&amp;G$9,'PT-All'!$A$1,"Scenario",G$12,"P&amp;L Item",$B68),0),IFERROR(GETPIVOTDATA("Sum of "&amp;G$9,'PT-All'!$A$1,"Scenario",G$12,"P&amp;L Item",$B68)/G$201,0),TEXT(IFERROR(GETPIVOTDATA("Sum of "&amp;G$9,'PT-All'!$A$1,"Scenario",G$12,"P&amp;L Item",$B68)/G$29,0),"0.00%"))</f>
        <v>0</v>
      </c>
      <c r="H68" s="65">
        <f>CHOOSE(PLColumn,IFERROR(GETPIVOTDATA("Sum of "&amp;H$9,'PT-All'!$A$1,"Scenario",H$12,"P&amp;L Item",$B68),0),IFERROR(GETPIVOTDATA("Sum of "&amp;H$9,'PT-All'!$A$1,"Scenario",H$12,"P&amp;L Item",$B68)/H$201,0),TEXT(IFERROR(GETPIVOTDATA("Sum of "&amp;H$9,'PT-All'!$A$1,"Scenario",H$12,"P&amp;L Item",$B68)/H$29,0),"0.00%"))</f>
        <v>0</v>
      </c>
      <c r="I68" s="65">
        <f>CHOOSE(PLColumn,IFERROR(GETPIVOTDATA("Sum of "&amp;I$9,'PT-All'!$A$1,"Scenario",I$12,"P&amp;L Item",$B68),0),IFERROR(GETPIVOTDATA("Sum of "&amp;I$9,'PT-All'!$A$1,"Scenario",I$12,"P&amp;L Item",$B68)/I$201,0),TEXT(IFERROR(GETPIVOTDATA("Sum of "&amp;I$9,'PT-All'!$A$1,"Scenario",I$12,"P&amp;L Item",$B68)/I$29,0),"0.00%"))</f>
        <v>0</v>
      </c>
      <c r="J68" s="65">
        <f>CHOOSE(PLColumn,IFERROR(GETPIVOTDATA("Sum of "&amp;J$9,'PT-All'!$A$1,"Scenario",J$12,"P&amp;L Item",$B68),0),IFERROR(GETPIVOTDATA("Sum of "&amp;J$9,'PT-All'!$A$1,"Scenario",J$12,"P&amp;L Item",$B68)/J$201,0),TEXT(IFERROR(GETPIVOTDATA("Sum of "&amp;J$9,'PT-All'!$A$1,"Scenario",J$12,"P&amp;L Item",$B68)/J$29,0),"0.00%"))</f>
        <v>0</v>
      </c>
      <c r="K68" s="65">
        <f>CHOOSE(PLColumn,IFERROR(GETPIVOTDATA("Sum of "&amp;K$9,'PT-All'!$A$1,"Scenario",K$12,"P&amp;L Item",$B68),0),IFERROR(GETPIVOTDATA("Sum of "&amp;K$9,'PT-All'!$A$1,"Scenario",K$12,"P&amp;L Item",$B68)/K$201,0),TEXT(IFERROR(GETPIVOTDATA("Sum of "&amp;K$9,'PT-All'!$A$1,"Scenario",K$12,"P&amp;L Item",$B68)/K$29,0),"0.00%"))</f>
        <v>0</v>
      </c>
      <c r="L68" s="65">
        <f>CHOOSE(PLColumn,IFERROR(GETPIVOTDATA("Sum of "&amp;L$9,'PT-All'!$A$1,"Scenario",L$12,"P&amp;L Item",$B68),0),IFERROR(GETPIVOTDATA("Sum of "&amp;L$9,'PT-All'!$A$1,"Scenario",L$12,"P&amp;L Item",$B68)/L$201,0),TEXT(IFERROR(GETPIVOTDATA("Sum of "&amp;L$9,'PT-All'!$A$1,"Scenario",L$12,"P&amp;L Item",$B68)/L$29,0),"0.00%"))</f>
        <v>0</v>
      </c>
      <c r="M68" s="65">
        <f>CHOOSE(PLColumn,IFERROR(GETPIVOTDATA("Sum of "&amp;M$9,'PT-All'!$A$1,"Scenario",M$12,"P&amp;L Item",$B68),0),IFERROR(GETPIVOTDATA("Sum of "&amp;M$9,'PT-All'!$A$1,"Scenario",M$12,"P&amp;L Item",$B68)/M$201,0),TEXT(IFERROR(GETPIVOTDATA("Sum of "&amp;M$9,'PT-All'!$A$1,"Scenario",M$12,"P&amp;L Item",$B68)/M$29,0),"0.00%"))</f>
        <v>0</v>
      </c>
      <c r="N68" s="65">
        <f>CHOOSE(PLColumn,IFERROR(GETPIVOTDATA("Sum of "&amp;N$9,'PT-All'!$A$1,"Scenario",N$12,"P&amp;L Item",$B68),0),IFERROR(GETPIVOTDATA("Sum of "&amp;N$9,'PT-All'!$A$1,"Scenario",N$12,"P&amp;L Item",$B68)/N$201,0),TEXT(IFERROR(GETPIVOTDATA("Sum of "&amp;N$9,'PT-All'!$A$1,"Scenario",N$12,"P&amp;L Item",$B68)/N$29,0),"0.00%"))</f>
        <v>0</v>
      </c>
      <c r="O68" s="65">
        <f>CHOOSE(PLColumn,IFERROR(GETPIVOTDATA("Sum of "&amp;O$9,'PT-All'!$A$1,"Scenario",O$12,"P&amp;L Item",$B68),0),IFERROR(GETPIVOTDATA("Sum of "&amp;O$9,'PT-All'!$A$1,"Scenario",O$12,"P&amp;L Item",$B68)/O$201,0),TEXT(IFERROR(GETPIVOTDATA("Sum of "&amp;O$9,'PT-All'!$A$1,"Scenario",O$12,"P&amp;L Item",$B68)/O$29,0),"0.00%"))</f>
        <v>0</v>
      </c>
      <c r="P68" s="65">
        <f>CHOOSE(PLColumn,IFERROR(GETPIVOTDATA("Sum of "&amp;P$9,'PT-All'!$A$1,"Scenario",P$12,"P&amp;L Item",$B68),0),IFERROR(GETPIVOTDATA("Sum of "&amp;P$9,'PT-All'!$A$1,"Scenario",P$12,"P&amp;L Item",$B68)/P$201,0),TEXT(IFERROR(GETPIVOTDATA("Sum of "&amp;P$9,'PT-All'!$A$1,"Scenario",P$12,"P&amp;L Item",$B68)/P$29,0),"0.00%"))</f>
        <v>0</v>
      </c>
      <c r="Q68" s="65">
        <f>CHOOSE(PLColumn,IFERROR(GETPIVOTDATA("Sum of "&amp;Q$9,'PT-All'!$A$1,"Scenario",Q$12,"P&amp;L Item",$B68),0),IFERROR(GETPIVOTDATA("Sum of "&amp;Q$9,'PT-All'!$A$1,"Scenario",Q$12,"P&amp;L Item",$B68)/Q$201,0),TEXT(IFERROR(GETPIVOTDATA("Sum of "&amp;Q$9,'PT-All'!$A$1,"Scenario",Q$12,"P&amp;L Item",$B68)/Q$29,0),"0.00%"))</f>
        <v>0</v>
      </c>
      <c r="R68" s="65">
        <f>CHOOSE(PLColumn,IFERROR(GETPIVOTDATA("Sum of "&amp;R$9,'PT-All'!$A$1,"Scenario",R$12,"P&amp;L Item",$B68),0),IFERROR(GETPIVOTDATA("Sum of "&amp;R$9,'PT-All'!$A$1,"Scenario",R$12,"P&amp;L Item",$B68)/R$201,0),TEXT(IFERROR(GETPIVOTDATA("Sum of "&amp;R$9,'PT-All'!$A$1,"Scenario",R$12,"P&amp;L Item",$B68)/R$29,0),"0.00%"))</f>
        <v>0</v>
      </c>
      <c r="S68" s="65">
        <f>CHOOSE(PLColumn,IFERROR(GETPIVOTDATA("Sum of "&amp;S$9,'PT-All'!$A$1,"Scenario",S$12,"P&amp;L Item",$B68),0),IFERROR(GETPIVOTDATA("Sum of "&amp;S$9,'PT-All'!$A$1,"Scenario",S$12,"P&amp;L Item",$B68)/S$201,0),TEXT(IFERROR(GETPIVOTDATA("Sum of "&amp;S$9,'PT-All'!$A$1,"Scenario",S$12,"P&amp;L Item",$B68)/S$29,0),"0.00%"))</f>
        <v>0</v>
      </c>
      <c r="T68" s="65">
        <f>CHOOSE(PLColumn,IFERROR(GETPIVOTDATA("Sum of "&amp;T$9,'PT-All'!$A$1,"Scenario",T$12,"P&amp;L Item",$B68),0),IFERROR(GETPIVOTDATA("Sum of "&amp;T$9,'PT-All'!$A$1,"Scenario",T$12,"P&amp;L Item",$B68)/T$201,0),TEXT(IFERROR(GETPIVOTDATA("Sum of "&amp;T$9,'PT-All'!$A$1,"Scenario",T$12,"P&amp;L Item",$B68)/T$29,0),"0.00%"))</f>
        <v>0</v>
      </c>
      <c r="U68" s="65">
        <f>CHOOSE(PLColumn,IFERROR(GETPIVOTDATA("Sum of "&amp;U$9,'PT-All'!$A$1,"Scenario",U$12,"P&amp;L Item",$B68),0),IFERROR(GETPIVOTDATA("Sum of "&amp;U$9,'PT-All'!$A$1,"Scenario",U$12,"P&amp;L Item",$B68)/U$201,0),TEXT(IFERROR(GETPIVOTDATA("Sum of "&amp;U$9,'PT-All'!$A$1,"Scenario",U$12,"P&amp;L Item",$B68)/U$29,0),"0.00%"))</f>
        <v>0</v>
      </c>
      <c r="V68" s="65">
        <f>CHOOSE(PLColumn,IFERROR(GETPIVOTDATA("Sum of "&amp;V$9,'PT-All'!$A$1,"Scenario",V$12,"P&amp;L Item",$B68),0),IFERROR(GETPIVOTDATA("Sum of "&amp;V$9,'PT-All'!$A$1,"Scenario",V$12,"P&amp;L Item",$B68)/V$201,0),TEXT(IFERROR(GETPIVOTDATA("Sum of "&amp;V$9,'PT-All'!$A$1,"Scenario",V$12,"P&amp;L Item",$B68)/V$29,0),"0.00%"))</f>
        <v>0</v>
      </c>
      <c r="W68" s="65">
        <f>CHOOSE(PLColumn,IFERROR(GETPIVOTDATA("Sum of "&amp;W$9,'PT-All'!$A$1,"Scenario",W$12,"P&amp;L Item",$B68),0),IFERROR(GETPIVOTDATA("Sum of "&amp;W$9,'PT-All'!$A$1,"Scenario",W$12,"P&amp;L Item",$B68)/W$201,0),TEXT(IFERROR(GETPIVOTDATA("Sum of "&amp;W$9,'PT-All'!$A$1,"Scenario",W$12,"P&amp;L Item",$B68)/W$29,0),"0.00%"))</f>
        <v>0</v>
      </c>
      <c r="X68" s="65">
        <f>CHOOSE(PLColumn,IFERROR(GETPIVOTDATA("Sum of "&amp;X$9,'PT-All'!$A$1,"Scenario",X$12,"P&amp;L Item",$B68),0),IFERROR(GETPIVOTDATA("Sum of "&amp;X$9,'PT-All'!$A$1,"Scenario",X$12,"P&amp;L Item",$B68)/X$201,0),TEXT(IFERROR(GETPIVOTDATA("Sum of "&amp;X$9,'PT-All'!$A$1,"Scenario",X$12,"P&amp;L Item",$B68)/X$29,0),"0.00%"))</f>
        <v>0</v>
      </c>
      <c r="Y68" s="65">
        <f>CHOOSE(PLColumn,IFERROR(GETPIVOTDATA("Sum of "&amp;Y$9,'PT-All'!$A$1,"Scenario",Y$12,"P&amp;L Item",$B68),0),IFERROR(GETPIVOTDATA("Sum of "&amp;Y$9,'PT-All'!$A$1,"Scenario",Y$12,"P&amp;L Item",$B68)/Y$201,0),TEXT(IFERROR(GETPIVOTDATA("Sum of "&amp;Y$9,'PT-All'!$A$1,"Scenario",Y$12,"P&amp;L Item",$B68)/Y$29,0),"0.00%"))</f>
        <v>0</v>
      </c>
      <c r="Z68" s="65">
        <f>CHOOSE(PLColumn,IFERROR(GETPIVOTDATA("Sum of "&amp;Z$9,'PT-All'!$A$1,"Scenario",Z$12,"P&amp;L Item",$B68),0),IFERROR(GETPIVOTDATA("Sum of "&amp;Z$9,'PT-All'!$A$1,"Scenario",Z$12,"P&amp;L Item",$B68)/Z$201,0),TEXT(IFERROR(GETPIVOTDATA("Sum of "&amp;Z$9,'PT-All'!$A$1,"Scenario",Z$12,"P&amp;L Item",$B68)/Z$29,0),"0.00%"))</f>
        <v>0</v>
      </c>
      <c r="AA68" s="65">
        <f>CHOOSE(PLColumn,IFERROR(GETPIVOTDATA("Sum of "&amp;AA$9,'PT-All'!$A$1,"Scenario",AA$12,"P&amp;L Item",$B68),0),IFERROR(GETPIVOTDATA("Sum of "&amp;AA$9,'PT-All'!$A$1,"Scenario",AA$12,"P&amp;L Item",$B68)/AA$201,0),TEXT(IFERROR(GETPIVOTDATA("Sum of "&amp;AA$9,'PT-All'!$A$1,"Scenario",AA$12,"P&amp;L Item",$B68)/AA$29,0),"0.00%"))</f>
        <v>0</v>
      </c>
      <c r="AB68" s="65">
        <f>CHOOSE(PLColumn,IFERROR(GETPIVOTDATA("Sum of "&amp;AB$9,'PT-All'!$A$1,"Scenario",AB$12,"P&amp;L Item",$B68),0),IFERROR(GETPIVOTDATA("Sum of "&amp;AB$9,'PT-All'!$A$1,"Scenario",AB$12,"P&amp;L Item",$B68)/AB$201,0),TEXT(IFERROR(GETPIVOTDATA("Sum of "&amp;AB$9,'PT-All'!$A$1,"Scenario",AB$12,"P&amp;L Item",$B68)/AB$29,0),"0.00%"))</f>
        <v>0</v>
      </c>
      <c r="AC68" s="65">
        <f>CHOOSE(PLColumn,IFERROR(GETPIVOTDATA("Sum of "&amp;AC$9,'PT-All'!$A$1,"Scenario",AC$12,"P&amp;L Item",$B68),0),IFERROR(GETPIVOTDATA("Sum of "&amp;AC$9,'PT-All'!$A$1,"Scenario",AC$12,"P&amp;L Item",$B68)/AC$201,0),TEXT(IFERROR(GETPIVOTDATA("Sum of "&amp;AC$9,'PT-All'!$A$1,"Scenario",AC$12,"P&amp;L Item",$B68)/AC$29,0),"0.00%"))</f>
        <v>0</v>
      </c>
      <c r="AD68" s="65">
        <f>CHOOSE(PLColumn,IFERROR(GETPIVOTDATA("Sum of "&amp;AD$9,'PT-All'!$A$1,"Scenario",AD$12,"P&amp;L Item",$B68),0),IFERROR(GETPIVOTDATA("Sum of "&amp;AD$9,'PT-All'!$A$1,"Scenario",AD$12,"P&amp;L Item",$B68)/AD$201,0),TEXT(IFERROR(GETPIVOTDATA("Sum of "&amp;AD$9,'PT-All'!$A$1,"Scenario",AD$12,"P&amp;L Item",$B68)/AD$29,0),"0.00%"))</f>
        <v>0</v>
      </c>
      <c r="AE68" s="65">
        <f>CHOOSE(PLColumn,IFERROR(GETPIVOTDATA("Sum of "&amp;AE$9,'PT-All'!$A$1,"Scenario",AE$12,"P&amp;L Item",$B68),0),IFERROR(GETPIVOTDATA("Sum of "&amp;AE$9,'PT-All'!$A$1,"Scenario",AE$12,"P&amp;L Item",$B68)/AE$201,0),TEXT(IFERROR(GETPIVOTDATA("Sum of "&amp;AE$9,'PT-All'!$A$1,"Scenario",AE$12,"P&amp;L Item",$B68)/AE$29,0),"0.00%"))</f>
        <v>0</v>
      </c>
      <c r="AF68" s="65">
        <f>CHOOSE(PLColumn,IFERROR(GETPIVOTDATA("Sum of "&amp;AF$9,'PT-All'!$A$1,"Scenario",AF$12,"P&amp;L Item",$B68),0),IFERROR(GETPIVOTDATA("Sum of "&amp;AF$9,'PT-All'!$A$1,"Scenario",AF$12,"P&amp;L Item",$B68)/AF$201,0),TEXT(IFERROR(GETPIVOTDATA("Sum of "&amp;AF$9,'PT-All'!$A$1,"Scenario",AF$12,"P&amp;L Item",$B68)/AF$29,0),"0.00%"))</f>
        <v>0</v>
      </c>
      <c r="AG68" s="65">
        <f>CHOOSE(PLColumn,IFERROR(GETPIVOTDATA("Sum of "&amp;AG$9,'PT-All'!$A$1,"Scenario",AG$12,"P&amp;L Item",$B68),0),IFERROR(GETPIVOTDATA("Sum of "&amp;AG$9,'PT-All'!$A$1,"Scenario",AG$12,"P&amp;L Item",$B68)/AG$201,0),TEXT(IFERROR(GETPIVOTDATA("Sum of "&amp;AG$9,'PT-All'!$A$1,"Scenario",AG$12,"P&amp;L Item",$B68)/AG$29,0),"0.00%"))</f>
        <v>0</v>
      </c>
      <c r="AH68" s="65">
        <f>CHOOSE(PLColumn,IFERROR(GETPIVOTDATA("Sum of "&amp;AH$9,'PT-All'!$A$1,"Scenario",AH$12,"P&amp;L Item",$B68),0),IFERROR(GETPIVOTDATA("Sum of "&amp;AH$9,'PT-All'!$A$1,"Scenario",AH$12,"P&amp;L Item",$B68)/AH$201,0),TEXT(IFERROR(GETPIVOTDATA("Sum of "&amp;AH$9,'PT-All'!$A$1,"Scenario",AH$12,"P&amp;L Item",$B68)/AH$29,0),"0.00%"))</f>
        <v>0</v>
      </c>
      <c r="AI68" s="65">
        <f>CHOOSE(PLColumn,IFERROR(GETPIVOTDATA("Sum of "&amp;AI$9,'PT-All'!$A$1,"Scenario",AI$12,"P&amp;L Item",$B68),0),IFERROR(GETPIVOTDATA("Sum of "&amp;AI$9,'PT-All'!$A$1,"Scenario",AI$12,"P&amp;L Item",$B68)/AI$201,0),TEXT(IFERROR(GETPIVOTDATA("Sum of "&amp;AI$9,'PT-All'!$A$1,"Scenario",AI$12,"P&amp;L Item",$B68)/AI$29,0),"0.00%"))</f>
        <v>0</v>
      </c>
      <c r="AJ68" s="65">
        <f>CHOOSE(PLColumn,IFERROR(GETPIVOTDATA("Sum of "&amp;AJ$9,'PT-All'!$A$1,"Scenario",AJ$12,"P&amp;L Item",$B68),0),IFERROR(GETPIVOTDATA("Sum of "&amp;AJ$9,'PT-All'!$A$1,"Scenario",AJ$12,"P&amp;L Item",$B68)/AJ$201,0),TEXT(IFERROR(GETPIVOTDATA("Sum of "&amp;AJ$9,'PT-All'!$A$1,"Scenario",AJ$12,"P&amp;L Item",$B68)/AJ$29,0),"0.00%"))</f>
        <v>0</v>
      </c>
      <c r="AK68" s="65">
        <f>CHOOSE(PLColumn,IFERROR(GETPIVOTDATA("Sum of "&amp;AK$9,'PT-All'!$A$1,"Scenario",AK$12,"P&amp;L Item",$B68),0),IFERROR(GETPIVOTDATA("Sum of "&amp;AK$9,'PT-All'!$A$1,"Scenario",AK$12,"P&amp;L Item",$B68)/AK$201,0),TEXT(IFERROR(GETPIVOTDATA("Sum of "&amp;AK$9,'PT-All'!$A$1,"Scenario",AK$12,"P&amp;L Item",$B68)/AK$29,0),"0.00%"))</f>
        <v>0</v>
      </c>
      <c r="AL68" s="97">
        <f>CHOOSE(PLColumn,IFERROR(GETPIVOTDATA("Sum of "&amp;AL$9,'PT-All'!$A$1,"Scenario",AL$12,"P&amp;L Item",$B68),0),IFERROR(GETPIVOTDATA("Sum of "&amp;AL$9,'PT-All'!$A$1,"Scenario",AL$12,"P&amp;L Item",$B68)/AL$201,0),TEXT(IFERROR(GETPIVOTDATA("Sum of "&amp;AL$9,'PT-All'!$A$1,"Scenario",AL$12,"P&amp;L Item",$B68)/AL$29,0),"0.00%"))</f>
        <v>0</v>
      </c>
      <c r="AM68" s="590"/>
      <c r="AN68" s="108">
        <f ca="1">IF(AN$12="Pro Forma",SUM(OFFSET($B68,0,3*AN$9+1,1,3)),IFERROR(GETPIVOTDATA("Sum of Q"&amp;AN$9+1,'PT-All'!$A$1,"Scenario",AN$12,"P&amp;L Item",$B68),0))</f>
        <v>0</v>
      </c>
      <c r="AO68" s="65">
        <f ca="1">IF(AO$12="Pro Forma",SUM(OFFSET($B68,0,3*AO$9+1,1,3)),IFERROR(GETPIVOTDATA("Sum of Q"&amp;AO$9+1,'PT-All'!$A$1,"Scenario",AO$12,"P&amp;L Item",$B68),0))</f>
        <v>0</v>
      </c>
      <c r="AP68" s="65">
        <f ca="1">IF(AP$12="Pro Forma",SUM(OFFSET($B68,0,3*AP$9+1,1,3)),IFERROR(GETPIVOTDATA("Sum of Q"&amp;AP$9+1,'PT-All'!$A$1,"Scenario",AP$12,"P&amp;L Item",$B68),0))</f>
        <v>0</v>
      </c>
      <c r="AQ68" s="65">
        <f ca="1">IF(AQ$12="Pro Forma",SUM(OFFSET($B68,0,3*AQ$9+1,1,3)),IFERROR(GETPIVOTDATA("Sum of Q"&amp;AQ$9+1,'PT-All'!$A$1,"Scenario",AQ$12,"P&amp;L Item",$B68),0))</f>
        <v>0</v>
      </c>
      <c r="AR68" s="65">
        <f ca="1">IF(AR$12="Pro Forma",SUM(OFFSET($B68,0,3*AR$9+1,1,3)),IFERROR(GETPIVOTDATA("Sum of Q"&amp;AR$9+1,'PT-All'!$A$1,"Scenario",AR$12,"P&amp;L Item",$B68),0))</f>
        <v>0</v>
      </c>
      <c r="AS68" s="65">
        <f ca="1">IF(AS$12="Pro Forma",SUM(OFFSET($B68,0,3*AS$9+1,1,3)),IFERROR(GETPIVOTDATA("Sum of Q"&amp;AS$9+1,'PT-All'!$A$1,"Scenario",AS$12,"P&amp;L Item",$B68),0))</f>
        <v>0</v>
      </c>
      <c r="AT68" s="65">
        <f ca="1">IF(AT$12="Pro Forma",SUM(OFFSET($B68,0,3*AT$9+1,1,3)),IFERROR(GETPIVOTDATA("Sum of Q"&amp;AT$9+1,'PT-All'!$A$1,"Scenario",AT$12,"P&amp;L Item",$B68),0))</f>
        <v>0</v>
      </c>
      <c r="AU68" s="65">
        <f ca="1">IF(AU$12="Pro Forma",SUM(OFFSET($B68,0,3*AU$9+1,1,3)),IFERROR(GETPIVOTDATA("Sum of Q"&amp;AU$9+1,'PT-All'!$A$1,"Scenario",AU$12,"P&amp;L Item",$B68),0))</f>
        <v>0</v>
      </c>
      <c r="AV68" s="65">
        <f ca="1">IF(AV$12="Pro Forma",SUM(OFFSET($B68,0,3*AV$9+1,1,3)),IFERROR(GETPIVOTDATA("Sum of Q"&amp;AV$9+1,'PT-All'!$A$1,"Scenario",AV$12,"P&amp;L Item",$B68),0))</f>
        <v>0</v>
      </c>
      <c r="AW68" s="65">
        <f ca="1">IF(AW$12="Pro Forma",SUM(OFFSET($B68,0,3*AW$9+1,1,3)),IFERROR(GETPIVOTDATA("Sum of Q"&amp;AW$9+1,'PT-All'!$A$1,"Scenario",AW$12,"P&amp;L Item",$B68),0))</f>
        <v>0</v>
      </c>
      <c r="AX68" s="65">
        <f ca="1">IF(AX$12="Pro Forma",SUM(OFFSET($B68,0,3*AX$9+1,1,3)),IFERROR(GETPIVOTDATA("Sum of Q"&amp;AX$9+1,'PT-All'!$A$1,"Scenario",AX$12,"P&amp;L Item",$B68),0))</f>
        <v>0</v>
      </c>
      <c r="AY68" s="97">
        <f ca="1">IF(AY$12="Pro Forma",SUM(OFFSET($B68,0,3*AY$9+1,1,3)),IFERROR(GETPIVOTDATA("Sum of Q"&amp;AY$9+1,'PT-All'!$A$1,"Scenario",AY$12,"P&amp;L Item",$B68),0))</f>
        <v>0</v>
      </c>
      <c r="AZ68" s="590"/>
      <c r="BA68" s="108">
        <f ca="1">IF(BA$12="Pro Forma",SUM(OFFSET($B68,0,12*BA$9+1,1,12)),IFERROR(GETPIVOTDATA("Sum of FY"&amp;BA$9+1,'PT-All'!$A$1,"Scenario",BA$12,"P&amp;L Item",$B68),0))</f>
        <v>0</v>
      </c>
      <c r="BB68" s="65">
        <f ca="1">IF(BB$12="Pro Forma",SUM(OFFSET($B68,0,12*BB$9+1,1,12)),IFERROR(GETPIVOTDATA("Sum of FY"&amp;BB$9+1,'PT-All'!$A$1,"Scenario",BB$12,"P&amp;L Item",$B68),0))</f>
        <v>0</v>
      </c>
      <c r="BC68" s="97">
        <f ca="1">IF(BC$12="Pro Forma",SUM(OFFSET($B68,0,12*BC$9+1,1,12)),IFERROR(GETPIVOTDATA("Sum of FY"&amp;BC$9+1,'PT-All'!$A$1,"Scenario",BC$12,"P&amp;L Item",$B68),0))</f>
        <v>0</v>
      </c>
    </row>
    <row r="69" spans="2:55" ht="15" x14ac:dyDescent="0.4">
      <c r="B69" s="64" t="s">
        <v>103</v>
      </c>
      <c r="C69" s="66">
        <f>CHOOSE(PLColumn,IFERROR(GETPIVOTDATA("Sum of "&amp;C$9,'PT-All'!$A$1,"Scenario",C$12,"P&amp;L Item",$B69),0),IFERROR(GETPIVOTDATA("Sum of "&amp;C$9,'PT-All'!$A$1,"Scenario",C$12,"P&amp;L Item",$B69)/C$201,0),TEXT(IFERROR(GETPIVOTDATA("Sum of "&amp;C$9,'PT-All'!$A$1,"Scenario",C$12,"P&amp;L Item",$B69)/C$29,0),"0.00%"))</f>
        <v>0</v>
      </c>
      <c r="D69" s="66">
        <f>CHOOSE(PLColumn,IFERROR(GETPIVOTDATA("Sum of "&amp;D$9,'PT-All'!$A$1,"Scenario",D$12,"P&amp;L Item",$B69),0),IFERROR(GETPIVOTDATA("Sum of "&amp;D$9,'PT-All'!$A$1,"Scenario",D$12,"P&amp;L Item",$B69)/D$201,0),TEXT(IFERROR(GETPIVOTDATA("Sum of "&amp;D$9,'PT-All'!$A$1,"Scenario",D$12,"P&amp;L Item",$B69)/D$29,0),"0.00%"))</f>
        <v>0</v>
      </c>
      <c r="E69" s="66">
        <f>CHOOSE(PLColumn,IFERROR(GETPIVOTDATA("Sum of "&amp;E$9,'PT-All'!$A$1,"Scenario",E$12,"P&amp;L Item",$B69),0),IFERROR(GETPIVOTDATA("Sum of "&amp;E$9,'PT-All'!$A$1,"Scenario",E$12,"P&amp;L Item",$B69)/E$201,0),TEXT(IFERROR(GETPIVOTDATA("Sum of "&amp;E$9,'PT-All'!$A$1,"Scenario",E$12,"P&amp;L Item",$B69)/E$29,0),"0.00%"))</f>
        <v>0</v>
      </c>
      <c r="F69" s="66">
        <f>CHOOSE(PLColumn,IFERROR(GETPIVOTDATA("Sum of "&amp;F$9,'PT-All'!$A$1,"Scenario",F$12,"P&amp;L Item",$B69),0),IFERROR(GETPIVOTDATA("Sum of "&amp;F$9,'PT-All'!$A$1,"Scenario",F$12,"P&amp;L Item",$B69)/F$201,0),TEXT(IFERROR(GETPIVOTDATA("Sum of "&amp;F$9,'PT-All'!$A$1,"Scenario",F$12,"P&amp;L Item",$B69)/F$29,0),"0.00%"))</f>
        <v>0</v>
      </c>
      <c r="G69" s="66">
        <f>CHOOSE(PLColumn,IFERROR(GETPIVOTDATA("Sum of "&amp;G$9,'PT-All'!$A$1,"Scenario",G$12,"P&amp;L Item",$B69),0),IFERROR(GETPIVOTDATA("Sum of "&amp;G$9,'PT-All'!$A$1,"Scenario",G$12,"P&amp;L Item",$B69)/G$201,0),TEXT(IFERROR(GETPIVOTDATA("Sum of "&amp;G$9,'PT-All'!$A$1,"Scenario",G$12,"P&amp;L Item",$B69)/G$29,0),"0.00%"))</f>
        <v>0</v>
      </c>
      <c r="H69" s="66">
        <f>CHOOSE(PLColumn,IFERROR(GETPIVOTDATA("Sum of "&amp;H$9,'PT-All'!$A$1,"Scenario",H$12,"P&amp;L Item",$B69),0),IFERROR(GETPIVOTDATA("Sum of "&amp;H$9,'PT-All'!$A$1,"Scenario",H$12,"P&amp;L Item",$B69)/H$201,0),TEXT(IFERROR(GETPIVOTDATA("Sum of "&amp;H$9,'PT-All'!$A$1,"Scenario",H$12,"P&amp;L Item",$B69)/H$29,0),"0.00%"))</f>
        <v>0</v>
      </c>
      <c r="I69" s="66">
        <f>CHOOSE(PLColumn,IFERROR(GETPIVOTDATA("Sum of "&amp;I$9,'PT-All'!$A$1,"Scenario",I$12,"P&amp;L Item",$B69),0),IFERROR(GETPIVOTDATA("Sum of "&amp;I$9,'PT-All'!$A$1,"Scenario",I$12,"P&amp;L Item",$B69)/I$201,0),TEXT(IFERROR(GETPIVOTDATA("Sum of "&amp;I$9,'PT-All'!$A$1,"Scenario",I$12,"P&amp;L Item",$B69)/I$29,0),"0.00%"))</f>
        <v>0</v>
      </c>
      <c r="J69" s="66">
        <f>CHOOSE(PLColumn,IFERROR(GETPIVOTDATA("Sum of "&amp;J$9,'PT-All'!$A$1,"Scenario",J$12,"P&amp;L Item",$B69),0),IFERROR(GETPIVOTDATA("Sum of "&amp;J$9,'PT-All'!$A$1,"Scenario",J$12,"P&amp;L Item",$B69)/J$201,0),TEXT(IFERROR(GETPIVOTDATA("Sum of "&amp;J$9,'PT-All'!$A$1,"Scenario",J$12,"P&amp;L Item",$B69)/J$29,0),"0.00%"))</f>
        <v>0</v>
      </c>
      <c r="K69" s="66">
        <f>CHOOSE(PLColumn,IFERROR(GETPIVOTDATA("Sum of "&amp;K$9,'PT-All'!$A$1,"Scenario",K$12,"P&amp;L Item",$B69),0),IFERROR(GETPIVOTDATA("Sum of "&amp;K$9,'PT-All'!$A$1,"Scenario",K$12,"P&amp;L Item",$B69)/K$201,0),TEXT(IFERROR(GETPIVOTDATA("Sum of "&amp;K$9,'PT-All'!$A$1,"Scenario",K$12,"P&amp;L Item",$B69)/K$29,0),"0.00%"))</f>
        <v>0</v>
      </c>
      <c r="L69" s="66">
        <f>CHOOSE(PLColumn,IFERROR(GETPIVOTDATA("Sum of "&amp;L$9,'PT-All'!$A$1,"Scenario",L$12,"P&amp;L Item",$B69),0),IFERROR(GETPIVOTDATA("Sum of "&amp;L$9,'PT-All'!$A$1,"Scenario",L$12,"P&amp;L Item",$B69)/L$201,0),TEXT(IFERROR(GETPIVOTDATA("Sum of "&amp;L$9,'PT-All'!$A$1,"Scenario",L$12,"P&amp;L Item",$B69)/L$29,0),"0.00%"))</f>
        <v>0</v>
      </c>
      <c r="M69" s="66">
        <f>CHOOSE(PLColumn,IFERROR(GETPIVOTDATA("Sum of "&amp;M$9,'PT-All'!$A$1,"Scenario",M$12,"P&amp;L Item",$B69),0),IFERROR(GETPIVOTDATA("Sum of "&amp;M$9,'PT-All'!$A$1,"Scenario",M$12,"P&amp;L Item",$B69)/M$201,0),TEXT(IFERROR(GETPIVOTDATA("Sum of "&amp;M$9,'PT-All'!$A$1,"Scenario",M$12,"P&amp;L Item",$B69)/M$29,0),"0.00%"))</f>
        <v>0</v>
      </c>
      <c r="N69" s="66">
        <f>CHOOSE(PLColumn,IFERROR(GETPIVOTDATA("Sum of "&amp;N$9,'PT-All'!$A$1,"Scenario",N$12,"P&amp;L Item",$B69),0),IFERROR(GETPIVOTDATA("Sum of "&amp;N$9,'PT-All'!$A$1,"Scenario",N$12,"P&amp;L Item",$B69)/N$201,0),TEXT(IFERROR(GETPIVOTDATA("Sum of "&amp;N$9,'PT-All'!$A$1,"Scenario",N$12,"P&amp;L Item",$B69)/N$29,0),"0.00%"))</f>
        <v>0</v>
      </c>
      <c r="O69" s="66">
        <f>CHOOSE(PLColumn,IFERROR(GETPIVOTDATA("Sum of "&amp;O$9,'PT-All'!$A$1,"Scenario",O$12,"P&amp;L Item",$B69),0),IFERROR(GETPIVOTDATA("Sum of "&amp;O$9,'PT-All'!$A$1,"Scenario",O$12,"P&amp;L Item",$B69)/O$201,0),TEXT(IFERROR(GETPIVOTDATA("Sum of "&amp;O$9,'PT-All'!$A$1,"Scenario",O$12,"P&amp;L Item",$B69)/O$29,0),"0.00%"))</f>
        <v>0</v>
      </c>
      <c r="P69" s="66">
        <f>CHOOSE(PLColumn,IFERROR(GETPIVOTDATA("Sum of "&amp;P$9,'PT-All'!$A$1,"Scenario",P$12,"P&amp;L Item",$B69),0),IFERROR(GETPIVOTDATA("Sum of "&amp;P$9,'PT-All'!$A$1,"Scenario",P$12,"P&amp;L Item",$B69)/P$201,0),TEXT(IFERROR(GETPIVOTDATA("Sum of "&amp;P$9,'PT-All'!$A$1,"Scenario",P$12,"P&amp;L Item",$B69)/P$29,0),"0.00%"))</f>
        <v>0</v>
      </c>
      <c r="Q69" s="66">
        <f>CHOOSE(PLColumn,IFERROR(GETPIVOTDATA("Sum of "&amp;Q$9,'PT-All'!$A$1,"Scenario",Q$12,"P&amp;L Item",$B69),0),IFERROR(GETPIVOTDATA("Sum of "&amp;Q$9,'PT-All'!$A$1,"Scenario",Q$12,"P&amp;L Item",$B69)/Q$201,0),TEXT(IFERROR(GETPIVOTDATA("Sum of "&amp;Q$9,'PT-All'!$A$1,"Scenario",Q$12,"P&amp;L Item",$B69)/Q$29,0),"0.00%"))</f>
        <v>0</v>
      </c>
      <c r="R69" s="66">
        <f>CHOOSE(PLColumn,IFERROR(GETPIVOTDATA("Sum of "&amp;R$9,'PT-All'!$A$1,"Scenario",R$12,"P&amp;L Item",$B69),0),IFERROR(GETPIVOTDATA("Sum of "&amp;R$9,'PT-All'!$A$1,"Scenario",R$12,"P&amp;L Item",$B69)/R$201,0),TEXT(IFERROR(GETPIVOTDATA("Sum of "&amp;R$9,'PT-All'!$A$1,"Scenario",R$12,"P&amp;L Item",$B69)/R$29,0),"0.00%"))</f>
        <v>0</v>
      </c>
      <c r="S69" s="66">
        <f>CHOOSE(PLColumn,IFERROR(GETPIVOTDATA("Sum of "&amp;S$9,'PT-All'!$A$1,"Scenario",S$12,"P&amp;L Item",$B69),0),IFERROR(GETPIVOTDATA("Sum of "&amp;S$9,'PT-All'!$A$1,"Scenario",S$12,"P&amp;L Item",$B69)/S$201,0),TEXT(IFERROR(GETPIVOTDATA("Sum of "&amp;S$9,'PT-All'!$A$1,"Scenario",S$12,"P&amp;L Item",$B69)/S$29,0),"0.00%"))</f>
        <v>0</v>
      </c>
      <c r="T69" s="66">
        <f>CHOOSE(PLColumn,IFERROR(GETPIVOTDATA("Sum of "&amp;T$9,'PT-All'!$A$1,"Scenario",T$12,"P&amp;L Item",$B69),0),IFERROR(GETPIVOTDATA("Sum of "&amp;T$9,'PT-All'!$A$1,"Scenario",T$12,"P&amp;L Item",$B69)/T$201,0),TEXT(IFERROR(GETPIVOTDATA("Sum of "&amp;T$9,'PT-All'!$A$1,"Scenario",T$12,"P&amp;L Item",$B69)/T$29,0),"0.00%"))</f>
        <v>0</v>
      </c>
      <c r="U69" s="66">
        <f>CHOOSE(PLColumn,IFERROR(GETPIVOTDATA("Sum of "&amp;U$9,'PT-All'!$A$1,"Scenario",U$12,"P&amp;L Item",$B69),0),IFERROR(GETPIVOTDATA("Sum of "&amp;U$9,'PT-All'!$A$1,"Scenario",U$12,"P&amp;L Item",$B69)/U$201,0),TEXT(IFERROR(GETPIVOTDATA("Sum of "&amp;U$9,'PT-All'!$A$1,"Scenario",U$12,"P&amp;L Item",$B69)/U$29,0),"0.00%"))</f>
        <v>0</v>
      </c>
      <c r="V69" s="66">
        <f>CHOOSE(PLColumn,IFERROR(GETPIVOTDATA("Sum of "&amp;V$9,'PT-All'!$A$1,"Scenario",V$12,"P&amp;L Item",$B69),0),IFERROR(GETPIVOTDATA("Sum of "&amp;V$9,'PT-All'!$A$1,"Scenario",V$12,"P&amp;L Item",$B69)/V$201,0),TEXT(IFERROR(GETPIVOTDATA("Sum of "&amp;V$9,'PT-All'!$A$1,"Scenario",V$12,"P&amp;L Item",$B69)/V$29,0),"0.00%"))</f>
        <v>0</v>
      </c>
      <c r="W69" s="66">
        <f>CHOOSE(PLColumn,IFERROR(GETPIVOTDATA("Sum of "&amp;W$9,'PT-All'!$A$1,"Scenario",W$12,"P&amp;L Item",$B69),0),IFERROR(GETPIVOTDATA("Sum of "&amp;W$9,'PT-All'!$A$1,"Scenario",W$12,"P&amp;L Item",$B69)/W$201,0),TEXT(IFERROR(GETPIVOTDATA("Sum of "&amp;W$9,'PT-All'!$A$1,"Scenario",W$12,"P&amp;L Item",$B69)/W$29,0),"0.00%"))</f>
        <v>0</v>
      </c>
      <c r="X69" s="66">
        <f>CHOOSE(PLColumn,IFERROR(GETPIVOTDATA("Sum of "&amp;X$9,'PT-All'!$A$1,"Scenario",X$12,"P&amp;L Item",$B69),0),IFERROR(GETPIVOTDATA("Sum of "&amp;X$9,'PT-All'!$A$1,"Scenario",X$12,"P&amp;L Item",$B69)/X$201,0),TEXT(IFERROR(GETPIVOTDATA("Sum of "&amp;X$9,'PT-All'!$A$1,"Scenario",X$12,"P&amp;L Item",$B69)/X$29,0),"0.00%"))</f>
        <v>0</v>
      </c>
      <c r="Y69" s="66">
        <f>CHOOSE(PLColumn,IFERROR(GETPIVOTDATA("Sum of "&amp;Y$9,'PT-All'!$A$1,"Scenario",Y$12,"P&amp;L Item",$B69),0),IFERROR(GETPIVOTDATA("Sum of "&amp;Y$9,'PT-All'!$A$1,"Scenario",Y$12,"P&amp;L Item",$B69)/Y$201,0),TEXT(IFERROR(GETPIVOTDATA("Sum of "&amp;Y$9,'PT-All'!$A$1,"Scenario",Y$12,"P&amp;L Item",$B69)/Y$29,0),"0.00%"))</f>
        <v>0</v>
      </c>
      <c r="Z69" s="66">
        <f>CHOOSE(PLColumn,IFERROR(GETPIVOTDATA("Sum of "&amp;Z$9,'PT-All'!$A$1,"Scenario",Z$12,"P&amp;L Item",$B69),0),IFERROR(GETPIVOTDATA("Sum of "&amp;Z$9,'PT-All'!$A$1,"Scenario",Z$12,"P&amp;L Item",$B69)/Z$201,0),TEXT(IFERROR(GETPIVOTDATA("Sum of "&amp;Z$9,'PT-All'!$A$1,"Scenario",Z$12,"P&amp;L Item",$B69)/Z$29,0),"0.00%"))</f>
        <v>0</v>
      </c>
      <c r="AA69" s="66">
        <f>CHOOSE(PLColumn,IFERROR(GETPIVOTDATA("Sum of "&amp;AA$9,'PT-All'!$A$1,"Scenario",AA$12,"P&amp;L Item",$B69),0),IFERROR(GETPIVOTDATA("Sum of "&amp;AA$9,'PT-All'!$A$1,"Scenario",AA$12,"P&amp;L Item",$B69)/AA$201,0),TEXT(IFERROR(GETPIVOTDATA("Sum of "&amp;AA$9,'PT-All'!$A$1,"Scenario",AA$12,"P&amp;L Item",$B69)/AA$29,0),"0.00%"))</f>
        <v>0</v>
      </c>
      <c r="AB69" s="66">
        <f>CHOOSE(PLColumn,IFERROR(GETPIVOTDATA("Sum of "&amp;AB$9,'PT-All'!$A$1,"Scenario",AB$12,"P&amp;L Item",$B69),0),IFERROR(GETPIVOTDATA("Sum of "&amp;AB$9,'PT-All'!$A$1,"Scenario",AB$12,"P&amp;L Item",$B69)/AB$201,0),TEXT(IFERROR(GETPIVOTDATA("Sum of "&amp;AB$9,'PT-All'!$A$1,"Scenario",AB$12,"P&amp;L Item",$B69)/AB$29,0),"0.00%"))</f>
        <v>0</v>
      </c>
      <c r="AC69" s="66">
        <f>CHOOSE(PLColumn,IFERROR(GETPIVOTDATA("Sum of "&amp;AC$9,'PT-All'!$A$1,"Scenario",AC$12,"P&amp;L Item",$B69),0),IFERROR(GETPIVOTDATA("Sum of "&amp;AC$9,'PT-All'!$A$1,"Scenario",AC$12,"P&amp;L Item",$B69)/AC$201,0),TEXT(IFERROR(GETPIVOTDATA("Sum of "&amp;AC$9,'PT-All'!$A$1,"Scenario",AC$12,"P&amp;L Item",$B69)/AC$29,0),"0.00%"))</f>
        <v>0</v>
      </c>
      <c r="AD69" s="66">
        <f>CHOOSE(PLColumn,IFERROR(GETPIVOTDATA("Sum of "&amp;AD$9,'PT-All'!$A$1,"Scenario",AD$12,"P&amp;L Item",$B69),0),IFERROR(GETPIVOTDATA("Sum of "&amp;AD$9,'PT-All'!$A$1,"Scenario",AD$12,"P&amp;L Item",$B69)/AD$201,0),TEXT(IFERROR(GETPIVOTDATA("Sum of "&amp;AD$9,'PT-All'!$A$1,"Scenario",AD$12,"P&amp;L Item",$B69)/AD$29,0),"0.00%"))</f>
        <v>0</v>
      </c>
      <c r="AE69" s="66">
        <f>CHOOSE(PLColumn,IFERROR(GETPIVOTDATA("Sum of "&amp;AE$9,'PT-All'!$A$1,"Scenario",AE$12,"P&amp;L Item",$B69),0),IFERROR(GETPIVOTDATA("Sum of "&amp;AE$9,'PT-All'!$A$1,"Scenario",AE$12,"P&amp;L Item",$B69)/AE$201,0),TEXT(IFERROR(GETPIVOTDATA("Sum of "&amp;AE$9,'PT-All'!$A$1,"Scenario",AE$12,"P&amp;L Item",$B69)/AE$29,0),"0.00%"))</f>
        <v>0</v>
      </c>
      <c r="AF69" s="66">
        <f>CHOOSE(PLColumn,IFERROR(GETPIVOTDATA("Sum of "&amp;AF$9,'PT-All'!$A$1,"Scenario",AF$12,"P&amp;L Item",$B69),0),IFERROR(GETPIVOTDATA("Sum of "&amp;AF$9,'PT-All'!$A$1,"Scenario",AF$12,"P&amp;L Item",$B69)/AF$201,0),TEXT(IFERROR(GETPIVOTDATA("Sum of "&amp;AF$9,'PT-All'!$A$1,"Scenario",AF$12,"P&amp;L Item",$B69)/AF$29,0),"0.00%"))</f>
        <v>0</v>
      </c>
      <c r="AG69" s="66">
        <f>CHOOSE(PLColumn,IFERROR(GETPIVOTDATA("Sum of "&amp;AG$9,'PT-All'!$A$1,"Scenario",AG$12,"P&amp;L Item",$B69),0),IFERROR(GETPIVOTDATA("Sum of "&amp;AG$9,'PT-All'!$A$1,"Scenario",AG$12,"P&amp;L Item",$B69)/AG$201,0),TEXT(IFERROR(GETPIVOTDATA("Sum of "&amp;AG$9,'PT-All'!$A$1,"Scenario",AG$12,"P&amp;L Item",$B69)/AG$29,0),"0.00%"))</f>
        <v>0</v>
      </c>
      <c r="AH69" s="66">
        <f>CHOOSE(PLColumn,IFERROR(GETPIVOTDATA("Sum of "&amp;AH$9,'PT-All'!$A$1,"Scenario",AH$12,"P&amp;L Item",$B69),0),IFERROR(GETPIVOTDATA("Sum of "&amp;AH$9,'PT-All'!$A$1,"Scenario",AH$12,"P&amp;L Item",$B69)/AH$201,0),TEXT(IFERROR(GETPIVOTDATA("Sum of "&amp;AH$9,'PT-All'!$A$1,"Scenario",AH$12,"P&amp;L Item",$B69)/AH$29,0),"0.00%"))</f>
        <v>0</v>
      </c>
      <c r="AI69" s="66">
        <f>CHOOSE(PLColumn,IFERROR(GETPIVOTDATA("Sum of "&amp;AI$9,'PT-All'!$A$1,"Scenario",AI$12,"P&amp;L Item",$B69),0),IFERROR(GETPIVOTDATA("Sum of "&amp;AI$9,'PT-All'!$A$1,"Scenario",AI$12,"P&amp;L Item",$B69)/AI$201,0),TEXT(IFERROR(GETPIVOTDATA("Sum of "&amp;AI$9,'PT-All'!$A$1,"Scenario",AI$12,"P&amp;L Item",$B69)/AI$29,0),"0.00%"))</f>
        <v>0</v>
      </c>
      <c r="AJ69" s="66">
        <f>CHOOSE(PLColumn,IFERROR(GETPIVOTDATA("Sum of "&amp;AJ$9,'PT-All'!$A$1,"Scenario",AJ$12,"P&amp;L Item",$B69),0),IFERROR(GETPIVOTDATA("Sum of "&amp;AJ$9,'PT-All'!$A$1,"Scenario",AJ$12,"P&amp;L Item",$B69)/AJ$201,0),TEXT(IFERROR(GETPIVOTDATA("Sum of "&amp;AJ$9,'PT-All'!$A$1,"Scenario",AJ$12,"P&amp;L Item",$B69)/AJ$29,0),"0.00%"))</f>
        <v>0</v>
      </c>
      <c r="AK69" s="66">
        <f>CHOOSE(PLColumn,IFERROR(GETPIVOTDATA("Sum of "&amp;AK$9,'PT-All'!$A$1,"Scenario",AK$12,"P&amp;L Item",$B69),0),IFERROR(GETPIVOTDATA("Sum of "&amp;AK$9,'PT-All'!$A$1,"Scenario",AK$12,"P&amp;L Item",$B69)/AK$201,0),TEXT(IFERROR(GETPIVOTDATA("Sum of "&amp;AK$9,'PT-All'!$A$1,"Scenario",AK$12,"P&amp;L Item",$B69)/AK$29,0),"0.00%"))</f>
        <v>0</v>
      </c>
      <c r="AL69" s="98">
        <f>CHOOSE(PLColumn,IFERROR(GETPIVOTDATA("Sum of "&amp;AL$9,'PT-All'!$A$1,"Scenario",AL$12,"P&amp;L Item",$B69),0),IFERROR(GETPIVOTDATA("Sum of "&amp;AL$9,'PT-All'!$A$1,"Scenario",AL$12,"P&amp;L Item",$B69)/AL$201,0),TEXT(IFERROR(GETPIVOTDATA("Sum of "&amp;AL$9,'PT-All'!$A$1,"Scenario",AL$12,"P&amp;L Item",$B69)/AL$29,0),"0.00%"))</f>
        <v>0</v>
      </c>
      <c r="AM69" s="590"/>
      <c r="AN69" s="109">
        <f ca="1">IF(AN$12="Pro Forma",SUM(OFFSET($B69,0,3*AN$9+1,1,3)),IFERROR(GETPIVOTDATA("Sum of Q"&amp;AN$9+1,'PT-All'!$A$1,"Scenario",AN$12,"P&amp;L Item",$B69),0))</f>
        <v>0</v>
      </c>
      <c r="AO69" s="66">
        <f ca="1">IF(AO$12="Pro Forma",SUM(OFFSET($B69,0,3*AO$9+1,1,3)),IFERROR(GETPIVOTDATA("Sum of Q"&amp;AO$9+1,'PT-All'!$A$1,"Scenario",AO$12,"P&amp;L Item",$B69),0))</f>
        <v>0</v>
      </c>
      <c r="AP69" s="66">
        <f ca="1">IF(AP$12="Pro Forma",SUM(OFFSET($B69,0,3*AP$9+1,1,3)),IFERROR(GETPIVOTDATA("Sum of Q"&amp;AP$9+1,'PT-All'!$A$1,"Scenario",AP$12,"P&amp;L Item",$B69),0))</f>
        <v>0</v>
      </c>
      <c r="AQ69" s="66">
        <f ca="1">IF(AQ$12="Pro Forma",SUM(OFFSET($B69,0,3*AQ$9+1,1,3)),IFERROR(GETPIVOTDATA("Sum of Q"&amp;AQ$9+1,'PT-All'!$A$1,"Scenario",AQ$12,"P&amp;L Item",$B69),0))</f>
        <v>0</v>
      </c>
      <c r="AR69" s="66">
        <f ca="1">IF(AR$12="Pro Forma",SUM(OFFSET($B69,0,3*AR$9+1,1,3)),IFERROR(GETPIVOTDATA("Sum of Q"&amp;AR$9+1,'PT-All'!$A$1,"Scenario",AR$12,"P&amp;L Item",$B69),0))</f>
        <v>0</v>
      </c>
      <c r="AS69" s="66">
        <f ca="1">IF(AS$12="Pro Forma",SUM(OFFSET($B69,0,3*AS$9+1,1,3)),IFERROR(GETPIVOTDATA("Sum of Q"&amp;AS$9+1,'PT-All'!$A$1,"Scenario",AS$12,"P&amp;L Item",$B69),0))</f>
        <v>0</v>
      </c>
      <c r="AT69" s="66">
        <f ca="1">IF(AT$12="Pro Forma",SUM(OFFSET($B69,0,3*AT$9+1,1,3)),IFERROR(GETPIVOTDATA("Sum of Q"&amp;AT$9+1,'PT-All'!$A$1,"Scenario",AT$12,"P&amp;L Item",$B69),0))</f>
        <v>0</v>
      </c>
      <c r="AU69" s="66">
        <f ca="1">IF(AU$12="Pro Forma",SUM(OFFSET($B69,0,3*AU$9+1,1,3)),IFERROR(GETPIVOTDATA("Sum of Q"&amp;AU$9+1,'PT-All'!$A$1,"Scenario",AU$12,"P&amp;L Item",$B69),0))</f>
        <v>0</v>
      </c>
      <c r="AV69" s="66">
        <f ca="1">IF(AV$12="Pro Forma",SUM(OFFSET($B69,0,3*AV$9+1,1,3)),IFERROR(GETPIVOTDATA("Sum of Q"&amp;AV$9+1,'PT-All'!$A$1,"Scenario",AV$12,"P&amp;L Item",$B69),0))</f>
        <v>0</v>
      </c>
      <c r="AW69" s="66">
        <f ca="1">IF(AW$12="Pro Forma",SUM(OFFSET($B69,0,3*AW$9+1,1,3)),IFERROR(GETPIVOTDATA("Sum of Q"&amp;AW$9+1,'PT-All'!$A$1,"Scenario",AW$12,"P&amp;L Item",$B69),0))</f>
        <v>0</v>
      </c>
      <c r="AX69" s="66">
        <f ca="1">IF(AX$12="Pro Forma",SUM(OFFSET($B69,0,3*AX$9+1,1,3)),IFERROR(GETPIVOTDATA("Sum of Q"&amp;AX$9+1,'PT-All'!$A$1,"Scenario",AX$12,"P&amp;L Item",$B69),0))</f>
        <v>0</v>
      </c>
      <c r="AY69" s="98">
        <f ca="1">IF(AY$12="Pro Forma",SUM(OFFSET($B69,0,3*AY$9+1,1,3)),IFERROR(GETPIVOTDATA("Sum of Q"&amp;AY$9+1,'PT-All'!$A$1,"Scenario",AY$12,"P&amp;L Item",$B69),0))</f>
        <v>0</v>
      </c>
      <c r="AZ69" s="590"/>
      <c r="BA69" s="109">
        <f ca="1">IF(BA$12="Pro Forma",SUM(OFFSET($B69,0,12*BA$9+1,1,12)),IFERROR(GETPIVOTDATA("Sum of FY"&amp;BA$9+1,'PT-All'!$A$1,"Scenario",BA$12,"P&amp;L Item",$B69),0))</f>
        <v>0</v>
      </c>
      <c r="BB69" s="66">
        <f ca="1">IF(BB$12="Pro Forma",SUM(OFFSET($B69,0,12*BB$9+1,1,12)),IFERROR(GETPIVOTDATA("Sum of FY"&amp;BB$9+1,'PT-All'!$A$1,"Scenario",BB$12,"P&amp;L Item",$B69),0))</f>
        <v>0</v>
      </c>
      <c r="BC69" s="98">
        <f ca="1">IF(BC$12="Pro Forma",SUM(OFFSET($B69,0,12*BC$9+1,1,12)),IFERROR(GETPIVOTDATA("Sum of FY"&amp;BC$9+1,'PT-All'!$A$1,"Scenario",BC$12,"P&amp;L Item",$B69),0))</f>
        <v>0</v>
      </c>
    </row>
    <row r="70" spans="2:55" x14ac:dyDescent="0.35">
      <c r="B70" s="84" t="s">
        <v>104</v>
      </c>
      <c r="C70" s="623">
        <f t="shared" ref="C70:Y70" si="151">SUM(C58:C61,C52,C33)</f>
        <v>0</v>
      </c>
      <c r="D70" s="623">
        <f t="shared" si="151"/>
        <v>0</v>
      </c>
      <c r="E70" s="623">
        <f t="shared" si="151"/>
        <v>0</v>
      </c>
      <c r="F70" s="623">
        <f t="shared" si="151"/>
        <v>0</v>
      </c>
      <c r="G70" s="623">
        <f t="shared" si="151"/>
        <v>0</v>
      </c>
      <c r="H70" s="623">
        <f t="shared" si="151"/>
        <v>0</v>
      </c>
      <c r="I70" s="623">
        <f t="shared" si="151"/>
        <v>0</v>
      </c>
      <c r="J70" s="623">
        <f t="shared" si="151"/>
        <v>0</v>
      </c>
      <c r="K70" s="623">
        <f t="shared" si="151"/>
        <v>0</v>
      </c>
      <c r="L70" s="623">
        <f t="shared" si="151"/>
        <v>0</v>
      </c>
      <c r="M70" s="623">
        <f t="shared" si="151"/>
        <v>0</v>
      </c>
      <c r="N70" s="623">
        <f t="shared" si="151"/>
        <v>0</v>
      </c>
      <c r="O70" s="623">
        <f t="shared" si="151"/>
        <v>0</v>
      </c>
      <c r="P70" s="623">
        <f t="shared" si="151"/>
        <v>0</v>
      </c>
      <c r="Q70" s="623">
        <f t="shared" si="151"/>
        <v>0</v>
      </c>
      <c r="R70" s="623">
        <f t="shared" si="151"/>
        <v>0</v>
      </c>
      <c r="S70" s="623">
        <f t="shared" si="151"/>
        <v>0</v>
      </c>
      <c r="T70" s="623">
        <f t="shared" si="151"/>
        <v>0</v>
      </c>
      <c r="U70" s="623">
        <f t="shared" si="151"/>
        <v>0</v>
      </c>
      <c r="V70" s="623">
        <f t="shared" si="151"/>
        <v>0</v>
      </c>
      <c r="W70" s="623">
        <f t="shared" si="151"/>
        <v>0</v>
      </c>
      <c r="X70" s="623">
        <f t="shared" si="151"/>
        <v>0</v>
      </c>
      <c r="Y70" s="623">
        <f t="shared" si="151"/>
        <v>0</v>
      </c>
      <c r="Z70" s="623">
        <f t="shared" ref="Z70:AL70" si="152">SUM(Z58:Z61,Z52,Z33)</f>
        <v>0</v>
      </c>
      <c r="AA70" s="623">
        <f t="shared" si="152"/>
        <v>0</v>
      </c>
      <c r="AB70" s="623">
        <f t="shared" si="152"/>
        <v>0</v>
      </c>
      <c r="AC70" s="623">
        <f t="shared" si="152"/>
        <v>0</v>
      </c>
      <c r="AD70" s="623">
        <f t="shared" si="152"/>
        <v>0</v>
      </c>
      <c r="AE70" s="623">
        <f t="shared" si="152"/>
        <v>0</v>
      </c>
      <c r="AF70" s="623">
        <f t="shared" si="152"/>
        <v>0</v>
      </c>
      <c r="AG70" s="623">
        <f t="shared" si="152"/>
        <v>0</v>
      </c>
      <c r="AH70" s="623">
        <f t="shared" si="152"/>
        <v>0</v>
      </c>
      <c r="AI70" s="623">
        <f t="shared" si="152"/>
        <v>0</v>
      </c>
      <c r="AJ70" s="623">
        <f t="shared" si="152"/>
        <v>0</v>
      </c>
      <c r="AK70" s="623">
        <f t="shared" si="152"/>
        <v>0</v>
      </c>
      <c r="AL70" s="624">
        <f t="shared" si="152"/>
        <v>0</v>
      </c>
      <c r="AM70" s="590"/>
      <c r="AN70" s="625">
        <f t="shared" ref="AN70:AT70" ca="1" si="153">SUM(AN58:AN61,AN52,AN33)</f>
        <v>0</v>
      </c>
      <c r="AO70" s="623">
        <f t="shared" ca="1" si="153"/>
        <v>0</v>
      </c>
      <c r="AP70" s="623">
        <f t="shared" ca="1" si="153"/>
        <v>0</v>
      </c>
      <c r="AQ70" s="623">
        <f t="shared" ca="1" si="153"/>
        <v>0</v>
      </c>
      <c r="AR70" s="623">
        <f t="shared" ca="1" si="153"/>
        <v>0</v>
      </c>
      <c r="AS70" s="623">
        <f t="shared" ca="1" si="153"/>
        <v>0</v>
      </c>
      <c r="AT70" s="623">
        <f t="shared" ca="1" si="153"/>
        <v>0</v>
      </c>
      <c r="AU70" s="623">
        <f t="shared" ref="AU70:AY70" ca="1" si="154">SUM(AU58:AU61,AU52,AU33)</f>
        <v>0</v>
      </c>
      <c r="AV70" s="623">
        <f t="shared" ca="1" si="154"/>
        <v>0</v>
      </c>
      <c r="AW70" s="623">
        <f t="shared" ca="1" si="154"/>
        <v>0</v>
      </c>
      <c r="AX70" s="623">
        <f t="shared" ca="1" si="154"/>
        <v>0</v>
      </c>
      <c r="AY70" s="624">
        <f t="shared" ca="1" si="154"/>
        <v>0</v>
      </c>
      <c r="AZ70" s="590"/>
      <c r="BA70" s="625">
        <f t="shared" ref="BA70" ca="1" si="155">SUM(BA58:BA61,BA52,BA33)</f>
        <v>0</v>
      </c>
      <c r="BB70" s="623">
        <f t="shared" ref="BB70:BC70" ca="1" si="156">SUM(BB58:BB61,BB52,BB33)</f>
        <v>0</v>
      </c>
      <c r="BC70" s="624">
        <f t="shared" ca="1" si="156"/>
        <v>0</v>
      </c>
    </row>
    <row r="71" spans="2:55" x14ac:dyDescent="0.35">
      <c r="B71" s="358"/>
      <c r="C71" s="595"/>
      <c r="D71" s="595"/>
      <c r="E71" s="595"/>
      <c r="F71" s="595"/>
      <c r="G71" s="595"/>
      <c r="H71" s="595"/>
      <c r="I71" s="595"/>
      <c r="J71" s="595"/>
      <c r="K71" s="595"/>
      <c r="L71" s="595"/>
      <c r="M71" s="595"/>
      <c r="N71" s="595"/>
      <c r="O71" s="595"/>
      <c r="P71" s="595"/>
      <c r="Q71" s="595"/>
      <c r="R71" s="595"/>
      <c r="S71" s="595"/>
      <c r="T71" s="595"/>
      <c r="U71" s="595"/>
      <c r="V71" s="595"/>
      <c r="W71" s="595"/>
      <c r="X71" s="595"/>
      <c r="Y71" s="595"/>
      <c r="Z71" s="595"/>
      <c r="AA71" s="595"/>
      <c r="AB71" s="595"/>
      <c r="AC71" s="595"/>
      <c r="AD71" s="595"/>
      <c r="AE71" s="595"/>
      <c r="AF71" s="595"/>
      <c r="AG71" s="595"/>
      <c r="AH71" s="595"/>
      <c r="AI71" s="595"/>
      <c r="AJ71" s="595"/>
      <c r="AK71" s="595"/>
      <c r="AL71" s="596"/>
      <c r="AM71" s="590"/>
      <c r="AN71" s="597"/>
      <c r="AO71" s="595"/>
      <c r="AP71" s="595"/>
      <c r="AQ71" s="595"/>
      <c r="AR71" s="595"/>
      <c r="AS71" s="595"/>
      <c r="AT71" s="595"/>
      <c r="AU71" s="595"/>
      <c r="AV71" s="595"/>
      <c r="AW71" s="595"/>
      <c r="AX71" s="595"/>
      <c r="AY71" s="596"/>
      <c r="AZ71" s="590"/>
      <c r="BA71" s="597"/>
      <c r="BB71" s="595"/>
      <c r="BC71" s="596"/>
    </row>
    <row r="72" spans="2:55" x14ac:dyDescent="0.35">
      <c r="B72" s="67" t="s">
        <v>105</v>
      </c>
      <c r="C72" s="619">
        <f t="shared" ref="C72:Y72" si="157">C29-C70</f>
        <v>0</v>
      </c>
      <c r="D72" s="619">
        <f t="shared" si="157"/>
        <v>0</v>
      </c>
      <c r="E72" s="619">
        <f t="shared" si="157"/>
        <v>0</v>
      </c>
      <c r="F72" s="619">
        <f t="shared" si="157"/>
        <v>0</v>
      </c>
      <c r="G72" s="619">
        <f t="shared" si="157"/>
        <v>0</v>
      </c>
      <c r="H72" s="619">
        <f t="shared" si="157"/>
        <v>0</v>
      </c>
      <c r="I72" s="619">
        <f t="shared" si="157"/>
        <v>0</v>
      </c>
      <c r="J72" s="619">
        <f t="shared" si="157"/>
        <v>0</v>
      </c>
      <c r="K72" s="619">
        <f t="shared" si="157"/>
        <v>0</v>
      </c>
      <c r="L72" s="619">
        <f t="shared" si="157"/>
        <v>0</v>
      </c>
      <c r="M72" s="619">
        <f t="shared" si="157"/>
        <v>0</v>
      </c>
      <c r="N72" s="619">
        <f t="shared" si="157"/>
        <v>0</v>
      </c>
      <c r="O72" s="619">
        <f t="shared" si="157"/>
        <v>0</v>
      </c>
      <c r="P72" s="619">
        <f t="shared" si="157"/>
        <v>0</v>
      </c>
      <c r="Q72" s="619">
        <f t="shared" si="157"/>
        <v>0</v>
      </c>
      <c r="R72" s="619">
        <f t="shared" si="157"/>
        <v>0</v>
      </c>
      <c r="S72" s="619">
        <f t="shared" si="157"/>
        <v>0</v>
      </c>
      <c r="T72" s="619">
        <f t="shared" si="157"/>
        <v>0</v>
      </c>
      <c r="U72" s="619">
        <f t="shared" si="157"/>
        <v>0</v>
      </c>
      <c r="V72" s="619">
        <f t="shared" si="157"/>
        <v>0</v>
      </c>
      <c r="W72" s="619">
        <f t="shared" si="157"/>
        <v>0</v>
      </c>
      <c r="X72" s="619">
        <f t="shared" si="157"/>
        <v>0</v>
      </c>
      <c r="Y72" s="619">
        <f t="shared" si="157"/>
        <v>0</v>
      </c>
      <c r="Z72" s="619">
        <f t="shared" ref="Z72:AL72" si="158">Z29-Z70</f>
        <v>0</v>
      </c>
      <c r="AA72" s="619">
        <f t="shared" si="158"/>
        <v>0</v>
      </c>
      <c r="AB72" s="619">
        <f t="shared" si="158"/>
        <v>0</v>
      </c>
      <c r="AC72" s="619">
        <f t="shared" si="158"/>
        <v>0</v>
      </c>
      <c r="AD72" s="619">
        <f t="shared" si="158"/>
        <v>0</v>
      </c>
      <c r="AE72" s="619">
        <f t="shared" si="158"/>
        <v>0</v>
      </c>
      <c r="AF72" s="619">
        <f t="shared" si="158"/>
        <v>0</v>
      </c>
      <c r="AG72" s="619">
        <f t="shared" si="158"/>
        <v>0</v>
      </c>
      <c r="AH72" s="619">
        <f t="shared" si="158"/>
        <v>0</v>
      </c>
      <c r="AI72" s="619">
        <f t="shared" si="158"/>
        <v>0</v>
      </c>
      <c r="AJ72" s="619">
        <f t="shared" si="158"/>
        <v>0</v>
      </c>
      <c r="AK72" s="619">
        <f t="shared" si="158"/>
        <v>0</v>
      </c>
      <c r="AL72" s="620">
        <f t="shared" si="158"/>
        <v>0</v>
      </c>
      <c r="AM72" s="590"/>
      <c r="AN72" s="627">
        <f t="shared" ref="AN72:AT72" ca="1" si="159">AN29-AN70</f>
        <v>0</v>
      </c>
      <c r="AO72" s="619">
        <f t="shared" ca="1" si="159"/>
        <v>0</v>
      </c>
      <c r="AP72" s="619">
        <f t="shared" ca="1" si="159"/>
        <v>0</v>
      </c>
      <c r="AQ72" s="619">
        <f t="shared" ca="1" si="159"/>
        <v>0</v>
      </c>
      <c r="AR72" s="619">
        <f t="shared" ca="1" si="159"/>
        <v>0</v>
      </c>
      <c r="AS72" s="619">
        <f t="shared" ca="1" si="159"/>
        <v>0</v>
      </c>
      <c r="AT72" s="619">
        <f t="shared" ca="1" si="159"/>
        <v>0</v>
      </c>
      <c r="AU72" s="619">
        <f t="shared" ref="AU72:AY72" ca="1" si="160">AU29-AU70</f>
        <v>0</v>
      </c>
      <c r="AV72" s="619">
        <f t="shared" ca="1" si="160"/>
        <v>0</v>
      </c>
      <c r="AW72" s="619">
        <f t="shared" ca="1" si="160"/>
        <v>0</v>
      </c>
      <c r="AX72" s="619">
        <f t="shared" ca="1" si="160"/>
        <v>0</v>
      </c>
      <c r="AY72" s="620">
        <f t="shared" ca="1" si="160"/>
        <v>0</v>
      </c>
      <c r="AZ72" s="590"/>
      <c r="BA72" s="627">
        <f t="shared" ref="BA72" ca="1" si="161">BA29-BA70</f>
        <v>0</v>
      </c>
      <c r="BB72" s="619">
        <f t="shared" ref="BB72:BC72" ca="1" si="162">BB29-BB70</f>
        <v>0</v>
      </c>
      <c r="BC72" s="620">
        <f t="shared" ca="1" si="162"/>
        <v>0</v>
      </c>
    </row>
    <row r="73" spans="2:55" x14ac:dyDescent="0.35">
      <c r="B73" s="72" t="s">
        <v>106</v>
      </c>
      <c r="C73" s="598">
        <f t="shared" ref="C73:AN73" si="163">IFERROR(C72/C$29,0)</f>
        <v>0</v>
      </c>
      <c r="D73" s="598">
        <f t="shared" si="163"/>
        <v>0</v>
      </c>
      <c r="E73" s="598">
        <f t="shared" si="163"/>
        <v>0</v>
      </c>
      <c r="F73" s="598">
        <f t="shared" si="163"/>
        <v>0</v>
      </c>
      <c r="G73" s="598">
        <f t="shared" si="163"/>
        <v>0</v>
      </c>
      <c r="H73" s="598">
        <f t="shared" si="163"/>
        <v>0</v>
      </c>
      <c r="I73" s="598">
        <f t="shared" si="163"/>
        <v>0</v>
      </c>
      <c r="J73" s="598">
        <f t="shared" si="163"/>
        <v>0</v>
      </c>
      <c r="K73" s="598">
        <f t="shared" si="163"/>
        <v>0</v>
      </c>
      <c r="L73" s="598">
        <f t="shared" si="163"/>
        <v>0</v>
      </c>
      <c r="M73" s="598">
        <f t="shared" si="163"/>
        <v>0</v>
      </c>
      <c r="N73" s="598">
        <f t="shared" si="163"/>
        <v>0</v>
      </c>
      <c r="O73" s="598">
        <f t="shared" si="163"/>
        <v>0</v>
      </c>
      <c r="P73" s="598">
        <f t="shared" si="163"/>
        <v>0</v>
      </c>
      <c r="Q73" s="598">
        <f t="shared" si="163"/>
        <v>0</v>
      </c>
      <c r="R73" s="598">
        <f t="shared" si="163"/>
        <v>0</v>
      </c>
      <c r="S73" s="598">
        <f t="shared" si="163"/>
        <v>0</v>
      </c>
      <c r="T73" s="598">
        <f t="shared" si="163"/>
        <v>0</v>
      </c>
      <c r="U73" s="598">
        <f t="shared" si="163"/>
        <v>0</v>
      </c>
      <c r="V73" s="598">
        <f t="shared" si="163"/>
        <v>0</v>
      </c>
      <c r="W73" s="598">
        <f t="shared" si="163"/>
        <v>0</v>
      </c>
      <c r="X73" s="598">
        <f t="shared" si="163"/>
        <v>0</v>
      </c>
      <c r="Y73" s="598">
        <f t="shared" si="163"/>
        <v>0</v>
      </c>
      <c r="Z73" s="598">
        <f t="shared" ref="Z73:AL73" si="164">IFERROR(Z72/Z$29,0)</f>
        <v>0</v>
      </c>
      <c r="AA73" s="598">
        <f t="shared" si="164"/>
        <v>0</v>
      </c>
      <c r="AB73" s="598">
        <f t="shared" si="164"/>
        <v>0</v>
      </c>
      <c r="AC73" s="598">
        <f t="shared" si="164"/>
        <v>0</v>
      </c>
      <c r="AD73" s="598">
        <f t="shared" si="164"/>
        <v>0</v>
      </c>
      <c r="AE73" s="598">
        <f t="shared" si="164"/>
        <v>0</v>
      </c>
      <c r="AF73" s="598">
        <f t="shared" si="164"/>
        <v>0</v>
      </c>
      <c r="AG73" s="598">
        <f t="shared" si="164"/>
        <v>0</v>
      </c>
      <c r="AH73" s="598">
        <f t="shared" si="164"/>
        <v>0</v>
      </c>
      <c r="AI73" s="598">
        <f t="shared" si="164"/>
        <v>0</v>
      </c>
      <c r="AJ73" s="598">
        <f t="shared" si="164"/>
        <v>0</v>
      </c>
      <c r="AK73" s="598">
        <f t="shared" si="164"/>
        <v>0</v>
      </c>
      <c r="AL73" s="599">
        <f t="shared" si="164"/>
        <v>0</v>
      </c>
      <c r="AM73" s="590"/>
      <c r="AN73" s="600">
        <f t="shared" ca="1" si="163"/>
        <v>0</v>
      </c>
      <c r="AO73" s="598">
        <f t="shared" ref="AO73" ca="1" si="165">IFERROR(AO72/AO$29,0)</f>
        <v>0</v>
      </c>
      <c r="AP73" s="598">
        <f t="shared" ref="AP73" ca="1" si="166">IFERROR(AP72/AP$29,0)</f>
        <v>0</v>
      </c>
      <c r="AQ73" s="598">
        <f t="shared" ref="AQ73" ca="1" si="167">IFERROR(AQ72/AQ$29,0)</f>
        <v>0</v>
      </c>
      <c r="AR73" s="598">
        <f t="shared" ref="AR73" ca="1" si="168">IFERROR(AR72/AR$29,0)</f>
        <v>0</v>
      </c>
      <c r="AS73" s="598">
        <f t="shared" ref="AS73" ca="1" si="169">IFERROR(AS72/AS$29,0)</f>
        <v>0</v>
      </c>
      <c r="AT73" s="598">
        <f t="shared" ref="AT73:AY73" ca="1" si="170">IFERROR(AT72/AT$29,0)</f>
        <v>0</v>
      </c>
      <c r="AU73" s="598">
        <f t="shared" ca="1" si="170"/>
        <v>0</v>
      </c>
      <c r="AV73" s="598">
        <f t="shared" ca="1" si="170"/>
        <v>0</v>
      </c>
      <c r="AW73" s="598">
        <f t="shared" ca="1" si="170"/>
        <v>0</v>
      </c>
      <c r="AX73" s="598">
        <f t="shared" ca="1" si="170"/>
        <v>0</v>
      </c>
      <c r="AY73" s="599">
        <f t="shared" ca="1" si="170"/>
        <v>0</v>
      </c>
      <c r="AZ73" s="590"/>
      <c r="BA73" s="600">
        <f t="shared" ref="BA73" ca="1" si="171">IFERROR(BA72/BA$29,0)</f>
        <v>0</v>
      </c>
      <c r="BB73" s="598">
        <f t="shared" ref="BB73:BC73" ca="1" si="172">IFERROR(BB72/BB$29,0)</f>
        <v>0</v>
      </c>
      <c r="BC73" s="599">
        <f t="shared" ca="1" si="172"/>
        <v>0</v>
      </c>
    </row>
    <row r="74" spans="2:55" x14ac:dyDescent="0.35">
      <c r="B74" s="356"/>
      <c r="C74" s="598"/>
      <c r="D74" s="598"/>
      <c r="E74" s="598"/>
      <c r="F74" s="598"/>
      <c r="G74" s="598"/>
      <c r="H74" s="598"/>
      <c r="I74" s="598"/>
      <c r="J74" s="598"/>
      <c r="K74" s="598"/>
      <c r="L74" s="598"/>
      <c r="M74" s="598"/>
      <c r="N74" s="598"/>
      <c r="O74" s="598"/>
      <c r="P74" s="598"/>
      <c r="Q74" s="598"/>
      <c r="R74" s="598"/>
      <c r="S74" s="598"/>
      <c r="T74" s="598"/>
      <c r="U74" s="598"/>
      <c r="V74" s="598"/>
      <c r="W74" s="598"/>
      <c r="X74" s="598"/>
      <c r="Y74" s="598"/>
      <c r="Z74" s="598"/>
      <c r="AA74" s="598"/>
      <c r="AB74" s="598"/>
      <c r="AC74" s="598"/>
      <c r="AD74" s="598"/>
      <c r="AE74" s="598"/>
      <c r="AF74" s="598"/>
      <c r="AG74" s="598"/>
      <c r="AH74" s="598"/>
      <c r="AI74" s="598"/>
      <c r="AJ74" s="598"/>
      <c r="AK74" s="598"/>
      <c r="AL74" s="599"/>
      <c r="AM74" s="590"/>
      <c r="AN74" s="600"/>
      <c r="AO74" s="598"/>
      <c r="AP74" s="598"/>
      <c r="AQ74" s="598"/>
      <c r="AR74" s="598"/>
      <c r="AS74" s="598"/>
      <c r="AT74" s="598"/>
      <c r="AU74" s="598"/>
      <c r="AV74" s="598"/>
      <c r="AW74" s="598"/>
      <c r="AX74" s="598"/>
      <c r="AY74" s="599"/>
      <c r="AZ74" s="590"/>
      <c r="BA74" s="600"/>
      <c r="BB74" s="598"/>
      <c r="BC74" s="599"/>
    </row>
    <row r="75" spans="2:55" x14ac:dyDescent="0.35">
      <c r="B75" s="67" t="s">
        <v>107</v>
      </c>
      <c r="C75" s="598"/>
      <c r="D75" s="598"/>
      <c r="E75" s="598"/>
      <c r="F75" s="598"/>
      <c r="G75" s="598"/>
      <c r="H75" s="598"/>
      <c r="I75" s="598"/>
      <c r="J75" s="598"/>
      <c r="K75" s="598"/>
      <c r="L75" s="598"/>
      <c r="M75" s="598"/>
      <c r="N75" s="598"/>
      <c r="O75" s="598"/>
      <c r="P75" s="598"/>
      <c r="Q75" s="598"/>
      <c r="R75" s="598"/>
      <c r="S75" s="598"/>
      <c r="T75" s="598"/>
      <c r="U75" s="598"/>
      <c r="V75" s="598"/>
      <c r="W75" s="598"/>
      <c r="X75" s="598"/>
      <c r="Y75" s="598"/>
      <c r="Z75" s="598"/>
      <c r="AA75" s="598"/>
      <c r="AB75" s="598"/>
      <c r="AC75" s="598"/>
      <c r="AD75" s="598"/>
      <c r="AE75" s="598"/>
      <c r="AF75" s="598"/>
      <c r="AG75" s="598"/>
      <c r="AH75" s="598"/>
      <c r="AI75" s="598"/>
      <c r="AJ75" s="598"/>
      <c r="AK75" s="598"/>
      <c r="AL75" s="599"/>
      <c r="AM75" s="590"/>
      <c r="AN75" s="600"/>
      <c r="AO75" s="598"/>
      <c r="AP75" s="598"/>
      <c r="AQ75" s="598"/>
      <c r="AR75" s="598"/>
      <c r="AS75" s="598"/>
      <c r="AT75" s="598"/>
      <c r="AU75" s="598"/>
      <c r="AV75" s="598"/>
      <c r="AW75" s="598"/>
      <c r="AX75" s="598"/>
      <c r="AY75" s="599"/>
      <c r="AZ75" s="590"/>
      <c r="BA75" s="600"/>
      <c r="BB75" s="598"/>
      <c r="BC75" s="599"/>
    </row>
    <row r="76" spans="2:55" x14ac:dyDescent="0.35">
      <c r="B76" s="74" t="s">
        <v>108</v>
      </c>
      <c r="C76" s="592">
        <f t="shared" ref="C76:AN76" si="173">SUM(C77,C85)</f>
        <v>0</v>
      </c>
      <c r="D76" s="592">
        <f t="shared" si="173"/>
        <v>0</v>
      </c>
      <c r="E76" s="592">
        <f t="shared" si="173"/>
        <v>0</v>
      </c>
      <c r="F76" s="592">
        <f t="shared" si="173"/>
        <v>0</v>
      </c>
      <c r="G76" s="592">
        <f t="shared" si="173"/>
        <v>0</v>
      </c>
      <c r="H76" s="592">
        <f t="shared" si="173"/>
        <v>0</v>
      </c>
      <c r="I76" s="592">
        <f t="shared" si="173"/>
        <v>0</v>
      </c>
      <c r="J76" s="592">
        <f t="shared" si="173"/>
        <v>0</v>
      </c>
      <c r="K76" s="592">
        <f t="shared" si="173"/>
        <v>0</v>
      </c>
      <c r="L76" s="592">
        <f t="shared" si="173"/>
        <v>0</v>
      </c>
      <c r="M76" s="592">
        <f t="shared" si="173"/>
        <v>0</v>
      </c>
      <c r="N76" s="592">
        <f t="shared" si="173"/>
        <v>0</v>
      </c>
      <c r="O76" s="592">
        <f t="shared" si="173"/>
        <v>0</v>
      </c>
      <c r="P76" s="592">
        <f t="shared" si="173"/>
        <v>0</v>
      </c>
      <c r="Q76" s="592">
        <f t="shared" si="173"/>
        <v>0</v>
      </c>
      <c r="R76" s="592">
        <f t="shared" si="173"/>
        <v>0</v>
      </c>
      <c r="S76" s="592">
        <f t="shared" si="173"/>
        <v>0</v>
      </c>
      <c r="T76" s="592">
        <f t="shared" si="173"/>
        <v>0</v>
      </c>
      <c r="U76" s="592">
        <f t="shared" si="173"/>
        <v>0</v>
      </c>
      <c r="V76" s="592">
        <f t="shared" si="173"/>
        <v>0</v>
      </c>
      <c r="W76" s="592">
        <f t="shared" si="173"/>
        <v>0</v>
      </c>
      <c r="X76" s="592">
        <f t="shared" si="173"/>
        <v>0</v>
      </c>
      <c r="Y76" s="592">
        <f t="shared" si="173"/>
        <v>0</v>
      </c>
      <c r="Z76" s="592">
        <f t="shared" ref="Z76:AL76" si="174">SUM(Z77,Z85)</f>
        <v>0</v>
      </c>
      <c r="AA76" s="592">
        <f t="shared" si="174"/>
        <v>0</v>
      </c>
      <c r="AB76" s="592">
        <f t="shared" si="174"/>
        <v>0</v>
      </c>
      <c r="AC76" s="592">
        <f t="shared" si="174"/>
        <v>0</v>
      </c>
      <c r="AD76" s="592">
        <f t="shared" si="174"/>
        <v>0</v>
      </c>
      <c r="AE76" s="592">
        <f t="shared" si="174"/>
        <v>0</v>
      </c>
      <c r="AF76" s="592">
        <f t="shared" si="174"/>
        <v>0</v>
      </c>
      <c r="AG76" s="592">
        <f t="shared" si="174"/>
        <v>0</v>
      </c>
      <c r="AH76" s="592">
        <f t="shared" si="174"/>
        <v>0</v>
      </c>
      <c r="AI76" s="592">
        <f t="shared" si="174"/>
        <v>0</v>
      </c>
      <c r="AJ76" s="592">
        <f t="shared" si="174"/>
        <v>0</v>
      </c>
      <c r="AK76" s="592">
        <f t="shared" si="174"/>
        <v>0</v>
      </c>
      <c r="AL76" s="593">
        <f t="shared" si="174"/>
        <v>0</v>
      </c>
      <c r="AM76" s="590"/>
      <c r="AN76" s="594">
        <f t="shared" ca="1" si="173"/>
        <v>0</v>
      </c>
      <c r="AO76" s="592">
        <f t="shared" ref="AO76" ca="1" si="175">SUM(AO77,AO85)</f>
        <v>0</v>
      </c>
      <c r="AP76" s="592">
        <f t="shared" ref="AP76" ca="1" si="176">SUM(AP77,AP85)</f>
        <v>0</v>
      </c>
      <c r="AQ76" s="592">
        <f t="shared" ref="AQ76" ca="1" si="177">SUM(AQ77,AQ85)</f>
        <v>0</v>
      </c>
      <c r="AR76" s="592">
        <f t="shared" ref="AR76" ca="1" si="178">SUM(AR77,AR85)</f>
        <v>0</v>
      </c>
      <c r="AS76" s="592">
        <f t="shared" ref="AS76" ca="1" si="179">SUM(AS77,AS85)</f>
        <v>0</v>
      </c>
      <c r="AT76" s="592">
        <f t="shared" ref="AT76:AY76" ca="1" si="180">SUM(AT77,AT85)</f>
        <v>0</v>
      </c>
      <c r="AU76" s="592">
        <f t="shared" ca="1" si="180"/>
        <v>0</v>
      </c>
      <c r="AV76" s="592">
        <f t="shared" ca="1" si="180"/>
        <v>0</v>
      </c>
      <c r="AW76" s="592">
        <f t="shared" ca="1" si="180"/>
        <v>0</v>
      </c>
      <c r="AX76" s="592">
        <f t="shared" ca="1" si="180"/>
        <v>0</v>
      </c>
      <c r="AY76" s="593">
        <f t="shared" ca="1" si="180"/>
        <v>0</v>
      </c>
      <c r="AZ76" s="590"/>
      <c r="BA76" s="594">
        <f t="shared" ref="BA76" ca="1" si="181">SUM(BA77,BA85)</f>
        <v>0</v>
      </c>
      <c r="BB76" s="592">
        <f t="shared" ref="BB76:BC76" ca="1" si="182">SUM(BB77,BB85)</f>
        <v>0</v>
      </c>
      <c r="BC76" s="593">
        <f t="shared" ca="1" si="182"/>
        <v>0</v>
      </c>
    </row>
    <row r="77" spans="2:55" x14ac:dyDescent="0.35">
      <c r="B77" s="359" t="s">
        <v>109</v>
      </c>
      <c r="C77" s="592">
        <f t="shared" ref="C77:AN77" si="183">SUM(C78:C84)</f>
        <v>0</v>
      </c>
      <c r="D77" s="592">
        <f t="shared" si="183"/>
        <v>0</v>
      </c>
      <c r="E77" s="592">
        <f t="shared" si="183"/>
        <v>0</v>
      </c>
      <c r="F77" s="592">
        <f t="shared" si="183"/>
        <v>0</v>
      </c>
      <c r="G77" s="592">
        <f t="shared" si="183"/>
        <v>0</v>
      </c>
      <c r="H77" s="592">
        <f t="shared" si="183"/>
        <v>0</v>
      </c>
      <c r="I77" s="592">
        <f t="shared" si="183"/>
        <v>0</v>
      </c>
      <c r="J77" s="592">
        <f t="shared" si="183"/>
        <v>0</v>
      </c>
      <c r="K77" s="592">
        <f t="shared" si="183"/>
        <v>0</v>
      </c>
      <c r="L77" s="592">
        <f t="shared" si="183"/>
        <v>0</v>
      </c>
      <c r="M77" s="592">
        <f t="shared" si="183"/>
        <v>0</v>
      </c>
      <c r="N77" s="592">
        <f t="shared" si="183"/>
        <v>0</v>
      </c>
      <c r="O77" s="592">
        <f t="shared" si="183"/>
        <v>0</v>
      </c>
      <c r="P77" s="592">
        <f t="shared" si="183"/>
        <v>0</v>
      </c>
      <c r="Q77" s="592">
        <f t="shared" si="183"/>
        <v>0</v>
      </c>
      <c r="R77" s="592">
        <f t="shared" si="183"/>
        <v>0</v>
      </c>
      <c r="S77" s="592">
        <f t="shared" si="183"/>
        <v>0</v>
      </c>
      <c r="T77" s="592">
        <f t="shared" si="183"/>
        <v>0</v>
      </c>
      <c r="U77" s="592">
        <f t="shared" si="183"/>
        <v>0</v>
      </c>
      <c r="V77" s="592">
        <f t="shared" si="183"/>
        <v>0</v>
      </c>
      <c r="W77" s="592">
        <f t="shared" si="183"/>
        <v>0</v>
      </c>
      <c r="X77" s="592">
        <f t="shared" si="183"/>
        <v>0</v>
      </c>
      <c r="Y77" s="592">
        <f t="shared" si="183"/>
        <v>0</v>
      </c>
      <c r="Z77" s="592">
        <f t="shared" ref="Z77:AL77" si="184">SUM(Z78:Z84)</f>
        <v>0</v>
      </c>
      <c r="AA77" s="592">
        <f t="shared" si="184"/>
        <v>0</v>
      </c>
      <c r="AB77" s="592">
        <f t="shared" si="184"/>
        <v>0</v>
      </c>
      <c r="AC77" s="592">
        <f t="shared" si="184"/>
        <v>0</v>
      </c>
      <c r="AD77" s="592">
        <f t="shared" si="184"/>
        <v>0</v>
      </c>
      <c r="AE77" s="592">
        <f t="shared" si="184"/>
        <v>0</v>
      </c>
      <c r="AF77" s="592">
        <f t="shared" si="184"/>
        <v>0</v>
      </c>
      <c r="AG77" s="592">
        <f t="shared" si="184"/>
        <v>0</v>
      </c>
      <c r="AH77" s="592">
        <f t="shared" si="184"/>
        <v>0</v>
      </c>
      <c r="AI77" s="592">
        <f t="shared" si="184"/>
        <v>0</v>
      </c>
      <c r="AJ77" s="592">
        <f t="shared" si="184"/>
        <v>0</v>
      </c>
      <c r="AK77" s="592">
        <f t="shared" si="184"/>
        <v>0</v>
      </c>
      <c r="AL77" s="593">
        <f t="shared" si="184"/>
        <v>0</v>
      </c>
      <c r="AM77" s="590"/>
      <c r="AN77" s="594">
        <f t="shared" ca="1" si="183"/>
        <v>0</v>
      </c>
      <c r="AO77" s="592">
        <f t="shared" ref="AO77" ca="1" si="185">SUM(AO78:AO84)</f>
        <v>0</v>
      </c>
      <c r="AP77" s="592">
        <f t="shared" ref="AP77" ca="1" si="186">SUM(AP78:AP84)</f>
        <v>0</v>
      </c>
      <c r="AQ77" s="592">
        <f t="shared" ref="AQ77" ca="1" si="187">SUM(AQ78:AQ84)</f>
        <v>0</v>
      </c>
      <c r="AR77" s="592">
        <f t="shared" ref="AR77" ca="1" si="188">SUM(AR78:AR84)</f>
        <v>0</v>
      </c>
      <c r="AS77" s="592">
        <f t="shared" ref="AS77" ca="1" si="189">SUM(AS78:AS84)</f>
        <v>0</v>
      </c>
      <c r="AT77" s="592">
        <f t="shared" ref="AT77:AY77" ca="1" si="190">SUM(AT78:AT84)</f>
        <v>0</v>
      </c>
      <c r="AU77" s="592">
        <f t="shared" ca="1" si="190"/>
        <v>0</v>
      </c>
      <c r="AV77" s="592">
        <f t="shared" ca="1" si="190"/>
        <v>0</v>
      </c>
      <c r="AW77" s="592">
        <f t="shared" ca="1" si="190"/>
        <v>0</v>
      </c>
      <c r="AX77" s="592">
        <f t="shared" ca="1" si="190"/>
        <v>0</v>
      </c>
      <c r="AY77" s="593">
        <f t="shared" ca="1" si="190"/>
        <v>0</v>
      </c>
      <c r="AZ77" s="590"/>
      <c r="BA77" s="594">
        <f t="shared" ref="BA77" ca="1" si="191">SUM(BA78:BA84)</f>
        <v>0</v>
      </c>
      <c r="BB77" s="592">
        <f t="shared" ref="BB77:BC77" ca="1" si="192">SUM(BB78:BB84)</f>
        <v>0</v>
      </c>
      <c r="BC77" s="593">
        <f t="shared" ca="1" si="192"/>
        <v>0</v>
      </c>
    </row>
    <row r="78" spans="2:55" x14ac:dyDescent="0.35">
      <c r="B78" s="76" t="s">
        <v>110</v>
      </c>
      <c r="C78" s="65">
        <f>CHOOSE(PLColumn,IFERROR(GETPIVOTDATA("Sum of "&amp;C$9,'PT-All'!$A$1,"Scenario",C$12,"P&amp;L Item",$B78),0),IFERROR(GETPIVOTDATA("Sum of "&amp;C$9,'PT-All'!$A$1,"Scenario",C$12,"P&amp;L Item",$B78)/C$201,0),TEXT(IFERROR(GETPIVOTDATA("Sum of "&amp;C$9,'PT-All'!$A$1,"Scenario",C$12,"P&amp;L Item",$B78)/C$29,0),"0.00%"))</f>
        <v>0</v>
      </c>
      <c r="D78" s="65">
        <f>CHOOSE(PLColumn,IFERROR(GETPIVOTDATA("Sum of "&amp;D$9,'PT-All'!$A$1,"Scenario",D$12,"P&amp;L Item",$B78),0),IFERROR(GETPIVOTDATA("Sum of "&amp;D$9,'PT-All'!$A$1,"Scenario",D$12,"P&amp;L Item",$B78)/D$201,0),TEXT(IFERROR(GETPIVOTDATA("Sum of "&amp;D$9,'PT-All'!$A$1,"Scenario",D$12,"P&amp;L Item",$B78)/D$29,0),"0.00%"))</f>
        <v>0</v>
      </c>
      <c r="E78" s="65">
        <f>CHOOSE(PLColumn,IFERROR(GETPIVOTDATA("Sum of "&amp;E$9,'PT-All'!$A$1,"Scenario",E$12,"P&amp;L Item",$B78),0),IFERROR(GETPIVOTDATA("Sum of "&amp;E$9,'PT-All'!$A$1,"Scenario",E$12,"P&amp;L Item",$B78)/E$201,0),TEXT(IFERROR(GETPIVOTDATA("Sum of "&amp;E$9,'PT-All'!$A$1,"Scenario",E$12,"P&amp;L Item",$B78)/E$29,0),"0.00%"))</f>
        <v>0</v>
      </c>
      <c r="F78" s="65">
        <f>CHOOSE(PLColumn,IFERROR(GETPIVOTDATA("Sum of "&amp;F$9,'PT-All'!$A$1,"Scenario",F$12,"P&amp;L Item",$B78),0),IFERROR(GETPIVOTDATA("Sum of "&amp;F$9,'PT-All'!$A$1,"Scenario",F$12,"P&amp;L Item",$B78)/F$201,0),TEXT(IFERROR(GETPIVOTDATA("Sum of "&amp;F$9,'PT-All'!$A$1,"Scenario",F$12,"P&amp;L Item",$B78)/F$29,0),"0.00%"))</f>
        <v>0</v>
      </c>
      <c r="G78" s="65">
        <f>CHOOSE(PLColumn,IFERROR(GETPIVOTDATA("Sum of "&amp;G$9,'PT-All'!$A$1,"Scenario",G$12,"P&amp;L Item",$B78),0),IFERROR(GETPIVOTDATA("Sum of "&amp;G$9,'PT-All'!$A$1,"Scenario",G$12,"P&amp;L Item",$B78)/G$201,0),TEXT(IFERROR(GETPIVOTDATA("Sum of "&amp;G$9,'PT-All'!$A$1,"Scenario",G$12,"P&amp;L Item",$B78)/G$29,0),"0.00%"))</f>
        <v>0</v>
      </c>
      <c r="H78" s="65">
        <f>CHOOSE(PLColumn,IFERROR(GETPIVOTDATA("Sum of "&amp;H$9,'PT-All'!$A$1,"Scenario",H$12,"P&amp;L Item",$B78),0),IFERROR(GETPIVOTDATA("Sum of "&amp;H$9,'PT-All'!$A$1,"Scenario",H$12,"P&amp;L Item",$B78)/H$201,0),TEXT(IFERROR(GETPIVOTDATA("Sum of "&amp;H$9,'PT-All'!$A$1,"Scenario",H$12,"P&amp;L Item",$B78)/H$29,0),"0.00%"))</f>
        <v>0</v>
      </c>
      <c r="I78" s="65">
        <f>CHOOSE(PLColumn,IFERROR(GETPIVOTDATA("Sum of "&amp;I$9,'PT-All'!$A$1,"Scenario",I$12,"P&amp;L Item",$B78),0),IFERROR(GETPIVOTDATA("Sum of "&amp;I$9,'PT-All'!$A$1,"Scenario",I$12,"P&amp;L Item",$B78)/I$201,0),TEXT(IFERROR(GETPIVOTDATA("Sum of "&amp;I$9,'PT-All'!$A$1,"Scenario",I$12,"P&amp;L Item",$B78)/I$29,0),"0.00%"))</f>
        <v>0</v>
      </c>
      <c r="J78" s="65">
        <f>CHOOSE(PLColumn,IFERROR(GETPIVOTDATA("Sum of "&amp;J$9,'PT-All'!$A$1,"Scenario",J$12,"P&amp;L Item",$B78),0),IFERROR(GETPIVOTDATA("Sum of "&amp;J$9,'PT-All'!$A$1,"Scenario",J$12,"P&amp;L Item",$B78)/J$201,0),TEXT(IFERROR(GETPIVOTDATA("Sum of "&amp;J$9,'PT-All'!$A$1,"Scenario",J$12,"P&amp;L Item",$B78)/J$29,0),"0.00%"))</f>
        <v>0</v>
      </c>
      <c r="K78" s="65">
        <f>CHOOSE(PLColumn,IFERROR(GETPIVOTDATA("Sum of "&amp;K$9,'PT-All'!$A$1,"Scenario",K$12,"P&amp;L Item",$B78),0),IFERROR(GETPIVOTDATA("Sum of "&amp;K$9,'PT-All'!$A$1,"Scenario",K$12,"P&amp;L Item",$B78)/K$201,0),TEXT(IFERROR(GETPIVOTDATA("Sum of "&amp;K$9,'PT-All'!$A$1,"Scenario",K$12,"P&amp;L Item",$B78)/K$29,0),"0.00%"))</f>
        <v>0</v>
      </c>
      <c r="L78" s="65">
        <f>CHOOSE(PLColumn,IFERROR(GETPIVOTDATA("Sum of "&amp;L$9,'PT-All'!$A$1,"Scenario",L$12,"P&amp;L Item",$B78),0),IFERROR(GETPIVOTDATA("Sum of "&amp;L$9,'PT-All'!$A$1,"Scenario",L$12,"P&amp;L Item",$B78)/L$201,0),TEXT(IFERROR(GETPIVOTDATA("Sum of "&amp;L$9,'PT-All'!$A$1,"Scenario",L$12,"P&amp;L Item",$B78)/L$29,0),"0.00%"))</f>
        <v>0</v>
      </c>
      <c r="M78" s="65">
        <f>CHOOSE(PLColumn,IFERROR(GETPIVOTDATA("Sum of "&amp;M$9,'PT-All'!$A$1,"Scenario",M$12,"P&amp;L Item",$B78),0),IFERROR(GETPIVOTDATA("Sum of "&amp;M$9,'PT-All'!$A$1,"Scenario",M$12,"P&amp;L Item",$B78)/M$201,0),TEXT(IFERROR(GETPIVOTDATA("Sum of "&amp;M$9,'PT-All'!$A$1,"Scenario",M$12,"P&amp;L Item",$B78)/M$29,0),"0.00%"))</f>
        <v>0</v>
      </c>
      <c r="N78" s="65">
        <f>CHOOSE(PLColumn,IFERROR(GETPIVOTDATA("Sum of "&amp;N$9,'PT-All'!$A$1,"Scenario",N$12,"P&amp;L Item",$B78),0),IFERROR(GETPIVOTDATA("Sum of "&amp;N$9,'PT-All'!$A$1,"Scenario",N$12,"P&amp;L Item",$B78)/N$201,0),TEXT(IFERROR(GETPIVOTDATA("Sum of "&amp;N$9,'PT-All'!$A$1,"Scenario",N$12,"P&amp;L Item",$B78)/N$29,0),"0.00%"))</f>
        <v>0</v>
      </c>
      <c r="O78" s="65">
        <f>CHOOSE(PLColumn,IFERROR(GETPIVOTDATA("Sum of "&amp;O$9,'PT-All'!$A$1,"Scenario",O$12,"P&amp;L Item",$B78),0),IFERROR(GETPIVOTDATA("Sum of "&amp;O$9,'PT-All'!$A$1,"Scenario",O$12,"P&amp;L Item",$B78)/O$201,0),TEXT(IFERROR(GETPIVOTDATA("Sum of "&amp;O$9,'PT-All'!$A$1,"Scenario",O$12,"P&amp;L Item",$B78)/O$29,0),"0.00%"))</f>
        <v>0</v>
      </c>
      <c r="P78" s="65">
        <f>CHOOSE(PLColumn,IFERROR(GETPIVOTDATA("Sum of "&amp;P$9,'PT-All'!$A$1,"Scenario",P$12,"P&amp;L Item",$B78),0),IFERROR(GETPIVOTDATA("Sum of "&amp;P$9,'PT-All'!$A$1,"Scenario",P$12,"P&amp;L Item",$B78)/P$201,0),TEXT(IFERROR(GETPIVOTDATA("Sum of "&amp;P$9,'PT-All'!$A$1,"Scenario",P$12,"P&amp;L Item",$B78)/P$29,0),"0.00%"))</f>
        <v>0</v>
      </c>
      <c r="Q78" s="65">
        <f>CHOOSE(PLColumn,IFERROR(GETPIVOTDATA("Sum of "&amp;Q$9,'PT-All'!$A$1,"Scenario",Q$12,"P&amp;L Item",$B78),0),IFERROR(GETPIVOTDATA("Sum of "&amp;Q$9,'PT-All'!$A$1,"Scenario",Q$12,"P&amp;L Item",$B78)/Q$201,0),TEXT(IFERROR(GETPIVOTDATA("Sum of "&amp;Q$9,'PT-All'!$A$1,"Scenario",Q$12,"P&amp;L Item",$B78)/Q$29,0),"0.00%"))</f>
        <v>0</v>
      </c>
      <c r="R78" s="65">
        <f>CHOOSE(PLColumn,IFERROR(GETPIVOTDATA("Sum of "&amp;R$9,'PT-All'!$A$1,"Scenario",R$12,"P&amp;L Item",$B78),0),IFERROR(GETPIVOTDATA("Sum of "&amp;R$9,'PT-All'!$A$1,"Scenario",R$12,"P&amp;L Item",$B78)/R$201,0),TEXT(IFERROR(GETPIVOTDATA("Sum of "&amp;R$9,'PT-All'!$A$1,"Scenario",R$12,"P&amp;L Item",$B78)/R$29,0),"0.00%"))</f>
        <v>0</v>
      </c>
      <c r="S78" s="65">
        <f>CHOOSE(PLColumn,IFERROR(GETPIVOTDATA("Sum of "&amp;S$9,'PT-All'!$A$1,"Scenario",S$12,"P&amp;L Item",$B78),0),IFERROR(GETPIVOTDATA("Sum of "&amp;S$9,'PT-All'!$A$1,"Scenario",S$12,"P&amp;L Item",$B78)/S$201,0),TEXT(IFERROR(GETPIVOTDATA("Sum of "&amp;S$9,'PT-All'!$A$1,"Scenario",S$12,"P&amp;L Item",$B78)/S$29,0),"0.00%"))</f>
        <v>0</v>
      </c>
      <c r="T78" s="65">
        <f>CHOOSE(PLColumn,IFERROR(GETPIVOTDATA("Sum of "&amp;T$9,'PT-All'!$A$1,"Scenario",T$12,"P&amp;L Item",$B78),0),IFERROR(GETPIVOTDATA("Sum of "&amp;T$9,'PT-All'!$A$1,"Scenario",T$12,"P&amp;L Item",$B78)/T$201,0),TEXT(IFERROR(GETPIVOTDATA("Sum of "&amp;T$9,'PT-All'!$A$1,"Scenario",T$12,"P&amp;L Item",$B78)/T$29,0),"0.00%"))</f>
        <v>0</v>
      </c>
      <c r="U78" s="65">
        <f>CHOOSE(PLColumn,IFERROR(GETPIVOTDATA("Sum of "&amp;U$9,'PT-All'!$A$1,"Scenario",U$12,"P&amp;L Item",$B78),0),IFERROR(GETPIVOTDATA("Sum of "&amp;U$9,'PT-All'!$A$1,"Scenario",U$12,"P&amp;L Item",$B78)/U$201,0),TEXT(IFERROR(GETPIVOTDATA("Sum of "&amp;U$9,'PT-All'!$A$1,"Scenario",U$12,"P&amp;L Item",$B78)/U$29,0),"0.00%"))</f>
        <v>0</v>
      </c>
      <c r="V78" s="65">
        <f>CHOOSE(PLColumn,IFERROR(GETPIVOTDATA("Sum of "&amp;V$9,'PT-All'!$A$1,"Scenario",V$12,"P&amp;L Item",$B78),0),IFERROR(GETPIVOTDATA("Sum of "&amp;V$9,'PT-All'!$A$1,"Scenario",V$12,"P&amp;L Item",$B78)/V$201,0),TEXT(IFERROR(GETPIVOTDATA("Sum of "&amp;V$9,'PT-All'!$A$1,"Scenario",V$12,"P&amp;L Item",$B78)/V$29,0),"0.00%"))</f>
        <v>0</v>
      </c>
      <c r="W78" s="65">
        <f>CHOOSE(PLColumn,IFERROR(GETPIVOTDATA("Sum of "&amp;W$9,'PT-All'!$A$1,"Scenario",W$12,"P&amp;L Item",$B78),0),IFERROR(GETPIVOTDATA("Sum of "&amp;W$9,'PT-All'!$A$1,"Scenario",W$12,"P&amp;L Item",$B78)/W$201,0),TEXT(IFERROR(GETPIVOTDATA("Sum of "&amp;W$9,'PT-All'!$A$1,"Scenario",W$12,"P&amp;L Item",$B78)/W$29,0),"0.00%"))</f>
        <v>0</v>
      </c>
      <c r="X78" s="65">
        <f>CHOOSE(PLColumn,IFERROR(GETPIVOTDATA("Sum of "&amp;X$9,'PT-All'!$A$1,"Scenario",X$12,"P&amp;L Item",$B78),0),IFERROR(GETPIVOTDATA("Sum of "&amp;X$9,'PT-All'!$A$1,"Scenario",X$12,"P&amp;L Item",$B78)/X$201,0),TEXT(IFERROR(GETPIVOTDATA("Sum of "&amp;X$9,'PT-All'!$A$1,"Scenario",X$12,"P&amp;L Item",$B78)/X$29,0),"0.00%"))</f>
        <v>0</v>
      </c>
      <c r="Y78" s="65">
        <f>CHOOSE(PLColumn,IFERROR(GETPIVOTDATA("Sum of "&amp;Y$9,'PT-All'!$A$1,"Scenario",Y$12,"P&amp;L Item",$B78),0),IFERROR(GETPIVOTDATA("Sum of "&amp;Y$9,'PT-All'!$A$1,"Scenario",Y$12,"P&amp;L Item",$B78)/Y$201,0),TEXT(IFERROR(GETPIVOTDATA("Sum of "&amp;Y$9,'PT-All'!$A$1,"Scenario",Y$12,"P&amp;L Item",$B78)/Y$29,0),"0.00%"))</f>
        <v>0</v>
      </c>
      <c r="Z78" s="65">
        <f>CHOOSE(PLColumn,IFERROR(GETPIVOTDATA("Sum of "&amp;Z$9,'PT-All'!$A$1,"Scenario",Z$12,"P&amp;L Item",$B78),0),IFERROR(GETPIVOTDATA("Sum of "&amp;Z$9,'PT-All'!$A$1,"Scenario",Z$12,"P&amp;L Item",$B78)/Z$201,0),TEXT(IFERROR(GETPIVOTDATA("Sum of "&amp;Z$9,'PT-All'!$A$1,"Scenario",Z$12,"P&amp;L Item",$B78)/Z$29,0),"0.00%"))</f>
        <v>0</v>
      </c>
      <c r="AA78" s="65">
        <f>CHOOSE(PLColumn,IFERROR(GETPIVOTDATA("Sum of "&amp;AA$9,'PT-All'!$A$1,"Scenario",AA$12,"P&amp;L Item",$B78),0),IFERROR(GETPIVOTDATA("Sum of "&amp;AA$9,'PT-All'!$A$1,"Scenario",AA$12,"P&amp;L Item",$B78)/AA$201,0),TEXT(IFERROR(GETPIVOTDATA("Sum of "&amp;AA$9,'PT-All'!$A$1,"Scenario",AA$12,"P&amp;L Item",$B78)/AA$29,0),"0.00%"))</f>
        <v>0</v>
      </c>
      <c r="AB78" s="65">
        <f>CHOOSE(PLColumn,IFERROR(GETPIVOTDATA("Sum of "&amp;AB$9,'PT-All'!$A$1,"Scenario",AB$12,"P&amp;L Item",$B78),0),IFERROR(GETPIVOTDATA("Sum of "&amp;AB$9,'PT-All'!$A$1,"Scenario",AB$12,"P&amp;L Item",$B78)/AB$201,0),TEXT(IFERROR(GETPIVOTDATA("Sum of "&amp;AB$9,'PT-All'!$A$1,"Scenario",AB$12,"P&amp;L Item",$B78)/AB$29,0),"0.00%"))</f>
        <v>0</v>
      </c>
      <c r="AC78" s="65">
        <f>CHOOSE(PLColumn,IFERROR(GETPIVOTDATA("Sum of "&amp;AC$9,'PT-All'!$A$1,"Scenario",AC$12,"P&amp;L Item",$B78),0),IFERROR(GETPIVOTDATA("Sum of "&amp;AC$9,'PT-All'!$A$1,"Scenario",AC$12,"P&amp;L Item",$B78)/AC$201,0),TEXT(IFERROR(GETPIVOTDATA("Sum of "&amp;AC$9,'PT-All'!$A$1,"Scenario",AC$12,"P&amp;L Item",$B78)/AC$29,0),"0.00%"))</f>
        <v>0</v>
      </c>
      <c r="AD78" s="65">
        <f>CHOOSE(PLColumn,IFERROR(GETPIVOTDATA("Sum of "&amp;AD$9,'PT-All'!$A$1,"Scenario",AD$12,"P&amp;L Item",$B78),0),IFERROR(GETPIVOTDATA("Sum of "&amp;AD$9,'PT-All'!$A$1,"Scenario",AD$12,"P&amp;L Item",$B78)/AD$201,0),TEXT(IFERROR(GETPIVOTDATA("Sum of "&amp;AD$9,'PT-All'!$A$1,"Scenario",AD$12,"P&amp;L Item",$B78)/AD$29,0),"0.00%"))</f>
        <v>0</v>
      </c>
      <c r="AE78" s="65">
        <f>CHOOSE(PLColumn,IFERROR(GETPIVOTDATA("Sum of "&amp;AE$9,'PT-All'!$A$1,"Scenario",AE$12,"P&amp;L Item",$B78),0),IFERROR(GETPIVOTDATA("Sum of "&amp;AE$9,'PT-All'!$A$1,"Scenario",AE$12,"P&amp;L Item",$B78)/AE$201,0),TEXT(IFERROR(GETPIVOTDATA("Sum of "&amp;AE$9,'PT-All'!$A$1,"Scenario",AE$12,"P&amp;L Item",$B78)/AE$29,0),"0.00%"))</f>
        <v>0</v>
      </c>
      <c r="AF78" s="65">
        <f>CHOOSE(PLColumn,IFERROR(GETPIVOTDATA("Sum of "&amp;AF$9,'PT-All'!$A$1,"Scenario",AF$12,"P&amp;L Item",$B78),0),IFERROR(GETPIVOTDATA("Sum of "&amp;AF$9,'PT-All'!$A$1,"Scenario",AF$12,"P&amp;L Item",$B78)/AF$201,0),TEXT(IFERROR(GETPIVOTDATA("Sum of "&amp;AF$9,'PT-All'!$A$1,"Scenario",AF$12,"P&amp;L Item",$B78)/AF$29,0),"0.00%"))</f>
        <v>0</v>
      </c>
      <c r="AG78" s="65">
        <f>CHOOSE(PLColumn,IFERROR(GETPIVOTDATA("Sum of "&amp;AG$9,'PT-All'!$A$1,"Scenario",AG$12,"P&amp;L Item",$B78),0),IFERROR(GETPIVOTDATA("Sum of "&amp;AG$9,'PT-All'!$A$1,"Scenario",AG$12,"P&amp;L Item",$B78)/AG$201,0),TEXT(IFERROR(GETPIVOTDATA("Sum of "&amp;AG$9,'PT-All'!$A$1,"Scenario",AG$12,"P&amp;L Item",$B78)/AG$29,0),"0.00%"))</f>
        <v>0</v>
      </c>
      <c r="AH78" s="65">
        <f>CHOOSE(PLColumn,IFERROR(GETPIVOTDATA("Sum of "&amp;AH$9,'PT-All'!$A$1,"Scenario",AH$12,"P&amp;L Item",$B78),0),IFERROR(GETPIVOTDATA("Sum of "&amp;AH$9,'PT-All'!$A$1,"Scenario",AH$12,"P&amp;L Item",$B78)/AH$201,0),TEXT(IFERROR(GETPIVOTDATA("Sum of "&amp;AH$9,'PT-All'!$A$1,"Scenario",AH$12,"P&amp;L Item",$B78)/AH$29,0),"0.00%"))</f>
        <v>0</v>
      </c>
      <c r="AI78" s="65">
        <f>CHOOSE(PLColumn,IFERROR(GETPIVOTDATA("Sum of "&amp;AI$9,'PT-All'!$A$1,"Scenario",AI$12,"P&amp;L Item",$B78),0),IFERROR(GETPIVOTDATA("Sum of "&amp;AI$9,'PT-All'!$A$1,"Scenario",AI$12,"P&amp;L Item",$B78)/AI$201,0),TEXT(IFERROR(GETPIVOTDATA("Sum of "&amp;AI$9,'PT-All'!$A$1,"Scenario",AI$12,"P&amp;L Item",$B78)/AI$29,0),"0.00%"))</f>
        <v>0</v>
      </c>
      <c r="AJ78" s="65">
        <f>CHOOSE(PLColumn,IFERROR(GETPIVOTDATA("Sum of "&amp;AJ$9,'PT-All'!$A$1,"Scenario",AJ$12,"P&amp;L Item",$B78),0),IFERROR(GETPIVOTDATA("Sum of "&amp;AJ$9,'PT-All'!$A$1,"Scenario",AJ$12,"P&amp;L Item",$B78)/AJ$201,0),TEXT(IFERROR(GETPIVOTDATA("Sum of "&amp;AJ$9,'PT-All'!$A$1,"Scenario",AJ$12,"P&amp;L Item",$B78)/AJ$29,0),"0.00%"))</f>
        <v>0</v>
      </c>
      <c r="AK78" s="65">
        <f>CHOOSE(PLColumn,IFERROR(GETPIVOTDATA("Sum of "&amp;AK$9,'PT-All'!$A$1,"Scenario",AK$12,"P&amp;L Item",$B78),0),IFERROR(GETPIVOTDATA("Sum of "&amp;AK$9,'PT-All'!$A$1,"Scenario",AK$12,"P&amp;L Item",$B78)/AK$201,0),TEXT(IFERROR(GETPIVOTDATA("Sum of "&amp;AK$9,'PT-All'!$A$1,"Scenario",AK$12,"P&amp;L Item",$B78)/AK$29,0),"0.00%"))</f>
        <v>0</v>
      </c>
      <c r="AL78" s="97">
        <f>CHOOSE(PLColumn,IFERROR(GETPIVOTDATA("Sum of "&amp;AL$9,'PT-All'!$A$1,"Scenario",AL$12,"P&amp;L Item",$B78),0),IFERROR(GETPIVOTDATA("Sum of "&amp;AL$9,'PT-All'!$A$1,"Scenario",AL$12,"P&amp;L Item",$B78)/AL$201,0),TEXT(IFERROR(GETPIVOTDATA("Sum of "&amp;AL$9,'PT-All'!$A$1,"Scenario",AL$12,"P&amp;L Item",$B78)/AL$29,0),"0.00%"))</f>
        <v>0</v>
      </c>
      <c r="AM78" s="590"/>
      <c r="AN78" s="108">
        <f ca="1">IF(AN$12="Pro Forma",SUM(OFFSET($B78,0,3*AN$9+1,1,3)),IFERROR(GETPIVOTDATA("Sum of Q"&amp;AN$9+1,'PT-All'!$A$1,"Scenario",AN$12,"P&amp;L Item",$B78),0))</f>
        <v>0</v>
      </c>
      <c r="AO78" s="65">
        <f ca="1">IF(AO$12="Pro Forma",SUM(OFFSET($B78,0,3*AO$9+1,1,3)),IFERROR(GETPIVOTDATA("Sum of Q"&amp;AO$9+1,'PT-All'!$A$1,"Scenario",AO$12,"P&amp;L Item",$B78),0))</f>
        <v>0</v>
      </c>
      <c r="AP78" s="65">
        <f ca="1">IF(AP$12="Pro Forma",SUM(OFFSET($B78,0,3*AP$9+1,1,3)),IFERROR(GETPIVOTDATA("Sum of Q"&amp;AP$9+1,'PT-All'!$A$1,"Scenario",AP$12,"P&amp;L Item",$B78),0))</f>
        <v>0</v>
      </c>
      <c r="AQ78" s="65">
        <f ca="1">IF(AQ$12="Pro Forma",SUM(OFFSET($B78,0,3*AQ$9+1,1,3)),IFERROR(GETPIVOTDATA("Sum of Q"&amp;AQ$9+1,'PT-All'!$A$1,"Scenario",AQ$12,"P&amp;L Item",$B78),0))</f>
        <v>0</v>
      </c>
      <c r="AR78" s="65">
        <f ca="1">IF(AR$12="Pro Forma",SUM(OFFSET($B78,0,3*AR$9+1,1,3)),IFERROR(GETPIVOTDATA("Sum of Q"&amp;AR$9+1,'PT-All'!$A$1,"Scenario",AR$12,"P&amp;L Item",$B78),0))</f>
        <v>0</v>
      </c>
      <c r="AS78" s="65">
        <f ca="1">IF(AS$12="Pro Forma",SUM(OFFSET($B78,0,3*AS$9+1,1,3)),IFERROR(GETPIVOTDATA("Sum of Q"&amp;AS$9+1,'PT-All'!$A$1,"Scenario",AS$12,"P&amp;L Item",$B78),0))</f>
        <v>0</v>
      </c>
      <c r="AT78" s="65">
        <f ca="1">IF(AT$12="Pro Forma",SUM(OFFSET($B78,0,3*AT$9+1,1,3)),IFERROR(GETPIVOTDATA("Sum of Q"&amp;AT$9+1,'PT-All'!$A$1,"Scenario",AT$12,"P&amp;L Item",$B78),0))</f>
        <v>0</v>
      </c>
      <c r="AU78" s="65">
        <f ca="1">IF(AU$12="Pro Forma",SUM(OFFSET($B78,0,3*AU$9+1,1,3)),IFERROR(GETPIVOTDATA("Sum of Q"&amp;AU$9+1,'PT-All'!$A$1,"Scenario",AU$12,"P&amp;L Item",$B78),0))</f>
        <v>0</v>
      </c>
      <c r="AV78" s="65">
        <f ca="1">IF(AV$12="Pro Forma",SUM(OFFSET($B78,0,3*AV$9+1,1,3)),IFERROR(GETPIVOTDATA("Sum of Q"&amp;AV$9+1,'PT-All'!$A$1,"Scenario",AV$12,"P&amp;L Item",$B78),0))</f>
        <v>0</v>
      </c>
      <c r="AW78" s="65">
        <f ca="1">IF(AW$12="Pro Forma",SUM(OFFSET($B78,0,3*AW$9+1,1,3)),IFERROR(GETPIVOTDATA("Sum of Q"&amp;AW$9+1,'PT-All'!$A$1,"Scenario",AW$12,"P&amp;L Item",$B78),0))</f>
        <v>0</v>
      </c>
      <c r="AX78" s="65">
        <f ca="1">IF(AX$12="Pro Forma",SUM(OFFSET($B78,0,3*AX$9+1,1,3)),IFERROR(GETPIVOTDATA("Sum of Q"&amp;AX$9+1,'PT-All'!$A$1,"Scenario",AX$12,"P&amp;L Item",$B78),0))</f>
        <v>0</v>
      </c>
      <c r="AY78" s="97">
        <f ca="1">IF(AY$12="Pro Forma",SUM(OFFSET($B78,0,3*AY$9+1,1,3)),IFERROR(GETPIVOTDATA("Sum of Q"&amp;AY$9+1,'PT-All'!$A$1,"Scenario",AY$12,"P&amp;L Item",$B78),0))</f>
        <v>0</v>
      </c>
      <c r="AZ78" s="590"/>
      <c r="BA78" s="108">
        <f ca="1">IF(BA$12="Pro Forma",SUM(OFFSET($B78,0,12*BA$9+1,1,12)),IFERROR(GETPIVOTDATA("Sum of FY"&amp;BA$9+1,'PT-All'!$A$1,"Scenario",BA$12,"P&amp;L Item",$B78),0))</f>
        <v>0</v>
      </c>
      <c r="BB78" s="65">
        <f ca="1">IF(BB$12="Pro Forma",SUM(OFFSET($B78,0,12*BB$9+1,1,12)),IFERROR(GETPIVOTDATA("Sum of FY"&amp;BB$9+1,'PT-All'!$A$1,"Scenario",BB$12,"P&amp;L Item",$B78),0))</f>
        <v>0</v>
      </c>
      <c r="BC78" s="97">
        <f ca="1">IF(BC$12="Pro Forma",SUM(OFFSET($B78,0,12*BC$9+1,1,12)),IFERROR(GETPIVOTDATA("Sum of FY"&amp;BC$9+1,'PT-All'!$A$1,"Scenario",BC$12,"P&amp;L Item",$B78),0))</f>
        <v>0</v>
      </c>
    </row>
    <row r="79" spans="2:55" x14ac:dyDescent="0.35">
      <c r="B79" s="76" t="s">
        <v>111</v>
      </c>
      <c r="C79" s="65">
        <f>CHOOSE(PLColumn,IFERROR(GETPIVOTDATA("Sum of "&amp;C$9,'PT-All'!$A$1,"Scenario",C$12,"P&amp;L Item",$B79),0),IFERROR(GETPIVOTDATA("Sum of "&amp;C$9,'PT-All'!$A$1,"Scenario",C$12,"P&amp;L Item",$B79)/C$201,0),TEXT(IFERROR(GETPIVOTDATA("Sum of "&amp;C$9,'PT-All'!$A$1,"Scenario",C$12,"P&amp;L Item",$B79)/C$29,0),"0.00%"))</f>
        <v>0</v>
      </c>
      <c r="D79" s="65">
        <f>CHOOSE(PLColumn,IFERROR(GETPIVOTDATA("Sum of "&amp;D$9,'PT-All'!$A$1,"Scenario",D$12,"P&amp;L Item",$B79),0),IFERROR(GETPIVOTDATA("Sum of "&amp;D$9,'PT-All'!$A$1,"Scenario",D$12,"P&amp;L Item",$B79)/D$201,0),TEXT(IFERROR(GETPIVOTDATA("Sum of "&amp;D$9,'PT-All'!$A$1,"Scenario",D$12,"P&amp;L Item",$B79)/D$29,0),"0.00%"))</f>
        <v>0</v>
      </c>
      <c r="E79" s="65">
        <f>CHOOSE(PLColumn,IFERROR(GETPIVOTDATA("Sum of "&amp;E$9,'PT-All'!$A$1,"Scenario",E$12,"P&amp;L Item",$B79),0),IFERROR(GETPIVOTDATA("Sum of "&amp;E$9,'PT-All'!$A$1,"Scenario",E$12,"P&amp;L Item",$B79)/E$201,0),TEXT(IFERROR(GETPIVOTDATA("Sum of "&amp;E$9,'PT-All'!$A$1,"Scenario",E$12,"P&amp;L Item",$B79)/E$29,0),"0.00%"))</f>
        <v>0</v>
      </c>
      <c r="F79" s="65">
        <f>CHOOSE(PLColumn,IFERROR(GETPIVOTDATA("Sum of "&amp;F$9,'PT-All'!$A$1,"Scenario",F$12,"P&amp;L Item",$B79),0),IFERROR(GETPIVOTDATA("Sum of "&amp;F$9,'PT-All'!$A$1,"Scenario",F$12,"P&amp;L Item",$B79)/F$201,0),TEXT(IFERROR(GETPIVOTDATA("Sum of "&amp;F$9,'PT-All'!$A$1,"Scenario",F$12,"P&amp;L Item",$B79)/F$29,0),"0.00%"))</f>
        <v>0</v>
      </c>
      <c r="G79" s="65">
        <f>CHOOSE(PLColumn,IFERROR(GETPIVOTDATA("Sum of "&amp;G$9,'PT-All'!$A$1,"Scenario",G$12,"P&amp;L Item",$B79),0),IFERROR(GETPIVOTDATA("Sum of "&amp;G$9,'PT-All'!$A$1,"Scenario",G$12,"P&amp;L Item",$B79)/G$201,0),TEXT(IFERROR(GETPIVOTDATA("Sum of "&amp;G$9,'PT-All'!$A$1,"Scenario",G$12,"P&amp;L Item",$B79)/G$29,0),"0.00%"))</f>
        <v>0</v>
      </c>
      <c r="H79" s="65">
        <f>CHOOSE(PLColumn,IFERROR(GETPIVOTDATA("Sum of "&amp;H$9,'PT-All'!$A$1,"Scenario",H$12,"P&amp;L Item",$B79),0),IFERROR(GETPIVOTDATA("Sum of "&amp;H$9,'PT-All'!$A$1,"Scenario",H$12,"P&amp;L Item",$B79)/H$201,0),TEXT(IFERROR(GETPIVOTDATA("Sum of "&amp;H$9,'PT-All'!$A$1,"Scenario",H$12,"P&amp;L Item",$B79)/H$29,0),"0.00%"))</f>
        <v>0</v>
      </c>
      <c r="I79" s="65">
        <f>CHOOSE(PLColumn,IFERROR(GETPIVOTDATA("Sum of "&amp;I$9,'PT-All'!$A$1,"Scenario",I$12,"P&amp;L Item",$B79),0),IFERROR(GETPIVOTDATA("Sum of "&amp;I$9,'PT-All'!$A$1,"Scenario",I$12,"P&amp;L Item",$B79)/I$201,0),TEXT(IFERROR(GETPIVOTDATA("Sum of "&amp;I$9,'PT-All'!$A$1,"Scenario",I$12,"P&amp;L Item",$B79)/I$29,0),"0.00%"))</f>
        <v>0</v>
      </c>
      <c r="J79" s="65">
        <f>CHOOSE(PLColumn,IFERROR(GETPIVOTDATA("Sum of "&amp;J$9,'PT-All'!$A$1,"Scenario",J$12,"P&amp;L Item",$B79),0),IFERROR(GETPIVOTDATA("Sum of "&amp;J$9,'PT-All'!$A$1,"Scenario",J$12,"P&amp;L Item",$B79)/J$201,0),TEXT(IFERROR(GETPIVOTDATA("Sum of "&amp;J$9,'PT-All'!$A$1,"Scenario",J$12,"P&amp;L Item",$B79)/J$29,0),"0.00%"))</f>
        <v>0</v>
      </c>
      <c r="K79" s="65">
        <f>CHOOSE(PLColumn,IFERROR(GETPIVOTDATA("Sum of "&amp;K$9,'PT-All'!$A$1,"Scenario",K$12,"P&amp;L Item",$B79),0),IFERROR(GETPIVOTDATA("Sum of "&amp;K$9,'PT-All'!$A$1,"Scenario",K$12,"P&amp;L Item",$B79)/K$201,0),TEXT(IFERROR(GETPIVOTDATA("Sum of "&amp;K$9,'PT-All'!$A$1,"Scenario",K$12,"P&amp;L Item",$B79)/K$29,0),"0.00%"))</f>
        <v>0</v>
      </c>
      <c r="L79" s="65">
        <f>CHOOSE(PLColumn,IFERROR(GETPIVOTDATA("Sum of "&amp;L$9,'PT-All'!$A$1,"Scenario",L$12,"P&amp;L Item",$B79),0),IFERROR(GETPIVOTDATA("Sum of "&amp;L$9,'PT-All'!$A$1,"Scenario",L$12,"P&amp;L Item",$B79)/L$201,0),TEXT(IFERROR(GETPIVOTDATA("Sum of "&amp;L$9,'PT-All'!$A$1,"Scenario",L$12,"P&amp;L Item",$B79)/L$29,0),"0.00%"))</f>
        <v>0</v>
      </c>
      <c r="M79" s="65">
        <f>CHOOSE(PLColumn,IFERROR(GETPIVOTDATA("Sum of "&amp;M$9,'PT-All'!$A$1,"Scenario",M$12,"P&amp;L Item",$B79),0),IFERROR(GETPIVOTDATA("Sum of "&amp;M$9,'PT-All'!$A$1,"Scenario",M$12,"P&amp;L Item",$B79)/M$201,0),TEXT(IFERROR(GETPIVOTDATA("Sum of "&amp;M$9,'PT-All'!$A$1,"Scenario",M$12,"P&amp;L Item",$B79)/M$29,0),"0.00%"))</f>
        <v>0</v>
      </c>
      <c r="N79" s="65">
        <f>CHOOSE(PLColumn,IFERROR(GETPIVOTDATA("Sum of "&amp;N$9,'PT-All'!$A$1,"Scenario",N$12,"P&amp;L Item",$B79),0),IFERROR(GETPIVOTDATA("Sum of "&amp;N$9,'PT-All'!$A$1,"Scenario",N$12,"P&amp;L Item",$B79)/N$201,0),TEXT(IFERROR(GETPIVOTDATA("Sum of "&amp;N$9,'PT-All'!$A$1,"Scenario",N$12,"P&amp;L Item",$B79)/N$29,0),"0.00%"))</f>
        <v>0</v>
      </c>
      <c r="O79" s="65">
        <f>CHOOSE(PLColumn,IFERROR(GETPIVOTDATA("Sum of "&amp;O$9,'PT-All'!$A$1,"Scenario",O$12,"P&amp;L Item",$B79),0),IFERROR(GETPIVOTDATA("Sum of "&amp;O$9,'PT-All'!$A$1,"Scenario",O$12,"P&amp;L Item",$B79)/O$201,0),TEXT(IFERROR(GETPIVOTDATA("Sum of "&amp;O$9,'PT-All'!$A$1,"Scenario",O$12,"P&amp;L Item",$B79)/O$29,0),"0.00%"))</f>
        <v>0</v>
      </c>
      <c r="P79" s="65">
        <f>CHOOSE(PLColumn,IFERROR(GETPIVOTDATA("Sum of "&amp;P$9,'PT-All'!$A$1,"Scenario",P$12,"P&amp;L Item",$B79),0),IFERROR(GETPIVOTDATA("Sum of "&amp;P$9,'PT-All'!$A$1,"Scenario",P$12,"P&amp;L Item",$B79)/P$201,0),TEXT(IFERROR(GETPIVOTDATA("Sum of "&amp;P$9,'PT-All'!$A$1,"Scenario",P$12,"P&amp;L Item",$B79)/P$29,0),"0.00%"))</f>
        <v>0</v>
      </c>
      <c r="Q79" s="65">
        <f>CHOOSE(PLColumn,IFERROR(GETPIVOTDATA("Sum of "&amp;Q$9,'PT-All'!$A$1,"Scenario",Q$12,"P&amp;L Item",$B79),0),IFERROR(GETPIVOTDATA("Sum of "&amp;Q$9,'PT-All'!$A$1,"Scenario",Q$12,"P&amp;L Item",$B79)/Q$201,0),TEXT(IFERROR(GETPIVOTDATA("Sum of "&amp;Q$9,'PT-All'!$A$1,"Scenario",Q$12,"P&amp;L Item",$B79)/Q$29,0),"0.00%"))</f>
        <v>0</v>
      </c>
      <c r="R79" s="65">
        <f>CHOOSE(PLColumn,IFERROR(GETPIVOTDATA("Sum of "&amp;R$9,'PT-All'!$A$1,"Scenario",R$12,"P&amp;L Item",$B79),0),IFERROR(GETPIVOTDATA("Sum of "&amp;R$9,'PT-All'!$A$1,"Scenario",R$12,"P&amp;L Item",$B79)/R$201,0),TEXT(IFERROR(GETPIVOTDATA("Sum of "&amp;R$9,'PT-All'!$A$1,"Scenario",R$12,"P&amp;L Item",$B79)/R$29,0),"0.00%"))</f>
        <v>0</v>
      </c>
      <c r="S79" s="65">
        <f>CHOOSE(PLColumn,IFERROR(GETPIVOTDATA("Sum of "&amp;S$9,'PT-All'!$A$1,"Scenario",S$12,"P&amp;L Item",$B79),0),IFERROR(GETPIVOTDATA("Sum of "&amp;S$9,'PT-All'!$A$1,"Scenario",S$12,"P&amp;L Item",$B79)/S$201,0),TEXT(IFERROR(GETPIVOTDATA("Sum of "&amp;S$9,'PT-All'!$A$1,"Scenario",S$12,"P&amp;L Item",$B79)/S$29,0),"0.00%"))</f>
        <v>0</v>
      </c>
      <c r="T79" s="65">
        <f>CHOOSE(PLColumn,IFERROR(GETPIVOTDATA("Sum of "&amp;T$9,'PT-All'!$A$1,"Scenario",T$12,"P&amp;L Item",$B79),0),IFERROR(GETPIVOTDATA("Sum of "&amp;T$9,'PT-All'!$A$1,"Scenario",T$12,"P&amp;L Item",$B79)/T$201,0),TEXT(IFERROR(GETPIVOTDATA("Sum of "&amp;T$9,'PT-All'!$A$1,"Scenario",T$12,"P&amp;L Item",$B79)/T$29,0),"0.00%"))</f>
        <v>0</v>
      </c>
      <c r="U79" s="65">
        <f>CHOOSE(PLColumn,IFERROR(GETPIVOTDATA("Sum of "&amp;U$9,'PT-All'!$A$1,"Scenario",U$12,"P&amp;L Item",$B79),0),IFERROR(GETPIVOTDATA("Sum of "&amp;U$9,'PT-All'!$A$1,"Scenario",U$12,"P&amp;L Item",$B79)/U$201,0),TEXT(IFERROR(GETPIVOTDATA("Sum of "&amp;U$9,'PT-All'!$A$1,"Scenario",U$12,"P&amp;L Item",$B79)/U$29,0),"0.00%"))</f>
        <v>0</v>
      </c>
      <c r="V79" s="65">
        <f>CHOOSE(PLColumn,IFERROR(GETPIVOTDATA("Sum of "&amp;V$9,'PT-All'!$A$1,"Scenario",V$12,"P&amp;L Item",$B79),0),IFERROR(GETPIVOTDATA("Sum of "&amp;V$9,'PT-All'!$A$1,"Scenario",V$12,"P&amp;L Item",$B79)/V$201,0),TEXT(IFERROR(GETPIVOTDATA("Sum of "&amp;V$9,'PT-All'!$A$1,"Scenario",V$12,"P&amp;L Item",$B79)/V$29,0),"0.00%"))</f>
        <v>0</v>
      </c>
      <c r="W79" s="65">
        <f>CHOOSE(PLColumn,IFERROR(GETPIVOTDATA("Sum of "&amp;W$9,'PT-All'!$A$1,"Scenario",W$12,"P&amp;L Item",$B79),0),IFERROR(GETPIVOTDATA("Sum of "&amp;W$9,'PT-All'!$A$1,"Scenario",W$12,"P&amp;L Item",$B79)/W$201,0),TEXT(IFERROR(GETPIVOTDATA("Sum of "&amp;W$9,'PT-All'!$A$1,"Scenario",W$12,"P&amp;L Item",$B79)/W$29,0),"0.00%"))</f>
        <v>0</v>
      </c>
      <c r="X79" s="65">
        <f>CHOOSE(PLColumn,IFERROR(GETPIVOTDATA("Sum of "&amp;X$9,'PT-All'!$A$1,"Scenario",X$12,"P&amp;L Item",$B79),0),IFERROR(GETPIVOTDATA("Sum of "&amp;X$9,'PT-All'!$A$1,"Scenario",X$12,"P&amp;L Item",$B79)/X$201,0),TEXT(IFERROR(GETPIVOTDATA("Sum of "&amp;X$9,'PT-All'!$A$1,"Scenario",X$12,"P&amp;L Item",$B79)/X$29,0),"0.00%"))</f>
        <v>0</v>
      </c>
      <c r="Y79" s="65">
        <f>CHOOSE(PLColumn,IFERROR(GETPIVOTDATA("Sum of "&amp;Y$9,'PT-All'!$A$1,"Scenario",Y$12,"P&amp;L Item",$B79),0),IFERROR(GETPIVOTDATA("Sum of "&amp;Y$9,'PT-All'!$A$1,"Scenario",Y$12,"P&amp;L Item",$B79)/Y$201,0),TEXT(IFERROR(GETPIVOTDATA("Sum of "&amp;Y$9,'PT-All'!$A$1,"Scenario",Y$12,"P&amp;L Item",$B79)/Y$29,0),"0.00%"))</f>
        <v>0</v>
      </c>
      <c r="Z79" s="65">
        <f>CHOOSE(PLColumn,IFERROR(GETPIVOTDATA("Sum of "&amp;Z$9,'PT-All'!$A$1,"Scenario",Z$12,"P&amp;L Item",$B79),0),IFERROR(GETPIVOTDATA("Sum of "&amp;Z$9,'PT-All'!$A$1,"Scenario",Z$12,"P&amp;L Item",$B79)/Z$201,0),TEXT(IFERROR(GETPIVOTDATA("Sum of "&amp;Z$9,'PT-All'!$A$1,"Scenario",Z$12,"P&amp;L Item",$B79)/Z$29,0),"0.00%"))</f>
        <v>0</v>
      </c>
      <c r="AA79" s="65">
        <f>CHOOSE(PLColumn,IFERROR(GETPIVOTDATA("Sum of "&amp;AA$9,'PT-All'!$A$1,"Scenario",AA$12,"P&amp;L Item",$B79),0),IFERROR(GETPIVOTDATA("Sum of "&amp;AA$9,'PT-All'!$A$1,"Scenario",AA$12,"P&amp;L Item",$B79)/AA$201,0),TEXT(IFERROR(GETPIVOTDATA("Sum of "&amp;AA$9,'PT-All'!$A$1,"Scenario",AA$12,"P&amp;L Item",$B79)/AA$29,0),"0.00%"))</f>
        <v>0</v>
      </c>
      <c r="AB79" s="65">
        <f>CHOOSE(PLColumn,IFERROR(GETPIVOTDATA("Sum of "&amp;AB$9,'PT-All'!$A$1,"Scenario",AB$12,"P&amp;L Item",$B79),0),IFERROR(GETPIVOTDATA("Sum of "&amp;AB$9,'PT-All'!$A$1,"Scenario",AB$12,"P&amp;L Item",$B79)/AB$201,0),TEXT(IFERROR(GETPIVOTDATA("Sum of "&amp;AB$9,'PT-All'!$A$1,"Scenario",AB$12,"P&amp;L Item",$B79)/AB$29,0),"0.00%"))</f>
        <v>0</v>
      </c>
      <c r="AC79" s="65">
        <f>CHOOSE(PLColumn,IFERROR(GETPIVOTDATA("Sum of "&amp;AC$9,'PT-All'!$A$1,"Scenario",AC$12,"P&amp;L Item",$B79),0),IFERROR(GETPIVOTDATA("Sum of "&amp;AC$9,'PT-All'!$A$1,"Scenario",AC$12,"P&amp;L Item",$B79)/AC$201,0),TEXT(IFERROR(GETPIVOTDATA("Sum of "&amp;AC$9,'PT-All'!$A$1,"Scenario",AC$12,"P&amp;L Item",$B79)/AC$29,0),"0.00%"))</f>
        <v>0</v>
      </c>
      <c r="AD79" s="65">
        <f>CHOOSE(PLColumn,IFERROR(GETPIVOTDATA("Sum of "&amp;AD$9,'PT-All'!$A$1,"Scenario",AD$12,"P&amp;L Item",$B79),0),IFERROR(GETPIVOTDATA("Sum of "&amp;AD$9,'PT-All'!$A$1,"Scenario",AD$12,"P&amp;L Item",$B79)/AD$201,0),TEXT(IFERROR(GETPIVOTDATA("Sum of "&amp;AD$9,'PT-All'!$A$1,"Scenario",AD$12,"P&amp;L Item",$B79)/AD$29,0),"0.00%"))</f>
        <v>0</v>
      </c>
      <c r="AE79" s="65">
        <f>CHOOSE(PLColumn,IFERROR(GETPIVOTDATA("Sum of "&amp;AE$9,'PT-All'!$A$1,"Scenario",AE$12,"P&amp;L Item",$B79),0),IFERROR(GETPIVOTDATA("Sum of "&amp;AE$9,'PT-All'!$A$1,"Scenario",AE$12,"P&amp;L Item",$B79)/AE$201,0),TEXT(IFERROR(GETPIVOTDATA("Sum of "&amp;AE$9,'PT-All'!$A$1,"Scenario",AE$12,"P&amp;L Item",$B79)/AE$29,0),"0.00%"))</f>
        <v>0</v>
      </c>
      <c r="AF79" s="65">
        <f>CHOOSE(PLColumn,IFERROR(GETPIVOTDATA("Sum of "&amp;AF$9,'PT-All'!$A$1,"Scenario",AF$12,"P&amp;L Item",$B79),0),IFERROR(GETPIVOTDATA("Sum of "&amp;AF$9,'PT-All'!$A$1,"Scenario",AF$12,"P&amp;L Item",$B79)/AF$201,0),TEXT(IFERROR(GETPIVOTDATA("Sum of "&amp;AF$9,'PT-All'!$A$1,"Scenario",AF$12,"P&amp;L Item",$B79)/AF$29,0),"0.00%"))</f>
        <v>0</v>
      </c>
      <c r="AG79" s="65">
        <f>CHOOSE(PLColumn,IFERROR(GETPIVOTDATA("Sum of "&amp;AG$9,'PT-All'!$A$1,"Scenario",AG$12,"P&amp;L Item",$B79),0),IFERROR(GETPIVOTDATA("Sum of "&amp;AG$9,'PT-All'!$A$1,"Scenario",AG$12,"P&amp;L Item",$B79)/AG$201,0),TEXT(IFERROR(GETPIVOTDATA("Sum of "&amp;AG$9,'PT-All'!$A$1,"Scenario",AG$12,"P&amp;L Item",$B79)/AG$29,0),"0.00%"))</f>
        <v>0</v>
      </c>
      <c r="AH79" s="65">
        <f>CHOOSE(PLColumn,IFERROR(GETPIVOTDATA("Sum of "&amp;AH$9,'PT-All'!$A$1,"Scenario",AH$12,"P&amp;L Item",$B79),0),IFERROR(GETPIVOTDATA("Sum of "&amp;AH$9,'PT-All'!$A$1,"Scenario",AH$12,"P&amp;L Item",$B79)/AH$201,0),TEXT(IFERROR(GETPIVOTDATA("Sum of "&amp;AH$9,'PT-All'!$A$1,"Scenario",AH$12,"P&amp;L Item",$B79)/AH$29,0),"0.00%"))</f>
        <v>0</v>
      </c>
      <c r="AI79" s="65">
        <f>CHOOSE(PLColumn,IFERROR(GETPIVOTDATA("Sum of "&amp;AI$9,'PT-All'!$A$1,"Scenario",AI$12,"P&amp;L Item",$B79),0),IFERROR(GETPIVOTDATA("Sum of "&amp;AI$9,'PT-All'!$A$1,"Scenario",AI$12,"P&amp;L Item",$B79)/AI$201,0),TEXT(IFERROR(GETPIVOTDATA("Sum of "&amp;AI$9,'PT-All'!$A$1,"Scenario",AI$12,"P&amp;L Item",$B79)/AI$29,0),"0.00%"))</f>
        <v>0</v>
      </c>
      <c r="AJ79" s="65">
        <f>CHOOSE(PLColumn,IFERROR(GETPIVOTDATA("Sum of "&amp;AJ$9,'PT-All'!$A$1,"Scenario",AJ$12,"P&amp;L Item",$B79),0),IFERROR(GETPIVOTDATA("Sum of "&amp;AJ$9,'PT-All'!$A$1,"Scenario",AJ$12,"P&amp;L Item",$B79)/AJ$201,0),TEXT(IFERROR(GETPIVOTDATA("Sum of "&amp;AJ$9,'PT-All'!$A$1,"Scenario",AJ$12,"P&amp;L Item",$B79)/AJ$29,0),"0.00%"))</f>
        <v>0</v>
      </c>
      <c r="AK79" s="65">
        <f>CHOOSE(PLColumn,IFERROR(GETPIVOTDATA("Sum of "&amp;AK$9,'PT-All'!$A$1,"Scenario",AK$12,"P&amp;L Item",$B79),0),IFERROR(GETPIVOTDATA("Sum of "&amp;AK$9,'PT-All'!$A$1,"Scenario",AK$12,"P&amp;L Item",$B79)/AK$201,0),TEXT(IFERROR(GETPIVOTDATA("Sum of "&amp;AK$9,'PT-All'!$A$1,"Scenario",AK$12,"P&amp;L Item",$B79)/AK$29,0),"0.00%"))</f>
        <v>0</v>
      </c>
      <c r="AL79" s="97">
        <f>CHOOSE(PLColumn,IFERROR(GETPIVOTDATA("Sum of "&amp;AL$9,'PT-All'!$A$1,"Scenario",AL$12,"P&amp;L Item",$B79),0),IFERROR(GETPIVOTDATA("Sum of "&amp;AL$9,'PT-All'!$A$1,"Scenario",AL$12,"P&amp;L Item",$B79)/AL$201,0),TEXT(IFERROR(GETPIVOTDATA("Sum of "&amp;AL$9,'PT-All'!$A$1,"Scenario",AL$12,"P&amp;L Item",$B79)/AL$29,0),"0.00%"))</f>
        <v>0</v>
      </c>
      <c r="AM79" s="590"/>
      <c r="AN79" s="108">
        <f ca="1">IF(AN$12="Pro Forma",SUM(OFFSET($B79,0,3*AN$9+1,1,3)),IFERROR(GETPIVOTDATA("Sum of Q"&amp;AN$9+1,'PT-All'!$A$1,"Scenario",AN$12,"P&amp;L Item",$B79),0))</f>
        <v>0</v>
      </c>
      <c r="AO79" s="65">
        <f ca="1">IF(AO$12="Pro Forma",SUM(OFFSET($B79,0,3*AO$9+1,1,3)),IFERROR(GETPIVOTDATA("Sum of Q"&amp;AO$9+1,'PT-All'!$A$1,"Scenario",AO$12,"P&amp;L Item",$B79),0))</f>
        <v>0</v>
      </c>
      <c r="AP79" s="65">
        <f ca="1">IF(AP$12="Pro Forma",SUM(OFFSET($B79,0,3*AP$9+1,1,3)),IFERROR(GETPIVOTDATA("Sum of Q"&amp;AP$9+1,'PT-All'!$A$1,"Scenario",AP$12,"P&amp;L Item",$B79),0))</f>
        <v>0</v>
      </c>
      <c r="AQ79" s="65">
        <f ca="1">IF(AQ$12="Pro Forma",SUM(OFFSET($B79,0,3*AQ$9+1,1,3)),IFERROR(GETPIVOTDATA("Sum of Q"&amp;AQ$9+1,'PT-All'!$A$1,"Scenario",AQ$12,"P&amp;L Item",$B79),0))</f>
        <v>0</v>
      </c>
      <c r="AR79" s="65">
        <f ca="1">IF(AR$12="Pro Forma",SUM(OFFSET($B79,0,3*AR$9+1,1,3)),IFERROR(GETPIVOTDATA("Sum of Q"&amp;AR$9+1,'PT-All'!$A$1,"Scenario",AR$12,"P&amp;L Item",$B79),0))</f>
        <v>0</v>
      </c>
      <c r="AS79" s="65">
        <f ca="1">IF(AS$12="Pro Forma",SUM(OFFSET($B79,0,3*AS$9+1,1,3)),IFERROR(GETPIVOTDATA("Sum of Q"&amp;AS$9+1,'PT-All'!$A$1,"Scenario",AS$12,"P&amp;L Item",$B79),0))</f>
        <v>0</v>
      </c>
      <c r="AT79" s="65">
        <f ca="1">IF(AT$12="Pro Forma",SUM(OFFSET($B79,0,3*AT$9+1,1,3)),IFERROR(GETPIVOTDATA("Sum of Q"&amp;AT$9+1,'PT-All'!$A$1,"Scenario",AT$12,"P&amp;L Item",$B79),0))</f>
        <v>0</v>
      </c>
      <c r="AU79" s="65">
        <f ca="1">IF(AU$12="Pro Forma",SUM(OFFSET($B79,0,3*AU$9+1,1,3)),IFERROR(GETPIVOTDATA("Sum of Q"&amp;AU$9+1,'PT-All'!$A$1,"Scenario",AU$12,"P&amp;L Item",$B79),0))</f>
        <v>0</v>
      </c>
      <c r="AV79" s="65">
        <f ca="1">IF(AV$12="Pro Forma",SUM(OFFSET($B79,0,3*AV$9+1,1,3)),IFERROR(GETPIVOTDATA("Sum of Q"&amp;AV$9+1,'PT-All'!$A$1,"Scenario",AV$12,"P&amp;L Item",$B79),0))</f>
        <v>0</v>
      </c>
      <c r="AW79" s="65">
        <f ca="1">IF(AW$12="Pro Forma",SUM(OFFSET($B79,0,3*AW$9+1,1,3)),IFERROR(GETPIVOTDATA("Sum of Q"&amp;AW$9+1,'PT-All'!$A$1,"Scenario",AW$12,"P&amp;L Item",$B79),0))</f>
        <v>0</v>
      </c>
      <c r="AX79" s="65">
        <f ca="1">IF(AX$12="Pro Forma",SUM(OFFSET($B79,0,3*AX$9+1,1,3)),IFERROR(GETPIVOTDATA("Sum of Q"&amp;AX$9+1,'PT-All'!$A$1,"Scenario",AX$12,"P&amp;L Item",$B79),0))</f>
        <v>0</v>
      </c>
      <c r="AY79" s="97">
        <f ca="1">IF(AY$12="Pro Forma",SUM(OFFSET($B79,0,3*AY$9+1,1,3)),IFERROR(GETPIVOTDATA("Sum of Q"&amp;AY$9+1,'PT-All'!$A$1,"Scenario",AY$12,"P&amp;L Item",$B79),0))</f>
        <v>0</v>
      </c>
      <c r="AZ79" s="590"/>
      <c r="BA79" s="108">
        <f ca="1">IF(BA$12="Pro Forma",SUM(OFFSET($B79,0,12*BA$9+1,1,12)),IFERROR(GETPIVOTDATA("Sum of FY"&amp;BA$9+1,'PT-All'!$A$1,"Scenario",BA$12,"P&amp;L Item",$B79),0))</f>
        <v>0</v>
      </c>
      <c r="BB79" s="65">
        <f ca="1">IF(BB$12="Pro Forma",SUM(OFFSET($B79,0,12*BB$9+1,1,12)),IFERROR(GETPIVOTDATA("Sum of FY"&amp;BB$9+1,'PT-All'!$A$1,"Scenario",BB$12,"P&amp;L Item",$B79),0))</f>
        <v>0</v>
      </c>
      <c r="BC79" s="97">
        <f ca="1">IF(BC$12="Pro Forma",SUM(OFFSET($B79,0,12*BC$9+1,1,12)),IFERROR(GETPIVOTDATA("Sum of FY"&amp;BC$9+1,'PT-All'!$A$1,"Scenario",BC$12,"P&amp;L Item",$B79),0))</f>
        <v>0</v>
      </c>
    </row>
    <row r="80" spans="2:55" x14ac:dyDescent="0.35">
      <c r="B80" s="76" t="s">
        <v>112</v>
      </c>
      <c r="C80" s="65">
        <f>CHOOSE(PLColumn,IFERROR(GETPIVOTDATA("Sum of "&amp;C$9,'PT-All'!$A$1,"Scenario",C$12,"P&amp;L Item",$B80),0),IFERROR(GETPIVOTDATA("Sum of "&amp;C$9,'PT-All'!$A$1,"Scenario",C$12,"P&amp;L Item",$B80)/C$201,0),TEXT(IFERROR(GETPIVOTDATA("Sum of "&amp;C$9,'PT-All'!$A$1,"Scenario",C$12,"P&amp;L Item",$B80)/C$29,0),"0.00%"))</f>
        <v>0</v>
      </c>
      <c r="D80" s="65">
        <f>CHOOSE(PLColumn,IFERROR(GETPIVOTDATA("Sum of "&amp;D$9,'PT-All'!$A$1,"Scenario",D$12,"P&amp;L Item",$B80),0),IFERROR(GETPIVOTDATA("Sum of "&amp;D$9,'PT-All'!$A$1,"Scenario",D$12,"P&amp;L Item",$B80)/D$201,0),TEXT(IFERROR(GETPIVOTDATA("Sum of "&amp;D$9,'PT-All'!$A$1,"Scenario",D$12,"P&amp;L Item",$B80)/D$29,0),"0.00%"))</f>
        <v>0</v>
      </c>
      <c r="E80" s="65">
        <f>CHOOSE(PLColumn,IFERROR(GETPIVOTDATA("Sum of "&amp;E$9,'PT-All'!$A$1,"Scenario",E$12,"P&amp;L Item",$B80),0),IFERROR(GETPIVOTDATA("Sum of "&amp;E$9,'PT-All'!$A$1,"Scenario",E$12,"P&amp;L Item",$B80)/E$201,0),TEXT(IFERROR(GETPIVOTDATA("Sum of "&amp;E$9,'PT-All'!$A$1,"Scenario",E$12,"P&amp;L Item",$B80)/E$29,0),"0.00%"))</f>
        <v>0</v>
      </c>
      <c r="F80" s="65">
        <f>CHOOSE(PLColumn,IFERROR(GETPIVOTDATA("Sum of "&amp;F$9,'PT-All'!$A$1,"Scenario",F$12,"P&amp;L Item",$B80),0),IFERROR(GETPIVOTDATA("Sum of "&amp;F$9,'PT-All'!$A$1,"Scenario",F$12,"P&amp;L Item",$B80)/F$201,0),TEXT(IFERROR(GETPIVOTDATA("Sum of "&amp;F$9,'PT-All'!$A$1,"Scenario",F$12,"P&amp;L Item",$B80)/F$29,0),"0.00%"))</f>
        <v>0</v>
      </c>
      <c r="G80" s="65">
        <f>CHOOSE(PLColumn,IFERROR(GETPIVOTDATA("Sum of "&amp;G$9,'PT-All'!$A$1,"Scenario",G$12,"P&amp;L Item",$B80),0),IFERROR(GETPIVOTDATA("Sum of "&amp;G$9,'PT-All'!$A$1,"Scenario",G$12,"P&amp;L Item",$B80)/G$201,0),TEXT(IFERROR(GETPIVOTDATA("Sum of "&amp;G$9,'PT-All'!$A$1,"Scenario",G$12,"P&amp;L Item",$B80)/G$29,0),"0.00%"))</f>
        <v>0</v>
      </c>
      <c r="H80" s="65">
        <f>CHOOSE(PLColumn,IFERROR(GETPIVOTDATA("Sum of "&amp;H$9,'PT-All'!$A$1,"Scenario",H$12,"P&amp;L Item",$B80),0),IFERROR(GETPIVOTDATA("Sum of "&amp;H$9,'PT-All'!$A$1,"Scenario",H$12,"P&amp;L Item",$B80)/H$201,0),TEXT(IFERROR(GETPIVOTDATA("Sum of "&amp;H$9,'PT-All'!$A$1,"Scenario",H$12,"P&amp;L Item",$B80)/H$29,0),"0.00%"))</f>
        <v>0</v>
      </c>
      <c r="I80" s="65">
        <f>CHOOSE(PLColumn,IFERROR(GETPIVOTDATA("Sum of "&amp;I$9,'PT-All'!$A$1,"Scenario",I$12,"P&amp;L Item",$B80),0),IFERROR(GETPIVOTDATA("Sum of "&amp;I$9,'PT-All'!$A$1,"Scenario",I$12,"P&amp;L Item",$B80)/I$201,0),TEXT(IFERROR(GETPIVOTDATA("Sum of "&amp;I$9,'PT-All'!$A$1,"Scenario",I$12,"P&amp;L Item",$B80)/I$29,0),"0.00%"))</f>
        <v>0</v>
      </c>
      <c r="J80" s="65">
        <f>CHOOSE(PLColumn,IFERROR(GETPIVOTDATA("Sum of "&amp;J$9,'PT-All'!$A$1,"Scenario",J$12,"P&amp;L Item",$B80),0),IFERROR(GETPIVOTDATA("Sum of "&amp;J$9,'PT-All'!$A$1,"Scenario",J$12,"P&amp;L Item",$B80)/J$201,0),TEXT(IFERROR(GETPIVOTDATA("Sum of "&amp;J$9,'PT-All'!$A$1,"Scenario",J$12,"P&amp;L Item",$B80)/J$29,0),"0.00%"))</f>
        <v>0</v>
      </c>
      <c r="K80" s="65">
        <f>CHOOSE(PLColumn,IFERROR(GETPIVOTDATA("Sum of "&amp;K$9,'PT-All'!$A$1,"Scenario",K$12,"P&amp;L Item",$B80),0),IFERROR(GETPIVOTDATA("Sum of "&amp;K$9,'PT-All'!$A$1,"Scenario",K$12,"P&amp;L Item",$B80)/K$201,0),TEXT(IFERROR(GETPIVOTDATA("Sum of "&amp;K$9,'PT-All'!$A$1,"Scenario",K$12,"P&amp;L Item",$B80)/K$29,0),"0.00%"))</f>
        <v>0</v>
      </c>
      <c r="L80" s="65">
        <f>CHOOSE(PLColumn,IFERROR(GETPIVOTDATA("Sum of "&amp;L$9,'PT-All'!$A$1,"Scenario",L$12,"P&amp;L Item",$B80),0),IFERROR(GETPIVOTDATA("Sum of "&amp;L$9,'PT-All'!$A$1,"Scenario",L$12,"P&amp;L Item",$B80)/L$201,0),TEXT(IFERROR(GETPIVOTDATA("Sum of "&amp;L$9,'PT-All'!$A$1,"Scenario",L$12,"P&amp;L Item",$B80)/L$29,0),"0.00%"))</f>
        <v>0</v>
      </c>
      <c r="M80" s="65">
        <f>CHOOSE(PLColumn,IFERROR(GETPIVOTDATA("Sum of "&amp;M$9,'PT-All'!$A$1,"Scenario",M$12,"P&amp;L Item",$B80),0),IFERROR(GETPIVOTDATA("Sum of "&amp;M$9,'PT-All'!$A$1,"Scenario",M$12,"P&amp;L Item",$B80)/M$201,0),TEXT(IFERROR(GETPIVOTDATA("Sum of "&amp;M$9,'PT-All'!$A$1,"Scenario",M$12,"P&amp;L Item",$B80)/M$29,0),"0.00%"))</f>
        <v>0</v>
      </c>
      <c r="N80" s="65">
        <f>CHOOSE(PLColumn,IFERROR(GETPIVOTDATA("Sum of "&amp;N$9,'PT-All'!$A$1,"Scenario",N$12,"P&amp;L Item",$B80),0),IFERROR(GETPIVOTDATA("Sum of "&amp;N$9,'PT-All'!$A$1,"Scenario",N$12,"P&amp;L Item",$B80)/N$201,0),TEXT(IFERROR(GETPIVOTDATA("Sum of "&amp;N$9,'PT-All'!$A$1,"Scenario",N$12,"P&amp;L Item",$B80)/N$29,0),"0.00%"))</f>
        <v>0</v>
      </c>
      <c r="O80" s="65">
        <f>CHOOSE(PLColumn,IFERROR(GETPIVOTDATA("Sum of "&amp;O$9,'PT-All'!$A$1,"Scenario",O$12,"P&amp;L Item",$B80),0),IFERROR(GETPIVOTDATA("Sum of "&amp;O$9,'PT-All'!$A$1,"Scenario",O$12,"P&amp;L Item",$B80)/O$201,0),TEXT(IFERROR(GETPIVOTDATA("Sum of "&amp;O$9,'PT-All'!$A$1,"Scenario",O$12,"P&amp;L Item",$B80)/O$29,0),"0.00%"))</f>
        <v>0</v>
      </c>
      <c r="P80" s="65">
        <f>CHOOSE(PLColumn,IFERROR(GETPIVOTDATA("Sum of "&amp;P$9,'PT-All'!$A$1,"Scenario",P$12,"P&amp;L Item",$B80),0),IFERROR(GETPIVOTDATA("Sum of "&amp;P$9,'PT-All'!$A$1,"Scenario",P$12,"P&amp;L Item",$B80)/P$201,0),TEXT(IFERROR(GETPIVOTDATA("Sum of "&amp;P$9,'PT-All'!$A$1,"Scenario",P$12,"P&amp;L Item",$B80)/P$29,0),"0.00%"))</f>
        <v>0</v>
      </c>
      <c r="Q80" s="65">
        <f>CHOOSE(PLColumn,IFERROR(GETPIVOTDATA("Sum of "&amp;Q$9,'PT-All'!$A$1,"Scenario",Q$12,"P&amp;L Item",$B80),0),IFERROR(GETPIVOTDATA("Sum of "&amp;Q$9,'PT-All'!$A$1,"Scenario",Q$12,"P&amp;L Item",$B80)/Q$201,0),TEXT(IFERROR(GETPIVOTDATA("Sum of "&amp;Q$9,'PT-All'!$A$1,"Scenario",Q$12,"P&amp;L Item",$B80)/Q$29,0),"0.00%"))</f>
        <v>0</v>
      </c>
      <c r="R80" s="65">
        <f>CHOOSE(PLColumn,IFERROR(GETPIVOTDATA("Sum of "&amp;R$9,'PT-All'!$A$1,"Scenario",R$12,"P&amp;L Item",$B80),0),IFERROR(GETPIVOTDATA("Sum of "&amp;R$9,'PT-All'!$A$1,"Scenario",R$12,"P&amp;L Item",$B80)/R$201,0),TEXT(IFERROR(GETPIVOTDATA("Sum of "&amp;R$9,'PT-All'!$A$1,"Scenario",R$12,"P&amp;L Item",$B80)/R$29,0),"0.00%"))</f>
        <v>0</v>
      </c>
      <c r="S80" s="65">
        <f>CHOOSE(PLColumn,IFERROR(GETPIVOTDATA("Sum of "&amp;S$9,'PT-All'!$A$1,"Scenario",S$12,"P&amp;L Item",$B80),0),IFERROR(GETPIVOTDATA("Sum of "&amp;S$9,'PT-All'!$A$1,"Scenario",S$12,"P&amp;L Item",$B80)/S$201,0),TEXT(IFERROR(GETPIVOTDATA("Sum of "&amp;S$9,'PT-All'!$A$1,"Scenario",S$12,"P&amp;L Item",$B80)/S$29,0),"0.00%"))</f>
        <v>0</v>
      </c>
      <c r="T80" s="65">
        <f>CHOOSE(PLColumn,IFERROR(GETPIVOTDATA("Sum of "&amp;T$9,'PT-All'!$A$1,"Scenario",T$12,"P&amp;L Item",$B80),0),IFERROR(GETPIVOTDATA("Sum of "&amp;T$9,'PT-All'!$A$1,"Scenario",T$12,"P&amp;L Item",$B80)/T$201,0),TEXT(IFERROR(GETPIVOTDATA("Sum of "&amp;T$9,'PT-All'!$A$1,"Scenario",T$12,"P&amp;L Item",$B80)/T$29,0),"0.00%"))</f>
        <v>0</v>
      </c>
      <c r="U80" s="65">
        <f>CHOOSE(PLColumn,IFERROR(GETPIVOTDATA("Sum of "&amp;U$9,'PT-All'!$A$1,"Scenario",U$12,"P&amp;L Item",$B80),0),IFERROR(GETPIVOTDATA("Sum of "&amp;U$9,'PT-All'!$A$1,"Scenario",U$12,"P&amp;L Item",$B80)/U$201,0),TEXT(IFERROR(GETPIVOTDATA("Sum of "&amp;U$9,'PT-All'!$A$1,"Scenario",U$12,"P&amp;L Item",$B80)/U$29,0),"0.00%"))</f>
        <v>0</v>
      </c>
      <c r="V80" s="65">
        <f>CHOOSE(PLColumn,IFERROR(GETPIVOTDATA("Sum of "&amp;V$9,'PT-All'!$A$1,"Scenario",V$12,"P&amp;L Item",$B80),0),IFERROR(GETPIVOTDATA("Sum of "&amp;V$9,'PT-All'!$A$1,"Scenario",V$12,"P&amp;L Item",$B80)/V$201,0),TEXT(IFERROR(GETPIVOTDATA("Sum of "&amp;V$9,'PT-All'!$A$1,"Scenario",V$12,"P&amp;L Item",$B80)/V$29,0),"0.00%"))</f>
        <v>0</v>
      </c>
      <c r="W80" s="65">
        <f>CHOOSE(PLColumn,IFERROR(GETPIVOTDATA("Sum of "&amp;W$9,'PT-All'!$A$1,"Scenario",W$12,"P&amp;L Item",$B80),0),IFERROR(GETPIVOTDATA("Sum of "&amp;W$9,'PT-All'!$A$1,"Scenario",W$12,"P&amp;L Item",$B80)/W$201,0),TEXT(IFERROR(GETPIVOTDATA("Sum of "&amp;W$9,'PT-All'!$A$1,"Scenario",W$12,"P&amp;L Item",$B80)/W$29,0),"0.00%"))</f>
        <v>0</v>
      </c>
      <c r="X80" s="65">
        <f>CHOOSE(PLColumn,IFERROR(GETPIVOTDATA("Sum of "&amp;X$9,'PT-All'!$A$1,"Scenario",X$12,"P&amp;L Item",$B80),0),IFERROR(GETPIVOTDATA("Sum of "&amp;X$9,'PT-All'!$A$1,"Scenario",X$12,"P&amp;L Item",$B80)/X$201,0),TEXT(IFERROR(GETPIVOTDATA("Sum of "&amp;X$9,'PT-All'!$A$1,"Scenario",X$12,"P&amp;L Item",$B80)/X$29,0),"0.00%"))</f>
        <v>0</v>
      </c>
      <c r="Y80" s="65">
        <f>CHOOSE(PLColumn,IFERROR(GETPIVOTDATA("Sum of "&amp;Y$9,'PT-All'!$A$1,"Scenario",Y$12,"P&amp;L Item",$B80),0),IFERROR(GETPIVOTDATA("Sum of "&amp;Y$9,'PT-All'!$A$1,"Scenario",Y$12,"P&amp;L Item",$B80)/Y$201,0),TEXT(IFERROR(GETPIVOTDATA("Sum of "&amp;Y$9,'PT-All'!$A$1,"Scenario",Y$12,"P&amp;L Item",$B80)/Y$29,0),"0.00%"))</f>
        <v>0</v>
      </c>
      <c r="Z80" s="65">
        <f>CHOOSE(PLColumn,IFERROR(GETPIVOTDATA("Sum of "&amp;Z$9,'PT-All'!$A$1,"Scenario",Z$12,"P&amp;L Item",$B80),0),IFERROR(GETPIVOTDATA("Sum of "&amp;Z$9,'PT-All'!$A$1,"Scenario",Z$12,"P&amp;L Item",$B80)/Z$201,0),TEXT(IFERROR(GETPIVOTDATA("Sum of "&amp;Z$9,'PT-All'!$A$1,"Scenario",Z$12,"P&amp;L Item",$B80)/Z$29,0),"0.00%"))</f>
        <v>0</v>
      </c>
      <c r="AA80" s="65">
        <f>CHOOSE(PLColumn,IFERROR(GETPIVOTDATA("Sum of "&amp;AA$9,'PT-All'!$A$1,"Scenario",AA$12,"P&amp;L Item",$B80),0),IFERROR(GETPIVOTDATA("Sum of "&amp;AA$9,'PT-All'!$A$1,"Scenario",AA$12,"P&amp;L Item",$B80)/AA$201,0),TEXT(IFERROR(GETPIVOTDATA("Sum of "&amp;AA$9,'PT-All'!$A$1,"Scenario",AA$12,"P&amp;L Item",$B80)/AA$29,0),"0.00%"))</f>
        <v>0</v>
      </c>
      <c r="AB80" s="65">
        <f>CHOOSE(PLColumn,IFERROR(GETPIVOTDATA("Sum of "&amp;AB$9,'PT-All'!$A$1,"Scenario",AB$12,"P&amp;L Item",$B80),0),IFERROR(GETPIVOTDATA("Sum of "&amp;AB$9,'PT-All'!$A$1,"Scenario",AB$12,"P&amp;L Item",$B80)/AB$201,0),TEXT(IFERROR(GETPIVOTDATA("Sum of "&amp;AB$9,'PT-All'!$A$1,"Scenario",AB$12,"P&amp;L Item",$B80)/AB$29,0),"0.00%"))</f>
        <v>0</v>
      </c>
      <c r="AC80" s="65">
        <f>CHOOSE(PLColumn,IFERROR(GETPIVOTDATA("Sum of "&amp;AC$9,'PT-All'!$A$1,"Scenario",AC$12,"P&amp;L Item",$B80),0),IFERROR(GETPIVOTDATA("Sum of "&amp;AC$9,'PT-All'!$A$1,"Scenario",AC$12,"P&amp;L Item",$B80)/AC$201,0),TEXT(IFERROR(GETPIVOTDATA("Sum of "&amp;AC$9,'PT-All'!$A$1,"Scenario",AC$12,"P&amp;L Item",$B80)/AC$29,0),"0.00%"))</f>
        <v>0</v>
      </c>
      <c r="AD80" s="65">
        <f>CHOOSE(PLColumn,IFERROR(GETPIVOTDATA("Sum of "&amp;AD$9,'PT-All'!$A$1,"Scenario",AD$12,"P&amp;L Item",$B80),0),IFERROR(GETPIVOTDATA("Sum of "&amp;AD$9,'PT-All'!$A$1,"Scenario",AD$12,"P&amp;L Item",$B80)/AD$201,0),TEXT(IFERROR(GETPIVOTDATA("Sum of "&amp;AD$9,'PT-All'!$A$1,"Scenario",AD$12,"P&amp;L Item",$B80)/AD$29,0),"0.00%"))</f>
        <v>0</v>
      </c>
      <c r="AE80" s="65">
        <f>CHOOSE(PLColumn,IFERROR(GETPIVOTDATA("Sum of "&amp;AE$9,'PT-All'!$A$1,"Scenario",AE$12,"P&amp;L Item",$B80),0),IFERROR(GETPIVOTDATA("Sum of "&amp;AE$9,'PT-All'!$A$1,"Scenario",AE$12,"P&amp;L Item",$B80)/AE$201,0),TEXT(IFERROR(GETPIVOTDATA("Sum of "&amp;AE$9,'PT-All'!$A$1,"Scenario",AE$12,"P&amp;L Item",$B80)/AE$29,0),"0.00%"))</f>
        <v>0</v>
      </c>
      <c r="AF80" s="65">
        <f>CHOOSE(PLColumn,IFERROR(GETPIVOTDATA("Sum of "&amp;AF$9,'PT-All'!$A$1,"Scenario",AF$12,"P&amp;L Item",$B80),0),IFERROR(GETPIVOTDATA("Sum of "&amp;AF$9,'PT-All'!$A$1,"Scenario",AF$12,"P&amp;L Item",$B80)/AF$201,0),TEXT(IFERROR(GETPIVOTDATA("Sum of "&amp;AF$9,'PT-All'!$A$1,"Scenario",AF$12,"P&amp;L Item",$B80)/AF$29,0),"0.00%"))</f>
        <v>0</v>
      </c>
      <c r="AG80" s="65">
        <f>CHOOSE(PLColumn,IFERROR(GETPIVOTDATA("Sum of "&amp;AG$9,'PT-All'!$A$1,"Scenario",AG$12,"P&amp;L Item",$B80),0),IFERROR(GETPIVOTDATA("Sum of "&amp;AG$9,'PT-All'!$A$1,"Scenario",AG$12,"P&amp;L Item",$B80)/AG$201,0),TEXT(IFERROR(GETPIVOTDATA("Sum of "&amp;AG$9,'PT-All'!$A$1,"Scenario",AG$12,"P&amp;L Item",$B80)/AG$29,0),"0.00%"))</f>
        <v>0</v>
      </c>
      <c r="AH80" s="65">
        <f>CHOOSE(PLColumn,IFERROR(GETPIVOTDATA("Sum of "&amp;AH$9,'PT-All'!$A$1,"Scenario",AH$12,"P&amp;L Item",$B80),0),IFERROR(GETPIVOTDATA("Sum of "&amp;AH$9,'PT-All'!$A$1,"Scenario",AH$12,"P&amp;L Item",$B80)/AH$201,0),TEXT(IFERROR(GETPIVOTDATA("Sum of "&amp;AH$9,'PT-All'!$A$1,"Scenario",AH$12,"P&amp;L Item",$B80)/AH$29,0),"0.00%"))</f>
        <v>0</v>
      </c>
      <c r="AI80" s="65">
        <f>CHOOSE(PLColumn,IFERROR(GETPIVOTDATA("Sum of "&amp;AI$9,'PT-All'!$A$1,"Scenario",AI$12,"P&amp;L Item",$B80),0),IFERROR(GETPIVOTDATA("Sum of "&amp;AI$9,'PT-All'!$A$1,"Scenario",AI$12,"P&amp;L Item",$B80)/AI$201,0),TEXT(IFERROR(GETPIVOTDATA("Sum of "&amp;AI$9,'PT-All'!$A$1,"Scenario",AI$12,"P&amp;L Item",$B80)/AI$29,0),"0.00%"))</f>
        <v>0</v>
      </c>
      <c r="AJ80" s="65">
        <f>CHOOSE(PLColumn,IFERROR(GETPIVOTDATA("Sum of "&amp;AJ$9,'PT-All'!$A$1,"Scenario",AJ$12,"P&amp;L Item",$B80),0),IFERROR(GETPIVOTDATA("Sum of "&amp;AJ$9,'PT-All'!$A$1,"Scenario",AJ$12,"P&amp;L Item",$B80)/AJ$201,0),TEXT(IFERROR(GETPIVOTDATA("Sum of "&amp;AJ$9,'PT-All'!$A$1,"Scenario",AJ$12,"P&amp;L Item",$B80)/AJ$29,0),"0.00%"))</f>
        <v>0</v>
      </c>
      <c r="AK80" s="65">
        <f>CHOOSE(PLColumn,IFERROR(GETPIVOTDATA("Sum of "&amp;AK$9,'PT-All'!$A$1,"Scenario",AK$12,"P&amp;L Item",$B80),0),IFERROR(GETPIVOTDATA("Sum of "&amp;AK$9,'PT-All'!$A$1,"Scenario",AK$12,"P&amp;L Item",$B80)/AK$201,0),TEXT(IFERROR(GETPIVOTDATA("Sum of "&amp;AK$9,'PT-All'!$A$1,"Scenario",AK$12,"P&amp;L Item",$B80)/AK$29,0),"0.00%"))</f>
        <v>0</v>
      </c>
      <c r="AL80" s="97">
        <f>CHOOSE(PLColumn,IFERROR(GETPIVOTDATA("Sum of "&amp;AL$9,'PT-All'!$A$1,"Scenario",AL$12,"P&amp;L Item",$B80),0),IFERROR(GETPIVOTDATA("Sum of "&amp;AL$9,'PT-All'!$A$1,"Scenario",AL$12,"P&amp;L Item",$B80)/AL$201,0),TEXT(IFERROR(GETPIVOTDATA("Sum of "&amp;AL$9,'PT-All'!$A$1,"Scenario",AL$12,"P&amp;L Item",$B80)/AL$29,0),"0.00%"))</f>
        <v>0</v>
      </c>
      <c r="AM80" s="590"/>
      <c r="AN80" s="108">
        <f ca="1">IF(AN$12="Pro Forma",SUM(OFFSET($B80,0,3*AN$9+1,1,3)),IFERROR(GETPIVOTDATA("Sum of Q"&amp;AN$9+1,'PT-All'!$A$1,"Scenario",AN$12,"P&amp;L Item",$B80),0))</f>
        <v>0</v>
      </c>
      <c r="AO80" s="65">
        <f ca="1">IF(AO$12="Pro Forma",SUM(OFFSET($B80,0,3*AO$9+1,1,3)),IFERROR(GETPIVOTDATA("Sum of Q"&amp;AO$9+1,'PT-All'!$A$1,"Scenario",AO$12,"P&amp;L Item",$B80),0))</f>
        <v>0</v>
      </c>
      <c r="AP80" s="65">
        <f ca="1">IF(AP$12="Pro Forma",SUM(OFFSET($B80,0,3*AP$9+1,1,3)),IFERROR(GETPIVOTDATA("Sum of Q"&amp;AP$9+1,'PT-All'!$A$1,"Scenario",AP$12,"P&amp;L Item",$B80),0))</f>
        <v>0</v>
      </c>
      <c r="AQ80" s="65">
        <f ca="1">IF(AQ$12="Pro Forma",SUM(OFFSET($B80,0,3*AQ$9+1,1,3)),IFERROR(GETPIVOTDATA("Sum of Q"&amp;AQ$9+1,'PT-All'!$A$1,"Scenario",AQ$12,"P&amp;L Item",$B80),0))</f>
        <v>0</v>
      </c>
      <c r="AR80" s="65">
        <f ca="1">IF(AR$12="Pro Forma",SUM(OFFSET($B80,0,3*AR$9+1,1,3)),IFERROR(GETPIVOTDATA("Sum of Q"&amp;AR$9+1,'PT-All'!$A$1,"Scenario",AR$12,"P&amp;L Item",$B80),0))</f>
        <v>0</v>
      </c>
      <c r="AS80" s="65">
        <f ca="1">IF(AS$12="Pro Forma",SUM(OFFSET($B80,0,3*AS$9+1,1,3)),IFERROR(GETPIVOTDATA("Sum of Q"&amp;AS$9+1,'PT-All'!$A$1,"Scenario",AS$12,"P&amp;L Item",$B80),0))</f>
        <v>0</v>
      </c>
      <c r="AT80" s="65">
        <f ca="1">IF(AT$12="Pro Forma",SUM(OFFSET($B80,0,3*AT$9+1,1,3)),IFERROR(GETPIVOTDATA("Sum of Q"&amp;AT$9+1,'PT-All'!$A$1,"Scenario",AT$12,"P&amp;L Item",$B80),0))</f>
        <v>0</v>
      </c>
      <c r="AU80" s="65">
        <f ca="1">IF(AU$12="Pro Forma",SUM(OFFSET($B80,0,3*AU$9+1,1,3)),IFERROR(GETPIVOTDATA("Sum of Q"&amp;AU$9+1,'PT-All'!$A$1,"Scenario",AU$12,"P&amp;L Item",$B80),0))</f>
        <v>0</v>
      </c>
      <c r="AV80" s="65">
        <f ca="1">IF(AV$12="Pro Forma",SUM(OFFSET($B80,0,3*AV$9+1,1,3)),IFERROR(GETPIVOTDATA("Sum of Q"&amp;AV$9+1,'PT-All'!$A$1,"Scenario",AV$12,"P&amp;L Item",$B80),0))</f>
        <v>0</v>
      </c>
      <c r="AW80" s="65">
        <f ca="1">IF(AW$12="Pro Forma",SUM(OFFSET($B80,0,3*AW$9+1,1,3)),IFERROR(GETPIVOTDATA("Sum of Q"&amp;AW$9+1,'PT-All'!$A$1,"Scenario",AW$12,"P&amp;L Item",$B80),0))</f>
        <v>0</v>
      </c>
      <c r="AX80" s="65">
        <f ca="1">IF(AX$12="Pro Forma",SUM(OFFSET($B80,0,3*AX$9+1,1,3)),IFERROR(GETPIVOTDATA("Sum of Q"&amp;AX$9+1,'PT-All'!$A$1,"Scenario",AX$12,"P&amp;L Item",$B80),0))</f>
        <v>0</v>
      </c>
      <c r="AY80" s="97">
        <f ca="1">IF(AY$12="Pro Forma",SUM(OFFSET($B80,0,3*AY$9+1,1,3)),IFERROR(GETPIVOTDATA("Sum of Q"&amp;AY$9+1,'PT-All'!$A$1,"Scenario",AY$12,"P&amp;L Item",$B80),0))</f>
        <v>0</v>
      </c>
      <c r="AZ80" s="590"/>
      <c r="BA80" s="108">
        <f ca="1">IF(BA$12="Pro Forma",SUM(OFFSET($B80,0,12*BA$9+1,1,12)),IFERROR(GETPIVOTDATA("Sum of FY"&amp;BA$9+1,'PT-All'!$A$1,"Scenario",BA$12,"P&amp;L Item",$B80),0))</f>
        <v>0</v>
      </c>
      <c r="BB80" s="65">
        <f ca="1">IF(BB$12="Pro Forma",SUM(OFFSET($B80,0,12*BB$9+1,1,12)),IFERROR(GETPIVOTDATA("Sum of FY"&amp;BB$9+1,'PT-All'!$A$1,"Scenario",BB$12,"P&amp;L Item",$B80),0))</f>
        <v>0</v>
      </c>
      <c r="BC80" s="97">
        <f ca="1">IF(BC$12="Pro Forma",SUM(OFFSET($B80,0,12*BC$9+1,1,12)),IFERROR(GETPIVOTDATA("Sum of FY"&amp;BC$9+1,'PT-All'!$A$1,"Scenario",BC$12,"P&amp;L Item",$B80),0))</f>
        <v>0</v>
      </c>
    </row>
    <row r="81" spans="2:55" x14ac:dyDescent="0.35">
      <c r="B81" s="76" t="s">
        <v>113</v>
      </c>
      <c r="C81" s="65">
        <f>CHOOSE(PLColumn,IFERROR(GETPIVOTDATA("Sum of "&amp;C$9,'PT-All'!$A$1,"Scenario",C$12,"P&amp;L Item",$B81),0),IFERROR(GETPIVOTDATA("Sum of "&amp;C$9,'PT-All'!$A$1,"Scenario",C$12,"P&amp;L Item",$B81)/C$201,0),TEXT(IFERROR(GETPIVOTDATA("Sum of "&amp;C$9,'PT-All'!$A$1,"Scenario",C$12,"P&amp;L Item",$B81)/C$29,0),"0.00%"))</f>
        <v>0</v>
      </c>
      <c r="D81" s="65">
        <f>CHOOSE(PLColumn,IFERROR(GETPIVOTDATA("Sum of "&amp;D$9,'PT-All'!$A$1,"Scenario",D$12,"P&amp;L Item",$B81),0),IFERROR(GETPIVOTDATA("Sum of "&amp;D$9,'PT-All'!$A$1,"Scenario",D$12,"P&amp;L Item",$B81)/D$201,0),TEXT(IFERROR(GETPIVOTDATA("Sum of "&amp;D$9,'PT-All'!$A$1,"Scenario",D$12,"P&amp;L Item",$B81)/D$29,0),"0.00%"))</f>
        <v>0</v>
      </c>
      <c r="E81" s="65">
        <f>CHOOSE(PLColumn,IFERROR(GETPIVOTDATA("Sum of "&amp;E$9,'PT-All'!$A$1,"Scenario",E$12,"P&amp;L Item",$B81),0),IFERROR(GETPIVOTDATA("Sum of "&amp;E$9,'PT-All'!$A$1,"Scenario",E$12,"P&amp;L Item",$B81)/E$201,0),TEXT(IFERROR(GETPIVOTDATA("Sum of "&amp;E$9,'PT-All'!$A$1,"Scenario",E$12,"P&amp;L Item",$B81)/E$29,0),"0.00%"))</f>
        <v>0</v>
      </c>
      <c r="F81" s="65">
        <f>CHOOSE(PLColumn,IFERROR(GETPIVOTDATA("Sum of "&amp;F$9,'PT-All'!$A$1,"Scenario",F$12,"P&amp;L Item",$B81),0),IFERROR(GETPIVOTDATA("Sum of "&amp;F$9,'PT-All'!$A$1,"Scenario",F$12,"P&amp;L Item",$B81)/F$201,0),TEXT(IFERROR(GETPIVOTDATA("Sum of "&amp;F$9,'PT-All'!$A$1,"Scenario",F$12,"P&amp;L Item",$B81)/F$29,0),"0.00%"))</f>
        <v>0</v>
      </c>
      <c r="G81" s="65">
        <f>CHOOSE(PLColumn,IFERROR(GETPIVOTDATA("Sum of "&amp;G$9,'PT-All'!$A$1,"Scenario",G$12,"P&amp;L Item",$B81),0),IFERROR(GETPIVOTDATA("Sum of "&amp;G$9,'PT-All'!$A$1,"Scenario",G$12,"P&amp;L Item",$B81)/G$201,0),TEXT(IFERROR(GETPIVOTDATA("Sum of "&amp;G$9,'PT-All'!$A$1,"Scenario",G$12,"P&amp;L Item",$B81)/G$29,0),"0.00%"))</f>
        <v>0</v>
      </c>
      <c r="H81" s="65">
        <f>CHOOSE(PLColumn,IFERROR(GETPIVOTDATA("Sum of "&amp;H$9,'PT-All'!$A$1,"Scenario",H$12,"P&amp;L Item",$B81),0),IFERROR(GETPIVOTDATA("Sum of "&amp;H$9,'PT-All'!$A$1,"Scenario",H$12,"P&amp;L Item",$B81)/H$201,0),TEXT(IFERROR(GETPIVOTDATA("Sum of "&amp;H$9,'PT-All'!$A$1,"Scenario",H$12,"P&amp;L Item",$B81)/H$29,0),"0.00%"))</f>
        <v>0</v>
      </c>
      <c r="I81" s="65">
        <f>CHOOSE(PLColumn,IFERROR(GETPIVOTDATA("Sum of "&amp;I$9,'PT-All'!$A$1,"Scenario",I$12,"P&amp;L Item",$B81),0),IFERROR(GETPIVOTDATA("Sum of "&amp;I$9,'PT-All'!$A$1,"Scenario",I$12,"P&amp;L Item",$B81)/I$201,0),TEXT(IFERROR(GETPIVOTDATA("Sum of "&amp;I$9,'PT-All'!$A$1,"Scenario",I$12,"P&amp;L Item",$B81)/I$29,0),"0.00%"))</f>
        <v>0</v>
      </c>
      <c r="J81" s="65">
        <f>CHOOSE(PLColumn,IFERROR(GETPIVOTDATA("Sum of "&amp;J$9,'PT-All'!$A$1,"Scenario",J$12,"P&amp;L Item",$B81),0),IFERROR(GETPIVOTDATA("Sum of "&amp;J$9,'PT-All'!$A$1,"Scenario",J$12,"P&amp;L Item",$B81)/J$201,0),TEXT(IFERROR(GETPIVOTDATA("Sum of "&amp;J$9,'PT-All'!$A$1,"Scenario",J$12,"P&amp;L Item",$B81)/J$29,0),"0.00%"))</f>
        <v>0</v>
      </c>
      <c r="K81" s="65">
        <f>CHOOSE(PLColumn,IFERROR(GETPIVOTDATA("Sum of "&amp;K$9,'PT-All'!$A$1,"Scenario",K$12,"P&amp;L Item",$B81),0),IFERROR(GETPIVOTDATA("Sum of "&amp;K$9,'PT-All'!$A$1,"Scenario",K$12,"P&amp;L Item",$B81)/K$201,0),TEXT(IFERROR(GETPIVOTDATA("Sum of "&amp;K$9,'PT-All'!$A$1,"Scenario",K$12,"P&amp;L Item",$B81)/K$29,0),"0.00%"))</f>
        <v>0</v>
      </c>
      <c r="L81" s="65">
        <f>CHOOSE(PLColumn,IFERROR(GETPIVOTDATA("Sum of "&amp;L$9,'PT-All'!$A$1,"Scenario",L$12,"P&amp;L Item",$B81),0),IFERROR(GETPIVOTDATA("Sum of "&amp;L$9,'PT-All'!$A$1,"Scenario",L$12,"P&amp;L Item",$B81)/L$201,0),TEXT(IFERROR(GETPIVOTDATA("Sum of "&amp;L$9,'PT-All'!$A$1,"Scenario",L$12,"P&amp;L Item",$B81)/L$29,0),"0.00%"))</f>
        <v>0</v>
      </c>
      <c r="M81" s="65">
        <f>CHOOSE(PLColumn,IFERROR(GETPIVOTDATA("Sum of "&amp;M$9,'PT-All'!$A$1,"Scenario",M$12,"P&amp;L Item",$B81),0),IFERROR(GETPIVOTDATA("Sum of "&amp;M$9,'PT-All'!$A$1,"Scenario",M$12,"P&amp;L Item",$B81)/M$201,0),TEXT(IFERROR(GETPIVOTDATA("Sum of "&amp;M$9,'PT-All'!$A$1,"Scenario",M$12,"P&amp;L Item",$B81)/M$29,0),"0.00%"))</f>
        <v>0</v>
      </c>
      <c r="N81" s="65">
        <f>CHOOSE(PLColumn,IFERROR(GETPIVOTDATA("Sum of "&amp;N$9,'PT-All'!$A$1,"Scenario",N$12,"P&amp;L Item",$B81),0),IFERROR(GETPIVOTDATA("Sum of "&amp;N$9,'PT-All'!$A$1,"Scenario",N$12,"P&amp;L Item",$B81)/N$201,0),TEXT(IFERROR(GETPIVOTDATA("Sum of "&amp;N$9,'PT-All'!$A$1,"Scenario",N$12,"P&amp;L Item",$B81)/N$29,0),"0.00%"))</f>
        <v>0</v>
      </c>
      <c r="O81" s="65">
        <f>CHOOSE(PLColumn,IFERROR(GETPIVOTDATA("Sum of "&amp;O$9,'PT-All'!$A$1,"Scenario",O$12,"P&amp;L Item",$B81),0),IFERROR(GETPIVOTDATA("Sum of "&amp;O$9,'PT-All'!$A$1,"Scenario",O$12,"P&amp;L Item",$B81)/O$201,0),TEXT(IFERROR(GETPIVOTDATA("Sum of "&amp;O$9,'PT-All'!$A$1,"Scenario",O$12,"P&amp;L Item",$B81)/O$29,0),"0.00%"))</f>
        <v>0</v>
      </c>
      <c r="P81" s="65">
        <f>CHOOSE(PLColumn,IFERROR(GETPIVOTDATA("Sum of "&amp;P$9,'PT-All'!$A$1,"Scenario",P$12,"P&amp;L Item",$B81),0),IFERROR(GETPIVOTDATA("Sum of "&amp;P$9,'PT-All'!$A$1,"Scenario",P$12,"P&amp;L Item",$B81)/P$201,0),TEXT(IFERROR(GETPIVOTDATA("Sum of "&amp;P$9,'PT-All'!$A$1,"Scenario",P$12,"P&amp;L Item",$B81)/P$29,0),"0.00%"))</f>
        <v>0</v>
      </c>
      <c r="Q81" s="65">
        <f>CHOOSE(PLColumn,IFERROR(GETPIVOTDATA("Sum of "&amp;Q$9,'PT-All'!$A$1,"Scenario",Q$12,"P&amp;L Item",$B81),0),IFERROR(GETPIVOTDATA("Sum of "&amp;Q$9,'PT-All'!$A$1,"Scenario",Q$12,"P&amp;L Item",$B81)/Q$201,0),TEXT(IFERROR(GETPIVOTDATA("Sum of "&amp;Q$9,'PT-All'!$A$1,"Scenario",Q$12,"P&amp;L Item",$B81)/Q$29,0),"0.00%"))</f>
        <v>0</v>
      </c>
      <c r="R81" s="65">
        <f>CHOOSE(PLColumn,IFERROR(GETPIVOTDATA("Sum of "&amp;R$9,'PT-All'!$A$1,"Scenario",R$12,"P&amp;L Item",$B81),0),IFERROR(GETPIVOTDATA("Sum of "&amp;R$9,'PT-All'!$A$1,"Scenario",R$12,"P&amp;L Item",$B81)/R$201,0),TEXT(IFERROR(GETPIVOTDATA("Sum of "&amp;R$9,'PT-All'!$A$1,"Scenario",R$12,"P&amp;L Item",$B81)/R$29,0),"0.00%"))</f>
        <v>0</v>
      </c>
      <c r="S81" s="65">
        <f>CHOOSE(PLColumn,IFERROR(GETPIVOTDATA("Sum of "&amp;S$9,'PT-All'!$A$1,"Scenario",S$12,"P&amp;L Item",$B81),0),IFERROR(GETPIVOTDATA("Sum of "&amp;S$9,'PT-All'!$A$1,"Scenario",S$12,"P&amp;L Item",$B81)/S$201,0),TEXT(IFERROR(GETPIVOTDATA("Sum of "&amp;S$9,'PT-All'!$A$1,"Scenario",S$12,"P&amp;L Item",$B81)/S$29,0),"0.00%"))</f>
        <v>0</v>
      </c>
      <c r="T81" s="65">
        <f>CHOOSE(PLColumn,IFERROR(GETPIVOTDATA("Sum of "&amp;T$9,'PT-All'!$A$1,"Scenario",T$12,"P&amp;L Item",$B81),0),IFERROR(GETPIVOTDATA("Sum of "&amp;T$9,'PT-All'!$A$1,"Scenario",T$12,"P&amp;L Item",$B81)/T$201,0),TEXT(IFERROR(GETPIVOTDATA("Sum of "&amp;T$9,'PT-All'!$A$1,"Scenario",T$12,"P&amp;L Item",$B81)/T$29,0),"0.00%"))</f>
        <v>0</v>
      </c>
      <c r="U81" s="65">
        <f>CHOOSE(PLColumn,IFERROR(GETPIVOTDATA("Sum of "&amp;U$9,'PT-All'!$A$1,"Scenario",U$12,"P&amp;L Item",$B81),0),IFERROR(GETPIVOTDATA("Sum of "&amp;U$9,'PT-All'!$A$1,"Scenario",U$12,"P&amp;L Item",$B81)/U$201,0),TEXT(IFERROR(GETPIVOTDATA("Sum of "&amp;U$9,'PT-All'!$A$1,"Scenario",U$12,"P&amp;L Item",$B81)/U$29,0),"0.00%"))</f>
        <v>0</v>
      </c>
      <c r="V81" s="65">
        <f>CHOOSE(PLColumn,IFERROR(GETPIVOTDATA("Sum of "&amp;V$9,'PT-All'!$A$1,"Scenario",V$12,"P&amp;L Item",$B81),0),IFERROR(GETPIVOTDATA("Sum of "&amp;V$9,'PT-All'!$A$1,"Scenario",V$12,"P&amp;L Item",$B81)/V$201,0),TEXT(IFERROR(GETPIVOTDATA("Sum of "&amp;V$9,'PT-All'!$A$1,"Scenario",V$12,"P&amp;L Item",$B81)/V$29,0),"0.00%"))</f>
        <v>0</v>
      </c>
      <c r="W81" s="65">
        <f>CHOOSE(PLColumn,IFERROR(GETPIVOTDATA("Sum of "&amp;W$9,'PT-All'!$A$1,"Scenario",W$12,"P&amp;L Item",$B81),0),IFERROR(GETPIVOTDATA("Sum of "&amp;W$9,'PT-All'!$A$1,"Scenario",W$12,"P&amp;L Item",$B81)/W$201,0),TEXT(IFERROR(GETPIVOTDATA("Sum of "&amp;W$9,'PT-All'!$A$1,"Scenario",W$12,"P&amp;L Item",$B81)/W$29,0),"0.00%"))</f>
        <v>0</v>
      </c>
      <c r="X81" s="65">
        <f>CHOOSE(PLColumn,IFERROR(GETPIVOTDATA("Sum of "&amp;X$9,'PT-All'!$A$1,"Scenario",X$12,"P&amp;L Item",$B81),0),IFERROR(GETPIVOTDATA("Sum of "&amp;X$9,'PT-All'!$A$1,"Scenario",X$12,"P&amp;L Item",$B81)/X$201,0),TEXT(IFERROR(GETPIVOTDATA("Sum of "&amp;X$9,'PT-All'!$A$1,"Scenario",X$12,"P&amp;L Item",$B81)/X$29,0),"0.00%"))</f>
        <v>0</v>
      </c>
      <c r="Y81" s="65">
        <f>CHOOSE(PLColumn,IFERROR(GETPIVOTDATA("Sum of "&amp;Y$9,'PT-All'!$A$1,"Scenario",Y$12,"P&amp;L Item",$B81),0),IFERROR(GETPIVOTDATA("Sum of "&amp;Y$9,'PT-All'!$A$1,"Scenario",Y$12,"P&amp;L Item",$B81)/Y$201,0),TEXT(IFERROR(GETPIVOTDATA("Sum of "&amp;Y$9,'PT-All'!$A$1,"Scenario",Y$12,"P&amp;L Item",$B81)/Y$29,0),"0.00%"))</f>
        <v>0</v>
      </c>
      <c r="Z81" s="65">
        <f>CHOOSE(PLColumn,IFERROR(GETPIVOTDATA("Sum of "&amp;Z$9,'PT-All'!$A$1,"Scenario",Z$12,"P&amp;L Item",$B81),0),IFERROR(GETPIVOTDATA("Sum of "&amp;Z$9,'PT-All'!$A$1,"Scenario",Z$12,"P&amp;L Item",$B81)/Z$201,0),TEXT(IFERROR(GETPIVOTDATA("Sum of "&amp;Z$9,'PT-All'!$A$1,"Scenario",Z$12,"P&amp;L Item",$B81)/Z$29,0),"0.00%"))</f>
        <v>0</v>
      </c>
      <c r="AA81" s="65">
        <f>CHOOSE(PLColumn,IFERROR(GETPIVOTDATA("Sum of "&amp;AA$9,'PT-All'!$A$1,"Scenario",AA$12,"P&amp;L Item",$B81),0),IFERROR(GETPIVOTDATA("Sum of "&amp;AA$9,'PT-All'!$A$1,"Scenario",AA$12,"P&amp;L Item",$B81)/AA$201,0),TEXT(IFERROR(GETPIVOTDATA("Sum of "&amp;AA$9,'PT-All'!$A$1,"Scenario",AA$12,"P&amp;L Item",$B81)/AA$29,0),"0.00%"))</f>
        <v>0</v>
      </c>
      <c r="AB81" s="65">
        <f>CHOOSE(PLColumn,IFERROR(GETPIVOTDATA("Sum of "&amp;AB$9,'PT-All'!$A$1,"Scenario",AB$12,"P&amp;L Item",$B81),0),IFERROR(GETPIVOTDATA("Sum of "&amp;AB$9,'PT-All'!$A$1,"Scenario",AB$12,"P&amp;L Item",$B81)/AB$201,0),TEXT(IFERROR(GETPIVOTDATA("Sum of "&amp;AB$9,'PT-All'!$A$1,"Scenario",AB$12,"P&amp;L Item",$B81)/AB$29,0),"0.00%"))</f>
        <v>0</v>
      </c>
      <c r="AC81" s="65">
        <f>CHOOSE(PLColumn,IFERROR(GETPIVOTDATA("Sum of "&amp;AC$9,'PT-All'!$A$1,"Scenario",AC$12,"P&amp;L Item",$B81),0),IFERROR(GETPIVOTDATA("Sum of "&amp;AC$9,'PT-All'!$A$1,"Scenario",AC$12,"P&amp;L Item",$B81)/AC$201,0),TEXT(IFERROR(GETPIVOTDATA("Sum of "&amp;AC$9,'PT-All'!$A$1,"Scenario",AC$12,"P&amp;L Item",$B81)/AC$29,0),"0.00%"))</f>
        <v>0</v>
      </c>
      <c r="AD81" s="65">
        <f>CHOOSE(PLColumn,IFERROR(GETPIVOTDATA("Sum of "&amp;AD$9,'PT-All'!$A$1,"Scenario",AD$12,"P&amp;L Item",$B81),0),IFERROR(GETPIVOTDATA("Sum of "&amp;AD$9,'PT-All'!$A$1,"Scenario",AD$12,"P&amp;L Item",$B81)/AD$201,0),TEXT(IFERROR(GETPIVOTDATA("Sum of "&amp;AD$9,'PT-All'!$A$1,"Scenario",AD$12,"P&amp;L Item",$B81)/AD$29,0),"0.00%"))</f>
        <v>0</v>
      </c>
      <c r="AE81" s="65">
        <f>CHOOSE(PLColumn,IFERROR(GETPIVOTDATA("Sum of "&amp;AE$9,'PT-All'!$A$1,"Scenario",AE$12,"P&amp;L Item",$B81),0),IFERROR(GETPIVOTDATA("Sum of "&amp;AE$9,'PT-All'!$A$1,"Scenario",AE$12,"P&amp;L Item",$B81)/AE$201,0),TEXT(IFERROR(GETPIVOTDATA("Sum of "&amp;AE$9,'PT-All'!$A$1,"Scenario",AE$12,"P&amp;L Item",$B81)/AE$29,0),"0.00%"))</f>
        <v>0</v>
      </c>
      <c r="AF81" s="65">
        <f>CHOOSE(PLColumn,IFERROR(GETPIVOTDATA("Sum of "&amp;AF$9,'PT-All'!$A$1,"Scenario",AF$12,"P&amp;L Item",$B81),0),IFERROR(GETPIVOTDATA("Sum of "&amp;AF$9,'PT-All'!$A$1,"Scenario",AF$12,"P&amp;L Item",$B81)/AF$201,0),TEXT(IFERROR(GETPIVOTDATA("Sum of "&amp;AF$9,'PT-All'!$A$1,"Scenario",AF$12,"P&amp;L Item",$B81)/AF$29,0),"0.00%"))</f>
        <v>0</v>
      </c>
      <c r="AG81" s="65">
        <f>CHOOSE(PLColumn,IFERROR(GETPIVOTDATA("Sum of "&amp;AG$9,'PT-All'!$A$1,"Scenario",AG$12,"P&amp;L Item",$B81),0),IFERROR(GETPIVOTDATA("Sum of "&amp;AG$9,'PT-All'!$A$1,"Scenario",AG$12,"P&amp;L Item",$B81)/AG$201,0),TEXT(IFERROR(GETPIVOTDATA("Sum of "&amp;AG$9,'PT-All'!$A$1,"Scenario",AG$12,"P&amp;L Item",$B81)/AG$29,0),"0.00%"))</f>
        <v>0</v>
      </c>
      <c r="AH81" s="65">
        <f>CHOOSE(PLColumn,IFERROR(GETPIVOTDATA("Sum of "&amp;AH$9,'PT-All'!$A$1,"Scenario",AH$12,"P&amp;L Item",$B81),0),IFERROR(GETPIVOTDATA("Sum of "&amp;AH$9,'PT-All'!$A$1,"Scenario",AH$12,"P&amp;L Item",$B81)/AH$201,0),TEXT(IFERROR(GETPIVOTDATA("Sum of "&amp;AH$9,'PT-All'!$A$1,"Scenario",AH$12,"P&amp;L Item",$B81)/AH$29,0),"0.00%"))</f>
        <v>0</v>
      </c>
      <c r="AI81" s="65">
        <f>CHOOSE(PLColumn,IFERROR(GETPIVOTDATA("Sum of "&amp;AI$9,'PT-All'!$A$1,"Scenario",AI$12,"P&amp;L Item",$B81),0),IFERROR(GETPIVOTDATA("Sum of "&amp;AI$9,'PT-All'!$A$1,"Scenario",AI$12,"P&amp;L Item",$B81)/AI$201,0),TEXT(IFERROR(GETPIVOTDATA("Sum of "&amp;AI$9,'PT-All'!$A$1,"Scenario",AI$12,"P&amp;L Item",$B81)/AI$29,0),"0.00%"))</f>
        <v>0</v>
      </c>
      <c r="AJ81" s="65">
        <f>CHOOSE(PLColumn,IFERROR(GETPIVOTDATA("Sum of "&amp;AJ$9,'PT-All'!$A$1,"Scenario",AJ$12,"P&amp;L Item",$B81),0),IFERROR(GETPIVOTDATA("Sum of "&amp;AJ$9,'PT-All'!$A$1,"Scenario",AJ$12,"P&amp;L Item",$B81)/AJ$201,0),TEXT(IFERROR(GETPIVOTDATA("Sum of "&amp;AJ$9,'PT-All'!$A$1,"Scenario",AJ$12,"P&amp;L Item",$B81)/AJ$29,0),"0.00%"))</f>
        <v>0</v>
      </c>
      <c r="AK81" s="65">
        <f>CHOOSE(PLColumn,IFERROR(GETPIVOTDATA("Sum of "&amp;AK$9,'PT-All'!$A$1,"Scenario",AK$12,"P&amp;L Item",$B81),0),IFERROR(GETPIVOTDATA("Sum of "&amp;AK$9,'PT-All'!$A$1,"Scenario",AK$12,"P&amp;L Item",$B81)/AK$201,0),TEXT(IFERROR(GETPIVOTDATA("Sum of "&amp;AK$9,'PT-All'!$A$1,"Scenario",AK$12,"P&amp;L Item",$B81)/AK$29,0),"0.00%"))</f>
        <v>0</v>
      </c>
      <c r="AL81" s="97">
        <f>CHOOSE(PLColumn,IFERROR(GETPIVOTDATA("Sum of "&amp;AL$9,'PT-All'!$A$1,"Scenario",AL$12,"P&amp;L Item",$B81),0),IFERROR(GETPIVOTDATA("Sum of "&amp;AL$9,'PT-All'!$A$1,"Scenario",AL$12,"P&amp;L Item",$B81)/AL$201,0),TEXT(IFERROR(GETPIVOTDATA("Sum of "&amp;AL$9,'PT-All'!$A$1,"Scenario",AL$12,"P&amp;L Item",$B81)/AL$29,0),"0.00%"))</f>
        <v>0</v>
      </c>
      <c r="AM81" s="590"/>
      <c r="AN81" s="108">
        <f ca="1">IF(AN$12="Pro Forma",SUM(OFFSET($B81,0,3*AN$9+1,1,3)),IFERROR(GETPIVOTDATA("Sum of Q"&amp;AN$9+1,'PT-All'!$A$1,"Scenario",AN$12,"P&amp;L Item",$B81),0))</f>
        <v>0</v>
      </c>
      <c r="AO81" s="65">
        <f ca="1">IF(AO$12="Pro Forma",SUM(OFFSET($B81,0,3*AO$9+1,1,3)),IFERROR(GETPIVOTDATA("Sum of Q"&amp;AO$9+1,'PT-All'!$A$1,"Scenario",AO$12,"P&amp;L Item",$B81),0))</f>
        <v>0</v>
      </c>
      <c r="AP81" s="65">
        <f ca="1">IF(AP$12="Pro Forma",SUM(OFFSET($B81,0,3*AP$9+1,1,3)),IFERROR(GETPIVOTDATA("Sum of Q"&amp;AP$9+1,'PT-All'!$A$1,"Scenario",AP$12,"P&amp;L Item",$B81),0))</f>
        <v>0</v>
      </c>
      <c r="AQ81" s="65">
        <f ca="1">IF(AQ$12="Pro Forma",SUM(OFFSET($B81,0,3*AQ$9+1,1,3)),IFERROR(GETPIVOTDATA("Sum of Q"&amp;AQ$9+1,'PT-All'!$A$1,"Scenario",AQ$12,"P&amp;L Item",$B81),0))</f>
        <v>0</v>
      </c>
      <c r="AR81" s="65">
        <f ca="1">IF(AR$12="Pro Forma",SUM(OFFSET($B81,0,3*AR$9+1,1,3)),IFERROR(GETPIVOTDATA("Sum of Q"&amp;AR$9+1,'PT-All'!$A$1,"Scenario",AR$12,"P&amp;L Item",$B81),0))</f>
        <v>0</v>
      </c>
      <c r="AS81" s="65">
        <f ca="1">IF(AS$12="Pro Forma",SUM(OFFSET($B81,0,3*AS$9+1,1,3)),IFERROR(GETPIVOTDATA("Sum of Q"&amp;AS$9+1,'PT-All'!$A$1,"Scenario",AS$12,"P&amp;L Item",$B81),0))</f>
        <v>0</v>
      </c>
      <c r="AT81" s="65">
        <f ca="1">IF(AT$12="Pro Forma",SUM(OFFSET($B81,0,3*AT$9+1,1,3)),IFERROR(GETPIVOTDATA("Sum of Q"&amp;AT$9+1,'PT-All'!$A$1,"Scenario",AT$12,"P&amp;L Item",$B81),0))</f>
        <v>0</v>
      </c>
      <c r="AU81" s="65">
        <f ca="1">IF(AU$12="Pro Forma",SUM(OFFSET($B81,0,3*AU$9+1,1,3)),IFERROR(GETPIVOTDATA("Sum of Q"&amp;AU$9+1,'PT-All'!$A$1,"Scenario",AU$12,"P&amp;L Item",$B81),0))</f>
        <v>0</v>
      </c>
      <c r="AV81" s="65">
        <f ca="1">IF(AV$12="Pro Forma",SUM(OFFSET($B81,0,3*AV$9+1,1,3)),IFERROR(GETPIVOTDATA("Sum of Q"&amp;AV$9+1,'PT-All'!$A$1,"Scenario",AV$12,"P&amp;L Item",$B81),0))</f>
        <v>0</v>
      </c>
      <c r="AW81" s="65">
        <f ca="1">IF(AW$12="Pro Forma",SUM(OFFSET($B81,0,3*AW$9+1,1,3)),IFERROR(GETPIVOTDATA("Sum of Q"&amp;AW$9+1,'PT-All'!$A$1,"Scenario",AW$12,"P&amp;L Item",$B81),0))</f>
        <v>0</v>
      </c>
      <c r="AX81" s="65">
        <f ca="1">IF(AX$12="Pro Forma",SUM(OFFSET($B81,0,3*AX$9+1,1,3)),IFERROR(GETPIVOTDATA("Sum of Q"&amp;AX$9+1,'PT-All'!$A$1,"Scenario",AX$12,"P&amp;L Item",$B81),0))</f>
        <v>0</v>
      </c>
      <c r="AY81" s="97">
        <f ca="1">IF(AY$12="Pro Forma",SUM(OFFSET($B81,0,3*AY$9+1,1,3)),IFERROR(GETPIVOTDATA("Sum of Q"&amp;AY$9+1,'PT-All'!$A$1,"Scenario",AY$12,"P&amp;L Item",$B81),0))</f>
        <v>0</v>
      </c>
      <c r="AZ81" s="590"/>
      <c r="BA81" s="108">
        <f ca="1">IF(BA$12="Pro Forma",SUM(OFFSET($B81,0,12*BA$9+1,1,12)),IFERROR(GETPIVOTDATA("Sum of FY"&amp;BA$9+1,'PT-All'!$A$1,"Scenario",BA$12,"P&amp;L Item",$B81),0))</f>
        <v>0</v>
      </c>
      <c r="BB81" s="65">
        <f ca="1">IF(BB$12="Pro Forma",SUM(OFFSET($B81,0,12*BB$9+1,1,12)),IFERROR(GETPIVOTDATA("Sum of FY"&amp;BB$9+1,'PT-All'!$A$1,"Scenario",BB$12,"P&amp;L Item",$B81),0))</f>
        <v>0</v>
      </c>
      <c r="BC81" s="97">
        <f ca="1">IF(BC$12="Pro Forma",SUM(OFFSET($B81,0,12*BC$9+1,1,12)),IFERROR(GETPIVOTDATA("Sum of FY"&amp;BC$9+1,'PT-All'!$A$1,"Scenario",BC$12,"P&amp;L Item",$B81),0))</f>
        <v>0</v>
      </c>
    </row>
    <row r="82" spans="2:55" x14ac:dyDescent="0.35">
      <c r="B82" s="76" t="s">
        <v>114</v>
      </c>
      <c r="C82" s="65">
        <f>CHOOSE(PLColumn,IFERROR(GETPIVOTDATA("Sum of "&amp;C$9,'PT-All'!$A$1,"Scenario",C$12,"P&amp;L Item",$B82),0),IFERROR(GETPIVOTDATA("Sum of "&amp;C$9,'PT-All'!$A$1,"Scenario",C$12,"P&amp;L Item",$B82)/C$201,0),TEXT(IFERROR(GETPIVOTDATA("Sum of "&amp;C$9,'PT-All'!$A$1,"Scenario",C$12,"P&amp;L Item",$B82)/C$29,0),"0.00%"))</f>
        <v>0</v>
      </c>
      <c r="D82" s="65">
        <f>CHOOSE(PLColumn,IFERROR(GETPIVOTDATA("Sum of "&amp;D$9,'PT-All'!$A$1,"Scenario",D$12,"P&amp;L Item",$B82),0),IFERROR(GETPIVOTDATA("Sum of "&amp;D$9,'PT-All'!$A$1,"Scenario",D$12,"P&amp;L Item",$B82)/D$201,0),TEXT(IFERROR(GETPIVOTDATA("Sum of "&amp;D$9,'PT-All'!$A$1,"Scenario",D$12,"P&amp;L Item",$B82)/D$29,0),"0.00%"))</f>
        <v>0</v>
      </c>
      <c r="E82" s="65">
        <f>CHOOSE(PLColumn,IFERROR(GETPIVOTDATA("Sum of "&amp;E$9,'PT-All'!$A$1,"Scenario",E$12,"P&amp;L Item",$B82),0),IFERROR(GETPIVOTDATA("Sum of "&amp;E$9,'PT-All'!$A$1,"Scenario",E$12,"P&amp;L Item",$B82)/E$201,0),TEXT(IFERROR(GETPIVOTDATA("Sum of "&amp;E$9,'PT-All'!$A$1,"Scenario",E$12,"P&amp;L Item",$B82)/E$29,0),"0.00%"))</f>
        <v>0</v>
      </c>
      <c r="F82" s="65">
        <f>CHOOSE(PLColumn,IFERROR(GETPIVOTDATA("Sum of "&amp;F$9,'PT-All'!$A$1,"Scenario",F$12,"P&amp;L Item",$B82),0),IFERROR(GETPIVOTDATA("Sum of "&amp;F$9,'PT-All'!$A$1,"Scenario",F$12,"P&amp;L Item",$B82)/F$201,0),TEXT(IFERROR(GETPIVOTDATA("Sum of "&amp;F$9,'PT-All'!$A$1,"Scenario",F$12,"P&amp;L Item",$B82)/F$29,0),"0.00%"))</f>
        <v>0</v>
      </c>
      <c r="G82" s="65">
        <f>CHOOSE(PLColumn,IFERROR(GETPIVOTDATA("Sum of "&amp;G$9,'PT-All'!$A$1,"Scenario",G$12,"P&amp;L Item",$B82),0),IFERROR(GETPIVOTDATA("Sum of "&amp;G$9,'PT-All'!$A$1,"Scenario",G$12,"P&amp;L Item",$B82)/G$201,0),TEXT(IFERROR(GETPIVOTDATA("Sum of "&amp;G$9,'PT-All'!$A$1,"Scenario",G$12,"P&amp;L Item",$B82)/G$29,0),"0.00%"))</f>
        <v>0</v>
      </c>
      <c r="H82" s="65">
        <f>CHOOSE(PLColumn,IFERROR(GETPIVOTDATA("Sum of "&amp;H$9,'PT-All'!$A$1,"Scenario",H$12,"P&amp;L Item",$B82),0),IFERROR(GETPIVOTDATA("Sum of "&amp;H$9,'PT-All'!$A$1,"Scenario",H$12,"P&amp;L Item",$B82)/H$201,0),TEXT(IFERROR(GETPIVOTDATA("Sum of "&amp;H$9,'PT-All'!$A$1,"Scenario",H$12,"P&amp;L Item",$B82)/H$29,0),"0.00%"))</f>
        <v>0</v>
      </c>
      <c r="I82" s="65">
        <f>CHOOSE(PLColumn,IFERROR(GETPIVOTDATA("Sum of "&amp;I$9,'PT-All'!$A$1,"Scenario",I$12,"P&amp;L Item",$B82),0),IFERROR(GETPIVOTDATA("Sum of "&amp;I$9,'PT-All'!$A$1,"Scenario",I$12,"P&amp;L Item",$B82)/I$201,0),TEXT(IFERROR(GETPIVOTDATA("Sum of "&amp;I$9,'PT-All'!$A$1,"Scenario",I$12,"P&amp;L Item",$B82)/I$29,0),"0.00%"))</f>
        <v>0</v>
      </c>
      <c r="J82" s="65">
        <f>CHOOSE(PLColumn,IFERROR(GETPIVOTDATA("Sum of "&amp;J$9,'PT-All'!$A$1,"Scenario",J$12,"P&amp;L Item",$B82),0),IFERROR(GETPIVOTDATA("Sum of "&amp;J$9,'PT-All'!$A$1,"Scenario",J$12,"P&amp;L Item",$B82)/J$201,0),TEXT(IFERROR(GETPIVOTDATA("Sum of "&amp;J$9,'PT-All'!$A$1,"Scenario",J$12,"P&amp;L Item",$B82)/J$29,0),"0.00%"))</f>
        <v>0</v>
      </c>
      <c r="K82" s="65">
        <f>CHOOSE(PLColumn,IFERROR(GETPIVOTDATA("Sum of "&amp;K$9,'PT-All'!$A$1,"Scenario",K$12,"P&amp;L Item",$B82),0),IFERROR(GETPIVOTDATA("Sum of "&amp;K$9,'PT-All'!$A$1,"Scenario",K$12,"P&amp;L Item",$B82)/K$201,0),TEXT(IFERROR(GETPIVOTDATA("Sum of "&amp;K$9,'PT-All'!$A$1,"Scenario",K$12,"P&amp;L Item",$B82)/K$29,0),"0.00%"))</f>
        <v>0</v>
      </c>
      <c r="L82" s="65">
        <f>CHOOSE(PLColumn,IFERROR(GETPIVOTDATA("Sum of "&amp;L$9,'PT-All'!$A$1,"Scenario",L$12,"P&amp;L Item",$B82),0),IFERROR(GETPIVOTDATA("Sum of "&amp;L$9,'PT-All'!$A$1,"Scenario",L$12,"P&amp;L Item",$B82)/L$201,0),TEXT(IFERROR(GETPIVOTDATA("Sum of "&amp;L$9,'PT-All'!$A$1,"Scenario",L$12,"P&amp;L Item",$B82)/L$29,0),"0.00%"))</f>
        <v>0</v>
      </c>
      <c r="M82" s="65">
        <f>CHOOSE(PLColumn,IFERROR(GETPIVOTDATA("Sum of "&amp;M$9,'PT-All'!$A$1,"Scenario",M$12,"P&amp;L Item",$B82),0),IFERROR(GETPIVOTDATA("Sum of "&amp;M$9,'PT-All'!$A$1,"Scenario",M$12,"P&amp;L Item",$B82)/M$201,0),TEXT(IFERROR(GETPIVOTDATA("Sum of "&amp;M$9,'PT-All'!$A$1,"Scenario",M$12,"P&amp;L Item",$B82)/M$29,0),"0.00%"))</f>
        <v>0</v>
      </c>
      <c r="N82" s="65">
        <f>CHOOSE(PLColumn,IFERROR(GETPIVOTDATA("Sum of "&amp;N$9,'PT-All'!$A$1,"Scenario",N$12,"P&amp;L Item",$B82),0),IFERROR(GETPIVOTDATA("Sum of "&amp;N$9,'PT-All'!$A$1,"Scenario",N$12,"P&amp;L Item",$B82)/N$201,0),TEXT(IFERROR(GETPIVOTDATA("Sum of "&amp;N$9,'PT-All'!$A$1,"Scenario",N$12,"P&amp;L Item",$B82)/N$29,0),"0.00%"))</f>
        <v>0</v>
      </c>
      <c r="O82" s="65">
        <f>CHOOSE(PLColumn,IFERROR(GETPIVOTDATA("Sum of "&amp;O$9,'PT-All'!$A$1,"Scenario",O$12,"P&amp;L Item",$B82),0),IFERROR(GETPIVOTDATA("Sum of "&amp;O$9,'PT-All'!$A$1,"Scenario",O$12,"P&amp;L Item",$B82)/O$201,0),TEXT(IFERROR(GETPIVOTDATA("Sum of "&amp;O$9,'PT-All'!$A$1,"Scenario",O$12,"P&amp;L Item",$B82)/O$29,0),"0.00%"))</f>
        <v>0</v>
      </c>
      <c r="P82" s="65">
        <f>CHOOSE(PLColumn,IFERROR(GETPIVOTDATA("Sum of "&amp;P$9,'PT-All'!$A$1,"Scenario",P$12,"P&amp;L Item",$B82),0),IFERROR(GETPIVOTDATA("Sum of "&amp;P$9,'PT-All'!$A$1,"Scenario",P$12,"P&amp;L Item",$B82)/P$201,0),TEXT(IFERROR(GETPIVOTDATA("Sum of "&amp;P$9,'PT-All'!$A$1,"Scenario",P$12,"P&amp;L Item",$B82)/P$29,0),"0.00%"))</f>
        <v>0</v>
      </c>
      <c r="Q82" s="65">
        <f>CHOOSE(PLColumn,IFERROR(GETPIVOTDATA("Sum of "&amp;Q$9,'PT-All'!$A$1,"Scenario",Q$12,"P&amp;L Item",$B82),0),IFERROR(GETPIVOTDATA("Sum of "&amp;Q$9,'PT-All'!$A$1,"Scenario",Q$12,"P&amp;L Item",$B82)/Q$201,0),TEXT(IFERROR(GETPIVOTDATA("Sum of "&amp;Q$9,'PT-All'!$A$1,"Scenario",Q$12,"P&amp;L Item",$B82)/Q$29,0),"0.00%"))</f>
        <v>0</v>
      </c>
      <c r="R82" s="65">
        <f>CHOOSE(PLColumn,IFERROR(GETPIVOTDATA("Sum of "&amp;R$9,'PT-All'!$A$1,"Scenario",R$12,"P&amp;L Item",$B82),0),IFERROR(GETPIVOTDATA("Sum of "&amp;R$9,'PT-All'!$A$1,"Scenario",R$12,"P&amp;L Item",$B82)/R$201,0),TEXT(IFERROR(GETPIVOTDATA("Sum of "&amp;R$9,'PT-All'!$A$1,"Scenario",R$12,"P&amp;L Item",$B82)/R$29,0),"0.00%"))</f>
        <v>0</v>
      </c>
      <c r="S82" s="65">
        <f>CHOOSE(PLColumn,IFERROR(GETPIVOTDATA("Sum of "&amp;S$9,'PT-All'!$A$1,"Scenario",S$12,"P&amp;L Item",$B82),0),IFERROR(GETPIVOTDATA("Sum of "&amp;S$9,'PT-All'!$A$1,"Scenario",S$12,"P&amp;L Item",$B82)/S$201,0),TEXT(IFERROR(GETPIVOTDATA("Sum of "&amp;S$9,'PT-All'!$A$1,"Scenario",S$12,"P&amp;L Item",$B82)/S$29,0),"0.00%"))</f>
        <v>0</v>
      </c>
      <c r="T82" s="65">
        <f>CHOOSE(PLColumn,IFERROR(GETPIVOTDATA("Sum of "&amp;T$9,'PT-All'!$A$1,"Scenario",T$12,"P&amp;L Item",$B82),0),IFERROR(GETPIVOTDATA("Sum of "&amp;T$9,'PT-All'!$A$1,"Scenario",T$12,"P&amp;L Item",$B82)/T$201,0),TEXT(IFERROR(GETPIVOTDATA("Sum of "&amp;T$9,'PT-All'!$A$1,"Scenario",T$12,"P&amp;L Item",$B82)/T$29,0),"0.00%"))</f>
        <v>0</v>
      </c>
      <c r="U82" s="65">
        <f>CHOOSE(PLColumn,IFERROR(GETPIVOTDATA("Sum of "&amp;U$9,'PT-All'!$A$1,"Scenario",U$12,"P&amp;L Item",$B82),0),IFERROR(GETPIVOTDATA("Sum of "&amp;U$9,'PT-All'!$A$1,"Scenario",U$12,"P&amp;L Item",$B82)/U$201,0),TEXT(IFERROR(GETPIVOTDATA("Sum of "&amp;U$9,'PT-All'!$A$1,"Scenario",U$12,"P&amp;L Item",$B82)/U$29,0),"0.00%"))</f>
        <v>0</v>
      </c>
      <c r="V82" s="65">
        <f>CHOOSE(PLColumn,IFERROR(GETPIVOTDATA("Sum of "&amp;V$9,'PT-All'!$A$1,"Scenario",V$12,"P&amp;L Item",$B82),0),IFERROR(GETPIVOTDATA("Sum of "&amp;V$9,'PT-All'!$A$1,"Scenario",V$12,"P&amp;L Item",$B82)/V$201,0),TEXT(IFERROR(GETPIVOTDATA("Sum of "&amp;V$9,'PT-All'!$A$1,"Scenario",V$12,"P&amp;L Item",$B82)/V$29,0),"0.00%"))</f>
        <v>0</v>
      </c>
      <c r="W82" s="65">
        <f>CHOOSE(PLColumn,IFERROR(GETPIVOTDATA("Sum of "&amp;W$9,'PT-All'!$A$1,"Scenario",W$12,"P&amp;L Item",$B82),0),IFERROR(GETPIVOTDATA("Sum of "&amp;W$9,'PT-All'!$A$1,"Scenario",W$12,"P&amp;L Item",$B82)/W$201,0),TEXT(IFERROR(GETPIVOTDATA("Sum of "&amp;W$9,'PT-All'!$A$1,"Scenario",W$12,"P&amp;L Item",$B82)/W$29,0),"0.00%"))</f>
        <v>0</v>
      </c>
      <c r="X82" s="65">
        <f>CHOOSE(PLColumn,IFERROR(GETPIVOTDATA("Sum of "&amp;X$9,'PT-All'!$A$1,"Scenario",X$12,"P&amp;L Item",$B82),0),IFERROR(GETPIVOTDATA("Sum of "&amp;X$9,'PT-All'!$A$1,"Scenario",X$12,"P&amp;L Item",$B82)/X$201,0),TEXT(IFERROR(GETPIVOTDATA("Sum of "&amp;X$9,'PT-All'!$A$1,"Scenario",X$12,"P&amp;L Item",$B82)/X$29,0),"0.00%"))</f>
        <v>0</v>
      </c>
      <c r="Y82" s="65">
        <f>CHOOSE(PLColumn,IFERROR(GETPIVOTDATA("Sum of "&amp;Y$9,'PT-All'!$A$1,"Scenario",Y$12,"P&amp;L Item",$B82),0),IFERROR(GETPIVOTDATA("Sum of "&amp;Y$9,'PT-All'!$A$1,"Scenario",Y$12,"P&amp;L Item",$B82)/Y$201,0),TEXT(IFERROR(GETPIVOTDATA("Sum of "&amp;Y$9,'PT-All'!$A$1,"Scenario",Y$12,"P&amp;L Item",$B82)/Y$29,0),"0.00%"))</f>
        <v>0</v>
      </c>
      <c r="Z82" s="65">
        <f>CHOOSE(PLColumn,IFERROR(GETPIVOTDATA("Sum of "&amp;Z$9,'PT-All'!$A$1,"Scenario",Z$12,"P&amp;L Item",$B82),0),IFERROR(GETPIVOTDATA("Sum of "&amp;Z$9,'PT-All'!$A$1,"Scenario",Z$12,"P&amp;L Item",$B82)/Z$201,0),TEXT(IFERROR(GETPIVOTDATA("Sum of "&amp;Z$9,'PT-All'!$A$1,"Scenario",Z$12,"P&amp;L Item",$B82)/Z$29,0),"0.00%"))</f>
        <v>0</v>
      </c>
      <c r="AA82" s="65">
        <f>CHOOSE(PLColumn,IFERROR(GETPIVOTDATA("Sum of "&amp;AA$9,'PT-All'!$A$1,"Scenario",AA$12,"P&amp;L Item",$B82),0),IFERROR(GETPIVOTDATA("Sum of "&amp;AA$9,'PT-All'!$A$1,"Scenario",AA$12,"P&amp;L Item",$B82)/AA$201,0),TEXT(IFERROR(GETPIVOTDATA("Sum of "&amp;AA$9,'PT-All'!$A$1,"Scenario",AA$12,"P&amp;L Item",$B82)/AA$29,0),"0.00%"))</f>
        <v>0</v>
      </c>
      <c r="AB82" s="65">
        <f>CHOOSE(PLColumn,IFERROR(GETPIVOTDATA("Sum of "&amp;AB$9,'PT-All'!$A$1,"Scenario",AB$12,"P&amp;L Item",$B82),0),IFERROR(GETPIVOTDATA("Sum of "&amp;AB$9,'PT-All'!$A$1,"Scenario",AB$12,"P&amp;L Item",$B82)/AB$201,0),TEXT(IFERROR(GETPIVOTDATA("Sum of "&amp;AB$9,'PT-All'!$A$1,"Scenario",AB$12,"P&amp;L Item",$B82)/AB$29,0),"0.00%"))</f>
        <v>0</v>
      </c>
      <c r="AC82" s="65">
        <f>CHOOSE(PLColumn,IFERROR(GETPIVOTDATA("Sum of "&amp;AC$9,'PT-All'!$A$1,"Scenario",AC$12,"P&amp;L Item",$B82),0),IFERROR(GETPIVOTDATA("Sum of "&amp;AC$9,'PT-All'!$A$1,"Scenario",AC$12,"P&amp;L Item",$B82)/AC$201,0),TEXT(IFERROR(GETPIVOTDATA("Sum of "&amp;AC$9,'PT-All'!$A$1,"Scenario",AC$12,"P&amp;L Item",$B82)/AC$29,0),"0.00%"))</f>
        <v>0</v>
      </c>
      <c r="AD82" s="65">
        <f>CHOOSE(PLColumn,IFERROR(GETPIVOTDATA("Sum of "&amp;AD$9,'PT-All'!$A$1,"Scenario",AD$12,"P&amp;L Item",$B82),0),IFERROR(GETPIVOTDATA("Sum of "&amp;AD$9,'PT-All'!$A$1,"Scenario",AD$12,"P&amp;L Item",$B82)/AD$201,0),TEXT(IFERROR(GETPIVOTDATA("Sum of "&amp;AD$9,'PT-All'!$A$1,"Scenario",AD$12,"P&amp;L Item",$B82)/AD$29,0),"0.00%"))</f>
        <v>0</v>
      </c>
      <c r="AE82" s="65">
        <f>CHOOSE(PLColumn,IFERROR(GETPIVOTDATA("Sum of "&amp;AE$9,'PT-All'!$A$1,"Scenario",AE$12,"P&amp;L Item",$B82),0),IFERROR(GETPIVOTDATA("Sum of "&amp;AE$9,'PT-All'!$A$1,"Scenario",AE$12,"P&amp;L Item",$B82)/AE$201,0),TEXT(IFERROR(GETPIVOTDATA("Sum of "&amp;AE$9,'PT-All'!$A$1,"Scenario",AE$12,"P&amp;L Item",$B82)/AE$29,0),"0.00%"))</f>
        <v>0</v>
      </c>
      <c r="AF82" s="65">
        <f>CHOOSE(PLColumn,IFERROR(GETPIVOTDATA("Sum of "&amp;AF$9,'PT-All'!$A$1,"Scenario",AF$12,"P&amp;L Item",$B82),0),IFERROR(GETPIVOTDATA("Sum of "&amp;AF$9,'PT-All'!$A$1,"Scenario",AF$12,"P&amp;L Item",$B82)/AF$201,0),TEXT(IFERROR(GETPIVOTDATA("Sum of "&amp;AF$9,'PT-All'!$A$1,"Scenario",AF$12,"P&amp;L Item",$B82)/AF$29,0),"0.00%"))</f>
        <v>0</v>
      </c>
      <c r="AG82" s="65">
        <f>CHOOSE(PLColumn,IFERROR(GETPIVOTDATA("Sum of "&amp;AG$9,'PT-All'!$A$1,"Scenario",AG$12,"P&amp;L Item",$B82),0),IFERROR(GETPIVOTDATA("Sum of "&amp;AG$9,'PT-All'!$A$1,"Scenario",AG$12,"P&amp;L Item",$B82)/AG$201,0),TEXT(IFERROR(GETPIVOTDATA("Sum of "&amp;AG$9,'PT-All'!$A$1,"Scenario",AG$12,"P&amp;L Item",$B82)/AG$29,0),"0.00%"))</f>
        <v>0</v>
      </c>
      <c r="AH82" s="65">
        <f>CHOOSE(PLColumn,IFERROR(GETPIVOTDATA("Sum of "&amp;AH$9,'PT-All'!$A$1,"Scenario",AH$12,"P&amp;L Item",$B82),0),IFERROR(GETPIVOTDATA("Sum of "&amp;AH$9,'PT-All'!$A$1,"Scenario",AH$12,"P&amp;L Item",$B82)/AH$201,0),TEXT(IFERROR(GETPIVOTDATA("Sum of "&amp;AH$9,'PT-All'!$A$1,"Scenario",AH$12,"P&amp;L Item",$B82)/AH$29,0),"0.00%"))</f>
        <v>0</v>
      </c>
      <c r="AI82" s="65">
        <f>CHOOSE(PLColumn,IFERROR(GETPIVOTDATA("Sum of "&amp;AI$9,'PT-All'!$A$1,"Scenario",AI$12,"P&amp;L Item",$B82),0),IFERROR(GETPIVOTDATA("Sum of "&amp;AI$9,'PT-All'!$A$1,"Scenario",AI$12,"P&amp;L Item",$B82)/AI$201,0),TEXT(IFERROR(GETPIVOTDATA("Sum of "&amp;AI$9,'PT-All'!$A$1,"Scenario",AI$12,"P&amp;L Item",$B82)/AI$29,0),"0.00%"))</f>
        <v>0</v>
      </c>
      <c r="AJ82" s="65">
        <f>CHOOSE(PLColumn,IFERROR(GETPIVOTDATA("Sum of "&amp;AJ$9,'PT-All'!$A$1,"Scenario",AJ$12,"P&amp;L Item",$B82),0),IFERROR(GETPIVOTDATA("Sum of "&amp;AJ$9,'PT-All'!$A$1,"Scenario",AJ$12,"P&amp;L Item",$B82)/AJ$201,0),TEXT(IFERROR(GETPIVOTDATA("Sum of "&amp;AJ$9,'PT-All'!$A$1,"Scenario",AJ$12,"P&amp;L Item",$B82)/AJ$29,0),"0.00%"))</f>
        <v>0</v>
      </c>
      <c r="AK82" s="65">
        <f>CHOOSE(PLColumn,IFERROR(GETPIVOTDATA("Sum of "&amp;AK$9,'PT-All'!$A$1,"Scenario",AK$12,"P&amp;L Item",$B82),0),IFERROR(GETPIVOTDATA("Sum of "&amp;AK$9,'PT-All'!$A$1,"Scenario",AK$12,"P&amp;L Item",$B82)/AK$201,0),TEXT(IFERROR(GETPIVOTDATA("Sum of "&amp;AK$9,'PT-All'!$A$1,"Scenario",AK$12,"P&amp;L Item",$B82)/AK$29,0),"0.00%"))</f>
        <v>0</v>
      </c>
      <c r="AL82" s="97">
        <f>CHOOSE(PLColumn,IFERROR(GETPIVOTDATA("Sum of "&amp;AL$9,'PT-All'!$A$1,"Scenario",AL$12,"P&amp;L Item",$B82),0),IFERROR(GETPIVOTDATA("Sum of "&amp;AL$9,'PT-All'!$A$1,"Scenario",AL$12,"P&amp;L Item",$B82)/AL$201,0),TEXT(IFERROR(GETPIVOTDATA("Sum of "&amp;AL$9,'PT-All'!$A$1,"Scenario",AL$12,"P&amp;L Item",$B82)/AL$29,0),"0.00%"))</f>
        <v>0</v>
      </c>
      <c r="AM82" s="590"/>
      <c r="AN82" s="108">
        <f ca="1">IF(AN$12="Pro Forma",SUM(OFFSET($B82,0,3*AN$9+1,1,3)),IFERROR(GETPIVOTDATA("Sum of Q"&amp;AN$9+1,'PT-All'!$A$1,"Scenario",AN$12,"P&amp;L Item",$B82),0))</f>
        <v>0</v>
      </c>
      <c r="AO82" s="65">
        <f ca="1">IF(AO$12="Pro Forma",SUM(OFFSET($B82,0,3*AO$9+1,1,3)),IFERROR(GETPIVOTDATA("Sum of Q"&amp;AO$9+1,'PT-All'!$A$1,"Scenario",AO$12,"P&amp;L Item",$B82),0))</f>
        <v>0</v>
      </c>
      <c r="AP82" s="65">
        <f ca="1">IF(AP$12="Pro Forma",SUM(OFFSET($B82,0,3*AP$9+1,1,3)),IFERROR(GETPIVOTDATA("Sum of Q"&amp;AP$9+1,'PT-All'!$A$1,"Scenario",AP$12,"P&amp;L Item",$B82),0))</f>
        <v>0</v>
      </c>
      <c r="AQ82" s="65">
        <f ca="1">IF(AQ$12="Pro Forma",SUM(OFFSET($B82,0,3*AQ$9+1,1,3)),IFERROR(GETPIVOTDATA("Sum of Q"&amp;AQ$9+1,'PT-All'!$A$1,"Scenario",AQ$12,"P&amp;L Item",$B82),0))</f>
        <v>0</v>
      </c>
      <c r="AR82" s="65">
        <f ca="1">IF(AR$12="Pro Forma",SUM(OFFSET($B82,0,3*AR$9+1,1,3)),IFERROR(GETPIVOTDATA("Sum of Q"&amp;AR$9+1,'PT-All'!$A$1,"Scenario",AR$12,"P&amp;L Item",$B82),0))</f>
        <v>0</v>
      </c>
      <c r="AS82" s="65">
        <f ca="1">IF(AS$12="Pro Forma",SUM(OFFSET($B82,0,3*AS$9+1,1,3)),IFERROR(GETPIVOTDATA("Sum of Q"&amp;AS$9+1,'PT-All'!$A$1,"Scenario",AS$12,"P&amp;L Item",$B82),0))</f>
        <v>0</v>
      </c>
      <c r="AT82" s="65">
        <f ca="1">IF(AT$12="Pro Forma",SUM(OFFSET($B82,0,3*AT$9+1,1,3)),IFERROR(GETPIVOTDATA("Sum of Q"&amp;AT$9+1,'PT-All'!$A$1,"Scenario",AT$12,"P&amp;L Item",$B82),0))</f>
        <v>0</v>
      </c>
      <c r="AU82" s="65">
        <f ca="1">IF(AU$12="Pro Forma",SUM(OFFSET($B82,0,3*AU$9+1,1,3)),IFERROR(GETPIVOTDATA("Sum of Q"&amp;AU$9+1,'PT-All'!$A$1,"Scenario",AU$12,"P&amp;L Item",$B82),0))</f>
        <v>0</v>
      </c>
      <c r="AV82" s="65">
        <f ca="1">IF(AV$12="Pro Forma",SUM(OFFSET($B82,0,3*AV$9+1,1,3)),IFERROR(GETPIVOTDATA("Sum of Q"&amp;AV$9+1,'PT-All'!$A$1,"Scenario",AV$12,"P&amp;L Item",$B82),0))</f>
        <v>0</v>
      </c>
      <c r="AW82" s="65">
        <f ca="1">IF(AW$12="Pro Forma",SUM(OFFSET($B82,0,3*AW$9+1,1,3)),IFERROR(GETPIVOTDATA("Sum of Q"&amp;AW$9+1,'PT-All'!$A$1,"Scenario",AW$12,"P&amp;L Item",$B82),0))</f>
        <v>0</v>
      </c>
      <c r="AX82" s="65">
        <f ca="1">IF(AX$12="Pro Forma",SUM(OFFSET($B82,0,3*AX$9+1,1,3)),IFERROR(GETPIVOTDATA("Sum of Q"&amp;AX$9+1,'PT-All'!$A$1,"Scenario",AX$12,"P&amp;L Item",$B82),0))</f>
        <v>0</v>
      </c>
      <c r="AY82" s="97">
        <f ca="1">IF(AY$12="Pro Forma",SUM(OFFSET($B82,0,3*AY$9+1,1,3)),IFERROR(GETPIVOTDATA("Sum of Q"&amp;AY$9+1,'PT-All'!$A$1,"Scenario",AY$12,"P&amp;L Item",$B82),0))</f>
        <v>0</v>
      </c>
      <c r="AZ82" s="590"/>
      <c r="BA82" s="108">
        <f ca="1">IF(BA$12="Pro Forma",SUM(OFFSET($B82,0,12*BA$9+1,1,12)),IFERROR(GETPIVOTDATA("Sum of FY"&amp;BA$9+1,'PT-All'!$A$1,"Scenario",BA$12,"P&amp;L Item",$B82),0))</f>
        <v>0</v>
      </c>
      <c r="BB82" s="65">
        <f ca="1">IF(BB$12="Pro Forma",SUM(OFFSET($B82,0,12*BB$9+1,1,12)),IFERROR(GETPIVOTDATA("Sum of FY"&amp;BB$9+1,'PT-All'!$A$1,"Scenario",BB$12,"P&amp;L Item",$B82),0))</f>
        <v>0</v>
      </c>
      <c r="BC82" s="97">
        <f ca="1">IF(BC$12="Pro Forma",SUM(OFFSET($B82,0,12*BC$9+1,1,12)),IFERROR(GETPIVOTDATA("Sum of FY"&amp;BC$9+1,'PT-All'!$A$1,"Scenario",BC$12,"P&amp;L Item",$B82),0))</f>
        <v>0</v>
      </c>
    </row>
    <row r="83" spans="2:55" x14ac:dyDescent="0.35">
      <c r="B83" s="76" t="s">
        <v>115</v>
      </c>
      <c r="C83" s="65">
        <f>CHOOSE(PLColumn,IFERROR(GETPIVOTDATA("Sum of "&amp;C$9,'PT-All'!$A$1,"Scenario",C$12,"P&amp;L Item",$B83),0),IFERROR(GETPIVOTDATA("Sum of "&amp;C$9,'PT-All'!$A$1,"Scenario",C$12,"P&amp;L Item",$B83)/C$201,0),TEXT(IFERROR(GETPIVOTDATA("Sum of "&amp;C$9,'PT-All'!$A$1,"Scenario",C$12,"P&amp;L Item",$B83)/C$29,0),"0.00%"))</f>
        <v>0</v>
      </c>
      <c r="D83" s="65">
        <f>CHOOSE(PLColumn,IFERROR(GETPIVOTDATA("Sum of "&amp;D$9,'PT-All'!$A$1,"Scenario",D$12,"P&amp;L Item",$B83),0),IFERROR(GETPIVOTDATA("Sum of "&amp;D$9,'PT-All'!$A$1,"Scenario",D$12,"P&amp;L Item",$B83)/D$201,0),TEXT(IFERROR(GETPIVOTDATA("Sum of "&amp;D$9,'PT-All'!$A$1,"Scenario",D$12,"P&amp;L Item",$B83)/D$29,0),"0.00%"))</f>
        <v>0</v>
      </c>
      <c r="E83" s="65">
        <f>CHOOSE(PLColumn,IFERROR(GETPIVOTDATA("Sum of "&amp;E$9,'PT-All'!$A$1,"Scenario",E$12,"P&amp;L Item",$B83),0),IFERROR(GETPIVOTDATA("Sum of "&amp;E$9,'PT-All'!$A$1,"Scenario",E$12,"P&amp;L Item",$B83)/E$201,0),TEXT(IFERROR(GETPIVOTDATA("Sum of "&amp;E$9,'PT-All'!$A$1,"Scenario",E$12,"P&amp;L Item",$B83)/E$29,0),"0.00%"))</f>
        <v>0</v>
      </c>
      <c r="F83" s="65">
        <f>CHOOSE(PLColumn,IFERROR(GETPIVOTDATA("Sum of "&amp;F$9,'PT-All'!$A$1,"Scenario",F$12,"P&amp;L Item",$B83),0),IFERROR(GETPIVOTDATA("Sum of "&amp;F$9,'PT-All'!$A$1,"Scenario",F$12,"P&amp;L Item",$B83)/F$201,0),TEXT(IFERROR(GETPIVOTDATA("Sum of "&amp;F$9,'PT-All'!$A$1,"Scenario",F$12,"P&amp;L Item",$B83)/F$29,0),"0.00%"))</f>
        <v>0</v>
      </c>
      <c r="G83" s="65">
        <f>CHOOSE(PLColumn,IFERROR(GETPIVOTDATA("Sum of "&amp;G$9,'PT-All'!$A$1,"Scenario",G$12,"P&amp;L Item",$B83),0),IFERROR(GETPIVOTDATA("Sum of "&amp;G$9,'PT-All'!$A$1,"Scenario",G$12,"P&amp;L Item",$B83)/G$201,0),TEXT(IFERROR(GETPIVOTDATA("Sum of "&amp;G$9,'PT-All'!$A$1,"Scenario",G$12,"P&amp;L Item",$B83)/G$29,0),"0.00%"))</f>
        <v>0</v>
      </c>
      <c r="H83" s="65">
        <f>CHOOSE(PLColumn,IFERROR(GETPIVOTDATA("Sum of "&amp;H$9,'PT-All'!$A$1,"Scenario",H$12,"P&amp;L Item",$B83),0),IFERROR(GETPIVOTDATA("Sum of "&amp;H$9,'PT-All'!$A$1,"Scenario",H$12,"P&amp;L Item",$B83)/H$201,0),TEXT(IFERROR(GETPIVOTDATA("Sum of "&amp;H$9,'PT-All'!$A$1,"Scenario",H$12,"P&amp;L Item",$B83)/H$29,0),"0.00%"))</f>
        <v>0</v>
      </c>
      <c r="I83" s="65">
        <f>CHOOSE(PLColumn,IFERROR(GETPIVOTDATA("Sum of "&amp;I$9,'PT-All'!$A$1,"Scenario",I$12,"P&amp;L Item",$B83),0),IFERROR(GETPIVOTDATA("Sum of "&amp;I$9,'PT-All'!$A$1,"Scenario",I$12,"P&amp;L Item",$B83)/I$201,0),TEXT(IFERROR(GETPIVOTDATA("Sum of "&amp;I$9,'PT-All'!$A$1,"Scenario",I$12,"P&amp;L Item",$B83)/I$29,0),"0.00%"))</f>
        <v>0</v>
      </c>
      <c r="J83" s="65">
        <f>CHOOSE(PLColumn,IFERROR(GETPIVOTDATA("Sum of "&amp;J$9,'PT-All'!$A$1,"Scenario",J$12,"P&amp;L Item",$B83),0),IFERROR(GETPIVOTDATA("Sum of "&amp;J$9,'PT-All'!$A$1,"Scenario",J$12,"P&amp;L Item",$B83)/J$201,0),TEXT(IFERROR(GETPIVOTDATA("Sum of "&amp;J$9,'PT-All'!$A$1,"Scenario",J$12,"P&amp;L Item",$B83)/J$29,0),"0.00%"))</f>
        <v>0</v>
      </c>
      <c r="K83" s="65">
        <f>CHOOSE(PLColumn,IFERROR(GETPIVOTDATA("Sum of "&amp;K$9,'PT-All'!$A$1,"Scenario",K$12,"P&amp;L Item",$B83),0),IFERROR(GETPIVOTDATA("Sum of "&amp;K$9,'PT-All'!$A$1,"Scenario",K$12,"P&amp;L Item",$B83)/K$201,0),TEXT(IFERROR(GETPIVOTDATA("Sum of "&amp;K$9,'PT-All'!$A$1,"Scenario",K$12,"P&amp;L Item",$B83)/K$29,0),"0.00%"))</f>
        <v>0</v>
      </c>
      <c r="L83" s="65">
        <f>CHOOSE(PLColumn,IFERROR(GETPIVOTDATA("Sum of "&amp;L$9,'PT-All'!$A$1,"Scenario",L$12,"P&amp;L Item",$B83),0),IFERROR(GETPIVOTDATA("Sum of "&amp;L$9,'PT-All'!$A$1,"Scenario",L$12,"P&amp;L Item",$B83)/L$201,0),TEXT(IFERROR(GETPIVOTDATA("Sum of "&amp;L$9,'PT-All'!$A$1,"Scenario",L$12,"P&amp;L Item",$B83)/L$29,0),"0.00%"))</f>
        <v>0</v>
      </c>
      <c r="M83" s="65">
        <f>CHOOSE(PLColumn,IFERROR(GETPIVOTDATA("Sum of "&amp;M$9,'PT-All'!$A$1,"Scenario",M$12,"P&amp;L Item",$B83),0),IFERROR(GETPIVOTDATA("Sum of "&amp;M$9,'PT-All'!$A$1,"Scenario",M$12,"P&amp;L Item",$B83)/M$201,0),TEXT(IFERROR(GETPIVOTDATA("Sum of "&amp;M$9,'PT-All'!$A$1,"Scenario",M$12,"P&amp;L Item",$B83)/M$29,0),"0.00%"))</f>
        <v>0</v>
      </c>
      <c r="N83" s="65">
        <f>CHOOSE(PLColumn,IFERROR(GETPIVOTDATA("Sum of "&amp;N$9,'PT-All'!$A$1,"Scenario",N$12,"P&amp;L Item",$B83),0),IFERROR(GETPIVOTDATA("Sum of "&amp;N$9,'PT-All'!$A$1,"Scenario",N$12,"P&amp;L Item",$B83)/N$201,0),TEXT(IFERROR(GETPIVOTDATA("Sum of "&amp;N$9,'PT-All'!$A$1,"Scenario",N$12,"P&amp;L Item",$B83)/N$29,0),"0.00%"))</f>
        <v>0</v>
      </c>
      <c r="O83" s="65">
        <f>CHOOSE(PLColumn,IFERROR(GETPIVOTDATA("Sum of "&amp;O$9,'PT-All'!$A$1,"Scenario",O$12,"P&amp;L Item",$B83),0),IFERROR(GETPIVOTDATA("Sum of "&amp;O$9,'PT-All'!$A$1,"Scenario",O$12,"P&amp;L Item",$B83)/O$201,0),TEXT(IFERROR(GETPIVOTDATA("Sum of "&amp;O$9,'PT-All'!$A$1,"Scenario",O$12,"P&amp;L Item",$B83)/O$29,0),"0.00%"))</f>
        <v>0</v>
      </c>
      <c r="P83" s="65">
        <f>CHOOSE(PLColumn,IFERROR(GETPIVOTDATA("Sum of "&amp;P$9,'PT-All'!$A$1,"Scenario",P$12,"P&amp;L Item",$B83),0),IFERROR(GETPIVOTDATA("Sum of "&amp;P$9,'PT-All'!$A$1,"Scenario",P$12,"P&amp;L Item",$B83)/P$201,0),TEXT(IFERROR(GETPIVOTDATA("Sum of "&amp;P$9,'PT-All'!$A$1,"Scenario",P$12,"P&amp;L Item",$B83)/P$29,0),"0.00%"))</f>
        <v>0</v>
      </c>
      <c r="Q83" s="65">
        <f>CHOOSE(PLColumn,IFERROR(GETPIVOTDATA("Sum of "&amp;Q$9,'PT-All'!$A$1,"Scenario",Q$12,"P&amp;L Item",$B83),0),IFERROR(GETPIVOTDATA("Sum of "&amp;Q$9,'PT-All'!$A$1,"Scenario",Q$12,"P&amp;L Item",$B83)/Q$201,0),TEXT(IFERROR(GETPIVOTDATA("Sum of "&amp;Q$9,'PT-All'!$A$1,"Scenario",Q$12,"P&amp;L Item",$B83)/Q$29,0),"0.00%"))</f>
        <v>0</v>
      </c>
      <c r="R83" s="65">
        <f>CHOOSE(PLColumn,IFERROR(GETPIVOTDATA("Sum of "&amp;R$9,'PT-All'!$A$1,"Scenario",R$12,"P&amp;L Item",$B83),0),IFERROR(GETPIVOTDATA("Sum of "&amp;R$9,'PT-All'!$A$1,"Scenario",R$12,"P&amp;L Item",$B83)/R$201,0),TEXT(IFERROR(GETPIVOTDATA("Sum of "&amp;R$9,'PT-All'!$A$1,"Scenario",R$12,"P&amp;L Item",$B83)/R$29,0),"0.00%"))</f>
        <v>0</v>
      </c>
      <c r="S83" s="65">
        <f>CHOOSE(PLColumn,IFERROR(GETPIVOTDATA("Sum of "&amp;S$9,'PT-All'!$A$1,"Scenario",S$12,"P&amp;L Item",$B83),0),IFERROR(GETPIVOTDATA("Sum of "&amp;S$9,'PT-All'!$A$1,"Scenario",S$12,"P&amp;L Item",$B83)/S$201,0),TEXT(IFERROR(GETPIVOTDATA("Sum of "&amp;S$9,'PT-All'!$A$1,"Scenario",S$12,"P&amp;L Item",$B83)/S$29,0),"0.00%"))</f>
        <v>0</v>
      </c>
      <c r="T83" s="65">
        <f>CHOOSE(PLColumn,IFERROR(GETPIVOTDATA("Sum of "&amp;T$9,'PT-All'!$A$1,"Scenario",T$12,"P&amp;L Item",$B83),0),IFERROR(GETPIVOTDATA("Sum of "&amp;T$9,'PT-All'!$A$1,"Scenario",T$12,"P&amp;L Item",$B83)/T$201,0),TEXT(IFERROR(GETPIVOTDATA("Sum of "&amp;T$9,'PT-All'!$A$1,"Scenario",T$12,"P&amp;L Item",$B83)/T$29,0),"0.00%"))</f>
        <v>0</v>
      </c>
      <c r="U83" s="65">
        <f>CHOOSE(PLColumn,IFERROR(GETPIVOTDATA("Sum of "&amp;U$9,'PT-All'!$A$1,"Scenario",U$12,"P&amp;L Item",$B83),0),IFERROR(GETPIVOTDATA("Sum of "&amp;U$9,'PT-All'!$A$1,"Scenario",U$12,"P&amp;L Item",$B83)/U$201,0),TEXT(IFERROR(GETPIVOTDATA("Sum of "&amp;U$9,'PT-All'!$A$1,"Scenario",U$12,"P&amp;L Item",$B83)/U$29,0),"0.00%"))</f>
        <v>0</v>
      </c>
      <c r="V83" s="65">
        <f>CHOOSE(PLColumn,IFERROR(GETPIVOTDATA("Sum of "&amp;V$9,'PT-All'!$A$1,"Scenario",V$12,"P&amp;L Item",$B83),0),IFERROR(GETPIVOTDATA("Sum of "&amp;V$9,'PT-All'!$A$1,"Scenario",V$12,"P&amp;L Item",$B83)/V$201,0),TEXT(IFERROR(GETPIVOTDATA("Sum of "&amp;V$9,'PT-All'!$A$1,"Scenario",V$12,"P&amp;L Item",$B83)/V$29,0),"0.00%"))</f>
        <v>0</v>
      </c>
      <c r="W83" s="65">
        <f>CHOOSE(PLColumn,IFERROR(GETPIVOTDATA("Sum of "&amp;W$9,'PT-All'!$A$1,"Scenario",W$12,"P&amp;L Item",$B83),0),IFERROR(GETPIVOTDATA("Sum of "&amp;W$9,'PT-All'!$A$1,"Scenario",W$12,"P&amp;L Item",$B83)/W$201,0),TEXT(IFERROR(GETPIVOTDATA("Sum of "&amp;W$9,'PT-All'!$A$1,"Scenario",W$12,"P&amp;L Item",$B83)/W$29,0),"0.00%"))</f>
        <v>0</v>
      </c>
      <c r="X83" s="65">
        <f>CHOOSE(PLColumn,IFERROR(GETPIVOTDATA("Sum of "&amp;X$9,'PT-All'!$A$1,"Scenario",X$12,"P&amp;L Item",$B83),0),IFERROR(GETPIVOTDATA("Sum of "&amp;X$9,'PT-All'!$A$1,"Scenario",X$12,"P&amp;L Item",$B83)/X$201,0),TEXT(IFERROR(GETPIVOTDATA("Sum of "&amp;X$9,'PT-All'!$A$1,"Scenario",X$12,"P&amp;L Item",$B83)/X$29,0),"0.00%"))</f>
        <v>0</v>
      </c>
      <c r="Y83" s="65">
        <f>CHOOSE(PLColumn,IFERROR(GETPIVOTDATA("Sum of "&amp;Y$9,'PT-All'!$A$1,"Scenario",Y$12,"P&amp;L Item",$B83),0),IFERROR(GETPIVOTDATA("Sum of "&amp;Y$9,'PT-All'!$A$1,"Scenario",Y$12,"P&amp;L Item",$B83)/Y$201,0),TEXT(IFERROR(GETPIVOTDATA("Sum of "&amp;Y$9,'PT-All'!$A$1,"Scenario",Y$12,"P&amp;L Item",$B83)/Y$29,0),"0.00%"))</f>
        <v>0</v>
      </c>
      <c r="Z83" s="65">
        <f>CHOOSE(PLColumn,IFERROR(GETPIVOTDATA("Sum of "&amp;Z$9,'PT-All'!$A$1,"Scenario",Z$12,"P&amp;L Item",$B83),0),IFERROR(GETPIVOTDATA("Sum of "&amp;Z$9,'PT-All'!$A$1,"Scenario",Z$12,"P&amp;L Item",$B83)/Z$201,0),TEXT(IFERROR(GETPIVOTDATA("Sum of "&amp;Z$9,'PT-All'!$A$1,"Scenario",Z$12,"P&amp;L Item",$B83)/Z$29,0),"0.00%"))</f>
        <v>0</v>
      </c>
      <c r="AA83" s="65">
        <f>CHOOSE(PLColumn,IFERROR(GETPIVOTDATA("Sum of "&amp;AA$9,'PT-All'!$A$1,"Scenario",AA$12,"P&amp;L Item",$B83),0),IFERROR(GETPIVOTDATA("Sum of "&amp;AA$9,'PT-All'!$A$1,"Scenario",AA$12,"P&amp;L Item",$B83)/AA$201,0),TEXT(IFERROR(GETPIVOTDATA("Sum of "&amp;AA$9,'PT-All'!$A$1,"Scenario",AA$12,"P&amp;L Item",$B83)/AA$29,0),"0.00%"))</f>
        <v>0</v>
      </c>
      <c r="AB83" s="65">
        <f>CHOOSE(PLColumn,IFERROR(GETPIVOTDATA("Sum of "&amp;AB$9,'PT-All'!$A$1,"Scenario",AB$12,"P&amp;L Item",$B83),0),IFERROR(GETPIVOTDATA("Sum of "&amp;AB$9,'PT-All'!$A$1,"Scenario",AB$12,"P&amp;L Item",$B83)/AB$201,0),TEXT(IFERROR(GETPIVOTDATA("Sum of "&amp;AB$9,'PT-All'!$A$1,"Scenario",AB$12,"P&amp;L Item",$B83)/AB$29,0),"0.00%"))</f>
        <v>0</v>
      </c>
      <c r="AC83" s="65">
        <f>CHOOSE(PLColumn,IFERROR(GETPIVOTDATA("Sum of "&amp;AC$9,'PT-All'!$A$1,"Scenario",AC$12,"P&amp;L Item",$B83),0),IFERROR(GETPIVOTDATA("Sum of "&amp;AC$9,'PT-All'!$A$1,"Scenario",AC$12,"P&amp;L Item",$B83)/AC$201,0),TEXT(IFERROR(GETPIVOTDATA("Sum of "&amp;AC$9,'PT-All'!$A$1,"Scenario",AC$12,"P&amp;L Item",$B83)/AC$29,0),"0.00%"))</f>
        <v>0</v>
      </c>
      <c r="AD83" s="65">
        <f>CHOOSE(PLColumn,IFERROR(GETPIVOTDATA("Sum of "&amp;AD$9,'PT-All'!$A$1,"Scenario",AD$12,"P&amp;L Item",$B83),0),IFERROR(GETPIVOTDATA("Sum of "&amp;AD$9,'PT-All'!$A$1,"Scenario",AD$12,"P&amp;L Item",$B83)/AD$201,0),TEXT(IFERROR(GETPIVOTDATA("Sum of "&amp;AD$9,'PT-All'!$A$1,"Scenario",AD$12,"P&amp;L Item",$B83)/AD$29,0),"0.00%"))</f>
        <v>0</v>
      </c>
      <c r="AE83" s="65">
        <f>CHOOSE(PLColumn,IFERROR(GETPIVOTDATA("Sum of "&amp;AE$9,'PT-All'!$A$1,"Scenario",AE$12,"P&amp;L Item",$B83),0),IFERROR(GETPIVOTDATA("Sum of "&amp;AE$9,'PT-All'!$A$1,"Scenario",AE$12,"P&amp;L Item",$B83)/AE$201,0),TEXT(IFERROR(GETPIVOTDATA("Sum of "&amp;AE$9,'PT-All'!$A$1,"Scenario",AE$12,"P&amp;L Item",$B83)/AE$29,0),"0.00%"))</f>
        <v>0</v>
      </c>
      <c r="AF83" s="65">
        <f>CHOOSE(PLColumn,IFERROR(GETPIVOTDATA("Sum of "&amp;AF$9,'PT-All'!$A$1,"Scenario",AF$12,"P&amp;L Item",$B83),0),IFERROR(GETPIVOTDATA("Sum of "&amp;AF$9,'PT-All'!$A$1,"Scenario",AF$12,"P&amp;L Item",$B83)/AF$201,0),TEXT(IFERROR(GETPIVOTDATA("Sum of "&amp;AF$9,'PT-All'!$A$1,"Scenario",AF$12,"P&amp;L Item",$B83)/AF$29,0),"0.00%"))</f>
        <v>0</v>
      </c>
      <c r="AG83" s="65">
        <f>CHOOSE(PLColumn,IFERROR(GETPIVOTDATA("Sum of "&amp;AG$9,'PT-All'!$A$1,"Scenario",AG$12,"P&amp;L Item",$B83),0),IFERROR(GETPIVOTDATA("Sum of "&amp;AG$9,'PT-All'!$A$1,"Scenario",AG$12,"P&amp;L Item",$B83)/AG$201,0),TEXT(IFERROR(GETPIVOTDATA("Sum of "&amp;AG$9,'PT-All'!$A$1,"Scenario",AG$12,"P&amp;L Item",$B83)/AG$29,0),"0.00%"))</f>
        <v>0</v>
      </c>
      <c r="AH83" s="65">
        <f>CHOOSE(PLColumn,IFERROR(GETPIVOTDATA("Sum of "&amp;AH$9,'PT-All'!$A$1,"Scenario",AH$12,"P&amp;L Item",$B83),0),IFERROR(GETPIVOTDATA("Sum of "&amp;AH$9,'PT-All'!$A$1,"Scenario",AH$12,"P&amp;L Item",$B83)/AH$201,0),TEXT(IFERROR(GETPIVOTDATA("Sum of "&amp;AH$9,'PT-All'!$A$1,"Scenario",AH$12,"P&amp;L Item",$B83)/AH$29,0),"0.00%"))</f>
        <v>0</v>
      </c>
      <c r="AI83" s="65">
        <f>CHOOSE(PLColumn,IFERROR(GETPIVOTDATA("Sum of "&amp;AI$9,'PT-All'!$A$1,"Scenario",AI$12,"P&amp;L Item",$B83),0),IFERROR(GETPIVOTDATA("Sum of "&amp;AI$9,'PT-All'!$A$1,"Scenario",AI$12,"P&amp;L Item",$B83)/AI$201,0),TEXT(IFERROR(GETPIVOTDATA("Sum of "&amp;AI$9,'PT-All'!$A$1,"Scenario",AI$12,"P&amp;L Item",$B83)/AI$29,0),"0.00%"))</f>
        <v>0</v>
      </c>
      <c r="AJ83" s="65">
        <f>CHOOSE(PLColumn,IFERROR(GETPIVOTDATA("Sum of "&amp;AJ$9,'PT-All'!$A$1,"Scenario",AJ$12,"P&amp;L Item",$B83),0),IFERROR(GETPIVOTDATA("Sum of "&amp;AJ$9,'PT-All'!$A$1,"Scenario",AJ$12,"P&amp;L Item",$B83)/AJ$201,0),TEXT(IFERROR(GETPIVOTDATA("Sum of "&amp;AJ$9,'PT-All'!$A$1,"Scenario",AJ$12,"P&amp;L Item",$B83)/AJ$29,0),"0.00%"))</f>
        <v>0</v>
      </c>
      <c r="AK83" s="65">
        <f>CHOOSE(PLColumn,IFERROR(GETPIVOTDATA("Sum of "&amp;AK$9,'PT-All'!$A$1,"Scenario",AK$12,"P&amp;L Item",$B83),0),IFERROR(GETPIVOTDATA("Sum of "&amp;AK$9,'PT-All'!$A$1,"Scenario",AK$12,"P&amp;L Item",$B83)/AK$201,0),TEXT(IFERROR(GETPIVOTDATA("Sum of "&amp;AK$9,'PT-All'!$A$1,"Scenario",AK$12,"P&amp;L Item",$B83)/AK$29,0),"0.00%"))</f>
        <v>0</v>
      </c>
      <c r="AL83" s="97">
        <f>CHOOSE(PLColumn,IFERROR(GETPIVOTDATA("Sum of "&amp;AL$9,'PT-All'!$A$1,"Scenario",AL$12,"P&amp;L Item",$B83),0),IFERROR(GETPIVOTDATA("Sum of "&amp;AL$9,'PT-All'!$A$1,"Scenario",AL$12,"P&amp;L Item",$B83)/AL$201,0),TEXT(IFERROR(GETPIVOTDATA("Sum of "&amp;AL$9,'PT-All'!$A$1,"Scenario",AL$12,"P&amp;L Item",$B83)/AL$29,0),"0.00%"))</f>
        <v>0</v>
      </c>
      <c r="AM83" s="590"/>
      <c r="AN83" s="108">
        <f ca="1">IF(AN$12="Pro Forma",SUM(OFFSET($B83,0,3*AN$9+1,1,3)),IFERROR(GETPIVOTDATA("Sum of Q"&amp;AN$9+1,'PT-All'!$A$1,"Scenario",AN$12,"P&amp;L Item",$B83),0))</f>
        <v>0</v>
      </c>
      <c r="AO83" s="65">
        <f ca="1">IF(AO$12="Pro Forma",SUM(OFFSET($B83,0,3*AO$9+1,1,3)),IFERROR(GETPIVOTDATA("Sum of Q"&amp;AO$9+1,'PT-All'!$A$1,"Scenario",AO$12,"P&amp;L Item",$B83),0))</f>
        <v>0</v>
      </c>
      <c r="AP83" s="65">
        <f ca="1">IF(AP$12="Pro Forma",SUM(OFFSET($B83,0,3*AP$9+1,1,3)),IFERROR(GETPIVOTDATA("Sum of Q"&amp;AP$9+1,'PT-All'!$A$1,"Scenario",AP$12,"P&amp;L Item",$B83),0))</f>
        <v>0</v>
      </c>
      <c r="AQ83" s="65">
        <f ca="1">IF(AQ$12="Pro Forma",SUM(OFFSET($B83,0,3*AQ$9+1,1,3)),IFERROR(GETPIVOTDATA("Sum of Q"&amp;AQ$9+1,'PT-All'!$A$1,"Scenario",AQ$12,"P&amp;L Item",$B83),0))</f>
        <v>0</v>
      </c>
      <c r="AR83" s="65">
        <f ca="1">IF(AR$12="Pro Forma",SUM(OFFSET($B83,0,3*AR$9+1,1,3)),IFERROR(GETPIVOTDATA("Sum of Q"&amp;AR$9+1,'PT-All'!$A$1,"Scenario",AR$12,"P&amp;L Item",$B83),0))</f>
        <v>0</v>
      </c>
      <c r="AS83" s="65">
        <f ca="1">IF(AS$12="Pro Forma",SUM(OFFSET($B83,0,3*AS$9+1,1,3)),IFERROR(GETPIVOTDATA("Sum of Q"&amp;AS$9+1,'PT-All'!$A$1,"Scenario",AS$12,"P&amp;L Item",$B83),0))</f>
        <v>0</v>
      </c>
      <c r="AT83" s="65">
        <f ca="1">IF(AT$12="Pro Forma",SUM(OFFSET($B83,0,3*AT$9+1,1,3)),IFERROR(GETPIVOTDATA("Sum of Q"&amp;AT$9+1,'PT-All'!$A$1,"Scenario",AT$12,"P&amp;L Item",$B83),0))</f>
        <v>0</v>
      </c>
      <c r="AU83" s="65">
        <f ca="1">IF(AU$12="Pro Forma",SUM(OFFSET($B83,0,3*AU$9+1,1,3)),IFERROR(GETPIVOTDATA("Sum of Q"&amp;AU$9+1,'PT-All'!$A$1,"Scenario",AU$12,"P&amp;L Item",$B83),0))</f>
        <v>0</v>
      </c>
      <c r="AV83" s="65">
        <f ca="1">IF(AV$12="Pro Forma",SUM(OFFSET($B83,0,3*AV$9+1,1,3)),IFERROR(GETPIVOTDATA("Sum of Q"&amp;AV$9+1,'PT-All'!$A$1,"Scenario",AV$12,"P&amp;L Item",$B83),0))</f>
        <v>0</v>
      </c>
      <c r="AW83" s="65">
        <f ca="1">IF(AW$12="Pro Forma",SUM(OFFSET($B83,0,3*AW$9+1,1,3)),IFERROR(GETPIVOTDATA("Sum of Q"&amp;AW$9+1,'PT-All'!$A$1,"Scenario",AW$12,"P&amp;L Item",$B83),0))</f>
        <v>0</v>
      </c>
      <c r="AX83" s="65">
        <f ca="1">IF(AX$12="Pro Forma",SUM(OFFSET($B83,0,3*AX$9+1,1,3)),IFERROR(GETPIVOTDATA("Sum of Q"&amp;AX$9+1,'PT-All'!$A$1,"Scenario",AX$12,"P&amp;L Item",$B83),0))</f>
        <v>0</v>
      </c>
      <c r="AY83" s="97">
        <f ca="1">IF(AY$12="Pro Forma",SUM(OFFSET($B83,0,3*AY$9+1,1,3)),IFERROR(GETPIVOTDATA("Sum of Q"&amp;AY$9+1,'PT-All'!$A$1,"Scenario",AY$12,"P&amp;L Item",$B83),0))</f>
        <v>0</v>
      </c>
      <c r="AZ83" s="590"/>
      <c r="BA83" s="108">
        <f ca="1">IF(BA$12="Pro Forma",SUM(OFFSET($B83,0,12*BA$9+1,1,12)),IFERROR(GETPIVOTDATA("Sum of FY"&amp;BA$9+1,'PT-All'!$A$1,"Scenario",BA$12,"P&amp;L Item",$B83),0))</f>
        <v>0</v>
      </c>
      <c r="BB83" s="65">
        <f ca="1">IF(BB$12="Pro Forma",SUM(OFFSET($B83,0,12*BB$9+1,1,12)),IFERROR(GETPIVOTDATA("Sum of FY"&amp;BB$9+1,'PT-All'!$A$1,"Scenario",BB$12,"P&amp;L Item",$B83),0))</f>
        <v>0</v>
      </c>
      <c r="BC83" s="97">
        <f ca="1">IF(BC$12="Pro Forma",SUM(OFFSET($B83,0,12*BC$9+1,1,12)),IFERROR(GETPIVOTDATA("Sum of FY"&amp;BC$9+1,'PT-All'!$A$1,"Scenario",BC$12,"P&amp;L Item",$B83),0))</f>
        <v>0</v>
      </c>
    </row>
    <row r="84" spans="2:55" x14ac:dyDescent="0.35">
      <c r="B84" s="76" t="s">
        <v>116</v>
      </c>
      <c r="C84" s="65">
        <f>CHOOSE(PLColumn,IFERROR(GETPIVOTDATA("Sum of "&amp;C$9,'PT-All'!$A$1,"Scenario",C$12,"P&amp;L Item",$B84),0),IFERROR(GETPIVOTDATA("Sum of "&amp;C$9,'PT-All'!$A$1,"Scenario",C$12,"P&amp;L Item",$B84)/C$201,0),TEXT(IFERROR(GETPIVOTDATA("Sum of "&amp;C$9,'PT-All'!$A$1,"Scenario",C$12,"P&amp;L Item",$B84)/C$29,0),"0.00%"))</f>
        <v>0</v>
      </c>
      <c r="D84" s="65">
        <f>CHOOSE(PLColumn,IFERROR(GETPIVOTDATA("Sum of "&amp;D$9,'PT-All'!$A$1,"Scenario",D$12,"P&amp;L Item",$B84),0),IFERROR(GETPIVOTDATA("Sum of "&amp;D$9,'PT-All'!$A$1,"Scenario",D$12,"P&amp;L Item",$B84)/D$201,0),TEXT(IFERROR(GETPIVOTDATA("Sum of "&amp;D$9,'PT-All'!$A$1,"Scenario",D$12,"P&amp;L Item",$B84)/D$29,0),"0.00%"))</f>
        <v>0</v>
      </c>
      <c r="E84" s="65">
        <f>CHOOSE(PLColumn,IFERROR(GETPIVOTDATA("Sum of "&amp;E$9,'PT-All'!$A$1,"Scenario",E$12,"P&amp;L Item",$B84),0),IFERROR(GETPIVOTDATA("Sum of "&amp;E$9,'PT-All'!$A$1,"Scenario",E$12,"P&amp;L Item",$B84)/E$201,0),TEXT(IFERROR(GETPIVOTDATA("Sum of "&amp;E$9,'PT-All'!$A$1,"Scenario",E$12,"P&amp;L Item",$B84)/E$29,0),"0.00%"))</f>
        <v>0</v>
      </c>
      <c r="F84" s="65">
        <f>CHOOSE(PLColumn,IFERROR(GETPIVOTDATA("Sum of "&amp;F$9,'PT-All'!$A$1,"Scenario",F$12,"P&amp;L Item",$B84),0),IFERROR(GETPIVOTDATA("Sum of "&amp;F$9,'PT-All'!$A$1,"Scenario",F$12,"P&amp;L Item",$B84)/F$201,0),TEXT(IFERROR(GETPIVOTDATA("Sum of "&amp;F$9,'PT-All'!$A$1,"Scenario",F$12,"P&amp;L Item",$B84)/F$29,0),"0.00%"))</f>
        <v>0</v>
      </c>
      <c r="G84" s="65">
        <f>CHOOSE(PLColumn,IFERROR(GETPIVOTDATA("Sum of "&amp;G$9,'PT-All'!$A$1,"Scenario",G$12,"P&amp;L Item",$B84),0),IFERROR(GETPIVOTDATA("Sum of "&amp;G$9,'PT-All'!$A$1,"Scenario",G$12,"P&amp;L Item",$B84)/G$201,0),TEXT(IFERROR(GETPIVOTDATA("Sum of "&amp;G$9,'PT-All'!$A$1,"Scenario",G$12,"P&amp;L Item",$B84)/G$29,0),"0.00%"))</f>
        <v>0</v>
      </c>
      <c r="H84" s="65">
        <f>CHOOSE(PLColumn,IFERROR(GETPIVOTDATA("Sum of "&amp;H$9,'PT-All'!$A$1,"Scenario",H$12,"P&amp;L Item",$B84),0),IFERROR(GETPIVOTDATA("Sum of "&amp;H$9,'PT-All'!$A$1,"Scenario",H$12,"P&amp;L Item",$B84)/H$201,0),TEXT(IFERROR(GETPIVOTDATA("Sum of "&amp;H$9,'PT-All'!$A$1,"Scenario",H$12,"P&amp;L Item",$B84)/H$29,0),"0.00%"))</f>
        <v>0</v>
      </c>
      <c r="I84" s="65">
        <f>CHOOSE(PLColumn,IFERROR(GETPIVOTDATA("Sum of "&amp;I$9,'PT-All'!$A$1,"Scenario",I$12,"P&amp;L Item",$B84),0),IFERROR(GETPIVOTDATA("Sum of "&amp;I$9,'PT-All'!$A$1,"Scenario",I$12,"P&amp;L Item",$B84)/I$201,0),TEXT(IFERROR(GETPIVOTDATA("Sum of "&amp;I$9,'PT-All'!$A$1,"Scenario",I$12,"P&amp;L Item",$B84)/I$29,0),"0.00%"))</f>
        <v>0</v>
      </c>
      <c r="J84" s="65">
        <f>CHOOSE(PLColumn,IFERROR(GETPIVOTDATA("Sum of "&amp;J$9,'PT-All'!$A$1,"Scenario",J$12,"P&amp;L Item",$B84),0),IFERROR(GETPIVOTDATA("Sum of "&amp;J$9,'PT-All'!$A$1,"Scenario",J$12,"P&amp;L Item",$B84)/J$201,0),TEXT(IFERROR(GETPIVOTDATA("Sum of "&amp;J$9,'PT-All'!$A$1,"Scenario",J$12,"P&amp;L Item",$B84)/J$29,0),"0.00%"))</f>
        <v>0</v>
      </c>
      <c r="K84" s="65">
        <f>CHOOSE(PLColumn,IFERROR(GETPIVOTDATA("Sum of "&amp;K$9,'PT-All'!$A$1,"Scenario",K$12,"P&amp;L Item",$B84),0),IFERROR(GETPIVOTDATA("Sum of "&amp;K$9,'PT-All'!$A$1,"Scenario",K$12,"P&amp;L Item",$B84)/K$201,0),TEXT(IFERROR(GETPIVOTDATA("Sum of "&amp;K$9,'PT-All'!$A$1,"Scenario",K$12,"P&amp;L Item",$B84)/K$29,0),"0.00%"))</f>
        <v>0</v>
      </c>
      <c r="L84" s="65">
        <f>CHOOSE(PLColumn,IFERROR(GETPIVOTDATA("Sum of "&amp;L$9,'PT-All'!$A$1,"Scenario",L$12,"P&amp;L Item",$B84),0),IFERROR(GETPIVOTDATA("Sum of "&amp;L$9,'PT-All'!$A$1,"Scenario",L$12,"P&amp;L Item",$B84)/L$201,0),TEXT(IFERROR(GETPIVOTDATA("Sum of "&amp;L$9,'PT-All'!$A$1,"Scenario",L$12,"P&amp;L Item",$B84)/L$29,0),"0.00%"))</f>
        <v>0</v>
      </c>
      <c r="M84" s="65">
        <f>CHOOSE(PLColumn,IFERROR(GETPIVOTDATA("Sum of "&amp;M$9,'PT-All'!$A$1,"Scenario",M$12,"P&amp;L Item",$B84),0),IFERROR(GETPIVOTDATA("Sum of "&amp;M$9,'PT-All'!$A$1,"Scenario",M$12,"P&amp;L Item",$B84)/M$201,0),TEXT(IFERROR(GETPIVOTDATA("Sum of "&amp;M$9,'PT-All'!$A$1,"Scenario",M$12,"P&amp;L Item",$B84)/M$29,0),"0.00%"))</f>
        <v>0</v>
      </c>
      <c r="N84" s="65">
        <f>CHOOSE(PLColumn,IFERROR(GETPIVOTDATA("Sum of "&amp;N$9,'PT-All'!$A$1,"Scenario",N$12,"P&amp;L Item",$B84),0),IFERROR(GETPIVOTDATA("Sum of "&amp;N$9,'PT-All'!$A$1,"Scenario",N$12,"P&amp;L Item",$B84)/N$201,0),TEXT(IFERROR(GETPIVOTDATA("Sum of "&amp;N$9,'PT-All'!$A$1,"Scenario",N$12,"P&amp;L Item",$B84)/N$29,0),"0.00%"))</f>
        <v>0</v>
      </c>
      <c r="O84" s="65">
        <f>CHOOSE(PLColumn,IFERROR(GETPIVOTDATA("Sum of "&amp;O$9,'PT-All'!$A$1,"Scenario",O$12,"P&amp;L Item",$B84),0),IFERROR(GETPIVOTDATA("Sum of "&amp;O$9,'PT-All'!$A$1,"Scenario",O$12,"P&amp;L Item",$B84)/O$201,0),TEXT(IFERROR(GETPIVOTDATA("Sum of "&amp;O$9,'PT-All'!$A$1,"Scenario",O$12,"P&amp;L Item",$B84)/O$29,0),"0.00%"))</f>
        <v>0</v>
      </c>
      <c r="P84" s="65">
        <f>CHOOSE(PLColumn,IFERROR(GETPIVOTDATA("Sum of "&amp;P$9,'PT-All'!$A$1,"Scenario",P$12,"P&amp;L Item",$B84),0),IFERROR(GETPIVOTDATA("Sum of "&amp;P$9,'PT-All'!$A$1,"Scenario",P$12,"P&amp;L Item",$B84)/P$201,0),TEXT(IFERROR(GETPIVOTDATA("Sum of "&amp;P$9,'PT-All'!$A$1,"Scenario",P$12,"P&amp;L Item",$B84)/P$29,0),"0.00%"))</f>
        <v>0</v>
      </c>
      <c r="Q84" s="65">
        <f>CHOOSE(PLColumn,IFERROR(GETPIVOTDATA("Sum of "&amp;Q$9,'PT-All'!$A$1,"Scenario",Q$12,"P&amp;L Item",$B84),0),IFERROR(GETPIVOTDATA("Sum of "&amp;Q$9,'PT-All'!$A$1,"Scenario",Q$12,"P&amp;L Item",$B84)/Q$201,0),TEXT(IFERROR(GETPIVOTDATA("Sum of "&amp;Q$9,'PT-All'!$A$1,"Scenario",Q$12,"P&amp;L Item",$B84)/Q$29,0),"0.00%"))</f>
        <v>0</v>
      </c>
      <c r="R84" s="65">
        <f>CHOOSE(PLColumn,IFERROR(GETPIVOTDATA("Sum of "&amp;R$9,'PT-All'!$A$1,"Scenario",R$12,"P&amp;L Item",$B84),0),IFERROR(GETPIVOTDATA("Sum of "&amp;R$9,'PT-All'!$A$1,"Scenario",R$12,"P&amp;L Item",$B84)/R$201,0),TEXT(IFERROR(GETPIVOTDATA("Sum of "&amp;R$9,'PT-All'!$A$1,"Scenario",R$12,"P&amp;L Item",$B84)/R$29,0),"0.00%"))</f>
        <v>0</v>
      </c>
      <c r="S84" s="65">
        <f>CHOOSE(PLColumn,IFERROR(GETPIVOTDATA("Sum of "&amp;S$9,'PT-All'!$A$1,"Scenario",S$12,"P&amp;L Item",$B84),0),IFERROR(GETPIVOTDATA("Sum of "&amp;S$9,'PT-All'!$A$1,"Scenario",S$12,"P&amp;L Item",$B84)/S$201,0),TEXT(IFERROR(GETPIVOTDATA("Sum of "&amp;S$9,'PT-All'!$A$1,"Scenario",S$12,"P&amp;L Item",$B84)/S$29,0),"0.00%"))</f>
        <v>0</v>
      </c>
      <c r="T84" s="65">
        <f>CHOOSE(PLColumn,IFERROR(GETPIVOTDATA("Sum of "&amp;T$9,'PT-All'!$A$1,"Scenario",T$12,"P&amp;L Item",$B84),0),IFERROR(GETPIVOTDATA("Sum of "&amp;T$9,'PT-All'!$A$1,"Scenario",T$12,"P&amp;L Item",$B84)/T$201,0),TEXT(IFERROR(GETPIVOTDATA("Sum of "&amp;T$9,'PT-All'!$A$1,"Scenario",T$12,"P&amp;L Item",$B84)/T$29,0),"0.00%"))</f>
        <v>0</v>
      </c>
      <c r="U84" s="65">
        <f>CHOOSE(PLColumn,IFERROR(GETPIVOTDATA("Sum of "&amp;U$9,'PT-All'!$A$1,"Scenario",U$12,"P&amp;L Item",$B84),0),IFERROR(GETPIVOTDATA("Sum of "&amp;U$9,'PT-All'!$A$1,"Scenario",U$12,"P&amp;L Item",$B84)/U$201,0),TEXT(IFERROR(GETPIVOTDATA("Sum of "&amp;U$9,'PT-All'!$A$1,"Scenario",U$12,"P&amp;L Item",$B84)/U$29,0),"0.00%"))</f>
        <v>0</v>
      </c>
      <c r="V84" s="65">
        <f>CHOOSE(PLColumn,IFERROR(GETPIVOTDATA("Sum of "&amp;V$9,'PT-All'!$A$1,"Scenario",V$12,"P&amp;L Item",$B84),0),IFERROR(GETPIVOTDATA("Sum of "&amp;V$9,'PT-All'!$A$1,"Scenario",V$12,"P&amp;L Item",$B84)/V$201,0),TEXT(IFERROR(GETPIVOTDATA("Sum of "&amp;V$9,'PT-All'!$A$1,"Scenario",V$12,"P&amp;L Item",$B84)/V$29,0),"0.00%"))</f>
        <v>0</v>
      </c>
      <c r="W84" s="65">
        <f>CHOOSE(PLColumn,IFERROR(GETPIVOTDATA("Sum of "&amp;W$9,'PT-All'!$A$1,"Scenario",W$12,"P&amp;L Item",$B84),0),IFERROR(GETPIVOTDATA("Sum of "&amp;W$9,'PT-All'!$A$1,"Scenario",W$12,"P&amp;L Item",$B84)/W$201,0),TEXT(IFERROR(GETPIVOTDATA("Sum of "&amp;W$9,'PT-All'!$A$1,"Scenario",W$12,"P&amp;L Item",$B84)/W$29,0),"0.00%"))</f>
        <v>0</v>
      </c>
      <c r="X84" s="65">
        <f>CHOOSE(PLColumn,IFERROR(GETPIVOTDATA("Sum of "&amp;X$9,'PT-All'!$A$1,"Scenario",X$12,"P&amp;L Item",$B84),0),IFERROR(GETPIVOTDATA("Sum of "&amp;X$9,'PT-All'!$A$1,"Scenario",X$12,"P&amp;L Item",$B84)/X$201,0),TEXT(IFERROR(GETPIVOTDATA("Sum of "&amp;X$9,'PT-All'!$A$1,"Scenario",X$12,"P&amp;L Item",$B84)/X$29,0),"0.00%"))</f>
        <v>0</v>
      </c>
      <c r="Y84" s="65">
        <f>CHOOSE(PLColumn,IFERROR(GETPIVOTDATA("Sum of "&amp;Y$9,'PT-All'!$A$1,"Scenario",Y$12,"P&amp;L Item",$B84),0),IFERROR(GETPIVOTDATA("Sum of "&amp;Y$9,'PT-All'!$A$1,"Scenario",Y$12,"P&amp;L Item",$B84)/Y$201,0),TEXT(IFERROR(GETPIVOTDATA("Sum of "&amp;Y$9,'PT-All'!$A$1,"Scenario",Y$12,"P&amp;L Item",$B84)/Y$29,0),"0.00%"))</f>
        <v>0</v>
      </c>
      <c r="Z84" s="65">
        <f>CHOOSE(PLColumn,IFERROR(GETPIVOTDATA("Sum of "&amp;Z$9,'PT-All'!$A$1,"Scenario",Z$12,"P&amp;L Item",$B84),0),IFERROR(GETPIVOTDATA("Sum of "&amp;Z$9,'PT-All'!$A$1,"Scenario",Z$12,"P&amp;L Item",$B84)/Z$201,0),TEXT(IFERROR(GETPIVOTDATA("Sum of "&amp;Z$9,'PT-All'!$A$1,"Scenario",Z$12,"P&amp;L Item",$B84)/Z$29,0),"0.00%"))</f>
        <v>0</v>
      </c>
      <c r="AA84" s="65">
        <f>CHOOSE(PLColumn,IFERROR(GETPIVOTDATA("Sum of "&amp;AA$9,'PT-All'!$A$1,"Scenario",AA$12,"P&amp;L Item",$B84),0),IFERROR(GETPIVOTDATA("Sum of "&amp;AA$9,'PT-All'!$A$1,"Scenario",AA$12,"P&amp;L Item",$B84)/AA$201,0),TEXT(IFERROR(GETPIVOTDATA("Sum of "&amp;AA$9,'PT-All'!$A$1,"Scenario",AA$12,"P&amp;L Item",$B84)/AA$29,0),"0.00%"))</f>
        <v>0</v>
      </c>
      <c r="AB84" s="65">
        <f>CHOOSE(PLColumn,IFERROR(GETPIVOTDATA("Sum of "&amp;AB$9,'PT-All'!$A$1,"Scenario",AB$12,"P&amp;L Item",$B84),0),IFERROR(GETPIVOTDATA("Sum of "&amp;AB$9,'PT-All'!$A$1,"Scenario",AB$12,"P&amp;L Item",$B84)/AB$201,0),TEXT(IFERROR(GETPIVOTDATA("Sum of "&amp;AB$9,'PT-All'!$A$1,"Scenario",AB$12,"P&amp;L Item",$B84)/AB$29,0),"0.00%"))</f>
        <v>0</v>
      </c>
      <c r="AC84" s="65">
        <f>CHOOSE(PLColumn,IFERROR(GETPIVOTDATA("Sum of "&amp;AC$9,'PT-All'!$A$1,"Scenario",AC$12,"P&amp;L Item",$B84),0),IFERROR(GETPIVOTDATA("Sum of "&amp;AC$9,'PT-All'!$A$1,"Scenario",AC$12,"P&amp;L Item",$B84)/AC$201,0),TEXT(IFERROR(GETPIVOTDATA("Sum of "&amp;AC$9,'PT-All'!$A$1,"Scenario",AC$12,"P&amp;L Item",$B84)/AC$29,0),"0.00%"))</f>
        <v>0</v>
      </c>
      <c r="AD84" s="65">
        <f>CHOOSE(PLColumn,IFERROR(GETPIVOTDATA("Sum of "&amp;AD$9,'PT-All'!$A$1,"Scenario",AD$12,"P&amp;L Item",$B84),0),IFERROR(GETPIVOTDATA("Sum of "&amp;AD$9,'PT-All'!$A$1,"Scenario",AD$12,"P&amp;L Item",$B84)/AD$201,0),TEXT(IFERROR(GETPIVOTDATA("Sum of "&amp;AD$9,'PT-All'!$A$1,"Scenario",AD$12,"P&amp;L Item",$B84)/AD$29,0),"0.00%"))</f>
        <v>0</v>
      </c>
      <c r="AE84" s="65">
        <f>CHOOSE(PLColumn,IFERROR(GETPIVOTDATA("Sum of "&amp;AE$9,'PT-All'!$A$1,"Scenario",AE$12,"P&amp;L Item",$B84),0),IFERROR(GETPIVOTDATA("Sum of "&amp;AE$9,'PT-All'!$A$1,"Scenario",AE$12,"P&amp;L Item",$B84)/AE$201,0),TEXT(IFERROR(GETPIVOTDATA("Sum of "&amp;AE$9,'PT-All'!$A$1,"Scenario",AE$12,"P&amp;L Item",$B84)/AE$29,0),"0.00%"))</f>
        <v>0</v>
      </c>
      <c r="AF84" s="65">
        <f>CHOOSE(PLColumn,IFERROR(GETPIVOTDATA("Sum of "&amp;AF$9,'PT-All'!$A$1,"Scenario",AF$12,"P&amp;L Item",$B84),0),IFERROR(GETPIVOTDATA("Sum of "&amp;AF$9,'PT-All'!$A$1,"Scenario",AF$12,"P&amp;L Item",$B84)/AF$201,0),TEXT(IFERROR(GETPIVOTDATA("Sum of "&amp;AF$9,'PT-All'!$A$1,"Scenario",AF$12,"P&amp;L Item",$B84)/AF$29,0),"0.00%"))</f>
        <v>0</v>
      </c>
      <c r="AG84" s="65">
        <f>CHOOSE(PLColumn,IFERROR(GETPIVOTDATA("Sum of "&amp;AG$9,'PT-All'!$A$1,"Scenario",AG$12,"P&amp;L Item",$B84),0),IFERROR(GETPIVOTDATA("Sum of "&amp;AG$9,'PT-All'!$A$1,"Scenario",AG$12,"P&amp;L Item",$B84)/AG$201,0),TEXT(IFERROR(GETPIVOTDATA("Sum of "&amp;AG$9,'PT-All'!$A$1,"Scenario",AG$12,"P&amp;L Item",$B84)/AG$29,0),"0.00%"))</f>
        <v>0</v>
      </c>
      <c r="AH84" s="65">
        <f>CHOOSE(PLColumn,IFERROR(GETPIVOTDATA("Sum of "&amp;AH$9,'PT-All'!$A$1,"Scenario",AH$12,"P&amp;L Item",$B84),0),IFERROR(GETPIVOTDATA("Sum of "&amp;AH$9,'PT-All'!$A$1,"Scenario",AH$12,"P&amp;L Item",$B84)/AH$201,0),TEXT(IFERROR(GETPIVOTDATA("Sum of "&amp;AH$9,'PT-All'!$A$1,"Scenario",AH$12,"P&amp;L Item",$B84)/AH$29,0),"0.00%"))</f>
        <v>0</v>
      </c>
      <c r="AI84" s="65">
        <f>CHOOSE(PLColumn,IFERROR(GETPIVOTDATA("Sum of "&amp;AI$9,'PT-All'!$A$1,"Scenario",AI$12,"P&amp;L Item",$B84),0),IFERROR(GETPIVOTDATA("Sum of "&amp;AI$9,'PT-All'!$A$1,"Scenario",AI$12,"P&amp;L Item",$B84)/AI$201,0),TEXT(IFERROR(GETPIVOTDATA("Sum of "&amp;AI$9,'PT-All'!$A$1,"Scenario",AI$12,"P&amp;L Item",$B84)/AI$29,0),"0.00%"))</f>
        <v>0</v>
      </c>
      <c r="AJ84" s="65">
        <f>CHOOSE(PLColumn,IFERROR(GETPIVOTDATA("Sum of "&amp;AJ$9,'PT-All'!$A$1,"Scenario",AJ$12,"P&amp;L Item",$B84),0),IFERROR(GETPIVOTDATA("Sum of "&amp;AJ$9,'PT-All'!$A$1,"Scenario",AJ$12,"P&amp;L Item",$B84)/AJ$201,0),TEXT(IFERROR(GETPIVOTDATA("Sum of "&amp;AJ$9,'PT-All'!$A$1,"Scenario",AJ$12,"P&amp;L Item",$B84)/AJ$29,0),"0.00%"))</f>
        <v>0</v>
      </c>
      <c r="AK84" s="65">
        <f>CHOOSE(PLColumn,IFERROR(GETPIVOTDATA("Sum of "&amp;AK$9,'PT-All'!$A$1,"Scenario",AK$12,"P&amp;L Item",$B84),0),IFERROR(GETPIVOTDATA("Sum of "&amp;AK$9,'PT-All'!$A$1,"Scenario",AK$12,"P&amp;L Item",$B84)/AK$201,0),TEXT(IFERROR(GETPIVOTDATA("Sum of "&amp;AK$9,'PT-All'!$A$1,"Scenario",AK$12,"P&amp;L Item",$B84)/AK$29,0),"0.00%"))</f>
        <v>0</v>
      </c>
      <c r="AL84" s="97">
        <f>CHOOSE(PLColumn,IFERROR(GETPIVOTDATA("Sum of "&amp;AL$9,'PT-All'!$A$1,"Scenario",AL$12,"P&amp;L Item",$B84),0),IFERROR(GETPIVOTDATA("Sum of "&amp;AL$9,'PT-All'!$A$1,"Scenario",AL$12,"P&amp;L Item",$B84)/AL$201,0),TEXT(IFERROR(GETPIVOTDATA("Sum of "&amp;AL$9,'PT-All'!$A$1,"Scenario",AL$12,"P&amp;L Item",$B84)/AL$29,0),"0.00%"))</f>
        <v>0</v>
      </c>
      <c r="AM84" s="590"/>
      <c r="AN84" s="108">
        <f ca="1">IF(AN$12="Pro Forma",SUM(OFFSET($B84,0,3*AN$9+1,1,3)),IFERROR(GETPIVOTDATA("Sum of Q"&amp;AN$9+1,'PT-All'!$A$1,"Scenario",AN$12,"P&amp;L Item",$B84),0))</f>
        <v>0</v>
      </c>
      <c r="AO84" s="65">
        <f ca="1">IF(AO$12="Pro Forma",SUM(OFFSET($B84,0,3*AO$9+1,1,3)),IFERROR(GETPIVOTDATA("Sum of Q"&amp;AO$9+1,'PT-All'!$A$1,"Scenario",AO$12,"P&amp;L Item",$B84),0))</f>
        <v>0</v>
      </c>
      <c r="AP84" s="65">
        <f ca="1">IF(AP$12="Pro Forma",SUM(OFFSET($B84,0,3*AP$9+1,1,3)),IFERROR(GETPIVOTDATA("Sum of Q"&amp;AP$9+1,'PT-All'!$A$1,"Scenario",AP$12,"P&amp;L Item",$B84),0))</f>
        <v>0</v>
      </c>
      <c r="AQ84" s="65">
        <f ca="1">IF(AQ$12="Pro Forma",SUM(OFFSET($B84,0,3*AQ$9+1,1,3)),IFERROR(GETPIVOTDATA("Sum of Q"&amp;AQ$9+1,'PT-All'!$A$1,"Scenario",AQ$12,"P&amp;L Item",$B84),0))</f>
        <v>0</v>
      </c>
      <c r="AR84" s="65">
        <f ca="1">IF(AR$12="Pro Forma",SUM(OFFSET($B84,0,3*AR$9+1,1,3)),IFERROR(GETPIVOTDATA("Sum of Q"&amp;AR$9+1,'PT-All'!$A$1,"Scenario",AR$12,"P&amp;L Item",$B84),0))</f>
        <v>0</v>
      </c>
      <c r="AS84" s="65">
        <f ca="1">IF(AS$12="Pro Forma",SUM(OFFSET($B84,0,3*AS$9+1,1,3)),IFERROR(GETPIVOTDATA("Sum of Q"&amp;AS$9+1,'PT-All'!$A$1,"Scenario",AS$12,"P&amp;L Item",$B84),0))</f>
        <v>0</v>
      </c>
      <c r="AT84" s="65">
        <f ca="1">IF(AT$12="Pro Forma",SUM(OFFSET($B84,0,3*AT$9+1,1,3)),IFERROR(GETPIVOTDATA("Sum of Q"&amp;AT$9+1,'PT-All'!$A$1,"Scenario",AT$12,"P&amp;L Item",$B84),0))</f>
        <v>0</v>
      </c>
      <c r="AU84" s="65">
        <f ca="1">IF(AU$12="Pro Forma",SUM(OFFSET($B84,0,3*AU$9+1,1,3)),IFERROR(GETPIVOTDATA("Sum of Q"&amp;AU$9+1,'PT-All'!$A$1,"Scenario",AU$12,"P&amp;L Item",$B84),0))</f>
        <v>0</v>
      </c>
      <c r="AV84" s="65">
        <f ca="1">IF(AV$12="Pro Forma",SUM(OFFSET($B84,0,3*AV$9+1,1,3)),IFERROR(GETPIVOTDATA("Sum of Q"&amp;AV$9+1,'PT-All'!$A$1,"Scenario",AV$12,"P&amp;L Item",$B84),0))</f>
        <v>0</v>
      </c>
      <c r="AW84" s="65">
        <f ca="1">IF(AW$12="Pro Forma",SUM(OFFSET($B84,0,3*AW$9+1,1,3)),IFERROR(GETPIVOTDATA("Sum of Q"&amp;AW$9+1,'PT-All'!$A$1,"Scenario",AW$12,"P&amp;L Item",$B84),0))</f>
        <v>0</v>
      </c>
      <c r="AX84" s="65">
        <f ca="1">IF(AX$12="Pro Forma",SUM(OFFSET($B84,0,3*AX$9+1,1,3)),IFERROR(GETPIVOTDATA("Sum of Q"&amp;AX$9+1,'PT-All'!$A$1,"Scenario",AX$12,"P&amp;L Item",$B84),0))</f>
        <v>0</v>
      </c>
      <c r="AY84" s="97">
        <f ca="1">IF(AY$12="Pro Forma",SUM(OFFSET($B84,0,3*AY$9+1,1,3)),IFERROR(GETPIVOTDATA("Sum of Q"&amp;AY$9+1,'PT-All'!$A$1,"Scenario",AY$12,"P&amp;L Item",$B84),0))</f>
        <v>0</v>
      </c>
      <c r="AZ84" s="590"/>
      <c r="BA84" s="108">
        <f ca="1">IF(BA$12="Pro Forma",SUM(OFFSET($B84,0,12*BA$9+1,1,12)),IFERROR(GETPIVOTDATA("Sum of FY"&amp;BA$9+1,'PT-All'!$A$1,"Scenario",BA$12,"P&amp;L Item",$B84),0))</f>
        <v>0</v>
      </c>
      <c r="BB84" s="65">
        <f ca="1">IF(BB$12="Pro Forma",SUM(OFFSET($B84,0,12*BB$9+1,1,12)),IFERROR(GETPIVOTDATA("Sum of FY"&amp;BB$9+1,'PT-All'!$A$1,"Scenario",BB$12,"P&amp;L Item",$B84),0))</f>
        <v>0</v>
      </c>
      <c r="BC84" s="97">
        <f ca="1">IF(BC$12="Pro Forma",SUM(OFFSET($B84,0,12*BC$9+1,1,12)),IFERROR(GETPIVOTDATA("Sum of FY"&amp;BC$9+1,'PT-All'!$A$1,"Scenario",BC$12,"P&amp;L Item",$B84),0))</f>
        <v>0</v>
      </c>
    </row>
    <row r="85" spans="2:55" x14ac:dyDescent="0.35">
      <c r="B85" s="77" t="s">
        <v>117</v>
      </c>
      <c r="C85" s="78">
        <f t="shared" ref="C85:AN85" si="193">SUM(C86,C89)</f>
        <v>0</v>
      </c>
      <c r="D85" s="78">
        <f t="shared" si="193"/>
        <v>0</v>
      </c>
      <c r="E85" s="78">
        <f t="shared" si="193"/>
        <v>0</v>
      </c>
      <c r="F85" s="78">
        <f t="shared" si="193"/>
        <v>0</v>
      </c>
      <c r="G85" s="78">
        <f t="shared" si="193"/>
        <v>0</v>
      </c>
      <c r="H85" s="78">
        <f t="shared" si="193"/>
        <v>0</v>
      </c>
      <c r="I85" s="78">
        <f t="shared" si="193"/>
        <v>0</v>
      </c>
      <c r="J85" s="78">
        <f t="shared" si="193"/>
        <v>0</v>
      </c>
      <c r="K85" s="78">
        <f t="shared" si="193"/>
        <v>0</v>
      </c>
      <c r="L85" s="78">
        <f t="shared" si="193"/>
        <v>0</v>
      </c>
      <c r="M85" s="78">
        <f t="shared" si="193"/>
        <v>0</v>
      </c>
      <c r="N85" s="78">
        <f t="shared" si="193"/>
        <v>0</v>
      </c>
      <c r="O85" s="78">
        <f t="shared" si="193"/>
        <v>0</v>
      </c>
      <c r="P85" s="78">
        <f t="shared" si="193"/>
        <v>0</v>
      </c>
      <c r="Q85" s="78">
        <f t="shared" si="193"/>
        <v>0</v>
      </c>
      <c r="R85" s="78">
        <f t="shared" si="193"/>
        <v>0</v>
      </c>
      <c r="S85" s="78">
        <f t="shared" si="193"/>
        <v>0</v>
      </c>
      <c r="T85" s="78">
        <f t="shared" si="193"/>
        <v>0</v>
      </c>
      <c r="U85" s="78">
        <f t="shared" si="193"/>
        <v>0</v>
      </c>
      <c r="V85" s="78">
        <f t="shared" si="193"/>
        <v>0</v>
      </c>
      <c r="W85" s="78">
        <f t="shared" si="193"/>
        <v>0</v>
      </c>
      <c r="X85" s="78">
        <f t="shared" si="193"/>
        <v>0</v>
      </c>
      <c r="Y85" s="78">
        <f t="shared" si="193"/>
        <v>0</v>
      </c>
      <c r="Z85" s="78">
        <f t="shared" ref="Z85:AL85" si="194">SUM(Z86,Z89)</f>
        <v>0</v>
      </c>
      <c r="AA85" s="78">
        <f t="shared" si="194"/>
        <v>0</v>
      </c>
      <c r="AB85" s="78">
        <f t="shared" si="194"/>
        <v>0</v>
      </c>
      <c r="AC85" s="78">
        <f t="shared" si="194"/>
        <v>0</v>
      </c>
      <c r="AD85" s="78">
        <f t="shared" si="194"/>
        <v>0</v>
      </c>
      <c r="AE85" s="78">
        <f t="shared" si="194"/>
        <v>0</v>
      </c>
      <c r="AF85" s="78">
        <f t="shared" si="194"/>
        <v>0</v>
      </c>
      <c r="AG85" s="78">
        <f t="shared" si="194"/>
        <v>0</v>
      </c>
      <c r="AH85" s="78">
        <f t="shared" si="194"/>
        <v>0</v>
      </c>
      <c r="AI85" s="78">
        <f t="shared" si="194"/>
        <v>0</v>
      </c>
      <c r="AJ85" s="78">
        <f t="shared" si="194"/>
        <v>0</v>
      </c>
      <c r="AK85" s="78">
        <f t="shared" si="194"/>
        <v>0</v>
      </c>
      <c r="AL85" s="100">
        <f t="shared" si="194"/>
        <v>0</v>
      </c>
      <c r="AM85" s="590"/>
      <c r="AN85" s="111">
        <f t="shared" ca="1" si="193"/>
        <v>0</v>
      </c>
      <c r="AO85" s="78">
        <f t="shared" ref="AO85" ca="1" si="195">SUM(AO86,AO89)</f>
        <v>0</v>
      </c>
      <c r="AP85" s="78">
        <f t="shared" ref="AP85" ca="1" si="196">SUM(AP86,AP89)</f>
        <v>0</v>
      </c>
      <c r="AQ85" s="78">
        <f t="shared" ref="AQ85" ca="1" si="197">SUM(AQ86,AQ89)</f>
        <v>0</v>
      </c>
      <c r="AR85" s="78">
        <f t="shared" ref="AR85" ca="1" si="198">SUM(AR86,AR89)</f>
        <v>0</v>
      </c>
      <c r="AS85" s="78">
        <f t="shared" ref="AS85" ca="1" si="199">SUM(AS86,AS89)</f>
        <v>0</v>
      </c>
      <c r="AT85" s="78">
        <f t="shared" ref="AT85:AY85" ca="1" si="200">SUM(AT86,AT89)</f>
        <v>0</v>
      </c>
      <c r="AU85" s="78">
        <f t="shared" ca="1" si="200"/>
        <v>0</v>
      </c>
      <c r="AV85" s="78">
        <f t="shared" ca="1" si="200"/>
        <v>0</v>
      </c>
      <c r="AW85" s="78">
        <f t="shared" ca="1" si="200"/>
        <v>0</v>
      </c>
      <c r="AX85" s="78">
        <f t="shared" ca="1" si="200"/>
        <v>0</v>
      </c>
      <c r="AY85" s="100">
        <f t="shared" ca="1" si="200"/>
        <v>0</v>
      </c>
      <c r="AZ85" s="590"/>
      <c r="BA85" s="111">
        <f t="shared" ref="BA85" ca="1" si="201">SUM(BA86,BA89)</f>
        <v>0</v>
      </c>
      <c r="BB85" s="78">
        <f t="shared" ref="BB85:BC85" ca="1" si="202">SUM(BB86,BB89)</f>
        <v>0</v>
      </c>
      <c r="BC85" s="100">
        <f t="shared" ca="1" si="202"/>
        <v>0</v>
      </c>
    </row>
    <row r="86" spans="2:55" x14ac:dyDescent="0.35">
      <c r="B86" s="79" t="s">
        <v>118</v>
      </c>
      <c r="C86" s="592">
        <f t="shared" ref="C86:AN86" si="203">SUM(C87:C88)</f>
        <v>0</v>
      </c>
      <c r="D86" s="592">
        <f t="shared" si="203"/>
        <v>0</v>
      </c>
      <c r="E86" s="592">
        <f t="shared" si="203"/>
        <v>0</v>
      </c>
      <c r="F86" s="592">
        <f t="shared" si="203"/>
        <v>0</v>
      </c>
      <c r="G86" s="592">
        <f t="shared" si="203"/>
        <v>0</v>
      </c>
      <c r="H86" s="592">
        <f t="shared" si="203"/>
        <v>0</v>
      </c>
      <c r="I86" s="592">
        <f t="shared" si="203"/>
        <v>0</v>
      </c>
      <c r="J86" s="592">
        <f t="shared" si="203"/>
        <v>0</v>
      </c>
      <c r="K86" s="592">
        <f t="shared" si="203"/>
        <v>0</v>
      </c>
      <c r="L86" s="592">
        <f t="shared" si="203"/>
        <v>0</v>
      </c>
      <c r="M86" s="592">
        <f t="shared" si="203"/>
        <v>0</v>
      </c>
      <c r="N86" s="592">
        <f t="shared" si="203"/>
        <v>0</v>
      </c>
      <c r="O86" s="592">
        <f t="shared" si="203"/>
        <v>0</v>
      </c>
      <c r="P86" s="592">
        <f t="shared" si="203"/>
        <v>0</v>
      </c>
      <c r="Q86" s="592">
        <f t="shared" si="203"/>
        <v>0</v>
      </c>
      <c r="R86" s="592">
        <f t="shared" si="203"/>
        <v>0</v>
      </c>
      <c r="S86" s="592">
        <f t="shared" si="203"/>
        <v>0</v>
      </c>
      <c r="T86" s="592">
        <f t="shared" si="203"/>
        <v>0</v>
      </c>
      <c r="U86" s="592">
        <f t="shared" si="203"/>
        <v>0</v>
      </c>
      <c r="V86" s="592">
        <f t="shared" si="203"/>
        <v>0</v>
      </c>
      <c r="W86" s="592">
        <f t="shared" si="203"/>
        <v>0</v>
      </c>
      <c r="X86" s="592">
        <f t="shared" si="203"/>
        <v>0</v>
      </c>
      <c r="Y86" s="592">
        <f t="shared" si="203"/>
        <v>0</v>
      </c>
      <c r="Z86" s="592">
        <f t="shared" ref="Z86:AL86" si="204">SUM(Z87:Z88)</f>
        <v>0</v>
      </c>
      <c r="AA86" s="592">
        <f t="shared" si="204"/>
        <v>0</v>
      </c>
      <c r="AB86" s="592">
        <f t="shared" si="204"/>
        <v>0</v>
      </c>
      <c r="AC86" s="592">
        <f t="shared" si="204"/>
        <v>0</v>
      </c>
      <c r="AD86" s="592">
        <f t="shared" si="204"/>
        <v>0</v>
      </c>
      <c r="AE86" s="592">
        <f t="shared" si="204"/>
        <v>0</v>
      </c>
      <c r="AF86" s="592">
        <f t="shared" si="204"/>
        <v>0</v>
      </c>
      <c r="AG86" s="592">
        <f t="shared" si="204"/>
        <v>0</v>
      </c>
      <c r="AH86" s="592">
        <f t="shared" si="204"/>
        <v>0</v>
      </c>
      <c r="AI86" s="592">
        <f t="shared" si="204"/>
        <v>0</v>
      </c>
      <c r="AJ86" s="592">
        <f t="shared" si="204"/>
        <v>0</v>
      </c>
      <c r="AK86" s="592">
        <f t="shared" si="204"/>
        <v>0</v>
      </c>
      <c r="AL86" s="593">
        <f t="shared" si="204"/>
        <v>0</v>
      </c>
      <c r="AM86" s="590"/>
      <c r="AN86" s="594">
        <f t="shared" ca="1" si="203"/>
        <v>0</v>
      </c>
      <c r="AO86" s="592">
        <f t="shared" ref="AO86" ca="1" si="205">SUM(AO87:AO88)</f>
        <v>0</v>
      </c>
      <c r="AP86" s="592">
        <f t="shared" ref="AP86" ca="1" si="206">SUM(AP87:AP88)</f>
        <v>0</v>
      </c>
      <c r="AQ86" s="592">
        <f t="shared" ref="AQ86" ca="1" si="207">SUM(AQ87:AQ88)</f>
        <v>0</v>
      </c>
      <c r="AR86" s="592">
        <f t="shared" ref="AR86" ca="1" si="208">SUM(AR87:AR88)</f>
        <v>0</v>
      </c>
      <c r="AS86" s="592">
        <f t="shared" ref="AS86" ca="1" si="209">SUM(AS87:AS88)</f>
        <v>0</v>
      </c>
      <c r="AT86" s="592">
        <f t="shared" ref="AT86:AY86" ca="1" si="210">SUM(AT87:AT88)</f>
        <v>0</v>
      </c>
      <c r="AU86" s="592">
        <f t="shared" ca="1" si="210"/>
        <v>0</v>
      </c>
      <c r="AV86" s="592">
        <f t="shared" ca="1" si="210"/>
        <v>0</v>
      </c>
      <c r="AW86" s="592">
        <f t="shared" ca="1" si="210"/>
        <v>0</v>
      </c>
      <c r="AX86" s="592">
        <f t="shared" ca="1" si="210"/>
        <v>0</v>
      </c>
      <c r="AY86" s="593">
        <f t="shared" ca="1" si="210"/>
        <v>0</v>
      </c>
      <c r="AZ86" s="590"/>
      <c r="BA86" s="594">
        <f t="shared" ref="BA86" ca="1" si="211">SUM(BA87:BA88)</f>
        <v>0</v>
      </c>
      <c r="BB86" s="592">
        <f t="shared" ref="BB86:BC86" ca="1" si="212">SUM(BB87:BB88)</f>
        <v>0</v>
      </c>
      <c r="BC86" s="593">
        <f t="shared" ca="1" si="212"/>
        <v>0</v>
      </c>
    </row>
    <row r="87" spans="2:55" x14ac:dyDescent="0.35">
      <c r="B87" s="80" t="s">
        <v>119</v>
      </c>
      <c r="C87" s="65">
        <f>CHOOSE(PLColumn,IFERROR(GETPIVOTDATA("Sum of "&amp;C$9,'PT-All'!$A$1,"Scenario",C$12,"P&amp;L Item",$B87),0),IFERROR(GETPIVOTDATA("Sum of "&amp;C$9,'PT-All'!$A$1,"Scenario",C$12,"P&amp;L Item",$B87)/C$201,0),TEXT(IFERROR(GETPIVOTDATA("Sum of "&amp;C$9,'PT-All'!$A$1,"Scenario",C$12,"P&amp;L Item",$B87)/C$29,0),"0.00%"))</f>
        <v>0</v>
      </c>
      <c r="D87" s="65">
        <f>CHOOSE(PLColumn,IFERROR(GETPIVOTDATA("Sum of "&amp;D$9,'PT-All'!$A$1,"Scenario",D$12,"P&amp;L Item",$B87),0),IFERROR(GETPIVOTDATA("Sum of "&amp;D$9,'PT-All'!$A$1,"Scenario",D$12,"P&amp;L Item",$B87)/D$201,0),TEXT(IFERROR(GETPIVOTDATA("Sum of "&amp;D$9,'PT-All'!$A$1,"Scenario",D$12,"P&amp;L Item",$B87)/D$29,0),"0.00%"))</f>
        <v>0</v>
      </c>
      <c r="E87" s="65">
        <f>CHOOSE(PLColumn,IFERROR(GETPIVOTDATA("Sum of "&amp;E$9,'PT-All'!$A$1,"Scenario",E$12,"P&amp;L Item",$B87),0),IFERROR(GETPIVOTDATA("Sum of "&amp;E$9,'PT-All'!$A$1,"Scenario",E$12,"P&amp;L Item",$B87)/E$201,0),TEXT(IFERROR(GETPIVOTDATA("Sum of "&amp;E$9,'PT-All'!$A$1,"Scenario",E$12,"P&amp;L Item",$B87)/E$29,0),"0.00%"))</f>
        <v>0</v>
      </c>
      <c r="F87" s="65">
        <f>CHOOSE(PLColumn,IFERROR(GETPIVOTDATA("Sum of "&amp;F$9,'PT-All'!$A$1,"Scenario",F$12,"P&amp;L Item",$B87),0),IFERROR(GETPIVOTDATA("Sum of "&amp;F$9,'PT-All'!$A$1,"Scenario",F$12,"P&amp;L Item",$B87)/F$201,0),TEXT(IFERROR(GETPIVOTDATA("Sum of "&amp;F$9,'PT-All'!$A$1,"Scenario",F$12,"P&amp;L Item",$B87)/F$29,0),"0.00%"))</f>
        <v>0</v>
      </c>
      <c r="G87" s="65">
        <f>CHOOSE(PLColumn,IFERROR(GETPIVOTDATA("Sum of "&amp;G$9,'PT-All'!$A$1,"Scenario",G$12,"P&amp;L Item",$B87),0),IFERROR(GETPIVOTDATA("Sum of "&amp;G$9,'PT-All'!$A$1,"Scenario",G$12,"P&amp;L Item",$B87)/G$201,0),TEXT(IFERROR(GETPIVOTDATA("Sum of "&amp;G$9,'PT-All'!$A$1,"Scenario",G$12,"P&amp;L Item",$B87)/G$29,0),"0.00%"))</f>
        <v>0</v>
      </c>
      <c r="H87" s="65">
        <f>CHOOSE(PLColumn,IFERROR(GETPIVOTDATA("Sum of "&amp;H$9,'PT-All'!$A$1,"Scenario",H$12,"P&amp;L Item",$B87),0),IFERROR(GETPIVOTDATA("Sum of "&amp;H$9,'PT-All'!$A$1,"Scenario",H$12,"P&amp;L Item",$B87)/H$201,0),TEXT(IFERROR(GETPIVOTDATA("Sum of "&amp;H$9,'PT-All'!$A$1,"Scenario",H$12,"P&amp;L Item",$B87)/H$29,0),"0.00%"))</f>
        <v>0</v>
      </c>
      <c r="I87" s="65">
        <f>CHOOSE(PLColumn,IFERROR(GETPIVOTDATA("Sum of "&amp;I$9,'PT-All'!$A$1,"Scenario",I$12,"P&amp;L Item",$B87),0),IFERROR(GETPIVOTDATA("Sum of "&amp;I$9,'PT-All'!$A$1,"Scenario",I$12,"P&amp;L Item",$B87)/I$201,0),TEXT(IFERROR(GETPIVOTDATA("Sum of "&amp;I$9,'PT-All'!$A$1,"Scenario",I$12,"P&amp;L Item",$B87)/I$29,0),"0.00%"))</f>
        <v>0</v>
      </c>
      <c r="J87" s="65">
        <f>CHOOSE(PLColumn,IFERROR(GETPIVOTDATA("Sum of "&amp;J$9,'PT-All'!$A$1,"Scenario",J$12,"P&amp;L Item",$B87),0),IFERROR(GETPIVOTDATA("Sum of "&amp;J$9,'PT-All'!$A$1,"Scenario",J$12,"P&amp;L Item",$B87)/J$201,0),TEXT(IFERROR(GETPIVOTDATA("Sum of "&amp;J$9,'PT-All'!$A$1,"Scenario",J$12,"P&amp;L Item",$B87)/J$29,0),"0.00%"))</f>
        <v>0</v>
      </c>
      <c r="K87" s="65">
        <f>CHOOSE(PLColumn,IFERROR(GETPIVOTDATA("Sum of "&amp;K$9,'PT-All'!$A$1,"Scenario",K$12,"P&amp;L Item",$B87),0),IFERROR(GETPIVOTDATA("Sum of "&amp;K$9,'PT-All'!$A$1,"Scenario",K$12,"P&amp;L Item",$B87)/K$201,0),TEXT(IFERROR(GETPIVOTDATA("Sum of "&amp;K$9,'PT-All'!$A$1,"Scenario",K$12,"P&amp;L Item",$B87)/K$29,0),"0.00%"))</f>
        <v>0</v>
      </c>
      <c r="L87" s="65">
        <f>CHOOSE(PLColumn,IFERROR(GETPIVOTDATA("Sum of "&amp;L$9,'PT-All'!$A$1,"Scenario",L$12,"P&amp;L Item",$B87),0),IFERROR(GETPIVOTDATA("Sum of "&amp;L$9,'PT-All'!$A$1,"Scenario",L$12,"P&amp;L Item",$B87)/L$201,0),TEXT(IFERROR(GETPIVOTDATA("Sum of "&amp;L$9,'PT-All'!$A$1,"Scenario",L$12,"P&amp;L Item",$B87)/L$29,0),"0.00%"))</f>
        <v>0</v>
      </c>
      <c r="M87" s="65">
        <f>CHOOSE(PLColumn,IFERROR(GETPIVOTDATA("Sum of "&amp;M$9,'PT-All'!$A$1,"Scenario",M$12,"P&amp;L Item",$B87),0),IFERROR(GETPIVOTDATA("Sum of "&amp;M$9,'PT-All'!$A$1,"Scenario",M$12,"P&amp;L Item",$B87)/M$201,0),TEXT(IFERROR(GETPIVOTDATA("Sum of "&amp;M$9,'PT-All'!$A$1,"Scenario",M$12,"P&amp;L Item",$B87)/M$29,0),"0.00%"))</f>
        <v>0</v>
      </c>
      <c r="N87" s="65">
        <f>CHOOSE(PLColumn,IFERROR(GETPIVOTDATA("Sum of "&amp;N$9,'PT-All'!$A$1,"Scenario",N$12,"P&amp;L Item",$B87),0),IFERROR(GETPIVOTDATA("Sum of "&amp;N$9,'PT-All'!$A$1,"Scenario",N$12,"P&amp;L Item",$B87)/N$201,0),TEXT(IFERROR(GETPIVOTDATA("Sum of "&amp;N$9,'PT-All'!$A$1,"Scenario",N$12,"P&amp;L Item",$B87)/N$29,0),"0.00%"))</f>
        <v>0</v>
      </c>
      <c r="O87" s="65">
        <f>CHOOSE(PLColumn,IFERROR(GETPIVOTDATA("Sum of "&amp;O$9,'PT-All'!$A$1,"Scenario",O$12,"P&amp;L Item",$B87),0),IFERROR(GETPIVOTDATA("Sum of "&amp;O$9,'PT-All'!$A$1,"Scenario",O$12,"P&amp;L Item",$B87)/O$201,0),TEXT(IFERROR(GETPIVOTDATA("Sum of "&amp;O$9,'PT-All'!$A$1,"Scenario",O$12,"P&amp;L Item",$B87)/O$29,0),"0.00%"))</f>
        <v>0</v>
      </c>
      <c r="P87" s="65">
        <f>CHOOSE(PLColumn,IFERROR(GETPIVOTDATA("Sum of "&amp;P$9,'PT-All'!$A$1,"Scenario",P$12,"P&amp;L Item",$B87),0),IFERROR(GETPIVOTDATA("Sum of "&amp;P$9,'PT-All'!$A$1,"Scenario",P$12,"P&amp;L Item",$B87)/P$201,0),TEXT(IFERROR(GETPIVOTDATA("Sum of "&amp;P$9,'PT-All'!$A$1,"Scenario",P$12,"P&amp;L Item",$B87)/P$29,0),"0.00%"))</f>
        <v>0</v>
      </c>
      <c r="Q87" s="65">
        <f>CHOOSE(PLColumn,IFERROR(GETPIVOTDATA("Sum of "&amp;Q$9,'PT-All'!$A$1,"Scenario",Q$12,"P&amp;L Item",$B87),0),IFERROR(GETPIVOTDATA("Sum of "&amp;Q$9,'PT-All'!$A$1,"Scenario",Q$12,"P&amp;L Item",$B87)/Q$201,0),TEXT(IFERROR(GETPIVOTDATA("Sum of "&amp;Q$9,'PT-All'!$A$1,"Scenario",Q$12,"P&amp;L Item",$B87)/Q$29,0),"0.00%"))</f>
        <v>0</v>
      </c>
      <c r="R87" s="65">
        <f>CHOOSE(PLColumn,IFERROR(GETPIVOTDATA("Sum of "&amp;R$9,'PT-All'!$A$1,"Scenario",R$12,"P&amp;L Item",$B87),0),IFERROR(GETPIVOTDATA("Sum of "&amp;R$9,'PT-All'!$A$1,"Scenario",R$12,"P&amp;L Item",$B87)/R$201,0),TEXT(IFERROR(GETPIVOTDATA("Sum of "&amp;R$9,'PT-All'!$A$1,"Scenario",R$12,"P&amp;L Item",$B87)/R$29,0),"0.00%"))</f>
        <v>0</v>
      </c>
      <c r="S87" s="65">
        <f>CHOOSE(PLColumn,IFERROR(GETPIVOTDATA("Sum of "&amp;S$9,'PT-All'!$A$1,"Scenario",S$12,"P&amp;L Item",$B87),0),IFERROR(GETPIVOTDATA("Sum of "&amp;S$9,'PT-All'!$A$1,"Scenario",S$12,"P&amp;L Item",$B87)/S$201,0),TEXT(IFERROR(GETPIVOTDATA("Sum of "&amp;S$9,'PT-All'!$A$1,"Scenario",S$12,"P&amp;L Item",$B87)/S$29,0),"0.00%"))</f>
        <v>0</v>
      </c>
      <c r="T87" s="65">
        <f>CHOOSE(PLColumn,IFERROR(GETPIVOTDATA("Sum of "&amp;T$9,'PT-All'!$A$1,"Scenario",T$12,"P&amp;L Item",$B87),0),IFERROR(GETPIVOTDATA("Sum of "&amp;T$9,'PT-All'!$A$1,"Scenario",T$12,"P&amp;L Item",$B87)/T$201,0),TEXT(IFERROR(GETPIVOTDATA("Sum of "&amp;T$9,'PT-All'!$A$1,"Scenario",T$12,"P&amp;L Item",$B87)/T$29,0),"0.00%"))</f>
        <v>0</v>
      </c>
      <c r="U87" s="65">
        <f>CHOOSE(PLColumn,IFERROR(GETPIVOTDATA("Sum of "&amp;U$9,'PT-All'!$A$1,"Scenario",U$12,"P&amp;L Item",$B87),0),IFERROR(GETPIVOTDATA("Sum of "&amp;U$9,'PT-All'!$A$1,"Scenario",U$12,"P&amp;L Item",$B87)/U$201,0),TEXT(IFERROR(GETPIVOTDATA("Sum of "&amp;U$9,'PT-All'!$A$1,"Scenario",U$12,"P&amp;L Item",$B87)/U$29,0),"0.00%"))</f>
        <v>0</v>
      </c>
      <c r="V87" s="65">
        <f>CHOOSE(PLColumn,IFERROR(GETPIVOTDATA("Sum of "&amp;V$9,'PT-All'!$A$1,"Scenario",V$12,"P&amp;L Item",$B87),0),IFERROR(GETPIVOTDATA("Sum of "&amp;V$9,'PT-All'!$A$1,"Scenario",V$12,"P&amp;L Item",$B87)/V$201,0),TEXT(IFERROR(GETPIVOTDATA("Sum of "&amp;V$9,'PT-All'!$A$1,"Scenario",V$12,"P&amp;L Item",$B87)/V$29,0),"0.00%"))</f>
        <v>0</v>
      </c>
      <c r="W87" s="65">
        <f>CHOOSE(PLColumn,IFERROR(GETPIVOTDATA("Sum of "&amp;W$9,'PT-All'!$A$1,"Scenario",W$12,"P&amp;L Item",$B87),0),IFERROR(GETPIVOTDATA("Sum of "&amp;W$9,'PT-All'!$A$1,"Scenario",W$12,"P&amp;L Item",$B87)/W$201,0),TEXT(IFERROR(GETPIVOTDATA("Sum of "&amp;W$9,'PT-All'!$A$1,"Scenario",W$12,"P&amp;L Item",$B87)/W$29,0),"0.00%"))</f>
        <v>0</v>
      </c>
      <c r="X87" s="65">
        <f>CHOOSE(PLColumn,IFERROR(GETPIVOTDATA("Sum of "&amp;X$9,'PT-All'!$A$1,"Scenario",X$12,"P&amp;L Item",$B87),0),IFERROR(GETPIVOTDATA("Sum of "&amp;X$9,'PT-All'!$A$1,"Scenario",X$12,"P&amp;L Item",$B87)/X$201,0),TEXT(IFERROR(GETPIVOTDATA("Sum of "&amp;X$9,'PT-All'!$A$1,"Scenario",X$12,"P&amp;L Item",$B87)/X$29,0),"0.00%"))</f>
        <v>0</v>
      </c>
      <c r="Y87" s="65">
        <f>CHOOSE(PLColumn,IFERROR(GETPIVOTDATA("Sum of "&amp;Y$9,'PT-All'!$A$1,"Scenario",Y$12,"P&amp;L Item",$B87),0),IFERROR(GETPIVOTDATA("Sum of "&amp;Y$9,'PT-All'!$A$1,"Scenario",Y$12,"P&amp;L Item",$B87)/Y$201,0),TEXT(IFERROR(GETPIVOTDATA("Sum of "&amp;Y$9,'PT-All'!$A$1,"Scenario",Y$12,"P&amp;L Item",$B87)/Y$29,0),"0.00%"))</f>
        <v>0</v>
      </c>
      <c r="Z87" s="65">
        <f>CHOOSE(PLColumn,IFERROR(GETPIVOTDATA("Sum of "&amp;Z$9,'PT-All'!$A$1,"Scenario",Z$12,"P&amp;L Item",$B87),0),IFERROR(GETPIVOTDATA("Sum of "&amp;Z$9,'PT-All'!$A$1,"Scenario",Z$12,"P&amp;L Item",$B87)/Z$201,0),TEXT(IFERROR(GETPIVOTDATA("Sum of "&amp;Z$9,'PT-All'!$A$1,"Scenario",Z$12,"P&amp;L Item",$B87)/Z$29,0),"0.00%"))</f>
        <v>0</v>
      </c>
      <c r="AA87" s="65">
        <f>CHOOSE(PLColumn,IFERROR(GETPIVOTDATA("Sum of "&amp;AA$9,'PT-All'!$A$1,"Scenario",AA$12,"P&amp;L Item",$B87),0),IFERROR(GETPIVOTDATA("Sum of "&amp;AA$9,'PT-All'!$A$1,"Scenario",AA$12,"P&amp;L Item",$B87)/AA$201,0),TEXT(IFERROR(GETPIVOTDATA("Sum of "&amp;AA$9,'PT-All'!$A$1,"Scenario",AA$12,"P&amp;L Item",$B87)/AA$29,0),"0.00%"))</f>
        <v>0</v>
      </c>
      <c r="AB87" s="65">
        <f>CHOOSE(PLColumn,IFERROR(GETPIVOTDATA("Sum of "&amp;AB$9,'PT-All'!$A$1,"Scenario",AB$12,"P&amp;L Item",$B87),0),IFERROR(GETPIVOTDATA("Sum of "&amp;AB$9,'PT-All'!$A$1,"Scenario",AB$12,"P&amp;L Item",$B87)/AB$201,0),TEXT(IFERROR(GETPIVOTDATA("Sum of "&amp;AB$9,'PT-All'!$A$1,"Scenario",AB$12,"P&amp;L Item",$B87)/AB$29,0),"0.00%"))</f>
        <v>0</v>
      </c>
      <c r="AC87" s="65">
        <f>CHOOSE(PLColumn,IFERROR(GETPIVOTDATA("Sum of "&amp;AC$9,'PT-All'!$A$1,"Scenario",AC$12,"P&amp;L Item",$B87),0),IFERROR(GETPIVOTDATA("Sum of "&amp;AC$9,'PT-All'!$A$1,"Scenario",AC$12,"P&amp;L Item",$B87)/AC$201,0),TEXT(IFERROR(GETPIVOTDATA("Sum of "&amp;AC$9,'PT-All'!$A$1,"Scenario",AC$12,"P&amp;L Item",$B87)/AC$29,0),"0.00%"))</f>
        <v>0</v>
      </c>
      <c r="AD87" s="65">
        <f>CHOOSE(PLColumn,IFERROR(GETPIVOTDATA("Sum of "&amp;AD$9,'PT-All'!$A$1,"Scenario",AD$12,"P&amp;L Item",$B87),0),IFERROR(GETPIVOTDATA("Sum of "&amp;AD$9,'PT-All'!$A$1,"Scenario",AD$12,"P&amp;L Item",$B87)/AD$201,0),TEXT(IFERROR(GETPIVOTDATA("Sum of "&amp;AD$9,'PT-All'!$A$1,"Scenario",AD$12,"P&amp;L Item",$B87)/AD$29,0),"0.00%"))</f>
        <v>0</v>
      </c>
      <c r="AE87" s="65">
        <f>CHOOSE(PLColumn,IFERROR(GETPIVOTDATA("Sum of "&amp;AE$9,'PT-All'!$A$1,"Scenario",AE$12,"P&amp;L Item",$B87),0),IFERROR(GETPIVOTDATA("Sum of "&amp;AE$9,'PT-All'!$A$1,"Scenario",AE$12,"P&amp;L Item",$B87)/AE$201,0),TEXT(IFERROR(GETPIVOTDATA("Sum of "&amp;AE$9,'PT-All'!$A$1,"Scenario",AE$12,"P&amp;L Item",$B87)/AE$29,0),"0.00%"))</f>
        <v>0</v>
      </c>
      <c r="AF87" s="65">
        <f>CHOOSE(PLColumn,IFERROR(GETPIVOTDATA("Sum of "&amp;AF$9,'PT-All'!$A$1,"Scenario",AF$12,"P&amp;L Item",$B87),0),IFERROR(GETPIVOTDATA("Sum of "&amp;AF$9,'PT-All'!$A$1,"Scenario",AF$12,"P&amp;L Item",$B87)/AF$201,0),TEXT(IFERROR(GETPIVOTDATA("Sum of "&amp;AF$9,'PT-All'!$A$1,"Scenario",AF$12,"P&amp;L Item",$B87)/AF$29,0),"0.00%"))</f>
        <v>0</v>
      </c>
      <c r="AG87" s="65">
        <f>CHOOSE(PLColumn,IFERROR(GETPIVOTDATA("Sum of "&amp;AG$9,'PT-All'!$A$1,"Scenario",AG$12,"P&amp;L Item",$B87),0),IFERROR(GETPIVOTDATA("Sum of "&amp;AG$9,'PT-All'!$A$1,"Scenario",AG$12,"P&amp;L Item",$B87)/AG$201,0),TEXT(IFERROR(GETPIVOTDATA("Sum of "&amp;AG$9,'PT-All'!$A$1,"Scenario",AG$12,"P&amp;L Item",$B87)/AG$29,0),"0.00%"))</f>
        <v>0</v>
      </c>
      <c r="AH87" s="65">
        <f>CHOOSE(PLColumn,IFERROR(GETPIVOTDATA("Sum of "&amp;AH$9,'PT-All'!$A$1,"Scenario",AH$12,"P&amp;L Item",$B87),0),IFERROR(GETPIVOTDATA("Sum of "&amp;AH$9,'PT-All'!$A$1,"Scenario",AH$12,"P&amp;L Item",$B87)/AH$201,0),TEXT(IFERROR(GETPIVOTDATA("Sum of "&amp;AH$9,'PT-All'!$A$1,"Scenario",AH$12,"P&amp;L Item",$B87)/AH$29,0),"0.00%"))</f>
        <v>0</v>
      </c>
      <c r="AI87" s="65">
        <f>CHOOSE(PLColumn,IFERROR(GETPIVOTDATA("Sum of "&amp;AI$9,'PT-All'!$A$1,"Scenario",AI$12,"P&amp;L Item",$B87),0),IFERROR(GETPIVOTDATA("Sum of "&amp;AI$9,'PT-All'!$A$1,"Scenario",AI$12,"P&amp;L Item",$B87)/AI$201,0),TEXT(IFERROR(GETPIVOTDATA("Sum of "&amp;AI$9,'PT-All'!$A$1,"Scenario",AI$12,"P&amp;L Item",$B87)/AI$29,0),"0.00%"))</f>
        <v>0</v>
      </c>
      <c r="AJ87" s="65">
        <f>CHOOSE(PLColumn,IFERROR(GETPIVOTDATA("Sum of "&amp;AJ$9,'PT-All'!$A$1,"Scenario",AJ$12,"P&amp;L Item",$B87),0),IFERROR(GETPIVOTDATA("Sum of "&amp;AJ$9,'PT-All'!$A$1,"Scenario",AJ$12,"P&amp;L Item",$B87)/AJ$201,0),TEXT(IFERROR(GETPIVOTDATA("Sum of "&amp;AJ$9,'PT-All'!$A$1,"Scenario",AJ$12,"P&amp;L Item",$B87)/AJ$29,0),"0.00%"))</f>
        <v>0</v>
      </c>
      <c r="AK87" s="65">
        <f>CHOOSE(PLColumn,IFERROR(GETPIVOTDATA("Sum of "&amp;AK$9,'PT-All'!$A$1,"Scenario",AK$12,"P&amp;L Item",$B87),0),IFERROR(GETPIVOTDATA("Sum of "&amp;AK$9,'PT-All'!$A$1,"Scenario",AK$12,"P&amp;L Item",$B87)/AK$201,0),TEXT(IFERROR(GETPIVOTDATA("Sum of "&amp;AK$9,'PT-All'!$A$1,"Scenario",AK$12,"P&amp;L Item",$B87)/AK$29,0),"0.00%"))</f>
        <v>0</v>
      </c>
      <c r="AL87" s="97">
        <f>CHOOSE(PLColumn,IFERROR(GETPIVOTDATA("Sum of "&amp;AL$9,'PT-All'!$A$1,"Scenario",AL$12,"P&amp;L Item",$B87),0),IFERROR(GETPIVOTDATA("Sum of "&amp;AL$9,'PT-All'!$A$1,"Scenario",AL$12,"P&amp;L Item",$B87)/AL$201,0),TEXT(IFERROR(GETPIVOTDATA("Sum of "&amp;AL$9,'PT-All'!$A$1,"Scenario",AL$12,"P&amp;L Item",$B87)/AL$29,0),"0.00%"))</f>
        <v>0</v>
      </c>
      <c r="AM87" s="590"/>
      <c r="AN87" s="108">
        <f ca="1">IF(AN$12="Pro Forma",SUM(OFFSET($B87,0,3*AN$9+1,1,3)),IFERROR(GETPIVOTDATA("Sum of Q"&amp;AN$9+1,'PT-All'!$A$1,"Scenario",AN$12,"P&amp;L Item",$B87),0))</f>
        <v>0</v>
      </c>
      <c r="AO87" s="65">
        <f ca="1">IF(AO$12="Pro Forma",SUM(OFFSET($B87,0,3*AO$9+1,1,3)),IFERROR(GETPIVOTDATA("Sum of Q"&amp;AO$9+1,'PT-All'!$A$1,"Scenario",AO$12,"P&amp;L Item",$B87),0))</f>
        <v>0</v>
      </c>
      <c r="AP87" s="65">
        <f ca="1">IF(AP$12="Pro Forma",SUM(OFFSET($B87,0,3*AP$9+1,1,3)),IFERROR(GETPIVOTDATA("Sum of Q"&amp;AP$9+1,'PT-All'!$A$1,"Scenario",AP$12,"P&amp;L Item",$B87),0))</f>
        <v>0</v>
      </c>
      <c r="AQ87" s="65">
        <f ca="1">IF(AQ$12="Pro Forma",SUM(OFFSET($B87,0,3*AQ$9+1,1,3)),IFERROR(GETPIVOTDATA("Sum of Q"&amp;AQ$9+1,'PT-All'!$A$1,"Scenario",AQ$12,"P&amp;L Item",$B87),0))</f>
        <v>0</v>
      </c>
      <c r="AR87" s="65">
        <f ca="1">IF(AR$12="Pro Forma",SUM(OFFSET($B87,0,3*AR$9+1,1,3)),IFERROR(GETPIVOTDATA("Sum of Q"&amp;AR$9+1,'PT-All'!$A$1,"Scenario",AR$12,"P&amp;L Item",$B87),0))</f>
        <v>0</v>
      </c>
      <c r="AS87" s="65">
        <f ca="1">IF(AS$12="Pro Forma",SUM(OFFSET($B87,0,3*AS$9+1,1,3)),IFERROR(GETPIVOTDATA("Sum of Q"&amp;AS$9+1,'PT-All'!$A$1,"Scenario",AS$12,"P&amp;L Item",$B87),0))</f>
        <v>0</v>
      </c>
      <c r="AT87" s="65">
        <f ca="1">IF(AT$12="Pro Forma",SUM(OFFSET($B87,0,3*AT$9+1,1,3)),IFERROR(GETPIVOTDATA("Sum of Q"&amp;AT$9+1,'PT-All'!$A$1,"Scenario",AT$12,"P&amp;L Item",$B87),0))</f>
        <v>0</v>
      </c>
      <c r="AU87" s="65">
        <f ca="1">IF(AU$12="Pro Forma",SUM(OFFSET($B87,0,3*AU$9+1,1,3)),IFERROR(GETPIVOTDATA("Sum of Q"&amp;AU$9+1,'PT-All'!$A$1,"Scenario",AU$12,"P&amp;L Item",$B87),0))</f>
        <v>0</v>
      </c>
      <c r="AV87" s="65">
        <f ca="1">IF(AV$12="Pro Forma",SUM(OFFSET($B87,0,3*AV$9+1,1,3)),IFERROR(GETPIVOTDATA("Sum of Q"&amp;AV$9+1,'PT-All'!$A$1,"Scenario",AV$12,"P&amp;L Item",$B87),0))</f>
        <v>0</v>
      </c>
      <c r="AW87" s="65">
        <f ca="1">IF(AW$12="Pro Forma",SUM(OFFSET($B87,0,3*AW$9+1,1,3)),IFERROR(GETPIVOTDATA("Sum of Q"&amp;AW$9+1,'PT-All'!$A$1,"Scenario",AW$12,"P&amp;L Item",$B87),0))</f>
        <v>0</v>
      </c>
      <c r="AX87" s="65">
        <f ca="1">IF(AX$12="Pro Forma",SUM(OFFSET($B87,0,3*AX$9+1,1,3)),IFERROR(GETPIVOTDATA("Sum of Q"&amp;AX$9+1,'PT-All'!$A$1,"Scenario",AX$12,"P&amp;L Item",$B87),0))</f>
        <v>0</v>
      </c>
      <c r="AY87" s="97">
        <f ca="1">IF(AY$12="Pro Forma",SUM(OFFSET($B87,0,3*AY$9+1,1,3)),IFERROR(GETPIVOTDATA("Sum of Q"&amp;AY$9+1,'PT-All'!$A$1,"Scenario",AY$12,"P&amp;L Item",$B87),0))</f>
        <v>0</v>
      </c>
      <c r="AZ87" s="590"/>
      <c r="BA87" s="108">
        <f ca="1">IF(BA$12="Pro Forma",SUM(OFFSET($B87,0,12*BA$9+1,1,12)),IFERROR(GETPIVOTDATA("Sum of FY"&amp;BA$9+1,'PT-All'!$A$1,"Scenario",BA$12,"P&amp;L Item",$B87),0))</f>
        <v>0</v>
      </c>
      <c r="BB87" s="65">
        <f ca="1">IF(BB$12="Pro Forma",SUM(OFFSET($B87,0,12*BB$9+1,1,12)),IFERROR(GETPIVOTDATA("Sum of FY"&amp;BB$9+1,'PT-All'!$A$1,"Scenario",BB$12,"P&amp;L Item",$B87),0))</f>
        <v>0</v>
      </c>
      <c r="BC87" s="97">
        <f ca="1">IF(BC$12="Pro Forma",SUM(OFFSET($B87,0,12*BC$9+1,1,12)),IFERROR(GETPIVOTDATA("Sum of FY"&amp;BC$9+1,'PT-All'!$A$1,"Scenario",BC$12,"P&amp;L Item",$B87),0))</f>
        <v>0</v>
      </c>
    </row>
    <row r="88" spans="2:55" x14ac:dyDescent="0.35">
      <c r="B88" s="80" t="s">
        <v>120</v>
      </c>
      <c r="C88" s="65">
        <f>CHOOSE(PLColumn,IFERROR(GETPIVOTDATA("Sum of "&amp;C$9,'PT-All'!$A$1,"Scenario",C$12,"P&amp;L Item",$B88),0),IFERROR(GETPIVOTDATA("Sum of "&amp;C$9,'PT-All'!$A$1,"Scenario",C$12,"P&amp;L Item",$B88)/C$201,0),TEXT(IFERROR(GETPIVOTDATA("Sum of "&amp;C$9,'PT-All'!$A$1,"Scenario",C$12,"P&amp;L Item",$B88)/C$29,0),"0.00%"))</f>
        <v>0</v>
      </c>
      <c r="D88" s="65">
        <f>CHOOSE(PLColumn,IFERROR(GETPIVOTDATA("Sum of "&amp;D$9,'PT-All'!$A$1,"Scenario",D$12,"P&amp;L Item",$B88),0),IFERROR(GETPIVOTDATA("Sum of "&amp;D$9,'PT-All'!$A$1,"Scenario",D$12,"P&amp;L Item",$B88)/D$201,0),TEXT(IFERROR(GETPIVOTDATA("Sum of "&amp;D$9,'PT-All'!$A$1,"Scenario",D$12,"P&amp;L Item",$B88)/D$29,0),"0.00%"))</f>
        <v>0</v>
      </c>
      <c r="E88" s="65">
        <f>CHOOSE(PLColumn,IFERROR(GETPIVOTDATA("Sum of "&amp;E$9,'PT-All'!$A$1,"Scenario",E$12,"P&amp;L Item",$B88),0),IFERROR(GETPIVOTDATA("Sum of "&amp;E$9,'PT-All'!$A$1,"Scenario",E$12,"P&amp;L Item",$B88)/E$201,0),TEXT(IFERROR(GETPIVOTDATA("Sum of "&amp;E$9,'PT-All'!$A$1,"Scenario",E$12,"P&amp;L Item",$B88)/E$29,0),"0.00%"))</f>
        <v>0</v>
      </c>
      <c r="F88" s="65">
        <f>CHOOSE(PLColumn,IFERROR(GETPIVOTDATA("Sum of "&amp;F$9,'PT-All'!$A$1,"Scenario",F$12,"P&amp;L Item",$B88),0),IFERROR(GETPIVOTDATA("Sum of "&amp;F$9,'PT-All'!$A$1,"Scenario",F$12,"P&amp;L Item",$B88)/F$201,0),TEXT(IFERROR(GETPIVOTDATA("Sum of "&amp;F$9,'PT-All'!$A$1,"Scenario",F$12,"P&amp;L Item",$B88)/F$29,0),"0.00%"))</f>
        <v>0</v>
      </c>
      <c r="G88" s="65">
        <f>CHOOSE(PLColumn,IFERROR(GETPIVOTDATA("Sum of "&amp;G$9,'PT-All'!$A$1,"Scenario",G$12,"P&amp;L Item",$B88),0),IFERROR(GETPIVOTDATA("Sum of "&amp;G$9,'PT-All'!$A$1,"Scenario",G$12,"P&amp;L Item",$B88)/G$201,0),TEXT(IFERROR(GETPIVOTDATA("Sum of "&amp;G$9,'PT-All'!$A$1,"Scenario",G$12,"P&amp;L Item",$B88)/G$29,0),"0.00%"))</f>
        <v>0</v>
      </c>
      <c r="H88" s="65">
        <f>CHOOSE(PLColumn,IFERROR(GETPIVOTDATA("Sum of "&amp;H$9,'PT-All'!$A$1,"Scenario",H$12,"P&amp;L Item",$B88),0),IFERROR(GETPIVOTDATA("Sum of "&amp;H$9,'PT-All'!$A$1,"Scenario",H$12,"P&amp;L Item",$B88)/H$201,0),TEXT(IFERROR(GETPIVOTDATA("Sum of "&amp;H$9,'PT-All'!$A$1,"Scenario",H$12,"P&amp;L Item",$B88)/H$29,0),"0.00%"))</f>
        <v>0</v>
      </c>
      <c r="I88" s="65">
        <f>CHOOSE(PLColumn,IFERROR(GETPIVOTDATA("Sum of "&amp;I$9,'PT-All'!$A$1,"Scenario",I$12,"P&amp;L Item",$B88),0),IFERROR(GETPIVOTDATA("Sum of "&amp;I$9,'PT-All'!$A$1,"Scenario",I$12,"P&amp;L Item",$B88)/I$201,0),TEXT(IFERROR(GETPIVOTDATA("Sum of "&amp;I$9,'PT-All'!$A$1,"Scenario",I$12,"P&amp;L Item",$B88)/I$29,0),"0.00%"))</f>
        <v>0</v>
      </c>
      <c r="J88" s="65">
        <f>CHOOSE(PLColumn,IFERROR(GETPIVOTDATA("Sum of "&amp;J$9,'PT-All'!$A$1,"Scenario",J$12,"P&amp;L Item",$B88),0),IFERROR(GETPIVOTDATA("Sum of "&amp;J$9,'PT-All'!$A$1,"Scenario",J$12,"P&amp;L Item",$B88)/J$201,0),TEXT(IFERROR(GETPIVOTDATA("Sum of "&amp;J$9,'PT-All'!$A$1,"Scenario",J$12,"P&amp;L Item",$B88)/J$29,0),"0.00%"))</f>
        <v>0</v>
      </c>
      <c r="K88" s="65">
        <f>CHOOSE(PLColumn,IFERROR(GETPIVOTDATA("Sum of "&amp;K$9,'PT-All'!$A$1,"Scenario",K$12,"P&amp;L Item",$B88),0),IFERROR(GETPIVOTDATA("Sum of "&amp;K$9,'PT-All'!$A$1,"Scenario",K$12,"P&amp;L Item",$B88)/K$201,0),TEXT(IFERROR(GETPIVOTDATA("Sum of "&amp;K$9,'PT-All'!$A$1,"Scenario",K$12,"P&amp;L Item",$B88)/K$29,0),"0.00%"))</f>
        <v>0</v>
      </c>
      <c r="L88" s="65">
        <f>CHOOSE(PLColumn,IFERROR(GETPIVOTDATA("Sum of "&amp;L$9,'PT-All'!$A$1,"Scenario",L$12,"P&amp;L Item",$B88),0),IFERROR(GETPIVOTDATA("Sum of "&amp;L$9,'PT-All'!$A$1,"Scenario",L$12,"P&amp;L Item",$B88)/L$201,0),TEXT(IFERROR(GETPIVOTDATA("Sum of "&amp;L$9,'PT-All'!$A$1,"Scenario",L$12,"P&amp;L Item",$B88)/L$29,0),"0.00%"))</f>
        <v>0</v>
      </c>
      <c r="M88" s="65">
        <f>CHOOSE(PLColumn,IFERROR(GETPIVOTDATA("Sum of "&amp;M$9,'PT-All'!$A$1,"Scenario",M$12,"P&amp;L Item",$B88),0),IFERROR(GETPIVOTDATA("Sum of "&amp;M$9,'PT-All'!$A$1,"Scenario",M$12,"P&amp;L Item",$B88)/M$201,0),TEXT(IFERROR(GETPIVOTDATA("Sum of "&amp;M$9,'PT-All'!$A$1,"Scenario",M$12,"P&amp;L Item",$B88)/M$29,0),"0.00%"))</f>
        <v>0</v>
      </c>
      <c r="N88" s="65">
        <f>CHOOSE(PLColumn,IFERROR(GETPIVOTDATA("Sum of "&amp;N$9,'PT-All'!$A$1,"Scenario",N$12,"P&amp;L Item",$B88),0),IFERROR(GETPIVOTDATA("Sum of "&amp;N$9,'PT-All'!$A$1,"Scenario",N$12,"P&amp;L Item",$B88)/N$201,0),TEXT(IFERROR(GETPIVOTDATA("Sum of "&amp;N$9,'PT-All'!$A$1,"Scenario",N$12,"P&amp;L Item",$B88)/N$29,0),"0.00%"))</f>
        <v>0</v>
      </c>
      <c r="O88" s="65">
        <f>CHOOSE(PLColumn,IFERROR(GETPIVOTDATA("Sum of "&amp;O$9,'PT-All'!$A$1,"Scenario",O$12,"P&amp;L Item",$B88),0),IFERROR(GETPIVOTDATA("Sum of "&amp;O$9,'PT-All'!$A$1,"Scenario",O$12,"P&amp;L Item",$B88)/O$201,0),TEXT(IFERROR(GETPIVOTDATA("Sum of "&amp;O$9,'PT-All'!$A$1,"Scenario",O$12,"P&amp;L Item",$B88)/O$29,0),"0.00%"))</f>
        <v>0</v>
      </c>
      <c r="P88" s="65">
        <f>CHOOSE(PLColumn,IFERROR(GETPIVOTDATA("Sum of "&amp;P$9,'PT-All'!$A$1,"Scenario",P$12,"P&amp;L Item",$B88),0),IFERROR(GETPIVOTDATA("Sum of "&amp;P$9,'PT-All'!$A$1,"Scenario",P$12,"P&amp;L Item",$B88)/P$201,0),TEXT(IFERROR(GETPIVOTDATA("Sum of "&amp;P$9,'PT-All'!$A$1,"Scenario",P$12,"P&amp;L Item",$B88)/P$29,0),"0.00%"))</f>
        <v>0</v>
      </c>
      <c r="Q88" s="65">
        <f>CHOOSE(PLColumn,IFERROR(GETPIVOTDATA("Sum of "&amp;Q$9,'PT-All'!$A$1,"Scenario",Q$12,"P&amp;L Item",$B88),0),IFERROR(GETPIVOTDATA("Sum of "&amp;Q$9,'PT-All'!$A$1,"Scenario",Q$12,"P&amp;L Item",$B88)/Q$201,0),TEXT(IFERROR(GETPIVOTDATA("Sum of "&amp;Q$9,'PT-All'!$A$1,"Scenario",Q$12,"P&amp;L Item",$B88)/Q$29,0),"0.00%"))</f>
        <v>0</v>
      </c>
      <c r="R88" s="65">
        <f>CHOOSE(PLColumn,IFERROR(GETPIVOTDATA("Sum of "&amp;R$9,'PT-All'!$A$1,"Scenario",R$12,"P&amp;L Item",$B88),0),IFERROR(GETPIVOTDATA("Sum of "&amp;R$9,'PT-All'!$A$1,"Scenario",R$12,"P&amp;L Item",$B88)/R$201,0),TEXT(IFERROR(GETPIVOTDATA("Sum of "&amp;R$9,'PT-All'!$A$1,"Scenario",R$12,"P&amp;L Item",$B88)/R$29,0),"0.00%"))</f>
        <v>0</v>
      </c>
      <c r="S88" s="65">
        <f>CHOOSE(PLColumn,IFERROR(GETPIVOTDATA("Sum of "&amp;S$9,'PT-All'!$A$1,"Scenario",S$12,"P&amp;L Item",$B88),0),IFERROR(GETPIVOTDATA("Sum of "&amp;S$9,'PT-All'!$A$1,"Scenario",S$12,"P&amp;L Item",$B88)/S$201,0),TEXT(IFERROR(GETPIVOTDATA("Sum of "&amp;S$9,'PT-All'!$A$1,"Scenario",S$12,"P&amp;L Item",$B88)/S$29,0),"0.00%"))</f>
        <v>0</v>
      </c>
      <c r="T88" s="65">
        <f>CHOOSE(PLColumn,IFERROR(GETPIVOTDATA("Sum of "&amp;T$9,'PT-All'!$A$1,"Scenario",T$12,"P&amp;L Item",$B88),0),IFERROR(GETPIVOTDATA("Sum of "&amp;T$9,'PT-All'!$A$1,"Scenario",T$12,"P&amp;L Item",$B88)/T$201,0),TEXT(IFERROR(GETPIVOTDATA("Sum of "&amp;T$9,'PT-All'!$A$1,"Scenario",T$12,"P&amp;L Item",$B88)/T$29,0),"0.00%"))</f>
        <v>0</v>
      </c>
      <c r="U88" s="65">
        <f>CHOOSE(PLColumn,IFERROR(GETPIVOTDATA("Sum of "&amp;U$9,'PT-All'!$A$1,"Scenario",U$12,"P&amp;L Item",$B88),0),IFERROR(GETPIVOTDATA("Sum of "&amp;U$9,'PT-All'!$A$1,"Scenario",U$12,"P&amp;L Item",$B88)/U$201,0),TEXT(IFERROR(GETPIVOTDATA("Sum of "&amp;U$9,'PT-All'!$A$1,"Scenario",U$12,"P&amp;L Item",$B88)/U$29,0),"0.00%"))</f>
        <v>0</v>
      </c>
      <c r="V88" s="65">
        <f>CHOOSE(PLColumn,IFERROR(GETPIVOTDATA("Sum of "&amp;V$9,'PT-All'!$A$1,"Scenario",V$12,"P&amp;L Item",$B88),0),IFERROR(GETPIVOTDATA("Sum of "&amp;V$9,'PT-All'!$A$1,"Scenario",V$12,"P&amp;L Item",$B88)/V$201,0),TEXT(IFERROR(GETPIVOTDATA("Sum of "&amp;V$9,'PT-All'!$A$1,"Scenario",V$12,"P&amp;L Item",$B88)/V$29,0),"0.00%"))</f>
        <v>0</v>
      </c>
      <c r="W88" s="65">
        <f>CHOOSE(PLColumn,IFERROR(GETPIVOTDATA("Sum of "&amp;W$9,'PT-All'!$A$1,"Scenario",W$12,"P&amp;L Item",$B88),0),IFERROR(GETPIVOTDATA("Sum of "&amp;W$9,'PT-All'!$A$1,"Scenario",W$12,"P&amp;L Item",$B88)/W$201,0),TEXT(IFERROR(GETPIVOTDATA("Sum of "&amp;W$9,'PT-All'!$A$1,"Scenario",W$12,"P&amp;L Item",$B88)/W$29,0),"0.00%"))</f>
        <v>0</v>
      </c>
      <c r="X88" s="65">
        <f>CHOOSE(PLColumn,IFERROR(GETPIVOTDATA("Sum of "&amp;X$9,'PT-All'!$A$1,"Scenario",X$12,"P&amp;L Item",$B88),0),IFERROR(GETPIVOTDATA("Sum of "&amp;X$9,'PT-All'!$A$1,"Scenario",X$12,"P&amp;L Item",$B88)/X$201,0),TEXT(IFERROR(GETPIVOTDATA("Sum of "&amp;X$9,'PT-All'!$A$1,"Scenario",X$12,"P&amp;L Item",$B88)/X$29,0),"0.00%"))</f>
        <v>0</v>
      </c>
      <c r="Y88" s="65">
        <f>CHOOSE(PLColumn,IFERROR(GETPIVOTDATA("Sum of "&amp;Y$9,'PT-All'!$A$1,"Scenario",Y$12,"P&amp;L Item",$B88),0),IFERROR(GETPIVOTDATA("Sum of "&amp;Y$9,'PT-All'!$A$1,"Scenario",Y$12,"P&amp;L Item",$B88)/Y$201,0),TEXT(IFERROR(GETPIVOTDATA("Sum of "&amp;Y$9,'PT-All'!$A$1,"Scenario",Y$12,"P&amp;L Item",$B88)/Y$29,0),"0.00%"))</f>
        <v>0</v>
      </c>
      <c r="Z88" s="65">
        <f>CHOOSE(PLColumn,IFERROR(GETPIVOTDATA("Sum of "&amp;Z$9,'PT-All'!$A$1,"Scenario",Z$12,"P&amp;L Item",$B88),0),IFERROR(GETPIVOTDATA("Sum of "&amp;Z$9,'PT-All'!$A$1,"Scenario",Z$12,"P&amp;L Item",$B88)/Z$201,0),TEXT(IFERROR(GETPIVOTDATA("Sum of "&amp;Z$9,'PT-All'!$A$1,"Scenario",Z$12,"P&amp;L Item",$B88)/Z$29,0),"0.00%"))</f>
        <v>0</v>
      </c>
      <c r="AA88" s="65">
        <f>CHOOSE(PLColumn,IFERROR(GETPIVOTDATA("Sum of "&amp;AA$9,'PT-All'!$A$1,"Scenario",AA$12,"P&amp;L Item",$B88),0),IFERROR(GETPIVOTDATA("Sum of "&amp;AA$9,'PT-All'!$A$1,"Scenario",AA$12,"P&amp;L Item",$B88)/AA$201,0),TEXT(IFERROR(GETPIVOTDATA("Sum of "&amp;AA$9,'PT-All'!$A$1,"Scenario",AA$12,"P&amp;L Item",$B88)/AA$29,0),"0.00%"))</f>
        <v>0</v>
      </c>
      <c r="AB88" s="65">
        <f>CHOOSE(PLColumn,IFERROR(GETPIVOTDATA("Sum of "&amp;AB$9,'PT-All'!$A$1,"Scenario",AB$12,"P&amp;L Item",$B88),0),IFERROR(GETPIVOTDATA("Sum of "&amp;AB$9,'PT-All'!$A$1,"Scenario",AB$12,"P&amp;L Item",$B88)/AB$201,0),TEXT(IFERROR(GETPIVOTDATA("Sum of "&amp;AB$9,'PT-All'!$A$1,"Scenario",AB$12,"P&amp;L Item",$B88)/AB$29,0),"0.00%"))</f>
        <v>0</v>
      </c>
      <c r="AC88" s="65">
        <f>CHOOSE(PLColumn,IFERROR(GETPIVOTDATA("Sum of "&amp;AC$9,'PT-All'!$A$1,"Scenario",AC$12,"P&amp;L Item",$B88),0),IFERROR(GETPIVOTDATA("Sum of "&amp;AC$9,'PT-All'!$A$1,"Scenario",AC$12,"P&amp;L Item",$B88)/AC$201,0),TEXT(IFERROR(GETPIVOTDATA("Sum of "&amp;AC$9,'PT-All'!$A$1,"Scenario",AC$12,"P&amp;L Item",$B88)/AC$29,0),"0.00%"))</f>
        <v>0</v>
      </c>
      <c r="AD88" s="65">
        <f>CHOOSE(PLColumn,IFERROR(GETPIVOTDATA("Sum of "&amp;AD$9,'PT-All'!$A$1,"Scenario",AD$12,"P&amp;L Item",$B88),0),IFERROR(GETPIVOTDATA("Sum of "&amp;AD$9,'PT-All'!$A$1,"Scenario",AD$12,"P&amp;L Item",$B88)/AD$201,0),TEXT(IFERROR(GETPIVOTDATA("Sum of "&amp;AD$9,'PT-All'!$A$1,"Scenario",AD$12,"P&amp;L Item",$B88)/AD$29,0),"0.00%"))</f>
        <v>0</v>
      </c>
      <c r="AE88" s="65">
        <f>CHOOSE(PLColumn,IFERROR(GETPIVOTDATA("Sum of "&amp;AE$9,'PT-All'!$A$1,"Scenario",AE$12,"P&amp;L Item",$B88),0),IFERROR(GETPIVOTDATA("Sum of "&amp;AE$9,'PT-All'!$A$1,"Scenario",AE$12,"P&amp;L Item",$B88)/AE$201,0),TEXT(IFERROR(GETPIVOTDATA("Sum of "&amp;AE$9,'PT-All'!$A$1,"Scenario",AE$12,"P&amp;L Item",$B88)/AE$29,0),"0.00%"))</f>
        <v>0</v>
      </c>
      <c r="AF88" s="65">
        <f>CHOOSE(PLColumn,IFERROR(GETPIVOTDATA("Sum of "&amp;AF$9,'PT-All'!$A$1,"Scenario",AF$12,"P&amp;L Item",$B88),0),IFERROR(GETPIVOTDATA("Sum of "&amp;AF$9,'PT-All'!$A$1,"Scenario",AF$12,"P&amp;L Item",$B88)/AF$201,0),TEXT(IFERROR(GETPIVOTDATA("Sum of "&amp;AF$9,'PT-All'!$A$1,"Scenario",AF$12,"P&amp;L Item",$B88)/AF$29,0),"0.00%"))</f>
        <v>0</v>
      </c>
      <c r="AG88" s="65">
        <f>CHOOSE(PLColumn,IFERROR(GETPIVOTDATA("Sum of "&amp;AG$9,'PT-All'!$A$1,"Scenario",AG$12,"P&amp;L Item",$B88),0),IFERROR(GETPIVOTDATA("Sum of "&amp;AG$9,'PT-All'!$A$1,"Scenario",AG$12,"P&amp;L Item",$B88)/AG$201,0),TEXT(IFERROR(GETPIVOTDATA("Sum of "&amp;AG$9,'PT-All'!$A$1,"Scenario",AG$12,"P&amp;L Item",$B88)/AG$29,0),"0.00%"))</f>
        <v>0</v>
      </c>
      <c r="AH88" s="65">
        <f>CHOOSE(PLColumn,IFERROR(GETPIVOTDATA("Sum of "&amp;AH$9,'PT-All'!$A$1,"Scenario",AH$12,"P&amp;L Item",$B88),0),IFERROR(GETPIVOTDATA("Sum of "&amp;AH$9,'PT-All'!$A$1,"Scenario",AH$12,"P&amp;L Item",$B88)/AH$201,0),TEXT(IFERROR(GETPIVOTDATA("Sum of "&amp;AH$9,'PT-All'!$A$1,"Scenario",AH$12,"P&amp;L Item",$B88)/AH$29,0),"0.00%"))</f>
        <v>0</v>
      </c>
      <c r="AI88" s="65">
        <f>CHOOSE(PLColumn,IFERROR(GETPIVOTDATA("Sum of "&amp;AI$9,'PT-All'!$A$1,"Scenario",AI$12,"P&amp;L Item",$B88),0),IFERROR(GETPIVOTDATA("Sum of "&amp;AI$9,'PT-All'!$A$1,"Scenario",AI$12,"P&amp;L Item",$B88)/AI$201,0),TEXT(IFERROR(GETPIVOTDATA("Sum of "&amp;AI$9,'PT-All'!$A$1,"Scenario",AI$12,"P&amp;L Item",$B88)/AI$29,0),"0.00%"))</f>
        <v>0</v>
      </c>
      <c r="AJ88" s="65">
        <f>CHOOSE(PLColumn,IFERROR(GETPIVOTDATA("Sum of "&amp;AJ$9,'PT-All'!$A$1,"Scenario",AJ$12,"P&amp;L Item",$B88),0),IFERROR(GETPIVOTDATA("Sum of "&amp;AJ$9,'PT-All'!$A$1,"Scenario",AJ$12,"P&amp;L Item",$B88)/AJ$201,0),TEXT(IFERROR(GETPIVOTDATA("Sum of "&amp;AJ$9,'PT-All'!$A$1,"Scenario",AJ$12,"P&amp;L Item",$B88)/AJ$29,0),"0.00%"))</f>
        <v>0</v>
      </c>
      <c r="AK88" s="65">
        <f>CHOOSE(PLColumn,IFERROR(GETPIVOTDATA("Sum of "&amp;AK$9,'PT-All'!$A$1,"Scenario",AK$12,"P&amp;L Item",$B88),0),IFERROR(GETPIVOTDATA("Sum of "&amp;AK$9,'PT-All'!$A$1,"Scenario",AK$12,"P&amp;L Item",$B88)/AK$201,0),TEXT(IFERROR(GETPIVOTDATA("Sum of "&amp;AK$9,'PT-All'!$A$1,"Scenario",AK$12,"P&amp;L Item",$B88)/AK$29,0),"0.00%"))</f>
        <v>0</v>
      </c>
      <c r="AL88" s="97">
        <f>CHOOSE(PLColumn,IFERROR(GETPIVOTDATA("Sum of "&amp;AL$9,'PT-All'!$A$1,"Scenario",AL$12,"P&amp;L Item",$B88),0),IFERROR(GETPIVOTDATA("Sum of "&amp;AL$9,'PT-All'!$A$1,"Scenario",AL$12,"P&amp;L Item",$B88)/AL$201,0),TEXT(IFERROR(GETPIVOTDATA("Sum of "&amp;AL$9,'PT-All'!$A$1,"Scenario",AL$12,"P&amp;L Item",$B88)/AL$29,0),"0.00%"))</f>
        <v>0</v>
      </c>
      <c r="AM88" s="590"/>
      <c r="AN88" s="108">
        <f ca="1">IF(AN$12="Pro Forma",SUM(OFFSET($B88,0,3*AN$9+1,1,3)),IFERROR(GETPIVOTDATA("Sum of Q"&amp;AN$9+1,'PT-All'!$A$1,"Scenario",AN$12,"P&amp;L Item",$B88),0))</f>
        <v>0</v>
      </c>
      <c r="AO88" s="65">
        <f ca="1">IF(AO$12="Pro Forma",SUM(OFFSET($B88,0,3*AO$9+1,1,3)),IFERROR(GETPIVOTDATA("Sum of Q"&amp;AO$9+1,'PT-All'!$A$1,"Scenario",AO$12,"P&amp;L Item",$B88),0))</f>
        <v>0</v>
      </c>
      <c r="AP88" s="65">
        <f ca="1">IF(AP$12="Pro Forma",SUM(OFFSET($B88,0,3*AP$9+1,1,3)),IFERROR(GETPIVOTDATA("Sum of Q"&amp;AP$9+1,'PT-All'!$A$1,"Scenario",AP$12,"P&amp;L Item",$B88),0))</f>
        <v>0</v>
      </c>
      <c r="AQ88" s="65">
        <f ca="1">IF(AQ$12="Pro Forma",SUM(OFFSET($B88,0,3*AQ$9+1,1,3)),IFERROR(GETPIVOTDATA("Sum of Q"&amp;AQ$9+1,'PT-All'!$A$1,"Scenario",AQ$12,"P&amp;L Item",$B88),0))</f>
        <v>0</v>
      </c>
      <c r="AR88" s="65">
        <f ca="1">IF(AR$12="Pro Forma",SUM(OFFSET($B88,0,3*AR$9+1,1,3)),IFERROR(GETPIVOTDATA("Sum of Q"&amp;AR$9+1,'PT-All'!$A$1,"Scenario",AR$12,"P&amp;L Item",$B88),0))</f>
        <v>0</v>
      </c>
      <c r="AS88" s="65">
        <f ca="1">IF(AS$12="Pro Forma",SUM(OFFSET($B88,0,3*AS$9+1,1,3)),IFERROR(GETPIVOTDATA("Sum of Q"&amp;AS$9+1,'PT-All'!$A$1,"Scenario",AS$12,"P&amp;L Item",$B88),0))</f>
        <v>0</v>
      </c>
      <c r="AT88" s="65">
        <f ca="1">IF(AT$12="Pro Forma",SUM(OFFSET($B88,0,3*AT$9+1,1,3)),IFERROR(GETPIVOTDATA("Sum of Q"&amp;AT$9+1,'PT-All'!$A$1,"Scenario",AT$12,"P&amp;L Item",$B88),0))</f>
        <v>0</v>
      </c>
      <c r="AU88" s="65">
        <f ca="1">IF(AU$12="Pro Forma",SUM(OFFSET($B88,0,3*AU$9+1,1,3)),IFERROR(GETPIVOTDATA("Sum of Q"&amp;AU$9+1,'PT-All'!$A$1,"Scenario",AU$12,"P&amp;L Item",$B88),0))</f>
        <v>0</v>
      </c>
      <c r="AV88" s="65">
        <f ca="1">IF(AV$12="Pro Forma",SUM(OFFSET($B88,0,3*AV$9+1,1,3)),IFERROR(GETPIVOTDATA("Sum of Q"&amp;AV$9+1,'PT-All'!$A$1,"Scenario",AV$12,"P&amp;L Item",$B88),0))</f>
        <v>0</v>
      </c>
      <c r="AW88" s="65">
        <f ca="1">IF(AW$12="Pro Forma",SUM(OFFSET($B88,0,3*AW$9+1,1,3)),IFERROR(GETPIVOTDATA("Sum of Q"&amp;AW$9+1,'PT-All'!$A$1,"Scenario",AW$12,"P&amp;L Item",$B88),0))</f>
        <v>0</v>
      </c>
      <c r="AX88" s="65">
        <f ca="1">IF(AX$12="Pro Forma",SUM(OFFSET($B88,0,3*AX$9+1,1,3)),IFERROR(GETPIVOTDATA("Sum of Q"&amp;AX$9+1,'PT-All'!$A$1,"Scenario",AX$12,"P&amp;L Item",$B88),0))</f>
        <v>0</v>
      </c>
      <c r="AY88" s="97">
        <f ca="1">IF(AY$12="Pro Forma",SUM(OFFSET($B88,0,3*AY$9+1,1,3)),IFERROR(GETPIVOTDATA("Sum of Q"&amp;AY$9+1,'PT-All'!$A$1,"Scenario",AY$12,"P&amp;L Item",$B88),0))</f>
        <v>0</v>
      </c>
      <c r="AZ88" s="590"/>
      <c r="BA88" s="108">
        <f ca="1">IF(BA$12="Pro Forma",SUM(OFFSET($B88,0,12*BA$9+1,1,12)),IFERROR(GETPIVOTDATA("Sum of FY"&amp;BA$9+1,'PT-All'!$A$1,"Scenario",BA$12,"P&amp;L Item",$B88),0))</f>
        <v>0</v>
      </c>
      <c r="BB88" s="65">
        <f ca="1">IF(BB$12="Pro Forma",SUM(OFFSET($B88,0,12*BB$9+1,1,12)),IFERROR(GETPIVOTDATA("Sum of FY"&amp;BB$9+1,'PT-All'!$A$1,"Scenario",BB$12,"P&amp;L Item",$B88),0))</f>
        <v>0</v>
      </c>
      <c r="BC88" s="97">
        <f ca="1">IF(BC$12="Pro Forma",SUM(OFFSET($B88,0,12*BC$9+1,1,12)),IFERROR(GETPIVOTDATA("Sum of FY"&amp;BC$9+1,'PT-All'!$A$1,"Scenario",BC$12,"P&amp;L Item",$B88),0))</f>
        <v>0</v>
      </c>
    </row>
    <row r="89" spans="2:55" x14ac:dyDescent="0.35">
      <c r="B89" s="79" t="s">
        <v>121</v>
      </c>
      <c r="C89" s="592">
        <f t="shared" ref="C89:AN89" si="213">SUM(C90:C94)</f>
        <v>0</v>
      </c>
      <c r="D89" s="592">
        <f t="shared" si="213"/>
        <v>0</v>
      </c>
      <c r="E89" s="592">
        <f t="shared" si="213"/>
        <v>0</v>
      </c>
      <c r="F89" s="592">
        <f t="shared" si="213"/>
        <v>0</v>
      </c>
      <c r="G89" s="592">
        <f t="shared" si="213"/>
        <v>0</v>
      </c>
      <c r="H89" s="592">
        <f t="shared" si="213"/>
        <v>0</v>
      </c>
      <c r="I89" s="592">
        <f t="shared" si="213"/>
        <v>0</v>
      </c>
      <c r="J89" s="592">
        <f t="shared" si="213"/>
        <v>0</v>
      </c>
      <c r="K89" s="592">
        <f t="shared" si="213"/>
        <v>0</v>
      </c>
      <c r="L89" s="592">
        <f t="shared" si="213"/>
        <v>0</v>
      </c>
      <c r="M89" s="592">
        <f t="shared" si="213"/>
        <v>0</v>
      </c>
      <c r="N89" s="592">
        <f t="shared" si="213"/>
        <v>0</v>
      </c>
      <c r="O89" s="592">
        <f t="shared" si="213"/>
        <v>0</v>
      </c>
      <c r="P89" s="592">
        <f t="shared" si="213"/>
        <v>0</v>
      </c>
      <c r="Q89" s="592">
        <f t="shared" si="213"/>
        <v>0</v>
      </c>
      <c r="R89" s="592">
        <f t="shared" si="213"/>
        <v>0</v>
      </c>
      <c r="S89" s="592">
        <f t="shared" si="213"/>
        <v>0</v>
      </c>
      <c r="T89" s="592">
        <f t="shared" si="213"/>
        <v>0</v>
      </c>
      <c r="U89" s="592">
        <f t="shared" si="213"/>
        <v>0</v>
      </c>
      <c r="V89" s="592">
        <f t="shared" si="213"/>
        <v>0</v>
      </c>
      <c r="W89" s="592">
        <f t="shared" si="213"/>
        <v>0</v>
      </c>
      <c r="X89" s="592">
        <f t="shared" si="213"/>
        <v>0</v>
      </c>
      <c r="Y89" s="592">
        <f t="shared" si="213"/>
        <v>0</v>
      </c>
      <c r="Z89" s="592">
        <f t="shared" ref="Z89:AL89" si="214">SUM(Z90:Z94)</f>
        <v>0</v>
      </c>
      <c r="AA89" s="592">
        <f t="shared" si="214"/>
        <v>0</v>
      </c>
      <c r="AB89" s="592">
        <f t="shared" si="214"/>
        <v>0</v>
      </c>
      <c r="AC89" s="592">
        <f t="shared" si="214"/>
        <v>0</v>
      </c>
      <c r="AD89" s="592">
        <f t="shared" si="214"/>
        <v>0</v>
      </c>
      <c r="AE89" s="592">
        <f t="shared" si="214"/>
        <v>0</v>
      </c>
      <c r="AF89" s="592">
        <f t="shared" si="214"/>
        <v>0</v>
      </c>
      <c r="AG89" s="592">
        <f t="shared" si="214"/>
        <v>0</v>
      </c>
      <c r="AH89" s="592">
        <f t="shared" si="214"/>
        <v>0</v>
      </c>
      <c r="AI89" s="592">
        <f t="shared" si="214"/>
        <v>0</v>
      </c>
      <c r="AJ89" s="592">
        <f t="shared" si="214"/>
        <v>0</v>
      </c>
      <c r="AK89" s="592">
        <f t="shared" si="214"/>
        <v>0</v>
      </c>
      <c r="AL89" s="593">
        <f t="shared" si="214"/>
        <v>0</v>
      </c>
      <c r="AM89" s="590"/>
      <c r="AN89" s="594">
        <f t="shared" ca="1" si="213"/>
        <v>0</v>
      </c>
      <c r="AO89" s="592">
        <f t="shared" ref="AO89" ca="1" si="215">SUM(AO90:AO94)</f>
        <v>0</v>
      </c>
      <c r="AP89" s="592">
        <f t="shared" ref="AP89" ca="1" si="216">SUM(AP90:AP94)</f>
        <v>0</v>
      </c>
      <c r="AQ89" s="592">
        <f t="shared" ref="AQ89" ca="1" si="217">SUM(AQ90:AQ94)</f>
        <v>0</v>
      </c>
      <c r="AR89" s="592">
        <f t="shared" ref="AR89" ca="1" si="218">SUM(AR90:AR94)</f>
        <v>0</v>
      </c>
      <c r="AS89" s="592">
        <f t="shared" ref="AS89" ca="1" si="219">SUM(AS90:AS94)</f>
        <v>0</v>
      </c>
      <c r="AT89" s="592">
        <f t="shared" ref="AT89:AY89" ca="1" si="220">SUM(AT90:AT94)</f>
        <v>0</v>
      </c>
      <c r="AU89" s="592">
        <f t="shared" ca="1" si="220"/>
        <v>0</v>
      </c>
      <c r="AV89" s="592">
        <f t="shared" ca="1" si="220"/>
        <v>0</v>
      </c>
      <c r="AW89" s="592">
        <f t="shared" ca="1" si="220"/>
        <v>0</v>
      </c>
      <c r="AX89" s="592">
        <f t="shared" ca="1" si="220"/>
        <v>0</v>
      </c>
      <c r="AY89" s="593">
        <f t="shared" ca="1" si="220"/>
        <v>0</v>
      </c>
      <c r="AZ89" s="590"/>
      <c r="BA89" s="594">
        <f t="shared" ref="BA89" ca="1" si="221">SUM(BA90:BA94)</f>
        <v>0</v>
      </c>
      <c r="BB89" s="592">
        <f t="shared" ref="BB89:BC89" ca="1" si="222">SUM(BB90:BB94)</f>
        <v>0</v>
      </c>
      <c r="BC89" s="593">
        <f t="shared" ca="1" si="222"/>
        <v>0</v>
      </c>
    </row>
    <row r="90" spans="2:55" x14ac:dyDescent="0.35">
      <c r="B90" s="80" t="s">
        <v>122</v>
      </c>
      <c r="C90" s="65">
        <f>CHOOSE(PLColumn,IFERROR(GETPIVOTDATA("Sum of "&amp;C$9,'PT-All'!$A$1,"Scenario",C$12,"P&amp;L Item",$B90),0),IFERROR(GETPIVOTDATA("Sum of "&amp;C$9,'PT-All'!$A$1,"Scenario",C$12,"P&amp;L Item",$B90)/C$201,0),TEXT(IFERROR(GETPIVOTDATA("Sum of "&amp;C$9,'PT-All'!$A$1,"Scenario",C$12,"P&amp;L Item",$B90)/C$29,0),"0.00%"))</f>
        <v>0</v>
      </c>
      <c r="D90" s="65">
        <f>CHOOSE(PLColumn,IFERROR(GETPIVOTDATA("Sum of "&amp;D$9,'PT-All'!$A$1,"Scenario",D$12,"P&amp;L Item",$B90),0),IFERROR(GETPIVOTDATA("Sum of "&amp;D$9,'PT-All'!$A$1,"Scenario",D$12,"P&amp;L Item",$B90)/D$201,0),TEXT(IFERROR(GETPIVOTDATA("Sum of "&amp;D$9,'PT-All'!$A$1,"Scenario",D$12,"P&amp;L Item",$B90)/D$29,0),"0.00%"))</f>
        <v>0</v>
      </c>
      <c r="E90" s="65">
        <f>CHOOSE(PLColumn,IFERROR(GETPIVOTDATA("Sum of "&amp;E$9,'PT-All'!$A$1,"Scenario",E$12,"P&amp;L Item",$B90),0),IFERROR(GETPIVOTDATA("Sum of "&amp;E$9,'PT-All'!$A$1,"Scenario",E$12,"P&amp;L Item",$B90)/E$201,0),TEXT(IFERROR(GETPIVOTDATA("Sum of "&amp;E$9,'PT-All'!$A$1,"Scenario",E$12,"P&amp;L Item",$B90)/E$29,0),"0.00%"))</f>
        <v>0</v>
      </c>
      <c r="F90" s="65">
        <f>CHOOSE(PLColumn,IFERROR(GETPIVOTDATA("Sum of "&amp;F$9,'PT-All'!$A$1,"Scenario",F$12,"P&amp;L Item",$B90),0),IFERROR(GETPIVOTDATA("Sum of "&amp;F$9,'PT-All'!$A$1,"Scenario",F$12,"P&amp;L Item",$B90)/F$201,0),TEXT(IFERROR(GETPIVOTDATA("Sum of "&amp;F$9,'PT-All'!$A$1,"Scenario",F$12,"P&amp;L Item",$B90)/F$29,0),"0.00%"))</f>
        <v>0</v>
      </c>
      <c r="G90" s="65">
        <f>CHOOSE(PLColumn,IFERROR(GETPIVOTDATA("Sum of "&amp;G$9,'PT-All'!$A$1,"Scenario",G$12,"P&amp;L Item",$B90),0),IFERROR(GETPIVOTDATA("Sum of "&amp;G$9,'PT-All'!$A$1,"Scenario",G$12,"P&amp;L Item",$B90)/G$201,0),TEXT(IFERROR(GETPIVOTDATA("Sum of "&amp;G$9,'PT-All'!$A$1,"Scenario",G$12,"P&amp;L Item",$B90)/G$29,0),"0.00%"))</f>
        <v>0</v>
      </c>
      <c r="H90" s="65">
        <f>CHOOSE(PLColumn,IFERROR(GETPIVOTDATA("Sum of "&amp;H$9,'PT-All'!$A$1,"Scenario",H$12,"P&amp;L Item",$B90),0),IFERROR(GETPIVOTDATA("Sum of "&amp;H$9,'PT-All'!$A$1,"Scenario",H$12,"P&amp;L Item",$B90)/H$201,0),TEXT(IFERROR(GETPIVOTDATA("Sum of "&amp;H$9,'PT-All'!$A$1,"Scenario",H$12,"P&amp;L Item",$B90)/H$29,0),"0.00%"))</f>
        <v>0</v>
      </c>
      <c r="I90" s="65">
        <f>CHOOSE(PLColumn,IFERROR(GETPIVOTDATA("Sum of "&amp;I$9,'PT-All'!$A$1,"Scenario",I$12,"P&amp;L Item",$B90),0),IFERROR(GETPIVOTDATA("Sum of "&amp;I$9,'PT-All'!$A$1,"Scenario",I$12,"P&amp;L Item",$B90)/I$201,0),TEXT(IFERROR(GETPIVOTDATA("Sum of "&amp;I$9,'PT-All'!$A$1,"Scenario",I$12,"P&amp;L Item",$B90)/I$29,0),"0.00%"))</f>
        <v>0</v>
      </c>
      <c r="J90" s="65">
        <f>CHOOSE(PLColumn,IFERROR(GETPIVOTDATA("Sum of "&amp;J$9,'PT-All'!$A$1,"Scenario",J$12,"P&amp;L Item",$B90),0),IFERROR(GETPIVOTDATA("Sum of "&amp;J$9,'PT-All'!$A$1,"Scenario",J$12,"P&amp;L Item",$B90)/J$201,0),TEXT(IFERROR(GETPIVOTDATA("Sum of "&amp;J$9,'PT-All'!$A$1,"Scenario",J$12,"P&amp;L Item",$B90)/J$29,0),"0.00%"))</f>
        <v>0</v>
      </c>
      <c r="K90" s="65">
        <f>CHOOSE(PLColumn,IFERROR(GETPIVOTDATA("Sum of "&amp;K$9,'PT-All'!$A$1,"Scenario",K$12,"P&amp;L Item",$B90),0),IFERROR(GETPIVOTDATA("Sum of "&amp;K$9,'PT-All'!$A$1,"Scenario",K$12,"P&amp;L Item",$B90)/K$201,0),TEXT(IFERROR(GETPIVOTDATA("Sum of "&amp;K$9,'PT-All'!$A$1,"Scenario",K$12,"P&amp;L Item",$B90)/K$29,0),"0.00%"))</f>
        <v>0</v>
      </c>
      <c r="L90" s="65">
        <f>CHOOSE(PLColumn,IFERROR(GETPIVOTDATA("Sum of "&amp;L$9,'PT-All'!$A$1,"Scenario",L$12,"P&amp;L Item",$B90),0),IFERROR(GETPIVOTDATA("Sum of "&amp;L$9,'PT-All'!$A$1,"Scenario",L$12,"P&amp;L Item",$B90)/L$201,0),TEXT(IFERROR(GETPIVOTDATA("Sum of "&amp;L$9,'PT-All'!$A$1,"Scenario",L$12,"P&amp;L Item",$B90)/L$29,0),"0.00%"))</f>
        <v>0</v>
      </c>
      <c r="M90" s="65">
        <f>CHOOSE(PLColumn,IFERROR(GETPIVOTDATA("Sum of "&amp;M$9,'PT-All'!$A$1,"Scenario",M$12,"P&amp;L Item",$B90),0),IFERROR(GETPIVOTDATA("Sum of "&amp;M$9,'PT-All'!$A$1,"Scenario",M$12,"P&amp;L Item",$B90)/M$201,0),TEXT(IFERROR(GETPIVOTDATA("Sum of "&amp;M$9,'PT-All'!$A$1,"Scenario",M$12,"P&amp;L Item",$B90)/M$29,0),"0.00%"))</f>
        <v>0</v>
      </c>
      <c r="N90" s="65">
        <f>CHOOSE(PLColumn,IFERROR(GETPIVOTDATA("Sum of "&amp;N$9,'PT-All'!$A$1,"Scenario",N$12,"P&amp;L Item",$B90),0),IFERROR(GETPIVOTDATA("Sum of "&amp;N$9,'PT-All'!$A$1,"Scenario",N$12,"P&amp;L Item",$B90)/N$201,0),TEXT(IFERROR(GETPIVOTDATA("Sum of "&amp;N$9,'PT-All'!$A$1,"Scenario",N$12,"P&amp;L Item",$B90)/N$29,0),"0.00%"))</f>
        <v>0</v>
      </c>
      <c r="O90" s="65">
        <f>CHOOSE(PLColumn,IFERROR(GETPIVOTDATA("Sum of "&amp;O$9,'PT-All'!$A$1,"Scenario",O$12,"P&amp;L Item",$B90),0),IFERROR(GETPIVOTDATA("Sum of "&amp;O$9,'PT-All'!$A$1,"Scenario",O$12,"P&amp;L Item",$B90)/O$201,0),TEXT(IFERROR(GETPIVOTDATA("Sum of "&amp;O$9,'PT-All'!$A$1,"Scenario",O$12,"P&amp;L Item",$B90)/O$29,0),"0.00%"))</f>
        <v>0</v>
      </c>
      <c r="P90" s="65">
        <f>CHOOSE(PLColumn,IFERROR(GETPIVOTDATA("Sum of "&amp;P$9,'PT-All'!$A$1,"Scenario",P$12,"P&amp;L Item",$B90),0),IFERROR(GETPIVOTDATA("Sum of "&amp;P$9,'PT-All'!$A$1,"Scenario",P$12,"P&amp;L Item",$B90)/P$201,0),TEXT(IFERROR(GETPIVOTDATA("Sum of "&amp;P$9,'PT-All'!$A$1,"Scenario",P$12,"P&amp;L Item",$B90)/P$29,0),"0.00%"))</f>
        <v>0</v>
      </c>
      <c r="Q90" s="65">
        <f>CHOOSE(PLColumn,IFERROR(GETPIVOTDATA("Sum of "&amp;Q$9,'PT-All'!$A$1,"Scenario",Q$12,"P&amp;L Item",$B90),0),IFERROR(GETPIVOTDATA("Sum of "&amp;Q$9,'PT-All'!$A$1,"Scenario",Q$12,"P&amp;L Item",$B90)/Q$201,0),TEXT(IFERROR(GETPIVOTDATA("Sum of "&amp;Q$9,'PT-All'!$A$1,"Scenario",Q$12,"P&amp;L Item",$B90)/Q$29,0),"0.00%"))</f>
        <v>0</v>
      </c>
      <c r="R90" s="65">
        <f>CHOOSE(PLColumn,IFERROR(GETPIVOTDATA("Sum of "&amp;R$9,'PT-All'!$A$1,"Scenario",R$12,"P&amp;L Item",$B90),0),IFERROR(GETPIVOTDATA("Sum of "&amp;R$9,'PT-All'!$A$1,"Scenario",R$12,"P&amp;L Item",$B90)/R$201,0),TEXT(IFERROR(GETPIVOTDATA("Sum of "&amp;R$9,'PT-All'!$A$1,"Scenario",R$12,"P&amp;L Item",$B90)/R$29,0),"0.00%"))</f>
        <v>0</v>
      </c>
      <c r="S90" s="65">
        <f>CHOOSE(PLColumn,IFERROR(GETPIVOTDATA("Sum of "&amp;S$9,'PT-All'!$A$1,"Scenario",S$12,"P&amp;L Item",$B90),0),IFERROR(GETPIVOTDATA("Sum of "&amp;S$9,'PT-All'!$A$1,"Scenario",S$12,"P&amp;L Item",$B90)/S$201,0),TEXT(IFERROR(GETPIVOTDATA("Sum of "&amp;S$9,'PT-All'!$A$1,"Scenario",S$12,"P&amp;L Item",$B90)/S$29,0),"0.00%"))</f>
        <v>0</v>
      </c>
      <c r="T90" s="65">
        <f>CHOOSE(PLColumn,IFERROR(GETPIVOTDATA("Sum of "&amp;T$9,'PT-All'!$A$1,"Scenario",T$12,"P&amp;L Item",$B90),0),IFERROR(GETPIVOTDATA("Sum of "&amp;T$9,'PT-All'!$A$1,"Scenario",T$12,"P&amp;L Item",$B90)/T$201,0),TEXT(IFERROR(GETPIVOTDATA("Sum of "&amp;T$9,'PT-All'!$A$1,"Scenario",T$12,"P&amp;L Item",$B90)/T$29,0),"0.00%"))</f>
        <v>0</v>
      </c>
      <c r="U90" s="65">
        <f>CHOOSE(PLColumn,IFERROR(GETPIVOTDATA("Sum of "&amp;U$9,'PT-All'!$A$1,"Scenario",U$12,"P&amp;L Item",$B90),0),IFERROR(GETPIVOTDATA("Sum of "&amp;U$9,'PT-All'!$A$1,"Scenario",U$12,"P&amp;L Item",$B90)/U$201,0),TEXT(IFERROR(GETPIVOTDATA("Sum of "&amp;U$9,'PT-All'!$A$1,"Scenario",U$12,"P&amp;L Item",$B90)/U$29,0),"0.00%"))</f>
        <v>0</v>
      </c>
      <c r="V90" s="65">
        <f>CHOOSE(PLColumn,IFERROR(GETPIVOTDATA("Sum of "&amp;V$9,'PT-All'!$A$1,"Scenario",V$12,"P&amp;L Item",$B90),0),IFERROR(GETPIVOTDATA("Sum of "&amp;V$9,'PT-All'!$A$1,"Scenario",V$12,"P&amp;L Item",$B90)/V$201,0),TEXT(IFERROR(GETPIVOTDATA("Sum of "&amp;V$9,'PT-All'!$A$1,"Scenario",V$12,"P&amp;L Item",$B90)/V$29,0),"0.00%"))</f>
        <v>0</v>
      </c>
      <c r="W90" s="65">
        <f>CHOOSE(PLColumn,IFERROR(GETPIVOTDATA("Sum of "&amp;W$9,'PT-All'!$A$1,"Scenario",W$12,"P&amp;L Item",$B90),0),IFERROR(GETPIVOTDATA("Sum of "&amp;W$9,'PT-All'!$A$1,"Scenario",W$12,"P&amp;L Item",$B90)/W$201,0),TEXT(IFERROR(GETPIVOTDATA("Sum of "&amp;W$9,'PT-All'!$A$1,"Scenario",W$12,"P&amp;L Item",$B90)/W$29,0),"0.00%"))</f>
        <v>0</v>
      </c>
      <c r="X90" s="65">
        <f>CHOOSE(PLColumn,IFERROR(GETPIVOTDATA("Sum of "&amp;X$9,'PT-All'!$A$1,"Scenario",X$12,"P&amp;L Item",$B90),0),IFERROR(GETPIVOTDATA("Sum of "&amp;X$9,'PT-All'!$A$1,"Scenario",X$12,"P&amp;L Item",$B90)/X$201,0),TEXT(IFERROR(GETPIVOTDATA("Sum of "&amp;X$9,'PT-All'!$A$1,"Scenario",X$12,"P&amp;L Item",$B90)/X$29,0),"0.00%"))</f>
        <v>0</v>
      </c>
      <c r="Y90" s="65">
        <f>CHOOSE(PLColumn,IFERROR(GETPIVOTDATA("Sum of "&amp;Y$9,'PT-All'!$A$1,"Scenario",Y$12,"P&amp;L Item",$B90),0),IFERROR(GETPIVOTDATA("Sum of "&amp;Y$9,'PT-All'!$A$1,"Scenario",Y$12,"P&amp;L Item",$B90)/Y$201,0),TEXT(IFERROR(GETPIVOTDATA("Sum of "&amp;Y$9,'PT-All'!$A$1,"Scenario",Y$12,"P&amp;L Item",$B90)/Y$29,0),"0.00%"))</f>
        <v>0</v>
      </c>
      <c r="Z90" s="65">
        <f>CHOOSE(PLColumn,IFERROR(GETPIVOTDATA("Sum of "&amp;Z$9,'PT-All'!$A$1,"Scenario",Z$12,"P&amp;L Item",$B90),0),IFERROR(GETPIVOTDATA("Sum of "&amp;Z$9,'PT-All'!$A$1,"Scenario",Z$12,"P&amp;L Item",$B90)/Z$201,0),TEXT(IFERROR(GETPIVOTDATA("Sum of "&amp;Z$9,'PT-All'!$A$1,"Scenario",Z$12,"P&amp;L Item",$B90)/Z$29,0),"0.00%"))</f>
        <v>0</v>
      </c>
      <c r="AA90" s="65">
        <f>CHOOSE(PLColumn,IFERROR(GETPIVOTDATA("Sum of "&amp;AA$9,'PT-All'!$A$1,"Scenario",AA$12,"P&amp;L Item",$B90),0),IFERROR(GETPIVOTDATA("Sum of "&amp;AA$9,'PT-All'!$A$1,"Scenario",AA$12,"P&amp;L Item",$B90)/AA$201,0),TEXT(IFERROR(GETPIVOTDATA("Sum of "&amp;AA$9,'PT-All'!$A$1,"Scenario",AA$12,"P&amp;L Item",$B90)/AA$29,0),"0.00%"))</f>
        <v>0</v>
      </c>
      <c r="AB90" s="65">
        <f>CHOOSE(PLColumn,IFERROR(GETPIVOTDATA("Sum of "&amp;AB$9,'PT-All'!$A$1,"Scenario",AB$12,"P&amp;L Item",$B90),0),IFERROR(GETPIVOTDATA("Sum of "&amp;AB$9,'PT-All'!$A$1,"Scenario",AB$12,"P&amp;L Item",$B90)/AB$201,0),TEXT(IFERROR(GETPIVOTDATA("Sum of "&amp;AB$9,'PT-All'!$A$1,"Scenario",AB$12,"P&amp;L Item",$B90)/AB$29,0),"0.00%"))</f>
        <v>0</v>
      </c>
      <c r="AC90" s="65">
        <f>CHOOSE(PLColumn,IFERROR(GETPIVOTDATA("Sum of "&amp;AC$9,'PT-All'!$A$1,"Scenario",AC$12,"P&amp;L Item",$B90),0),IFERROR(GETPIVOTDATA("Sum of "&amp;AC$9,'PT-All'!$A$1,"Scenario",AC$12,"P&amp;L Item",$B90)/AC$201,0),TEXT(IFERROR(GETPIVOTDATA("Sum of "&amp;AC$9,'PT-All'!$A$1,"Scenario",AC$12,"P&amp;L Item",$B90)/AC$29,0),"0.00%"))</f>
        <v>0</v>
      </c>
      <c r="AD90" s="65">
        <f>CHOOSE(PLColumn,IFERROR(GETPIVOTDATA("Sum of "&amp;AD$9,'PT-All'!$A$1,"Scenario",AD$12,"P&amp;L Item",$B90),0),IFERROR(GETPIVOTDATA("Sum of "&amp;AD$9,'PT-All'!$A$1,"Scenario",AD$12,"P&amp;L Item",$B90)/AD$201,0),TEXT(IFERROR(GETPIVOTDATA("Sum of "&amp;AD$9,'PT-All'!$A$1,"Scenario",AD$12,"P&amp;L Item",$B90)/AD$29,0),"0.00%"))</f>
        <v>0</v>
      </c>
      <c r="AE90" s="65">
        <f>CHOOSE(PLColumn,IFERROR(GETPIVOTDATA("Sum of "&amp;AE$9,'PT-All'!$A$1,"Scenario",AE$12,"P&amp;L Item",$B90),0),IFERROR(GETPIVOTDATA("Sum of "&amp;AE$9,'PT-All'!$A$1,"Scenario",AE$12,"P&amp;L Item",$B90)/AE$201,0),TEXT(IFERROR(GETPIVOTDATA("Sum of "&amp;AE$9,'PT-All'!$A$1,"Scenario",AE$12,"P&amp;L Item",$B90)/AE$29,0),"0.00%"))</f>
        <v>0</v>
      </c>
      <c r="AF90" s="65">
        <f>CHOOSE(PLColumn,IFERROR(GETPIVOTDATA("Sum of "&amp;AF$9,'PT-All'!$A$1,"Scenario",AF$12,"P&amp;L Item",$B90),0),IFERROR(GETPIVOTDATA("Sum of "&amp;AF$9,'PT-All'!$A$1,"Scenario",AF$12,"P&amp;L Item",$B90)/AF$201,0),TEXT(IFERROR(GETPIVOTDATA("Sum of "&amp;AF$9,'PT-All'!$A$1,"Scenario",AF$12,"P&amp;L Item",$B90)/AF$29,0),"0.00%"))</f>
        <v>0</v>
      </c>
      <c r="AG90" s="65">
        <f>CHOOSE(PLColumn,IFERROR(GETPIVOTDATA("Sum of "&amp;AG$9,'PT-All'!$A$1,"Scenario",AG$12,"P&amp;L Item",$B90),0),IFERROR(GETPIVOTDATA("Sum of "&amp;AG$9,'PT-All'!$A$1,"Scenario",AG$12,"P&amp;L Item",$B90)/AG$201,0),TEXT(IFERROR(GETPIVOTDATA("Sum of "&amp;AG$9,'PT-All'!$A$1,"Scenario",AG$12,"P&amp;L Item",$B90)/AG$29,0),"0.00%"))</f>
        <v>0</v>
      </c>
      <c r="AH90" s="65">
        <f>CHOOSE(PLColumn,IFERROR(GETPIVOTDATA("Sum of "&amp;AH$9,'PT-All'!$A$1,"Scenario",AH$12,"P&amp;L Item",$B90),0),IFERROR(GETPIVOTDATA("Sum of "&amp;AH$9,'PT-All'!$A$1,"Scenario",AH$12,"P&amp;L Item",$B90)/AH$201,0),TEXT(IFERROR(GETPIVOTDATA("Sum of "&amp;AH$9,'PT-All'!$A$1,"Scenario",AH$12,"P&amp;L Item",$B90)/AH$29,0),"0.00%"))</f>
        <v>0</v>
      </c>
      <c r="AI90" s="65">
        <f>CHOOSE(PLColumn,IFERROR(GETPIVOTDATA("Sum of "&amp;AI$9,'PT-All'!$A$1,"Scenario",AI$12,"P&amp;L Item",$B90),0),IFERROR(GETPIVOTDATA("Sum of "&amp;AI$9,'PT-All'!$A$1,"Scenario",AI$12,"P&amp;L Item",$B90)/AI$201,0),TEXT(IFERROR(GETPIVOTDATA("Sum of "&amp;AI$9,'PT-All'!$A$1,"Scenario",AI$12,"P&amp;L Item",$B90)/AI$29,0),"0.00%"))</f>
        <v>0</v>
      </c>
      <c r="AJ90" s="65">
        <f>CHOOSE(PLColumn,IFERROR(GETPIVOTDATA("Sum of "&amp;AJ$9,'PT-All'!$A$1,"Scenario",AJ$12,"P&amp;L Item",$B90),0),IFERROR(GETPIVOTDATA("Sum of "&amp;AJ$9,'PT-All'!$A$1,"Scenario",AJ$12,"P&amp;L Item",$B90)/AJ$201,0),TEXT(IFERROR(GETPIVOTDATA("Sum of "&amp;AJ$9,'PT-All'!$A$1,"Scenario",AJ$12,"P&amp;L Item",$B90)/AJ$29,0),"0.00%"))</f>
        <v>0</v>
      </c>
      <c r="AK90" s="65">
        <f>CHOOSE(PLColumn,IFERROR(GETPIVOTDATA("Sum of "&amp;AK$9,'PT-All'!$A$1,"Scenario",AK$12,"P&amp;L Item",$B90),0),IFERROR(GETPIVOTDATA("Sum of "&amp;AK$9,'PT-All'!$A$1,"Scenario",AK$12,"P&amp;L Item",$B90)/AK$201,0),TEXT(IFERROR(GETPIVOTDATA("Sum of "&amp;AK$9,'PT-All'!$A$1,"Scenario",AK$12,"P&amp;L Item",$B90)/AK$29,0),"0.00%"))</f>
        <v>0</v>
      </c>
      <c r="AL90" s="97">
        <f>CHOOSE(PLColumn,IFERROR(GETPIVOTDATA("Sum of "&amp;AL$9,'PT-All'!$A$1,"Scenario",AL$12,"P&amp;L Item",$B90),0),IFERROR(GETPIVOTDATA("Sum of "&amp;AL$9,'PT-All'!$A$1,"Scenario",AL$12,"P&amp;L Item",$B90)/AL$201,0),TEXT(IFERROR(GETPIVOTDATA("Sum of "&amp;AL$9,'PT-All'!$A$1,"Scenario",AL$12,"P&amp;L Item",$B90)/AL$29,0),"0.00%"))</f>
        <v>0</v>
      </c>
      <c r="AM90" s="590"/>
      <c r="AN90" s="108">
        <f ca="1">IF(AN$12="Pro Forma",SUM(OFFSET($B90,0,3*AN$9+1,1,3)),IFERROR(GETPIVOTDATA("Sum of Q"&amp;AN$9+1,'PT-All'!$A$1,"Scenario",AN$12,"P&amp;L Item",$B90),0))</f>
        <v>0</v>
      </c>
      <c r="AO90" s="65">
        <f ca="1">IF(AO$12="Pro Forma",SUM(OFFSET($B90,0,3*AO$9+1,1,3)),IFERROR(GETPIVOTDATA("Sum of Q"&amp;AO$9+1,'PT-All'!$A$1,"Scenario",AO$12,"P&amp;L Item",$B90),0))</f>
        <v>0</v>
      </c>
      <c r="AP90" s="65">
        <f ca="1">IF(AP$12="Pro Forma",SUM(OFFSET($B90,0,3*AP$9+1,1,3)),IFERROR(GETPIVOTDATA("Sum of Q"&amp;AP$9+1,'PT-All'!$A$1,"Scenario",AP$12,"P&amp;L Item",$B90),0))</f>
        <v>0</v>
      </c>
      <c r="AQ90" s="65">
        <f ca="1">IF(AQ$12="Pro Forma",SUM(OFFSET($B90,0,3*AQ$9+1,1,3)),IFERROR(GETPIVOTDATA("Sum of Q"&amp;AQ$9+1,'PT-All'!$A$1,"Scenario",AQ$12,"P&amp;L Item",$B90),0))</f>
        <v>0</v>
      </c>
      <c r="AR90" s="65">
        <f ca="1">IF(AR$12="Pro Forma",SUM(OFFSET($B90,0,3*AR$9+1,1,3)),IFERROR(GETPIVOTDATA("Sum of Q"&amp;AR$9+1,'PT-All'!$A$1,"Scenario",AR$12,"P&amp;L Item",$B90),0))</f>
        <v>0</v>
      </c>
      <c r="AS90" s="65">
        <f ca="1">IF(AS$12="Pro Forma",SUM(OFFSET($B90,0,3*AS$9+1,1,3)),IFERROR(GETPIVOTDATA("Sum of Q"&amp;AS$9+1,'PT-All'!$A$1,"Scenario",AS$12,"P&amp;L Item",$B90),0))</f>
        <v>0</v>
      </c>
      <c r="AT90" s="65">
        <f ca="1">IF(AT$12="Pro Forma",SUM(OFFSET($B90,0,3*AT$9+1,1,3)),IFERROR(GETPIVOTDATA("Sum of Q"&amp;AT$9+1,'PT-All'!$A$1,"Scenario",AT$12,"P&amp;L Item",$B90),0))</f>
        <v>0</v>
      </c>
      <c r="AU90" s="65">
        <f ca="1">IF(AU$12="Pro Forma",SUM(OFFSET($B90,0,3*AU$9+1,1,3)),IFERROR(GETPIVOTDATA("Sum of Q"&amp;AU$9+1,'PT-All'!$A$1,"Scenario",AU$12,"P&amp;L Item",$B90),0))</f>
        <v>0</v>
      </c>
      <c r="AV90" s="65">
        <f ca="1">IF(AV$12="Pro Forma",SUM(OFFSET($B90,0,3*AV$9+1,1,3)),IFERROR(GETPIVOTDATA("Sum of Q"&amp;AV$9+1,'PT-All'!$A$1,"Scenario",AV$12,"P&amp;L Item",$B90),0))</f>
        <v>0</v>
      </c>
      <c r="AW90" s="65">
        <f ca="1">IF(AW$12="Pro Forma",SUM(OFFSET($B90,0,3*AW$9+1,1,3)),IFERROR(GETPIVOTDATA("Sum of Q"&amp;AW$9+1,'PT-All'!$A$1,"Scenario",AW$12,"P&amp;L Item",$B90),0))</f>
        <v>0</v>
      </c>
      <c r="AX90" s="65">
        <f ca="1">IF(AX$12="Pro Forma",SUM(OFFSET($B90,0,3*AX$9+1,1,3)),IFERROR(GETPIVOTDATA("Sum of Q"&amp;AX$9+1,'PT-All'!$A$1,"Scenario",AX$12,"P&amp;L Item",$B90),0))</f>
        <v>0</v>
      </c>
      <c r="AY90" s="97">
        <f ca="1">IF(AY$12="Pro Forma",SUM(OFFSET($B90,0,3*AY$9+1,1,3)),IFERROR(GETPIVOTDATA("Sum of Q"&amp;AY$9+1,'PT-All'!$A$1,"Scenario",AY$12,"P&amp;L Item",$B90),0))</f>
        <v>0</v>
      </c>
      <c r="AZ90" s="590"/>
      <c r="BA90" s="108">
        <f ca="1">IF(BA$12="Pro Forma",SUM(OFFSET($B90,0,12*BA$9+1,1,12)),IFERROR(GETPIVOTDATA("Sum of FY"&amp;BA$9+1,'PT-All'!$A$1,"Scenario",BA$12,"P&amp;L Item",$B90),0))</f>
        <v>0</v>
      </c>
      <c r="BB90" s="65">
        <f ca="1">IF(BB$12="Pro Forma",SUM(OFFSET($B90,0,12*BB$9+1,1,12)),IFERROR(GETPIVOTDATA("Sum of FY"&amp;BB$9+1,'PT-All'!$A$1,"Scenario",BB$12,"P&amp;L Item",$B90),0))</f>
        <v>0</v>
      </c>
      <c r="BC90" s="97">
        <f ca="1">IF(BC$12="Pro Forma",SUM(OFFSET($B90,0,12*BC$9+1,1,12)),IFERROR(GETPIVOTDATA("Sum of FY"&amp;BC$9+1,'PT-All'!$A$1,"Scenario",BC$12,"P&amp;L Item",$B90),0))</f>
        <v>0</v>
      </c>
    </row>
    <row r="91" spans="2:55" x14ac:dyDescent="0.35">
      <c r="B91" s="80" t="s">
        <v>123</v>
      </c>
      <c r="C91" s="65">
        <f>CHOOSE(PLColumn,IFERROR(GETPIVOTDATA("Sum of "&amp;C$9,'PT-All'!$A$1,"Scenario",C$12,"P&amp;L Item",$B91),0),IFERROR(GETPIVOTDATA("Sum of "&amp;C$9,'PT-All'!$A$1,"Scenario",C$12,"P&amp;L Item",$B91)/C$201,0),TEXT(IFERROR(GETPIVOTDATA("Sum of "&amp;C$9,'PT-All'!$A$1,"Scenario",C$12,"P&amp;L Item",$B91)/C$29,0),"0.00%"))</f>
        <v>0</v>
      </c>
      <c r="D91" s="65">
        <f>CHOOSE(PLColumn,IFERROR(GETPIVOTDATA("Sum of "&amp;D$9,'PT-All'!$A$1,"Scenario",D$12,"P&amp;L Item",$B91),0),IFERROR(GETPIVOTDATA("Sum of "&amp;D$9,'PT-All'!$A$1,"Scenario",D$12,"P&amp;L Item",$B91)/D$201,0),TEXT(IFERROR(GETPIVOTDATA("Sum of "&amp;D$9,'PT-All'!$A$1,"Scenario",D$12,"P&amp;L Item",$B91)/D$29,0),"0.00%"))</f>
        <v>0</v>
      </c>
      <c r="E91" s="65">
        <f>CHOOSE(PLColumn,IFERROR(GETPIVOTDATA("Sum of "&amp;E$9,'PT-All'!$A$1,"Scenario",E$12,"P&amp;L Item",$B91),0),IFERROR(GETPIVOTDATA("Sum of "&amp;E$9,'PT-All'!$A$1,"Scenario",E$12,"P&amp;L Item",$B91)/E$201,0),TEXT(IFERROR(GETPIVOTDATA("Sum of "&amp;E$9,'PT-All'!$A$1,"Scenario",E$12,"P&amp;L Item",$B91)/E$29,0),"0.00%"))</f>
        <v>0</v>
      </c>
      <c r="F91" s="65">
        <f>CHOOSE(PLColumn,IFERROR(GETPIVOTDATA("Sum of "&amp;F$9,'PT-All'!$A$1,"Scenario",F$12,"P&amp;L Item",$B91),0),IFERROR(GETPIVOTDATA("Sum of "&amp;F$9,'PT-All'!$A$1,"Scenario",F$12,"P&amp;L Item",$B91)/F$201,0),TEXT(IFERROR(GETPIVOTDATA("Sum of "&amp;F$9,'PT-All'!$A$1,"Scenario",F$12,"P&amp;L Item",$B91)/F$29,0),"0.00%"))</f>
        <v>0</v>
      </c>
      <c r="G91" s="65">
        <f>CHOOSE(PLColumn,IFERROR(GETPIVOTDATA("Sum of "&amp;G$9,'PT-All'!$A$1,"Scenario",G$12,"P&amp;L Item",$B91),0),IFERROR(GETPIVOTDATA("Sum of "&amp;G$9,'PT-All'!$A$1,"Scenario",G$12,"P&amp;L Item",$B91)/G$201,0),TEXT(IFERROR(GETPIVOTDATA("Sum of "&amp;G$9,'PT-All'!$A$1,"Scenario",G$12,"P&amp;L Item",$B91)/G$29,0),"0.00%"))</f>
        <v>0</v>
      </c>
      <c r="H91" s="65">
        <f>CHOOSE(PLColumn,IFERROR(GETPIVOTDATA("Sum of "&amp;H$9,'PT-All'!$A$1,"Scenario",H$12,"P&amp;L Item",$B91),0),IFERROR(GETPIVOTDATA("Sum of "&amp;H$9,'PT-All'!$A$1,"Scenario",H$12,"P&amp;L Item",$B91)/H$201,0),TEXT(IFERROR(GETPIVOTDATA("Sum of "&amp;H$9,'PT-All'!$A$1,"Scenario",H$12,"P&amp;L Item",$B91)/H$29,0),"0.00%"))</f>
        <v>0</v>
      </c>
      <c r="I91" s="65">
        <f>CHOOSE(PLColumn,IFERROR(GETPIVOTDATA("Sum of "&amp;I$9,'PT-All'!$A$1,"Scenario",I$12,"P&amp;L Item",$B91),0),IFERROR(GETPIVOTDATA("Sum of "&amp;I$9,'PT-All'!$A$1,"Scenario",I$12,"P&amp;L Item",$B91)/I$201,0),TEXT(IFERROR(GETPIVOTDATA("Sum of "&amp;I$9,'PT-All'!$A$1,"Scenario",I$12,"P&amp;L Item",$B91)/I$29,0),"0.00%"))</f>
        <v>0</v>
      </c>
      <c r="J91" s="65">
        <f>CHOOSE(PLColumn,IFERROR(GETPIVOTDATA("Sum of "&amp;J$9,'PT-All'!$A$1,"Scenario",J$12,"P&amp;L Item",$B91),0),IFERROR(GETPIVOTDATA("Sum of "&amp;J$9,'PT-All'!$A$1,"Scenario",J$12,"P&amp;L Item",$B91)/J$201,0),TEXT(IFERROR(GETPIVOTDATA("Sum of "&amp;J$9,'PT-All'!$A$1,"Scenario",J$12,"P&amp;L Item",$B91)/J$29,0),"0.00%"))</f>
        <v>0</v>
      </c>
      <c r="K91" s="65">
        <f>CHOOSE(PLColumn,IFERROR(GETPIVOTDATA("Sum of "&amp;K$9,'PT-All'!$A$1,"Scenario",K$12,"P&amp;L Item",$B91),0),IFERROR(GETPIVOTDATA("Sum of "&amp;K$9,'PT-All'!$A$1,"Scenario",K$12,"P&amp;L Item",$B91)/K$201,0),TEXT(IFERROR(GETPIVOTDATA("Sum of "&amp;K$9,'PT-All'!$A$1,"Scenario",K$12,"P&amp;L Item",$B91)/K$29,0),"0.00%"))</f>
        <v>0</v>
      </c>
      <c r="L91" s="65">
        <f>CHOOSE(PLColumn,IFERROR(GETPIVOTDATA("Sum of "&amp;L$9,'PT-All'!$A$1,"Scenario",L$12,"P&amp;L Item",$B91),0),IFERROR(GETPIVOTDATA("Sum of "&amp;L$9,'PT-All'!$A$1,"Scenario",L$12,"P&amp;L Item",$B91)/L$201,0),TEXT(IFERROR(GETPIVOTDATA("Sum of "&amp;L$9,'PT-All'!$A$1,"Scenario",L$12,"P&amp;L Item",$B91)/L$29,0),"0.00%"))</f>
        <v>0</v>
      </c>
      <c r="M91" s="65">
        <f>CHOOSE(PLColumn,IFERROR(GETPIVOTDATA("Sum of "&amp;M$9,'PT-All'!$A$1,"Scenario",M$12,"P&amp;L Item",$B91),0),IFERROR(GETPIVOTDATA("Sum of "&amp;M$9,'PT-All'!$A$1,"Scenario",M$12,"P&amp;L Item",$B91)/M$201,0),TEXT(IFERROR(GETPIVOTDATA("Sum of "&amp;M$9,'PT-All'!$A$1,"Scenario",M$12,"P&amp;L Item",$B91)/M$29,0),"0.00%"))</f>
        <v>0</v>
      </c>
      <c r="N91" s="65">
        <f>CHOOSE(PLColumn,IFERROR(GETPIVOTDATA("Sum of "&amp;N$9,'PT-All'!$A$1,"Scenario",N$12,"P&amp;L Item",$B91),0),IFERROR(GETPIVOTDATA("Sum of "&amp;N$9,'PT-All'!$A$1,"Scenario",N$12,"P&amp;L Item",$B91)/N$201,0),TEXT(IFERROR(GETPIVOTDATA("Sum of "&amp;N$9,'PT-All'!$A$1,"Scenario",N$12,"P&amp;L Item",$B91)/N$29,0),"0.00%"))</f>
        <v>0</v>
      </c>
      <c r="O91" s="65">
        <f>CHOOSE(PLColumn,IFERROR(GETPIVOTDATA("Sum of "&amp;O$9,'PT-All'!$A$1,"Scenario",O$12,"P&amp;L Item",$B91),0),IFERROR(GETPIVOTDATA("Sum of "&amp;O$9,'PT-All'!$A$1,"Scenario",O$12,"P&amp;L Item",$B91)/O$201,0),TEXT(IFERROR(GETPIVOTDATA("Sum of "&amp;O$9,'PT-All'!$A$1,"Scenario",O$12,"P&amp;L Item",$B91)/O$29,0),"0.00%"))</f>
        <v>0</v>
      </c>
      <c r="P91" s="65">
        <f>CHOOSE(PLColumn,IFERROR(GETPIVOTDATA("Sum of "&amp;P$9,'PT-All'!$A$1,"Scenario",P$12,"P&amp;L Item",$B91),0),IFERROR(GETPIVOTDATA("Sum of "&amp;P$9,'PT-All'!$A$1,"Scenario",P$12,"P&amp;L Item",$B91)/P$201,0),TEXT(IFERROR(GETPIVOTDATA("Sum of "&amp;P$9,'PT-All'!$A$1,"Scenario",P$12,"P&amp;L Item",$B91)/P$29,0),"0.00%"))</f>
        <v>0</v>
      </c>
      <c r="Q91" s="65">
        <f>CHOOSE(PLColumn,IFERROR(GETPIVOTDATA("Sum of "&amp;Q$9,'PT-All'!$A$1,"Scenario",Q$12,"P&amp;L Item",$B91),0),IFERROR(GETPIVOTDATA("Sum of "&amp;Q$9,'PT-All'!$A$1,"Scenario",Q$12,"P&amp;L Item",$B91)/Q$201,0),TEXT(IFERROR(GETPIVOTDATA("Sum of "&amp;Q$9,'PT-All'!$A$1,"Scenario",Q$12,"P&amp;L Item",$B91)/Q$29,0),"0.00%"))</f>
        <v>0</v>
      </c>
      <c r="R91" s="65">
        <f>CHOOSE(PLColumn,IFERROR(GETPIVOTDATA("Sum of "&amp;R$9,'PT-All'!$A$1,"Scenario",R$12,"P&amp;L Item",$B91),0),IFERROR(GETPIVOTDATA("Sum of "&amp;R$9,'PT-All'!$A$1,"Scenario",R$12,"P&amp;L Item",$B91)/R$201,0),TEXT(IFERROR(GETPIVOTDATA("Sum of "&amp;R$9,'PT-All'!$A$1,"Scenario",R$12,"P&amp;L Item",$B91)/R$29,0),"0.00%"))</f>
        <v>0</v>
      </c>
      <c r="S91" s="65">
        <f>CHOOSE(PLColumn,IFERROR(GETPIVOTDATA("Sum of "&amp;S$9,'PT-All'!$A$1,"Scenario",S$12,"P&amp;L Item",$B91),0),IFERROR(GETPIVOTDATA("Sum of "&amp;S$9,'PT-All'!$A$1,"Scenario",S$12,"P&amp;L Item",$B91)/S$201,0),TEXT(IFERROR(GETPIVOTDATA("Sum of "&amp;S$9,'PT-All'!$A$1,"Scenario",S$12,"P&amp;L Item",$B91)/S$29,0),"0.00%"))</f>
        <v>0</v>
      </c>
      <c r="T91" s="65">
        <f>CHOOSE(PLColumn,IFERROR(GETPIVOTDATA("Sum of "&amp;T$9,'PT-All'!$A$1,"Scenario",T$12,"P&amp;L Item",$B91),0),IFERROR(GETPIVOTDATA("Sum of "&amp;T$9,'PT-All'!$A$1,"Scenario",T$12,"P&amp;L Item",$B91)/T$201,0),TEXT(IFERROR(GETPIVOTDATA("Sum of "&amp;T$9,'PT-All'!$A$1,"Scenario",T$12,"P&amp;L Item",$B91)/T$29,0),"0.00%"))</f>
        <v>0</v>
      </c>
      <c r="U91" s="65">
        <f>CHOOSE(PLColumn,IFERROR(GETPIVOTDATA("Sum of "&amp;U$9,'PT-All'!$A$1,"Scenario",U$12,"P&amp;L Item",$B91),0),IFERROR(GETPIVOTDATA("Sum of "&amp;U$9,'PT-All'!$A$1,"Scenario",U$12,"P&amp;L Item",$B91)/U$201,0),TEXT(IFERROR(GETPIVOTDATA("Sum of "&amp;U$9,'PT-All'!$A$1,"Scenario",U$12,"P&amp;L Item",$B91)/U$29,0),"0.00%"))</f>
        <v>0</v>
      </c>
      <c r="V91" s="65">
        <f>CHOOSE(PLColumn,IFERROR(GETPIVOTDATA("Sum of "&amp;V$9,'PT-All'!$A$1,"Scenario",V$12,"P&amp;L Item",$B91),0),IFERROR(GETPIVOTDATA("Sum of "&amp;V$9,'PT-All'!$A$1,"Scenario",V$12,"P&amp;L Item",$B91)/V$201,0),TEXT(IFERROR(GETPIVOTDATA("Sum of "&amp;V$9,'PT-All'!$A$1,"Scenario",V$12,"P&amp;L Item",$B91)/V$29,0),"0.00%"))</f>
        <v>0</v>
      </c>
      <c r="W91" s="65">
        <f>CHOOSE(PLColumn,IFERROR(GETPIVOTDATA("Sum of "&amp;W$9,'PT-All'!$A$1,"Scenario",W$12,"P&amp;L Item",$B91),0),IFERROR(GETPIVOTDATA("Sum of "&amp;W$9,'PT-All'!$A$1,"Scenario",W$12,"P&amp;L Item",$B91)/W$201,0),TEXT(IFERROR(GETPIVOTDATA("Sum of "&amp;W$9,'PT-All'!$A$1,"Scenario",W$12,"P&amp;L Item",$B91)/W$29,0),"0.00%"))</f>
        <v>0</v>
      </c>
      <c r="X91" s="65">
        <f>CHOOSE(PLColumn,IFERROR(GETPIVOTDATA("Sum of "&amp;X$9,'PT-All'!$A$1,"Scenario",X$12,"P&amp;L Item",$B91),0),IFERROR(GETPIVOTDATA("Sum of "&amp;X$9,'PT-All'!$A$1,"Scenario",X$12,"P&amp;L Item",$B91)/X$201,0),TEXT(IFERROR(GETPIVOTDATA("Sum of "&amp;X$9,'PT-All'!$A$1,"Scenario",X$12,"P&amp;L Item",$B91)/X$29,0),"0.00%"))</f>
        <v>0</v>
      </c>
      <c r="Y91" s="65">
        <f>CHOOSE(PLColumn,IFERROR(GETPIVOTDATA("Sum of "&amp;Y$9,'PT-All'!$A$1,"Scenario",Y$12,"P&amp;L Item",$B91),0),IFERROR(GETPIVOTDATA("Sum of "&amp;Y$9,'PT-All'!$A$1,"Scenario",Y$12,"P&amp;L Item",$B91)/Y$201,0),TEXT(IFERROR(GETPIVOTDATA("Sum of "&amp;Y$9,'PT-All'!$A$1,"Scenario",Y$12,"P&amp;L Item",$B91)/Y$29,0),"0.00%"))</f>
        <v>0</v>
      </c>
      <c r="Z91" s="65">
        <f>CHOOSE(PLColumn,IFERROR(GETPIVOTDATA("Sum of "&amp;Z$9,'PT-All'!$A$1,"Scenario",Z$12,"P&amp;L Item",$B91),0),IFERROR(GETPIVOTDATA("Sum of "&amp;Z$9,'PT-All'!$A$1,"Scenario",Z$12,"P&amp;L Item",$B91)/Z$201,0),TEXT(IFERROR(GETPIVOTDATA("Sum of "&amp;Z$9,'PT-All'!$A$1,"Scenario",Z$12,"P&amp;L Item",$B91)/Z$29,0),"0.00%"))</f>
        <v>0</v>
      </c>
      <c r="AA91" s="65">
        <f>CHOOSE(PLColumn,IFERROR(GETPIVOTDATA("Sum of "&amp;AA$9,'PT-All'!$A$1,"Scenario",AA$12,"P&amp;L Item",$B91),0),IFERROR(GETPIVOTDATA("Sum of "&amp;AA$9,'PT-All'!$A$1,"Scenario",AA$12,"P&amp;L Item",$B91)/AA$201,0),TEXT(IFERROR(GETPIVOTDATA("Sum of "&amp;AA$9,'PT-All'!$A$1,"Scenario",AA$12,"P&amp;L Item",$B91)/AA$29,0),"0.00%"))</f>
        <v>0</v>
      </c>
      <c r="AB91" s="65">
        <f>CHOOSE(PLColumn,IFERROR(GETPIVOTDATA("Sum of "&amp;AB$9,'PT-All'!$A$1,"Scenario",AB$12,"P&amp;L Item",$B91),0),IFERROR(GETPIVOTDATA("Sum of "&amp;AB$9,'PT-All'!$A$1,"Scenario",AB$12,"P&amp;L Item",$B91)/AB$201,0),TEXT(IFERROR(GETPIVOTDATA("Sum of "&amp;AB$9,'PT-All'!$A$1,"Scenario",AB$12,"P&amp;L Item",$B91)/AB$29,0),"0.00%"))</f>
        <v>0</v>
      </c>
      <c r="AC91" s="65">
        <f>CHOOSE(PLColumn,IFERROR(GETPIVOTDATA("Sum of "&amp;AC$9,'PT-All'!$A$1,"Scenario",AC$12,"P&amp;L Item",$B91),0),IFERROR(GETPIVOTDATA("Sum of "&amp;AC$9,'PT-All'!$A$1,"Scenario",AC$12,"P&amp;L Item",$B91)/AC$201,0),TEXT(IFERROR(GETPIVOTDATA("Sum of "&amp;AC$9,'PT-All'!$A$1,"Scenario",AC$12,"P&amp;L Item",$B91)/AC$29,0),"0.00%"))</f>
        <v>0</v>
      </c>
      <c r="AD91" s="65">
        <f>CHOOSE(PLColumn,IFERROR(GETPIVOTDATA("Sum of "&amp;AD$9,'PT-All'!$A$1,"Scenario",AD$12,"P&amp;L Item",$B91),0),IFERROR(GETPIVOTDATA("Sum of "&amp;AD$9,'PT-All'!$A$1,"Scenario",AD$12,"P&amp;L Item",$B91)/AD$201,0),TEXT(IFERROR(GETPIVOTDATA("Sum of "&amp;AD$9,'PT-All'!$A$1,"Scenario",AD$12,"P&amp;L Item",$B91)/AD$29,0),"0.00%"))</f>
        <v>0</v>
      </c>
      <c r="AE91" s="65">
        <f>CHOOSE(PLColumn,IFERROR(GETPIVOTDATA("Sum of "&amp;AE$9,'PT-All'!$A$1,"Scenario",AE$12,"P&amp;L Item",$B91),0),IFERROR(GETPIVOTDATA("Sum of "&amp;AE$9,'PT-All'!$A$1,"Scenario",AE$12,"P&amp;L Item",$B91)/AE$201,0),TEXT(IFERROR(GETPIVOTDATA("Sum of "&amp;AE$9,'PT-All'!$A$1,"Scenario",AE$12,"P&amp;L Item",$B91)/AE$29,0),"0.00%"))</f>
        <v>0</v>
      </c>
      <c r="AF91" s="65">
        <f>CHOOSE(PLColumn,IFERROR(GETPIVOTDATA("Sum of "&amp;AF$9,'PT-All'!$A$1,"Scenario",AF$12,"P&amp;L Item",$B91),0),IFERROR(GETPIVOTDATA("Sum of "&amp;AF$9,'PT-All'!$A$1,"Scenario",AF$12,"P&amp;L Item",$B91)/AF$201,0),TEXT(IFERROR(GETPIVOTDATA("Sum of "&amp;AF$9,'PT-All'!$A$1,"Scenario",AF$12,"P&amp;L Item",$B91)/AF$29,0),"0.00%"))</f>
        <v>0</v>
      </c>
      <c r="AG91" s="65">
        <f>CHOOSE(PLColumn,IFERROR(GETPIVOTDATA("Sum of "&amp;AG$9,'PT-All'!$A$1,"Scenario",AG$12,"P&amp;L Item",$B91),0),IFERROR(GETPIVOTDATA("Sum of "&amp;AG$9,'PT-All'!$A$1,"Scenario",AG$12,"P&amp;L Item",$B91)/AG$201,0),TEXT(IFERROR(GETPIVOTDATA("Sum of "&amp;AG$9,'PT-All'!$A$1,"Scenario",AG$12,"P&amp;L Item",$B91)/AG$29,0),"0.00%"))</f>
        <v>0</v>
      </c>
      <c r="AH91" s="65">
        <f>CHOOSE(PLColumn,IFERROR(GETPIVOTDATA("Sum of "&amp;AH$9,'PT-All'!$A$1,"Scenario",AH$12,"P&amp;L Item",$B91),0),IFERROR(GETPIVOTDATA("Sum of "&amp;AH$9,'PT-All'!$A$1,"Scenario",AH$12,"P&amp;L Item",$B91)/AH$201,0),TEXT(IFERROR(GETPIVOTDATA("Sum of "&amp;AH$9,'PT-All'!$A$1,"Scenario",AH$12,"P&amp;L Item",$B91)/AH$29,0),"0.00%"))</f>
        <v>0</v>
      </c>
      <c r="AI91" s="65">
        <f>CHOOSE(PLColumn,IFERROR(GETPIVOTDATA("Sum of "&amp;AI$9,'PT-All'!$A$1,"Scenario",AI$12,"P&amp;L Item",$B91),0),IFERROR(GETPIVOTDATA("Sum of "&amp;AI$9,'PT-All'!$A$1,"Scenario",AI$12,"P&amp;L Item",$B91)/AI$201,0),TEXT(IFERROR(GETPIVOTDATA("Sum of "&amp;AI$9,'PT-All'!$A$1,"Scenario",AI$12,"P&amp;L Item",$B91)/AI$29,0),"0.00%"))</f>
        <v>0</v>
      </c>
      <c r="AJ91" s="65">
        <f>CHOOSE(PLColumn,IFERROR(GETPIVOTDATA("Sum of "&amp;AJ$9,'PT-All'!$A$1,"Scenario",AJ$12,"P&amp;L Item",$B91),0),IFERROR(GETPIVOTDATA("Sum of "&amp;AJ$9,'PT-All'!$A$1,"Scenario",AJ$12,"P&amp;L Item",$B91)/AJ$201,0),TEXT(IFERROR(GETPIVOTDATA("Sum of "&amp;AJ$9,'PT-All'!$A$1,"Scenario",AJ$12,"P&amp;L Item",$B91)/AJ$29,0),"0.00%"))</f>
        <v>0</v>
      </c>
      <c r="AK91" s="65">
        <f>CHOOSE(PLColumn,IFERROR(GETPIVOTDATA("Sum of "&amp;AK$9,'PT-All'!$A$1,"Scenario",AK$12,"P&amp;L Item",$B91),0),IFERROR(GETPIVOTDATA("Sum of "&amp;AK$9,'PT-All'!$A$1,"Scenario",AK$12,"P&amp;L Item",$B91)/AK$201,0),TEXT(IFERROR(GETPIVOTDATA("Sum of "&amp;AK$9,'PT-All'!$A$1,"Scenario",AK$12,"P&amp;L Item",$B91)/AK$29,0),"0.00%"))</f>
        <v>0</v>
      </c>
      <c r="AL91" s="97">
        <f>CHOOSE(PLColumn,IFERROR(GETPIVOTDATA("Sum of "&amp;AL$9,'PT-All'!$A$1,"Scenario",AL$12,"P&amp;L Item",$B91),0),IFERROR(GETPIVOTDATA("Sum of "&amp;AL$9,'PT-All'!$A$1,"Scenario",AL$12,"P&amp;L Item",$B91)/AL$201,0),TEXT(IFERROR(GETPIVOTDATA("Sum of "&amp;AL$9,'PT-All'!$A$1,"Scenario",AL$12,"P&amp;L Item",$B91)/AL$29,0),"0.00%"))</f>
        <v>0</v>
      </c>
      <c r="AM91" s="590"/>
      <c r="AN91" s="108">
        <f ca="1">IF(AN$12="Pro Forma",SUM(OFFSET($B91,0,3*AN$9+1,1,3)),IFERROR(GETPIVOTDATA("Sum of Q"&amp;AN$9+1,'PT-All'!$A$1,"Scenario",AN$12,"P&amp;L Item",$B91),0))</f>
        <v>0</v>
      </c>
      <c r="AO91" s="65">
        <f ca="1">IF(AO$12="Pro Forma",SUM(OFFSET($B91,0,3*AO$9+1,1,3)),IFERROR(GETPIVOTDATA("Sum of Q"&amp;AO$9+1,'PT-All'!$A$1,"Scenario",AO$12,"P&amp;L Item",$B91),0))</f>
        <v>0</v>
      </c>
      <c r="AP91" s="65">
        <f ca="1">IF(AP$12="Pro Forma",SUM(OFFSET($B91,0,3*AP$9+1,1,3)),IFERROR(GETPIVOTDATA("Sum of Q"&amp;AP$9+1,'PT-All'!$A$1,"Scenario",AP$12,"P&amp;L Item",$B91),0))</f>
        <v>0</v>
      </c>
      <c r="AQ91" s="65">
        <f ca="1">IF(AQ$12="Pro Forma",SUM(OFFSET($B91,0,3*AQ$9+1,1,3)),IFERROR(GETPIVOTDATA("Sum of Q"&amp;AQ$9+1,'PT-All'!$A$1,"Scenario",AQ$12,"P&amp;L Item",$B91),0))</f>
        <v>0</v>
      </c>
      <c r="AR91" s="65">
        <f ca="1">IF(AR$12="Pro Forma",SUM(OFFSET($B91,0,3*AR$9+1,1,3)),IFERROR(GETPIVOTDATA("Sum of Q"&amp;AR$9+1,'PT-All'!$A$1,"Scenario",AR$12,"P&amp;L Item",$B91),0))</f>
        <v>0</v>
      </c>
      <c r="AS91" s="65">
        <f ca="1">IF(AS$12="Pro Forma",SUM(OFFSET($B91,0,3*AS$9+1,1,3)),IFERROR(GETPIVOTDATA("Sum of Q"&amp;AS$9+1,'PT-All'!$A$1,"Scenario",AS$12,"P&amp;L Item",$B91),0))</f>
        <v>0</v>
      </c>
      <c r="AT91" s="65">
        <f ca="1">IF(AT$12="Pro Forma",SUM(OFFSET($B91,0,3*AT$9+1,1,3)),IFERROR(GETPIVOTDATA("Sum of Q"&amp;AT$9+1,'PT-All'!$A$1,"Scenario",AT$12,"P&amp;L Item",$B91),0))</f>
        <v>0</v>
      </c>
      <c r="AU91" s="65">
        <f ca="1">IF(AU$12="Pro Forma",SUM(OFFSET($B91,0,3*AU$9+1,1,3)),IFERROR(GETPIVOTDATA("Sum of Q"&amp;AU$9+1,'PT-All'!$A$1,"Scenario",AU$12,"P&amp;L Item",$B91),0))</f>
        <v>0</v>
      </c>
      <c r="AV91" s="65">
        <f ca="1">IF(AV$12="Pro Forma",SUM(OFFSET($B91,0,3*AV$9+1,1,3)),IFERROR(GETPIVOTDATA("Sum of Q"&amp;AV$9+1,'PT-All'!$A$1,"Scenario",AV$12,"P&amp;L Item",$B91),0))</f>
        <v>0</v>
      </c>
      <c r="AW91" s="65">
        <f ca="1">IF(AW$12="Pro Forma",SUM(OFFSET($B91,0,3*AW$9+1,1,3)),IFERROR(GETPIVOTDATA("Sum of Q"&amp;AW$9+1,'PT-All'!$A$1,"Scenario",AW$12,"P&amp;L Item",$B91),0))</f>
        <v>0</v>
      </c>
      <c r="AX91" s="65">
        <f ca="1">IF(AX$12="Pro Forma",SUM(OFFSET($B91,0,3*AX$9+1,1,3)),IFERROR(GETPIVOTDATA("Sum of Q"&amp;AX$9+1,'PT-All'!$A$1,"Scenario",AX$12,"P&amp;L Item",$B91),0))</f>
        <v>0</v>
      </c>
      <c r="AY91" s="97">
        <f ca="1">IF(AY$12="Pro Forma",SUM(OFFSET($B91,0,3*AY$9+1,1,3)),IFERROR(GETPIVOTDATA("Sum of Q"&amp;AY$9+1,'PT-All'!$A$1,"Scenario",AY$12,"P&amp;L Item",$B91),0))</f>
        <v>0</v>
      </c>
      <c r="AZ91" s="590"/>
      <c r="BA91" s="108">
        <f ca="1">IF(BA$12="Pro Forma",SUM(OFFSET($B91,0,12*BA$9+1,1,12)),IFERROR(GETPIVOTDATA("Sum of FY"&amp;BA$9+1,'PT-All'!$A$1,"Scenario",BA$12,"P&amp;L Item",$B91),0))</f>
        <v>0</v>
      </c>
      <c r="BB91" s="65">
        <f ca="1">IF(BB$12="Pro Forma",SUM(OFFSET($B91,0,12*BB$9+1,1,12)),IFERROR(GETPIVOTDATA("Sum of FY"&amp;BB$9+1,'PT-All'!$A$1,"Scenario",BB$12,"P&amp;L Item",$B91),0))</f>
        <v>0</v>
      </c>
      <c r="BC91" s="97">
        <f ca="1">IF(BC$12="Pro Forma",SUM(OFFSET($B91,0,12*BC$9+1,1,12)),IFERROR(GETPIVOTDATA("Sum of FY"&amp;BC$9+1,'PT-All'!$A$1,"Scenario",BC$12,"P&amp;L Item",$B91),0))</f>
        <v>0</v>
      </c>
    </row>
    <row r="92" spans="2:55" x14ac:dyDescent="0.35">
      <c r="B92" s="80" t="s">
        <v>124</v>
      </c>
      <c r="C92" s="65">
        <f>CHOOSE(PLColumn,IFERROR(GETPIVOTDATA("Sum of "&amp;C$9,'PT-All'!$A$1,"Scenario",C$12,"P&amp;L Item",$B92),0),IFERROR(GETPIVOTDATA("Sum of "&amp;C$9,'PT-All'!$A$1,"Scenario",C$12,"P&amp;L Item",$B92)/C$201,0),TEXT(IFERROR(GETPIVOTDATA("Sum of "&amp;C$9,'PT-All'!$A$1,"Scenario",C$12,"P&amp;L Item",$B92)/C$29,0),"0.00%"))</f>
        <v>0</v>
      </c>
      <c r="D92" s="65">
        <f>CHOOSE(PLColumn,IFERROR(GETPIVOTDATA("Sum of "&amp;D$9,'PT-All'!$A$1,"Scenario",D$12,"P&amp;L Item",$B92),0),IFERROR(GETPIVOTDATA("Sum of "&amp;D$9,'PT-All'!$A$1,"Scenario",D$12,"P&amp;L Item",$B92)/D$201,0),TEXT(IFERROR(GETPIVOTDATA("Sum of "&amp;D$9,'PT-All'!$A$1,"Scenario",D$12,"P&amp;L Item",$B92)/D$29,0),"0.00%"))</f>
        <v>0</v>
      </c>
      <c r="E92" s="65">
        <f>CHOOSE(PLColumn,IFERROR(GETPIVOTDATA("Sum of "&amp;E$9,'PT-All'!$A$1,"Scenario",E$12,"P&amp;L Item",$B92),0),IFERROR(GETPIVOTDATA("Sum of "&amp;E$9,'PT-All'!$A$1,"Scenario",E$12,"P&amp;L Item",$B92)/E$201,0),TEXT(IFERROR(GETPIVOTDATA("Sum of "&amp;E$9,'PT-All'!$A$1,"Scenario",E$12,"P&amp;L Item",$B92)/E$29,0),"0.00%"))</f>
        <v>0</v>
      </c>
      <c r="F92" s="65">
        <f>CHOOSE(PLColumn,IFERROR(GETPIVOTDATA("Sum of "&amp;F$9,'PT-All'!$A$1,"Scenario",F$12,"P&amp;L Item",$B92),0),IFERROR(GETPIVOTDATA("Sum of "&amp;F$9,'PT-All'!$A$1,"Scenario",F$12,"P&amp;L Item",$B92)/F$201,0),TEXT(IFERROR(GETPIVOTDATA("Sum of "&amp;F$9,'PT-All'!$A$1,"Scenario",F$12,"P&amp;L Item",$B92)/F$29,0),"0.00%"))</f>
        <v>0</v>
      </c>
      <c r="G92" s="65">
        <f>CHOOSE(PLColumn,IFERROR(GETPIVOTDATA("Sum of "&amp;G$9,'PT-All'!$A$1,"Scenario",G$12,"P&amp;L Item",$B92),0),IFERROR(GETPIVOTDATA("Sum of "&amp;G$9,'PT-All'!$A$1,"Scenario",G$12,"P&amp;L Item",$B92)/G$201,0),TEXT(IFERROR(GETPIVOTDATA("Sum of "&amp;G$9,'PT-All'!$A$1,"Scenario",G$12,"P&amp;L Item",$B92)/G$29,0),"0.00%"))</f>
        <v>0</v>
      </c>
      <c r="H92" s="65">
        <f>CHOOSE(PLColumn,IFERROR(GETPIVOTDATA("Sum of "&amp;H$9,'PT-All'!$A$1,"Scenario",H$12,"P&amp;L Item",$B92),0),IFERROR(GETPIVOTDATA("Sum of "&amp;H$9,'PT-All'!$A$1,"Scenario",H$12,"P&amp;L Item",$B92)/H$201,0),TEXT(IFERROR(GETPIVOTDATA("Sum of "&amp;H$9,'PT-All'!$A$1,"Scenario",H$12,"P&amp;L Item",$B92)/H$29,0),"0.00%"))</f>
        <v>0</v>
      </c>
      <c r="I92" s="65">
        <f>CHOOSE(PLColumn,IFERROR(GETPIVOTDATA("Sum of "&amp;I$9,'PT-All'!$A$1,"Scenario",I$12,"P&amp;L Item",$B92),0),IFERROR(GETPIVOTDATA("Sum of "&amp;I$9,'PT-All'!$A$1,"Scenario",I$12,"P&amp;L Item",$B92)/I$201,0),TEXT(IFERROR(GETPIVOTDATA("Sum of "&amp;I$9,'PT-All'!$A$1,"Scenario",I$12,"P&amp;L Item",$B92)/I$29,0),"0.00%"))</f>
        <v>0</v>
      </c>
      <c r="J92" s="65">
        <f>CHOOSE(PLColumn,IFERROR(GETPIVOTDATA("Sum of "&amp;J$9,'PT-All'!$A$1,"Scenario",J$12,"P&amp;L Item",$B92),0),IFERROR(GETPIVOTDATA("Sum of "&amp;J$9,'PT-All'!$A$1,"Scenario",J$12,"P&amp;L Item",$B92)/J$201,0),TEXT(IFERROR(GETPIVOTDATA("Sum of "&amp;J$9,'PT-All'!$A$1,"Scenario",J$12,"P&amp;L Item",$B92)/J$29,0),"0.00%"))</f>
        <v>0</v>
      </c>
      <c r="K92" s="65">
        <f>CHOOSE(PLColumn,IFERROR(GETPIVOTDATA("Sum of "&amp;K$9,'PT-All'!$A$1,"Scenario",K$12,"P&amp;L Item",$B92),0),IFERROR(GETPIVOTDATA("Sum of "&amp;K$9,'PT-All'!$A$1,"Scenario",K$12,"P&amp;L Item",$B92)/K$201,0),TEXT(IFERROR(GETPIVOTDATA("Sum of "&amp;K$9,'PT-All'!$A$1,"Scenario",K$12,"P&amp;L Item",$B92)/K$29,0),"0.00%"))</f>
        <v>0</v>
      </c>
      <c r="L92" s="65">
        <f>CHOOSE(PLColumn,IFERROR(GETPIVOTDATA("Sum of "&amp;L$9,'PT-All'!$A$1,"Scenario",L$12,"P&amp;L Item",$B92),0),IFERROR(GETPIVOTDATA("Sum of "&amp;L$9,'PT-All'!$A$1,"Scenario",L$12,"P&amp;L Item",$B92)/L$201,0),TEXT(IFERROR(GETPIVOTDATA("Sum of "&amp;L$9,'PT-All'!$A$1,"Scenario",L$12,"P&amp;L Item",$B92)/L$29,0),"0.00%"))</f>
        <v>0</v>
      </c>
      <c r="M92" s="65">
        <f>CHOOSE(PLColumn,IFERROR(GETPIVOTDATA("Sum of "&amp;M$9,'PT-All'!$A$1,"Scenario",M$12,"P&amp;L Item",$B92),0),IFERROR(GETPIVOTDATA("Sum of "&amp;M$9,'PT-All'!$A$1,"Scenario",M$12,"P&amp;L Item",$B92)/M$201,0),TEXT(IFERROR(GETPIVOTDATA("Sum of "&amp;M$9,'PT-All'!$A$1,"Scenario",M$12,"P&amp;L Item",$B92)/M$29,0),"0.00%"))</f>
        <v>0</v>
      </c>
      <c r="N92" s="65">
        <f>CHOOSE(PLColumn,IFERROR(GETPIVOTDATA("Sum of "&amp;N$9,'PT-All'!$A$1,"Scenario",N$12,"P&amp;L Item",$B92),0),IFERROR(GETPIVOTDATA("Sum of "&amp;N$9,'PT-All'!$A$1,"Scenario",N$12,"P&amp;L Item",$B92)/N$201,0),TEXT(IFERROR(GETPIVOTDATA("Sum of "&amp;N$9,'PT-All'!$A$1,"Scenario",N$12,"P&amp;L Item",$B92)/N$29,0),"0.00%"))</f>
        <v>0</v>
      </c>
      <c r="O92" s="65">
        <f>CHOOSE(PLColumn,IFERROR(GETPIVOTDATA("Sum of "&amp;O$9,'PT-All'!$A$1,"Scenario",O$12,"P&amp;L Item",$B92),0),IFERROR(GETPIVOTDATA("Sum of "&amp;O$9,'PT-All'!$A$1,"Scenario",O$12,"P&amp;L Item",$B92)/O$201,0),TEXT(IFERROR(GETPIVOTDATA("Sum of "&amp;O$9,'PT-All'!$A$1,"Scenario",O$12,"P&amp;L Item",$B92)/O$29,0),"0.00%"))</f>
        <v>0</v>
      </c>
      <c r="P92" s="65">
        <f>CHOOSE(PLColumn,IFERROR(GETPIVOTDATA("Sum of "&amp;P$9,'PT-All'!$A$1,"Scenario",P$12,"P&amp;L Item",$B92),0),IFERROR(GETPIVOTDATA("Sum of "&amp;P$9,'PT-All'!$A$1,"Scenario",P$12,"P&amp;L Item",$B92)/P$201,0),TEXT(IFERROR(GETPIVOTDATA("Sum of "&amp;P$9,'PT-All'!$A$1,"Scenario",P$12,"P&amp;L Item",$B92)/P$29,0),"0.00%"))</f>
        <v>0</v>
      </c>
      <c r="Q92" s="65">
        <f>CHOOSE(PLColumn,IFERROR(GETPIVOTDATA("Sum of "&amp;Q$9,'PT-All'!$A$1,"Scenario",Q$12,"P&amp;L Item",$B92),0),IFERROR(GETPIVOTDATA("Sum of "&amp;Q$9,'PT-All'!$A$1,"Scenario",Q$12,"P&amp;L Item",$B92)/Q$201,0),TEXT(IFERROR(GETPIVOTDATA("Sum of "&amp;Q$9,'PT-All'!$A$1,"Scenario",Q$12,"P&amp;L Item",$B92)/Q$29,0),"0.00%"))</f>
        <v>0</v>
      </c>
      <c r="R92" s="65">
        <f>CHOOSE(PLColumn,IFERROR(GETPIVOTDATA("Sum of "&amp;R$9,'PT-All'!$A$1,"Scenario",R$12,"P&amp;L Item",$B92),0),IFERROR(GETPIVOTDATA("Sum of "&amp;R$9,'PT-All'!$A$1,"Scenario",R$12,"P&amp;L Item",$B92)/R$201,0),TEXT(IFERROR(GETPIVOTDATA("Sum of "&amp;R$9,'PT-All'!$A$1,"Scenario",R$12,"P&amp;L Item",$B92)/R$29,0),"0.00%"))</f>
        <v>0</v>
      </c>
      <c r="S92" s="65">
        <f>CHOOSE(PLColumn,IFERROR(GETPIVOTDATA("Sum of "&amp;S$9,'PT-All'!$A$1,"Scenario",S$12,"P&amp;L Item",$B92),0),IFERROR(GETPIVOTDATA("Sum of "&amp;S$9,'PT-All'!$A$1,"Scenario",S$12,"P&amp;L Item",$B92)/S$201,0),TEXT(IFERROR(GETPIVOTDATA("Sum of "&amp;S$9,'PT-All'!$A$1,"Scenario",S$12,"P&amp;L Item",$B92)/S$29,0),"0.00%"))</f>
        <v>0</v>
      </c>
      <c r="T92" s="65">
        <f>CHOOSE(PLColumn,IFERROR(GETPIVOTDATA("Sum of "&amp;T$9,'PT-All'!$A$1,"Scenario",T$12,"P&amp;L Item",$B92),0),IFERROR(GETPIVOTDATA("Sum of "&amp;T$9,'PT-All'!$A$1,"Scenario",T$12,"P&amp;L Item",$B92)/T$201,0),TEXT(IFERROR(GETPIVOTDATA("Sum of "&amp;T$9,'PT-All'!$A$1,"Scenario",T$12,"P&amp;L Item",$B92)/T$29,0),"0.00%"))</f>
        <v>0</v>
      </c>
      <c r="U92" s="65">
        <f>CHOOSE(PLColumn,IFERROR(GETPIVOTDATA("Sum of "&amp;U$9,'PT-All'!$A$1,"Scenario",U$12,"P&amp;L Item",$B92),0),IFERROR(GETPIVOTDATA("Sum of "&amp;U$9,'PT-All'!$A$1,"Scenario",U$12,"P&amp;L Item",$B92)/U$201,0),TEXT(IFERROR(GETPIVOTDATA("Sum of "&amp;U$9,'PT-All'!$A$1,"Scenario",U$12,"P&amp;L Item",$B92)/U$29,0),"0.00%"))</f>
        <v>0</v>
      </c>
      <c r="V92" s="65">
        <f>CHOOSE(PLColumn,IFERROR(GETPIVOTDATA("Sum of "&amp;V$9,'PT-All'!$A$1,"Scenario",V$12,"P&amp;L Item",$B92),0),IFERROR(GETPIVOTDATA("Sum of "&amp;V$9,'PT-All'!$A$1,"Scenario",V$12,"P&amp;L Item",$B92)/V$201,0),TEXT(IFERROR(GETPIVOTDATA("Sum of "&amp;V$9,'PT-All'!$A$1,"Scenario",V$12,"P&amp;L Item",$B92)/V$29,0),"0.00%"))</f>
        <v>0</v>
      </c>
      <c r="W92" s="65">
        <f>CHOOSE(PLColumn,IFERROR(GETPIVOTDATA("Sum of "&amp;W$9,'PT-All'!$A$1,"Scenario",W$12,"P&amp;L Item",$B92),0),IFERROR(GETPIVOTDATA("Sum of "&amp;W$9,'PT-All'!$A$1,"Scenario",W$12,"P&amp;L Item",$B92)/W$201,0),TEXT(IFERROR(GETPIVOTDATA("Sum of "&amp;W$9,'PT-All'!$A$1,"Scenario",W$12,"P&amp;L Item",$B92)/W$29,0),"0.00%"))</f>
        <v>0</v>
      </c>
      <c r="X92" s="65">
        <f>CHOOSE(PLColumn,IFERROR(GETPIVOTDATA("Sum of "&amp;X$9,'PT-All'!$A$1,"Scenario",X$12,"P&amp;L Item",$B92),0),IFERROR(GETPIVOTDATA("Sum of "&amp;X$9,'PT-All'!$A$1,"Scenario",X$12,"P&amp;L Item",$B92)/X$201,0),TEXT(IFERROR(GETPIVOTDATA("Sum of "&amp;X$9,'PT-All'!$A$1,"Scenario",X$12,"P&amp;L Item",$B92)/X$29,0),"0.00%"))</f>
        <v>0</v>
      </c>
      <c r="Y92" s="65">
        <f>CHOOSE(PLColumn,IFERROR(GETPIVOTDATA("Sum of "&amp;Y$9,'PT-All'!$A$1,"Scenario",Y$12,"P&amp;L Item",$B92),0),IFERROR(GETPIVOTDATA("Sum of "&amp;Y$9,'PT-All'!$A$1,"Scenario",Y$12,"P&amp;L Item",$B92)/Y$201,0),TEXT(IFERROR(GETPIVOTDATA("Sum of "&amp;Y$9,'PT-All'!$A$1,"Scenario",Y$12,"P&amp;L Item",$B92)/Y$29,0),"0.00%"))</f>
        <v>0</v>
      </c>
      <c r="Z92" s="65">
        <f>CHOOSE(PLColumn,IFERROR(GETPIVOTDATA("Sum of "&amp;Z$9,'PT-All'!$A$1,"Scenario",Z$12,"P&amp;L Item",$B92),0),IFERROR(GETPIVOTDATA("Sum of "&amp;Z$9,'PT-All'!$A$1,"Scenario",Z$12,"P&amp;L Item",$B92)/Z$201,0),TEXT(IFERROR(GETPIVOTDATA("Sum of "&amp;Z$9,'PT-All'!$A$1,"Scenario",Z$12,"P&amp;L Item",$B92)/Z$29,0),"0.00%"))</f>
        <v>0</v>
      </c>
      <c r="AA92" s="65">
        <f>CHOOSE(PLColumn,IFERROR(GETPIVOTDATA("Sum of "&amp;AA$9,'PT-All'!$A$1,"Scenario",AA$12,"P&amp;L Item",$B92),0),IFERROR(GETPIVOTDATA("Sum of "&amp;AA$9,'PT-All'!$A$1,"Scenario",AA$12,"P&amp;L Item",$B92)/AA$201,0),TEXT(IFERROR(GETPIVOTDATA("Sum of "&amp;AA$9,'PT-All'!$A$1,"Scenario",AA$12,"P&amp;L Item",$B92)/AA$29,0),"0.00%"))</f>
        <v>0</v>
      </c>
      <c r="AB92" s="65">
        <f>CHOOSE(PLColumn,IFERROR(GETPIVOTDATA("Sum of "&amp;AB$9,'PT-All'!$A$1,"Scenario",AB$12,"P&amp;L Item",$B92),0),IFERROR(GETPIVOTDATA("Sum of "&amp;AB$9,'PT-All'!$A$1,"Scenario",AB$12,"P&amp;L Item",$B92)/AB$201,0),TEXT(IFERROR(GETPIVOTDATA("Sum of "&amp;AB$9,'PT-All'!$A$1,"Scenario",AB$12,"P&amp;L Item",$B92)/AB$29,0),"0.00%"))</f>
        <v>0</v>
      </c>
      <c r="AC92" s="65">
        <f>CHOOSE(PLColumn,IFERROR(GETPIVOTDATA("Sum of "&amp;AC$9,'PT-All'!$A$1,"Scenario",AC$12,"P&amp;L Item",$B92),0),IFERROR(GETPIVOTDATA("Sum of "&amp;AC$9,'PT-All'!$A$1,"Scenario",AC$12,"P&amp;L Item",$B92)/AC$201,0),TEXT(IFERROR(GETPIVOTDATA("Sum of "&amp;AC$9,'PT-All'!$A$1,"Scenario",AC$12,"P&amp;L Item",$B92)/AC$29,0),"0.00%"))</f>
        <v>0</v>
      </c>
      <c r="AD92" s="65">
        <f>CHOOSE(PLColumn,IFERROR(GETPIVOTDATA("Sum of "&amp;AD$9,'PT-All'!$A$1,"Scenario",AD$12,"P&amp;L Item",$B92),0),IFERROR(GETPIVOTDATA("Sum of "&amp;AD$9,'PT-All'!$A$1,"Scenario",AD$12,"P&amp;L Item",$B92)/AD$201,0),TEXT(IFERROR(GETPIVOTDATA("Sum of "&amp;AD$9,'PT-All'!$A$1,"Scenario",AD$12,"P&amp;L Item",$B92)/AD$29,0),"0.00%"))</f>
        <v>0</v>
      </c>
      <c r="AE92" s="65">
        <f>CHOOSE(PLColumn,IFERROR(GETPIVOTDATA("Sum of "&amp;AE$9,'PT-All'!$A$1,"Scenario",AE$12,"P&amp;L Item",$B92),0),IFERROR(GETPIVOTDATA("Sum of "&amp;AE$9,'PT-All'!$A$1,"Scenario",AE$12,"P&amp;L Item",$B92)/AE$201,0),TEXT(IFERROR(GETPIVOTDATA("Sum of "&amp;AE$9,'PT-All'!$A$1,"Scenario",AE$12,"P&amp;L Item",$B92)/AE$29,0),"0.00%"))</f>
        <v>0</v>
      </c>
      <c r="AF92" s="65">
        <f>CHOOSE(PLColumn,IFERROR(GETPIVOTDATA("Sum of "&amp;AF$9,'PT-All'!$A$1,"Scenario",AF$12,"P&amp;L Item",$B92),0),IFERROR(GETPIVOTDATA("Sum of "&amp;AF$9,'PT-All'!$A$1,"Scenario",AF$12,"P&amp;L Item",$B92)/AF$201,0),TEXT(IFERROR(GETPIVOTDATA("Sum of "&amp;AF$9,'PT-All'!$A$1,"Scenario",AF$12,"P&amp;L Item",$B92)/AF$29,0),"0.00%"))</f>
        <v>0</v>
      </c>
      <c r="AG92" s="65">
        <f>CHOOSE(PLColumn,IFERROR(GETPIVOTDATA("Sum of "&amp;AG$9,'PT-All'!$A$1,"Scenario",AG$12,"P&amp;L Item",$B92),0),IFERROR(GETPIVOTDATA("Sum of "&amp;AG$9,'PT-All'!$A$1,"Scenario",AG$12,"P&amp;L Item",$B92)/AG$201,0),TEXT(IFERROR(GETPIVOTDATA("Sum of "&amp;AG$9,'PT-All'!$A$1,"Scenario",AG$12,"P&amp;L Item",$B92)/AG$29,0),"0.00%"))</f>
        <v>0</v>
      </c>
      <c r="AH92" s="65">
        <f>CHOOSE(PLColumn,IFERROR(GETPIVOTDATA("Sum of "&amp;AH$9,'PT-All'!$A$1,"Scenario",AH$12,"P&amp;L Item",$B92),0),IFERROR(GETPIVOTDATA("Sum of "&amp;AH$9,'PT-All'!$A$1,"Scenario",AH$12,"P&amp;L Item",$B92)/AH$201,0),TEXT(IFERROR(GETPIVOTDATA("Sum of "&amp;AH$9,'PT-All'!$A$1,"Scenario",AH$12,"P&amp;L Item",$B92)/AH$29,0),"0.00%"))</f>
        <v>0</v>
      </c>
      <c r="AI92" s="65">
        <f>CHOOSE(PLColumn,IFERROR(GETPIVOTDATA("Sum of "&amp;AI$9,'PT-All'!$A$1,"Scenario",AI$12,"P&amp;L Item",$B92),0),IFERROR(GETPIVOTDATA("Sum of "&amp;AI$9,'PT-All'!$A$1,"Scenario",AI$12,"P&amp;L Item",$B92)/AI$201,0),TEXT(IFERROR(GETPIVOTDATA("Sum of "&amp;AI$9,'PT-All'!$A$1,"Scenario",AI$12,"P&amp;L Item",$B92)/AI$29,0),"0.00%"))</f>
        <v>0</v>
      </c>
      <c r="AJ92" s="65">
        <f>CHOOSE(PLColumn,IFERROR(GETPIVOTDATA("Sum of "&amp;AJ$9,'PT-All'!$A$1,"Scenario",AJ$12,"P&amp;L Item",$B92),0),IFERROR(GETPIVOTDATA("Sum of "&amp;AJ$9,'PT-All'!$A$1,"Scenario",AJ$12,"P&amp;L Item",$B92)/AJ$201,0),TEXT(IFERROR(GETPIVOTDATA("Sum of "&amp;AJ$9,'PT-All'!$A$1,"Scenario",AJ$12,"P&amp;L Item",$B92)/AJ$29,0),"0.00%"))</f>
        <v>0</v>
      </c>
      <c r="AK92" s="65">
        <f>CHOOSE(PLColumn,IFERROR(GETPIVOTDATA("Sum of "&amp;AK$9,'PT-All'!$A$1,"Scenario",AK$12,"P&amp;L Item",$B92),0),IFERROR(GETPIVOTDATA("Sum of "&amp;AK$9,'PT-All'!$A$1,"Scenario",AK$12,"P&amp;L Item",$B92)/AK$201,0),TEXT(IFERROR(GETPIVOTDATA("Sum of "&amp;AK$9,'PT-All'!$A$1,"Scenario",AK$12,"P&amp;L Item",$B92)/AK$29,0),"0.00%"))</f>
        <v>0</v>
      </c>
      <c r="AL92" s="97">
        <f>CHOOSE(PLColumn,IFERROR(GETPIVOTDATA("Sum of "&amp;AL$9,'PT-All'!$A$1,"Scenario",AL$12,"P&amp;L Item",$B92),0),IFERROR(GETPIVOTDATA("Sum of "&amp;AL$9,'PT-All'!$A$1,"Scenario",AL$12,"P&amp;L Item",$B92)/AL$201,0),TEXT(IFERROR(GETPIVOTDATA("Sum of "&amp;AL$9,'PT-All'!$A$1,"Scenario",AL$12,"P&amp;L Item",$B92)/AL$29,0),"0.00%"))</f>
        <v>0</v>
      </c>
      <c r="AM92" s="590"/>
      <c r="AN92" s="108">
        <f ca="1">IF(AN$12="Pro Forma",SUM(OFFSET($B92,0,3*AN$9+1,1,3)),IFERROR(GETPIVOTDATA("Sum of Q"&amp;AN$9+1,'PT-All'!$A$1,"Scenario",AN$12,"P&amp;L Item",$B92),0))</f>
        <v>0</v>
      </c>
      <c r="AO92" s="65">
        <f ca="1">IF(AO$12="Pro Forma",SUM(OFFSET($B92,0,3*AO$9+1,1,3)),IFERROR(GETPIVOTDATA("Sum of Q"&amp;AO$9+1,'PT-All'!$A$1,"Scenario",AO$12,"P&amp;L Item",$B92),0))</f>
        <v>0</v>
      </c>
      <c r="AP92" s="65">
        <f ca="1">IF(AP$12="Pro Forma",SUM(OFFSET($B92,0,3*AP$9+1,1,3)),IFERROR(GETPIVOTDATA("Sum of Q"&amp;AP$9+1,'PT-All'!$A$1,"Scenario",AP$12,"P&amp;L Item",$B92),0))</f>
        <v>0</v>
      </c>
      <c r="AQ92" s="65">
        <f ca="1">IF(AQ$12="Pro Forma",SUM(OFFSET($B92,0,3*AQ$9+1,1,3)),IFERROR(GETPIVOTDATA("Sum of Q"&amp;AQ$9+1,'PT-All'!$A$1,"Scenario",AQ$12,"P&amp;L Item",$B92),0))</f>
        <v>0</v>
      </c>
      <c r="AR92" s="65">
        <f ca="1">IF(AR$12="Pro Forma",SUM(OFFSET($B92,0,3*AR$9+1,1,3)),IFERROR(GETPIVOTDATA("Sum of Q"&amp;AR$9+1,'PT-All'!$A$1,"Scenario",AR$12,"P&amp;L Item",$B92),0))</f>
        <v>0</v>
      </c>
      <c r="AS92" s="65">
        <f ca="1">IF(AS$12="Pro Forma",SUM(OFFSET($B92,0,3*AS$9+1,1,3)),IFERROR(GETPIVOTDATA("Sum of Q"&amp;AS$9+1,'PT-All'!$A$1,"Scenario",AS$12,"P&amp;L Item",$B92),0))</f>
        <v>0</v>
      </c>
      <c r="AT92" s="65">
        <f ca="1">IF(AT$12="Pro Forma",SUM(OFFSET($B92,0,3*AT$9+1,1,3)),IFERROR(GETPIVOTDATA("Sum of Q"&amp;AT$9+1,'PT-All'!$A$1,"Scenario",AT$12,"P&amp;L Item",$B92),0))</f>
        <v>0</v>
      </c>
      <c r="AU92" s="65">
        <f ca="1">IF(AU$12="Pro Forma",SUM(OFFSET($B92,0,3*AU$9+1,1,3)),IFERROR(GETPIVOTDATA("Sum of Q"&amp;AU$9+1,'PT-All'!$A$1,"Scenario",AU$12,"P&amp;L Item",$B92),0))</f>
        <v>0</v>
      </c>
      <c r="AV92" s="65">
        <f ca="1">IF(AV$12="Pro Forma",SUM(OFFSET($B92,0,3*AV$9+1,1,3)),IFERROR(GETPIVOTDATA("Sum of Q"&amp;AV$9+1,'PT-All'!$A$1,"Scenario",AV$12,"P&amp;L Item",$B92),0))</f>
        <v>0</v>
      </c>
      <c r="AW92" s="65">
        <f ca="1">IF(AW$12="Pro Forma",SUM(OFFSET($B92,0,3*AW$9+1,1,3)),IFERROR(GETPIVOTDATA("Sum of Q"&amp;AW$9+1,'PT-All'!$A$1,"Scenario",AW$12,"P&amp;L Item",$B92),0))</f>
        <v>0</v>
      </c>
      <c r="AX92" s="65">
        <f ca="1">IF(AX$12="Pro Forma",SUM(OFFSET($B92,0,3*AX$9+1,1,3)),IFERROR(GETPIVOTDATA("Sum of Q"&amp;AX$9+1,'PT-All'!$A$1,"Scenario",AX$12,"P&amp;L Item",$B92),0))</f>
        <v>0</v>
      </c>
      <c r="AY92" s="97">
        <f ca="1">IF(AY$12="Pro Forma",SUM(OFFSET($B92,0,3*AY$9+1,1,3)),IFERROR(GETPIVOTDATA("Sum of Q"&amp;AY$9+1,'PT-All'!$A$1,"Scenario",AY$12,"P&amp;L Item",$B92),0))</f>
        <v>0</v>
      </c>
      <c r="AZ92" s="590"/>
      <c r="BA92" s="108">
        <f ca="1">IF(BA$12="Pro Forma",SUM(OFFSET($B92,0,12*BA$9+1,1,12)),IFERROR(GETPIVOTDATA("Sum of FY"&amp;BA$9+1,'PT-All'!$A$1,"Scenario",BA$12,"P&amp;L Item",$B92),0))</f>
        <v>0</v>
      </c>
      <c r="BB92" s="65">
        <f ca="1">IF(BB$12="Pro Forma",SUM(OFFSET($B92,0,12*BB$9+1,1,12)),IFERROR(GETPIVOTDATA("Sum of FY"&amp;BB$9+1,'PT-All'!$A$1,"Scenario",BB$12,"P&amp;L Item",$B92),0))</f>
        <v>0</v>
      </c>
      <c r="BC92" s="97">
        <f ca="1">IF(BC$12="Pro Forma",SUM(OFFSET($B92,0,12*BC$9+1,1,12)),IFERROR(GETPIVOTDATA("Sum of FY"&amp;BC$9+1,'PT-All'!$A$1,"Scenario",BC$12,"P&amp;L Item",$B92),0))</f>
        <v>0</v>
      </c>
    </row>
    <row r="93" spans="2:55" x14ac:dyDescent="0.35">
      <c r="B93" s="80" t="s">
        <v>125</v>
      </c>
      <c r="C93" s="65">
        <f>CHOOSE(PLColumn,IFERROR(GETPIVOTDATA("Sum of "&amp;C$9,'PT-All'!$A$1,"Scenario",C$12,"P&amp;L Item",$B93),0),IFERROR(GETPIVOTDATA("Sum of "&amp;C$9,'PT-All'!$A$1,"Scenario",C$12,"P&amp;L Item",$B93)/C$201,0),TEXT(IFERROR(GETPIVOTDATA("Sum of "&amp;C$9,'PT-All'!$A$1,"Scenario",C$12,"P&amp;L Item",$B93)/C$29,0),"0.00%"))</f>
        <v>0</v>
      </c>
      <c r="D93" s="65">
        <f>CHOOSE(PLColumn,IFERROR(GETPIVOTDATA("Sum of "&amp;D$9,'PT-All'!$A$1,"Scenario",D$12,"P&amp;L Item",$B93),0),IFERROR(GETPIVOTDATA("Sum of "&amp;D$9,'PT-All'!$A$1,"Scenario",D$12,"P&amp;L Item",$B93)/D$201,0),TEXT(IFERROR(GETPIVOTDATA("Sum of "&amp;D$9,'PT-All'!$A$1,"Scenario",D$12,"P&amp;L Item",$B93)/D$29,0),"0.00%"))</f>
        <v>0</v>
      </c>
      <c r="E93" s="65">
        <f>CHOOSE(PLColumn,IFERROR(GETPIVOTDATA("Sum of "&amp;E$9,'PT-All'!$A$1,"Scenario",E$12,"P&amp;L Item",$B93),0),IFERROR(GETPIVOTDATA("Sum of "&amp;E$9,'PT-All'!$A$1,"Scenario",E$12,"P&amp;L Item",$B93)/E$201,0),TEXT(IFERROR(GETPIVOTDATA("Sum of "&amp;E$9,'PT-All'!$A$1,"Scenario",E$12,"P&amp;L Item",$B93)/E$29,0),"0.00%"))</f>
        <v>0</v>
      </c>
      <c r="F93" s="65">
        <f>CHOOSE(PLColumn,IFERROR(GETPIVOTDATA("Sum of "&amp;F$9,'PT-All'!$A$1,"Scenario",F$12,"P&amp;L Item",$B93),0),IFERROR(GETPIVOTDATA("Sum of "&amp;F$9,'PT-All'!$A$1,"Scenario",F$12,"P&amp;L Item",$B93)/F$201,0),TEXT(IFERROR(GETPIVOTDATA("Sum of "&amp;F$9,'PT-All'!$A$1,"Scenario",F$12,"P&amp;L Item",$B93)/F$29,0),"0.00%"))</f>
        <v>0</v>
      </c>
      <c r="G93" s="65">
        <f>CHOOSE(PLColumn,IFERROR(GETPIVOTDATA("Sum of "&amp;G$9,'PT-All'!$A$1,"Scenario",G$12,"P&amp;L Item",$B93),0),IFERROR(GETPIVOTDATA("Sum of "&amp;G$9,'PT-All'!$A$1,"Scenario",G$12,"P&amp;L Item",$B93)/G$201,0),TEXT(IFERROR(GETPIVOTDATA("Sum of "&amp;G$9,'PT-All'!$A$1,"Scenario",G$12,"P&amp;L Item",$B93)/G$29,0),"0.00%"))</f>
        <v>0</v>
      </c>
      <c r="H93" s="65">
        <f>CHOOSE(PLColumn,IFERROR(GETPIVOTDATA("Sum of "&amp;H$9,'PT-All'!$A$1,"Scenario",H$12,"P&amp;L Item",$B93),0),IFERROR(GETPIVOTDATA("Sum of "&amp;H$9,'PT-All'!$A$1,"Scenario",H$12,"P&amp;L Item",$B93)/H$201,0),TEXT(IFERROR(GETPIVOTDATA("Sum of "&amp;H$9,'PT-All'!$A$1,"Scenario",H$12,"P&amp;L Item",$B93)/H$29,0),"0.00%"))</f>
        <v>0</v>
      </c>
      <c r="I93" s="65">
        <f>CHOOSE(PLColumn,IFERROR(GETPIVOTDATA("Sum of "&amp;I$9,'PT-All'!$A$1,"Scenario",I$12,"P&amp;L Item",$B93),0),IFERROR(GETPIVOTDATA("Sum of "&amp;I$9,'PT-All'!$A$1,"Scenario",I$12,"P&amp;L Item",$B93)/I$201,0),TEXT(IFERROR(GETPIVOTDATA("Sum of "&amp;I$9,'PT-All'!$A$1,"Scenario",I$12,"P&amp;L Item",$B93)/I$29,0),"0.00%"))</f>
        <v>0</v>
      </c>
      <c r="J93" s="65">
        <f>CHOOSE(PLColumn,IFERROR(GETPIVOTDATA("Sum of "&amp;J$9,'PT-All'!$A$1,"Scenario",J$12,"P&amp;L Item",$B93),0),IFERROR(GETPIVOTDATA("Sum of "&amp;J$9,'PT-All'!$A$1,"Scenario",J$12,"P&amp;L Item",$B93)/J$201,0),TEXT(IFERROR(GETPIVOTDATA("Sum of "&amp;J$9,'PT-All'!$A$1,"Scenario",J$12,"P&amp;L Item",$B93)/J$29,0),"0.00%"))</f>
        <v>0</v>
      </c>
      <c r="K93" s="65">
        <f>CHOOSE(PLColumn,IFERROR(GETPIVOTDATA("Sum of "&amp;K$9,'PT-All'!$A$1,"Scenario",K$12,"P&amp;L Item",$B93),0),IFERROR(GETPIVOTDATA("Sum of "&amp;K$9,'PT-All'!$A$1,"Scenario",K$12,"P&amp;L Item",$B93)/K$201,0),TEXT(IFERROR(GETPIVOTDATA("Sum of "&amp;K$9,'PT-All'!$A$1,"Scenario",K$12,"P&amp;L Item",$B93)/K$29,0),"0.00%"))</f>
        <v>0</v>
      </c>
      <c r="L93" s="65">
        <f>CHOOSE(PLColumn,IFERROR(GETPIVOTDATA("Sum of "&amp;L$9,'PT-All'!$A$1,"Scenario",L$12,"P&amp;L Item",$B93),0),IFERROR(GETPIVOTDATA("Sum of "&amp;L$9,'PT-All'!$A$1,"Scenario",L$12,"P&amp;L Item",$B93)/L$201,0),TEXT(IFERROR(GETPIVOTDATA("Sum of "&amp;L$9,'PT-All'!$A$1,"Scenario",L$12,"P&amp;L Item",$B93)/L$29,0),"0.00%"))</f>
        <v>0</v>
      </c>
      <c r="M93" s="65">
        <f>CHOOSE(PLColumn,IFERROR(GETPIVOTDATA("Sum of "&amp;M$9,'PT-All'!$A$1,"Scenario",M$12,"P&amp;L Item",$B93),0),IFERROR(GETPIVOTDATA("Sum of "&amp;M$9,'PT-All'!$A$1,"Scenario",M$12,"P&amp;L Item",$B93)/M$201,0),TEXT(IFERROR(GETPIVOTDATA("Sum of "&amp;M$9,'PT-All'!$A$1,"Scenario",M$12,"P&amp;L Item",$B93)/M$29,0),"0.00%"))</f>
        <v>0</v>
      </c>
      <c r="N93" s="65">
        <f>CHOOSE(PLColumn,IFERROR(GETPIVOTDATA("Sum of "&amp;N$9,'PT-All'!$A$1,"Scenario",N$12,"P&amp;L Item",$B93),0),IFERROR(GETPIVOTDATA("Sum of "&amp;N$9,'PT-All'!$A$1,"Scenario",N$12,"P&amp;L Item",$B93)/N$201,0),TEXT(IFERROR(GETPIVOTDATA("Sum of "&amp;N$9,'PT-All'!$A$1,"Scenario",N$12,"P&amp;L Item",$B93)/N$29,0),"0.00%"))</f>
        <v>0</v>
      </c>
      <c r="O93" s="65">
        <f>CHOOSE(PLColumn,IFERROR(GETPIVOTDATA("Sum of "&amp;O$9,'PT-All'!$A$1,"Scenario",O$12,"P&amp;L Item",$B93),0),IFERROR(GETPIVOTDATA("Sum of "&amp;O$9,'PT-All'!$A$1,"Scenario",O$12,"P&amp;L Item",$B93)/O$201,0),TEXT(IFERROR(GETPIVOTDATA("Sum of "&amp;O$9,'PT-All'!$A$1,"Scenario",O$12,"P&amp;L Item",$B93)/O$29,0),"0.00%"))</f>
        <v>0</v>
      </c>
      <c r="P93" s="65">
        <f>CHOOSE(PLColumn,IFERROR(GETPIVOTDATA("Sum of "&amp;P$9,'PT-All'!$A$1,"Scenario",P$12,"P&amp;L Item",$B93),0),IFERROR(GETPIVOTDATA("Sum of "&amp;P$9,'PT-All'!$A$1,"Scenario",P$12,"P&amp;L Item",$B93)/P$201,0),TEXT(IFERROR(GETPIVOTDATA("Sum of "&amp;P$9,'PT-All'!$A$1,"Scenario",P$12,"P&amp;L Item",$B93)/P$29,0),"0.00%"))</f>
        <v>0</v>
      </c>
      <c r="Q93" s="65">
        <f>CHOOSE(PLColumn,IFERROR(GETPIVOTDATA("Sum of "&amp;Q$9,'PT-All'!$A$1,"Scenario",Q$12,"P&amp;L Item",$B93),0),IFERROR(GETPIVOTDATA("Sum of "&amp;Q$9,'PT-All'!$A$1,"Scenario",Q$12,"P&amp;L Item",$B93)/Q$201,0),TEXT(IFERROR(GETPIVOTDATA("Sum of "&amp;Q$9,'PT-All'!$A$1,"Scenario",Q$12,"P&amp;L Item",$B93)/Q$29,0),"0.00%"))</f>
        <v>0</v>
      </c>
      <c r="R93" s="65">
        <f>CHOOSE(PLColumn,IFERROR(GETPIVOTDATA("Sum of "&amp;R$9,'PT-All'!$A$1,"Scenario",R$12,"P&amp;L Item",$B93),0),IFERROR(GETPIVOTDATA("Sum of "&amp;R$9,'PT-All'!$A$1,"Scenario",R$12,"P&amp;L Item",$B93)/R$201,0),TEXT(IFERROR(GETPIVOTDATA("Sum of "&amp;R$9,'PT-All'!$A$1,"Scenario",R$12,"P&amp;L Item",$B93)/R$29,0),"0.00%"))</f>
        <v>0</v>
      </c>
      <c r="S93" s="65">
        <f>CHOOSE(PLColumn,IFERROR(GETPIVOTDATA("Sum of "&amp;S$9,'PT-All'!$A$1,"Scenario",S$12,"P&amp;L Item",$B93),0),IFERROR(GETPIVOTDATA("Sum of "&amp;S$9,'PT-All'!$A$1,"Scenario",S$12,"P&amp;L Item",$B93)/S$201,0),TEXT(IFERROR(GETPIVOTDATA("Sum of "&amp;S$9,'PT-All'!$A$1,"Scenario",S$12,"P&amp;L Item",$B93)/S$29,0),"0.00%"))</f>
        <v>0</v>
      </c>
      <c r="T93" s="65">
        <f>CHOOSE(PLColumn,IFERROR(GETPIVOTDATA("Sum of "&amp;T$9,'PT-All'!$A$1,"Scenario",T$12,"P&amp;L Item",$B93),0),IFERROR(GETPIVOTDATA("Sum of "&amp;T$9,'PT-All'!$A$1,"Scenario",T$12,"P&amp;L Item",$B93)/T$201,0),TEXT(IFERROR(GETPIVOTDATA("Sum of "&amp;T$9,'PT-All'!$A$1,"Scenario",T$12,"P&amp;L Item",$B93)/T$29,0),"0.00%"))</f>
        <v>0</v>
      </c>
      <c r="U93" s="65">
        <f>CHOOSE(PLColumn,IFERROR(GETPIVOTDATA("Sum of "&amp;U$9,'PT-All'!$A$1,"Scenario",U$12,"P&amp;L Item",$B93),0),IFERROR(GETPIVOTDATA("Sum of "&amp;U$9,'PT-All'!$A$1,"Scenario",U$12,"P&amp;L Item",$B93)/U$201,0),TEXT(IFERROR(GETPIVOTDATA("Sum of "&amp;U$9,'PT-All'!$A$1,"Scenario",U$12,"P&amp;L Item",$B93)/U$29,0),"0.00%"))</f>
        <v>0</v>
      </c>
      <c r="V93" s="65">
        <f>CHOOSE(PLColumn,IFERROR(GETPIVOTDATA("Sum of "&amp;V$9,'PT-All'!$A$1,"Scenario",V$12,"P&amp;L Item",$B93),0),IFERROR(GETPIVOTDATA("Sum of "&amp;V$9,'PT-All'!$A$1,"Scenario",V$12,"P&amp;L Item",$B93)/V$201,0),TEXT(IFERROR(GETPIVOTDATA("Sum of "&amp;V$9,'PT-All'!$A$1,"Scenario",V$12,"P&amp;L Item",$B93)/V$29,0),"0.00%"))</f>
        <v>0</v>
      </c>
      <c r="W93" s="65">
        <f>CHOOSE(PLColumn,IFERROR(GETPIVOTDATA("Sum of "&amp;W$9,'PT-All'!$A$1,"Scenario",W$12,"P&amp;L Item",$B93),0),IFERROR(GETPIVOTDATA("Sum of "&amp;W$9,'PT-All'!$A$1,"Scenario",W$12,"P&amp;L Item",$B93)/W$201,0),TEXT(IFERROR(GETPIVOTDATA("Sum of "&amp;W$9,'PT-All'!$A$1,"Scenario",W$12,"P&amp;L Item",$B93)/W$29,0),"0.00%"))</f>
        <v>0</v>
      </c>
      <c r="X93" s="65">
        <f>CHOOSE(PLColumn,IFERROR(GETPIVOTDATA("Sum of "&amp;X$9,'PT-All'!$A$1,"Scenario",X$12,"P&amp;L Item",$B93),0),IFERROR(GETPIVOTDATA("Sum of "&amp;X$9,'PT-All'!$A$1,"Scenario",X$12,"P&amp;L Item",$B93)/X$201,0),TEXT(IFERROR(GETPIVOTDATA("Sum of "&amp;X$9,'PT-All'!$A$1,"Scenario",X$12,"P&amp;L Item",$B93)/X$29,0),"0.00%"))</f>
        <v>0</v>
      </c>
      <c r="Y93" s="65">
        <f>CHOOSE(PLColumn,IFERROR(GETPIVOTDATA("Sum of "&amp;Y$9,'PT-All'!$A$1,"Scenario",Y$12,"P&amp;L Item",$B93),0),IFERROR(GETPIVOTDATA("Sum of "&amp;Y$9,'PT-All'!$A$1,"Scenario",Y$12,"P&amp;L Item",$B93)/Y$201,0),TEXT(IFERROR(GETPIVOTDATA("Sum of "&amp;Y$9,'PT-All'!$A$1,"Scenario",Y$12,"P&amp;L Item",$B93)/Y$29,0),"0.00%"))</f>
        <v>0</v>
      </c>
      <c r="Z93" s="65">
        <f>CHOOSE(PLColumn,IFERROR(GETPIVOTDATA("Sum of "&amp;Z$9,'PT-All'!$A$1,"Scenario",Z$12,"P&amp;L Item",$B93),0),IFERROR(GETPIVOTDATA("Sum of "&amp;Z$9,'PT-All'!$A$1,"Scenario",Z$12,"P&amp;L Item",$B93)/Z$201,0),TEXT(IFERROR(GETPIVOTDATA("Sum of "&amp;Z$9,'PT-All'!$A$1,"Scenario",Z$12,"P&amp;L Item",$B93)/Z$29,0),"0.00%"))</f>
        <v>0</v>
      </c>
      <c r="AA93" s="65">
        <f>CHOOSE(PLColumn,IFERROR(GETPIVOTDATA("Sum of "&amp;AA$9,'PT-All'!$A$1,"Scenario",AA$12,"P&amp;L Item",$B93),0),IFERROR(GETPIVOTDATA("Sum of "&amp;AA$9,'PT-All'!$A$1,"Scenario",AA$12,"P&amp;L Item",$B93)/AA$201,0),TEXT(IFERROR(GETPIVOTDATA("Sum of "&amp;AA$9,'PT-All'!$A$1,"Scenario",AA$12,"P&amp;L Item",$B93)/AA$29,0),"0.00%"))</f>
        <v>0</v>
      </c>
      <c r="AB93" s="65">
        <f>CHOOSE(PLColumn,IFERROR(GETPIVOTDATA("Sum of "&amp;AB$9,'PT-All'!$A$1,"Scenario",AB$12,"P&amp;L Item",$B93),0),IFERROR(GETPIVOTDATA("Sum of "&amp;AB$9,'PT-All'!$A$1,"Scenario",AB$12,"P&amp;L Item",$B93)/AB$201,0),TEXT(IFERROR(GETPIVOTDATA("Sum of "&amp;AB$9,'PT-All'!$A$1,"Scenario",AB$12,"P&amp;L Item",$B93)/AB$29,0),"0.00%"))</f>
        <v>0</v>
      </c>
      <c r="AC93" s="65">
        <f>CHOOSE(PLColumn,IFERROR(GETPIVOTDATA("Sum of "&amp;AC$9,'PT-All'!$A$1,"Scenario",AC$12,"P&amp;L Item",$B93),0),IFERROR(GETPIVOTDATA("Sum of "&amp;AC$9,'PT-All'!$A$1,"Scenario",AC$12,"P&amp;L Item",$B93)/AC$201,0),TEXT(IFERROR(GETPIVOTDATA("Sum of "&amp;AC$9,'PT-All'!$A$1,"Scenario",AC$12,"P&amp;L Item",$B93)/AC$29,0),"0.00%"))</f>
        <v>0</v>
      </c>
      <c r="AD93" s="65">
        <f>CHOOSE(PLColumn,IFERROR(GETPIVOTDATA("Sum of "&amp;AD$9,'PT-All'!$A$1,"Scenario",AD$12,"P&amp;L Item",$B93),0),IFERROR(GETPIVOTDATA("Sum of "&amp;AD$9,'PT-All'!$A$1,"Scenario",AD$12,"P&amp;L Item",$B93)/AD$201,0),TEXT(IFERROR(GETPIVOTDATA("Sum of "&amp;AD$9,'PT-All'!$A$1,"Scenario",AD$12,"P&amp;L Item",$B93)/AD$29,0),"0.00%"))</f>
        <v>0</v>
      </c>
      <c r="AE93" s="65">
        <f>CHOOSE(PLColumn,IFERROR(GETPIVOTDATA("Sum of "&amp;AE$9,'PT-All'!$A$1,"Scenario",AE$12,"P&amp;L Item",$B93),0),IFERROR(GETPIVOTDATA("Sum of "&amp;AE$9,'PT-All'!$A$1,"Scenario",AE$12,"P&amp;L Item",$B93)/AE$201,0),TEXT(IFERROR(GETPIVOTDATA("Sum of "&amp;AE$9,'PT-All'!$A$1,"Scenario",AE$12,"P&amp;L Item",$B93)/AE$29,0),"0.00%"))</f>
        <v>0</v>
      </c>
      <c r="AF93" s="65">
        <f>CHOOSE(PLColumn,IFERROR(GETPIVOTDATA("Sum of "&amp;AF$9,'PT-All'!$A$1,"Scenario",AF$12,"P&amp;L Item",$B93),0),IFERROR(GETPIVOTDATA("Sum of "&amp;AF$9,'PT-All'!$A$1,"Scenario",AF$12,"P&amp;L Item",$B93)/AF$201,0),TEXT(IFERROR(GETPIVOTDATA("Sum of "&amp;AF$9,'PT-All'!$A$1,"Scenario",AF$12,"P&amp;L Item",$B93)/AF$29,0),"0.00%"))</f>
        <v>0</v>
      </c>
      <c r="AG93" s="65">
        <f>CHOOSE(PLColumn,IFERROR(GETPIVOTDATA("Sum of "&amp;AG$9,'PT-All'!$A$1,"Scenario",AG$12,"P&amp;L Item",$B93),0),IFERROR(GETPIVOTDATA("Sum of "&amp;AG$9,'PT-All'!$A$1,"Scenario",AG$12,"P&amp;L Item",$B93)/AG$201,0),TEXT(IFERROR(GETPIVOTDATA("Sum of "&amp;AG$9,'PT-All'!$A$1,"Scenario",AG$12,"P&amp;L Item",$B93)/AG$29,0),"0.00%"))</f>
        <v>0</v>
      </c>
      <c r="AH93" s="65">
        <f>CHOOSE(PLColumn,IFERROR(GETPIVOTDATA("Sum of "&amp;AH$9,'PT-All'!$A$1,"Scenario",AH$12,"P&amp;L Item",$B93),0),IFERROR(GETPIVOTDATA("Sum of "&amp;AH$9,'PT-All'!$A$1,"Scenario",AH$12,"P&amp;L Item",$B93)/AH$201,0),TEXT(IFERROR(GETPIVOTDATA("Sum of "&amp;AH$9,'PT-All'!$A$1,"Scenario",AH$12,"P&amp;L Item",$B93)/AH$29,0),"0.00%"))</f>
        <v>0</v>
      </c>
      <c r="AI93" s="65">
        <f>CHOOSE(PLColumn,IFERROR(GETPIVOTDATA("Sum of "&amp;AI$9,'PT-All'!$A$1,"Scenario",AI$12,"P&amp;L Item",$B93),0),IFERROR(GETPIVOTDATA("Sum of "&amp;AI$9,'PT-All'!$A$1,"Scenario",AI$12,"P&amp;L Item",$B93)/AI$201,0),TEXT(IFERROR(GETPIVOTDATA("Sum of "&amp;AI$9,'PT-All'!$A$1,"Scenario",AI$12,"P&amp;L Item",$B93)/AI$29,0),"0.00%"))</f>
        <v>0</v>
      </c>
      <c r="AJ93" s="65">
        <f>CHOOSE(PLColumn,IFERROR(GETPIVOTDATA("Sum of "&amp;AJ$9,'PT-All'!$A$1,"Scenario",AJ$12,"P&amp;L Item",$B93),0),IFERROR(GETPIVOTDATA("Sum of "&amp;AJ$9,'PT-All'!$A$1,"Scenario",AJ$12,"P&amp;L Item",$B93)/AJ$201,0),TEXT(IFERROR(GETPIVOTDATA("Sum of "&amp;AJ$9,'PT-All'!$A$1,"Scenario",AJ$12,"P&amp;L Item",$B93)/AJ$29,0),"0.00%"))</f>
        <v>0</v>
      </c>
      <c r="AK93" s="65">
        <f>CHOOSE(PLColumn,IFERROR(GETPIVOTDATA("Sum of "&amp;AK$9,'PT-All'!$A$1,"Scenario",AK$12,"P&amp;L Item",$B93),0),IFERROR(GETPIVOTDATA("Sum of "&amp;AK$9,'PT-All'!$A$1,"Scenario",AK$12,"P&amp;L Item",$B93)/AK$201,0),TEXT(IFERROR(GETPIVOTDATA("Sum of "&amp;AK$9,'PT-All'!$A$1,"Scenario",AK$12,"P&amp;L Item",$B93)/AK$29,0),"0.00%"))</f>
        <v>0</v>
      </c>
      <c r="AL93" s="97">
        <f>CHOOSE(PLColumn,IFERROR(GETPIVOTDATA("Sum of "&amp;AL$9,'PT-All'!$A$1,"Scenario",AL$12,"P&amp;L Item",$B93),0),IFERROR(GETPIVOTDATA("Sum of "&amp;AL$9,'PT-All'!$A$1,"Scenario",AL$12,"P&amp;L Item",$B93)/AL$201,0),TEXT(IFERROR(GETPIVOTDATA("Sum of "&amp;AL$9,'PT-All'!$A$1,"Scenario",AL$12,"P&amp;L Item",$B93)/AL$29,0),"0.00%"))</f>
        <v>0</v>
      </c>
      <c r="AM93" s="590"/>
      <c r="AN93" s="108">
        <f ca="1">IF(AN$12="Pro Forma",SUM(OFFSET($B93,0,3*AN$9+1,1,3)),IFERROR(GETPIVOTDATA("Sum of Q"&amp;AN$9+1,'PT-All'!$A$1,"Scenario",AN$12,"P&amp;L Item",$B93),0))</f>
        <v>0</v>
      </c>
      <c r="AO93" s="65">
        <f ca="1">IF(AO$12="Pro Forma",SUM(OFFSET($B93,0,3*AO$9+1,1,3)),IFERROR(GETPIVOTDATA("Sum of Q"&amp;AO$9+1,'PT-All'!$A$1,"Scenario",AO$12,"P&amp;L Item",$B93),0))</f>
        <v>0</v>
      </c>
      <c r="AP93" s="65">
        <f ca="1">IF(AP$12="Pro Forma",SUM(OFFSET($B93,0,3*AP$9+1,1,3)),IFERROR(GETPIVOTDATA("Sum of Q"&amp;AP$9+1,'PT-All'!$A$1,"Scenario",AP$12,"P&amp;L Item",$B93),0))</f>
        <v>0</v>
      </c>
      <c r="AQ93" s="65">
        <f ca="1">IF(AQ$12="Pro Forma",SUM(OFFSET($B93,0,3*AQ$9+1,1,3)),IFERROR(GETPIVOTDATA("Sum of Q"&amp;AQ$9+1,'PT-All'!$A$1,"Scenario",AQ$12,"P&amp;L Item",$B93),0))</f>
        <v>0</v>
      </c>
      <c r="AR93" s="65">
        <f ca="1">IF(AR$12="Pro Forma",SUM(OFFSET($B93,0,3*AR$9+1,1,3)),IFERROR(GETPIVOTDATA("Sum of Q"&amp;AR$9+1,'PT-All'!$A$1,"Scenario",AR$12,"P&amp;L Item",$B93),0))</f>
        <v>0</v>
      </c>
      <c r="AS93" s="65">
        <f ca="1">IF(AS$12="Pro Forma",SUM(OFFSET($B93,0,3*AS$9+1,1,3)),IFERROR(GETPIVOTDATA("Sum of Q"&amp;AS$9+1,'PT-All'!$A$1,"Scenario",AS$12,"P&amp;L Item",$B93),0))</f>
        <v>0</v>
      </c>
      <c r="AT93" s="65">
        <f ca="1">IF(AT$12="Pro Forma",SUM(OFFSET($B93,0,3*AT$9+1,1,3)),IFERROR(GETPIVOTDATA("Sum of Q"&amp;AT$9+1,'PT-All'!$A$1,"Scenario",AT$12,"P&amp;L Item",$B93),0))</f>
        <v>0</v>
      </c>
      <c r="AU93" s="65">
        <f ca="1">IF(AU$12="Pro Forma",SUM(OFFSET($B93,0,3*AU$9+1,1,3)),IFERROR(GETPIVOTDATA("Sum of Q"&amp;AU$9+1,'PT-All'!$A$1,"Scenario",AU$12,"P&amp;L Item",$B93),0))</f>
        <v>0</v>
      </c>
      <c r="AV93" s="65">
        <f ca="1">IF(AV$12="Pro Forma",SUM(OFFSET($B93,0,3*AV$9+1,1,3)),IFERROR(GETPIVOTDATA("Sum of Q"&amp;AV$9+1,'PT-All'!$A$1,"Scenario",AV$12,"P&amp;L Item",$B93),0))</f>
        <v>0</v>
      </c>
      <c r="AW93" s="65">
        <f ca="1">IF(AW$12="Pro Forma",SUM(OFFSET($B93,0,3*AW$9+1,1,3)),IFERROR(GETPIVOTDATA("Sum of Q"&amp;AW$9+1,'PT-All'!$A$1,"Scenario",AW$12,"P&amp;L Item",$B93),0))</f>
        <v>0</v>
      </c>
      <c r="AX93" s="65">
        <f ca="1">IF(AX$12="Pro Forma",SUM(OFFSET($B93,0,3*AX$9+1,1,3)),IFERROR(GETPIVOTDATA("Sum of Q"&amp;AX$9+1,'PT-All'!$A$1,"Scenario",AX$12,"P&amp;L Item",$B93),0))</f>
        <v>0</v>
      </c>
      <c r="AY93" s="97">
        <f ca="1">IF(AY$12="Pro Forma",SUM(OFFSET($B93,0,3*AY$9+1,1,3)),IFERROR(GETPIVOTDATA("Sum of Q"&amp;AY$9+1,'PT-All'!$A$1,"Scenario",AY$12,"P&amp;L Item",$B93),0))</f>
        <v>0</v>
      </c>
      <c r="AZ93" s="590"/>
      <c r="BA93" s="108">
        <f ca="1">IF(BA$12="Pro Forma",SUM(OFFSET($B93,0,12*BA$9+1,1,12)),IFERROR(GETPIVOTDATA("Sum of FY"&amp;BA$9+1,'PT-All'!$A$1,"Scenario",BA$12,"P&amp;L Item",$B93),0))</f>
        <v>0</v>
      </c>
      <c r="BB93" s="65">
        <f ca="1">IF(BB$12="Pro Forma",SUM(OFFSET($B93,0,12*BB$9+1,1,12)),IFERROR(GETPIVOTDATA("Sum of FY"&amp;BB$9+1,'PT-All'!$A$1,"Scenario",BB$12,"P&amp;L Item",$B93),0))</f>
        <v>0</v>
      </c>
      <c r="BC93" s="97">
        <f ca="1">IF(BC$12="Pro Forma",SUM(OFFSET($B93,0,12*BC$9+1,1,12)),IFERROR(GETPIVOTDATA("Sum of FY"&amp;BC$9+1,'PT-All'!$A$1,"Scenario",BC$12,"P&amp;L Item",$B93),0))</f>
        <v>0</v>
      </c>
    </row>
    <row r="94" spans="2:55" x14ac:dyDescent="0.35">
      <c r="B94" s="80" t="s">
        <v>126</v>
      </c>
      <c r="C94" s="65">
        <f>CHOOSE(PLColumn,IFERROR(GETPIVOTDATA("Sum of "&amp;C$9,'PT-All'!$A$1,"Scenario",C$12,"P&amp;L Item",$B94),0),IFERROR(GETPIVOTDATA("Sum of "&amp;C$9,'PT-All'!$A$1,"Scenario",C$12,"P&amp;L Item",$B94)/C$201,0),TEXT(IFERROR(GETPIVOTDATA("Sum of "&amp;C$9,'PT-All'!$A$1,"Scenario",C$12,"P&amp;L Item",$B94)/C$29,0),"0.00%"))</f>
        <v>0</v>
      </c>
      <c r="D94" s="65">
        <f>CHOOSE(PLColumn,IFERROR(GETPIVOTDATA("Sum of "&amp;D$9,'PT-All'!$A$1,"Scenario",D$12,"P&amp;L Item",$B94),0),IFERROR(GETPIVOTDATA("Sum of "&amp;D$9,'PT-All'!$A$1,"Scenario",D$12,"P&amp;L Item",$B94)/D$201,0),TEXT(IFERROR(GETPIVOTDATA("Sum of "&amp;D$9,'PT-All'!$A$1,"Scenario",D$12,"P&amp;L Item",$B94)/D$29,0),"0.00%"))</f>
        <v>0</v>
      </c>
      <c r="E94" s="65">
        <f>CHOOSE(PLColumn,IFERROR(GETPIVOTDATA("Sum of "&amp;E$9,'PT-All'!$A$1,"Scenario",E$12,"P&amp;L Item",$B94),0),IFERROR(GETPIVOTDATA("Sum of "&amp;E$9,'PT-All'!$A$1,"Scenario",E$12,"P&amp;L Item",$B94)/E$201,0),TEXT(IFERROR(GETPIVOTDATA("Sum of "&amp;E$9,'PT-All'!$A$1,"Scenario",E$12,"P&amp;L Item",$B94)/E$29,0),"0.00%"))</f>
        <v>0</v>
      </c>
      <c r="F94" s="65">
        <f>CHOOSE(PLColumn,IFERROR(GETPIVOTDATA("Sum of "&amp;F$9,'PT-All'!$A$1,"Scenario",F$12,"P&amp;L Item",$B94),0),IFERROR(GETPIVOTDATA("Sum of "&amp;F$9,'PT-All'!$A$1,"Scenario",F$12,"P&amp;L Item",$B94)/F$201,0),TEXT(IFERROR(GETPIVOTDATA("Sum of "&amp;F$9,'PT-All'!$A$1,"Scenario",F$12,"P&amp;L Item",$B94)/F$29,0),"0.00%"))</f>
        <v>0</v>
      </c>
      <c r="G94" s="65">
        <f>CHOOSE(PLColumn,IFERROR(GETPIVOTDATA("Sum of "&amp;G$9,'PT-All'!$A$1,"Scenario",G$12,"P&amp;L Item",$B94),0),IFERROR(GETPIVOTDATA("Sum of "&amp;G$9,'PT-All'!$A$1,"Scenario",G$12,"P&amp;L Item",$B94)/G$201,0),TEXT(IFERROR(GETPIVOTDATA("Sum of "&amp;G$9,'PT-All'!$A$1,"Scenario",G$12,"P&amp;L Item",$B94)/G$29,0),"0.00%"))</f>
        <v>0</v>
      </c>
      <c r="H94" s="65">
        <f>CHOOSE(PLColumn,IFERROR(GETPIVOTDATA("Sum of "&amp;H$9,'PT-All'!$A$1,"Scenario",H$12,"P&amp;L Item",$B94),0),IFERROR(GETPIVOTDATA("Sum of "&amp;H$9,'PT-All'!$A$1,"Scenario",H$12,"P&amp;L Item",$B94)/H$201,0),TEXT(IFERROR(GETPIVOTDATA("Sum of "&amp;H$9,'PT-All'!$A$1,"Scenario",H$12,"P&amp;L Item",$B94)/H$29,0),"0.00%"))</f>
        <v>0</v>
      </c>
      <c r="I94" s="65">
        <f>CHOOSE(PLColumn,IFERROR(GETPIVOTDATA("Sum of "&amp;I$9,'PT-All'!$A$1,"Scenario",I$12,"P&amp;L Item",$B94),0),IFERROR(GETPIVOTDATA("Sum of "&amp;I$9,'PT-All'!$A$1,"Scenario",I$12,"P&amp;L Item",$B94)/I$201,0),TEXT(IFERROR(GETPIVOTDATA("Sum of "&amp;I$9,'PT-All'!$A$1,"Scenario",I$12,"P&amp;L Item",$B94)/I$29,0),"0.00%"))</f>
        <v>0</v>
      </c>
      <c r="J94" s="65">
        <f>CHOOSE(PLColumn,IFERROR(GETPIVOTDATA("Sum of "&amp;J$9,'PT-All'!$A$1,"Scenario",J$12,"P&amp;L Item",$B94),0),IFERROR(GETPIVOTDATA("Sum of "&amp;J$9,'PT-All'!$A$1,"Scenario",J$12,"P&amp;L Item",$B94)/J$201,0),TEXT(IFERROR(GETPIVOTDATA("Sum of "&amp;J$9,'PT-All'!$A$1,"Scenario",J$12,"P&amp;L Item",$B94)/J$29,0),"0.00%"))</f>
        <v>0</v>
      </c>
      <c r="K94" s="65">
        <f>CHOOSE(PLColumn,IFERROR(GETPIVOTDATA("Sum of "&amp;K$9,'PT-All'!$A$1,"Scenario",K$12,"P&amp;L Item",$B94),0),IFERROR(GETPIVOTDATA("Sum of "&amp;K$9,'PT-All'!$A$1,"Scenario",K$12,"P&amp;L Item",$B94)/K$201,0),TEXT(IFERROR(GETPIVOTDATA("Sum of "&amp;K$9,'PT-All'!$A$1,"Scenario",K$12,"P&amp;L Item",$B94)/K$29,0),"0.00%"))</f>
        <v>0</v>
      </c>
      <c r="L94" s="65">
        <f>CHOOSE(PLColumn,IFERROR(GETPIVOTDATA("Sum of "&amp;L$9,'PT-All'!$A$1,"Scenario",L$12,"P&amp;L Item",$B94),0),IFERROR(GETPIVOTDATA("Sum of "&amp;L$9,'PT-All'!$A$1,"Scenario",L$12,"P&amp;L Item",$B94)/L$201,0),TEXT(IFERROR(GETPIVOTDATA("Sum of "&amp;L$9,'PT-All'!$A$1,"Scenario",L$12,"P&amp;L Item",$B94)/L$29,0),"0.00%"))</f>
        <v>0</v>
      </c>
      <c r="M94" s="65">
        <f>CHOOSE(PLColumn,IFERROR(GETPIVOTDATA("Sum of "&amp;M$9,'PT-All'!$A$1,"Scenario",M$12,"P&amp;L Item",$B94),0),IFERROR(GETPIVOTDATA("Sum of "&amp;M$9,'PT-All'!$A$1,"Scenario",M$12,"P&amp;L Item",$B94)/M$201,0),TEXT(IFERROR(GETPIVOTDATA("Sum of "&amp;M$9,'PT-All'!$A$1,"Scenario",M$12,"P&amp;L Item",$B94)/M$29,0),"0.00%"))</f>
        <v>0</v>
      </c>
      <c r="N94" s="65">
        <f>CHOOSE(PLColumn,IFERROR(GETPIVOTDATA("Sum of "&amp;N$9,'PT-All'!$A$1,"Scenario",N$12,"P&amp;L Item",$B94),0),IFERROR(GETPIVOTDATA("Sum of "&amp;N$9,'PT-All'!$A$1,"Scenario",N$12,"P&amp;L Item",$B94)/N$201,0),TEXT(IFERROR(GETPIVOTDATA("Sum of "&amp;N$9,'PT-All'!$A$1,"Scenario",N$12,"P&amp;L Item",$B94)/N$29,0),"0.00%"))</f>
        <v>0</v>
      </c>
      <c r="O94" s="65">
        <f>CHOOSE(PLColumn,IFERROR(GETPIVOTDATA("Sum of "&amp;O$9,'PT-All'!$A$1,"Scenario",O$12,"P&amp;L Item",$B94),0),IFERROR(GETPIVOTDATA("Sum of "&amp;O$9,'PT-All'!$A$1,"Scenario",O$12,"P&amp;L Item",$B94)/O$201,0),TEXT(IFERROR(GETPIVOTDATA("Sum of "&amp;O$9,'PT-All'!$A$1,"Scenario",O$12,"P&amp;L Item",$B94)/O$29,0),"0.00%"))</f>
        <v>0</v>
      </c>
      <c r="P94" s="65">
        <f>CHOOSE(PLColumn,IFERROR(GETPIVOTDATA("Sum of "&amp;P$9,'PT-All'!$A$1,"Scenario",P$12,"P&amp;L Item",$B94),0),IFERROR(GETPIVOTDATA("Sum of "&amp;P$9,'PT-All'!$A$1,"Scenario",P$12,"P&amp;L Item",$B94)/P$201,0),TEXT(IFERROR(GETPIVOTDATA("Sum of "&amp;P$9,'PT-All'!$A$1,"Scenario",P$12,"P&amp;L Item",$B94)/P$29,0),"0.00%"))</f>
        <v>0</v>
      </c>
      <c r="Q94" s="65">
        <f>CHOOSE(PLColumn,IFERROR(GETPIVOTDATA("Sum of "&amp;Q$9,'PT-All'!$A$1,"Scenario",Q$12,"P&amp;L Item",$B94),0),IFERROR(GETPIVOTDATA("Sum of "&amp;Q$9,'PT-All'!$A$1,"Scenario",Q$12,"P&amp;L Item",$B94)/Q$201,0),TEXT(IFERROR(GETPIVOTDATA("Sum of "&amp;Q$9,'PT-All'!$A$1,"Scenario",Q$12,"P&amp;L Item",$B94)/Q$29,0),"0.00%"))</f>
        <v>0</v>
      </c>
      <c r="R94" s="65">
        <f>CHOOSE(PLColumn,IFERROR(GETPIVOTDATA("Sum of "&amp;R$9,'PT-All'!$A$1,"Scenario",R$12,"P&amp;L Item",$B94),0),IFERROR(GETPIVOTDATA("Sum of "&amp;R$9,'PT-All'!$A$1,"Scenario",R$12,"P&amp;L Item",$B94)/R$201,0),TEXT(IFERROR(GETPIVOTDATA("Sum of "&amp;R$9,'PT-All'!$A$1,"Scenario",R$12,"P&amp;L Item",$B94)/R$29,0),"0.00%"))</f>
        <v>0</v>
      </c>
      <c r="S94" s="65">
        <f>CHOOSE(PLColumn,IFERROR(GETPIVOTDATA("Sum of "&amp;S$9,'PT-All'!$A$1,"Scenario",S$12,"P&amp;L Item",$B94),0),IFERROR(GETPIVOTDATA("Sum of "&amp;S$9,'PT-All'!$A$1,"Scenario",S$12,"P&amp;L Item",$B94)/S$201,0),TEXT(IFERROR(GETPIVOTDATA("Sum of "&amp;S$9,'PT-All'!$A$1,"Scenario",S$12,"P&amp;L Item",$B94)/S$29,0),"0.00%"))</f>
        <v>0</v>
      </c>
      <c r="T94" s="65">
        <f>CHOOSE(PLColumn,IFERROR(GETPIVOTDATA("Sum of "&amp;T$9,'PT-All'!$A$1,"Scenario",T$12,"P&amp;L Item",$B94),0),IFERROR(GETPIVOTDATA("Sum of "&amp;T$9,'PT-All'!$A$1,"Scenario",T$12,"P&amp;L Item",$B94)/T$201,0),TEXT(IFERROR(GETPIVOTDATA("Sum of "&amp;T$9,'PT-All'!$A$1,"Scenario",T$12,"P&amp;L Item",$B94)/T$29,0),"0.00%"))</f>
        <v>0</v>
      </c>
      <c r="U94" s="65">
        <f>CHOOSE(PLColumn,IFERROR(GETPIVOTDATA("Sum of "&amp;U$9,'PT-All'!$A$1,"Scenario",U$12,"P&amp;L Item",$B94),0),IFERROR(GETPIVOTDATA("Sum of "&amp;U$9,'PT-All'!$A$1,"Scenario",U$12,"P&amp;L Item",$B94)/U$201,0),TEXT(IFERROR(GETPIVOTDATA("Sum of "&amp;U$9,'PT-All'!$A$1,"Scenario",U$12,"P&amp;L Item",$B94)/U$29,0),"0.00%"))</f>
        <v>0</v>
      </c>
      <c r="V94" s="65">
        <f>CHOOSE(PLColumn,IFERROR(GETPIVOTDATA("Sum of "&amp;V$9,'PT-All'!$A$1,"Scenario",V$12,"P&amp;L Item",$B94),0),IFERROR(GETPIVOTDATA("Sum of "&amp;V$9,'PT-All'!$A$1,"Scenario",V$12,"P&amp;L Item",$B94)/V$201,0),TEXT(IFERROR(GETPIVOTDATA("Sum of "&amp;V$9,'PT-All'!$A$1,"Scenario",V$12,"P&amp;L Item",$B94)/V$29,0),"0.00%"))</f>
        <v>0</v>
      </c>
      <c r="W94" s="65">
        <f>CHOOSE(PLColumn,IFERROR(GETPIVOTDATA("Sum of "&amp;W$9,'PT-All'!$A$1,"Scenario",W$12,"P&amp;L Item",$B94),0),IFERROR(GETPIVOTDATA("Sum of "&amp;W$9,'PT-All'!$A$1,"Scenario",W$12,"P&amp;L Item",$B94)/W$201,0),TEXT(IFERROR(GETPIVOTDATA("Sum of "&amp;W$9,'PT-All'!$A$1,"Scenario",W$12,"P&amp;L Item",$B94)/W$29,0),"0.00%"))</f>
        <v>0</v>
      </c>
      <c r="X94" s="65">
        <f>CHOOSE(PLColumn,IFERROR(GETPIVOTDATA("Sum of "&amp;X$9,'PT-All'!$A$1,"Scenario",X$12,"P&amp;L Item",$B94),0),IFERROR(GETPIVOTDATA("Sum of "&amp;X$9,'PT-All'!$A$1,"Scenario",X$12,"P&amp;L Item",$B94)/X$201,0),TEXT(IFERROR(GETPIVOTDATA("Sum of "&amp;X$9,'PT-All'!$A$1,"Scenario",X$12,"P&amp;L Item",$B94)/X$29,0),"0.00%"))</f>
        <v>0</v>
      </c>
      <c r="Y94" s="65">
        <f>CHOOSE(PLColumn,IFERROR(GETPIVOTDATA("Sum of "&amp;Y$9,'PT-All'!$A$1,"Scenario",Y$12,"P&amp;L Item",$B94),0),IFERROR(GETPIVOTDATA("Sum of "&amp;Y$9,'PT-All'!$A$1,"Scenario",Y$12,"P&amp;L Item",$B94)/Y$201,0),TEXT(IFERROR(GETPIVOTDATA("Sum of "&amp;Y$9,'PT-All'!$A$1,"Scenario",Y$12,"P&amp;L Item",$B94)/Y$29,0),"0.00%"))</f>
        <v>0</v>
      </c>
      <c r="Z94" s="65">
        <f>CHOOSE(PLColumn,IFERROR(GETPIVOTDATA("Sum of "&amp;Z$9,'PT-All'!$A$1,"Scenario",Z$12,"P&amp;L Item",$B94),0),IFERROR(GETPIVOTDATA("Sum of "&amp;Z$9,'PT-All'!$A$1,"Scenario",Z$12,"P&amp;L Item",$B94)/Z$201,0),TEXT(IFERROR(GETPIVOTDATA("Sum of "&amp;Z$9,'PT-All'!$A$1,"Scenario",Z$12,"P&amp;L Item",$B94)/Z$29,0),"0.00%"))</f>
        <v>0</v>
      </c>
      <c r="AA94" s="65">
        <f>CHOOSE(PLColumn,IFERROR(GETPIVOTDATA("Sum of "&amp;AA$9,'PT-All'!$A$1,"Scenario",AA$12,"P&amp;L Item",$B94),0),IFERROR(GETPIVOTDATA("Sum of "&amp;AA$9,'PT-All'!$A$1,"Scenario",AA$12,"P&amp;L Item",$B94)/AA$201,0),TEXT(IFERROR(GETPIVOTDATA("Sum of "&amp;AA$9,'PT-All'!$A$1,"Scenario",AA$12,"P&amp;L Item",$B94)/AA$29,0),"0.00%"))</f>
        <v>0</v>
      </c>
      <c r="AB94" s="65">
        <f>CHOOSE(PLColumn,IFERROR(GETPIVOTDATA("Sum of "&amp;AB$9,'PT-All'!$A$1,"Scenario",AB$12,"P&amp;L Item",$B94),0),IFERROR(GETPIVOTDATA("Sum of "&amp;AB$9,'PT-All'!$A$1,"Scenario",AB$12,"P&amp;L Item",$B94)/AB$201,0),TEXT(IFERROR(GETPIVOTDATA("Sum of "&amp;AB$9,'PT-All'!$A$1,"Scenario",AB$12,"P&amp;L Item",$B94)/AB$29,0),"0.00%"))</f>
        <v>0</v>
      </c>
      <c r="AC94" s="65">
        <f>CHOOSE(PLColumn,IFERROR(GETPIVOTDATA("Sum of "&amp;AC$9,'PT-All'!$A$1,"Scenario",AC$12,"P&amp;L Item",$B94),0),IFERROR(GETPIVOTDATA("Sum of "&amp;AC$9,'PT-All'!$A$1,"Scenario",AC$12,"P&amp;L Item",$B94)/AC$201,0),TEXT(IFERROR(GETPIVOTDATA("Sum of "&amp;AC$9,'PT-All'!$A$1,"Scenario",AC$12,"P&amp;L Item",$B94)/AC$29,0),"0.00%"))</f>
        <v>0</v>
      </c>
      <c r="AD94" s="65">
        <f>CHOOSE(PLColumn,IFERROR(GETPIVOTDATA("Sum of "&amp;AD$9,'PT-All'!$A$1,"Scenario",AD$12,"P&amp;L Item",$B94),0),IFERROR(GETPIVOTDATA("Sum of "&amp;AD$9,'PT-All'!$A$1,"Scenario",AD$12,"P&amp;L Item",$B94)/AD$201,0),TEXT(IFERROR(GETPIVOTDATA("Sum of "&amp;AD$9,'PT-All'!$A$1,"Scenario",AD$12,"P&amp;L Item",$B94)/AD$29,0),"0.00%"))</f>
        <v>0</v>
      </c>
      <c r="AE94" s="65">
        <f>CHOOSE(PLColumn,IFERROR(GETPIVOTDATA("Sum of "&amp;AE$9,'PT-All'!$A$1,"Scenario",AE$12,"P&amp;L Item",$B94),0),IFERROR(GETPIVOTDATA("Sum of "&amp;AE$9,'PT-All'!$A$1,"Scenario",AE$12,"P&amp;L Item",$B94)/AE$201,0),TEXT(IFERROR(GETPIVOTDATA("Sum of "&amp;AE$9,'PT-All'!$A$1,"Scenario",AE$12,"P&amp;L Item",$B94)/AE$29,0),"0.00%"))</f>
        <v>0</v>
      </c>
      <c r="AF94" s="65">
        <f>CHOOSE(PLColumn,IFERROR(GETPIVOTDATA("Sum of "&amp;AF$9,'PT-All'!$A$1,"Scenario",AF$12,"P&amp;L Item",$B94),0),IFERROR(GETPIVOTDATA("Sum of "&amp;AF$9,'PT-All'!$A$1,"Scenario",AF$12,"P&amp;L Item",$B94)/AF$201,0),TEXT(IFERROR(GETPIVOTDATA("Sum of "&amp;AF$9,'PT-All'!$A$1,"Scenario",AF$12,"P&amp;L Item",$B94)/AF$29,0),"0.00%"))</f>
        <v>0</v>
      </c>
      <c r="AG94" s="65">
        <f>CHOOSE(PLColumn,IFERROR(GETPIVOTDATA("Sum of "&amp;AG$9,'PT-All'!$A$1,"Scenario",AG$12,"P&amp;L Item",$B94),0),IFERROR(GETPIVOTDATA("Sum of "&amp;AG$9,'PT-All'!$A$1,"Scenario",AG$12,"P&amp;L Item",$B94)/AG$201,0),TEXT(IFERROR(GETPIVOTDATA("Sum of "&amp;AG$9,'PT-All'!$A$1,"Scenario",AG$12,"P&amp;L Item",$B94)/AG$29,0),"0.00%"))</f>
        <v>0</v>
      </c>
      <c r="AH94" s="65">
        <f>CHOOSE(PLColumn,IFERROR(GETPIVOTDATA("Sum of "&amp;AH$9,'PT-All'!$A$1,"Scenario",AH$12,"P&amp;L Item",$B94),0),IFERROR(GETPIVOTDATA("Sum of "&amp;AH$9,'PT-All'!$A$1,"Scenario",AH$12,"P&amp;L Item",$B94)/AH$201,0),TEXT(IFERROR(GETPIVOTDATA("Sum of "&amp;AH$9,'PT-All'!$A$1,"Scenario",AH$12,"P&amp;L Item",$B94)/AH$29,0),"0.00%"))</f>
        <v>0</v>
      </c>
      <c r="AI94" s="65">
        <f>CHOOSE(PLColumn,IFERROR(GETPIVOTDATA("Sum of "&amp;AI$9,'PT-All'!$A$1,"Scenario",AI$12,"P&amp;L Item",$B94),0),IFERROR(GETPIVOTDATA("Sum of "&amp;AI$9,'PT-All'!$A$1,"Scenario",AI$12,"P&amp;L Item",$B94)/AI$201,0),TEXT(IFERROR(GETPIVOTDATA("Sum of "&amp;AI$9,'PT-All'!$A$1,"Scenario",AI$12,"P&amp;L Item",$B94)/AI$29,0),"0.00%"))</f>
        <v>0</v>
      </c>
      <c r="AJ94" s="65">
        <f>CHOOSE(PLColumn,IFERROR(GETPIVOTDATA("Sum of "&amp;AJ$9,'PT-All'!$A$1,"Scenario",AJ$12,"P&amp;L Item",$B94),0),IFERROR(GETPIVOTDATA("Sum of "&amp;AJ$9,'PT-All'!$A$1,"Scenario",AJ$12,"P&amp;L Item",$B94)/AJ$201,0),TEXT(IFERROR(GETPIVOTDATA("Sum of "&amp;AJ$9,'PT-All'!$A$1,"Scenario",AJ$12,"P&amp;L Item",$B94)/AJ$29,0),"0.00%"))</f>
        <v>0</v>
      </c>
      <c r="AK94" s="65">
        <f>CHOOSE(PLColumn,IFERROR(GETPIVOTDATA("Sum of "&amp;AK$9,'PT-All'!$A$1,"Scenario",AK$12,"P&amp;L Item",$B94),0),IFERROR(GETPIVOTDATA("Sum of "&amp;AK$9,'PT-All'!$A$1,"Scenario",AK$12,"P&amp;L Item",$B94)/AK$201,0),TEXT(IFERROR(GETPIVOTDATA("Sum of "&amp;AK$9,'PT-All'!$A$1,"Scenario",AK$12,"P&amp;L Item",$B94)/AK$29,0),"0.00%"))</f>
        <v>0</v>
      </c>
      <c r="AL94" s="97">
        <f>CHOOSE(PLColumn,IFERROR(GETPIVOTDATA("Sum of "&amp;AL$9,'PT-All'!$A$1,"Scenario",AL$12,"P&amp;L Item",$B94),0),IFERROR(GETPIVOTDATA("Sum of "&amp;AL$9,'PT-All'!$A$1,"Scenario",AL$12,"P&amp;L Item",$B94)/AL$201,0),TEXT(IFERROR(GETPIVOTDATA("Sum of "&amp;AL$9,'PT-All'!$A$1,"Scenario",AL$12,"P&amp;L Item",$B94)/AL$29,0),"0.00%"))</f>
        <v>0</v>
      </c>
      <c r="AM94" s="590"/>
      <c r="AN94" s="108">
        <f ca="1">IF(AN$12="Pro Forma",SUM(OFFSET($B94,0,3*AN$9+1,1,3)),IFERROR(GETPIVOTDATA("Sum of Q"&amp;AN$9+1,'PT-All'!$A$1,"Scenario",AN$12,"P&amp;L Item",$B94),0))</f>
        <v>0</v>
      </c>
      <c r="AO94" s="65">
        <f ca="1">IF(AO$12="Pro Forma",SUM(OFFSET($B94,0,3*AO$9+1,1,3)),IFERROR(GETPIVOTDATA("Sum of Q"&amp;AO$9+1,'PT-All'!$A$1,"Scenario",AO$12,"P&amp;L Item",$B94),0))</f>
        <v>0</v>
      </c>
      <c r="AP94" s="65">
        <f ca="1">IF(AP$12="Pro Forma",SUM(OFFSET($B94,0,3*AP$9+1,1,3)),IFERROR(GETPIVOTDATA("Sum of Q"&amp;AP$9+1,'PT-All'!$A$1,"Scenario",AP$12,"P&amp;L Item",$B94),0))</f>
        <v>0</v>
      </c>
      <c r="AQ94" s="65">
        <f ca="1">IF(AQ$12="Pro Forma",SUM(OFFSET($B94,0,3*AQ$9+1,1,3)),IFERROR(GETPIVOTDATA("Sum of Q"&amp;AQ$9+1,'PT-All'!$A$1,"Scenario",AQ$12,"P&amp;L Item",$B94),0))</f>
        <v>0</v>
      </c>
      <c r="AR94" s="65">
        <f ca="1">IF(AR$12="Pro Forma",SUM(OFFSET($B94,0,3*AR$9+1,1,3)),IFERROR(GETPIVOTDATA("Sum of Q"&amp;AR$9+1,'PT-All'!$A$1,"Scenario",AR$12,"P&amp;L Item",$B94),0))</f>
        <v>0</v>
      </c>
      <c r="AS94" s="65">
        <f ca="1">IF(AS$12="Pro Forma",SUM(OFFSET($B94,0,3*AS$9+1,1,3)),IFERROR(GETPIVOTDATA("Sum of Q"&amp;AS$9+1,'PT-All'!$A$1,"Scenario",AS$12,"P&amp;L Item",$B94),0))</f>
        <v>0</v>
      </c>
      <c r="AT94" s="65">
        <f ca="1">IF(AT$12="Pro Forma",SUM(OFFSET($B94,0,3*AT$9+1,1,3)),IFERROR(GETPIVOTDATA("Sum of Q"&amp;AT$9+1,'PT-All'!$A$1,"Scenario",AT$12,"P&amp;L Item",$B94),0))</f>
        <v>0</v>
      </c>
      <c r="AU94" s="65">
        <f ca="1">IF(AU$12="Pro Forma",SUM(OFFSET($B94,0,3*AU$9+1,1,3)),IFERROR(GETPIVOTDATA("Sum of Q"&amp;AU$9+1,'PT-All'!$A$1,"Scenario",AU$12,"P&amp;L Item",$B94),0))</f>
        <v>0</v>
      </c>
      <c r="AV94" s="65">
        <f ca="1">IF(AV$12="Pro Forma",SUM(OFFSET($B94,0,3*AV$9+1,1,3)),IFERROR(GETPIVOTDATA("Sum of Q"&amp;AV$9+1,'PT-All'!$A$1,"Scenario",AV$12,"P&amp;L Item",$B94),0))</f>
        <v>0</v>
      </c>
      <c r="AW94" s="65">
        <f ca="1">IF(AW$12="Pro Forma",SUM(OFFSET($B94,0,3*AW$9+1,1,3)),IFERROR(GETPIVOTDATA("Sum of Q"&amp;AW$9+1,'PT-All'!$A$1,"Scenario",AW$12,"P&amp;L Item",$B94),0))</f>
        <v>0</v>
      </c>
      <c r="AX94" s="65">
        <f ca="1">IF(AX$12="Pro Forma",SUM(OFFSET($B94,0,3*AX$9+1,1,3)),IFERROR(GETPIVOTDATA("Sum of Q"&amp;AX$9+1,'PT-All'!$A$1,"Scenario",AX$12,"P&amp;L Item",$B94),0))</f>
        <v>0</v>
      </c>
      <c r="AY94" s="97">
        <f ca="1">IF(AY$12="Pro Forma",SUM(OFFSET($B94,0,3*AY$9+1,1,3)),IFERROR(GETPIVOTDATA("Sum of Q"&amp;AY$9+1,'PT-All'!$A$1,"Scenario",AY$12,"P&amp;L Item",$B94),0))</f>
        <v>0</v>
      </c>
      <c r="AZ94" s="590"/>
      <c r="BA94" s="108">
        <f ca="1">IF(BA$12="Pro Forma",SUM(OFFSET($B94,0,12*BA$9+1,1,12)),IFERROR(GETPIVOTDATA("Sum of FY"&amp;BA$9+1,'PT-All'!$A$1,"Scenario",BA$12,"P&amp;L Item",$B94),0))</f>
        <v>0</v>
      </c>
      <c r="BB94" s="65">
        <f ca="1">IF(BB$12="Pro Forma",SUM(OFFSET($B94,0,12*BB$9+1,1,12)),IFERROR(GETPIVOTDATA("Sum of FY"&amp;BB$9+1,'PT-All'!$A$1,"Scenario",BB$12,"P&amp;L Item",$B94),0))</f>
        <v>0</v>
      </c>
      <c r="BC94" s="97">
        <f ca="1">IF(BC$12="Pro Forma",SUM(OFFSET($B94,0,12*BC$9+1,1,12)),IFERROR(GETPIVOTDATA("Sum of FY"&amp;BC$9+1,'PT-All'!$A$1,"Scenario",BC$12,"P&amp;L Item",$B94),0))</f>
        <v>0</v>
      </c>
    </row>
    <row r="95" spans="2:55" x14ac:dyDescent="0.35">
      <c r="B95" s="356" t="s">
        <v>127</v>
      </c>
      <c r="C95" s="592">
        <f>CHOOSE(PLColumn,IFERROR(GETPIVOTDATA("Sum of "&amp;C$9,'PT-All'!$A$1,"Scenario",C$12,"P&amp;L Item",$B95),0),IFERROR(GETPIVOTDATA("Sum of "&amp;C$9,'PT-All'!$A$1,"Scenario",C$12,"P&amp;L Item",$B95)/C$201,0),TEXT(IFERROR(GETPIVOTDATA("Sum of "&amp;C$9,'PT-All'!$A$1,"Scenario",C$12,"P&amp;L Item",$B95)/C$29,0),"0.00%"))</f>
        <v>0</v>
      </c>
      <c r="D95" s="592">
        <f>CHOOSE(PLColumn,IFERROR(GETPIVOTDATA("Sum of "&amp;D$9,'PT-All'!$A$1,"Scenario",D$12,"P&amp;L Item",$B95),0),IFERROR(GETPIVOTDATA("Sum of "&amp;D$9,'PT-All'!$A$1,"Scenario",D$12,"P&amp;L Item",$B95)/D$201,0),TEXT(IFERROR(GETPIVOTDATA("Sum of "&amp;D$9,'PT-All'!$A$1,"Scenario",D$12,"P&amp;L Item",$B95)/D$29,0),"0.00%"))</f>
        <v>0</v>
      </c>
      <c r="E95" s="592">
        <f>CHOOSE(PLColumn,IFERROR(GETPIVOTDATA("Sum of "&amp;E$9,'PT-All'!$A$1,"Scenario",E$12,"P&amp;L Item",$B95),0),IFERROR(GETPIVOTDATA("Sum of "&amp;E$9,'PT-All'!$A$1,"Scenario",E$12,"P&amp;L Item",$B95)/E$201,0),TEXT(IFERROR(GETPIVOTDATA("Sum of "&amp;E$9,'PT-All'!$A$1,"Scenario",E$12,"P&amp;L Item",$B95)/E$29,0),"0.00%"))</f>
        <v>0</v>
      </c>
      <c r="F95" s="592">
        <f>CHOOSE(PLColumn,IFERROR(GETPIVOTDATA("Sum of "&amp;F$9,'PT-All'!$A$1,"Scenario",F$12,"P&amp;L Item",$B95),0),IFERROR(GETPIVOTDATA("Sum of "&amp;F$9,'PT-All'!$A$1,"Scenario",F$12,"P&amp;L Item",$B95)/F$201,0),TEXT(IFERROR(GETPIVOTDATA("Sum of "&amp;F$9,'PT-All'!$A$1,"Scenario",F$12,"P&amp;L Item",$B95)/F$29,0),"0.00%"))</f>
        <v>0</v>
      </c>
      <c r="G95" s="592">
        <f>CHOOSE(PLColumn,IFERROR(GETPIVOTDATA("Sum of "&amp;G$9,'PT-All'!$A$1,"Scenario",G$12,"P&amp;L Item",$B95),0),IFERROR(GETPIVOTDATA("Sum of "&amp;G$9,'PT-All'!$A$1,"Scenario",G$12,"P&amp;L Item",$B95)/G$201,0),TEXT(IFERROR(GETPIVOTDATA("Sum of "&amp;G$9,'PT-All'!$A$1,"Scenario",G$12,"P&amp;L Item",$B95)/G$29,0),"0.00%"))</f>
        <v>0</v>
      </c>
      <c r="H95" s="592">
        <f>CHOOSE(PLColumn,IFERROR(GETPIVOTDATA("Sum of "&amp;H$9,'PT-All'!$A$1,"Scenario",H$12,"P&amp;L Item",$B95),0),IFERROR(GETPIVOTDATA("Sum of "&amp;H$9,'PT-All'!$A$1,"Scenario",H$12,"P&amp;L Item",$B95)/H$201,0),TEXT(IFERROR(GETPIVOTDATA("Sum of "&amp;H$9,'PT-All'!$A$1,"Scenario",H$12,"P&amp;L Item",$B95)/H$29,0),"0.00%"))</f>
        <v>0</v>
      </c>
      <c r="I95" s="592">
        <f>CHOOSE(PLColumn,IFERROR(GETPIVOTDATA("Sum of "&amp;I$9,'PT-All'!$A$1,"Scenario",I$12,"P&amp;L Item",$B95),0),IFERROR(GETPIVOTDATA("Sum of "&amp;I$9,'PT-All'!$A$1,"Scenario",I$12,"P&amp;L Item",$B95)/I$201,0),TEXT(IFERROR(GETPIVOTDATA("Sum of "&amp;I$9,'PT-All'!$A$1,"Scenario",I$12,"P&amp;L Item",$B95)/I$29,0),"0.00%"))</f>
        <v>0</v>
      </c>
      <c r="J95" s="592">
        <f>CHOOSE(PLColumn,IFERROR(GETPIVOTDATA("Sum of "&amp;J$9,'PT-All'!$A$1,"Scenario",J$12,"P&amp;L Item",$B95),0),IFERROR(GETPIVOTDATA("Sum of "&amp;J$9,'PT-All'!$A$1,"Scenario",J$12,"P&amp;L Item",$B95)/J$201,0),TEXT(IFERROR(GETPIVOTDATA("Sum of "&amp;J$9,'PT-All'!$A$1,"Scenario",J$12,"P&amp;L Item",$B95)/J$29,0),"0.00%"))</f>
        <v>0</v>
      </c>
      <c r="K95" s="592">
        <f>CHOOSE(PLColumn,IFERROR(GETPIVOTDATA("Sum of "&amp;K$9,'PT-All'!$A$1,"Scenario",K$12,"P&amp;L Item",$B95),0),IFERROR(GETPIVOTDATA("Sum of "&amp;K$9,'PT-All'!$A$1,"Scenario",K$12,"P&amp;L Item",$B95)/K$201,0),TEXT(IFERROR(GETPIVOTDATA("Sum of "&amp;K$9,'PT-All'!$A$1,"Scenario",K$12,"P&amp;L Item",$B95)/K$29,0),"0.00%"))</f>
        <v>0</v>
      </c>
      <c r="L95" s="592">
        <f>CHOOSE(PLColumn,IFERROR(GETPIVOTDATA("Sum of "&amp;L$9,'PT-All'!$A$1,"Scenario",L$12,"P&amp;L Item",$B95),0),IFERROR(GETPIVOTDATA("Sum of "&amp;L$9,'PT-All'!$A$1,"Scenario",L$12,"P&amp;L Item",$B95)/L$201,0),TEXT(IFERROR(GETPIVOTDATA("Sum of "&amp;L$9,'PT-All'!$A$1,"Scenario",L$12,"P&amp;L Item",$B95)/L$29,0),"0.00%"))</f>
        <v>0</v>
      </c>
      <c r="M95" s="592">
        <f>CHOOSE(PLColumn,IFERROR(GETPIVOTDATA("Sum of "&amp;M$9,'PT-All'!$A$1,"Scenario",M$12,"P&amp;L Item",$B95),0),IFERROR(GETPIVOTDATA("Sum of "&amp;M$9,'PT-All'!$A$1,"Scenario",M$12,"P&amp;L Item",$B95)/M$201,0),TEXT(IFERROR(GETPIVOTDATA("Sum of "&amp;M$9,'PT-All'!$A$1,"Scenario",M$12,"P&amp;L Item",$B95)/M$29,0),"0.00%"))</f>
        <v>0</v>
      </c>
      <c r="N95" s="592">
        <f>CHOOSE(PLColumn,IFERROR(GETPIVOTDATA("Sum of "&amp;N$9,'PT-All'!$A$1,"Scenario",N$12,"P&amp;L Item",$B95),0),IFERROR(GETPIVOTDATA("Sum of "&amp;N$9,'PT-All'!$A$1,"Scenario",N$12,"P&amp;L Item",$B95)/N$201,0),TEXT(IFERROR(GETPIVOTDATA("Sum of "&amp;N$9,'PT-All'!$A$1,"Scenario",N$12,"P&amp;L Item",$B95)/N$29,0),"0.00%"))</f>
        <v>0</v>
      </c>
      <c r="O95" s="592">
        <f>CHOOSE(PLColumn,IFERROR(GETPIVOTDATA("Sum of "&amp;O$9,'PT-All'!$A$1,"Scenario",O$12,"P&amp;L Item",$B95),0),IFERROR(GETPIVOTDATA("Sum of "&amp;O$9,'PT-All'!$A$1,"Scenario",O$12,"P&amp;L Item",$B95)/O$201,0),TEXT(IFERROR(GETPIVOTDATA("Sum of "&amp;O$9,'PT-All'!$A$1,"Scenario",O$12,"P&amp;L Item",$B95)/O$29,0),"0.00%"))</f>
        <v>0</v>
      </c>
      <c r="P95" s="592">
        <f>CHOOSE(PLColumn,IFERROR(GETPIVOTDATA("Sum of "&amp;P$9,'PT-All'!$A$1,"Scenario",P$12,"P&amp;L Item",$B95),0),IFERROR(GETPIVOTDATA("Sum of "&amp;P$9,'PT-All'!$A$1,"Scenario",P$12,"P&amp;L Item",$B95)/P$201,0),TEXT(IFERROR(GETPIVOTDATA("Sum of "&amp;P$9,'PT-All'!$A$1,"Scenario",P$12,"P&amp;L Item",$B95)/P$29,0),"0.00%"))</f>
        <v>0</v>
      </c>
      <c r="Q95" s="592">
        <f>CHOOSE(PLColumn,IFERROR(GETPIVOTDATA("Sum of "&amp;Q$9,'PT-All'!$A$1,"Scenario",Q$12,"P&amp;L Item",$B95),0),IFERROR(GETPIVOTDATA("Sum of "&amp;Q$9,'PT-All'!$A$1,"Scenario",Q$12,"P&amp;L Item",$B95)/Q$201,0),TEXT(IFERROR(GETPIVOTDATA("Sum of "&amp;Q$9,'PT-All'!$A$1,"Scenario",Q$12,"P&amp;L Item",$B95)/Q$29,0),"0.00%"))</f>
        <v>0</v>
      </c>
      <c r="R95" s="592">
        <f>CHOOSE(PLColumn,IFERROR(GETPIVOTDATA("Sum of "&amp;R$9,'PT-All'!$A$1,"Scenario",R$12,"P&amp;L Item",$B95),0),IFERROR(GETPIVOTDATA("Sum of "&amp;R$9,'PT-All'!$A$1,"Scenario",R$12,"P&amp;L Item",$B95)/R$201,0),TEXT(IFERROR(GETPIVOTDATA("Sum of "&amp;R$9,'PT-All'!$A$1,"Scenario",R$12,"P&amp;L Item",$B95)/R$29,0),"0.00%"))</f>
        <v>0</v>
      </c>
      <c r="S95" s="592">
        <f>CHOOSE(PLColumn,IFERROR(GETPIVOTDATA("Sum of "&amp;S$9,'PT-All'!$A$1,"Scenario",S$12,"P&amp;L Item",$B95),0),IFERROR(GETPIVOTDATA("Sum of "&amp;S$9,'PT-All'!$A$1,"Scenario",S$12,"P&amp;L Item",$B95)/S$201,0),TEXT(IFERROR(GETPIVOTDATA("Sum of "&amp;S$9,'PT-All'!$A$1,"Scenario",S$12,"P&amp;L Item",$B95)/S$29,0),"0.00%"))</f>
        <v>0</v>
      </c>
      <c r="T95" s="592">
        <f>CHOOSE(PLColumn,IFERROR(GETPIVOTDATA("Sum of "&amp;T$9,'PT-All'!$A$1,"Scenario",T$12,"P&amp;L Item",$B95),0),IFERROR(GETPIVOTDATA("Sum of "&amp;T$9,'PT-All'!$A$1,"Scenario",T$12,"P&amp;L Item",$B95)/T$201,0),TEXT(IFERROR(GETPIVOTDATA("Sum of "&amp;T$9,'PT-All'!$A$1,"Scenario",T$12,"P&amp;L Item",$B95)/T$29,0),"0.00%"))</f>
        <v>0</v>
      </c>
      <c r="U95" s="592">
        <f>CHOOSE(PLColumn,IFERROR(GETPIVOTDATA("Sum of "&amp;U$9,'PT-All'!$A$1,"Scenario",U$12,"P&amp;L Item",$B95),0),IFERROR(GETPIVOTDATA("Sum of "&amp;U$9,'PT-All'!$A$1,"Scenario",U$12,"P&amp;L Item",$B95)/U$201,0),TEXT(IFERROR(GETPIVOTDATA("Sum of "&amp;U$9,'PT-All'!$A$1,"Scenario",U$12,"P&amp;L Item",$B95)/U$29,0),"0.00%"))</f>
        <v>0</v>
      </c>
      <c r="V95" s="592">
        <f>CHOOSE(PLColumn,IFERROR(GETPIVOTDATA("Sum of "&amp;V$9,'PT-All'!$A$1,"Scenario",V$12,"P&amp;L Item",$B95),0),IFERROR(GETPIVOTDATA("Sum of "&amp;V$9,'PT-All'!$A$1,"Scenario",V$12,"P&amp;L Item",$B95)/V$201,0),TEXT(IFERROR(GETPIVOTDATA("Sum of "&amp;V$9,'PT-All'!$A$1,"Scenario",V$12,"P&amp;L Item",$B95)/V$29,0),"0.00%"))</f>
        <v>0</v>
      </c>
      <c r="W95" s="592">
        <f>CHOOSE(PLColumn,IFERROR(GETPIVOTDATA("Sum of "&amp;W$9,'PT-All'!$A$1,"Scenario",W$12,"P&amp;L Item",$B95),0),IFERROR(GETPIVOTDATA("Sum of "&amp;W$9,'PT-All'!$A$1,"Scenario",W$12,"P&amp;L Item",$B95)/W$201,0),TEXT(IFERROR(GETPIVOTDATA("Sum of "&amp;W$9,'PT-All'!$A$1,"Scenario",W$12,"P&amp;L Item",$B95)/W$29,0),"0.00%"))</f>
        <v>0</v>
      </c>
      <c r="X95" s="592">
        <f>CHOOSE(PLColumn,IFERROR(GETPIVOTDATA("Sum of "&amp;X$9,'PT-All'!$A$1,"Scenario",X$12,"P&amp;L Item",$B95),0),IFERROR(GETPIVOTDATA("Sum of "&amp;X$9,'PT-All'!$A$1,"Scenario",X$12,"P&amp;L Item",$B95)/X$201,0),TEXT(IFERROR(GETPIVOTDATA("Sum of "&amp;X$9,'PT-All'!$A$1,"Scenario",X$12,"P&amp;L Item",$B95)/X$29,0),"0.00%"))</f>
        <v>0</v>
      </c>
      <c r="Y95" s="592">
        <f>CHOOSE(PLColumn,IFERROR(GETPIVOTDATA("Sum of "&amp;Y$9,'PT-All'!$A$1,"Scenario",Y$12,"P&amp;L Item",$B95),0),IFERROR(GETPIVOTDATA("Sum of "&amp;Y$9,'PT-All'!$A$1,"Scenario",Y$12,"P&amp;L Item",$B95)/Y$201,0),TEXT(IFERROR(GETPIVOTDATA("Sum of "&amp;Y$9,'PT-All'!$A$1,"Scenario",Y$12,"P&amp;L Item",$B95)/Y$29,0),"0.00%"))</f>
        <v>0</v>
      </c>
      <c r="Z95" s="592">
        <f>CHOOSE(PLColumn,IFERROR(GETPIVOTDATA("Sum of "&amp;Z$9,'PT-All'!$A$1,"Scenario",Z$12,"P&amp;L Item",$B95),0),IFERROR(GETPIVOTDATA("Sum of "&amp;Z$9,'PT-All'!$A$1,"Scenario",Z$12,"P&amp;L Item",$B95)/Z$201,0),TEXT(IFERROR(GETPIVOTDATA("Sum of "&amp;Z$9,'PT-All'!$A$1,"Scenario",Z$12,"P&amp;L Item",$B95)/Z$29,0),"0.00%"))</f>
        <v>0</v>
      </c>
      <c r="AA95" s="592">
        <f>CHOOSE(PLColumn,IFERROR(GETPIVOTDATA("Sum of "&amp;AA$9,'PT-All'!$A$1,"Scenario",AA$12,"P&amp;L Item",$B95),0),IFERROR(GETPIVOTDATA("Sum of "&amp;AA$9,'PT-All'!$A$1,"Scenario",AA$12,"P&amp;L Item",$B95)/AA$201,0),TEXT(IFERROR(GETPIVOTDATA("Sum of "&amp;AA$9,'PT-All'!$A$1,"Scenario",AA$12,"P&amp;L Item",$B95)/AA$29,0),"0.00%"))</f>
        <v>0</v>
      </c>
      <c r="AB95" s="592">
        <f>CHOOSE(PLColumn,IFERROR(GETPIVOTDATA("Sum of "&amp;AB$9,'PT-All'!$A$1,"Scenario",AB$12,"P&amp;L Item",$B95),0),IFERROR(GETPIVOTDATA("Sum of "&amp;AB$9,'PT-All'!$A$1,"Scenario",AB$12,"P&amp;L Item",$B95)/AB$201,0),TEXT(IFERROR(GETPIVOTDATA("Sum of "&amp;AB$9,'PT-All'!$A$1,"Scenario",AB$12,"P&amp;L Item",$B95)/AB$29,0),"0.00%"))</f>
        <v>0</v>
      </c>
      <c r="AC95" s="592">
        <f>CHOOSE(PLColumn,IFERROR(GETPIVOTDATA("Sum of "&amp;AC$9,'PT-All'!$A$1,"Scenario",AC$12,"P&amp;L Item",$B95),0),IFERROR(GETPIVOTDATA("Sum of "&amp;AC$9,'PT-All'!$A$1,"Scenario",AC$12,"P&amp;L Item",$B95)/AC$201,0),TEXT(IFERROR(GETPIVOTDATA("Sum of "&amp;AC$9,'PT-All'!$A$1,"Scenario",AC$12,"P&amp;L Item",$B95)/AC$29,0),"0.00%"))</f>
        <v>0</v>
      </c>
      <c r="AD95" s="592">
        <f>CHOOSE(PLColumn,IFERROR(GETPIVOTDATA("Sum of "&amp;AD$9,'PT-All'!$A$1,"Scenario",AD$12,"P&amp;L Item",$B95),0),IFERROR(GETPIVOTDATA("Sum of "&amp;AD$9,'PT-All'!$A$1,"Scenario",AD$12,"P&amp;L Item",$B95)/AD$201,0),TEXT(IFERROR(GETPIVOTDATA("Sum of "&amp;AD$9,'PT-All'!$A$1,"Scenario",AD$12,"P&amp;L Item",$B95)/AD$29,0),"0.00%"))</f>
        <v>0</v>
      </c>
      <c r="AE95" s="592">
        <f>CHOOSE(PLColumn,IFERROR(GETPIVOTDATA("Sum of "&amp;AE$9,'PT-All'!$A$1,"Scenario",AE$12,"P&amp;L Item",$B95),0),IFERROR(GETPIVOTDATA("Sum of "&amp;AE$9,'PT-All'!$A$1,"Scenario",AE$12,"P&amp;L Item",$B95)/AE$201,0),TEXT(IFERROR(GETPIVOTDATA("Sum of "&amp;AE$9,'PT-All'!$A$1,"Scenario",AE$12,"P&amp;L Item",$B95)/AE$29,0),"0.00%"))</f>
        <v>0</v>
      </c>
      <c r="AF95" s="592">
        <f>CHOOSE(PLColumn,IFERROR(GETPIVOTDATA("Sum of "&amp;AF$9,'PT-All'!$A$1,"Scenario",AF$12,"P&amp;L Item",$B95),0),IFERROR(GETPIVOTDATA("Sum of "&amp;AF$9,'PT-All'!$A$1,"Scenario",AF$12,"P&amp;L Item",$B95)/AF$201,0),TEXT(IFERROR(GETPIVOTDATA("Sum of "&amp;AF$9,'PT-All'!$A$1,"Scenario",AF$12,"P&amp;L Item",$B95)/AF$29,0),"0.00%"))</f>
        <v>0</v>
      </c>
      <c r="AG95" s="592">
        <f>CHOOSE(PLColumn,IFERROR(GETPIVOTDATA("Sum of "&amp;AG$9,'PT-All'!$A$1,"Scenario",AG$12,"P&amp;L Item",$B95),0),IFERROR(GETPIVOTDATA("Sum of "&amp;AG$9,'PT-All'!$A$1,"Scenario",AG$12,"P&amp;L Item",$B95)/AG$201,0),TEXT(IFERROR(GETPIVOTDATA("Sum of "&amp;AG$9,'PT-All'!$A$1,"Scenario",AG$12,"P&amp;L Item",$B95)/AG$29,0),"0.00%"))</f>
        <v>0</v>
      </c>
      <c r="AH95" s="592">
        <f>CHOOSE(PLColumn,IFERROR(GETPIVOTDATA("Sum of "&amp;AH$9,'PT-All'!$A$1,"Scenario",AH$12,"P&amp;L Item",$B95),0),IFERROR(GETPIVOTDATA("Sum of "&amp;AH$9,'PT-All'!$A$1,"Scenario",AH$12,"P&amp;L Item",$B95)/AH$201,0),TEXT(IFERROR(GETPIVOTDATA("Sum of "&amp;AH$9,'PT-All'!$A$1,"Scenario",AH$12,"P&amp;L Item",$B95)/AH$29,0),"0.00%"))</f>
        <v>0</v>
      </c>
      <c r="AI95" s="592">
        <f>CHOOSE(PLColumn,IFERROR(GETPIVOTDATA("Sum of "&amp;AI$9,'PT-All'!$A$1,"Scenario",AI$12,"P&amp;L Item",$B95),0),IFERROR(GETPIVOTDATA("Sum of "&amp;AI$9,'PT-All'!$A$1,"Scenario",AI$12,"P&amp;L Item",$B95)/AI$201,0),TEXT(IFERROR(GETPIVOTDATA("Sum of "&amp;AI$9,'PT-All'!$A$1,"Scenario",AI$12,"P&amp;L Item",$B95)/AI$29,0),"0.00%"))</f>
        <v>0</v>
      </c>
      <c r="AJ95" s="592">
        <f>CHOOSE(PLColumn,IFERROR(GETPIVOTDATA("Sum of "&amp;AJ$9,'PT-All'!$A$1,"Scenario",AJ$12,"P&amp;L Item",$B95),0),IFERROR(GETPIVOTDATA("Sum of "&amp;AJ$9,'PT-All'!$A$1,"Scenario",AJ$12,"P&amp;L Item",$B95)/AJ$201,0),TEXT(IFERROR(GETPIVOTDATA("Sum of "&amp;AJ$9,'PT-All'!$A$1,"Scenario",AJ$12,"P&amp;L Item",$B95)/AJ$29,0),"0.00%"))</f>
        <v>0</v>
      </c>
      <c r="AK95" s="592">
        <f>CHOOSE(PLColumn,IFERROR(GETPIVOTDATA("Sum of "&amp;AK$9,'PT-All'!$A$1,"Scenario",AK$12,"P&amp;L Item",$B95),0),IFERROR(GETPIVOTDATA("Sum of "&amp;AK$9,'PT-All'!$A$1,"Scenario",AK$12,"P&amp;L Item",$B95)/AK$201,0),TEXT(IFERROR(GETPIVOTDATA("Sum of "&amp;AK$9,'PT-All'!$A$1,"Scenario",AK$12,"P&amp;L Item",$B95)/AK$29,0),"0.00%"))</f>
        <v>0</v>
      </c>
      <c r="AL95" s="593">
        <f>CHOOSE(PLColumn,IFERROR(GETPIVOTDATA("Sum of "&amp;AL$9,'PT-All'!$A$1,"Scenario",AL$12,"P&amp;L Item",$B95),0),IFERROR(GETPIVOTDATA("Sum of "&amp;AL$9,'PT-All'!$A$1,"Scenario",AL$12,"P&amp;L Item",$B95)/AL$201,0),TEXT(IFERROR(GETPIVOTDATA("Sum of "&amp;AL$9,'PT-All'!$A$1,"Scenario",AL$12,"P&amp;L Item",$B95)/AL$29,0),"0.00%"))</f>
        <v>0</v>
      </c>
      <c r="AM95" s="590"/>
      <c r="AN95" s="594">
        <f ca="1">IF(AN$12="Pro Forma",SUM(OFFSET($B95,0,3*AN$9+1,1,3)),IFERROR(GETPIVOTDATA("Sum of Q"&amp;AN$9+1,'PT-All'!$A$1,"Scenario",AN$12,"P&amp;L Item",$B95),0))</f>
        <v>0</v>
      </c>
      <c r="AO95" s="592">
        <f ca="1">IF(AO$12="Pro Forma",SUM(OFFSET($B95,0,3*AO$9+1,1,3)),IFERROR(GETPIVOTDATA("Sum of Q"&amp;AO$9+1,'PT-All'!$A$1,"Scenario",AO$12,"P&amp;L Item",$B95),0))</f>
        <v>0</v>
      </c>
      <c r="AP95" s="592">
        <f ca="1">IF(AP$12="Pro Forma",SUM(OFFSET($B95,0,3*AP$9+1,1,3)),IFERROR(GETPIVOTDATA("Sum of Q"&amp;AP$9+1,'PT-All'!$A$1,"Scenario",AP$12,"P&amp;L Item",$B95),0))</f>
        <v>0</v>
      </c>
      <c r="AQ95" s="592">
        <f ca="1">IF(AQ$12="Pro Forma",SUM(OFFSET($B95,0,3*AQ$9+1,1,3)),IFERROR(GETPIVOTDATA("Sum of Q"&amp;AQ$9+1,'PT-All'!$A$1,"Scenario",AQ$12,"P&amp;L Item",$B95),0))</f>
        <v>0</v>
      </c>
      <c r="AR95" s="592">
        <f ca="1">IF(AR$12="Pro Forma",SUM(OFFSET($B95,0,3*AR$9+1,1,3)),IFERROR(GETPIVOTDATA("Sum of Q"&amp;AR$9+1,'PT-All'!$A$1,"Scenario",AR$12,"P&amp;L Item",$B95),0))</f>
        <v>0</v>
      </c>
      <c r="AS95" s="592">
        <f ca="1">IF(AS$12="Pro Forma",SUM(OFFSET($B95,0,3*AS$9+1,1,3)),IFERROR(GETPIVOTDATA("Sum of Q"&amp;AS$9+1,'PT-All'!$A$1,"Scenario",AS$12,"P&amp;L Item",$B95),0))</f>
        <v>0</v>
      </c>
      <c r="AT95" s="592">
        <f ca="1">IF(AT$12="Pro Forma",SUM(OFFSET($B95,0,3*AT$9+1,1,3)),IFERROR(GETPIVOTDATA("Sum of Q"&amp;AT$9+1,'PT-All'!$A$1,"Scenario",AT$12,"P&amp;L Item",$B95),0))</f>
        <v>0</v>
      </c>
      <c r="AU95" s="592">
        <f ca="1">IF(AU$12="Pro Forma",SUM(OFFSET($B95,0,3*AU$9+1,1,3)),IFERROR(GETPIVOTDATA("Sum of Q"&amp;AU$9+1,'PT-All'!$A$1,"Scenario",AU$12,"P&amp;L Item",$B95),0))</f>
        <v>0</v>
      </c>
      <c r="AV95" s="592">
        <f ca="1">IF(AV$12="Pro Forma",SUM(OFFSET($B95,0,3*AV$9+1,1,3)),IFERROR(GETPIVOTDATA("Sum of Q"&amp;AV$9+1,'PT-All'!$A$1,"Scenario",AV$12,"P&amp;L Item",$B95),0))</f>
        <v>0</v>
      </c>
      <c r="AW95" s="592">
        <f ca="1">IF(AW$12="Pro Forma",SUM(OFFSET($B95,0,3*AW$9+1,1,3)),IFERROR(GETPIVOTDATA("Sum of Q"&amp;AW$9+1,'PT-All'!$A$1,"Scenario",AW$12,"P&amp;L Item",$B95),0))</f>
        <v>0</v>
      </c>
      <c r="AX95" s="592">
        <f ca="1">IF(AX$12="Pro Forma",SUM(OFFSET($B95,0,3*AX$9+1,1,3)),IFERROR(GETPIVOTDATA("Sum of Q"&amp;AX$9+1,'PT-All'!$A$1,"Scenario",AX$12,"P&amp;L Item",$B95),0))</f>
        <v>0</v>
      </c>
      <c r="AY95" s="593">
        <f ca="1">IF(AY$12="Pro Forma",SUM(OFFSET($B95,0,3*AY$9+1,1,3)),IFERROR(GETPIVOTDATA("Sum of Q"&amp;AY$9+1,'PT-All'!$A$1,"Scenario",AY$12,"P&amp;L Item",$B95),0))</f>
        <v>0</v>
      </c>
      <c r="AZ95" s="590"/>
      <c r="BA95" s="594">
        <f ca="1">IF(BA$12="Pro Forma",SUM(OFFSET($B95,0,12*BA$9+1,1,12)),IFERROR(GETPIVOTDATA("Sum of FY"&amp;BA$9+1,'PT-All'!$A$1,"Scenario",BA$12,"P&amp;L Item",$B95),0))</f>
        <v>0</v>
      </c>
      <c r="BB95" s="592">
        <f ca="1">IF(BB$12="Pro Forma",SUM(OFFSET($B95,0,12*BB$9+1,1,12)),IFERROR(GETPIVOTDATA("Sum of FY"&amp;BB$9+1,'PT-All'!$A$1,"Scenario",BB$12,"P&amp;L Item",$B95),0))</f>
        <v>0</v>
      </c>
      <c r="BC95" s="593">
        <f ca="1">IF(BC$12="Pro Forma",SUM(OFFSET($B95,0,12*BC$9+1,1,12)),IFERROR(GETPIVOTDATA("Sum of FY"&amp;BC$9+1,'PT-All'!$A$1,"Scenario",BC$12,"P&amp;L Item",$B95),0))</f>
        <v>0</v>
      </c>
    </row>
    <row r="96" spans="2:55" x14ac:dyDescent="0.35">
      <c r="B96" s="356" t="s">
        <v>128</v>
      </c>
      <c r="C96" s="592">
        <f>CHOOSE(PLColumn,IFERROR(GETPIVOTDATA("Sum of "&amp;C$9,'PT-All'!$A$1,"Scenario",C$12,"P&amp;L Item",$B96),0),IFERROR(GETPIVOTDATA("Sum of "&amp;C$9,'PT-All'!$A$1,"Scenario",C$12,"P&amp;L Item",$B96)/C$201,0),TEXT(IFERROR(GETPIVOTDATA("Sum of "&amp;C$9,'PT-All'!$A$1,"Scenario",C$12,"P&amp;L Item",$B96)/C$29,0),"0.00%"))</f>
        <v>0</v>
      </c>
      <c r="D96" s="592">
        <f>CHOOSE(PLColumn,IFERROR(GETPIVOTDATA("Sum of "&amp;D$9,'PT-All'!$A$1,"Scenario",D$12,"P&amp;L Item",$B96),0),IFERROR(GETPIVOTDATA("Sum of "&amp;D$9,'PT-All'!$A$1,"Scenario",D$12,"P&amp;L Item",$B96)/D$201,0),TEXT(IFERROR(GETPIVOTDATA("Sum of "&amp;D$9,'PT-All'!$A$1,"Scenario",D$12,"P&amp;L Item",$B96)/D$29,0),"0.00%"))</f>
        <v>0</v>
      </c>
      <c r="E96" s="592">
        <f>CHOOSE(PLColumn,IFERROR(GETPIVOTDATA("Sum of "&amp;E$9,'PT-All'!$A$1,"Scenario",E$12,"P&amp;L Item",$B96),0),IFERROR(GETPIVOTDATA("Sum of "&amp;E$9,'PT-All'!$A$1,"Scenario",E$12,"P&amp;L Item",$B96)/E$201,0),TEXT(IFERROR(GETPIVOTDATA("Sum of "&amp;E$9,'PT-All'!$A$1,"Scenario",E$12,"P&amp;L Item",$B96)/E$29,0),"0.00%"))</f>
        <v>0</v>
      </c>
      <c r="F96" s="592">
        <f>CHOOSE(PLColumn,IFERROR(GETPIVOTDATA("Sum of "&amp;F$9,'PT-All'!$A$1,"Scenario",F$12,"P&amp;L Item",$B96),0),IFERROR(GETPIVOTDATA("Sum of "&amp;F$9,'PT-All'!$A$1,"Scenario",F$12,"P&amp;L Item",$B96)/F$201,0),TEXT(IFERROR(GETPIVOTDATA("Sum of "&amp;F$9,'PT-All'!$A$1,"Scenario",F$12,"P&amp;L Item",$B96)/F$29,0),"0.00%"))</f>
        <v>0</v>
      </c>
      <c r="G96" s="592">
        <f>CHOOSE(PLColumn,IFERROR(GETPIVOTDATA("Sum of "&amp;G$9,'PT-All'!$A$1,"Scenario",G$12,"P&amp;L Item",$B96),0),IFERROR(GETPIVOTDATA("Sum of "&amp;G$9,'PT-All'!$A$1,"Scenario",G$12,"P&amp;L Item",$B96)/G$201,0),TEXT(IFERROR(GETPIVOTDATA("Sum of "&amp;G$9,'PT-All'!$A$1,"Scenario",G$12,"P&amp;L Item",$B96)/G$29,0),"0.00%"))</f>
        <v>0</v>
      </c>
      <c r="H96" s="592">
        <f>CHOOSE(PLColumn,IFERROR(GETPIVOTDATA("Sum of "&amp;H$9,'PT-All'!$A$1,"Scenario",H$12,"P&amp;L Item",$B96),0),IFERROR(GETPIVOTDATA("Sum of "&amp;H$9,'PT-All'!$A$1,"Scenario",H$12,"P&amp;L Item",$B96)/H$201,0),TEXT(IFERROR(GETPIVOTDATA("Sum of "&amp;H$9,'PT-All'!$A$1,"Scenario",H$12,"P&amp;L Item",$B96)/H$29,0),"0.00%"))</f>
        <v>0</v>
      </c>
      <c r="I96" s="592">
        <f>CHOOSE(PLColumn,IFERROR(GETPIVOTDATA("Sum of "&amp;I$9,'PT-All'!$A$1,"Scenario",I$12,"P&amp;L Item",$B96),0),IFERROR(GETPIVOTDATA("Sum of "&amp;I$9,'PT-All'!$A$1,"Scenario",I$12,"P&amp;L Item",$B96)/I$201,0),TEXT(IFERROR(GETPIVOTDATA("Sum of "&amp;I$9,'PT-All'!$A$1,"Scenario",I$12,"P&amp;L Item",$B96)/I$29,0),"0.00%"))</f>
        <v>0</v>
      </c>
      <c r="J96" s="592">
        <f>CHOOSE(PLColumn,IFERROR(GETPIVOTDATA("Sum of "&amp;J$9,'PT-All'!$A$1,"Scenario",J$12,"P&amp;L Item",$B96),0),IFERROR(GETPIVOTDATA("Sum of "&amp;J$9,'PT-All'!$A$1,"Scenario",J$12,"P&amp;L Item",$B96)/J$201,0),TEXT(IFERROR(GETPIVOTDATA("Sum of "&amp;J$9,'PT-All'!$A$1,"Scenario",J$12,"P&amp;L Item",$B96)/J$29,0),"0.00%"))</f>
        <v>0</v>
      </c>
      <c r="K96" s="592">
        <f>CHOOSE(PLColumn,IFERROR(GETPIVOTDATA("Sum of "&amp;K$9,'PT-All'!$A$1,"Scenario",K$12,"P&amp;L Item",$B96),0),IFERROR(GETPIVOTDATA("Sum of "&amp;K$9,'PT-All'!$A$1,"Scenario",K$12,"P&amp;L Item",$B96)/K$201,0),TEXT(IFERROR(GETPIVOTDATA("Sum of "&amp;K$9,'PT-All'!$A$1,"Scenario",K$12,"P&amp;L Item",$B96)/K$29,0),"0.00%"))</f>
        <v>0</v>
      </c>
      <c r="L96" s="592">
        <f>CHOOSE(PLColumn,IFERROR(GETPIVOTDATA("Sum of "&amp;L$9,'PT-All'!$A$1,"Scenario",L$12,"P&amp;L Item",$B96),0),IFERROR(GETPIVOTDATA("Sum of "&amp;L$9,'PT-All'!$A$1,"Scenario",L$12,"P&amp;L Item",$B96)/L$201,0),TEXT(IFERROR(GETPIVOTDATA("Sum of "&amp;L$9,'PT-All'!$A$1,"Scenario",L$12,"P&amp;L Item",$B96)/L$29,0),"0.00%"))</f>
        <v>0</v>
      </c>
      <c r="M96" s="592">
        <f>CHOOSE(PLColumn,IFERROR(GETPIVOTDATA("Sum of "&amp;M$9,'PT-All'!$A$1,"Scenario",M$12,"P&amp;L Item",$B96),0),IFERROR(GETPIVOTDATA("Sum of "&amp;M$9,'PT-All'!$A$1,"Scenario",M$12,"P&amp;L Item",$B96)/M$201,0),TEXT(IFERROR(GETPIVOTDATA("Sum of "&amp;M$9,'PT-All'!$A$1,"Scenario",M$12,"P&amp;L Item",$B96)/M$29,0),"0.00%"))</f>
        <v>0</v>
      </c>
      <c r="N96" s="592">
        <f>CHOOSE(PLColumn,IFERROR(GETPIVOTDATA("Sum of "&amp;N$9,'PT-All'!$A$1,"Scenario",N$12,"P&amp;L Item",$B96),0),IFERROR(GETPIVOTDATA("Sum of "&amp;N$9,'PT-All'!$A$1,"Scenario",N$12,"P&amp;L Item",$B96)/N$201,0),TEXT(IFERROR(GETPIVOTDATA("Sum of "&amp;N$9,'PT-All'!$A$1,"Scenario",N$12,"P&amp;L Item",$B96)/N$29,0),"0.00%"))</f>
        <v>0</v>
      </c>
      <c r="O96" s="592">
        <f>CHOOSE(PLColumn,IFERROR(GETPIVOTDATA("Sum of "&amp;O$9,'PT-All'!$A$1,"Scenario",O$12,"P&amp;L Item",$B96),0),IFERROR(GETPIVOTDATA("Sum of "&amp;O$9,'PT-All'!$A$1,"Scenario",O$12,"P&amp;L Item",$B96)/O$201,0),TEXT(IFERROR(GETPIVOTDATA("Sum of "&amp;O$9,'PT-All'!$A$1,"Scenario",O$12,"P&amp;L Item",$B96)/O$29,0),"0.00%"))</f>
        <v>0</v>
      </c>
      <c r="P96" s="592">
        <f>CHOOSE(PLColumn,IFERROR(GETPIVOTDATA("Sum of "&amp;P$9,'PT-All'!$A$1,"Scenario",P$12,"P&amp;L Item",$B96),0),IFERROR(GETPIVOTDATA("Sum of "&amp;P$9,'PT-All'!$A$1,"Scenario",P$12,"P&amp;L Item",$B96)/P$201,0),TEXT(IFERROR(GETPIVOTDATA("Sum of "&amp;P$9,'PT-All'!$A$1,"Scenario",P$12,"P&amp;L Item",$B96)/P$29,0),"0.00%"))</f>
        <v>0</v>
      </c>
      <c r="Q96" s="592">
        <f>CHOOSE(PLColumn,IFERROR(GETPIVOTDATA("Sum of "&amp;Q$9,'PT-All'!$A$1,"Scenario",Q$12,"P&amp;L Item",$B96),0),IFERROR(GETPIVOTDATA("Sum of "&amp;Q$9,'PT-All'!$A$1,"Scenario",Q$12,"P&amp;L Item",$B96)/Q$201,0),TEXT(IFERROR(GETPIVOTDATA("Sum of "&amp;Q$9,'PT-All'!$A$1,"Scenario",Q$12,"P&amp;L Item",$B96)/Q$29,0),"0.00%"))</f>
        <v>0</v>
      </c>
      <c r="R96" s="592">
        <f>CHOOSE(PLColumn,IFERROR(GETPIVOTDATA("Sum of "&amp;R$9,'PT-All'!$A$1,"Scenario",R$12,"P&amp;L Item",$B96),0),IFERROR(GETPIVOTDATA("Sum of "&amp;R$9,'PT-All'!$A$1,"Scenario",R$12,"P&amp;L Item",$B96)/R$201,0),TEXT(IFERROR(GETPIVOTDATA("Sum of "&amp;R$9,'PT-All'!$A$1,"Scenario",R$12,"P&amp;L Item",$B96)/R$29,0),"0.00%"))</f>
        <v>0</v>
      </c>
      <c r="S96" s="592">
        <f>CHOOSE(PLColumn,IFERROR(GETPIVOTDATA("Sum of "&amp;S$9,'PT-All'!$A$1,"Scenario",S$12,"P&amp;L Item",$B96),0),IFERROR(GETPIVOTDATA("Sum of "&amp;S$9,'PT-All'!$A$1,"Scenario",S$12,"P&amp;L Item",$B96)/S$201,0),TEXT(IFERROR(GETPIVOTDATA("Sum of "&amp;S$9,'PT-All'!$A$1,"Scenario",S$12,"P&amp;L Item",$B96)/S$29,0),"0.00%"))</f>
        <v>0</v>
      </c>
      <c r="T96" s="592">
        <f>CHOOSE(PLColumn,IFERROR(GETPIVOTDATA("Sum of "&amp;T$9,'PT-All'!$A$1,"Scenario",T$12,"P&amp;L Item",$B96),0),IFERROR(GETPIVOTDATA("Sum of "&amp;T$9,'PT-All'!$A$1,"Scenario",T$12,"P&amp;L Item",$B96)/T$201,0),TEXT(IFERROR(GETPIVOTDATA("Sum of "&amp;T$9,'PT-All'!$A$1,"Scenario",T$12,"P&amp;L Item",$B96)/T$29,0),"0.00%"))</f>
        <v>0</v>
      </c>
      <c r="U96" s="592">
        <f>CHOOSE(PLColumn,IFERROR(GETPIVOTDATA("Sum of "&amp;U$9,'PT-All'!$A$1,"Scenario",U$12,"P&amp;L Item",$B96),0),IFERROR(GETPIVOTDATA("Sum of "&amp;U$9,'PT-All'!$A$1,"Scenario",U$12,"P&amp;L Item",$B96)/U$201,0),TEXT(IFERROR(GETPIVOTDATA("Sum of "&amp;U$9,'PT-All'!$A$1,"Scenario",U$12,"P&amp;L Item",$B96)/U$29,0),"0.00%"))</f>
        <v>0</v>
      </c>
      <c r="V96" s="592">
        <f>CHOOSE(PLColumn,IFERROR(GETPIVOTDATA("Sum of "&amp;V$9,'PT-All'!$A$1,"Scenario",V$12,"P&amp;L Item",$B96),0),IFERROR(GETPIVOTDATA("Sum of "&amp;V$9,'PT-All'!$A$1,"Scenario",V$12,"P&amp;L Item",$B96)/V$201,0),TEXT(IFERROR(GETPIVOTDATA("Sum of "&amp;V$9,'PT-All'!$A$1,"Scenario",V$12,"P&amp;L Item",$B96)/V$29,0),"0.00%"))</f>
        <v>0</v>
      </c>
      <c r="W96" s="592">
        <f>CHOOSE(PLColumn,IFERROR(GETPIVOTDATA("Sum of "&amp;W$9,'PT-All'!$A$1,"Scenario",W$12,"P&amp;L Item",$B96),0),IFERROR(GETPIVOTDATA("Sum of "&amp;W$9,'PT-All'!$A$1,"Scenario",W$12,"P&amp;L Item",$B96)/W$201,0),TEXT(IFERROR(GETPIVOTDATA("Sum of "&amp;W$9,'PT-All'!$A$1,"Scenario",W$12,"P&amp;L Item",$B96)/W$29,0),"0.00%"))</f>
        <v>0</v>
      </c>
      <c r="X96" s="592">
        <f>CHOOSE(PLColumn,IFERROR(GETPIVOTDATA("Sum of "&amp;X$9,'PT-All'!$A$1,"Scenario",X$12,"P&amp;L Item",$B96),0),IFERROR(GETPIVOTDATA("Sum of "&amp;X$9,'PT-All'!$A$1,"Scenario",X$12,"P&amp;L Item",$B96)/X$201,0),TEXT(IFERROR(GETPIVOTDATA("Sum of "&amp;X$9,'PT-All'!$A$1,"Scenario",X$12,"P&amp;L Item",$B96)/X$29,0),"0.00%"))</f>
        <v>0</v>
      </c>
      <c r="Y96" s="592">
        <f>CHOOSE(PLColumn,IFERROR(GETPIVOTDATA("Sum of "&amp;Y$9,'PT-All'!$A$1,"Scenario",Y$12,"P&amp;L Item",$B96),0),IFERROR(GETPIVOTDATA("Sum of "&amp;Y$9,'PT-All'!$A$1,"Scenario",Y$12,"P&amp;L Item",$B96)/Y$201,0),TEXT(IFERROR(GETPIVOTDATA("Sum of "&amp;Y$9,'PT-All'!$A$1,"Scenario",Y$12,"P&amp;L Item",$B96)/Y$29,0),"0.00%"))</f>
        <v>0</v>
      </c>
      <c r="Z96" s="592">
        <f>CHOOSE(PLColumn,IFERROR(GETPIVOTDATA("Sum of "&amp;Z$9,'PT-All'!$A$1,"Scenario",Z$12,"P&amp;L Item",$B96),0),IFERROR(GETPIVOTDATA("Sum of "&amp;Z$9,'PT-All'!$A$1,"Scenario",Z$12,"P&amp;L Item",$B96)/Z$201,0),TEXT(IFERROR(GETPIVOTDATA("Sum of "&amp;Z$9,'PT-All'!$A$1,"Scenario",Z$12,"P&amp;L Item",$B96)/Z$29,0),"0.00%"))</f>
        <v>0</v>
      </c>
      <c r="AA96" s="592">
        <f>CHOOSE(PLColumn,IFERROR(GETPIVOTDATA("Sum of "&amp;AA$9,'PT-All'!$A$1,"Scenario",AA$12,"P&amp;L Item",$B96),0),IFERROR(GETPIVOTDATA("Sum of "&amp;AA$9,'PT-All'!$A$1,"Scenario",AA$12,"P&amp;L Item",$B96)/AA$201,0),TEXT(IFERROR(GETPIVOTDATA("Sum of "&amp;AA$9,'PT-All'!$A$1,"Scenario",AA$12,"P&amp;L Item",$B96)/AA$29,0),"0.00%"))</f>
        <v>0</v>
      </c>
      <c r="AB96" s="592">
        <f>CHOOSE(PLColumn,IFERROR(GETPIVOTDATA("Sum of "&amp;AB$9,'PT-All'!$A$1,"Scenario",AB$12,"P&amp;L Item",$B96),0),IFERROR(GETPIVOTDATA("Sum of "&amp;AB$9,'PT-All'!$A$1,"Scenario",AB$12,"P&amp;L Item",$B96)/AB$201,0),TEXT(IFERROR(GETPIVOTDATA("Sum of "&amp;AB$9,'PT-All'!$A$1,"Scenario",AB$12,"P&amp;L Item",$B96)/AB$29,0),"0.00%"))</f>
        <v>0</v>
      </c>
      <c r="AC96" s="592">
        <f>CHOOSE(PLColumn,IFERROR(GETPIVOTDATA("Sum of "&amp;AC$9,'PT-All'!$A$1,"Scenario",AC$12,"P&amp;L Item",$B96),0),IFERROR(GETPIVOTDATA("Sum of "&amp;AC$9,'PT-All'!$A$1,"Scenario",AC$12,"P&amp;L Item",$B96)/AC$201,0),TEXT(IFERROR(GETPIVOTDATA("Sum of "&amp;AC$9,'PT-All'!$A$1,"Scenario",AC$12,"P&amp;L Item",$B96)/AC$29,0),"0.00%"))</f>
        <v>0</v>
      </c>
      <c r="AD96" s="592">
        <f>CHOOSE(PLColumn,IFERROR(GETPIVOTDATA("Sum of "&amp;AD$9,'PT-All'!$A$1,"Scenario",AD$12,"P&amp;L Item",$B96),0),IFERROR(GETPIVOTDATA("Sum of "&amp;AD$9,'PT-All'!$A$1,"Scenario",AD$12,"P&amp;L Item",$B96)/AD$201,0),TEXT(IFERROR(GETPIVOTDATA("Sum of "&amp;AD$9,'PT-All'!$A$1,"Scenario",AD$12,"P&amp;L Item",$B96)/AD$29,0),"0.00%"))</f>
        <v>0</v>
      </c>
      <c r="AE96" s="592">
        <f>CHOOSE(PLColumn,IFERROR(GETPIVOTDATA("Sum of "&amp;AE$9,'PT-All'!$A$1,"Scenario",AE$12,"P&amp;L Item",$B96),0),IFERROR(GETPIVOTDATA("Sum of "&amp;AE$9,'PT-All'!$A$1,"Scenario",AE$12,"P&amp;L Item",$B96)/AE$201,0),TEXT(IFERROR(GETPIVOTDATA("Sum of "&amp;AE$9,'PT-All'!$A$1,"Scenario",AE$12,"P&amp;L Item",$B96)/AE$29,0),"0.00%"))</f>
        <v>0</v>
      </c>
      <c r="AF96" s="592">
        <f>CHOOSE(PLColumn,IFERROR(GETPIVOTDATA("Sum of "&amp;AF$9,'PT-All'!$A$1,"Scenario",AF$12,"P&amp;L Item",$B96),0),IFERROR(GETPIVOTDATA("Sum of "&amp;AF$9,'PT-All'!$A$1,"Scenario",AF$12,"P&amp;L Item",$B96)/AF$201,0),TEXT(IFERROR(GETPIVOTDATA("Sum of "&amp;AF$9,'PT-All'!$A$1,"Scenario",AF$12,"P&amp;L Item",$B96)/AF$29,0),"0.00%"))</f>
        <v>0</v>
      </c>
      <c r="AG96" s="592">
        <f>CHOOSE(PLColumn,IFERROR(GETPIVOTDATA("Sum of "&amp;AG$9,'PT-All'!$A$1,"Scenario",AG$12,"P&amp;L Item",$B96),0),IFERROR(GETPIVOTDATA("Sum of "&amp;AG$9,'PT-All'!$A$1,"Scenario",AG$12,"P&amp;L Item",$B96)/AG$201,0),TEXT(IFERROR(GETPIVOTDATA("Sum of "&amp;AG$9,'PT-All'!$A$1,"Scenario",AG$12,"P&amp;L Item",$B96)/AG$29,0),"0.00%"))</f>
        <v>0</v>
      </c>
      <c r="AH96" s="592">
        <f>CHOOSE(PLColumn,IFERROR(GETPIVOTDATA("Sum of "&amp;AH$9,'PT-All'!$A$1,"Scenario",AH$12,"P&amp;L Item",$B96),0),IFERROR(GETPIVOTDATA("Sum of "&amp;AH$9,'PT-All'!$A$1,"Scenario",AH$12,"P&amp;L Item",$B96)/AH$201,0),TEXT(IFERROR(GETPIVOTDATA("Sum of "&amp;AH$9,'PT-All'!$A$1,"Scenario",AH$12,"P&amp;L Item",$B96)/AH$29,0),"0.00%"))</f>
        <v>0</v>
      </c>
      <c r="AI96" s="592">
        <f>CHOOSE(PLColumn,IFERROR(GETPIVOTDATA("Sum of "&amp;AI$9,'PT-All'!$A$1,"Scenario",AI$12,"P&amp;L Item",$B96),0),IFERROR(GETPIVOTDATA("Sum of "&amp;AI$9,'PT-All'!$A$1,"Scenario",AI$12,"P&amp;L Item",$B96)/AI$201,0),TEXT(IFERROR(GETPIVOTDATA("Sum of "&amp;AI$9,'PT-All'!$A$1,"Scenario",AI$12,"P&amp;L Item",$B96)/AI$29,0),"0.00%"))</f>
        <v>0</v>
      </c>
      <c r="AJ96" s="592">
        <f>CHOOSE(PLColumn,IFERROR(GETPIVOTDATA("Sum of "&amp;AJ$9,'PT-All'!$A$1,"Scenario",AJ$12,"P&amp;L Item",$B96),0),IFERROR(GETPIVOTDATA("Sum of "&amp;AJ$9,'PT-All'!$A$1,"Scenario",AJ$12,"P&amp;L Item",$B96)/AJ$201,0),TEXT(IFERROR(GETPIVOTDATA("Sum of "&amp;AJ$9,'PT-All'!$A$1,"Scenario",AJ$12,"P&amp;L Item",$B96)/AJ$29,0),"0.00%"))</f>
        <v>0</v>
      </c>
      <c r="AK96" s="592">
        <f>CHOOSE(PLColumn,IFERROR(GETPIVOTDATA("Sum of "&amp;AK$9,'PT-All'!$A$1,"Scenario",AK$12,"P&amp;L Item",$B96),0),IFERROR(GETPIVOTDATA("Sum of "&amp;AK$9,'PT-All'!$A$1,"Scenario",AK$12,"P&amp;L Item",$B96)/AK$201,0),TEXT(IFERROR(GETPIVOTDATA("Sum of "&amp;AK$9,'PT-All'!$A$1,"Scenario",AK$12,"P&amp;L Item",$B96)/AK$29,0),"0.00%"))</f>
        <v>0</v>
      </c>
      <c r="AL96" s="593">
        <f>CHOOSE(PLColumn,IFERROR(GETPIVOTDATA("Sum of "&amp;AL$9,'PT-All'!$A$1,"Scenario",AL$12,"P&amp;L Item",$B96),0),IFERROR(GETPIVOTDATA("Sum of "&amp;AL$9,'PT-All'!$A$1,"Scenario",AL$12,"P&amp;L Item",$B96)/AL$201,0),TEXT(IFERROR(GETPIVOTDATA("Sum of "&amp;AL$9,'PT-All'!$A$1,"Scenario",AL$12,"P&amp;L Item",$B96)/AL$29,0),"0.00%"))</f>
        <v>0</v>
      </c>
      <c r="AM96" s="590"/>
      <c r="AN96" s="594">
        <f ca="1">IF(AN$12="Pro Forma",SUM(OFFSET($B96,0,3*AN$9+1,1,3)),IFERROR(GETPIVOTDATA("Sum of Q"&amp;AN$9+1,'PT-All'!$A$1,"Scenario",AN$12,"P&amp;L Item",$B96),0))</f>
        <v>0</v>
      </c>
      <c r="AO96" s="592">
        <f ca="1">IF(AO$12="Pro Forma",SUM(OFFSET($B96,0,3*AO$9+1,1,3)),IFERROR(GETPIVOTDATA("Sum of Q"&amp;AO$9+1,'PT-All'!$A$1,"Scenario",AO$12,"P&amp;L Item",$B96),0))</f>
        <v>0</v>
      </c>
      <c r="AP96" s="592">
        <f ca="1">IF(AP$12="Pro Forma",SUM(OFFSET($B96,0,3*AP$9+1,1,3)),IFERROR(GETPIVOTDATA("Sum of Q"&amp;AP$9+1,'PT-All'!$A$1,"Scenario",AP$12,"P&amp;L Item",$B96),0))</f>
        <v>0</v>
      </c>
      <c r="AQ96" s="592">
        <f ca="1">IF(AQ$12="Pro Forma",SUM(OFFSET($B96,0,3*AQ$9+1,1,3)),IFERROR(GETPIVOTDATA("Sum of Q"&amp;AQ$9+1,'PT-All'!$A$1,"Scenario",AQ$12,"P&amp;L Item",$B96),0))</f>
        <v>0</v>
      </c>
      <c r="AR96" s="592">
        <f ca="1">IF(AR$12="Pro Forma",SUM(OFFSET($B96,0,3*AR$9+1,1,3)),IFERROR(GETPIVOTDATA("Sum of Q"&amp;AR$9+1,'PT-All'!$A$1,"Scenario",AR$12,"P&amp;L Item",$B96),0))</f>
        <v>0</v>
      </c>
      <c r="AS96" s="592">
        <f ca="1">IF(AS$12="Pro Forma",SUM(OFFSET($B96,0,3*AS$9+1,1,3)),IFERROR(GETPIVOTDATA("Sum of Q"&amp;AS$9+1,'PT-All'!$A$1,"Scenario",AS$12,"P&amp;L Item",$B96),0))</f>
        <v>0</v>
      </c>
      <c r="AT96" s="592">
        <f ca="1">IF(AT$12="Pro Forma",SUM(OFFSET($B96,0,3*AT$9+1,1,3)),IFERROR(GETPIVOTDATA("Sum of Q"&amp;AT$9+1,'PT-All'!$A$1,"Scenario",AT$12,"P&amp;L Item",$B96),0))</f>
        <v>0</v>
      </c>
      <c r="AU96" s="592">
        <f ca="1">IF(AU$12="Pro Forma",SUM(OFFSET($B96,0,3*AU$9+1,1,3)),IFERROR(GETPIVOTDATA("Sum of Q"&amp;AU$9+1,'PT-All'!$A$1,"Scenario",AU$12,"P&amp;L Item",$B96),0))</f>
        <v>0</v>
      </c>
      <c r="AV96" s="592">
        <f ca="1">IF(AV$12="Pro Forma",SUM(OFFSET($B96,0,3*AV$9+1,1,3)),IFERROR(GETPIVOTDATA("Sum of Q"&amp;AV$9+1,'PT-All'!$A$1,"Scenario",AV$12,"P&amp;L Item",$B96),0))</f>
        <v>0</v>
      </c>
      <c r="AW96" s="592">
        <f ca="1">IF(AW$12="Pro Forma",SUM(OFFSET($B96,0,3*AW$9+1,1,3)),IFERROR(GETPIVOTDATA("Sum of Q"&amp;AW$9+1,'PT-All'!$A$1,"Scenario",AW$12,"P&amp;L Item",$B96),0))</f>
        <v>0</v>
      </c>
      <c r="AX96" s="592">
        <f ca="1">IF(AX$12="Pro Forma",SUM(OFFSET($B96,0,3*AX$9+1,1,3)),IFERROR(GETPIVOTDATA("Sum of Q"&amp;AX$9+1,'PT-All'!$A$1,"Scenario",AX$12,"P&amp;L Item",$B96),0))</f>
        <v>0</v>
      </c>
      <c r="AY96" s="593">
        <f ca="1">IF(AY$12="Pro Forma",SUM(OFFSET($B96,0,3*AY$9+1,1,3)),IFERROR(GETPIVOTDATA("Sum of Q"&amp;AY$9+1,'PT-All'!$A$1,"Scenario",AY$12,"P&amp;L Item",$B96),0))</f>
        <v>0</v>
      </c>
      <c r="AZ96" s="590"/>
      <c r="BA96" s="594">
        <f ca="1">IF(BA$12="Pro Forma",SUM(OFFSET($B96,0,12*BA$9+1,1,12)),IFERROR(GETPIVOTDATA("Sum of FY"&amp;BA$9+1,'PT-All'!$A$1,"Scenario",BA$12,"P&amp;L Item",$B96),0))</f>
        <v>0</v>
      </c>
      <c r="BB96" s="592">
        <f ca="1">IF(BB$12="Pro Forma",SUM(OFFSET($B96,0,12*BB$9+1,1,12)),IFERROR(GETPIVOTDATA("Sum of FY"&amp;BB$9+1,'PT-All'!$A$1,"Scenario",BB$12,"P&amp;L Item",$B96),0))</f>
        <v>0</v>
      </c>
      <c r="BC96" s="593">
        <f ca="1">IF(BC$12="Pro Forma",SUM(OFFSET($B96,0,12*BC$9+1,1,12)),IFERROR(GETPIVOTDATA("Sum of FY"&amp;BC$9+1,'PT-All'!$A$1,"Scenario",BC$12,"P&amp;L Item",$B96),0))</f>
        <v>0</v>
      </c>
    </row>
    <row r="97" spans="2:55" x14ac:dyDescent="0.35">
      <c r="B97" s="356" t="s">
        <v>129</v>
      </c>
      <c r="C97" s="592">
        <f>CHOOSE(PLColumn,IFERROR(GETPIVOTDATA("Sum of "&amp;C$9,'PT-All'!$A$1,"Scenario",C$12,"P&amp;L Item",$B97),0),IFERROR(GETPIVOTDATA("Sum of "&amp;C$9,'PT-All'!$A$1,"Scenario",C$12,"P&amp;L Item",$B97)/C$201,0),TEXT(IFERROR(GETPIVOTDATA("Sum of "&amp;C$9,'PT-All'!$A$1,"Scenario",C$12,"P&amp;L Item",$B97)/C$29,0),"0.00%"))</f>
        <v>0</v>
      </c>
      <c r="D97" s="592">
        <f>CHOOSE(PLColumn,IFERROR(GETPIVOTDATA("Sum of "&amp;D$9,'PT-All'!$A$1,"Scenario",D$12,"P&amp;L Item",$B97),0),IFERROR(GETPIVOTDATA("Sum of "&amp;D$9,'PT-All'!$A$1,"Scenario",D$12,"P&amp;L Item",$B97)/D$201,0),TEXT(IFERROR(GETPIVOTDATA("Sum of "&amp;D$9,'PT-All'!$A$1,"Scenario",D$12,"P&amp;L Item",$B97)/D$29,0),"0.00%"))</f>
        <v>0</v>
      </c>
      <c r="E97" s="592">
        <f>CHOOSE(PLColumn,IFERROR(GETPIVOTDATA("Sum of "&amp;E$9,'PT-All'!$A$1,"Scenario",E$12,"P&amp;L Item",$B97),0),IFERROR(GETPIVOTDATA("Sum of "&amp;E$9,'PT-All'!$A$1,"Scenario",E$12,"P&amp;L Item",$B97)/E$201,0),TEXT(IFERROR(GETPIVOTDATA("Sum of "&amp;E$9,'PT-All'!$A$1,"Scenario",E$12,"P&amp;L Item",$B97)/E$29,0),"0.00%"))</f>
        <v>0</v>
      </c>
      <c r="F97" s="592">
        <f>CHOOSE(PLColumn,IFERROR(GETPIVOTDATA("Sum of "&amp;F$9,'PT-All'!$A$1,"Scenario",F$12,"P&amp;L Item",$B97),0),IFERROR(GETPIVOTDATA("Sum of "&amp;F$9,'PT-All'!$A$1,"Scenario",F$12,"P&amp;L Item",$B97)/F$201,0),TEXT(IFERROR(GETPIVOTDATA("Sum of "&amp;F$9,'PT-All'!$A$1,"Scenario",F$12,"P&amp;L Item",$B97)/F$29,0),"0.00%"))</f>
        <v>0</v>
      </c>
      <c r="G97" s="592">
        <f>CHOOSE(PLColumn,IFERROR(GETPIVOTDATA("Sum of "&amp;G$9,'PT-All'!$A$1,"Scenario",G$12,"P&amp;L Item",$B97),0),IFERROR(GETPIVOTDATA("Sum of "&amp;G$9,'PT-All'!$A$1,"Scenario",G$12,"P&amp;L Item",$B97)/G$201,0),TEXT(IFERROR(GETPIVOTDATA("Sum of "&amp;G$9,'PT-All'!$A$1,"Scenario",G$12,"P&amp;L Item",$B97)/G$29,0),"0.00%"))</f>
        <v>0</v>
      </c>
      <c r="H97" s="592">
        <f>CHOOSE(PLColumn,IFERROR(GETPIVOTDATA("Sum of "&amp;H$9,'PT-All'!$A$1,"Scenario",H$12,"P&amp;L Item",$B97),0),IFERROR(GETPIVOTDATA("Sum of "&amp;H$9,'PT-All'!$A$1,"Scenario",H$12,"P&amp;L Item",$B97)/H$201,0),TEXT(IFERROR(GETPIVOTDATA("Sum of "&amp;H$9,'PT-All'!$A$1,"Scenario",H$12,"P&amp;L Item",$B97)/H$29,0),"0.00%"))</f>
        <v>0</v>
      </c>
      <c r="I97" s="592">
        <f>CHOOSE(PLColumn,IFERROR(GETPIVOTDATA("Sum of "&amp;I$9,'PT-All'!$A$1,"Scenario",I$12,"P&amp;L Item",$B97),0),IFERROR(GETPIVOTDATA("Sum of "&amp;I$9,'PT-All'!$A$1,"Scenario",I$12,"P&amp;L Item",$B97)/I$201,0),TEXT(IFERROR(GETPIVOTDATA("Sum of "&amp;I$9,'PT-All'!$A$1,"Scenario",I$12,"P&amp;L Item",$B97)/I$29,0),"0.00%"))</f>
        <v>0</v>
      </c>
      <c r="J97" s="592">
        <f>CHOOSE(PLColumn,IFERROR(GETPIVOTDATA("Sum of "&amp;J$9,'PT-All'!$A$1,"Scenario",J$12,"P&amp;L Item",$B97),0),IFERROR(GETPIVOTDATA("Sum of "&amp;J$9,'PT-All'!$A$1,"Scenario",J$12,"P&amp;L Item",$B97)/J$201,0),TEXT(IFERROR(GETPIVOTDATA("Sum of "&amp;J$9,'PT-All'!$A$1,"Scenario",J$12,"P&amp;L Item",$B97)/J$29,0),"0.00%"))</f>
        <v>0</v>
      </c>
      <c r="K97" s="592">
        <f>CHOOSE(PLColumn,IFERROR(GETPIVOTDATA("Sum of "&amp;K$9,'PT-All'!$A$1,"Scenario",K$12,"P&amp;L Item",$B97),0),IFERROR(GETPIVOTDATA("Sum of "&amp;K$9,'PT-All'!$A$1,"Scenario",K$12,"P&amp;L Item",$B97)/K$201,0),TEXT(IFERROR(GETPIVOTDATA("Sum of "&amp;K$9,'PT-All'!$A$1,"Scenario",K$12,"P&amp;L Item",$B97)/K$29,0),"0.00%"))</f>
        <v>0</v>
      </c>
      <c r="L97" s="592">
        <f>CHOOSE(PLColumn,IFERROR(GETPIVOTDATA("Sum of "&amp;L$9,'PT-All'!$A$1,"Scenario",L$12,"P&amp;L Item",$B97),0),IFERROR(GETPIVOTDATA("Sum of "&amp;L$9,'PT-All'!$A$1,"Scenario",L$12,"P&amp;L Item",$B97)/L$201,0),TEXT(IFERROR(GETPIVOTDATA("Sum of "&amp;L$9,'PT-All'!$A$1,"Scenario",L$12,"P&amp;L Item",$B97)/L$29,0),"0.00%"))</f>
        <v>0</v>
      </c>
      <c r="M97" s="592">
        <f>CHOOSE(PLColumn,IFERROR(GETPIVOTDATA("Sum of "&amp;M$9,'PT-All'!$A$1,"Scenario",M$12,"P&amp;L Item",$B97),0),IFERROR(GETPIVOTDATA("Sum of "&amp;M$9,'PT-All'!$A$1,"Scenario",M$12,"P&amp;L Item",$B97)/M$201,0),TEXT(IFERROR(GETPIVOTDATA("Sum of "&amp;M$9,'PT-All'!$A$1,"Scenario",M$12,"P&amp;L Item",$B97)/M$29,0),"0.00%"))</f>
        <v>0</v>
      </c>
      <c r="N97" s="592">
        <f>CHOOSE(PLColumn,IFERROR(GETPIVOTDATA("Sum of "&amp;N$9,'PT-All'!$A$1,"Scenario",N$12,"P&amp;L Item",$B97),0),IFERROR(GETPIVOTDATA("Sum of "&amp;N$9,'PT-All'!$A$1,"Scenario",N$12,"P&amp;L Item",$B97)/N$201,0),TEXT(IFERROR(GETPIVOTDATA("Sum of "&amp;N$9,'PT-All'!$A$1,"Scenario",N$12,"P&amp;L Item",$B97)/N$29,0),"0.00%"))</f>
        <v>0</v>
      </c>
      <c r="O97" s="592">
        <f>CHOOSE(PLColumn,IFERROR(GETPIVOTDATA("Sum of "&amp;O$9,'PT-All'!$A$1,"Scenario",O$12,"P&amp;L Item",$B97),0),IFERROR(GETPIVOTDATA("Sum of "&amp;O$9,'PT-All'!$A$1,"Scenario",O$12,"P&amp;L Item",$B97)/O$201,0),TEXT(IFERROR(GETPIVOTDATA("Sum of "&amp;O$9,'PT-All'!$A$1,"Scenario",O$12,"P&amp;L Item",$B97)/O$29,0),"0.00%"))</f>
        <v>0</v>
      </c>
      <c r="P97" s="592">
        <f>CHOOSE(PLColumn,IFERROR(GETPIVOTDATA("Sum of "&amp;P$9,'PT-All'!$A$1,"Scenario",P$12,"P&amp;L Item",$B97),0),IFERROR(GETPIVOTDATA("Sum of "&amp;P$9,'PT-All'!$A$1,"Scenario",P$12,"P&amp;L Item",$B97)/P$201,0),TEXT(IFERROR(GETPIVOTDATA("Sum of "&amp;P$9,'PT-All'!$A$1,"Scenario",P$12,"P&amp;L Item",$B97)/P$29,0),"0.00%"))</f>
        <v>0</v>
      </c>
      <c r="Q97" s="592">
        <f>CHOOSE(PLColumn,IFERROR(GETPIVOTDATA("Sum of "&amp;Q$9,'PT-All'!$A$1,"Scenario",Q$12,"P&amp;L Item",$B97),0),IFERROR(GETPIVOTDATA("Sum of "&amp;Q$9,'PT-All'!$A$1,"Scenario",Q$12,"P&amp;L Item",$B97)/Q$201,0),TEXT(IFERROR(GETPIVOTDATA("Sum of "&amp;Q$9,'PT-All'!$A$1,"Scenario",Q$12,"P&amp;L Item",$B97)/Q$29,0),"0.00%"))</f>
        <v>0</v>
      </c>
      <c r="R97" s="592">
        <f>CHOOSE(PLColumn,IFERROR(GETPIVOTDATA("Sum of "&amp;R$9,'PT-All'!$A$1,"Scenario",R$12,"P&amp;L Item",$B97),0),IFERROR(GETPIVOTDATA("Sum of "&amp;R$9,'PT-All'!$A$1,"Scenario",R$12,"P&amp;L Item",$B97)/R$201,0),TEXT(IFERROR(GETPIVOTDATA("Sum of "&amp;R$9,'PT-All'!$A$1,"Scenario",R$12,"P&amp;L Item",$B97)/R$29,0),"0.00%"))</f>
        <v>0</v>
      </c>
      <c r="S97" s="592">
        <f>CHOOSE(PLColumn,IFERROR(GETPIVOTDATA("Sum of "&amp;S$9,'PT-All'!$A$1,"Scenario",S$12,"P&amp;L Item",$B97),0),IFERROR(GETPIVOTDATA("Sum of "&amp;S$9,'PT-All'!$A$1,"Scenario",S$12,"P&amp;L Item",$B97)/S$201,0),TEXT(IFERROR(GETPIVOTDATA("Sum of "&amp;S$9,'PT-All'!$A$1,"Scenario",S$12,"P&amp;L Item",$B97)/S$29,0),"0.00%"))</f>
        <v>0</v>
      </c>
      <c r="T97" s="592">
        <f>CHOOSE(PLColumn,IFERROR(GETPIVOTDATA("Sum of "&amp;T$9,'PT-All'!$A$1,"Scenario",T$12,"P&amp;L Item",$B97),0),IFERROR(GETPIVOTDATA("Sum of "&amp;T$9,'PT-All'!$A$1,"Scenario",T$12,"P&amp;L Item",$B97)/T$201,0),TEXT(IFERROR(GETPIVOTDATA("Sum of "&amp;T$9,'PT-All'!$A$1,"Scenario",T$12,"P&amp;L Item",$B97)/T$29,0),"0.00%"))</f>
        <v>0</v>
      </c>
      <c r="U97" s="592">
        <f>CHOOSE(PLColumn,IFERROR(GETPIVOTDATA("Sum of "&amp;U$9,'PT-All'!$A$1,"Scenario",U$12,"P&amp;L Item",$B97),0),IFERROR(GETPIVOTDATA("Sum of "&amp;U$9,'PT-All'!$A$1,"Scenario",U$12,"P&amp;L Item",$B97)/U$201,0),TEXT(IFERROR(GETPIVOTDATA("Sum of "&amp;U$9,'PT-All'!$A$1,"Scenario",U$12,"P&amp;L Item",$B97)/U$29,0),"0.00%"))</f>
        <v>0</v>
      </c>
      <c r="V97" s="592">
        <f>CHOOSE(PLColumn,IFERROR(GETPIVOTDATA("Sum of "&amp;V$9,'PT-All'!$A$1,"Scenario",V$12,"P&amp;L Item",$B97),0),IFERROR(GETPIVOTDATA("Sum of "&amp;V$9,'PT-All'!$A$1,"Scenario",V$12,"P&amp;L Item",$B97)/V$201,0),TEXT(IFERROR(GETPIVOTDATA("Sum of "&amp;V$9,'PT-All'!$A$1,"Scenario",V$12,"P&amp;L Item",$B97)/V$29,0),"0.00%"))</f>
        <v>0</v>
      </c>
      <c r="W97" s="592">
        <f>CHOOSE(PLColumn,IFERROR(GETPIVOTDATA("Sum of "&amp;W$9,'PT-All'!$A$1,"Scenario",W$12,"P&amp;L Item",$B97),0),IFERROR(GETPIVOTDATA("Sum of "&amp;W$9,'PT-All'!$A$1,"Scenario",W$12,"P&amp;L Item",$B97)/W$201,0),TEXT(IFERROR(GETPIVOTDATA("Sum of "&amp;W$9,'PT-All'!$A$1,"Scenario",W$12,"P&amp;L Item",$B97)/W$29,0),"0.00%"))</f>
        <v>0</v>
      </c>
      <c r="X97" s="592">
        <f>CHOOSE(PLColumn,IFERROR(GETPIVOTDATA("Sum of "&amp;X$9,'PT-All'!$A$1,"Scenario",X$12,"P&amp;L Item",$B97),0),IFERROR(GETPIVOTDATA("Sum of "&amp;X$9,'PT-All'!$A$1,"Scenario",X$12,"P&amp;L Item",$B97)/X$201,0),TEXT(IFERROR(GETPIVOTDATA("Sum of "&amp;X$9,'PT-All'!$A$1,"Scenario",X$12,"P&amp;L Item",$B97)/X$29,0),"0.00%"))</f>
        <v>0</v>
      </c>
      <c r="Y97" s="592">
        <f>CHOOSE(PLColumn,IFERROR(GETPIVOTDATA("Sum of "&amp;Y$9,'PT-All'!$A$1,"Scenario",Y$12,"P&amp;L Item",$B97),0),IFERROR(GETPIVOTDATA("Sum of "&amp;Y$9,'PT-All'!$A$1,"Scenario",Y$12,"P&amp;L Item",$B97)/Y$201,0),TEXT(IFERROR(GETPIVOTDATA("Sum of "&amp;Y$9,'PT-All'!$A$1,"Scenario",Y$12,"P&amp;L Item",$B97)/Y$29,0),"0.00%"))</f>
        <v>0</v>
      </c>
      <c r="Z97" s="592">
        <f>CHOOSE(PLColumn,IFERROR(GETPIVOTDATA("Sum of "&amp;Z$9,'PT-All'!$A$1,"Scenario",Z$12,"P&amp;L Item",$B97),0),IFERROR(GETPIVOTDATA("Sum of "&amp;Z$9,'PT-All'!$A$1,"Scenario",Z$12,"P&amp;L Item",$B97)/Z$201,0),TEXT(IFERROR(GETPIVOTDATA("Sum of "&amp;Z$9,'PT-All'!$A$1,"Scenario",Z$12,"P&amp;L Item",$B97)/Z$29,0),"0.00%"))</f>
        <v>0</v>
      </c>
      <c r="AA97" s="592">
        <f>CHOOSE(PLColumn,IFERROR(GETPIVOTDATA("Sum of "&amp;AA$9,'PT-All'!$A$1,"Scenario",AA$12,"P&amp;L Item",$B97),0),IFERROR(GETPIVOTDATA("Sum of "&amp;AA$9,'PT-All'!$A$1,"Scenario",AA$12,"P&amp;L Item",$B97)/AA$201,0),TEXT(IFERROR(GETPIVOTDATA("Sum of "&amp;AA$9,'PT-All'!$A$1,"Scenario",AA$12,"P&amp;L Item",$B97)/AA$29,0),"0.00%"))</f>
        <v>0</v>
      </c>
      <c r="AB97" s="592">
        <f>CHOOSE(PLColumn,IFERROR(GETPIVOTDATA("Sum of "&amp;AB$9,'PT-All'!$A$1,"Scenario",AB$12,"P&amp;L Item",$B97),0),IFERROR(GETPIVOTDATA("Sum of "&amp;AB$9,'PT-All'!$A$1,"Scenario",AB$12,"P&amp;L Item",$B97)/AB$201,0),TEXT(IFERROR(GETPIVOTDATA("Sum of "&amp;AB$9,'PT-All'!$A$1,"Scenario",AB$12,"P&amp;L Item",$B97)/AB$29,0),"0.00%"))</f>
        <v>0</v>
      </c>
      <c r="AC97" s="592">
        <f>CHOOSE(PLColumn,IFERROR(GETPIVOTDATA("Sum of "&amp;AC$9,'PT-All'!$A$1,"Scenario",AC$12,"P&amp;L Item",$B97),0),IFERROR(GETPIVOTDATA("Sum of "&amp;AC$9,'PT-All'!$A$1,"Scenario",AC$12,"P&amp;L Item",$B97)/AC$201,0),TEXT(IFERROR(GETPIVOTDATA("Sum of "&amp;AC$9,'PT-All'!$A$1,"Scenario",AC$12,"P&amp;L Item",$B97)/AC$29,0),"0.00%"))</f>
        <v>0</v>
      </c>
      <c r="AD97" s="592">
        <f>CHOOSE(PLColumn,IFERROR(GETPIVOTDATA("Sum of "&amp;AD$9,'PT-All'!$A$1,"Scenario",AD$12,"P&amp;L Item",$B97),0),IFERROR(GETPIVOTDATA("Sum of "&amp;AD$9,'PT-All'!$A$1,"Scenario",AD$12,"P&amp;L Item",$B97)/AD$201,0),TEXT(IFERROR(GETPIVOTDATA("Sum of "&amp;AD$9,'PT-All'!$A$1,"Scenario",AD$12,"P&amp;L Item",$B97)/AD$29,0),"0.00%"))</f>
        <v>0</v>
      </c>
      <c r="AE97" s="592">
        <f>CHOOSE(PLColumn,IFERROR(GETPIVOTDATA("Sum of "&amp;AE$9,'PT-All'!$A$1,"Scenario",AE$12,"P&amp;L Item",$B97),0),IFERROR(GETPIVOTDATA("Sum of "&amp;AE$9,'PT-All'!$A$1,"Scenario",AE$12,"P&amp;L Item",$B97)/AE$201,0),TEXT(IFERROR(GETPIVOTDATA("Sum of "&amp;AE$9,'PT-All'!$A$1,"Scenario",AE$12,"P&amp;L Item",$B97)/AE$29,0),"0.00%"))</f>
        <v>0</v>
      </c>
      <c r="AF97" s="592">
        <f>CHOOSE(PLColumn,IFERROR(GETPIVOTDATA("Sum of "&amp;AF$9,'PT-All'!$A$1,"Scenario",AF$12,"P&amp;L Item",$B97),0),IFERROR(GETPIVOTDATA("Sum of "&amp;AF$9,'PT-All'!$A$1,"Scenario",AF$12,"P&amp;L Item",$B97)/AF$201,0),TEXT(IFERROR(GETPIVOTDATA("Sum of "&amp;AF$9,'PT-All'!$A$1,"Scenario",AF$12,"P&amp;L Item",$B97)/AF$29,0),"0.00%"))</f>
        <v>0</v>
      </c>
      <c r="AG97" s="592">
        <f>CHOOSE(PLColumn,IFERROR(GETPIVOTDATA("Sum of "&amp;AG$9,'PT-All'!$A$1,"Scenario",AG$12,"P&amp;L Item",$B97),0),IFERROR(GETPIVOTDATA("Sum of "&amp;AG$9,'PT-All'!$A$1,"Scenario",AG$12,"P&amp;L Item",$B97)/AG$201,0),TEXT(IFERROR(GETPIVOTDATA("Sum of "&amp;AG$9,'PT-All'!$A$1,"Scenario",AG$12,"P&amp;L Item",$B97)/AG$29,0),"0.00%"))</f>
        <v>0</v>
      </c>
      <c r="AH97" s="592">
        <f>CHOOSE(PLColumn,IFERROR(GETPIVOTDATA("Sum of "&amp;AH$9,'PT-All'!$A$1,"Scenario",AH$12,"P&amp;L Item",$B97),0),IFERROR(GETPIVOTDATA("Sum of "&amp;AH$9,'PT-All'!$A$1,"Scenario",AH$12,"P&amp;L Item",$B97)/AH$201,0),TEXT(IFERROR(GETPIVOTDATA("Sum of "&amp;AH$9,'PT-All'!$A$1,"Scenario",AH$12,"P&amp;L Item",$B97)/AH$29,0),"0.00%"))</f>
        <v>0</v>
      </c>
      <c r="AI97" s="592">
        <f>CHOOSE(PLColumn,IFERROR(GETPIVOTDATA("Sum of "&amp;AI$9,'PT-All'!$A$1,"Scenario",AI$12,"P&amp;L Item",$B97),0),IFERROR(GETPIVOTDATA("Sum of "&amp;AI$9,'PT-All'!$A$1,"Scenario",AI$12,"P&amp;L Item",$B97)/AI$201,0),TEXT(IFERROR(GETPIVOTDATA("Sum of "&amp;AI$9,'PT-All'!$A$1,"Scenario",AI$12,"P&amp;L Item",$B97)/AI$29,0),"0.00%"))</f>
        <v>0</v>
      </c>
      <c r="AJ97" s="592">
        <f>CHOOSE(PLColumn,IFERROR(GETPIVOTDATA("Sum of "&amp;AJ$9,'PT-All'!$A$1,"Scenario",AJ$12,"P&amp;L Item",$B97),0),IFERROR(GETPIVOTDATA("Sum of "&amp;AJ$9,'PT-All'!$A$1,"Scenario",AJ$12,"P&amp;L Item",$B97)/AJ$201,0),TEXT(IFERROR(GETPIVOTDATA("Sum of "&amp;AJ$9,'PT-All'!$A$1,"Scenario",AJ$12,"P&amp;L Item",$B97)/AJ$29,0),"0.00%"))</f>
        <v>0</v>
      </c>
      <c r="AK97" s="592">
        <f>CHOOSE(PLColumn,IFERROR(GETPIVOTDATA("Sum of "&amp;AK$9,'PT-All'!$A$1,"Scenario",AK$12,"P&amp;L Item",$B97),0),IFERROR(GETPIVOTDATA("Sum of "&amp;AK$9,'PT-All'!$A$1,"Scenario",AK$12,"P&amp;L Item",$B97)/AK$201,0),TEXT(IFERROR(GETPIVOTDATA("Sum of "&amp;AK$9,'PT-All'!$A$1,"Scenario",AK$12,"P&amp;L Item",$B97)/AK$29,0),"0.00%"))</f>
        <v>0</v>
      </c>
      <c r="AL97" s="593">
        <f>CHOOSE(PLColumn,IFERROR(GETPIVOTDATA("Sum of "&amp;AL$9,'PT-All'!$A$1,"Scenario",AL$12,"P&amp;L Item",$B97),0),IFERROR(GETPIVOTDATA("Sum of "&amp;AL$9,'PT-All'!$A$1,"Scenario",AL$12,"P&amp;L Item",$B97)/AL$201,0),TEXT(IFERROR(GETPIVOTDATA("Sum of "&amp;AL$9,'PT-All'!$A$1,"Scenario",AL$12,"P&amp;L Item",$B97)/AL$29,0),"0.00%"))</f>
        <v>0</v>
      </c>
      <c r="AM97" s="590"/>
      <c r="AN97" s="594">
        <f ca="1">IF(AN$12="Pro Forma",SUM(OFFSET($B97,0,3*AN$9+1,1,3)),IFERROR(GETPIVOTDATA("Sum of Q"&amp;AN$9+1,'PT-All'!$A$1,"Scenario",AN$12,"P&amp;L Item",$B97),0))</f>
        <v>0</v>
      </c>
      <c r="AO97" s="592">
        <f ca="1">IF(AO$12="Pro Forma",SUM(OFFSET($B97,0,3*AO$9+1,1,3)),IFERROR(GETPIVOTDATA("Sum of Q"&amp;AO$9+1,'PT-All'!$A$1,"Scenario",AO$12,"P&amp;L Item",$B97),0))</f>
        <v>0</v>
      </c>
      <c r="AP97" s="592">
        <f ca="1">IF(AP$12="Pro Forma",SUM(OFFSET($B97,0,3*AP$9+1,1,3)),IFERROR(GETPIVOTDATA("Sum of Q"&amp;AP$9+1,'PT-All'!$A$1,"Scenario",AP$12,"P&amp;L Item",$B97),0))</f>
        <v>0</v>
      </c>
      <c r="AQ97" s="592">
        <f ca="1">IF(AQ$12="Pro Forma",SUM(OFFSET($B97,0,3*AQ$9+1,1,3)),IFERROR(GETPIVOTDATA("Sum of Q"&amp;AQ$9+1,'PT-All'!$A$1,"Scenario",AQ$12,"P&amp;L Item",$B97),0))</f>
        <v>0</v>
      </c>
      <c r="AR97" s="592">
        <f ca="1">IF(AR$12="Pro Forma",SUM(OFFSET($B97,0,3*AR$9+1,1,3)),IFERROR(GETPIVOTDATA("Sum of Q"&amp;AR$9+1,'PT-All'!$A$1,"Scenario",AR$12,"P&amp;L Item",$B97),0))</f>
        <v>0</v>
      </c>
      <c r="AS97" s="592">
        <f ca="1">IF(AS$12="Pro Forma",SUM(OFFSET($B97,0,3*AS$9+1,1,3)),IFERROR(GETPIVOTDATA("Sum of Q"&amp;AS$9+1,'PT-All'!$A$1,"Scenario",AS$12,"P&amp;L Item",$B97),0))</f>
        <v>0</v>
      </c>
      <c r="AT97" s="592">
        <f ca="1">IF(AT$12="Pro Forma",SUM(OFFSET($B97,0,3*AT$9+1,1,3)),IFERROR(GETPIVOTDATA("Sum of Q"&amp;AT$9+1,'PT-All'!$A$1,"Scenario",AT$12,"P&amp;L Item",$B97),0))</f>
        <v>0</v>
      </c>
      <c r="AU97" s="592">
        <f ca="1">IF(AU$12="Pro Forma",SUM(OFFSET($B97,0,3*AU$9+1,1,3)),IFERROR(GETPIVOTDATA("Sum of Q"&amp;AU$9+1,'PT-All'!$A$1,"Scenario",AU$12,"P&amp;L Item",$B97),0))</f>
        <v>0</v>
      </c>
      <c r="AV97" s="592">
        <f ca="1">IF(AV$12="Pro Forma",SUM(OFFSET($B97,0,3*AV$9+1,1,3)),IFERROR(GETPIVOTDATA("Sum of Q"&amp;AV$9+1,'PT-All'!$A$1,"Scenario",AV$12,"P&amp;L Item",$B97),0))</f>
        <v>0</v>
      </c>
      <c r="AW97" s="592">
        <f ca="1">IF(AW$12="Pro Forma",SUM(OFFSET($B97,0,3*AW$9+1,1,3)),IFERROR(GETPIVOTDATA("Sum of Q"&amp;AW$9+1,'PT-All'!$A$1,"Scenario",AW$12,"P&amp;L Item",$B97),0))</f>
        <v>0</v>
      </c>
      <c r="AX97" s="592">
        <f ca="1">IF(AX$12="Pro Forma",SUM(OFFSET($B97,0,3*AX$9+1,1,3)),IFERROR(GETPIVOTDATA("Sum of Q"&amp;AX$9+1,'PT-All'!$A$1,"Scenario",AX$12,"P&amp;L Item",$B97),0))</f>
        <v>0</v>
      </c>
      <c r="AY97" s="593">
        <f ca="1">IF(AY$12="Pro Forma",SUM(OFFSET($B97,0,3*AY$9+1,1,3)),IFERROR(GETPIVOTDATA("Sum of Q"&amp;AY$9+1,'PT-All'!$A$1,"Scenario",AY$12,"P&amp;L Item",$B97),0))</f>
        <v>0</v>
      </c>
      <c r="AZ97" s="590"/>
      <c r="BA97" s="594">
        <f ca="1">IF(BA$12="Pro Forma",SUM(OFFSET($B97,0,12*BA$9+1,1,12)),IFERROR(GETPIVOTDATA("Sum of FY"&amp;BA$9+1,'PT-All'!$A$1,"Scenario",BA$12,"P&amp;L Item",$B97),0))</f>
        <v>0</v>
      </c>
      <c r="BB97" s="592">
        <f ca="1">IF(BB$12="Pro Forma",SUM(OFFSET($B97,0,12*BB$9+1,1,12)),IFERROR(GETPIVOTDATA("Sum of FY"&amp;BB$9+1,'PT-All'!$A$1,"Scenario",BB$12,"P&amp;L Item",$B97),0))</f>
        <v>0</v>
      </c>
      <c r="BC97" s="593">
        <f ca="1">IF(BC$12="Pro Forma",SUM(OFFSET($B97,0,12*BC$9+1,1,12)),IFERROR(GETPIVOTDATA("Sum of FY"&amp;BC$9+1,'PT-All'!$A$1,"Scenario",BC$12,"P&amp;L Item",$B97),0))</f>
        <v>0</v>
      </c>
    </row>
    <row r="98" spans="2:55" ht="15" x14ac:dyDescent="0.4">
      <c r="B98" s="360" t="s">
        <v>130</v>
      </c>
      <c r="C98" s="86">
        <f t="shared" ref="C98:AN98" si="223">SUM(C99:C106)</f>
        <v>0</v>
      </c>
      <c r="D98" s="86">
        <f t="shared" si="223"/>
        <v>0</v>
      </c>
      <c r="E98" s="86">
        <f t="shared" si="223"/>
        <v>0</v>
      </c>
      <c r="F98" s="86">
        <f t="shared" si="223"/>
        <v>0</v>
      </c>
      <c r="G98" s="86">
        <f t="shared" si="223"/>
        <v>0</v>
      </c>
      <c r="H98" s="86">
        <f t="shared" si="223"/>
        <v>0</v>
      </c>
      <c r="I98" s="86">
        <f t="shared" si="223"/>
        <v>0</v>
      </c>
      <c r="J98" s="86">
        <f t="shared" si="223"/>
        <v>0</v>
      </c>
      <c r="K98" s="86">
        <f t="shared" si="223"/>
        <v>0</v>
      </c>
      <c r="L98" s="86">
        <f t="shared" si="223"/>
        <v>0</v>
      </c>
      <c r="M98" s="86">
        <f t="shared" si="223"/>
        <v>0</v>
      </c>
      <c r="N98" s="86">
        <f t="shared" si="223"/>
        <v>0</v>
      </c>
      <c r="O98" s="86">
        <f t="shared" si="223"/>
        <v>0</v>
      </c>
      <c r="P98" s="86">
        <f t="shared" si="223"/>
        <v>0</v>
      </c>
      <c r="Q98" s="86">
        <f t="shared" si="223"/>
        <v>0</v>
      </c>
      <c r="R98" s="86">
        <f t="shared" si="223"/>
        <v>0</v>
      </c>
      <c r="S98" s="86">
        <f t="shared" si="223"/>
        <v>0</v>
      </c>
      <c r="T98" s="86">
        <f t="shared" si="223"/>
        <v>0</v>
      </c>
      <c r="U98" s="86">
        <f t="shared" si="223"/>
        <v>0</v>
      </c>
      <c r="V98" s="86">
        <f t="shared" si="223"/>
        <v>0</v>
      </c>
      <c r="W98" s="86">
        <f t="shared" si="223"/>
        <v>0</v>
      </c>
      <c r="X98" s="86">
        <f t="shared" si="223"/>
        <v>0</v>
      </c>
      <c r="Y98" s="86">
        <f t="shared" si="223"/>
        <v>0</v>
      </c>
      <c r="Z98" s="86">
        <f t="shared" ref="Z98:AL98" si="224">SUM(Z99:Z106)</f>
        <v>0</v>
      </c>
      <c r="AA98" s="86">
        <f t="shared" si="224"/>
        <v>0</v>
      </c>
      <c r="AB98" s="86">
        <f t="shared" si="224"/>
        <v>0</v>
      </c>
      <c r="AC98" s="86">
        <f t="shared" si="224"/>
        <v>0</v>
      </c>
      <c r="AD98" s="86">
        <f t="shared" si="224"/>
        <v>0</v>
      </c>
      <c r="AE98" s="86">
        <f t="shared" si="224"/>
        <v>0</v>
      </c>
      <c r="AF98" s="86">
        <f t="shared" si="224"/>
        <v>0</v>
      </c>
      <c r="AG98" s="86">
        <f t="shared" si="224"/>
        <v>0</v>
      </c>
      <c r="AH98" s="86">
        <f t="shared" si="224"/>
        <v>0</v>
      </c>
      <c r="AI98" s="86">
        <f t="shared" si="224"/>
        <v>0</v>
      </c>
      <c r="AJ98" s="86">
        <f t="shared" si="224"/>
        <v>0</v>
      </c>
      <c r="AK98" s="86">
        <f t="shared" si="224"/>
        <v>0</v>
      </c>
      <c r="AL98" s="102">
        <f t="shared" si="224"/>
        <v>0</v>
      </c>
      <c r="AM98" s="590"/>
      <c r="AN98" s="113">
        <f t="shared" ca="1" si="223"/>
        <v>0</v>
      </c>
      <c r="AO98" s="86">
        <f t="shared" ref="AO98" ca="1" si="225">SUM(AO99:AO106)</f>
        <v>0</v>
      </c>
      <c r="AP98" s="86">
        <f t="shared" ref="AP98" ca="1" si="226">SUM(AP99:AP106)</f>
        <v>0</v>
      </c>
      <c r="AQ98" s="86">
        <f t="shared" ref="AQ98" ca="1" si="227">SUM(AQ99:AQ106)</f>
        <v>0</v>
      </c>
      <c r="AR98" s="86">
        <f t="shared" ref="AR98" ca="1" si="228">SUM(AR99:AR106)</f>
        <v>0</v>
      </c>
      <c r="AS98" s="86">
        <f t="shared" ref="AS98" ca="1" si="229">SUM(AS99:AS106)</f>
        <v>0</v>
      </c>
      <c r="AT98" s="86">
        <f t="shared" ref="AT98:AY98" ca="1" si="230">SUM(AT99:AT106)</f>
        <v>0</v>
      </c>
      <c r="AU98" s="86">
        <f t="shared" ca="1" si="230"/>
        <v>0</v>
      </c>
      <c r="AV98" s="86">
        <f t="shared" ca="1" si="230"/>
        <v>0</v>
      </c>
      <c r="AW98" s="86">
        <f t="shared" ca="1" si="230"/>
        <v>0</v>
      </c>
      <c r="AX98" s="86">
        <f t="shared" ca="1" si="230"/>
        <v>0</v>
      </c>
      <c r="AY98" s="102">
        <f t="shared" ca="1" si="230"/>
        <v>0</v>
      </c>
      <c r="AZ98" s="590"/>
      <c r="BA98" s="113">
        <f t="shared" ref="BA98" ca="1" si="231">SUM(BA99:BA106)</f>
        <v>0</v>
      </c>
      <c r="BB98" s="86">
        <f t="shared" ref="BB98:BC98" ca="1" si="232">SUM(BB99:BB106)</f>
        <v>0</v>
      </c>
      <c r="BC98" s="102">
        <f t="shared" ca="1" si="232"/>
        <v>0</v>
      </c>
    </row>
    <row r="99" spans="2:55" x14ac:dyDescent="0.35">
      <c r="B99" s="64" t="s">
        <v>131</v>
      </c>
      <c r="C99" s="65">
        <f>CHOOSE(PLColumn,IFERROR(GETPIVOTDATA("Sum of "&amp;C$9,'PT-All'!$A$1,"Scenario",C$12,"P&amp;L Item",$B99),0),IFERROR(GETPIVOTDATA("Sum of "&amp;C$9,'PT-All'!$A$1,"Scenario",C$12,"P&amp;L Item",$B99)/C$201,0),TEXT(IFERROR(GETPIVOTDATA("Sum of "&amp;C$9,'PT-All'!$A$1,"Scenario",C$12,"P&amp;L Item",$B99)/C$29,0),"0.00%"))</f>
        <v>0</v>
      </c>
      <c r="D99" s="65">
        <f>CHOOSE(PLColumn,IFERROR(GETPIVOTDATA("Sum of "&amp;D$9,'PT-All'!$A$1,"Scenario",D$12,"P&amp;L Item",$B99),0),IFERROR(GETPIVOTDATA("Sum of "&amp;D$9,'PT-All'!$A$1,"Scenario",D$12,"P&amp;L Item",$B99)/D$201,0),TEXT(IFERROR(GETPIVOTDATA("Sum of "&amp;D$9,'PT-All'!$A$1,"Scenario",D$12,"P&amp;L Item",$B99)/D$29,0),"0.00%"))</f>
        <v>0</v>
      </c>
      <c r="E99" s="65">
        <f>CHOOSE(PLColumn,IFERROR(GETPIVOTDATA("Sum of "&amp;E$9,'PT-All'!$A$1,"Scenario",E$12,"P&amp;L Item",$B99),0),IFERROR(GETPIVOTDATA("Sum of "&amp;E$9,'PT-All'!$A$1,"Scenario",E$12,"P&amp;L Item",$B99)/E$201,0),TEXT(IFERROR(GETPIVOTDATA("Sum of "&amp;E$9,'PT-All'!$A$1,"Scenario",E$12,"P&amp;L Item",$B99)/E$29,0),"0.00%"))</f>
        <v>0</v>
      </c>
      <c r="F99" s="65">
        <f>CHOOSE(PLColumn,IFERROR(GETPIVOTDATA("Sum of "&amp;F$9,'PT-All'!$A$1,"Scenario",F$12,"P&amp;L Item",$B99),0),IFERROR(GETPIVOTDATA("Sum of "&amp;F$9,'PT-All'!$A$1,"Scenario",F$12,"P&amp;L Item",$B99)/F$201,0),TEXT(IFERROR(GETPIVOTDATA("Sum of "&amp;F$9,'PT-All'!$A$1,"Scenario",F$12,"P&amp;L Item",$B99)/F$29,0),"0.00%"))</f>
        <v>0</v>
      </c>
      <c r="G99" s="65">
        <f>CHOOSE(PLColumn,IFERROR(GETPIVOTDATA("Sum of "&amp;G$9,'PT-All'!$A$1,"Scenario",G$12,"P&amp;L Item",$B99),0),IFERROR(GETPIVOTDATA("Sum of "&amp;G$9,'PT-All'!$A$1,"Scenario",G$12,"P&amp;L Item",$B99)/G$201,0),TEXT(IFERROR(GETPIVOTDATA("Sum of "&amp;G$9,'PT-All'!$A$1,"Scenario",G$12,"P&amp;L Item",$B99)/G$29,0),"0.00%"))</f>
        <v>0</v>
      </c>
      <c r="H99" s="65">
        <f>CHOOSE(PLColumn,IFERROR(GETPIVOTDATA("Sum of "&amp;H$9,'PT-All'!$A$1,"Scenario",H$12,"P&amp;L Item",$B99),0),IFERROR(GETPIVOTDATA("Sum of "&amp;H$9,'PT-All'!$A$1,"Scenario",H$12,"P&amp;L Item",$B99)/H$201,0),TEXT(IFERROR(GETPIVOTDATA("Sum of "&amp;H$9,'PT-All'!$A$1,"Scenario",H$12,"P&amp;L Item",$B99)/H$29,0),"0.00%"))</f>
        <v>0</v>
      </c>
      <c r="I99" s="65">
        <f>CHOOSE(PLColumn,IFERROR(GETPIVOTDATA("Sum of "&amp;I$9,'PT-All'!$A$1,"Scenario",I$12,"P&amp;L Item",$B99),0),IFERROR(GETPIVOTDATA("Sum of "&amp;I$9,'PT-All'!$A$1,"Scenario",I$12,"P&amp;L Item",$B99)/I$201,0),TEXT(IFERROR(GETPIVOTDATA("Sum of "&amp;I$9,'PT-All'!$A$1,"Scenario",I$12,"P&amp;L Item",$B99)/I$29,0),"0.00%"))</f>
        <v>0</v>
      </c>
      <c r="J99" s="65">
        <f>CHOOSE(PLColumn,IFERROR(GETPIVOTDATA("Sum of "&amp;J$9,'PT-All'!$A$1,"Scenario",J$12,"P&amp;L Item",$B99),0),IFERROR(GETPIVOTDATA("Sum of "&amp;J$9,'PT-All'!$A$1,"Scenario",J$12,"P&amp;L Item",$B99)/J$201,0),TEXT(IFERROR(GETPIVOTDATA("Sum of "&amp;J$9,'PT-All'!$A$1,"Scenario",J$12,"P&amp;L Item",$B99)/J$29,0),"0.00%"))</f>
        <v>0</v>
      </c>
      <c r="K99" s="65">
        <f>CHOOSE(PLColumn,IFERROR(GETPIVOTDATA("Sum of "&amp;K$9,'PT-All'!$A$1,"Scenario",K$12,"P&amp;L Item",$B99),0),IFERROR(GETPIVOTDATA("Sum of "&amp;K$9,'PT-All'!$A$1,"Scenario",K$12,"P&amp;L Item",$B99)/K$201,0),TEXT(IFERROR(GETPIVOTDATA("Sum of "&amp;K$9,'PT-All'!$A$1,"Scenario",K$12,"P&amp;L Item",$B99)/K$29,0),"0.00%"))</f>
        <v>0</v>
      </c>
      <c r="L99" s="65">
        <f>CHOOSE(PLColumn,IFERROR(GETPIVOTDATA("Sum of "&amp;L$9,'PT-All'!$A$1,"Scenario",L$12,"P&amp;L Item",$B99),0),IFERROR(GETPIVOTDATA("Sum of "&amp;L$9,'PT-All'!$A$1,"Scenario",L$12,"P&amp;L Item",$B99)/L$201,0),TEXT(IFERROR(GETPIVOTDATA("Sum of "&amp;L$9,'PT-All'!$A$1,"Scenario",L$12,"P&amp;L Item",$B99)/L$29,0),"0.00%"))</f>
        <v>0</v>
      </c>
      <c r="M99" s="65">
        <f>CHOOSE(PLColumn,IFERROR(GETPIVOTDATA("Sum of "&amp;M$9,'PT-All'!$A$1,"Scenario",M$12,"P&amp;L Item",$B99),0),IFERROR(GETPIVOTDATA("Sum of "&amp;M$9,'PT-All'!$A$1,"Scenario",M$12,"P&amp;L Item",$B99)/M$201,0),TEXT(IFERROR(GETPIVOTDATA("Sum of "&amp;M$9,'PT-All'!$A$1,"Scenario",M$12,"P&amp;L Item",$B99)/M$29,0),"0.00%"))</f>
        <v>0</v>
      </c>
      <c r="N99" s="65">
        <f>CHOOSE(PLColumn,IFERROR(GETPIVOTDATA("Sum of "&amp;N$9,'PT-All'!$A$1,"Scenario",N$12,"P&amp;L Item",$B99),0),IFERROR(GETPIVOTDATA("Sum of "&amp;N$9,'PT-All'!$A$1,"Scenario",N$12,"P&amp;L Item",$B99)/N$201,0),TEXT(IFERROR(GETPIVOTDATA("Sum of "&amp;N$9,'PT-All'!$A$1,"Scenario",N$12,"P&amp;L Item",$B99)/N$29,0),"0.00%"))</f>
        <v>0</v>
      </c>
      <c r="O99" s="65">
        <f>CHOOSE(PLColumn,IFERROR(GETPIVOTDATA("Sum of "&amp;O$9,'PT-All'!$A$1,"Scenario",O$12,"P&amp;L Item",$B99),0),IFERROR(GETPIVOTDATA("Sum of "&amp;O$9,'PT-All'!$A$1,"Scenario",O$12,"P&amp;L Item",$B99)/O$201,0),TEXT(IFERROR(GETPIVOTDATA("Sum of "&amp;O$9,'PT-All'!$A$1,"Scenario",O$12,"P&amp;L Item",$B99)/O$29,0),"0.00%"))</f>
        <v>0</v>
      </c>
      <c r="P99" s="65">
        <f>CHOOSE(PLColumn,IFERROR(GETPIVOTDATA("Sum of "&amp;P$9,'PT-All'!$A$1,"Scenario",P$12,"P&amp;L Item",$B99),0),IFERROR(GETPIVOTDATA("Sum of "&amp;P$9,'PT-All'!$A$1,"Scenario",P$12,"P&amp;L Item",$B99)/P$201,0),TEXT(IFERROR(GETPIVOTDATA("Sum of "&amp;P$9,'PT-All'!$A$1,"Scenario",P$12,"P&amp;L Item",$B99)/P$29,0),"0.00%"))</f>
        <v>0</v>
      </c>
      <c r="Q99" s="65">
        <f>CHOOSE(PLColumn,IFERROR(GETPIVOTDATA("Sum of "&amp;Q$9,'PT-All'!$A$1,"Scenario",Q$12,"P&amp;L Item",$B99),0),IFERROR(GETPIVOTDATA("Sum of "&amp;Q$9,'PT-All'!$A$1,"Scenario",Q$12,"P&amp;L Item",$B99)/Q$201,0),TEXT(IFERROR(GETPIVOTDATA("Sum of "&amp;Q$9,'PT-All'!$A$1,"Scenario",Q$12,"P&amp;L Item",$B99)/Q$29,0),"0.00%"))</f>
        <v>0</v>
      </c>
      <c r="R99" s="65">
        <f>CHOOSE(PLColumn,IFERROR(GETPIVOTDATA("Sum of "&amp;R$9,'PT-All'!$A$1,"Scenario",R$12,"P&amp;L Item",$B99),0),IFERROR(GETPIVOTDATA("Sum of "&amp;R$9,'PT-All'!$A$1,"Scenario",R$12,"P&amp;L Item",$B99)/R$201,0),TEXT(IFERROR(GETPIVOTDATA("Sum of "&amp;R$9,'PT-All'!$A$1,"Scenario",R$12,"P&amp;L Item",$B99)/R$29,0),"0.00%"))</f>
        <v>0</v>
      </c>
      <c r="S99" s="65">
        <f>CHOOSE(PLColumn,IFERROR(GETPIVOTDATA("Sum of "&amp;S$9,'PT-All'!$A$1,"Scenario",S$12,"P&amp;L Item",$B99),0),IFERROR(GETPIVOTDATA("Sum of "&amp;S$9,'PT-All'!$A$1,"Scenario",S$12,"P&amp;L Item",$B99)/S$201,0),TEXT(IFERROR(GETPIVOTDATA("Sum of "&amp;S$9,'PT-All'!$A$1,"Scenario",S$12,"P&amp;L Item",$B99)/S$29,0),"0.00%"))</f>
        <v>0</v>
      </c>
      <c r="T99" s="65">
        <f>CHOOSE(PLColumn,IFERROR(GETPIVOTDATA("Sum of "&amp;T$9,'PT-All'!$A$1,"Scenario",T$12,"P&amp;L Item",$B99),0),IFERROR(GETPIVOTDATA("Sum of "&amp;T$9,'PT-All'!$A$1,"Scenario",T$12,"P&amp;L Item",$B99)/T$201,0),TEXT(IFERROR(GETPIVOTDATA("Sum of "&amp;T$9,'PT-All'!$A$1,"Scenario",T$12,"P&amp;L Item",$B99)/T$29,0),"0.00%"))</f>
        <v>0</v>
      </c>
      <c r="U99" s="65">
        <f>CHOOSE(PLColumn,IFERROR(GETPIVOTDATA("Sum of "&amp;U$9,'PT-All'!$A$1,"Scenario",U$12,"P&amp;L Item",$B99),0),IFERROR(GETPIVOTDATA("Sum of "&amp;U$9,'PT-All'!$A$1,"Scenario",U$12,"P&amp;L Item",$B99)/U$201,0),TEXT(IFERROR(GETPIVOTDATA("Sum of "&amp;U$9,'PT-All'!$A$1,"Scenario",U$12,"P&amp;L Item",$B99)/U$29,0),"0.00%"))</f>
        <v>0</v>
      </c>
      <c r="V99" s="65">
        <f>CHOOSE(PLColumn,IFERROR(GETPIVOTDATA("Sum of "&amp;V$9,'PT-All'!$A$1,"Scenario",V$12,"P&amp;L Item",$B99),0),IFERROR(GETPIVOTDATA("Sum of "&amp;V$9,'PT-All'!$A$1,"Scenario",V$12,"P&amp;L Item",$B99)/V$201,0),TEXT(IFERROR(GETPIVOTDATA("Sum of "&amp;V$9,'PT-All'!$A$1,"Scenario",V$12,"P&amp;L Item",$B99)/V$29,0),"0.00%"))</f>
        <v>0</v>
      </c>
      <c r="W99" s="65">
        <f>CHOOSE(PLColumn,IFERROR(GETPIVOTDATA("Sum of "&amp;W$9,'PT-All'!$A$1,"Scenario",W$12,"P&amp;L Item",$B99),0),IFERROR(GETPIVOTDATA("Sum of "&amp;W$9,'PT-All'!$A$1,"Scenario",W$12,"P&amp;L Item",$B99)/W$201,0),TEXT(IFERROR(GETPIVOTDATA("Sum of "&amp;W$9,'PT-All'!$A$1,"Scenario",W$12,"P&amp;L Item",$B99)/W$29,0),"0.00%"))</f>
        <v>0</v>
      </c>
      <c r="X99" s="65">
        <f>CHOOSE(PLColumn,IFERROR(GETPIVOTDATA("Sum of "&amp;X$9,'PT-All'!$A$1,"Scenario",X$12,"P&amp;L Item",$B99),0),IFERROR(GETPIVOTDATA("Sum of "&amp;X$9,'PT-All'!$A$1,"Scenario",X$12,"P&amp;L Item",$B99)/X$201,0),TEXT(IFERROR(GETPIVOTDATA("Sum of "&amp;X$9,'PT-All'!$A$1,"Scenario",X$12,"P&amp;L Item",$B99)/X$29,0),"0.00%"))</f>
        <v>0</v>
      </c>
      <c r="Y99" s="65">
        <f>CHOOSE(PLColumn,IFERROR(GETPIVOTDATA("Sum of "&amp;Y$9,'PT-All'!$A$1,"Scenario",Y$12,"P&amp;L Item",$B99),0),IFERROR(GETPIVOTDATA("Sum of "&amp;Y$9,'PT-All'!$A$1,"Scenario",Y$12,"P&amp;L Item",$B99)/Y$201,0),TEXT(IFERROR(GETPIVOTDATA("Sum of "&amp;Y$9,'PT-All'!$A$1,"Scenario",Y$12,"P&amp;L Item",$B99)/Y$29,0),"0.00%"))</f>
        <v>0</v>
      </c>
      <c r="Z99" s="65">
        <f>CHOOSE(PLColumn,IFERROR(GETPIVOTDATA("Sum of "&amp;Z$9,'PT-All'!$A$1,"Scenario",Z$12,"P&amp;L Item",$B99),0),IFERROR(GETPIVOTDATA("Sum of "&amp;Z$9,'PT-All'!$A$1,"Scenario",Z$12,"P&amp;L Item",$B99)/Z$201,0),TEXT(IFERROR(GETPIVOTDATA("Sum of "&amp;Z$9,'PT-All'!$A$1,"Scenario",Z$12,"P&amp;L Item",$B99)/Z$29,0),"0.00%"))</f>
        <v>0</v>
      </c>
      <c r="AA99" s="65">
        <f>CHOOSE(PLColumn,IFERROR(GETPIVOTDATA("Sum of "&amp;AA$9,'PT-All'!$A$1,"Scenario",AA$12,"P&amp;L Item",$B99),0),IFERROR(GETPIVOTDATA("Sum of "&amp;AA$9,'PT-All'!$A$1,"Scenario",AA$12,"P&amp;L Item",$B99)/AA$201,0),TEXT(IFERROR(GETPIVOTDATA("Sum of "&amp;AA$9,'PT-All'!$A$1,"Scenario",AA$12,"P&amp;L Item",$B99)/AA$29,0),"0.00%"))</f>
        <v>0</v>
      </c>
      <c r="AB99" s="65">
        <f>CHOOSE(PLColumn,IFERROR(GETPIVOTDATA("Sum of "&amp;AB$9,'PT-All'!$A$1,"Scenario",AB$12,"P&amp;L Item",$B99),0),IFERROR(GETPIVOTDATA("Sum of "&amp;AB$9,'PT-All'!$A$1,"Scenario",AB$12,"P&amp;L Item",$B99)/AB$201,0),TEXT(IFERROR(GETPIVOTDATA("Sum of "&amp;AB$9,'PT-All'!$A$1,"Scenario",AB$12,"P&amp;L Item",$B99)/AB$29,0),"0.00%"))</f>
        <v>0</v>
      </c>
      <c r="AC99" s="65">
        <f>CHOOSE(PLColumn,IFERROR(GETPIVOTDATA("Sum of "&amp;AC$9,'PT-All'!$A$1,"Scenario",AC$12,"P&amp;L Item",$B99),0),IFERROR(GETPIVOTDATA("Sum of "&amp;AC$9,'PT-All'!$A$1,"Scenario",AC$12,"P&amp;L Item",$B99)/AC$201,0),TEXT(IFERROR(GETPIVOTDATA("Sum of "&amp;AC$9,'PT-All'!$A$1,"Scenario",AC$12,"P&amp;L Item",$B99)/AC$29,0),"0.00%"))</f>
        <v>0</v>
      </c>
      <c r="AD99" s="65">
        <f>CHOOSE(PLColumn,IFERROR(GETPIVOTDATA("Sum of "&amp;AD$9,'PT-All'!$A$1,"Scenario",AD$12,"P&amp;L Item",$B99),0),IFERROR(GETPIVOTDATA("Sum of "&amp;AD$9,'PT-All'!$A$1,"Scenario",AD$12,"P&amp;L Item",$B99)/AD$201,0),TEXT(IFERROR(GETPIVOTDATA("Sum of "&amp;AD$9,'PT-All'!$A$1,"Scenario",AD$12,"P&amp;L Item",$B99)/AD$29,0),"0.00%"))</f>
        <v>0</v>
      </c>
      <c r="AE99" s="65">
        <f>CHOOSE(PLColumn,IFERROR(GETPIVOTDATA("Sum of "&amp;AE$9,'PT-All'!$A$1,"Scenario",AE$12,"P&amp;L Item",$B99),0),IFERROR(GETPIVOTDATA("Sum of "&amp;AE$9,'PT-All'!$A$1,"Scenario",AE$12,"P&amp;L Item",$B99)/AE$201,0),TEXT(IFERROR(GETPIVOTDATA("Sum of "&amp;AE$9,'PT-All'!$A$1,"Scenario",AE$12,"P&amp;L Item",$B99)/AE$29,0),"0.00%"))</f>
        <v>0</v>
      </c>
      <c r="AF99" s="65">
        <f>CHOOSE(PLColumn,IFERROR(GETPIVOTDATA("Sum of "&amp;AF$9,'PT-All'!$A$1,"Scenario",AF$12,"P&amp;L Item",$B99),0),IFERROR(GETPIVOTDATA("Sum of "&amp;AF$9,'PT-All'!$A$1,"Scenario",AF$12,"P&amp;L Item",$B99)/AF$201,0),TEXT(IFERROR(GETPIVOTDATA("Sum of "&amp;AF$9,'PT-All'!$A$1,"Scenario",AF$12,"P&amp;L Item",$B99)/AF$29,0),"0.00%"))</f>
        <v>0</v>
      </c>
      <c r="AG99" s="65">
        <f>CHOOSE(PLColumn,IFERROR(GETPIVOTDATA("Sum of "&amp;AG$9,'PT-All'!$A$1,"Scenario",AG$12,"P&amp;L Item",$B99),0),IFERROR(GETPIVOTDATA("Sum of "&amp;AG$9,'PT-All'!$A$1,"Scenario",AG$12,"P&amp;L Item",$B99)/AG$201,0),TEXT(IFERROR(GETPIVOTDATA("Sum of "&amp;AG$9,'PT-All'!$A$1,"Scenario",AG$12,"P&amp;L Item",$B99)/AG$29,0),"0.00%"))</f>
        <v>0</v>
      </c>
      <c r="AH99" s="65">
        <f>CHOOSE(PLColumn,IFERROR(GETPIVOTDATA("Sum of "&amp;AH$9,'PT-All'!$A$1,"Scenario",AH$12,"P&amp;L Item",$B99),0),IFERROR(GETPIVOTDATA("Sum of "&amp;AH$9,'PT-All'!$A$1,"Scenario",AH$12,"P&amp;L Item",$B99)/AH$201,0),TEXT(IFERROR(GETPIVOTDATA("Sum of "&amp;AH$9,'PT-All'!$A$1,"Scenario",AH$12,"P&amp;L Item",$B99)/AH$29,0),"0.00%"))</f>
        <v>0</v>
      </c>
      <c r="AI99" s="65">
        <f>CHOOSE(PLColumn,IFERROR(GETPIVOTDATA("Sum of "&amp;AI$9,'PT-All'!$A$1,"Scenario",AI$12,"P&amp;L Item",$B99),0),IFERROR(GETPIVOTDATA("Sum of "&amp;AI$9,'PT-All'!$A$1,"Scenario",AI$12,"P&amp;L Item",$B99)/AI$201,0),TEXT(IFERROR(GETPIVOTDATA("Sum of "&amp;AI$9,'PT-All'!$A$1,"Scenario",AI$12,"P&amp;L Item",$B99)/AI$29,0),"0.00%"))</f>
        <v>0</v>
      </c>
      <c r="AJ99" s="65">
        <f>CHOOSE(PLColumn,IFERROR(GETPIVOTDATA("Sum of "&amp;AJ$9,'PT-All'!$A$1,"Scenario",AJ$12,"P&amp;L Item",$B99),0),IFERROR(GETPIVOTDATA("Sum of "&amp;AJ$9,'PT-All'!$A$1,"Scenario",AJ$12,"P&amp;L Item",$B99)/AJ$201,0),TEXT(IFERROR(GETPIVOTDATA("Sum of "&amp;AJ$9,'PT-All'!$A$1,"Scenario",AJ$12,"P&amp;L Item",$B99)/AJ$29,0),"0.00%"))</f>
        <v>0</v>
      </c>
      <c r="AK99" s="65">
        <f>CHOOSE(PLColumn,IFERROR(GETPIVOTDATA("Sum of "&amp;AK$9,'PT-All'!$A$1,"Scenario",AK$12,"P&amp;L Item",$B99),0),IFERROR(GETPIVOTDATA("Sum of "&amp;AK$9,'PT-All'!$A$1,"Scenario",AK$12,"P&amp;L Item",$B99)/AK$201,0),TEXT(IFERROR(GETPIVOTDATA("Sum of "&amp;AK$9,'PT-All'!$A$1,"Scenario",AK$12,"P&amp;L Item",$B99)/AK$29,0),"0.00%"))</f>
        <v>0</v>
      </c>
      <c r="AL99" s="97">
        <f>CHOOSE(PLColumn,IFERROR(GETPIVOTDATA("Sum of "&amp;AL$9,'PT-All'!$A$1,"Scenario",AL$12,"P&amp;L Item",$B99),0),IFERROR(GETPIVOTDATA("Sum of "&amp;AL$9,'PT-All'!$A$1,"Scenario",AL$12,"P&amp;L Item",$B99)/AL$201,0),TEXT(IFERROR(GETPIVOTDATA("Sum of "&amp;AL$9,'PT-All'!$A$1,"Scenario",AL$12,"P&amp;L Item",$B99)/AL$29,0),"0.00%"))</f>
        <v>0</v>
      </c>
      <c r="AM99" s="590"/>
      <c r="AN99" s="108">
        <f ca="1">IF(AN$12="Pro Forma",SUM(OFFSET($B99,0,3*AN$9+1,1,3)),IFERROR(GETPIVOTDATA("Sum of Q"&amp;AN$9+1,'PT-All'!$A$1,"Scenario",AN$12,"P&amp;L Item",$B99),0))</f>
        <v>0</v>
      </c>
      <c r="AO99" s="65">
        <f ca="1">IF(AO$12="Pro Forma",SUM(OFFSET($B99,0,3*AO$9+1,1,3)),IFERROR(GETPIVOTDATA("Sum of Q"&amp;AO$9+1,'PT-All'!$A$1,"Scenario",AO$12,"P&amp;L Item",$B99),0))</f>
        <v>0</v>
      </c>
      <c r="AP99" s="65">
        <f ca="1">IF(AP$12="Pro Forma",SUM(OFFSET($B99,0,3*AP$9+1,1,3)),IFERROR(GETPIVOTDATA("Sum of Q"&amp;AP$9+1,'PT-All'!$A$1,"Scenario",AP$12,"P&amp;L Item",$B99),0))</f>
        <v>0</v>
      </c>
      <c r="AQ99" s="65">
        <f ca="1">IF(AQ$12="Pro Forma",SUM(OFFSET($B99,0,3*AQ$9+1,1,3)),IFERROR(GETPIVOTDATA("Sum of Q"&amp;AQ$9+1,'PT-All'!$A$1,"Scenario",AQ$12,"P&amp;L Item",$B99),0))</f>
        <v>0</v>
      </c>
      <c r="AR99" s="65">
        <f ca="1">IF(AR$12="Pro Forma",SUM(OFFSET($B99,0,3*AR$9+1,1,3)),IFERROR(GETPIVOTDATA("Sum of Q"&amp;AR$9+1,'PT-All'!$A$1,"Scenario",AR$12,"P&amp;L Item",$B99),0))</f>
        <v>0</v>
      </c>
      <c r="AS99" s="65">
        <f ca="1">IF(AS$12="Pro Forma",SUM(OFFSET($B99,0,3*AS$9+1,1,3)),IFERROR(GETPIVOTDATA("Sum of Q"&amp;AS$9+1,'PT-All'!$A$1,"Scenario",AS$12,"P&amp;L Item",$B99),0))</f>
        <v>0</v>
      </c>
      <c r="AT99" s="65">
        <f ca="1">IF(AT$12="Pro Forma",SUM(OFFSET($B99,0,3*AT$9+1,1,3)),IFERROR(GETPIVOTDATA("Sum of Q"&amp;AT$9+1,'PT-All'!$A$1,"Scenario",AT$12,"P&amp;L Item",$B99),0))</f>
        <v>0</v>
      </c>
      <c r="AU99" s="65">
        <f ca="1">IF(AU$12="Pro Forma",SUM(OFFSET($B99,0,3*AU$9+1,1,3)),IFERROR(GETPIVOTDATA("Sum of Q"&amp;AU$9+1,'PT-All'!$A$1,"Scenario",AU$12,"P&amp;L Item",$B99),0))</f>
        <v>0</v>
      </c>
      <c r="AV99" s="65">
        <f ca="1">IF(AV$12="Pro Forma",SUM(OFFSET($B99,0,3*AV$9+1,1,3)),IFERROR(GETPIVOTDATA("Sum of Q"&amp;AV$9+1,'PT-All'!$A$1,"Scenario",AV$12,"P&amp;L Item",$B99),0))</f>
        <v>0</v>
      </c>
      <c r="AW99" s="65">
        <f ca="1">IF(AW$12="Pro Forma",SUM(OFFSET($B99,0,3*AW$9+1,1,3)),IFERROR(GETPIVOTDATA("Sum of Q"&amp;AW$9+1,'PT-All'!$A$1,"Scenario",AW$12,"P&amp;L Item",$B99),0))</f>
        <v>0</v>
      </c>
      <c r="AX99" s="65">
        <f ca="1">IF(AX$12="Pro Forma",SUM(OFFSET($B99,0,3*AX$9+1,1,3)),IFERROR(GETPIVOTDATA("Sum of Q"&amp;AX$9+1,'PT-All'!$A$1,"Scenario",AX$12,"P&amp;L Item",$B99),0))</f>
        <v>0</v>
      </c>
      <c r="AY99" s="97">
        <f ca="1">IF(AY$12="Pro Forma",SUM(OFFSET($B99,0,3*AY$9+1,1,3)),IFERROR(GETPIVOTDATA("Sum of Q"&amp;AY$9+1,'PT-All'!$A$1,"Scenario",AY$12,"P&amp;L Item",$B99),0))</f>
        <v>0</v>
      </c>
      <c r="AZ99" s="590"/>
      <c r="BA99" s="108">
        <f ca="1">IF(BA$12="Pro Forma",SUM(OFFSET($B99,0,12*BA$9+1,1,12)),IFERROR(GETPIVOTDATA("Sum of FY"&amp;BA$9+1,'PT-All'!$A$1,"Scenario",BA$12,"P&amp;L Item",$B99),0))</f>
        <v>0</v>
      </c>
      <c r="BB99" s="65">
        <f ca="1">IF(BB$12="Pro Forma",SUM(OFFSET($B99,0,12*BB$9+1,1,12)),IFERROR(GETPIVOTDATA("Sum of FY"&amp;BB$9+1,'PT-All'!$A$1,"Scenario",BB$12,"P&amp;L Item",$B99),0))</f>
        <v>0</v>
      </c>
      <c r="BC99" s="97">
        <f ca="1">IF(BC$12="Pro Forma",SUM(OFFSET($B99,0,12*BC$9+1,1,12)),IFERROR(GETPIVOTDATA("Sum of FY"&amp;BC$9+1,'PT-All'!$A$1,"Scenario",BC$12,"P&amp;L Item",$B99),0))</f>
        <v>0</v>
      </c>
    </row>
    <row r="100" spans="2:55" x14ac:dyDescent="0.35">
      <c r="B100" s="64" t="s">
        <v>132</v>
      </c>
      <c r="C100" s="65">
        <f>CHOOSE(PLColumn,IFERROR(GETPIVOTDATA("Sum of "&amp;C$9,'PT-All'!$A$1,"Scenario",C$12,"P&amp;L Item",$B100),0),IFERROR(GETPIVOTDATA("Sum of "&amp;C$9,'PT-All'!$A$1,"Scenario",C$12,"P&amp;L Item",$B100)/C$201,0),TEXT(IFERROR(GETPIVOTDATA("Sum of "&amp;C$9,'PT-All'!$A$1,"Scenario",C$12,"P&amp;L Item",$B100)/C$29,0),"0.00%"))</f>
        <v>0</v>
      </c>
      <c r="D100" s="65">
        <f>CHOOSE(PLColumn,IFERROR(GETPIVOTDATA("Sum of "&amp;D$9,'PT-All'!$A$1,"Scenario",D$12,"P&amp;L Item",$B100),0),IFERROR(GETPIVOTDATA("Sum of "&amp;D$9,'PT-All'!$A$1,"Scenario",D$12,"P&amp;L Item",$B100)/D$201,0),TEXT(IFERROR(GETPIVOTDATA("Sum of "&amp;D$9,'PT-All'!$A$1,"Scenario",D$12,"P&amp;L Item",$B100)/D$29,0),"0.00%"))</f>
        <v>0</v>
      </c>
      <c r="E100" s="65">
        <f>CHOOSE(PLColumn,IFERROR(GETPIVOTDATA("Sum of "&amp;E$9,'PT-All'!$A$1,"Scenario",E$12,"P&amp;L Item",$B100),0),IFERROR(GETPIVOTDATA("Sum of "&amp;E$9,'PT-All'!$A$1,"Scenario",E$12,"P&amp;L Item",$B100)/E$201,0),TEXT(IFERROR(GETPIVOTDATA("Sum of "&amp;E$9,'PT-All'!$A$1,"Scenario",E$12,"P&amp;L Item",$B100)/E$29,0),"0.00%"))</f>
        <v>0</v>
      </c>
      <c r="F100" s="65">
        <f>CHOOSE(PLColumn,IFERROR(GETPIVOTDATA("Sum of "&amp;F$9,'PT-All'!$A$1,"Scenario",F$12,"P&amp;L Item",$B100),0),IFERROR(GETPIVOTDATA("Sum of "&amp;F$9,'PT-All'!$A$1,"Scenario",F$12,"P&amp;L Item",$B100)/F$201,0),TEXT(IFERROR(GETPIVOTDATA("Sum of "&amp;F$9,'PT-All'!$A$1,"Scenario",F$12,"P&amp;L Item",$B100)/F$29,0),"0.00%"))</f>
        <v>0</v>
      </c>
      <c r="G100" s="65">
        <f>CHOOSE(PLColumn,IFERROR(GETPIVOTDATA("Sum of "&amp;G$9,'PT-All'!$A$1,"Scenario",G$12,"P&amp;L Item",$B100),0),IFERROR(GETPIVOTDATA("Sum of "&amp;G$9,'PT-All'!$A$1,"Scenario",G$12,"P&amp;L Item",$B100)/G$201,0),TEXT(IFERROR(GETPIVOTDATA("Sum of "&amp;G$9,'PT-All'!$A$1,"Scenario",G$12,"P&amp;L Item",$B100)/G$29,0),"0.00%"))</f>
        <v>0</v>
      </c>
      <c r="H100" s="65">
        <f>CHOOSE(PLColumn,IFERROR(GETPIVOTDATA("Sum of "&amp;H$9,'PT-All'!$A$1,"Scenario",H$12,"P&amp;L Item",$B100),0),IFERROR(GETPIVOTDATA("Sum of "&amp;H$9,'PT-All'!$A$1,"Scenario",H$12,"P&amp;L Item",$B100)/H$201,0),TEXT(IFERROR(GETPIVOTDATA("Sum of "&amp;H$9,'PT-All'!$A$1,"Scenario",H$12,"P&amp;L Item",$B100)/H$29,0),"0.00%"))</f>
        <v>0</v>
      </c>
      <c r="I100" s="65">
        <f>CHOOSE(PLColumn,IFERROR(GETPIVOTDATA("Sum of "&amp;I$9,'PT-All'!$A$1,"Scenario",I$12,"P&amp;L Item",$B100),0),IFERROR(GETPIVOTDATA("Sum of "&amp;I$9,'PT-All'!$A$1,"Scenario",I$12,"P&amp;L Item",$B100)/I$201,0),TEXT(IFERROR(GETPIVOTDATA("Sum of "&amp;I$9,'PT-All'!$A$1,"Scenario",I$12,"P&amp;L Item",$B100)/I$29,0),"0.00%"))</f>
        <v>0</v>
      </c>
      <c r="J100" s="65">
        <f>CHOOSE(PLColumn,IFERROR(GETPIVOTDATA("Sum of "&amp;J$9,'PT-All'!$A$1,"Scenario",J$12,"P&amp;L Item",$B100),0),IFERROR(GETPIVOTDATA("Sum of "&amp;J$9,'PT-All'!$A$1,"Scenario",J$12,"P&amp;L Item",$B100)/J$201,0),TEXT(IFERROR(GETPIVOTDATA("Sum of "&amp;J$9,'PT-All'!$A$1,"Scenario",J$12,"P&amp;L Item",$B100)/J$29,0),"0.00%"))</f>
        <v>0</v>
      </c>
      <c r="K100" s="65">
        <f>CHOOSE(PLColumn,IFERROR(GETPIVOTDATA("Sum of "&amp;K$9,'PT-All'!$A$1,"Scenario",K$12,"P&amp;L Item",$B100),0),IFERROR(GETPIVOTDATA("Sum of "&amp;K$9,'PT-All'!$A$1,"Scenario",K$12,"P&amp;L Item",$B100)/K$201,0),TEXT(IFERROR(GETPIVOTDATA("Sum of "&amp;K$9,'PT-All'!$A$1,"Scenario",K$12,"P&amp;L Item",$B100)/K$29,0),"0.00%"))</f>
        <v>0</v>
      </c>
      <c r="L100" s="65">
        <f>CHOOSE(PLColumn,IFERROR(GETPIVOTDATA("Sum of "&amp;L$9,'PT-All'!$A$1,"Scenario",L$12,"P&amp;L Item",$B100),0),IFERROR(GETPIVOTDATA("Sum of "&amp;L$9,'PT-All'!$A$1,"Scenario",L$12,"P&amp;L Item",$B100)/L$201,0),TEXT(IFERROR(GETPIVOTDATA("Sum of "&amp;L$9,'PT-All'!$A$1,"Scenario",L$12,"P&amp;L Item",$B100)/L$29,0),"0.00%"))</f>
        <v>0</v>
      </c>
      <c r="M100" s="65">
        <f>CHOOSE(PLColumn,IFERROR(GETPIVOTDATA("Sum of "&amp;M$9,'PT-All'!$A$1,"Scenario",M$12,"P&amp;L Item",$B100),0),IFERROR(GETPIVOTDATA("Sum of "&amp;M$9,'PT-All'!$A$1,"Scenario",M$12,"P&amp;L Item",$B100)/M$201,0),TEXT(IFERROR(GETPIVOTDATA("Sum of "&amp;M$9,'PT-All'!$A$1,"Scenario",M$12,"P&amp;L Item",$B100)/M$29,0),"0.00%"))</f>
        <v>0</v>
      </c>
      <c r="N100" s="65">
        <f>CHOOSE(PLColumn,IFERROR(GETPIVOTDATA("Sum of "&amp;N$9,'PT-All'!$A$1,"Scenario",N$12,"P&amp;L Item",$B100),0),IFERROR(GETPIVOTDATA("Sum of "&amp;N$9,'PT-All'!$A$1,"Scenario",N$12,"P&amp;L Item",$B100)/N$201,0),TEXT(IFERROR(GETPIVOTDATA("Sum of "&amp;N$9,'PT-All'!$A$1,"Scenario",N$12,"P&amp;L Item",$B100)/N$29,0),"0.00%"))</f>
        <v>0</v>
      </c>
      <c r="O100" s="65">
        <f>CHOOSE(PLColumn,IFERROR(GETPIVOTDATA("Sum of "&amp;O$9,'PT-All'!$A$1,"Scenario",O$12,"P&amp;L Item",$B100),0),IFERROR(GETPIVOTDATA("Sum of "&amp;O$9,'PT-All'!$A$1,"Scenario",O$12,"P&amp;L Item",$B100)/O$201,0),TEXT(IFERROR(GETPIVOTDATA("Sum of "&amp;O$9,'PT-All'!$A$1,"Scenario",O$12,"P&amp;L Item",$B100)/O$29,0),"0.00%"))</f>
        <v>0</v>
      </c>
      <c r="P100" s="65">
        <f>CHOOSE(PLColumn,IFERROR(GETPIVOTDATA("Sum of "&amp;P$9,'PT-All'!$A$1,"Scenario",P$12,"P&amp;L Item",$B100),0),IFERROR(GETPIVOTDATA("Sum of "&amp;P$9,'PT-All'!$A$1,"Scenario",P$12,"P&amp;L Item",$B100)/P$201,0),TEXT(IFERROR(GETPIVOTDATA("Sum of "&amp;P$9,'PT-All'!$A$1,"Scenario",P$12,"P&amp;L Item",$B100)/P$29,0),"0.00%"))</f>
        <v>0</v>
      </c>
      <c r="Q100" s="65">
        <f>CHOOSE(PLColumn,IFERROR(GETPIVOTDATA("Sum of "&amp;Q$9,'PT-All'!$A$1,"Scenario",Q$12,"P&amp;L Item",$B100),0),IFERROR(GETPIVOTDATA("Sum of "&amp;Q$9,'PT-All'!$A$1,"Scenario",Q$12,"P&amp;L Item",$B100)/Q$201,0),TEXT(IFERROR(GETPIVOTDATA("Sum of "&amp;Q$9,'PT-All'!$A$1,"Scenario",Q$12,"P&amp;L Item",$B100)/Q$29,0),"0.00%"))</f>
        <v>0</v>
      </c>
      <c r="R100" s="65">
        <f>CHOOSE(PLColumn,IFERROR(GETPIVOTDATA("Sum of "&amp;R$9,'PT-All'!$A$1,"Scenario",R$12,"P&amp;L Item",$B100),0),IFERROR(GETPIVOTDATA("Sum of "&amp;R$9,'PT-All'!$A$1,"Scenario",R$12,"P&amp;L Item",$B100)/R$201,0),TEXT(IFERROR(GETPIVOTDATA("Sum of "&amp;R$9,'PT-All'!$A$1,"Scenario",R$12,"P&amp;L Item",$B100)/R$29,0),"0.00%"))</f>
        <v>0</v>
      </c>
      <c r="S100" s="65">
        <f>CHOOSE(PLColumn,IFERROR(GETPIVOTDATA("Sum of "&amp;S$9,'PT-All'!$A$1,"Scenario",S$12,"P&amp;L Item",$B100),0),IFERROR(GETPIVOTDATA("Sum of "&amp;S$9,'PT-All'!$A$1,"Scenario",S$12,"P&amp;L Item",$B100)/S$201,0),TEXT(IFERROR(GETPIVOTDATA("Sum of "&amp;S$9,'PT-All'!$A$1,"Scenario",S$12,"P&amp;L Item",$B100)/S$29,0),"0.00%"))</f>
        <v>0</v>
      </c>
      <c r="T100" s="65">
        <f>CHOOSE(PLColumn,IFERROR(GETPIVOTDATA("Sum of "&amp;T$9,'PT-All'!$A$1,"Scenario",T$12,"P&amp;L Item",$B100),0),IFERROR(GETPIVOTDATA("Sum of "&amp;T$9,'PT-All'!$A$1,"Scenario",T$12,"P&amp;L Item",$B100)/T$201,0),TEXT(IFERROR(GETPIVOTDATA("Sum of "&amp;T$9,'PT-All'!$A$1,"Scenario",T$12,"P&amp;L Item",$B100)/T$29,0),"0.00%"))</f>
        <v>0</v>
      </c>
      <c r="U100" s="65">
        <f>CHOOSE(PLColumn,IFERROR(GETPIVOTDATA("Sum of "&amp;U$9,'PT-All'!$A$1,"Scenario",U$12,"P&amp;L Item",$B100),0),IFERROR(GETPIVOTDATA("Sum of "&amp;U$9,'PT-All'!$A$1,"Scenario",U$12,"P&amp;L Item",$B100)/U$201,0),TEXT(IFERROR(GETPIVOTDATA("Sum of "&amp;U$9,'PT-All'!$A$1,"Scenario",U$12,"P&amp;L Item",$B100)/U$29,0),"0.00%"))</f>
        <v>0</v>
      </c>
      <c r="V100" s="65">
        <f>CHOOSE(PLColumn,IFERROR(GETPIVOTDATA("Sum of "&amp;V$9,'PT-All'!$A$1,"Scenario",V$12,"P&amp;L Item",$B100),0),IFERROR(GETPIVOTDATA("Sum of "&amp;V$9,'PT-All'!$A$1,"Scenario",V$12,"P&amp;L Item",$B100)/V$201,0),TEXT(IFERROR(GETPIVOTDATA("Sum of "&amp;V$9,'PT-All'!$A$1,"Scenario",V$12,"P&amp;L Item",$B100)/V$29,0),"0.00%"))</f>
        <v>0</v>
      </c>
      <c r="W100" s="65">
        <f>CHOOSE(PLColumn,IFERROR(GETPIVOTDATA("Sum of "&amp;W$9,'PT-All'!$A$1,"Scenario",W$12,"P&amp;L Item",$B100),0),IFERROR(GETPIVOTDATA("Sum of "&amp;W$9,'PT-All'!$A$1,"Scenario",W$12,"P&amp;L Item",$B100)/W$201,0),TEXT(IFERROR(GETPIVOTDATA("Sum of "&amp;W$9,'PT-All'!$A$1,"Scenario",W$12,"P&amp;L Item",$B100)/W$29,0),"0.00%"))</f>
        <v>0</v>
      </c>
      <c r="X100" s="65">
        <f>CHOOSE(PLColumn,IFERROR(GETPIVOTDATA("Sum of "&amp;X$9,'PT-All'!$A$1,"Scenario",X$12,"P&amp;L Item",$B100),0),IFERROR(GETPIVOTDATA("Sum of "&amp;X$9,'PT-All'!$A$1,"Scenario",X$12,"P&amp;L Item",$B100)/X$201,0),TEXT(IFERROR(GETPIVOTDATA("Sum of "&amp;X$9,'PT-All'!$A$1,"Scenario",X$12,"P&amp;L Item",$B100)/X$29,0),"0.00%"))</f>
        <v>0</v>
      </c>
      <c r="Y100" s="65">
        <f>CHOOSE(PLColumn,IFERROR(GETPIVOTDATA("Sum of "&amp;Y$9,'PT-All'!$A$1,"Scenario",Y$12,"P&amp;L Item",$B100),0),IFERROR(GETPIVOTDATA("Sum of "&amp;Y$9,'PT-All'!$A$1,"Scenario",Y$12,"P&amp;L Item",$B100)/Y$201,0),TEXT(IFERROR(GETPIVOTDATA("Sum of "&amp;Y$9,'PT-All'!$A$1,"Scenario",Y$12,"P&amp;L Item",$B100)/Y$29,0),"0.00%"))</f>
        <v>0</v>
      </c>
      <c r="Z100" s="65">
        <f>CHOOSE(PLColumn,IFERROR(GETPIVOTDATA("Sum of "&amp;Z$9,'PT-All'!$A$1,"Scenario",Z$12,"P&amp;L Item",$B100),0),IFERROR(GETPIVOTDATA("Sum of "&amp;Z$9,'PT-All'!$A$1,"Scenario",Z$12,"P&amp;L Item",$B100)/Z$201,0),TEXT(IFERROR(GETPIVOTDATA("Sum of "&amp;Z$9,'PT-All'!$A$1,"Scenario",Z$12,"P&amp;L Item",$B100)/Z$29,0),"0.00%"))</f>
        <v>0</v>
      </c>
      <c r="AA100" s="65">
        <f>CHOOSE(PLColumn,IFERROR(GETPIVOTDATA("Sum of "&amp;AA$9,'PT-All'!$A$1,"Scenario",AA$12,"P&amp;L Item",$B100),0),IFERROR(GETPIVOTDATA("Sum of "&amp;AA$9,'PT-All'!$A$1,"Scenario",AA$12,"P&amp;L Item",$B100)/AA$201,0),TEXT(IFERROR(GETPIVOTDATA("Sum of "&amp;AA$9,'PT-All'!$A$1,"Scenario",AA$12,"P&amp;L Item",$B100)/AA$29,0),"0.00%"))</f>
        <v>0</v>
      </c>
      <c r="AB100" s="65">
        <f>CHOOSE(PLColumn,IFERROR(GETPIVOTDATA("Sum of "&amp;AB$9,'PT-All'!$A$1,"Scenario",AB$12,"P&amp;L Item",$B100),0),IFERROR(GETPIVOTDATA("Sum of "&amp;AB$9,'PT-All'!$A$1,"Scenario",AB$12,"P&amp;L Item",$B100)/AB$201,0),TEXT(IFERROR(GETPIVOTDATA("Sum of "&amp;AB$9,'PT-All'!$A$1,"Scenario",AB$12,"P&amp;L Item",$B100)/AB$29,0),"0.00%"))</f>
        <v>0</v>
      </c>
      <c r="AC100" s="65">
        <f>CHOOSE(PLColumn,IFERROR(GETPIVOTDATA("Sum of "&amp;AC$9,'PT-All'!$A$1,"Scenario",AC$12,"P&amp;L Item",$B100),0),IFERROR(GETPIVOTDATA("Sum of "&amp;AC$9,'PT-All'!$A$1,"Scenario",AC$12,"P&amp;L Item",$B100)/AC$201,0),TEXT(IFERROR(GETPIVOTDATA("Sum of "&amp;AC$9,'PT-All'!$A$1,"Scenario",AC$12,"P&amp;L Item",$B100)/AC$29,0),"0.00%"))</f>
        <v>0</v>
      </c>
      <c r="AD100" s="65">
        <f>CHOOSE(PLColumn,IFERROR(GETPIVOTDATA("Sum of "&amp;AD$9,'PT-All'!$A$1,"Scenario",AD$12,"P&amp;L Item",$B100),0),IFERROR(GETPIVOTDATA("Sum of "&amp;AD$9,'PT-All'!$A$1,"Scenario",AD$12,"P&amp;L Item",$B100)/AD$201,0),TEXT(IFERROR(GETPIVOTDATA("Sum of "&amp;AD$9,'PT-All'!$A$1,"Scenario",AD$12,"P&amp;L Item",$B100)/AD$29,0),"0.00%"))</f>
        <v>0</v>
      </c>
      <c r="AE100" s="65">
        <f>CHOOSE(PLColumn,IFERROR(GETPIVOTDATA("Sum of "&amp;AE$9,'PT-All'!$A$1,"Scenario",AE$12,"P&amp;L Item",$B100),0),IFERROR(GETPIVOTDATA("Sum of "&amp;AE$9,'PT-All'!$A$1,"Scenario",AE$12,"P&amp;L Item",$B100)/AE$201,0),TEXT(IFERROR(GETPIVOTDATA("Sum of "&amp;AE$9,'PT-All'!$A$1,"Scenario",AE$12,"P&amp;L Item",$B100)/AE$29,0),"0.00%"))</f>
        <v>0</v>
      </c>
      <c r="AF100" s="65">
        <f>CHOOSE(PLColumn,IFERROR(GETPIVOTDATA("Sum of "&amp;AF$9,'PT-All'!$A$1,"Scenario",AF$12,"P&amp;L Item",$B100),0),IFERROR(GETPIVOTDATA("Sum of "&amp;AF$9,'PT-All'!$A$1,"Scenario",AF$12,"P&amp;L Item",$B100)/AF$201,0),TEXT(IFERROR(GETPIVOTDATA("Sum of "&amp;AF$9,'PT-All'!$A$1,"Scenario",AF$12,"P&amp;L Item",$B100)/AF$29,0),"0.00%"))</f>
        <v>0</v>
      </c>
      <c r="AG100" s="65">
        <f>CHOOSE(PLColumn,IFERROR(GETPIVOTDATA("Sum of "&amp;AG$9,'PT-All'!$A$1,"Scenario",AG$12,"P&amp;L Item",$B100),0),IFERROR(GETPIVOTDATA("Sum of "&amp;AG$9,'PT-All'!$A$1,"Scenario",AG$12,"P&amp;L Item",$B100)/AG$201,0),TEXT(IFERROR(GETPIVOTDATA("Sum of "&amp;AG$9,'PT-All'!$A$1,"Scenario",AG$12,"P&amp;L Item",$B100)/AG$29,0),"0.00%"))</f>
        <v>0</v>
      </c>
      <c r="AH100" s="65">
        <f>CHOOSE(PLColumn,IFERROR(GETPIVOTDATA("Sum of "&amp;AH$9,'PT-All'!$A$1,"Scenario",AH$12,"P&amp;L Item",$B100),0),IFERROR(GETPIVOTDATA("Sum of "&amp;AH$9,'PT-All'!$A$1,"Scenario",AH$12,"P&amp;L Item",$B100)/AH$201,0),TEXT(IFERROR(GETPIVOTDATA("Sum of "&amp;AH$9,'PT-All'!$A$1,"Scenario",AH$12,"P&amp;L Item",$B100)/AH$29,0),"0.00%"))</f>
        <v>0</v>
      </c>
      <c r="AI100" s="65">
        <f>CHOOSE(PLColumn,IFERROR(GETPIVOTDATA("Sum of "&amp;AI$9,'PT-All'!$A$1,"Scenario",AI$12,"P&amp;L Item",$B100),0),IFERROR(GETPIVOTDATA("Sum of "&amp;AI$9,'PT-All'!$A$1,"Scenario",AI$12,"P&amp;L Item",$B100)/AI$201,0),TEXT(IFERROR(GETPIVOTDATA("Sum of "&amp;AI$9,'PT-All'!$A$1,"Scenario",AI$12,"P&amp;L Item",$B100)/AI$29,0),"0.00%"))</f>
        <v>0</v>
      </c>
      <c r="AJ100" s="65">
        <f>CHOOSE(PLColumn,IFERROR(GETPIVOTDATA("Sum of "&amp;AJ$9,'PT-All'!$A$1,"Scenario",AJ$12,"P&amp;L Item",$B100),0),IFERROR(GETPIVOTDATA("Sum of "&amp;AJ$9,'PT-All'!$A$1,"Scenario",AJ$12,"P&amp;L Item",$B100)/AJ$201,0),TEXT(IFERROR(GETPIVOTDATA("Sum of "&amp;AJ$9,'PT-All'!$A$1,"Scenario",AJ$12,"P&amp;L Item",$B100)/AJ$29,0),"0.00%"))</f>
        <v>0</v>
      </c>
      <c r="AK100" s="65">
        <f>CHOOSE(PLColumn,IFERROR(GETPIVOTDATA("Sum of "&amp;AK$9,'PT-All'!$A$1,"Scenario",AK$12,"P&amp;L Item",$B100),0),IFERROR(GETPIVOTDATA("Sum of "&amp;AK$9,'PT-All'!$A$1,"Scenario",AK$12,"P&amp;L Item",$B100)/AK$201,0),TEXT(IFERROR(GETPIVOTDATA("Sum of "&amp;AK$9,'PT-All'!$A$1,"Scenario",AK$12,"P&amp;L Item",$B100)/AK$29,0),"0.00%"))</f>
        <v>0</v>
      </c>
      <c r="AL100" s="97">
        <f>CHOOSE(PLColumn,IFERROR(GETPIVOTDATA("Sum of "&amp;AL$9,'PT-All'!$A$1,"Scenario",AL$12,"P&amp;L Item",$B100),0),IFERROR(GETPIVOTDATA("Sum of "&amp;AL$9,'PT-All'!$A$1,"Scenario",AL$12,"P&amp;L Item",$B100)/AL$201,0),TEXT(IFERROR(GETPIVOTDATA("Sum of "&amp;AL$9,'PT-All'!$A$1,"Scenario",AL$12,"P&amp;L Item",$B100)/AL$29,0),"0.00%"))</f>
        <v>0</v>
      </c>
      <c r="AM100" s="590"/>
      <c r="AN100" s="108">
        <f ca="1">IF(AN$12="Pro Forma",SUM(OFFSET($B100,0,3*AN$9+1,1,3)),IFERROR(GETPIVOTDATA("Sum of Q"&amp;AN$9+1,'PT-All'!$A$1,"Scenario",AN$12,"P&amp;L Item",$B100),0))</f>
        <v>0</v>
      </c>
      <c r="AO100" s="65">
        <f ca="1">IF(AO$12="Pro Forma",SUM(OFFSET($B100,0,3*AO$9+1,1,3)),IFERROR(GETPIVOTDATA("Sum of Q"&amp;AO$9+1,'PT-All'!$A$1,"Scenario",AO$12,"P&amp;L Item",$B100),0))</f>
        <v>0</v>
      </c>
      <c r="AP100" s="65">
        <f ca="1">IF(AP$12="Pro Forma",SUM(OFFSET($B100,0,3*AP$9+1,1,3)),IFERROR(GETPIVOTDATA("Sum of Q"&amp;AP$9+1,'PT-All'!$A$1,"Scenario",AP$12,"P&amp;L Item",$B100),0))</f>
        <v>0</v>
      </c>
      <c r="AQ100" s="65">
        <f ca="1">IF(AQ$12="Pro Forma",SUM(OFFSET($B100,0,3*AQ$9+1,1,3)),IFERROR(GETPIVOTDATA("Sum of Q"&amp;AQ$9+1,'PT-All'!$A$1,"Scenario",AQ$12,"P&amp;L Item",$B100),0))</f>
        <v>0</v>
      </c>
      <c r="AR100" s="65">
        <f ca="1">IF(AR$12="Pro Forma",SUM(OFFSET($B100,0,3*AR$9+1,1,3)),IFERROR(GETPIVOTDATA("Sum of Q"&amp;AR$9+1,'PT-All'!$A$1,"Scenario",AR$12,"P&amp;L Item",$B100),0))</f>
        <v>0</v>
      </c>
      <c r="AS100" s="65">
        <f ca="1">IF(AS$12="Pro Forma",SUM(OFFSET($B100,0,3*AS$9+1,1,3)),IFERROR(GETPIVOTDATA("Sum of Q"&amp;AS$9+1,'PT-All'!$A$1,"Scenario",AS$12,"P&amp;L Item",$B100),0))</f>
        <v>0</v>
      </c>
      <c r="AT100" s="65">
        <f ca="1">IF(AT$12="Pro Forma",SUM(OFFSET($B100,0,3*AT$9+1,1,3)),IFERROR(GETPIVOTDATA("Sum of Q"&amp;AT$9+1,'PT-All'!$A$1,"Scenario",AT$12,"P&amp;L Item",$B100),0))</f>
        <v>0</v>
      </c>
      <c r="AU100" s="65">
        <f ca="1">IF(AU$12="Pro Forma",SUM(OFFSET($B100,0,3*AU$9+1,1,3)),IFERROR(GETPIVOTDATA("Sum of Q"&amp;AU$9+1,'PT-All'!$A$1,"Scenario",AU$12,"P&amp;L Item",$B100),0))</f>
        <v>0</v>
      </c>
      <c r="AV100" s="65">
        <f ca="1">IF(AV$12="Pro Forma",SUM(OFFSET($B100,0,3*AV$9+1,1,3)),IFERROR(GETPIVOTDATA("Sum of Q"&amp;AV$9+1,'PT-All'!$A$1,"Scenario",AV$12,"P&amp;L Item",$B100),0))</f>
        <v>0</v>
      </c>
      <c r="AW100" s="65">
        <f ca="1">IF(AW$12="Pro Forma",SUM(OFFSET($B100,0,3*AW$9+1,1,3)),IFERROR(GETPIVOTDATA("Sum of Q"&amp;AW$9+1,'PT-All'!$A$1,"Scenario",AW$12,"P&amp;L Item",$B100),0))</f>
        <v>0</v>
      </c>
      <c r="AX100" s="65">
        <f ca="1">IF(AX$12="Pro Forma",SUM(OFFSET($B100,0,3*AX$9+1,1,3)),IFERROR(GETPIVOTDATA("Sum of Q"&amp;AX$9+1,'PT-All'!$A$1,"Scenario",AX$12,"P&amp;L Item",$B100),0))</f>
        <v>0</v>
      </c>
      <c r="AY100" s="97">
        <f ca="1">IF(AY$12="Pro Forma",SUM(OFFSET($B100,0,3*AY$9+1,1,3)),IFERROR(GETPIVOTDATA("Sum of Q"&amp;AY$9+1,'PT-All'!$A$1,"Scenario",AY$12,"P&amp;L Item",$B100),0))</f>
        <v>0</v>
      </c>
      <c r="AZ100" s="590"/>
      <c r="BA100" s="108">
        <f ca="1">IF(BA$12="Pro Forma",SUM(OFFSET($B100,0,12*BA$9+1,1,12)),IFERROR(GETPIVOTDATA("Sum of FY"&amp;BA$9+1,'PT-All'!$A$1,"Scenario",BA$12,"P&amp;L Item",$B100),0))</f>
        <v>0</v>
      </c>
      <c r="BB100" s="65">
        <f ca="1">IF(BB$12="Pro Forma",SUM(OFFSET($B100,0,12*BB$9+1,1,12)),IFERROR(GETPIVOTDATA("Sum of FY"&amp;BB$9+1,'PT-All'!$A$1,"Scenario",BB$12,"P&amp;L Item",$B100),0))</f>
        <v>0</v>
      </c>
      <c r="BC100" s="97">
        <f ca="1">IF(BC$12="Pro Forma",SUM(OFFSET($B100,0,12*BC$9+1,1,12)),IFERROR(GETPIVOTDATA("Sum of FY"&amp;BC$9+1,'PT-All'!$A$1,"Scenario",BC$12,"P&amp;L Item",$B100),0))</f>
        <v>0</v>
      </c>
    </row>
    <row r="101" spans="2:55" x14ac:dyDescent="0.35">
      <c r="B101" s="64" t="s">
        <v>133</v>
      </c>
      <c r="C101" s="65">
        <f>CHOOSE(PLColumn,IFERROR(GETPIVOTDATA("Sum of "&amp;C$9,'PT-All'!$A$1,"Scenario",C$12,"P&amp;L Item",$B101),0),IFERROR(GETPIVOTDATA("Sum of "&amp;C$9,'PT-All'!$A$1,"Scenario",C$12,"P&amp;L Item",$B101)/C$201,0),TEXT(IFERROR(GETPIVOTDATA("Sum of "&amp;C$9,'PT-All'!$A$1,"Scenario",C$12,"P&amp;L Item",$B101)/C$29,0),"0.00%"))</f>
        <v>0</v>
      </c>
      <c r="D101" s="65">
        <f>CHOOSE(PLColumn,IFERROR(GETPIVOTDATA("Sum of "&amp;D$9,'PT-All'!$A$1,"Scenario",D$12,"P&amp;L Item",$B101),0),IFERROR(GETPIVOTDATA("Sum of "&amp;D$9,'PT-All'!$A$1,"Scenario",D$12,"P&amp;L Item",$B101)/D$201,0),TEXT(IFERROR(GETPIVOTDATA("Sum of "&amp;D$9,'PT-All'!$A$1,"Scenario",D$12,"P&amp;L Item",$B101)/D$29,0),"0.00%"))</f>
        <v>0</v>
      </c>
      <c r="E101" s="65">
        <f>CHOOSE(PLColumn,IFERROR(GETPIVOTDATA("Sum of "&amp;E$9,'PT-All'!$A$1,"Scenario",E$12,"P&amp;L Item",$B101),0),IFERROR(GETPIVOTDATA("Sum of "&amp;E$9,'PT-All'!$A$1,"Scenario",E$12,"P&amp;L Item",$B101)/E$201,0),TEXT(IFERROR(GETPIVOTDATA("Sum of "&amp;E$9,'PT-All'!$A$1,"Scenario",E$12,"P&amp;L Item",$B101)/E$29,0),"0.00%"))</f>
        <v>0</v>
      </c>
      <c r="F101" s="65">
        <f>CHOOSE(PLColumn,IFERROR(GETPIVOTDATA("Sum of "&amp;F$9,'PT-All'!$A$1,"Scenario",F$12,"P&amp;L Item",$B101),0),IFERROR(GETPIVOTDATA("Sum of "&amp;F$9,'PT-All'!$A$1,"Scenario",F$12,"P&amp;L Item",$B101)/F$201,0),TEXT(IFERROR(GETPIVOTDATA("Sum of "&amp;F$9,'PT-All'!$A$1,"Scenario",F$12,"P&amp;L Item",$B101)/F$29,0),"0.00%"))</f>
        <v>0</v>
      </c>
      <c r="G101" s="65">
        <f>CHOOSE(PLColumn,IFERROR(GETPIVOTDATA("Sum of "&amp;G$9,'PT-All'!$A$1,"Scenario",G$12,"P&amp;L Item",$B101),0),IFERROR(GETPIVOTDATA("Sum of "&amp;G$9,'PT-All'!$A$1,"Scenario",G$12,"P&amp;L Item",$B101)/G$201,0),TEXT(IFERROR(GETPIVOTDATA("Sum of "&amp;G$9,'PT-All'!$A$1,"Scenario",G$12,"P&amp;L Item",$B101)/G$29,0),"0.00%"))</f>
        <v>0</v>
      </c>
      <c r="H101" s="65">
        <f>CHOOSE(PLColumn,IFERROR(GETPIVOTDATA("Sum of "&amp;H$9,'PT-All'!$A$1,"Scenario",H$12,"P&amp;L Item",$B101),0),IFERROR(GETPIVOTDATA("Sum of "&amp;H$9,'PT-All'!$A$1,"Scenario",H$12,"P&amp;L Item",$B101)/H$201,0),TEXT(IFERROR(GETPIVOTDATA("Sum of "&amp;H$9,'PT-All'!$A$1,"Scenario",H$12,"P&amp;L Item",$B101)/H$29,0),"0.00%"))</f>
        <v>0</v>
      </c>
      <c r="I101" s="65">
        <f>CHOOSE(PLColumn,IFERROR(GETPIVOTDATA("Sum of "&amp;I$9,'PT-All'!$A$1,"Scenario",I$12,"P&amp;L Item",$B101),0),IFERROR(GETPIVOTDATA("Sum of "&amp;I$9,'PT-All'!$A$1,"Scenario",I$12,"P&amp;L Item",$B101)/I$201,0),TEXT(IFERROR(GETPIVOTDATA("Sum of "&amp;I$9,'PT-All'!$A$1,"Scenario",I$12,"P&amp;L Item",$B101)/I$29,0),"0.00%"))</f>
        <v>0</v>
      </c>
      <c r="J101" s="65">
        <f>CHOOSE(PLColumn,IFERROR(GETPIVOTDATA("Sum of "&amp;J$9,'PT-All'!$A$1,"Scenario",J$12,"P&amp;L Item",$B101),0),IFERROR(GETPIVOTDATA("Sum of "&amp;J$9,'PT-All'!$A$1,"Scenario",J$12,"P&amp;L Item",$B101)/J$201,0),TEXT(IFERROR(GETPIVOTDATA("Sum of "&amp;J$9,'PT-All'!$A$1,"Scenario",J$12,"P&amp;L Item",$B101)/J$29,0),"0.00%"))</f>
        <v>0</v>
      </c>
      <c r="K101" s="65">
        <f>CHOOSE(PLColumn,IFERROR(GETPIVOTDATA("Sum of "&amp;K$9,'PT-All'!$A$1,"Scenario",K$12,"P&amp;L Item",$B101),0),IFERROR(GETPIVOTDATA("Sum of "&amp;K$9,'PT-All'!$A$1,"Scenario",K$12,"P&amp;L Item",$B101)/K$201,0),TEXT(IFERROR(GETPIVOTDATA("Sum of "&amp;K$9,'PT-All'!$A$1,"Scenario",K$12,"P&amp;L Item",$B101)/K$29,0),"0.00%"))</f>
        <v>0</v>
      </c>
      <c r="L101" s="65">
        <f>CHOOSE(PLColumn,IFERROR(GETPIVOTDATA("Sum of "&amp;L$9,'PT-All'!$A$1,"Scenario",L$12,"P&amp;L Item",$B101),0),IFERROR(GETPIVOTDATA("Sum of "&amp;L$9,'PT-All'!$A$1,"Scenario",L$12,"P&amp;L Item",$B101)/L$201,0),TEXT(IFERROR(GETPIVOTDATA("Sum of "&amp;L$9,'PT-All'!$A$1,"Scenario",L$12,"P&amp;L Item",$B101)/L$29,0),"0.00%"))</f>
        <v>0</v>
      </c>
      <c r="M101" s="65">
        <f>CHOOSE(PLColumn,IFERROR(GETPIVOTDATA("Sum of "&amp;M$9,'PT-All'!$A$1,"Scenario",M$12,"P&amp;L Item",$B101),0),IFERROR(GETPIVOTDATA("Sum of "&amp;M$9,'PT-All'!$A$1,"Scenario",M$12,"P&amp;L Item",$B101)/M$201,0),TEXT(IFERROR(GETPIVOTDATA("Sum of "&amp;M$9,'PT-All'!$A$1,"Scenario",M$12,"P&amp;L Item",$B101)/M$29,0),"0.00%"))</f>
        <v>0</v>
      </c>
      <c r="N101" s="65">
        <f>CHOOSE(PLColumn,IFERROR(GETPIVOTDATA("Sum of "&amp;N$9,'PT-All'!$A$1,"Scenario",N$12,"P&amp;L Item",$B101),0),IFERROR(GETPIVOTDATA("Sum of "&amp;N$9,'PT-All'!$A$1,"Scenario",N$12,"P&amp;L Item",$B101)/N$201,0),TEXT(IFERROR(GETPIVOTDATA("Sum of "&amp;N$9,'PT-All'!$A$1,"Scenario",N$12,"P&amp;L Item",$B101)/N$29,0),"0.00%"))</f>
        <v>0</v>
      </c>
      <c r="O101" s="65">
        <f>CHOOSE(PLColumn,IFERROR(GETPIVOTDATA("Sum of "&amp;O$9,'PT-All'!$A$1,"Scenario",O$12,"P&amp;L Item",$B101),0),IFERROR(GETPIVOTDATA("Sum of "&amp;O$9,'PT-All'!$A$1,"Scenario",O$12,"P&amp;L Item",$B101)/O$201,0),TEXT(IFERROR(GETPIVOTDATA("Sum of "&amp;O$9,'PT-All'!$A$1,"Scenario",O$12,"P&amp;L Item",$B101)/O$29,0),"0.00%"))</f>
        <v>0</v>
      </c>
      <c r="P101" s="65">
        <f>CHOOSE(PLColumn,IFERROR(GETPIVOTDATA("Sum of "&amp;P$9,'PT-All'!$A$1,"Scenario",P$12,"P&amp;L Item",$B101),0),IFERROR(GETPIVOTDATA("Sum of "&amp;P$9,'PT-All'!$A$1,"Scenario",P$12,"P&amp;L Item",$B101)/P$201,0),TEXT(IFERROR(GETPIVOTDATA("Sum of "&amp;P$9,'PT-All'!$A$1,"Scenario",P$12,"P&amp;L Item",$B101)/P$29,0),"0.00%"))</f>
        <v>0</v>
      </c>
      <c r="Q101" s="65">
        <f>CHOOSE(PLColumn,IFERROR(GETPIVOTDATA("Sum of "&amp;Q$9,'PT-All'!$A$1,"Scenario",Q$12,"P&amp;L Item",$B101),0),IFERROR(GETPIVOTDATA("Sum of "&amp;Q$9,'PT-All'!$A$1,"Scenario",Q$12,"P&amp;L Item",$B101)/Q$201,0),TEXT(IFERROR(GETPIVOTDATA("Sum of "&amp;Q$9,'PT-All'!$A$1,"Scenario",Q$12,"P&amp;L Item",$B101)/Q$29,0),"0.00%"))</f>
        <v>0</v>
      </c>
      <c r="R101" s="65">
        <f>CHOOSE(PLColumn,IFERROR(GETPIVOTDATA("Sum of "&amp;R$9,'PT-All'!$A$1,"Scenario",R$12,"P&amp;L Item",$B101),0),IFERROR(GETPIVOTDATA("Sum of "&amp;R$9,'PT-All'!$A$1,"Scenario",R$12,"P&amp;L Item",$B101)/R$201,0),TEXT(IFERROR(GETPIVOTDATA("Sum of "&amp;R$9,'PT-All'!$A$1,"Scenario",R$12,"P&amp;L Item",$B101)/R$29,0),"0.00%"))</f>
        <v>0</v>
      </c>
      <c r="S101" s="65">
        <f>CHOOSE(PLColumn,IFERROR(GETPIVOTDATA("Sum of "&amp;S$9,'PT-All'!$A$1,"Scenario",S$12,"P&amp;L Item",$B101),0),IFERROR(GETPIVOTDATA("Sum of "&amp;S$9,'PT-All'!$A$1,"Scenario",S$12,"P&amp;L Item",$B101)/S$201,0),TEXT(IFERROR(GETPIVOTDATA("Sum of "&amp;S$9,'PT-All'!$A$1,"Scenario",S$12,"P&amp;L Item",$B101)/S$29,0),"0.00%"))</f>
        <v>0</v>
      </c>
      <c r="T101" s="65">
        <f>CHOOSE(PLColumn,IFERROR(GETPIVOTDATA("Sum of "&amp;T$9,'PT-All'!$A$1,"Scenario",T$12,"P&amp;L Item",$B101),0),IFERROR(GETPIVOTDATA("Sum of "&amp;T$9,'PT-All'!$A$1,"Scenario",T$12,"P&amp;L Item",$B101)/T$201,0),TEXT(IFERROR(GETPIVOTDATA("Sum of "&amp;T$9,'PT-All'!$A$1,"Scenario",T$12,"P&amp;L Item",$B101)/T$29,0),"0.00%"))</f>
        <v>0</v>
      </c>
      <c r="U101" s="65">
        <f>CHOOSE(PLColumn,IFERROR(GETPIVOTDATA("Sum of "&amp;U$9,'PT-All'!$A$1,"Scenario",U$12,"P&amp;L Item",$B101),0),IFERROR(GETPIVOTDATA("Sum of "&amp;U$9,'PT-All'!$A$1,"Scenario",U$12,"P&amp;L Item",$B101)/U$201,0),TEXT(IFERROR(GETPIVOTDATA("Sum of "&amp;U$9,'PT-All'!$A$1,"Scenario",U$12,"P&amp;L Item",$B101)/U$29,0),"0.00%"))</f>
        <v>0</v>
      </c>
      <c r="V101" s="65">
        <f>CHOOSE(PLColumn,IFERROR(GETPIVOTDATA("Sum of "&amp;V$9,'PT-All'!$A$1,"Scenario",V$12,"P&amp;L Item",$B101),0),IFERROR(GETPIVOTDATA("Sum of "&amp;V$9,'PT-All'!$A$1,"Scenario",V$12,"P&amp;L Item",$B101)/V$201,0),TEXT(IFERROR(GETPIVOTDATA("Sum of "&amp;V$9,'PT-All'!$A$1,"Scenario",V$12,"P&amp;L Item",$B101)/V$29,0),"0.00%"))</f>
        <v>0</v>
      </c>
      <c r="W101" s="65">
        <f>CHOOSE(PLColumn,IFERROR(GETPIVOTDATA("Sum of "&amp;W$9,'PT-All'!$A$1,"Scenario",W$12,"P&amp;L Item",$B101),0),IFERROR(GETPIVOTDATA("Sum of "&amp;W$9,'PT-All'!$A$1,"Scenario",W$12,"P&amp;L Item",$B101)/W$201,0),TEXT(IFERROR(GETPIVOTDATA("Sum of "&amp;W$9,'PT-All'!$A$1,"Scenario",W$12,"P&amp;L Item",$B101)/W$29,0),"0.00%"))</f>
        <v>0</v>
      </c>
      <c r="X101" s="65">
        <f>CHOOSE(PLColumn,IFERROR(GETPIVOTDATA("Sum of "&amp;X$9,'PT-All'!$A$1,"Scenario",X$12,"P&amp;L Item",$B101),0),IFERROR(GETPIVOTDATA("Sum of "&amp;X$9,'PT-All'!$A$1,"Scenario",X$12,"P&amp;L Item",$B101)/X$201,0),TEXT(IFERROR(GETPIVOTDATA("Sum of "&amp;X$9,'PT-All'!$A$1,"Scenario",X$12,"P&amp;L Item",$B101)/X$29,0),"0.00%"))</f>
        <v>0</v>
      </c>
      <c r="Y101" s="65">
        <f>CHOOSE(PLColumn,IFERROR(GETPIVOTDATA("Sum of "&amp;Y$9,'PT-All'!$A$1,"Scenario",Y$12,"P&amp;L Item",$B101),0),IFERROR(GETPIVOTDATA("Sum of "&amp;Y$9,'PT-All'!$A$1,"Scenario",Y$12,"P&amp;L Item",$B101)/Y$201,0),TEXT(IFERROR(GETPIVOTDATA("Sum of "&amp;Y$9,'PT-All'!$A$1,"Scenario",Y$12,"P&amp;L Item",$B101)/Y$29,0),"0.00%"))</f>
        <v>0</v>
      </c>
      <c r="Z101" s="65">
        <f>CHOOSE(PLColumn,IFERROR(GETPIVOTDATA("Sum of "&amp;Z$9,'PT-All'!$A$1,"Scenario",Z$12,"P&amp;L Item",$B101),0),IFERROR(GETPIVOTDATA("Sum of "&amp;Z$9,'PT-All'!$A$1,"Scenario",Z$12,"P&amp;L Item",$B101)/Z$201,0),TEXT(IFERROR(GETPIVOTDATA("Sum of "&amp;Z$9,'PT-All'!$A$1,"Scenario",Z$12,"P&amp;L Item",$B101)/Z$29,0),"0.00%"))</f>
        <v>0</v>
      </c>
      <c r="AA101" s="65">
        <f>CHOOSE(PLColumn,IFERROR(GETPIVOTDATA("Sum of "&amp;AA$9,'PT-All'!$A$1,"Scenario",AA$12,"P&amp;L Item",$B101),0),IFERROR(GETPIVOTDATA("Sum of "&amp;AA$9,'PT-All'!$A$1,"Scenario",AA$12,"P&amp;L Item",$B101)/AA$201,0),TEXT(IFERROR(GETPIVOTDATA("Sum of "&amp;AA$9,'PT-All'!$A$1,"Scenario",AA$12,"P&amp;L Item",$B101)/AA$29,0),"0.00%"))</f>
        <v>0</v>
      </c>
      <c r="AB101" s="65">
        <f>CHOOSE(PLColumn,IFERROR(GETPIVOTDATA("Sum of "&amp;AB$9,'PT-All'!$A$1,"Scenario",AB$12,"P&amp;L Item",$B101),0),IFERROR(GETPIVOTDATA("Sum of "&amp;AB$9,'PT-All'!$A$1,"Scenario",AB$12,"P&amp;L Item",$B101)/AB$201,0),TEXT(IFERROR(GETPIVOTDATA("Sum of "&amp;AB$9,'PT-All'!$A$1,"Scenario",AB$12,"P&amp;L Item",$B101)/AB$29,0),"0.00%"))</f>
        <v>0</v>
      </c>
      <c r="AC101" s="65">
        <f>CHOOSE(PLColumn,IFERROR(GETPIVOTDATA("Sum of "&amp;AC$9,'PT-All'!$A$1,"Scenario",AC$12,"P&amp;L Item",$B101),0),IFERROR(GETPIVOTDATA("Sum of "&amp;AC$9,'PT-All'!$A$1,"Scenario",AC$12,"P&amp;L Item",$B101)/AC$201,0),TEXT(IFERROR(GETPIVOTDATA("Sum of "&amp;AC$9,'PT-All'!$A$1,"Scenario",AC$12,"P&amp;L Item",$B101)/AC$29,0),"0.00%"))</f>
        <v>0</v>
      </c>
      <c r="AD101" s="65">
        <f>CHOOSE(PLColumn,IFERROR(GETPIVOTDATA("Sum of "&amp;AD$9,'PT-All'!$A$1,"Scenario",AD$12,"P&amp;L Item",$B101),0),IFERROR(GETPIVOTDATA("Sum of "&amp;AD$9,'PT-All'!$A$1,"Scenario",AD$12,"P&amp;L Item",$B101)/AD$201,0),TEXT(IFERROR(GETPIVOTDATA("Sum of "&amp;AD$9,'PT-All'!$A$1,"Scenario",AD$12,"P&amp;L Item",$B101)/AD$29,0),"0.00%"))</f>
        <v>0</v>
      </c>
      <c r="AE101" s="65">
        <f>CHOOSE(PLColumn,IFERROR(GETPIVOTDATA("Sum of "&amp;AE$9,'PT-All'!$A$1,"Scenario",AE$12,"P&amp;L Item",$B101),0),IFERROR(GETPIVOTDATA("Sum of "&amp;AE$9,'PT-All'!$A$1,"Scenario",AE$12,"P&amp;L Item",$B101)/AE$201,0),TEXT(IFERROR(GETPIVOTDATA("Sum of "&amp;AE$9,'PT-All'!$A$1,"Scenario",AE$12,"P&amp;L Item",$B101)/AE$29,0),"0.00%"))</f>
        <v>0</v>
      </c>
      <c r="AF101" s="65">
        <f>CHOOSE(PLColumn,IFERROR(GETPIVOTDATA("Sum of "&amp;AF$9,'PT-All'!$A$1,"Scenario",AF$12,"P&amp;L Item",$B101),0),IFERROR(GETPIVOTDATA("Sum of "&amp;AF$9,'PT-All'!$A$1,"Scenario",AF$12,"P&amp;L Item",$B101)/AF$201,0),TEXT(IFERROR(GETPIVOTDATA("Sum of "&amp;AF$9,'PT-All'!$A$1,"Scenario",AF$12,"P&amp;L Item",$B101)/AF$29,0),"0.00%"))</f>
        <v>0</v>
      </c>
      <c r="AG101" s="65">
        <f>CHOOSE(PLColumn,IFERROR(GETPIVOTDATA("Sum of "&amp;AG$9,'PT-All'!$A$1,"Scenario",AG$12,"P&amp;L Item",$B101),0),IFERROR(GETPIVOTDATA("Sum of "&amp;AG$9,'PT-All'!$A$1,"Scenario",AG$12,"P&amp;L Item",$B101)/AG$201,0),TEXT(IFERROR(GETPIVOTDATA("Sum of "&amp;AG$9,'PT-All'!$A$1,"Scenario",AG$12,"P&amp;L Item",$B101)/AG$29,0),"0.00%"))</f>
        <v>0</v>
      </c>
      <c r="AH101" s="65">
        <f>CHOOSE(PLColumn,IFERROR(GETPIVOTDATA("Sum of "&amp;AH$9,'PT-All'!$A$1,"Scenario",AH$12,"P&amp;L Item",$B101),0),IFERROR(GETPIVOTDATA("Sum of "&amp;AH$9,'PT-All'!$A$1,"Scenario",AH$12,"P&amp;L Item",$B101)/AH$201,0),TEXT(IFERROR(GETPIVOTDATA("Sum of "&amp;AH$9,'PT-All'!$A$1,"Scenario",AH$12,"P&amp;L Item",$B101)/AH$29,0),"0.00%"))</f>
        <v>0</v>
      </c>
      <c r="AI101" s="65">
        <f>CHOOSE(PLColumn,IFERROR(GETPIVOTDATA("Sum of "&amp;AI$9,'PT-All'!$A$1,"Scenario",AI$12,"P&amp;L Item",$B101),0),IFERROR(GETPIVOTDATA("Sum of "&amp;AI$9,'PT-All'!$A$1,"Scenario",AI$12,"P&amp;L Item",$B101)/AI$201,0),TEXT(IFERROR(GETPIVOTDATA("Sum of "&amp;AI$9,'PT-All'!$A$1,"Scenario",AI$12,"P&amp;L Item",$B101)/AI$29,0),"0.00%"))</f>
        <v>0</v>
      </c>
      <c r="AJ101" s="65">
        <f>CHOOSE(PLColumn,IFERROR(GETPIVOTDATA("Sum of "&amp;AJ$9,'PT-All'!$A$1,"Scenario",AJ$12,"P&amp;L Item",$B101),0),IFERROR(GETPIVOTDATA("Sum of "&amp;AJ$9,'PT-All'!$A$1,"Scenario",AJ$12,"P&amp;L Item",$B101)/AJ$201,0),TEXT(IFERROR(GETPIVOTDATA("Sum of "&amp;AJ$9,'PT-All'!$A$1,"Scenario",AJ$12,"P&amp;L Item",$B101)/AJ$29,0),"0.00%"))</f>
        <v>0</v>
      </c>
      <c r="AK101" s="65">
        <f>CHOOSE(PLColumn,IFERROR(GETPIVOTDATA("Sum of "&amp;AK$9,'PT-All'!$A$1,"Scenario",AK$12,"P&amp;L Item",$B101),0),IFERROR(GETPIVOTDATA("Sum of "&amp;AK$9,'PT-All'!$A$1,"Scenario",AK$12,"P&amp;L Item",$B101)/AK$201,0),TEXT(IFERROR(GETPIVOTDATA("Sum of "&amp;AK$9,'PT-All'!$A$1,"Scenario",AK$12,"P&amp;L Item",$B101)/AK$29,0),"0.00%"))</f>
        <v>0</v>
      </c>
      <c r="AL101" s="97">
        <f>CHOOSE(PLColumn,IFERROR(GETPIVOTDATA("Sum of "&amp;AL$9,'PT-All'!$A$1,"Scenario",AL$12,"P&amp;L Item",$B101),0),IFERROR(GETPIVOTDATA("Sum of "&amp;AL$9,'PT-All'!$A$1,"Scenario",AL$12,"P&amp;L Item",$B101)/AL$201,0),TEXT(IFERROR(GETPIVOTDATA("Sum of "&amp;AL$9,'PT-All'!$A$1,"Scenario",AL$12,"P&amp;L Item",$B101)/AL$29,0),"0.00%"))</f>
        <v>0</v>
      </c>
      <c r="AM101" s="590"/>
      <c r="AN101" s="108">
        <f ca="1">IF(AN$12="Pro Forma",SUM(OFFSET($B101,0,3*AN$9+1,1,3)),IFERROR(GETPIVOTDATA("Sum of Q"&amp;AN$9+1,'PT-All'!$A$1,"Scenario",AN$12,"P&amp;L Item",$B101),0))</f>
        <v>0</v>
      </c>
      <c r="AO101" s="65">
        <f ca="1">IF(AO$12="Pro Forma",SUM(OFFSET($B101,0,3*AO$9+1,1,3)),IFERROR(GETPIVOTDATA("Sum of Q"&amp;AO$9+1,'PT-All'!$A$1,"Scenario",AO$12,"P&amp;L Item",$B101),0))</f>
        <v>0</v>
      </c>
      <c r="AP101" s="65">
        <f ca="1">IF(AP$12="Pro Forma",SUM(OFFSET($B101,0,3*AP$9+1,1,3)),IFERROR(GETPIVOTDATA("Sum of Q"&amp;AP$9+1,'PT-All'!$A$1,"Scenario",AP$12,"P&amp;L Item",$B101),0))</f>
        <v>0</v>
      </c>
      <c r="AQ101" s="65">
        <f ca="1">IF(AQ$12="Pro Forma",SUM(OFFSET($B101,0,3*AQ$9+1,1,3)),IFERROR(GETPIVOTDATA("Sum of Q"&amp;AQ$9+1,'PT-All'!$A$1,"Scenario",AQ$12,"P&amp;L Item",$B101),0))</f>
        <v>0</v>
      </c>
      <c r="AR101" s="65">
        <f ca="1">IF(AR$12="Pro Forma",SUM(OFFSET($B101,0,3*AR$9+1,1,3)),IFERROR(GETPIVOTDATA("Sum of Q"&amp;AR$9+1,'PT-All'!$A$1,"Scenario",AR$12,"P&amp;L Item",$B101),0))</f>
        <v>0</v>
      </c>
      <c r="AS101" s="65">
        <f ca="1">IF(AS$12="Pro Forma",SUM(OFFSET($B101,0,3*AS$9+1,1,3)),IFERROR(GETPIVOTDATA("Sum of Q"&amp;AS$9+1,'PT-All'!$A$1,"Scenario",AS$12,"P&amp;L Item",$B101),0))</f>
        <v>0</v>
      </c>
      <c r="AT101" s="65">
        <f ca="1">IF(AT$12="Pro Forma",SUM(OFFSET($B101,0,3*AT$9+1,1,3)),IFERROR(GETPIVOTDATA("Sum of Q"&amp;AT$9+1,'PT-All'!$A$1,"Scenario",AT$12,"P&amp;L Item",$B101),0))</f>
        <v>0</v>
      </c>
      <c r="AU101" s="65">
        <f ca="1">IF(AU$12="Pro Forma",SUM(OFFSET($B101,0,3*AU$9+1,1,3)),IFERROR(GETPIVOTDATA("Sum of Q"&amp;AU$9+1,'PT-All'!$A$1,"Scenario",AU$12,"P&amp;L Item",$B101),0))</f>
        <v>0</v>
      </c>
      <c r="AV101" s="65">
        <f ca="1">IF(AV$12="Pro Forma",SUM(OFFSET($B101,0,3*AV$9+1,1,3)),IFERROR(GETPIVOTDATA("Sum of Q"&amp;AV$9+1,'PT-All'!$A$1,"Scenario",AV$12,"P&amp;L Item",$B101),0))</f>
        <v>0</v>
      </c>
      <c r="AW101" s="65">
        <f ca="1">IF(AW$12="Pro Forma",SUM(OFFSET($B101,0,3*AW$9+1,1,3)),IFERROR(GETPIVOTDATA("Sum of Q"&amp;AW$9+1,'PT-All'!$A$1,"Scenario",AW$12,"P&amp;L Item",$B101),0))</f>
        <v>0</v>
      </c>
      <c r="AX101" s="65">
        <f ca="1">IF(AX$12="Pro Forma",SUM(OFFSET($B101,0,3*AX$9+1,1,3)),IFERROR(GETPIVOTDATA("Sum of Q"&amp;AX$9+1,'PT-All'!$A$1,"Scenario",AX$12,"P&amp;L Item",$B101),0))</f>
        <v>0</v>
      </c>
      <c r="AY101" s="97">
        <f ca="1">IF(AY$12="Pro Forma",SUM(OFFSET($B101,0,3*AY$9+1,1,3)),IFERROR(GETPIVOTDATA("Sum of Q"&amp;AY$9+1,'PT-All'!$A$1,"Scenario",AY$12,"P&amp;L Item",$B101),0))</f>
        <v>0</v>
      </c>
      <c r="AZ101" s="590"/>
      <c r="BA101" s="108">
        <f ca="1">IF(BA$12="Pro Forma",SUM(OFFSET($B101,0,12*BA$9+1,1,12)),IFERROR(GETPIVOTDATA("Sum of FY"&amp;BA$9+1,'PT-All'!$A$1,"Scenario",BA$12,"P&amp;L Item",$B101),0))</f>
        <v>0</v>
      </c>
      <c r="BB101" s="65">
        <f ca="1">IF(BB$12="Pro Forma",SUM(OFFSET($B101,0,12*BB$9+1,1,12)),IFERROR(GETPIVOTDATA("Sum of FY"&amp;BB$9+1,'PT-All'!$A$1,"Scenario",BB$12,"P&amp;L Item",$B101),0))</f>
        <v>0</v>
      </c>
      <c r="BC101" s="97">
        <f ca="1">IF(BC$12="Pro Forma",SUM(OFFSET($B101,0,12*BC$9+1,1,12)),IFERROR(GETPIVOTDATA("Sum of FY"&amp;BC$9+1,'PT-All'!$A$1,"Scenario",BC$12,"P&amp;L Item",$B101),0))</f>
        <v>0</v>
      </c>
    </row>
    <row r="102" spans="2:55" x14ac:dyDescent="0.35">
      <c r="B102" s="64" t="s">
        <v>134</v>
      </c>
      <c r="C102" s="65">
        <f>CHOOSE(PLColumn,IFERROR(GETPIVOTDATA("Sum of "&amp;C$9,'PT-All'!$A$1,"Scenario",C$12,"P&amp;L Item",$B102),0),IFERROR(GETPIVOTDATA("Sum of "&amp;C$9,'PT-All'!$A$1,"Scenario",C$12,"P&amp;L Item",$B102)/C$201,0),TEXT(IFERROR(GETPIVOTDATA("Sum of "&amp;C$9,'PT-All'!$A$1,"Scenario",C$12,"P&amp;L Item",$B102)/C$29,0),"0.00%"))</f>
        <v>0</v>
      </c>
      <c r="D102" s="65">
        <f>CHOOSE(PLColumn,IFERROR(GETPIVOTDATA("Sum of "&amp;D$9,'PT-All'!$A$1,"Scenario",D$12,"P&amp;L Item",$B102),0),IFERROR(GETPIVOTDATA("Sum of "&amp;D$9,'PT-All'!$A$1,"Scenario",D$12,"P&amp;L Item",$B102)/D$201,0),TEXT(IFERROR(GETPIVOTDATA("Sum of "&amp;D$9,'PT-All'!$A$1,"Scenario",D$12,"P&amp;L Item",$B102)/D$29,0),"0.00%"))</f>
        <v>0</v>
      </c>
      <c r="E102" s="65">
        <f>CHOOSE(PLColumn,IFERROR(GETPIVOTDATA("Sum of "&amp;E$9,'PT-All'!$A$1,"Scenario",E$12,"P&amp;L Item",$B102),0),IFERROR(GETPIVOTDATA("Sum of "&amp;E$9,'PT-All'!$A$1,"Scenario",E$12,"P&amp;L Item",$B102)/E$201,0),TEXT(IFERROR(GETPIVOTDATA("Sum of "&amp;E$9,'PT-All'!$A$1,"Scenario",E$12,"P&amp;L Item",$B102)/E$29,0),"0.00%"))</f>
        <v>0</v>
      </c>
      <c r="F102" s="65">
        <f>CHOOSE(PLColumn,IFERROR(GETPIVOTDATA("Sum of "&amp;F$9,'PT-All'!$A$1,"Scenario",F$12,"P&amp;L Item",$B102),0),IFERROR(GETPIVOTDATA("Sum of "&amp;F$9,'PT-All'!$A$1,"Scenario",F$12,"P&amp;L Item",$B102)/F$201,0),TEXT(IFERROR(GETPIVOTDATA("Sum of "&amp;F$9,'PT-All'!$A$1,"Scenario",F$12,"P&amp;L Item",$B102)/F$29,0),"0.00%"))</f>
        <v>0</v>
      </c>
      <c r="G102" s="65">
        <f>CHOOSE(PLColumn,IFERROR(GETPIVOTDATA("Sum of "&amp;G$9,'PT-All'!$A$1,"Scenario",G$12,"P&amp;L Item",$B102),0),IFERROR(GETPIVOTDATA("Sum of "&amp;G$9,'PT-All'!$A$1,"Scenario",G$12,"P&amp;L Item",$B102)/G$201,0),TEXT(IFERROR(GETPIVOTDATA("Sum of "&amp;G$9,'PT-All'!$A$1,"Scenario",G$12,"P&amp;L Item",$B102)/G$29,0),"0.00%"))</f>
        <v>0</v>
      </c>
      <c r="H102" s="65">
        <f>CHOOSE(PLColumn,IFERROR(GETPIVOTDATA("Sum of "&amp;H$9,'PT-All'!$A$1,"Scenario",H$12,"P&amp;L Item",$B102),0),IFERROR(GETPIVOTDATA("Sum of "&amp;H$9,'PT-All'!$A$1,"Scenario",H$12,"P&amp;L Item",$B102)/H$201,0),TEXT(IFERROR(GETPIVOTDATA("Sum of "&amp;H$9,'PT-All'!$A$1,"Scenario",H$12,"P&amp;L Item",$B102)/H$29,0),"0.00%"))</f>
        <v>0</v>
      </c>
      <c r="I102" s="65">
        <f>CHOOSE(PLColumn,IFERROR(GETPIVOTDATA("Sum of "&amp;I$9,'PT-All'!$A$1,"Scenario",I$12,"P&amp;L Item",$B102),0),IFERROR(GETPIVOTDATA("Sum of "&amp;I$9,'PT-All'!$A$1,"Scenario",I$12,"P&amp;L Item",$B102)/I$201,0),TEXT(IFERROR(GETPIVOTDATA("Sum of "&amp;I$9,'PT-All'!$A$1,"Scenario",I$12,"P&amp;L Item",$B102)/I$29,0),"0.00%"))</f>
        <v>0</v>
      </c>
      <c r="J102" s="65">
        <f>CHOOSE(PLColumn,IFERROR(GETPIVOTDATA("Sum of "&amp;J$9,'PT-All'!$A$1,"Scenario",J$12,"P&amp;L Item",$B102),0),IFERROR(GETPIVOTDATA("Sum of "&amp;J$9,'PT-All'!$A$1,"Scenario",J$12,"P&amp;L Item",$B102)/J$201,0),TEXT(IFERROR(GETPIVOTDATA("Sum of "&amp;J$9,'PT-All'!$A$1,"Scenario",J$12,"P&amp;L Item",$B102)/J$29,0),"0.00%"))</f>
        <v>0</v>
      </c>
      <c r="K102" s="65">
        <f>CHOOSE(PLColumn,IFERROR(GETPIVOTDATA("Sum of "&amp;K$9,'PT-All'!$A$1,"Scenario",K$12,"P&amp;L Item",$B102),0),IFERROR(GETPIVOTDATA("Sum of "&amp;K$9,'PT-All'!$A$1,"Scenario",K$12,"P&amp;L Item",$B102)/K$201,0),TEXT(IFERROR(GETPIVOTDATA("Sum of "&amp;K$9,'PT-All'!$A$1,"Scenario",K$12,"P&amp;L Item",$B102)/K$29,0),"0.00%"))</f>
        <v>0</v>
      </c>
      <c r="L102" s="65">
        <f>CHOOSE(PLColumn,IFERROR(GETPIVOTDATA("Sum of "&amp;L$9,'PT-All'!$A$1,"Scenario",L$12,"P&amp;L Item",$B102),0),IFERROR(GETPIVOTDATA("Sum of "&amp;L$9,'PT-All'!$A$1,"Scenario",L$12,"P&amp;L Item",$B102)/L$201,0),TEXT(IFERROR(GETPIVOTDATA("Sum of "&amp;L$9,'PT-All'!$A$1,"Scenario",L$12,"P&amp;L Item",$B102)/L$29,0),"0.00%"))</f>
        <v>0</v>
      </c>
      <c r="M102" s="65">
        <f>CHOOSE(PLColumn,IFERROR(GETPIVOTDATA("Sum of "&amp;M$9,'PT-All'!$A$1,"Scenario",M$12,"P&amp;L Item",$B102),0),IFERROR(GETPIVOTDATA("Sum of "&amp;M$9,'PT-All'!$A$1,"Scenario",M$12,"P&amp;L Item",$B102)/M$201,0),TEXT(IFERROR(GETPIVOTDATA("Sum of "&amp;M$9,'PT-All'!$A$1,"Scenario",M$12,"P&amp;L Item",$B102)/M$29,0),"0.00%"))</f>
        <v>0</v>
      </c>
      <c r="N102" s="65">
        <f>CHOOSE(PLColumn,IFERROR(GETPIVOTDATA("Sum of "&amp;N$9,'PT-All'!$A$1,"Scenario",N$12,"P&amp;L Item",$B102),0),IFERROR(GETPIVOTDATA("Sum of "&amp;N$9,'PT-All'!$A$1,"Scenario",N$12,"P&amp;L Item",$B102)/N$201,0),TEXT(IFERROR(GETPIVOTDATA("Sum of "&amp;N$9,'PT-All'!$A$1,"Scenario",N$12,"P&amp;L Item",$B102)/N$29,0),"0.00%"))</f>
        <v>0</v>
      </c>
      <c r="O102" s="65">
        <f>CHOOSE(PLColumn,IFERROR(GETPIVOTDATA("Sum of "&amp;O$9,'PT-All'!$A$1,"Scenario",O$12,"P&amp;L Item",$B102),0),IFERROR(GETPIVOTDATA("Sum of "&amp;O$9,'PT-All'!$A$1,"Scenario",O$12,"P&amp;L Item",$B102)/O$201,0),TEXT(IFERROR(GETPIVOTDATA("Sum of "&amp;O$9,'PT-All'!$A$1,"Scenario",O$12,"P&amp;L Item",$B102)/O$29,0),"0.00%"))</f>
        <v>0</v>
      </c>
      <c r="P102" s="65">
        <f>CHOOSE(PLColumn,IFERROR(GETPIVOTDATA("Sum of "&amp;P$9,'PT-All'!$A$1,"Scenario",P$12,"P&amp;L Item",$B102),0),IFERROR(GETPIVOTDATA("Sum of "&amp;P$9,'PT-All'!$A$1,"Scenario",P$12,"P&amp;L Item",$B102)/P$201,0),TEXT(IFERROR(GETPIVOTDATA("Sum of "&amp;P$9,'PT-All'!$A$1,"Scenario",P$12,"P&amp;L Item",$B102)/P$29,0),"0.00%"))</f>
        <v>0</v>
      </c>
      <c r="Q102" s="65">
        <f>CHOOSE(PLColumn,IFERROR(GETPIVOTDATA("Sum of "&amp;Q$9,'PT-All'!$A$1,"Scenario",Q$12,"P&amp;L Item",$B102),0),IFERROR(GETPIVOTDATA("Sum of "&amp;Q$9,'PT-All'!$A$1,"Scenario",Q$12,"P&amp;L Item",$B102)/Q$201,0),TEXT(IFERROR(GETPIVOTDATA("Sum of "&amp;Q$9,'PT-All'!$A$1,"Scenario",Q$12,"P&amp;L Item",$B102)/Q$29,0),"0.00%"))</f>
        <v>0</v>
      </c>
      <c r="R102" s="65">
        <f>CHOOSE(PLColumn,IFERROR(GETPIVOTDATA("Sum of "&amp;R$9,'PT-All'!$A$1,"Scenario",R$12,"P&amp;L Item",$B102),0),IFERROR(GETPIVOTDATA("Sum of "&amp;R$9,'PT-All'!$A$1,"Scenario",R$12,"P&amp;L Item",$B102)/R$201,0),TEXT(IFERROR(GETPIVOTDATA("Sum of "&amp;R$9,'PT-All'!$A$1,"Scenario",R$12,"P&amp;L Item",$B102)/R$29,0),"0.00%"))</f>
        <v>0</v>
      </c>
      <c r="S102" s="65">
        <f>CHOOSE(PLColumn,IFERROR(GETPIVOTDATA("Sum of "&amp;S$9,'PT-All'!$A$1,"Scenario",S$12,"P&amp;L Item",$B102),0),IFERROR(GETPIVOTDATA("Sum of "&amp;S$9,'PT-All'!$A$1,"Scenario",S$12,"P&amp;L Item",$B102)/S$201,0),TEXT(IFERROR(GETPIVOTDATA("Sum of "&amp;S$9,'PT-All'!$A$1,"Scenario",S$12,"P&amp;L Item",$B102)/S$29,0),"0.00%"))</f>
        <v>0</v>
      </c>
      <c r="T102" s="65">
        <f>CHOOSE(PLColumn,IFERROR(GETPIVOTDATA("Sum of "&amp;T$9,'PT-All'!$A$1,"Scenario",T$12,"P&amp;L Item",$B102),0),IFERROR(GETPIVOTDATA("Sum of "&amp;T$9,'PT-All'!$A$1,"Scenario",T$12,"P&amp;L Item",$B102)/T$201,0),TEXT(IFERROR(GETPIVOTDATA("Sum of "&amp;T$9,'PT-All'!$A$1,"Scenario",T$12,"P&amp;L Item",$B102)/T$29,0),"0.00%"))</f>
        <v>0</v>
      </c>
      <c r="U102" s="65">
        <f>CHOOSE(PLColumn,IFERROR(GETPIVOTDATA("Sum of "&amp;U$9,'PT-All'!$A$1,"Scenario",U$12,"P&amp;L Item",$B102),0),IFERROR(GETPIVOTDATA("Sum of "&amp;U$9,'PT-All'!$A$1,"Scenario",U$12,"P&amp;L Item",$B102)/U$201,0),TEXT(IFERROR(GETPIVOTDATA("Sum of "&amp;U$9,'PT-All'!$A$1,"Scenario",U$12,"P&amp;L Item",$B102)/U$29,0),"0.00%"))</f>
        <v>0</v>
      </c>
      <c r="V102" s="65">
        <f>CHOOSE(PLColumn,IFERROR(GETPIVOTDATA("Sum of "&amp;V$9,'PT-All'!$A$1,"Scenario",V$12,"P&amp;L Item",$B102),0),IFERROR(GETPIVOTDATA("Sum of "&amp;V$9,'PT-All'!$A$1,"Scenario",V$12,"P&amp;L Item",$B102)/V$201,0),TEXT(IFERROR(GETPIVOTDATA("Sum of "&amp;V$9,'PT-All'!$A$1,"Scenario",V$12,"P&amp;L Item",$B102)/V$29,0),"0.00%"))</f>
        <v>0</v>
      </c>
      <c r="W102" s="65">
        <f>CHOOSE(PLColumn,IFERROR(GETPIVOTDATA("Sum of "&amp;W$9,'PT-All'!$A$1,"Scenario",W$12,"P&amp;L Item",$B102),0),IFERROR(GETPIVOTDATA("Sum of "&amp;W$9,'PT-All'!$A$1,"Scenario",W$12,"P&amp;L Item",$B102)/W$201,0),TEXT(IFERROR(GETPIVOTDATA("Sum of "&amp;W$9,'PT-All'!$A$1,"Scenario",W$12,"P&amp;L Item",$B102)/W$29,0),"0.00%"))</f>
        <v>0</v>
      </c>
      <c r="X102" s="65">
        <f>CHOOSE(PLColumn,IFERROR(GETPIVOTDATA("Sum of "&amp;X$9,'PT-All'!$A$1,"Scenario",X$12,"P&amp;L Item",$B102),0),IFERROR(GETPIVOTDATA("Sum of "&amp;X$9,'PT-All'!$A$1,"Scenario",X$12,"P&amp;L Item",$B102)/X$201,0),TEXT(IFERROR(GETPIVOTDATA("Sum of "&amp;X$9,'PT-All'!$A$1,"Scenario",X$12,"P&amp;L Item",$B102)/X$29,0),"0.00%"))</f>
        <v>0</v>
      </c>
      <c r="Y102" s="65">
        <f>CHOOSE(PLColumn,IFERROR(GETPIVOTDATA("Sum of "&amp;Y$9,'PT-All'!$A$1,"Scenario",Y$12,"P&amp;L Item",$B102),0),IFERROR(GETPIVOTDATA("Sum of "&amp;Y$9,'PT-All'!$A$1,"Scenario",Y$12,"P&amp;L Item",$B102)/Y$201,0),TEXT(IFERROR(GETPIVOTDATA("Sum of "&amp;Y$9,'PT-All'!$A$1,"Scenario",Y$12,"P&amp;L Item",$B102)/Y$29,0),"0.00%"))</f>
        <v>0</v>
      </c>
      <c r="Z102" s="65">
        <f>CHOOSE(PLColumn,IFERROR(GETPIVOTDATA("Sum of "&amp;Z$9,'PT-All'!$A$1,"Scenario",Z$12,"P&amp;L Item",$B102),0),IFERROR(GETPIVOTDATA("Sum of "&amp;Z$9,'PT-All'!$A$1,"Scenario",Z$12,"P&amp;L Item",$B102)/Z$201,0),TEXT(IFERROR(GETPIVOTDATA("Sum of "&amp;Z$9,'PT-All'!$A$1,"Scenario",Z$12,"P&amp;L Item",$B102)/Z$29,0),"0.00%"))</f>
        <v>0</v>
      </c>
      <c r="AA102" s="65">
        <f>CHOOSE(PLColumn,IFERROR(GETPIVOTDATA("Sum of "&amp;AA$9,'PT-All'!$A$1,"Scenario",AA$12,"P&amp;L Item",$B102),0),IFERROR(GETPIVOTDATA("Sum of "&amp;AA$9,'PT-All'!$A$1,"Scenario",AA$12,"P&amp;L Item",$B102)/AA$201,0),TEXT(IFERROR(GETPIVOTDATA("Sum of "&amp;AA$9,'PT-All'!$A$1,"Scenario",AA$12,"P&amp;L Item",$B102)/AA$29,0),"0.00%"))</f>
        <v>0</v>
      </c>
      <c r="AB102" s="65">
        <f>CHOOSE(PLColumn,IFERROR(GETPIVOTDATA("Sum of "&amp;AB$9,'PT-All'!$A$1,"Scenario",AB$12,"P&amp;L Item",$B102),0),IFERROR(GETPIVOTDATA("Sum of "&amp;AB$9,'PT-All'!$A$1,"Scenario",AB$12,"P&amp;L Item",$B102)/AB$201,0),TEXT(IFERROR(GETPIVOTDATA("Sum of "&amp;AB$9,'PT-All'!$A$1,"Scenario",AB$12,"P&amp;L Item",$B102)/AB$29,0),"0.00%"))</f>
        <v>0</v>
      </c>
      <c r="AC102" s="65">
        <f>CHOOSE(PLColumn,IFERROR(GETPIVOTDATA("Sum of "&amp;AC$9,'PT-All'!$A$1,"Scenario",AC$12,"P&amp;L Item",$B102),0),IFERROR(GETPIVOTDATA("Sum of "&amp;AC$9,'PT-All'!$A$1,"Scenario",AC$12,"P&amp;L Item",$B102)/AC$201,0),TEXT(IFERROR(GETPIVOTDATA("Sum of "&amp;AC$9,'PT-All'!$A$1,"Scenario",AC$12,"P&amp;L Item",$B102)/AC$29,0),"0.00%"))</f>
        <v>0</v>
      </c>
      <c r="AD102" s="65">
        <f>CHOOSE(PLColumn,IFERROR(GETPIVOTDATA("Sum of "&amp;AD$9,'PT-All'!$A$1,"Scenario",AD$12,"P&amp;L Item",$B102),0),IFERROR(GETPIVOTDATA("Sum of "&amp;AD$9,'PT-All'!$A$1,"Scenario",AD$12,"P&amp;L Item",$B102)/AD$201,0),TEXT(IFERROR(GETPIVOTDATA("Sum of "&amp;AD$9,'PT-All'!$A$1,"Scenario",AD$12,"P&amp;L Item",$B102)/AD$29,0),"0.00%"))</f>
        <v>0</v>
      </c>
      <c r="AE102" s="65">
        <f>CHOOSE(PLColumn,IFERROR(GETPIVOTDATA("Sum of "&amp;AE$9,'PT-All'!$A$1,"Scenario",AE$12,"P&amp;L Item",$B102),0),IFERROR(GETPIVOTDATA("Sum of "&amp;AE$9,'PT-All'!$A$1,"Scenario",AE$12,"P&amp;L Item",$B102)/AE$201,0),TEXT(IFERROR(GETPIVOTDATA("Sum of "&amp;AE$9,'PT-All'!$A$1,"Scenario",AE$12,"P&amp;L Item",$B102)/AE$29,0),"0.00%"))</f>
        <v>0</v>
      </c>
      <c r="AF102" s="65">
        <f>CHOOSE(PLColumn,IFERROR(GETPIVOTDATA("Sum of "&amp;AF$9,'PT-All'!$A$1,"Scenario",AF$12,"P&amp;L Item",$B102),0),IFERROR(GETPIVOTDATA("Sum of "&amp;AF$9,'PT-All'!$A$1,"Scenario",AF$12,"P&amp;L Item",$B102)/AF$201,0),TEXT(IFERROR(GETPIVOTDATA("Sum of "&amp;AF$9,'PT-All'!$A$1,"Scenario",AF$12,"P&amp;L Item",$B102)/AF$29,0),"0.00%"))</f>
        <v>0</v>
      </c>
      <c r="AG102" s="65">
        <f>CHOOSE(PLColumn,IFERROR(GETPIVOTDATA("Sum of "&amp;AG$9,'PT-All'!$A$1,"Scenario",AG$12,"P&amp;L Item",$B102),0),IFERROR(GETPIVOTDATA("Sum of "&amp;AG$9,'PT-All'!$A$1,"Scenario",AG$12,"P&amp;L Item",$B102)/AG$201,0),TEXT(IFERROR(GETPIVOTDATA("Sum of "&amp;AG$9,'PT-All'!$A$1,"Scenario",AG$12,"P&amp;L Item",$B102)/AG$29,0),"0.00%"))</f>
        <v>0</v>
      </c>
      <c r="AH102" s="65">
        <f>CHOOSE(PLColumn,IFERROR(GETPIVOTDATA("Sum of "&amp;AH$9,'PT-All'!$A$1,"Scenario",AH$12,"P&amp;L Item",$B102),0),IFERROR(GETPIVOTDATA("Sum of "&amp;AH$9,'PT-All'!$A$1,"Scenario",AH$12,"P&amp;L Item",$B102)/AH$201,0),TEXT(IFERROR(GETPIVOTDATA("Sum of "&amp;AH$9,'PT-All'!$A$1,"Scenario",AH$12,"P&amp;L Item",$B102)/AH$29,0),"0.00%"))</f>
        <v>0</v>
      </c>
      <c r="AI102" s="65">
        <f>CHOOSE(PLColumn,IFERROR(GETPIVOTDATA("Sum of "&amp;AI$9,'PT-All'!$A$1,"Scenario",AI$12,"P&amp;L Item",$B102),0),IFERROR(GETPIVOTDATA("Sum of "&amp;AI$9,'PT-All'!$A$1,"Scenario",AI$12,"P&amp;L Item",$B102)/AI$201,0),TEXT(IFERROR(GETPIVOTDATA("Sum of "&amp;AI$9,'PT-All'!$A$1,"Scenario",AI$12,"P&amp;L Item",$B102)/AI$29,0),"0.00%"))</f>
        <v>0</v>
      </c>
      <c r="AJ102" s="65">
        <f>CHOOSE(PLColumn,IFERROR(GETPIVOTDATA("Sum of "&amp;AJ$9,'PT-All'!$A$1,"Scenario",AJ$12,"P&amp;L Item",$B102),0),IFERROR(GETPIVOTDATA("Sum of "&amp;AJ$9,'PT-All'!$A$1,"Scenario",AJ$12,"P&amp;L Item",$B102)/AJ$201,0),TEXT(IFERROR(GETPIVOTDATA("Sum of "&amp;AJ$9,'PT-All'!$A$1,"Scenario",AJ$12,"P&amp;L Item",$B102)/AJ$29,0),"0.00%"))</f>
        <v>0</v>
      </c>
      <c r="AK102" s="65">
        <f>CHOOSE(PLColumn,IFERROR(GETPIVOTDATA("Sum of "&amp;AK$9,'PT-All'!$A$1,"Scenario",AK$12,"P&amp;L Item",$B102),0),IFERROR(GETPIVOTDATA("Sum of "&amp;AK$9,'PT-All'!$A$1,"Scenario",AK$12,"P&amp;L Item",$B102)/AK$201,0),TEXT(IFERROR(GETPIVOTDATA("Sum of "&amp;AK$9,'PT-All'!$A$1,"Scenario",AK$12,"P&amp;L Item",$B102)/AK$29,0),"0.00%"))</f>
        <v>0</v>
      </c>
      <c r="AL102" s="97">
        <f>CHOOSE(PLColumn,IFERROR(GETPIVOTDATA("Sum of "&amp;AL$9,'PT-All'!$A$1,"Scenario",AL$12,"P&amp;L Item",$B102),0),IFERROR(GETPIVOTDATA("Sum of "&amp;AL$9,'PT-All'!$A$1,"Scenario",AL$12,"P&amp;L Item",$B102)/AL$201,0),TEXT(IFERROR(GETPIVOTDATA("Sum of "&amp;AL$9,'PT-All'!$A$1,"Scenario",AL$12,"P&amp;L Item",$B102)/AL$29,0),"0.00%"))</f>
        <v>0</v>
      </c>
      <c r="AM102" s="590"/>
      <c r="AN102" s="108">
        <f ca="1">IF(AN$12="Pro Forma",SUM(OFFSET($B102,0,3*AN$9+1,1,3)),IFERROR(GETPIVOTDATA("Sum of Q"&amp;AN$9+1,'PT-All'!$A$1,"Scenario",AN$12,"P&amp;L Item",$B102),0))</f>
        <v>0</v>
      </c>
      <c r="AO102" s="65">
        <f ca="1">IF(AO$12="Pro Forma",SUM(OFFSET($B102,0,3*AO$9+1,1,3)),IFERROR(GETPIVOTDATA("Sum of Q"&amp;AO$9+1,'PT-All'!$A$1,"Scenario",AO$12,"P&amp;L Item",$B102),0))</f>
        <v>0</v>
      </c>
      <c r="AP102" s="65">
        <f ca="1">IF(AP$12="Pro Forma",SUM(OFFSET($B102,0,3*AP$9+1,1,3)),IFERROR(GETPIVOTDATA("Sum of Q"&amp;AP$9+1,'PT-All'!$A$1,"Scenario",AP$12,"P&amp;L Item",$B102),0))</f>
        <v>0</v>
      </c>
      <c r="AQ102" s="65">
        <f ca="1">IF(AQ$12="Pro Forma",SUM(OFFSET($B102,0,3*AQ$9+1,1,3)),IFERROR(GETPIVOTDATA("Sum of Q"&amp;AQ$9+1,'PT-All'!$A$1,"Scenario",AQ$12,"P&amp;L Item",$B102),0))</f>
        <v>0</v>
      </c>
      <c r="AR102" s="65">
        <f ca="1">IF(AR$12="Pro Forma",SUM(OFFSET($B102,0,3*AR$9+1,1,3)),IFERROR(GETPIVOTDATA("Sum of Q"&amp;AR$9+1,'PT-All'!$A$1,"Scenario",AR$12,"P&amp;L Item",$B102),0))</f>
        <v>0</v>
      </c>
      <c r="AS102" s="65">
        <f ca="1">IF(AS$12="Pro Forma",SUM(OFFSET($B102,0,3*AS$9+1,1,3)),IFERROR(GETPIVOTDATA("Sum of Q"&amp;AS$9+1,'PT-All'!$A$1,"Scenario",AS$12,"P&amp;L Item",$B102),0))</f>
        <v>0</v>
      </c>
      <c r="AT102" s="65">
        <f ca="1">IF(AT$12="Pro Forma",SUM(OFFSET($B102,0,3*AT$9+1,1,3)),IFERROR(GETPIVOTDATA("Sum of Q"&amp;AT$9+1,'PT-All'!$A$1,"Scenario",AT$12,"P&amp;L Item",$B102),0))</f>
        <v>0</v>
      </c>
      <c r="AU102" s="65">
        <f ca="1">IF(AU$12="Pro Forma",SUM(OFFSET($B102,0,3*AU$9+1,1,3)),IFERROR(GETPIVOTDATA("Sum of Q"&amp;AU$9+1,'PT-All'!$A$1,"Scenario",AU$12,"P&amp;L Item",$B102),0))</f>
        <v>0</v>
      </c>
      <c r="AV102" s="65">
        <f ca="1">IF(AV$12="Pro Forma",SUM(OFFSET($B102,0,3*AV$9+1,1,3)),IFERROR(GETPIVOTDATA("Sum of Q"&amp;AV$9+1,'PT-All'!$A$1,"Scenario",AV$12,"P&amp;L Item",$B102),0))</f>
        <v>0</v>
      </c>
      <c r="AW102" s="65">
        <f ca="1">IF(AW$12="Pro Forma",SUM(OFFSET($B102,0,3*AW$9+1,1,3)),IFERROR(GETPIVOTDATA("Sum of Q"&amp;AW$9+1,'PT-All'!$A$1,"Scenario",AW$12,"P&amp;L Item",$B102),0))</f>
        <v>0</v>
      </c>
      <c r="AX102" s="65">
        <f ca="1">IF(AX$12="Pro Forma",SUM(OFFSET($B102,0,3*AX$9+1,1,3)),IFERROR(GETPIVOTDATA("Sum of Q"&amp;AX$9+1,'PT-All'!$A$1,"Scenario",AX$12,"P&amp;L Item",$B102),0))</f>
        <v>0</v>
      </c>
      <c r="AY102" s="97">
        <f ca="1">IF(AY$12="Pro Forma",SUM(OFFSET($B102,0,3*AY$9+1,1,3)),IFERROR(GETPIVOTDATA("Sum of Q"&amp;AY$9+1,'PT-All'!$A$1,"Scenario",AY$12,"P&amp;L Item",$B102),0))</f>
        <v>0</v>
      </c>
      <c r="AZ102" s="590"/>
      <c r="BA102" s="108">
        <f ca="1">IF(BA$12="Pro Forma",SUM(OFFSET($B102,0,12*BA$9+1,1,12)),IFERROR(GETPIVOTDATA("Sum of FY"&amp;BA$9+1,'PT-All'!$A$1,"Scenario",BA$12,"P&amp;L Item",$B102),0))</f>
        <v>0</v>
      </c>
      <c r="BB102" s="65">
        <f ca="1">IF(BB$12="Pro Forma",SUM(OFFSET($B102,0,12*BB$9+1,1,12)),IFERROR(GETPIVOTDATA("Sum of FY"&amp;BB$9+1,'PT-All'!$A$1,"Scenario",BB$12,"P&amp;L Item",$B102),0))</f>
        <v>0</v>
      </c>
      <c r="BC102" s="97">
        <f ca="1">IF(BC$12="Pro Forma",SUM(OFFSET($B102,0,12*BC$9+1,1,12)),IFERROR(GETPIVOTDATA("Sum of FY"&amp;BC$9+1,'PT-All'!$A$1,"Scenario",BC$12,"P&amp;L Item",$B102),0))</f>
        <v>0</v>
      </c>
    </row>
    <row r="103" spans="2:55" x14ac:dyDescent="0.35">
      <c r="B103" s="64" t="s">
        <v>135</v>
      </c>
      <c r="C103" s="65">
        <f>CHOOSE(PLColumn,IFERROR(GETPIVOTDATA("Sum of "&amp;C$9,'PT-All'!$A$1,"Scenario",C$12,"P&amp;L Item",$B103),0),IFERROR(GETPIVOTDATA("Sum of "&amp;C$9,'PT-All'!$A$1,"Scenario",C$12,"P&amp;L Item",$B103)/C$201,0),TEXT(IFERROR(GETPIVOTDATA("Sum of "&amp;C$9,'PT-All'!$A$1,"Scenario",C$12,"P&amp;L Item",$B103)/C$29,0),"0.00%"))</f>
        <v>0</v>
      </c>
      <c r="D103" s="65">
        <f>CHOOSE(PLColumn,IFERROR(GETPIVOTDATA("Sum of "&amp;D$9,'PT-All'!$A$1,"Scenario",D$12,"P&amp;L Item",$B103),0),IFERROR(GETPIVOTDATA("Sum of "&amp;D$9,'PT-All'!$A$1,"Scenario",D$12,"P&amp;L Item",$B103)/D$201,0),TEXT(IFERROR(GETPIVOTDATA("Sum of "&amp;D$9,'PT-All'!$A$1,"Scenario",D$12,"P&amp;L Item",$B103)/D$29,0),"0.00%"))</f>
        <v>0</v>
      </c>
      <c r="E103" s="65">
        <f>CHOOSE(PLColumn,IFERROR(GETPIVOTDATA("Sum of "&amp;E$9,'PT-All'!$A$1,"Scenario",E$12,"P&amp;L Item",$B103),0),IFERROR(GETPIVOTDATA("Sum of "&amp;E$9,'PT-All'!$A$1,"Scenario",E$12,"P&amp;L Item",$B103)/E$201,0),TEXT(IFERROR(GETPIVOTDATA("Sum of "&amp;E$9,'PT-All'!$A$1,"Scenario",E$12,"P&amp;L Item",$B103)/E$29,0),"0.00%"))</f>
        <v>0</v>
      </c>
      <c r="F103" s="65">
        <f>CHOOSE(PLColumn,IFERROR(GETPIVOTDATA("Sum of "&amp;F$9,'PT-All'!$A$1,"Scenario",F$12,"P&amp;L Item",$B103),0),IFERROR(GETPIVOTDATA("Sum of "&amp;F$9,'PT-All'!$A$1,"Scenario",F$12,"P&amp;L Item",$B103)/F$201,0),TEXT(IFERROR(GETPIVOTDATA("Sum of "&amp;F$9,'PT-All'!$A$1,"Scenario",F$12,"P&amp;L Item",$B103)/F$29,0),"0.00%"))</f>
        <v>0</v>
      </c>
      <c r="G103" s="65">
        <f>CHOOSE(PLColumn,IFERROR(GETPIVOTDATA("Sum of "&amp;G$9,'PT-All'!$A$1,"Scenario",G$12,"P&amp;L Item",$B103),0),IFERROR(GETPIVOTDATA("Sum of "&amp;G$9,'PT-All'!$A$1,"Scenario",G$12,"P&amp;L Item",$B103)/G$201,0),TEXT(IFERROR(GETPIVOTDATA("Sum of "&amp;G$9,'PT-All'!$A$1,"Scenario",G$12,"P&amp;L Item",$B103)/G$29,0),"0.00%"))</f>
        <v>0</v>
      </c>
      <c r="H103" s="65">
        <f>CHOOSE(PLColumn,IFERROR(GETPIVOTDATA("Sum of "&amp;H$9,'PT-All'!$A$1,"Scenario",H$12,"P&amp;L Item",$B103),0),IFERROR(GETPIVOTDATA("Sum of "&amp;H$9,'PT-All'!$A$1,"Scenario",H$12,"P&amp;L Item",$B103)/H$201,0),TEXT(IFERROR(GETPIVOTDATA("Sum of "&amp;H$9,'PT-All'!$A$1,"Scenario",H$12,"P&amp;L Item",$B103)/H$29,0),"0.00%"))</f>
        <v>0</v>
      </c>
      <c r="I103" s="65">
        <f>CHOOSE(PLColumn,IFERROR(GETPIVOTDATA("Sum of "&amp;I$9,'PT-All'!$A$1,"Scenario",I$12,"P&amp;L Item",$B103),0),IFERROR(GETPIVOTDATA("Sum of "&amp;I$9,'PT-All'!$A$1,"Scenario",I$12,"P&amp;L Item",$B103)/I$201,0),TEXT(IFERROR(GETPIVOTDATA("Sum of "&amp;I$9,'PT-All'!$A$1,"Scenario",I$12,"P&amp;L Item",$B103)/I$29,0),"0.00%"))</f>
        <v>0</v>
      </c>
      <c r="J103" s="65">
        <f>CHOOSE(PLColumn,IFERROR(GETPIVOTDATA("Sum of "&amp;J$9,'PT-All'!$A$1,"Scenario",J$12,"P&amp;L Item",$B103),0),IFERROR(GETPIVOTDATA("Sum of "&amp;J$9,'PT-All'!$A$1,"Scenario",J$12,"P&amp;L Item",$B103)/J$201,0),TEXT(IFERROR(GETPIVOTDATA("Sum of "&amp;J$9,'PT-All'!$A$1,"Scenario",J$12,"P&amp;L Item",$B103)/J$29,0),"0.00%"))</f>
        <v>0</v>
      </c>
      <c r="K103" s="65">
        <f>CHOOSE(PLColumn,IFERROR(GETPIVOTDATA("Sum of "&amp;K$9,'PT-All'!$A$1,"Scenario",K$12,"P&amp;L Item",$B103),0),IFERROR(GETPIVOTDATA("Sum of "&amp;K$9,'PT-All'!$A$1,"Scenario",K$12,"P&amp;L Item",$B103)/K$201,0),TEXT(IFERROR(GETPIVOTDATA("Sum of "&amp;K$9,'PT-All'!$A$1,"Scenario",K$12,"P&amp;L Item",$B103)/K$29,0),"0.00%"))</f>
        <v>0</v>
      </c>
      <c r="L103" s="65">
        <f>CHOOSE(PLColumn,IFERROR(GETPIVOTDATA("Sum of "&amp;L$9,'PT-All'!$A$1,"Scenario",L$12,"P&amp;L Item",$B103),0),IFERROR(GETPIVOTDATA("Sum of "&amp;L$9,'PT-All'!$A$1,"Scenario",L$12,"P&amp;L Item",$B103)/L$201,0),TEXT(IFERROR(GETPIVOTDATA("Sum of "&amp;L$9,'PT-All'!$A$1,"Scenario",L$12,"P&amp;L Item",$B103)/L$29,0),"0.00%"))</f>
        <v>0</v>
      </c>
      <c r="M103" s="65">
        <f>CHOOSE(PLColumn,IFERROR(GETPIVOTDATA("Sum of "&amp;M$9,'PT-All'!$A$1,"Scenario",M$12,"P&amp;L Item",$B103),0),IFERROR(GETPIVOTDATA("Sum of "&amp;M$9,'PT-All'!$A$1,"Scenario",M$12,"P&amp;L Item",$B103)/M$201,0),TEXT(IFERROR(GETPIVOTDATA("Sum of "&amp;M$9,'PT-All'!$A$1,"Scenario",M$12,"P&amp;L Item",$B103)/M$29,0),"0.00%"))</f>
        <v>0</v>
      </c>
      <c r="N103" s="65">
        <f>CHOOSE(PLColumn,IFERROR(GETPIVOTDATA("Sum of "&amp;N$9,'PT-All'!$A$1,"Scenario",N$12,"P&amp;L Item",$B103),0),IFERROR(GETPIVOTDATA("Sum of "&amp;N$9,'PT-All'!$A$1,"Scenario",N$12,"P&amp;L Item",$B103)/N$201,0),TEXT(IFERROR(GETPIVOTDATA("Sum of "&amp;N$9,'PT-All'!$A$1,"Scenario",N$12,"P&amp;L Item",$B103)/N$29,0),"0.00%"))</f>
        <v>0</v>
      </c>
      <c r="O103" s="65">
        <f>CHOOSE(PLColumn,IFERROR(GETPIVOTDATA("Sum of "&amp;O$9,'PT-All'!$A$1,"Scenario",O$12,"P&amp;L Item",$B103),0),IFERROR(GETPIVOTDATA("Sum of "&amp;O$9,'PT-All'!$A$1,"Scenario",O$12,"P&amp;L Item",$B103)/O$201,0),TEXT(IFERROR(GETPIVOTDATA("Sum of "&amp;O$9,'PT-All'!$A$1,"Scenario",O$12,"P&amp;L Item",$B103)/O$29,0),"0.00%"))</f>
        <v>0</v>
      </c>
      <c r="P103" s="65">
        <f>CHOOSE(PLColumn,IFERROR(GETPIVOTDATA("Sum of "&amp;P$9,'PT-All'!$A$1,"Scenario",P$12,"P&amp;L Item",$B103),0),IFERROR(GETPIVOTDATA("Sum of "&amp;P$9,'PT-All'!$A$1,"Scenario",P$12,"P&amp;L Item",$B103)/P$201,0),TEXT(IFERROR(GETPIVOTDATA("Sum of "&amp;P$9,'PT-All'!$A$1,"Scenario",P$12,"P&amp;L Item",$B103)/P$29,0),"0.00%"))</f>
        <v>0</v>
      </c>
      <c r="Q103" s="65">
        <f>CHOOSE(PLColumn,IFERROR(GETPIVOTDATA("Sum of "&amp;Q$9,'PT-All'!$A$1,"Scenario",Q$12,"P&amp;L Item",$B103),0),IFERROR(GETPIVOTDATA("Sum of "&amp;Q$9,'PT-All'!$A$1,"Scenario",Q$12,"P&amp;L Item",$B103)/Q$201,0),TEXT(IFERROR(GETPIVOTDATA("Sum of "&amp;Q$9,'PT-All'!$A$1,"Scenario",Q$12,"P&amp;L Item",$B103)/Q$29,0),"0.00%"))</f>
        <v>0</v>
      </c>
      <c r="R103" s="65">
        <f>CHOOSE(PLColumn,IFERROR(GETPIVOTDATA("Sum of "&amp;R$9,'PT-All'!$A$1,"Scenario",R$12,"P&amp;L Item",$B103),0),IFERROR(GETPIVOTDATA("Sum of "&amp;R$9,'PT-All'!$A$1,"Scenario",R$12,"P&amp;L Item",$B103)/R$201,0),TEXT(IFERROR(GETPIVOTDATA("Sum of "&amp;R$9,'PT-All'!$A$1,"Scenario",R$12,"P&amp;L Item",$B103)/R$29,0),"0.00%"))</f>
        <v>0</v>
      </c>
      <c r="S103" s="65">
        <f>CHOOSE(PLColumn,IFERROR(GETPIVOTDATA("Sum of "&amp;S$9,'PT-All'!$A$1,"Scenario",S$12,"P&amp;L Item",$B103),0),IFERROR(GETPIVOTDATA("Sum of "&amp;S$9,'PT-All'!$A$1,"Scenario",S$12,"P&amp;L Item",$B103)/S$201,0),TEXT(IFERROR(GETPIVOTDATA("Sum of "&amp;S$9,'PT-All'!$A$1,"Scenario",S$12,"P&amp;L Item",$B103)/S$29,0),"0.00%"))</f>
        <v>0</v>
      </c>
      <c r="T103" s="65">
        <f>CHOOSE(PLColumn,IFERROR(GETPIVOTDATA("Sum of "&amp;T$9,'PT-All'!$A$1,"Scenario",T$12,"P&amp;L Item",$B103),0),IFERROR(GETPIVOTDATA("Sum of "&amp;T$9,'PT-All'!$A$1,"Scenario",T$12,"P&amp;L Item",$B103)/T$201,0),TEXT(IFERROR(GETPIVOTDATA("Sum of "&amp;T$9,'PT-All'!$A$1,"Scenario",T$12,"P&amp;L Item",$B103)/T$29,0),"0.00%"))</f>
        <v>0</v>
      </c>
      <c r="U103" s="65">
        <f>CHOOSE(PLColumn,IFERROR(GETPIVOTDATA("Sum of "&amp;U$9,'PT-All'!$A$1,"Scenario",U$12,"P&amp;L Item",$B103),0),IFERROR(GETPIVOTDATA("Sum of "&amp;U$9,'PT-All'!$A$1,"Scenario",U$12,"P&amp;L Item",$B103)/U$201,0),TEXT(IFERROR(GETPIVOTDATA("Sum of "&amp;U$9,'PT-All'!$A$1,"Scenario",U$12,"P&amp;L Item",$B103)/U$29,0),"0.00%"))</f>
        <v>0</v>
      </c>
      <c r="V103" s="65">
        <f>CHOOSE(PLColumn,IFERROR(GETPIVOTDATA("Sum of "&amp;V$9,'PT-All'!$A$1,"Scenario",V$12,"P&amp;L Item",$B103),0),IFERROR(GETPIVOTDATA("Sum of "&amp;V$9,'PT-All'!$A$1,"Scenario",V$12,"P&amp;L Item",$B103)/V$201,0),TEXT(IFERROR(GETPIVOTDATA("Sum of "&amp;V$9,'PT-All'!$A$1,"Scenario",V$12,"P&amp;L Item",$B103)/V$29,0),"0.00%"))</f>
        <v>0</v>
      </c>
      <c r="W103" s="65">
        <f>CHOOSE(PLColumn,IFERROR(GETPIVOTDATA("Sum of "&amp;W$9,'PT-All'!$A$1,"Scenario",W$12,"P&amp;L Item",$B103),0),IFERROR(GETPIVOTDATA("Sum of "&amp;W$9,'PT-All'!$A$1,"Scenario",W$12,"P&amp;L Item",$B103)/W$201,0),TEXT(IFERROR(GETPIVOTDATA("Sum of "&amp;W$9,'PT-All'!$A$1,"Scenario",W$12,"P&amp;L Item",$B103)/W$29,0),"0.00%"))</f>
        <v>0</v>
      </c>
      <c r="X103" s="65">
        <f>CHOOSE(PLColumn,IFERROR(GETPIVOTDATA("Sum of "&amp;X$9,'PT-All'!$A$1,"Scenario",X$12,"P&amp;L Item",$B103),0),IFERROR(GETPIVOTDATA("Sum of "&amp;X$9,'PT-All'!$A$1,"Scenario",X$12,"P&amp;L Item",$B103)/X$201,0),TEXT(IFERROR(GETPIVOTDATA("Sum of "&amp;X$9,'PT-All'!$A$1,"Scenario",X$12,"P&amp;L Item",$B103)/X$29,0),"0.00%"))</f>
        <v>0</v>
      </c>
      <c r="Y103" s="65">
        <f>CHOOSE(PLColumn,IFERROR(GETPIVOTDATA("Sum of "&amp;Y$9,'PT-All'!$A$1,"Scenario",Y$12,"P&amp;L Item",$B103),0),IFERROR(GETPIVOTDATA("Sum of "&amp;Y$9,'PT-All'!$A$1,"Scenario",Y$12,"P&amp;L Item",$B103)/Y$201,0),TEXT(IFERROR(GETPIVOTDATA("Sum of "&amp;Y$9,'PT-All'!$A$1,"Scenario",Y$12,"P&amp;L Item",$B103)/Y$29,0),"0.00%"))</f>
        <v>0</v>
      </c>
      <c r="Z103" s="65">
        <f>CHOOSE(PLColumn,IFERROR(GETPIVOTDATA("Sum of "&amp;Z$9,'PT-All'!$A$1,"Scenario",Z$12,"P&amp;L Item",$B103),0),IFERROR(GETPIVOTDATA("Sum of "&amp;Z$9,'PT-All'!$A$1,"Scenario",Z$12,"P&amp;L Item",$B103)/Z$201,0),TEXT(IFERROR(GETPIVOTDATA("Sum of "&amp;Z$9,'PT-All'!$A$1,"Scenario",Z$12,"P&amp;L Item",$B103)/Z$29,0),"0.00%"))</f>
        <v>0</v>
      </c>
      <c r="AA103" s="65">
        <f>CHOOSE(PLColumn,IFERROR(GETPIVOTDATA("Sum of "&amp;AA$9,'PT-All'!$A$1,"Scenario",AA$12,"P&amp;L Item",$B103),0),IFERROR(GETPIVOTDATA("Sum of "&amp;AA$9,'PT-All'!$A$1,"Scenario",AA$12,"P&amp;L Item",$B103)/AA$201,0),TEXT(IFERROR(GETPIVOTDATA("Sum of "&amp;AA$9,'PT-All'!$A$1,"Scenario",AA$12,"P&amp;L Item",$B103)/AA$29,0),"0.00%"))</f>
        <v>0</v>
      </c>
      <c r="AB103" s="65">
        <f>CHOOSE(PLColumn,IFERROR(GETPIVOTDATA("Sum of "&amp;AB$9,'PT-All'!$A$1,"Scenario",AB$12,"P&amp;L Item",$B103),0),IFERROR(GETPIVOTDATA("Sum of "&amp;AB$9,'PT-All'!$A$1,"Scenario",AB$12,"P&amp;L Item",$B103)/AB$201,0),TEXT(IFERROR(GETPIVOTDATA("Sum of "&amp;AB$9,'PT-All'!$A$1,"Scenario",AB$12,"P&amp;L Item",$B103)/AB$29,0),"0.00%"))</f>
        <v>0</v>
      </c>
      <c r="AC103" s="65">
        <f>CHOOSE(PLColumn,IFERROR(GETPIVOTDATA("Sum of "&amp;AC$9,'PT-All'!$A$1,"Scenario",AC$12,"P&amp;L Item",$B103),0),IFERROR(GETPIVOTDATA("Sum of "&amp;AC$9,'PT-All'!$A$1,"Scenario",AC$12,"P&amp;L Item",$B103)/AC$201,0),TEXT(IFERROR(GETPIVOTDATA("Sum of "&amp;AC$9,'PT-All'!$A$1,"Scenario",AC$12,"P&amp;L Item",$B103)/AC$29,0),"0.00%"))</f>
        <v>0</v>
      </c>
      <c r="AD103" s="65">
        <f>CHOOSE(PLColumn,IFERROR(GETPIVOTDATA("Sum of "&amp;AD$9,'PT-All'!$A$1,"Scenario",AD$12,"P&amp;L Item",$B103),0),IFERROR(GETPIVOTDATA("Sum of "&amp;AD$9,'PT-All'!$A$1,"Scenario",AD$12,"P&amp;L Item",$B103)/AD$201,0),TEXT(IFERROR(GETPIVOTDATA("Sum of "&amp;AD$9,'PT-All'!$A$1,"Scenario",AD$12,"P&amp;L Item",$B103)/AD$29,0),"0.00%"))</f>
        <v>0</v>
      </c>
      <c r="AE103" s="65">
        <f>CHOOSE(PLColumn,IFERROR(GETPIVOTDATA("Sum of "&amp;AE$9,'PT-All'!$A$1,"Scenario",AE$12,"P&amp;L Item",$B103),0),IFERROR(GETPIVOTDATA("Sum of "&amp;AE$9,'PT-All'!$A$1,"Scenario",AE$12,"P&amp;L Item",$B103)/AE$201,0),TEXT(IFERROR(GETPIVOTDATA("Sum of "&amp;AE$9,'PT-All'!$A$1,"Scenario",AE$12,"P&amp;L Item",$B103)/AE$29,0),"0.00%"))</f>
        <v>0</v>
      </c>
      <c r="AF103" s="65">
        <f>CHOOSE(PLColumn,IFERROR(GETPIVOTDATA("Sum of "&amp;AF$9,'PT-All'!$A$1,"Scenario",AF$12,"P&amp;L Item",$B103),0),IFERROR(GETPIVOTDATA("Sum of "&amp;AF$9,'PT-All'!$A$1,"Scenario",AF$12,"P&amp;L Item",$B103)/AF$201,0),TEXT(IFERROR(GETPIVOTDATA("Sum of "&amp;AF$9,'PT-All'!$A$1,"Scenario",AF$12,"P&amp;L Item",$B103)/AF$29,0),"0.00%"))</f>
        <v>0</v>
      </c>
      <c r="AG103" s="65">
        <f>CHOOSE(PLColumn,IFERROR(GETPIVOTDATA("Sum of "&amp;AG$9,'PT-All'!$A$1,"Scenario",AG$12,"P&amp;L Item",$B103),0),IFERROR(GETPIVOTDATA("Sum of "&amp;AG$9,'PT-All'!$A$1,"Scenario",AG$12,"P&amp;L Item",$B103)/AG$201,0),TEXT(IFERROR(GETPIVOTDATA("Sum of "&amp;AG$9,'PT-All'!$A$1,"Scenario",AG$12,"P&amp;L Item",$B103)/AG$29,0),"0.00%"))</f>
        <v>0</v>
      </c>
      <c r="AH103" s="65">
        <f>CHOOSE(PLColumn,IFERROR(GETPIVOTDATA("Sum of "&amp;AH$9,'PT-All'!$A$1,"Scenario",AH$12,"P&amp;L Item",$B103),0),IFERROR(GETPIVOTDATA("Sum of "&amp;AH$9,'PT-All'!$A$1,"Scenario",AH$12,"P&amp;L Item",$B103)/AH$201,0),TEXT(IFERROR(GETPIVOTDATA("Sum of "&amp;AH$9,'PT-All'!$A$1,"Scenario",AH$12,"P&amp;L Item",$B103)/AH$29,0),"0.00%"))</f>
        <v>0</v>
      </c>
      <c r="AI103" s="65">
        <f>CHOOSE(PLColumn,IFERROR(GETPIVOTDATA("Sum of "&amp;AI$9,'PT-All'!$A$1,"Scenario",AI$12,"P&amp;L Item",$B103),0),IFERROR(GETPIVOTDATA("Sum of "&amp;AI$9,'PT-All'!$A$1,"Scenario",AI$12,"P&amp;L Item",$B103)/AI$201,0),TEXT(IFERROR(GETPIVOTDATA("Sum of "&amp;AI$9,'PT-All'!$A$1,"Scenario",AI$12,"P&amp;L Item",$B103)/AI$29,0),"0.00%"))</f>
        <v>0</v>
      </c>
      <c r="AJ103" s="65">
        <f>CHOOSE(PLColumn,IFERROR(GETPIVOTDATA("Sum of "&amp;AJ$9,'PT-All'!$A$1,"Scenario",AJ$12,"P&amp;L Item",$B103),0),IFERROR(GETPIVOTDATA("Sum of "&amp;AJ$9,'PT-All'!$A$1,"Scenario",AJ$12,"P&amp;L Item",$B103)/AJ$201,0),TEXT(IFERROR(GETPIVOTDATA("Sum of "&amp;AJ$9,'PT-All'!$A$1,"Scenario",AJ$12,"P&amp;L Item",$B103)/AJ$29,0),"0.00%"))</f>
        <v>0</v>
      </c>
      <c r="AK103" s="65">
        <f>CHOOSE(PLColumn,IFERROR(GETPIVOTDATA("Sum of "&amp;AK$9,'PT-All'!$A$1,"Scenario",AK$12,"P&amp;L Item",$B103),0),IFERROR(GETPIVOTDATA("Sum of "&amp;AK$9,'PT-All'!$A$1,"Scenario",AK$12,"P&amp;L Item",$B103)/AK$201,0),TEXT(IFERROR(GETPIVOTDATA("Sum of "&amp;AK$9,'PT-All'!$A$1,"Scenario",AK$12,"P&amp;L Item",$B103)/AK$29,0),"0.00%"))</f>
        <v>0</v>
      </c>
      <c r="AL103" s="97">
        <f>CHOOSE(PLColumn,IFERROR(GETPIVOTDATA("Sum of "&amp;AL$9,'PT-All'!$A$1,"Scenario",AL$12,"P&amp;L Item",$B103),0),IFERROR(GETPIVOTDATA("Sum of "&amp;AL$9,'PT-All'!$A$1,"Scenario",AL$12,"P&amp;L Item",$B103)/AL$201,0),TEXT(IFERROR(GETPIVOTDATA("Sum of "&amp;AL$9,'PT-All'!$A$1,"Scenario",AL$12,"P&amp;L Item",$B103)/AL$29,0),"0.00%"))</f>
        <v>0</v>
      </c>
      <c r="AM103" s="590"/>
      <c r="AN103" s="108">
        <f ca="1">IF(AN$12="Pro Forma",SUM(OFFSET($B103,0,3*AN$9+1,1,3)),IFERROR(GETPIVOTDATA("Sum of Q"&amp;AN$9+1,'PT-All'!$A$1,"Scenario",AN$12,"P&amp;L Item",$B103),0))</f>
        <v>0</v>
      </c>
      <c r="AO103" s="65">
        <f ca="1">IF(AO$12="Pro Forma",SUM(OFFSET($B103,0,3*AO$9+1,1,3)),IFERROR(GETPIVOTDATA("Sum of Q"&amp;AO$9+1,'PT-All'!$A$1,"Scenario",AO$12,"P&amp;L Item",$B103),0))</f>
        <v>0</v>
      </c>
      <c r="AP103" s="65">
        <f ca="1">IF(AP$12="Pro Forma",SUM(OFFSET($B103,0,3*AP$9+1,1,3)),IFERROR(GETPIVOTDATA("Sum of Q"&amp;AP$9+1,'PT-All'!$A$1,"Scenario",AP$12,"P&amp;L Item",$B103),0))</f>
        <v>0</v>
      </c>
      <c r="AQ103" s="65">
        <f ca="1">IF(AQ$12="Pro Forma",SUM(OFFSET($B103,0,3*AQ$9+1,1,3)),IFERROR(GETPIVOTDATA("Sum of Q"&amp;AQ$9+1,'PT-All'!$A$1,"Scenario",AQ$12,"P&amp;L Item",$B103),0))</f>
        <v>0</v>
      </c>
      <c r="AR103" s="65">
        <f ca="1">IF(AR$12="Pro Forma",SUM(OFFSET($B103,0,3*AR$9+1,1,3)),IFERROR(GETPIVOTDATA("Sum of Q"&amp;AR$9+1,'PT-All'!$A$1,"Scenario",AR$12,"P&amp;L Item",$B103),0))</f>
        <v>0</v>
      </c>
      <c r="AS103" s="65">
        <f ca="1">IF(AS$12="Pro Forma",SUM(OFFSET($B103,0,3*AS$9+1,1,3)),IFERROR(GETPIVOTDATA("Sum of Q"&amp;AS$9+1,'PT-All'!$A$1,"Scenario",AS$12,"P&amp;L Item",$B103),0))</f>
        <v>0</v>
      </c>
      <c r="AT103" s="65">
        <f ca="1">IF(AT$12="Pro Forma",SUM(OFFSET($B103,0,3*AT$9+1,1,3)),IFERROR(GETPIVOTDATA("Sum of Q"&amp;AT$9+1,'PT-All'!$A$1,"Scenario",AT$12,"P&amp;L Item",$B103),0))</f>
        <v>0</v>
      </c>
      <c r="AU103" s="65">
        <f ca="1">IF(AU$12="Pro Forma",SUM(OFFSET($B103,0,3*AU$9+1,1,3)),IFERROR(GETPIVOTDATA("Sum of Q"&amp;AU$9+1,'PT-All'!$A$1,"Scenario",AU$12,"P&amp;L Item",$B103),0))</f>
        <v>0</v>
      </c>
      <c r="AV103" s="65">
        <f ca="1">IF(AV$12="Pro Forma",SUM(OFFSET($B103,0,3*AV$9+1,1,3)),IFERROR(GETPIVOTDATA("Sum of Q"&amp;AV$9+1,'PT-All'!$A$1,"Scenario",AV$12,"P&amp;L Item",$B103),0))</f>
        <v>0</v>
      </c>
      <c r="AW103" s="65">
        <f ca="1">IF(AW$12="Pro Forma",SUM(OFFSET($B103,0,3*AW$9+1,1,3)),IFERROR(GETPIVOTDATA("Sum of Q"&amp;AW$9+1,'PT-All'!$A$1,"Scenario",AW$12,"P&amp;L Item",$B103),0))</f>
        <v>0</v>
      </c>
      <c r="AX103" s="65">
        <f ca="1">IF(AX$12="Pro Forma",SUM(OFFSET($B103,0,3*AX$9+1,1,3)),IFERROR(GETPIVOTDATA("Sum of Q"&amp;AX$9+1,'PT-All'!$A$1,"Scenario",AX$12,"P&amp;L Item",$B103),0))</f>
        <v>0</v>
      </c>
      <c r="AY103" s="97">
        <f ca="1">IF(AY$12="Pro Forma",SUM(OFFSET($B103,0,3*AY$9+1,1,3)),IFERROR(GETPIVOTDATA("Sum of Q"&amp;AY$9+1,'PT-All'!$A$1,"Scenario",AY$12,"P&amp;L Item",$B103),0))</f>
        <v>0</v>
      </c>
      <c r="AZ103" s="590"/>
      <c r="BA103" s="108">
        <f ca="1">IF(BA$12="Pro Forma",SUM(OFFSET($B103,0,12*BA$9+1,1,12)),IFERROR(GETPIVOTDATA("Sum of FY"&amp;BA$9+1,'PT-All'!$A$1,"Scenario",BA$12,"P&amp;L Item",$B103),0))</f>
        <v>0</v>
      </c>
      <c r="BB103" s="65">
        <f ca="1">IF(BB$12="Pro Forma",SUM(OFFSET($B103,0,12*BB$9+1,1,12)),IFERROR(GETPIVOTDATA("Sum of FY"&amp;BB$9+1,'PT-All'!$A$1,"Scenario",BB$12,"P&amp;L Item",$B103),0))</f>
        <v>0</v>
      </c>
      <c r="BC103" s="97">
        <f ca="1">IF(BC$12="Pro Forma",SUM(OFFSET($B103,0,12*BC$9+1,1,12)),IFERROR(GETPIVOTDATA("Sum of FY"&amp;BC$9+1,'PT-All'!$A$1,"Scenario",BC$12,"P&amp;L Item",$B103),0))</f>
        <v>0</v>
      </c>
    </row>
    <row r="104" spans="2:55" x14ac:dyDescent="0.35">
      <c r="B104" s="64" t="s">
        <v>136</v>
      </c>
      <c r="C104" s="65">
        <f>CHOOSE(PLColumn,IFERROR(GETPIVOTDATA("Sum of "&amp;C$9,'PT-All'!$A$1,"Scenario",C$12,"P&amp;L Item",$B104),0),IFERROR(GETPIVOTDATA("Sum of "&amp;C$9,'PT-All'!$A$1,"Scenario",C$12,"P&amp;L Item",$B104)/C$201,0),TEXT(IFERROR(GETPIVOTDATA("Sum of "&amp;C$9,'PT-All'!$A$1,"Scenario",C$12,"P&amp;L Item",$B104)/C$29,0),"0.00%"))</f>
        <v>0</v>
      </c>
      <c r="D104" s="65">
        <f>CHOOSE(PLColumn,IFERROR(GETPIVOTDATA("Sum of "&amp;D$9,'PT-All'!$A$1,"Scenario",D$12,"P&amp;L Item",$B104),0),IFERROR(GETPIVOTDATA("Sum of "&amp;D$9,'PT-All'!$A$1,"Scenario",D$12,"P&amp;L Item",$B104)/D$201,0),TEXT(IFERROR(GETPIVOTDATA("Sum of "&amp;D$9,'PT-All'!$A$1,"Scenario",D$12,"P&amp;L Item",$B104)/D$29,0),"0.00%"))</f>
        <v>0</v>
      </c>
      <c r="E104" s="65">
        <f>CHOOSE(PLColumn,IFERROR(GETPIVOTDATA("Sum of "&amp;E$9,'PT-All'!$A$1,"Scenario",E$12,"P&amp;L Item",$B104),0),IFERROR(GETPIVOTDATA("Sum of "&amp;E$9,'PT-All'!$A$1,"Scenario",E$12,"P&amp;L Item",$B104)/E$201,0),TEXT(IFERROR(GETPIVOTDATA("Sum of "&amp;E$9,'PT-All'!$A$1,"Scenario",E$12,"P&amp;L Item",$B104)/E$29,0),"0.00%"))</f>
        <v>0</v>
      </c>
      <c r="F104" s="65">
        <f>CHOOSE(PLColumn,IFERROR(GETPIVOTDATA("Sum of "&amp;F$9,'PT-All'!$A$1,"Scenario",F$12,"P&amp;L Item",$B104),0),IFERROR(GETPIVOTDATA("Sum of "&amp;F$9,'PT-All'!$A$1,"Scenario",F$12,"P&amp;L Item",$B104)/F$201,0),TEXT(IFERROR(GETPIVOTDATA("Sum of "&amp;F$9,'PT-All'!$A$1,"Scenario",F$12,"P&amp;L Item",$B104)/F$29,0),"0.00%"))</f>
        <v>0</v>
      </c>
      <c r="G104" s="65">
        <f>CHOOSE(PLColumn,IFERROR(GETPIVOTDATA("Sum of "&amp;G$9,'PT-All'!$A$1,"Scenario",G$12,"P&amp;L Item",$B104),0),IFERROR(GETPIVOTDATA("Sum of "&amp;G$9,'PT-All'!$A$1,"Scenario",G$12,"P&amp;L Item",$B104)/G$201,0),TEXT(IFERROR(GETPIVOTDATA("Sum of "&amp;G$9,'PT-All'!$A$1,"Scenario",G$12,"P&amp;L Item",$B104)/G$29,0),"0.00%"))</f>
        <v>0</v>
      </c>
      <c r="H104" s="65">
        <f>CHOOSE(PLColumn,IFERROR(GETPIVOTDATA("Sum of "&amp;H$9,'PT-All'!$A$1,"Scenario",H$12,"P&amp;L Item",$B104),0),IFERROR(GETPIVOTDATA("Sum of "&amp;H$9,'PT-All'!$A$1,"Scenario",H$12,"P&amp;L Item",$B104)/H$201,0),TEXT(IFERROR(GETPIVOTDATA("Sum of "&amp;H$9,'PT-All'!$A$1,"Scenario",H$12,"P&amp;L Item",$B104)/H$29,0),"0.00%"))</f>
        <v>0</v>
      </c>
      <c r="I104" s="65">
        <f>CHOOSE(PLColumn,IFERROR(GETPIVOTDATA("Sum of "&amp;I$9,'PT-All'!$A$1,"Scenario",I$12,"P&amp;L Item",$B104),0),IFERROR(GETPIVOTDATA("Sum of "&amp;I$9,'PT-All'!$A$1,"Scenario",I$12,"P&amp;L Item",$B104)/I$201,0),TEXT(IFERROR(GETPIVOTDATA("Sum of "&amp;I$9,'PT-All'!$A$1,"Scenario",I$12,"P&amp;L Item",$B104)/I$29,0),"0.00%"))</f>
        <v>0</v>
      </c>
      <c r="J104" s="65">
        <f>CHOOSE(PLColumn,IFERROR(GETPIVOTDATA("Sum of "&amp;J$9,'PT-All'!$A$1,"Scenario",J$12,"P&amp;L Item",$B104),0),IFERROR(GETPIVOTDATA("Sum of "&amp;J$9,'PT-All'!$A$1,"Scenario",J$12,"P&amp;L Item",$B104)/J$201,0),TEXT(IFERROR(GETPIVOTDATA("Sum of "&amp;J$9,'PT-All'!$A$1,"Scenario",J$12,"P&amp;L Item",$B104)/J$29,0),"0.00%"))</f>
        <v>0</v>
      </c>
      <c r="K104" s="65">
        <f>CHOOSE(PLColumn,IFERROR(GETPIVOTDATA("Sum of "&amp;K$9,'PT-All'!$A$1,"Scenario",K$12,"P&amp;L Item",$B104),0),IFERROR(GETPIVOTDATA("Sum of "&amp;K$9,'PT-All'!$A$1,"Scenario",K$12,"P&amp;L Item",$B104)/K$201,0),TEXT(IFERROR(GETPIVOTDATA("Sum of "&amp;K$9,'PT-All'!$A$1,"Scenario",K$12,"P&amp;L Item",$B104)/K$29,0),"0.00%"))</f>
        <v>0</v>
      </c>
      <c r="L104" s="65">
        <f>CHOOSE(PLColumn,IFERROR(GETPIVOTDATA("Sum of "&amp;L$9,'PT-All'!$A$1,"Scenario",L$12,"P&amp;L Item",$B104),0),IFERROR(GETPIVOTDATA("Sum of "&amp;L$9,'PT-All'!$A$1,"Scenario",L$12,"P&amp;L Item",$B104)/L$201,0),TEXT(IFERROR(GETPIVOTDATA("Sum of "&amp;L$9,'PT-All'!$A$1,"Scenario",L$12,"P&amp;L Item",$B104)/L$29,0),"0.00%"))</f>
        <v>0</v>
      </c>
      <c r="M104" s="65">
        <f>CHOOSE(PLColumn,IFERROR(GETPIVOTDATA("Sum of "&amp;M$9,'PT-All'!$A$1,"Scenario",M$12,"P&amp;L Item",$B104),0),IFERROR(GETPIVOTDATA("Sum of "&amp;M$9,'PT-All'!$A$1,"Scenario",M$12,"P&amp;L Item",$B104)/M$201,0),TEXT(IFERROR(GETPIVOTDATA("Sum of "&amp;M$9,'PT-All'!$A$1,"Scenario",M$12,"P&amp;L Item",$B104)/M$29,0),"0.00%"))</f>
        <v>0</v>
      </c>
      <c r="N104" s="65">
        <f>CHOOSE(PLColumn,IFERROR(GETPIVOTDATA("Sum of "&amp;N$9,'PT-All'!$A$1,"Scenario",N$12,"P&amp;L Item",$B104),0),IFERROR(GETPIVOTDATA("Sum of "&amp;N$9,'PT-All'!$A$1,"Scenario",N$12,"P&amp;L Item",$B104)/N$201,0),TEXT(IFERROR(GETPIVOTDATA("Sum of "&amp;N$9,'PT-All'!$A$1,"Scenario",N$12,"P&amp;L Item",$B104)/N$29,0),"0.00%"))</f>
        <v>0</v>
      </c>
      <c r="O104" s="65">
        <f>CHOOSE(PLColumn,IFERROR(GETPIVOTDATA("Sum of "&amp;O$9,'PT-All'!$A$1,"Scenario",O$12,"P&amp;L Item",$B104),0),IFERROR(GETPIVOTDATA("Sum of "&amp;O$9,'PT-All'!$A$1,"Scenario",O$12,"P&amp;L Item",$B104)/O$201,0),TEXT(IFERROR(GETPIVOTDATA("Sum of "&amp;O$9,'PT-All'!$A$1,"Scenario",O$12,"P&amp;L Item",$B104)/O$29,0),"0.00%"))</f>
        <v>0</v>
      </c>
      <c r="P104" s="65">
        <f>CHOOSE(PLColumn,IFERROR(GETPIVOTDATA("Sum of "&amp;P$9,'PT-All'!$A$1,"Scenario",P$12,"P&amp;L Item",$B104),0),IFERROR(GETPIVOTDATA("Sum of "&amp;P$9,'PT-All'!$A$1,"Scenario",P$12,"P&amp;L Item",$B104)/P$201,0),TEXT(IFERROR(GETPIVOTDATA("Sum of "&amp;P$9,'PT-All'!$A$1,"Scenario",P$12,"P&amp;L Item",$B104)/P$29,0),"0.00%"))</f>
        <v>0</v>
      </c>
      <c r="Q104" s="65">
        <f>CHOOSE(PLColumn,IFERROR(GETPIVOTDATA("Sum of "&amp;Q$9,'PT-All'!$A$1,"Scenario",Q$12,"P&amp;L Item",$B104),0),IFERROR(GETPIVOTDATA("Sum of "&amp;Q$9,'PT-All'!$A$1,"Scenario",Q$12,"P&amp;L Item",$B104)/Q$201,0),TEXT(IFERROR(GETPIVOTDATA("Sum of "&amp;Q$9,'PT-All'!$A$1,"Scenario",Q$12,"P&amp;L Item",$B104)/Q$29,0),"0.00%"))</f>
        <v>0</v>
      </c>
      <c r="R104" s="65">
        <f>CHOOSE(PLColumn,IFERROR(GETPIVOTDATA("Sum of "&amp;R$9,'PT-All'!$A$1,"Scenario",R$12,"P&amp;L Item",$B104),0),IFERROR(GETPIVOTDATA("Sum of "&amp;R$9,'PT-All'!$A$1,"Scenario",R$12,"P&amp;L Item",$B104)/R$201,0),TEXT(IFERROR(GETPIVOTDATA("Sum of "&amp;R$9,'PT-All'!$A$1,"Scenario",R$12,"P&amp;L Item",$B104)/R$29,0),"0.00%"))</f>
        <v>0</v>
      </c>
      <c r="S104" s="65">
        <f>CHOOSE(PLColumn,IFERROR(GETPIVOTDATA("Sum of "&amp;S$9,'PT-All'!$A$1,"Scenario",S$12,"P&amp;L Item",$B104),0),IFERROR(GETPIVOTDATA("Sum of "&amp;S$9,'PT-All'!$A$1,"Scenario",S$12,"P&amp;L Item",$B104)/S$201,0),TEXT(IFERROR(GETPIVOTDATA("Sum of "&amp;S$9,'PT-All'!$A$1,"Scenario",S$12,"P&amp;L Item",$B104)/S$29,0),"0.00%"))</f>
        <v>0</v>
      </c>
      <c r="T104" s="65">
        <f>CHOOSE(PLColumn,IFERROR(GETPIVOTDATA("Sum of "&amp;T$9,'PT-All'!$A$1,"Scenario",T$12,"P&amp;L Item",$B104),0),IFERROR(GETPIVOTDATA("Sum of "&amp;T$9,'PT-All'!$A$1,"Scenario",T$12,"P&amp;L Item",$B104)/T$201,0),TEXT(IFERROR(GETPIVOTDATA("Sum of "&amp;T$9,'PT-All'!$A$1,"Scenario",T$12,"P&amp;L Item",$B104)/T$29,0),"0.00%"))</f>
        <v>0</v>
      </c>
      <c r="U104" s="65">
        <f>CHOOSE(PLColumn,IFERROR(GETPIVOTDATA("Sum of "&amp;U$9,'PT-All'!$A$1,"Scenario",U$12,"P&amp;L Item",$B104),0),IFERROR(GETPIVOTDATA("Sum of "&amp;U$9,'PT-All'!$A$1,"Scenario",U$12,"P&amp;L Item",$B104)/U$201,0),TEXT(IFERROR(GETPIVOTDATA("Sum of "&amp;U$9,'PT-All'!$A$1,"Scenario",U$12,"P&amp;L Item",$B104)/U$29,0),"0.00%"))</f>
        <v>0</v>
      </c>
      <c r="V104" s="65">
        <f>CHOOSE(PLColumn,IFERROR(GETPIVOTDATA("Sum of "&amp;V$9,'PT-All'!$A$1,"Scenario",V$12,"P&amp;L Item",$B104),0),IFERROR(GETPIVOTDATA("Sum of "&amp;V$9,'PT-All'!$A$1,"Scenario",V$12,"P&amp;L Item",$B104)/V$201,0),TEXT(IFERROR(GETPIVOTDATA("Sum of "&amp;V$9,'PT-All'!$A$1,"Scenario",V$12,"P&amp;L Item",$B104)/V$29,0),"0.00%"))</f>
        <v>0</v>
      </c>
      <c r="W104" s="65">
        <f>CHOOSE(PLColumn,IFERROR(GETPIVOTDATA("Sum of "&amp;W$9,'PT-All'!$A$1,"Scenario",W$12,"P&amp;L Item",$B104),0),IFERROR(GETPIVOTDATA("Sum of "&amp;W$9,'PT-All'!$A$1,"Scenario",W$12,"P&amp;L Item",$B104)/W$201,0),TEXT(IFERROR(GETPIVOTDATA("Sum of "&amp;W$9,'PT-All'!$A$1,"Scenario",W$12,"P&amp;L Item",$B104)/W$29,0),"0.00%"))</f>
        <v>0</v>
      </c>
      <c r="X104" s="65">
        <f>CHOOSE(PLColumn,IFERROR(GETPIVOTDATA("Sum of "&amp;X$9,'PT-All'!$A$1,"Scenario",X$12,"P&amp;L Item",$B104),0),IFERROR(GETPIVOTDATA("Sum of "&amp;X$9,'PT-All'!$A$1,"Scenario",X$12,"P&amp;L Item",$B104)/X$201,0),TEXT(IFERROR(GETPIVOTDATA("Sum of "&amp;X$9,'PT-All'!$A$1,"Scenario",X$12,"P&amp;L Item",$B104)/X$29,0),"0.00%"))</f>
        <v>0</v>
      </c>
      <c r="Y104" s="65">
        <f>CHOOSE(PLColumn,IFERROR(GETPIVOTDATA("Sum of "&amp;Y$9,'PT-All'!$A$1,"Scenario",Y$12,"P&amp;L Item",$B104),0),IFERROR(GETPIVOTDATA("Sum of "&amp;Y$9,'PT-All'!$A$1,"Scenario",Y$12,"P&amp;L Item",$B104)/Y$201,0),TEXT(IFERROR(GETPIVOTDATA("Sum of "&amp;Y$9,'PT-All'!$A$1,"Scenario",Y$12,"P&amp;L Item",$B104)/Y$29,0),"0.00%"))</f>
        <v>0</v>
      </c>
      <c r="Z104" s="65">
        <f>CHOOSE(PLColumn,IFERROR(GETPIVOTDATA("Sum of "&amp;Z$9,'PT-All'!$A$1,"Scenario",Z$12,"P&amp;L Item",$B104),0),IFERROR(GETPIVOTDATA("Sum of "&amp;Z$9,'PT-All'!$A$1,"Scenario",Z$12,"P&amp;L Item",$B104)/Z$201,0),TEXT(IFERROR(GETPIVOTDATA("Sum of "&amp;Z$9,'PT-All'!$A$1,"Scenario",Z$12,"P&amp;L Item",$B104)/Z$29,0),"0.00%"))</f>
        <v>0</v>
      </c>
      <c r="AA104" s="65">
        <f>CHOOSE(PLColumn,IFERROR(GETPIVOTDATA("Sum of "&amp;AA$9,'PT-All'!$A$1,"Scenario",AA$12,"P&amp;L Item",$B104),0),IFERROR(GETPIVOTDATA("Sum of "&amp;AA$9,'PT-All'!$A$1,"Scenario",AA$12,"P&amp;L Item",$B104)/AA$201,0),TEXT(IFERROR(GETPIVOTDATA("Sum of "&amp;AA$9,'PT-All'!$A$1,"Scenario",AA$12,"P&amp;L Item",$B104)/AA$29,0),"0.00%"))</f>
        <v>0</v>
      </c>
      <c r="AB104" s="65">
        <f>CHOOSE(PLColumn,IFERROR(GETPIVOTDATA("Sum of "&amp;AB$9,'PT-All'!$A$1,"Scenario",AB$12,"P&amp;L Item",$B104),0),IFERROR(GETPIVOTDATA("Sum of "&amp;AB$9,'PT-All'!$A$1,"Scenario",AB$12,"P&amp;L Item",$B104)/AB$201,0),TEXT(IFERROR(GETPIVOTDATA("Sum of "&amp;AB$9,'PT-All'!$A$1,"Scenario",AB$12,"P&amp;L Item",$B104)/AB$29,0),"0.00%"))</f>
        <v>0</v>
      </c>
      <c r="AC104" s="65">
        <f>CHOOSE(PLColumn,IFERROR(GETPIVOTDATA("Sum of "&amp;AC$9,'PT-All'!$A$1,"Scenario",AC$12,"P&amp;L Item",$B104),0),IFERROR(GETPIVOTDATA("Sum of "&amp;AC$9,'PT-All'!$A$1,"Scenario",AC$12,"P&amp;L Item",$B104)/AC$201,0),TEXT(IFERROR(GETPIVOTDATA("Sum of "&amp;AC$9,'PT-All'!$A$1,"Scenario",AC$12,"P&amp;L Item",$B104)/AC$29,0),"0.00%"))</f>
        <v>0</v>
      </c>
      <c r="AD104" s="65">
        <f>CHOOSE(PLColumn,IFERROR(GETPIVOTDATA("Sum of "&amp;AD$9,'PT-All'!$A$1,"Scenario",AD$12,"P&amp;L Item",$B104),0),IFERROR(GETPIVOTDATA("Sum of "&amp;AD$9,'PT-All'!$A$1,"Scenario",AD$12,"P&amp;L Item",$B104)/AD$201,0),TEXT(IFERROR(GETPIVOTDATA("Sum of "&amp;AD$9,'PT-All'!$A$1,"Scenario",AD$12,"P&amp;L Item",$B104)/AD$29,0),"0.00%"))</f>
        <v>0</v>
      </c>
      <c r="AE104" s="65">
        <f>CHOOSE(PLColumn,IFERROR(GETPIVOTDATA("Sum of "&amp;AE$9,'PT-All'!$A$1,"Scenario",AE$12,"P&amp;L Item",$B104),0),IFERROR(GETPIVOTDATA("Sum of "&amp;AE$9,'PT-All'!$A$1,"Scenario",AE$12,"P&amp;L Item",$B104)/AE$201,0),TEXT(IFERROR(GETPIVOTDATA("Sum of "&amp;AE$9,'PT-All'!$A$1,"Scenario",AE$12,"P&amp;L Item",$B104)/AE$29,0),"0.00%"))</f>
        <v>0</v>
      </c>
      <c r="AF104" s="65">
        <f>CHOOSE(PLColumn,IFERROR(GETPIVOTDATA("Sum of "&amp;AF$9,'PT-All'!$A$1,"Scenario",AF$12,"P&amp;L Item",$B104),0),IFERROR(GETPIVOTDATA("Sum of "&amp;AF$9,'PT-All'!$A$1,"Scenario",AF$12,"P&amp;L Item",$B104)/AF$201,0),TEXT(IFERROR(GETPIVOTDATA("Sum of "&amp;AF$9,'PT-All'!$A$1,"Scenario",AF$12,"P&amp;L Item",$B104)/AF$29,0),"0.00%"))</f>
        <v>0</v>
      </c>
      <c r="AG104" s="65">
        <f>CHOOSE(PLColumn,IFERROR(GETPIVOTDATA("Sum of "&amp;AG$9,'PT-All'!$A$1,"Scenario",AG$12,"P&amp;L Item",$B104),0),IFERROR(GETPIVOTDATA("Sum of "&amp;AG$9,'PT-All'!$A$1,"Scenario",AG$12,"P&amp;L Item",$B104)/AG$201,0),TEXT(IFERROR(GETPIVOTDATA("Sum of "&amp;AG$9,'PT-All'!$A$1,"Scenario",AG$12,"P&amp;L Item",$B104)/AG$29,0),"0.00%"))</f>
        <v>0</v>
      </c>
      <c r="AH104" s="65">
        <f>CHOOSE(PLColumn,IFERROR(GETPIVOTDATA("Sum of "&amp;AH$9,'PT-All'!$A$1,"Scenario",AH$12,"P&amp;L Item",$B104),0),IFERROR(GETPIVOTDATA("Sum of "&amp;AH$9,'PT-All'!$A$1,"Scenario",AH$12,"P&amp;L Item",$B104)/AH$201,0),TEXT(IFERROR(GETPIVOTDATA("Sum of "&amp;AH$9,'PT-All'!$A$1,"Scenario",AH$12,"P&amp;L Item",$B104)/AH$29,0),"0.00%"))</f>
        <v>0</v>
      </c>
      <c r="AI104" s="65">
        <f>CHOOSE(PLColumn,IFERROR(GETPIVOTDATA("Sum of "&amp;AI$9,'PT-All'!$A$1,"Scenario",AI$12,"P&amp;L Item",$B104),0),IFERROR(GETPIVOTDATA("Sum of "&amp;AI$9,'PT-All'!$A$1,"Scenario",AI$12,"P&amp;L Item",$B104)/AI$201,0),TEXT(IFERROR(GETPIVOTDATA("Sum of "&amp;AI$9,'PT-All'!$A$1,"Scenario",AI$12,"P&amp;L Item",$B104)/AI$29,0),"0.00%"))</f>
        <v>0</v>
      </c>
      <c r="AJ104" s="65">
        <f>CHOOSE(PLColumn,IFERROR(GETPIVOTDATA("Sum of "&amp;AJ$9,'PT-All'!$A$1,"Scenario",AJ$12,"P&amp;L Item",$B104),0),IFERROR(GETPIVOTDATA("Sum of "&amp;AJ$9,'PT-All'!$A$1,"Scenario",AJ$12,"P&amp;L Item",$B104)/AJ$201,0),TEXT(IFERROR(GETPIVOTDATA("Sum of "&amp;AJ$9,'PT-All'!$A$1,"Scenario",AJ$12,"P&amp;L Item",$B104)/AJ$29,0),"0.00%"))</f>
        <v>0</v>
      </c>
      <c r="AK104" s="65">
        <f>CHOOSE(PLColumn,IFERROR(GETPIVOTDATA("Sum of "&amp;AK$9,'PT-All'!$A$1,"Scenario",AK$12,"P&amp;L Item",$B104),0),IFERROR(GETPIVOTDATA("Sum of "&amp;AK$9,'PT-All'!$A$1,"Scenario",AK$12,"P&amp;L Item",$B104)/AK$201,0),TEXT(IFERROR(GETPIVOTDATA("Sum of "&amp;AK$9,'PT-All'!$A$1,"Scenario",AK$12,"P&amp;L Item",$B104)/AK$29,0),"0.00%"))</f>
        <v>0</v>
      </c>
      <c r="AL104" s="97">
        <f>CHOOSE(PLColumn,IFERROR(GETPIVOTDATA("Sum of "&amp;AL$9,'PT-All'!$A$1,"Scenario",AL$12,"P&amp;L Item",$B104),0),IFERROR(GETPIVOTDATA("Sum of "&amp;AL$9,'PT-All'!$A$1,"Scenario",AL$12,"P&amp;L Item",$B104)/AL$201,0),TEXT(IFERROR(GETPIVOTDATA("Sum of "&amp;AL$9,'PT-All'!$A$1,"Scenario",AL$12,"P&amp;L Item",$B104)/AL$29,0),"0.00%"))</f>
        <v>0</v>
      </c>
      <c r="AM104" s="590"/>
      <c r="AN104" s="108">
        <f ca="1">IF(AN$12="Pro Forma",SUM(OFFSET($B104,0,3*AN$9+1,1,3)),IFERROR(GETPIVOTDATA("Sum of Q"&amp;AN$9+1,'PT-All'!$A$1,"Scenario",AN$12,"P&amp;L Item",$B104),0))</f>
        <v>0</v>
      </c>
      <c r="AO104" s="65">
        <f ca="1">IF(AO$12="Pro Forma",SUM(OFFSET($B104,0,3*AO$9+1,1,3)),IFERROR(GETPIVOTDATA("Sum of Q"&amp;AO$9+1,'PT-All'!$A$1,"Scenario",AO$12,"P&amp;L Item",$B104),0))</f>
        <v>0</v>
      </c>
      <c r="AP104" s="65">
        <f ca="1">IF(AP$12="Pro Forma",SUM(OFFSET($B104,0,3*AP$9+1,1,3)),IFERROR(GETPIVOTDATA("Sum of Q"&amp;AP$9+1,'PT-All'!$A$1,"Scenario",AP$12,"P&amp;L Item",$B104),0))</f>
        <v>0</v>
      </c>
      <c r="AQ104" s="65">
        <f ca="1">IF(AQ$12="Pro Forma",SUM(OFFSET($B104,0,3*AQ$9+1,1,3)),IFERROR(GETPIVOTDATA("Sum of Q"&amp;AQ$9+1,'PT-All'!$A$1,"Scenario",AQ$12,"P&amp;L Item",$B104),0))</f>
        <v>0</v>
      </c>
      <c r="AR104" s="65">
        <f ca="1">IF(AR$12="Pro Forma",SUM(OFFSET($B104,0,3*AR$9+1,1,3)),IFERROR(GETPIVOTDATA("Sum of Q"&amp;AR$9+1,'PT-All'!$A$1,"Scenario",AR$12,"P&amp;L Item",$B104),0))</f>
        <v>0</v>
      </c>
      <c r="AS104" s="65">
        <f ca="1">IF(AS$12="Pro Forma",SUM(OFFSET($B104,0,3*AS$9+1,1,3)),IFERROR(GETPIVOTDATA("Sum of Q"&amp;AS$9+1,'PT-All'!$A$1,"Scenario",AS$12,"P&amp;L Item",$B104),0))</f>
        <v>0</v>
      </c>
      <c r="AT104" s="65">
        <f ca="1">IF(AT$12="Pro Forma",SUM(OFFSET($B104,0,3*AT$9+1,1,3)),IFERROR(GETPIVOTDATA("Sum of Q"&amp;AT$9+1,'PT-All'!$A$1,"Scenario",AT$12,"P&amp;L Item",$B104),0))</f>
        <v>0</v>
      </c>
      <c r="AU104" s="65">
        <f ca="1">IF(AU$12="Pro Forma",SUM(OFFSET($B104,0,3*AU$9+1,1,3)),IFERROR(GETPIVOTDATA("Sum of Q"&amp;AU$9+1,'PT-All'!$A$1,"Scenario",AU$12,"P&amp;L Item",$B104),0))</f>
        <v>0</v>
      </c>
      <c r="AV104" s="65">
        <f ca="1">IF(AV$12="Pro Forma",SUM(OFFSET($B104,0,3*AV$9+1,1,3)),IFERROR(GETPIVOTDATA("Sum of Q"&amp;AV$9+1,'PT-All'!$A$1,"Scenario",AV$12,"P&amp;L Item",$B104),0))</f>
        <v>0</v>
      </c>
      <c r="AW104" s="65">
        <f ca="1">IF(AW$12="Pro Forma",SUM(OFFSET($B104,0,3*AW$9+1,1,3)),IFERROR(GETPIVOTDATA("Sum of Q"&amp;AW$9+1,'PT-All'!$A$1,"Scenario",AW$12,"P&amp;L Item",$B104),0))</f>
        <v>0</v>
      </c>
      <c r="AX104" s="65">
        <f ca="1">IF(AX$12="Pro Forma",SUM(OFFSET($B104,0,3*AX$9+1,1,3)),IFERROR(GETPIVOTDATA("Sum of Q"&amp;AX$9+1,'PT-All'!$A$1,"Scenario",AX$12,"P&amp;L Item",$B104),0))</f>
        <v>0</v>
      </c>
      <c r="AY104" s="97">
        <f ca="1">IF(AY$12="Pro Forma",SUM(OFFSET($B104,0,3*AY$9+1,1,3)),IFERROR(GETPIVOTDATA("Sum of Q"&amp;AY$9+1,'PT-All'!$A$1,"Scenario",AY$12,"P&amp;L Item",$B104),0))</f>
        <v>0</v>
      </c>
      <c r="AZ104" s="590"/>
      <c r="BA104" s="108">
        <f ca="1">IF(BA$12="Pro Forma",SUM(OFFSET($B104,0,12*BA$9+1,1,12)),IFERROR(GETPIVOTDATA("Sum of FY"&amp;BA$9+1,'PT-All'!$A$1,"Scenario",BA$12,"P&amp;L Item",$B104),0))</f>
        <v>0</v>
      </c>
      <c r="BB104" s="65">
        <f ca="1">IF(BB$12="Pro Forma",SUM(OFFSET($B104,0,12*BB$9+1,1,12)),IFERROR(GETPIVOTDATA("Sum of FY"&amp;BB$9+1,'PT-All'!$A$1,"Scenario",BB$12,"P&amp;L Item",$B104),0))</f>
        <v>0</v>
      </c>
      <c r="BC104" s="97">
        <f ca="1">IF(BC$12="Pro Forma",SUM(OFFSET($B104,0,12*BC$9+1,1,12)),IFERROR(GETPIVOTDATA("Sum of FY"&amp;BC$9+1,'PT-All'!$A$1,"Scenario",BC$12,"P&amp;L Item",$B104),0))</f>
        <v>0</v>
      </c>
    </row>
    <row r="105" spans="2:55" x14ac:dyDescent="0.35">
      <c r="B105" s="64" t="s">
        <v>137</v>
      </c>
      <c r="C105" s="65">
        <f>CHOOSE(PLColumn,IFERROR(GETPIVOTDATA("Sum of "&amp;C$9,'PT-All'!$A$1,"Scenario",C$12,"P&amp;L Item",$B105),0),IFERROR(GETPIVOTDATA("Sum of "&amp;C$9,'PT-All'!$A$1,"Scenario",C$12,"P&amp;L Item",$B105)/C$201,0),TEXT(IFERROR(GETPIVOTDATA("Sum of "&amp;C$9,'PT-All'!$A$1,"Scenario",C$12,"P&amp;L Item",$B105)/C$29,0),"0.00%"))</f>
        <v>0</v>
      </c>
      <c r="D105" s="65">
        <f>CHOOSE(PLColumn,IFERROR(GETPIVOTDATA("Sum of "&amp;D$9,'PT-All'!$A$1,"Scenario",D$12,"P&amp;L Item",$B105),0),IFERROR(GETPIVOTDATA("Sum of "&amp;D$9,'PT-All'!$A$1,"Scenario",D$12,"P&amp;L Item",$B105)/D$201,0),TEXT(IFERROR(GETPIVOTDATA("Sum of "&amp;D$9,'PT-All'!$A$1,"Scenario",D$12,"P&amp;L Item",$B105)/D$29,0),"0.00%"))</f>
        <v>0</v>
      </c>
      <c r="E105" s="65">
        <f>CHOOSE(PLColumn,IFERROR(GETPIVOTDATA("Sum of "&amp;E$9,'PT-All'!$A$1,"Scenario",E$12,"P&amp;L Item",$B105),0),IFERROR(GETPIVOTDATA("Sum of "&amp;E$9,'PT-All'!$A$1,"Scenario",E$12,"P&amp;L Item",$B105)/E$201,0),TEXT(IFERROR(GETPIVOTDATA("Sum of "&amp;E$9,'PT-All'!$A$1,"Scenario",E$12,"P&amp;L Item",$B105)/E$29,0),"0.00%"))</f>
        <v>0</v>
      </c>
      <c r="F105" s="65">
        <f>CHOOSE(PLColumn,IFERROR(GETPIVOTDATA("Sum of "&amp;F$9,'PT-All'!$A$1,"Scenario",F$12,"P&amp;L Item",$B105),0),IFERROR(GETPIVOTDATA("Sum of "&amp;F$9,'PT-All'!$A$1,"Scenario",F$12,"P&amp;L Item",$B105)/F$201,0),TEXT(IFERROR(GETPIVOTDATA("Sum of "&amp;F$9,'PT-All'!$A$1,"Scenario",F$12,"P&amp;L Item",$B105)/F$29,0),"0.00%"))</f>
        <v>0</v>
      </c>
      <c r="G105" s="65">
        <f>CHOOSE(PLColumn,IFERROR(GETPIVOTDATA("Sum of "&amp;G$9,'PT-All'!$A$1,"Scenario",G$12,"P&amp;L Item",$B105),0),IFERROR(GETPIVOTDATA("Sum of "&amp;G$9,'PT-All'!$A$1,"Scenario",G$12,"P&amp;L Item",$B105)/G$201,0),TEXT(IFERROR(GETPIVOTDATA("Sum of "&amp;G$9,'PT-All'!$A$1,"Scenario",G$12,"P&amp;L Item",$B105)/G$29,0),"0.00%"))</f>
        <v>0</v>
      </c>
      <c r="H105" s="65">
        <f>CHOOSE(PLColumn,IFERROR(GETPIVOTDATA("Sum of "&amp;H$9,'PT-All'!$A$1,"Scenario",H$12,"P&amp;L Item",$B105),0),IFERROR(GETPIVOTDATA("Sum of "&amp;H$9,'PT-All'!$A$1,"Scenario",H$12,"P&amp;L Item",$B105)/H$201,0),TEXT(IFERROR(GETPIVOTDATA("Sum of "&amp;H$9,'PT-All'!$A$1,"Scenario",H$12,"P&amp;L Item",$B105)/H$29,0),"0.00%"))</f>
        <v>0</v>
      </c>
      <c r="I105" s="65">
        <f>CHOOSE(PLColumn,IFERROR(GETPIVOTDATA("Sum of "&amp;I$9,'PT-All'!$A$1,"Scenario",I$12,"P&amp;L Item",$B105),0),IFERROR(GETPIVOTDATA("Sum of "&amp;I$9,'PT-All'!$A$1,"Scenario",I$12,"P&amp;L Item",$B105)/I$201,0),TEXT(IFERROR(GETPIVOTDATA("Sum of "&amp;I$9,'PT-All'!$A$1,"Scenario",I$12,"P&amp;L Item",$B105)/I$29,0),"0.00%"))</f>
        <v>0</v>
      </c>
      <c r="J105" s="65">
        <f>CHOOSE(PLColumn,IFERROR(GETPIVOTDATA("Sum of "&amp;J$9,'PT-All'!$A$1,"Scenario",J$12,"P&amp;L Item",$B105),0),IFERROR(GETPIVOTDATA("Sum of "&amp;J$9,'PT-All'!$A$1,"Scenario",J$12,"P&amp;L Item",$B105)/J$201,0),TEXT(IFERROR(GETPIVOTDATA("Sum of "&amp;J$9,'PT-All'!$A$1,"Scenario",J$12,"P&amp;L Item",$B105)/J$29,0),"0.00%"))</f>
        <v>0</v>
      </c>
      <c r="K105" s="65">
        <f>CHOOSE(PLColumn,IFERROR(GETPIVOTDATA("Sum of "&amp;K$9,'PT-All'!$A$1,"Scenario",K$12,"P&amp;L Item",$B105),0),IFERROR(GETPIVOTDATA("Sum of "&amp;K$9,'PT-All'!$A$1,"Scenario",K$12,"P&amp;L Item",$B105)/K$201,0),TEXT(IFERROR(GETPIVOTDATA("Sum of "&amp;K$9,'PT-All'!$A$1,"Scenario",K$12,"P&amp;L Item",$B105)/K$29,0),"0.00%"))</f>
        <v>0</v>
      </c>
      <c r="L105" s="65">
        <f>CHOOSE(PLColumn,IFERROR(GETPIVOTDATA("Sum of "&amp;L$9,'PT-All'!$A$1,"Scenario",L$12,"P&amp;L Item",$B105),0),IFERROR(GETPIVOTDATA("Sum of "&amp;L$9,'PT-All'!$A$1,"Scenario",L$12,"P&amp;L Item",$B105)/L$201,0),TEXT(IFERROR(GETPIVOTDATA("Sum of "&amp;L$9,'PT-All'!$A$1,"Scenario",L$12,"P&amp;L Item",$B105)/L$29,0),"0.00%"))</f>
        <v>0</v>
      </c>
      <c r="M105" s="65">
        <f>CHOOSE(PLColumn,IFERROR(GETPIVOTDATA("Sum of "&amp;M$9,'PT-All'!$A$1,"Scenario",M$12,"P&amp;L Item",$B105),0),IFERROR(GETPIVOTDATA("Sum of "&amp;M$9,'PT-All'!$A$1,"Scenario",M$12,"P&amp;L Item",$B105)/M$201,0),TEXT(IFERROR(GETPIVOTDATA("Sum of "&amp;M$9,'PT-All'!$A$1,"Scenario",M$12,"P&amp;L Item",$B105)/M$29,0),"0.00%"))</f>
        <v>0</v>
      </c>
      <c r="N105" s="65">
        <f>CHOOSE(PLColumn,IFERROR(GETPIVOTDATA("Sum of "&amp;N$9,'PT-All'!$A$1,"Scenario",N$12,"P&amp;L Item",$B105),0),IFERROR(GETPIVOTDATA("Sum of "&amp;N$9,'PT-All'!$A$1,"Scenario",N$12,"P&amp;L Item",$B105)/N$201,0),TEXT(IFERROR(GETPIVOTDATA("Sum of "&amp;N$9,'PT-All'!$A$1,"Scenario",N$12,"P&amp;L Item",$B105)/N$29,0),"0.00%"))</f>
        <v>0</v>
      </c>
      <c r="O105" s="65">
        <f>CHOOSE(PLColumn,IFERROR(GETPIVOTDATA("Sum of "&amp;O$9,'PT-All'!$A$1,"Scenario",O$12,"P&amp;L Item",$B105),0),IFERROR(GETPIVOTDATA("Sum of "&amp;O$9,'PT-All'!$A$1,"Scenario",O$12,"P&amp;L Item",$B105)/O$201,0),TEXT(IFERROR(GETPIVOTDATA("Sum of "&amp;O$9,'PT-All'!$A$1,"Scenario",O$12,"P&amp;L Item",$B105)/O$29,0),"0.00%"))</f>
        <v>0</v>
      </c>
      <c r="P105" s="65">
        <f>CHOOSE(PLColumn,IFERROR(GETPIVOTDATA("Sum of "&amp;P$9,'PT-All'!$A$1,"Scenario",P$12,"P&amp;L Item",$B105),0),IFERROR(GETPIVOTDATA("Sum of "&amp;P$9,'PT-All'!$A$1,"Scenario",P$12,"P&amp;L Item",$B105)/P$201,0),TEXT(IFERROR(GETPIVOTDATA("Sum of "&amp;P$9,'PT-All'!$A$1,"Scenario",P$12,"P&amp;L Item",$B105)/P$29,0),"0.00%"))</f>
        <v>0</v>
      </c>
      <c r="Q105" s="65">
        <f>CHOOSE(PLColumn,IFERROR(GETPIVOTDATA("Sum of "&amp;Q$9,'PT-All'!$A$1,"Scenario",Q$12,"P&amp;L Item",$B105),0),IFERROR(GETPIVOTDATA("Sum of "&amp;Q$9,'PT-All'!$A$1,"Scenario",Q$12,"P&amp;L Item",$B105)/Q$201,0),TEXT(IFERROR(GETPIVOTDATA("Sum of "&amp;Q$9,'PT-All'!$A$1,"Scenario",Q$12,"P&amp;L Item",$B105)/Q$29,0),"0.00%"))</f>
        <v>0</v>
      </c>
      <c r="R105" s="65">
        <f>CHOOSE(PLColumn,IFERROR(GETPIVOTDATA("Sum of "&amp;R$9,'PT-All'!$A$1,"Scenario",R$12,"P&amp;L Item",$B105),0),IFERROR(GETPIVOTDATA("Sum of "&amp;R$9,'PT-All'!$A$1,"Scenario",R$12,"P&amp;L Item",$B105)/R$201,0),TEXT(IFERROR(GETPIVOTDATA("Sum of "&amp;R$9,'PT-All'!$A$1,"Scenario",R$12,"P&amp;L Item",$B105)/R$29,0),"0.00%"))</f>
        <v>0</v>
      </c>
      <c r="S105" s="65">
        <f>CHOOSE(PLColumn,IFERROR(GETPIVOTDATA("Sum of "&amp;S$9,'PT-All'!$A$1,"Scenario",S$12,"P&amp;L Item",$B105),0),IFERROR(GETPIVOTDATA("Sum of "&amp;S$9,'PT-All'!$A$1,"Scenario",S$12,"P&amp;L Item",$B105)/S$201,0),TEXT(IFERROR(GETPIVOTDATA("Sum of "&amp;S$9,'PT-All'!$A$1,"Scenario",S$12,"P&amp;L Item",$B105)/S$29,0),"0.00%"))</f>
        <v>0</v>
      </c>
      <c r="T105" s="65">
        <f>CHOOSE(PLColumn,IFERROR(GETPIVOTDATA("Sum of "&amp;T$9,'PT-All'!$A$1,"Scenario",T$12,"P&amp;L Item",$B105),0),IFERROR(GETPIVOTDATA("Sum of "&amp;T$9,'PT-All'!$A$1,"Scenario",T$12,"P&amp;L Item",$B105)/T$201,0),TEXT(IFERROR(GETPIVOTDATA("Sum of "&amp;T$9,'PT-All'!$A$1,"Scenario",T$12,"P&amp;L Item",$B105)/T$29,0),"0.00%"))</f>
        <v>0</v>
      </c>
      <c r="U105" s="65">
        <f>CHOOSE(PLColumn,IFERROR(GETPIVOTDATA("Sum of "&amp;U$9,'PT-All'!$A$1,"Scenario",U$12,"P&amp;L Item",$B105),0),IFERROR(GETPIVOTDATA("Sum of "&amp;U$9,'PT-All'!$A$1,"Scenario",U$12,"P&amp;L Item",$B105)/U$201,0),TEXT(IFERROR(GETPIVOTDATA("Sum of "&amp;U$9,'PT-All'!$A$1,"Scenario",U$12,"P&amp;L Item",$B105)/U$29,0),"0.00%"))</f>
        <v>0</v>
      </c>
      <c r="V105" s="65">
        <f>CHOOSE(PLColumn,IFERROR(GETPIVOTDATA("Sum of "&amp;V$9,'PT-All'!$A$1,"Scenario",V$12,"P&amp;L Item",$B105),0),IFERROR(GETPIVOTDATA("Sum of "&amp;V$9,'PT-All'!$A$1,"Scenario",V$12,"P&amp;L Item",$B105)/V$201,0),TEXT(IFERROR(GETPIVOTDATA("Sum of "&amp;V$9,'PT-All'!$A$1,"Scenario",V$12,"P&amp;L Item",$B105)/V$29,0),"0.00%"))</f>
        <v>0</v>
      </c>
      <c r="W105" s="65">
        <f>CHOOSE(PLColumn,IFERROR(GETPIVOTDATA("Sum of "&amp;W$9,'PT-All'!$A$1,"Scenario",W$12,"P&amp;L Item",$B105),0),IFERROR(GETPIVOTDATA("Sum of "&amp;W$9,'PT-All'!$A$1,"Scenario",W$12,"P&amp;L Item",$B105)/W$201,0),TEXT(IFERROR(GETPIVOTDATA("Sum of "&amp;W$9,'PT-All'!$A$1,"Scenario",W$12,"P&amp;L Item",$B105)/W$29,0),"0.00%"))</f>
        <v>0</v>
      </c>
      <c r="X105" s="65">
        <f>CHOOSE(PLColumn,IFERROR(GETPIVOTDATA("Sum of "&amp;X$9,'PT-All'!$A$1,"Scenario",X$12,"P&amp;L Item",$B105),0),IFERROR(GETPIVOTDATA("Sum of "&amp;X$9,'PT-All'!$A$1,"Scenario",X$12,"P&amp;L Item",$B105)/X$201,0),TEXT(IFERROR(GETPIVOTDATA("Sum of "&amp;X$9,'PT-All'!$A$1,"Scenario",X$12,"P&amp;L Item",$B105)/X$29,0),"0.00%"))</f>
        <v>0</v>
      </c>
      <c r="Y105" s="65">
        <f>CHOOSE(PLColumn,IFERROR(GETPIVOTDATA("Sum of "&amp;Y$9,'PT-All'!$A$1,"Scenario",Y$12,"P&amp;L Item",$B105),0),IFERROR(GETPIVOTDATA("Sum of "&amp;Y$9,'PT-All'!$A$1,"Scenario",Y$12,"P&amp;L Item",$B105)/Y$201,0),TEXT(IFERROR(GETPIVOTDATA("Sum of "&amp;Y$9,'PT-All'!$A$1,"Scenario",Y$12,"P&amp;L Item",$B105)/Y$29,0),"0.00%"))</f>
        <v>0</v>
      </c>
      <c r="Z105" s="65">
        <f>CHOOSE(PLColumn,IFERROR(GETPIVOTDATA("Sum of "&amp;Z$9,'PT-All'!$A$1,"Scenario",Z$12,"P&amp;L Item",$B105),0),IFERROR(GETPIVOTDATA("Sum of "&amp;Z$9,'PT-All'!$A$1,"Scenario",Z$12,"P&amp;L Item",$B105)/Z$201,0),TEXT(IFERROR(GETPIVOTDATA("Sum of "&amp;Z$9,'PT-All'!$A$1,"Scenario",Z$12,"P&amp;L Item",$B105)/Z$29,0),"0.00%"))</f>
        <v>0</v>
      </c>
      <c r="AA105" s="65">
        <f>CHOOSE(PLColumn,IFERROR(GETPIVOTDATA("Sum of "&amp;AA$9,'PT-All'!$A$1,"Scenario",AA$12,"P&amp;L Item",$B105),0),IFERROR(GETPIVOTDATA("Sum of "&amp;AA$9,'PT-All'!$A$1,"Scenario",AA$12,"P&amp;L Item",$B105)/AA$201,0),TEXT(IFERROR(GETPIVOTDATA("Sum of "&amp;AA$9,'PT-All'!$A$1,"Scenario",AA$12,"P&amp;L Item",$B105)/AA$29,0),"0.00%"))</f>
        <v>0</v>
      </c>
      <c r="AB105" s="65">
        <f>CHOOSE(PLColumn,IFERROR(GETPIVOTDATA("Sum of "&amp;AB$9,'PT-All'!$A$1,"Scenario",AB$12,"P&amp;L Item",$B105),0),IFERROR(GETPIVOTDATA("Sum of "&amp;AB$9,'PT-All'!$A$1,"Scenario",AB$12,"P&amp;L Item",$B105)/AB$201,0),TEXT(IFERROR(GETPIVOTDATA("Sum of "&amp;AB$9,'PT-All'!$A$1,"Scenario",AB$12,"P&amp;L Item",$B105)/AB$29,0),"0.00%"))</f>
        <v>0</v>
      </c>
      <c r="AC105" s="65">
        <f>CHOOSE(PLColumn,IFERROR(GETPIVOTDATA("Sum of "&amp;AC$9,'PT-All'!$A$1,"Scenario",AC$12,"P&amp;L Item",$B105),0),IFERROR(GETPIVOTDATA("Sum of "&amp;AC$9,'PT-All'!$A$1,"Scenario",AC$12,"P&amp;L Item",$B105)/AC$201,0),TEXT(IFERROR(GETPIVOTDATA("Sum of "&amp;AC$9,'PT-All'!$A$1,"Scenario",AC$12,"P&amp;L Item",$B105)/AC$29,0),"0.00%"))</f>
        <v>0</v>
      </c>
      <c r="AD105" s="65">
        <f>CHOOSE(PLColumn,IFERROR(GETPIVOTDATA("Sum of "&amp;AD$9,'PT-All'!$A$1,"Scenario",AD$12,"P&amp;L Item",$B105),0),IFERROR(GETPIVOTDATA("Sum of "&amp;AD$9,'PT-All'!$A$1,"Scenario",AD$12,"P&amp;L Item",$B105)/AD$201,0),TEXT(IFERROR(GETPIVOTDATA("Sum of "&amp;AD$9,'PT-All'!$A$1,"Scenario",AD$12,"P&amp;L Item",$B105)/AD$29,0),"0.00%"))</f>
        <v>0</v>
      </c>
      <c r="AE105" s="65">
        <f>CHOOSE(PLColumn,IFERROR(GETPIVOTDATA("Sum of "&amp;AE$9,'PT-All'!$A$1,"Scenario",AE$12,"P&amp;L Item",$B105),0),IFERROR(GETPIVOTDATA("Sum of "&amp;AE$9,'PT-All'!$A$1,"Scenario",AE$12,"P&amp;L Item",$B105)/AE$201,0),TEXT(IFERROR(GETPIVOTDATA("Sum of "&amp;AE$9,'PT-All'!$A$1,"Scenario",AE$12,"P&amp;L Item",$B105)/AE$29,0),"0.00%"))</f>
        <v>0</v>
      </c>
      <c r="AF105" s="65">
        <f>CHOOSE(PLColumn,IFERROR(GETPIVOTDATA("Sum of "&amp;AF$9,'PT-All'!$A$1,"Scenario",AF$12,"P&amp;L Item",$B105),0),IFERROR(GETPIVOTDATA("Sum of "&amp;AF$9,'PT-All'!$A$1,"Scenario",AF$12,"P&amp;L Item",$B105)/AF$201,0),TEXT(IFERROR(GETPIVOTDATA("Sum of "&amp;AF$9,'PT-All'!$A$1,"Scenario",AF$12,"P&amp;L Item",$B105)/AF$29,0),"0.00%"))</f>
        <v>0</v>
      </c>
      <c r="AG105" s="65">
        <f>CHOOSE(PLColumn,IFERROR(GETPIVOTDATA("Sum of "&amp;AG$9,'PT-All'!$A$1,"Scenario",AG$12,"P&amp;L Item",$B105),0),IFERROR(GETPIVOTDATA("Sum of "&amp;AG$9,'PT-All'!$A$1,"Scenario",AG$12,"P&amp;L Item",$B105)/AG$201,0),TEXT(IFERROR(GETPIVOTDATA("Sum of "&amp;AG$9,'PT-All'!$A$1,"Scenario",AG$12,"P&amp;L Item",$B105)/AG$29,0),"0.00%"))</f>
        <v>0</v>
      </c>
      <c r="AH105" s="65">
        <f>CHOOSE(PLColumn,IFERROR(GETPIVOTDATA("Sum of "&amp;AH$9,'PT-All'!$A$1,"Scenario",AH$12,"P&amp;L Item",$B105),0),IFERROR(GETPIVOTDATA("Sum of "&amp;AH$9,'PT-All'!$A$1,"Scenario",AH$12,"P&amp;L Item",$B105)/AH$201,0),TEXT(IFERROR(GETPIVOTDATA("Sum of "&amp;AH$9,'PT-All'!$A$1,"Scenario",AH$12,"P&amp;L Item",$B105)/AH$29,0),"0.00%"))</f>
        <v>0</v>
      </c>
      <c r="AI105" s="65">
        <f>CHOOSE(PLColumn,IFERROR(GETPIVOTDATA("Sum of "&amp;AI$9,'PT-All'!$A$1,"Scenario",AI$12,"P&amp;L Item",$B105),0),IFERROR(GETPIVOTDATA("Sum of "&amp;AI$9,'PT-All'!$A$1,"Scenario",AI$12,"P&amp;L Item",$B105)/AI$201,0),TEXT(IFERROR(GETPIVOTDATA("Sum of "&amp;AI$9,'PT-All'!$A$1,"Scenario",AI$12,"P&amp;L Item",$B105)/AI$29,0),"0.00%"))</f>
        <v>0</v>
      </c>
      <c r="AJ105" s="65">
        <f>CHOOSE(PLColumn,IFERROR(GETPIVOTDATA("Sum of "&amp;AJ$9,'PT-All'!$A$1,"Scenario",AJ$12,"P&amp;L Item",$B105),0),IFERROR(GETPIVOTDATA("Sum of "&amp;AJ$9,'PT-All'!$A$1,"Scenario",AJ$12,"P&amp;L Item",$B105)/AJ$201,0),TEXT(IFERROR(GETPIVOTDATA("Sum of "&amp;AJ$9,'PT-All'!$A$1,"Scenario",AJ$12,"P&amp;L Item",$B105)/AJ$29,0),"0.00%"))</f>
        <v>0</v>
      </c>
      <c r="AK105" s="65">
        <f>CHOOSE(PLColumn,IFERROR(GETPIVOTDATA("Sum of "&amp;AK$9,'PT-All'!$A$1,"Scenario",AK$12,"P&amp;L Item",$B105),0),IFERROR(GETPIVOTDATA("Sum of "&amp;AK$9,'PT-All'!$A$1,"Scenario",AK$12,"P&amp;L Item",$B105)/AK$201,0),TEXT(IFERROR(GETPIVOTDATA("Sum of "&amp;AK$9,'PT-All'!$A$1,"Scenario",AK$12,"P&amp;L Item",$B105)/AK$29,0),"0.00%"))</f>
        <v>0</v>
      </c>
      <c r="AL105" s="97">
        <f>CHOOSE(PLColumn,IFERROR(GETPIVOTDATA("Sum of "&amp;AL$9,'PT-All'!$A$1,"Scenario",AL$12,"P&amp;L Item",$B105),0),IFERROR(GETPIVOTDATA("Sum of "&amp;AL$9,'PT-All'!$A$1,"Scenario",AL$12,"P&amp;L Item",$B105)/AL$201,0),TEXT(IFERROR(GETPIVOTDATA("Sum of "&amp;AL$9,'PT-All'!$A$1,"Scenario",AL$12,"P&amp;L Item",$B105)/AL$29,0),"0.00%"))</f>
        <v>0</v>
      </c>
      <c r="AM105" s="590"/>
      <c r="AN105" s="108">
        <f ca="1">IF(AN$12="Pro Forma",SUM(OFFSET($B105,0,3*AN$9+1,1,3)),IFERROR(GETPIVOTDATA("Sum of Q"&amp;AN$9+1,'PT-All'!$A$1,"Scenario",AN$12,"P&amp;L Item",$B105),0))</f>
        <v>0</v>
      </c>
      <c r="AO105" s="65">
        <f ca="1">IF(AO$12="Pro Forma",SUM(OFFSET($B105,0,3*AO$9+1,1,3)),IFERROR(GETPIVOTDATA("Sum of Q"&amp;AO$9+1,'PT-All'!$A$1,"Scenario",AO$12,"P&amp;L Item",$B105),0))</f>
        <v>0</v>
      </c>
      <c r="AP105" s="65">
        <f ca="1">IF(AP$12="Pro Forma",SUM(OFFSET($B105,0,3*AP$9+1,1,3)),IFERROR(GETPIVOTDATA("Sum of Q"&amp;AP$9+1,'PT-All'!$A$1,"Scenario",AP$12,"P&amp;L Item",$B105),0))</f>
        <v>0</v>
      </c>
      <c r="AQ105" s="65">
        <f ca="1">IF(AQ$12="Pro Forma",SUM(OFFSET($B105,0,3*AQ$9+1,1,3)),IFERROR(GETPIVOTDATA("Sum of Q"&amp;AQ$9+1,'PT-All'!$A$1,"Scenario",AQ$12,"P&amp;L Item",$B105),0))</f>
        <v>0</v>
      </c>
      <c r="AR105" s="65">
        <f ca="1">IF(AR$12="Pro Forma",SUM(OFFSET($B105,0,3*AR$9+1,1,3)),IFERROR(GETPIVOTDATA("Sum of Q"&amp;AR$9+1,'PT-All'!$A$1,"Scenario",AR$12,"P&amp;L Item",$B105),0))</f>
        <v>0</v>
      </c>
      <c r="AS105" s="65">
        <f ca="1">IF(AS$12="Pro Forma",SUM(OFFSET($B105,0,3*AS$9+1,1,3)),IFERROR(GETPIVOTDATA("Sum of Q"&amp;AS$9+1,'PT-All'!$A$1,"Scenario",AS$12,"P&amp;L Item",$B105),0))</f>
        <v>0</v>
      </c>
      <c r="AT105" s="65">
        <f ca="1">IF(AT$12="Pro Forma",SUM(OFFSET($B105,0,3*AT$9+1,1,3)),IFERROR(GETPIVOTDATA("Sum of Q"&amp;AT$9+1,'PT-All'!$A$1,"Scenario",AT$12,"P&amp;L Item",$B105),0))</f>
        <v>0</v>
      </c>
      <c r="AU105" s="65">
        <f ca="1">IF(AU$12="Pro Forma",SUM(OFFSET($B105,0,3*AU$9+1,1,3)),IFERROR(GETPIVOTDATA("Sum of Q"&amp;AU$9+1,'PT-All'!$A$1,"Scenario",AU$12,"P&amp;L Item",$B105),0))</f>
        <v>0</v>
      </c>
      <c r="AV105" s="65">
        <f ca="1">IF(AV$12="Pro Forma",SUM(OFFSET($B105,0,3*AV$9+1,1,3)),IFERROR(GETPIVOTDATA("Sum of Q"&amp;AV$9+1,'PT-All'!$A$1,"Scenario",AV$12,"P&amp;L Item",$B105),0))</f>
        <v>0</v>
      </c>
      <c r="AW105" s="65">
        <f ca="1">IF(AW$12="Pro Forma",SUM(OFFSET($B105,0,3*AW$9+1,1,3)),IFERROR(GETPIVOTDATA("Sum of Q"&amp;AW$9+1,'PT-All'!$A$1,"Scenario",AW$12,"P&amp;L Item",$B105),0))</f>
        <v>0</v>
      </c>
      <c r="AX105" s="65">
        <f ca="1">IF(AX$12="Pro Forma",SUM(OFFSET($B105,0,3*AX$9+1,1,3)),IFERROR(GETPIVOTDATA("Sum of Q"&amp;AX$9+1,'PT-All'!$A$1,"Scenario",AX$12,"P&amp;L Item",$B105),0))</f>
        <v>0</v>
      </c>
      <c r="AY105" s="97">
        <f ca="1">IF(AY$12="Pro Forma",SUM(OFFSET($B105,0,3*AY$9+1,1,3)),IFERROR(GETPIVOTDATA("Sum of Q"&amp;AY$9+1,'PT-All'!$A$1,"Scenario",AY$12,"P&amp;L Item",$B105),0))</f>
        <v>0</v>
      </c>
      <c r="AZ105" s="590"/>
      <c r="BA105" s="108">
        <f ca="1">IF(BA$12="Pro Forma",SUM(OFFSET($B105,0,12*BA$9+1,1,12)),IFERROR(GETPIVOTDATA("Sum of FY"&amp;BA$9+1,'PT-All'!$A$1,"Scenario",BA$12,"P&amp;L Item",$B105),0))</f>
        <v>0</v>
      </c>
      <c r="BB105" s="65">
        <f ca="1">IF(BB$12="Pro Forma",SUM(OFFSET($B105,0,12*BB$9+1,1,12)),IFERROR(GETPIVOTDATA("Sum of FY"&amp;BB$9+1,'PT-All'!$A$1,"Scenario",BB$12,"P&amp;L Item",$B105),0))</f>
        <v>0</v>
      </c>
      <c r="BC105" s="97">
        <f ca="1">IF(BC$12="Pro Forma",SUM(OFFSET($B105,0,12*BC$9+1,1,12)),IFERROR(GETPIVOTDATA("Sum of FY"&amp;BC$9+1,'PT-All'!$A$1,"Scenario",BC$12,"P&amp;L Item",$B105),0))</f>
        <v>0</v>
      </c>
    </row>
    <row r="106" spans="2:55" ht="15" x14ac:dyDescent="0.4">
      <c r="B106" s="64" t="s">
        <v>138</v>
      </c>
      <c r="C106" s="66">
        <f>CHOOSE(PLColumn,IFERROR(GETPIVOTDATA("Sum of "&amp;C$9,'PT-All'!$A$1,"Scenario",C$12,"P&amp;L Item",$B106),0),IFERROR(GETPIVOTDATA("Sum of "&amp;C$9,'PT-All'!$A$1,"Scenario",C$12,"P&amp;L Item",$B106)/C$201,0),TEXT(IFERROR(GETPIVOTDATA("Sum of "&amp;C$9,'PT-All'!$A$1,"Scenario",C$12,"P&amp;L Item",$B106)/C$29,0),"0.00%"))</f>
        <v>0</v>
      </c>
      <c r="D106" s="66">
        <f>CHOOSE(PLColumn,IFERROR(GETPIVOTDATA("Sum of "&amp;D$9,'PT-All'!$A$1,"Scenario",D$12,"P&amp;L Item",$B106),0),IFERROR(GETPIVOTDATA("Sum of "&amp;D$9,'PT-All'!$A$1,"Scenario",D$12,"P&amp;L Item",$B106)/D$201,0),TEXT(IFERROR(GETPIVOTDATA("Sum of "&amp;D$9,'PT-All'!$A$1,"Scenario",D$12,"P&amp;L Item",$B106)/D$29,0),"0.00%"))</f>
        <v>0</v>
      </c>
      <c r="E106" s="66">
        <f>CHOOSE(PLColumn,IFERROR(GETPIVOTDATA("Sum of "&amp;E$9,'PT-All'!$A$1,"Scenario",E$12,"P&amp;L Item",$B106),0),IFERROR(GETPIVOTDATA("Sum of "&amp;E$9,'PT-All'!$A$1,"Scenario",E$12,"P&amp;L Item",$B106)/E$201,0),TEXT(IFERROR(GETPIVOTDATA("Sum of "&amp;E$9,'PT-All'!$A$1,"Scenario",E$12,"P&amp;L Item",$B106)/E$29,0),"0.00%"))</f>
        <v>0</v>
      </c>
      <c r="F106" s="66">
        <f>CHOOSE(PLColumn,IFERROR(GETPIVOTDATA("Sum of "&amp;F$9,'PT-All'!$A$1,"Scenario",F$12,"P&amp;L Item",$B106),0),IFERROR(GETPIVOTDATA("Sum of "&amp;F$9,'PT-All'!$A$1,"Scenario",F$12,"P&amp;L Item",$B106)/F$201,0),TEXT(IFERROR(GETPIVOTDATA("Sum of "&amp;F$9,'PT-All'!$A$1,"Scenario",F$12,"P&amp;L Item",$B106)/F$29,0),"0.00%"))</f>
        <v>0</v>
      </c>
      <c r="G106" s="66">
        <f>CHOOSE(PLColumn,IFERROR(GETPIVOTDATA("Sum of "&amp;G$9,'PT-All'!$A$1,"Scenario",G$12,"P&amp;L Item",$B106),0),IFERROR(GETPIVOTDATA("Sum of "&amp;G$9,'PT-All'!$A$1,"Scenario",G$12,"P&amp;L Item",$B106)/G$201,0),TEXT(IFERROR(GETPIVOTDATA("Sum of "&amp;G$9,'PT-All'!$A$1,"Scenario",G$12,"P&amp;L Item",$B106)/G$29,0),"0.00%"))</f>
        <v>0</v>
      </c>
      <c r="H106" s="66">
        <f>CHOOSE(PLColumn,IFERROR(GETPIVOTDATA("Sum of "&amp;H$9,'PT-All'!$A$1,"Scenario",H$12,"P&amp;L Item",$B106),0),IFERROR(GETPIVOTDATA("Sum of "&amp;H$9,'PT-All'!$A$1,"Scenario",H$12,"P&amp;L Item",$B106)/H$201,0),TEXT(IFERROR(GETPIVOTDATA("Sum of "&amp;H$9,'PT-All'!$A$1,"Scenario",H$12,"P&amp;L Item",$B106)/H$29,0),"0.00%"))</f>
        <v>0</v>
      </c>
      <c r="I106" s="66">
        <f>CHOOSE(PLColumn,IFERROR(GETPIVOTDATA("Sum of "&amp;I$9,'PT-All'!$A$1,"Scenario",I$12,"P&amp;L Item",$B106),0),IFERROR(GETPIVOTDATA("Sum of "&amp;I$9,'PT-All'!$A$1,"Scenario",I$12,"P&amp;L Item",$B106)/I$201,0),TEXT(IFERROR(GETPIVOTDATA("Sum of "&amp;I$9,'PT-All'!$A$1,"Scenario",I$12,"P&amp;L Item",$B106)/I$29,0),"0.00%"))</f>
        <v>0</v>
      </c>
      <c r="J106" s="66">
        <f>CHOOSE(PLColumn,IFERROR(GETPIVOTDATA("Sum of "&amp;J$9,'PT-All'!$A$1,"Scenario",J$12,"P&amp;L Item",$B106),0),IFERROR(GETPIVOTDATA("Sum of "&amp;J$9,'PT-All'!$A$1,"Scenario",J$12,"P&amp;L Item",$B106)/J$201,0),TEXT(IFERROR(GETPIVOTDATA("Sum of "&amp;J$9,'PT-All'!$A$1,"Scenario",J$12,"P&amp;L Item",$B106)/J$29,0),"0.00%"))</f>
        <v>0</v>
      </c>
      <c r="K106" s="66">
        <f>CHOOSE(PLColumn,IFERROR(GETPIVOTDATA("Sum of "&amp;K$9,'PT-All'!$A$1,"Scenario",K$12,"P&amp;L Item",$B106),0),IFERROR(GETPIVOTDATA("Sum of "&amp;K$9,'PT-All'!$A$1,"Scenario",K$12,"P&amp;L Item",$B106)/K$201,0),TEXT(IFERROR(GETPIVOTDATA("Sum of "&amp;K$9,'PT-All'!$A$1,"Scenario",K$12,"P&amp;L Item",$B106)/K$29,0),"0.00%"))</f>
        <v>0</v>
      </c>
      <c r="L106" s="66">
        <f>CHOOSE(PLColumn,IFERROR(GETPIVOTDATA("Sum of "&amp;L$9,'PT-All'!$A$1,"Scenario",L$12,"P&amp;L Item",$B106),0),IFERROR(GETPIVOTDATA("Sum of "&amp;L$9,'PT-All'!$A$1,"Scenario",L$12,"P&amp;L Item",$B106)/L$201,0),TEXT(IFERROR(GETPIVOTDATA("Sum of "&amp;L$9,'PT-All'!$A$1,"Scenario",L$12,"P&amp;L Item",$B106)/L$29,0),"0.00%"))</f>
        <v>0</v>
      </c>
      <c r="M106" s="66">
        <f>CHOOSE(PLColumn,IFERROR(GETPIVOTDATA("Sum of "&amp;M$9,'PT-All'!$A$1,"Scenario",M$12,"P&amp;L Item",$B106),0),IFERROR(GETPIVOTDATA("Sum of "&amp;M$9,'PT-All'!$A$1,"Scenario",M$12,"P&amp;L Item",$B106)/M$201,0),TEXT(IFERROR(GETPIVOTDATA("Sum of "&amp;M$9,'PT-All'!$A$1,"Scenario",M$12,"P&amp;L Item",$B106)/M$29,0),"0.00%"))</f>
        <v>0</v>
      </c>
      <c r="N106" s="66">
        <f>CHOOSE(PLColumn,IFERROR(GETPIVOTDATA("Sum of "&amp;N$9,'PT-All'!$A$1,"Scenario",N$12,"P&amp;L Item",$B106),0),IFERROR(GETPIVOTDATA("Sum of "&amp;N$9,'PT-All'!$A$1,"Scenario",N$12,"P&amp;L Item",$B106)/N$201,0),TEXT(IFERROR(GETPIVOTDATA("Sum of "&amp;N$9,'PT-All'!$A$1,"Scenario",N$12,"P&amp;L Item",$B106)/N$29,0),"0.00%"))</f>
        <v>0</v>
      </c>
      <c r="O106" s="66">
        <f>CHOOSE(PLColumn,IFERROR(GETPIVOTDATA("Sum of "&amp;O$9,'PT-All'!$A$1,"Scenario",O$12,"P&amp;L Item",$B106),0),IFERROR(GETPIVOTDATA("Sum of "&amp;O$9,'PT-All'!$A$1,"Scenario",O$12,"P&amp;L Item",$B106)/O$201,0),TEXT(IFERROR(GETPIVOTDATA("Sum of "&amp;O$9,'PT-All'!$A$1,"Scenario",O$12,"P&amp;L Item",$B106)/O$29,0),"0.00%"))</f>
        <v>0</v>
      </c>
      <c r="P106" s="66">
        <f>CHOOSE(PLColumn,IFERROR(GETPIVOTDATA("Sum of "&amp;P$9,'PT-All'!$A$1,"Scenario",P$12,"P&amp;L Item",$B106),0),IFERROR(GETPIVOTDATA("Sum of "&amp;P$9,'PT-All'!$A$1,"Scenario",P$12,"P&amp;L Item",$B106)/P$201,0),TEXT(IFERROR(GETPIVOTDATA("Sum of "&amp;P$9,'PT-All'!$A$1,"Scenario",P$12,"P&amp;L Item",$B106)/P$29,0),"0.00%"))</f>
        <v>0</v>
      </c>
      <c r="Q106" s="66">
        <f>CHOOSE(PLColumn,IFERROR(GETPIVOTDATA("Sum of "&amp;Q$9,'PT-All'!$A$1,"Scenario",Q$12,"P&amp;L Item",$B106),0),IFERROR(GETPIVOTDATA("Sum of "&amp;Q$9,'PT-All'!$A$1,"Scenario",Q$12,"P&amp;L Item",$B106)/Q$201,0),TEXT(IFERROR(GETPIVOTDATA("Sum of "&amp;Q$9,'PT-All'!$A$1,"Scenario",Q$12,"P&amp;L Item",$B106)/Q$29,0),"0.00%"))</f>
        <v>0</v>
      </c>
      <c r="R106" s="66">
        <f>CHOOSE(PLColumn,IFERROR(GETPIVOTDATA("Sum of "&amp;R$9,'PT-All'!$A$1,"Scenario",R$12,"P&amp;L Item",$B106),0),IFERROR(GETPIVOTDATA("Sum of "&amp;R$9,'PT-All'!$A$1,"Scenario",R$12,"P&amp;L Item",$B106)/R$201,0),TEXT(IFERROR(GETPIVOTDATA("Sum of "&amp;R$9,'PT-All'!$A$1,"Scenario",R$12,"P&amp;L Item",$B106)/R$29,0),"0.00%"))</f>
        <v>0</v>
      </c>
      <c r="S106" s="66">
        <f>CHOOSE(PLColumn,IFERROR(GETPIVOTDATA("Sum of "&amp;S$9,'PT-All'!$A$1,"Scenario",S$12,"P&amp;L Item",$B106),0),IFERROR(GETPIVOTDATA("Sum of "&amp;S$9,'PT-All'!$A$1,"Scenario",S$12,"P&amp;L Item",$B106)/S$201,0),TEXT(IFERROR(GETPIVOTDATA("Sum of "&amp;S$9,'PT-All'!$A$1,"Scenario",S$12,"P&amp;L Item",$B106)/S$29,0),"0.00%"))</f>
        <v>0</v>
      </c>
      <c r="T106" s="66">
        <f>CHOOSE(PLColumn,IFERROR(GETPIVOTDATA("Sum of "&amp;T$9,'PT-All'!$A$1,"Scenario",T$12,"P&amp;L Item",$B106),0),IFERROR(GETPIVOTDATA("Sum of "&amp;T$9,'PT-All'!$A$1,"Scenario",T$12,"P&amp;L Item",$B106)/T$201,0),TEXT(IFERROR(GETPIVOTDATA("Sum of "&amp;T$9,'PT-All'!$A$1,"Scenario",T$12,"P&amp;L Item",$B106)/T$29,0),"0.00%"))</f>
        <v>0</v>
      </c>
      <c r="U106" s="66">
        <f>CHOOSE(PLColumn,IFERROR(GETPIVOTDATA("Sum of "&amp;U$9,'PT-All'!$A$1,"Scenario",U$12,"P&amp;L Item",$B106),0),IFERROR(GETPIVOTDATA("Sum of "&amp;U$9,'PT-All'!$A$1,"Scenario",U$12,"P&amp;L Item",$B106)/U$201,0),TEXT(IFERROR(GETPIVOTDATA("Sum of "&amp;U$9,'PT-All'!$A$1,"Scenario",U$12,"P&amp;L Item",$B106)/U$29,0),"0.00%"))</f>
        <v>0</v>
      </c>
      <c r="V106" s="66">
        <f>CHOOSE(PLColumn,IFERROR(GETPIVOTDATA("Sum of "&amp;V$9,'PT-All'!$A$1,"Scenario",V$12,"P&amp;L Item",$B106),0),IFERROR(GETPIVOTDATA("Sum of "&amp;V$9,'PT-All'!$A$1,"Scenario",V$12,"P&amp;L Item",$B106)/V$201,0),TEXT(IFERROR(GETPIVOTDATA("Sum of "&amp;V$9,'PT-All'!$A$1,"Scenario",V$12,"P&amp;L Item",$B106)/V$29,0),"0.00%"))</f>
        <v>0</v>
      </c>
      <c r="W106" s="66">
        <f>CHOOSE(PLColumn,IFERROR(GETPIVOTDATA("Sum of "&amp;W$9,'PT-All'!$A$1,"Scenario",W$12,"P&amp;L Item",$B106),0),IFERROR(GETPIVOTDATA("Sum of "&amp;W$9,'PT-All'!$A$1,"Scenario",W$12,"P&amp;L Item",$B106)/W$201,0),TEXT(IFERROR(GETPIVOTDATA("Sum of "&amp;W$9,'PT-All'!$A$1,"Scenario",W$12,"P&amp;L Item",$B106)/W$29,0),"0.00%"))</f>
        <v>0</v>
      </c>
      <c r="X106" s="66">
        <f>CHOOSE(PLColumn,IFERROR(GETPIVOTDATA("Sum of "&amp;X$9,'PT-All'!$A$1,"Scenario",X$12,"P&amp;L Item",$B106),0),IFERROR(GETPIVOTDATA("Sum of "&amp;X$9,'PT-All'!$A$1,"Scenario",X$12,"P&amp;L Item",$B106)/X$201,0),TEXT(IFERROR(GETPIVOTDATA("Sum of "&amp;X$9,'PT-All'!$A$1,"Scenario",X$12,"P&amp;L Item",$B106)/X$29,0),"0.00%"))</f>
        <v>0</v>
      </c>
      <c r="Y106" s="66">
        <f>CHOOSE(PLColumn,IFERROR(GETPIVOTDATA("Sum of "&amp;Y$9,'PT-All'!$A$1,"Scenario",Y$12,"P&amp;L Item",$B106),0),IFERROR(GETPIVOTDATA("Sum of "&amp;Y$9,'PT-All'!$A$1,"Scenario",Y$12,"P&amp;L Item",$B106)/Y$201,0),TEXT(IFERROR(GETPIVOTDATA("Sum of "&amp;Y$9,'PT-All'!$A$1,"Scenario",Y$12,"P&amp;L Item",$B106)/Y$29,0),"0.00%"))</f>
        <v>0</v>
      </c>
      <c r="Z106" s="66">
        <f>CHOOSE(PLColumn,IFERROR(GETPIVOTDATA("Sum of "&amp;Z$9,'PT-All'!$A$1,"Scenario",Z$12,"P&amp;L Item",$B106),0),IFERROR(GETPIVOTDATA("Sum of "&amp;Z$9,'PT-All'!$A$1,"Scenario",Z$12,"P&amp;L Item",$B106)/Z$201,0),TEXT(IFERROR(GETPIVOTDATA("Sum of "&amp;Z$9,'PT-All'!$A$1,"Scenario",Z$12,"P&amp;L Item",$B106)/Z$29,0),"0.00%"))</f>
        <v>0</v>
      </c>
      <c r="AA106" s="66">
        <f>CHOOSE(PLColumn,IFERROR(GETPIVOTDATA("Sum of "&amp;AA$9,'PT-All'!$A$1,"Scenario",AA$12,"P&amp;L Item",$B106),0),IFERROR(GETPIVOTDATA("Sum of "&amp;AA$9,'PT-All'!$A$1,"Scenario",AA$12,"P&amp;L Item",$B106)/AA$201,0),TEXT(IFERROR(GETPIVOTDATA("Sum of "&amp;AA$9,'PT-All'!$A$1,"Scenario",AA$12,"P&amp;L Item",$B106)/AA$29,0),"0.00%"))</f>
        <v>0</v>
      </c>
      <c r="AB106" s="66">
        <f>CHOOSE(PLColumn,IFERROR(GETPIVOTDATA("Sum of "&amp;AB$9,'PT-All'!$A$1,"Scenario",AB$12,"P&amp;L Item",$B106),0),IFERROR(GETPIVOTDATA("Sum of "&amp;AB$9,'PT-All'!$A$1,"Scenario",AB$12,"P&amp;L Item",$B106)/AB$201,0),TEXT(IFERROR(GETPIVOTDATA("Sum of "&amp;AB$9,'PT-All'!$A$1,"Scenario",AB$12,"P&amp;L Item",$B106)/AB$29,0),"0.00%"))</f>
        <v>0</v>
      </c>
      <c r="AC106" s="66">
        <f>CHOOSE(PLColumn,IFERROR(GETPIVOTDATA("Sum of "&amp;AC$9,'PT-All'!$A$1,"Scenario",AC$12,"P&amp;L Item",$B106),0),IFERROR(GETPIVOTDATA("Sum of "&amp;AC$9,'PT-All'!$A$1,"Scenario",AC$12,"P&amp;L Item",$B106)/AC$201,0),TEXT(IFERROR(GETPIVOTDATA("Sum of "&amp;AC$9,'PT-All'!$A$1,"Scenario",AC$12,"P&amp;L Item",$B106)/AC$29,0),"0.00%"))</f>
        <v>0</v>
      </c>
      <c r="AD106" s="66">
        <f>CHOOSE(PLColumn,IFERROR(GETPIVOTDATA("Sum of "&amp;AD$9,'PT-All'!$A$1,"Scenario",AD$12,"P&amp;L Item",$B106),0),IFERROR(GETPIVOTDATA("Sum of "&amp;AD$9,'PT-All'!$A$1,"Scenario",AD$12,"P&amp;L Item",$B106)/AD$201,0),TEXT(IFERROR(GETPIVOTDATA("Sum of "&amp;AD$9,'PT-All'!$A$1,"Scenario",AD$12,"P&amp;L Item",$B106)/AD$29,0),"0.00%"))</f>
        <v>0</v>
      </c>
      <c r="AE106" s="66">
        <f>CHOOSE(PLColumn,IFERROR(GETPIVOTDATA("Sum of "&amp;AE$9,'PT-All'!$A$1,"Scenario",AE$12,"P&amp;L Item",$B106),0),IFERROR(GETPIVOTDATA("Sum of "&amp;AE$9,'PT-All'!$A$1,"Scenario",AE$12,"P&amp;L Item",$B106)/AE$201,0),TEXT(IFERROR(GETPIVOTDATA("Sum of "&amp;AE$9,'PT-All'!$A$1,"Scenario",AE$12,"P&amp;L Item",$B106)/AE$29,0),"0.00%"))</f>
        <v>0</v>
      </c>
      <c r="AF106" s="66">
        <f>CHOOSE(PLColumn,IFERROR(GETPIVOTDATA("Sum of "&amp;AF$9,'PT-All'!$A$1,"Scenario",AF$12,"P&amp;L Item",$B106),0),IFERROR(GETPIVOTDATA("Sum of "&amp;AF$9,'PT-All'!$A$1,"Scenario",AF$12,"P&amp;L Item",$B106)/AF$201,0),TEXT(IFERROR(GETPIVOTDATA("Sum of "&amp;AF$9,'PT-All'!$A$1,"Scenario",AF$12,"P&amp;L Item",$B106)/AF$29,0),"0.00%"))</f>
        <v>0</v>
      </c>
      <c r="AG106" s="66">
        <f>CHOOSE(PLColumn,IFERROR(GETPIVOTDATA("Sum of "&amp;AG$9,'PT-All'!$A$1,"Scenario",AG$12,"P&amp;L Item",$B106),0),IFERROR(GETPIVOTDATA("Sum of "&amp;AG$9,'PT-All'!$A$1,"Scenario",AG$12,"P&amp;L Item",$B106)/AG$201,0),TEXT(IFERROR(GETPIVOTDATA("Sum of "&amp;AG$9,'PT-All'!$A$1,"Scenario",AG$12,"P&amp;L Item",$B106)/AG$29,0),"0.00%"))</f>
        <v>0</v>
      </c>
      <c r="AH106" s="66">
        <f>CHOOSE(PLColumn,IFERROR(GETPIVOTDATA("Sum of "&amp;AH$9,'PT-All'!$A$1,"Scenario",AH$12,"P&amp;L Item",$B106),0),IFERROR(GETPIVOTDATA("Sum of "&amp;AH$9,'PT-All'!$A$1,"Scenario",AH$12,"P&amp;L Item",$B106)/AH$201,0),TEXT(IFERROR(GETPIVOTDATA("Sum of "&amp;AH$9,'PT-All'!$A$1,"Scenario",AH$12,"P&amp;L Item",$B106)/AH$29,0),"0.00%"))</f>
        <v>0</v>
      </c>
      <c r="AI106" s="66">
        <f>CHOOSE(PLColumn,IFERROR(GETPIVOTDATA("Sum of "&amp;AI$9,'PT-All'!$A$1,"Scenario",AI$12,"P&amp;L Item",$B106),0),IFERROR(GETPIVOTDATA("Sum of "&amp;AI$9,'PT-All'!$A$1,"Scenario",AI$12,"P&amp;L Item",$B106)/AI$201,0),TEXT(IFERROR(GETPIVOTDATA("Sum of "&amp;AI$9,'PT-All'!$A$1,"Scenario",AI$12,"P&amp;L Item",$B106)/AI$29,0),"0.00%"))</f>
        <v>0</v>
      </c>
      <c r="AJ106" s="66">
        <f>CHOOSE(PLColumn,IFERROR(GETPIVOTDATA("Sum of "&amp;AJ$9,'PT-All'!$A$1,"Scenario",AJ$12,"P&amp;L Item",$B106),0),IFERROR(GETPIVOTDATA("Sum of "&amp;AJ$9,'PT-All'!$A$1,"Scenario",AJ$12,"P&amp;L Item",$B106)/AJ$201,0),TEXT(IFERROR(GETPIVOTDATA("Sum of "&amp;AJ$9,'PT-All'!$A$1,"Scenario",AJ$12,"P&amp;L Item",$B106)/AJ$29,0),"0.00%"))</f>
        <v>0</v>
      </c>
      <c r="AK106" s="66">
        <f>CHOOSE(PLColumn,IFERROR(GETPIVOTDATA("Sum of "&amp;AK$9,'PT-All'!$A$1,"Scenario",AK$12,"P&amp;L Item",$B106),0),IFERROR(GETPIVOTDATA("Sum of "&amp;AK$9,'PT-All'!$A$1,"Scenario",AK$12,"P&amp;L Item",$B106)/AK$201,0),TEXT(IFERROR(GETPIVOTDATA("Sum of "&amp;AK$9,'PT-All'!$A$1,"Scenario",AK$12,"P&amp;L Item",$B106)/AK$29,0),"0.00%"))</f>
        <v>0</v>
      </c>
      <c r="AL106" s="98">
        <f>CHOOSE(PLColumn,IFERROR(GETPIVOTDATA("Sum of "&amp;AL$9,'PT-All'!$A$1,"Scenario",AL$12,"P&amp;L Item",$B106),0),IFERROR(GETPIVOTDATA("Sum of "&amp;AL$9,'PT-All'!$A$1,"Scenario",AL$12,"P&amp;L Item",$B106)/AL$201,0),TEXT(IFERROR(GETPIVOTDATA("Sum of "&amp;AL$9,'PT-All'!$A$1,"Scenario",AL$12,"P&amp;L Item",$B106)/AL$29,0),"0.00%"))</f>
        <v>0</v>
      </c>
      <c r="AM106" s="590"/>
      <c r="AN106" s="109">
        <f ca="1">IF(AN$12="Pro Forma",SUM(OFFSET($B106,0,3*AN$9+1,1,3)),IFERROR(GETPIVOTDATA("Sum of Q"&amp;AN$9+1,'PT-All'!$A$1,"Scenario",AN$12,"P&amp;L Item",$B106),0))</f>
        <v>0</v>
      </c>
      <c r="AO106" s="66">
        <f ca="1">IF(AO$12="Pro Forma",SUM(OFFSET($B106,0,3*AO$9+1,1,3)),IFERROR(GETPIVOTDATA("Sum of Q"&amp;AO$9+1,'PT-All'!$A$1,"Scenario",AO$12,"P&amp;L Item",$B106),0))</f>
        <v>0</v>
      </c>
      <c r="AP106" s="66">
        <f ca="1">IF(AP$12="Pro Forma",SUM(OFFSET($B106,0,3*AP$9+1,1,3)),IFERROR(GETPIVOTDATA("Sum of Q"&amp;AP$9+1,'PT-All'!$A$1,"Scenario",AP$12,"P&amp;L Item",$B106),0))</f>
        <v>0</v>
      </c>
      <c r="AQ106" s="66">
        <f ca="1">IF(AQ$12="Pro Forma",SUM(OFFSET($B106,0,3*AQ$9+1,1,3)),IFERROR(GETPIVOTDATA("Sum of Q"&amp;AQ$9+1,'PT-All'!$A$1,"Scenario",AQ$12,"P&amp;L Item",$B106),0))</f>
        <v>0</v>
      </c>
      <c r="AR106" s="66">
        <f ca="1">IF(AR$12="Pro Forma",SUM(OFFSET($B106,0,3*AR$9+1,1,3)),IFERROR(GETPIVOTDATA("Sum of Q"&amp;AR$9+1,'PT-All'!$A$1,"Scenario",AR$12,"P&amp;L Item",$B106),0))</f>
        <v>0</v>
      </c>
      <c r="AS106" s="66">
        <f ca="1">IF(AS$12="Pro Forma",SUM(OFFSET($B106,0,3*AS$9+1,1,3)),IFERROR(GETPIVOTDATA("Sum of Q"&amp;AS$9+1,'PT-All'!$A$1,"Scenario",AS$12,"P&amp;L Item",$B106),0))</f>
        <v>0</v>
      </c>
      <c r="AT106" s="66">
        <f ca="1">IF(AT$12="Pro Forma",SUM(OFFSET($B106,0,3*AT$9+1,1,3)),IFERROR(GETPIVOTDATA("Sum of Q"&amp;AT$9+1,'PT-All'!$A$1,"Scenario",AT$12,"P&amp;L Item",$B106),0))</f>
        <v>0</v>
      </c>
      <c r="AU106" s="66">
        <f ca="1">IF(AU$12="Pro Forma",SUM(OFFSET($B106,0,3*AU$9+1,1,3)),IFERROR(GETPIVOTDATA("Sum of Q"&amp;AU$9+1,'PT-All'!$A$1,"Scenario",AU$12,"P&amp;L Item",$B106),0))</f>
        <v>0</v>
      </c>
      <c r="AV106" s="66">
        <f ca="1">IF(AV$12="Pro Forma",SUM(OFFSET($B106,0,3*AV$9+1,1,3)),IFERROR(GETPIVOTDATA("Sum of Q"&amp;AV$9+1,'PT-All'!$A$1,"Scenario",AV$12,"P&amp;L Item",$B106),0))</f>
        <v>0</v>
      </c>
      <c r="AW106" s="66">
        <f ca="1">IF(AW$12="Pro Forma",SUM(OFFSET($B106,0,3*AW$9+1,1,3)),IFERROR(GETPIVOTDATA("Sum of Q"&amp;AW$9+1,'PT-All'!$A$1,"Scenario",AW$12,"P&amp;L Item",$B106),0))</f>
        <v>0</v>
      </c>
      <c r="AX106" s="66">
        <f ca="1">IF(AX$12="Pro Forma",SUM(OFFSET($B106,0,3*AX$9+1,1,3)),IFERROR(GETPIVOTDATA("Sum of Q"&amp;AX$9+1,'PT-All'!$A$1,"Scenario",AX$12,"P&amp;L Item",$B106),0))</f>
        <v>0</v>
      </c>
      <c r="AY106" s="98">
        <f ca="1">IF(AY$12="Pro Forma",SUM(OFFSET($B106,0,3*AY$9+1,1,3)),IFERROR(GETPIVOTDATA("Sum of Q"&amp;AY$9+1,'PT-All'!$A$1,"Scenario",AY$12,"P&amp;L Item",$B106),0))</f>
        <v>0</v>
      </c>
      <c r="AZ106" s="590"/>
      <c r="BA106" s="109">
        <f ca="1">IF(BA$12="Pro Forma",SUM(OFFSET($B106,0,12*BA$9+1,1,12)),IFERROR(GETPIVOTDATA("Sum of FY"&amp;BA$9+1,'PT-All'!$A$1,"Scenario",BA$12,"P&amp;L Item",$B106),0))</f>
        <v>0</v>
      </c>
      <c r="BB106" s="66">
        <f ca="1">IF(BB$12="Pro Forma",SUM(OFFSET($B106,0,12*BB$9+1,1,12)),IFERROR(GETPIVOTDATA("Sum of FY"&amp;BB$9+1,'PT-All'!$A$1,"Scenario",BB$12,"P&amp;L Item",$B106),0))</f>
        <v>0</v>
      </c>
      <c r="BC106" s="98">
        <f ca="1">IF(BC$12="Pro Forma",SUM(OFFSET($B106,0,12*BC$9+1,1,12)),IFERROR(GETPIVOTDATA("Sum of FY"&amp;BC$9+1,'PT-All'!$A$1,"Scenario",BC$12,"P&amp;L Item",$B106),0))</f>
        <v>0</v>
      </c>
    </row>
    <row r="107" spans="2:55" x14ac:dyDescent="0.35">
      <c r="B107" s="84" t="s">
        <v>139</v>
      </c>
      <c r="C107" s="623">
        <f t="shared" ref="C107:Y107" si="233">SUM(C95:C98,C76)</f>
        <v>0</v>
      </c>
      <c r="D107" s="623">
        <f t="shared" si="233"/>
        <v>0</v>
      </c>
      <c r="E107" s="623">
        <f t="shared" si="233"/>
        <v>0</v>
      </c>
      <c r="F107" s="623">
        <f t="shared" si="233"/>
        <v>0</v>
      </c>
      <c r="G107" s="623">
        <f t="shared" si="233"/>
        <v>0</v>
      </c>
      <c r="H107" s="623">
        <f t="shared" si="233"/>
        <v>0</v>
      </c>
      <c r="I107" s="623">
        <f t="shared" si="233"/>
        <v>0</v>
      </c>
      <c r="J107" s="623">
        <f t="shared" si="233"/>
        <v>0</v>
      </c>
      <c r="K107" s="623">
        <f t="shared" si="233"/>
        <v>0</v>
      </c>
      <c r="L107" s="623">
        <f t="shared" si="233"/>
        <v>0</v>
      </c>
      <c r="M107" s="623">
        <f t="shared" si="233"/>
        <v>0</v>
      </c>
      <c r="N107" s="623">
        <f t="shared" si="233"/>
        <v>0</v>
      </c>
      <c r="O107" s="623">
        <f t="shared" si="233"/>
        <v>0</v>
      </c>
      <c r="P107" s="623">
        <f t="shared" si="233"/>
        <v>0</v>
      </c>
      <c r="Q107" s="623">
        <f t="shared" si="233"/>
        <v>0</v>
      </c>
      <c r="R107" s="623">
        <f t="shared" si="233"/>
        <v>0</v>
      </c>
      <c r="S107" s="623">
        <f t="shared" si="233"/>
        <v>0</v>
      </c>
      <c r="T107" s="623">
        <f t="shared" si="233"/>
        <v>0</v>
      </c>
      <c r="U107" s="623">
        <f t="shared" si="233"/>
        <v>0</v>
      </c>
      <c r="V107" s="623">
        <f t="shared" si="233"/>
        <v>0</v>
      </c>
      <c r="W107" s="623">
        <f t="shared" si="233"/>
        <v>0</v>
      </c>
      <c r="X107" s="623">
        <f t="shared" si="233"/>
        <v>0</v>
      </c>
      <c r="Y107" s="623">
        <f t="shared" si="233"/>
        <v>0</v>
      </c>
      <c r="Z107" s="623">
        <f t="shared" ref="Z107:AL107" si="234">SUM(Z95:Z98,Z76)</f>
        <v>0</v>
      </c>
      <c r="AA107" s="623">
        <f t="shared" si="234"/>
        <v>0</v>
      </c>
      <c r="AB107" s="623">
        <f t="shared" si="234"/>
        <v>0</v>
      </c>
      <c r="AC107" s="623">
        <f t="shared" si="234"/>
        <v>0</v>
      </c>
      <c r="AD107" s="623">
        <f t="shared" si="234"/>
        <v>0</v>
      </c>
      <c r="AE107" s="623">
        <f t="shared" si="234"/>
        <v>0</v>
      </c>
      <c r="AF107" s="623">
        <f t="shared" si="234"/>
        <v>0</v>
      </c>
      <c r="AG107" s="623">
        <f t="shared" si="234"/>
        <v>0</v>
      </c>
      <c r="AH107" s="623">
        <f t="shared" si="234"/>
        <v>0</v>
      </c>
      <c r="AI107" s="623">
        <f t="shared" si="234"/>
        <v>0</v>
      </c>
      <c r="AJ107" s="623">
        <f t="shared" si="234"/>
        <v>0</v>
      </c>
      <c r="AK107" s="623">
        <f t="shared" si="234"/>
        <v>0</v>
      </c>
      <c r="AL107" s="624">
        <f t="shared" si="234"/>
        <v>0</v>
      </c>
      <c r="AM107" s="590"/>
      <c r="AN107" s="625">
        <f t="shared" ref="AN107:AT107" ca="1" si="235">SUM(AN95:AN98,AN76)</f>
        <v>0</v>
      </c>
      <c r="AO107" s="623">
        <f t="shared" ca="1" si="235"/>
        <v>0</v>
      </c>
      <c r="AP107" s="623">
        <f t="shared" ca="1" si="235"/>
        <v>0</v>
      </c>
      <c r="AQ107" s="623">
        <f t="shared" ca="1" si="235"/>
        <v>0</v>
      </c>
      <c r="AR107" s="623">
        <f t="shared" ca="1" si="235"/>
        <v>0</v>
      </c>
      <c r="AS107" s="623">
        <f t="shared" ca="1" si="235"/>
        <v>0</v>
      </c>
      <c r="AT107" s="623">
        <f t="shared" ca="1" si="235"/>
        <v>0</v>
      </c>
      <c r="AU107" s="623">
        <f t="shared" ref="AU107:AY107" ca="1" si="236">SUM(AU95:AU98,AU76)</f>
        <v>0</v>
      </c>
      <c r="AV107" s="623">
        <f t="shared" ca="1" si="236"/>
        <v>0</v>
      </c>
      <c r="AW107" s="623">
        <f t="shared" ca="1" si="236"/>
        <v>0</v>
      </c>
      <c r="AX107" s="623">
        <f t="shared" ca="1" si="236"/>
        <v>0</v>
      </c>
      <c r="AY107" s="624">
        <f t="shared" ca="1" si="236"/>
        <v>0</v>
      </c>
      <c r="AZ107" s="590"/>
      <c r="BA107" s="625">
        <f t="shared" ref="BA107" ca="1" si="237">SUM(BA95:BA98,BA76)</f>
        <v>0</v>
      </c>
      <c r="BB107" s="623">
        <f t="shared" ref="BB107:BC107" ca="1" si="238">SUM(BB95:BB98,BB76)</f>
        <v>0</v>
      </c>
      <c r="BC107" s="624">
        <f t="shared" ca="1" si="238"/>
        <v>0</v>
      </c>
    </row>
    <row r="108" spans="2:55" x14ac:dyDescent="0.35">
      <c r="B108" s="358"/>
      <c r="C108" s="595"/>
      <c r="D108" s="595"/>
      <c r="E108" s="595"/>
      <c r="F108" s="595"/>
      <c r="G108" s="595"/>
      <c r="H108" s="595"/>
      <c r="I108" s="595"/>
      <c r="J108" s="595"/>
      <c r="K108" s="595"/>
      <c r="L108" s="595"/>
      <c r="M108" s="595"/>
      <c r="N108" s="595"/>
      <c r="O108" s="595"/>
      <c r="P108" s="595"/>
      <c r="Q108" s="595"/>
      <c r="R108" s="595"/>
      <c r="S108" s="595"/>
      <c r="T108" s="595"/>
      <c r="U108" s="595"/>
      <c r="V108" s="595"/>
      <c r="W108" s="595"/>
      <c r="X108" s="595"/>
      <c r="Y108" s="595"/>
      <c r="Z108" s="595"/>
      <c r="AA108" s="595"/>
      <c r="AB108" s="595"/>
      <c r="AC108" s="595"/>
      <c r="AD108" s="595"/>
      <c r="AE108" s="595"/>
      <c r="AF108" s="595"/>
      <c r="AG108" s="595"/>
      <c r="AH108" s="595"/>
      <c r="AI108" s="595"/>
      <c r="AJ108" s="595"/>
      <c r="AK108" s="595"/>
      <c r="AL108" s="596"/>
      <c r="AM108" s="590"/>
      <c r="AN108" s="597"/>
      <c r="AO108" s="595"/>
      <c r="AP108" s="595"/>
      <c r="AQ108" s="595"/>
      <c r="AR108" s="595"/>
      <c r="AS108" s="595"/>
      <c r="AT108" s="595"/>
      <c r="AU108" s="595"/>
      <c r="AV108" s="595"/>
      <c r="AW108" s="595"/>
      <c r="AX108" s="595"/>
      <c r="AY108" s="596"/>
      <c r="AZ108" s="590"/>
      <c r="BA108" s="597"/>
      <c r="BB108" s="595"/>
      <c r="BC108" s="596"/>
    </row>
    <row r="109" spans="2:55" x14ac:dyDescent="0.35">
      <c r="B109" s="67" t="s">
        <v>140</v>
      </c>
      <c r="C109" s="588"/>
      <c r="D109" s="588"/>
      <c r="E109" s="588"/>
      <c r="F109" s="588"/>
      <c r="G109" s="588"/>
      <c r="H109" s="588"/>
      <c r="I109" s="588"/>
      <c r="J109" s="588"/>
      <c r="K109" s="588"/>
      <c r="L109" s="588"/>
      <c r="M109" s="588"/>
      <c r="N109" s="588"/>
      <c r="O109" s="588"/>
      <c r="P109" s="588"/>
      <c r="Q109" s="588"/>
      <c r="R109" s="588"/>
      <c r="S109" s="588"/>
      <c r="T109" s="588"/>
      <c r="U109" s="588"/>
      <c r="V109" s="588"/>
      <c r="W109" s="588"/>
      <c r="X109" s="588"/>
      <c r="Y109" s="588"/>
      <c r="Z109" s="588"/>
      <c r="AA109" s="588"/>
      <c r="AB109" s="588"/>
      <c r="AC109" s="588"/>
      <c r="AD109" s="588"/>
      <c r="AE109" s="588"/>
      <c r="AF109" s="588"/>
      <c r="AG109" s="588"/>
      <c r="AH109" s="588"/>
      <c r="AI109" s="588"/>
      <c r="AJ109" s="588"/>
      <c r="AK109" s="588"/>
      <c r="AL109" s="589"/>
      <c r="AM109" s="590"/>
      <c r="AN109" s="591"/>
      <c r="AO109" s="588"/>
      <c r="AP109" s="588"/>
      <c r="AQ109" s="588"/>
      <c r="AR109" s="588"/>
      <c r="AS109" s="588"/>
      <c r="AT109" s="588"/>
      <c r="AU109" s="588"/>
      <c r="AV109" s="588"/>
      <c r="AW109" s="588"/>
      <c r="AX109" s="588"/>
      <c r="AY109" s="589"/>
      <c r="AZ109" s="590"/>
      <c r="BA109" s="591"/>
      <c r="BB109" s="588"/>
      <c r="BC109" s="589"/>
    </row>
    <row r="110" spans="2:55" x14ac:dyDescent="0.35">
      <c r="B110" s="81" t="s">
        <v>18</v>
      </c>
      <c r="C110" s="588">
        <f>CHOOSE(PLColumn,IFERROR(GETPIVOTDATA("Sum of "&amp;C$9,'PT-All'!$A$1,"Scenario",C$12,"P&amp;L Item",$B110),0),IFERROR(GETPIVOTDATA("Sum of "&amp;C$9,'PT-All'!$A$1,"Scenario",C$12,"P&amp;L Item",$B110)/C$201,0),TEXT(IFERROR(GETPIVOTDATA("Sum of "&amp;C$9,'PT-All'!$A$1,"Scenario",C$12,"P&amp;L Item",$B110)/C$29,0),"0.00%"))</f>
        <v>0</v>
      </c>
      <c r="D110" s="588">
        <f>CHOOSE(PLColumn,IFERROR(GETPIVOTDATA("Sum of "&amp;D$9,'PT-All'!$A$1,"Scenario",D$12,"P&amp;L Item",$B110),0),IFERROR(GETPIVOTDATA("Sum of "&amp;D$9,'PT-All'!$A$1,"Scenario",D$12,"P&amp;L Item",$B110)/D$201,0),TEXT(IFERROR(GETPIVOTDATA("Sum of "&amp;D$9,'PT-All'!$A$1,"Scenario",D$12,"P&amp;L Item",$B110)/D$29,0),"0.00%"))</f>
        <v>0</v>
      </c>
      <c r="E110" s="588">
        <f>CHOOSE(PLColumn,IFERROR(GETPIVOTDATA("Sum of "&amp;E$9,'PT-All'!$A$1,"Scenario",E$12,"P&amp;L Item",$B110),0),IFERROR(GETPIVOTDATA("Sum of "&amp;E$9,'PT-All'!$A$1,"Scenario",E$12,"P&amp;L Item",$B110)/E$201,0),TEXT(IFERROR(GETPIVOTDATA("Sum of "&amp;E$9,'PT-All'!$A$1,"Scenario",E$12,"P&amp;L Item",$B110)/E$29,0),"0.00%"))</f>
        <v>0</v>
      </c>
      <c r="F110" s="588">
        <f>CHOOSE(PLColumn,IFERROR(GETPIVOTDATA("Sum of "&amp;F$9,'PT-All'!$A$1,"Scenario",F$12,"P&amp;L Item",$B110),0),IFERROR(GETPIVOTDATA("Sum of "&amp;F$9,'PT-All'!$A$1,"Scenario",F$12,"P&amp;L Item",$B110)/F$201,0),TEXT(IFERROR(GETPIVOTDATA("Sum of "&amp;F$9,'PT-All'!$A$1,"Scenario",F$12,"P&amp;L Item",$B110)/F$29,0),"0.00%"))</f>
        <v>0</v>
      </c>
      <c r="G110" s="588">
        <f>CHOOSE(PLColumn,IFERROR(GETPIVOTDATA("Sum of "&amp;G$9,'PT-All'!$A$1,"Scenario",G$12,"P&amp;L Item",$B110),0),IFERROR(GETPIVOTDATA("Sum of "&amp;G$9,'PT-All'!$A$1,"Scenario",G$12,"P&amp;L Item",$B110)/G$201,0),TEXT(IFERROR(GETPIVOTDATA("Sum of "&amp;G$9,'PT-All'!$A$1,"Scenario",G$12,"P&amp;L Item",$B110)/G$29,0),"0.00%"))</f>
        <v>0</v>
      </c>
      <c r="H110" s="588">
        <f>CHOOSE(PLColumn,IFERROR(GETPIVOTDATA("Sum of "&amp;H$9,'PT-All'!$A$1,"Scenario",H$12,"P&amp;L Item",$B110),0),IFERROR(GETPIVOTDATA("Sum of "&amp;H$9,'PT-All'!$A$1,"Scenario",H$12,"P&amp;L Item",$B110)/H$201,0),TEXT(IFERROR(GETPIVOTDATA("Sum of "&amp;H$9,'PT-All'!$A$1,"Scenario",H$12,"P&amp;L Item",$B110)/H$29,0),"0.00%"))</f>
        <v>0</v>
      </c>
      <c r="I110" s="588">
        <f>CHOOSE(PLColumn,IFERROR(GETPIVOTDATA("Sum of "&amp;I$9,'PT-All'!$A$1,"Scenario",I$12,"P&amp;L Item",$B110),0),IFERROR(GETPIVOTDATA("Sum of "&amp;I$9,'PT-All'!$A$1,"Scenario",I$12,"P&amp;L Item",$B110)/I$201,0),TEXT(IFERROR(GETPIVOTDATA("Sum of "&amp;I$9,'PT-All'!$A$1,"Scenario",I$12,"P&amp;L Item",$B110)/I$29,0),"0.00%"))</f>
        <v>0</v>
      </c>
      <c r="J110" s="588">
        <f>CHOOSE(PLColumn,IFERROR(GETPIVOTDATA("Sum of "&amp;J$9,'PT-All'!$A$1,"Scenario",J$12,"P&amp;L Item",$B110),0),IFERROR(GETPIVOTDATA("Sum of "&amp;J$9,'PT-All'!$A$1,"Scenario",J$12,"P&amp;L Item",$B110)/J$201,0),TEXT(IFERROR(GETPIVOTDATA("Sum of "&amp;J$9,'PT-All'!$A$1,"Scenario",J$12,"P&amp;L Item",$B110)/J$29,0),"0.00%"))</f>
        <v>0</v>
      </c>
      <c r="K110" s="588">
        <f>CHOOSE(PLColumn,IFERROR(GETPIVOTDATA("Sum of "&amp;K$9,'PT-All'!$A$1,"Scenario",K$12,"P&amp;L Item",$B110),0),IFERROR(GETPIVOTDATA("Sum of "&amp;K$9,'PT-All'!$A$1,"Scenario",K$12,"P&amp;L Item",$B110)/K$201,0),TEXT(IFERROR(GETPIVOTDATA("Sum of "&amp;K$9,'PT-All'!$A$1,"Scenario",K$12,"P&amp;L Item",$B110)/K$29,0),"0.00%"))</f>
        <v>0</v>
      </c>
      <c r="L110" s="588">
        <f>CHOOSE(PLColumn,IFERROR(GETPIVOTDATA("Sum of "&amp;L$9,'PT-All'!$A$1,"Scenario",L$12,"P&amp;L Item",$B110),0),IFERROR(GETPIVOTDATA("Sum of "&amp;L$9,'PT-All'!$A$1,"Scenario",L$12,"P&amp;L Item",$B110)/L$201,0),TEXT(IFERROR(GETPIVOTDATA("Sum of "&amp;L$9,'PT-All'!$A$1,"Scenario",L$12,"P&amp;L Item",$B110)/L$29,0),"0.00%"))</f>
        <v>0</v>
      </c>
      <c r="M110" s="588">
        <f>CHOOSE(PLColumn,IFERROR(GETPIVOTDATA("Sum of "&amp;M$9,'PT-All'!$A$1,"Scenario",M$12,"P&amp;L Item",$B110),0),IFERROR(GETPIVOTDATA("Sum of "&amp;M$9,'PT-All'!$A$1,"Scenario",M$12,"P&amp;L Item",$B110)/M$201,0),TEXT(IFERROR(GETPIVOTDATA("Sum of "&amp;M$9,'PT-All'!$A$1,"Scenario",M$12,"P&amp;L Item",$B110)/M$29,0),"0.00%"))</f>
        <v>0</v>
      </c>
      <c r="N110" s="588">
        <f>CHOOSE(PLColumn,IFERROR(GETPIVOTDATA("Sum of "&amp;N$9,'PT-All'!$A$1,"Scenario",N$12,"P&amp;L Item",$B110),0),IFERROR(GETPIVOTDATA("Sum of "&amp;N$9,'PT-All'!$A$1,"Scenario",N$12,"P&amp;L Item",$B110)/N$201,0),TEXT(IFERROR(GETPIVOTDATA("Sum of "&amp;N$9,'PT-All'!$A$1,"Scenario",N$12,"P&amp;L Item",$B110)/N$29,0),"0.00%"))</f>
        <v>0</v>
      </c>
      <c r="O110" s="588">
        <f>CHOOSE(PLColumn,IFERROR(GETPIVOTDATA("Sum of "&amp;O$9,'PT-All'!$A$1,"Scenario",O$12,"P&amp;L Item",$B110),0),IFERROR(GETPIVOTDATA("Sum of "&amp;O$9,'PT-All'!$A$1,"Scenario",O$12,"P&amp;L Item",$B110)/O$201,0),TEXT(IFERROR(GETPIVOTDATA("Sum of "&amp;O$9,'PT-All'!$A$1,"Scenario",O$12,"P&amp;L Item",$B110)/O$29,0),"0.00%"))</f>
        <v>0</v>
      </c>
      <c r="P110" s="588">
        <f>CHOOSE(PLColumn,IFERROR(GETPIVOTDATA("Sum of "&amp;P$9,'PT-All'!$A$1,"Scenario",P$12,"P&amp;L Item",$B110),0),IFERROR(GETPIVOTDATA("Sum of "&amp;P$9,'PT-All'!$A$1,"Scenario",P$12,"P&amp;L Item",$B110)/P$201,0),TEXT(IFERROR(GETPIVOTDATA("Sum of "&amp;P$9,'PT-All'!$A$1,"Scenario",P$12,"P&amp;L Item",$B110)/P$29,0),"0.00%"))</f>
        <v>0</v>
      </c>
      <c r="Q110" s="588">
        <f>CHOOSE(PLColumn,IFERROR(GETPIVOTDATA("Sum of "&amp;Q$9,'PT-All'!$A$1,"Scenario",Q$12,"P&amp;L Item",$B110),0),IFERROR(GETPIVOTDATA("Sum of "&amp;Q$9,'PT-All'!$A$1,"Scenario",Q$12,"P&amp;L Item",$B110)/Q$201,0),TEXT(IFERROR(GETPIVOTDATA("Sum of "&amp;Q$9,'PT-All'!$A$1,"Scenario",Q$12,"P&amp;L Item",$B110)/Q$29,0),"0.00%"))</f>
        <v>0</v>
      </c>
      <c r="R110" s="588">
        <f>CHOOSE(PLColumn,IFERROR(GETPIVOTDATA("Sum of "&amp;R$9,'PT-All'!$A$1,"Scenario",R$12,"P&amp;L Item",$B110),0),IFERROR(GETPIVOTDATA("Sum of "&amp;R$9,'PT-All'!$A$1,"Scenario",R$12,"P&amp;L Item",$B110)/R$201,0),TEXT(IFERROR(GETPIVOTDATA("Sum of "&amp;R$9,'PT-All'!$A$1,"Scenario",R$12,"P&amp;L Item",$B110)/R$29,0),"0.00%"))</f>
        <v>0</v>
      </c>
      <c r="S110" s="588">
        <f>CHOOSE(PLColumn,IFERROR(GETPIVOTDATA("Sum of "&amp;S$9,'PT-All'!$A$1,"Scenario",S$12,"P&amp;L Item",$B110),0),IFERROR(GETPIVOTDATA("Sum of "&amp;S$9,'PT-All'!$A$1,"Scenario",S$12,"P&amp;L Item",$B110)/S$201,0),TEXT(IFERROR(GETPIVOTDATA("Sum of "&amp;S$9,'PT-All'!$A$1,"Scenario",S$12,"P&amp;L Item",$B110)/S$29,0),"0.00%"))</f>
        <v>0</v>
      </c>
      <c r="T110" s="588">
        <f>CHOOSE(PLColumn,IFERROR(GETPIVOTDATA("Sum of "&amp;T$9,'PT-All'!$A$1,"Scenario",T$12,"P&amp;L Item",$B110),0),IFERROR(GETPIVOTDATA("Sum of "&amp;T$9,'PT-All'!$A$1,"Scenario",T$12,"P&amp;L Item",$B110)/T$201,0),TEXT(IFERROR(GETPIVOTDATA("Sum of "&amp;T$9,'PT-All'!$A$1,"Scenario",T$12,"P&amp;L Item",$B110)/T$29,0),"0.00%"))</f>
        <v>0</v>
      </c>
      <c r="U110" s="588">
        <f>CHOOSE(PLColumn,IFERROR(GETPIVOTDATA("Sum of "&amp;U$9,'PT-All'!$A$1,"Scenario",U$12,"P&amp;L Item",$B110),0),IFERROR(GETPIVOTDATA("Sum of "&amp;U$9,'PT-All'!$A$1,"Scenario",U$12,"P&amp;L Item",$B110)/U$201,0),TEXT(IFERROR(GETPIVOTDATA("Sum of "&amp;U$9,'PT-All'!$A$1,"Scenario",U$12,"P&amp;L Item",$B110)/U$29,0),"0.00%"))</f>
        <v>0</v>
      </c>
      <c r="V110" s="588">
        <f>CHOOSE(PLColumn,IFERROR(GETPIVOTDATA("Sum of "&amp;V$9,'PT-All'!$A$1,"Scenario",V$12,"P&amp;L Item",$B110),0),IFERROR(GETPIVOTDATA("Sum of "&amp;V$9,'PT-All'!$A$1,"Scenario",V$12,"P&amp;L Item",$B110)/V$201,0),TEXT(IFERROR(GETPIVOTDATA("Sum of "&amp;V$9,'PT-All'!$A$1,"Scenario",V$12,"P&amp;L Item",$B110)/V$29,0),"0.00%"))</f>
        <v>0</v>
      </c>
      <c r="W110" s="588">
        <f>CHOOSE(PLColumn,IFERROR(GETPIVOTDATA("Sum of "&amp;W$9,'PT-All'!$A$1,"Scenario",W$12,"P&amp;L Item",$B110),0),IFERROR(GETPIVOTDATA("Sum of "&amp;W$9,'PT-All'!$A$1,"Scenario",W$12,"P&amp;L Item",$B110)/W$201,0),TEXT(IFERROR(GETPIVOTDATA("Sum of "&amp;W$9,'PT-All'!$A$1,"Scenario",W$12,"P&amp;L Item",$B110)/W$29,0),"0.00%"))</f>
        <v>0</v>
      </c>
      <c r="X110" s="588">
        <f>CHOOSE(PLColumn,IFERROR(GETPIVOTDATA("Sum of "&amp;X$9,'PT-All'!$A$1,"Scenario",X$12,"P&amp;L Item",$B110),0),IFERROR(GETPIVOTDATA("Sum of "&amp;X$9,'PT-All'!$A$1,"Scenario",X$12,"P&amp;L Item",$B110)/X$201,0),TEXT(IFERROR(GETPIVOTDATA("Sum of "&amp;X$9,'PT-All'!$A$1,"Scenario",X$12,"P&amp;L Item",$B110)/X$29,0),"0.00%"))</f>
        <v>0</v>
      </c>
      <c r="Y110" s="588">
        <f>CHOOSE(PLColumn,IFERROR(GETPIVOTDATA("Sum of "&amp;Y$9,'PT-All'!$A$1,"Scenario",Y$12,"P&amp;L Item",$B110),0),IFERROR(GETPIVOTDATA("Sum of "&amp;Y$9,'PT-All'!$A$1,"Scenario",Y$12,"P&amp;L Item",$B110)/Y$201,0),TEXT(IFERROR(GETPIVOTDATA("Sum of "&amp;Y$9,'PT-All'!$A$1,"Scenario",Y$12,"P&amp;L Item",$B110)/Y$29,0),"0.00%"))</f>
        <v>0</v>
      </c>
      <c r="Z110" s="588">
        <f>CHOOSE(PLColumn,IFERROR(GETPIVOTDATA("Sum of "&amp;Z$9,'PT-All'!$A$1,"Scenario",Z$12,"P&amp;L Item",$B110),0),IFERROR(GETPIVOTDATA("Sum of "&amp;Z$9,'PT-All'!$A$1,"Scenario",Z$12,"P&amp;L Item",$B110)/Z$201,0),TEXT(IFERROR(GETPIVOTDATA("Sum of "&amp;Z$9,'PT-All'!$A$1,"Scenario",Z$12,"P&amp;L Item",$B110)/Z$29,0),"0.00%"))</f>
        <v>0</v>
      </c>
      <c r="AA110" s="588">
        <f>CHOOSE(PLColumn,IFERROR(GETPIVOTDATA("Sum of "&amp;AA$9,'PT-All'!$A$1,"Scenario",AA$12,"P&amp;L Item",$B110),0),IFERROR(GETPIVOTDATA("Sum of "&amp;AA$9,'PT-All'!$A$1,"Scenario",AA$12,"P&amp;L Item",$B110)/AA$201,0),TEXT(IFERROR(GETPIVOTDATA("Sum of "&amp;AA$9,'PT-All'!$A$1,"Scenario",AA$12,"P&amp;L Item",$B110)/AA$29,0),"0.00%"))</f>
        <v>0</v>
      </c>
      <c r="AB110" s="588">
        <f>CHOOSE(PLColumn,IFERROR(GETPIVOTDATA("Sum of "&amp;AB$9,'PT-All'!$A$1,"Scenario",AB$12,"P&amp;L Item",$B110),0),IFERROR(GETPIVOTDATA("Sum of "&amp;AB$9,'PT-All'!$A$1,"Scenario",AB$12,"P&amp;L Item",$B110)/AB$201,0),TEXT(IFERROR(GETPIVOTDATA("Sum of "&amp;AB$9,'PT-All'!$A$1,"Scenario",AB$12,"P&amp;L Item",$B110)/AB$29,0),"0.00%"))</f>
        <v>0</v>
      </c>
      <c r="AC110" s="588">
        <f>CHOOSE(PLColumn,IFERROR(GETPIVOTDATA("Sum of "&amp;AC$9,'PT-All'!$A$1,"Scenario",AC$12,"P&amp;L Item",$B110),0),IFERROR(GETPIVOTDATA("Sum of "&amp;AC$9,'PT-All'!$A$1,"Scenario",AC$12,"P&amp;L Item",$B110)/AC$201,0),TEXT(IFERROR(GETPIVOTDATA("Sum of "&amp;AC$9,'PT-All'!$A$1,"Scenario",AC$12,"P&amp;L Item",$B110)/AC$29,0),"0.00%"))</f>
        <v>0</v>
      </c>
      <c r="AD110" s="588">
        <f>CHOOSE(PLColumn,IFERROR(GETPIVOTDATA("Sum of "&amp;AD$9,'PT-All'!$A$1,"Scenario",AD$12,"P&amp;L Item",$B110),0),IFERROR(GETPIVOTDATA("Sum of "&amp;AD$9,'PT-All'!$A$1,"Scenario",AD$12,"P&amp;L Item",$B110)/AD$201,0),TEXT(IFERROR(GETPIVOTDATA("Sum of "&amp;AD$9,'PT-All'!$A$1,"Scenario",AD$12,"P&amp;L Item",$B110)/AD$29,0),"0.00%"))</f>
        <v>0</v>
      </c>
      <c r="AE110" s="588">
        <f>CHOOSE(PLColumn,IFERROR(GETPIVOTDATA("Sum of "&amp;AE$9,'PT-All'!$A$1,"Scenario",AE$12,"P&amp;L Item",$B110),0),IFERROR(GETPIVOTDATA("Sum of "&amp;AE$9,'PT-All'!$A$1,"Scenario",AE$12,"P&amp;L Item",$B110)/AE$201,0),TEXT(IFERROR(GETPIVOTDATA("Sum of "&amp;AE$9,'PT-All'!$A$1,"Scenario",AE$12,"P&amp;L Item",$B110)/AE$29,0),"0.00%"))</f>
        <v>0</v>
      </c>
      <c r="AF110" s="588">
        <f>CHOOSE(PLColumn,IFERROR(GETPIVOTDATA("Sum of "&amp;AF$9,'PT-All'!$A$1,"Scenario",AF$12,"P&amp;L Item",$B110),0),IFERROR(GETPIVOTDATA("Sum of "&amp;AF$9,'PT-All'!$A$1,"Scenario",AF$12,"P&amp;L Item",$B110)/AF$201,0),TEXT(IFERROR(GETPIVOTDATA("Sum of "&amp;AF$9,'PT-All'!$A$1,"Scenario",AF$12,"P&amp;L Item",$B110)/AF$29,0),"0.00%"))</f>
        <v>0</v>
      </c>
      <c r="AG110" s="588">
        <f>CHOOSE(PLColumn,IFERROR(GETPIVOTDATA("Sum of "&amp;AG$9,'PT-All'!$A$1,"Scenario",AG$12,"P&amp;L Item",$B110),0),IFERROR(GETPIVOTDATA("Sum of "&amp;AG$9,'PT-All'!$A$1,"Scenario",AG$12,"P&amp;L Item",$B110)/AG$201,0),TEXT(IFERROR(GETPIVOTDATA("Sum of "&amp;AG$9,'PT-All'!$A$1,"Scenario",AG$12,"P&amp;L Item",$B110)/AG$29,0),"0.00%"))</f>
        <v>0</v>
      </c>
      <c r="AH110" s="588">
        <f>CHOOSE(PLColumn,IFERROR(GETPIVOTDATA("Sum of "&amp;AH$9,'PT-All'!$A$1,"Scenario",AH$12,"P&amp;L Item",$B110),0),IFERROR(GETPIVOTDATA("Sum of "&amp;AH$9,'PT-All'!$A$1,"Scenario",AH$12,"P&amp;L Item",$B110)/AH$201,0),TEXT(IFERROR(GETPIVOTDATA("Sum of "&amp;AH$9,'PT-All'!$A$1,"Scenario",AH$12,"P&amp;L Item",$B110)/AH$29,0),"0.00%"))</f>
        <v>0</v>
      </c>
      <c r="AI110" s="588">
        <f>CHOOSE(PLColumn,IFERROR(GETPIVOTDATA("Sum of "&amp;AI$9,'PT-All'!$A$1,"Scenario",AI$12,"P&amp;L Item",$B110),0),IFERROR(GETPIVOTDATA("Sum of "&amp;AI$9,'PT-All'!$A$1,"Scenario",AI$12,"P&amp;L Item",$B110)/AI$201,0),TEXT(IFERROR(GETPIVOTDATA("Sum of "&amp;AI$9,'PT-All'!$A$1,"Scenario",AI$12,"P&amp;L Item",$B110)/AI$29,0),"0.00%"))</f>
        <v>0</v>
      </c>
      <c r="AJ110" s="588">
        <f>CHOOSE(PLColumn,IFERROR(GETPIVOTDATA("Sum of "&amp;AJ$9,'PT-All'!$A$1,"Scenario",AJ$12,"P&amp;L Item",$B110),0),IFERROR(GETPIVOTDATA("Sum of "&amp;AJ$9,'PT-All'!$A$1,"Scenario",AJ$12,"P&amp;L Item",$B110)/AJ$201,0),TEXT(IFERROR(GETPIVOTDATA("Sum of "&amp;AJ$9,'PT-All'!$A$1,"Scenario",AJ$12,"P&amp;L Item",$B110)/AJ$29,0),"0.00%"))</f>
        <v>0</v>
      </c>
      <c r="AK110" s="588">
        <f>CHOOSE(PLColumn,IFERROR(GETPIVOTDATA("Sum of "&amp;AK$9,'PT-All'!$A$1,"Scenario",AK$12,"P&amp;L Item",$B110),0),IFERROR(GETPIVOTDATA("Sum of "&amp;AK$9,'PT-All'!$A$1,"Scenario",AK$12,"P&amp;L Item",$B110)/AK$201,0),TEXT(IFERROR(GETPIVOTDATA("Sum of "&amp;AK$9,'PT-All'!$A$1,"Scenario",AK$12,"P&amp;L Item",$B110)/AK$29,0),"0.00%"))</f>
        <v>0</v>
      </c>
      <c r="AL110" s="589">
        <f>CHOOSE(PLColumn,IFERROR(GETPIVOTDATA("Sum of "&amp;AL$9,'PT-All'!$A$1,"Scenario",AL$12,"P&amp;L Item",$B110),0),IFERROR(GETPIVOTDATA("Sum of "&amp;AL$9,'PT-All'!$A$1,"Scenario",AL$12,"P&amp;L Item",$B110)/AL$201,0),TEXT(IFERROR(GETPIVOTDATA("Sum of "&amp;AL$9,'PT-All'!$A$1,"Scenario",AL$12,"P&amp;L Item",$B110)/AL$29,0),"0.00%"))</f>
        <v>0</v>
      </c>
      <c r="AM110" s="590"/>
      <c r="AN110" s="591">
        <f ca="1">IF(AN$12="Pro Forma",SUM(OFFSET($B110,0,3*AN$9+1,1,3)),IFERROR(GETPIVOTDATA("Sum of Q"&amp;AN$9+1,'PT-All'!$A$1,"Scenario",AN$12,"P&amp;L Item",$B110),0))</f>
        <v>0</v>
      </c>
      <c r="AO110" s="588">
        <f ca="1">IF(AO$12="Pro Forma",SUM(OFFSET($B110,0,3*AO$9+1,1,3)),IFERROR(GETPIVOTDATA("Sum of Q"&amp;AO$9+1,'PT-All'!$A$1,"Scenario",AO$12,"P&amp;L Item",$B110),0))</f>
        <v>0</v>
      </c>
      <c r="AP110" s="588">
        <f ca="1">IF(AP$12="Pro Forma",SUM(OFFSET($B110,0,3*AP$9+1,1,3)),IFERROR(GETPIVOTDATA("Sum of Q"&amp;AP$9+1,'PT-All'!$A$1,"Scenario",AP$12,"P&amp;L Item",$B110),0))</f>
        <v>0</v>
      </c>
      <c r="AQ110" s="588">
        <f ca="1">IF(AQ$12="Pro Forma",SUM(OFFSET($B110,0,3*AQ$9+1,1,3)),IFERROR(GETPIVOTDATA("Sum of Q"&amp;AQ$9+1,'PT-All'!$A$1,"Scenario",AQ$12,"P&amp;L Item",$B110),0))</f>
        <v>0</v>
      </c>
      <c r="AR110" s="588">
        <f ca="1">IF(AR$12="Pro Forma",SUM(OFFSET($B110,0,3*AR$9+1,1,3)),IFERROR(GETPIVOTDATA("Sum of Q"&amp;AR$9+1,'PT-All'!$A$1,"Scenario",AR$12,"P&amp;L Item",$B110),0))</f>
        <v>0</v>
      </c>
      <c r="AS110" s="588">
        <f ca="1">IF(AS$12="Pro Forma",SUM(OFFSET($B110,0,3*AS$9+1,1,3)),IFERROR(GETPIVOTDATA("Sum of Q"&amp;AS$9+1,'PT-All'!$A$1,"Scenario",AS$12,"P&amp;L Item",$B110),0))</f>
        <v>0</v>
      </c>
      <c r="AT110" s="588">
        <f ca="1">IF(AT$12="Pro Forma",SUM(OFFSET($B110,0,3*AT$9+1,1,3)),IFERROR(GETPIVOTDATA("Sum of Q"&amp;AT$9+1,'PT-All'!$A$1,"Scenario",AT$12,"P&amp;L Item",$B110),0))</f>
        <v>0</v>
      </c>
      <c r="AU110" s="588">
        <f ca="1">IF(AU$12="Pro Forma",SUM(OFFSET($B110,0,3*AU$9+1,1,3)),IFERROR(GETPIVOTDATA("Sum of Q"&amp;AU$9+1,'PT-All'!$A$1,"Scenario",AU$12,"P&amp;L Item",$B110),0))</f>
        <v>0</v>
      </c>
      <c r="AV110" s="588">
        <f ca="1">IF(AV$12="Pro Forma",SUM(OFFSET($B110,0,3*AV$9+1,1,3)),IFERROR(GETPIVOTDATA("Sum of Q"&amp;AV$9+1,'PT-All'!$A$1,"Scenario",AV$12,"P&amp;L Item",$B110),0))</f>
        <v>0</v>
      </c>
      <c r="AW110" s="588">
        <f ca="1">IF(AW$12="Pro Forma",SUM(OFFSET($B110,0,3*AW$9+1,1,3)),IFERROR(GETPIVOTDATA("Sum of Q"&amp;AW$9+1,'PT-All'!$A$1,"Scenario",AW$12,"P&amp;L Item",$B110),0))</f>
        <v>0</v>
      </c>
      <c r="AX110" s="588">
        <f ca="1">IF(AX$12="Pro Forma",SUM(OFFSET($B110,0,3*AX$9+1,1,3)),IFERROR(GETPIVOTDATA("Sum of Q"&amp;AX$9+1,'PT-All'!$A$1,"Scenario",AX$12,"P&amp;L Item",$B110),0))</f>
        <v>0</v>
      </c>
      <c r="AY110" s="589">
        <f ca="1">IF(AY$12="Pro Forma",SUM(OFFSET($B110,0,3*AY$9+1,1,3)),IFERROR(GETPIVOTDATA("Sum of Q"&amp;AY$9+1,'PT-All'!$A$1,"Scenario",AY$12,"P&amp;L Item",$B110),0))</f>
        <v>0</v>
      </c>
      <c r="AZ110" s="590"/>
      <c r="BA110" s="591">
        <f ca="1">IF(BA$12="Pro Forma",SUM(OFFSET($B110,0,12*BA$9+1,1,12)),IFERROR(GETPIVOTDATA("Sum of FY"&amp;BA$9+1,'PT-All'!$A$1,"Scenario",BA$12,"P&amp;L Item",$B110),0))</f>
        <v>0</v>
      </c>
      <c r="BB110" s="588">
        <f ca="1">IF(BB$12="Pro Forma",SUM(OFFSET($B110,0,12*BB$9+1,1,12)),IFERROR(GETPIVOTDATA("Sum of FY"&amp;BB$9+1,'PT-All'!$A$1,"Scenario",BB$12,"P&amp;L Item",$B110),0))</f>
        <v>0</v>
      </c>
      <c r="BC110" s="589">
        <f ca="1">IF(BC$12="Pro Forma",SUM(OFFSET($B110,0,12*BC$9+1,1,12)),IFERROR(GETPIVOTDATA("Sum of FY"&amp;BC$9+1,'PT-All'!$A$1,"Scenario",BC$12,"P&amp;L Item",$B110),0))</f>
        <v>0</v>
      </c>
    </row>
    <row r="111" spans="2:55" x14ac:dyDescent="0.35">
      <c r="B111" s="74" t="s">
        <v>141</v>
      </c>
      <c r="C111" s="592">
        <f t="shared" ref="C111:AN111" si="239">SUM(C112,C120)</f>
        <v>0</v>
      </c>
      <c r="D111" s="592">
        <f t="shared" si="239"/>
        <v>0</v>
      </c>
      <c r="E111" s="592">
        <f t="shared" si="239"/>
        <v>0</v>
      </c>
      <c r="F111" s="592">
        <f t="shared" si="239"/>
        <v>0</v>
      </c>
      <c r="G111" s="592">
        <f t="shared" si="239"/>
        <v>0</v>
      </c>
      <c r="H111" s="592">
        <f t="shared" si="239"/>
        <v>0</v>
      </c>
      <c r="I111" s="592">
        <f t="shared" si="239"/>
        <v>0</v>
      </c>
      <c r="J111" s="592">
        <f t="shared" si="239"/>
        <v>0</v>
      </c>
      <c r="K111" s="592">
        <f t="shared" si="239"/>
        <v>0</v>
      </c>
      <c r="L111" s="592">
        <f t="shared" si="239"/>
        <v>0</v>
      </c>
      <c r="M111" s="592">
        <f t="shared" si="239"/>
        <v>0</v>
      </c>
      <c r="N111" s="592">
        <f t="shared" si="239"/>
        <v>0</v>
      </c>
      <c r="O111" s="592">
        <f t="shared" si="239"/>
        <v>0</v>
      </c>
      <c r="P111" s="592">
        <f t="shared" si="239"/>
        <v>0</v>
      </c>
      <c r="Q111" s="592">
        <f t="shared" si="239"/>
        <v>0</v>
      </c>
      <c r="R111" s="592">
        <f t="shared" si="239"/>
        <v>0</v>
      </c>
      <c r="S111" s="592">
        <f t="shared" si="239"/>
        <v>0</v>
      </c>
      <c r="T111" s="592">
        <f t="shared" si="239"/>
        <v>0</v>
      </c>
      <c r="U111" s="592">
        <f t="shared" si="239"/>
        <v>0</v>
      </c>
      <c r="V111" s="592">
        <f t="shared" si="239"/>
        <v>0</v>
      </c>
      <c r="W111" s="592">
        <f t="shared" si="239"/>
        <v>0</v>
      </c>
      <c r="X111" s="592">
        <f t="shared" si="239"/>
        <v>0</v>
      </c>
      <c r="Y111" s="592">
        <f t="shared" si="239"/>
        <v>0</v>
      </c>
      <c r="Z111" s="592">
        <f t="shared" ref="Z111:AL111" si="240">SUM(Z112,Z120)</f>
        <v>0</v>
      </c>
      <c r="AA111" s="592">
        <f t="shared" si="240"/>
        <v>0</v>
      </c>
      <c r="AB111" s="592">
        <f t="shared" si="240"/>
        <v>0</v>
      </c>
      <c r="AC111" s="592">
        <f t="shared" si="240"/>
        <v>0</v>
      </c>
      <c r="AD111" s="592">
        <f t="shared" si="240"/>
        <v>0</v>
      </c>
      <c r="AE111" s="592">
        <f t="shared" si="240"/>
        <v>0</v>
      </c>
      <c r="AF111" s="592">
        <f t="shared" si="240"/>
        <v>0</v>
      </c>
      <c r="AG111" s="592">
        <f t="shared" si="240"/>
        <v>0</v>
      </c>
      <c r="AH111" s="592">
        <f t="shared" si="240"/>
        <v>0</v>
      </c>
      <c r="AI111" s="592">
        <f t="shared" si="240"/>
        <v>0</v>
      </c>
      <c r="AJ111" s="592">
        <f t="shared" si="240"/>
        <v>0</v>
      </c>
      <c r="AK111" s="592">
        <f t="shared" si="240"/>
        <v>0</v>
      </c>
      <c r="AL111" s="593">
        <f t="shared" si="240"/>
        <v>0</v>
      </c>
      <c r="AM111" s="590"/>
      <c r="AN111" s="594">
        <f t="shared" ca="1" si="239"/>
        <v>0</v>
      </c>
      <c r="AO111" s="592">
        <f t="shared" ref="AO111" ca="1" si="241">SUM(AO112,AO120)</f>
        <v>0</v>
      </c>
      <c r="AP111" s="592">
        <f t="shared" ref="AP111" ca="1" si="242">SUM(AP112,AP120)</f>
        <v>0</v>
      </c>
      <c r="AQ111" s="592">
        <f t="shared" ref="AQ111" ca="1" si="243">SUM(AQ112,AQ120)</f>
        <v>0</v>
      </c>
      <c r="AR111" s="592">
        <f t="shared" ref="AR111" ca="1" si="244">SUM(AR112,AR120)</f>
        <v>0</v>
      </c>
      <c r="AS111" s="592">
        <f t="shared" ref="AS111" ca="1" si="245">SUM(AS112,AS120)</f>
        <v>0</v>
      </c>
      <c r="AT111" s="592">
        <f t="shared" ref="AT111:AY111" ca="1" si="246">SUM(AT112,AT120)</f>
        <v>0</v>
      </c>
      <c r="AU111" s="592">
        <f t="shared" ca="1" si="246"/>
        <v>0</v>
      </c>
      <c r="AV111" s="592">
        <f t="shared" ca="1" si="246"/>
        <v>0</v>
      </c>
      <c r="AW111" s="592">
        <f t="shared" ca="1" si="246"/>
        <v>0</v>
      </c>
      <c r="AX111" s="592">
        <f t="shared" ca="1" si="246"/>
        <v>0</v>
      </c>
      <c r="AY111" s="593">
        <f t="shared" ca="1" si="246"/>
        <v>0</v>
      </c>
      <c r="AZ111" s="590"/>
      <c r="BA111" s="594">
        <f t="shared" ref="BA111" ca="1" si="247">SUM(BA112,BA120)</f>
        <v>0</v>
      </c>
      <c r="BB111" s="592">
        <f t="shared" ref="BB111:BC111" ca="1" si="248">SUM(BB112,BB120)</f>
        <v>0</v>
      </c>
      <c r="BC111" s="593">
        <f t="shared" ca="1" si="248"/>
        <v>0</v>
      </c>
    </row>
    <row r="112" spans="2:55" x14ac:dyDescent="0.35">
      <c r="B112" s="359" t="s">
        <v>142</v>
      </c>
      <c r="C112" s="592">
        <f t="shared" ref="C112:AN112" si="249">SUM(C113:C119)</f>
        <v>0</v>
      </c>
      <c r="D112" s="592">
        <f t="shared" si="249"/>
        <v>0</v>
      </c>
      <c r="E112" s="592">
        <f t="shared" si="249"/>
        <v>0</v>
      </c>
      <c r="F112" s="592">
        <f t="shared" si="249"/>
        <v>0</v>
      </c>
      <c r="G112" s="592">
        <f t="shared" si="249"/>
        <v>0</v>
      </c>
      <c r="H112" s="592">
        <f t="shared" si="249"/>
        <v>0</v>
      </c>
      <c r="I112" s="592">
        <f t="shared" si="249"/>
        <v>0</v>
      </c>
      <c r="J112" s="592">
        <f t="shared" si="249"/>
        <v>0</v>
      </c>
      <c r="K112" s="592">
        <f t="shared" si="249"/>
        <v>0</v>
      </c>
      <c r="L112" s="592">
        <f t="shared" si="249"/>
        <v>0</v>
      </c>
      <c r="M112" s="592">
        <f t="shared" si="249"/>
        <v>0</v>
      </c>
      <c r="N112" s="592">
        <f t="shared" si="249"/>
        <v>0</v>
      </c>
      <c r="O112" s="592">
        <f t="shared" si="249"/>
        <v>0</v>
      </c>
      <c r="P112" s="592">
        <f t="shared" si="249"/>
        <v>0</v>
      </c>
      <c r="Q112" s="592">
        <f t="shared" si="249"/>
        <v>0</v>
      </c>
      <c r="R112" s="592">
        <f t="shared" si="249"/>
        <v>0</v>
      </c>
      <c r="S112" s="592">
        <f t="shared" si="249"/>
        <v>0</v>
      </c>
      <c r="T112" s="592">
        <f t="shared" si="249"/>
        <v>0</v>
      </c>
      <c r="U112" s="592">
        <f t="shared" si="249"/>
        <v>0</v>
      </c>
      <c r="V112" s="592">
        <f t="shared" si="249"/>
        <v>0</v>
      </c>
      <c r="W112" s="592">
        <f t="shared" si="249"/>
        <v>0</v>
      </c>
      <c r="X112" s="592">
        <f t="shared" si="249"/>
        <v>0</v>
      </c>
      <c r="Y112" s="592">
        <f t="shared" si="249"/>
        <v>0</v>
      </c>
      <c r="Z112" s="592">
        <f t="shared" ref="Z112:AL112" si="250">SUM(Z113:Z119)</f>
        <v>0</v>
      </c>
      <c r="AA112" s="592">
        <f t="shared" si="250"/>
        <v>0</v>
      </c>
      <c r="AB112" s="592">
        <f t="shared" si="250"/>
        <v>0</v>
      </c>
      <c r="AC112" s="592">
        <f t="shared" si="250"/>
        <v>0</v>
      </c>
      <c r="AD112" s="592">
        <f t="shared" si="250"/>
        <v>0</v>
      </c>
      <c r="AE112" s="592">
        <f t="shared" si="250"/>
        <v>0</v>
      </c>
      <c r="AF112" s="592">
        <f t="shared" si="250"/>
        <v>0</v>
      </c>
      <c r="AG112" s="592">
        <f t="shared" si="250"/>
        <v>0</v>
      </c>
      <c r="AH112" s="592">
        <f t="shared" si="250"/>
        <v>0</v>
      </c>
      <c r="AI112" s="592">
        <f t="shared" si="250"/>
        <v>0</v>
      </c>
      <c r="AJ112" s="592">
        <f t="shared" si="250"/>
        <v>0</v>
      </c>
      <c r="AK112" s="592">
        <f t="shared" si="250"/>
        <v>0</v>
      </c>
      <c r="AL112" s="593">
        <f t="shared" si="250"/>
        <v>0</v>
      </c>
      <c r="AM112" s="590"/>
      <c r="AN112" s="594">
        <f t="shared" ca="1" si="249"/>
        <v>0</v>
      </c>
      <c r="AO112" s="592">
        <f t="shared" ref="AO112" ca="1" si="251">SUM(AO113:AO119)</f>
        <v>0</v>
      </c>
      <c r="AP112" s="592">
        <f t="shared" ref="AP112" ca="1" si="252">SUM(AP113:AP119)</f>
        <v>0</v>
      </c>
      <c r="AQ112" s="592">
        <f t="shared" ref="AQ112" ca="1" si="253">SUM(AQ113:AQ119)</f>
        <v>0</v>
      </c>
      <c r="AR112" s="592">
        <f t="shared" ref="AR112" ca="1" si="254">SUM(AR113:AR119)</f>
        <v>0</v>
      </c>
      <c r="AS112" s="592">
        <f t="shared" ref="AS112" ca="1" si="255">SUM(AS113:AS119)</f>
        <v>0</v>
      </c>
      <c r="AT112" s="592">
        <f t="shared" ref="AT112:AY112" ca="1" si="256">SUM(AT113:AT119)</f>
        <v>0</v>
      </c>
      <c r="AU112" s="592">
        <f t="shared" ca="1" si="256"/>
        <v>0</v>
      </c>
      <c r="AV112" s="592">
        <f t="shared" ca="1" si="256"/>
        <v>0</v>
      </c>
      <c r="AW112" s="592">
        <f t="shared" ca="1" si="256"/>
        <v>0</v>
      </c>
      <c r="AX112" s="592">
        <f t="shared" ca="1" si="256"/>
        <v>0</v>
      </c>
      <c r="AY112" s="593">
        <f t="shared" ca="1" si="256"/>
        <v>0</v>
      </c>
      <c r="AZ112" s="590"/>
      <c r="BA112" s="594">
        <f t="shared" ref="BA112" ca="1" si="257">SUM(BA113:BA119)</f>
        <v>0</v>
      </c>
      <c r="BB112" s="592">
        <f t="shared" ref="BB112:BC112" ca="1" si="258">SUM(BB113:BB119)</f>
        <v>0</v>
      </c>
      <c r="BC112" s="593">
        <f t="shared" ca="1" si="258"/>
        <v>0</v>
      </c>
    </row>
    <row r="113" spans="2:55" x14ac:dyDescent="0.35">
      <c r="B113" s="76" t="s">
        <v>143</v>
      </c>
      <c r="C113" s="65">
        <f>CHOOSE(PLColumn,IFERROR(GETPIVOTDATA("Sum of "&amp;C$9,'PT-All'!$A$1,"Scenario",C$12,"P&amp;L Item",$B113),0),IFERROR(GETPIVOTDATA("Sum of "&amp;C$9,'PT-All'!$A$1,"Scenario",C$12,"P&amp;L Item",$B113)/C$201,0),TEXT(IFERROR(GETPIVOTDATA("Sum of "&amp;C$9,'PT-All'!$A$1,"Scenario",C$12,"P&amp;L Item",$B113)/C$29,0),"0.00%"))</f>
        <v>0</v>
      </c>
      <c r="D113" s="65">
        <f>CHOOSE(PLColumn,IFERROR(GETPIVOTDATA("Sum of "&amp;D$9,'PT-All'!$A$1,"Scenario",D$12,"P&amp;L Item",$B113),0),IFERROR(GETPIVOTDATA("Sum of "&amp;D$9,'PT-All'!$A$1,"Scenario",D$12,"P&amp;L Item",$B113)/D$201,0),TEXT(IFERROR(GETPIVOTDATA("Sum of "&amp;D$9,'PT-All'!$A$1,"Scenario",D$12,"P&amp;L Item",$B113)/D$29,0),"0.00%"))</f>
        <v>0</v>
      </c>
      <c r="E113" s="65">
        <f>CHOOSE(PLColumn,IFERROR(GETPIVOTDATA("Sum of "&amp;E$9,'PT-All'!$A$1,"Scenario",E$12,"P&amp;L Item",$B113),0),IFERROR(GETPIVOTDATA("Sum of "&amp;E$9,'PT-All'!$A$1,"Scenario",E$12,"P&amp;L Item",$B113)/E$201,0),TEXT(IFERROR(GETPIVOTDATA("Sum of "&amp;E$9,'PT-All'!$A$1,"Scenario",E$12,"P&amp;L Item",$B113)/E$29,0),"0.00%"))</f>
        <v>0</v>
      </c>
      <c r="F113" s="65">
        <f>CHOOSE(PLColumn,IFERROR(GETPIVOTDATA("Sum of "&amp;F$9,'PT-All'!$A$1,"Scenario",F$12,"P&amp;L Item",$B113),0),IFERROR(GETPIVOTDATA("Sum of "&amp;F$9,'PT-All'!$A$1,"Scenario",F$12,"P&amp;L Item",$B113)/F$201,0),TEXT(IFERROR(GETPIVOTDATA("Sum of "&amp;F$9,'PT-All'!$A$1,"Scenario",F$12,"P&amp;L Item",$B113)/F$29,0),"0.00%"))</f>
        <v>0</v>
      </c>
      <c r="G113" s="65">
        <f>CHOOSE(PLColumn,IFERROR(GETPIVOTDATA("Sum of "&amp;G$9,'PT-All'!$A$1,"Scenario",G$12,"P&amp;L Item",$B113),0),IFERROR(GETPIVOTDATA("Sum of "&amp;G$9,'PT-All'!$A$1,"Scenario",G$12,"P&amp;L Item",$B113)/G$201,0),TEXT(IFERROR(GETPIVOTDATA("Sum of "&amp;G$9,'PT-All'!$A$1,"Scenario",G$12,"P&amp;L Item",$B113)/G$29,0),"0.00%"))</f>
        <v>0</v>
      </c>
      <c r="H113" s="65">
        <f>CHOOSE(PLColumn,IFERROR(GETPIVOTDATA("Sum of "&amp;H$9,'PT-All'!$A$1,"Scenario",H$12,"P&amp;L Item",$B113),0),IFERROR(GETPIVOTDATA("Sum of "&amp;H$9,'PT-All'!$A$1,"Scenario",H$12,"P&amp;L Item",$B113)/H$201,0),TEXT(IFERROR(GETPIVOTDATA("Sum of "&amp;H$9,'PT-All'!$A$1,"Scenario",H$12,"P&amp;L Item",$B113)/H$29,0),"0.00%"))</f>
        <v>0</v>
      </c>
      <c r="I113" s="65">
        <f>CHOOSE(PLColumn,IFERROR(GETPIVOTDATA("Sum of "&amp;I$9,'PT-All'!$A$1,"Scenario",I$12,"P&amp;L Item",$B113),0),IFERROR(GETPIVOTDATA("Sum of "&amp;I$9,'PT-All'!$A$1,"Scenario",I$12,"P&amp;L Item",$B113)/I$201,0),TEXT(IFERROR(GETPIVOTDATA("Sum of "&amp;I$9,'PT-All'!$A$1,"Scenario",I$12,"P&amp;L Item",$B113)/I$29,0),"0.00%"))</f>
        <v>0</v>
      </c>
      <c r="J113" s="65">
        <f>CHOOSE(PLColumn,IFERROR(GETPIVOTDATA("Sum of "&amp;J$9,'PT-All'!$A$1,"Scenario",J$12,"P&amp;L Item",$B113),0),IFERROR(GETPIVOTDATA("Sum of "&amp;J$9,'PT-All'!$A$1,"Scenario",J$12,"P&amp;L Item",$B113)/J$201,0),TEXT(IFERROR(GETPIVOTDATA("Sum of "&amp;J$9,'PT-All'!$A$1,"Scenario",J$12,"P&amp;L Item",$B113)/J$29,0),"0.00%"))</f>
        <v>0</v>
      </c>
      <c r="K113" s="65">
        <f>CHOOSE(PLColumn,IFERROR(GETPIVOTDATA("Sum of "&amp;K$9,'PT-All'!$A$1,"Scenario",K$12,"P&amp;L Item",$B113),0),IFERROR(GETPIVOTDATA("Sum of "&amp;K$9,'PT-All'!$A$1,"Scenario",K$12,"P&amp;L Item",$B113)/K$201,0),TEXT(IFERROR(GETPIVOTDATA("Sum of "&amp;K$9,'PT-All'!$A$1,"Scenario",K$12,"P&amp;L Item",$B113)/K$29,0),"0.00%"))</f>
        <v>0</v>
      </c>
      <c r="L113" s="65">
        <f>CHOOSE(PLColumn,IFERROR(GETPIVOTDATA("Sum of "&amp;L$9,'PT-All'!$A$1,"Scenario",L$12,"P&amp;L Item",$B113),0),IFERROR(GETPIVOTDATA("Sum of "&amp;L$9,'PT-All'!$A$1,"Scenario",L$12,"P&amp;L Item",$B113)/L$201,0),TEXT(IFERROR(GETPIVOTDATA("Sum of "&amp;L$9,'PT-All'!$A$1,"Scenario",L$12,"P&amp;L Item",$B113)/L$29,0),"0.00%"))</f>
        <v>0</v>
      </c>
      <c r="M113" s="65">
        <f>CHOOSE(PLColumn,IFERROR(GETPIVOTDATA("Sum of "&amp;M$9,'PT-All'!$A$1,"Scenario",M$12,"P&amp;L Item",$B113),0),IFERROR(GETPIVOTDATA("Sum of "&amp;M$9,'PT-All'!$A$1,"Scenario",M$12,"P&amp;L Item",$B113)/M$201,0),TEXT(IFERROR(GETPIVOTDATA("Sum of "&amp;M$9,'PT-All'!$A$1,"Scenario",M$12,"P&amp;L Item",$B113)/M$29,0),"0.00%"))</f>
        <v>0</v>
      </c>
      <c r="N113" s="65">
        <f>CHOOSE(PLColumn,IFERROR(GETPIVOTDATA("Sum of "&amp;N$9,'PT-All'!$A$1,"Scenario",N$12,"P&amp;L Item",$B113),0),IFERROR(GETPIVOTDATA("Sum of "&amp;N$9,'PT-All'!$A$1,"Scenario",N$12,"P&amp;L Item",$B113)/N$201,0),TEXT(IFERROR(GETPIVOTDATA("Sum of "&amp;N$9,'PT-All'!$A$1,"Scenario",N$12,"P&amp;L Item",$B113)/N$29,0),"0.00%"))</f>
        <v>0</v>
      </c>
      <c r="O113" s="65">
        <f>CHOOSE(PLColumn,IFERROR(GETPIVOTDATA("Sum of "&amp;O$9,'PT-All'!$A$1,"Scenario",O$12,"P&amp;L Item",$B113),0),IFERROR(GETPIVOTDATA("Sum of "&amp;O$9,'PT-All'!$A$1,"Scenario",O$12,"P&amp;L Item",$B113)/O$201,0),TEXT(IFERROR(GETPIVOTDATA("Sum of "&amp;O$9,'PT-All'!$A$1,"Scenario",O$12,"P&amp;L Item",$B113)/O$29,0),"0.00%"))</f>
        <v>0</v>
      </c>
      <c r="P113" s="65">
        <f>CHOOSE(PLColumn,IFERROR(GETPIVOTDATA("Sum of "&amp;P$9,'PT-All'!$A$1,"Scenario",P$12,"P&amp;L Item",$B113),0),IFERROR(GETPIVOTDATA("Sum of "&amp;P$9,'PT-All'!$A$1,"Scenario",P$12,"P&amp;L Item",$B113)/P$201,0),TEXT(IFERROR(GETPIVOTDATA("Sum of "&amp;P$9,'PT-All'!$A$1,"Scenario",P$12,"P&amp;L Item",$B113)/P$29,0),"0.00%"))</f>
        <v>0</v>
      </c>
      <c r="Q113" s="65">
        <f>CHOOSE(PLColumn,IFERROR(GETPIVOTDATA("Sum of "&amp;Q$9,'PT-All'!$A$1,"Scenario",Q$12,"P&amp;L Item",$B113),0),IFERROR(GETPIVOTDATA("Sum of "&amp;Q$9,'PT-All'!$A$1,"Scenario",Q$12,"P&amp;L Item",$B113)/Q$201,0),TEXT(IFERROR(GETPIVOTDATA("Sum of "&amp;Q$9,'PT-All'!$A$1,"Scenario",Q$12,"P&amp;L Item",$B113)/Q$29,0),"0.00%"))</f>
        <v>0</v>
      </c>
      <c r="R113" s="65">
        <f>CHOOSE(PLColumn,IFERROR(GETPIVOTDATA("Sum of "&amp;R$9,'PT-All'!$A$1,"Scenario",R$12,"P&amp;L Item",$B113),0),IFERROR(GETPIVOTDATA("Sum of "&amp;R$9,'PT-All'!$A$1,"Scenario",R$12,"P&amp;L Item",$B113)/R$201,0),TEXT(IFERROR(GETPIVOTDATA("Sum of "&amp;R$9,'PT-All'!$A$1,"Scenario",R$12,"P&amp;L Item",$B113)/R$29,0),"0.00%"))</f>
        <v>0</v>
      </c>
      <c r="S113" s="65">
        <f>CHOOSE(PLColumn,IFERROR(GETPIVOTDATA("Sum of "&amp;S$9,'PT-All'!$A$1,"Scenario",S$12,"P&amp;L Item",$B113),0),IFERROR(GETPIVOTDATA("Sum of "&amp;S$9,'PT-All'!$A$1,"Scenario",S$12,"P&amp;L Item",$B113)/S$201,0),TEXT(IFERROR(GETPIVOTDATA("Sum of "&amp;S$9,'PT-All'!$A$1,"Scenario",S$12,"P&amp;L Item",$B113)/S$29,0),"0.00%"))</f>
        <v>0</v>
      </c>
      <c r="T113" s="65">
        <f>CHOOSE(PLColumn,IFERROR(GETPIVOTDATA("Sum of "&amp;T$9,'PT-All'!$A$1,"Scenario",T$12,"P&amp;L Item",$B113),0),IFERROR(GETPIVOTDATA("Sum of "&amp;T$9,'PT-All'!$A$1,"Scenario",T$12,"P&amp;L Item",$B113)/T$201,0),TEXT(IFERROR(GETPIVOTDATA("Sum of "&amp;T$9,'PT-All'!$A$1,"Scenario",T$12,"P&amp;L Item",$B113)/T$29,0),"0.00%"))</f>
        <v>0</v>
      </c>
      <c r="U113" s="65">
        <f>CHOOSE(PLColumn,IFERROR(GETPIVOTDATA("Sum of "&amp;U$9,'PT-All'!$A$1,"Scenario",U$12,"P&amp;L Item",$B113),0),IFERROR(GETPIVOTDATA("Sum of "&amp;U$9,'PT-All'!$A$1,"Scenario",U$12,"P&amp;L Item",$B113)/U$201,0),TEXT(IFERROR(GETPIVOTDATA("Sum of "&amp;U$9,'PT-All'!$A$1,"Scenario",U$12,"P&amp;L Item",$B113)/U$29,0),"0.00%"))</f>
        <v>0</v>
      </c>
      <c r="V113" s="65">
        <f>CHOOSE(PLColumn,IFERROR(GETPIVOTDATA("Sum of "&amp;V$9,'PT-All'!$A$1,"Scenario",V$12,"P&amp;L Item",$B113),0),IFERROR(GETPIVOTDATA("Sum of "&amp;V$9,'PT-All'!$A$1,"Scenario",V$12,"P&amp;L Item",$B113)/V$201,0),TEXT(IFERROR(GETPIVOTDATA("Sum of "&amp;V$9,'PT-All'!$A$1,"Scenario",V$12,"P&amp;L Item",$B113)/V$29,0),"0.00%"))</f>
        <v>0</v>
      </c>
      <c r="W113" s="65">
        <f>CHOOSE(PLColumn,IFERROR(GETPIVOTDATA("Sum of "&amp;W$9,'PT-All'!$A$1,"Scenario",W$12,"P&amp;L Item",$B113),0),IFERROR(GETPIVOTDATA("Sum of "&amp;W$9,'PT-All'!$A$1,"Scenario",W$12,"P&amp;L Item",$B113)/W$201,0),TEXT(IFERROR(GETPIVOTDATA("Sum of "&amp;W$9,'PT-All'!$A$1,"Scenario",W$12,"P&amp;L Item",$B113)/W$29,0),"0.00%"))</f>
        <v>0</v>
      </c>
      <c r="X113" s="65">
        <f>CHOOSE(PLColumn,IFERROR(GETPIVOTDATA("Sum of "&amp;X$9,'PT-All'!$A$1,"Scenario",X$12,"P&amp;L Item",$B113),0),IFERROR(GETPIVOTDATA("Sum of "&amp;X$9,'PT-All'!$A$1,"Scenario",X$12,"P&amp;L Item",$B113)/X$201,0),TEXT(IFERROR(GETPIVOTDATA("Sum of "&amp;X$9,'PT-All'!$A$1,"Scenario",X$12,"P&amp;L Item",$B113)/X$29,0),"0.00%"))</f>
        <v>0</v>
      </c>
      <c r="Y113" s="65">
        <f>CHOOSE(PLColumn,IFERROR(GETPIVOTDATA("Sum of "&amp;Y$9,'PT-All'!$A$1,"Scenario",Y$12,"P&amp;L Item",$B113),0),IFERROR(GETPIVOTDATA("Sum of "&amp;Y$9,'PT-All'!$A$1,"Scenario",Y$12,"P&amp;L Item",$B113)/Y$201,0),TEXT(IFERROR(GETPIVOTDATA("Sum of "&amp;Y$9,'PT-All'!$A$1,"Scenario",Y$12,"P&amp;L Item",$B113)/Y$29,0),"0.00%"))</f>
        <v>0</v>
      </c>
      <c r="Z113" s="65">
        <f>CHOOSE(PLColumn,IFERROR(GETPIVOTDATA("Sum of "&amp;Z$9,'PT-All'!$A$1,"Scenario",Z$12,"P&amp;L Item",$B113),0),IFERROR(GETPIVOTDATA("Sum of "&amp;Z$9,'PT-All'!$A$1,"Scenario",Z$12,"P&amp;L Item",$B113)/Z$201,0),TEXT(IFERROR(GETPIVOTDATA("Sum of "&amp;Z$9,'PT-All'!$A$1,"Scenario",Z$12,"P&amp;L Item",$B113)/Z$29,0),"0.00%"))</f>
        <v>0</v>
      </c>
      <c r="AA113" s="65">
        <f>CHOOSE(PLColumn,IFERROR(GETPIVOTDATA("Sum of "&amp;AA$9,'PT-All'!$A$1,"Scenario",AA$12,"P&amp;L Item",$B113),0),IFERROR(GETPIVOTDATA("Sum of "&amp;AA$9,'PT-All'!$A$1,"Scenario",AA$12,"P&amp;L Item",$B113)/AA$201,0),TEXT(IFERROR(GETPIVOTDATA("Sum of "&amp;AA$9,'PT-All'!$A$1,"Scenario",AA$12,"P&amp;L Item",$B113)/AA$29,0),"0.00%"))</f>
        <v>0</v>
      </c>
      <c r="AB113" s="65">
        <f>CHOOSE(PLColumn,IFERROR(GETPIVOTDATA("Sum of "&amp;AB$9,'PT-All'!$A$1,"Scenario",AB$12,"P&amp;L Item",$B113),0),IFERROR(GETPIVOTDATA("Sum of "&amp;AB$9,'PT-All'!$A$1,"Scenario",AB$12,"P&amp;L Item",$B113)/AB$201,0),TEXT(IFERROR(GETPIVOTDATA("Sum of "&amp;AB$9,'PT-All'!$A$1,"Scenario",AB$12,"P&amp;L Item",$B113)/AB$29,0),"0.00%"))</f>
        <v>0</v>
      </c>
      <c r="AC113" s="65">
        <f>CHOOSE(PLColumn,IFERROR(GETPIVOTDATA("Sum of "&amp;AC$9,'PT-All'!$A$1,"Scenario",AC$12,"P&amp;L Item",$B113),0),IFERROR(GETPIVOTDATA("Sum of "&amp;AC$9,'PT-All'!$A$1,"Scenario",AC$12,"P&amp;L Item",$B113)/AC$201,0),TEXT(IFERROR(GETPIVOTDATA("Sum of "&amp;AC$9,'PT-All'!$A$1,"Scenario",AC$12,"P&amp;L Item",$B113)/AC$29,0),"0.00%"))</f>
        <v>0</v>
      </c>
      <c r="AD113" s="65">
        <f>CHOOSE(PLColumn,IFERROR(GETPIVOTDATA("Sum of "&amp;AD$9,'PT-All'!$A$1,"Scenario",AD$12,"P&amp;L Item",$B113),0),IFERROR(GETPIVOTDATA("Sum of "&amp;AD$9,'PT-All'!$A$1,"Scenario",AD$12,"P&amp;L Item",$B113)/AD$201,0),TEXT(IFERROR(GETPIVOTDATA("Sum of "&amp;AD$9,'PT-All'!$A$1,"Scenario",AD$12,"P&amp;L Item",$B113)/AD$29,0),"0.00%"))</f>
        <v>0</v>
      </c>
      <c r="AE113" s="65">
        <f>CHOOSE(PLColumn,IFERROR(GETPIVOTDATA("Sum of "&amp;AE$9,'PT-All'!$A$1,"Scenario",AE$12,"P&amp;L Item",$B113),0),IFERROR(GETPIVOTDATA("Sum of "&amp;AE$9,'PT-All'!$A$1,"Scenario",AE$12,"P&amp;L Item",$B113)/AE$201,0),TEXT(IFERROR(GETPIVOTDATA("Sum of "&amp;AE$9,'PT-All'!$A$1,"Scenario",AE$12,"P&amp;L Item",$B113)/AE$29,0),"0.00%"))</f>
        <v>0</v>
      </c>
      <c r="AF113" s="65">
        <f>CHOOSE(PLColumn,IFERROR(GETPIVOTDATA("Sum of "&amp;AF$9,'PT-All'!$A$1,"Scenario",AF$12,"P&amp;L Item",$B113),0),IFERROR(GETPIVOTDATA("Sum of "&amp;AF$9,'PT-All'!$A$1,"Scenario",AF$12,"P&amp;L Item",$B113)/AF$201,0),TEXT(IFERROR(GETPIVOTDATA("Sum of "&amp;AF$9,'PT-All'!$A$1,"Scenario",AF$12,"P&amp;L Item",$B113)/AF$29,0),"0.00%"))</f>
        <v>0</v>
      </c>
      <c r="AG113" s="65">
        <f>CHOOSE(PLColumn,IFERROR(GETPIVOTDATA("Sum of "&amp;AG$9,'PT-All'!$A$1,"Scenario",AG$12,"P&amp;L Item",$B113),0),IFERROR(GETPIVOTDATA("Sum of "&amp;AG$9,'PT-All'!$A$1,"Scenario",AG$12,"P&amp;L Item",$B113)/AG$201,0),TEXT(IFERROR(GETPIVOTDATA("Sum of "&amp;AG$9,'PT-All'!$A$1,"Scenario",AG$12,"P&amp;L Item",$B113)/AG$29,0),"0.00%"))</f>
        <v>0</v>
      </c>
      <c r="AH113" s="65">
        <f>CHOOSE(PLColumn,IFERROR(GETPIVOTDATA("Sum of "&amp;AH$9,'PT-All'!$A$1,"Scenario",AH$12,"P&amp;L Item",$B113),0),IFERROR(GETPIVOTDATA("Sum of "&amp;AH$9,'PT-All'!$A$1,"Scenario",AH$12,"P&amp;L Item",$B113)/AH$201,0),TEXT(IFERROR(GETPIVOTDATA("Sum of "&amp;AH$9,'PT-All'!$A$1,"Scenario",AH$12,"P&amp;L Item",$B113)/AH$29,0),"0.00%"))</f>
        <v>0</v>
      </c>
      <c r="AI113" s="65">
        <f>CHOOSE(PLColumn,IFERROR(GETPIVOTDATA("Sum of "&amp;AI$9,'PT-All'!$A$1,"Scenario",AI$12,"P&amp;L Item",$B113),0),IFERROR(GETPIVOTDATA("Sum of "&amp;AI$9,'PT-All'!$A$1,"Scenario",AI$12,"P&amp;L Item",$B113)/AI$201,0),TEXT(IFERROR(GETPIVOTDATA("Sum of "&amp;AI$9,'PT-All'!$A$1,"Scenario",AI$12,"P&amp;L Item",$B113)/AI$29,0),"0.00%"))</f>
        <v>0</v>
      </c>
      <c r="AJ113" s="65">
        <f>CHOOSE(PLColumn,IFERROR(GETPIVOTDATA("Sum of "&amp;AJ$9,'PT-All'!$A$1,"Scenario",AJ$12,"P&amp;L Item",$B113),0),IFERROR(GETPIVOTDATA("Sum of "&amp;AJ$9,'PT-All'!$A$1,"Scenario",AJ$12,"P&amp;L Item",$B113)/AJ$201,0),TEXT(IFERROR(GETPIVOTDATA("Sum of "&amp;AJ$9,'PT-All'!$A$1,"Scenario",AJ$12,"P&amp;L Item",$B113)/AJ$29,0),"0.00%"))</f>
        <v>0</v>
      </c>
      <c r="AK113" s="65">
        <f>CHOOSE(PLColumn,IFERROR(GETPIVOTDATA("Sum of "&amp;AK$9,'PT-All'!$A$1,"Scenario",AK$12,"P&amp;L Item",$B113),0),IFERROR(GETPIVOTDATA("Sum of "&amp;AK$9,'PT-All'!$A$1,"Scenario",AK$12,"P&amp;L Item",$B113)/AK$201,0),TEXT(IFERROR(GETPIVOTDATA("Sum of "&amp;AK$9,'PT-All'!$A$1,"Scenario",AK$12,"P&amp;L Item",$B113)/AK$29,0),"0.00%"))</f>
        <v>0</v>
      </c>
      <c r="AL113" s="97">
        <f>CHOOSE(PLColumn,IFERROR(GETPIVOTDATA("Sum of "&amp;AL$9,'PT-All'!$A$1,"Scenario",AL$12,"P&amp;L Item",$B113),0),IFERROR(GETPIVOTDATA("Sum of "&amp;AL$9,'PT-All'!$A$1,"Scenario",AL$12,"P&amp;L Item",$B113)/AL$201,0),TEXT(IFERROR(GETPIVOTDATA("Sum of "&amp;AL$9,'PT-All'!$A$1,"Scenario",AL$12,"P&amp;L Item",$B113)/AL$29,0),"0.00%"))</f>
        <v>0</v>
      </c>
      <c r="AM113" s="590"/>
      <c r="AN113" s="108">
        <f ca="1">IF(AN$12="Pro Forma",SUM(OFFSET($B113,0,3*AN$9+1,1,3)),IFERROR(GETPIVOTDATA("Sum of Q"&amp;AN$9+1,'PT-All'!$A$1,"Scenario",AN$12,"P&amp;L Item",$B113),0))</f>
        <v>0</v>
      </c>
      <c r="AO113" s="65">
        <f ca="1">IF(AO$12="Pro Forma",SUM(OFFSET($B113,0,3*AO$9+1,1,3)),IFERROR(GETPIVOTDATA("Sum of Q"&amp;AO$9+1,'PT-All'!$A$1,"Scenario",AO$12,"P&amp;L Item",$B113),0))</f>
        <v>0</v>
      </c>
      <c r="AP113" s="65">
        <f ca="1">IF(AP$12="Pro Forma",SUM(OFFSET($B113,0,3*AP$9+1,1,3)),IFERROR(GETPIVOTDATA("Sum of Q"&amp;AP$9+1,'PT-All'!$A$1,"Scenario",AP$12,"P&amp;L Item",$B113),0))</f>
        <v>0</v>
      </c>
      <c r="AQ113" s="65">
        <f ca="1">IF(AQ$12="Pro Forma",SUM(OFFSET($B113,0,3*AQ$9+1,1,3)),IFERROR(GETPIVOTDATA("Sum of Q"&amp;AQ$9+1,'PT-All'!$A$1,"Scenario",AQ$12,"P&amp;L Item",$B113),0))</f>
        <v>0</v>
      </c>
      <c r="AR113" s="65">
        <f ca="1">IF(AR$12="Pro Forma",SUM(OFFSET($B113,0,3*AR$9+1,1,3)),IFERROR(GETPIVOTDATA("Sum of Q"&amp;AR$9+1,'PT-All'!$A$1,"Scenario",AR$12,"P&amp;L Item",$B113),0))</f>
        <v>0</v>
      </c>
      <c r="AS113" s="65">
        <f ca="1">IF(AS$12="Pro Forma",SUM(OFFSET($B113,0,3*AS$9+1,1,3)),IFERROR(GETPIVOTDATA("Sum of Q"&amp;AS$9+1,'PT-All'!$A$1,"Scenario",AS$12,"P&amp;L Item",$B113),0))</f>
        <v>0</v>
      </c>
      <c r="AT113" s="65">
        <f ca="1">IF(AT$12="Pro Forma",SUM(OFFSET($B113,0,3*AT$9+1,1,3)),IFERROR(GETPIVOTDATA("Sum of Q"&amp;AT$9+1,'PT-All'!$A$1,"Scenario",AT$12,"P&amp;L Item",$B113),0))</f>
        <v>0</v>
      </c>
      <c r="AU113" s="65">
        <f ca="1">IF(AU$12="Pro Forma",SUM(OFFSET($B113,0,3*AU$9+1,1,3)),IFERROR(GETPIVOTDATA("Sum of Q"&amp;AU$9+1,'PT-All'!$A$1,"Scenario",AU$12,"P&amp;L Item",$B113),0))</f>
        <v>0</v>
      </c>
      <c r="AV113" s="65">
        <f ca="1">IF(AV$12="Pro Forma",SUM(OFFSET($B113,0,3*AV$9+1,1,3)),IFERROR(GETPIVOTDATA("Sum of Q"&amp;AV$9+1,'PT-All'!$A$1,"Scenario",AV$12,"P&amp;L Item",$B113),0))</f>
        <v>0</v>
      </c>
      <c r="AW113" s="65">
        <f ca="1">IF(AW$12="Pro Forma",SUM(OFFSET($B113,0,3*AW$9+1,1,3)),IFERROR(GETPIVOTDATA("Sum of Q"&amp;AW$9+1,'PT-All'!$A$1,"Scenario",AW$12,"P&amp;L Item",$B113),0))</f>
        <v>0</v>
      </c>
      <c r="AX113" s="65">
        <f ca="1">IF(AX$12="Pro Forma",SUM(OFFSET($B113,0,3*AX$9+1,1,3)),IFERROR(GETPIVOTDATA("Sum of Q"&amp;AX$9+1,'PT-All'!$A$1,"Scenario",AX$12,"P&amp;L Item",$B113),0))</f>
        <v>0</v>
      </c>
      <c r="AY113" s="97">
        <f ca="1">IF(AY$12="Pro Forma",SUM(OFFSET($B113,0,3*AY$9+1,1,3)),IFERROR(GETPIVOTDATA("Sum of Q"&amp;AY$9+1,'PT-All'!$A$1,"Scenario",AY$12,"P&amp;L Item",$B113),0))</f>
        <v>0</v>
      </c>
      <c r="AZ113" s="590"/>
      <c r="BA113" s="108">
        <f ca="1">IF(BA$12="Pro Forma",SUM(OFFSET($B113,0,12*BA$9+1,1,12)),IFERROR(GETPIVOTDATA("Sum of FY"&amp;BA$9+1,'PT-All'!$A$1,"Scenario",BA$12,"P&amp;L Item",$B113),0))</f>
        <v>0</v>
      </c>
      <c r="BB113" s="65">
        <f ca="1">IF(BB$12="Pro Forma",SUM(OFFSET($B113,0,12*BB$9+1,1,12)),IFERROR(GETPIVOTDATA("Sum of FY"&amp;BB$9+1,'PT-All'!$A$1,"Scenario",BB$12,"P&amp;L Item",$B113),0))</f>
        <v>0</v>
      </c>
      <c r="BC113" s="97">
        <f ca="1">IF(BC$12="Pro Forma",SUM(OFFSET($B113,0,12*BC$9+1,1,12)),IFERROR(GETPIVOTDATA("Sum of FY"&amp;BC$9+1,'PT-All'!$A$1,"Scenario",BC$12,"P&amp;L Item",$B113),0))</f>
        <v>0</v>
      </c>
    </row>
    <row r="114" spans="2:55" x14ac:dyDescent="0.35">
      <c r="B114" s="76" t="s">
        <v>144</v>
      </c>
      <c r="C114" s="65">
        <f>CHOOSE(PLColumn,IFERROR(GETPIVOTDATA("Sum of "&amp;C$9,'PT-All'!$A$1,"Scenario",C$12,"P&amp;L Item",$B114),0),IFERROR(GETPIVOTDATA("Sum of "&amp;C$9,'PT-All'!$A$1,"Scenario",C$12,"P&amp;L Item",$B114)/C$201,0),TEXT(IFERROR(GETPIVOTDATA("Sum of "&amp;C$9,'PT-All'!$A$1,"Scenario",C$12,"P&amp;L Item",$B114)/C$29,0),"0.00%"))</f>
        <v>0</v>
      </c>
      <c r="D114" s="65">
        <f>CHOOSE(PLColumn,IFERROR(GETPIVOTDATA("Sum of "&amp;D$9,'PT-All'!$A$1,"Scenario",D$12,"P&amp;L Item",$B114),0),IFERROR(GETPIVOTDATA("Sum of "&amp;D$9,'PT-All'!$A$1,"Scenario",D$12,"P&amp;L Item",$B114)/D$201,0),TEXT(IFERROR(GETPIVOTDATA("Sum of "&amp;D$9,'PT-All'!$A$1,"Scenario",D$12,"P&amp;L Item",$B114)/D$29,0),"0.00%"))</f>
        <v>0</v>
      </c>
      <c r="E114" s="65">
        <f>CHOOSE(PLColumn,IFERROR(GETPIVOTDATA("Sum of "&amp;E$9,'PT-All'!$A$1,"Scenario",E$12,"P&amp;L Item",$B114),0),IFERROR(GETPIVOTDATA("Sum of "&amp;E$9,'PT-All'!$A$1,"Scenario",E$12,"P&amp;L Item",$B114)/E$201,0),TEXT(IFERROR(GETPIVOTDATA("Sum of "&amp;E$9,'PT-All'!$A$1,"Scenario",E$12,"P&amp;L Item",$B114)/E$29,0),"0.00%"))</f>
        <v>0</v>
      </c>
      <c r="F114" s="65">
        <f>CHOOSE(PLColumn,IFERROR(GETPIVOTDATA("Sum of "&amp;F$9,'PT-All'!$A$1,"Scenario",F$12,"P&amp;L Item",$B114),0),IFERROR(GETPIVOTDATA("Sum of "&amp;F$9,'PT-All'!$A$1,"Scenario",F$12,"P&amp;L Item",$B114)/F$201,0),TEXT(IFERROR(GETPIVOTDATA("Sum of "&amp;F$9,'PT-All'!$A$1,"Scenario",F$12,"P&amp;L Item",$B114)/F$29,0),"0.00%"))</f>
        <v>0</v>
      </c>
      <c r="G114" s="65">
        <f>CHOOSE(PLColumn,IFERROR(GETPIVOTDATA("Sum of "&amp;G$9,'PT-All'!$A$1,"Scenario",G$12,"P&amp;L Item",$B114),0),IFERROR(GETPIVOTDATA("Sum of "&amp;G$9,'PT-All'!$A$1,"Scenario",G$12,"P&amp;L Item",$B114)/G$201,0),TEXT(IFERROR(GETPIVOTDATA("Sum of "&amp;G$9,'PT-All'!$A$1,"Scenario",G$12,"P&amp;L Item",$B114)/G$29,0),"0.00%"))</f>
        <v>0</v>
      </c>
      <c r="H114" s="65">
        <f>CHOOSE(PLColumn,IFERROR(GETPIVOTDATA("Sum of "&amp;H$9,'PT-All'!$A$1,"Scenario",H$12,"P&amp;L Item",$B114),0),IFERROR(GETPIVOTDATA("Sum of "&amp;H$9,'PT-All'!$A$1,"Scenario",H$12,"P&amp;L Item",$B114)/H$201,0),TEXT(IFERROR(GETPIVOTDATA("Sum of "&amp;H$9,'PT-All'!$A$1,"Scenario",H$12,"P&amp;L Item",$B114)/H$29,0),"0.00%"))</f>
        <v>0</v>
      </c>
      <c r="I114" s="65">
        <f>CHOOSE(PLColumn,IFERROR(GETPIVOTDATA("Sum of "&amp;I$9,'PT-All'!$A$1,"Scenario",I$12,"P&amp;L Item",$B114),0),IFERROR(GETPIVOTDATA("Sum of "&amp;I$9,'PT-All'!$A$1,"Scenario",I$12,"P&amp;L Item",$B114)/I$201,0),TEXT(IFERROR(GETPIVOTDATA("Sum of "&amp;I$9,'PT-All'!$A$1,"Scenario",I$12,"P&amp;L Item",$B114)/I$29,0),"0.00%"))</f>
        <v>0</v>
      </c>
      <c r="J114" s="65">
        <f>CHOOSE(PLColumn,IFERROR(GETPIVOTDATA("Sum of "&amp;J$9,'PT-All'!$A$1,"Scenario",J$12,"P&amp;L Item",$B114),0),IFERROR(GETPIVOTDATA("Sum of "&amp;J$9,'PT-All'!$A$1,"Scenario",J$12,"P&amp;L Item",$B114)/J$201,0),TEXT(IFERROR(GETPIVOTDATA("Sum of "&amp;J$9,'PT-All'!$A$1,"Scenario",J$12,"P&amp;L Item",$B114)/J$29,0),"0.00%"))</f>
        <v>0</v>
      </c>
      <c r="K114" s="65">
        <f>CHOOSE(PLColumn,IFERROR(GETPIVOTDATA("Sum of "&amp;K$9,'PT-All'!$A$1,"Scenario",K$12,"P&amp;L Item",$B114),0),IFERROR(GETPIVOTDATA("Sum of "&amp;K$9,'PT-All'!$A$1,"Scenario",K$12,"P&amp;L Item",$B114)/K$201,0),TEXT(IFERROR(GETPIVOTDATA("Sum of "&amp;K$9,'PT-All'!$A$1,"Scenario",K$12,"P&amp;L Item",$B114)/K$29,0),"0.00%"))</f>
        <v>0</v>
      </c>
      <c r="L114" s="65">
        <f>CHOOSE(PLColumn,IFERROR(GETPIVOTDATA("Sum of "&amp;L$9,'PT-All'!$A$1,"Scenario",L$12,"P&amp;L Item",$B114),0),IFERROR(GETPIVOTDATA("Sum of "&amp;L$9,'PT-All'!$A$1,"Scenario",L$12,"P&amp;L Item",$B114)/L$201,0),TEXT(IFERROR(GETPIVOTDATA("Sum of "&amp;L$9,'PT-All'!$A$1,"Scenario",L$12,"P&amp;L Item",$B114)/L$29,0),"0.00%"))</f>
        <v>0</v>
      </c>
      <c r="M114" s="65">
        <f>CHOOSE(PLColumn,IFERROR(GETPIVOTDATA("Sum of "&amp;M$9,'PT-All'!$A$1,"Scenario",M$12,"P&amp;L Item",$B114),0),IFERROR(GETPIVOTDATA("Sum of "&amp;M$9,'PT-All'!$A$1,"Scenario",M$12,"P&amp;L Item",$B114)/M$201,0),TEXT(IFERROR(GETPIVOTDATA("Sum of "&amp;M$9,'PT-All'!$A$1,"Scenario",M$12,"P&amp;L Item",$B114)/M$29,0),"0.00%"))</f>
        <v>0</v>
      </c>
      <c r="N114" s="65">
        <f>CHOOSE(PLColumn,IFERROR(GETPIVOTDATA("Sum of "&amp;N$9,'PT-All'!$A$1,"Scenario",N$12,"P&amp;L Item",$B114),0),IFERROR(GETPIVOTDATA("Sum of "&amp;N$9,'PT-All'!$A$1,"Scenario",N$12,"P&amp;L Item",$B114)/N$201,0),TEXT(IFERROR(GETPIVOTDATA("Sum of "&amp;N$9,'PT-All'!$A$1,"Scenario",N$12,"P&amp;L Item",$B114)/N$29,0),"0.00%"))</f>
        <v>0</v>
      </c>
      <c r="O114" s="65">
        <f>CHOOSE(PLColumn,IFERROR(GETPIVOTDATA("Sum of "&amp;O$9,'PT-All'!$A$1,"Scenario",O$12,"P&amp;L Item",$B114),0),IFERROR(GETPIVOTDATA("Sum of "&amp;O$9,'PT-All'!$A$1,"Scenario",O$12,"P&amp;L Item",$B114)/O$201,0),TEXT(IFERROR(GETPIVOTDATA("Sum of "&amp;O$9,'PT-All'!$A$1,"Scenario",O$12,"P&amp;L Item",$B114)/O$29,0),"0.00%"))</f>
        <v>0</v>
      </c>
      <c r="P114" s="65">
        <f>CHOOSE(PLColumn,IFERROR(GETPIVOTDATA("Sum of "&amp;P$9,'PT-All'!$A$1,"Scenario",P$12,"P&amp;L Item",$B114),0),IFERROR(GETPIVOTDATA("Sum of "&amp;P$9,'PT-All'!$A$1,"Scenario",P$12,"P&amp;L Item",$B114)/P$201,0),TEXT(IFERROR(GETPIVOTDATA("Sum of "&amp;P$9,'PT-All'!$A$1,"Scenario",P$12,"P&amp;L Item",$B114)/P$29,0),"0.00%"))</f>
        <v>0</v>
      </c>
      <c r="Q114" s="65">
        <f>CHOOSE(PLColumn,IFERROR(GETPIVOTDATA("Sum of "&amp;Q$9,'PT-All'!$A$1,"Scenario",Q$12,"P&amp;L Item",$B114),0),IFERROR(GETPIVOTDATA("Sum of "&amp;Q$9,'PT-All'!$A$1,"Scenario",Q$12,"P&amp;L Item",$B114)/Q$201,0),TEXT(IFERROR(GETPIVOTDATA("Sum of "&amp;Q$9,'PT-All'!$A$1,"Scenario",Q$12,"P&amp;L Item",$B114)/Q$29,0),"0.00%"))</f>
        <v>0</v>
      </c>
      <c r="R114" s="65">
        <f>CHOOSE(PLColumn,IFERROR(GETPIVOTDATA("Sum of "&amp;R$9,'PT-All'!$A$1,"Scenario",R$12,"P&amp;L Item",$B114),0),IFERROR(GETPIVOTDATA("Sum of "&amp;R$9,'PT-All'!$A$1,"Scenario",R$12,"P&amp;L Item",$B114)/R$201,0),TEXT(IFERROR(GETPIVOTDATA("Sum of "&amp;R$9,'PT-All'!$A$1,"Scenario",R$12,"P&amp;L Item",$B114)/R$29,0),"0.00%"))</f>
        <v>0</v>
      </c>
      <c r="S114" s="65">
        <f>CHOOSE(PLColumn,IFERROR(GETPIVOTDATA("Sum of "&amp;S$9,'PT-All'!$A$1,"Scenario",S$12,"P&amp;L Item",$B114),0),IFERROR(GETPIVOTDATA("Sum of "&amp;S$9,'PT-All'!$A$1,"Scenario",S$12,"P&amp;L Item",$B114)/S$201,0),TEXT(IFERROR(GETPIVOTDATA("Sum of "&amp;S$9,'PT-All'!$A$1,"Scenario",S$12,"P&amp;L Item",$B114)/S$29,0),"0.00%"))</f>
        <v>0</v>
      </c>
      <c r="T114" s="65">
        <f>CHOOSE(PLColumn,IFERROR(GETPIVOTDATA("Sum of "&amp;T$9,'PT-All'!$A$1,"Scenario",T$12,"P&amp;L Item",$B114),0),IFERROR(GETPIVOTDATA("Sum of "&amp;T$9,'PT-All'!$A$1,"Scenario",T$12,"P&amp;L Item",$B114)/T$201,0),TEXT(IFERROR(GETPIVOTDATA("Sum of "&amp;T$9,'PT-All'!$A$1,"Scenario",T$12,"P&amp;L Item",$B114)/T$29,0),"0.00%"))</f>
        <v>0</v>
      </c>
      <c r="U114" s="65">
        <f>CHOOSE(PLColumn,IFERROR(GETPIVOTDATA("Sum of "&amp;U$9,'PT-All'!$A$1,"Scenario",U$12,"P&amp;L Item",$B114),0),IFERROR(GETPIVOTDATA("Sum of "&amp;U$9,'PT-All'!$A$1,"Scenario",U$12,"P&amp;L Item",$B114)/U$201,0),TEXT(IFERROR(GETPIVOTDATA("Sum of "&amp;U$9,'PT-All'!$A$1,"Scenario",U$12,"P&amp;L Item",$B114)/U$29,0),"0.00%"))</f>
        <v>0</v>
      </c>
      <c r="V114" s="65">
        <f>CHOOSE(PLColumn,IFERROR(GETPIVOTDATA("Sum of "&amp;V$9,'PT-All'!$A$1,"Scenario",V$12,"P&amp;L Item",$B114),0),IFERROR(GETPIVOTDATA("Sum of "&amp;V$9,'PT-All'!$A$1,"Scenario",V$12,"P&amp;L Item",$B114)/V$201,0),TEXT(IFERROR(GETPIVOTDATA("Sum of "&amp;V$9,'PT-All'!$A$1,"Scenario",V$12,"P&amp;L Item",$B114)/V$29,0),"0.00%"))</f>
        <v>0</v>
      </c>
      <c r="W114" s="65">
        <f>CHOOSE(PLColumn,IFERROR(GETPIVOTDATA("Sum of "&amp;W$9,'PT-All'!$A$1,"Scenario",W$12,"P&amp;L Item",$B114),0),IFERROR(GETPIVOTDATA("Sum of "&amp;W$9,'PT-All'!$A$1,"Scenario",W$12,"P&amp;L Item",$B114)/W$201,0),TEXT(IFERROR(GETPIVOTDATA("Sum of "&amp;W$9,'PT-All'!$A$1,"Scenario",W$12,"P&amp;L Item",$B114)/W$29,0),"0.00%"))</f>
        <v>0</v>
      </c>
      <c r="X114" s="65">
        <f>CHOOSE(PLColumn,IFERROR(GETPIVOTDATA("Sum of "&amp;X$9,'PT-All'!$A$1,"Scenario",X$12,"P&amp;L Item",$B114),0),IFERROR(GETPIVOTDATA("Sum of "&amp;X$9,'PT-All'!$A$1,"Scenario",X$12,"P&amp;L Item",$B114)/X$201,0),TEXT(IFERROR(GETPIVOTDATA("Sum of "&amp;X$9,'PT-All'!$A$1,"Scenario",X$12,"P&amp;L Item",$B114)/X$29,0),"0.00%"))</f>
        <v>0</v>
      </c>
      <c r="Y114" s="65">
        <f>CHOOSE(PLColumn,IFERROR(GETPIVOTDATA("Sum of "&amp;Y$9,'PT-All'!$A$1,"Scenario",Y$12,"P&amp;L Item",$B114),0),IFERROR(GETPIVOTDATA("Sum of "&amp;Y$9,'PT-All'!$A$1,"Scenario",Y$12,"P&amp;L Item",$B114)/Y$201,0),TEXT(IFERROR(GETPIVOTDATA("Sum of "&amp;Y$9,'PT-All'!$A$1,"Scenario",Y$12,"P&amp;L Item",$B114)/Y$29,0),"0.00%"))</f>
        <v>0</v>
      </c>
      <c r="Z114" s="65">
        <f>CHOOSE(PLColumn,IFERROR(GETPIVOTDATA("Sum of "&amp;Z$9,'PT-All'!$A$1,"Scenario",Z$12,"P&amp;L Item",$B114),0),IFERROR(GETPIVOTDATA("Sum of "&amp;Z$9,'PT-All'!$A$1,"Scenario",Z$12,"P&amp;L Item",$B114)/Z$201,0),TEXT(IFERROR(GETPIVOTDATA("Sum of "&amp;Z$9,'PT-All'!$A$1,"Scenario",Z$12,"P&amp;L Item",$B114)/Z$29,0),"0.00%"))</f>
        <v>0</v>
      </c>
      <c r="AA114" s="65">
        <f>CHOOSE(PLColumn,IFERROR(GETPIVOTDATA("Sum of "&amp;AA$9,'PT-All'!$A$1,"Scenario",AA$12,"P&amp;L Item",$B114),0),IFERROR(GETPIVOTDATA("Sum of "&amp;AA$9,'PT-All'!$A$1,"Scenario",AA$12,"P&amp;L Item",$B114)/AA$201,0),TEXT(IFERROR(GETPIVOTDATA("Sum of "&amp;AA$9,'PT-All'!$A$1,"Scenario",AA$12,"P&amp;L Item",$B114)/AA$29,0),"0.00%"))</f>
        <v>0</v>
      </c>
      <c r="AB114" s="65">
        <f>CHOOSE(PLColumn,IFERROR(GETPIVOTDATA("Sum of "&amp;AB$9,'PT-All'!$A$1,"Scenario",AB$12,"P&amp;L Item",$B114),0),IFERROR(GETPIVOTDATA("Sum of "&amp;AB$9,'PT-All'!$A$1,"Scenario",AB$12,"P&amp;L Item",$B114)/AB$201,0),TEXT(IFERROR(GETPIVOTDATA("Sum of "&amp;AB$9,'PT-All'!$A$1,"Scenario",AB$12,"P&amp;L Item",$B114)/AB$29,0),"0.00%"))</f>
        <v>0</v>
      </c>
      <c r="AC114" s="65">
        <f>CHOOSE(PLColumn,IFERROR(GETPIVOTDATA("Sum of "&amp;AC$9,'PT-All'!$A$1,"Scenario",AC$12,"P&amp;L Item",$B114),0),IFERROR(GETPIVOTDATA("Sum of "&amp;AC$9,'PT-All'!$A$1,"Scenario",AC$12,"P&amp;L Item",$B114)/AC$201,0),TEXT(IFERROR(GETPIVOTDATA("Sum of "&amp;AC$9,'PT-All'!$A$1,"Scenario",AC$12,"P&amp;L Item",$B114)/AC$29,0),"0.00%"))</f>
        <v>0</v>
      </c>
      <c r="AD114" s="65">
        <f>CHOOSE(PLColumn,IFERROR(GETPIVOTDATA("Sum of "&amp;AD$9,'PT-All'!$A$1,"Scenario",AD$12,"P&amp;L Item",$B114),0),IFERROR(GETPIVOTDATA("Sum of "&amp;AD$9,'PT-All'!$A$1,"Scenario",AD$12,"P&amp;L Item",$B114)/AD$201,0),TEXT(IFERROR(GETPIVOTDATA("Sum of "&amp;AD$9,'PT-All'!$A$1,"Scenario",AD$12,"P&amp;L Item",$B114)/AD$29,0),"0.00%"))</f>
        <v>0</v>
      </c>
      <c r="AE114" s="65">
        <f>CHOOSE(PLColumn,IFERROR(GETPIVOTDATA("Sum of "&amp;AE$9,'PT-All'!$A$1,"Scenario",AE$12,"P&amp;L Item",$B114),0),IFERROR(GETPIVOTDATA("Sum of "&amp;AE$9,'PT-All'!$A$1,"Scenario",AE$12,"P&amp;L Item",$B114)/AE$201,0),TEXT(IFERROR(GETPIVOTDATA("Sum of "&amp;AE$9,'PT-All'!$A$1,"Scenario",AE$12,"P&amp;L Item",$B114)/AE$29,0),"0.00%"))</f>
        <v>0</v>
      </c>
      <c r="AF114" s="65">
        <f>CHOOSE(PLColumn,IFERROR(GETPIVOTDATA("Sum of "&amp;AF$9,'PT-All'!$A$1,"Scenario",AF$12,"P&amp;L Item",$B114),0),IFERROR(GETPIVOTDATA("Sum of "&amp;AF$9,'PT-All'!$A$1,"Scenario",AF$12,"P&amp;L Item",$B114)/AF$201,0),TEXT(IFERROR(GETPIVOTDATA("Sum of "&amp;AF$9,'PT-All'!$A$1,"Scenario",AF$12,"P&amp;L Item",$B114)/AF$29,0),"0.00%"))</f>
        <v>0</v>
      </c>
      <c r="AG114" s="65">
        <f>CHOOSE(PLColumn,IFERROR(GETPIVOTDATA("Sum of "&amp;AG$9,'PT-All'!$A$1,"Scenario",AG$12,"P&amp;L Item",$B114),0),IFERROR(GETPIVOTDATA("Sum of "&amp;AG$9,'PT-All'!$A$1,"Scenario",AG$12,"P&amp;L Item",$B114)/AG$201,0),TEXT(IFERROR(GETPIVOTDATA("Sum of "&amp;AG$9,'PT-All'!$A$1,"Scenario",AG$12,"P&amp;L Item",$B114)/AG$29,0),"0.00%"))</f>
        <v>0</v>
      </c>
      <c r="AH114" s="65">
        <f>CHOOSE(PLColumn,IFERROR(GETPIVOTDATA("Sum of "&amp;AH$9,'PT-All'!$A$1,"Scenario",AH$12,"P&amp;L Item",$B114),0),IFERROR(GETPIVOTDATA("Sum of "&amp;AH$9,'PT-All'!$A$1,"Scenario",AH$12,"P&amp;L Item",$B114)/AH$201,0),TEXT(IFERROR(GETPIVOTDATA("Sum of "&amp;AH$9,'PT-All'!$A$1,"Scenario",AH$12,"P&amp;L Item",$B114)/AH$29,0),"0.00%"))</f>
        <v>0</v>
      </c>
      <c r="AI114" s="65">
        <f>CHOOSE(PLColumn,IFERROR(GETPIVOTDATA("Sum of "&amp;AI$9,'PT-All'!$A$1,"Scenario",AI$12,"P&amp;L Item",$B114),0),IFERROR(GETPIVOTDATA("Sum of "&amp;AI$9,'PT-All'!$A$1,"Scenario",AI$12,"P&amp;L Item",$B114)/AI$201,0),TEXT(IFERROR(GETPIVOTDATA("Sum of "&amp;AI$9,'PT-All'!$A$1,"Scenario",AI$12,"P&amp;L Item",$B114)/AI$29,0),"0.00%"))</f>
        <v>0</v>
      </c>
      <c r="AJ114" s="65">
        <f>CHOOSE(PLColumn,IFERROR(GETPIVOTDATA("Sum of "&amp;AJ$9,'PT-All'!$A$1,"Scenario",AJ$12,"P&amp;L Item",$B114),0),IFERROR(GETPIVOTDATA("Sum of "&amp;AJ$9,'PT-All'!$A$1,"Scenario",AJ$12,"P&amp;L Item",$B114)/AJ$201,0),TEXT(IFERROR(GETPIVOTDATA("Sum of "&amp;AJ$9,'PT-All'!$A$1,"Scenario",AJ$12,"P&amp;L Item",$B114)/AJ$29,0),"0.00%"))</f>
        <v>0</v>
      </c>
      <c r="AK114" s="65">
        <f>CHOOSE(PLColumn,IFERROR(GETPIVOTDATA("Sum of "&amp;AK$9,'PT-All'!$A$1,"Scenario",AK$12,"P&amp;L Item",$B114),0),IFERROR(GETPIVOTDATA("Sum of "&amp;AK$9,'PT-All'!$A$1,"Scenario",AK$12,"P&amp;L Item",$B114)/AK$201,0),TEXT(IFERROR(GETPIVOTDATA("Sum of "&amp;AK$9,'PT-All'!$A$1,"Scenario",AK$12,"P&amp;L Item",$B114)/AK$29,0),"0.00%"))</f>
        <v>0</v>
      </c>
      <c r="AL114" s="97">
        <f>CHOOSE(PLColumn,IFERROR(GETPIVOTDATA("Sum of "&amp;AL$9,'PT-All'!$A$1,"Scenario",AL$12,"P&amp;L Item",$B114),0),IFERROR(GETPIVOTDATA("Sum of "&amp;AL$9,'PT-All'!$A$1,"Scenario",AL$12,"P&amp;L Item",$B114)/AL$201,0),TEXT(IFERROR(GETPIVOTDATA("Sum of "&amp;AL$9,'PT-All'!$A$1,"Scenario",AL$12,"P&amp;L Item",$B114)/AL$29,0),"0.00%"))</f>
        <v>0</v>
      </c>
      <c r="AM114" s="590"/>
      <c r="AN114" s="108">
        <f ca="1">IF(AN$12="Pro Forma",SUM(OFFSET($B114,0,3*AN$9+1,1,3)),IFERROR(GETPIVOTDATA("Sum of Q"&amp;AN$9+1,'PT-All'!$A$1,"Scenario",AN$12,"P&amp;L Item",$B114),0))</f>
        <v>0</v>
      </c>
      <c r="AO114" s="65">
        <f ca="1">IF(AO$12="Pro Forma",SUM(OFFSET($B114,0,3*AO$9+1,1,3)),IFERROR(GETPIVOTDATA("Sum of Q"&amp;AO$9+1,'PT-All'!$A$1,"Scenario",AO$12,"P&amp;L Item",$B114),0))</f>
        <v>0</v>
      </c>
      <c r="AP114" s="65">
        <f ca="1">IF(AP$12="Pro Forma",SUM(OFFSET($B114,0,3*AP$9+1,1,3)),IFERROR(GETPIVOTDATA("Sum of Q"&amp;AP$9+1,'PT-All'!$A$1,"Scenario",AP$12,"P&amp;L Item",$B114),0))</f>
        <v>0</v>
      </c>
      <c r="AQ114" s="65">
        <f ca="1">IF(AQ$12="Pro Forma",SUM(OFFSET($B114,0,3*AQ$9+1,1,3)),IFERROR(GETPIVOTDATA("Sum of Q"&amp;AQ$9+1,'PT-All'!$A$1,"Scenario",AQ$12,"P&amp;L Item",$B114),0))</f>
        <v>0</v>
      </c>
      <c r="AR114" s="65">
        <f ca="1">IF(AR$12="Pro Forma",SUM(OFFSET($B114,0,3*AR$9+1,1,3)),IFERROR(GETPIVOTDATA("Sum of Q"&amp;AR$9+1,'PT-All'!$A$1,"Scenario",AR$12,"P&amp;L Item",$B114),0))</f>
        <v>0</v>
      </c>
      <c r="AS114" s="65">
        <f ca="1">IF(AS$12="Pro Forma",SUM(OFFSET($B114,0,3*AS$9+1,1,3)),IFERROR(GETPIVOTDATA("Sum of Q"&amp;AS$9+1,'PT-All'!$A$1,"Scenario",AS$12,"P&amp;L Item",$B114),0))</f>
        <v>0</v>
      </c>
      <c r="AT114" s="65">
        <f ca="1">IF(AT$12="Pro Forma",SUM(OFFSET($B114,0,3*AT$9+1,1,3)),IFERROR(GETPIVOTDATA("Sum of Q"&amp;AT$9+1,'PT-All'!$A$1,"Scenario",AT$12,"P&amp;L Item",$B114),0))</f>
        <v>0</v>
      </c>
      <c r="AU114" s="65">
        <f ca="1">IF(AU$12="Pro Forma",SUM(OFFSET($B114,0,3*AU$9+1,1,3)),IFERROR(GETPIVOTDATA("Sum of Q"&amp;AU$9+1,'PT-All'!$A$1,"Scenario",AU$12,"P&amp;L Item",$B114),0))</f>
        <v>0</v>
      </c>
      <c r="AV114" s="65">
        <f ca="1">IF(AV$12="Pro Forma",SUM(OFFSET($B114,0,3*AV$9+1,1,3)),IFERROR(GETPIVOTDATA("Sum of Q"&amp;AV$9+1,'PT-All'!$A$1,"Scenario",AV$12,"P&amp;L Item",$B114),0))</f>
        <v>0</v>
      </c>
      <c r="AW114" s="65">
        <f ca="1">IF(AW$12="Pro Forma",SUM(OFFSET($B114,0,3*AW$9+1,1,3)),IFERROR(GETPIVOTDATA("Sum of Q"&amp;AW$9+1,'PT-All'!$A$1,"Scenario",AW$12,"P&amp;L Item",$B114),0))</f>
        <v>0</v>
      </c>
      <c r="AX114" s="65">
        <f ca="1">IF(AX$12="Pro Forma",SUM(OFFSET($B114,0,3*AX$9+1,1,3)),IFERROR(GETPIVOTDATA("Sum of Q"&amp;AX$9+1,'PT-All'!$A$1,"Scenario",AX$12,"P&amp;L Item",$B114),0))</f>
        <v>0</v>
      </c>
      <c r="AY114" s="97">
        <f ca="1">IF(AY$12="Pro Forma",SUM(OFFSET($B114,0,3*AY$9+1,1,3)),IFERROR(GETPIVOTDATA("Sum of Q"&amp;AY$9+1,'PT-All'!$A$1,"Scenario",AY$12,"P&amp;L Item",$B114),0))</f>
        <v>0</v>
      </c>
      <c r="AZ114" s="590"/>
      <c r="BA114" s="108">
        <f ca="1">IF(BA$12="Pro Forma",SUM(OFFSET($B114,0,12*BA$9+1,1,12)),IFERROR(GETPIVOTDATA("Sum of FY"&amp;BA$9+1,'PT-All'!$A$1,"Scenario",BA$12,"P&amp;L Item",$B114),0))</f>
        <v>0</v>
      </c>
      <c r="BB114" s="65">
        <f ca="1">IF(BB$12="Pro Forma",SUM(OFFSET($B114,0,12*BB$9+1,1,12)),IFERROR(GETPIVOTDATA("Sum of FY"&amp;BB$9+1,'PT-All'!$A$1,"Scenario",BB$12,"P&amp;L Item",$B114),0))</f>
        <v>0</v>
      </c>
      <c r="BC114" s="97">
        <f ca="1">IF(BC$12="Pro Forma",SUM(OFFSET($B114,0,12*BC$9+1,1,12)),IFERROR(GETPIVOTDATA("Sum of FY"&amp;BC$9+1,'PT-All'!$A$1,"Scenario",BC$12,"P&amp;L Item",$B114),0))</f>
        <v>0</v>
      </c>
    </row>
    <row r="115" spans="2:55" x14ac:dyDescent="0.35">
      <c r="B115" s="76" t="s">
        <v>145</v>
      </c>
      <c r="C115" s="65">
        <f>CHOOSE(PLColumn,IFERROR(GETPIVOTDATA("Sum of "&amp;C$9,'PT-All'!$A$1,"Scenario",C$12,"P&amp;L Item",$B115),0),IFERROR(GETPIVOTDATA("Sum of "&amp;C$9,'PT-All'!$A$1,"Scenario",C$12,"P&amp;L Item",$B115)/C$201,0),TEXT(IFERROR(GETPIVOTDATA("Sum of "&amp;C$9,'PT-All'!$A$1,"Scenario",C$12,"P&amp;L Item",$B115)/C$29,0),"0.00%"))</f>
        <v>0</v>
      </c>
      <c r="D115" s="65">
        <f>CHOOSE(PLColumn,IFERROR(GETPIVOTDATA("Sum of "&amp;D$9,'PT-All'!$A$1,"Scenario",D$12,"P&amp;L Item",$B115),0),IFERROR(GETPIVOTDATA("Sum of "&amp;D$9,'PT-All'!$A$1,"Scenario",D$12,"P&amp;L Item",$B115)/D$201,0),TEXT(IFERROR(GETPIVOTDATA("Sum of "&amp;D$9,'PT-All'!$A$1,"Scenario",D$12,"P&amp;L Item",$B115)/D$29,0),"0.00%"))</f>
        <v>0</v>
      </c>
      <c r="E115" s="65">
        <f>CHOOSE(PLColumn,IFERROR(GETPIVOTDATA("Sum of "&amp;E$9,'PT-All'!$A$1,"Scenario",E$12,"P&amp;L Item",$B115),0),IFERROR(GETPIVOTDATA("Sum of "&amp;E$9,'PT-All'!$A$1,"Scenario",E$12,"P&amp;L Item",$B115)/E$201,0),TEXT(IFERROR(GETPIVOTDATA("Sum of "&amp;E$9,'PT-All'!$A$1,"Scenario",E$12,"P&amp;L Item",$B115)/E$29,0),"0.00%"))</f>
        <v>0</v>
      </c>
      <c r="F115" s="65">
        <f>CHOOSE(PLColumn,IFERROR(GETPIVOTDATA("Sum of "&amp;F$9,'PT-All'!$A$1,"Scenario",F$12,"P&amp;L Item",$B115),0),IFERROR(GETPIVOTDATA("Sum of "&amp;F$9,'PT-All'!$A$1,"Scenario",F$12,"P&amp;L Item",$B115)/F$201,0),TEXT(IFERROR(GETPIVOTDATA("Sum of "&amp;F$9,'PT-All'!$A$1,"Scenario",F$12,"P&amp;L Item",$B115)/F$29,0),"0.00%"))</f>
        <v>0</v>
      </c>
      <c r="G115" s="65">
        <f>CHOOSE(PLColumn,IFERROR(GETPIVOTDATA("Sum of "&amp;G$9,'PT-All'!$A$1,"Scenario",G$12,"P&amp;L Item",$B115),0),IFERROR(GETPIVOTDATA("Sum of "&amp;G$9,'PT-All'!$A$1,"Scenario",G$12,"P&amp;L Item",$B115)/G$201,0),TEXT(IFERROR(GETPIVOTDATA("Sum of "&amp;G$9,'PT-All'!$A$1,"Scenario",G$12,"P&amp;L Item",$B115)/G$29,0),"0.00%"))</f>
        <v>0</v>
      </c>
      <c r="H115" s="65">
        <f>CHOOSE(PLColumn,IFERROR(GETPIVOTDATA("Sum of "&amp;H$9,'PT-All'!$A$1,"Scenario",H$12,"P&amp;L Item",$B115),0),IFERROR(GETPIVOTDATA("Sum of "&amp;H$9,'PT-All'!$A$1,"Scenario",H$12,"P&amp;L Item",$B115)/H$201,0),TEXT(IFERROR(GETPIVOTDATA("Sum of "&amp;H$9,'PT-All'!$A$1,"Scenario",H$12,"P&amp;L Item",$B115)/H$29,0),"0.00%"))</f>
        <v>0</v>
      </c>
      <c r="I115" s="65">
        <f>CHOOSE(PLColumn,IFERROR(GETPIVOTDATA("Sum of "&amp;I$9,'PT-All'!$A$1,"Scenario",I$12,"P&amp;L Item",$B115),0),IFERROR(GETPIVOTDATA("Sum of "&amp;I$9,'PT-All'!$A$1,"Scenario",I$12,"P&amp;L Item",$B115)/I$201,0),TEXT(IFERROR(GETPIVOTDATA("Sum of "&amp;I$9,'PT-All'!$A$1,"Scenario",I$12,"P&amp;L Item",$B115)/I$29,0),"0.00%"))</f>
        <v>0</v>
      </c>
      <c r="J115" s="65">
        <f>CHOOSE(PLColumn,IFERROR(GETPIVOTDATA("Sum of "&amp;J$9,'PT-All'!$A$1,"Scenario",J$12,"P&amp;L Item",$B115),0),IFERROR(GETPIVOTDATA("Sum of "&amp;J$9,'PT-All'!$A$1,"Scenario",J$12,"P&amp;L Item",$B115)/J$201,0),TEXT(IFERROR(GETPIVOTDATA("Sum of "&amp;J$9,'PT-All'!$A$1,"Scenario",J$12,"P&amp;L Item",$B115)/J$29,0),"0.00%"))</f>
        <v>0</v>
      </c>
      <c r="K115" s="65">
        <f>CHOOSE(PLColumn,IFERROR(GETPIVOTDATA("Sum of "&amp;K$9,'PT-All'!$A$1,"Scenario",K$12,"P&amp;L Item",$B115),0),IFERROR(GETPIVOTDATA("Sum of "&amp;K$9,'PT-All'!$A$1,"Scenario",K$12,"P&amp;L Item",$B115)/K$201,0),TEXT(IFERROR(GETPIVOTDATA("Sum of "&amp;K$9,'PT-All'!$A$1,"Scenario",K$12,"P&amp;L Item",$B115)/K$29,0),"0.00%"))</f>
        <v>0</v>
      </c>
      <c r="L115" s="65">
        <f>CHOOSE(PLColumn,IFERROR(GETPIVOTDATA("Sum of "&amp;L$9,'PT-All'!$A$1,"Scenario",L$12,"P&amp;L Item",$B115),0),IFERROR(GETPIVOTDATA("Sum of "&amp;L$9,'PT-All'!$A$1,"Scenario",L$12,"P&amp;L Item",$B115)/L$201,0),TEXT(IFERROR(GETPIVOTDATA("Sum of "&amp;L$9,'PT-All'!$A$1,"Scenario",L$12,"P&amp;L Item",$B115)/L$29,0),"0.00%"))</f>
        <v>0</v>
      </c>
      <c r="M115" s="65">
        <f>CHOOSE(PLColumn,IFERROR(GETPIVOTDATA("Sum of "&amp;M$9,'PT-All'!$A$1,"Scenario",M$12,"P&amp;L Item",$B115),0),IFERROR(GETPIVOTDATA("Sum of "&amp;M$9,'PT-All'!$A$1,"Scenario",M$12,"P&amp;L Item",$B115)/M$201,0),TEXT(IFERROR(GETPIVOTDATA("Sum of "&amp;M$9,'PT-All'!$A$1,"Scenario",M$12,"P&amp;L Item",$B115)/M$29,0),"0.00%"))</f>
        <v>0</v>
      </c>
      <c r="N115" s="65">
        <f>CHOOSE(PLColumn,IFERROR(GETPIVOTDATA("Sum of "&amp;N$9,'PT-All'!$A$1,"Scenario",N$12,"P&amp;L Item",$B115),0),IFERROR(GETPIVOTDATA("Sum of "&amp;N$9,'PT-All'!$A$1,"Scenario",N$12,"P&amp;L Item",$B115)/N$201,0),TEXT(IFERROR(GETPIVOTDATA("Sum of "&amp;N$9,'PT-All'!$A$1,"Scenario",N$12,"P&amp;L Item",$B115)/N$29,0),"0.00%"))</f>
        <v>0</v>
      </c>
      <c r="O115" s="65">
        <f>CHOOSE(PLColumn,IFERROR(GETPIVOTDATA("Sum of "&amp;O$9,'PT-All'!$A$1,"Scenario",O$12,"P&amp;L Item",$B115),0),IFERROR(GETPIVOTDATA("Sum of "&amp;O$9,'PT-All'!$A$1,"Scenario",O$12,"P&amp;L Item",$B115)/O$201,0),TEXT(IFERROR(GETPIVOTDATA("Sum of "&amp;O$9,'PT-All'!$A$1,"Scenario",O$12,"P&amp;L Item",$B115)/O$29,0),"0.00%"))</f>
        <v>0</v>
      </c>
      <c r="P115" s="65">
        <f>CHOOSE(PLColumn,IFERROR(GETPIVOTDATA("Sum of "&amp;P$9,'PT-All'!$A$1,"Scenario",P$12,"P&amp;L Item",$B115),0),IFERROR(GETPIVOTDATA("Sum of "&amp;P$9,'PT-All'!$A$1,"Scenario",P$12,"P&amp;L Item",$B115)/P$201,0),TEXT(IFERROR(GETPIVOTDATA("Sum of "&amp;P$9,'PT-All'!$A$1,"Scenario",P$12,"P&amp;L Item",$B115)/P$29,0),"0.00%"))</f>
        <v>0</v>
      </c>
      <c r="Q115" s="65">
        <f>CHOOSE(PLColumn,IFERROR(GETPIVOTDATA("Sum of "&amp;Q$9,'PT-All'!$A$1,"Scenario",Q$12,"P&amp;L Item",$B115),0),IFERROR(GETPIVOTDATA("Sum of "&amp;Q$9,'PT-All'!$A$1,"Scenario",Q$12,"P&amp;L Item",$B115)/Q$201,0),TEXT(IFERROR(GETPIVOTDATA("Sum of "&amp;Q$9,'PT-All'!$A$1,"Scenario",Q$12,"P&amp;L Item",$B115)/Q$29,0),"0.00%"))</f>
        <v>0</v>
      </c>
      <c r="R115" s="65">
        <f>CHOOSE(PLColumn,IFERROR(GETPIVOTDATA("Sum of "&amp;R$9,'PT-All'!$A$1,"Scenario",R$12,"P&amp;L Item",$B115),0),IFERROR(GETPIVOTDATA("Sum of "&amp;R$9,'PT-All'!$A$1,"Scenario",R$12,"P&amp;L Item",$B115)/R$201,0),TEXT(IFERROR(GETPIVOTDATA("Sum of "&amp;R$9,'PT-All'!$A$1,"Scenario",R$12,"P&amp;L Item",$B115)/R$29,0),"0.00%"))</f>
        <v>0</v>
      </c>
      <c r="S115" s="65">
        <f>CHOOSE(PLColumn,IFERROR(GETPIVOTDATA("Sum of "&amp;S$9,'PT-All'!$A$1,"Scenario",S$12,"P&amp;L Item",$B115),0),IFERROR(GETPIVOTDATA("Sum of "&amp;S$9,'PT-All'!$A$1,"Scenario",S$12,"P&amp;L Item",$B115)/S$201,0),TEXT(IFERROR(GETPIVOTDATA("Sum of "&amp;S$9,'PT-All'!$A$1,"Scenario",S$12,"P&amp;L Item",$B115)/S$29,0),"0.00%"))</f>
        <v>0</v>
      </c>
      <c r="T115" s="65">
        <f>CHOOSE(PLColumn,IFERROR(GETPIVOTDATA("Sum of "&amp;T$9,'PT-All'!$A$1,"Scenario",T$12,"P&amp;L Item",$B115),0),IFERROR(GETPIVOTDATA("Sum of "&amp;T$9,'PT-All'!$A$1,"Scenario",T$12,"P&amp;L Item",$B115)/T$201,0),TEXT(IFERROR(GETPIVOTDATA("Sum of "&amp;T$9,'PT-All'!$A$1,"Scenario",T$12,"P&amp;L Item",$B115)/T$29,0),"0.00%"))</f>
        <v>0</v>
      </c>
      <c r="U115" s="65">
        <f>CHOOSE(PLColumn,IFERROR(GETPIVOTDATA("Sum of "&amp;U$9,'PT-All'!$A$1,"Scenario",U$12,"P&amp;L Item",$B115),0),IFERROR(GETPIVOTDATA("Sum of "&amp;U$9,'PT-All'!$A$1,"Scenario",U$12,"P&amp;L Item",$B115)/U$201,0),TEXT(IFERROR(GETPIVOTDATA("Sum of "&amp;U$9,'PT-All'!$A$1,"Scenario",U$12,"P&amp;L Item",$B115)/U$29,0),"0.00%"))</f>
        <v>0</v>
      </c>
      <c r="V115" s="65">
        <f>CHOOSE(PLColumn,IFERROR(GETPIVOTDATA("Sum of "&amp;V$9,'PT-All'!$A$1,"Scenario",V$12,"P&amp;L Item",$B115),0),IFERROR(GETPIVOTDATA("Sum of "&amp;V$9,'PT-All'!$A$1,"Scenario",V$12,"P&amp;L Item",$B115)/V$201,0),TEXT(IFERROR(GETPIVOTDATA("Sum of "&amp;V$9,'PT-All'!$A$1,"Scenario",V$12,"P&amp;L Item",$B115)/V$29,0),"0.00%"))</f>
        <v>0</v>
      </c>
      <c r="W115" s="65">
        <f>CHOOSE(PLColumn,IFERROR(GETPIVOTDATA("Sum of "&amp;W$9,'PT-All'!$A$1,"Scenario",W$12,"P&amp;L Item",$B115),0),IFERROR(GETPIVOTDATA("Sum of "&amp;W$9,'PT-All'!$A$1,"Scenario",W$12,"P&amp;L Item",$B115)/W$201,0),TEXT(IFERROR(GETPIVOTDATA("Sum of "&amp;W$9,'PT-All'!$A$1,"Scenario",W$12,"P&amp;L Item",$B115)/W$29,0),"0.00%"))</f>
        <v>0</v>
      </c>
      <c r="X115" s="65">
        <f>CHOOSE(PLColumn,IFERROR(GETPIVOTDATA("Sum of "&amp;X$9,'PT-All'!$A$1,"Scenario",X$12,"P&amp;L Item",$B115),0),IFERROR(GETPIVOTDATA("Sum of "&amp;X$9,'PT-All'!$A$1,"Scenario",X$12,"P&amp;L Item",$B115)/X$201,0),TEXT(IFERROR(GETPIVOTDATA("Sum of "&amp;X$9,'PT-All'!$A$1,"Scenario",X$12,"P&amp;L Item",$B115)/X$29,0),"0.00%"))</f>
        <v>0</v>
      </c>
      <c r="Y115" s="65">
        <f>CHOOSE(PLColumn,IFERROR(GETPIVOTDATA("Sum of "&amp;Y$9,'PT-All'!$A$1,"Scenario",Y$12,"P&amp;L Item",$B115),0),IFERROR(GETPIVOTDATA("Sum of "&amp;Y$9,'PT-All'!$A$1,"Scenario",Y$12,"P&amp;L Item",$B115)/Y$201,0),TEXT(IFERROR(GETPIVOTDATA("Sum of "&amp;Y$9,'PT-All'!$A$1,"Scenario",Y$12,"P&amp;L Item",$B115)/Y$29,0),"0.00%"))</f>
        <v>0</v>
      </c>
      <c r="Z115" s="65">
        <f>CHOOSE(PLColumn,IFERROR(GETPIVOTDATA("Sum of "&amp;Z$9,'PT-All'!$A$1,"Scenario",Z$12,"P&amp;L Item",$B115),0),IFERROR(GETPIVOTDATA("Sum of "&amp;Z$9,'PT-All'!$A$1,"Scenario",Z$12,"P&amp;L Item",$B115)/Z$201,0),TEXT(IFERROR(GETPIVOTDATA("Sum of "&amp;Z$9,'PT-All'!$A$1,"Scenario",Z$12,"P&amp;L Item",$B115)/Z$29,0),"0.00%"))</f>
        <v>0</v>
      </c>
      <c r="AA115" s="65">
        <f>CHOOSE(PLColumn,IFERROR(GETPIVOTDATA("Sum of "&amp;AA$9,'PT-All'!$A$1,"Scenario",AA$12,"P&amp;L Item",$B115),0),IFERROR(GETPIVOTDATA("Sum of "&amp;AA$9,'PT-All'!$A$1,"Scenario",AA$12,"P&amp;L Item",$B115)/AA$201,0),TEXT(IFERROR(GETPIVOTDATA("Sum of "&amp;AA$9,'PT-All'!$A$1,"Scenario",AA$12,"P&amp;L Item",$B115)/AA$29,0),"0.00%"))</f>
        <v>0</v>
      </c>
      <c r="AB115" s="65">
        <f>CHOOSE(PLColumn,IFERROR(GETPIVOTDATA("Sum of "&amp;AB$9,'PT-All'!$A$1,"Scenario",AB$12,"P&amp;L Item",$B115),0),IFERROR(GETPIVOTDATA("Sum of "&amp;AB$9,'PT-All'!$A$1,"Scenario",AB$12,"P&amp;L Item",$B115)/AB$201,0),TEXT(IFERROR(GETPIVOTDATA("Sum of "&amp;AB$9,'PT-All'!$A$1,"Scenario",AB$12,"P&amp;L Item",$B115)/AB$29,0),"0.00%"))</f>
        <v>0</v>
      </c>
      <c r="AC115" s="65">
        <f>CHOOSE(PLColumn,IFERROR(GETPIVOTDATA("Sum of "&amp;AC$9,'PT-All'!$A$1,"Scenario",AC$12,"P&amp;L Item",$B115),0),IFERROR(GETPIVOTDATA("Sum of "&amp;AC$9,'PT-All'!$A$1,"Scenario",AC$12,"P&amp;L Item",$B115)/AC$201,0),TEXT(IFERROR(GETPIVOTDATA("Sum of "&amp;AC$9,'PT-All'!$A$1,"Scenario",AC$12,"P&amp;L Item",$B115)/AC$29,0),"0.00%"))</f>
        <v>0</v>
      </c>
      <c r="AD115" s="65">
        <f>CHOOSE(PLColumn,IFERROR(GETPIVOTDATA("Sum of "&amp;AD$9,'PT-All'!$A$1,"Scenario",AD$12,"P&amp;L Item",$B115),0),IFERROR(GETPIVOTDATA("Sum of "&amp;AD$9,'PT-All'!$A$1,"Scenario",AD$12,"P&amp;L Item",$B115)/AD$201,0),TEXT(IFERROR(GETPIVOTDATA("Sum of "&amp;AD$9,'PT-All'!$A$1,"Scenario",AD$12,"P&amp;L Item",$B115)/AD$29,0),"0.00%"))</f>
        <v>0</v>
      </c>
      <c r="AE115" s="65">
        <f>CHOOSE(PLColumn,IFERROR(GETPIVOTDATA("Sum of "&amp;AE$9,'PT-All'!$A$1,"Scenario",AE$12,"P&amp;L Item",$B115),0),IFERROR(GETPIVOTDATA("Sum of "&amp;AE$9,'PT-All'!$A$1,"Scenario",AE$12,"P&amp;L Item",$B115)/AE$201,0),TEXT(IFERROR(GETPIVOTDATA("Sum of "&amp;AE$9,'PT-All'!$A$1,"Scenario",AE$12,"P&amp;L Item",$B115)/AE$29,0),"0.00%"))</f>
        <v>0</v>
      </c>
      <c r="AF115" s="65">
        <f>CHOOSE(PLColumn,IFERROR(GETPIVOTDATA("Sum of "&amp;AF$9,'PT-All'!$A$1,"Scenario",AF$12,"P&amp;L Item",$B115),0),IFERROR(GETPIVOTDATA("Sum of "&amp;AF$9,'PT-All'!$A$1,"Scenario",AF$12,"P&amp;L Item",$B115)/AF$201,0),TEXT(IFERROR(GETPIVOTDATA("Sum of "&amp;AF$9,'PT-All'!$A$1,"Scenario",AF$12,"P&amp;L Item",$B115)/AF$29,0),"0.00%"))</f>
        <v>0</v>
      </c>
      <c r="AG115" s="65">
        <f>CHOOSE(PLColumn,IFERROR(GETPIVOTDATA("Sum of "&amp;AG$9,'PT-All'!$A$1,"Scenario",AG$12,"P&amp;L Item",$B115),0),IFERROR(GETPIVOTDATA("Sum of "&amp;AG$9,'PT-All'!$A$1,"Scenario",AG$12,"P&amp;L Item",$B115)/AG$201,0),TEXT(IFERROR(GETPIVOTDATA("Sum of "&amp;AG$9,'PT-All'!$A$1,"Scenario",AG$12,"P&amp;L Item",$B115)/AG$29,0),"0.00%"))</f>
        <v>0</v>
      </c>
      <c r="AH115" s="65">
        <f>CHOOSE(PLColumn,IFERROR(GETPIVOTDATA("Sum of "&amp;AH$9,'PT-All'!$A$1,"Scenario",AH$12,"P&amp;L Item",$B115),0),IFERROR(GETPIVOTDATA("Sum of "&amp;AH$9,'PT-All'!$A$1,"Scenario",AH$12,"P&amp;L Item",$B115)/AH$201,0),TEXT(IFERROR(GETPIVOTDATA("Sum of "&amp;AH$9,'PT-All'!$A$1,"Scenario",AH$12,"P&amp;L Item",$B115)/AH$29,0),"0.00%"))</f>
        <v>0</v>
      </c>
      <c r="AI115" s="65">
        <f>CHOOSE(PLColumn,IFERROR(GETPIVOTDATA("Sum of "&amp;AI$9,'PT-All'!$A$1,"Scenario",AI$12,"P&amp;L Item",$B115),0),IFERROR(GETPIVOTDATA("Sum of "&amp;AI$9,'PT-All'!$A$1,"Scenario",AI$12,"P&amp;L Item",$B115)/AI$201,0),TEXT(IFERROR(GETPIVOTDATA("Sum of "&amp;AI$9,'PT-All'!$A$1,"Scenario",AI$12,"P&amp;L Item",$B115)/AI$29,0),"0.00%"))</f>
        <v>0</v>
      </c>
      <c r="AJ115" s="65">
        <f>CHOOSE(PLColumn,IFERROR(GETPIVOTDATA("Sum of "&amp;AJ$9,'PT-All'!$A$1,"Scenario",AJ$12,"P&amp;L Item",$B115),0),IFERROR(GETPIVOTDATA("Sum of "&amp;AJ$9,'PT-All'!$A$1,"Scenario",AJ$12,"P&amp;L Item",$B115)/AJ$201,0),TEXT(IFERROR(GETPIVOTDATA("Sum of "&amp;AJ$9,'PT-All'!$A$1,"Scenario",AJ$12,"P&amp;L Item",$B115)/AJ$29,0),"0.00%"))</f>
        <v>0</v>
      </c>
      <c r="AK115" s="65">
        <f>CHOOSE(PLColumn,IFERROR(GETPIVOTDATA("Sum of "&amp;AK$9,'PT-All'!$A$1,"Scenario",AK$12,"P&amp;L Item",$B115),0),IFERROR(GETPIVOTDATA("Sum of "&amp;AK$9,'PT-All'!$A$1,"Scenario",AK$12,"P&amp;L Item",$B115)/AK$201,0),TEXT(IFERROR(GETPIVOTDATA("Sum of "&amp;AK$9,'PT-All'!$A$1,"Scenario",AK$12,"P&amp;L Item",$B115)/AK$29,0),"0.00%"))</f>
        <v>0</v>
      </c>
      <c r="AL115" s="97">
        <f>CHOOSE(PLColumn,IFERROR(GETPIVOTDATA("Sum of "&amp;AL$9,'PT-All'!$A$1,"Scenario",AL$12,"P&amp;L Item",$B115),0),IFERROR(GETPIVOTDATA("Sum of "&amp;AL$9,'PT-All'!$A$1,"Scenario",AL$12,"P&amp;L Item",$B115)/AL$201,0),TEXT(IFERROR(GETPIVOTDATA("Sum of "&amp;AL$9,'PT-All'!$A$1,"Scenario",AL$12,"P&amp;L Item",$B115)/AL$29,0),"0.00%"))</f>
        <v>0</v>
      </c>
      <c r="AM115" s="590"/>
      <c r="AN115" s="108">
        <f ca="1">IF(AN$12="Pro Forma",SUM(OFFSET($B115,0,3*AN$9+1,1,3)),IFERROR(GETPIVOTDATA("Sum of Q"&amp;AN$9+1,'PT-All'!$A$1,"Scenario",AN$12,"P&amp;L Item",$B115),0))</f>
        <v>0</v>
      </c>
      <c r="AO115" s="65">
        <f ca="1">IF(AO$12="Pro Forma",SUM(OFFSET($B115,0,3*AO$9+1,1,3)),IFERROR(GETPIVOTDATA("Sum of Q"&amp;AO$9+1,'PT-All'!$A$1,"Scenario",AO$12,"P&amp;L Item",$B115),0))</f>
        <v>0</v>
      </c>
      <c r="AP115" s="65">
        <f ca="1">IF(AP$12="Pro Forma",SUM(OFFSET($B115,0,3*AP$9+1,1,3)),IFERROR(GETPIVOTDATA("Sum of Q"&amp;AP$9+1,'PT-All'!$A$1,"Scenario",AP$12,"P&amp;L Item",$B115),0))</f>
        <v>0</v>
      </c>
      <c r="AQ115" s="65">
        <f ca="1">IF(AQ$12="Pro Forma",SUM(OFFSET($B115,0,3*AQ$9+1,1,3)),IFERROR(GETPIVOTDATA("Sum of Q"&amp;AQ$9+1,'PT-All'!$A$1,"Scenario",AQ$12,"P&amp;L Item",$B115),0))</f>
        <v>0</v>
      </c>
      <c r="AR115" s="65">
        <f ca="1">IF(AR$12="Pro Forma",SUM(OFFSET($B115,0,3*AR$9+1,1,3)),IFERROR(GETPIVOTDATA("Sum of Q"&amp;AR$9+1,'PT-All'!$A$1,"Scenario",AR$12,"P&amp;L Item",$B115),0))</f>
        <v>0</v>
      </c>
      <c r="AS115" s="65">
        <f ca="1">IF(AS$12="Pro Forma",SUM(OFFSET($B115,0,3*AS$9+1,1,3)),IFERROR(GETPIVOTDATA("Sum of Q"&amp;AS$9+1,'PT-All'!$A$1,"Scenario",AS$12,"P&amp;L Item",$B115),0))</f>
        <v>0</v>
      </c>
      <c r="AT115" s="65">
        <f ca="1">IF(AT$12="Pro Forma",SUM(OFFSET($B115,0,3*AT$9+1,1,3)),IFERROR(GETPIVOTDATA("Sum of Q"&amp;AT$9+1,'PT-All'!$A$1,"Scenario",AT$12,"P&amp;L Item",$B115),0))</f>
        <v>0</v>
      </c>
      <c r="AU115" s="65">
        <f ca="1">IF(AU$12="Pro Forma",SUM(OFFSET($B115,0,3*AU$9+1,1,3)),IFERROR(GETPIVOTDATA("Sum of Q"&amp;AU$9+1,'PT-All'!$A$1,"Scenario",AU$12,"P&amp;L Item",$B115),0))</f>
        <v>0</v>
      </c>
      <c r="AV115" s="65">
        <f ca="1">IF(AV$12="Pro Forma",SUM(OFFSET($B115,0,3*AV$9+1,1,3)),IFERROR(GETPIVOTDATA("Sum of Q"&amp;AV$9+1,'PT-All'!$A$1,"Scenario",AV$12,"P&amp;L Item",$B115),0))</f>
        <v>0</v>
      </c>
      <c r="AW115" s="65">
        <f ca="1">IF(AW$12="Pro Forma",SUM(OFFSET($B115,0,3*AW$9+1,1,3)),IFERROR(GETPIVOTDATA("Sum of Q"&amp;AW$9+1,'PT-All'!$A$1,"Scenario",AW$12,"P&amp;L Item",$B115),0))</f>
        <v>0</v>
      </c>
      <c r="AX115" s="65">
        <f ca="1">IF(AX$12="Pro Forma",SUM(OFFSET($B115,0,3*AX$9+1,1,3)),IFERROR(GETPIVOTDATA("Sum of Q"&amp;AX$9+1,'PT-All'!$A$1,"Scenario",AX$12,"P&amp;L Item",$B115),0))</f>
        <v>0</v>
      </c>
      <c r="AY115" s="97">
        <f ca="1">IF(AY$12="Pro Forma",SUM(OFFSET($B115,0,3*AY$9+1,1,3)),IFERROR(GETPIVOTDATA("Sum of Q"&amp;AY$9+1,'PT-All'!$A$1,"Scenario",AY$12,"P&amp;L Item",$B115),0))</f>
        <v>0</v>
      </c>
      <c r="AZ115" s="590"/>
      <c r="BA115" s="108">
        <f ca="1">IF(BA$12="Pro Forma",SUM(OFFSET($B115,0,12*BA$9+1,1,12)),IFERROR(GETPIVOTDATA("Sum of FY"&amp;BA$9+1,'PT-All'!$A$1,"Scenario",BA$12,"P&amp;L Item",$B115),0))</f>
        <v>0</v>
      </c>
      <c r="BB115" s="65">
        <f ca="1">IF(BB$12="Pro Forma",SUM(OFFSET($B115,0,12*BB$9+1,1,12)),IFERROR(GETPIVOTDATA("Sum of FY"&amp;BB$9+1,'PT-All'!$A$1,"Scenario",BB$12,"P&amp;L Item",$B115),0))</f>
        <v>0</v>
      </c>
      <c r="BC115" s="97">
        <f ca="1">IF(BC$12="Pro Forma",SUM(OFFSET($B115,0,12*BC$9+1,1,12)),IFERROR(GETPIVOTDATA("Sum of FY"&amp;BC$9+1,'PT-All'!$A$1,"Scenario",BC$12,"P&amp;L Item",$B115),0))</f>
        <v>0</v>
      </c>
    </row>
    <row r="116" spans="2:55" x14ac:dyDescent="0.35">
      <c r="B116" s="76" t="s">
        <v>146</v>
      </c>
      <c r="C116" s="65">
        <f>CHOOSE(PLColumn,IFERROR(GETPIVOTDATA("Sum of "&amp;C$9,'PT-All'!$A$1,"Scenario",C$12,"P&amp;L Item",$B116),0),IFERROR(GETPIVOTDATA("Sum of "&amp;C$9,'PT-All'!$A$1,"Scenario",C$12,"P&amp;L Item",$B116)/C$201,0),TEXT(IFERROR(GETPIVOTDATA("Sum of "&amp;C$9,'PT-All'!$A$1,"Scenario",C$12,"P&amp;L Item",$B116)/C$29,0),"0.00%"))</f>
        <v>0</v>
      </c>
      <c r="D116" s="65">
        <f>CHOOSE(PLColumn,IFERROR(GETPIVOTDATA("Sum of "&amp;D$9,'PT-All'!$A$1,"Scenario",D$12,"P&amp;L Item",$B116),0),IFERROR(GETPIVOTDATA("Sum of "&amp;D$9,'PT-All'!$A$1,"Scenario",D$12,"P&amp;L Item",$B116)/D$201,0),TEXT(IFERROR(GETPIVOTDATA("Sum of "&amp;D$9,'PT-All'!$A$1,"Scenario",D$12,"P&amp;L Item",$B116)/D$29,0),"0.00%"))</f>
        <v>0</v>
      </c>
      <c r="E116" s="65">
        <f>CHOOSE(PLColumn,IFERROR(GETPIVOTDATA("Sum of "&amp;E$9,'PT-All'!$A$1,"Scenario",E$12,"P&amp;L Item",$B116),0),IFERROR(GETPIVOTDATA("Sum of "&amp;E$9,'PT-All'!$A$1,"Scenario",E$12,"P&amp;L Item",$B116)/E$201,0),TEXT(IFERROR(GETPIVOTDATA("Sum of "&amp;E$9,'PT-All'!$A$1,"Scenario",E$12,"P&amp;L Item",$B116)/E$29,0),"0.00%"))</f>
        <v>0</v>
      </c>
      <c r="F116" s="65">
        <f>CHOOSE(PLColumn,IFERROR(GETPIVOTDATA("Sum of "&amp;F$9,'PT-All'!$A$1,"Scenario",F$12,"P&amp;L Item",$B116),0),IFERROR(GETPIVOTDATA("Sum of "&amp;F$9,'PT-All'!$A$1,"Scenario",F$12,"P&amp;L Item",$B116)/F$201,0),TEXT(IFERROR(GETPIVOTDATA("Sum of "&amp;F$9,'PT-All'!$A$1,"Scenario",F$12,"P&amp;L Item",$B116)/F$29,0),"0.00%"))</f>
        <v>0</v>
      </c>
      <c r="G116" s="65">
        <f>CHOOSE(PLColumn,IFERROR(GETPIVOTDATA("Sum of "&amp;G$9,'PT-All'!$A$1,"Scenario",G$12,"P&amp;L Item",$B116),0),IFERROR(GETPIVOTDATA("Sum of "&amp;G$9,'PT-All'!$A$1,"Scenario",G$12,"P&amp;L Item",$B116)/G$201,0),TEXT(IFERROR(GETPIVOTDATA("Sum of "&amp;G$9,'PT-All'!$A$1,"Scenario",G$12,"P&amp;L Item",$B116)/G$29,0),"0.00%"))</f>
        <v>0</v>
      </c>
      <c r="H116" s="65">
        <f>CHOOSE(PLColumn,IFERROR(GETPIVOTDATA("Sum of "&amp;H$9,'PT-All'!$A$1,"Scenario",H$12,"P&amp;L Item",$B116),0),IFERROR(GETPIVOTDATA("Sum of "&amp;H$9,'PT-All'!$A$1,"Scenario",H$12,"P&amp;L Item",$B116)/H$201,0),TEXT(IFERROR(GETPIVOTDATA("Sum of "&amp;H$9,'PT-All'!$A$1,"Scenario",H$12,"P&amp;L Item",$B116)/H$29,0),"0.00%"))</f>
        <v>0</v>
      </c>
      <c r="I116" s="65">
        <f>CHOOSE(PLColumn,IFERROR(GETPIVOTDATA("Sum of "&amp;I$9,'PT-All'!$A$1,"Scenario",I$12,"P&amp;L Item",$B116),0),IFERROR(GETPIVOTDATA("Sum of "&amp;I$9,'PT-All'!$A$1,"Scenario",I$12,"P&amp;L Item",$B116)/I$201,0),TEXT(IFERROR(GETPIVOTDATA("Sum of "&amp;I$9,'PT-All'!$A$1,"Scenario",I$12,"P&amp;L Item",$B116)/I$29,0),"0.00%"))</f>
        <v>0</v>
      </c>
      <c r="J116" s="65">
        <f>CHOOSE(PLColumn,IFERROR(GETPIVOTDATA("Sum of "&amp;J$9,'PT-All'!$A$1,"Scenario",J$12,"P&amp;L Item",$B116),0),IFERROR(GETPIVOTDATA("Sum of "&amp;J$9,'PT-All'!$A$1,"Scenario",J$12,"P&amp;L Item",$B116)/J$201,0),TEXT(IFERROR(GETPIVOTDATA("Sum of "&amp;J$9,'PT-All'!$A$1,"Scenario",J$12,"P&amp;L Item",$B116)/J$29,0),"0.00%"))</f>
        <v>0</v>
      </c>
      <c r="K116" s="65">
        <f>CHOOSE(PLColumn,IFERROR(GETPIVOTDATA("Sum of "&amp;K$9,'PT-All'!$A$1,"Scenario",K$12,"P&amp;L Item",$B116),0),IFERROR(GETPIVOTDATA("Sum of "&amp;K$9,'PT-All'!$A$1,"Scenario",K$12,"P&amp;L Item",$B116)/K$201,0),TEXT(IFERROR(GETPIVOTDATA("Sum of "&amp;K$9,'PT-All'!$A$1,"Scenario",K$12,"P&amp;L Item",$B116)/K$29,0),"0.00%"))</f>
        <v>0</v>
      </c>
      <c r="L116" s="65">
        <f>CHOOSE(PLColumn,IFERROR(GETPIVOTDATA("Sum of "&amp;L$9,'PT-All'!$A$1,"Scenario",L$12,"P&amp;L Item",$B116),0),IFERROR(GETPIVOTDATA("Sum of "&amp;L$9,'PT-All'!$A$1,"Scenario",L$12,"P&amp;L Item",$B116)/L$201,0),TEXT(IFERROR(GETPIVOTDATA("Sum of "&amp;L$9,'PT-All'!$A$1,"Scenario",L$12,"P&amp;L Item",$B116)/L$29,0),"0.00%"))</f>
        <v>0</v>
      </c>
      <c r="M116" s="65">
        <f>CHOOSE(PLColumn,IFERROR(GETPIVOTDATA("Sum of "&amp;M$9,'PT-All'!$A$1,"Scenario",M$12,"P&amp;L Item",$B116),0),IFERROR(GETPIVOTDATA("Sum of "&amp;M$9,'PT-All'!$A$1,"Scenario",M$12,"P&amp;L Item",$B116)/M$201,0),TEXT(IFERROR(GETPIVOTDATA("Sum of "&amp;M$9,'PT-All'!$A$1,"Scenario",M$12,"P&amp;L Item",$B116)/M$29,0),"0.00%"))</f>
        <v>0</v>
      </c>
      <c r="N116" s="65">
        <f>CHOOSE(PLColumn,IFERROR(GETPIVOTDATA("Sum of "&amp;N$9,'PT-All'!$A$1,"Scenario",N$12,"P&amp;L Item",$B116),0),IFERROR(GETPIVOTDATA("Sum of "&amp;N$9,'PT-All'!$A$1,"Scenario",N$12,"P&amp;L Item",$B116)/N$201,0),TEXT(IFERROR(GETPIVOTDATA("Sum of "&amp;N$9,'PT-All'!$A$1,"Scenario",N$12,"P&amp;L Item",$B116)/N$29,0),"0.00%"))</f>
        <v>0</v>
      </c>
      <c r="O116" s="65">
        <f>CHOOSE(PLColumn,IFERROR(GETPIVOTDATA("Sum of "&amp;O$9,'PT-All'!$A$1,"Scenario",O$12,"P&amp;L Item",$B116),0),IFERROR(GETPIVOTDATA("Sum of "&amp;O$9,'PT-All'!$A$1,"Scenario",O$12,"P&amp;L Item",$B116)/O$201,0),TEXT(IFERROR(GETPIVOTDATA("Sum of "&amp;O$9,'PT-All'!$A$1,"Scenario",O$12,"P&amp;L Item",$B116)/O$29,0),"0.00%"))</f>
        <v>0</v>
      </c>
      <c r="P116" s="65">
        <f>CHOOSE(PLColumn,IFERROR(GETPIVOTDATA("Sum of "&amp;P$9,'PT-All'!$A$1,"Scenario",P$12,"P&amp;L Item",$B116),0),IFERROR(GETPIVOTDATA("Sum of "&amp;P$9,'PT-All'!$A$1,"Scenario",P$12,"P&amp;L Item",$B116)/P$201,0),TEXT(IFERROR(GETPIVOTDATA("Sum of "&amp;P$9,'PT-All'!$A$1,"Scenario",P$12,"P&amp;L Item",$B116)/P$29,0),"0.00%"))</f>
        <v>0</v>
      </c>
      <c r="Q116" s="65">
        <f>CHOOSE(PLColumn,IFERROR(GETPIVOTDATA("Sum of "&amp;Q$9,'PT-All'!$A$1,"Scenario",Q$12,"P&amp;L Item",$B116),0),IFERROR(GETPIVOTDATA("Sum of "&amp;Q$9,'PT-All'!$A$1,"Scenario",Q$12,"P&amp;L Item",$B116)/Q$201,0),TEXT(IFERROR(GETPIVOTDATA("Sum of "&amp;Q$9,'PT-All'!$A$1,"Scenario",Q$12,"P&amp;L Item",$B116)/Q$29,0),"0.00%"))</f>
        <v>0</v>
      </c>
      <c r="R116" s="65">
        <f>CHOOSE(PLColumn,IFERROR(GETPIVOTDATA("Sum of "&amp;R$9,'PT-All'!$A$1,"Scenario",R$12,"P&amp;L Item",$B116),0),IFERROR(GETPIVOTDATA("Sum of "&amp;R$9,'PT-All'!$A$1,"Scenario",R$12,"P&amp;L Item",$B116)/R$201,0),TEXT(IFERROR(GETPIVOTDATA("Sum of "&amp;R$9,'PT-All'!$A$1,"Scenario",R$12,"P&amp;L Item",$B116)/R$29,0),"0.00%"))</f>
        <v>0</v>
      </c>
      <c r="S116" s="65">
        <f>CHOOSE(PLColumn,IFERROR(GETPIVOTDATA("Sum of "&amp;S$9,'PT-All'!$A$1,"Scenario",S$12,"P&amp;L Item",$B116),0),IFERROR(GETPIVOTDATA("Sum of "&amp;S$9,'PT-All'!$A$1,"Scenario",S$12,"P&amp;L Item",$B116)/S$201,0),TEXT(IFERROR(GETPIVOTDATA("Sum of "&amp;S$9,'PT-All'!$A$1,"Scenario",S$12,"P&amp;L Item",$B116)/S$29,0),"0.00%"))</f>
        <v>0</v>
      </c>
      <c r="T116" s="65">
        <f>CHOOSE(PLColumn,IFERROR(GETPIVOTDATA("Sum of "&amp;T$9,'PT-All'!$A$1,"Scenario",T$12,"P&amp;L Item",$B116),0),IFERROR(GETPIVOTDATA("Sum of "&amp;T$9,'PT-All'!$A$1,"Scenario",T$12,"P&amp;L Item",$B116)/T$201,0),TEXT(IFERROR(GETPIVOTDATA("Sum of "&amp;T$9,'PT-All'!$A$1,"Scenario",T$12,"P&amp;L Item",$B116)/T$29,0),"0.00%"))</f>
        <v>0</v>
      </c>
      <c r="U116" s="65">
        <f>CHOOSE(PLColumn,IFERROR(GETPIVOTDATA("Sum of "&amp;U$9,'PT-All'!$A$1,"Scenario",U$12,"P&amp;L Item",$B116),0),IFERROR(GETPIVOTDATA("Sum of "&amp;U$9,'PT-All'!$A$1,"Scenario",U$12,"P&amp;L Item",$B116)/U$201,0),TEXT(IFERROR(GETPIVOTDATA("Sum of "&amp;U$9,'PT-All'!$A$1,"Scenario",U$12,"P&amp;L Item",$B116)/U$29,0),"0.00%"))</f>
        <v>0</v>
      </c>
      <c r="V116" s="65">
        <f>CHOOSE(PLColumn,IFERROR(GETPIVOTDATA("Sum of "&amp;V$9,'PT-All'!$A$1,"Scenario",V$12,"P&amp;L Item",$B116),0),IFERROR(GETPIVOTDATA("Sum of "&amp;V$9,'PT-All'!$A$1,"Scenario",V$12,"P&amp;L Item",$B116)/V$201,0),TEXT(IFERROR(GETPIVOTDATA("Sum of "&amp;V$9,'PT-All'!$A$1,"Scenario",V$12,"P&amp;L Item",$B116)/V$29,0),"0.00%"))</f>
        <v>0</v>
      </c>
      <c r="W116" s="65">
        <f>CHOOSE(PLColumn,IFERROR(GETPIVOTDATA("Sum of "&amp;W$9,'PT-All'!$A$1,"Scenario",W$12,"P&amp;L Item",$B116),0),IFERROR(GETPIVOTDATA("Sum of "&amp;W$9,'PT-All'!$A$1,"Scenario",W$12,"P&amp;L Item",$B116)/W$201,0),TEXT(IFERROR(GETPIVOTDATA("Sum of "&amp;W$9,'PT-All'!$A$1,"Scenario",W$12,"P&amp;L Item",$B116)/W$29,0),"0.00%"))</f>
        <v>0</v>
      </c>
      <c r="X116" s="65">
        <f>CHOOSE(PLColumn,IFERROR(GETPIVOTDATA("Sum of "&amp;X$9,'PT-All'!$A$1,"Scenario",X$12,"P&amp;L Item",$B116),0),IFERROR(GETPIVOTDATA("Sum of "&amp;X$9,'PT-All'!$A$1,"Scenario",X$12,"P&amp;L Item",$B116)/X$201,0),TEXT(IFERROR(GETPIVOTDATA("Sum of "&amp;X$9,'PT-All'!$A$1,"Scenario",X$12,"P&amp;L Item",$B116)/X$29,0),"0.00%"))</f>
        <v>0</v>
      </c>
      <c r="Y116" s="65">
        <f>CHOOSE(PLColumn,IFERROR(GETPIVOTDATA("Sum of "&amp;Y$9,'PT-All'!$A$1,"Scenario",Y$12,"P&amp;L Item",$B116),0),IFERROR(GETPIVOTDATA("Sum of "&amp;Y$9,'PT-All'!$A$1,"Scenario",Y$12,"P&amp;L Item",$B116)/Y$201,0),TEXT(IFERROR(GETPIVOTDATA("Sum of "&amp;Y$9,'PT-All'!$A$1,"Scenario",Y$12,"P&amp;L Item",$B116)/Y$29,0),"0.00%"))</f>
        <v>0</v>
      </c>
      <c r="Z116" s="65">
        <f>CHOOSE(PLColumn,IFERROR(GETPIVOTDATA("Sum of "&amp;Z$9,'PT-All'!$A$1,"Scenario",Z$12,"P&amp;L Item",$B116),0),IFERROR(GETPIVOTDATA("Sum of "&amp;Z$9,'PT-All'!$A$1,"Scenario",Z$12,"P&amp;L Item",$B116)/Z$201,0),TEXT(IFERROR(GETPIVOTDATA("Sum of "&amp;Z$9,'PT-All'!$A$1,"Scenario",Z$12,"P&amp;L Item",$B116)/Z$29,0),"0.00%"))</f>
        <v>0</v>
      </c>
      <c r="AA116" s="65">
        <f>CHOOSE(PLColumn,IFERROR(GETPIVOTDATA("Sum of "&amp;AA$9,'PT-All'!$A$1,"Scenario",AA$12,"P&amp;L Item",$B116),0),IFERROR(GETPIVOTDATA("Sum of "&amp;AA$9,'PT-All'!$A$1,"Scenario",AA$12,"P&amp;L Item",$B116)/AA$201,0),TEXT(IFERROR(GETPIVOTDATA("Sum of "&amp;AA$9,'PT-All'!$A$1,"Scenario",AA$12,"P&amp;L Item",$B116)/AA$29,0),"0.00%"))</f>
        <v>0</v>
      </c>
      <c r="AB116" s="65">
        <f>CHOOSE(PLColumn,IFERROR(GETPIVOTDATA("Sum of "&amp;AB$9,'PT-All'!$A$1,"Scenario",AB$12,"P&amp;L Item",$B116),0),IFERROR(GETPIVOTDATA("Sum of "&amp;AB$9,'PT-All'!$A$1,"Scenario",AB$12,"P&amp;L Item",$B116)/AB$201,0),TEXT(IFERROR(GETPIVOTDATA("Sum of "&amp;AB$9,'PT-All'!$A$1,"Scenario",AB$12,"P&amp;L Item",$B116)/AB$29,0),"0.00%"))</f>
        <v>0</v>
      </c>
      <c r="AC116" s="65">
        <f>CHOOSE(PLColumn,IFERROR(GETPIVOTDATA("Sum of "&amp;AC$9,'PT-All'!$A$1,"Scenario",AC$12,"P&amp;L Item",$B116),0),IFERROR(GETPIVOTDATA("Sum of "&amp;AC$9,'PT-All'!$A$1,"Scenario",AC$12,"P&amp;L Item",$B116)/AC$201,0),TEXT(IFERROR(GETPIVOTDATA("Sum of "&amp;AC$9,'PT-All'!$A$1,"Scenario",AC$12,"P&amp;L Item",$B116)/AC$29,0),"0.00%"))</f>
        <v>0</v>
      </c>
      <c r="AD116" s="65">
        <f>CHOOSE(PLColumn,IFERROR(GETPIVOTDATA("Sum of "&amp;AD$9,'PT-All'!$A$1,"Scenario",AD$12,"P&amp;L Item",$B116),0),IFERROR(GETPIVOTDATA("Sum of "&amp;AD$9,'PT-All'!$A$1,"Scenario",AD$12,"P&amp;L Item",$B116)/AD$201,0),TEXT(IFERROR(GETPIVOTDATA("Sum of "&amp;AD$9,'PT-All'!$A$1,"Scenario",AD$12,"P&amp;L Item",$B116)/AD$29,0),"0.00%"))</f>
        <v>0</v>
      </c>
      <c r="AE116" s="65">
        <f>CHOOSE(PLColumn,IFERROR(GETPIVOTDATA("Sum of "&amp;AE$9,'PT-All'!$A$1,"Scenario",AE$12,"P&amp;L Item",$B116),0),IFERROR(GETPIVOTDATA("Sum of "&amp;AE$9,'PT-All'!$A$1,"Scenario",AE$12,"P&amp;L Item",$B116)/AE$201,0),TEXT(IFERROR(GETPIVOTDATA("Sum of "&amp;AE$9,'PT-All'!$A$1,"Scenario",AE$12,"P&amp;L Item",$B116)/AE$29,0),"0.00%"))</f>
        <v>0</v>
      </c>
      <c r="AF116" s="65">
        <f>CHOOSE(PLColumn,IFERROR(GETPIVOTDATA("Sum of "&amp;AF$9,'PT-All'!$A$1,"Scenario",AF$12,"P&amp;L Item",$B116),0),IFERROR(GETPIVOTDATA("Sum of "&amp;AF$9,'PT-All'!$A$1,"Scenario",AF$12,"P&amp;L Item",$B116)/AF$201,0),TEXT(IFERROR(GETPIVOTDATA("Sum of "&amp;AF$9,'PT-All'!$A$1,"Scenario",AF$12,"P&amp;L Item",$B116)/AF$29,0),"0.00%"))</f>
        <v>0</v>
      </c>
      <c r="AG116" s="65">
        <f>CHOOSE(PLColumn,IFERROR(GETPIVOTDATA("Sum of "&amp;AG$9,'PT-All'!$A$1,"Scenario",AG$12,"P&amp;L Item",$B116),0),IFERROR(GETPIVOTDATA("Sum of "&amp;AG$9,'PT-All'!$A$1,"Scenario",AG$12,"P&amp;L Item",$B116)/AG$201,0),TEXT(IFERROR(GETPIVOTDATA("Sum of "&amp;AG$9,'PT-All'!$A$1,"Scenario",AG$12,"P&amp;L Item",$B116)/AG$29,0),"0.00%"))</f>
        <v>0</v>
      </c>
      <c r="AH116" s="65">
        <f>CHOOSE(PLColumn,IFERROR(GETPIVOTDATA("Sum of "&amp;AH$9,'PT-All'!$A$1,"Scenario",AH$12,"P&amp;L Item",$B116),0),IFERROR(GETPIVOTDATA("Sum of "&amp;AH$9,'PT-All'!$A$1,"Scenario",AH$12,"P&amp;L Item",$B116)/AH$201,0),TEXT(IFERROR(GETPIVOTDATA("Sum of "&amp;AH$9,'PT-All'!$A$1,"Scenario",AH$12,"P&amp;L Item",$B116)/AH$29,0),"0.00%"))</f>
        <v>0</v>
      </c>
      <c r="AI116" s="65">
        <f>CHOOSE(PLColumn,IFERROR(GETPIVOTDATA("Sum of "&amp;AI$9,'PT-All'!$A$1,"Scenario",AI$12,"P&amp;L Item",$B116),0),IFERROR(GETPIVOTDATA("Sum of "&amp;AI$9,'PT-All'!$A$1,"Scenario",AI$12,"P&amp;L Item",$B116)/AI$201,0),TEXT(IFERROR(GETPIVOTDATA("Sum of "&amp;AI$9,'PT-All'!$A$1,"Scenario",AI$12,"P&amp;L Item",$B116)/AI$29,0),"0.00%"))</f>
        <v>0</v>
      </c>
      <c r="AJ116" s="65">
        <f>CHOOSE(PLColumn,IFERROR(GETPIVOTDATA("Sum of "&amp;AJ$9,'PT-All'!$A$1,"Scenario",AJ$12,"P&amp;L Item",$B116),0),IFERROR(GETPIVOTDATA("Sum of "&amp;AJ$9,'PT-All'!$A$1,"Scenario",AJ$12,"P&amp;L Item",$B116)/AJ$201,0),TEXT(IFERROR(GETPIVOTDATA("Sum of "&amp;AJ$9,'PT-All'!$A$1,"Scenario",AJ$12,"P&amp;L Item",$B116)/AJ$29,0),"0.00%"))</f>
        <v>0</v>
      </c>
      <c r="AK116" s="65">
        <f>CHOOSE(PLColumn,IFERROR(GETPIVOTDATA("Sum of "&amp;AK$9,'PT-All'!$A$1,"Scenario",AK$12,"P&amp;L Item",$B116),0),IFERROR(GETPIVOTDATA("Sum of "&amp;AK$9,'PT-All'!$A$1,"Scenario",AK$12,"P&amp;L Item",$B116)/AK$201,0),TEXT(IFERROR(GETPIVOTDATA("Sum of "&amp;AK$9,'PT-All'!$A$1,"Scenario",AK$12,"P&amp;L Item",$B116)/AK$29,0),"0.00%"))</f>
        <v>0</v>
      </c>
      <c r="AL116" s="97">
        <f>CHOOSE(PLColumn,IFERROR(GETPIVOTDATA("Sum of "&amp;AL$9,'PT-All'!$A$1,"Scenario",AL$12,"P&amp;L Item",$B116),0),IFERROR(GETPIVOTDATA("Sum of "&amp;AL$9,'PT-All'!$A$1,"Scenario",AL$12,"P&amp;L Item",$B116)/AL$201,0),TEXT(IFERROR(GETPIVOTDATA("Sum of "&amp;AL$9,'PT-All'!$A$1,"Scenario",AL$12,"P&amp;L Item",$B116)/AL$29,0),"0.00%"))</f>
        <v>0</v>
      </c>
      <c r="AM116" s="590"/>
      <c r="AN116" s="108">
        <f ca="1">IF(AN$12="Pro Forma",SUM(OFFSET($B116,0,3*AN$9+1,1,3)),IFERROR(GETPIVOTDATA("Sum of Q"&amp;AN$9+1,'PT-All'!$A$1,"Scenario",AN$12,"P&amp;L Item",$B116),0))</f>
        <v>0</v>
      </c>
      <c r="AO116" s="65">
        <f ca="1">IF(AO$12="Pro Forma",SUM(OFFSET($B116,0,3*AO$9+1,1,3)),IFERROR(GETPIVOTDATA("Sum of Q"&amp;AO$9+1,'PT-All'!$A$1,"Scenario",AO$12,"P&amp;L Item",$B116),0))</f>
        <v>0</v>
      </c>
      <c r="AP116" s="65">
        <f ca="1">IF(AP$12="Pro Forma",SUM(OFFSET($B116,0,3*AP$9+1,1,3)),IFERROR(GETPIVOTDATA("Sum of Q"&amp;AP$9+1,'PT-All'!$A$1,"Scenario",AP$12,"P&amp;L Item",$B116),0))</f>
        <v>0</v>
      </c>
      <c r="AQ116" s="65">
        <f ca="1">IF(AQ$12="Pro Forma",SUM(OFFSET($B116,0,3*AQ$9+1,1,3)),IFERROR(GETPIVOTDATA("Sum of Q"&amp;AQ$9+1,'PT-All'!$A$1,"Scenario",AQ$12,"P&amp;L Item",$B116),0))</f>
        <v>0</v>
      </c>
      <c r="AR116" s="65">
        <f ca="1">IF(AR$12="Pro Forma",SUM(OFFSET($B116,0,3*AR$9+1,1,3)),IFERROR(GETPIVOTDATA("Sum of Q"&amp;AR$9+1,'PT-All'!$A$1,"Scenario",AR$12,"P&amp;L Item",$B116),0))</f>
        <v>0</v>
      </c>
      <c r="AS116" s="65">
        <f ca="1">IF(AS$12="Pro Forma",SUM(OFFSET($B116,0,3*AS$9+1,1,3)),IFERROR(GETPIVOTDATA("Sum of Q"&amp;AS$9+1,'PT-All'!$A$1,"Scenario",AS$12,"P&amp;L Item",$B116),0))</f>
        <v>0</v>
      </c>
      <c r="AT116" s="65">
        <f ca="1">IF(AT$12="Pro Forma",SUM(OFFSET($B116,0,3*AT$9+1,1,3)),IFERROR(GETPIVOTDATA("Sum of Q"&amp;AT$9+1,'PT-All'!$A$1,"Scenario",AT$12,"P&amp;L Item",$B116),0))</f>
        <v>0</v>
      </c>
      <c r="AU116" s="65">
        <f ca="1">IF(AU$12="Pro Forma",SUM(OFFSET($B116,0,3*AU$9+1,1,3)),IFERROR(GETPIVOTDATA("Sum of Q"&amp;AU$9+1,'PT-All'!$A$1,"Scenario",AU$12,"P&amp;L Item",$B116),0))</f>
        <v>0</v>
      </c>
      <c r="AV116" s="65">
        <f ca="1">IF(AV$12="Pro Forma",SUM(OFFSET($B116,0,3*AV$9+1,1,3)),IFERROR(GETPIVOTDATA("Sum of Q"&amp;AV$9+1,'PT-All'!$A$1,"Scenario",AV$12,"P&amp;L Item",$B116),0))</f>
        <v>0</v>
      </c>
      <c r="AW116" s="65">
        <f ca="1">IF(AW$12="Pro Forma",SUM(OFFSET($B116,0,3*AW$9+1,1,3)),IFERROR(GETPIVOTDATA("Sum of Q"&amp;AW$9+1,'PT-All'!$A$1,"Scenario",AW$12,"P&amp;L Item",$B116),0))</f>
        <v>0</v>
      </c>
      <c r="AX116" s="65">
        <f ca="1">IF(AX$12="Pro Forma",SUM(OFFSET($B116,0,3*AX$9+1,1,3)),IFERROR(GETPIVOTDATA("Sum of Q"&amp;AX$9+1,'PT-All'!$A$1,"Scenario",AX$12,"P&amp;L Item",$B116),0))</f>
        <v>0</v>
      </c>
      <c r="AY116" s="97">
        <f ca="1">IF(AY$12="Pro Forma",SUM(OFFSET($B116,0,3*AY$9+1,1,3)),IFERROR(GETPIVOTDATA("Sum of Q"&amp;AY$9+1,'PT-All'!$A$1,"Scenario",AY$12,"P&amp;L Item",$B116),0))</f>
        <v>0</v>
      </c>
      <c r="AZ116" s="590"/>
      <c r="BA116" s="108">
        <f ca="1">IF(BA$12="Pro Forma",SUM(OFFSET($B116,0,12*BA$9+1,1,12)),IFERROR(GETPIVOTDATA("Sum of FY"&amp;BA$9+1,'PT-All'!$A$1,"Scenario",BA$12,"P&amp;L Item",$B116),0))</f>
        <v>0</v>
      </c>
      <c r="BB116" s="65">
        <f ca="1">IF(BB$12="Pro Forma",SUM(OFFSET($B116,0,12*BB$9+1,1,12)),IFERROR(GETPIVOTDATA("Sum of FY"&amp;BB$9+1,'PT-All'!$A$1,"Scenario",BB$12,"P&amp;L Item",$B116),0))</f>
        <v>0</v>
      </c>
      <c r="BC116" s="97">
        <f ca="1">IF(BC$12="Pro Forma",SUM(OFFSET($B116,0,12*BC$9+1,1,12)),IFERROR(GETPIVOTDATA("Sum of FY"&amp;BC$9+1,'PT-All'!$A$1,"Scenario",BC$12,"P&amp;L Item",$B116),0))</f>
        <v>0</v>
      </c>
    </row>
    <row r="117" spans="2:55" x14ac:dyDescent="0.35">
      <c r="B117" s="76" t="s">
        <v>147</v>
      </c>
      <c r="C117" s="65">
        <f>CHOOSE(PLColumn,IFERROR(GETPIVOTDATA("Sum of "&amp;C$9,'PT-All'!$A$1,"Scenario",C$12,"P&amp;L Item",$B117),0),IFERROR(GETPIVOTDATA("Sum of "&amp;C$9,'PT-All'!$A$1,"Scenario",C$12,"P&amp;L Item",$B117)/C$201,0),TEXT(IFERROR(GETPIVOTDATA("Sum of "&amp;C$9,'PT-All'!$A$1,"Scenario",C$12,"P&amp;L Item",$B117)/C$29,0),"0.00%"))</f>
        <v>0</v>
      </c>
      <c r="D117" s="65">
        <f>CHOOSE(PLColumn,IFERROR(GETPIVOTDATA("Sum of "&amp;D$9,'PT-All'!$A$1,"Scenario",D$12,"P&amp;L Item",$B117),0),IFERROR(GETPIVOTDATA("Sum of "&amp;D$9,'PT-All'!$A$1,"Scenario",D$12,"P&amp;L Item",$B117)/D$201,0),TEXT(IFERROR(GETPIVOTDATA("Sum of "&amp;D$9,'PT-All'!$A$1,"Scenario",D$12,"P&amp;L Item",$B117)/D$29,0),"0.00%"))</f>
        <v>0</v>
      </c>
      <c r="E117" s="65">
        <f>CHOOSE(PLColumn,IFERROR(GETPIVOTDATA("Sum of "&amp;E$9,'PT-All'!$A$1,"Scenario",E$12,"P&amp;L Item",$B117),0),IFERROR(GETPIVOTDATA("Sum of "&amp;E$9,'PT-All'!$A$1,"Scenario",E$12,"P&amp;L Item",$B117)/E$201,0),TEXT(IFERROR(GETPIVOTDATA("Sum of "&amp;E$9,'PT-All'!$A$1,"Scenario",E$12,"P&amp;L Item",$B117)/E$29,0),"0.00%"))</f>
        <v>0</v>
      </c>
      <c r="F117" s="65">
        <f>CHOOSE(PLColumn,IFERROR(GETPIVOTDATA("Sum of "&amp;F$9,'PT-All'!$A$1,"Scenario",F$12,"P&amp;L Item",$B117),0),IFERROR(GETPIVOTDATA("Sum of "&amp;F$9,'PT-All'!$A$1,"Scenario",F$12,"P&amp;L Item",$B117)/F$201,0),TEXT(IFERROR(GETPIVOTDATA("Sum of "&amp;F$9,'PT-All'!$A$1,"Scenario",F$12,"P&amp;L Item",$B117)/F$29,0),"0.00%"))</f>
        <v>0</v>
      </c>
      <c r="G117" s="65">
        <f>CHOOSE(PLColumn,IFERROR(GETPIVOTDATA("Sum of "&amp;G$9,'PT-All'!$A$1,"Scenario",G$12,"P&amp;L Item",$B117),0),IFERROR(GETPIVOTDATA("Sum of "&amp;G$9,'PT-All'!$A$1,"Scenario",G$12,"P&amp;L Item",$B117)/G$201,0),TEXT(IFERROR(GETPIVOTDATA("Sum of "&amp;G$9,'PT-All'!$A$1,"Scenario",G$12,"P&amp;L Item",$B117)/G$29,0),"0.00%"))</f>
        <v>0</v>
      </c>
      <c r="H117" s="65">
        <f>CHOOSE(PLColumn,IFERROR(GETPIVOTDATA("Sum of "&amp;H$9,'PT-All'!$A$1,"Scenario",H$12,"P&amp;L Item",$B117),0),IFERROR(GETPIVOTDATA("Sum of "&amp;H$9,'PT-All'!$A$1,"Scenario",H$12,"P&amp;L Item",$B117)/H$201,0),TEXT(IFERROR(GETPIVOTDATA("Sum of "&amp;H$9,'PT-All'!$A$1,"Scenario",H$12,"P&amp;L Item",$B117)/H$29,0),"0.00%"))</f>
        <v>0</v>
      </c>
      <c r="I117" s="65">
        <f>CHOOSE(PLColumn,IFERROR(GETPIVOTDATA("Sum of "&amp;I$9,'PT-All'!$A$1,"Scenario",I$12,"P&amp;L Item",$B117),0),IFERROR(GETPIVOTDATA("Sum of "&amp;I$9,'PT-All'!$A$1,"Scenario",I$12,"P&amp;L Item",$B117)/I$201,0),TEXT(IFERROR(GETPIVOTDATA("Sum of "&amp;I$9,'PT-All'!$A$1,"Scenario",I$12,"P&amp;L Item",$B117)/I$29,0),"0.00%"))</f>
        <v>0</v>
      </c>
      <c r="J117" s="65">
        <f>CHOOSE(PLColumn,IFERROR(GETPIVOTDATA("Sum of "&amp;J$9,'PT-All'!$A$1,"Scenario",J$12,"P&amp;L Item",$B117),0),IFERROR(GETPIVOTDATA("Sum of "&amp;J$9,'PT-All'!$A$1,"Scenario",J$12,"P&amp;L Item",$B117)/J$201,0),TEXT(IFERROR(GETPIVOTDATA("Sum of "&amp;J$9,'PT-All'!$A$1,"Scenario",J$12,"P&amp;L Item",$B117)/J$29,0),"0.00%"))</f>
        <v>0</v>
      </c>
      <c r="K117" s="65">
        <f>CHOOSE(PLColumn,IFERROR(GETPIVOTDATA("Sum of "&amp;K$9,'PT-All'!$A$1,"Scenario",K$12,"P&amp;L Item",$B117),0),IFERROR(GETPIVOTDATA("Sum of "&amp;K$9,'PT-All'!$A$1,"Scenario",K$12,"P&amp;L Item",$B117)/K$201,0),TEXT(IFERROR(GETPIVOTDATA("Sum of "&amp;K$9,'PT-All'!$A$1,"Scenario",K$12,"P&amp;L Item",$B117)/K$29,0),"0.00%"))</f>
        <v>0</v>
      </c>
      <c r="L117" s="65">
        <f>CHOOSE(PLColumn,IFERROR(GETPIVOTDATA("Sum of "&amp;L$9,'PT-All'!$A$1,"Scenario",L$12,"P&amp;L Item",$B117),0),IFERROR(GETPIVOTDATA("Sum of "&amp;L$9,'PT-All'!$A$1,"Scenario",L$12,"P&amp;L Item",$B117)/L$201,0),TEXT(IFERROR(GETPIVOTDATA("Sum of "&amp;L$9,'PT-All'!$A$1,"Scenario",L$12,"P&amp;L Item",$B117)/L$29,0),"0.00%"))</f>
        <v>0</v>
      </c>
      <c r="M117" s="65">
        <f>CHOOSE(PLColumn,IFERROR(GETPIVOTDATA("Sum of "&amp;M$9,'PT-All'!$A$1,"Scenario",M$12,"P&amp;L Item",$B117),0),IFERROR(GETPIVOTDATA("Sum of "&amp;M$9,'PT-All'!$A$1,"Scenario",M$12,"P&amp;L Item",$B117)/M$201,0),TEXT(IFERROR(GETPIVOTDATA("Sum of "&amp;M$9,'PT-All'!$A$1,"Scenario",M$12,"P&amp;L Item",$B117)/M$29,0),"0.00%"))</f>
        <v>0</v>
      </c>
      <c r="N117" s="65">
        <f>CHOOSE(PLColumn,IFERROR(GETPIVOTDATA("Sum of "&amp;N$9,'PT-All'!$A$1,"Scenario",N$12,"P&amp;L Item",$B117),0),IFERROR(GETPIVOTDATA("Sum of "&amp;N$9,'PT-All'!$A$1,"Scenario",N$12,"P&amp;L Item",$B117)/N$201,0),TEXT(IFERROR(GETPIVOTDATA("Sum of "&amp;N$9,'PT-All'!$A$1,"Scenario",N$12,"P&amp;L Item",$B117)/N$29,0),"0.00%"))</f>
        <v>0</v>
      </c>
      <c r="O117" s="65">
        <f>CHOOSE(PLColumn,IFERROR(GETPIVOTDATA("Sum of "&amp;O$9,'PT-All'!$A$1,"Scenario",O$12,"P&amp;L Item",$B117),0),IFERROR(GETPIVOTDATA("Sum of "&amp;O$9,'PT-All'!$A$1,"Scenario",O$12,"P&amp;L Item",$B117)/O$201,0),TEXT(IFERROR(GETPIVOTDATA("Sum of "&amp;O$9,'PT-All'!$A$1,"Scenario",O$12,"P&amp;L Item",$B117)/O$29,0),"0.00%"))</f>
        <v>0</v>
      </c>
      <c r="P117" s="65">
        <f>CHOOSE(PLColumn,IFERROR(GETPIVOTDATA("Sum of "&amp;P$9,'PT-All'!$A$1,"Scenario",P$12,"P&amp;L Item",$B117),0),IFERROR(GETPIVOTDATA("Sum of "&amp;P$9,'PT-All'!$A$1,"Scenario",P$12,"P&amp;L Item",$B117)/P$201,0),TEXT(IFERROR(GETPIVOTDATA("Sum of "&amp;P$9,'PT-All'!$A$1,"Scenario",P$12,"P&amp;L Item",$B117)/P$29,0),"0.00%"))</f>
        <v>0</v>
      </c>
      <c r="Q117" s="65">
        <f>CHOOSE(PLColumn,IFERROR(GETPIVOTDATA("Sum of "&amp;Q$9,'PT-All'!$A$1,"Scenario",Q$12,"P&amp;L Item",$B117),0),IFERROR(GETPIVOTDATA("Sum of "&amp;Q$9,'PT-All'!$A$1,"Scenario",Q$12,"P&amp;L Item",$B117)/Q$201,0),TEXT(IFERROR(GETPIVOTDATA("Sum of "&amp;Q$9,'PT-All'!$A$1,"Scenario",Q$12,"P&amp;L Item",$B117)/Q$29,0),"0.00%"))</f>
        <v>0</v>
      </c>
      <c r="R117" s="65">
        <f>CHOOSE(PLColumn,IFERROR(GETPIVOTDATA("Sum of "&amp;R$9,'PT-All'!$A$1,"Scenario",R$12,"P&amp;L Item",$B117),0),IFERROR(GETPIVOTDATA("Sum of "&amp;R$9,'PT-All'!$A$1,"Scenario",R$12,"P&amp;L Item",$B117)/R$201,0),TEXT(IFERROR(GETPIVOTDATA("Sum of "&amp;R$9,'PT-All'!$A$1,"Scenario",R$12,"P&amp;L Item",$B117)/R$29,0),"0.00%"))</f>
        <v>0</v>
      </c>
      <c r="S117" s="65">
        <f>CHOOSE(PLColumn,IFERROR(GETPIVOTDATA("Sum of "&amp;S$9,'PT-All'!$A$1,"Scenario",S$12,"P&amp;L Item",$B117),0),IFERROR(GETPIVOTDATA("Sum of "&amp;S$9,'PT-All'!$A$1,"Scenario",S$12,"P&amp;L Item",$B117)/S$201,0),TEXT(IFERROR(GETPIVOTDATA("Sum of "&amp;S$9,'PT-All'!$A$1,"Scenario",S$12,"P&amp;L Item",$B117)/S$29,0),"0.00%"))</f>
        <v>0</v>
      </c>
      <c r="T117" s="65">
        <f>CHOOSE(PLColumn,IFERROR(GETPIVOTDATA("Sum of "&amp;T$9,'PT-All'!$A$1,"Scenario",T$12,"P&amp;L Item",$B117),0),IFERROR(GETPIVOTDATA("Sum of "&amp;T$9,'PT-All'!$A$1,"Scenario",T$12,"P&amp;L Item",$B117)/T$201,0),TEXT(IFERROR(GETPIVOTDATA("Sum of "&amp;T$9,'PT-All'!$A$1,"Scenario",T$12,"P&amp;L Item",$B117)/T$29,0),"0.00%"))</f>
        <v>0</v>
      </c>
      <c r="U117" s="65">
        <f>CHOOSE(PLColumn,IFERROR(GETPIVOTDATA("Sum of "&amp;U$9,'PT-All'!$A$1,"Scenario",U$12,"P&amp;L Item",$B117),0),IFERROR(GETPIVOTDATA("Sum of "&amp;U$9,'PT-All'!$A$1,"Scenario",U$12,"P&amp;L Item",$B117)/U$201,0),TEXT(IFERROR(GETPIVOTDATA("Sum of "&amp;U$9,'PT-All'!$A$1,"Scenario",U$12,"P&amp;L Item",$B117)/U$29,0),"0.00%"))</f>
        <v>0</v>
      </c>
      <c r="V117" s="65">
        <f>CHOOSE(PLColumn,IFERROR(GETPIVOTDATA("Sum of "&amp;V$9,'PT-All'!$A$1,"Scenario",V$12,"P&amp;L Item",$B117),0),IFERROR(GETPIVOTDATA("Sum of "&amp;V$9,'PT-All'!$A$1,"Scenario",V$12,"P&amp;L Item",$B117)/V$201,0),TEXT(IFERROR(GETPIVOTDATA("Sum of "&amp;V$9,'PT-All'!$A$1,"Scenario",V$12,"P&amp;L Item",$B117)/V$29,0),"0.00%"))</f>
        <v>0</v>
      </c>
      <c r="W117" s="65">
        <f>CHOOSE(PLColumn,IFERROR(GETPIVOTDATA("Sum of "&amp;W$9,'PT-All'!$A$1,"Scenario",W$12,"P&amp;L Item",$B117),0),IFERROR(GETPIVOTDATA("Sum of "&amp;W$9,'PT-All'!$A$1,"Scenario",W$12,"P&amp;L Item",$B117)/W$201,0),TEXT(IFERROR(GETPIVOTDATA("Sum of "&amp;W$9,'PT-All'!$A$1,"Scenario",W$12,"P&amp;L Item",$B117)/W$29,0),"0.00%"))</f>
        <v>0</v>
      </c>
      <c r="X117" s="65">
        <f>CHOOSE(PLColumn,IFERROR(GETPIVOTDATA("Sum of "&amp;X$9,'PT-All'!$A$1,"Scenario",X$12,"P&amp;L Item",$B117),0),IFERROR(GETPIVOTDATA("Sum of "&amp;X$9,'PT-All'!$A$1,"Scenario",X$12,"P&amp;L Item",$B117)/X$201,0),TEXT(IFERROR(GETPIVOTDATA("Sum of "&amp;X$9,'PT-All'!$A$1,"Scenario",X$12,"P&amp;L Item",$B117)/X$29,0),"0.00%"))</f>
        <v>0</v>
      </c>
      <c r="Y117" s="65">
        <f>CHOOSE(PLColumn,IFERROR(GETPIVOTDATA("Sum of "&amp;Y$9,'PT-All'!$A$1,"Scenario",Y$12,"P&amp;L Item",$B117),0),IFERROR(GETPIVOTDATA("Sum of "&amp;Y$9,'PT-All'!$A$1,"Scenario",Y$12,"P&amp;L Item",$B117)/Y$201,0),TEXT(IFERROR(GETPIVOTDATA("Sum of "&amp;Y$9,'PT-All'!$A$1,"Scenario",Y$12,"P&amp;L Item",$B117)/Y$29,0),"0.00%"))</f>
        <v>0</v>
      </c>
      <c r="Z117" s="65">
        <f>CHOOSE(PLColumn,IFERROR(GETPIVOTDATA("Sum of "&amp;Z$9,'PT-All'!$A$1,"Scenario",Z$12,"P&amp;L Item",$B117),0),IFERROR(GETPIVOTDATA("Sum of "&amp;Z$9,'PT-All'!$A$1,"Scenario",Z$12,"P&amp;L Item",$B117)/Z$201,0),TEXT(IFERROR(GETPIVOTDATA("Sum of "&amp;Z$9,'PT-All'!$A$1,"Scenario",Z$12,"P&amp;L Item",$B117)/Z$29,0),"0.00%"))</f>
        <v>0</v>
      </c>
      <c r="AA117" s="65">
        <f>CHOOSE(PLColumn,IFERROR(GETPIVOTDATA("Sum of "&amp;AA$9,'PT-All'!$A$1,"Scenario",AA$12,"P&amp;L Item",$B117),0),IFERROR(GETPIVOTDATA("Sum of "&amp;AA$9,'PT-All'!$A$1,"Scenario",AA$12,"P&amp;L Item",$B117)/AA$201,0),TEXT(IFERROR(GETPIVOTDATA("Sum of "&amp;AA$9,'PT-All'!$A$1,"Scenario",AA$12,"P&amp;L Item",$B117)/AA$29,0),"0.00%"))</f>
        <v>0</v>
      </c>
      <c r="AB117" s="65">
        <f>CHOOSE(PLColumn,IFERROR(GETPIVOTDATA("Sum of "&amp;AB$9,'PT-All'!$A$1,"Scenario",AB$12,"P&amp;L Item",$B117),0),IFERROR(GETPIVOTDATA("Sum of "&amp;AB$9,'PT-All'!$A$1,"Scenario",AB$12,"P&amp;L Item",$B117)/AB$201,0),TEXT(IFERROR(GETPIVOTDATA("Sum of "&amp;AB$9,'PT-All'!$A$1,"Scenario",AB$12,"P&amp;L Item",$B117)/AB$29,0),"0.00%"))</f>
        <v>0</v>
      </c>
      <c r="AC117" s="65">
        <f>CHOOSE(PLColumn,IFERROR(GETPIVOTDATA("Sum of "&amp;AC$9,'PT-All'!$A$1,"Scenario",AC$12,"P&amp;L Item",$B117),0),IFERROR(GETPIVOTDATA("Sum of "&amp;AC$9,'PT-All'!$A$1,"Scenario",AC$12,"P&amp;L Item",$B117)/AC$201,0),TEXT(IFERROR(GETPIVOTDATA("Sum of "&amp;AC$9,'PT-All'!$A$1,"Scenario",AC$12,"P&amp;L Item",$B117)/AC$29,0),"0.00%"))</f>
        <v>0</v>
      </c>
      <c r="AD117" s="65">
        <f>CHOOSE(PLColumn,IFERROR(GETPIVOTDATA("Sum of "&amp;AD$9,'PT-All'!$A$1,"Scenario",AD$12,"P&amp;L Item",$B117),0),IFERROR(GETPIVOTDATA("Sum of "&amp;AD$9,'PT-All'!$A$1,"Scenario",AD$12,"P&amp;L Item",$B117)/AD$201,0),TEXT(IFERROR(GETPIVOTDATA("Sum of "&amp;AD$9,'PT-All'!$A$1,"Scenario",AD$12,"P&amp;L Item",$B117)/AD$29,0),"0.00%"))</f>
        <v>0</v>
      </c>
      <c r="AE117" s="65">
        <f>CHOOSE(PLColumn,IFERROR(GETPIVOTDATA("Sum of "&amp;AE$9,'PT-All'!$A$1,"Scenario",AE$12,"P&amp;L Item",$B117),0),IFERROR(GETPIVOTDATA("Sum of "&amp;AE$9,'PT-All'!$A$1,"Scenario",AE$12,"P&amp;L Item",$B117)/AE$201,0),TEXT(IFERROR(GETPIVOTDATA("Sum of "&amp;AE$9,'PT-All'!$A$1,"Scenario",AE$12,"P&amp;L Item",$B117)/AE$29,0),"0.00%"))</f>
        <v>0</v>
      </c>
      <c r="AF117" s="65">
        <f>CHOOSE(PLColumn,IFERROR(GETPIVOTDATA("Sum of "&amp;AF$9,'PT-All'!$A$1,"Scenario",AF$12,"P&amp;L Item",$B117),0),IFERROR(GETPIVOTDATA("Sum of "&amp;AF$9,'PT-All'!$A$1,"Scenario",AF$12,"P&amp;L Item",$B117)/AF$201,0),TEXT(IFERROR(GETPIVOTDATA("Sum of "&amp;AF$9,'PT-All'!$A$1,"Scenario",AF$12,"P&amp;L Item",$B117)/AF$29,0),"0.00%"))</f>
        <v>0</v>
      </c>
      <c r="AG117" s="65">
        <f>CHOOSE(PLColumn,IFERROR(GETPIVOTDATA("Sum of "&amp;AG$9,'PT-All'!$A$1,"Scenario",AG$12,"P&amp;L Item",$B117),0),IFERROR(GETPIVOTDATA("Sum of "&amp;AG$9,'PT-All'!$A$1,"Scenario",AG$12,"P&amp;L Item",$B117)/AG$201,0),TEXT(IFERROR(GETPIVOTDATA("Sum of "&amp;AG$9,'PT-All'!$A$1,"Scenario",AG$12,"P&amp;L Item",$B117)/AG$29,0),"0.00%"))</f>
        <v>0</v>
      </c>
      <c r="AH117" s="65">
        <f>CHOOSE(PLColumn,IFERROR(GETPIVOTDATA("Sum of "&amp;AH$9,'PT-All'!$A$1,"Scenario",AH$12,"P&amp;L Item",$B117),0),IFERROR(GETPIVOTDATA("Sum of "&amp;AH$9,'PT-All'!$A$1,"Scenario",AH$12,"P&amp;L Item",$B117)/AH$201,0),TEXT(IFERROR(GETPIVOTDATA("Sum of "&amp;AH$9,'PT-All'!$A$1,"Scenario",AH$12,"P&amp;L Item",$B117)/AH$29,0),"0.00%"))</f>
        <v>0</v>
      </c>
      <c r="AI117" s="65">
        <f>CHOOSE(PLColumn,IFERROR(GETPIVOTDATA("Sum of "&amp;AI$9,'PT-All'!$A$1,"Scenario",AI$12,"P&amp;L Item",$B117),0),IFERROR(GETPIVOTDATA("Sum of "&amp;AI$9,'PT-All'!$A$1,"Scenario",AI$12,"P&amp;L Item",$B117)/AI$201,0),TEXT(IFERROR(GETPIVOTDATA("Sum of "&amp;AI$9,'PT-All'!$A$1,"Scenario",AI$12,"P&amp;L Item",$B117)/AI$29,0),"0.00%"))</f>
        <v>0</v>
      </c>
      <c r="AJ117" s="65">
        <f>CHOOSE(PLColumn,IFERROR(GETPIVOTDATA("Sum of "&amp;AJ$9,'PT-All'!$A$1,"Scenario",AJ$12,"P&amp;L Item",$B117),0),IFERROR(GETPIVOTDATA("Sum of "&amp;AJ$9,'PT-All'!$A$1,"Scenario",AJ$12,"P&amp;L Item",$B117)/AJ$201,0),TEXT(IFERROR(GETPIVOTDATA("Sum of "&amp;AJ$9,'PT-All'!$A$1,"Scenario",AJ$12,"P&amp;L Item",$B117)/AJ$29,0),"0.00%"))</f>
        <v>0</v>
      </c>
      <c r="AK117" s="65">
        <f>CHOOSE(PLColumn,IFERROR(GETPIVOTDATA("Sum of "&amp;AK$9,'PT-All'!$A$1,"Scenario",AK$12,"P&amp;L Item",$B117),0),IFERROR(GETPIVOTDATA("Sum of "&amp;AK$9,'PT-All'!$A$1,"Scenario",AK$12,"P&amp;L Item",$B117)/AK$201,0),TEXT(IFERROR(GETPIVOTDATA("Sum of "&amp;AK$9,'PT-All'!$A$1,"Scenario",AK$12,"P&amp;L Item",$B117)/AK$29,0),"0.00%"))</f>
        <v>0</v>
      </c>
      <c r="AL117" s="97">
        <f>CHOOSE(PLColumn,IFERROR(GETPIVOTDATA("Sum of "&amp;AL$9,'PT-All'!$A$1,"Scenario",AL$12,"P&amp;L Item",$B117),0),IFERROR(GETPIVOTDATA("Sum of "&amp;AL$9,'PT-All'!$A$1,"Scenario",AL$12,"P&amp;L Item",$B117)/AL$201,0),TEXT(IFERROR(GETPIVOTDATA("Sum of "&amp;AL$9,'PT-All'!$A$1,"Scenario",AL$12,"P&amp;L Item",$B117)/AL$29,0),"0.00%"))</f>
        <v>0</v>
      </c>
      <c r="AM117" s="590"/>
      <c r="AN117" s="108">
        <f ca="1">IF(AN$12="Pro Forma",SUM(OFFSET($B117,0,3*AN$9+1,1,3)),IFERROR(GETPIVOTDATA("Sum of Q"&amp;AN$9+1,'PT-All'!$A$1,"Scenario",AN$12,"P&amp;L Item",$B117),0))</f>
        <v>0</v>
      </c>
      <c r="AO117" s="65">
        <f ca="1">IF(AO$12="Pro Forma",SUM(OFFSET($B117,0,3*AO$9+1,1,3)),IFERROR(GETPIVOTDATA("Sum of Q"&amp;AO$9+1,'PT-All'!$A$1,"Scenario",AO$12,"P&amp;L Item",$B117),0))</f>
        <v>0</v>
      </c>
      <c r="AP117" s="65">
        <f ca="1">IF(AP$12="Pro Forma",SUM(OFFSET($B117,0,3*AP$9+1,1,3)),IFERROR(GETPIVOTDATA("Sum of Q"&amp;AP$9+1,'PT-All'!$A$1,"Scenario",AP$12,"P&amp;L Item",$B117),0))</f>
        <v>0</v>
      </c>
      <c r="AQ117" s="65">
        <f ca="1">IF(AQ$12="Pro Forma",SUM(OFFSET($B117,0,3*AQ$9+1,1,3)),IFERROR(GETPIVOTDATA("Sum of Q"&amp;AQ$9+1,'PT-All'!$A$1,"Scenario",AQ$12,"P&amp;L Item",$B117),0))</f>
        <v>0</v>
      </c>
      <c r="AR117" s="65">
        <f ca="1">IF(AR$12="Pro Forma",SUM(OFFSET($B117,0,3*AR$9+1,1,3)),IFERROR(GETPIVOTDATA("Sum of Q"&amp;AR$9+1,'PT-All'!$A$1,"Scenario",AR$12,"P&amp;L Item",$B117),0))</f>
        <v>0</v>
      </c>
      <c r="AS117" s="65">
        <f ca="1">IF(AS$12="Pro Forma",SUM(OFFSET($B117,0,3*AS$9+1,1,3)),IFERROR(GETPIVOTDATA("Sum of Q"&amp;AS$9+1,'PT-All'!$A$1,"Scenario",AS$12,"P&amp;L Item",$B117),0))</f>
        <v>0</v>
      </c>
      <c r="AT117" s="65">
        <f ca="1">IF(AT$12="Pro Forma",SUM(OFFSET($B117,0,3*AT$9+1,1,3)),IFERROR(GETPIVOTDATA("Sum of Q"&amp;AT$9+1,'PT-All'!$A$1,"Scenario",AT$12,"P&amp;L Item",$B117),0))</f>
        <v>0</v>
      </c>
      <c r="AU117" s="65">
        <f ca="1">IF(AU$12="Pro Forma",SUM(OFFSET($B117,0,3*AU$9+1,1,3)),IFERROR(GETPIVOTDATA("Sum of Q"&amp;AU$9+1,'PT-All'!$A$1,"Scenario",AU$12,"P&amp;L Item",$B117),0))</f>
        <v>0</v>
      </c>
      <c r="AV117" s="65">
        <f ca="1">IF(AV$12="Pro Forma",SUM(OFFSET($B117,0,3*AV$9+1,1,3)),IFERROR(GETPIVOTDATA("Sum of Q"&amp;AV$9+1,'PT-All'!$A$1,"Scenario",AV$12,"P&amp;L Item",$B117),0))</f>
        <v>0</v>
      </c>
      <c r="AW117" s="65">
        <f ca="1">IF(AW$12="Pro Forma",SUM(OFFSET($B117,0,3*AW$9+1,1,3)),IFERROR(GETPIVOTDATA("Sum of Q"&amp;AW$9+1,'PT-All'!$A$1,"Scenario",AW$12,"P&amp;L Item",$B117),0))</f>
        <v>0</v>
      </c>
      <c r="AX117" s="65">
        <f ca="1">IF(AX$12="Pro Forma",SUM(OFFSET($B117,0,3*AX$9+1,1,3)),IFERROR(GETPIVOTDATA("Sum of Q"&amp;AX$9+1,'PT-All'!$A$1,"Scenario",AX$12,"P&amp;L Item",$B117),0))</f>
        <v>0</v>
      </c>
      <c r="AY117" s="97">
        <f ca="1">IF(AY$12="Pro Forma",SUM(OFFSET($B117,0,3*AY$9+1,1,3)),IFERROR(GETPIVOTDATA("Sum of Q"&amp;AY$9+1,'PT-All'!$A$1,"Scenario",AY$12,"P&amp;L Item",$B117),0))</f>
        <v>0</v>
      </c>
      <c r="AZ117" s="590"/>
      <c r="BA117" s="108">
        <f ca="1">IF(BA$12="Pro Forma",SUM(OFFSET($B117,0,12*BA$9+1,1,12)),IFERROR(GETPIVOTDATA("Sum of FY"&amp;BA$9+1,'PT-All'!$A$1,"Scenario",BA$12,"P&amp;L Item",$B117),0))</f>
        <v>0</v>
      </c>
      <c r="BB117" s="65">
        <f ca="1">IF(BB$12="Pro Forma",SUM(OFFSET($B117,0,12*BB$9+1,1,12)),IFERROR(GETPIVOTDATA("Sum of FY"&amp;BB$9+1,'PT-All'!$A$1,"Scenario",BB$12,"P&amp;L Item",$B117),0))</f>
        <v>0</v>
      </c>
      <c r="BC117" s="97">
        <f ca="1">IF(BC$12="Pro Forma",SUM(OFFSET($B117,0,12*BC$9+1,1,12)),IFERROR(GETPIVOTDATA("Sum of FY"&amp;BC$9+1,'PT-All'!$A$1,"Scenario",BC$12,"P&amp;L Item",$B117),0))</f>
        <v>0</v>
      </c>
    </row>
    <row r="118" spans="2:55" x14ac:dyDescent="0.35">
      <c r="B118" s="76" t="s">
        <v>148</v>
      </c>
      <c r="C118" s="65">
        <f>CHOOSE(PLColumn,IFERROR(GETPIVOTDATA("Sum of "&amp;C$9,'PT-All'!$A$1,"Scenario",C$12,"P&amp;L Item",$B118),0),IFERROR(GETPIVOTDATA("Sum of "&amp;C$9,'PT-All'!$A$1,"Scenario",C$12,"P&amp;L Item",$B118)/C$201,0),TEXT(IFERROR(GETPIVOTDATA("Sum of "&amp;C$9,'PT-All'!$A$1,"Scenario",C$12,"P&amp;L Item",$B118)/C$29,0),"0.00%"))</f>
        <v>0</v>
      </c>
      <c r="D118" s="65">
        <f>CHOOSE(PLColumn,IFERROR(GETPIVOTDATA("Sum of "&amp;D$9,'PT-All'!$A$1,"Scenario",D$12,"P&amp;L Item",$B118),0),IFERROR(GETPIVOTDATA("Sum of "&amp;D$9,'PT-All'!$A$1,"Scenario",D$12,"P&amp;L Item",$B118)/D$201,0),TEXT(IFERROR(GETPIVOTDATA("Sum of "&amp;D$9,'PT-All'!$A$1,"Scenario",D$12,"P&amp;L Item",$B118)/D$29,0),"0.00%"))</f>
        <v>0</v>
      </c>
      <c r="E118" s="65">
        <f>CHOOSE(PLColumn,IFERROR(GETPIVOTDATA("Sum of "&amp;E$9,'PT-All'!$A$1,"Scenario",E$12,"P&amp;L Item",$B118),0),IFERROR(GETPIVOTDATA("Sum of "&amp;E$9,'PT-All'!$A$1,"Scenario",E$12,"P&amp;L Item",$B118)/E$201,0),TEXT(IFERROR(GETPIVOTDATA("Sum of "&amp;E$9,'PT-All'!$A$1,"Scenario",E$12,"P&amp;L Item",$B118)/E$29,0),"0.00%"))</f>
        <v>0</v>
      </c>
      <c r="F118" s="65">
        <f>CHOOSE(PLColumn,IFERROR(GETPIVOTDATA("Sum of "&amp;F$9,'PT-All'!$A$1,"Scenario",F$12,"P&amp;L Item",$B118),0),IFERROR(GETPIVOTDATA("Sum of "&amp;F$9,'PT-All'!$A$1,"Scenario",F$12,"P&amp;L Item",$B118)/F$201,0),TEXT(IFERROR(GETPIVOTDATA("Sum of "&amp;F$9,'PT-All'!$A$1,"Scenario",F$12,"P&amp;L Item",$B118)/F$29,0),"0.00%"))</f>
        <v>0</v>
      </c>
      <c r="G118" s="65">
        <f>CHOOSE(PLColumn,IFERROR(GETPIVOTDATA("Sum of "&amp;G$9,'PT-All'!$A$1,"Scenario",G$12,"P&amp;L Item",$B118),0),IFERROR(GETPIVOTDATA("Sum of "&amp;G$9,'PT-All'!$A$1,"Scenario",G$12,"P&amp;L Item",$B118)/G$201,0),TEXT(IFERROR(GETPIVOTDATA("Sum of "&amp;G$9,'PT-All'!$A$1,"Scenario",G$12,"P&amp;L Item",$B118)/G$29,0),"0.00%"))</f>
        <v>0</v>
      </c>
      <c r="H118" s="65">
        <f>CHOOSE(PLColumn,IFERROR(GETPIVOTDATA("Sum of "&amp;H$9,'PT-All'!$A$1,"Scenario",H$12,"P&amp;L Item",$B118),0),IFERROR(GETPIVOTDATA("Sum of "&amp;H$9,'PT-All'!$A$1,"Scenario",H$12,"P&amp;L Item",$B118)/H$201,0),TEXT(IFERROR(GETPIVOTDATA("Sum of "&amp;H$9,'PT-All'!$A$1,"Scenario",H$12,"P&amp;L Item",$B118)/H$29,0),"0.00%"))</f>
        <v>0</v>
      </c>
      <c r="I118" s="65">
        <f>CHOOSE(PLColumn,IFERROR(GETPIVOTDATA("Sum of "&amp;I$9,'PT-All'!$A$1,"Scenario",I$12,"P&amp;L Item",$B118),0),IFERROR(GETPIVOTDATA("Sum of "&amp;I$9,'PT-All'!$A$1,"Scenario",I$12,"P&amp;L Item",$B118)/I$201,0),TEXT(IFERROR(GETPIVOTDATA("Sum of "&amp;I$9,'PT-All'!$A$1,"Scenario",I$12,"P&amp;L Item",$B118)/I$29,0),"0.00%"))</f>
        <v>0</v>
      </c>
      <c r="J118" s="65">
        <f>CHOOSE(PLColumn,IFERROR(GETPIVOTDATA("Sum of "&amp;J$9,'PT-All'!$A$1,"Scenario",J$12,"P&amp;L Item",$B118),0),IFERROR(GETPIVOTDATA("Sum of "&amp;J$9,'PT-All'!$A$1,"Scenario",J$12,"P&amp;L Item",$B118)/J$201,0),TEXT(IFERROR(GETPIVOTDATA("Sum of "&amp;J$9,'PT-All'!$A$1,"Scenario",J$12,"P&amp;L Item",$B118)/J$29,0),"0.00%"))</f>
        <v>0</v>
      </c>
      <c r="K118" s="65">
        <f>CHOOSE(PLColumn,IFERROR(GETPIVOTDATA("Sum of "&amp;K$9,'PT-All'!$A$1,"Scenario",K$12,"P&amp;L Item",$B118),0),IFERROR(GETPIVOTDATA("Sum of "&amp;K$9,'PT-All'!$A$1,"Scenario",K$12,"P&amp;L Item",$B118)/K$201,0),TEXT(IFERROR(GETPIVOTDATA("Sum of "&amp;K$9,'PT-All'!$A$1,"Scenario",K$12,"P&amp;L Item",$B118)/K$29,0),"0.00%"))</f>
        <v>0</v>
      </c>
      <c r="L118" s="65">
        <f>CHOOSE(PLColumn,IFERROR(GETPIVOTDATA("Sum of "&amp;L$9,'PT-All'!$A$1,"Scenario",L$12,"P&amp;L Item",$B118),0),IFERROR(GETPIVOTDATA("Sum of "&amp;L$9,'PT-All'!$A$1,"Scenario",L$12,"P&amp;L Item",$B118)/L$201,0),TEXT(IFERROR(GETPIVOTDATA("Sum of "&amp;L$9,'PT-All'!$A$1,"Scenario",L$12,"P&amp;L Item",$B118)/L$29,0),"0.00%"))</f>
        <v>0</v>
      </c>
      <c r="M118" s="65">
        <f>CHOOSE(PLColumn,IFERROR(GETPIVOTDATA("Sum of "&amp;M$9,'PT-All'!$A$1,"Scenario",M$12,"P&amp;L Item",$B118),0),IFERROR(GETPIVOTDATA("Sum of "&amp;M$9,'PT-All'!$A$1,"Scenario",M$12,"P&amp;L Item",$B118)/M$201,0),TEXT(IFERROR(GETPIVOTDATA("Sum of "&amp;M$9,'PT-All'!$A$1,"Scenario",M$12,"P&amp;L Item",$B118)/M$29,0),"0.00%"))</f>
        <v>0</v>
      </c>
      <c r="N118" s="65">
        <f>CHOOSE(PLColumn,IFERROR(GETPIVOTDATA("Sum of "&amp;N$9,'PT-All'!$A$1,"Scenario",N$12,"P&amp;L Item",$B118),0),IFERROR(GETPIVOTDATA("Sum of "&amp;N$9,'PT-All'!$A$1,"Scenario",N$12,"P&amp;L Item",$B118)/N$201,0),TEXT(IFERROR(GETPIVOTDATA("Sum of "&amp;N$9,'PT-All'!$A$1,"Scenario",N$12,"P&amp;L Item",$B118)/N$29,0),"0.00%"))</f>
        <v>0</v>
      </c>
      <c r="O118" s="65">
        <f>CHOOSE(PLColumn,IFERROR(GETPIVOTDATA("Sum of "&amp;O$9,'PT-All'!$A$1,"Scenario",O$12,"P&amp;L Item",$B118),0),IFERROR(GETPIVOTDATA("Sum of "&amp;O$9,'PT-All'!$A$1,"Scenario",O$12,"P&amp;L Item",$B118)/O$201,0),TEXT(IFERROR(GETPIVOTDATA("Sum of "&amp;O$9,'PT-All'!$A$1,"Scenario",O$12,"P&amp;L Item",$B118)/O$29,0),"0.00%"))</f>
        <v>0</v>
      </c>
      <c r="P118" s="65">
        <f>CHOOSE(PLColumn,IFERROR(GETPIVOTDATA("Sum of "&amp;P$9,'PT-All'!$A$1,"Scenario",P$12,"P&amp;L Item",$B118),0),IFERROR(GETPIVOTDATA("Sum of "&amp;P$9,'PT-All'!$A$1,"Scenario",P$12,"P&amp;L Item",$B118)/P$201,0),TEXT(IFERROR(GETPIVOTDATA("Sum of "&amp;P$9,'PT-All'!$A$1,"Scenario",P$12,"P&amp;L Item",$B118)/P$29,0),"0.00%"))</f>
        <v>0</v>
      </c>
      <c r="Q118" s="65">
        <f>CHOOSE(PLColumn,IFERROR(GETPIVOTDATA("Sum of "&amp;Q$9,'PT-All'!$A$1,"Scenario",Q$12,"P&amp;L Item",$B118),0),IFERROR(GETPIVOTDATA("Sum of "&amp;Q$9,'PT-All'!$A$1,"Scenario",Q$12,"P&amp;L Item",$B118)/Q$201,0),TEXT(IFERROR(GETPIVOTDATA("Sum of "&amp;Q$9,'PT-All'!$A$1,"Scenario",Q$12,"P&amp;L Item",$B118)/Q$29,0),"0.00%"))</f>
        <v>0</v>
      </c>
      <c r="R118" s="65">
        <f>CHOOSE(PLColumn,IFERROR(GETPIVOTDATA("Sum of "&amp;R$9,'PT-All'!$A$1,"Scenario",R$12,"P&amp;L Item",$B118),0),IFERROR(GETPIVOTDATA("Sum of "&amp;R$9,'PT-All'!$A$1,"Scenario",R$12,"P&amp;L Item",$B118)/R$201,0),TEXT(IFERROR(GETPIVOTDATA("Sum of "&amp;R$9,'PT-All'!$A$1,"Scenario",R$12,"P&amp;L Item",$B118)/R$29,0),"0.00%"))</f>
        <v>0</v>
      </c>
      <c r="S118" s="65">
        <f>CHOOSE(PLColumn,IFERROR(GETPIVOTDATA("Sum of "&amp;S$9,'PT-All'!$A$1,"Scenario",S$12,"P&amp;L Item",$B118),0),IFERROR(GETPIVOTDATA("Sum of "&amp;S$9,'PT-All'!$A$1,"Scenario",S$12,"P&amp;L Item",$B118)/S$201,0),TEXT(IFERROR(GETPIVOTDATA("Sum of "&amp;S$9,'PT-All'!$A$1,"Scenario",S$12,"P&amp;L Item",$B118)/S$29,0),"0.00%"))</f>
        <v>0</v>
      </c>
      <c r="T118" s="65">
        <f>CHOOSE(PLColumn,IFERROR(GETPIVOTDATA("Sum of "&amp;T$9,'PT-All'!$A$1,"Scenario",T$12,"P&amp;L Item",$B118),0),IFERROR(GETPIVOTDATA("Sum of "&amp;T$9,'PT-All'!$A$1,"Scenario",T$12,"P&amp;L Item",$B118)/T$201,0),TEXT(IFERROR(GETPIVOTDATA("Sum of "&amp;T$9,'PT-All'!$A$1,"Scenario",T$12,"P&amp;L Item",$B118)/T$29,0),"0.00%"))</f>
        <v>0</v>
      </c>
      <c r="U118" s="65">
        <f>CHOOSE(PLColumn,IFERROR(GETPIVOTDATA("Sum of "&amp;U$9,'PT-All'!$A$1,"Scenario",U$12,"P&amp;L Item",$B118),0),IFERROR(GETPIVOTDATA("Sum of "&amp;U$9,'PT-All'!$A$1,"Scenario",U$12,"P&amp;L Item",$B118)/U$201,0),TEXT(IFERROR(GETPIVOTDATA("Sum of "&amp;U$9,'PT-All'!$A$1,"Scenario",U$12,"P&amp;L Item",$B118)/U$29,0),"0.00%"))</f>
        <v>0</v>
      </c>
      <c r="V118" s="65">
        <f>CHOOSE(PLColumn,IFERROR(GETPIVOTDATA("Sum of "&amp;V$9,'PT-All'!$A$1,"Scenario",V$12,"P&amp;L Item",$B118),0),IFERROR(GETPIVOTDATA("Sum of "&amp;V$9,'PT-All'!$A$1,"Scenario",V$12,"P&amp;L Item",$B118)/V$201,0),TEXT(IFERROR(GETPIVOTDATA("Sum of "&amp;V$9,'PT-All'!$A$1,"Scenario",V$12,"P&amp;L Item",$B118)/V$29,0),"0.00%"))</f>
        <v>0</v>
      </c>
      <c r="W118" s="65">
        <f>CHOOSE(PLColumn,IFERROR(GETPIVOTDATA("Sum of "&amp;W$9,'PT-All'!$A$1,"Scenario",W$12,"P&amp;L Item",$B118),0),IFERROR(GETPIVOTDATA("Sum of "&amp;W$9,'PT-All'!$A$1,"Scenario",W$12,"P&amp;L Item",$B118)/W$201,0),TEXT(IFERROR(GETPIVOTDATA("Sum of "&amp;W$9,'PT-All'!$A$1,"Scenario",W$12,"P&amp;L Item",$B118)/W$29,0),"0.00%"))</f>
        <v>0</v>
      </c>
      <c r="X118" s="65">
        <f>CHOOSE(PLColumn,IFERROR(GETPIVOTDATA("Sum of "&amp;X$9,'PT-All'!$A$1,"Scenario",X$12,"P&amp;L Item",$B118),0),IFERROR(GETPIVOTDATA("Sum of "&amp;X$9,'PT-All'!$A$1,"Scenario",X$12,"P&amp;L Item",$B118)/X$201,0),TEXT(IFERROR(GETPIVOTDATA("Sum of "&amp;X$9,'PT-All'!$A$1,"Scenario",X$12,"P&amp;L Item",$B118)/X$29,0),"0.00%"))</f>
        <v>0</v>
      </c>
      <c r="Y118" s="65">
        <f>CHOOSE(PLColumn,IFERROR(GETPIVOTDATA("Sum of "&amp;Y$9,'PT-All'!$A$1,"Scenario",Y$12,"P&amp;L Item",$B118),0),IFERROR(GETPIVOTDATA("Sum of "&amp;Y$9,'PT-All'!$A$1,"Scenario",Y$12,"P&amp;L Item",$B118)/Y$201,0),TEXT(IFERROR(GETPIVOTDATA("Sum of "&amp;Y$9,'PT-All'!$A$1,"Scenario",Y$12,"P&amp;L Item",$B118)/Y$29,0),"0.00%"))</f>
        <v>0</v>
      </c>
      <c r="Z118" s="65">
        <f>CHOOSE(PLColumn,IFERROR(GETPIVOTDATA("Sum of "&amp;Z$9,'PT-All'!$A$1,"Scenario",Z$12,"P&amp;L Item",$B118),0),IFERROR(GETPIVOTDATA("Sum of "&amp;Z$9,'PT-All'!$A$1,"Scenario",Z$12,"P&amp;L Item",$B118)/Z$201,0),TEXT(IFERROR(GETPIVOTDATA("Sum of "&amp;Z$9,'PT-All'!$A$1,"Scenario",Z$12,"P&amp;L Item",$B118)/Z$29,0),"0.00%"))</f>
        <v>0</v>
      </c>
      <c r="AA118" s="65">
        <f>CHOOSE(PLColumn,IFERROR(GETPIVOTDATA("Sum of "&amp;AA$9,'PT-All'!$A$1,"Scenario",AA$12,"P&amp;L Item",$B118),0),IFERROR(GETPIVOTDATA("Sum of "&amp;AA$9,'PT-All'!$A$1,"Scenario",AA$12,"P&amp;L Item",$B118)/AA$201,0),TEXT(IFERROR(GETPIVOTDATA("Sum of "&amp;AA$9,'PT-All'!$A$1,"Scenario",AA$12,"P&amp;L Item",$B118)/AA$29,0),"0.00%"))</f>
        <v>0</v>
      </c>
      <c r="AB118" s="65">
        <f>CHOOSE(PLColumn,IFERROR(GETPIVOTDATA("Sum of "&amp;AB$9,'PT-All'!$A$1,"Scenario",AB$12,"P&amp;L Item",$B118),0),IFERROR(GETPIVOTDATA("Sum of "&amp;AB$9,'PT-All'!$A$1,"Scenario",AB$12,"P&amp;L Item",$B118)/AB$201,0),TEXT(IFERROR(GETPIVOTDATA("Sum of "&amp;AB$9,'PT-All'!$A$1,"Scenario",AB$12,"P&amp;L Item",$B118)/AB$29,0),"0.00%"))</f>
        <v>0</v>
      </c>
      <c r="AC118" s="65">
        <f>CHOOSE(PLColumn,IFERROR(GETPIVOTDATA("Sum of "&amp;AC$9,'PT-All'!$A$1,"Scenario",AC$12,"P&amp;L Item",$B118),0),IFERROR(GETPIVOTDATA("Sum of "&amp;AC$9,'PT-All'!$A$1,"Scenario",AC$12,"P&amp;L Item",$B118)/AC$201,0),TEXT(IFERROR(GETPIVOTDATA("Sum of "&amp;AC$9,'PT-All'!$A$1,"Scenario",AC$12,"P&amp;L Item",$B118)/AC$29,0),"0.00%"))</f>
        <v>0</v>
      </c>
      <c r="AD118" s="65">
        <f>CHOOSE(PLColumn,IFERROR(GETPIVOTDATA("Sum of "&amp;AD$9,'PT-All'!$A$1,"Scenario",AD$12,"P&amp;L Item",$B118),0),IFERROR(GETPIVOTDATA("Sum of "&amp;AD$9,'PT-All'!$A$1,"Scenario",AD$12,"P&amp;L Item",$B118)/AD$201,0),TEXT(IFERROR(GETPIVOTDATA("Sum of "&amp;AD$9,'PT-All'!$A$1,"Scenario",AD$12,"P&amp;L Item",$B118)/AD$29,0),"0.00%"))</f>
        <v>0</v>
      </c>
      <c r="AE118" s="65">
        <f>CHOOSE(PLColumn,IFERROR(GETPIVOTDATA("Sum of "&amp;AE$9,'PT-All'!$A$1,"Scenario",AE$12,"P&amp;L Item",$B118),0),IFERROR(GETPIVOTDATA("Sum of "&amp;AE$9,'PT-All'!$A$1,"Scenario",AE$12,"P&amp;L Item",$B118)/AE$201,0),TEXT(IFERROR(GETPIVOTDATA("Sum of "&amp;AE$9,'PT-All'!$A$1,"Scenario",AE$12,"P&amp;L Item",$B118)/AE$29,0),"0.00%"))</f>
        <v>0</v>
      </c>
      <c r="AF118" s="65">
        <f>CHOOSE(PLColumn,IFERROR(GETPIVOTDATA("Sum of "&amp;AF$9,'PT-All'!$A$1,"Scenario",AF$12,"P&amp;L Item",$B118),0),IFERROR(GETPIVOTDATA("Sum of "&amp;AF$9,'PT-All'!$A$1,"Scenario",AF$12,"P&amp;L Item",$B118)/AF$201,0),TEXT(IFERROR(GETPIVOTDATA("Sum of "&amp;AF$9,'PT-All'!$A$1,"Scenario",AF$12,"P&amp;L Item",$B118)/AF$29,0),"0.00%"))</f>
        <v>0</v>
      </c>
      <c r="AG118" s="65">
        <f>CHOOSE(PLColumn,IFERROR(GETPIVOTDATA("Sum of "&amp;AG$9,'PT-All'!$A$1,"Scenario",AG$12,"P&amp;L Item",$B118),0),IFERROR(GETPIVOTDATA("Sum of "&amp;AG$9,'PT-All'!$A$1,"Scenario",AG$12,"P&amp;L Item",$B118)/AG$201,0),TEXT(IFERROR(GETPIVOTDATA("Sum of "&amp;AG$9,'PT-All'!$A$1,"Scenario",AG$12,"P&amp;L Item",$B118)/AG$29,0),"0.00%"))</f>
        <v>0</v>
      </c>
      <c r="AH118" s="65">
        <f>CHOOSE(PLColumn,IFERROR(GETPIVOTDATA("Sum of "&amp;AH$9,'PT-All'!$A$1,"Scenario",AH$12,"P&amp;L Item",$B118),0),IFERROR(GETPIVOTDATA("Sum of "&amp;AH$9,'PT-All'!$A$1,"Scenario",AH$12,"P&amp;L Item",$B118)/AH$201,0),TEXT(IFERROR(GETPIVOTDATA("Sum of "&amp;AH$9,'PT-All'!$A$1,"Scenario",AH$12,"P&amp;L Item",$B118)/AH$29,0),"0.00%"))</f>
        <v>0</v>
      </c>
      <c r="AI118" s="65">
        <f>CHOOSE(PLColumn,IFERROR(GETPIVOTDATA("Sum of "&amp;AI$9,'PT-All'!$A$1,"Scenario",AI$12,"P&amp;L Item",$B118),0),IFERROR(GETPIVOTDATA("Sum of "&amp;AI$9,'PT-All'!$A$1,"Scenario",AI$12,"P&amp;L Item",$B118)/AI$201,0),TEXT(IFERROR(GETPIVOTDATA("Sum of "&amp;AI$9,'PT-All'!$A$1,"Scenario",AI$12,"P&amp;L Item",$B118)/AI$29,0),"0.00%"))</f>
        <v>0</v>
      </c>
      <c r="AJ118" s="65">
        <f>CHOOSE(PLColumn,IFERROR(GETPIVOTDATA("Sum of "&amp;AJ$9,'PT-All'!$A$1,"Scenario",AJ$12,"P&amp;L Item",$B118),0),IFERROR(GETPIVOTDATA("Sum of "&amp;AJ$9,'PT-All'!$A$1,"Scenario",AJ$12,"P&amp;L Item",$B118)/AJ$201,0),TEXT(IFERROR(GETPIVOTDATA("Sum of "&amp;AJ$9,'PT-All'!$A$1,"Scenario",AJ$12,"P&amp;L Item",$B118)/AJ$29,0),"0.00%"))</f>
        <v>0</v>
      </c>
      <c r="AK118" s="65">
        <f>CHOOSE(PLColumn,IFERROR(GETPIVOTDATA("Sum of "&amp;AK$9,'PT-All'!$A$1,"Scenario",AK$12,"P&amp;L Item",$B118),0),IFERROR(GETPIVOTDATA("Sum of "&amp;AK$9,'PT-All'!$A$1,"Scenario",AK$12,"P&amp;L Item",$B118)/AK$201,0),TEXT(IFERROR(GETPIVOTDATA("Sum of "&amp;AK$9,'PT-All'!$A$1,"Scenario",AK$12,"P&amp;L Item",$B118)/AK$29,0),"0.00%"))</f>
        <v>0</v>
      </c>
      <c r="AL118" s="97">
        <f>CHOOSE(PLColumn,IFERROR(GETPIVOTDATA("Sum of "&amp;AL$9,'PT-All'!$A$1,"Scenario",AL$12,"P&amp;L Item",$B118),0),IFERROR(GETPIVOTDATA("Sum of "&amp;AL$9,'PT-All'!$A$1,"Scenario",AL$12,"P&amp;L Item",$B118)/AL$201,0),TEXT(IFERROR(GETPIVOTDATA("Sum of "&amp;AL$9,'PT-All'!$A$1,"Scenario",AL$12,"P&amp;L Item",$B118)/AL$29,0),"0.00%"))</f>
        <v>0</v>
      </c>
      <c r="AM118" s="590"/>
      <c r="AN118" s="108">
        <f ca="1">IF(AN$12="Pro Forma",SUM(OFFSET($B118,0,3*AN$9+1,1,3)),IFERROR(GETPIVOTDATA("Sum of Q"&amp;AN$9+1,'PT-All'!$A$1,"Scenario",AN$12,"P&amp;L Item",$B118),0))</f>
        <v>0</v>
      </c>
      <c r="AO118" s="65">
        <f ca="1">IF(AO$12="Pro Forma",SUM(OFFSET($B118,0,3*AO$9+1,1,3)),IFERROR(GETPIVOTDATA("Sum of Q"&amp;AO$9+1,'PT-All'!$A$1,"Scenario",AO$12,"P&amp;L Item",$B118),0))</f>
        <v>0</v>
      </c>
      <c r="AP118" s="65">
        <f ca="1">IF(AP$12="Pro Forma",SUM(OFFSET($B118,0,3*AP$9+1,1,3)),IFERROR(GETPIVOTDATA("Sum of Q"&amp;AP$9+1,'PT-All'!$A$1,"Scenario",AP$12,"P&amp;L Item",$B118),0))</f>
        <v>0</v>
      </c>
      <c r="AQ118" s="65">
        <f ca="1">IF(AQ$12="Pro Forma",SUM(OFFSET($B118,0,3*AQ$9+1,1,3)),IFERROR(GETPIVOTDATA("Sum of Q"&amp;AQ$9+1,'PT-All'!$A$1,"Scenario",AQ$12,"P&amp;L Item",$B118),0))</f>
        <v>0</v>
      </c>
      <c r="AR118" s="65">
        <f ca="1">IF(AR$12="Pro Forma",SUM(OFFSET($B118,0,3*AR$9+1,1,3)),IFERROR(GETPIVOTDATA("Sum of Q"&amp;AR$9+1,'PT-All'!$A$1,"Scenario",AR$12,"P&amp;L Item",$B118),0))</f>
        <v>0</v>
      </c>
      <c r="AS118" s="65">
        <f ca="1">IF(AS$12="Pro Forma",SUM(OFFSET($B118,0,3*AS$9+1,1,3)),IFERROR(GETPIVOTDATA("Sum of Q"&amp;AS$9+1,'PT-All'!$A$1,"Scenario",AS$12,"P&amp;L Item",$B118),0))</f>
        <v>0</v>
      </c>
      <c r="AT118" s="65">
        <f ca="1">IF(AT$12="Pro Forma",SUM(OFFSET($B118,0,3*AT$9+1,1,3)),IFERROR(GETPIVOTDATA("Sum of Q"&amp;AT$9+1,'PT-All'!$A$1,"Scenario",AT$12,"P&amp;L Item",$B118),0))</f>
        <v>0</v>
      </c>
      <c r="AU118" s="65">
        <f ca="1">IF(AU$12="Pro Forma",SUM(OFFSET($B118,0,3*AU$9+1,1,3)),IFERROR(GETPIVOTDATA("Sum of Q"&amp;AU$9+1,'PT-All'!$A$1,"Scenario",AU$12,"P&amp;L Item",$B118),0))</f>
        <v>0</v>
      </c>
      <c r="AV118" s="65">
        <f ca="1">IF(AV$12="Pro Forma",SUM(OFFSET($B118,0,3*AV$9+1,1,3)),IFERROR(GETPIVOTDATA("Sum of Q"&amp;AV$9+1,'PT-All'!$A$1,"Scenario",AV$12,"P&amp;L Item",$B118),0))</f>
        <v>0</v>
      </c>
      <c r="AW118" s="65">
        <f ca="1">IF(AW$12="Pro Forma",SUM(OFFSET($B118,0,3*AW$9+1,1,3)),IFERROR(GETPIVOTDATA("Sum of Q"&amp;AW$9+1,'PT-All'!$A$1,"Scenario",AW$12,"P&amp;L Item",$B118),0))</f>
        <v>0</v>
      </c>
      <c r="AX118" s="65">
        <f ca="1">IF(AX$12="Pro Forma",SUM(OFFSET($B118,0,3*AX$9+1,1,3)),IFERROR(GETPIVOTDATA("Sum of Q"&amp;AX$9+1,'PT-All'!$A$1,"Scenario",AX$12,"P&amp;L Item",$B118),0))</f>
        <v>0</v>
      </c>
      <c r="AY118" s="97">
        <f ca="1">IF(AY$12="Pro Forma",SUM(OFFSET($B118,0,3*AY$9+1,1,3)),IFERROR(GETPIVOTDATA("Sum of Q"&amp;AY$9+1,'PT-All'!$A$1,"Scenario",AY$12,"P&amp;L Item",$B118),0))</f>
        <v>0</v>
      </c>
      <c r="AZ118" s="590"/>
      <c r="BA118" s="108">
        <f ca="1">IF(BA$12="Pro Forma",SUM(OFFSET($B118,0,12*BA$9+1,1,12)),IFERROR(GETPIVOTDATA("Sum of FY"&amp;BA$9+1,'PT-All'!$A$1,"Scenario",BA$12,"P&amp;L Item",$B118),0))</f>
        <v>0</v>
      </c>
      <c r="BB118" s="65">
        <f ca="1">IF(BB$12="Pro Forma",SUM(OFFSET($B118,0,12*BB$9+1,1,12)),IFERROR(GETPIVOTDATA("Sum of FY"&amp;BB$9+1,'PT-All'!$A$1,"Scenario",BB$12,"P&amp;L Item",$B118),0))</f>
        <v>0</v>
      </c>
      <c r="BC118" s="97">
        <f ca="1">IF(BC$12="Pro Forma",SUM(OFFSET($B118,0,12*BC$9+1,1,12)),IFERROR(GETPIVOTDATA("Sum of FY"&amp;BC$9+1,'PT-All'!$A$1,"Scenario",BC$12,"P&amp;L Item",$B118),0))</f>
        <v>0</v>
      </c>
    </row>
    <row r="119" spans="2:55" x14ac:dyDescent="0.35">
      <c r="B119" s="76" t="s">
        <v>149</v>
      </c>
      <c r="C119" s="65">
        <f>CHOOSE(PLColumn,IFERROR(GETPIVOTDATA("Sum of "&amp;C$9,'PT-All'!$A$1,"Scenario",C$12,"P&amp;L Item",$B119),0),IFERROR(GETPIVOTDATA("Sum of "&amp;C$9,'PT-All'!$A$1,"Scenario",C$12,"P&amp;L Item",$B119)/C$201,0),TEXT(IFERROR(GETPIVOTDATA("Sum of "&amp;C$9,'PT-All'!$A$1,"Scenario",C$12,"P&amp;L Item",$B119)/C$29,0),"0.00%"))</f>
        <v>0</v>
      </c>
      <c r="D119" s="65">
        <f>CHOOSE(PLColumn,IFERROR(GETPIVOTDATA("Sum of "&amp;D$9,'PT-All'!$A$1,"Scenario",D$12,"P&amp;L Item",$B119),0),IFERROR(GETPIVOTDATA("Sum of "&amp;D$9,'PT-All'!$A$1,"Scenario",D$12,"P&amp;L Item",$B119)/D$201,0),TEXT(IFERROR(GETPIVOTDATA("Sum of "&amp;D$9,'PT-All'!$A$1,"Scenario",D$12,"P&amp;L Item",$B119)/D$29,0),"0.00%"))</f>
        <v>0</v>
      </c>
      <c r="E119" s="65">
        <f>CHOOSE(PLColumn,IFERROR(GETPIVOTDATA("Sum of "&amp;E$9,'PT-All'!$A$1,"Scenario",E$12,"P&amp;L Item",$B119),0),IFERROR(GETPIVOTDATA("Sum of "&amp;E$9,'PT-All'!$A$1,"Scenario",E$12,"P&amp;L Item",$B119)/E$201,0),TEXT(IFERROR(GETPIVOTDATA("Sum of "&amp;E$9,'PT-All'!$A$1,"Scenario",E$12,"P&amp;L Item",$B119)/E$29,0),"0.00%"))</f>
        <v>0</v>
      </c>
      <c r="F119" s="65">
        <f>CHOOSE(PLColumn,IFERROR(GETPIVOTDATA("Sum of "&amp;F$9,'PT-All'!$A$1,"Scenario",F$12,"P&amp;L Item",$B119),0),IFERROR(GETPIVOTDATA("Sum of "&amp;F$9,'PT-All'!$A$1,"Scenario",F$12,"P&amp;L Item",$B119)/F$201,0),TEXT(IFERROR(GETPIVOTDATA("Sum of "&amp;F$9,'PT-All'!$A$1,"Scenario",F$12,"P&amp;L Item",$B119)/F$29,0),"0.00%"))</f>
        <v>0</v>
      </c>
      <c r="G119" s="65">
        <f>CHOOSE(PLColumn,IFERROR(GETPIVOTDATA("Sum of "&amp;G$9,'PT-All'!$A$1,"Scenario",G$12,"P&amp;L Item",$B119),0),IFERROR(GETPIVOTDATA("Sum of "&amp;G$9,'PT-All'!$A$1,"Scenario",G$12,"P&amp;L Item",$B119)/G$201,0),TEXT(IFERROR(GETPIVOTDATA("Sum of "&amp;G$9,'PT-All'!$A$1,"Scenario",G$12,"P&amp;L Item",$B119)/G$29,0),"0.00%"))</f>
        <v>0</v>
      </c>
      <c r="H119" s="65">
        <f>CHOOSE(PLColumn,IFERROR(GETPIVOTDATA("Sum of "&amp;H$9,'PT-All'!$A$1,"Scenario",H$12,"P&amp;L Item",$B119),0),IFERROR(GETPIVOTDATA("Sum of "&amp;H$9,'PT-All'!$A$1,"Scenario",H$12,"P&amp;L Item",$B119)/H$201,0),TEXT(IFERROR(GETPIVOTDATA("Sum of "&amp;H$9,'PT-All'!$A$1,"Scenario",H$12,"P&amp;L Item",$B119)/H$29,0),"0.00%"))</f>
        <v>0</v>
      </c>
      <c r="I119" s="65">
        <f>CHOOSE(PLColumn,IFERROR(GETPIVOTDATA("Sum of "&amp;I$9,'PT-All'!$A$1,"Scenario",I$12,"P&amp;L Item",$B119),0),IFERROR(GETPIVOTDATA("Sum of "&amp;I$9,'PT-All'!$A$1,"Scenario",I$12,"P&amp;L Item",$B119)/I$201,0),TEXT(IFERROR(GETPIVOTDATA("Sum of "&amp;I$9,'PT-All'!$A$1,"Scenario",I$12,"P&amp;L Item",$B119)/I$29,0),"0.00%"))</f>
        <v>0</v>
      </c>
      <c r="J119" s="65">
        <f>CHOOSE(PLColumn,IFERROR(GETPIVOTDATA("Sum of "&amp;J$9,'PT-All'!$A$1,"Scenario",J$12,"P&amp;L Item",$B119),0),IFERROR(GETPIVOTDATA("Sum of "&amp;J$9,'PT-All'!$A$1,"Scenario",J$12,"P&amp;L Item",$B119)/J$201,0),TEXT(IFERROR(GETPIVOTDATA("Sum of "&amp;J$9,'PT-All'!$A$1,"Scenario",J$12,"P&amp;L Item",$B119)/J$29,0),"0.00%"))</f>
        <v>0</v>
      </c>
      <c r="K119" s="65">
        <f>CHOOSE(PLColumn,IFERROR(GETPIVOTDATA("Sum of "&amp;K$9,'PT-All'!$A$1,"Scenario",K$12,"P&amp;L Item",$B119),0),IFERROR(GETPIVOTDATA("Sum of "&amp;K$9,'PT-All'!$A$1,"Scenario",K$12,"P&amp;L Item",$B119)/K$201,0),TEXT(IFERROR(GETPIVOTDATA("Sum of "&amp;K$9,'PT-All'!$A$1,"Scenario",K$12,"P&amp;L Item",$B119)/K$29,0),"0.00%"))</f>
        <v>0</v>
      </c>
      <c r="L119" s="65">
        <f>CHOOSE(PLColumn,IFERROR(GETPIVOTDATA("Sum of "&amp;L$9,'PT-All'!$A$1,"Scenario",L$12,"P&amp;L Item",$B119),0),IFERROR(GETPIVOTDATA("Sum of "&amp;L$9,'PT-All'!$A$1,"Scenario",L$12,"P&amp;L Item",$B119)/L$201,0),TEXT(IFERROR(GETPIVOTDATA("Sum of "&amp;L$9,'PT-All'!$A$1,"Scenario",L$12,"P&amp;L Item",$B119)/L$29,0),"0.00%"))</f>
        <v>0</v>
      </c>
      <c r="M119" s="65">
        <f>CHOOSE(PLColumn,IFERROR(GETPIVOTDATA("Sum of "&amp;M$9,'PT-All'!$A$1,"Scenario",M$12,"P&amp;L Item",$B119),0),IFERROR(GETPIVOTDATA("Sum of "&amp;M$9,'PT-All'!$A$1,"Scenario",M$12,"P&amp;L Item",$B119)/M$201,0),TEXT(IFERROR(GETPIVOTDATA("Sum of "&amp;M$9,'PT-All'!$A$1,"Scenario",M$12,"P&amp;L Item",$B119)/M$29,0),"0.00%"))</f>
        <v>0</v>
      </c>
      <c r="N119" s="65">
        <f>CHOOSE(PLColumn,IFERROR(GETPIVOTDATA("Sum of "&amp;N$9,'PT-All'!$A$1,"Scenario",N$12,"P&amp;L Item",$B119),0),IFERROR(GETPIVOTDATA("Sum of "&amp;N$9,'PT-All'!$A$1,"Scenario",N$12,"P&amp;L Item",$B119)/N$201,0),TEXT(IFERROR(GETPIVOTDATA("Sum of "&amp;N$9,'PT-All'!$A$1,"Scenario",N$12,"P&amp;L Item",$B119)/N$29,0),"0.00%"))</f>
        <v>0</v>
      </c>
      <c r="O119" s="65">
        <f>CHOOSE(PLColumn,IFERROR(GETPIVOTDATA("Sum of "&amp;O$9,'PT-All'!$A$1,"Scenario",O$12,"P&amp;L Item",$B119),0),IFERROR(GETPIVOTDATA("Sum of "&amp;O$9,'PT-All'!$A$1,"Scenario",O$12,"P&amp;L Item",$B119)/O$201,0),TEXT(IFERROR(GETPIVOTDATA("Sum of "&amp;O$9,'PT-All'!$A$1,"Scenario",O$12,"P&amp;L Item",$B119)/O$29,0),"0.00%"))</f>
        <v>0</v>
      </c>
      <c r="P119" s="65">
        <f>CHOOSE(PLColumn,IFERROR(GETPIVOTDATA("Sum of "&amp;P$9,'PT-All'!$A$1,"Scenario",P$12,"P&amp;L Item",$B119),0),IFERROR(GETPIVOTDATA("Sum of "&amp;P$9,'PT-All'!$A$1,"Scenario",P$12,"P&amp;L Item",$B119)/P$201,0),TEXT(IFERROR(GETPIVOTDATA("Sum of "&amp;P$9,'PT-All'!$A$1,"Scenario",P$12,"P&amp;L Item",$B119)/P$29,0),"0.00%"))</f>
        <v>0</v>
      </c>
      <c r="Q119" s="65">
        <f>CHOOSE(PLColumn,IFERROR(GETPIVOTDATA("Sum of "&amp;Q$9,'PT-All'!$A$1,"Scenario",Q$12,"P&amp;L Item",$B119),0),IFERROR(GETPIVOTDATA("Sum of "&amp;Q$9,'PT-All'!$A$1,"Scenario",Q$12,"P&amp;L Item",$B119)/Q$201,0),TEXT(IFERROR(GETPIVOTDATA("Sum of "&amp;Q$9,'PT-All'!$A$1,"Scenario",Q$12,"P&amp;L Item",$B119)/Q$29,0),"0.00%"))</f>
        <v>0</v>
      </c>
      <c r="R119" s="65">
        <f>CHOOSE(PLColumn,IFERROR(GETPIVOTDATA("Sum of "&amp;R$9,'PT-All'!$A$1,"Scenario",R$12,"P&amp;L Item",$B119),0),IFERROR(GETPIVOTDATA("Sum of "&amp;R$9,'PT-All'!$A$1,"Scenario",R$12,"P&amp;L Item",$B119)/R$201,0),TEXT(IFERROR(GETPIVOTDATA("Sum of "&amp;R$9,'PT-All'!$A$1,"Scenario",R$12,"P&amp;L Item",$B119)/R$29,0),"0.00%"))</f>
        <v>0</v>
      </c>
      <c r="S119" s="65">
        <f>CHOOSE(PLColumn,IFERROR(GETPIVOTDATA("Sum of "&amp;S$9,'PT-All'!$A$1,"Scenario",S$12,"P&amp;L Item",$B119),0),IFERROR(GETPIVOTDATA("Sum of "&amp;S$9,'PT-All'!$A$1,"Scenario",S$12,"P&amp;L Item",$B119)/S$201,0),TEXT(IFERROR(GETPIVOTDATA("Sum of "&amp;S$9,'PT-All'!$A$1,"Scenario",S$12,"P&amp;L Item",$B119)/S$29,0),"0.00%"))</f>
        <v>0</v>
      </c>
      <c r="T119" s="65">
        <f>CHOOSE(PLColumn,IFERROR(GETPIVOTDATA("Sum of "&amp;T$9,'PT-All'!$A$1,"Scenario",T$12,"P&amp;L Item",$B119),0),IFERROR(GETPIVOTDATA("Sum of "&amp;T$9,'PT-All'!$A$1,"Scenario",T$12,"P&amp;L Item",$B119)/T$201,0),TEXT(IFERROR(GETPIVOTDATA("Sum of "&amp;T$9,'PT-All'!$A$1,"Scenario",T$12,"P&amp;L Item",$B119)/T$29,0),"0.00%"))</f>
        <v>0</v>
      </c>
      <c r="U119" s="65">
        <f>CHOOSE(PLColumn,IFERROR(GETPIVOTDATA("Sum of "&amp;U$9,'PT-All'!$A$1,"Scenario",U$12,"P&amp;L Item",$B119),0),IFERROR(GETPIVOTDATA("Sum of "&amp;U$9,'PT-All'!$A$1,"Scenario",U$12,"P&amp;L Item",$B119)/U$201,0),TEXT(IFERROR(GETPIVOTDATA("Sum of "&amp;U$9,'PT-All'!$A$1,"Scenario",U$12,"P&amp;L Item",$B119)/U$29,0),"0.00%"))</f>
        <v>0</v>
      </c>
      <c r="V119" s="65">
        <f>CHOOSE(PLColumn,IFERROR(GETPIVOTDATA("Sum of "&amp;V$9,'PT-All'!$A$1,"Scenario",V$12,"P&amp;L Item",$B119),0),IFERROR(GETPIVOTDATA("Sum of "&amp;V$9,'PT-All'!$A$1,"Scenario",V$12,"P&amp;L Item",$B119)/V$201,0),TEXT(IFERROR(GETPIVOTDATA("Sum of "&amp;V$9,'PT-All'!$A$1,"Scenario",V$12,"P&amp;L Item",$B119)/V$29,0),"0.00%"))</f>
        <v>0</v>
      </c>
      <c r="W119" s="65">
        <f>CHOOSE(PLColumn,IFERROR(GETPIVOTDATA("Sum of "&amp;W$9,'PT-All'!$A$1,"Scenario",W$12,"P&amp;L Item",$B119),0),IFERROR(GETPIVOTDATA("Sum of "&amp;W$9,'PT-All'!$A$1,"Scenario",W$12,"P&amp;L Item",$B119)/W$201,0),TEXT(IFERROR(GETPIVOTDATA("Sum of "&amp;W$9,'PT-All'!$A$1,"Scenario",W$12,"P&amp;L Item",$B119)/W$29,0),"0.00%"))</f>
        <v>0</v>
      </c>
      <c r="X119" s="65">
        <f>CHOOSE(PLColumn,IFERROR(GETPIVOTDATA("Sum of "&amp;X$9,'PT-All'!$A$1,"Scenario",X$12,"P&amp;L Item",$B119),0),IFERROR(GETPIVOTDATA("Sum of "&amp;X$9,'PT-All'!$A$1,"Scenario",X$12,"P&amp;L Item",$B119)/X$201,0),TEXT(IFERROR(GETPIVOTDATA("Sum of "&amp;X$9,'PT-All'!$A$1,"Scenario",X$12,"P&amp;L Item",$B119)/X$29,0),"0.00%"))</f>
        <v>0</v>
      </c>
      <c r="Y119" s="65">
        <f>CHOOSE(PLColumn,IFERROR(GETPIVOTDATA("Sum of "&amp;Y$9,'PT-All'!$A$1,"Scenario",Y$12,"P&amp;L Item",$B119),0),IFERROR(GETPIVOTDATA("Sum of "&amp;Y$9,'PT-All'!$A$1,"Scenario",Y$12,"P&amp;L Item",$B119)/Y$201,0),TEXT(IFERROR(GETPIVOTDATA("Sum of "&amp;Y$9,'PT-All'!$A$1,"Scenario",Y$12,"P&amp;L Item",$B119)/Y$29,0),"0.00%"))</f>
        <v>0</v>
      </c>
      <c r="Z119" s="65">
        <f>CHOOSE(PLColumn,IFERROR(GETPIVOTDATA("Sum of "&amp;Z$9,'PT-All'!$A$1,"Scenario",Z$12,"P&amp;L Item",$B119),0),IFERROR(GETPIVOTDATA("Sum of "&amp;Z$9,'PT-All'!$A$1,"Scenario",Z$12,"P&amp;L Item",$B119)/Z$201,0),TEXT(IFERROR(GETPIVOTDATA("Sum of "&amp;Z$9,'PT-All'!$A$1,"Scenario",Z$12,"P&amp;L Item",$B119)/Z$29,0),"0.00%"))</f>
        <v>0</v>
      </c>
      <c r="AA119" s="65">
        <f>CHOOSE(PLColumn,IFERROR(GETPIVOTDATA("Sum of "&amp;AA$9,'PT-All'!$A$1,"Scenario",AA$12,"P&amp;L Item",$B119),0),IFERROR(GETPIVOTDATA("Sum of "&amp;AA$9,'PT-All'!$A$1,"Scenario",AA$12,"P&amp;L Item",$B119)/AA$201,0),TEXT(IFERROR(GETPIVOTDATA("Sum of "&amp;AA$9,'PT-All'!$A$1,"Scenario",AA$12,"P&amp;L Item",$B119)/AA$29,0),"0.00%"))</f>
        <v>0</v>
      </c>
      <c r="AB119" s="65">
        <f>CHOOSE(PLColumn,IFERROR(GETPIVOTDATA("Sum of "&amp;AB$9,'PT-All'!$A$1,"Scenario",AB$12,"P&amp;L Item",$B119),0),IFERROR(GETPIVOTDATA("Sum of "&amp;AB$9,'PT-All'!$A$1,"Scenario",AB$12,"P&amp;L Item",$B119)/AB$201,0),TEXT(IFERROR(GETPIVOTDATA("Sum of "&amp;AB$9,'PT-All'!$A$1,"Scenario",AB$12,"P&amp;L Item",$B119)/AB$29,0),"0.00%"))</f>
        <v>0</v>
      </c>
      <c r="AC119" s="65">
        <f>CHOOSE(PLColumn,IFERROR(GETPIVOTDATA("Sum of "&amp;AC$9,'PT-All'!$A$1,"Scenario",AC$12,"P&amp;L Item",$B119),0),IFERROR(GETPIVOTDATA("Sum of "&amp;AC$9,'PT-All'!$A$1,"Scenario",AC$12,"P&amp;L Item",$B119)/AC$201,0),TEXT(IFERROR(GETPIVOTDATA("Sum of "&amp;AC$9,'PT-All'!$A$1,"Scenario",AC$12,"P&amp;L Item",$B119)/AC$29,0),"0.00%"))</f>
        <v>0</v>
      </c>
      <c r="AD119" s="65">
        <f>CHOOSE(PLColumn,IFERROR(GETPIVOTDATA("Sum of "&amp;AD$9,'PT-All'!$A$1,"Scenario",AD$12,"P&amp;L Item",$B119),0),IFERROR(GETPIVOTDATA("Sum of "&amp;AD$9,'PT-All'!$A$1,"Scenario",AD$12,"P&amp;L Item",$B119)/AD$201,0),TEXT(IFERROR(GETPIVOTDATA("Sum of "&amp;AD$9,'PT-All'!$A$1,"Scenario",AD$12,"P&amp;L Item",$B119)/AD$29,0),"0.00%"))</f>
        <v>0</v>
      </c>
      <c r="AE119" s="65">
        <f>CHOOSE(PLColumn,IFERROR(GETPIVOTDATA("Sum of "&amp;AE$9,'PT-All'!$A$1,"Scenario",AE$12,"P&amp;L Item",$B119),0),IFERROR(GETPIVOTDATA("Sum of "&amp;AE$9,'PT-All'!$A$1,"Scenario",AE$12,"P&amp;L Item",$B119)/AE$201,0),TEXT(IFERROR(GETPIVOTDATA("Sum of "&amp;AE$9,'PT-All'!$A$1,"Scenario",AE$12,"P&amp;L Item",$B119)/AE$29,0),"0.00%"))</f>
        <v>0</v>
      </c>
      <c r="AF119" s="65">
        <f>CHOOSE(PLColumn,IFERROR(GETPIVOTDATA("Sum of "&amp;AF$9,'PT-All'!$A$1,"Scenario",AF$12,"P&amp;L Item",$B119),0),IFERROR(GETPIVOTDATA("Sum of "&amp;AF$9,'PT-All'!$A$1,"Scenario",AF$12,"P&amp;L Item",$B119)/AF$201,0),TEXT(IFERROR(GETPIVOTDATA("Sum of "&amp;AF$9,'PT-All'!$A$1,"Scenario",AF$12,"P&amp;L Item",$B119)/AF$29,0),"0.00%"))</f>
        <v>0</v>
      </c>
      <c r="AG119" s="65">
        <f>CHOOSE(PLColumn,IFERROR(GETPIVOTDATA("Sum of "&amp;AG$9,'PT-All'!$A$1,"Scenario",AG$12,"P&amp;L Item",$B119),0),IFERROR(GETPIVOTDATA("Sum of "&amp;AG$9,'PT-All'!$A$1,"Scenario",AG$12,"P&amp;L Item",$B119)/AG$201,0),TEXT(IFERROR(GETPIVOTDATA("Sum of "&amp;AG$9,'PT-All'!$A$1,"Scenario",AG$12,"P&amp;L Item",$B119)/AG$29,0),"0.00%"))</f>
        <v>0</v>
      </c>
      <c r="AH119" s="65">
        <f>CHOOSE(PLColumn,IFERROR(GETPIVOTDATA("Sum of "&amp;AH$9,'PT-All'!$A$1,"Scenario",AH$12,"P&amp;L Item",$B119),0),IFERROR(GETPIVOTDATA("Sum of "&amp;AH$9,'PT-All'!$A$1,"Scenario",AH$12,"P&amp;L Item",$B119)/AH$201,0),TEXT(IFERROR(GETPIVOTDATA("Sum of "&amp;AH$9,'PT-All'!$A$1,"Scenario",AH$12,"P&amp;L Item",$B119)/AH$29,0),"0.00%"))</f>
        <v>0</v>
      </c>
      <c r="AI119" s="65">
        <f>CHOOSE(PLColumn,IFERROR(GETPIVOTDATA("Sum of "&amp;AI$9,'PT-All'!$A$1,"Scenario",AI$12,"P&amp;L Item",$B119),0),IFERROR(GETPIVOTDATA("Sum of "&amp;AI$9,'PT-All'!$A$1,"Scenario",AI$12,"P&amp;L Item",$B119)/AI$201,0),TEXT(IFERROR(GETPIVOTDATA("Sum of "&amp;AI$9,'PT-All'!$A$1,"Scenario",AI$12,"P&amp;L Item",$B119)/AI$29,0),"0.00%"))</f>
        <v>0</v>
      </c>
      <c r="AJ119" s="65">
        <f>CHOOSE(PLColumn,IFERROR(GETPIVOTDATA("Sum of "&amp;AJ$9,'PT-All'!$A$1,"Scenario",AJ$12,"P&amp;L Item",$B119),0),IFERROR(GETPIVOTDATA("Sum of "&amp;AJ$9,'PT-All'!$A$1,"Scenario",AJ$12,"P&amp;L Item",$B119)/AJ$201,0),TEXT(IFERROR(GETPIVOTDATA("Sum of "&amp;AJ$9,'PT-All'!$A$1,"Scenario",AJ$12,"P&amp;L Item",$B119)/AJ$29,0),"0.00%"))</f>
        <v>0</v>
      </c>
      <c r="AK119" s="65">
        <f>CHOOSE(PLColumn,IFERROR(GETPIVOTDATA("Sum of "&amp;AK$9,'PT-All'!$A$1,"Scenario",AK$12,"P&amp;L Item",$B119),0),IFERROR(GETPIVOTDATA("Sum of "&amp;AK$9,'PT-All'!$A$1,"Scenario",AK$12,"P&amp;L Item",$B119)/AK$201,0),TEXT(IFERROR(GETPIVOTDATA("Sum of "&amp;AK$9,'PT-All'!$A$1,"Scenario",AK$12,"P&amp;L Item",$B119)/AK$29,0),"0.00%"))</f>
        <v>0</v>
      </c>
      <c r="AL119" s="97">
        <f>CHOOSE(PLColumn,IFERROR(GETPIVOTDATA("Sum of "&amp;AL$9,'PT-All'!$A$1,"Scenario",AL$12,"P&amp;L Item",$B119),0),IFERROR(GETPIVOTDATA("Sum of "&amp;AL$9,'PT-All'!$A$1,"Scenario",AL$12,"P&amp;L Item",$B119)/AL$201,0),TEXT(IFERROR(GETPIVOTDATA("Sum of "&amp;AL$9,'PT-All'!$A$1,"Scenario",AL$12,"P&amp;L Item",$B119)/AL$29,0),"0.00%"))</f>
        <v>0</v>
      </c>
      <c r="AM119" s="590"/>
      <c r="AN119" s="108">
        <f ca="1">IF(AN$12="Pro Forma",SUM(OFFSET($B119,0,3*AN$9+1,1,3)),IFERROR(GETPIVOTDATA("Sum of Q"&amp;AN$9+1,'PT-All'!$A$1,"Scenario",AN$12,"P&amp;L Item",$B119),0))</f>
        <v>0</v>
      </c>
      <c r="AO119" s="65">
        <f ca="1">IF(AO$12="Pro Forma",SUM(OFFSET($B119,0,3*AO$9+1,1,3)),IFERROR(GETPIVOTDATA("Sum of Q"&amp;AO$9+1,'PT-All'!$A$1,"Scenario",AO$12,"P&amp;L Item",$B119),0))</f>
        <v>0</v>
      </c>
      <c r="AP119" s="65">
        <f ca="1">IF(AP$12="Pro Forma",SUM(OFFSET($B119,0,3*AP$9+1,1,3)),IFERROR(GETPIVOTDATA("Sum of Q"&amp;AP$9+1,'PT-All'!$A$1,"Scenario",AP$12,"P&amp;L Item",$B119),0))</f>
        <v>0</v>
      </c>
      <c r="AQ119" s="65">
        <f ca="1">IF(AQ$12="Pro Forma",SUM(OFFSET($B119,0,3*AQ$9+1,1,3)),IFERROR(GETPIVOTDATA("Sum of Q"&amp;AQ$9+1,'PT-All'!$A$1,"Scenario",AQ$12,"P&amp;L Item",$B119),0))</f>
        <v>0</v>
      </c>
      <c r="AR119" s="65">
        <f ca="1">IF(AR$12="Pro Forma",SUM(OFFSET($B119,0,3*AR$9+1,1,3)),IFERROR(GETPIVOTDATA("Sum of Q"&amp;AR$9+1,'PT-All'!$A$1,"Scenario",AR$12,"P&amp;L Item",$B119),0))</f>
        <v>0</v>
      </c>
      <c r="AS119" s="65">
        <f ca="1">IF(AS$12="Pro Forma",SUM(OFFSET($B119,0,3*AS$9+1,1,3)),IFERROR(GETPIVOTDATA("Sum of Q"&amp;AS$9+1,'PT-All'!$A$1,"Scenario",AS$12,"P&amp;L Item",$B119),0))</f>
        <v>0</v>
      </c>
      <c r="AT119" s="65">
        <f ca="1">IF(AT$12="Pro Forma",SUM(OFFSET($B119,0,3*AT$9+1,1,3)),IFERROR(GETPIVOTDATA("Sum of Q"&amp;AT$9+1,'PT-All'!$A$1,"Scenario",AT$12,"P&amp;L Item",$B119),0))</f>
        <v>0</v>
      </c>
      <c r="AU119" s="65">
        <f ca="1">IF(AU$12="Pro Forma",SUM(OFFSET($B119,0,3*AU$9+1,1,3)),IFERROR(GETPIVOTDATA("Sum of Q"&amp;AU$9+1,'PT-All'!$A$1,"Scenario",AU$12,"P&amp;L Item",$B119),0))</f>
        <v>0</v>
      </c>
      <c r="AV119" s="65">
        <f ca="1">IF(AV$12="Pro Forma",SUM(OFFSET($B119,0,3*AV$9+1,1,3)),IFERROR(GETPIVOTDATA("Sum of Q"&amp;AV$9+1,'PT-All'!$A$1,"Scenario",AV$12,"P&amp;L Item",$B119),0))</f>
        <v>0</v>
      </c>
      <c r="AW119" s="65">
        <f ca="1">IF(AW$12="Pro Forma",SUM(OFFSET($B119,0,3*AW$9+1,1,3)),IFERROR(GETPIVOTDATA("Sum of Q"&amp;AW$9+1,'PT-All'!$A$1,"Scenario",AW$12,"P&amp;L Item",$B119),0))</f>
        <v>0</v>
      </c>
      <c r="AX119" s="65">
        <f ca="1">IF(AX$12="Pro Forma",SUM(OFFSET($B119,0,3*AX$9+1,1,3)),IFERROR(GETPIVOTDATA("Sum of Q"&amp;AX$9+1,'PT-All'!$A$1,"Scenario",AX$12,"P&amp;L Item",$B119),0))</f>
        <v>0</v>
      </c>
      <c r="AY119" s="97">
        <f ca="1">IF(AY$12="Pro Forma",SUM(OFFSET($B119,0,3*AY$9+1,1,3)),IFERROR(GETPIVOTDATA("Sum of Q"&amp;AY$9+1,'PT-All'!$A$1,"Scenario",AY$12,"P&amp;L Item",$B119),0))</f>
        <v>0</v>
      </c>
      <c r="AZ119" s="590"/>
      <c r="BA119" s="108">
        <f ca="1">IF(BA$12="Pro Forma",SUM(OFFSET($B119,0,12*BA$9+1,1,12)),IFERROR(GETPIVOTDATA("Sum of FY"&amp;BA$9+1,'PT-All'!$A$1,"Scenario",BA$12,"P&amp;L Item",$B119),0))</f>
        <v>0</v>
      </c>
      <c r="BB119" s="65">
        <f ca="1">IF(BB$12="Pro Forma",SUM(OFFSET($B119,0,12*BB$9+1,1,12)),IFERROR(GETPIVOTDATA("Sum of FY"&amp;BB$9+1,'PT-All'!$A$1,"Scenario",BB$12,"P&amp;L Item",$B119),0))</f>
        <v>0</v>
      </c>
      <c r="BC119" s="97">
        <f ca="1">IF(BC$12="Pro Forma",SUM(OFFSET($B119,0,12*BC$9+1,1,12)),IFERROR(GETPIVOTDATA("Sum of FY"&amp;BC$9+1,'PT-All'!$A$1,"Scenario",BC$12,"P&amp;L Item",$B119),0))</f>
        <v>0</v>
      </c>
    </row>
    <row r="120" spans="2:55" x14ac:dyDescent="0.35">
      <c r="B120" s="77" t="s">
        <v>150</v>
      </c>
      <c r="C120" s="78">
        <f t="shared" ref="C120:AN120" si="259">SUM(C121,C124)</f>
        <v>0</v>
      </c>
      <c r="D120" s="78">
        <f t="shared" si="259"/>
        <v>0</v>
      </c>
      <c r="E120" s="78">
        <f t="shared" si="259"/>
        <v>0</v>
      </c>
      <c r="F120" s="78">
        <f t="shared" si="259"/>
        <v>0</v>
      </c>
      <c r="G120" s="78">
        <f t="shared" si="259"/>
        <v>0</v>
      </c>
      <c r="H120" s="78">
        <f t="shared" si="259"/>
        <v>0</v>
      </c>
      <c r="I120" s="78">
        <f t="shared" si="259"/>
        <v>0</v>
      </c>
      <c r="J120" s="78">
        <f t="shared" si="259"/>
        <v>0</v>
      </c>
      <c r="K120" s="78">
        <f t="shared" si="259"/>
        <v>0</v>
      </c>
      <c r="L120" s="78">
        <f t="shared" si="259"/>
        <v>0</v>
      </c>
      <c r="M120" s="78">
        <f t="shared" si="259"/>
        <v>0</v>
      </c>
      <c r="N120" s="78">
        <f t="shared" si="259"/>
        <v>0</v>
      </c>
      <c r="O120" s="78">
        <f t="shared" si="259"/>
        <v>0</v>
      </c>
      <c r="P120" s="78">
        <f t="shared" si="259"/>
        <v>0</v>
      </c>
      <c r="Q120" s="78">
        <f t="shared" si="259"/>
        <v>0</v>
      </c>
      <c r="R120" s="78">
        <f t="shared" si="259"/>
        <v>0</v>
      </c>
      <c r="S120" s="78">
        <f t="shared" si="259"/>
        <v>0</v>
      </c>
      <c r="T120" s="78">
        <f t="shared" si="259"/>
        <v>0</v>
      </c>
      <c r="U120" s="78">
        <f t="shared" si="259"/>
        <v>0</v>
      </c>
      <c r="V120" s="78">
        <f t="shared" si="259"/>
        <v>0</v>
      </c>
      <c r="W120" s="78">
        <f t="shared" si="259"/>
        <v>0</v>
      </c>
      <c r="X120" s="78">
        <f t="shared" si="259"/>
        <v>0</v>
      </c>
      <c r="Y120" s="78">
        <f t="shared" si="259"/>
        <v>0</v>
      </c>
      <c r="Z120" s="78">
        <f t="shared" ref="Z120:AL120" si="260">SUM(Z121,Z124)</f>
        <v>0</v>
      </c>
      <c r="AA120" s="78">
        <f t="shared" si="260"/>
        <v>0</v>
      </c>
      <c r="AB120" s="78">
        <f t="shared" si="260"/>
        <v>0</v>
      </c>
      <c r="AC120" s="78">
        <f t="shared" si="260"/>
        <v>0</v>
      </c>
      <c r="AD120" s="78">
        <f t="shared" si="260"/>
        <v>0</v>
      </c>
      <c r="AE120" s="78">
        <f t="shared" si="260"/>
        <v>0</v>
      </c>
      <c r="AF120" s="78">
        <f t="shared" si="260"/>
        <v>0</v>
      </c>
      <c r="AG120" s="78">
        <f t="shared" si="260"/>
        <v>0</v>
      </c>
      <c r="AH120" s="78">
        <f t="shared" si="260"/>
        <v>0</v>
      </c>
      <c r="AI120" s="78">
        <f t="shared" si="260"/>
        <v>0</v>
      </c>
      <c r="AJ120" s="78">
        <f t="shared" si="260"/>
        <v>0</v>
      </c>
      <c r="AK120" s="78">
        <f t="shared" si="260"/>
        <v>0</v>
      </c>
      <c r="AL120" s="100">
        <f t="shared" si="260"/>
        <v>0</v>
      </c>
      <c r="AM120" s="590"/>
      <c r="AN120" s="111">
        <f t="shared" ca="1" si="259"/>
        <v>0</v>
      </c>
      <c r="AO120" s="78">
        <f t="shared" ref="AO120" ca="1" si="261">SUM(AO121,AO124)</f>
        <v>0</v>
      </c>
      <c r="AP120" s="78">
        <f t="shared" ref="AP120" ca="1" si="262">SUM(AP121,AP124)</f>
        <v>0</v>
      </c>
      <c r="AQ120" s="78">
        <f t="shared" ref="AQ120" ca="1" si="263">SUM(AQ121,AQ124)</f>
        <v>0</v>
      </c>
      <c r="AR120" s="78">
        <f t="shared" ref="AR120" ca="1" si="264">SUM(AR121,AR124)</f>
        <v>0</v>
      </c>
      <c r="AS120" s="78">
        <f t="shared" ref="AS120" ca="1" si="265">SUM(AS121,AS124)</f>
        <v>0</v>
      </c>
      <c r="AT120" s="78">
        <f t="shared" ref="AT120:AY120" ca="1" si="266">SUM(AT121,AT124)</f>
        <v>0</v>
      </c>
      <c r="AU120" s="78">
        <f t="shared" ca="1" si="266"/>
        <v>0</v>
      </c>
      <c r="AV120" s="78">
        <f t="shared" ca="1" si="266"/>
        <v>0</v>
      </c>
      <c r="AW120" s="78">
        <f t="shared" ca="1" si="266"/>
        <v>0</v>
      </c>
      <c r="AX120" s="78">
        <f t="shared" ca="1" si="266"/>
        <v>0</v>
      </c>
      <c r="AY120" s="100">
        <f t="shared" ca="1" si="266"/>
        <v>0</v>
      </c>
      <c r="AZ120" s="590"/>
      <c r="BA120" s="111">
        <f t="shared" ref="BA120" ca="1" si="267">SUM(BA121,BA124)</f>
        <v>0</v>
      </c>
      <c r="BB120" s="78">
        <f t="shared" ref="BB120:BC120" ca="1" si="268">SUM(BB121,BB124)</f>
        <v>0</v>
      </c>
      <c r="BC120" s="100">
        <f t="shared" ca="1" si="268"/>
        <v>0</v>
      </c>
    </row>
    <row r="121" spans="2:55" x14ac:dyDescent="0.35">
      <c r="B121" s="79" t="s">
        <v>151</v>
      </c>
      <c r="C121" s="592">
        <f t="shared" ref="C121:AN121" si="269">SUM(C122:C123)</f>
        <v>0</v>
      </c>
      <c r="D121" s="592">
        <f t="shared" si="269"/>
        <v>0</v>
      </c>
      <c r="E121" s="592">
        <f t="shared" si="269"/>
        <v>0</v>
      </c>
      <c r="F121" s="592">
        <f t="shared" si="269"/>
        <v>0</v>
      </c>
      <c r="G121" s="592">
        <f t="shared" si="269"/>
        <v>0</v>
      </c>
      <c r="H121" s="592">
        <f t="shared" si="269"/>
        <v>0</v>
      </c>
      <c r="I121" s="592">
        <f t="shared" si="269"/>
        <v>0</v>
      </c>
      <c r="J121" s="592">
        <f t="shared" si="269"/>
        <v>0</v>
      </c>
      <c r="K121" s="592">
        <f t="shared" si="269"/>
        <v>0</v>
      </c>
      <c r="L121" s="592">
        <f t="shared" si="269"/>
        <v>0</v>
      </c>
      <c r="M121" s="592">
        <f t="shared" si="269"/>
        <v>0</v>
      </c>
      <c r="N121" s="592">
        <f t="shared" si="269"/>
        <v>0</v>
      </c>
      <c r="O121" s="592">
        <f t="shared" si="269"/>
        <v>0</v>
      </c>
      <c r="P121" s="592">
        <f t="shared" si="269"/>
        <v>0</v>
      </c>
      <c r="Q121" s="592">
        <f t="shared" si="269"/>
        <v>0</v>
      </c>
      <c r="R121" s="592">
        <f t="shared" si="269"/>
        <v>0</v>
      </c>
      <c r="S121" s="592">
        <f t="shared" si="269"/>
        <v>0</v>
      </c>
      <c r="T121" s="592">
        <f t="shared" si="269"/>
        <v>0</v>
      </c>
      <c r="U121" s="592">
        <f t="shared" si="269"/>
        <v>0</v>
      </c>
      <c r="V121" s="592">
        <f t="shared" si="269"/>
        <v>0</v>
      </c>
      <c r="W121" s="592">
        <f t="shared" si="269"/>
        <v>0</v>
      </c>
      <c r="X121" s="592">
        <f t="shared" si="269"/>
        <v>0</v>
      </c>
      <c r="Y121" s="592">
        <f t="shared" si="269"/>
        <v>0</v>
      </c>
      <c r="Z121" s="592">
        <f t="shared" ref="Z121:AL121" si="270">SUM(Z122:Z123)</f>
        <v>0</v>
      </c>
      <c r="AA121" s="592">
        <f t="shared" si="270"/>
        <v>0</v>
      </c>
      <c r="AB121" s="592">
        <f t="shared" si="270"/>
        <v>0</v>
      </c>
      <c r="AC121" s="592">
        <f t="shared" si="270"/>
        <v>0</v>
      </c>
      <c r="AD121" s="592">
        <f t="shared" si="270"/>
        <v>0</v>
      </c>
      <c r="AE121" s="592">
        <f t="shared" si="270"/>
        <v>0</v>
      </c>
      <c r="AF121" s="592">
        <f t="shared" si="270"/>
        <v>0</v>
      </c>
      <c r="AG121" s="592">
        <f t="shared" si="270"/>
        <v>0</v>
      </c>
      <c r="AH121" s="592">
        <f t="shared" si="270"/>
        <v>0</v>
      </c>
      <c r="AI121" s="592">
        <f t="shared" si="270"/>
        <v>0</v>
      </c>
      <c r="AJ121" s="592">
        <f t="shared" si="270"/>
        <v>0</v>
      </c>
      <c r="AK121" s="592">
        <f t="shared" si="270"/>
        <v>0</v>
      </c>
      <c r="AL121" s="593">
        <f t="shared" si="270"/>
        <v>0</v>
      </c>
      <c r="AM121" s="590"/>
      <c r="AN121" s="594">
        <f t="shared" ca="1" si="269"/>
        <v>0</v>
      </c>
      <c r="AO121" s="592">
        <f t="shared" ref="AO121" ca="1" si="271">SUM(AO122:AO123)</f>
        <v>0</v>
      </c>
      <c r="AP121" s="592">
        <f t="shared" ref="AP121" ca="1" si="272">SUM(AP122:AP123)</f>
        <v>0</v>
      </c>
      <c r="AQ121" s="592">
        <f t="shared" ref="AQ121" ca="1" si="273">SUM(AQ122:AQ123)</f>
        <v>0</v>
      </c>
      <c r="AR121" s="592">
        <f t="shared" ref="AR121" ca="1" si="274">SUM(AR122:AR123)</f>
        <v>0</v>
      </c>
      <c r="AS121" s="592">
        <f t="shared" ref="AS121" ca="1" si="275">SUM(AS122:AS123)</f>
        <v>0</v>
      </c>
      <c r="AT121" s="592">
        <f t="shared" ref="AT121:AY121" ca="1" si="276">SUM(AT122:AT123)</f>
        <v>0</v>
      </c>
      <c r="AU121" s="592">
        <f t="shared" ca="1" si="276"/>
        <v>0</v>
      </c>
      <c r="AV121" s="592">
        <f t="shared" ca="1" si="276"/>
        <v>0</v>
      </c>
      <c r="AW121" s="592">
        <f t="shared" ca="1" si="276"/>
        <v>0</v>
      </c>
      <c r="AX121" s="592">
        <f t="shared" ca="1" si="276"/>
        <v>0</v>
      </c>
      <c r="AY121" s="593">
        <f t="shared" ca="1" si="276"/>
        <v>0</v>
      </c>
      <c r="AZ121" s="590"/>
      <c r="BA121" s="594">
        <f t="shared" ref="BA121" ca="1" si="277">SUM(BA122:BA123)</f>
        <v>0</v>
      </c>
      <c r="BB121" s="592">
        <f t="shared" ref="BB121:BC121" ca="1" si="278">SUM(BB122:BB123)</f>
        <v>0</v>
      </c>
      <c r="BC121" s="593">
        <f t="shared" ca="1" si="278"/>
        <v>0</v>
      </c>
    </row>
    <row r="122" spans="2:55" x14ac:dyDescent="0.35">
      <c r="B122" s="80" t="s">
        <v>152</v>
      </c>
      <c r="C122" s="65">
        <f>CHOOSE(PLColumn,IFERROR(GETPIVOTDATA("Sum of "&amp;C$9,'PT-All'!$A$1,"Scenario",C$12,"P&amp;L Item",$B122),0),IFERROR(GETPIVOTDATA("Sum of "&amp;C$9,'PT-All'!$A$1,"Scenario",C$12,"P&amp;L Item",$B122)/C$201,0),TEXT(IFERROR(GETPIVOTDATA("Sum of "&amp;C$9,'PT-All'!$A$1,"Scenario",C$12,"P&amp;L Item",$B122)/C$29,0),"0.00%"))</f>
        <v>0</v>
      </c>
      <c r="D122" s="65">
        <f>CHOOSE(PLColumn,IFERROR(GETPIVOTDATA("Sum of "&amp;D$9,'PT-All'!$A$1,"Scenario",D$12,"P&amp;L Item",$B122),0),IFERROR(GETPIVOTDATA("Sum of "&amp;D$9,'PT-All'!$A$1,"Scenario",D$12,"P&amp;L Item",$B122)/D$201,0),TEXT(IFERROR(GETPIVOTDATA("Sum of "&amp;D$9,'PT-All'!$A$1,"Scenario",D$12,"P&amp;L Item",$B122)/D$29,0),"0.00%"))</f>
        <v>0</v>
      </c>
      <c r="E122" s="65">
        <f>CHOOSE(PLColumn,IFERROR(GETPIVOTDATA("Sum of "&amp;E$9,'PT-All'!$A$1,"Scenario",E$12,"P&amp;L Item",$B122),0),IFERROR(GETPIVOTDATA("Sum of "&amp;E$9,'PT-All'!$A$1,"Scenario",E$12,"P&amp;L Item",$B122)/E$201,0),TEXT(IFERROR(GETPIVOTDATA("Sum of "&amp;E$9,'PT-All'!$A$1,"Scenario",E$12,"P&amp;L Item",$B122)/E$29,0),"0.00%"))</f>
        <v>0</v>
      </c>
      <c r="F122" s="65">
        <f>CHOOSE(PLColumn,IFERROR(GETPIVOTDATA("Sum of "&amp;F$9,'PT-All'!$A$1,"Scenario",F$12,"P&amp;L Item",$B122),0),IFERROR(GETPIVOTDATA("Sum of "&amp;F$9,'PT-All'!$A$1,"Scenario",F$12,"P&amp;L Item",$B122)/F$201,0),TEXT(IFERROR(GETPIVOTDATA("Sum of "&amp;F$9,'PT-All'!$A$1,"Scenario",F$12,"P&amp;L Item",$B122)/F$29,0),"0.00%"))</f>
        <v>0</v>
      </c>
      <c r="G122" s="65">
        <f>CHOOSE(PLColumn,IFERROR(GETPIVOTDATA("Sum of "&amp;G$9,'PT-All'!$A$1,"Scenario",G$12,"P&amp;L Item",$B122),0),IFERROR(GETPIVOTDATA("Sum of "&amp;G$9,'PT-All'!$A$1,"Scenario",G$12,"P&amp;L Item",$B122)/G$201,0),TEXT(IFERROR(GETPIVOTDATA("Sum of "&amp;G$9,'PT-All'!$A$1,"Scenario",G$12,"P&amp;L Item",$B122)/G$29,0),"0.00%"))</f>
        <v>0</v>
      </c>
      <c r="H122" s="65">
        <f>CHOOSE(PLColumn,IFERROR(GETPIVOTDATA("Sum of "&amp;H$9,'PT-All'!$A$1,"Scenario",H$12,"P&amp;L Item",$B122),0),IFERROR(GETPIVOTDATA("Sum of "&amp;H$9,'PT-All'!$A$1,"Scenario",H$12,"P&amp;L Item",$B122)/H$201,0),TEXT(IFERROR(GETPIVOTDATA("Sum of "&amp;H$9,'PT-All'!$A$1,"Scenario",H$12,"P&amp;L Item",$B122)/H$29,0),"0.00%"))</f>
        <v>0</v>
      </c>
      <c r="I122" s="65">
        <f>CHOOSE(PLColumn,IFERROR(GETPIVOTDATA("Sum of "&amp;I$9,'PT-All'!$A$1,"Scenario",I$12,"P&amp;L Item",$B122),0),IFERROR(GETPIVOTDATA("Sum of "&amp;I$9,'PT-All'!$A$1,"Scenario",I$12,"P&amp;L Item",$B122)/I$201,0),TEXT(IFERROR(GETPIVOTDATA("Sum of "&amp;I$9,'PT-All'!$A$1,"Scenario",I$12,"P&amp;L Item",$B122)/I$29,0),"0.00%"))</f>
        <v>0</v>
      </c>
      <c r="J122" s="65">
        <f>CHOOSE(PLColumn,IFERROR(GETPIVOTDATA("Sum of "&amp;J$9,'PT-All'!$A$1,"Scenario",J$12,"P&amp;L Item",$B122),0),IFERROR(GETPIVOTDATA("Sum of "&amp;J$9,'PT-All'!$A$1,"Scenario",J$12,"P&amp;L Item",$B122)/J$201,0),TEXT(IFERROR(GETPIVOTDATA("Sum of "&amp;J$9,'PT-All'!$A$1,"Scenario",J$12,"P&amp;L Item",$B122)/J$29,0),"0.00%"))</f>
        <v>0</v>
      </c>
      <c r="K122" s="65">
        <f>CHOOSE(PLColumn,IFERROR(GETPIVOTDATA("Sum of "&amp;K$9,'PT-All'!$A$1,"Scenario",K$12,"P&amp;L Item",$B122),0),IFERROR(GETPIVOTDATA("Sum of "&amp;K$9,'PT-All'!$A$1,"Scenario",K$12,"P&amp;L Item",$B122)/K$201,0),TEXT(IFERROR(GETPIVOTDATA("Sum of "&amp;K$9,'PT-All'!$A$1,"Scenario",K$12,"P&amp;L Item",$B122)/K$29,0),"0.00%"))</f>
        <v>0</v>
      </c>
      <c r="L122" s="65">
        <f>CHOOSE(PLColumn,IFERROR(GETPIVOTDATA("Sum of "&amp;L$9,'PT-All'!$A$1,"Scenario",L$12,"P&amp;L Item",$B122),0),IFERROR(GETPIVOTDATA("Sum of "&amp;L$9,'PT-All'!$A$1,"Scenario",L$12,"P&amp;L Item",$B122)/L$201,0),TEXT(IFERROR(GETPIVOTDATA("Sum of "&amp;L$9,'PT-All'!$A$1,"Scenario",L$12,"P&amp;L Item",$B122)/L$29,0),"0.00%"))</f>
        <v>0</v>
      </c>
      <c r="M122" s="65">
        <f>CHOOSE(PLColumn,IFERROR(GETPIVOTDATA("Sum of "&amp;M$9,'PT-All'!$A$1,"Scenario",M$12,"P&amp;L Item",$B122),0),IFERROR(GETPIVOTDATA("Sum of "&amp;M$9,'PT-All'!$A$1,"Scenario",M$12,"P&amp;L Item",$B122)/M$201,0),TEXT(IFERROR(GETPIVOTDATA("Sum of "&amp;M$9,'PT-All'!$A$1,"Scenario",M$12,"P&amp;L Item",$B122)/M$29,0),"0.00%"))</f>
        <v>0</v>
      </c>
      <c r="N122" s="65">
        <f>CHOOSE(PLColumn,IFERROR(GETPIVOTDATA("Sum of "&amp;N$9,'PT-All'!$A$1,"Scenario",N$12,"P&amp;L Item",$B122),0),IFERROR(GETPIVOTDATA("Sum of "&amp;N$9,'PT-All'!$A$1,"Scenario",N$12,"P&amp;L Item",$B122)/N$201,0),TEXT(IFERROR(GETPIVOTDATA("Sum of "&amp;N$9,'PT-All'!$A$1,"Scenario",N$12,"P&amp;L Item",$B122)/N$29,0),"0.00%"))</f>
        <v>0</v>
      </c>
      <c r="O122" s="65">
        <f>CHOOSE(PLColumn,IFERROR(GETPIVOTDATA("Sum of "&amp;O$9,'PT-All'!$A$1,"Scenario",O$12,"P&amp;L Item",$B122),0),IFERROR(GETPIVOTDATA("Sum of "&amp;O$9,'PT-All'!$A$1,"Scenario",O$12,"P&amp;L Item",$B122)/O$201,0),TEXT(IFERROR(GETPIVOTDATA("Sum of "&amp;O$9,'PT-All'!$A$1,"Scenario",O$12,"P&amp;L Item",$B122)/O$29,0),"0.00%"))</f>
        <v>0</v>
      </c>
      <c r="P122" s="65">
        <f>CHOOSE(PLColumn,IFERROR(GETPIVOTDATA("Sum of "&amp;P$9,'PT-All'!$A$1,"Scenario",P$12,"P&amp;L Item",$B122),0),IFERROR(GETPIVOTDATA("Sum of "&amp;P$9,'PT-All'!$A$1,"Scenario",P$12,"P&amp;L Item",$B122)/P$201,0),TEXT(IFERROR(GETPIVOTDATA("Sum of "&amp;P$9,'PT-All'!$A$1,"Scenario",P$12,"P&amp;L Item",$B122)/P$29,0),"0.00%"))</f>
        <v>0</v>
      </c>
      <c r="Q122" s="65">
        <f>CHOOSE(PLColumn,IFERROR(GETPIVOTDATA("Sum of "&amp;Q$9,'PT-All'!$A$1,"Scenario",Q$12,"P&amp;L Item",$B122),0),IFERROR(GETPIVOTDATA("Sum of "&amp;Q$9,'PT-All'!$A$1,"Scenario",Q$12,"P&amp;L Item",$B122)/Q$201,0),TEXT(IFERROR(GETPIVOTDATA("Sum of "&amp;Q$9,'PT-All'!$A$1,"Scenario",Q$12,"P&amp;L Item",$B122)/Q$29,0),"0.00%"))</f>
        <v>0</v>
      </c>
      <c r="R122" s="65">
        <f>CHOOSE(PLColumn,IFERROR(GETPIVOTDATA("Sum of "&amp;R$9,'PT-All'!$A$1,"Scenario",R$12,"P&amp;L Item",$B122),0),IFERROR(GETPIVOTDATA("Sum of "&amp;R$9,'PT-All'!$A$1,"Scenario",R$12,"P&amp;L Item",$B122)/R$201,0),TEXT(IFERROR(GETPIVOTDATA("Sum of "&amp;R$9,'PT-All'!$A$1,"Scenario",R$12,"P&amp;L Item",$B122)/R$29,0),"0.00%"))</f>
        <v>0</v>
      </c>
      <c r="S122" s="65">
        <f>CHOOSE(PLColumn,IFERROR(GETPIVOTDATA("Sum of "&amp;S$9,'PT-All'!$A$1,"Scenario",S$12,"P&amp;L Item",$B122),0),IFERROR(GETPIVOTDATA("Sum of "&amp;S$9,'PT-All'!$A$1,"Scenario",S$12,"P&amp;L Item",$B122)/S$201,0),TEXT(IFERROR(GETPIVOTDATA("Sum of "&amp;S$9,'PT-All'!$A$1,"Scenario",S$12,"P&amp;L Item",$B122)/S$29,0),"0.00%"))</f>
        <v>0</v>
      </c>
      <c r="T122" s="65">
        <f>CHOOSE(PLColumn,IFERROR(GETPIVOTDATA("Sum of "&amp;T$9,'PT-All'!$A$1,"Scenario",T$12,"P&amp;L Item",$B122),0),IFERROR(GETPIVOTDATA("Sum of "&amp;T$9,'PT-All'!$A$1,"Scenario",T$12,"P&amp;L Item",$B122)/T$201,0),TEXT(IFERROR(GETPIVOTDATA("Sum of "&amp;T$9,'PT-All'!$A$1,"Scenario",T$12,"P&amp;L Item",$B122)/T$29,0),"0.00%"))</f>
        <v>0</v>
      </c>
      <c r="U122" s="65">
        <f>CHOOSE(PLColumn,IFERROR(GETPIVOTDATA("Sum of "&amp;U$9,'PT-All'!$A$1,"Scenario",U$12,"P&amp;L Item",$B122),0),IFERROR(GETPIVOTDATA("Sum of "&amp;U$9,'PT-All'!$A$1,"Scenario",U$12,"P&amp;L Item",$B122)/U$201,0),TEXT(IFERROR(GETPIVOTDATA("Sum of "&amp;U$9,'PT-All'!$A$1,"Scenario",U$12,"P&amp;L Item",$B122)/U$29,0),"0.00%"))</f>
        <v>0</v>
      </c>
      <c r="V122" s="65">
        <f>CHOOSE(PLColumn,IFERROR(GETPIVOTDATA("Sum of "&amp;V$9,'PT-All'!$A$1,"Scenario",V$12,"P&amp;L Item",$B122),0),IFERROR(GETPIVOTDATA("Sum of "&amp;V$9,'PT-All'!$A$1,"Scenario",V$12,"P&amp;L Item",$B122)/V$201,0),TEXT(IFERROR(GETPIVOTDATA("Sum of "&amp;V$9,'PT-All'!$A$1,"Scenario",V$12,"P&amp;L Item",$B122)/V$29,0),"0.00%"))</f>
        <v>0</v>
      </c>
      <c r="W122" s="65">
        <f>CHOOSE(PLColumn,IFERROR(GETPIVOTDATA("Sum of "&amp;W$9,'PT-All'!$A$1,"Scenario",W$12,"P&amp;L Item",$B122),0),IFERROR(GETPIVOTDATA("Sum of "&amp;W$9,'PT-All'!$A$1,"Scenario",W$12,"P&amp;L Item",$B122)/W$201,0),TEXT(IFERROR(GETPIVOTDATA("Sum of "&amp;W$9,'PT-All'!$A$1,"Scenario",W$12,"P&amp;L Item",$B122)/W$29,0),"0.00%"))</f>
        <v>0</v>
      </c>
      <c r="X122" s="65">
        <f>CHOOSE(PLColumn,IFERROR(GETPIVOTDATA("Sum of "&amp;X$9,'PT-All'!$A$1,"Scenario",X$12,"P&amp;L Item",$B122),0),IFERROR(GETPIVOTDATA("Sum of "&amp;X$9,'PT-All'!$A$1,"Scenario",X$12,"P&amp;L Item",$B122)/X$201,0),TEXT(IFERROR(GETPIVOTDATA("Sum of "&amp;X$9,'PT-All'!$A$1,"Scenario",X$12,"P&amp;L Item",$B122)/X$29,0),"0.00%"))</f>
        <v>0</v>
      </c>
      <c r="Y122" s="65">
        <f>CHOOSE(PLColumn,IFERROR(GETPIVOTDATA("Sum of "&amp;Y$9,'PT-All'!$A$1,"Scenario",Y$12,"P&amp;L Item",$B122),0),IFERROR(GETPIVOTDATA("Sum of "&amp;Y$9,'PT-All'!$A$1,"Scenario",Y$12,"P&amp;L Item",$B122)/Y$201,0),TEXT(IFERROR(GETPIVOTDATA("Sum of "&amp;Y$9,'PT-All'!$A$1,"Scenario",Y$12,"P&amp;L Item",$B122)/Y$29,0),"0.00%"))</f>
        <v>0</v>
      </c>
      <c r="Z122" s="65">
        <f>CHOOSE(PLColumn,IFERROR(GETPIVOTDATA("Sum of "&amp;Z$9,'PT-All'!$A$1,"Scenario",Z$12,"P&amp;L Item",$B122),0),IFERROR(GETPIVOTDATA("Sum of "&amp;Z$9,'PT-All'!$A$1,"Scenario",Z$12,"P&amp;L Item",$B122)/Z$201,0),TEXT(IFERROR(GETPIVOTDATA("Sum of "&amp;Z$9,'PT-All'!$A$1,"Scenario",Z$12,"P&amp;L Item",$B122)/Z$29,0),"0.00%"))</f>
        <v>0</v>
      </c>
      <c r="AA122" s="65">
        <f>CHOOSE(PLColumn,IFERROR(GETPIVOTDATA("Sum of "&amp;AA$9,'PT-All'!$A$1,"Scenario",AA$12,"P&amp;L Item",$B122),0),IFERROR(GETPIVOTDATA("Sum of "&amp;AA$9,'PT-All'!$A$1,"Scenario",AA$12,"P&amp;L Item",$B122)/AA$201,0),TEXT(IFERROR(GETPIVOTDATA("Sum of "&amp;AA$9,'PT-All'!$A$1,"Scenario",AA$12,"P&amp;L Item",$B122)/AA$29,0),"0.00%"))</f>
        <v>0</v>
      </c>
      <c r="AB122" s="65">
        <f>CHOOSE(PLColumn,IFERROR(GETPIVOTDATA("Sum of "&amp;AB$9,'PT-All'!$A$1,"Scenario",AB$12,"P&amp;L Item",$B122),0),IFERROR(GETPIVOTDATA("Sum of "&amp;AB$9,'PT-All'!$A$1,"Scenario",AB$12,"P&amp;L Item",$B122)/AB$201,0),TEXT(IFERROR(GETPIVOTDATA("Sum of "&amp;AB$9,'PT-All'!$A$1,"Scenario",AB$12,"P&amp;L Item",$B122)/AB$29,0),"0.00%"))</f>
        <v>0</v>
      </c>
      <c r="AC122" s="65">
        <f>CHOOSE(PLColumn,IFERROR(GETPIVOTDATA("Sum of "&amp;AC$9,'PT-All'!$A$1,"Scenario",AC$12,"P&amp;L Item",$B122),0),IFERROR(GETPIVOTDATA("Sum of "&amp;AC$9,'PT-All'!$A$1,"Scenario",AC$12,"P&amp;L Item",$B122)/AC$201,0),TEXT(IFERROR(GETPIVOTDATA("Sum of "&amp;AC$9,'PT-All'!$A$1,"Scenario",AC$12,"P&amp;L Item",$B122)/AC$29,0),"0.00%"))</f>
        <v>0</v>
      </c>
      <c r="AD122" s="65">
        <f>CHOOSE(PLColumn,IFERROR(GETPIVOTDATA("Sum of "&amp;AD$9,'PT-All'!$A$1,"Scenario",AD$12,"P&amp;L Item",$B122),0),IFERROR(GETPIVOTDATA("Sum of "&amp;AD$9,'PT-All'!$A$1,"Scenario",AD$12,"P&amp;L Item",$B122)/AD$201,0),TEXT(IFERROR(GETPIVOTDATA("Sum of "&amp;AD$9,'PT-All'!$A$1,"Scenario",AD$12,"P&amp;L Item",$B122)/AD$29,0),"0.00%"))</f>
        <v>0</v>
      </c>
      <c r="AE122" s="65">
        <f>CHOOSE(PLColumn,IFERROR(GETPIVOTDATA("Sum of "&amp;AE$9,'PT-All'!$A$1,"Scenario",AE$12,"P&amp;L Item",$B122),0),IFERROR(GETPIVOTDATA("Sum of "&amp;AE$9,'PT-All'!$A$1,"Scenario",AE$12,"P&amp;L Item",$B122)/AE$201,0),TEXT(IFERROR(GETPIVOTDATA("Sum of "&amp;AE$9,'PT-All'!$A$1,"Scenario",AE$12,"P&amp;L Item",$B122)/AE$29,0),"0.00%"))</f>
        <v>0</v>
      </c>
      <c r="AF122" s="65">
        <f>CHOOSE(PLColumn,IFERROR(GETPIVOTDATA("Sum of "&amp;AF$9,'PT-All'!$A$1,"Scenario",AF$12,"P&amp;L Item",$B122),0),IFERROR(GETPIVOTDATA("Sum of "&amp;AF$9,'PT-All'!$A$1,"Scenario",AF$12,"P&amp;L Item",$B122)/AF$201,0),TEXT(IFERROR(GETPIVOTDATA("Sum of "&amp;AF$9,'PT-All'!$A$1,"Scenario",AF$12,"P&amp;L Item",$B122)/AF$29,0),"0.00%"))</f>
        <v>0</v>
      </c>
      <c r="AG122" s="65">
        <f>CHOOSE(PLColumn,IFERROR(GETPIVOTDATA("Sum of "&amp;AG$9,'PT-All'!$A$1,"Scenario",AG$12,"P&amp;L Item",$B122),0),IFERROR(GETPIVOTDATA("Sum of "&amp;AG$9,'PT-All'!$A$1,"Scenario",AG$12,"P&amp;L Item",$B122)/AG$201,0),TEXT(IFERROR(GETPIVOTDATA("Sum of "&amp;AG$9,'PT-All'!$A$1,"Scenario",AG$12,"P&amp;L Item",$B122)/AG$29,0),"0.00%"))</f>
        <v>0</v>
      </c>
      <c r="AH122" s="65">
        <f>CHOOSE(PLColumn,IFERROR(GETPIVOTDATA("Sum of "&amp;AH$9,'PT-All'!$A$1,"Scenario",AH$12,"P&amp;L Item",$B122),0),IFERROR(GETPIVOTDATA("Sum of "&amp;AH$9,'PT-All'!$A$1,"Scenario",AH$12,"P&amp;L Item",$B122)/AH$201,0),TEXT(IFERROR(GETPIVOTDATA("Sum of "&amp;AH$9,'PT-All'!$A$1,"Scenario",AH$12,"P&amp;L Item",$B122)/AH$29,0),"0.00%"))</f>
        <v>0</v>
      </c>
      <c r="AI122" s="65">
        <f>CHOOSE(PLColumn,IFERROR(GETPIVOTDATA("Sum of "&amp;AI$9,'PT-All'!$A$1,"Scenario",AI$12,"P&amp;L Item",$B122),0),IFERROR(GETPIVOTDATA("Sum of "&amp;AI$9,'PT-All'!$A$1,"Scenario",AI$12,"P&amp;L Item",$B122)/AI$201,0),TEXT(IFERROR(GETPIVOTDATA("Sum of "&amp;AI$9,'PT-All'!$A$1,"Scenario",AI$12,"P&amp;L Item",$B122)/AI$29,0),"0.00%"))</f>
        <v>0</v>
      </c>
      <c r="AJ122" s="65">
        <f>CHOOSE(PLColumn,IFERROR(GETPIVOTDATA("Sum of "&amp;AJ$9,'PT-All'!$A$1,"Scenario",AJ$12,"P&amp;L Item",$B122),0),IFERROR(GETPIVOTDATA("Sum of "&amp;AJ$9,'PT-All'!$A$1,"Scenario",AJ$12,"P&amp;L Item",$B122)/AJ$201,0),TEXT(IFERROR(GETPIVOTDATA("Sum of "&amp;AJ$9,'PT-All'!$A$1,"Scenario",AJ$12,"P&amp;L Item",$B122)/AJ$29,0),"0.00%"))</f>
        <v>0</v>
      </c>
      <c r="AK122" s="65">
        <f>CHOOSE(PLColumn,IFERROR(GETPIVOTDATA("Sum of "&amp;AK$9,'PT-All'!$A$1,"Scenario",AK$12,"P&amp;L Item",$B122),0),IFERROR(GETPIVOTDATA("Sum of "&amp;AK$9,'PT-All'!$A$1,"Scenario",AK$12,"P&amp;L Item",$B122)/AK$201,0),TEXT(IFERROR(GETPIVOTDATA("Sum of "&amp;AK$9,'PT-All'!$A$1,"Scenario",AK$12,"P&amp;L Item",$B122)/AK$29,0),"0.00%"))</f>
        <v>0</v>
      </c>
      <c r="AL122" s="97">
        <f>CHOOSE(PLColumn,IFERROR(GETPIVOTDATA("Sum of "&amp;AL$9,'PT-All'!$A$1,"Scenario",AL$12,"P&amp;L Item",$B122),0),IFERROR(GETPIVOTDATA("Sum of "&amp;AL$9,'PT-All'!$A$1,"Scenario",AL$12,"P&amp;L Item",$B122)/AL$201,0),TEXT(IFERROR(GETPIVOTDATA("Sum of "&amp;AL$9,'PT-All'!$A$1,"Scenario",AL$12,"P&amp;L Item",$B122)/AL$29,0),"0.00%"))</f>
        <v>0</v>
      </c>
      <c r="AM122" s="590"/>
      <c r="AN122" s="108">
        <f ca="1">IF(AN$12="Pro Forma",SUM(OFFSET($B122,0,3*AN$9+1,1,3)),IFERROR(GETPIVOTDATA("Sum of Q"&amp;AN$9+1,'PT-All'!$A$1,"Scenario",AN$12,"P&amp;L Item",$B122),0))</f>
        <v>0</v>
      </c>
      <c r="AO122" s="65">
        <f ca="1">IF(AO$12="Pro Forma",SUM(OFFSET($B122,0,3*AO$9+1,1,3)),IFERROR(GETPIVOTDATA("Sum of Q"&amp;AO$9+1,'PT-All'!$A$1,"Scenario",AO$12,"P&amp;L Item",$B122),0))</f>
        <v>0</v>
      </c>
      <c r="AP122" s="65">
        <f ca="1">IF(AP$12="Pro Forma",SUM(OFFSET($B122,0,3*AP$9+1,1,3)),IFERROR(GETPIVOTDATA("Sum of Q"&amp;AP$9+1,'PT-All'!$A$1,"Scenario",AP$12,"P&amp;L Item",$B122),0))</f>
        <v>0</v>
      </c>
      <c r="AQ122" s="65">
        <f ca="1">IF(AQ$12="Pro Forma",SUM(OFFSET($B122,0,3*AQ$9+1,1,3)),IFERROR(GETPIVOTDATA("Sum of Q"&amp;AQ$9+1,'PT-All'!$A$1,"Scenario",AQ$12,"P&amp;L Item",$B122),0))</f>
        <v>0</v>
      </c>
      <c r="AR122" s="65">
        <f ca="1">IF(AR$12="Pro Forma",SUM(OFFSET($B122,0,3*AR$9+1,1,3)),IFERROR(GETPIVOTDATA("Sum of Q"&amp;AR$9+1,'PT-All'!$A$1,"Scenario",AR$12,"P&amp;L Item",$B122),0))</f>
        <v>0</v>
      </c>
      <c r="AS122" s="65">
        <f ca="1">IF(AS$12="Pro Forma",SUM(OFFSET($B122,0,3*AS$9+1,1,3)),IFERROR(GETPIVOTDATA("Sum of Q"&amp;AS$9+1,'PT-All'!$A$1,"Scenario",AS$12,"P&amp;L Item",$B122),0))</f>
        <v>0</v>
      </c>
      <c r="AT122" s="65">
        <f ca="1">IF(AT$12="Pro Forma",SUM(OFFSET($B122,0,3*AT$9+1,1,3)),IFERROR(GETPIVOTDATA("Sum of Q"&amp;AT$9+1,'PT-All'!$A$1,"Scenario",AT$12,"P&amp;L Item",$B122),0))</f>
        <v>0</v>
      </c>
      <c r="AU122" s="65">
        <f ca="1">IF(AU$12="Pro Forma",SUM(OFFSET($B122,0,3*AU$9+1,1,3)),IFERROR(GETPIVOTDATA("Sum of Q"&amp;AU$9+1,'PT-All'!$A$1,"Scenario",AU$12,"P&amp;L Item",$B122),0))</f>
        <v>0</v>
      </c>
      <c r="AV122" s="65">
        <f ca="1">IF(AV$12="Pro Forma",SUM(OFFSET($B122,0,3*AV$9+1,1,3)),IFERROR(GETPIVOTDATA("Sum of Q"&amp;AV$9+1,'PT-All'!$A$1,"Scenario",AV$12,"P&amp;L Item",$B122),0))</f>
        <v>0</v>
      </c>
      <c r="AW122" s="65">
        <f ca="1">IF(AW$12="Pro Forma",SUM(OFFSET($B122,0,3*AW$9+1,1,3)),IFERROR(GETPIVOTDATA("Sum of Q"&amp;AW$9+1,'PT-All'!$A$1,"Scenario",AW$12,"P&amp;L Item",$B122),0))</f>
        <v>0</v>
      </c>
      <c r="AX122" s="65">
        <f ca="1">IF(AX$12="Pro Forma",SUM(OFFSET($B122,0,3*AX$9+1,1,3)),IFERROR(GETPIVOTDATA("Sum of Q"&amp;AX$9+1,'PT-All'!$A$1,"Scenario",AX$12,"P&amp;L Item",$B122),0))</f>
        <v>0</v>
      </c>
      <c r="AY122" s="97">
        <f ca="1">IF(AY$12="Pro Forma",SUM(OFFSET($B122,0,3*AY$9+1,1,3)),IFERROR(GETPIVOTDATA("Sum of Q"&amp;AY$9+1,'PT-All'!$A$1,"Scenario",AY$12,"P&amp;L Item",$B122),0))</f>
        <v>0</v>
      </c>
      <c r="AZ122" s="590"/>
      <c r="BA122" s="108">
        <f ca="1">IF(BA$12="Pro Forma",SUM(OFFSET($B122,0,12*BA$9+1,1,12)),IFERROR(GETPIVOTDATA("Sum of FY"&amp;BA$9+1,'PT-All'!$A$1,"Scenario",BA$12,"P&amp;L Item",$B122),0))</f>
        <v>0</v>
      </c>
      <c r="BB122" s="65">
        <f ca="1">IF(BB$12="Pro Forma",SUM(OFFSET($B122,0,12*BB$9+1,1,12)),IFERROR(GETPIVOTDATA("Sum of FY"&amp;BB$9+1,'PT-All'!$A$1,"Scenario",BB$12,"P&amp;L Item",$B122),0))</f>
        <v>0</v>
      </c>
      <c r="BC122" s="97">
        <f ca="1">IF(BC$12="Pro Forma",SUM(OFFSET($B122,0,12*BC$9+1,1,12)),IFERROR(GETPIVOTDATA("Sum of FY"&amp;BC$9+1,'PT-All'!$A$1,"Scenario",BC$12,"P&amp;L Item",$B122),0))</f>
        <v>0</v>
      </c>
    </row>
    <row r="123" spans="2:55" x14ac:dyDescent="0.35">
      <c r="B123" s="80" t="s">
        <v>153</v>
      </c>
      <c r="C123" s="65">
        <f>CHOOSE(PLColumn,IFERROR(GETPIVOTDATA("Sum of "&amp;C$9,'PT-All'!$A$1,"Scenario",C$12,"P&amp;L Item",$B123),0),IFERROR(GETPIVOTDATA("Sum of "&amp;C$9,'PT-All'!$A$1,"Scenario",C$12,"P&amp;L Item",$B123)/C$201,0),TEXT(IFERROR(GETPIVOTDATA("Sum of "&amp;C$9,'PT-All'!$A$1,"Scenario",C$12,"P&amp;L Item",$B123)/C$29,0),"0.00%"))</f>
        <v>0</v>
      </c>
      <c r="D123" s="65">
        <f>CHOOSE(PLColumn,IFERROR(GETPIVOTDATA("Sum of "&amp;D$9,'PT-All'!$A$1,"Scenario",D$12,"P&amp;L Item",$B123),0),IFERROR(GETPIVOTDATA("Sum of "&amp;D$9,'PT-All'!$A$1,"Scenario",D$12,"P&amp;L Item",$B123)/D$201,0),TEXT(IFERROR(GETPIVOTDATA("Sum of "&amp;D$9,'PT-All'!$A$1,"Scenario",D$12,"P&amp;L Item",$B123)/D$29,0),"0.00%"))</f>
        <v>0</v>
      </c>
      <c r="E123" s="65">
        <f>CHOOSE(PLColumn,IFERROR(GETPIVOTDATA("Sum of "&amp;E$9,'PT-All'!$A$1,"Scenario",E$12,"P&amp;L Item",$B123),0),IFERROR(GETPIVOTDATA("Sum of "&amp;E$9,'PT-All'!$A$1,"Scenario",E$12,"P&amp;L Item",$B123)/E$201,0),TEXT(IFERROR(GETPIVOTDATA("Sum of "&amp;E$9,'PT-All'!$A$1,"Scenario",E$12,"P&amp;L Item",$B123)/E$29,0),"0.00%"))</f>
        <v>0</v>
      </c>
      <c r="F123" s="65">
        <f>CHOOSE(PLColumn,IFERROR(GETPIVOTDATA("Sum of "&amp;F$9,'PT-All'!$A$1,"Scenario",F$12,"P&amp;L Item",$B123),0),IFERROR(GETPIVOTDATA("Sum of "&amp;F$9,'PT-All'!$A$1,"Scenario",F$12,"P&amp;L Item",$B123)/F$201,0),TEXT(IFERROR(GETPIVOTDATA("Sum of "&amp;F$9,'PT-All'!$A$1,"Scenario",F$12,"P&amp;L Item",$B123)/F$29,0),"0.00%"))</f>
        <v>0</v>
      </c>
      <c r="G123" s="65">
        <f>CHOOSE(PLColumn,IFERROR(GETPIVOTDATA("Sum of "&amp;G$9,'PT-All'!$A$1,"Scenario",G$12,"P&amp;L Item",$B123),0),IFERROR(GETPIVOTDATA("Sum of "&amp;G$9,'PT-All'!$A$1,"Scenario",G$12,"P&amp;L Item",$B123)/G$201,0),TEXT(IFERROR(GETPIVOTDATA("Sum of "&amp;G$9,'PT-All'!$A$1,"Scenario",G$12,"P&amp;L Item",$B123)/G$29,0),"0.00%"))</f>
        <v>0</v>
      </c>
      <c r="H123" s="65">
        <f>CHOOSE(PLColumn,IFERROR(GETPIVOTDATA("Sum of "&amp;H$9,'PT-All'!$A$1,"Scenario",H$12,"P&amp;L Item",$B123),0),IFERROR(GETPIVOTDATA("Sum of "&amp;H$9,'PT-All'!$A$1,"Scenario",H$12,"P&amp;L Item",$B123)/H$201,0),TEXT(IFERROR(GETPIVOTDATA("Sum of "&amp;H$9,'PT-All'!$A$1,"Scenario",H$12,"P&amp;L Item",$B123)/H$29,0),"0.00%"))</f>
        <v>0</v>
      </c>
      <c r="I123" s="65">
        <f>CHOOSE(PLColumn,IFERROR(GETPIVOTDATA("Sum of "&amp;I$9,'PT-All'!$A$1,"Scenario",I$12,"P&amp;L Item",$B123),0),IFERROR(GETPIVOTDATA("Sum of "&amp;I$9,'PT-All'!$A$1,"Scenario",I$12,"P&amp;L Item",$B123)/I$201,0),TEXT(IFERROR(GETPIVOTDATA("Sum of "&amp;I$9,'PT-All'!$A$1,"Scenario",I$12,"P&amp;L Item",$B123)/I$29,0),"0.00%"))</f>
        <v>0</v>
      </c>
      <c r="J123" s="65">
        <f>CHOOSE(PLColumn,IFERROR(GETPIVOTDATA("Sum of "&amp;J$9,'PT-All'!$A$1,"Scenario",J$12,"P&amp;L Item",$B123),0),IFERROR(GETPIVOTDATA("Sum of "&amp;J$9,'PT-All'!$A$1,"Scenario",J$12,"P&amp;L Item",$B123)/J$201,0),TEXT(IFERROR(GETPIVOTDATA("Sum of "&amp;J$9,'PT-All'!$A$1,"Scenario",J$12,"P&amp;L Item",$B123)/J$29,0),"0.00%"))</f>
        <v>0</v>
      </c>
      <c r="K123" s="65">
        <f>CHOOSE(PLColumn,IFERROR(GETPIVOTDATA("Sum of "&amp;K$9,'PT-All'!$A$1,"Scenario",K$12,"P&amp;L Item",$B123),0),IFERROR(GETPIVOTDATA("Sum of "&amp;K$9,'PT-All'!$A$1,"Scenario",K$12,"P&amp;L Item",$B123)/K$201,0),TEXT(IFERROR(GETPIVOTDATA("Sum of "&amp;K$9,'PT-All'!$A$1,"Scenario",K$12,"P&amp;L Item",$B123)/K$29,0),"0.00%"))</f>
        <v>0</v>
      </c>
      <c r="L123" s="65">
        <f>CHOOSE(PLColumn,IFERROR(GETPIVOTDATA("Sum of "&amp;L$9,'PT-All'!$A$1,"Scenario",L$12,"P&amp;L Item",$B123),0),IFERROR(GETPIVOTDATA("Sum of "&amp;L$9,'PT-All'!$A$1,"Scenario",L$12,"P&amp;L Item",$B123)/L$201,0),TEXT(IFERROR(GETPIVOTDATA("Sum of "&amp;L$9,'PT-All'!$A$1,"Scenario",L$12,"P&amp;L Item",$B123)/L$29,0),"0.00%"))</f>
        <v>0</v>
      </c>
      <c r="M123" s="65">
        <f>CHOOSE(PLColumn,IFERROR(GETPIVOTDATA("Sum of "&amp;M$9,'PT-All'!$A$1,"Scenario",M$12,"P&amp;L Item",$B123),0),IFERROR(GETPIVOTDATA("Sum of "&amp;M$9,'PT-All'!$A$1,"Scenario",M$12,"P&amp;L Item",$B123)/M$201,0),TEXT(IFERROR(GETPIVOTDATA("Sum of "&amp;M$9,'PT-All'!$A$1,"Scenario",M$12,"P&amp;L Item",$B123)/M$29,0),"0.00%"))</f>
        <v>0</v>
      </c>
      <c r="N123" s="65">
        <f>CHOOSE(PLColumn,IFERROR(GETPIVOTDATA("Sum of "&amp;N$9,'PT-All'!$A$1,"Scenario",N$12,"P&amp;L Item",$B123),0),IFERROR(GETPIVOTDATA("Sum of "&amp;N$9,'PT-All'!$A$1,"Scenario",N$12,"P&amp;L Item",$B123)/N$201,0),TEXT(IFERROR(GETPIVOTDATA("Sum of "&amp;N$9,'PT-All'!$A$1,"Scenario",N$12,"P&amp;L Item",$B123)/N$29,0),"0.00%"))</f>
        <v>0</v>
      </c>
      <c r="O123" s="65">
        <f>CHOOSE(PLColumn,IFERROR(GETPIVOTDATA("Sum of "&amp;O$9,'PT-All'!$A$1,"Scenario",O$12,"P&amp;L Item",$B123),0),IFERROR(GETPIVOTDATA("Sum of "&amp;O$9,'PT-All'!$A$1,"Scenario",O$12,"P&amp;L Item",$B123)/O$201,0),TEXT(IFERROR(GETPIVOTDATA("Sum of "&amp;O$9,'PT-All'!$A$1,"Scenario",O$12,"P&amp;L Item",$B123)/O$29,0),"0.00%"))</f>
        <v>0</v>
      </c>
      <c r="P123" s="65">
        <f>CHOOSE(PLColumn,IFERROR(GETPIVOTDATA("Sum of "&amp;P$9,'PT-All'!$A$1,"Scenario",P$12,"P&amp;L Item",$B123),0),IFERROR(GETPIVOTDATA("Sum of "&amp;P$9,'PT-All'!$A$1,"Scenario",P$12,"P&amp;L Item",$B123)/P$201,0),TEXT(IFERROR(GETPIVOTDATA("Sum of "&amp;P$9,'PT-All'!$A$1,"Scenario",P$12,"P&amp;L Item",$B123)/P$29,0),"0.00%"))</f>
        <v>0</v>
      </c>
      <c r="Q123" s="65">
        <f>CHOOSE(PLColumn,IFERROR(GETPIVOTDATA("Sum of "&amp;Q$9,'PT-All'!$A$1,"Scenario",Q$12,"P&amp;L Item",$B123),0),IFERROR(GETPIVOTDATA("Sum of "&amp;Q$9,'PT-All'!$A$1,"Scenario",Q$12,"P&amp;L Item",$B123)/Q$201,0),TEXT(IFERROR(GETPIVOTDATA("Sum of "&amp;Q$9,'PT-All'!$A$1,"Scenario",Q$12,"P&amp;L Item",$B123)/Q$29,0),"0.00%"))</f>
        <v>0</v>
      </c>
      <c r="R123" s="65">
        <f>CHOOSE(PLColumn,IFERROR(GETPIVOTDATA("Sum of "&amp;R$9,'PT-All'!$A$1,"Scenario",R$12,"P&amp;L Item",$B123),0),IFERROR(GETPIVOTDATA("Sum of "&amp;R$9,'PT-All'!$A$1,"Scenario",R$12,"P&amp;L Item",$B123)/R$201,0),TEXT(IFERROR(GETPIVOTDATA("Sum of "&amp;R$9,'PT-All'!$A$1,"Scenario",R$12,"P&amp;L Item",$B123)/R$29,0),"0.00%"))</f>
        <v>0</v>
      </c>
      <c r="S123" s="65">
        <f>CHOOSE(PLColumn,IFERROR(GETPIVOTDATA("Sum of "&amp;S$9,'PT-All'!$A$1,"Scenario",S$12,"P&amp;L Item",$B123),0),IFERROR(GETPIVOTDATA("Sum of "&amp;S$9,'PT-All'!$A$1,"Scenario",S$12,"P&amp;L Item",$B123)/S$201,0),TEXT(IFERROR(GETPIVOTDATA("Sum of "&amp;S$9,'PT-All'!$A$1,"Scenario",S$12,"P&amp;L Item",$B123)/S$29,0),"0.00%"))</f>
        <v>0</v>
      </c>
      <c r="T123" s="65">
        <f>CHOOSE(PLColumn,IFERROR(GETPIVOTDATA("Sum of "&amp;T$9,'PT-All'!$A$1,"Scenario",T$12,"P&amp;L Item",$B123),0),IFERROR(GETPIVOTDATA("Sum of "&amp;T$9,'PT-All'!$A$1,"Scenario",T$12,"P&amp;L Item",$B123)/T$201,0),TEXT(IFERROR(GETPIVOTDATA("Sum of "&amp;T$9,'PT-All'!$A$1,"Scenario",T$12,"P&amp;L Item",$B123)/T$29,0),"0.00%"))</f>
        <v>0</v>
      </c>
      <c r="U123" s="65">
        <f>CHOOSE(PLColumn,IFERROR(GETPIVOTDATA("Sum of "&amp;U$9,'PT-All'!$A$1,"Scenario",U$12,"P&amp;L Item",$B123),0),IFERROR(GETPIVOTDATA("Sum of "&amp;U$9,'PT-All'!$A$1,"Scenario",U$12,"P&amp;L Item",$B123)/U$201,0),TEXT(IFERROR(GETPIVOTDATA("Sum of "&amp;U$9,'PT-All'!$A$1,"Scenario",U$12,"P&amp;L Item",$B123)/U$29,0),"0.00%"))</f>
        <v>0</v>
      </c>
      <c r="V123" s="65">
        <f>CHOOSE(PLColumn,IFERROR(GETPIVOTDATA("Sum of "&amp;V$9,'PT-All'!$A$1,"Scenario",V$12,"P&amp;L Item",$B123),0),IFERROR(GETPIVOTDATA("Sum of "&amp;V$9,'PT-All'!$A$1,"Scenario",V$12,"P&amp;L Item",$B123)/V$201,0),TEXT(IFERROR(GETPIVOTDATA("Sum of "&amp;V$9,'PT-All'!$A$1,"Scenario",V$12,"P&amp;L Item",$B123)/V$29,0),"0.00%"))</f>
        <v>0</v>
      </c>
      <c r="W123" s="65">
        <f>CHOOSE(PLColumn,IFERROR(GETPIVOTDATA("Sum of "&amp;W$9,'PT-All'!$A$1,"Scenario",W$12,"P&amp;L Item",$B123),0),IFERROR(GETPIVOTDATA("Sum of "&amp;W$9,'PT-All'!$A$1,"Scenario",W$12,"P&amp;L Item",$B123)/W$201,0),TEXT(IFERROR(GETPIVOTDATA("Sum of "&amp;W$9,'PT-All'!$A$1,"Scenario",W$12,"P&amp;L Item",$B123)/W$29,0),"0.00%"))</f>
        <v>0</v>
      </c>
      <c r="X123" s="65">
        <f>CHOOSE(PLColumn,IFERROR(GETPIVOTDATA("Sum of "&amp;X$9,'PT-All'!$A$1,"Scenario",X$12,"P&amp;L Item",$B123),0),IFERROR(GETPIVOTDATA("Sum of "&amp;X$9,'PT-All'!$A$1,"Scenario",X$12,"P&amp;L Item",$B123)/X$201,0),TEXT(IFERROR(GETPIVOTDATA("Sum of "&amp;X$9,'PT-All'!$A$1,"Scenario",X$12,"P&amp;L Item",$B123)/X$29,0),"0.00%"))</f>
        <v>0</v>
      </c>
      <c r="Y123" s="65">
        <f>CHOOSE(PLColumn,IFERROR(GETPIVOTDATA("Sum of "&amp;Y$9,'PT-All'!$A$1,"Scenario",Y$12,"P&amp;L Item",$B123),0),IFERROR(GETPIVOTDATA("Sum of "&amp;Y$9,'PT-All'!$A$1,"Scenario",Y$12,"P&amp;L Item",$B123)/Y$201,0),TEXT(IFERROR(GETPIVOTDATA("Sum of "&amp;Y$9,'PT-All'!$A$1,"Scenario",Y$12,"P&amp;L Item",$B123)/Y$29,0),"0.00%"))</f>
        <v>0</v>
      </c>
      <c r="Z123" s="65">
        <f>CHOOSE(PLColumn,IFERROR(GETPIVOTDATA("Sum of "&amp;Z$9,'PT-All'!$A$1,"Scenario",Z$12,"P&amp;L Item",$B123),0),IFERROR(GETPIVOTDATA("Sum of "&amp;Z$9,'PT-All'!$A$1,"Scenario",Z$12,"P&amp;L Item",$B123)/Z$201,0),TEXT(IFERROR(GETPIVOTDATA("Sum of "&amp;Z$9,'PT-All'!$A$1,"Scenario",Z$12,"P&amp;L Item",$B123)/Z$29,0),"0.00%"))</f>
        <v>0</v>
      </c>
      <c r="AA123" s="65">
        <f>CHOOSE(PLColumn,IFERROR(GETPIVOTDATA("Sum of "&amp;AA$9,'PT-All'!$A$1,"Scenario",AA$12,"P&amp;L Item",$B123),0),IFERROR(GETPIVOTDATA("Sum of "&amp;AA$9,'PT-All'!$A$1,"Scenario",AA$12,"P&amp;L Item",$B123)/AA$201,0),TEXT(IFERROR(GETPIVOTDATA("Sum of "&amp;AA$9,'PT-All'!$A$1,"Scenario",AA$12,"P&amp;L Item",$B123)/AA$29,0),"0.00%"))</f>
        <v>0</v>
      </c>
      <c r="AB123" s="65">
        <f>CHOOSE(PLColumn,IFERROR(GETPIVOTDATA("Sum of "&amp;AB$9,'PT-All'!$A$1,"Scenario",AB$12,"P&amp;L Item",$B123),0),IFERROR(GETPIVOTDATA("Sum of "&amp;AB$9,'PT-All'!$A$1,"Scenario",AB$12,"P&amp;L Item",$B123)/AB$201,0),TEXT(IFERROR(GETPIVOTDATA("Sum of "&amp;AB$9,'PT-All'!$A$1,"Scenario",AB$12,"P&amp;L Item",$B123)/AB$29,0),"0.00%"))</f>
        <v>0</v>
      </c>
      <c r="AC123" s="65">
        <f>CHOOSE(PLColumn,IFERROR(GETPIVOTDATA("Sum of "&amp;AC$9,'PT-All'!$A$1,"Scenario",AC$12,"P&amp;L Item",$B123),0),IFERROR(GETPIVOTDATA("Sum of "&amp;AC$9,'PT-All'!$A$1,"Scenario",AC$12,"P&amp;L Item",$B123)/AC$201,0),TEXT(IFERROR(GETPIVOTDATA("Sum of "&amp;AC$9,'PT-All'!$A$1,"Scenario",AC$12,"P&amp;L Item",$B123)/AC$29,0),"0.00%"))</f>
        <v>0</v>
      </c>
      <c r="AD123" s="65">
        <f>CHOOSE(PLColumn,IFERROR(GETPIVOTDATA("Sum of "&amp;AD$9,'PT-All'!$A$1,"Scenario",AD$12,"P&amp;L Item",$B123),0),IFERROR(GETPIVOTDATA("Sum of "&amp;AD$9,'PT-All'!$A$1,"Scenario",AD$12,"P&amp;L Item",$B123)/AD$201,0),TEXT(IFERROR(GETPIVOTDATA("Sum of "&amp;AD$9,'PT-All'!$A$1,"Scenario",AD$12,"P&amp;L Item",$B123)/AD$29,0),"0.00%"))</f>
        <v>0</v>
      </c>
      <c r="AE123" s="65">
        <f>CHOOSE(PLColumn,IFERROR(GETPIVOTDATA("Sum of "&amp;AE$9,'PT-All'!$A$1,"Scenario",AE$12,"P&amp;L Item",$B123),0),IFERROR(GETPIVOTDATA("Sum of "&amp;AE$9,'PT-All'!$A$1,"Scenario",AE$12,"P&amp;L Item",$B123)/AE$201,0),TEXT(IFERROR(GETPIVOTDATA("Sum of "&amp;AE$9,'PT-All'!$A$1,"Scenario",AE$12,"P&amp;L Item",$B123)/AE$29,0),"0.00%"))</f>
        <v>0</v>
      </c>
      <c r="AF123" s="65">
        <f>CHOOSE(PLColumn,IFERROR(GETPIVOTDATA("Sum of "&amp;AF$9,'PT-All'!$A$1,"Scenario",AF$12,"P&amp;L Item",$B123),0),IFERROR(GETPIVOTDATA("Sum of "&amp;AF$9,'PT-All'!$A$1,"Scenario",AF$12,"P&amp;L Item",$B123)/AF$201,0),TEXT(IFERROR(GETPIVOTDATA("Sum of "&amp;AF$9,'PT-All'!$A$1,"Scenario",AF$12,"P&amp;L Item",$B123)/AF$29,0),"0.00%"))</f>
        <v>0</v>
      </c>
      <c r="AG123" s="65">
        <f>CHOOSE(PLColumn,IFERROR(GETPIVOTDATA("Sum of "&amp;AG$9,'PT-All'!$A$1,"Scenario",AG$12,"P&amp;L Item",$B123),0),IFERROR(GETPIVOTDATA("Sum of "&amp;AG$9,'PT-All'!$A$1,"Scenario",AG$12,"P&amp;L Item",$B123)/AG$201,0),TEXT(IFERROR(GETPIVOTDATA("Sum of "&amp;AG$9,'PT-All'!$A$1,"Scenario",AG$12,"P&amp;L Item",$B123)/AG$29,0),"0.00%"))</f>
        <v>0</v>
      </c>
      <c r="AH123" s="65">
        <f>CHOOSE(PLColumn,IFERROR(GETPIVOTDATA("Sum of "&amp;AH$9,'PT-All'!$A$1,"Scenario",AH$12,"P&amp;L Item",$B123),0),IFERROR(GETPIVOTDATA("Sum of "&amp;AH$9,'PT-All'!$A$1,"Scenario",AH$12,"P&amp;L Item",$B123)/AH$201,0),TEXT(IFERROR(GETPIVOTDATA("Sum of "&amp;AH$9,'PT-All'!$A$1,"Scenario",AH$12,"P&amp;L Item",$B123)/AH$29,0),"0.00%"))</f>
        <v>0</v>
      </c>
      <c r="AI123" s="65">
        <f>CHOOSE(PLColumn,IFERROR(GETPIVOTDATA("Sum of "&amp;AI$9,'PT-All'!$A$1,"Scenario",AI$12,"P&amp;L Item",$B123),0),IFERROR(GETPIVOTDATA("Sum of "&amp;AI$9,'PT-All'!$A$1,"Scenario",AI$12,"P&amp;L Item",$B123)/AI$201,0),TEXT(IFERROR(GETPIVOTDATA("Sum of "&amp;AI$9,'PT-All'!$A$1,"Scenario",AI$12,"P&amp;L Item",$B123)/AI$29,0),"0.00%"))</f>
        <v>0</v>
      </c>
      <c r="AJ123" s="65">
        <f>CHOOSE(PLColumn,IFERROR(GETPIVOTDATA("Sum of "&amp;AJ$9,'PT-All'!$A$1,"Scenario",AJ$12,"P&amp;L Item",$B123),0),IFERROR(GETPIVOTDATA("Sum of "&amp;AJ$9,'PT-All'!$A$1,"Scenario",AJ$12,"P&amp;L Item",$B123)/AJ$201,0),TEXT(IFERROR(GETPIVOTDATA("Sum of "&amp;AJ$9,'PT-All'!$A$1,"Scenario",AJ$12,"P&amp;L Item",$B123)/AJ$29,0),"0.00%"))</f>
        <v>0</v>
      </c>
      <c r="AK123" s="65">
        <f>CHOOSE(PLColumn,IFERROR(GETPIVOTDATA("Sum of "&amp;AK$9,'PT-All'!$A$1,"Scenario",AK$12,"P&amp;L Item",$B123),0),IFERROR(GETPIVOTDATA("Sum of "&amp;AK$9,'PT-All'!$A$1,"Scenario",AK$12,"P&amp;L Item",$B123)/AK$201,0),TEXT(IFERROR(GETPIVOTDATA("Sum of "&amp;AK$9,'PT-All'!$A$1,"Scenario",AK$12,"P&amp;L Item",$B123)/AK$29,0),"0.00%"))</f>
        <v>0</v>
      </c>
      <c r="AL123" s="97">
        <f>CHOOSE(PLColumn,IFERROR(GETPIVOTDATA("Sum of "&amp;AL$9,'PT-All'!$A$1,"Scenario",AL$12,"P&amp;L Item",$B123),0),IFERROR(GETPIVOTDATA("Sum of "&amp;AL$9,'PT-All'!$A$1,"Scenario",AL$12,"P&amp;L Item",$B123)/AL$201,0),TEXT(IFERROR(GETPIVOTDATA("Sum of "&amp;AL$9,'PT-All'!$A$1,"Scenario",AL$12,"P&amp;L Item",$B123)/AL$29,0),"0.00%"))</f>
        <v>0</v>
      </c>
      <c r="AM123" s="590"/>
      <c r="AN123" s="108">
        <f ca="1">IF(AN$12="Pro Forma",SUM(OFFSET($B123,0,3*AN$9+1,1,3)),IFERROR(GETPIVOTDATA("Sum of Q"&amp;AN$9+1,'PT-All'!$A$1,"Scenario",AN$12,"P&amp;L Item",$B123),0))</f>
        <v>0</v>
      </c>
      <c r="AO123" s="65">
        <f ca="1">IF(AO$12="Pro Forma",SUM(OFFSET($B123,0,3*AO$9+1,1,3)),IFERROR(GETPIVOTDATA("Sum of Q"&amp;AO$9+1,'PT-All'!$A$1,"Scenario",AO$12,"P&amp;L Item",$B123),0))</f>
        <v>0</v>
      </c>
      <c r="AP123" s="65">
        <f ca="1">IF(AP$12="Pro Forma",SUM(OFFSET($B123,0,3*AP$9+1,1,3)),IFERROR(GETPIVOTDATA("Sum of Q"&amp;AP$9+1,'PT-All'!$A$1,"Scenario",AP$12,"P&amp;L Item",$B123),0))</f>
        <v>0</v>
      </c>
      <c r="AQ123" s="65">
        <f ca="1">IF(AQ$12="Pro Forma",SUM(OFFSET($B123,0,3*AQ$9+1,1,3)),IFERROR(GETPIVOTDATA("Sum of Q"&amp;AQ$9+1,'PT-All'!$A$1,"Scenario",AQ$12,"P&amp;L Item",$B123),0))</f>
        <v>0</v>
      </c>
      <c r="AR123" s="65">
        <f ca="1">IF(AR$12="Pro Forma",SUM(OFFSET($B123,0,3*AR$9+1,1,3)),IFERROR(GETPIVOTDATA("Sum of Q"&amp;AR$9+1,'PT-All'!$A$1,"Scenario",AR$12,"P&amp;L Item",$B123),0))</f>
        <v>0</v>
      </c>
      <c r="AS123" s="65">
        <f ca="1">IF(AS$12="Pro Forma",SUM(OFFSET($B123,0,3*AS$9+1,1,3)),IFERROR(GETPIVOTDATA("Sum of Q"&amp;AS$9+1,'PT-All'!$A$1,"Scenario",AS$12,"P&amp;L Item",$B123),0))</f>
        <v>0</v>
      </c>
      <c r="AT123" s="65">
        <f ca="1">IF(AT$12="Pro Forma",SUM(OFFSET($B123,0,3*AT$9+1,1,3)),IFERROR(GETPIVOTDATA("Sum of Q"&amp;AT$9+1,'PT-All'!$A$1,"Scenario",AT$12,"P&amp;L Item",$B123),0))</f>
        <v>0</v>
      </c>
      <c r="AU123" s="65">
        <f ca="1">IF(AU$12="Pro Forma",SUM(OFFSET($B123,0,3*AU$9+1,1,3)),IFERROR(GETPIVOTDATA("Sum of Q"&amp;AU$9+1,'PT-All'!$A$1,"Scenario",AU$12,"P&amp;L Item",$B123),0))</f>
        <v>0</v>
      </c>
      <c r="AV123" s="65">
        <f ca="1">IF(AV$12="Pro Forma",SUM(OFFSET($B123,0,3*AV$9+1,1,3)),IFERROR(GETPIVOTDATA("Sum of Q"&amp;AV$9+1,'PT-All'!$A$1,"Scenario",AV$12,"P&amp;L Item",$B123),0))</f>
        <v>0</v>
      </c>
      <c r="AW123" s="65">
        <f ca="1">IF(AW$12="Pro Forma",SUM(OFFSET($B123,0,3*AW$9+1,1,3)),IFERROR(GETPIVOTDATA("Sum of Q"&amp;AW$9+1,'PT-All'!$A$1,"Scenario",AW$12,"P&amp;L Item",$B123),0))</f>
        <v>0</v>
      </c>
      <c r="AX123" s="65">
        <f ca="1">IF(AX$12="Pro Forma",SUM(OFFSET($B123,0,3*AX$9+1,1,3)),IFERROR(GETPIVOTDATA("Sum of Q"&amp;AX$9+1,'PT-All'!$A$1,"Scenario",AX$12,"P&amp;L Item",$B123),0))</f>
        <v>0</v>
      </c>
      <c r="AY123" s="97">
        <f ca="1">IF(AY$12="Pro Forma",SUM(OFFSET($B123,0,3*AY$9+1,1,3)),IFERROR(GETPIVOTDATA("Sum of Q"&amp;AY$9+1,'PT-All'!$A$1,"Scenario",AY$12,"P&amp;L Item",$B123),0))</f>
        <v>0</v>
      </c>
      <c r="AZ123" s="590"/>
      <c r="BA123" s="108">
        <f ca="1">IF(BA$12="Pro Forma",SUM(OFFSET($B123,0,12*BA$9+1,1,12)),IFERROR(GETPIVOTDATA("Sum of FY"&amp;BA$9+1,'PT-All'!$A$1,"Scenario",BA$12,"P&amp;L Item",$B123),0))</f>
        <v>0</v>
      </c>
      <c r="BB123" s="65">
        <f ca="1">IF(BB$12="Pro Forma",SUM(OFFSET($B123,0,12*BB$9+1,1,12)),IFERROR(GETPIVOTDATA("Sum of FY"&amp;BB$9+1,'PT-All'!$A$1,"Scenario",BB$12,"P&amp;L Item",$B123),0))</f>
        <v>0</v>
      </c>
      <c r="BC123" s="97">
        <f ca="1">IF(BC$12="Pro Forma",SUM(OFFSET($B123,0,12*BC$9+1,1,12)),IFERROR(GETPIVOTDATA("Sum of FY"&amp;BC$9+1,'PT-All'!$A$1,"Scenario",BC$12,"P&amp;L Item",$B123),0))</f>
        <v>0</v>
      </c>
    </row>
    <row r="124" spans="2:55" x14ac:dyDescent="0.35">
      <c r="B124" s="79" t="s">
        <v>154</v>
      </c>
      <c r="C124" s="592">
        <f t="shared" ref="C124:AN124" si="279">SUM(C125:C129)</f>
        <v>0</v>
      </c>
      <c r="D124" s="592">
        <f t="shared" si="279"/>
        <v>0</v>
      </c>
      <c r="E124" s="592">
        <f t="shared" si="279"/>
        <v>0</v>
      </c>
      <c r="F124" s="592">
        <f t="shared" si="279"/>
        <v>0</v>
      </c>
      <c r="G124" s="592">
        <f t="shared" si="279"/>
        <v>0</v>
      </c>
      <c r="H124" s="592">
        <f t="shared" si="279"/>
        <v>0</v>
      </c>
      <c r="I124" s="592">
        <f t="shared" si="279"/>
        <v>0</v>
      </c>
      <c r="J124" s="592">
        <f t="shared" si="279"/>
        <v>0</v>
      </c>
      <c r="K124" s="592">
        <f t="shared" si="279"/>
        <v>0</v>
      </c>
      <c r="L124" s="592">
        <f t="shared" si="279"/>
        <v>0</v>
      </c>
      <c r="M124" s="592">
        <f t="shared" si="279"/>
        <v>0</v>
      </c>
      <c r="N124" s="592">
        <f t="shared" si="279"/>
        <v>0</v>
      </c>
      <c r="O124" s="592">
        <f t="shared" si="279"/>
        <v>0</v>
      </c>
      <c r="P124" s="592">
        <f t="shared" si="279"/>
        <v>0</v>
      </c>
      <c r="Q124" s="592">
        <f t="shared" si="279"/>
        <v>0</v>
      </c>
      <c r="R124" s="592">
        <f t="shared" si="279"/>
        <v>0</v>
      </c>
      <c r="S124" s="592">
        <f t="shared" si="279"/>
        <v>0</v>
      </c>
      <c r="T124" s="592">
        <f t="shared" si="279"/>
        <v>0</v>
      </c>
      <c r="U124" s="592">
        <f t="shared" si="279"/>
        <v>0</v>
      </c>
      <c r="V124" s="592">
        <f t="shared" si="279"/>
        <v>0</v>
      </c>
      <c r="W124" s="592">
        <f t="shared" si="279"/>
        <v>0</v>
      </c>
      <c r="X124" s="592">
        <f t="shared" si="279"/>
        <v>0</v>
      </c>
      <c r="Y124" s="592">
        <f t="shared" si="279"/>
        <v>0</v>
      </c>
      <c r="Z124" s="592">
        <f t="shared" ref="Z124:AL124" si="280">SUM(Z125:Z129)</f>
        <v>0</v>
      </c>
      <c r="AA124" s="592">
        <f t="shared" si="280"/>
        <v>0</v>
      </c>
      <c r="AB124" s="592">
        <f t="shared" si="280"/>
        <v>0</v>
      </c>
      <c r="AC124" s="592">
        <f t="shared" si="280"/>
        <v>0</v>
      </c>
      <c r="AD124" s="592">
        <f t="shared" si="280"/>
        <v>0</v>
      </c>
      <c r="AE124" s="592">
        <f t="shared" si="280"/>
        <v>0</v>
      </c>
      <c r="AF124" s="592">
        <f t="shared" si="280"/>
        <v>0</v>
      </c>
      <c r="AG124" s="592">
        <f t="shared" si="280"/>
        <v>0</v>
      </c>
      <c r="AH124" s="592">
        <f t="shared" si="280"/>
        <v>0</v>
      </c>
      <c r="AI124" s="592">
        <f t="shared" si="280"/>
        <v>0</v>
      </c>
      <c r="AJ124" s="592">
        <f t="shared" si="280"/>
        <v>0</v>
      </c>
      <c r="AK124" s="592">
        <f t="shared" si="280"/>
        <v>0</v>
      </c>
      <c r="AL124" s="593">
        <f t="shared" si="280"/>
        <v>0</v>
      </c>
      <c r="AM124" s="590"/>
      <c r="AN124" s="594">
        <f t="shared" ca="1" si="279"/>
        <v>0</v>
      </c>
      <c r="AO124" s="592">
        <f t="shared" ref="AO124" ca="1" si="281">SUM(AO125:AO129)</f>
        <v>0</v>
      </c>
      <c r="AP124" s="592">
        <f t="shared" ref="AP124" ca="1" si="282">SUM(AP125:AP129)</f>
        <v>0</v>
      </c>
      <c r="AQ124" s="592">
        <f t="shared" ref="AQ124" ca="1" si="283">SUM(AQ125:AQ129)</f>
        <v>0</v>
      </c>
      <c r="AR124" s="592">
        <f t="shared" ref="AR124" ca="1" si="284">SUM(AR125:AR129)</f>
        <v>0</v>
      </c>
      <c r="AS124" s="592">
        <f t="shared" ref="AS124" ca="1" si="285">SUM(AS125:AS129)</f>
        <v>0</v>
      </c>
      <c r="AT124" s="592">
        <f t="shared" ref="AT124:AY124" ca="1" si="286">SUM(AT125:AT129)</f>
        <v>0</v>
      </c>
      <c r="AU124" s="592">
        <f t="shared" ca="1" si="286"/>
        <v>0</v>
      </c>
      <c r="AV124" s="592">
        <f t="shared" ca="1" si="286"/>
        <v>0</v>
      </c>
      <c r="AW124" s="592">
        <f t="shared" ca="1" si="286"/>
        <v>0</v>
      </c>
      <c r="AX124" s="592">
        <f t="shared" ca="1" si="286"/>
        <v>0</v>
      </c>
      <c r="AY124" s="593">
        <f t="shared" ca="1" si="286"/>
        <v>0</v>
      </c>
      <c r="AZ124" s="590"/>
      <c r="BA124" s="594">
        <f t="shared" ref="BA124" ca="1" si="287">SUM(BA125:BA129)</f>
        <v>0</v>
      </c>
      <c r="BB124" s="592">
        <f t="shared" ref="BB124:BC124" ca="1" si="288">SUM(BB125:BB129)</f>
        <v>0</v>
      </c>
      <c r="BC124" s="593">
        <f t="shared" ca="1" si="288"/>
        <v>0</v>
      </c>
    </row>
    <row r="125" spans="2:55" x14ac:dyDescent="0.35">
      <c r="B125" s="80" t="s">
        <v>155</v>
      </c>
      <c r="C125" s="65">
        <f>CHOOSE(PLColumn,IFERROR(GETPIVOTDATA("Sum of "&amp;C$9,'PT-All'!$A$1,"Scenario",C$12,"P&amp;L Item",$B125),0),IFERROR(GETPIVOTDATA("Sum of "&amp;C$9,'PT-All'!$A$1,"Scenario",C$12,"P&amp;L Item",$B125)/C$201,0),TEXT(IFERROR(GETPIVOTDATA("Sum of "&amp;C$9,'PT-All'!$A$1,"Scenario",C$12,"P&amp;L Item",$B125)/C$29,0),"0.00%"))</f>
        <v>0</v>
      </c>
      <c r="D125" s="65">
        <f>CHOOSE(PLColumn,IFERROR(GETPIVOTDATA("Sum of "&amp;D$9,'PT-All'!$A$1,"Scenario",D$12,"P&amp;L Item",$B125),0),IFERROR(GETPIVOTDATA("Sum of "&amp;D$9,'PT-All'!$A$1,"Scenario",D$12,"P&amp;L Item",$B125)/D$201,0),TEXT(IFERROR(GETPIVOTDATA("Sum of "&amp;D$9,'PT-All'!$A$1,"Scenario",D$12,"P&amp;L Item",$B125)/D$29,0),"0.00%"))</f>
        <v>0</v>
      </c>
      <c r="E125" s="65">
        <f>CHOOSE(PLColumn,IFERROR(GETPIVOTDATA("Sum of "&amp;E$9,'PT-All'!$A$1,"Scenario",E$12,"P&amp;L Item",$B125),0),IFERROR(GETPIVOTDATA("Sum of "&amp;E$9,'PT-All'!$A$1,"Scenario",E$12,"P&amp;L Item",$B125)/E$201,0),TEXT(IFERROR(GETPIVOTDATA("Sum of "&amp;E$9,'PT-All'!$A$1,"Scenario",E$12,"P&amp;L Item",$B125)/E$29,0),"0.00%"))</f>
        <v>0</v>
      </c>
      <c r="F125" s="65">
        <f>CHOOSE(PLColumn,IFERROR(GETPIVOTDATA("Sum of "&amp;F$9,'PT-All'!$A$1,"Scenario",F$12,"P&amp;L Item",$B125),0),IFERROR(GETPIVOTDATA("Sum of "&amp;F$9,'PT-All'!$A$1,"Scenario",F$12,"P&amp;L Item",$B125)/F$201,0),TEXT(IFERROR(GETPIVOTDATA("Sum of "&amp;F$9,'PT-All'!$A$1,"Scenario",F$12,"P&amp;L Item",$B125)/F$29,0),"0.00%"))</f>
        <v>0</v>
      </c>
      <c r="G125" s="65">
        <f>CHOOSE(PLColumn,IFERROR(GETPIVOTDATA("Sum of "&amp;G$9,'PT-All'!$A$1,"Scenario",G$12,"P&amp;L Item",$B125),0),IFERROR(GETPIVOTDATA("Sum of "&amp;G$9,'PT-All'!$A$1,"Scenario",G$12,"P&amp;L Item",$B125)/G$201,0),TEXT(IFERROR(GETPIVOTDATA("Sum of "&amp;G$9,'PT-All'!$A$1,"Scenario",G$12,"P&amp;L Item",$B125)/G$29,0),"0.00%"))</f>
        <v>0</v>
      </c>
      <c r="H125" s="65">
        <f>CHOOSE(PLColumn,IFERROR(GETPIVOTDATA("Sum of "&amp;H$9,'PT-All'!$A$1,"Scenario",H$12,"P&amp;L Item",$B125),0),IFERROR(GETPIVOTDATA("Sum of "&amp;H$9,'PT-All'!$A$1,"Scenario",H$12,"P&amp;L Item",$B125)/H$201,0),TEXT(IFERROR(GETPIVOTDATA("Sum of "&amp;H$9,'PT-All'!$A$1,"Scenario",H$12,"P&amp;L Item",$B125)/H$29,0),"0.00%"))</f>
        <v>0</v>
      </c>
      <c r="I125" s="65">
        <f>CHOOSE(PLColumn,IFERROR(GETPIVOTDATA("Sum of "&amp;I$9,'PT-All'!$A$1,"Scenario",I$12,"P&amp;L Item",$B125),0),IFERROR(GETPIVOTDATA("Sum of "&amp;I$9,'PT-All'!$A$1,"Scenario",I$12,"P&amp;L Item",$B125)/I$201,0),TEXT(IFERROR(GETPIVOTDATA("Sum of "&amp;I$9,'PT-All'!$A$1,"Scenario",I$12,"P&amp;L Item",$B125)/I$29,0),"0.00%"))</f>
        <v>0</v>
      </c>
      <c r="J125" s="65">
        <f>CHOOSE(PLColumn,IFERROR(GETPIVOTDATA("Sum of "&amp;J$9,'PT-All'!$A$1,"Scenario",J$12,"P&amp;L Item",$B125),0),IFERROR(GETPIVOTDATA("Sum of "&amp;J$9,'PT-All'!$A$1,"Scenario",J$12,"P&amp;L Item",$B125)/J$201,0),TEXT(IFERROR(GETPIVOTDATA("Sum of "&amp;J$9,'PT-All'!$A$1,"Scenario",J$12,"P&amp;L Item",$B125)/J$29,0),"0.00%"))</f>
        <v>0</v>
      </c>
      <c r="K125" s="65">
        <f>CHOOSE(PLColumn,IFERROR(GETPIVOTDATA("Sum of "&amp;K$9,'PT-All'!$A$1,"Scenario",K$12,"P&amp;L Item",$B125),0),IFERROR(GETPIVOTDATA("Sum of "&amp;K$9,'PT-All'!$A$1,"Scenario",K$12,"P&amp;L Item",$B125)/K$201,0),TEXT(IFERROR(GETPIVOTDATA("Sum of "&amp;K$9,'PT-All'!$A$1,"Scenario",K$12,"P&amp;L Item",$B125)/K$29,0),"0.00%"))</f>
        <v>0</v>
      </c>
      <c r="L125" s="65">
        <f>CHOOSE(PLColumn,IFERROR(GETPIVOTDATA("Sum of "&amp;L$9,'PT-All'!$A$1,"Scenario",L$12,"P&amp;L Item",$B125),0),IFERROR(GETPIVOTDATA("Sum of "&amp;L$9,'PT-All'!$A$1,"Scenario",L$12,"P&amp;L Item",$B125)/L$201,0),TEXT(IFERROR(GETPIVOTDATA("Sum of "&amp;L$9,'PT-All'!$A$1,"Scenario",L$12,"P&amp;L Item",$B125)/L$29,0),"0.00%"))</f>
        <v>0</v>
      </c>
      <c r="M125" s="65">
        <f>CHOOSE(PLColumn,IFERROR(GETPIVOTDATA("Sum of "&amp;M$9,'PT-All'!$A$1,"Scenario",M$12,"P&amp;L Item",$B125),0),IFERROR(GETPIVOTDATA("Sum of "&amp;M$9,'PT-All'!$A$1,"Scenario",M$12,"P&amp;L Item",$B125)/M$201,0),TEXT(IFERROR(GETPIVOTDATA("Sum of "&amp;M$9,'PT-All'!$A$1,"Scenario",M$12,"P&amp;L Item",$B125)/M$29,0),"0.00%"))</f>
        <v>0</v>
      </c>
      <c r="N125" s="65">
        <f>CHOOSE(PLColumn,IFERROR(GETPIVOTDATA("Sum of "&amp;N$9,'PT-All'!$A$1,"Scenario",N$12,"P&amp;L Item",$B125),0),IFERROR(GETPIVOTDATA("Sum of "&amp;N$9,'PT-All'!$A$1,"Scenario",N$12,"P&amp;L Item",$B125)/N$201,0),TEXT(IFERROR(GETPIVOTDATA("Sum of "&amp;N$9,'PT-All'!$A$1,"Scenario",N$12,"P&amp;L Item",$B125)/N$29,0),"0.00%"))</f>
        <v>0</v>
      </c>
      <c r="O125" s="65">
        <f>CHOOSE(PLColumn,IFERROR(GETPIVOTDATA("Sum of "&amp;O$9,'PT-All'!$A$1,"Scenario",O$12,"P&amp;L Item",$B125),0),IFERROR(GETPIVOTDATA("Sum of "&amp;O$9,'PT-All'!$A$1,"Scenario",O$12,"P&amp;L Item",$B125)/O$201,0),TEXT(IFERROR(GETPIVOTDATA("Sum of "&amp;O$9,'PT-All'!$A$1,"Scenario",O$12,"P&amp;L Item",$B125)/O$29,0),"0.00%"))</f>
        <v>0</v>
      </c>
      <c r="P125" s="65">
        <f>CHOOSE(PLColumn,IFERROR(GETPIVOTDATA("Sum of "&amp;P$9,'PT-All'!$A$1,"Scenario",P$12,"P&amp;L Item",$B125),0),IFERROR(GETPIVOTDATA("Sum of "&amp;P$9,'PT-All'!$A$1,"Scenario",P$12,"P&amp;L Item",$B125)/P$201,0),TEXT(IFERROR(GETPIVOTDATA("Sum of "&amp;P$9,'PT-All'!$A$1,"Scenario",P$12,"P&amp;L Item",$B125)/P$29,0),"0.00%"))</f>
        <v>0</v>
      </c>
      <c r="Q125" s="65">
        <f>CHOOSE(PLColumn,IFERROR(GETPIVOTDATA("Sum of "&amp;Q$9,'PT-All'!$A$1,"Scenario",Q$12,"P&amp;L Item",$B125),0),IFERROR(GETPIVOTDATA("Sum of "&amp;Q$9,'PT-All'!$A$1,"Scenario",Q$12,"P&amp;L Item",$B125)/Q$201,0),TEXT(IFERROR(GETPIVOTDATA("Sum of "&amp;Q$9,'PT-All'!$A$1,"Scenario",Q$12,"P&amp;L Item",$B125)/Q$29,0),"0.00%"))</f>
        <v>0</v>
      </c>
      <c r="R125" s="65">
        <f>CHOOSE(PLColumn,IFERROR(GETPIVOTDATA("Sum of "&amp;R$9,'PT-All'!$A$1,"Scenario",R$12,"P&amp;L Item",$B125),0),IFERROR(GETPIVOTDATA("Sum of "&amp;R$9,'PT-All'!$A$1,"Scenario",R$12,"P&amp;L Item",$B125)/R$201,0),TEXT(IFERROR(GETPIVOTDATA("Sum of "&amp;R$9,'PT-All'!$A$1,"Scenario",R$12,"P&amp;L Item",$B125)/R$29,0),"0.00%"))</f>
        <v>0</v>
      </c>
      <c r="S125" s="65">
        <f>CHOOSE(PLColumn,IFERROR(GETPIVOTDATA("Sum of "&amp;S$9,'PT-All'!$A$1,"Scenario",S$12,"P&amp;L Item",$B125),0),IFERROR(GETPIVOTDATA("Sum of "&amp;S$9,'PT-All'!$A$1,"Scenario",S$12,"P&amp;L Item",$B125)/S$201,0),TEXT(IFERROR(GETPIVOTDATA("Sum of "&amp;S$9,'PT-All'!$A$1,"Scenario",S$12,"P&amp;L Item",$B125)/S$29,0),"0.00%"))</f>
        <v>0</v>
      </c>
      <c r="T125" s="65">
        <f>CHOOSE(PLColumn,IFERROR(GETPIVOTDATA("Sum of "&amp;T$9,'PT-All'!$A$1,"Scenario",T$12,"P&amp;L Item",$B125),0),IFERROR(GETPIVOTDATA("Sum of "&amp;T$9,'PT-All'!$A$1,"Scenario",T$12,"P&amp;L Item",$B125)/T$201,0),TEXT(IFERROR(GETPIVOTDATA("Sum of "&amp;T$9,'PT-All'!$A$1,"Scenario",T$12,"P&amp;L Item",$B125)/T$29,0),"0.00%"))</f>
        <v>0</v>
      </c>
      <c r="U125" s="65">
        <f>CHOOSE(PLColumn,IFERROR(GETPIVOTDATA("Sum of "&amp;U$9,'PT-All'!$A$1,"Scenario",U$12,"P&amp;L Item",$B125),0),IFERROR(GETPIVOTDATA("Sum of "&amp;U$9,'PT-All'!$A$1,"Scenario",U$12,"P&amp;L Item",$B125)/U$201,0),TEXT(IFERROR(GETPIVOTDATA("Sum of "&amp;U$9,'PT-All'!$A$1,"Scenario",U$12,"P&amp;L Item",$B125)/U$29,0),"0.00%"))</f>
        <v>0</v>
      </c>
      <c r="V125" s="65">
        <f>CHOOSE(PLColumn,IFERROR(GETPIVOTDATA("Sum of "&amp;V$9,'PT-All'!$A$1,"Scenario",V$12,"P&amp;L Item",$B125),0),IFERROR(GETPIVOTDATA("Sum of "&amp;V$9,'PT-All'!$A$1,"Scenario",V$12,"P&amp;L Item",$B125)/V$201,0),TEXT(IFERROR(GETPIVOTDATA("Sum of "&amp;V$9,'PT-All'!$A$1,"Scenario",V$12,"P&amp;L Item",$B125)/V$29,0),"0.00%"))</f>
        <v>0</v>
      </c>
      <c r="W125" s="65">
        <f>CHOOSE(PLColumn,IFERROR(GETPIVOTDATA("Sum of "&amp;W$9,'PT-All'!$A$1,"Scenario",W$12,"P&amp;L Item",$B125),0),IFERROR(GETPIVOTDATA("Sum of "&amp;W$9,'PT-All'!$A$1,"Scenario",W$12,"P&amp;L Item",$B125)/W$201,0),TEXT(IFERROR(GETPIVOTDATA("Sum of "&amp;W$9,'PT-All'!$A$1,"Scenario",W$12,"P&amp;L Item",$B125)/W$29,0),"0.00%"))</f>
        <v>0</v>
      </c>
      <c r="X125" s="65">
        <f>CHOOSE(PLColumn,IFERROR(GETPIVOTDATA("Sum of "&amp;X$9,'PT-All'!$A$1,"Scenario",X$12,"P&amp;L Item",$B125),0),IFERROR(GETPIVOTDATA("Sum of "&amp;X$9,'PT-All'!$A$1,"Scenario",X$12,"P&amp;L Item",$B125)/X$201,0),TEXT(IFERROR(GETPIVOTDATA("Sum of "&amp;X$9,'PT-All'!$A$1,"Scenario",X$12,"P&amp;L Item",$B125)/X$29,0),"0.00%"))</f>
        <v>0</v>
      </c>
      <c r="Y125" s="65">
        <f>CHOOSE(PLColumn,IFERROR(GETPIVOTDATA("Sum of "&amp;Y$9,'PT-All'!$A$1,"Scenario",Y$12,"P&amp;L Item",$B125),0),IFERROR(GETPIVOTDATA("Sum of "&amp;Y$9,'PT-All'!$A$1,"Scenario",Y$12,"P&amp;L Item",$B125)/Y$201,0),TEXT(IFERROR(GETPIVOTDATA("Sum of "&amp;Y$9,'PT-All'!$A$1,"Scenario",Y$12,"P&amp;L Item",$B125)/Y$29,0),"0.00%"))</f>
        <v>0</v>
      </c>
      <c r="Z125" s="65">
        <f>CHOOSE(PLColumn,IFERROR(GETPIVOTDATA("Sum of "&amp;Z$9,'PT-All'!$A$1,"Scenario",Z$12,"P&amp;L Item",$B125),0),IFERROR(GETPIVOTDATA("Sum of "&amp;Z$9,'PT-All'!$A$1,"Scenario",Z$12,"P&amp;L Item",$B125)/Z$201,0),TEXT(IFERROR(GETPIVOTDATA("Sum of "&amp;Z$9,'PT-All'!$A$1,"Scenario",Z$12,"P&amp;L Item",$B125)/Z$29,0),"0.00%"))</f>
        <v>0</v>
      </c>
      <c r="AA125" s="65">
        <f>CHOOSE(PLColumn,IFERROR(GETPIVOTDATA("Sum of "&amp;AA$9,'PT-All'!$A$1,"Scenario",AA$12,"P&amp;L Item",$B125),0),IFERROR(GETPIVOTDATA("Sum of "&amp;AA$9,'PT-All'!$A$1,"Scenario",AA$12,"P&amp;L Item",$B125)/AA$201,0),TEXT(IFERROR(GETPIVOTDATA("Sum of "&amp;AA$9,'PT-All'!$A$1,"Scenario",AA$12,"P&amp;L Item",$B125)/AA$29,0),"0.00%"))</f>
        <v>0</v>
      </c>
      <c r="AB125" s="65">
        <f>CHOOSE(PLColumn,IFERROR(GETPIVOTDATA("Sum of "&amp;AB$9,'PT-All'!$A$1,"Scenario",AB$12,"P&amp;L Item",$B125),0),IFERROR(GETPIVOTDATA("Sum of "&amp;AB$9,'PT-All'!$A$1,"Scenario",AB$12,"P&amp;L Item",$B125)/AB$201,0),TEXT(IFERROR(GETPIVOTDATA("Sum of "&amp;AB$9,'PT-All'!$A$1,"Scenario",AB$12,"P&amp;L Item",$B125)/AB$29,0),"0.00%"))</f>
        <v>0</v>
      </c>
      <c r="AC125" s="65">
        <f>CHOOSE(PLColumn,IFERROR(GETPIVOTDATA("Sum of "&amp;AC$9,'PT-All'!$A$1,"Scenario",AC$12,"P&amp;L Item",$B125),0),IFERROR(GETPIVOTDATA("Sum of "&amp;AC$9,'PT-All'!$A$1,"Scenario",AC$12,"P&amp;L Item",$B125)/AC$201,0),TEXT(IFERROR(GETPIVOTDATA("Sum of "&amp;AC$9,'PT-All'!$A$1,"Scenario",AC$12,"P&amp;L Item",$B125)/AC$29,0),"0.00%"))</f>
        <v>0</v>
      </c>
      <c r="AD125" s="65">
        <f>CHOOSE(PLColumn,IFERROR(GETPIVOTDATA("Sum of "&amp;AD$9,'PT-All'!$A$1,"Scenario",AD$12,"P&amp;L Item",$B125),0),IFERROR(GETPIVOTDATA("Sum of "&amp;AD$9,'PT-All'!$A$1,"Scenario",AD$12,"P&amp;L Item",$B125)/AD$201,0),TEXT(IFERROR(GETPIVOTDATA("Sum of "&amp;AD$9,'PT-All'!$A$1,"Scenario",AD$12,"P&amp;L Item",$B125)/AD$29,0),"0.00%"))</f>
        <v>0</v>
      </c>
      <c r="AE125" s="65">
        <f>CHOOSE(PLColumn,IFERROR(GETPIVOTDATA("Sum of "&amp;AE$9,'PT-All'!$A$1,"Scenario",AE$12,"P&amp;L Item",$B125),0),IFERROR(GETPIVOTDATA("Sum of "&amp;AE$9,'PT-All'!$A$1,"Scenario",AE$12,"P&amp;L Item",$B125)/AE$201,0),TEXT(IFERROR(GETPIVOTDATA("Sum of "&amp;AE$9,'PT-All'!$A$1,"Scenario",AE$12,"P&amp;L Item",$B125)/AE$29,0),"0.00%"))</f>
        <v>0</v>
      </c>
      <c r="AF125" s="65">
        <f>CHOOSE(PLColumn,IFERROR(GETPIVOTDATA("Sum of "&amp;AF$9,'PT-All'!$A$1,"Scenario",AF$12,"P&amp;L Item",$B125),0),IFERROR(GETPIVOTDATA("Sum of "&amp;AF$9,'PT-All'!$A$1,"Scenario",AF$12,"P&amp;L Item",$B125)/AF$201,0),TEXT(IFERROR(GETPIVOTDATA("Sum of "&amp;AF$9,'PT-All'!$A$1,"Scenario",AF$12,"P&amp;L Item",$B125)/AF$29,0),"0.00%"))</f>
        <v>0</v>
      </c>
      <c r="AG125" s="65">
        <f>CHOOSE(PLColumn,IFERROR(GETPIVOTDATA("Sum of "&amp;AG$9,'PT-All'!$A$1,"Scenario",AG$12,"P&amp;L Item",$B125),0),IFERROR(GETPIVOTDATA("Sum of "&amp;AG$9,'PT-All'!$A$1,"Scenario",AG$12,"P&amp;L Item",$B125)/AG$201,0),TEXT(IFERROR(GETPIVOTDATA("Sum of "&amp;AG$9,'PT-All'!$A$1,"Scenario",AG$12,"P&amp;L Item",$B125)/AG$29,0),"0.00%"))</f>
        <v>0</v>
      </c>
      <c r="AH125" s="65">
        <f>CHOOSE(PLColumn,IFERROR(GETPIVOTDATA("Sum of "&amp;AH$9,'PT-All'!$A$1,"Scenario",AH$12,"P&amp;L Item",$B125),0),IFERROR(GETPIVOTDATA("Sum of "&amp;AH$9,'PT-All'!$A$1,"Scenario",AH$12,"P&amp;L Item",$B125)/AH$201,0),TEXT(IFERROR(GETPIVOTDATA("Sum of "&amp;AH$9,'PT-All'!$A$1,"Scenario",AH$12,"P&amp;L Item",$B125)/AH$29,0),"0.00%"))</f>
        <v>0</v>
      </c>
      <c r="AI125" s="65">
        <f>CHOOSE(PLColumn,IFERROR(GETPIVOTDATA("Sum of "&amp;AI$9,'PT-All'!$A$1,"Scenario",AI$12,"P&amp;L Item",$B125),0),IFERROR(GETPIVOTDATA("Sum of "&amp;AI$9,'PT-All'!$A$1,"Scenario",AI$12,"P&amp;L Item",$B125)/AI$201,0),TEXT(IFERROR(GETPIVOTDATA("Sum of "&amp;AI$9,'PT-All'!$A$1,"Scenario",AI$12,"P&amp;L Item",$B125)/AI$29,0),"0.00%"))</f>
        <v>0</v>
      </c>
      <c r="AJ125" s="65">
        <f>CHOOSE(PLColumn,IFERROR(GETPIVOTDATA("Sum of "&amp;AJ$9,'PT-All'!$A$1,"Scenario",AJ$12,"P&amp;L Item",$B125),0),IFERROR(GETPIVOTDATA("Sum of "&amp;AJ$9,'PT-All'!$A$1,"Scenario",AJ$12,"P&amp;L Item",$B125)/AJ$201,0),TEXT(IFERROR(GETPIVOTDATA("Sum of "&amp;AJ$9,'PT-All'!$A$1,"Scenario",AJ$12,"P&amp;L Item",$B125)/AJ$29,0),"0.00%"))</f>
        <v>0</v>
      </c>
      <c r="AK125" s="65">
        <f>CHOOSE(PLColumn,IFERROR(GETPIVOTDATA("Sum of "&amp;AK$9,'PT-All'!$A$1,"Scenario",AK$12,"P&amp;L Item",$B125),0),IFERROR(GETPIVOTDATA("Sum of "&amp;AK$9,'PT-All'!$A$1,"Scenario",AK$12,"P&amp;L Item",$B125)/AK$201,0),TEXT(IFERROR(GETPIVOTDATA("Sum of "&amp;AK$9,'PT-All'!$A$1,"Scenario",AK$12,"P&amp;L Item",$B125)/AK$29,0),"0.00%"))</f>
        <v>0</v>
      </c>
      <c r="AL125" s="97">
        <f>CHOOSE(PLColumn,IFERROR(GETPIVOTDATA("Sum of "&amp;AL$9,'PT-All'!$A$1,"Scenario",AL$12,"P&amp;L Item",$B125),0),IFERROR(GETPIVOTDATA("Sum of "&amp;AL$9,'PT-All'!$A$1,"Scenario",AL$12,"P&amp;L Item",$B125)/AL$201,0),TEXT(IFERROR(GETPIVOTDATA("Sum of "&amp;AL$9,'PT-All'!$A$1,"Scenario",AL$12,"P&amp;L Item",$B125)/AL$29,0),"0.00%"))</f>
        <v>0</v>
      </c>
      <c r="AM125" s="590"/>
      <c r="AN125" s="108">
        <f ca="1">IF(AN$12="Pro Forma",SUM(OFFSET($B125,0,3*AN$9+1,1,3)),IFERROR(GETPIVOTDATA("Sum of Q"&amp;AN$9+1,'PT-All'!$A$1,"Scenario",AN$12,"P&amp;L Item",$B125),0))</f>
        <v>0</v>
      </c>
      <c r="AO125" s="65">
        <f ca="1">IF(AO$12="Pro Forma",SUM(OFFSET($B125,0,3*AO$9+1,1,3)),IFERROR(GETPIVOTDATA("Sum of Q"&amp;AO$9+1,'PT-All'!$A$1,"Scenario",AO$12,"P&amp;L Item",$B125),0))</f>
        <v>0</v>
      </c>
      <c r="AP125" s="65">
        <f ca="1">IF(AP$12="Pro Forma",SUM(OFFSET($B125,0,3*AP$9+1,1,3)),IFERROR(GETPIVOTDATA("Sum of Q"&amp;AP$9+1,'PT-All'!$A$1,"Scenario",AP$12,"P&amp;L Item",$B125),0))</f>
        <v>0</v>
      </c>
      <c r="AQ125" s="65">
        <f ca="1">IF(AQ$12="Pro Forma",SUM(OFFSET($B125,0,3*AQ$9+1,1,3)),IFERROR(GETPIVOTDATA("Sum of Q"&amp;AQ$9+1,'PT-All'!$A$1,"Scenario",AQ$12,"P&amp;L Item",$B125),0))</f>
        <v>0</v>
      </c>
      <c r="AR125" s="65">
        <f ca="1">IF(AR$12="Pro Forma",SUM(OFFSET($B125,0,3*AR$9+1,1,3)),IFERROR(GETPIVOTDATA("Sum of Q"&amp;AR$9+1,'PT-All'!$A$1,"Scenario",AR$12,"P&amp;L Item",$B125),0))</f>
        <v>0</v>
      </c>
      <c r="AS125" s="65">
        <f ca="1">IF(AS$12="Pro Forma",SUM(OFFSET($B125,0,3*AS$9+1,1,3)),IFERROR(GETPIVOTDATA("Sum of Q"&amp;AS$9+1,'PT-All'!$A$1,"Scenario",AS$12,"P&amp;L Item",$B125),0))</f>
        <v>0</v>
      </c>
      <c r="AT125" s="65">
        <f ca="1">IF(AT$12="Pro Forma",SUM(OFFSET($B125,0,3*AT$9+1,1,3)),IFERROR(GETPIVOTDATA("Sum of Q"&amp;AT$9+1,'PT-All'!$A$1,"Scenario",AT$12,"P&amp;L Item",$B125),0))</f>
        <v>0</v>
      </c>
      <c r="AU125" s="65">
        <f ca="1">IF(AU$12="Pro Forma",SUM(OFFSET($B125,0,3*AU$9+1,1,3)),IFERROR(GETPIVOTDATA("Sum of Q"&amp;AU$9+1,'PT-All'!$A$1,"Scenario",AU$12,"P&amp;L Item",$B125),0))</f>
        <v>0</v>
      </c>
      <c r="AV125" s="65">
        <f ca="1">IF(AV$12="Pro Forma",SUM(OFFSET($B125,0,3*AV$9+1,1,3)),IFERROR(GETPIVOTDATA("Sum of Q"&amp;AV$9+1,'PT-All'!$A$1,"Scenario",AV$12,"P&amp;L Item",$B125),0))</f>
        <v>0</v>
      </c>
      <c r="AW125" s="65">
        <f ca="1">IF(AW$12="Pro Forma",SUM(OFFSET($B125,0,3*AW$9+1,1,3)),IFERROR(GETPIVOTDATA("Sum of Q"&amp;AW$9+1,'PT-All'!$A$1,"Scenario",AW$12,"P&amp;L Item",$B125),0))</f>
        <v>0</v>
      </c>
      <c r="AX125" s="65">
        <f ca="1">IF(AX$12="Pro Forma",SUM(OFFSET($B125,0,3*AX$9+1,1,3)),IFERROR(GETPIVOTDATA("Sum of Q"&amp;AX$9+1,'PT-All'!$A$1,"Scenario",AX$12,"P&amp;L Item",$B125),0))</f>
        <v>0</v>
      </c>
      <c r="AY125" s="97">
        <f ca="1">IF(AY$12="Pro Forma",SUM(OFFSET($B125,0,3*AY$9+1,1,3)),IFERROR(GETPIVOTDATA("Sum of Q"&amp;AY$9+1,'PT-All'!$A$1,"Scenario",AY$12,"P&amp;L Item",$B125),0))</f>
        <v>0</v>
      </c>
      <c r="AZ125" s="590"/>
      <c r="BA125" s="108">
        <f ca="1">IF(BA$12="Pro Forma",SUM(OFFSET($B125,0,12*BA$9+1,1,12)),IFERROR(GETPIVOTDATA("Sum of FY"&amp;BA$9+1,'PT-All'!$A$1,"Scenario",BA$12,"P&amp;L Item",$B125),0))</f>
        <v>0</v>
      </c>
      <c r="BB125" s="65">
        <f ca="1">IF(BB$12="Pro Forma",SUM(OFFSET($B125,0,12*BB$9+1,1,12)),IFERROR(GETPIVOTDATA("Sum of FY"&amp;BB$9+1,'PT-All'!$A$1,"Scenario",BB$12,"P&amp;L Item",$B125),0))</f>
        <v>0</v>
      </c>
      <c r="BC125" s="97">
        <f ca="1">IF(BC$12="Pro Forma",SUM(OFFSET($B125,0,12*BC$9+1,1,12)),IFERROR(GETPIVOTDATA("Sum of FY"&amp;BC$9+1,'PT-All'!$A$1,"Scenario",BC$12,"P&amp;L Item",$B125),0))</f>
        <v>0</v>
      </c>
    </row>
    <row r="126" spans="2:55" x14ac:dyDescent="0.35">
      <c r="B126" s="80" t="s">
        <v>156</v>
      </c>
      <c r="C126" s="65">
        <f>CHOOSE(PLColumn,IFERROR(GETPIVOTDATA("Sum of "&amp;C$9,'PT-All'!$A$1,"Scenario",C$12,"P&amp;L Item",$B126),0),IFERROR(GETPIVOTDATA("Sum of "&amp;C$9,'PT-All'!$A$1,"Scenario",C$12,"P&amp;L Item",$B126)/C$201,0),TEXT(IFERROR(GETPIVOTDATA("Sum of "&amp;C$9,'PT-All'!$A$1,"Scenario",C$12,"P&amp;L Item",$B126)/C$29,0),"0.00%"))</f>
        <v>0</v>
      </c>
      <c r="D126" s="65">
        <f>CHOOSE(PLColumn,IFERROR(GETPIVOTDATA("Sum of "&amp;D$9,'PT-All'!$A$1,"Scenario",D$12,"P&amp;L Item",$B126),0),IFERROR(GETPIVOTDATA("Sum of "&amp;D$9,'PT-All'!$A$1,"Scenario",D$12,"P&amp;L Item",$B126)/D$201,0),TEXT(IFERROR(GETPIVOTDATA("Sum of "&amp;D$9,'PT-All'!$A$1,"Scenario",D$12,"P&amp;L Item",$B126)/D$29,0),"0.00%"))</f>
        <v>0</v>
      </c>
      <c r="E126" s="65">
        <f>CHOOSE(PLColumn,IFERROR(GETPIVOTDATA("Sum of "&amp;E$9,'PT-All'!$A$1,"Scenario",E$12,"P&amp;L Item",$B126),0),IFERROR(GETPIVOTDATA("Sum of "&amp;E$9,'PT-All'!$A$1,"Scenario",E$12,"P&amp;L Item",$B126)/E$201,0),TEXT(IFERROR(GETPIVOTDATA("Sum of "&amp;E$9,'PT-All'!$A$1,"Scenario",E$12,"P&amp;L Item",$B126)/E$29,0),"0.00%"))</f>
        <v>0</v>
      </c>
      <c r="F126" s="65">
        <f>CHOOSE(PLColumn,IFERROR(GETPIVOTDATA("Sum of "&amp;F$9,'PT-All'!$A$1,"Scenario",F$12,"P&amp;L Item",$B126),0),IFERROR(GETPIVOTDATA("Sum of "&amp;F$9,'PT-All'!$A$1,"Scenario",F$12,"P&amp;L Item",$B126)/F$201,0),TEXT(IFERROR(GETPIVOTDATA("Sum of "&amp;F$9,'PT-All'!$A$1,"Scenario",F$12,"P&amp;L Item",$B126)/F$29,0),"0.00%"))</f>
        <v>0</v>
      </c>
      <c r="G126" s="65">
        <f>CHOOSE(PLColumn,IFERROR(GETPIVOTDATA("Sum of "&amp;G$9,'PT-All'!$A$1,"Scenario",G$12,"P&amp;L Item",$B126),0),IFERROR(GETPIVOTDATA("Sum of "&amp;G$9,'PT-All'!$A$1,"Scenario",G$12,"P&amp;L Item",$B126)/G$201,0),TEXT(IFERROR(GETPIVOTDATA("Sum of "&amp;G$9,'PT-All'!$A$1,"Scenario",G$12,"P&amp;L Item",$B126)/G$29,0),"0.00%"))</f>
        <v>0</v>
      </c>
      <c r="H126" s="65">
        <f>CHOOSE(PLColumn,IFERROR(GETPIVOTDATA("Sum of "&amp;H$9,'PT-All'!$A$1,"Scenario",H$12,"P&amp;L Item",$B126),0),IFERROR(GETPIVOTDATA("Sum of "&amp;H$9,'PT-All'!$A$1,"Scenario",H$12,"P&amp;L Item",$B126)/H$201,0),TEXT(IFERROR(GETPIVOTDATA("Sum of "&amp;H$9,'PT-All'!$A$1,"Scenario",H$12,"P&amp;L Item",$B126)/H$29,0),"0.00%"))</f>
        <v>0</v>
      </c>
      <c r="I126" s="65">
        <f>CHOOSE(PLColumn,IFERROR(GETPIVOTDATA("Sum of "&amp;I$9,'PT-All'!$A$1,"Scenario",I$12,"P&amp;L Item",$B126),0),IFERROR(GETPIVOTDATA("Sum of "&amp;I$9,'PT-All'!$A$1,"Scenario",I$12,"P&amp;L Item",$B126)/I$201,0),TEXT(IFERROR(GETPIVOTDATA("Sum of "&amp;I$9,'PT-All'!$A$1,"Scenario",I$12,"P&amp;L Item",$B126)/I$29,0),"0.00%"))</f>
        <v>0</v>
      </c>
      <c r="J126" s="65">
        <f>CHOOSE(PLColumn,IFERROR(GETPIVOTDATA("Sum of "&amp;J$9,'PT-All'!$A$1,"Scenario",J$12,"P&amp;L Item",$B126),0),IFERROR(GETPIVOTDATA("Sum of "&amp;J$9,'PT-All'!$A$1,"Scenario",J$12,"P&amp;L Item",$B126)/J$201,0),TEXT(IFERROR(GETPIVOTDATA("Sum of "&amp;J$9,'PT-All'!$A$1,"Scenario",J$12,"P&amp;L Item",$B126)/J$29,0),"0.00%"))</f>
        <v>0</v>
      </c>
      <c r="K126" s="65">
        <f>CHOOSE(PLColumn,IFERROR(GETPIVOTDATA("Sum of "&amp;K$9,'PT-All'!$A$1,"Scenario",K$12,"P&amp;L Item",$B126),0),IFERROR(GETPIVOTDATA("Sum of "&amp;K$9,'PT-All'!$A$1,"Scenario",K$12,"P&amp;L Item",$B126)/K$201,0),TEXT(IFERROR(GETPIVOTDATA("Sum of "&amp;K$9,'PT-All'!$A$1,"Scenario",K$12,"P&amp;L Item",$B126)/K$29,0),"0.00%"))</f>
        <v>0</v>
      </c>
      <c r="L126" s="65">
        <f>CHOOSE(PLColumn,IFERROR(GETPIVOTDATA("Sum of "&amp;L$9,'PT-All'!$A$1,"Scenario",L$12,"P&amp;L Item",$B126),0),IFERROR(GETPIVOTDATA("Sum of "&amp;L$9,'PT-All'!$A$1,"Scenario",L$12,"P&amp;L Item",$B126)/L$201,0),TEXT(IFERROR(GETPIVOTDATA("Sum of "&amp;L$9,'PT-All'!$A$1,"Scenario",L$12,"P&amp;L Item",$B126)/L$29,0),"0.00%"))</f>
        <v>0</v>
      </c>
      <c r="M126" s="65">
        <f>CHOOSE(PLColumn,IFERROR(GETPIVOTDATA("Sum of "&amp;M$9,'PT-All'!$A$1,"Scenario",M$12,"P&amp;L Item",$B126),0),IFERROR(GETPIVOTDATA("Sum of "&amp;M$9,'PT-All'!$A$1,"Scenario",M$12,"P&amp;L Item",$B126)/M$201,0),TEXT(IFERROR(GETPIVOTDATA("Sum of "&amp;M$9,'PT-All'!$A$1,"Scenario",M$12,"P&amp;L Item",$B126)/M$29,0),"0.00%"))</f>
        <v>0</v>
      </c>
      <c r="N126" s="65">
        <f>CHOOSE(PLColumn,IFERROR(GETPIVOTDATA("Sum of "&amp;N$9,'PT-All'!$A$1,"Scenario",N$12,"P&amp;L Item",$B126),0),IFERROR(GETPIVOTDATA("Sum of "&amp;N$9,'PT-All'!$A$1,"Scenario",N$12,"P&amp;L Item",$B126)/N$201,0),TEXT(IFERROR(GETPIVOTDATA("Sum of "&amp;N$9,'PT-All'!$A$1,"Scenario",N$12,"P&amp;L Item",$B126)/N$29,0),"0.00%"))</f>
        <v>0</v>
      </c>
      <c r="O126" s="65">
        <f>CHOOSE(PLColumn,IFERROR(GETPIVOTDATA("Sum of "&amp;O$9,'PT-All'!$A$1,"Scenario",O$12,"P&amp;L Item",$B126),0),IFERROR(GETPIVOTDATA("Sum of "&amp;O$9,'PT-All'!$A$1,"Scenario",O$12,"P&amp;L Item",$B126)/O$201,0),TEXT(IFERROR(GETPIVOTDATA("Sum of "&amp;O$9,'PT-All'!$A$1,"Scenario",O$12,"P&amp;L Item",$B126)/O$29,0),"0.00%"))</f>
        <v>0</v>
      </c>
      <c r="P126" s="65">
        <f>CHOOSE(PLColumn,IFERROR(GETPIVOTDATA("Sum of "&amp;P$9,'PT-All'!$A$1,"Scenario",P$12,"P&amp;L Item",$B126),0),IFERROR(GETPIVOTDATA("Sum of "&amp;P$9,'PT-All'!$A$1,"Scenario",P$12,"P&amp;L Item",$B126)/P$201,0),TEXT(IFERROR(GETPIVOTDATA("Sum of "&amp;P$9,'PT-All'!$A$1,"Scenario",P$12,"P&amp;L Item",$B126)/P$29,0),"0.00%"))</f>
        <v>0</v>
      </c>
      <c r="Q126" s="65">
        <f>CHOOSE(PLColumn,IFERROR(GETPIVOTDATA("Sum of "&amp;Q$9,'PT-All'!$A$1,"Scenario",Q$12,"P&amp;L Item",$B126),0),IFERROR(GETPIVOTDATA("Sum of "&amp;Q$9,'PT-All'!$A$1,"Scenario",Q$12,"P&amp;L Item",$B126)/Q$201,0),TEXT(IFERROR(GETPIVOTDATA("Sum of "&amp;Q$9,'PT-All'!$A$1,"Scenario",Q$12,"P&amp;L Item",$B126)/Q$29,0),"0.00%"))</f>
        <v>0</v>
      </c>
      <c r="R126" s="65">
        <f>CHOOSE(PLColumn,IFERROR(GETPIVOTDATA("Sum of "&amp;R$9,'PT-All'!$A$1,"Scenario",R$12,"P&amp;L Item",$B126),0),IFERROR(GETPIVOTDATA("Sum of "&amp;R$9,'PT-All'!$A$1,"Scenario",R$12,"P&amp;L Item",$B126)/R$201,0),TEXT(IFERROR(GETPIVOTDATA("Sum of "&amp;R$9,'PT-All'!$A$1,"Scenario",R$12,"P&amp;L Item",$B126)/R$29,0),"0.00%"))</f>
        <v>0</v>
      </c>
      <c r="S126" s="65">
        <f>CHOOSE(PLColumn,IFERROR(GETPIVOTDATA("Sum of "&amp;S$9,'PT-All'!$A$1,"Scenario",S$12,"P&amp;L Item",$B126),0),IFERROR(GETPIVOTDATA("Sum of "&amp;S$9,'PT-All'!$A$1,"Scenario",S$12,"P&amp;L Item",$B126)/S$201,0),TEXT(IFERROR(GETPIVOTDATA("Sum of "&amp;S$9,'PT-All'!$A$1,"Scenario",S$12,"P&amp;L Item",$B126)/S$29,0),"0.00%"))</f>
        <v>0</v>
      </c>
      <c r="T126" s="65">
        <f>CHOOSE(PLColumn,IFERROR(GETPIVOTDATA("Sum of "&amp;T$9,'PT-All'!$A$1,"Scenario",T$12,"P&amp;L Item",$B126),0),IFERROR(GETPIVOTDATA("Sum of "&amp;T$9,'PT-All'!$A$1,"Scenario",T$12,"P&amp;L Item",$B126)/T$201,0),TEXT(IFERROR(GETPIVOTDATA("Sum of "&amp;T$9,'PT-All'!$A$1,"Scenario",T$12,"P&amp;L Item",$B126)/T$29,0),"0.00%"))</f>
        <v>0</v>
      </c>
      <c r="U126" s="65">
        <f>CHOOSE(PLColumn,IFERROR(GETPIVOTDATA("Sum of "&amp;U$9,'PT-All'!$A$1,"Scenario",U$12,"P&amp;L Item",$B126),0),IFERROR(GETPIVOTDATA("Sum of "&amp;U$9,'PT-All'!$A$1,"Scenario",U$12,"P&amp;L Item",$B126)/U$201,0),TEXT(IFERROR(GETPIVOTDATA("Sum of "&amp;U$9,'PT-All'!$A$1,"Scenario",U$12,"P&amp;L Item",$B126)/U$29,0),"0.00%"))</f>
        <v>0</v>
      </c>
      <c r="V126" s="65">
        <f>CHOOSE(PLColumn,IFERROR(GETPIVOTDATA("Sum of "&amp;V$9,'PT-All'!$A$1,"Scenario",V$12,"P&amp;L Item",$B126),0),IFERROR(GETPIVOTDATA("Sum of "&amp;V$9,'PT-All'!$A$1,"Scenario",V$12,"P&amp;L Item",$B126)/V$201,0),TEXT(IFERROR(GETPIVOTDATA("Sum of "&amp;V$9,'PT-All'!$A$1,"Scenario",V$12,"P&amp;L Item",$B126)/V$29,0),"0.00%"))</f>
        <v>0</v>
      </c>
      <c r="W126" s="65">
        <f>CHOOSE(PLColumn,IFERROR(GETPIVOTDATA("Sum of "&amp;W$9,'PT-All'!$A$1,"Scenario",W$12,"P&amp;L Item",$B126),0),IFERROR(GETPIVOTDATA("Sum of "&amp;W$9,'PT-All'!$A$1,"Scenario",W$12,"P&amp;L Item",$B126)/W$201,0),TEXT(IFERROR(GETPIVOTDATA("Sum of "&amp;W$9,'PT-All'!$A$1,"Scenario",W$12,"P&amp;L Item",$B126)/W$29,0),"0.00%"))</f>
        <v>0</v>
      </c>
      <c r="X126" s="65">
        <f>CHOOSE(PLColumn,IFERROR(GETPIVOTDATA("Sum of "&amp;X$9,'PT-All'!$A$1,"Scenario",X$12,"P&amp;L Item",$B126),0),IFERROR(GETPIVOTDATA("Sum of "&amp;X$9,'PT-All'!$A$1,"Scenario",X$12,"P&amp;L Item",$B126)/X$201,0),TEXT(IFERROR(GETPIVOTDATA("Sum of "&amp;X$9,'PT-All'!$A$1,"Scenario",X$12,"P&amp;L Item",$B126)/X$29,0),"0.00%"))</f>
        <v>0</v>
      </c>
      <c r="Y126" s="65">
        <f>CHOOSE(PLColumn,IFERROR(GETPIVOTDATA("Sum of "&amp;Y$9,'PT-All'!$A$1,"Scenario",Y$12,"P&amp;L Item",$B126),0),IFERROR(GETPIVOTDATA("Sum of "&amp;Y$9,'PT-All'!$A$1,"Scenario",Y$12,"P&amp;L Item",$B126)/Y$201,0),TEXT(IFERROR(GETPIVOTDATA("Sum of "&amp;Y$9,'PT-All'!$A$1,"Scenario",Y$12,"P&amp;L Item",$B126)/Y$29,0),"0.00%"))</f>
        <v>0</v>
      </c>
      <c r="Z126" s="65">
        <f>CHOOSE(PLColumn,IFERROR(GETPIVOTDATA("Sum of "&amp;Z$9,'PT-All'!$A$1,"Scenario",Z$12,"P&amp;L Item",$B126),0),IFERROR(GETPIVOTDATA("Sum of "&amp;Z$9,'PT-All'!$A$1,"Scenario",Z$12,"P&amp;L Item",$B126)/Z$201,0),TEXT(IFERROR(GETPIVOTDATA("Sum of "&amp;Z$9,'PT-All'!$A$1,"Scenario",Z$12,"P&amp;L Item",$B126)/Z$29,0),"0.00%"))</f>
        <v>0</v>
      </c>
      <c r="AA126" s="65">
        <f>CHOOSE(PLColumn,IFERROR(GETPIVOTDATA("Sum of "&amp;AA$9,'PT-All'!$A$1,"Scenario",AA$12,"P&amp;L Item",$B126),0),IFERROR(GETPIVOTDATA("Sum of "&amp;AA$9,'PT-All'!$A$1,"Scenario",AA$12,"P&amp;L Item",$B126)/AA$201,0),TEXT(IFERROR(GETPIVOTDATA("Sum of "&amp;AA$9,'PT-All'!$A$1,"Scenario",AA$12,"P&amp;L Item",$B126)/AA$29,0),"0.00%"))</f>
        <v>0</v>
      </c>
      <c r="AB126" s="65">
        <f>CHOOSE(PLColumn,IFERROR(GETPIVOTDATA("Sum of "&amp;AB$9,'PT-All'!$A$1,"Scenario",AB$12,"P&amp;L Item",$B126),0),IFERROR(GETPIVOTDATA("Sum of "&amp;AB$9,'PT-All'!$A$1,"Scenario",AB$12,"P&amp;L Item",$B126)/AB$201,0),TEXT(IFERROR(GETPIVOTDATA("Sum of "&amp;AB$9,'PT-All'!$A$1,"Scenario",AB$12,"P&amp;L Item",$B126)/AB$29,0),"0.00%"))</f>
        <v>0</v>
      </c>
      <c r="AC126" s="65">
        <f>CHOOSE(PLColumn,IFERROR(GETPIVOTDATA("Sum of "&amp;AC$9,'PT-All'!$A$1,"Scenario",AC$12,"P&amp;L Item",$B126),0),IFERROR(GETPIVOTDATA("Sum of "&amp;AC$9,'PT-All'!$A$1,"Scenario",AC$12,"P&amp;L Item",$B126)/AC$201,0),TEXT(IFERROR(GETPIVOTDATA("Sum of "&amp;AC$9,'PT-All'!$A$1,"Scenario",AC$12,"P&amp;L Item",$B126)/AC$29,0),"0.00%"))</f>
        <v>0</v>
      </c>
      <c r="AD126" s="65">
        <f>CHOOSE(PLColumn,IFERROR(GETPIVOTDATA("Sum of "&amp;AD$9,'PT-All'!$A$1,"Scenario",AD$12,"P&amp;L Item",$B126),0),IFERROR(GETPIVOTDATA("Sum of "&amp;AD$9,'PT-All'!$A$1,"Scenario",AD$12,"P&amp;L Item",$B126)/AD$201,0),TEXT(IFERROR(GETPIVOTDATA("Sum of "&amp;AD$9,'PT-All'!$A$1,"Scenario",AD$12,"P&amp;L Item",$B126)/AD$29,0),"0.00%"))</f>
        <v>0</v>
      </c>
      <c r="AE126" s="65">
        <f>CHOOSE(PLColumn,IFERROR(GETPIVOTDATA("Sum of "&amp;AE$9,'PT-All'!$A$1,"Scenario",AE$12,"P&amp;L Item",$B126),0),IFERROR(GETPIVOTDATA("Sum of "&amp;AE$9,'PT-All'!$A$1,"Scenario",AE$12,"P&amp;L Item",$B126)/AE$201,0),TEXT(IFERROR(GETPIVOTDATA("Sum of "&amp;AE$9,'PT-All'!$A$1,"Scenario",AE$12,"P&amp;L Item",$B126)/AE$29,0),"0.00%"))</f>
        <v>0</v>
      </c>
      <c r="AF126" s="65">
        <f>CHOOSE(PLColumn,IFERROR(GETPIVOTDATA("Sum of "&amp;AF$9,'PT-All'!$A$1,"Scenario",AF$12,"P&amp;L Item",$B126),0),IFERROR(GETPIVOTDATA("Sum of "&amp;AF$9,'PT-All'!$A$1,"Scenario",AF$12,"P&amp;L Item",$B126)/AF$201,0),TEXT(IFERROR(GETPIVOTDATA("Sum of "&amp;AF$9,'PT-All'!$A$1,"Scenario",AF$12,"P&amp;L Item",$B126)/AF$29,0),"0.00%"))</f>
        <v>0</v>
      </c>
      <c r="AG126" s="65">
        <f>CHOOSE(PLColumn,IFERROR(GETPIVOTDATA("Sum of "&amp;AG$9,'PT-All'!$A$1,"Scenario",AG$12,"P&amp;L Item",$B126),0),IFERROR(GETPIVOTDATA("Sum of "&amp;AG$9,'PT-All'!$A$1,"Scenario",AG$12,"P&amp;L Item",$B126)/AG$201,0),TEXT(IFERROR(GETPIVOTDATA("Sum of "&amp;AG$9,'PT-All'!$A$1,"Scenario",AG$12,"P&amp;L Item",$B126)/AG$29,0),"0.00%"))</f>
        <v>0</v>
      </c>
      <c r="AH126" s="65">
        <f>CHOOSE(PLColumn,IFERROR(GETPIVOTDATA("Sum of "&amp;AH$9,'PT-All'!$A$1,"Scenario",AH$12,"P&amp;L Item",$B126),0),IFERROR(GETPIVOTDATA("Sum of "&amp;AH$9,'PT-All'!$A$1,"Scenario",AH$12,"P&amp;L Item",$B126)/AH$201,0),TEXT(IFERROR(GETPIVOTDATA("Sum of "&amp;AH$9,'PT-All'!$A$1,"Scenario",AH$12,"P&amp;L Item",$B126)/AH$29,0),"0.00%"))</f>
        <v>0</v>
      </c>
      <c r="AI126" s="65">
        <f>CHOOSE(PLColumn,IFERROR(GETPIVOTDATA("Sum of "&amp;AI$9,'PT-All'!$A$1,"Scenario",AI$12,"P&amp;L Item",$B126),0),IFERROR(GETPIVOTDATA("Sum of "&amp;AI$9,'PT-All'!$A$1,"Scenario",AI$12,"P&amp;L Item",$B126)/AI$201,0),TEXT(IFERROR(GETPIVOTDATA("Sum of "&amp;AI$9,'PT-All'!$A$1,"Scenario",AI$12,"P&amp;L Item",$B126)/AI$29,0),"0.00%"))</f>
        <v>0</v>
      </c>
      <c r="AJ126" s="65">
        <f>CHOOSE(PLColumn,IFERROR(GETPIVOTDATA("Sum of "&amp;AJ$9,'PT-All'!$A$1,"Scenario",AJ$12,"P&amp;L Item",$B126),0),IFERROR(GETPIVOTDATA("Sum of "&amp;AJ$9,'PT-All'!$A$1,"Scenario",AJ$12,"P&amp;L Item",$B126)/AJ$201,0),TEXT(IFERROR(GETPIVOTDATA("Sum of "&amp;AJ$9,'PT-All'!$A$1,"Scenario",AJ$12,"P&amp;L Item",$B126)/AJ$29,0),"0.00%"))</f>
        <v>0</v>
      </c>
      <c r="AK126" s="65">
        <f>CHOOSE(PLColumn,IFERROR(GETPIVOTDATA("Sum of "&amp;AK$9,'PT-All'!$A$1,"Scenario",AK$12,"P&amp;L Item",$B126),0),IFERROR(GETPIVOTDATA("Sum of "&amp;AK$9,'PT-All'!$A$1,"Scenario",AK$12,"P&amp;L Item",$B126)/AK$201,0),TEXT(IFERROR(GETPIVOTDATA("Sum of "&amp;AK$9,'PT-All'!$A$1,"Scenario",AK$12,"P&amp;L Item",$B126)/AK$29,0),"0.00%"))</f>
        <v>0</v>
      </c>
      <c r="AL126" s="97">
        <f>CHOOSE(PLColumn,IFERROR(GETPIVOTDATA("Sum of "&amp;AL$9,'PT-All'!$A$1,"Scenario",AL$12,"P&amp;L Item",$B126),0),IFERROR(GETPIVOTDATA("Sum of "&amp;AL$9,'PT-All'!$A$1,"Scenario",AL$12,"P&amp;L Item",$B126)/AL$201,0),TEXT(IFERROR(GETPIVOTDATA("Sum of "&amp;AL$9,'PT-All'!$A$1,"Scenario",AL$12,"P&amp;L Item",$B126)/AL$29,0),"0.00%"))</f>
        <v>0</v>
      </c>
      <c r="AM126" s="590"/>
      <c r="AN126" s="108">
        <f ca="1">IF(AN$12="Pro Forma",SUM(OFFSET($B126,0,3*AN$9+1,1,3)),IFERROR(GETPIVOTDATA("Sum of Q"&amp;AN$9+1,'PT-All'!$A$1,"Scenario",AN$12,"P&amp;L Item",$B126),0))</f>
        <v>0</v>
      </c>
      <c r="AO126" s="65">
        <f ca="1">IF(AO$12="Pro Forma",SUM(OFFSET($B126,0,3*AO$9+1,1,3)),IFERROR(GETPIVOTDATA("Sum of Q"&amp;AO$9+1,'PT-All'!$A$1,"Scenario",AO$12,"P&amp;L Item",$B126),0))</f>
        <v>0</v>
      </c>
      <c r="AP126" s="65">
        <f ca="1">IF(AP$12="Pro Forma",SUM(OFFSET($B126,0,3*AP$9+1,1,3)),IFERROR(GETPIVOTDATA("Sum of Q"&amp;AP$9+1,'PT-All'!$A$1,"Scenario",AP$12,"P&amp;L Item",$B126),0))</f>
        <v>0</v>
      </c>
      <c r="AQ126" s="65">
        <f ca="1">IF(AQ$12="Pro Forma",SUM(OFFSET($B126,0,3*AQ$9+1,1,3)),IFERROR(GETPIVOTDATA("Sum of Q"&amp;AQ$9+1,'PT-All'!$A$1,"Scenario",AQ$12,"P&amp;L Item",$B126),0))</f>
        <v>0</v>
      </c>
      <c r="AR126" s="65">
        <f ca="1">IF(AR$12="Pro Forma",SUM(OFFSET($B126,0,3*AR$9+1,1,3)),IFERROR(GETPIVOTDATA("Sum of Q"&amp;AR$9+1,'PT-All'!$A$1,"Scenario",AR$12,"P&amp;L Item",$B126),0))</f>
        <v>0</v>
      </c>
      <c r="AS126" s="65">
        <f ca="1">IF(AS$12="Pro Forma",SUM(OFFSET($B126,0,3*AS$9+1,1,3)),IFERROR(GETPIVOTDATA("Sum of Q"&amp;AS$9+1,'PT-All'!$A$1,"Scenario",AS$12,"P&amp;L Item",$B126),0))</f>
        <v>0</v>
      </c>
      <c r="AT126" s="65">
        <f ca="1">IF(AT$12="Pro Forma",SUM(OFFSET($B126,0,3*AT$9+1,1,3)),IFERROR(GETPIVOTDATA("Sum of Q"&amp;AT$9+1,'PT-All'!$A$1,"Scenario",AT$12,"P&amp;L Item",$B126),0))</f>
        <v>0</v>
      </c>
      <c r="AU126" s="65">
        <f ca="1">IF(AU$12="Pro Forma",SUM(OFFSET($B126,0,3*AU$9+1,1,3)),IFERROR(GETPIVOTDATA("Sum of Q"&amp;AU$9+1,'PT-All'!$A$1,"Scenario",AU$12,"P&amp;L Item",$B126),0))</f>
        <v>0</v>
      </c>
      <c r="AV126" s="65">
        <f ca="1">IF(AV$12="Pro Forma",SUM(OFFSET($B126,0,3*AV$9+1,1,3)),IFERROR(GETPIVOTDATA("Sum of Q"&amp;AV$9+1,'PT-All'!$A$1,"Scenario",AV$12,"P&amp;L Item",$B126),0))</f>
        <v>0</v>
      </c>
      <c r="AW126" s="65">
        <f ca="1">IF(AW$12="Pro Forma",SUM(OFFSET($B126,0,3*AW$9+1,1,3)),IFERROR(GETPIVOTDATA("Sum of Q"&amp;AW$9+1,'PT-All'!$A$1,"Scenario",AW$12,"P&amp;L Item",$B126),0))</f>
        <v>0</v>
      </c>
      <c r="AX126" s="65">
        <f ca="1">IF(AX$12="Pro Forma",SUM(OFFSET($B126,0,3*AX$9+1,1,3)),IFERROR(GETPIVOTDATA("Sum of Q"&amp;AX$9+1,'PT-All'!$A$1,"Scenario",AX$12,"P&amp;L Item",$B126),0))</f>
        <v>0</v>
      </c>
      <c r="AY126" s="97">
        <f ca="1">IF(AY$12="Pro Forma",SUM(OFFSET($B126,0,3*AY$9+1,1,3)),IFERROR(GETPIVOTDATA("Sum of Q"&amp;AY$9+1,'PT-All'!$A$1,"Scenario",AY$12,"P&amp;L Item",$B126),0))</f>
        <v>0</v>
      </c>
      <c r="AZ126" s="590"/>
      <c r="BA126" s="108">
        <f ca="1">IF(BA$12="Pro Forma",SUM(OFFSET($B126,0,12*BA$9+1,1,12)),IFERROR(GETPIVOTDATA("Sum of FY"&amp;BA$9+1,'PT-All'!$A$1,"Scenario",BA$12,"P&amp;L Item",$B126),0))</f>
        <v>0</v>
      </c>
      <c r="BB126" s="65">
        <f ca="1">IF(BB$12="Pro Forma",SUM(OFFSET($B126,0,12*BB$9+1,1,12)),IFERROR(GETPIVOTDATA("Sum of FY"&amp;BB$9+1,'PT-All'!$A$1,"Scenario",BB$12,"P&amp;L Item",$B126),0))</f>
        <v>0</v>
      </c>
      <c r="BC126" s="97">
        <f ca="1">IF(BC$12="Pro Forma",SUM(OFFSET($B126,0,12*BC$9+1,1,12)),IFERROR(GETPIVOTDATA("Sum of FY"&amp;BC$9+1,'PT-All'!$A$1,"Scenario",BC$12,"P&amp;L Item",$B126),0))</f>
        <v>0</v>
      </c>
    </row>
    <row r="127" spans="2:55" x14ac:dyDescent="0.35">
      <c r="B127" s="80" t="s">
        <v>157</v>
      </c>
      <c r="C127" s="65">
        <f>CHOOSE(PLColumn,IFERROR(GETPIVOTDATA("Sum of "&amp;C$9,'PT-All'!$A$1,"Scenario",C$12,"P&amp;L Item",$B127),0),IFERROR(GETPIVOTDATA("Sum of "&amp;C$9,'PT-All'!$A$1,"Scenario",C$12,"P&amp;L Item",$B127)/C$201,0),TEXT(IFERROR(GETPIVOTDATA("Sum of "&amp;C$9,'PT-All'!$A$1,"Scenario",C$12,"P&amp;L Item",$B127)/C$29,0),"0.00%"))</f>
        <v>0</v>
      </c>
      <c r="D127" s="65">
        <f>CHOOSE(PLColumn,IFERROR(GETPIVOTDATA("Sum of "&amp;D$9,'PT-All'!$A$1,"Scenario",D$12,"P&amp;L Item",$B127),0),IFERROR(GETPIVOTDATA("Sum of "&amp;D$9,'PT-All'!$A$1,"Scenario",D$12,"P&amp;L Item",$B127)/D$201,0),TEXT(IFERROR(GETPIVOTDATA("Sum of "&amp;D$9,'PT-All'!$A$1,"Scenario",D$12,"P&amp;L Item",$B127)/D$29,0),"0.00%"))</f>
        <v>0</v>
      </c>
      <c r="E127" s="65">
        <f>CHOOSE(PLColumn,IFERROR(GETPIVOTDATA("Sum of "&amp;E$9,'PT-All'!$A$1,"Scenario",E$12,"P&amp;L Item",$B127),0),IFERROR(GETPIVOTDATA("Sum of "&amp;E$9,'PT-All'!$A$1,"Scenario",E$12,"P&amp;L Item",$B127)/E$201,0),TEXT(IFERROR(GETPIVOTDATA("Sum of "&amp;E$9,'PT-All'!$A$1,"Scenario",E$12,"P&amp;L Item",$B127)/E$29,0),"0.00%"))</f>
        <v>0</v>
      </c>
      <c r="F127" s="65">
        <f>CHOOSE(PLColumn,IFERROR(GETPIVOTDATA("Sum of "&amp;F$9,'PT-All'!$A$1,"Scenario",F$12,"P&amp;L Item",$B127),0),IFERROR(GETPIVOTDATA("Sum of "&amp;F$9,'PT-All'!$A$1,"Scenario",F$12,"P&amp;L Item",$B127)/F$201,0),TEXT(IFERROR(GETPIVOTDATA("Sum of "&amp;F$9,'PT-All'!$A$1,"Scenario",F$12,"P&amp;L Item",$B127)/F$29,0),"0.00%"))</f>
        <v>0</v>
      </c>
      <c r="G127" s="65">
        <f>CHOOSE(PLColumn,IFERROR(GETPIVOTDATA("Sum of "&amp;G$9,'PT-All'!$A$1,"Scenario",G$12,"P&amp;L Item",$B127),0),IFERROR(GETPIVOTDATA("Sum of "&amp;G$9,'PT-All'!$A$1,"Scenario",G$12,"P&amp;L Item",$B127)/G$201,0),TEXT(IFERROR(GETPIVOTDATA("Sum of "&amp;G$9,'PT-All'!$A$1,"Scenario",G$12,"P&amp;L Item",$B127)/G$29,0),"0.00%"))</f>
        <v>0</v>
      </c>
      <c r="H127" s="65">
        <f>CHOOSE(PLColumn,IFERROR(GETPIVOTDATA("Sum of "&amp;H$9,'PT-All'!$A$1,"Scenario",H$12,"P&amp;L Item",$B127),0),IFERROR(GETPIVOTDATA("Sum of "&amp;H$9,'PT-All'!$A$1,"Scenario",H$12,"P&amp;L Item",$B127)/H$201,0),TEXT(IFERROR(GETPIVOTDATA("Sum of "&amp;H$9,'PT-All'!$A$1,"Scenario",H$12,"P&amp;L Item",$B127)/H$29,0),"0.00%"))</f>
        <v>0</v>
      </c>
      <c r="I127" s="65">
        <f>CHOOSE(PLColumn,IFERROR(GETPIVOTDATA("Sum of "&amp;I$9,'PT-All'!$A$1,"Scenario",I$12,"P&amp;L Item",$B127),0),IFERROR(GETPIVOTDATA("Sum of "&amp;I$9,'PT-All'!$A$1,"Scenario",I$12,"P&amp;L Item",$B127)/I$201,0),TEXT(IFERROR(GETPIVOTDATA("Sum of "&amp;I$9,'PT-All'!$A$1,"Scenario",I$12,"P&amp;L Item",$B127)/I$29,0),"0.00%"))</f>
        <v>0</v>
      </c>
      <c r="J127" s="65">
        <f>CHOOSE(PLColumn,IFERROR(GETPIVOTDATA("Sum of "&amp;J$9,'PT-All'!$A$1,"Scenario",J$12,"P&amp;L Item",$B127),0),IFERROR(GETPIVOTDATA("Sum of "&amp;J$9,'PT-All'!$A$1,"Scenario",J$12,"P&amp;L Item",$B127)/J$201,0),TEXT(IFERROR(GETPIVOTDATA("Sum of "&amp;J$9,'PT-All'!$A$1,"Scenario",J$12,"P&amp;L Item",$B127)/J$29,0),"0.00%"))</f>
        <v>0</v>
      </c>
      <c r="K127" s="65">
        <f>CHOOSE(PLColumn,IFERROR(GETPIVOTDATA("Sum of "&amp;K$9,'PT-All'!$A$1,"Scenario",K$12,"P&amp;L Item",$B127),0),IFERROR(GETPIVOTDATA("Sum of "&amp;K$9,'PT-All'!$A$1,"Scenario",K$12,"P&amp;L Item",$B127)/K$201,0),TEXT(IFERROR(GETPIVOTDATA("Sum of "&amp;K$9,'PT-All'!$A$1,"Scenario",K$12,"P&amp;L Item",$B127)/K$29,0),"0.00%"))</f>
        <v>0</v>
      </c>
      <c r="L127" s="65">
        <f>CHOOSE(PLColumn,IFERROR(GETPIVOTDATA("Sum of "&amp;L$9,'PT-All'!$A$1,"Scenario",L$12,"P&amp;L Item",$B127),0),IFERROR(GETPIVOTDATA("Sum of "&amp;L$9,'PT-All'!$A$1,"Scenario",L$12,"P&amp;L Item",$B127)/L$201,0),TEXT(IFERROR(GETPIVOTDATA("Sum of "&amp;L$9,'PT-All'!$A$1,"Scenario",L$12,"P&amp;L Item",$B127)/L$29,0),"0.00%"))</f>
        <v>0</v>
      </c>
      <c r="M127" s="65">
        <f>CHOOSE(PLColumn,IFERROR(GETPIVOTDATA("Sum of "&amp;M$9,'PT-All'!$A$1,"Scenario",M$12,"P&amp;L Item",$B127),0),IFERROR(GETPIVOTDATA("Sum of "&amp;M$9,'PT-All'!$A$1,"Scenario",M$12,"P&amp;L Item",$B127)/M$201,0),TEXT(IFERROR(GETPIVOTDATA("Sum of "&amp;M$9,'PT-All'!$A$1,"Scenario",M$12,"P&amp;L Item",$B127)/M$29,0),"0.00%"))</f>
        <v>0</v>
      </c>
      <c r="N127" s="65">
        <f>CHOOSE(PLColumn,IFERROR(GETPIVOTDATA("Sum of "&amp;N$9,'PT-All'!$A$1,"Scenario",N$12,"P&amp;L Item",$B127),0),IFERROR(GETPIVOTDATA("Sum of "&amp;N$9,'PT-All'!$A$1,"Scenario",N$12,"P&amp;L Item",$B127)/N$201,0),TEXT(IFERROR(GETPIVOTDATA("Sum of "&amp;N$9,'PT-All'!$A$1,"Scenario",N$12,"P&amp;L Item",$B127)/N$29,0),"0.00%"))</f>
        <v>0</v>
      </c>
      <c r="O127" s="65">
        <f>CHOOSE(PLColumn,IFERROR(GETPIVOTDATA("Sum of "&amp;O$9,'PT-All'!$A$1,"Scenario",O$12,"P&amp;L Item",$B127),0),IFERROR(GETPIVOTDATA("Sum of "&amp;O$9,'PT-All'!$A$1,"Scenario",O$12,"P&amp;L Item",$B127)/O$201,0),TEXT(IFERROR(GETPIVOTDATA("Sum of "&amp;O$9,'PT-All'!$A$1,"Scenario",O$12,"P&amp;L Item",$B127)/O$29,0),"0.00%"))</f>
        <v>0</v>
      </c>
      <c r="P127" s="65">
        <f>CHOOSE(PLColumn,IFERROR(GETPIVOTDATA("Sum of "&amp;P$9,'PT-All'!$A$1,"Scenario",P$12,"P&amp;L Item",$B127),0),IFERROR(GETPIVOTDATA("Sum of "&amp;P$9,'PT-All'!$A$1,"Scenario",P$12,"P&amp;L Item",$B127)/P$201,0),TEXT(IFERROR(GETPIVOTDATA("Sum of "&amp;P$9,'PT-All'!$A$1,"Scenario",P$12,"P&amp;L Item",$B127)/P$29,0),"0.00%"))</f>
        <v>0</v>
      </c>
      <c r="Q127" s="65">
        <f>CHOOSE(PLColumn,IFERROR(GETPIVOTDATA("Sum of "&amp;Q$9,'PT-All'!$A$1,"Scenario",Q$12,"P&amp;L Item",$B127),0),IFERROR(GETPIVOTDATA("Sum of "&amp;Q$9,'PT-All'!$A$1,"Scenario",Q$12,"P&amp;L Item",$B127)/Q$201,0),TEXT(IFERROR(GETPIVOTDATA("Sum of "&amp;Q$9,'PT-All'!$A$1,"Scenario",Q$12,"P&amp;L Item",$B127)/Q$29,0),"0.00%"))</f>
        <v>0</v>
      </c>
      <c r="R127" s="65">
        <f>CHOOSE(PLColumn,IFERROR(GETPIVOTDATA("Sum of "&amp;R$9,'PT-All'!$A$1,"Scenario",R$12,"P&amp;L Item",$B127),0),IFERROR(GETPIVOTDATA("Sum of "&amp;R$9,'PT-All'!$A$1,"Scenario",R$12,"P&amp;L Item",$B127)/R$201,0),TEXT(IFERROR(GETPIVOTDATA("Sum of "&amp;R$9,'PT-All'!$A$1,"Scenario",R$12,"P&amp;L Item",$B127)/R$29,0),"0.00%"))</f>
        <v>0</v>
      </c>
      <c r="S127" s="65">
        <f>CHOOSE(PLColumn,IFERROR(GETPIVOTDATA("Sum of "&amp;S$9,'PT-All'!$A$1,"Scenario",S$12,"P&amp;L Item",$B127),0),IFERROR(GETPIVOTDATA("Sum of "&amp;S$9,'PT-All'!$A$1,"Scenario",S$12,"P&amp;L Item",$B127)/S$201,0),TEXT(IFERROR(GETPIVOTDATA("Sum of "&amp;S$9,'PT-All'!$A$1,"Scenario",S$12,"P&amp;L Item",$B127)/S$29,0),"0.00%"))</f>
        <v>0</v>
      </c>
      <c r="T127" s="65">
        <f>CHOOSE(PLColumn,IFERROR(GETPIVOTDATA("Sum of "&amp;T$9,'PT-All'!$A$1,"Scenario",T$12,"P&amp;L Item",$B127),0),IFERROR(GETPIVOTDATA("Sum of "&amp;T$9,'PT-All'!$A$1,"Scenario",T$12,"P&amp;L Item",$B127)/T$201,0),TEXT(IFERROR(GETPIVOTDATA("Sum of "&amp;T$9,'PT-All'!$A$1,"Scenario",T$12,"P&amp;L Item",$B127)/T$29,0),"0.00%"))</f>
        <v>0</v>
      </c>
      <c r="U127" s="65">
        <f>CHOOSE(PLColumn,IFERROR(GETPIVOTDATA("Sum of "&amp;U$9,'PT-All'!$A$1,"Scenario",U$12,"P&amp;L Item",$B127),0),IFERROR(GETPIVOTDATA("Sum of "&amp;U$9,'PT-All'!$A$1,"Scenario",U$12,"P&amp;L Item",$B127)/U$201,0),TEXT(IFERROR(GETPIVOTDATA("Sum of "&amp;U$9,'PT-All'!$A$1,"Scenario",U$12,"P&amp;L Item",$B127)/U$29,0),"0.00%"))</f>
        <v>0</v>
      </c>
      <c r="V127" s="65">
        <f>CHOOSE(PLColumn,IFERROR(GETPIVOTDATA("Sum of "&amp;V$9,'PT-All'!$A$1,"Scenario",V$12,"P&amp;L Item",$B127),0),IFERROR(GETPIVOTDATA("Sum of "&amp;V$9,'PT-All'!$A$1,"Scenario",V$12,"P&amp;L Item",$B127)/V$201,0),TEXT(IFERROR(GETPIVOTDATA("Sum of "&amp;V$9,'PT-All'!$A$1,"Scenario",V$12,"P&amp;L Item",$B127)/V$29,0),"0.00%"))</f>
        <v>0</v>
      </c>
      <c r="W127" s="65">
        <f>CHOOSE(PLColumn,IFERROR(GETPIVOTDATA("Sum of "&amp;W$9,'PT-All'!$A$1,"Scenario",W$12,"P&amp;L Item",$B127),0),IFERROR(GETPIVOTDATA("Sum of "&amp;W$9,'PT-All'!$A$1,"Scenario",W$12,"P&amp;L Item",$B127)/W$201,0),TEXT(IFERROR(GETPIVOTDATA("Sum of "&amp;W$9,'PT-All'!$A$1,"Scenario",W$12,"P&amp;L Item",$B127)/W$29,0),"0.00%"))</f>
        <v>0</v>
      </c>
      <c r="X127" s="65">
        <f>CHOOSE(PLColumn,IFERROR(GETPIVOTDATA("Sum of "&amp;X$9,'PT-All'!$A$1,"Scenario",X$12,"P&amp;L Item",$B127),0),IFERROR(GETPIVOTDATA("Sum of "&amp;X$9,'PT-All'!$A$1,"Scenario",X$12,"P&amp;L Item",$B127)/X$201,0),TEXT(IFERROR(GETPIVOTDATA("Sum of "&amp;X$9,'PT-All'!$A$1,"Scenario",X$12,"P&amp;L Item",$B127)/X$29,0),"0.00%"))</f>
        <v>0</v>
      </c>
      <c r="Y127" s="65">
        <f>CHOOSE(PLColumn,IFERROR(GETPIVOTDATA("Sum of "&amp;Y$9,'PT-All'!$A$1,"Scenario",Y$12,"P&amp;L Item",$B127),0),IFERROR(GETPIVOTDATA("Sum of "&amp;Y$9,'PT-All'!$A$1,"Scenario",Y$12,"P&amp;L Item",$B127)/Y$201,0),TEXT(IFERROR(GETPIVOTDATA("Sum of "&amp;Y$9,'PT-All'!$A$1,"Scenario",Y$12,"P&amp;L Item",$B127)/Y$29,0),"0.00%"))</f>
        <v>0</v>
      </c>
      <c r="Z127" s="65">
        <f>CHOOSE(PLColumn,IFERROR(GETPIVOTDATA("Sum of "&amp;Z$9,'PT-All'!$A$1,"Scenario",Z$12,"P&amp;L Item",$B127),0),IFERROR(GETPIVOTDATA("Sum of "&amp;Z$9,'PT-All'!$A$1,"Scenario",Z$12,"P&amp;L Item",$B127)/Z$201,0),TEXT(IFERROR(GETPIVOTDATA("Sum of "&amp;Z$9,'PT-All'!$A$1,"Scenario",Z$12,"P&amp;L Item",$B127)/Z$29,0),"0.00%"))</f>
        <v>0</v>
      </c>
      <c r="AA127" s="65">
        <f>CHOOSE(PLColumn,IFERROR(GETPIVOTDATA("Sum of "&amp;AA$9,'PT-All'!$A$1,"Scenario",AA$12,"P&amp;L Item",$B127),0),IFERROR(GETPIVOTDATA("Sum of "&amp;AA$9,'PT-All'!$A$1,"Scenario",AA$12,"P&amp;L Item",$B127)/AA$201,0),TEXT(IFERROR(GETPIVOTDATA("Sum of "&amp;AA$9,'PT-All'!$A$1,"Scenario",AA$12,"P&amp;L Item",$B127)/AA$29,0),"0.00%"))</f>
        <v>0</v>
      </c>
      <c r="AB127" s="65">
        <f>CHOOSE(PLColumn,IFERROR(GETPIVOTDATA("Sum of "&amp;AB$9,'PT-All'!$A$1,"Scenario",AB$12,"P&amp;L Item",$B127),0),IFERROR(GETPIVOTDATA("Sum of "&amp;AB$9,'PT-All'!$A$1,"Scenario",AB$12,"P&amp;L Item",$B127)/AB$201,0),TEXT(IFERROR(GETPIVOTDATA("Sum of "&amp;AB$9,'PT-All'!$A$1,"Scenario",AB$12,"P&amp;L Item",$B127)/AB$29,0),"0.00%"))</f>
        <v>0</v>
      </c>
      <c r="AC127" s="65">
        <f>CHOOSE(PLColumn,IFERROR(GETPIVOTDATA("Sum of "&amp;AC$9,'PT-All'!$A$1,"Scenario",AC$12,"P&amp;L Item",$B127),0),IFERROR(GETPIVOTDATA("Sum of "&amp;AC$9,'PT-All'!$A$1,"Scenario",AC$12,"P&amp;L Item",$B127)/AC$201,0),TEXT(IFERROR(GETPIVOTDATA("Sum of "&amp;AC$9,'PT-All'!$A$1,"Scenario",AC$12,"P&amp;L Item",$B127)/AC$29,0),"0.00%"))</f>
        <v>0</v>
      </c>
      <c r="AD127" s="65">
        <f>CHOOSE(PLColumn,IFERROR(GETPIVOTDATA("Sum of "&amp;AD$9,'PT-All'!$A$1,"Scenario",AD$12,"P&amp;L Item",$B127),0),IFERROR(GETPIVOTDATA("Sum of "&amp;AD$9,'PT-All'!$A$1,"Scenario",AD$12,"P&amp;L Item",$B127)/AD$201,0),TEXT(IFERROR(GETPIVOTDATA("Sum of "&amp;AD$9,'PT-All'!$A$1,"Scenario",AD$12,"P&amp;L Item",$B127)/AD$29,0),"0.00%"))</f>
        <v>0</v>
      </c>
      <c r="AE127" s="65">
        <f>CHOOSE(PLColumn,IFERROR(GETPIVOTDATA("Sum of "&amp;AE$9,'PT-All'!$A$1,"Scenario",AE$12,"P&amp;L Item",$B127),0),IFERROR(GETPIVOTDATA("Sum of "&amp;AE$9,'PT-All'!$A$1,"Scenario",AE$12,"P&amp;L Item",$B127)/AE$201,0),TEXT(IFERROR(GETPIVOTDATA("Sum of "&amp;AE$9,'PT-All'!$A$1,"Scenario",AE$12,"P&amp;L Item",$B127)/AE$29,0),"0.00%"))</f>
        <v>0</v>
      </c>
      <c r="AF127" s="65">
        <f>CHOOSE(PLColumn,IFERROR(GETPIVOTDATA("Sum of "&amp;AF$9,'PT-All'!$A$1,"Scenario",AF$12,"P&amp;L Item",$B127),0),IFERROR(GETPIVOTDATA("Sum of "&amp;AF$9,'PT-All'!$A$1,"Scenario",AF$12,"P&amp;L Item",$B127)/AF$201,0),TEXT(IFERROR(GETPIVOTDATA("Sum of "&amp;AF$9,'PT-All'!$A$1,"Scenario",AF$12,"P&amp;L Item",$B127)/AF$29,0),"0.00%"))</f>
        <v>0</v>
      </c>
      <c r="AG127" s="65">
        <f>CHOOSE(PLColumn,IFERROR(GETPIVOTDATA("Sum of "&amp;AG$9,'PT-All'!$A$1,"Scenario",AG$12,"P&amp;L Item",$B127),0),IFERROR(GETPIVOTDATA("Sum of "&amp;AG$9,'PT-All'!$A$1,"Scenario",AG$12,"P&amp;L Item",$B127)/AG$201,0),TEXT(IFERROR(GETPIVOTDATA("Sum of "&amp;AG$9,'PT-All'!$A$1,"Scenario",AG$12,"P&amp;L Item",$B127)/AG$29,0),"0.00%"))</f>
        <v>0</v>
      </c>
      <c r="AH127" s="65">
        <f>CHOOSE(PLColumn,IFERROR(GETPIVOTDATA("Sum of "&amp;AH$9,'PT-All'!$A$1,"Scenario",AH$12,"P&amp;L Item",$B127),0),IFERROR(GETPIVOTDATA("Sum of "&amp;AH$9,'PT-All'!$A$1,"Scenario",AH$12,"P&amp;L Item",$B127)/AH$201,0),TEXT(IFERROR(GETPIVOTDATA("Sum of "&amp;AH$9,'PT-All'!$A$1,"Scenario",AH$12,"P&amp;L Item",$B127)/AH$29,0),"0.00%"))</f>
        <v>0</v>
      </c>
      <c r="AI127" s="65">
        <f>CHOOSE(PLColumn,IFERROR(GETPIVOTDATA("Sum of "&amp;AI$9,'PT-All'!$A$1,"Scenario",AI$12,"P&amp;L Item",$B127),0),IFERROR(GETPIVOTDATA("Sum of "&amp;AI$9,'PT-All'!$A$1,"Scenario",AI$12,"P&amp;L Item",$B127)/AI$201,0),TEXT(IFERROR(GETPIVOTDATA("Sum of "&amp;AI$9,'PT-All'!$A$1,"Scenario",AI$12,"P&amp;L Item",$B127)/AI$29,0),"0.00%"))</f>
        <v>0</v>
      </c>
      <c r="AJ127" s="65">
        <f>CHOOSE(PLColumn,IFERROR(GETPIVOTDATA("Sum of "&amp;AJ$9,'PT-All'!$A$1,"Scenario",AJ$12,"P&amp;L Item",$B127),0),IFERROR(GETPIVOTDATA("Sum of "&amp;AJ$9,'PT-All'!$A$1,"Scenario",AJ$12,"P&amp;L Item",$B127)/AJ$201,0),TEXT(IFERROR(GETPIVOTDATA("Sum of "&amp;AJ$9,'PT-All'!$A$1,"Scenario",AJ$12,"P&amp;L Item",$B127)/AJ$29,0),"0.00%"))</f>
        <v>0</v>
      </c>
      <c r="AK127" s="65">
        <f>CHOOSE(PLColumn,IFERROR(GETPIVOTDATA("Sum of "&amp;AK$9,'PT-All'!$A$1,"Scenario",AK$12,"P&amp;L Item",$B127),0),IFERROR(GETPIVOTDATA("Sum of "&amp;AK$9,'PT-All'!$A$1,"Scenario",AK$12,"P&amp;L Item",$B127)/AK$201,0),TEXT(IFERROR(GETPIVOTDATA("Sum of "&amp;AK$9,'PT-All'!$A$1,"Scenario",AK$12,"P&amp;L Item",$B127)/AK$29,0),"0.00%"))</f>
        <v>0</v>
      </c>
      <c r="AL127" s="97">
        <f>CHOOSE(PLColumn,IFERROR(GETPIVOTDATA("Sum of "&amp;AL$9,'PT-All'!$A$1,"Scenario",AL$12,"P&amp;L Item",$B127),0),IFERROR(GETPIVOTDATA("Sum of "&amp;AL$9,'PT-All'!$A$1,"Scenario",AL$12,"P&amp;L Item",$B127)/AL$201,0),TEXT(IFERROR(GETPIVOTDATA("Sum of "&amp;AL$9,'PT-All'!$A$1,"Scenario",AL$12,"P&amp;L Item",$B127)/AL$29,0),"0.00%"))</f>
        <v>0</v>
      </c>
      <c r="AM127" s="590"/>
      <c r="AN127" s="108">
        <f ca="1">IF(AN$12="Pro Forma",SUM(OFFSET($B127,0,3*AN$9+1,1,3)),IFERROR(GETPIVOTDATA("Sum of Q"&amp;AN$9+1,'PT-All'!$A$1,"Scenario",AN$12,"P&amp;L Item",$B127),0))</f>
        <v>0</v>
      </c>
      <c r="AO127" s="65">
        <f ca="1">IF(AO$12="Pro Forma",SUM(OFFSET($B127,0,3*AO$9+1,1,3)),IFERROR(GETPIVOTDATA("Sum of Q"&amp;AO$9+1,'PT-All'!$A$1,"Scenario",AO$12,"P&amp;L Item",$B127),0))</f>
        <v>0</v>
      </c>
      <c r="AP127" s="65">
        <f ca="1">IF(AP$12="Pro Forma",SUM(OFFSET($B127,0,3*AP$9+1,1,3)),IFERROR(GETPIVOTDATA("Sum of Q"&amp;AP$9+1,'PT-All'!$A$1,"Scenario",AP$12,"P&amp;L Item",$B127),0))</f>
        <v>0</v>
      </c>
      <c r="AQ127" s="65">
        <f ca="1">IF(AQ$12="Pro Forma",SUM(OFFSET($B127,0,3*AQ$9+1,1,3)),IFERROR(GETPIVOTDATA("Sum of Q"&amp;AQ$9+1,'PT-All'!$A$1,"Scenario",AQ$12,"P&amp;L Item",$B127),0))</f>
        <v>0</v>
      </c>
      <c r="AR127" s="65">
        <f ca="1">IF(AR$12="Pro Forma",SUM(OFFSET($B127,0,3*AR$9+1,1,3)),IFERROR(GETPIVOTDATA("Sum of Q"&amp;AR$9+1,'PT-All'!$A$1,"Scenario",AR$12,"P&amp;L Item",$B127),0))</f>
        <v>0</v>
      </c>
      <c r="AS127" s="65">
        <f ca="1">IF(AS$12="Pro Forma",SUM(OFFSET($B127,0,3*AS$9+1,1,3)),IFERROR(GETPIVOTDATA("Sum of Q"&amp;AS$9+1,'PT-All'!$A$1,"Scenario",AS$12,"P&amp;L Item",$B127),0))</f>
        <v>0</v>
      </c>
      <c r="AT127" s="65">
        <f ca="1">IF(AT$12="Pro Forma",SUM(OFFSET($B127,0,3*AT$9+1,1,3)),IFERROR(GETPIVOTDATA("Sum of Q"&amp;AT$9+1,'PT-All'!$A$1,"Scenario",AT$12,"P&amp;L Item",$B127),0))</f>
        <v>0</v>
      </c>
      <c r="AU127" s="65">
        <f ca="1">IF(AU$12="Pro Forma",SUM(OFFSET($B127,0,3*AU$9+1,1,3)),IFERROR(GETPIVOTDATA("Sum of Q"&amp;AU$9+1,'PT-All'!$A$1,"Scenario",AU$12,"P&amp;L Item",$B127),0))</f>
        <v>0</v>
      </c>
      <c r="AV127" s="65">
        <f ca="1">IF(AV$12="Pro Forma",SUM(OFFSET($B127,0,3*AV$9+1,1,3)),IFERROR(GETPIVOTDATA("Sum of Q"&amp;AV$9+1,'PT-All'!$A$1,"Scenario",AV$12,"P&amp;L Item",$B127),0))</f>
        <v>0</v>
      </c>
      <c r="AW127" s="65">
        <f ca="1">IF(AW$12="Pro Forma",SUM(OFFSET($B127,0,3*AW$9+1,1,3)),IFERROR(GETPIVOTDATA("Sum of Q"&amp;AW$9+1,'PT-All'!$A$1,"Scenario",AW$12,"P&amp;L Item",$B127),0))</f>
        <v>0</v>
      </c>
      <c r="AX127" s="65">
        <f ca="1">IF(AX$12="Pro Forma",SUM(OFFSET($B127,0,3*AX$9+1,1,3)),IFERROR(GETPIVOTDATA("Sum of Q"&amp;AX$9+1,'PT-All'!$A$1,"Scenario",AX$12,"P&amp;L Item",$B127),0))</f>
        <v>0</v>
      </c>
      <c r="AY127" s="97">
        <f ca="1">IF(AY$12="Pro Forma",SUM(OFFSET($B127,0,3*AY$9+1,1,3)),IFERROR(GETPIVOTDATA("Sum of Q"&amp;AY$9+1,'PT-All'!$A$1,"Scenario",AY$12,"P&amp;L Item",$B127),0))</f>
        <v>0</v>
      </c>
      <c r="AZ127" s="590"/>
      <c r="BA127" s="108">
        <f ca="1">IF(BA$12="Pro Forma",SUM(OFFSET($B127,0,12*BA$9+1,1,12)),IFERROR(GETPIVOTDATA("Sum of FY"&amp;BA$9+1,'PT-All'!$A$1,"Scenario",BA$12,"P&amp;L Item",$B127),0))</f>
        <v>0</v>
      </c>
      <c r="BB127" s="65">
        <f ca="1">IF(BB$12="Pro Forma",SUM(OFFSET($B127,0,12*BB$9+1,1,12)),IFERROR(GETPIVOTDATA("Sum of FY"&amp;BB$9+1,'PT-All'!$A$1,"Scenario",BB$12,"P&amp;L Item",$B127),0))</f>
        <v>0</v>
      </c>
      <c r="BC127" s="97">
        <f ca="1">IF(BC$12="Pro Forma",SUM(OFFSET($B127,0,12*BC$9+1,1,12)),IFERROR(GETPIVOTDATA("Sum of FY"&amp;BC$9+1,'PT-All'!$A$1,"Scenario",BC$12,"P&amp;L Item",$B127),0))</f>
        <v>0</v>
      </c>
    </row>
    <row r="128" spans="2:55" x14ac:dyDescent="0.35">
      <c r="B128" s="80" t="s">
        <v>158</v>
      </c>
      <c r="C128" s="65">
        <f>CHOOSE(PLColumn,IFERROR(GETPIVOTDATA("Sum of "&amp;C$9,'PT-All'!$A$1,"Scenario",C$12,"P&amp;L Item",$B128),0),IFERROR(GETPIVOTDATA("Sum of "&amp;C$9,'PT-All'!$A$1,"Scenario",C$12,"P&amp;L Item",$B128)/C$201,0),TEXT(IFERROR(GETPIVOTDATA("Sum of "&amp;C$9,'PT-All'!$A$1,"Scenario",C$12,"P&amp;L Item",$B128)/C$29,0),"0.00%"))</f>
        <v>0</v>
      </c>
      <c r="D128" s="65">
        <f>CHOOSE(PLColumn,IFERROR(GETPIVOTDATA("Sum of "&amp;D$9,'PT-All'!$A$1,"Scenario",D$12,"P&amp;L Item",$B128),0),IFERROR(GETPIVOTDATA("Sum of "&amp;D$9,'PT-All'!$A$1,"Scenario",D$12,"P&amp;L Item",$B128)/D$201,0),TEXT(IFERROR(GETPIVOTDATA("Sum of "&amp;D$9,'PT-All'!$A$1,"Scenario",D$12,"P&amp;L Item",$B128)/D$29,0),"0.00%"))</f>
        <v>0</v>
      </c>
      <c r="E128" s="65">
        <f>CHOOSE(PLColumn,IFERROR(GETPIVOTDATA("Sum of "&amp;E$9,'PT-All'!$A$1,"Scenario",E$12,"P&amp;L Item",$B128),0),IFERROR(GETPIVOTDATA("Sum of "&amp;E$9,'PT-All'!$A$1,"Scenario",E$12,"P&amp;L Item",$B128)/E$201,0),TEXT(IFERROR(GETPIVOTDATA("Sum of "&amp;E$9,'PT-All'!$A$1,"Scenario",E$12,"P&amp;L Item",$B128)/E$29,0),"0.00%"))</f>
        <v>0</v>
      </c>
      <c r="F128" s="65">
        <f>CHOOSE(PLColumn,IFERROR(GETPIVOTDATA("Sum of "&amp;F$9,'PT-All'!$A$1,"Scenario",F$12,"P&amp;L Item",$B128),0),IFERROR(GETPIVOTDATA("Sum of "&amp;F$9,'PT-All'!$A$1,"Scenario",F$12,"P&amp;L Item",$B128)/F$201,0),TEXT(IFERROR(GETPIVOTDATA("Sum of "&amp;F$9,'PT-All'!$A$1,"Scenario",F$12,"P&amp;L Item",$B128)/F$29,0),"0.00%"))</f>
        <v>0</v>
      </c>
      <c r="G128" s="65">
        <f>CHOOSE(PLColumn,IFERROR(GETPIVOTDATA("Sum of "&amp;G$9,'PT-All'!$A$1,"Scenario",G$12,"P&amp;L Item",$B128),0),IFERROR(GETPIVOTDATA("Sum of "&amp;G$9,'PT-All'!$A$1,"Scenario",G$12,"P&amp;L Item",$B128)/G$201,0),TEXT(IFERROR(GETPIVOTDATA("Sum of "&amp;G$9,'PT-All'!$A$1,"Scenario",G$12,"P&amp;L Item",$B128)/G$29,0),"0.00%"))</f>
        <v>0</v>
      </c>
      <c r="H128" s="65">
        <f>CHOOSE(PLColumn,IFERROR(GETPIVOTDATA("Sum of "&amp;H$9,'PT-All'!$A$1,"Scenario",H$12,"P&amp;L Item",$B128),0),IFERROR(GETPIVOTDATA("Sum of "&amp;H$9,'PT-All'!$A$1,"Scenario",H$12,"P&amp;L Item",$B128)/H$201,0),TEXT(IFERROR(GETPIVOTDATA("Sum of "&amp;H$9,'PT-All'!$A$1,"Scenario",H$12,"P&amp;L Item",$B128)/H$29,0),"0.00%"))</f>
        <v>0</v>
      </c>
      <c r="I128" s="65">
        <f>CHOOSE(PLColumn,IFERROR(GETPIVOTDATA("Sum of "&amp;I$9,'PT-All'!$A$1,"Scenario",I$12,"P&amp;L Item",$B128),0),IFERROR(GETPIVOTDATA("Sum of "&amp;I$9,'PT-All'!$A$1,"Scenario",I$12,"P&amp;L Item",$B128)/I$201,0),TEXT(IFERROR(GETPIVOTDATA("Sum of "&amp;I$9,'PT-All'!$A$1,"Scenario",I$12,"P&amp;L Item",$B128)/I$29,0),"0.00%"))</f>
        <v>0</v>
      </c>
      <c r="J128" s="65">
        <f>CHOOSE(PLColumn,IFERROR(GETPIVOTDATA("Sum of "&amp;J$9,'PT-All'!$A$1,"Scenario",J$12,"P&amp;L Item",$B128),0),IFERROR(GETPIVOTDATA("Sum of "&amp;J$9,'PT-All'!$A$1,"Scenario",J$12,"P&amp;L Item",$B128)/J$201,0),TEXT(IFERROR(GETPIVOTDATA("Sum of "&amp;J$9,'PT-All'!$A$1,"Scenario",J$12,"P&amp;L Item",$B128)/J$29,0),"0.00%"))</f>
        <v>0</v>
      </c>
      <c r="K128" s="65">
        <f>CHOOSE(PLColumn,IFERROR(GETPIVOTDATA("Sum of "&amp;K$9,'PT-All'!$A$1,"Scenario",K$12,"P&amp;L Item",$B128),0),IFERROR(GETPIVOTDATA("Sum of "&amp;K$9,'PT-All'!$A$1,"Scenario",K$12,"P&amp;L Item",$B128)/K$201,0),TEXT(IFERROR(GETPIVOTDATA("Sum of "&amp;K$9,'PT-All'!$A$1,"Scenario",K$12,"P&amp;L Item",$B128)/K$29,0),"0.00%"))</f>
        <v>0</v>
      </c>
      <c r="L128" s="65">
        <f>CHOOSE(PLColumn,IFERROR(GETPIVOTDATA("Sum of "&amp;L$9,'PT-All'!$A$1,"Scenario",L$12,"P&amp;L Item",$B128),0),IFERROR(GETPIVOTDATA("Sum of "&amp;L$9,'PT-All'!$A$1,"Scenario",L$12,"P&amp;L Item",$B128)/L$201,0),TEXT(IFERROR(GETPIVOTDATA("Sum of "&amp;L$9,'PT-All'!$A$1,"Scenario",L$12,"P&amp;L Item",$B128)/L$29,0),"0.00%"))</f>
        <v>0</v>
      </c>
      <c r="M128" s="65">
        <f>CHOOSE(PLColumn,IFERROR(GETPIVOTDATA("Sum of "&amp;M$9,'PT-All'!$A$1,"Scenario",M$12,"P&amp;L Item",$B128),0),IFERROR(GETPIVOTDATA("Sum of "&amp;M$9,'PT-All'!$A$1,"Scenario",M$12,"P&amp;L Item",$B128)/M$201,0),TEXT(IFERROR(GETPIVOTDATA("Sum of "&amp;M$9,'PT-All'!$A$1,"Scenario",M$12,"P&amp;L Item",$B128)/M$29,0),"0.00%"))</f>
        <v>0</v>
      </c>
      <c r="N128" s="65">
        <f>CHOOSE(PLColumn,IFERROR(GETPIVOTDATA("Sum of "&amp;N$9,'PT-All'!$A$1,"Scenario",N$12,"P&amp;L Item",$B128),0),IFERROR(GETPIVOTDATA("Sum of "&amp;N$9,'PT-All'!$A$1,"Scenario",N$12,"P&amp;L Item",$B128)/N$201,0),TEXT(IFERROR(GETPIVOTDATA("Sum of "&amp;N$9,'PT-All'!$A$1,"Scenario",N$12,"P&amp;L Item",$B128)/N$29,0),"0.00%"))</f>
        <v>0</v>
      </c>
      <c r="O128" s="65">
        <f>CHOOSE(PLColumn,IFERROR(GETPIVOTDATA("Sum of "&amp;O$9,'PT-All'!$A$1,"Scenario",O$12,"P&amp;L Item",$B128),0),IFERROR(GETPIVOTDATA("Sum of "&amp;O$9,'PT-All'!$A$1,"Scenario",O$12,"P&amp;L Item",$B128)/O$201,0),TEXT(IFERROR(GETPIVOTDATA("Sum of "&amp;O$9,'PT-All'!$A$1,"Scenario",O$12,"P&amp;L Item",$B128)/O$29,0),"0.00%"))</f>
        <v>0</v>
      </c>
      <c r="P128" s="65">
        <f>CHOOSE(PLColumn,IFERROR(GETPIVOTDATA("Sum of "&amp;P$9,'PT-All'!$A$1,"Scenario",P$12,"P&amp;L Item",$B128),0),IFERROR(GETPIVOTDATA("Sum of "&amp;P$9,'PT-All'!$A$1,"Scenario",P$12,"P&amp;L Item",$B128)/P$201,0),TEXT(IFERROR(GETPIVOTDATA("Sum of "&amp;P$9,'PT-All'!$A$1,"Scenario",P$12,"P&amp;L Item",$B128)/P$29,0),"0.00%"))</f>
        <v>0</v>
      </c>
      <c r="Q128" s="65">
        <f>CHOOSE(PLColumn,IFERROR(GETPIVOTDATA("Sum of "&amp;Q$9,'PT-All'!$A$1,"Scenario",Q$12,"P&amp;L Item",$B128),0),IFERROR(GETPIVOTDATA("Sum of "&amp;Q$9,'PT-All'!$A$1,"Scenario",Q$12,"P&amp;L Item",$B128)/Q$201,0),TEXT(IFERROR(GETPIVOTDATA("Sum of "&amp;Q$9,'PT-All'!$A$1,"Scenario",Q$12,"P&amp;L Item",$B128)/Q$29,0),"0.00%"))</f>
        <v>0</v>
      </c>
      <c r="R128" s="65">
        <f>CHOOSE(PLColumn,IFERROR(GETPIVOTDATA("Sum of "&amp;R$9,'PT-All'!$A$1,"Scenario",R$12,"P&amp;L Item",$B128),0),IFERROR(GETPIVOTDATA("Sum of "&amp;R$9,'PT-All'!$A$1,"Scenario",R$12,"P&amp;L Item",$B128)/R$201,0),TEXT(IFERROR(GETPIVOTDATA("Sum of "&amp;R$9,'PT-All'!$A$1,"Scenario",R$12,"P&amp;L Item",$B128)/R$29,0),"0.00%"))</f>
        <v>0</v>
      </c>
      <c r="S128" s="65">
        <f>CHOOSE(PLColumn,IFERROR(GETPIVOTDATA("Sum of "&amp;S$9,'PT-All'!$A$1,"Scenario",S$12,"P&amp;L Item",$B128),0),IFERROR(GETPIVOTDATA("Sum of "&amp;S$9,'PT-All'!$A$1,"Scenario",S$12,"P&amp;L Item",$B128)/S$201,0),TEXT(IFERROR(GETPIVOTDATA("Sum of "&amp;S$9,'PT-All'!$A$1,"Scenario",S$12,"P&amp;L Item",$B128)/S$29,0),"0.00%"))</f>
        <v>0</v>
      </c>
      <c r="T128" s="65">
        <f>CHOOSE(PLColumn,IFERROR(GETPIVOTDATA("Sum of "&amp;T$9,'PT-All'!$A$1,"Scenario",T$12,"P&amp;L Item",$B128),0),IFERROR(GETPIVOTDATA("Sum of "&amp;T$9,'PT-All'!$A$1,"Scenario",T$12,"P&amp;L Item",$B128)/T$201,0),TEXT(IFERROR(GETPIVOTDATA("Sum of "&amp;T$9,'PT-All'!$A$1,"Scenario",T$12,"P&amp;L Item",$B128)/T$29,0),"0.00%"))</f>
        <v>0</v>
      </c>
      <c r="U128" s="65">
        <f>CHOOSE(PLColumn,IFERROR(GETPIVOTDATA("Sum of "&amp;U$9,'PT-All'!$A$1,"Scenario",U$12,"P&amp;L Item",$B128),0),IFERROR(GETPIVOTDATA("Sum of "&amp;U$9,'PT-All'!$A$1,"Scenario",U$12,"P&amp;L Item",$B128)/U$201,0),TEXT(IFERROR(GETPIVOTDATA("Sum of "&amp;U$9,'PT-All'!$A$1,"Scenario",U$12,"P&amp;L Item",$B128)/U$29,0),"0.00%"))</f>
        <v>0</v>
      </c>
      <c r="V128" s="65">
        <f>CHOOSE(PLColumn,IFERROR(GETPIVOTDATA("Sum of "&amp;V$9,'PT-All'!$A$1,"Scenario",V$12,"P&amp;L Item",$B128),0),IFERROR(GETPIVOTDATA("Sum of "&amp;V$9,'PT-All'!$A$1,"Scenario",V$12,"P&amp;L Item",$B128)/V$201,0),TEXT(IFERROR(GETPIVOTDATA("Sum of "&amp;V$9,'PT-All'!$A$1,"Scenario",V$12,"P&amp;L Item",$B128)/V$29,0),"0.00%"))</f>
        <v>0</v>
      </c>
      <c r="W128" s="65">
        <f>CHOOSE(PLColumn,IFERROR(GETPIVOTDATA("Sum of "&amp;W$9,'PT-All'!$A$1,"Scenario",W$12,"P&amp;L Item",$B128),0),IFERROR(GETPIVOTDATA("Sum of "&amp;W$9,'PT-All'!$A$1,"Scenario",W$12,"P&amp;L Item",$B128)/W$201,0),TEXT(IFERROR(GETPIVOTDATA("Sum of "&amp;W$9,'PT-All'!$A$1,"Scenario",W$12,"P&amp;L Item",$B128)/W$29,0),"0.00%"))</f>
        <v>0</v>
      </c>
      <c r="X128" s="65">
        <f>CHOOSE(PLColumn,IFERROR(GETPIVOTDATA("Sum of "&amp;X$9,'PT-All'!$A$1,"Scenario",X$12,"P&amp;L Item",$B128),0),IFERROR(GETPIVOTDATA("Sum of "&amp;X$9,'PT-All'!$A$1,"Scenario",X$12,"P&amp;L Item",$B128)/X$201,0),TEXT(IFERROR(GETPIVOTDATA("Sum of "&amp;X$9,'PT-All'!$A$1,"Scenario",X$12,"P&amp;L Item",$B128)/X$29,0),"0.00%"))</f>
        <v>0</v>
      </c>
      <c r="Y128" s="65">
        <f>CHOOSE(PLColumn,IFERROR(GETPIVOTDATA("Sum of "&amp;Y$9,'PT-All'!$A$1,"Scenario",Y$12,"P&amp;L Item",$B128),0),IFERROR(GETPIVOTDATA("Sum of "&amp;Y$9,'PT-All'!$A$1,"Scenario",Y$12,"P&amp;L Item",$B128)/Y$201,0),TEXT(IFERROR(GETPIVOTDATA("Sum of "&amp;Y$9,'PT-All'!$A$1,"Scenario",Y$12,"P&amp;L Item",$B128)/Y$29,0),"0.00%"))</f>
        <v>0</v>
      </c>
      <c r="Z128" s="65">
        <f>CHOOSE(PLColumn,IFERROR(GETPIVOTDATA("Sum of "&amp;Z$9,'PT-All'!$A$1,"Scenario",Z$12,"P&amp;L Item",$B128),0),IFERROR(GETPIVOTDATA("Sum of "&amp;Z$9,'PT-All'!$A$1,"Scenario",Z$12,"P&amp;L Item",$B128)/Z$201,0),TEXT(IFERROR(GETPIVOTDATA("Sum of "&amp;Z$9,'PT-All'!$A$1,"Scenario",Z$12,"P&amp;L Item",$B128)/Z$29,0),"0.00%"))</f>
        <v>0</v>
      </c>
      <c r="AA128" s="65">
        <f>CHOOSE(PLColumn,IFERROR(GETPIVOTDATA("Sum of "&amp;AA$9,'PT-All'!$A$1,"Scenario",AA$12,"P&amp;L Item",$B128),0),IFERROR(GETPIVOTDATA("Sum of "&amp;AA$9,'PT-All'!$A$1,"Scenario",AA$12,"P&amp;L Item",$B128)/AA$201,0),TEXT(IFERROR(GETPIVOTDATA("Sum of "&amp;AA$9,'PT-All'!$A$1,"Scenario",AA$12,"P&amp;L Item",$B128)/AA$29,0),"0.00%"))</f>
        <v>0</v>
      </c>
      <c r="AB128" s="65">
        <f>CHOOSE(PLColumn,IFERROR(GETPIVOTDATA("Sum of "&amp;AB$9,'PT-All'!$A$1,"Scenario",AB$12,"P&amp;L Item",$B128),0),IFERROR(GETPIVOTDATA("Sum of "&amp;AB$9,'PT-All'!$A$1,"Scenario",AB$12,"P&amp;L Item",$B128)/AB$201,0),TEXT(IFERROR(GETPIVOTDATA("Sum of "&amp;AB$9,'PT-All'!$A$1,"Scenario",AB$12,"P&amp;L Item",$B128)/AB$29,0),"0.00%"))</f>
        <v>0</v>
      </c>
      <c r="AC128" s="65">
        <f>CHOOSE(PLColumn,IFERROR(GETPIVOTDATA("Sum of "&amp;AC$9,'PT-All'!$A$1,"Scenario",AC$12,"P&amp;L Item",$B128),0),IFERROR(GETPIVOTDATA("Sum of "&amp;AC$9,'PT-All'!$A$1,"Scenario",AC$12,"P&amp;L Item",$B128)/AC$201,0),TEXT(IFERROR(GETPIVOTDATA("Sum of "&amp;AC$9,'PT-All'!$A$1,"Scenario",AC$12,"P&amp;L Item",$B128)/AC$29,0),"0.00%"))</f>
        <v>0</v>
      </c>
      <c r="AD128" s="65">
        <f>CHOOSE(PLColumn,IFERROR(GETPIVOTDATA("Sum of "&amp;AD$9,'PT-All'!$A$1,"Scenario",AD$12,"P&amp;L Item",$B128),0),IFERROR(GETPIVOTDATA("Sum of "&amp;AD$9,'PT-All'!$A$1,"Scenario",AD$12,"P&amp;L Item",$B128)/AD$201,0),TEXT(IFERROR(GETPIVOTDATA("Sum of "&amp;AD$9,'PT-All'!$A$1,"Scenario",AD$12,"P&amp;L Item",$B128)/AD$29,0),"0.00%"))</f>
        <v>0</v>
      </c>
      <c r="AE128" s="65">
        <f>CHOOSE(PLColumn,IFERROR(GETPIVOTDATA("Sum of "&amp;AE$9,'PT-All'!$A$1,"Scenario",AE$12,"P&amp;L Item",$B128),0),IFERROR(GETPIVOTDATA("Sum of "&amp;AE$9,'PT-All'!$A$1,"Scenario",AE$12,"P&amp;L Item",$B128)/AE$201,0),TEXT(IFERROR(GETPIVOTDATA("Sum of "&amp;AE$9,'PT-All'!$A$1,"Scenario",AE$12,"P&amp;L Item",$B128)/AE$29,0),"0.00%"))</f>
        <v>0</v>
      </c>
      <c r="AF128" s="65">
        <f>CHOOSE(PLColumn,IFERROR(GETPIVOTDATA("Sum of "&amp;AF$9,'PT-All'!$A$1,"Scenario",AF$12,"P&amp;L Item",$B128),0),IFERROR(GETPIVOTDATA("Sum of "&amp;AF$9,'PT-All'!$A$1,"Scenario",AF$12,"P&amp;L Item",$B128)/AF$201,0),TEXT(IFERROR(GETPIVOTDATA("Sum of "&amp;AF$9,'PT-All'!$A$1,"Scenario",AF$12,"P&amp;L Item",$B128)/AF$29,0),"0.00%"))</f>
        <v>0</v>
      </c>
      <c r="AG128" s="65">
        <f>CHOOSE(PLColumn,IFERROR(GETPIVOTDATA("Sum of "&amp;AG$9,'PT-All'!$A$1,"Scenario",AG$12,"P&amp;L Item",$B128),0),IFERROR(GETPIVOTDATA("Sum of "&amp;AG$9,'PT-All'!$A$1,"Scenario",AG$12,"P&amp;L Item",$B128)/AG$201,0),TEXT(IFERROR(GETPIVOTDATA("Sum of "&amp;AG$9,'PT-All'!$A$1,"Scenario",AG$12,"P&amp;L Item",$B128)/AG$29,0),"0.00%"))</f>
        <v>0</v>
      </c>
      <c r="AH128" s="65">
        <f>CHOOSE(PLColumn,IFERROR(GETPIVOTDATA("Sum of "&amp;AH$9,'PT-All'!$A$1,"Scenario",AH$12,"P&amp;L Item",$B128),0),IFERROR(GETPIVOTDATA("Sum of "&amp;AH$9,'PT-All'!$A$1,"Scenario",AH$12,"P&amp;L Item",$B128)/AH$201,0),TEXT(IFERROR(GETPIVOTDATA("Sum of "&amp;AH$9,'PT-All'!$A$1,"Scenario",AH$12,"P&amp;L Item",$B128)/AH$29,0),"0.00%"))</f>
        <v>0</v>
      </c>
      <c r="AI128" s="65">
        <f>CHOOSE(PLColumn,IFERROR(GETPIVOTDATA("Sum of "&amp;AI$9,'PT-All'!$A$1,"Scenario",AI$12,"P&amp;L Item",$B128),0),IFERROR(GETPIVOTDATA("Sum of "&amp;AI$9,'PT-All'!$A$1,"Scenario",AI$12,"P&amp;L Item",$B128)/AI$201,0),TEXT(IFERROR(GETPIVOTDATA("Sum of "&amp;AI$9,'PT-All'!$A$1,"Scenario",AI$12,"P&amp;L Item",$B128)/AI$29,0),"0.00%"))</f>
        <v>0</v>
      </c>
      <c r="AJ128" s="65">
        <f>CHOOSE(PLColumn,IFERROR(GETPIVOTDATA("Sum of "&amp;AJ$9,'PT-All'!$A$1,"Scenario",AJ$12,"P&amp;L Item",$B128),0),IFERROR(GETPIVOTDATA("Sum of "&amp;AJ$9,'PT-All'!$A$1,"Scenario",AJ$12,"P&amp;L Item",$B128)/AJ$201,0),TEXT(IFERROR(GETPIVOTDATA("Sum of "&amp;AJ$9,'PT-All'!$A$1,"Scenario",AJ$12,"P&amp;L Item",$B128)/AJ$29,0),"0.00%"))</f>
        <v>0</v>
      </c>
      <c r="AK128" s="65">
        <f>CHOOSE(PLColumn,IFERROR(GETPIVOTDATA("Sum of "&amp;AK$9,'PT-All'!$A$1,"Scenario",AK$12,"P&amp;L Item",$B128),0),IFERROR(GETPIVOTDATA("Sum of "&amp;AK$9,'PT-All'!$A$1,"Scenario",AK$12,"P&amp;L Item",$B128)/AK$201,0),TEXT(IFERROR(GETPIVOTDATA("Sum of "&amp;AK$9,'PT-All'!$A$1,"Scenario",AK$12,"P&amp;L Item",$B128)/AK$29,0),"0.00%"))</f>
        <v>0</v>
      </c>
      <c r="AL128" s="97">
        <f>CHOOSE(PLColumn,IFERROR(GETPIVOTDATA("Sum of "&amp;AL$9,'PT-All'!$A$1,"Scenario",AL$12,"P&amp;L Item",$B128),0),IFERROR(GETPIVOTDATA("Sum of "&amp;AL$9,'PT-All'!$A$1,"Scenario",AL$12,"P&amp;L Item",$B128)/AL$201,0),TEXT(IFERROR(GETPIVOTDATA("Sum of "&amp;AL$9,'PT-All'!$A$1,"Scenario",AL$12,"P&amp;L Item",$B128)/AL$29,0),"0.00%"))</f>
        <v>0</v>
      </c>
      <c r="AM128" s="590"/>
      <c r="AN128" s="108">
        <f ca="1">IF(AN$12="Pro Forma",SUM(OFFSET($B128,0,3*AN$9+1,1,3)),IFERROR(GETPIVOTDATA("Sum of Q"&amp;AN$9+1,'PT-All'!$A$1,"Scenario",AN$12,"P&amp;L Item",$B128),0))</f>
        <v>0</v>
      </c>
      <c r="AO128" s="65">
        <f ca="1">IF(AO$12="Pro Forma",SUM(OFFSET($B128,0,3*AO$9+1,1,3)),IFERROR(GETPIVOTDATA("Sum of Q"&amp;AO$9+1,'PT-All'!$A$1,"Scenario",AO$12,"P&amp;L Item",$B128),0))</f>
        <v>0</v>
      </c>
      <c r="AP128" s="65">
        <f ca="1">IF(AP$12="Pro Forma",SUM(OFFSET($B128,0,3*AP$9+1,1,3)),IFERROR(GETPIVOTDATA("Sum of Q"&amp;AP$9+1,'PT-All'!$A$1,"Scenario",AP$12,"P&amp;L Item",$B128),0))</f>
        <v>0</v>
      </c>
      <c r="AQ128" s="65">
        <f ca="1">IF(AQ$12="Pro Forma",SUM(OFFSET($B128,0,3*AQ$9+1,1,3)),IFERROR(GETPIVOTDATA("Sum of Q"&amp;AQ$9+1,'PT-All'!$A$1,"Scenario",AQ$12,"P&amp;L Item",$B128),0))</f>
        <v>0</v>
      </c>
      <c r="AR128" s="65">
        <f ca="1">IF(AR$12="Pro Forma",SUM(OFFSET($B128,0,3*AR$9+1,1,3)),IFERROR(GETPIVOTDATA("Sum of Q"&amp;AR$9+1,'PT-All'!$A$1,"Scenario",AR$12,"P&amp;L Item",$B128),0))</f>
        <v>0</v>
      </c>
      <c r="AS128" s="65">
        <f ca="1">IF(AS$12="Pro Forma",SUM(OFFSET($B128,0,3*AS$9+1,1,3)),IFERROR(GETPIVOTDATA("Sum of Q"&amp;AS$9+1,'PT-All'!$A$1,"Scenario",AS$12,"P&amp;L Item",$B128),0))</f>
        <v>0</v>
      </c>
      <c r="AT128" s="65">
        <f ca="1">IF(AT$12="Pro Forma",SUM(OFFSET($B128,0,3*AT$9+1,1,3)),IFERROR(GETPIVOTDATA("Sum of Q"&amp;AT$9+1,'PT-All'!$A$1,"Scenario",AT$12,"P&amp;L Item",$B128),0))</f>
        <v>0</v>
      </c>
      <c r="AU128" s="65">
        <f ca="1">IF(AU$12="Pro Forma",SUM(OFFSET($B128,0,3*AU$9+1,1,3)),IFERROR(GETPIVOTDATA("Sum of Q"&amp;AU$9+1,'PT-All'!$A$1,"Scenario",AU$12,"P&amp;L Item",$B128),0))</f>
        <v>0</v>
      </c>
      <c r="AV128" s="65">
        <f ca="1">IF(AV$12="Pro Forma",SUM(OFFSET($B128,0,3*AV$9+1,1,3)),IFERROR(GETPIVOTDATA("Sum of Q"&amp;AV$9+1,'PT-All'!$A$1,"Scenario",AV$12,"P&amp;L Item",$B128),0))</f>
        <v>0</v>
      </c>
      <c r="AW128" s="65">
        <f ca="1">IF(AW$12="Pro Forma",SUM(OFFSET($B128,0,3*AW$9+1,1,3)),IFERROR(GETPIVOTDATA("Sum of Q"&amp;AW$9+1,'PT-All'!$A$1,"Scenario",AW$12,"P&amp;L Item",$B128),0))</f>
        <v>0</v>
      </c>
      <c r="AX128" s="65">
        <f ca="1">IF(AX$12="Pro Forma",SUM(OFFSET($B128,0,3*AX$9+1,1,3)),IFERROR(GETPIVOTDATA("Sum of Q"&amp;AX$9+1,'PT-All'!$A$1,"Scenario",AX$12,"P&amp;L Item",$B128),0))</f>
        <v>0</v>
      </c>
      <c r="AY128" s="97">
        <f ca="1">IF(AY$12="Pro Forma",SUM(OFFSET($B128,0,3*AY$9+1,1,3)),IFERROR(GETPIVOTDATA("Sum of Q"&amp;AY$9+1,'PT-All'!$A$1,"Scenario",AY$12,"P&amp;L Item",$B128),0))</f>
        <v>0</v>
      </c>
      <c r="AZ128" s="590"/>
      <c r="BA128" s="108">
        <f ca="1">IF(BA$12="Pro Forma",SUM(OFFSET($B128,0,12*BA$9+1,1,12)),IFERROR(GETPIVOTDATA("Sum of FY"&amp;BA$9+1,'PT-All'!$A$1,"Scenario",BA$12,"P&amp;L Item",$B128),0))</f>
        <v>0</v>
      </c>
      <c r="BB128" s="65">
        <f ca="1">IF(BB$12="Pro Forma",SUM(OFFSET($B128,0,12*BB$9+1,1,12)),IFERROR(GETPIVOTDATA("Sum of FY"&amp;BB$9+1,'PT-All'!$A$1,"Scenario",BB$12,"P&amp;L Item",$B128),0))</f>
        <v>0</v>
      </c>
      <c r="BC128" s="97">
        <f ca="1">IF(BC$12="Pro Forma",SUM(OFFSET($B128,0,12*BC$9+1,1,12)),IFERROR(GETPIVOTDATA("Sum of FY"&amp;BC$9+1,'PT-All'!$A$1,"Scenario",BC$12,"P&amp;L Item",$B128),0))</f>
        <v>0</v>
      </c>
    </row>
    <row r="129" spans="2:55" x14ac:dyDescent="0.35">
      <c r="B129" s="80" t="s">
        <v>159</v>
      </c>
      <c r="C129" s="65">
        <f>CHOOSE(PLColumn,IFERROR(GETPIVOTDATA("Sum of "&amp;C$9,'PT-All'!$A$1,"Scenario",C$12,"P&amp;L Item",$B129),0),IFERROR(GETPIVOTDATA("Sum of "&amp;C$9,'PT-All'!$A$1,"Scenario",C$12,"P&amp;L Item",$B129)/C$201,0),TEXT(IFERROR(GETPIVOTDATA("Sum of "&amp;C$9,'PT-All'!$A$1,"Scenario",C$12,"P&amp;L Item",$B129)/C$29,0),"0.00%"))</f>
        <v>0</v>
      </c>
      <c r="D129" s="65">
        <f>CHOOSE(PLColumn,IFERROR(GETPIVOTDATA("Sum of "&amp;D$9,'PT-All'!$A$1,"Scenario",D$12,"P&amp;L Item",$B129),0),IFERROR(GETPIVOTDATA("Sum of "&amp;D$9,'PT-All'!$A$1,"Scenario",D$12,"P&amp;L Item",$B129)/D$201,0),TEXT(IFERROR(GETPIVOTDATA("Sum of "&amp;D$9,'PT-All'!$A$1,"Scenario",D$12,"P&amp;L Item",$B129)/D$29,0),"0.00%"))</f>
        <v>0</v>
      </c>
      <c r="E129" s="65">
        <f>CHOOSE(PLColumn,IFERROR(GETPIVOTDATA("Sum of "&amp;E$9,'PT-All'!$A$1,"Scenario",E$12,"P&amp;L Item",$B129),0),IFERROR(GETPIVOTDATA("Sum of "&amp;E$9,'PT-All'!$A$1,"Scenario",E$12,"P&amp;L Item",$B129)/E$201,0),TEXT(IFERROR(GETPIVOTDATA("Sum of "&amp;E$9,'PT-All'!$A$1,"Scenario",E$12,"P&amp;L Item",$B129)/E$29,0),"0.00%"))</f>
        <v>0</v>
      </c>
      <c r="F129" s="65">
        <f>CHOOSE(PLColumn,IFERROR(GETPIVOTDATA("Sum of "&amp;F$9,'PT-All'!$A$1,"Scenario",F$12,"P&amp;L Item",$B129),0),IFERROR(GETPIVOTDATA("Sum of "&amp;F$9,'PT-All'!$A$1,"Scenario",F$12,"P&amp;L Item",$B129)/F$201,0),TEXT(IFERROR(GETPIVOTDATA("Sum of "&amp;F$9,'PT-All'!$A$1,"Scenario",F$12,"P&amp;L Item",$B129)/F$29,0),"0.00%"))</f>
        <v>0</v>
      </c>
      <c r="G129" s="65">
        <f>CHOOSE(PLColumn,IFERROR(GETPIVOTDATA("Sum of "&amp;G$9,'PT-All'!$A$1,"Scenario",G$12,"P&amp;L Item",$B129),0),IFERROR(GETPIVOTDATA("Sum of "&amp;G$9,'PT-All'!$A$1,"Scenario",G$12,"P&amp;L Item",$B129)/G$201,0),TEXT(IFERROR(GETPIVOTDATA("Sum of "&amp;G$9,'PT-All'!$A$1,"Scenario",G$12,"P&amp;L Item",$B129)/G$29,0),"0.00%"))</f>
        <v>0</v>
      </c>
      <c r="H129" s="65">
        <f>CHOOSE(PLColumn,IFERROR(GETPIVOTDATA("Sum of "&amp;H$9,'PT-All'!$A$1,"Scenario",H$12,"P&amp;L Item",$B129),0),IFERROR(GETPIVOTDATA("Sum of "&amp;H$9,'PT-All'!$A$1,"Scenario",H$12,"P&amp;L Item",$B129)/H$201,0),TEXT(IFERROR(GETPIVOTDATA("Sum of "&amp;H$9,'PT-All'!$A$1,"Scenario",H$12,"P&amp;L Item",$B129)/H$29,0),"0.00%"))</f>
        <v>0</v>
      </c>
      <c r="I129" s="65">
        <f>CHOOSE(PLColumn,IFERROR(GETPIVOTDATA("Sum of "&amp;I$9,'PT-All'!$A$1,"Scenario",I$12,"P&amp;L Item",$B129),0),IFERROR(GETPIVOTDATA("Sum of "&amp;I$9,'PT-All'!$A$1,"Scenario",I$12,"P&amp;L Item",$B129)/I$201,0),TEXT(IFERROR(GETPIVOTDATA("Sum of "&amp;I$9,'PT-All'!$A$1,"Scenario",I$12,"P&amp;L Item",$B129)/I$29,0),"0.00%"))</f>
        <v>0</v>
      </c>
      <c r="J129" s="65">
        <f>CHOOSE(PLColumn,IFERROR(GETPIVOTDATA("Sum of "&amp;J$9,'PT-All'!$A$1,"Scenario",J$12,"P&amp;L Item",$B129),0),IFERROR(GETPIVOTDATA("Sum of "&amp;J$9,'PT-All'!$A$1,"Scenario",J$12,"P&amp;L Item",$B129)/J$201,0),TEXT(IFERROR(GETPIVOTDATA("Sum of "&amp;J$9,'PT-All'!$A$1,"Scenario",J$12,"P&amp;L Item",$B129)/J$29,0),"0.00%"))</f>
        <v>0</v>
      </c>
      <c r="K129" s="65">
        <f>CHOOSE(PLColumn,IFERROR(GETPIVOTDATA("Sum of "&amp;K$9,'PT-All'!$A$1,"Scenario",K$12,"P&amp;L Item",$B129),0),IFERROR(GETPIVOTDATA("Sum of "&amp;K$9,'PT-All'!$A$1,"Scenario",K$12,"P&amp;L Item",$B129)/K$201,0),TEXT(IFERROR(GETPIVOTDATA("Sum of "&amp;K$9,'PT-All'!$A$1,"Scenario",K$12,"P&amp;L Item",$B129)/K$29,0),"0.00%"))</f>
        <v>0</v>
      </c>
      <c r="L129" s="65">
        <f>CHOOSE(PLColumn,IFERROR(GETPIVOTDATA("Sum of "&amp;L$9,'PT-All'!$A$1,"Scenario",L$12,"P&amp;L Item",$B129),0),IFERROR(GETPIVOTDATA("Sum of "&amp;L$9,'PT-All'!$A$1,"Scenario",L$12,"P&amp;L Item",$B129)/L$201,0),TEXT(IFERROR(GETPIVOTDATA("Sum of "&amp;L$9,'PT-All'!$A$1,"Scenario",L$12,"P&amp;L Item",$B129)/L$29,0),"0.00%"))</f>
        <v>0</v>
      </c>
      <c r="M129" s="65">
        <f>CHOOSE(PLColumn,IFERROR(GETPIVOTDATA("Sum of "&amp;M$9,'PT-All'!$A$1,"Scenario",M$12,"P&amp;L Item",$B129),0),IFERROR(GETPIVOTDATA("Sum of "&amp;M$9,'PT-All'!$A$1,"Scenario",M$12,"P&amp;L Item",$B129)/M$201,0),TEXT(IFERROR(GETPIVOTDATA("Sum of "&amp;M$9,'PT-All'!$A$1,"Scenario",M$12,"P&amp;L Item",$B129)/M$29,0),"0.00%"))</f>
        <v>0</v>
      </c>
      <c r="N129" s="65">
        <f>CHOOSE(PLColumn,IFERROR(GETPIVOTDATA("Sum of "&amp;N$9,'PT-All'!$A$1,"Scenario",N$12,"P&amp;L Item",$B129),0),IFERROR(GETPIVOTDATA("Sum of "&amp;N$9,'PT-All'!$A$1,"Scenario",N$12,"P&amp;L Item",$B129)/N$201,0),TEXT(IFERROR(GETPIVOTDATA("Sum of "&amp;N$9,'PT-All'!$A$1,"Scenario",N$12,"P&amp;L Item",$B129)/N$29,0),"0.00%"))</f>
        <v>0</v>
      </c>
      <c r="O129" s="65">
        <f>CHOOSE(PLColumn,IFERROR(GETPIVOTDATA("Sum of "&amp;O$9,'PT-All'!$A$1,"Scenario",O$12,"P&amp;L Item",$B129),0),IFERROR(GETPIVOTDATA("Sum of "&amp;O$9,'PT-All'!$A$1,"Scenario",O$12,"P&amp;L Item",$B129)/O$201,0),TEXT(IFERROR(GETPIVOTDATA("Sum of "&amp;O$9,'PT-All'!$A$1,"Scenario",O$12,"P&amp;L Item",$B129)/O$29,0),"0.00%"))</f>
        <v>0</v>
      </c>
      <c r="P129" s="65">
        <f>CHOOSE(PLColumn,IFERROR(GETPIVOTDATA("Sum of "&amp;P$9,'PT-All'!$A$1,"Scenario",P$12,"P&amp;L Item",$B129),0),IFERROR(GETPIVOTDATA("Sum of "&amp;P$9,'PT-All'!$A$1,"Scenario",P$12,"P&amp;L Item",$B129)/P$201,0),TEXT(IFERROR(GETPIVOTDATA("Sum of "&amp;P$9,'PT-All'!$A$1,"Scenario",P$12,"P&amp;L Item",$B129)/P$29,0),"0.00%"))</f>
        <v>0</v>
      </c>
      <c r="Q129" s="65">
        <f>CHOOSE(PLColumn,IFERROR(GETPIVOTDATA("Sum of "&amp;Q$9,'PT-All'!$A$1,"Scenario",Q$12,"P&amp;L Item",$B129),0),IFERROR(GETPIVOTDATA("Sum of "&amp;Q$9,'PT-All'!$A$1,"Scenario",Q$12,"P&amp;L Item",$B129)/Q$201,0),TEXT(IFERROR(GETPIVOTDATA("Sum of "&amp;Q$9,'PT-All'!$A$1,"Scenario",Q$12,"P&amp;L Item",$B129)/Q$29,0),"0.00%"))</f>
        <v>0</v>
      </c>
      <c r="R129" s="65">
        <f>CHOOSE(PLColumn,IFERROR(GETPIVOTDATA("Sum of "&amp;R$9,'PT-All'!$A$1,"Scenario",R$12,"P&amp;L Item",$B129),0),IFERROR(GETPIVOTDATA("Sum of "&amp;R$9,'PT-All'!$A$1,"Scenario",R$12,"P&amp;L Item",$B129)/R$201,0),TEXT(IFERROR(GETPIVOTDATA("Sum of "&amp;R$9,'PT-All'!$A$1,"Scenario",R$12,"P&amp;L Item",$B129)/R$29,0),"0.00%"))</f>
        <v>0</v>
      </c>
      <c r="S129" s="65">
        <f>CHOOSE(PLColumn,IFERROR(GETPIVOTDATA("Sum of "&amp;S$9,'PT-All'!$A$1,"Scenario",S$12,"P&amp;L Item",$B129),0),IFERROR(GETPIVOTDATA("Sum of "&amp;S$9,'PT-All'!$A$1,"Scenario",S$12,"P&amp;L Item",$B129)/S$201,0),TEXT(IFERROR(GETPIVOTDATA("Sum of "&amp;S$9,'PT-All'!$A$1,"Scenario",S$12,"P&amp;L Item",$B129)/S$29,0),"0.00%"))</f>
        <v>0</v>
      </c>
      <c r="T129" s="65">
        <f>CHOOSE(PLColumn,IFERROR(GETPIVOTDATA("Sum of "&amp;T$9,'PT-All'!$A$1,"Scenario",T$12,"P&amp;L Item",$B129),0),IFERROR(GETPIVOTDATA("Sum of "&amp;T$9,'PT-All'!$A$1,"Scenario",T$12,"P&amp;L Item",$B129)/T$201,0),TEXT(IFERROR(GETPIVOTDATA("Sum of "&amp;T$9,'PT-All'!$A$1,"Scenario",T$12,"P&amp;L Item",$B129)/T$29,0),"0.00%"))</f>
        <v>0</v>
      </c>
      <c r="U129" s="65">
        <f>CHOOSE(PLColumn,IFERROR(GETPIVOTDATA("Sum of "&amp;U$9,'PT-All'!$A$1,"Scenario",U$12,"P&amp;L Item",$B129),0),IFERROR(GETPIVOTDATA("Sum of "&amp;U$9,'PT-All'!$A$1,"Scenario",U$12,"P&amp;L Item",$B129)/U$201,0),TEXT(IFERROR(GETPIVOTDATA("Sum of "&amp;U$9,'PT-All'!$A$1,"Scenario",U$12,"P&amp;L Item",$B129)/U$29,0),"0.00%"))</f>
        <v>0</v>
      </c>
      <c r="V129" s="65">
        <f>CHOOSE(PLColumn,IFERROR(GETPIVOTDATA("Sum of "&amp;V$9,'PT-All'!$A$1,"Scenario",V$12,"P&amp;L Item",$B129),0),IFERROR(GETPIVOTDATA("Sum of "&amp;V$9,'PT-All'!$A$1,"Scenario",V$12,"P&amp;L Item",$B129)/V$201,0),TEXT(IFERROR(GETPIVOTDATA("Sum of "&amp;V$9,'PT-All'!$A$1,"Scenario",V$12,"P&amp;L Item",$B129)/V$29,0),"0.00%"))</f>
        <v>0</v>
      </c>
      <c r="W129" s="65">
        <f>CHOOSE(PLColumn,IFERROR(GETPIVOTDATA("Sum of "&amp;W$9,'PT-All'!$A$1,"Scenario",W$12,"P&amp;L Item",$B129),0),IFERROR(GETPIVOTDATA("Sum of "&amp;W$9,'PT-All'!$A$1,"Scenario",W$12,"P&amp;L Item",$B129)/W$201,0),TEXT(IFERROR(GETPIVOTDATA("Sum of "&amp;W$9,'PT-All'!$A$1,"Scenario",W$12,"P&amp;L Item",$B129)/W$29,0),"0.00%"))</f>
        <v>0</v>
      </c>
      <c r="X129" s="65">
        <f>CHOOSE(PLColumn,IFERROR(GETPIVOTDATA("Sum of "&amp;X$9,'PT-All'!$A$1,"Scenario",X$12,"P&amp;L Item",$B129),0),IFERROR(GETPIVOTDATA("Sum of "&amp;X$9,'PT-All'!$A$1,"Scenario",X$12,"P&amp;L Item",$B129)/X$201,0),TEXT(IFERROR(GETPIVOTDATA("Sum of "&amp;X$9,'PT-All'!$A$1,"Scenario",X$12,"P&amp;L Item",$B129)/X$29,0),"0.00%"))</f>
        <v>0</v>
      </c>
      <c r="Y129" s="65">
        <f>CHOOSE(PLColumn,IFERROR(GETPIVOTDATA("Sum of "&amp;Y$9,'PT-All'!$A$1,"Scenario",Y$12,"P&amp;L Item",$B129),0),IFERROR(GETPIVOTDATA("Sum of "&amp;Y$9,'PT-All'!$A$1,"Scenario",Y$12,"P&amp;L Item",$B129)/Y$201,0),TEXT(IFERROR(GETPIVOTDATA("Sum of "&amp;Y$9,'PT-All'!$A$1,"Scenario",Y$12,"P&amp;L Item",$B129)/Y$29,0),"0.00%"))</f>
        <v>0</v>
      </c>
      <c r="Z129" s="65">
        <f>CHOOSE(PLColumn,IFERROR(GETPIVOTDATA("Sum of "&amp;Z$9,'PT-All'!$A$1,"Scenario",Z$12,"P&amp;L Item",$B129),0),IFERROR(GETPIVOTDATA("Sum of "&amp;Z$9,'PT-All'!$A$1,"Scenario",Z$12,"P&amp;L Item",$B129)/Z$201,0),TEXT(IFERROR(GETPIVOTDATA("Sum of "&amp;Z$9,'PT-All'!$A$1,"Scenario",Z$12,"P&amp;L Item",$B129)/Z$29,0),"0.00%"))</f>
        <v>0</v>
      </c>
      <c r="AA129" s="65">
        <f>CHOOSE(PLColumn,IFERROR(GETPIVOTDATA("Sum of "&amp;AA$9,'PT-All'!$A$1,"Scenario",AA$12,"P&amp;L Item",$B129),0),IFERROR(GETPIVOTDATA("Sum of "&amp;AA$9,'PT-All'!$A$1,"Scenario",AA$12,"P&amp;L Item",$B129)/AA$201,0),TEXT(IFERROR(GETPIVOTDATA("Sum of "&amp;AA$9,'PT-All'!$A$1,"Scenario",AA$12,"P&amp;L Item",$B129)/AA$29,0),"0.00%"))</f>
        <v>0</v>
      </c>
      <c r="AB129" s="65">
        <f>CHOOSE(PLColumn,IFERROR(GETPIVOTDATA("Sum of "&amp;AB$9,'PT-All'!$A$1,"Scenario",AB$12,"P&amp;L Item",$B129),0),IFERROR(GETPIVOTDATA("Sum of "&amp;AB$9,'PT-All'!$A$1,"Scenario",AB$12,"P&amp;L Item",$B129)/AB$201,0),TEXT(IFERROR(GETPIVOTDATA("Sum of "&amp;AB$9,'PT-All'!$A$1,"Scenario",AB$12,"P&amp;L Item",$B129)/AB$29,0),"0.00%"))</f>
        <v>0</v>
      </c>
      <c r="AC129" s="65">
        <f>CHOOSE(PLColumn,IFERROR(GETPIVOTDATA("Sum of "&amp;AC$9,'PT-All'!$A$1,"Scenario",AC$12,"P&amp;L Item",$B129),0),IFERROR(GETPIVOTDATA("Sum of "&amp;AC$9,'PT-All'!$A$1,"Scenario",AC$12,"P&amp;L Item",$B129)/AC$201,0),TEXT(IFERROR(GETPIVOTDATA("Sum of "&amp;AC$9,'PT-All'!$A$1,"Scenario",AC$12,"P&amp;L Item",$B129)/AC$29,0),"0.00%"))</f>
        <v>0</v>
      </c>
      <c r="AD129" s="65">
        <f>CHOOSE(PLColumn,IFERROR(GETPIVOTDATA("Sum of "&amp;AD$9,'PT-All'!$A$1,"Scenario",AD$12,"P&amp;L Item",$B129),0),IFERROR(GETPIVOTDATA("Sum of "&amp;AD$9,'PT-All'!$A$1,"Scenario",AD$12,"P&amp;L Item",$B129)/AD$201,0),TEXT(IFERROR(GETPIVOTDATA("Sum of "&amp;AD$9,'PT-All'!$A$1,"Scenario",AD$12,"P&amp;L Item",$B129)/AD$29,0),"0.00%"))</f>
        <v>0</v>
      </c>
      <c r="AE129" s="65">
        <f>CHOOSE(PLColumn,IFERROR(GETPIVOTDATA("Sum of "&amp;AE$9,'PT-All'!$A$1,"Scenario",AE$12,"P&amp;L Item",$B129),0),IFERROR(GETPIVOTDATA("Sum of "&amp;AE$9,'PT-All'!$A$1,"Scenario",AE$12,"P&amp;L Item",$B129)/AE$201,0),TEXT(IFERROR(GETPIVOTDATA("Sum of "&amp;AE$9,'PT-All'!$A$1,"Scenario",AE$12,"P&amp;L Item",$B129)/AE$29,0),"0.00%"))</f>
        <v>0</v>
      </c>
      <c r="AF129" s="65">
        <f>CHOOSE(PLColumn,IFERROR(GETPIVOTDATA("Sum of "&amp;AF$9,'PT-All'!$A$1,"Scenario",AF$12,"P&amp;L Item",$B129),0),IFERROR(GETPIVOTDATA("Sum of "&amp;AF$9,'PT-All'!$A$1,"Scenario",AF$12,"P&amp;L Item",$B129)/AF$201,0),TEXT(IFERROR(GETPIVOTDATA("Sum of "&amp;AF$9,'PT-All'!$A$1,"Scenario",AF$12,"P&amp;L Item",$B129)/AF$29,0),"0.00%"))</f>
        <v>0</v>
      </c>
      <c r="AG129" s="65">
        <f>CHOOSE(PLColumn,IFERROR(GETPIVOTDATA("Sum of "&amp;AG$9,'PT-All'!$A$1,"Scenario",AG$12,"P&amp;L Item",$B129),0),IFERROR(GETPIVOTDATA("Sum of "&amp;AG$9,'PT-All'!$A$1,"Scenario",AG$12,"P&amp;L Item",$B129)/AG$201,0),TEXT(IFERROR(GETPIVOTDATA("Sum of "&amp;AG$9,'PT-All'!$A$1,"Scenario",AG$12,"P&amp;L Item",$B129)/AG$29,0),"0.00%"))</f>
        <v>0</v>
      </c>
      <c r="AH129" s="65">
        <f>CHOOSE(PLColumn,IFERROR(GETPIVOTDATA("Sum of "&amp;AH$9,'PT-All'!$A$1,"Scenario",AH$12,"P&amp;L Item",$B129),0),IFERROR(GETPIVOTDATA("Sum of "&amp;AH$9,'PT-All'!$A$1,"Scenario",AH$12,"P&amp;L Item",$B129)/AH$201,0),TEXT(IFERROR(GETPIVOTDATA("Sum of "&amp;AH$9,'PT-All'!$A$1,"Scenario",AH$12,"P&amp;L Item",$B129)/AH$29,0),"0.00%"))</f>
        <v>0</v>
      </c>
      <c r="AI129" s="65">
        <f>CHOOSE(PLColumn,IFERROR(GETPIVOTDATA("Sum of "&amp;AI$9,'PT-All'!$A$1,"Scenario",AI$12,"P&amp;L Item",$B129),0),IFERROR(GETPIVOTDATA("Sum of "&amp;AI$9,'PT-All'!$A$1,"Scenario",AI$12,"P&amp;L Item",$B129)/AI$201,0),TEXT(IFERROR(GETPIVOTDATA("Sum of "&amp;AI$9,'PT-All'!$A$1,"Scenario",AI$12,"P&amp;L Item",$B129)/AI$29,0),"0.00%"))</f>
        <v>0</v>
      </c>
      <c r="AJ129" s="65">
        <f>CHOOSE(PLColumn,IFERROR(GETPIVOTDATA("Sum of "&amp;AJ$9,'PT-All'!$A$1,"Scenario",AJ$12,"P&amp;L Item",$B129),0),IFERROR(GETPIVOTDATA("Sum of "&amp;AJ$9,'PT-All'!$A$1,"Scenario",AJ$12,"P&amp;L Item",$B129)/AJ$201,0),TEXT(IFERROR(GETPIVOTDATA("Sum of "&amp;AJ$9,'PT-All'!$A$1,"Scenario",AJ$12,"P&amp;L Item",$B129)/AJ$29,0),"0.00%"))</f>
        <v>0</v>
      </c>
      <c r="AK129" s="65">
        <f>CHOOSE(PLColumn,IFERROR(GETPIVOTDATA("Sum of "&amp;AK$9,'PT-All'!$A$1,"Scenario",AK$12,"P&amp;L Item",$B129),0),IFERROR(GETPIVOTDATA("Sum of "&amp;AK$9,'PT-All'!$A$1,"Scenario",AK$12,"P&amp;L Item",$B129)/AK$201,0),TEXT(IFERROR(GETPIVOTDATA("Sum of "&amp;AK$9,'PT-All'!$A$1,"Scenario",AK$12,"P&amp;L Item",$B129)/AK$29,0),"0.00%"))</f>
        <v>0</v>
      </c>
      <c r="AL129" s="97">
        <f>CHOOSE(PLColumn,IFERROR(GETPIVOTDATA("Sum of "&amp;AL$9,'PT-All'!$A$1,"Scenario",AL$12,"P&amp;L Item",$B129),0),IFERROR(GETPIVOTDATA("Sum of "&amp;AL$9,'PT-All'!$A$1,"Scenario",AL$12,"P&amp;L Item",$B129)/AL$201,0),TEXT(IFERROR(GETPIVOTDATA("Sum of "&amp;AL$9,'PT-All'!$A$1,"Scenario",AL$12,"P&amp;L Item",$B129)/AL$29,0),"0.00%"))</f>
        <v>0</v>
      </c>
      <c r="AM129" s="590"/>
      <c r="AN129" s="108">
        <f ca="1">IF(AN$12="Pro Forma",SUM(OFFSET($B129,0,3*AN$9+1,1,3)),IFERROR(GETPIVOTDATA("Sum of Q"&amp;AN$9+1,'PT-All'!$A$1,"Scenario",AN$12,"P&amp;L Item",$B129),0))</f>
        <v>0</v>
      </c>
      <c r="AO129" s="65">
        <f ca="1">IF(AO$12="Pro Forma",SUM(OFFSET($B129,0,3*AO$9+1,1,3)),IFERROR(GETPIVOTDATA("Sum of Q"&amp;AO$9+1,'PT-All'!$A$1,"Scenario",AO$12,"P&amp;L Item",$B129),0))</f>
        <v>0</v>
      </c>
      <c r="AP129" s="65">
        <f ca="1">IF(AP$12="Pro Forma",SUM(OFFSET($B129,0,3*AP$9+1,1,3)),IFERROR(GETPIVOTDATA("Sum of Q"&amp;AP$9+1,'PT-All'!$A$1,"Scenario",AP$12,"P&amp;L Item",$B129),0))</f>
        <v>0</v>
      </c>
      <c r="AQ129" s="65">
        <f ca="1">IF(AQ$12="Pro Forma",SUM(OFFSET($B129,0,3*AQ$9+1,1,3)),IFERROR(GETPIVOTDATA("Sum of Q"&amp;AQ$9+1,'PT-All'!$A$1,"Scenario",AQ$12,"P&amp;L Item",$B129),0))</f>
        <v>0</v>
      </c>
      <c r="AR129" s="65">
        <f ca="1">IF(AR$12="Pro Forma",SUM(OFFSET($B129,0,3*AR$9+1,1,3)),IFERROR(GETPIVOTDATA("Sum of Q"&amp;AR$9+1,'PT-All'!$A$1,"Scenario",AR$12,"P&amp;L Item",$B129),0))</f>
        <v>0</v>
      </c>
      <c r="AS129" s="65">
        <f ca="1">IF(AS$12="Pro Forma",SUM(OFFSET($B129,0,3*AS$9+1,1,3)),IFERROR(GETPIVOTDATA("Sum of Q"&amp;AS$9+1,'PT-All'!$A$1,"Scenario",AS$12,"P&amp;L Item",$B129),0))</f>
        <v>0</v>
      </c>
      <c r="AT129" s="65">
        <f ca="1">IF(AT$12="Pro Forma",SUM(OFFSET($B129,0,3*AT$9+1,1,3)),IFERROR(GETPIVOTDATA("Sum of Q"&amp;AT$9+1,'PT-All'!$A$1,"Scenario",AT$12,"P&amp;L Item",$B129),0))</f>
        <v>0</v>
      </c>
      <c r="AU129" s="65">
        <f ca="1">IF(AU$12="Pro Forma",SUM(OFFSET($B129,0,3*AU$9+1,1,3)),IFERROR(GETPIVOTDATA("Sum of Q"&amp;AU$9+1,'PT-All'!$A$1,"Scenario",AU$12,"P&amp;L Item",$B129),0))</f>
        <v>0</v>
      </c>
      <c r="AV129" s="65">
        <f ca="1">IF(AV$12="Pro Forma",SUM(OFFSET($B129,0,3*AV$9+1,1,3)),IFERROR(GETPIVOTDATA("Sum of Q"&amp;AV$9+1,'PT-All'!$A$1,"Scenario",AV$12,"P&amp;L Item",$B129),0))</f>
        <v>0</v>
      </c>
      <c r="AW129" s="65">
        <f ca="1">IF(AW$12="Pro Forma",SUM(OFFSET($B129,0,3*AW$9+1,1,3)),IFERROR(GETPIVOTDATA("Sum of Q"&amp;AW$9+1,'PT-All'!$A$1,"Scenario",AW$12,"P&amp;L Item",$B129),0))</f>
        <v>0</v>
      </c>
      <c r="AX129" s="65">
        <f ca="1">IF(AX$12="Pro Forma",SUM(OFFSET($B129,0,3*AX$9+1,1,3)),IFERROR(GETPIVOTDATA("Sum of Q"&amp;AX$9+1,'PT-All'!$A$1,"Scenario",AX$12,"P&amp;L Item",$B129),0))</f>
        <v>0</v>
      </c>
      <c r="AY129" s="97">
        <f ca="1">IF(AY$12="Pro Forma",SUM(OFFSET($B129,0,3*AY$9+1,1,3)),IFERROR(GETPIVOTDATA("Sum of Q"&amp;AY$9+1,'PT-All'!$A$1,"Scenario",AY$12,"P&amp;L Item",$B129),0))</f>
        <v>0</v>
      </c>
      <c r="AZ129" s="590"/>
      <c r="BA129" s="108">
        <f ca="1">IF(BA$12="Pro Forma",SUM(OFFSET($B129,0,12*BA$9+1,1,12)),IFERROR(GETPIVOTDATA("Sum of FY"&amp;BA$9+1,'PT-All'!$A$1,"Scenario",BA$12,"P&amp;L Item",$B129),0))</f>
        <v>0</v>
      </c>
      <c r="BB129" s="65">
        <f ca="1">IF(BB$12="Pro Forma",SUM(OFFSET($B129,0,12*BB$9+1,1,12)),IFERROR(GETPIVOTDATA("Sum of FY"&amp;BB$9+1,'PT-All'!$A$1,"Scenario",BB$12,"P&amp;L Item",$B129),0))</f>
        <v>0</v>
      </c>
      <c r="BC129" s="97">
        <f ca="1">IF(BC$12="Pro Forma",SUM(OFFSET($B129,0,12*BC$9+1,1,12)),IFERROR(GETPIVOTDATA("Sum of FY"&amp;BC$9+1,'PT-All'!$A$1,"Scenario",BC$12,"P&amp;L Item",$B129),0))</f>
        <v>0</v>
      </c>
    </row>
    <row r="130" spans="2:55" x14ac:dyDescent="0.35">
      <c r="B130" s="356" t="s">
        <v>160</v>
      </c>
      <c r="C130" s="592">
        <f>CHOOSE(PLColumn,IFERROR(GETPIVOTDATA("Sum of "&amp;C$9,'PT-All'!$A$1,"Scenario",C$12,"P&amp;L Item",$B130),0),IFERROR(GETPIVOTDATA("Sum of "&amp;C$9,'PT-All'!$A$1,"Scenario",C$12,"P&amp;L Item",$B130)/C$201,0),TEXT(IFERROR(GETPIVOTDATA("Sum of "&amp;C$9,'PT-All'!$A$1,"Scenario",C$12,"P&amp;L Item",$B130)/C$29,0),"0.00%"))</f>
        <v>0</v>
      </c>
      <c r="D130" s="592">
        <f>CHOOSE(PLColumn,IFERROR(GETPIVOTDATA("Sum of "&amp;D$9,'PT-All'!$A$1,"Scenario",D$12,"P&amp;L Item",$B130),0),IFERROR(GETPIVOTDATA("Sum of "&amp;D$9,'PT-All'!$A$1,"Scenario",D$12,"P&amp;L Item",$B130)/D$201,0),TEXT(IFERROR(GETPIVOTDATA("Sum of "&amp;D$9,'PT-All'!$A$1,"Scenario",D$12,"P&amp;L Item",$B130)/D$29,0),"0.00%"))</f>
        <v>0</v>
      </c>
      <c r="E130" s="592">
        <f>CHOOSE(PLColumn,IFERROR(GETPIVOTDATA("Sum of "&amp;E$9,'PT-All'!$A$1,"Scenario",E$12,"P&amp;L Item",$B130),0),IFERROR(GETPIVOTDATA("Sum of "&amp;E$9,'PT-All'!$A$1,"Scenario",E$12,"P&amp;L Item",$B130)/E$201,0),TEXT(IFERROR(GETPIVOTDATA("Sum of "&amp;E$9,'PT-All'!$A$1,"Scenario",E$12,"P&amp;L Item",$B130)/E$29,0),"0.00%"))</f>
        <v>0</v>
      </c>
      <c r="F130" s="592">
        <f>CHOOSE(PLColumn,IFERROR(GETPIVOTDATA("Sum of "&amp;F$9,'PT-All'!$A$1,"Scenario",F$12,"P&amp;L Item",$B130),0),IFERROR(GETPIVOTDATA("Sum of "&amp;F$9,'PT-All'!$A$1,"Scenario",F$12,"P&amp;L Item",$B130)/F$201,0),TEXT(IFERROR(GETPIVOTDATA("Sum of "&amp;F$9,'PT-All'!$A$1,"Scenario",F$12,"P&amp;L Item",$B130)/F$29,0),"0.00%"))</f>
        <v>0</v>
      </c>
      <c r="G130" s="592">
        <f>CHOOSE(PLColumn,IFERROR(GETPIVOTDATA("Sum of "&amp;G$9,'PT-All'!$A$1,"Scenario",G$12,"P&amp;L Item",$B130),0),IFERROR(GETPIVOTDATA("Sum of "&amp;G$9,'PT-All'!$A$1,"Scenario",G$12,"P&amp;L Item",$B130)/G$201,0),TEXT(IFERROR(GETPIVOTDATA("Sum of "&amp;G$9,'PT-All'!$A$1,"Scenario",G$12,"P&amp;L Item",$B130)/G$29,0),"0.00%"))</f>
        <v>0</v>
      </c>
      <c r="H130" s="592">
        <f>CHOOSE(PLColumn,IFERROR(GETPIVOTDATA("Sum of "&amp;H$9,'PT-All'!$A$1,"Scenario",H$12,"P&amp;L Item",$B130),0),IFERROR(GETPIVOTDATA("Sum of "&amp;H$9,'PT-All'!$A$1,"Scenario",H$12,"P&amp;L Item",$B130)/H$201,0),TEXT(IFERROR(GETPIVOTDATA("Sum of "&amp;H$9,'PT-All'!$A$1,"Scenario",H$12,"P&amp;L Item",$B130)/H$29,0),"0.00%"))</f>
        <v>0</v>
      </c>
      <c r="I130" s="592">
        <f>CHOOSE(PLColumn,IFERROR(GETPIVOTDATA("Sum of "&amp;I$9,'PT-All'!$A$1,"Scenario",I$12,"P&amp;L Item",$B130),0),IFERROR(GETPIVOTDATA("Sum of "&amp;I$9,'PT-All'!$A$1,"Scenario",I$12,"P&amp;L Item",$B130)/I$201,0),TEXT(IFERROR(GETPIVOTDATA("Sum of "&amp;I$9,'PT-All'!$A$1,"Scenario",I$12,"P&amp;L Item",$B130)/I$29,0),"0.00%"))</f>
        <v>0</v>
      </c>
      <c r="J130" s="592">
        <f>CHOOSE(PLColumn,IFERROR(GETPIVOTDATA("Sum of "&amp;J$9,'PT-All'!$A$1,"Scenario",J$12,"P&amp;L Item",$B130),0),IFERROR(GETPIVOTDATA("Sum of "&amp;J$9,'PT-All'!$A$1,"Scenario",J$12,"P&amp;L Item",$B130)/J$201,0),TEXT(IFERROR(GETPIVOTDATA("Sum of "&amp;J$9,'PT-All'!$A$1,"Scenario",J$12,"P&amp;L Item",$B130)/J$29,0),"0.00%"))</f>
        <v>0</v>
      </c>
      <c r="K130" s="592">
        <f>CHOOSE(PLColumn,IFERROR(GETPIVOTDATA("Sum of "&amp;K$9,'PT-All'!$A$1,"Scenario",K$12,"P&amp;L Item",$B130),0),IFERROR(GETPIVOTDATA("Sum of "&amp;K$9,'PT-All'!$A$1,"Scenario",K$12,"P&amp;L Item",$B130)/K$201,0),TEXT(IFERROR(GETPIVOTDATA("Sum of "&amp;K$9,'PT-All'!$A$1,"Scenario",K$12,"P&amp;L Item",$B130)/K$29,0),"0.00%"))</f>
        <v>0</v>
      </c>
      <c r="L130" s="592">
        <f>CHOOSE(PLColumn,IFERROR(GETPIVOTDATA("Sum of "&amp;L$9,'PT-All'!$A$1,"Scenario",L$12,"P&amp;L Item",$B130),0),IFERROR(GETPIVOTDATA("Sum of "&amp;L$9,'PT-All'!$A$1,"Scenario",L$12,"P&amp;L Item",$B130)/L$201,0),TEXT(IFERROR(GETPIVOTDATA("Sum of "&amp;L$9,'PT-All'!$A$1,"Scenario",L$12,"P&amp;L Item",$B130)/L$29,0),"0.00%"))</f>
        <v>0</v>
      </c>
      <c r="M130" s="592">
        <f>CHOOSE(PLColumn,IFERROR(GETPIVOTDATA("Sum of "&amp;M$9,'PT-All'!$A$1,"Scenario",M$12,"P&amp;L Item",$B130),0),IFERROR(GETPIVOTDATA("Sum of "&amp;M$9,'PT-All'!$A$1,"Scenario",M$12,"P&amp;L Item",$B130)/M$201,0),TEXT(IFERROR(GETPIVOTDATA("Sum of "&amp;M$9,'PT-All'!$A$1,"Scenario",M$12,"P&amp;L Item",$B130)/M$29,0),"0.00%"))</f>
        <v>0</v>
      </c>
      <c r="N130" s="592">
        <f>CHOOSE(PLColumn,IFERROR(GETPIVOTDATA("Sum of "&amp;N$9,'PT-All'!$A$1,"Scenario",N$12,"P&amp;L Item",$B130),0),IFERROR(GETPIVOTDATA("Sum of "&amp;N$9,'PT-All'!$A$1,"Scenario",N$12,"P&amp;L Item",$B130)/N$201,0),TEXT(IFERROR(GETPIVOTDATA("Sum of "&amp;N$9,'PT-All'!$A$1,"Scenario",N$12,"P&amp;L Item",$B130)/N$29,0),"0.00%"))</f>
        <v>0</v>
      </c>
      <c r="O130" s="592">
        <f>CHOOSE(PLColumn,IFERROR(GETPIVOTDATA("Sum of "&amp;O$9,'PT-All'!$A$1,"Scenario",O$12,"P&amp;L Item",$B130),0),IFERROR(GETPIVOTDATA("Sum of "&amp;O$9,'PT-All'!$A$1,"Scenario",O$12,"P&amp;L Item",$B130)/O$201,0),TEXT(IFERROR(GETPIVOTDATA("Sum of "&amp;O$9,'PT-All'!$A$1,"Scenario",O$12,"P&amp;L Item",$B130)/O$29,0),"0.00%"))</f>
        <v>0</v>
      </c>
      <c r="P130" s="592">
        <f>CHOOSE(PLColumn,IFERROR(GETPIVOTDATA("Sum of "&amp;P$9,'PT-All'!$A$1,"Scenario",P$12,"P&amp;L Item",$B130),0),IFERROR(GETPIVOTDATA("Sum of "&amp;P$9,'PT-All'!$A$1,"Scenario",P$12,"P&amp;L Item",$B130)/P$201,0),TEXT(IFERROR(GETPIVOTDATA("Sum of "&amp;P$9,'PT-All'!$A$1,"Scenario",P$12,"P&amp;L Item",$B130)/P$29,0),"0.00%"))</f>
        <v>0</v>
      </c>
      <c r="Q130" s="592">
        <f>CHOOSE(PLColumn,IFERROR(GETPIVOTDATA("Sum of "&amp;Q$9,'PT-All'!$A$1,"Scenario",Q$12,"P&amp;L Item",$B130),0),IFERROR(GETPIVOTDATA("Sum of "&amp;Q$9,'PT-All'!$A$1,"Scenario",Q$12,"P&amp;L Item",$B130)/Q$201,0),TEXT(IFERROR(GETPIVOTDATA("Sum of "&amp;Q$9,'PT-All'!$A$1,"Scenario",Q$12,"P&amp;L Item",$B130)/Q$29,0),"0.00%"))</f>
        <v>0</v>
      </c>
      <c r="R130" s="592">
        <f>CHOOSE(PLColumn,IFERROR(GETPIVOTDATA("Sum of "&amp;R$9,'PT-All'!$A$1,"Scenario",R$12,"P&amp;L Item",$B130),0),IFERROR(GETPIVOTDATA("Sum of "&amp;R$9,'PT-All'!$A$1,"Scenario",R$12,"P&amp;L Item",$B130)/R$201,0),TEXT(IFERROR(GETPIVOTDATA("Sum of "&amp;R$9,'PT-All'!$A$1,"Scenario",R$12,"P&amp;L Item",$B130)/R$29,0),"0.00%"))</f>
        <v>0</v>
      </c>
      <c r="S130" s="592">
        <f>CHOOSE(PLColumn,IFERROR(GETPIVOTDATA("Sum of "&amp;S$9,'PT-All'!$A$1,"Scenario",S$12,"P&amp;L Item",$B130),0),IFERROR(GETPIVOTDATA("Sum of "&amp;S$9,'PT-All'!$A$1,"Scenario",S$12,"P&amp;L Item",$B130)/S$201,0),TEXT(IFERROR(GETPIVOTDATA("Sum of "&amp;S$9,'PT-All'!$A$1,"Scenario",S$12,"P&amp;L Item",$B130)/S$29,0),"0.00%"))</f>
        <v>0</v>
      </c>
      <c r="T130" s="592">
        <f>CHOOSE(PLColumn,IFERROR(GETPIVOTDATA("Sum of "&amp;T$9,'PT-All'!$A$1,"Scenario",T$12,"P&amp;L Item",$B130),0),IFERROR(GETPIVOTDATA("Sum of "&amp;T$9,'PT-All'!$A$1,"Scenario",T$12,"P&amp;L Item",$B130)/T$201,0),TEXT(IFERROR(GETPIVOTDATA("Sum of "&amp;T$9,'PT-All'!$A$1,"Scenario",T$12,"P&amp;L Item",$B130)/T$29,0),"0.00%"))</f>
        <v>0</v>
      </c>
      <c r="U130" s="592">
        <f>CHOOSE(PLColumn,IFERROR(GETPIVOTDATA("Sum of "&amp;U$9,'PT-All'!$A$1,"Scenario",U$12,"P&amp;L Item",$B130),0),IFERROR(GETPIVOTDATA("Sum of "&amp;U$9,'PT-All'!$A$1,"Scenario",U$12,"P&amp;L Item",$B130)/U$201,0),TEXT(IFERROR(GETPIVOTDATA("Sum of "&amp;U$9,'PT-All'!$A$1,"Scenario",U$12,"P&amp;L Item",$B130)/U$29,0),"0.00%"))</f>
        <v>0</v>
      </c>
      <c r="V130" s="592">
        <f>CHOOSE(PLColumn,IFERROR(GETPIVOTDATA("Sum of "&amp;V$9,'PT-All'!$A$1,"Scenario",V$12,"P&amp;L Item",$B130),0),IFERROR(GETPIVOTDATA("Sum of "&amp;V$9,'PT-All'!$A$1,"Scenario",V$12,"P&amp;L Item",$B130)/V$201,0),TEXT(IFERROR(GETPIVOTDATA("Sum of "&amp;V$9,'PT-All'!$A$1,"Scenario",V$12,"P&amp;L Item",$B130)/V$29,0),"0.00%"))</f>
        <v>0</v>
      </c>
      <c r="W130" s="592">
        <f>CHOOSE(PLColumn,IFERROR(GETPIVOTDATA("Sum of "&amp;W$9,'PT-All'!$A$1,"Scenario",W$12,"P&amp;L Item",$B130),0),IFERROR(GETPIVOTDATA("Sum of "&amp;W$9,'PT-All'!$A$1,"Scenario",W$12,"P&amp;L Item",$B130)/W$201,0),TEXT(IFERROR(GETPIVOTDATA("Sum of "&amp;W$9,'PT-All'!$A$1,"Scenario",W$12,"P&amp;L Item",$B130)/W$29,0),"0.00%"))</f>
        <v>0</v>
      </c>
      <c r="X130" s="592">
        <f>CHOOSE(PLColumn,IFERROR(GETPIVOTDATA("Sum of "&amp;X$9,'PT-All'!$A$1,"Scenario",X$12,"P&amp;L Item",$B130),0),IFERROR(GETPIVOTDATA("Sum of "&amp;X$9,'PT-All'!$A$1,"Scenario",X$12,"P&amp;L Item",$B130)/X$201,0),TEXT(IFERROR(GETPIVOTDATA("Sum of "&amp;X$9,'PT-All'!$A$1,"Scenario",X$12,"P&amp;L Item",$B130)/X$29,0),"0.00%"))</f>
        <v>0</v>
      </c>
      <c r="Y130" s="592">
        <f>CHOOSE(PLColumn,IFERROR(GETPIVOTDATA("Sum of "&amp;Y$9,'PT-All'!$A$1,"Scenario",Y$12,"P&amp;L Item",$B130),0),IFERROR(GETPIVOTDATA("Sum of "&amp;Y$9,'PT-All'!$A$1,"Scenario",Y$12,"P&amp;L Item",$B130)/Y$201,0),TEXT(IFERROR(GETPIVOTDATA("Sum of "&amp;Y$9,'PT-All'!$A$1,"Scenario",Y$12,"P&amp;L Item",$B130)/Y$29,0),"0.00%"))</f>
        <v>0</v>
      </c>
      <c r="Z130" s="592">
        <f>CHOOSE(PLColumn,IFERROR(GETPIVOTDATA("Sum of "&amp;Z$9,'PT-All'!$A$1,"Scenario",Z$12,"P&amp;L Item",$B130),0),IFERROR(GETPIVOTDATA("Sum of "&amp;Z$9,'PT-All'!$A$1,"Scenario",Z$12,"P&amp;L Item",$B130)/Z$201,0),TEXT(IFERROR(GETPIVOTDATA("Sum of "&amp;Z$9,'PT-All'!$A$1,"Scenario",Z$12,"P&amp;L Item",$B130)/Z$29,0),"0.00%"))</f>
        <v>0</v>
      </c>
      <c r="AA130" s="592">
        <f>CHOOSE(PLColumn,IFERROR(GETPIVOTDATA("Sum of "&amp;AA$9,'PT-All'!$A$1,"Scenario",AA$12,"P&amp;L Item",$B130),0),IFERROR(GETPIVOTDATA("Sum of "&amp;AA$9,'PT-All'!$A$1,"Scenario",AA$12,"P&amp;L Item",$B130)/AA$201,0),TEXT(IFERROR(GETPIVOTDATA("Sum of "&amp;AA$9,'PT-All'!$A$1,"Scenario",AA$12,"P&amp;L Item",$B130)/AA$29,0),"0.00%"))</f>
        <v>0</v>
      </c>
      <c r="AB130" s="592">
        <f>CHOOSE(PLColumn,IFERROR(GETPIVOTDATA("Sum of "&amp;AB$9,'PT-All'!$A$1,"Scenario",AB$12,"P&amp;L Item",$B130),0),IFERROR(GETPIVOTDATA("Sum of "&amp;AB$9,'PT-All'!$A$1,"Scenario",AB$12,"P&amp;L Item",$B130)/AB$201,0),TEXT(IFERROR(GETPIVOTDATA("Sum of "&amp;AB$9,'PT-All'!$A$1,"Scenario",AB$12,"P&amp;L Item",$B130)/AB$29,0),"0.00%"))</f>
        <v>0</v>
      </c>
      <c r="AC130" s="592">
        <f>CHOOSE(PLColumn,IFERROR(GETPIVOTDATA("Sum of "&amp;AC$9,'PT-All'!$A$1,"Scenario",AC$12,"P&amp;L Item",$B130),0),IFERROR(GETPIVOTDATA("Sum of "&amp;AC$9,'PT-All'!$A$1,"Scenario",AC$12,"P&amp;L Item",$B130)/AC$201,0),TEXT(IFERROR(GETPIVOTDATA("Sum of "&amp;AC$9,'PT-All'!$A$1,"Scenario",AC$12,"P&amp;L Item",$B130)/AC$29,0),"0.00%"))</f>
        <v>0</v>
      </c>
      <c r="AD130" s="592">
        <f>CHOOSE(PLColumn,IFERROR(GETPIVOTDATA("Sum of "&amp;AD$9,'PT-All'!$A$1,"Scenario",AD$12,"P&amp;L Item",$B130),0),IFERROR(GETPIVOTDATA("Sum of "&amp;AD$9,'PT-All'!$A$1,"Scenario",AD$12,"P&amp;L Item",$B130)/AD$201,0),TEXT(IFERROR(GETPIVOTDATA("Sum of "&amp;AD$9,'PT-All'!$A$1,"Scenario",AD$12,"P&amp;L Item",$B130)/AD$29,0),"0.00%"))</f>
        <v>0</v>
      </c>
      <c r="AE130" s="592">
        <f>CHOOSE(PLColumn,IFERROR(GETPIVOTDATA("Sum of "&amp;AE$9,'PT-All'!$A$1,"Scenario",AE$12,"P&amp;L Item",$B130),0),IFERROR(GETPIVOTDATA("Sum of "&amp;AE$9,'PT-All'!$A$1,"Scenario",AE$12,"P&amp;L Item",$B130)/AE$201,0),TEXT(IFERROR(GETPIVOTDATA("Sum of "&amp;AE$9,'PT-All'!$A$1,"Scenario",AE$12,"P&amp;L Item",$B130)/AE$29,0),"0.00%"))</f>
        <v>0</v>
      </c>
      <c r="AF130" s="592">
        <f>CHOOSE(PLColumn,IFERROR(GETPIVOTDATA("Sum of "&amp;AF$9,'PT-All'!$A$1,"Scenario",AF$12,"P&amp;L Item",$B130),0),IFERROR(GETPIVOTDATA("Sum of "&amp;AF$9,'PT-All'!$A$1,"Scenario",AF$12,"P&amp;L Item",$B130)/AF$201,0),TEXT(IFERROR(GETPIVOTDATA("Sum of "&amp;AF$9,'PT-All'!$A$1,"Scenario",AF$12,"P&amp;L Item",$B130)/AF$29,0),"0.00%"))</f>
        <v>0</v>
      </c>
      <c r="AG130" s="592">
        <f>CHOOSE(PLColumn,IFERROR(GETPIVOTDATA("Sum of "&amp;AG$9,'PT-All'!$A$1,"Scenario",AG$12,"P&amp;L Item",$B130),0),IFERROR(GETPIVOTDATA("Sum of "&amp;AG$9,'PT-All'!$A$1,"Scenario",AG$12,"P&amp;L Item",$B130)/AG$201,0),TEXT(IFERROR(GETPIVOTDATA("Sum of "&amp;AG$9,'PT-All'!$A$1,"Scenario",AG$12,"P&amp;L Item",$B130)/AG$29,0),"0.00%"))</f>
        <v>0</v>
      </c>
      <c r="AH130" s="592">
        <f>CHOOSE(PLColumn,IFERROR(GETPIVOTDATA("Sum of "&amp;AH$9,'PT-All'!$A$1,"Scenario",AH$12,"P&amp;L Item",$B130),0),IFERROR(GETPIVOTDATA("Sum of "&amp;AH$9,'PT-All'!$A$1,"Scenario",AH$12,"P&amp;L Item",$B130)/AH$201,0),TEXT(IFERROR(GETPIVOTDATA("Sum of "&amp;AH$9,'PT-All'!$A$1,"Scenario",AH$12,"P&amp;L Item",$B130)/AH$29,0),"0.00%"))</f>
        <v>0</v>
      </c>
      <c r="AI130" s="592">
        <f>CHOOSE(PLColumn,IFERROR(GETPIVOTDATA("Sum of "&amp;AI$9,'PT-All'!$A$1,"Scenario",AI$12,"P&amp;L Item",$B130),0),IFERROR(GETPIVOTDATA("Sum of "&amp;AI$9,'PT-All'!$A$1,"Scenario",AI$12,"P&amp;L Item",$B130)/AI$201,0),TEXT(IFERROR(GETPIVOTDATA("Sum of "&amp;AI$9,'PT-All'!$A$1,"Scenario",AI$12,"P&amp;L Item",$B130)/AI$29,0),"0.00%"))</f>
        <v>0</v>
      </c>
      <c r="AJ130" s="592">
        <f>CHOOSE(PLColumn,IFERROR(GETPIVOTDATA("Sum of "&amp;AJ$9,'PT-All'!$A$1,"Scenario",AJ$12,"P&amp;L Item",$B130),0),IFERROR(GETPIVOTDATA("Sum of "&amp;AJ$9,'PT-All'!$A$1,"Scenario",AJ$12,"P&amp;L Item",$B130)/AJ$201,0),TEXT(IFERROR(GETPIVOTDATA("Sum of "&amp;AJ$9,'PT-All'!$A$1,"Scenario",AJ$12,"P&amp;L Item",$B130)/AJ$29,0),"0.00%"))</f>
        <v>0</v>
      </c>
      <c r="AK130" s="592">
        <f>CHOOSE(PLColumn,IFERROR(GETPIVOTDATA("Sum of "&amp;AK$9,'PT-All'!$A$1,"Scenario",AK$12,"P&amp;L Item",$B130),0),IFERROR(GETPIVOTDATA("Sum of "&amp;AK$9,'PT-All'!$A$1,"Scenario",AK$12,"P&amp;L Item",$B130)/AK$201,0),TEXT(IFERROR(GETPIVOTDATA("Sum of "&amp;AK$9,'PT-All'!$A$1,"Scenario",AK$12,"P&amp;L Item",$B130)/AK$29,0),"0.00%"))</f>
        <v>0</v>
      </c>
      <c r="AL130" s="593">
        <f>CHOOSE(PLColumn,IFERROR(GETPIVOTDATA("Sum of "&amp;AL$9,'PT-All'!$A$1,"Scenario",AL$12,"P&amp;L Item",$B130),0),IFERROR(GETPIVOTDATA("Sum of "&amp;AL$9,'PT-All'!$A$1,"Scenario",AL$12,"P&amp;L Item",$B130)/AL$201,0),TEXT(IFERROR(GETPIVOTDATA("Sum of "&amp;AL$9,'PT-All'!$A$1,"Scenario",AL$12,"P&amp;L Item",$B130)/AL$29,0),"0.00%"))</f>
        <v>0</v>
      </c>
      <c r="AM130" s="590"/>
      <c r="AN130" s="594">
        <f ca="1">IF(AN$12="Pro Forma",SUM(OFFSET($B130,0,3*AN$9+1,1,3)),IFERROR(GETPIVOTDATA("Sum of Q"&amp;AN$9+1,'PT-All'!$A$1,"Scenario",AN$12,"P&amp;L Item",$B130),0))</f>
        <v>0</v>
      </c>
      <c r="AO130" s="592">
        <f ca="1">IF(AO$12="Pro Forma",SUM(OFFSET($B130,0,3*AO$9+1,1,3)),IFERROR(GETPIVOTDATA("Sum of Q"&amp;AO$9+1,'PT-All'!$A$1,"Scenario",AO$12,"P&amp;L Item",$B130),0))</f>
        <v>0</v>
      </c>
      <c r="AP130" s="592">
        <f ca="1">IF(AP$12="Pro Forma",SUM(OFFSET($B130,0,3*AP$9+1,1,3)),IFERROR(GETPIVOTDATA("Sum of Q"&amp;AP$9+1,'PT-All'!$A$1,"Scenario",AP$12,"P&amp;L Item",$B130),0))</f>
        <v>0</v>
      </c>
      <c r="AQ130" s="592">
        <f ca="1">IF(AQ$12="Pro Forma",SUM(OFFSET($B130,0,3*AQ$9+1,1,3)),IFERROR(GETPIVOTDATA("Sum of Q"&amp;AQ$9+1,'PT-All'!$A$1,"Scenario",AQ$12,"P&amp;L Item",$B130),0))</f>
        <v>0</v>
      </c>
      <c r="AR130" s="592">
        <f ca="1">IF(AR$12="Pro Forma",SUM(OFFSET($B130,0,3*AR$9+1,1,3)),IFERROR(GETPIVOTDATA("Sum of Q"&amp;AR$9+1,'PT-All'!$A$1,"Scenario",AR$12,"P&amp;L Item",$B130),0))</f>
        <v>0</v>
      </c>
      <c r="AS130" s="592">
        <f ca="1">IF(AS$12="Pro Forma",SUM(OFFSET($B130,0,3*AS$9+1,1,3)),IFERROR(GETPIVOTDATA("Sum of Q"&amp;AS$9+1,'PT-All'!$A$1,"Scenario",AS$12,"P&amp;L Item",$B130),0))</f>
        <v>0</v>
      </c>
      <c r="AT130" s="592">
        <f ca="1">IF(AT$12="Pro Forma",SUM(OFFSET($B130,0,3*AT$9+1,1,3)),IFERROR(GETPIVOTDATA("Sum of Q"&amp;AT$9+1,'PT-All'!$A$1,"Scenario",AT$12,"P&amp;L Item",$B130),0))</f>
        <v>0</v>
      </c>
      <c r="AU130" s="592">
        <f ca="1">IF(AU$12="Pro Forma",SUM(OFFSET($B130,0,3*AU$9+1,1,3)),IFERROR(GETPIVOTDATA("Sum of Q"&amp;AU$9+1,'PT-All'!$A$1,"Scenario",AU$12,"P&amp;L Item",$B130),0))</f>
        <v>0</v>
      </c>
      <c r="AV130" s="592">
        <f ca="1">IF(AV$12="Pro Forma",SUM(OFFSET($B130,0,3*AV$9+1,1,3)),IFERROR(GETPIVOTDATA("Sum of Q"&amp;AV$9+1,'PT-All'!$A$1,"Scenario",AV$12,"P&amp;L Item",$B130),0))</f>
        <v>0</v>
      </c>
      <c r="AW130" s="592">
        <f ca="1">IF(AW$12="Pro Forma",SUM(OFFSET($B130,0,3*AW$9+1,1,3)),IFERROR(GETPIVOTDATA("Sum of Q"&amp;AW$9+1,'PT-All'!$A$1,"Scenario",AW$12,"P&amp;L Item",$B130),0))</f>
        <v>0</v>
      </c>
      <c r="AX130" s="592">
        <f ca="1">IF(AX$12="Pro Forma",SUM(OFFSET($B130,0,3*AX$9+1,1,3)),IFERROR(GETPIVOTDATA("Sum of Q"&amp;AX$9+1,'PT-All'!$A$1,"Scenario",AX$12,"P&amp;L Item",$B130),0))</f>
        <v>0</v>
      </c>
      <c r="AY130" s="593">
        <f ca="1">IF(AY$12="Pro Forma",SUM(OFFSET($B130,0,3*AY$9+1,1,3)),IFERROR(GETPIVOTDATA("Sum of Q"&amp;AY$9+1,'PT-All'!$A$1,"Scenario",AY$12,"P&amp;L Item",$B130),0))</f>
        <v>0</v>
      </c>
      <c r="AZ130" s="590"/>
      <c r="BA130" s="594">
        <f ca="1">IF(BA$12="Pro Forma",SUM(OFFSET($B130,0,12*BA$9+1,1,12)),IFERROR(GETPIVOTDATA("Sum of FY"&amp;BA$9+1,'PT-All'!$A$1,"Scenario",BA$12,"P&amp;L Item",$B130),0))</f>
        <v>0</v>
      </c>
      <c r="BB130" s="592">
        <f ca="1">IF(BB$12="Pro Forma",SUM(OFFSET($B130,0,12*BB$9+1,1,12)),IFERROR(GETPIVOTDATA("Sum of FY"&amp;BB$9+1,'PT-All'!$A$1,"Scenario",BB$12,"P&amp;L Item",$B130),0))</f>
        <v>0</v>
      </c>
      <c r="BC130" s="593">
        <f ca="1">IF(BC$12="Pro Forma",SUM(OFFSET($B130,0,12*BC$9+1,1,12)),IFERROR(GETPIVOTDATA("Sum of FY"&amp;BC$9+1,'PT-All'!$A$1,"Scenario",BC$12,"P&amp;L Item",$B130),0))</f>
        <v>0</v>
      </c>
    </row>
    <row r="131" spans="2:55" x14ac:dyDescent="0.35">
      <c r="B131" s="356" t="s">
        <v>161</v>
      </c>
      <c r="C131" s="592">
        <f>CHOOSE(PLColumn,IFERROR(GETPIVOTDATA("Sum of "&amp;C$9,'PT-All'!$A$1,"Scenario",C$12,"P&amp;L Item",$B131),0),IFERROR(GETPIVOTDATA("Sum of "&amp;C$9,'PT-All'!$A$1,"Scenario",C$12,"P&amp;L Item",$B131)/C$201,0),TEXT(IFERROR(GETPIVOTDATA("Sum of "&amp;C$9,'PT-All'!$A$1,"Scenario",C$12,"P&amp;L Item",$B131)/C$29,0),"0.00%"))</f>
        <v>0</v>
      </c>
      <c r="D131" s="592">
        <f>CHOOSE(PLColumn,IFERROR(GETPIVOTDATA("Sum of "&amp;D$9,'PT-All'!$A$1,"Scenario",D$12,"P&amp;L Item",$B131),0),IFERROR(GETPIVOTDATA("Sum of "&amp;D$9,'PT-All'!$A$1,"Scenario",D$12,"P&amp;L Item",$B131)/D$201,0),TEXT(IFERROR(GETPIVOTDATA("Sum of "&amp;D$9,'PT-All'!$A$1,"Scenario",D$12,"P&amp;L Item",$B131)/D$29,0),"0.00%"))</f>
        <v>0</v>
      </c>
      <c r="E131" s="592">
        <f>CHOOSE(PLColumn,IFERROR(GETPIVOTDATA("Sum of "&amp;E$9,'PT-All'!$A$1,"Scenario",E$12,"P&amp;L Item",$B131),0),IFERROR(GETPIVOTDATA("Sum of "&amp;E$9,'PT-All'!$A$1,"Scenario",E$12,"P&amp;L Item",$B131)/E$201,0),TEXT(IFERROR(GETPIVOTDATA("Sum of "&amp;E$9,'PT-All'!$A$1,"Scenario",E$12,"P&amp;L Item",$B131)/E$29,0),"0.00%"))</f>
        <v>0</v>
      </c>
      <c r="F131" s="592">
        <f>CHOOSE(PLColumn,IFERROR(GETPIVOTDATA("Sum of "&amp;F$9,'PT-All'!$A$1,"Scenario",F$12,"P&amp;L Item",$B131),0),IFERROR(GETPIVOTDATA("Sum of "&amp;F$9,'PT-All'!$A$1,"Scenario",F$12,"P&amp;L Item",$B131)/F$201,0),TEXT(IFERROR(GETPIVOTDATA("Sum of "&amp;F$9,'PT-All'!$A$1,"Scenario",F$12,"P&amp;L Item",$B131)/F$29,0),"0.00%"))</f>
        <v>0</v>
      </c>
      <c r="G131" s="592">
        <f>CHOOSE(PLColumn,IFERROR(GETPIVOTDATA("Sum of "&amp;G$9,'PT-All'!$A$1,"Scenario",G$12,"P&amp;L Item",$B131),0),IFERROR(GETPIVOTDATA("Sum of "&amp;G$9,'PT-All'!$A$1,"Scenario",G$12,"P&amp;L Item",$B131)/G$201,0),TEXT(IFERROR(GETPIVOTDATA("Sum of "&amp;G$9,'PT-All'!$A$1,"Scenario",G$12,"P&amp;L Item",$B131)/G$29,0),"0.00%"))</f>
        <v>0</v>
      </c>
      <c r="H131" s="592">
        <f>CHOOSE(PLColumn,IFERROR(GETPIVOTDATA("Sum of "&amp;H$9,'PT-All'!$A$1,"Scenario",H$12,"P&amp;L Item",$B131),0),IFERROR(GETPIVOTDATA("Sum of "&amp;H$9,'PT-All'!$A$1,"Scenario",H$12,"P&amp;L Item",$B131)/H$201,0),TEXT(IFERROR(GETPIVOTDATA("Sum of "&amp;H$9,'PT-All'!$A$1,"Scenario",H$12,"P&amp;L Item",$B131)/H$29,0),"0.00%"))</f>
        <v>0</v>
      </c>
      <c r="I131" s="592">
        <f>CHOOSE(PLColumn,IFERROR(GETPIVOTDATA("Sum of "&amp;I$9,'PT-All'!$A$1,"Scenario",I$12,"P&amp;L Item",$B131),0),IFERROR(GETPIVOTDATA("Sum of "&amp;I$9,'PT-All'!$A$1,"Scenario",I$12,"P&amp;L Item",$B131)/I$201,0),TEXT(IFERROR(GETPIVOTDATA("Sum of "&amp;I$9,'PT-All'!$A$1,"Scenario",I$12,"P&amp;L Item",$B131)/I$29,0),"0.00%"))</f>
        <v>0</v>
      </c>
      <c r="J131" s="592">
        <f>CHOOSE(PLColumn,IFERROR(GETPIVOTDATA("Sum of "&amp;J$9,'PT-All'!$A$1,"Scenario",J$12,"P&amp;L Item",$B131),0),IFERROR(GETPIVOTDATA("Sum of "&amp;J$9,'PT-All'!$A$1,"Scenario",J$12,"P&amp;L Item",$B131)/J$201,0),TEXT(IFERROR(GETPIVOTDATA("Sum of "&amp;J$9,'PT-All'!$A$1,"Scenario",J$12,"P&amp;L Item",$B131)/J$29,0),"0.00%"))</f>
        <v>0</v>
      </c>
      <c r="K131" s="592">
        <f>CHOOSE(PLColumn,IFERROR(GETPIVOTDATA("Sum of "&amp;K$9,'PT-All'!$A$1,"Scenario",K$12,"P&amp;L Item",$B131),0),IFERROR(GETPIVOTDATA("Sum of "&amp;K$9,'PT-All'!$A$1,"Scenario",K$12,"P&amp;L Item",$B131)/K$201,0),TEXT(IFERROR(GETPIVOTDATA("Sum of "&amp;K$9,'PT-All'!$A$1,"Scenario",K$12,"P&amp;L Item",$B131)/K$29,0),"0.00%"))</f>
        <v>0</v>
      </c>
      <c r="L131" s="592">
        <f>CHOOSE(PLColumn,IFERROR(GETPIVOTDATA("Sum of "&amp;L$9,'PT-All'!$A$1,"Scenario",L$12,"P&amp;L Item",$B131),0),IFERROR(GETPIVOTDATA("Sum of "&amp;L$9,'PT-All'!$A$1,"Scenario",L$12,"P&amp;L Item",$B131)/L$201,0),TEXT(IFERROR(GETPIVOTDATA("Sum of "&amp;L$9,'PT-All'!$A$1,"Scenario",L$12,"P&amp;L Item",$B131)/L$29,0),"0.00%"))</f>
        <v>0</v>
      </c>
      <c r="M131" s="592">
        <f>CHOOSE(PLColumn,IFERROR(GETPIVOTDATA("Sum of "&amp;M$9,'PT-All'!$A$1,"Scenario",M$12,"P&amp;L Item",$B131),0),IFERROR(GETPIVOTDATA("Sum of "&amp;M$9,'PT-All'!$A$1,"Scenario",M$12,"P&amp;L Item",$B131)/M$201,0),TEXT(IFERROR(GETPIVOTDATA("Sum of "&amp;M$9,'PT-All'!$A$1,"Scenario",M$12,"P&amp;L Item",$B131)/M$29,0),"0.00%"))</f>
        <v>0</v>
      </c>
      <c r="N131" s="592">
        <f>CHOOSE(PLColumn,IFERROR(GETPIVOTDATA("Sum of "&amp;N$9,'PT-All'!$A$1,"Scenario",N$12,"P&amp;L Item",$B131),0),IFERROR(GETPIVOTDATA("Sum of "&amp;N$9,'PT-All'!$A$1,"Scenario",N$12,"P&amp;L Item",$B131)/N$201,0),TEXT(IFERROR(GETPIVOTDATA("Sum of "&amp;N$9,'PT-All'!$A$1,"Scenario",N$12,"P&amp;L Item",$B131)/N$29,0),"0.00%"))</f>
        <v>0</v>
      </c>
      <c r="O131" s="592">
        <f>CHOOSE(PLColumn,IFERROR(GETPIVOTDATA("Sum of "&amp;O$9,'PT-All'!$A$1,"Scenario",O$12,"P&amp;L Item",$B131),0),IFERROR(GETPIVOTDATA("Sum of "&amp;O$9,'PT-All'!$A$1,"Scenario",O$12,"P&amp;L Item",$B131)/O$201,0),TEXT(IFERROR(GETPIVOTDATA("Sum of "&amp;O$9,'PT-All'!$A$1,"Scenario",O$12,"P&amp;L Item",$B131)/O$29,0),"0.00%"))</f>
        <v>0</v>
      </c>
      <c r="P131" s="592">
        <f>CHOOSE(PLColumn,IFERROR(GETPIVOTDATA("Sum of "&amp;P$9,'PT-All'!$A$1,"Scenario",P$12,"P&amp;L Item",$B131),0),IFERROR(GETPIVOTDATA("Sum of "&amp;P$9,'PT-All'!$A$1,"Scenario",P$12,"P&amp;L Item",$B131)/P$201,0),TEXT(IFERROR(GETPIVOTDATA("Sum of "&amp;P$9,'PT-All'!$A$1,"Scenario",P$12,"P&amp;L Item",$B131)/P$29,0),"0.00%"))</f>
        <v>0</v>
      </c>
      <c r="Q131" s="592">
        <f>CHOOSE(PLColumn,IFERROR(GETPIVOTDATA("Sum of "&amp;Q$9,'PT-All'!$A$1,"Scenario",Q$12,"P&amp;L Item",$B131),0),IFERROR(GETPIVOTDATA("Sum of "&amp;Q$9,'PT-All'!$A$1,"Scenario",Q$12,"P&amp;L Item",$B131)/Q$201,0),TEXT(IFERROR(GETPIVOTDATA("Sum of "&amp;Q$9,'PT-All'!$A$1,"Scenario",Q$12,"P&amp;L Item",$B131)/Q$29,0),"0.00%"))</f>
        <v>0</v>
      </c>
      <c r="R131" s="592">
        <f>CHOOSE(PLColumn,IFERROR(GETPIVOTDATA("Sum of "&amp;R$9,'PT-All'!$A$1,"Scenario",R$12,"P&amp;L Item",$B131),0),IFERROR(GETPIVOTDATA("Sum of "&amp;R$9,'PT-All'!$A$1,"Scenario",R$12,"P&amp;L Item",$B131)/R$201,0),TEXT(IFERROR(GETPIVOTDATA("Sum of "&amp;R$9,'PT-All'!$A$1,"Scenario",R$12,"P&amp;L Item",$B131)/R$29,0),"0.00%"))</f>
        <v>0</v>
      </c>
      <c r="S131" s="592">
        <f>CHOOSE(PLColumn,IFERROR(GETPIVOTDATA("Sum of "&amp;S$9,'PT-All'!$A$1,"Scenario",S$12,"P&amp;L Item",$B131),0),IFERROR(GETPIVOTDATA("Sum of "&amp;S$9,'PT-All'!$A$1,"Scenario",S$12,"P&amp;L Item",$B131)/S$201,0),TEXT(IFERROR(GETPIVOTDATA("Sum of "&amp;S$9,'PT-All'!$A$1,"Scenario",S$12,"P&amp;L Item",$B131)/S$29,0),"0.00%"))</f>
        <v>0</v>
      </c>
      <c r="T131" s="592">
        <f>CHOOSE(PLColumn,IFERROR(GETPIVOTDATA("Sum of "&amp;T$9,'PT-All'!$A$1,"Scenario",T$12,"P&amp;L Item",$B131),0),IFERROR(GETPIVOTDATA("Sum of "&amp;T$9,'PT-All'!$A$1,"Scenario",T$12,"P&amp;L Item",$B131)/T$201,0),TEXT(IFERROR(GETPIVOTDATA("Sum of "&amp;T$9,'PT-All'!$A$1,"Scenario",T$12,"P&amp;L Item",$B131)/T$29,0),"0.00%"))</f>
        <v>0</v>
      </c>
      <c r="U131" s="592">
        <f>CHOOSE(PLColumn,IFERROR(GETPIVOTDATA("Sum of "&amp;U$9,'PT-All'!$A$1,"Scenario",U$12,"P&amp;L Item",$B131),0),IFERROR(GETPIVOTDATA("Sum of "&amp;U$9,'PT-All'!$A$1,"Scenario",U$12,"P&amp;L Item",$B131)/U$201,0),TEXT(IFERROR(GETPIVOTDATA("Sum of "&amp;U$9,'PT-All'!$A$1,"Scenario",U$12,"P&amp;L Item",$B131)/U$29,0),"0.00%"))</f>
        <v>0</v>
      </c>
      <c r="V131" s="592">
        <f>CHOOSE(PLColumn,IFERROR(GETPIVOTDATA("Sum of "&amp;V$9,'PT-All'!$A$1,"Scenario",V$12,"P&amp;L Item",$B131),0),IFERROR(GETPIVOTDATA("Sum of "&amp;V$9,'PT-All'!$A$1,"Scenario",V$12,"P&amp;L Item",$B131)/V$201,0),TEXT(IFERROR(GETPIVOTDATA("Sum of "&amp;V$9,'PT-All'!$A$1,"Scenario",V$12,"P&amp;L Item",$B131)/V$29,0),"0.00%"))</f>
        <v>0</v>
      </c>
      <c r="W131" s="592">
        <f>CHOOSE(PLColumn,IFERROR(GETPIVOTDATA("Sum of "&amp;W$9,'PT-All'!$A$1,"Scenario",W$12,"P&amp;L Item",$B131),0),IFERROR(GETPIVOTDATA("Sum of "&amp;W$9,'PT-All'!$A$1,"Scenario",W$12,"P&amp;L Item",$B131)/W$201,0),TEXT(IFERROR(GETPIVOTDATA("Sum of "&amp;W$9,'PT-All'!$A$1,"Scenario",W$12,"P&amp;L Item",$B131)/W$29,0),"0.00%"))</f>
        <v>0</v>
      </c>
      <c r="X131" s="592">
        <f>CHOOSE(PLColumn,IFERROR(GETPIVOTDATA("Sum of "&amp;X$9,'PT-All'!$A$1,"Scenario",X$12,"P&amp;L Item",$B131),0),IFERROR(GETPIVOTDATA("Sum of "&amp;X$9,'PT-All'!$A$1,"Scenario",X$12,"P&amp;L Item",$B131)/X$201,0),TEXT(IFERROR(GETPIVOTDATA("Sum of "&amp;X$9,'PT-All'!$A$1,"Scenario",X$12,"P&amp;L Item",$B131)/X$29,0),"0.00%"))</f>
        <v>0</v>
      </c>
      <c r="Y131" s="592">
        <f>CHOOSE(PLColumn,IFERROR(GETPIVOTDATA("Sum of "&amp;Y$9,'PT-All'!$A$1,"Scenario",Y$12,"P&amp;L Item",$B131),0),IFERROR(GETPIVOTDATA("Sum of "&amp;Y$9,'PT-All'!$A$1,"Scenario",Y$12,"P&amp;L Item",$B131)/Y$201,0),TEXT(IFERROR(GETPIVOTDATA("Sum of "&amp;Y$9,'PT-All'!$A$1,"Scenario",Y$12,"P&amp;L Item",$B131)/Y$29,0),"0.00%"))</f>
        <v>0</v>
      </c>
      <c r="Z131" s="592">
        <f>CHOOSE(PLColumn,IFERROR(GETPIVOTDATA("Sum of "&amp;Z$9,'PT-All'!$A$1,"Scenario",Z$12,"P&amp;L Item",$B131),0),IFERROR(GETPIVOTDATA("Sum of "&amp;Z$9,'PT-All'!$A$1,"Scenario",Z$12,"P&amp;L Item",$B131)/Z$201,0),TEXT(IFERROR(GETPIVOTDATA("Sum of "&amp;Z$9,'PT-All'!$A$1,"Scenario",Z$12,"P&amp;L Item",$B131)/Z$29,0),"0.00%"))</f>
        <v>0</v>
      </c>
      <c r="AA131" s="592">
        <f>CHOOSE(PLColumn,IFERROR(GETPIVOTDATA("Sum of "&amp;AA$9,'PT-All'!$A$1,"Scenario",AA$12,"P&amp;L Item",$B131),0),IFERROR(GETPIVOTDATA("Sum of "&amp;AA$9,'PT-All'!$A$1,"Scenario",AA$12,"P&amp;L Item",$B131)/AA$201,0),TEXT(IFERROR(GETPIVOTDATA("Sum of "&amp;AA$9,'PT-All'!$A$1,"Scenario",AA$12,"P&amp;L Item",$B131)/AA$29,0),"0.00%"))</f>
        <v>0</v>
      </c>
      <c r="AB131" s="592">
        <f>CHOOSE(PLColumn,IFERROR(GETPIVOTDATA("Sum of "&amp;AB$9,'PT-All'!$A$1,"Scenario",AB$12,"P&amp;L Item",$B131),0),IFERROR(GETPIVOTDATA("Sum of "&amp;AB$9,'PT-All'!$A$1,"Scenario",AB$12,"P&amp;L Item",$B131)/AB$201,0),TEXT(IFERROR(GETPIVOTDATA("Sum of "&amp;AB$9,'PT-All'!$A$1,"Scenario",AB$12,"P&amp;L Item",$B131)/AB$29,0),"0.00%"))</f>
        <v>0</v>
      </c>
      <c r="AC131" s="592">
        <f>CHOOSE(PLColumn,IFERROR(GETPIVOTDATA("Sum of "&amp;AC$9,'PT-All'!$A$1,"Scenario",AC$12,"P&amp;L Item",$B131),0),IFERROR(GETPIVOTDATA("Sum of "&amp;AC$9,'PT-All'!$A$1,"Scenario",AC$12,"P&amp;L Item",$B131)/AC$201,0),TEXT(IFERROR(GETPIVOTDATA("Sum of "&amp;AC$9,'PT-All'!$A$1,"Scenario",AC$12,"P&amp;L Item",$B131)/AC$29,0),"0.00%"))</f>
        <v>0</v>
      </c>
      <c r="AD131" s="592">
        <f>CHOOSE(PLColumn,IFERROR(GETPIVOTDATA("Sum of "&amp;AD$9,'PT-All'!$A$1,"Scenario",AD$12,"P&amp;L Item",$B131),0),IFERROR(GETPIVOTDATA("Sum of "&amp;AD$9,'PT-All'!$A$1,"Scenario",AD$12,"P&amp;L Item",$B131)/AD$201,0),TEXT(IFERROR(GETPIVOTDATA("Sum of "&amp;AD$9,'PT-All'!$A$1,"Scenario",AD$12,"P&amp;L Item",$B131)/AD$29,0),"0.00%"))</f>
        <v>0</v>
      </c>
      <c r="AE131" s="592">
        <f>CHOOSE(PLColumn,IFERROR(GETPIVOTDATA("Sum of "&amp;AE$9,'PT-All'!$A$1,"Scenario",AE$12,"P&amp;L Item",$B131),0),IFERROR(GETPIVOTDATA("Sum of "&amp;AE$9,'PT-All'!$A$1,"Scenario",AE$12,"P&amp;L Item",$B131)/AE$201,0),TEXT(IFERROR(GETPIVOTDATA("Sum of "&amp;AE$9,'PT-All'!$A$1,"Scenario",AE$12,"P&amp;L Item",$B131)/AE$29,0),"0.00%"))</f>
        <v>0</v>
      </c>
      <c r="AF131" s="592">
        <f>CHOOSE(PLColumn,IFERROR(GETPIVOTDATA("Sum of "&amp;AF$9,'PT-All'!$A$1,"Scenario",AF$12,"P&amp;L Item",$B131),0),IFERROR(GETPIVOTDATA("Sum of "&amp;AF$9,'PT-All'!$A$1,"Scenario",AF$12,"P&amp;L Item",$B131)/AF$201,0),TEXT(IFERROR(GETPIVOTDATA("Sum of "&amp;AF$9,'PT-All'!$A$1,"Scenario",AF$12,"P&amp;L Item",$B131)/AF$29,0),"0.00%"))</f>
        <v>0</v>
      </c>
      <c r="AG131" s="592">
        <f>CHOOSE(PLColumn,IFERROR(GETPIVOTDATA("Sum of "&amp;AG$9,'PT-All'!$A$1,"Scenario",AG$12,"P&amp;L Item",$B131),0),IFERROR(GETPIVOTDATA("Sum of "&amp;AG$9,'PT-All'!$A$1,"Scenario",AG$12,"P&amp;L Item",$B131)/AG$201,0),TEXT(IFERROR(GETPIVOTDATA("Sum of "&amp;AG$9,'PT-All'!$A$1,"Scenario",AG$12,"P&amp;L Item",$B131)/AG$29,0),"0.00%"))</f>
        <v>0</v>
      </c>
      <c r="AH131" s="592">
        <f>CHOOSE(PLColumn,IFERROR(GETPIVOTDATA("Sum of "&amp;AH$9,'PT-All'!$A$1,"Scenario",AH$12,"P&amp;L Item",$B131),0),IFERROR(GETPIVOTDATA("Sum of "&amp;AH$9,'PT-All'!$A$1,"Scenario",AH$12,"P&amp;L Item",$B131)/AH$201,0),TEXT(IFERROR(GETPIVOTDATA("Sum of "&amp;AH$9,'PT-All'!$A$1,"Scenario",AH$12,"P&amp;L Item",$B131)/AH$29,0),"0.00%"))</f>
        <v>0</v>
      </c>
      <c r="AI131" s="592">
        <f>CHOOSE(PLColumn,IFERROR(GETPIVOTDATA("Sum of "&amp;AI$9,'PT-All'!$A$1,"Scenario",AI$12,"P&amp;L Item",$B131),0),IFERROR(GETPIVOTDATA("Sum of "&amp;AI$9,'PT-All'!$A$1,"Scenario",AI$12,"P&amp;L Item",$B131)/AI$201,0),TEXT(IFERROR(GETPIVOTDATA("Sum of "&amp;AI$9,'PT-All'!$A$1,"Scenario",AI$12,"P&amp;L Item",$B131)/AI$29,0),"0.00%"))</f>
        <v>0</v>
      </c>
      <c r="AJ131" s="592">
        <f>CHOOSE(PLColumn,IFERROR(GETPIVOTDATA("Sum of "&amp;AJ$9,'PT-All'!$A$1,"Scenario",AJ$12,"P&amp;L Item",$B131),0),IFERROR(GETPIVOTDATA("Sum of "&amp;AJ$9,'PT-All'!$A$1,"Scenario",AJ$12,"P&amp;L Item",$B131)/AJ$201,0),TEXT(IFERROR(GETPIVOTDATA("Sum of "&amp;AJ$9,'PT-All'!$A$1,"Scenario",AJ$12,"P&amp;L Item",$B131)/AJ$29,0),"0.00%"))</f>
        <v>0</v>
      </c>
      <c r="AK131" s="592">
        <f>CHOOSE(PLColumn,IFERROR(GETPIVOTDATA("Sum of "&amp;AK$9,'PT-All'!$A$1,"Scenario",AK$12,"P&amp;L Item",$B131),0),IFERROR(GETPIVOTDATA("Sum of "&amp;AK$9,'PT-All'!$A$1,"Scenario",AK$12,"P&amp;L Item",$B131)/AK$201,0),TEXT(IFERROR(GETPIVOTDATA("Sum of "&amp;AK$9,'PT-All'!$A$1,"Scenario",AK$12,"P&amp;L Item",$B131)/AK$29,0),"0.00%"))</f>
        <v>0</v>
      </c>
      <c r="AL131" s="593">
        <f>CHOOSE(PLColumn,IFERROR(GETPIVOTDATA("Sum of "&amp;AL$9,'PT-All'!$A$1,"Scenario",AL$12,"P&amp;L Item",$B131),0),IFERROR(GETPIVOTDATA("Sum of "&amp;AL$9,'PT-All'!$A$1,"Scenario",AL$12,"P&amp;L Item",$B131)/AL$201,0),TEXT(IFERROR(GETPIVOTDATA("Sum of "&amp;AL$9,'PT-All'!$A$1,"Scenario",AL$12,"P&amp;L Item",$B131)/AL$29,0),"0.00%"))</f>
        <v>0</v>
      </c>
      <c r="AM131" s="590"/>
      <c r="AN131" s="594">
        <f ca="1">IF(AN$12="Pro Forma",SUM(OFFSET($B131,0,3*AN$9+1,1,3)),IFERROR(GETPIVOTDATA("Sum of Q"&amp;AN$9+1,'PT-All'!$A$1,"Scenario",AN$12,"P&amp;L Item",$B131),0))</f>
        <v>0</v>
      </c>
      <c r="AO131" s="592">
        <f ca="1">IF(AO$12="Pro Forma",SUM(OFFSET($B131,0,3*AO$9+1,1,3)),IFERROR(GETPIVOTDATA("Sum of Q"&amp;AO$9+1,'PT-All'!$A$1,"Scenario",AO$12,"P&amp;L Item",$B131),0))</f>
        <v>0</v>
      </c>
      <c r="AP131" s="592">
        <f ca="1">IF(AP$12="Pro Forma",SUM(OFFSET($B131,0,3*AP$9+1,1,3)),IFERROR(GETPIVOTDATA("Sum of Q"&amp;AP$9+1,'PT-All'!$A$1,"Scenario",AP$12,"P&amp;L Item",$B131),0))</f>
        <v>0</v>
      </c>
      <c r="AQ131" s="592">
        <f ca="1">IF(AQ$12="Pro Forma",SUM(OFFSET($B131,0,3*AQ$9+1,1,3)),IFERROR(GETPIVOTDATA("Sum of Q"&amp;AQ$9+1,'PT-All'!$A$1,"Scenario",AQ$12,"P&amp;L Item",$B131),0))</f>
        <v>0</v>
      </c>
      <c r="AR131" s="592">
        <f ca="1">IF(AR$12="Pro Forma",SUM(OFFSET($B131,0,3*AR$9+1,1,3)),IFERROR(GETPIVOTDATA("Sum of Q"&amp;AR$9+1,'PT-All'!$A$1,"Scenario",AR$12,"P&amp;L Item",$B131),0))</f>
        <v>0</v>
      </c>
      <c r="AS131" s="592">
        <f ca="1">IF(AS$12="Pro Forma",SUM(OFFSET($B131,0,3*AS$9+1,1,3)),IFERROR(GETPIVOTDATA("Sum of Q"&amp;AS$9+1,'PT-All'!$A$1,"Scenario",AS$12,"P&amp;L Item",$B131),0))</f>
        <v>0</v>
      </c>
      <c r="AT131" s="592">
        <f ca="1">IF(AT$12="Pro Forma",SUM(OFFSET($B131,0,3*AT$9+1,1,3)),IFERROR(GETPIVOTDATA("Sum of Q"&amp;AT$9+1,'PT-All'!$A$1,"Scenario",AT$12,"P&amp;L Item",$B131),0))</f>
        <v>0</v>
      </c>
      <c r="AU131" s="592">
        <f ca="1">IF(AU$12="Pro Forma",SUM(OFFSET($B131,0,3*AU$9+1,1,3)),IFERROR(GETPIVOTDATA("Sum of Q"&amp;AU$9+1,'PT-All'!$A$1,"Scenario",AU$12,"P&amp;L Item",$B131),0))</f>
        <v>0</v>
      </c>
      <c r="AV131" s="592">
        <f ca="1">IF(AV$12="Pro Forma",SUM(OFFSET($B131,0,3*AV$9+1,1,3)),IFERROR(GETPIVOTDATA("Sum of Q"&amp;AV$9+1,'PT-All'!$A$1,"Scenario",AV$12,"P&amp;L Item",$B131),0))</f>
        <v>0</v>
      </c>
      <c r="AW131" s="592">
        <f ca="1">IF(AW$12="Pro Forma",SUM(OFFSET($B131,0,3*AW$9+1,1,3)),IFERROR(GETPIVOTDATA("Sum of Q"&amp;AW$9+1,'PT-All'!$A$1,"Scenario",AW$12,"P&amp;L Item",$B131),0))</f>
        <v>0</v>
      </c>
      <c r="AX131" s="592">
        <f ca="1">IF(AX$12="Pro Forma",SUM(OFFSET($B131,0,3*AX$9+1,1,3)),IFERROR(GETPIVOTDATA("Sum of Q"&amp;AX$9+1,'PT-All'!$A$1,"Scenario",AX$12,"P&amp;L Item",$B131),0))</f>
        <v>0</v>
      </c>
      <c r="AY131" s="593">
        <f ca="1">IF(AY$12="Pro Forma",SUM(OFFSET($B131,0,3*AY$9+1,1,3)),IFERROR(GETPIVOTDATA("Sum of Q"&amp;AY$9+1,'PT-All'!$A$1,"Scenario",AY$12,"P&amp;L Item",$B131),0))</f>
        <v>0</v>
      </c>
      <c r="AZ131" s="590"/>
      <c r="BA131" s="594">
        <f ca="1">IF(BA$12="Pro Forma",SUM(OFFSET($B131,0,12*BA$9+1,1,12)),IFERROR(GETPIVOTDATA("Sum of FY"&amp;BA$9+1,'PT-All'!$A$1,"Scenario",BA$12,"P&amp;L Item",$B131),0))</f>
        <v>0</v>
      </c>
      <c r="BB131" s="592">
        <f ca="1">IF(BB$12="Pro Forma",SUM(OFFSET($B131,0,12*BB$9+1,1,12)),IFERROR(GETPIVOTDATA("Sum of FY"&amp;BB$9+1,'PT-All'!$A$1,"Scenario",BB$12,"P&amp;L Item",$B131),0))</f>
        <v>0</v>
      </c>
      <c r="BC131" s="593">
        <f ca="1">IF(BC$12="Pro Forma",SUM(OFFSET($B131,0,12*BC$9+1,1,12)),IFERROR(GETPIVOTDATA("Sum of FY"&amp;BC$9+1,'PT-All'!$A$1,"Scenario",BC$12,"P&amp;L Item",$B131),0))</f>
        <v>0</v>
      </c>
    </row>
    <row r="132" spans="2:55" ht="15" x14ac:dyDescent="0.4">
      <c r="B132" s="360" t="s">
        <v>162</v>
      </c>
      <c r="C132" s="86">
        <f t="shared" ref="C132:AN132" si="289">SUM(C133:C140)</f>
        <v>0</v>
      </c>
      <c r="D132" s="86">
        <f t="shared" si="289"/>
        <v>0</v>
      </c>
      <c r="E132" s="86">
        <f t="shared" si="289"/>
        <v>0</v>
      </c>
      <c r="F132" s="86">
        <f t="shared" si="289"/>
        <v>0</v>
      </c>
      <c r="G132" s="86">
        <f t="shared" si="289"/>
        <v>0</v>
      </c>
      <c r="H132" s="86">
        <f t="shared" si="289"/>
        <v>0</v>
      </c>
      <c r="I132" s="86">
        <f t="shared" si="289"/>
        <v>0</v>
      </c>
      <c r="J132" s="86">
        <f t="shared" si="289"/>
        <v>0</v>
      </c>
      <c r="K132" s="86">
        <f t="shared" si="289"/>
        <v>0</v>
      </c>
      <c r="L132" s="86">
        <f t="shared" si="289"/>
        <v>0</v>
      </c>
      <c r="M132" s="86">
        <f t="shared" si="289"/>
        <v>0</v>
      </c>
      <c r="N132" s="86">
        <f t="shared" si="289"/>
        <v>0</v>
      </c>
      <c r="O132" s="86">
        <f t="shared" si="289"/>
        <v>0</v>
      </c>
      <c r="P132" s="86">
        <f t="shared" si="289"/>
        <v>0</v>
      </c>
      <c r="Q132" s="86">
        <f t="shared" si="289"/>
        <v>0</v>
      </c>
      <c r="R132" s="86">
        <f t="shared" si="289"/>
        <v>0</v>
      </c>
      <c r="S132" s="86">
        <f t="shared" si="289"/>
        <v>0</v>
      </c>
      <c r="T132" s="86">
        <f t="shared" si="289"/>
        <v>0</v>
      </c>
      <c r="U132" s="86">
        <f t="shared" si="289"/>
        <v>0</v>
      </c>
      <c r="V132" s="86">
        <f t="shared" si="289"/>
        <v>0</v>
      </c>
      <c r="W132" s="86">
        <f t="shared" si="289"/>
        <v>0</v>
      </c>
      <c r="X132" s="86">
        <f t="shared" si="289"/>
        <v>0</v>
      </c>
      <c r="Y132" s="86">
        <f t="shared" si="289"/>
        <v>0</v>
      </c>
      <c r="Z132" s="86">
        <f t="shared" ref="Z132:AL132" si="290">SUM(Z133:Z140)</f>
        <v>0</v>
      </c>
      <c r="AA132" s="86">
        <f t="shared" si="290"/>
        <v>0</v>
      </c>
      <c r="AB132" s="86">
        <f t="shared" si="290"/>
        <v>0</v>
      </c>
      <c r="AC132" s="86">
        <f t="shared" si="290"/>
        <v>0</v>
      </c>
      <c r="AD132" s="86">
        <f t="shared" si="290"/>
        <v>0</v>
      </c>
      <c r="AE132" s="86">
        <f t="shared" si="290"/>
        <v>0</v>
      </c>
      <c r="AF132" s="86">
        <f t="shared" si="290"/>
        <v>0</v>
      </c>
      <c r="AG132" s="86">
        <f t="shared" si="290"/>
        <v>0</v>
      </c>
      <c r="AH132" s="86">
        <f t="shared" si="290"/>
        <v>0</v>
      </c>
      <c r="AI132" s="86">
        <f t="shared" si="290"/>
        <v>0</v>
      </c>
      <c r="AJ132" s="86">
        <f t="shared" si="290"/>
        <v>0</v>
      </c>
      <c r="AK132" s="86">
        <f t="shared" si="290"/>
        <v>0</v>
      </c>
      <c r="AL132" s="102">
        <f t="shared" si="290"/>
        <v>0</v>
      </c>
      <c r="AM132" s="590"/>
      <c r="AN132" s="113">
        <f t="shared" ca="1" si="289"/>
        <v>0</v>
      </c>
      <c r="AO132" s="86">
        <f t="shared" ref="AO132" ca="1" si="291">SUM(AO133:AO140)</f>
        <v>0</v>
      </c>
      <c r="AP132" s="86">
        <f t="shared" ref="AP132" ca="1" si="292">SUM(AP133:AP140)</f>
        <v>0</v>
      </c>
      <c r="AQ132" s="86">
        <f t="shared" ref="AQ132" ca="1" si="293">SUM(AQ133:AQ140)</f>
        <v>0</v>
      </c>
      <c r="AR132" s="86">
        <f t="shared" ref="AR132" ca="1" si="294">SUM(AR133:AR140)</f>
        <v>0</v>
      </c>
      <c r="AS132" s="86">
        <f t="shared" ref="AS132" ca="1" si="295">SUM(AS133:AS140)</f>
        <v>0</v>
      </c>
      <c r="AT132" s="86">
        <f t="shared" ref="AT132:AY132" ca="1" si="296">SUM(AT133:AT140)</f>
        <v>0</v>
      </c>
      <c r="AU132" s="86">
        <f t="shared" ca="1" si="296"/>
        <v>0</v>
      </c>
      <c r="AV132" s="86">
        <f t="shared" ca="1" si="296"/>
        <v>0</v>
      </c>
      <c r="AW132" s="86">
        <f t="shared" ca="1" si="296"/>
        <v>0</v>
      </c>
      <c r="AX132" s="86">
        <f t="shared" ca="1" si="296"/>
        <v>0</v>
      </c>
      <c r="AY132" s="102">
        <f t="shared" ca="1" si="296"/>
        <v>0</v>
      </c>
      <c r="AZ132" s="590"/>
      <c r="BA132" s="113">
        <f t="shared" ref="BA132" ca="1" si="297">SUM(BA133:BA140)</f>
        <v>0</v>
      </c>
      <c r="BB132" s="86">
        <f t="shared" ref="BB132:BC132" ca="1" si="298">SUM(BB133:BB140)</f>
        <v>0</v>
      </c>
      <c r="BC132" s="102">
        <f t="shared" ca="1" si="298"/>
        <v>0</v>
      </c>
    </row>
    <row r="133" spans="2:55" x14ac:dyDescent="0.35">
      <c r="B133" s="64" t="s">
        <v>163</v>
      </c>
      <c r="C133" s="65">
        <f>CHOOSE(PLColumn,IFERROR(GETPIVOTDATA("Sum of "&amp;C$9,'PT-All'!$A$1,"Scenario",C$12,"P&amp;L Item",$B133),0),IFERROR(GETPIVOTDATA("Sum of "&amp;C$9,'PT-All'!$A$1,"Scenario",C$12,"P&amp;L Item",$B133)/C$201,0),TEXT(IFERROR(GETPIVOTDATA("Sum of "&amp;C$9,'PT-All'!$A$1,"Scenario",C$12,"P&amp;L Item",$B133)/C$29,0),"0.00%"))</f>
        <v>0</v>
      </c>
      <c r="D133" s="65">
        <f>CHOOSE(PLColumn,IFERROR(GETPIVOTDATA("Sum of "&amp;D$9,'PT-All'!$A$1,"Scenario",D$12,"P&amp;L Item",$B133),0),IFERROR(GETPIVOTDATA("Sum of "&amp;D$9,'PT-All'!$A$1,"Scenario",D$12,"P&amp;L Item",$B133)/D$201,0),TEXT(IFERROR(GETPIVOTDATA("Sum of "&amp;D$9,'PT-All'!$A$1,"Scenario",D$12,"P&amp;L Item",$B133)/D$29,0),"0.00%"))</f>
        <v>0</v>
      </c>
      <c r="E133" s="65">
        <f>CHOOSE(PLColumn,IFERROR(GETPIVOTDATA("Sum of "&amp;E$9,'PT-All'!$A$1,"Scenario",E$12,"P&amp;L Item",$B133),0),IFERROR(GETPIVOTDATA("Sum of "&amp;E$9,'PT-All'!$A$1,"Scenario",E$12,"P&amp;L Item",$B133)/E$201,0),TEXT(IFERROR(GETPIVOTDATA("Sum of "&amp;E$9,'PT-All'!$A$1,"Scenario",E$12,"P&amp;L Item",$B133)/E$29,0),"0.00%"))</f>
        <v>0</v>
      </c>
      <c r="F133" s="65">
        <f>CHOOSE(PLColumn,IFERROR(GETPIVOTDATA("Sum of "&amp;F$9,'PT-All'!$A$1,"Scenario",F$12,"P&amp;L Item",$B133),0),IFERROR(GETPIVOTDATA("Sum of "&amp;F$9,'PT-All'!$A$1,"Scenario",F$12,"P&amp;L Item",$B133)/F$201,0),TEXT(IFERROR(GETPIVOTDATA("Sum of "&amp;F$9,'PT-All'!$A$1,"Scenario",F$12,"P&amp;L Item",$B133)/F$29,0),"0.00%"))</f>
        <v>0</v>
      </c>
      <c r="G133" s="65">
        <f>CHOOSE(PLColumn,IFERROR(GETPIVOTDATA("Sum of "&amp;G$9,'PT-All'!$A$1,"Scenario",G$12,"P&amp;L Item",$B133),0),IFERROR(GETPIVOTDATA("Sum of "&amp;G$9,'PT-All'!$A$1,"Scenario",G$12,"P&amp;L Item",$B133)/G$201,0),TEXT(IFERROR(GETPIVOTDATA("Sum of "&amp;G$9,'PT-All'!$A$1,"Scenario",G$12,"P&amp;L Item",$B133)/G$29,0),"0.00%"))</f>
        <v>0</v>
      </c>
      <c r="H133" s="65">
        <f>CHOOSE(PLColumn,IFERROR(GETPIVOTDATA("Sum of "&amp;H$9,'PT-All'!$A$1,"Scenario",H$12,"P&amp;L Item",$B133),0),IFERROR(GETPIVOTDATA("Sum of "&amp;H$9,'PT-All'!$A$1,"Scenario",H$12,"P&amp;L Item",$B133)/H$201,0),TEXT(IFERROR(GETPIVOTDATA("Sum of "&amp;H$9,'PT-All'!$A$1,"Scenario",H$12,"P&amp;L Item",$B133)/H$29,0),"0.00%"))</f>
        <v>0</v>
      </c>
      <c r="I133" s="65">
        <f>CHOOSE(PLColumn,IFERROR(GETPIVOTDATA("Sum of "&amp;I$9,'PT-All'!$A$1,"Scenario",I$12,"P&amp;L Item",$B133),0),IFERROR(GETPIVOTDATA("Sum of "&amp;I$9,'PT-All'!$A$1,"Scenario",I$12,"P&amp;L Item",$B133)/I$201,0),TEXT(IFERROR(GETPIVOTDATA("Sum of "&amp;I$9,'PT-All'!$A$1,"Scenario",I$12,"P&amp;L Item",$B133)/I$29,0),"0.00%"))</f>
        <v>0</v>
      </c>
      <c r="J133" s="65">
        <f>CHOOSE(PLColumn,IFERROR(GETPIVOTDATA("Sum of "&amp;J$9,'PT-All'!$A$1,"Scenario",J$12,"P&amp;L Item",$B133),0),IFERROR(GETPIVOTDATA("Sum of "&amp;J$9,'PT-All'!$A$1,"Scenario",J$12,"P&amp;L Item",$B133)/J$201,0),TEXT(IFERROR(GETPIVOTDATA("Sum of "&amp;J$9,'PT-All'!$A$1,"Scenario",J$12,"P&amp;L Item",$B133)/J$29,0),"0.00%"))</f>
        <v>0</v>
      </c>
      <c r="K133" s="65">
        <f>CHOOSE(PLColumn,IFERROR(GETPIVOTDATA("Sum of "&amp;K$9,'PT-All'!$A$1,"Scenario",K$12,"P&amp;L Item",$B133),0),IFERROR(GETPIVOTDATA("Sum of "&amp;K$9,'PT-All'!$A$1,"Scenario",K$12,"P&amp;L Item",$B133)/K$201,0),TEXT(IFERROR(GETPIVOTDATA("Sum of "&amp;K$9,'PT-All'!$A$1,"Scenario",K$12,"P&amp;L Item",$B133)/K$29,0),"0.00%"))</f>
        <v>0</v>
      </c>
      <c r="L133" s="65">
        <f>CHOOSE(PLColumn,IFERROR(GETPIVOTDATA("Sum of "&amp;L$9,'PT-All'!$A$1,"Scenario",L$12,"P&amp;L Item",$B133),0),IFERROR(GETPIVOTDATA("Sum of "&amp;L$9,'PT-All'!$A$1,"Scenario",L$12,"P&amp;L Item",$B133)/L$201,0),TEXT(IFERROR(GETPIVOTDATA("Sum of "&amp;L$9,'PT-All'!$A$1,"Scenario",L$12,"P&amp;L Item",$B133)/L$29,0),"0.00%"))</f>
        <v>0</v>
      </c>
      <c r="M133" s="65">
        <f>CHOOSE(PLColumn,IFERROR(GETPIVOTDATA("Sum of "&amp;M$9,'PT-All'!$A$1,"Scenario",M$12,"P&amp;L Item",$B133),0),IFERROR(GETPIVOTDATA("Sum of "&amp;M$9,'PT-All'!$A$1,"Scenario",M$12,"P&amp;L Item",$B133)/M$201,0),TEXT(IFERROR(GETPIVOTDATA("Sum of "&amp;M$9,'PT-All'!$A$1,"Scenario",M$12,"P&amp;L Item",$B133)/M$29,0),"0.00%"))</f>
        <v>0</v>
      </c>
      <c r="N133" s="65">
        <f>CHOOSE(PLColumn,IFERROR(GETPIVOTDATA("Sum of "&amp;N$9,'PT-All'!$A$1,"Scenario",N$12,"P&amp;L Item",$B133),0),IFERROR(GETPIVOTDATA("Sum of "&amp;N$9,'PT-All'!$A$1,"Scenario",N$12,"P&amp;L Item",$B133)/N$201,0),TEXT(IFERROR(GETPIVOTDATA("Sum of "&amp;N$9,'PT-All'!$A$1,"Scenario",N$12,"P&amp;L Item",$B133)/N$29,0),"0.00%"))</f>
        <v>0</v>
      </c>
      <c r="O133" s="65">
        <f>CHOOSE(PLColumn,IFERROR(GETPIVOTDATA("Sum of "&amp;O$9,'PT-All'!$A$1,"Scenario",O$12,"P&amp;L Item",$B133),0),IFERROR(GETPIVOTDATA("Sum of "&amp;O$9,'PT-All'!$A$1,"Scenario",O$12,"P&amp;L Item",$B133)/O$201,0),TEXT(IFERROR(GETPIVOTDATA("Sum of "&amp;O$9,'PT-All'!$A$1,"Scenario",O$12,"P&amp;L Item",$B133)/O$29,0),"0.00%"))</f>
        <v>0</v>
      </c>
      <c r="P133" s="65">
        <f>CHOOSE(PLColumn,IFERROR(GETPIVOTDATA("Sum of "&amp;P$9,'PT-All'!$A$1,"Scenario",P$12,"P&amp;L Item",$B133),0),IFERROR(GETPIVOTDATA("Sum of "&amp;P$9,'PT-All'!$A$1,"Scenario",P$12,"P&amp;L Item",$B133)/P$201,0),TEXT(IFERROR(GETPIVOTDATA("Sum of "&amp;P$9,'PT-All'!$A$1,"Scenario",P$12,"P&amp;L Item",$B133)/P$29,0),"0.00%"))</f>
        <v>0</v>
      </c>
      <c r="Q133" s="65">
        <f>CHOOSE(PLColumn,IFERROR(GETPIVOTDATA("Sum of "&amp;Q$9,'PT-All'!$A$1,"Scenario",Q$12,"P&amp;L Item",$B133),0),IFERROR(GETPIVOTDATA("Sum of "&amp;Q$9,'PT-All'!$A$1,"Scenario",Q$12,"P&amp;L Item",$B133)/Q$201,0),TEXT(IFERROR(GETPIVOTDATA("Sum of "&amp;Q$9,'PT-All'!$A$1,"Scenario",Q$12,"P&amp;L Item",$B133)/Q$29,0),"0.00%"))</f>
        <v>0</v>
      </c>
      <c r="R133" s="65">
        <f>CHOOSE(PLColumn,IFERROR(GETPIVOTDATA("Sum of "&amp;R$9,'PT-All'!$A$1,"Scenario",R$12,"P&amp;L Item",$B133),0),IFERROR(GETPIVOTDATA("Sum of "&amp;R$9,'PT-All'!$A$1,"Scenario",R$12,"P&amp;L Item",$B133)/R$201,0),TEXT(IFERROR(GETPIVOTDATA("Sum of "&amp;R$9,'PT-All'!$A$1,"Scenario",R$12,"P&amp;L Item",$B133)/R$29,0),"0.00%"))</f>
        <v>0</v>
      </c>
      <c r="S133" s="65">
        <f>CHOOSE(PLColumn,IFERROR(GETPIVOTDATA("Sum of "&amp;S$9,'PT-All'!$A$1,"Scenario",S$12,"P&amp;L Item",$B133),0),IFERROR(GETPIVOTDATA("Sum of "&amp;S$9,'PT-All'!$A$1,"Scenario",S$12,"P&amp;L Item",$B133)/S$201,0),TEXT(IFERROR(GETPIVOTDATA("Sum of "&amp;S$9,'PT-All'!$A$1,"Scenario",S$12,"P&amp;L Item",$B133)/S$29,0),"0.00%"))</f>
        <v>0</v>
      </c>
      <c r="T133" s="65">
        <f>CHOOSE(PLColumn,IFERROR(GETPIVOTDATA("Sum of "&amp;T$9,'PT-All'!$A$1,"Scenario",T$12,"P&amp;L Item",$B133),0),IFERROR(GETPIVOTDATA("Sum of "&amp;T$9,'PT-All'!$A$1,"Scenario",T$12,"P&amp;L Item",$B133)/T$201,0),TEXT(IFERROR(GETPIVOTDATA("Sum of "&amp;T$9,'PT-All'!$A$1,"Scenario",T$12,"P&amp;L Item",$B133)/T$29,0),"0.00%"))</f>
        <v>0</v>
      </c>
      <c r="U133" s="65">
        <f>CHOOSE(PLColumn,IFERROR(GETPIVOTDATA("Sum of "&amp;U$9,'PT-All'!$A$1,"Scenario",U$12,"P&amp;L Item",$B133),0),IFERROR(GETPIVOTDATA("Sum of "&amp;U$9,'PT-All'!$A$1,"Scenario",U$12,"P&amp;L Item",$B133)/U$201,0),TEXT(IFERROR(GETPIVOTDATA("Sum of "&amp;U$9,'PT-All'!$A$1,"Scenario",U$12,"P&amp;L Item",$B133)/U$29,0),"0.00%"))</f>
        <v>0</v>
      </c>
      <c r="V133" s="65">
        <f>CHOOSE(PLColumn,IFERROR(GETPIVOTDATA("Sum of "&amp;V$9,'PT-All'!$A$1,"Scenario",V$12,"P&amp;L Item",$B133),0),IFERROR(GETPIVOTDATA("Sum of "&amp;V$9,'PT-All'!$A$1,"Scenario",V$12,"P&amp;L Item",$B133)/V$201,0),TEXT(IFERROR(GETPIVOTDATA("Sum of "&amp;V$9,'PT-All'!$A$1,"Scenario",V$12,"P&amp;L Item",$B133)/V$29,0),"0.00%"))</f>
        <v>0</v>
      </c>
      <c r="W133" s="65">
        <f>CHOOSE(PLColumn,IFERROR(GETPIVOTDATA("Sum of "&amp;W$9,'PT-All'!$A$1,"Scenario",W$12,"P&amp;L Item",$B133),0),IFERROR(GETPIVOTDATA("Sum of "&amp;W$9,'PT-All'!$A$1,"Scenario",W$12,"P&amp;L Item",$B133)/W$201,0),TEXT(IFERROR(GETPIVOTDATA("Sum of "&amp;W$9,'PT-All'!$A$1,"Scenario",W$12,"P&amp;L Item",$B133)/W$29,0),"0.00%"))</f>
        <v>0</v>
      </c>
      <c r="X133" s="65">
        <f>CHOOSE(PLColumn,IFERROR(GETPIVOTDATA("Sum of "&amp;X$9,'PT-All'!$A$1,"Scenario",X$12,"P&amp;L Item",$B133),0),IFERROR(GETPIVOTDATA("Sum of "&amp;X$9,'PT-All'!$A$1,"Scenario",X$12,"P&amp;L Item",$B133)/X$201,0),TEXT(IFERROR(GETPIVOTDATA("Sum of "&amp;X$9,'PT-All'!$A$1,"Scenario",X$12,"P&amp;L Item",$B133)/X$29,0),"0.00%"))</f>
        <v>0</v>
      </c>
      <c r="Y133" s="65">
        <f>CHOOSE(PLColumn,IFERROR(GETPIVOTDATA("Sum of "&amp;Y$9,'PT-All'!$A$1,"Scenario",Y$12,"P&amp;L Item",$B133),0),IFERROR(GETPIVOTDATA("Sum of "&amp;Y$9,'PT-All'!$A$1,"Scenario",Y$12,"P&amp;L Item",$B133)/Y$201,0),TEXT(IFERROR(GETPIVOTDATA("Sum of "&amp;Y$9,'PT-All'!$A$1,"Scenario",Y$12,"P&amp;L Item",$B133)/Y$29,0),"0.00%"))</f>
        <v>0</v>
      </c>
      <c r="Z133" s="65">
        <f>CHOOSE(PLColumn,IFERROR(GETPIVOTDATA("Sum of "&amp;Z$9,'PT-All'!$A$1,"Scenario",Z$12,"P&amp;L Item",$B133),0),IFERROR(GETPIVOTDATA("Sum of "&amp;Z$9,'PT-All'!$A$1,"Scenario",Z$12,"P&amp;L Item",$B133)/Z$201,0),TEXT(IFERROR(GETPIVOTDATA("Sum of "&amp;Z$9,'PT-All'!$A$1,"Scenario",Z$12,"P&amp;L Item",$B133)/Z$29,0),"0.00%"))</f>
        <v>0</v>
      </c>
      <c r="AA133" s="65">
        <f>CHOOSE(PLColumn,IFERROR(GETPIVOTDATA("Sum of "&amp;AA$9,'PT-All'!$A$1,"Scenario",AA$12,"P&amp;L Item",$B133),0),IFERROR(GETPIVOTDATA("Sum of "&amp;AA$9,'PT-All'!$A$1,"Scenario",AA$12,"P&amp;L Item",$B133)/AA$201,0),TEXT(IFERROR(GETPIVOTDATA("Sum of "&amp;AA$9,'PT-All'!$A$1,"Scenario",AA$12,"P&amp;L Item",$B133)/AA$29,0),"0.00%"))</f>
        <v>0</v>
      </c>
      <c r="AB133" s="65">
        <f>CHOOSE(PLColumn,IFERROR(GETPIVOTDATA("Sum of "&amp;AB$9,'PT-All'!$A$1,"Scenario",AB$12,"P&amp;L Item",$B133),0),IFERROR(GETPIVOTDATA("Sum of "&amp;AB$9,'PT-All'!$A$1,"Scenario",AB$12,"P&amp;L Item",$B133)/AB$201,0),TEXT(IFERROR(GETPIVOTDATA("Sum of "&amp;AB$9,'PT-All'!$A$1,"Scenario",AB$12,"P&amp;L Item",$B133)/AB$29,0),"0.00%"))</f>
        <v>0</v>
      </c>
      <c r="AC133" s="65">
        <f>CHOOSE(PLColumn,IFERROR(GETPIVOTDATA("Sum of "&amp;AC$9,'PT-All'!$A$1,"Scenario",AC$12,"P&amp;L Item",$B133),0),IFERROR(GETPIVOTDATA("Sum of "&amp;AC$9,'PT-All'!$A$1,"Scenario",AC$12,"P&amp;L Item",$B133)/AC$201,0),TEXT(IFERROR(GETPIVOTDATA("Sum of "&amp;AC$9,'PT-All'!$A$1,"Scenario",AC$12,"P&amp;L Item",$B133)/AC$29,0),"0.00%"))</f>
        <v>0</v>
      </c>
      <c r="AD133" s="65">
        <f>CHOOSE(PLColumn,IFERROR(GETPIVOTDATA("Sum of "&amp;AD$9,'PT-All'!$A$1,"Scenario",AD$12,"P&amp;L Item",$B133),0),IFERROR(GETPIVOTDATA("Sum of "&amp;AD$9,'PT-All'!$A$1,"Scenario",AD$12,"P&amp;L Item",$B133)/AD$201,0),TEXT(IFERROR(GETPIVOTDATA("Sum of "&amp;AD$9,'PT-All'!$A$1,"Scenario",AD$12,"P&amp;L Item",$B133)/AD$29,0),"0.00%"))</f>
        <v>0</v>
      </c>
      <c r="AE133" s="65">
        <f>CHOOSE(PLColumn,IFERROR(GETPIVOTDATA("Sum of "&amp;AE$9,'PT-All'!$A$1,"Scenario",AE$12,"P&amp;L Item",$B133),0),IFERROR(GETPIVOTDATA("Sum of "&amp;AE$9,'PT-All'!$A$1,"Scenario",AE$12,"P&amp;L Item",$B133)/AE$201,0),TEXT(IFERROR(GETPIVOTDATA("Sum of "&amp;AE$9,'PT-All'!$A$1,"Scenario",AE$12,"P&amp;L Item",$B133)/AE$29,0),"0.00%"))</f>
        <v>0</v>
      </c>
      <c r="AF133" s="65">
        <f>CHOOSE(PLColumn,IFERROR(GETPIVOTDATA("Sum of "&amp;AF$9,'PT-All'!$A$1,"Scenario",AF$12,"P&amp;L Item",$B133),0),IFERROR(GETPIVOTDATA("Sum of "&amp;AF$9,'PT-All'!$A$1,"Scenario",AF$12,"P&amp;L Item",$B133)/AF$201,0),TEXT(IFERROR(GETPIVOTDATA("Sum of "&amp;AF$9,'PT-All'!$A$1,"Scenario",AF$12,"P&amp;L Item",$B133)/AF$29,0),"0.00%"))</f>
        <v>0</v>
      </c>
      <c r="AG133" s="65">
        <f>CHOOSE(PLColumn,IFERROR(GETPIVOTDATA("Sum of "&amp;AG$9,'PT-All'!$A$1,"Scenario",AG$12,"P&amp;L Item",$B133),0),IFERROR(GETPIVOTDATA("Sum of "&amp;AG$9,'PT-All'!$A$1,"Scenario",AG$12,"P&amp;L Item",$B133)/AG$201,0),TEXT(IFERROR(GETPIVOTDATA("Sum of "&amp;AG$9,'PT-All'!$A$1,"Scenario",AG$12,"P&amp;L Item",$B133)/AG$29,0),"0.00%"))</f>
        <v>0</v>
      </c>
      <c r="AH133" s="65">
        <f>CHOOSE(PLColumn,IFERROR(GETPIVOTDATA("Sum of "&amp;AH$9,'PT-All'!$A$1,"Scenario",AH$12,"P&amp;L Item",$B133),0),IFERROR(GETPIVOTDATA("Sum of "&amp;AH$9,'PT-All'!$A$1,"Scenario",AH$12,"P&amp;L Item",$B133)/AH$201,0),TEXT(IFERROR(GETPIVOTDATA("Sum of "&amp;AH$9,'PT-All'!$A$1,"Scenario",AH$12,"P&amp;L Item",$B133)/AH$29,0),"0.00%"))</f>
        <v>0</v>
      </c>
      <c r="AI133" s="65">
        <f>CHOOSE(PLColumn,IFERROR(GETPIVOTDATA("Sum of "&amp;AI$9,'PT-All'!$A$1,"Scenario",AI$12,"P&amp;L Item",$B133),0),IFERROR(GETPIVOTDATA("Sum of "&amp;AI$9,'PT-All'!$A$1,"Scenario",AI$12,"P&amp;L Item",$B133)/AI$201,0),TEXT(IFERROR(GETPIVOTDATA("Sum of "&amp;AI$9,'PT-All'!$A$1,"Scenario",AI$12,"P&amp;L Item",$B133)/AI$29,0),"0.00%"))</f>
        <v>0</v>
      </c>
      <c r="AJ133" s="65">
        <f>CHOOSE(PLColumn,IFERROR(GETPIVOTDATA("Sum of "&amp;AJ$9,'PT-All'!$A$1,"Scenario",AJ$12,"P&amp;L Item",$B133),0),IFERROR(GETPIVOTDATA("Sum of "&amp;AJ$9,'PT-All'!$A$1,"Scenario",AJ$12,"P&amp;L Item",$B133)/AJ$201,0),TEXT(IFERROR(GETPIVOTDATA("Sum of "&amp;AJ$9,'PT-All'!$A$1,"Scenario",AJ$12,"P&amp;L Item",$B133)/AJ$29,0),"0.00%"))</f>
        <v>0</v>
      </c>
      <c r="AK133" s="65">
        <f>CHOOSE(PLColumn,IFERROR(GETPIVOTDATA("Sum of "&amp;AK$9,'PT-All'!$A$1,"Scenario",AK$12,"P&amp;L Item",$B133),0),IFERROR(GETPIVOTDATA("Sum of "&amp;AK$9,'PT-All'!$A$1,"Scenario",AK$12,"P&amp;L Item",$B133)/AK$201,0),TEXT(IFERROR(GETPIVOTDATA("Sum of "&amp;AK$9,'PT-All'!$A$1,"Scenario",AK$12,"P&amp;L Item",$B133)/AK$29,0),"0.00%"))</f>
        <v>0</v>
      </c>
      <c r="AL133" s="97">
        <f>CHOOSE(PLColumn,IFERROR(GETPIVOTDATA("Sum of "&amp;AL$9,'PT-All'!$A$1,"Scenario",AL$12,"P&amp;L Item",$B133),0),IFERROR(GETPIVOTDATA("Sum of "&amp;AL$9,'PT-All'!$A$1,"Scenario",AL$12,"P&amp;L Item",$B133)/AL$201,0),TEXT(IFERROR(GETPIVOTDATA("Sum of "&amp;AL$9,'PT-All'!$A$1,"Scenario",AL$12,"P&amp;L Item",$B133)/AL$29,0),"0.00%"))</f>
        <v>0</v>
      </c>
      <c r="AM133" s="590"/>
      <c r="AN133" s="108">
        <f ca="1">IF(AN$12="Pro Forma",SUM(OFFSET($B133,0,3*AN$9+1,1,3)),IFERROR(GETPIVOTDATA("Sum of Q"&amp;AN$9+1,'PT-All'!$A$1,"Scenario",AN$12,"P&amp;L Item",$B133),0))</f>
        <v>0</v>
      </c>
      <c r="AO133" s="65">
        <f ca="1">IF(AO$12="Pro Forma",SUM(OFFSET($B133,0,3*AO$9+1,1,3)),IFERROR(GETPIVOTDATA("Sum of Q"&amp;AO$9+1,'PT-All'!$A$1,"Scenario",AO$12,"P&amp;L Item",$B133),0))</f>
        <v>0</v>
      </c>
      <c r="AP133" s="65">
        <f ca="1">IF(AP$12="Pro Forma",SUM(OFFSET($B133,0,3*AP$9+1,1,3)),IFERROR(GETPIVOTDATA("Sum of Q"&amp;AP$9+1,'PT-All'!$A$1,"Scenario",AP$12,"P&amp;L Item",$B133),0))</f>
        <v>0</v>
      </c>
      <c r="AQ133" s="65">
        <f ca="1">IF(AQ$12="Pro Forma",SUM(OFFSET($B133,0,3*AQ$9+1,1,3)),IFERROR(GETPIVOTDATA("Sum of Q"&amp;AQ$9+1,'PT-All'!$A$1,"Scenario",AQ$12,"P&amp;L Item",$B133),0))</f>
        <v>0</v>
      </c>
      <c r="AR133" s="65">
        <f ca="1">IF(AR$12="Pro Forma",SUM(OFFSET($B133,0,3*AR$9+1,1,3)),IFERROR(GETPIVOTDATA("Sum of Q"&amp;AR$9+1,'PT-All'!$A$1,"Scenario",AR$12,"P&amp;L Item",$B133),0))</f>
        <v>0</v>
      </c>
      <c r="AS133" s="65">
        <f ca="1">IF(AS$12="Pro Forma",SUM(OFFSET($B133,0,3*AS$9+1,1,3)),IFERROR(GETPIVOTDATA("Sum of Q"&amp;AS$9+1,'PT-All'!$A$1,"Scenario",AS$12,"P&amp;L Item",$B133),0))</f>
        <v>0</v>
      </c>
      <c r="AT133" s="65">
        <f ca="1">IF(AT$12="Pro Forma",SUM(OFFSET($B133,0,3*AT$9+1,1,3)),IFERROR(GETPIVOTDATA("Sum of Q"&amp;AT$9+1,'PT-All'!$A$1,"Scenario",AT$12,"P&amp;L Item",$B133),0))</f>
        <v>0</v>
      </c>
      <c r="AU133" s="65">
        <f ca="1">IF(AU$12="Pro Forma",SUM(OFFSET($B133,0,3*AU$9+1,1,3)),IFERROR(GETPIVOTDATA("Sum of Q"&amp;AU$9+1,'PT-All'!$A$1,"Scenario",AU$12,"P&amp;L Item",$B133),0))</f>
        <v>0</v>
      </c>
      <c r="AV133" s="65">
        <f ca="1">IF(AV$12="Pro Forma",SUM(OFFSET($B133,0,3*AV$9+1,1,3)),IFERROR(GETPIVOTDATA("Sum of Q"&amp;AV$9+1,'PT-All'!$A$1,"Scenario",AV$12,"P&amp;L Item",$B133),0))</f>
        <v>0</v>
      </c>
      <c r="AW133" s="65">
        <f ca="1">IF(AW$12="Pro Forma",SUM(OFFSET($B133,0,3*AW$9+1,1,3)),IFERROR(GETPIVOTDATA("Sum of Q"&amp;AW$9+1,'PT-All'!$A$1,"Scenario",AW$12,"P&amp;L Item",$B133),0))</f>
        <v>0</v>
      </c>
      <c r="AX133" s="65">
        <f ca="1">IF(AX$12="Pro Forma",SUM(OFFSET($B133,0,3*AX$9+1,1,3)),IFERROR(GETPIVOTDATA("Sum of Q"&amp;AX$9+1,'PT-All'!$A$1,"Scenario",AX$12,"P&amp;L Item",$B133),0))</f>
        <v>0</v>
      </c>
      <c r="AY133" s="97">
        <f ca="1">IF(AY$12="Pro Forma",SUM(OFFSET($B133,0,3*AY$9+1,1,3)),IFERROR(GETPIVOTDATA("Sum of Q"&amp;AY$9+1,'PT-All'!$A$1,"Scenario",AY$12,"P&amp;L Item",$B133),0))</f>
        <v>0</v>
      </c>
      <c r="AZ133" s="590"/>
      <c r="BA133" s="108">
        <f ca="1">IF(BA$12="Pro Forma",SUM(OFFSET($B133,0,12*BA$9+1,1,12)),IFERROR(GETPIVOTDATA("Sum of FY"&amp;BA$9+1,'PT-All'!$A$1,"Scenario",BA$12,"P&amp;L Item",$B133),0))</f>
        <v>0</v>
      </c>
      <c r="BB133" s="65">
        <f ca="1">IF(BB$12="Pro Forma",SUM(OFFSET($B133,0,12*BB$9+1,1,12)),IFERROR(GETPIVOTDATA("Sum of FY"&amp;BB$9+1,'PT-All'!$A$1,"Scenario",BB$12,"P&amp;L Item",$B133),0))</f>
        <v>0</v>
      </c>
      <c r="BC133" s="97">
        <f ca="1">IF(BC$12="Pro Forma",SUM(OFFSET($B133,0,12*BC$9+1,1,12)),IFERROR(GETPIVOTDATA("Sum of FY"&amp;BC$9+1,'PT-All'!$A$1,"Scenario",BC$12,"P&amp;L Item",$B133),0))</f>
        <v>0</v>
      </c>
    </row>
    <row r="134" spans="2:55" x14ac:dyDescent="0.35">
      <c r="B134" s="64" t="s">
        <v>164</v>
      </c>
      <c r="C134" s="65">
        <f>CHOOSE(PLColumn,IFERROR(GETPIVOTDATA("Sum of "&amp;C$9,'PT-All'!$A$1,"Scenario",C$12,"P&amp;L Item",$B134),0),IFERROR(GETPIVOTDATA("Sum of "&amp;C$9,'PT-All'!$A$1,"Scenario",C$12,"P&amp;L Item",$B134)/C$201,0),TEXT(IFERROR(GETPIVOTDATA("Sum of "&amp;C$9,'PT-All'!$A$1,"Scenario",C$12,"P&amp;L Item",$B134)/C$29,0),"0.00%"))</f>
        <v>0</v>
      </c>
      <c r="D134" s="65">
        <f>CHOOSE(PLColumn,IFERROR(GETPIVOTDATA("Sum of "&amp;D$9,'PT-All'!$A$1,"Scenario",D$12,"P&amp;L Item",$B134),0),IFERROR(GETPIVOTDATA("Sum of "&amp;D$9,'PT-All'!$A$1,"Scenario",D$12,"P&amp;L Item",$B134)/D$201,0),TEXT(IFERROR(GETPIVOTDATA("Sum of "&amp;D$9,'PT-All'!$A$1,"Scenario",D$12,"P&amp;L Item",$B134)/D$29,0),"0.00%"))</f>
        <v>0</v>
      </c>
      <c r="E134" s="65">
        <f>CHOOSE(PLColumn,IFERROR(GETPIVOTDATA("Sum of "&amp;E$9,'PT-All'!$A$1,"Scenario",E$12,"P&amp;L Item",$B134),0),IFERROR(GETPIVOTDATA("Sum of "&amp;E$9,'PT-All'!$A$1,"Scenario",E$12,"P&amp;L Item",$B134)/E$201,0),TEXT(IFERROR(GETPIVOTDATA("Sum of "&amp;E$9,'PT-All'!$A$1,"Scenario",E$12,"P&amp;L Item",$B134)/E$29,0),"0.00%"))</f>
        <v>0</v>
      </c>
      <c r="F134" s="65">
        <f>CHOOSE(PLColumn,IFERROR(GETPIVOTDATA("Sum of "&amp;F$9,'PT-All'!$A$1,"Scenario",F$12,"P&amp;L Item",$B134),0),IFERROR(GETPIVOTDATA("Sum of "&amp;F$9,'PT-All'!$A$1,"Scenario",F$12,"P&amp;L Item",$B134)/F$201,0),TEXT(IFERROR(GETPIVOTDATA("Sum of "&amp;F$9,'PT-All'!$A$1,"Scenario",F$12,"P&amp;L Item",$B134)/F$29,0),"0.00%"))</f>
        <v>0</v>
      </c>
      <c r="G134" s="65">
        <f>CHOOSE(PLColumn,IFERROR(GETPIVOTDATA("Sum of "&amp;G$9,'PT-All'!$A$1,"Scenario",G$12,"P&amp;L Item",$B134),0),IFERROR(GETPIVOTDATA("Sum of "&amp;G$9,'PT-All'!$A$1,"Scenario",G$12,"P&amp;L Item",$B134)/G$201,0),TEXT(IFERROR(GETPIVOTDATA("Sum of "&amp;G$9,'PT-All'!$A$1,"Scenario",G$12,"P&amp;L Item",$B134)/G$29,0),"0.00%"))</f>
        <v>0</v>
      </c>
      <c r="H134" s="65">
        <f>CHOOSE(PLColumn,IFERROR(GETPIVOTDATA("Sum of "&amp;H$9,'PT-All'!$A$1,"Scenario",H$12,"P&amp;L Item",$B134),0),IFERROR(GETPIVOTDATA("Sum of "&amp;H$9,'PT-All'!$A$1,"Scenario",H$12,"P&amp;L Item",$B134)/H$201,0),TEXT(IFERROR(GETPIVOTDATA("Sum of "&amp;H$9,'PT-All'!$A$1,"Scenario",H$12,"P&amp;L Item",$B134)/H$29,0),"0.00%"))</f>
        <v>0</v>
      </c>
      <c r="I134" s="65">
        <f>CHOOSE(PLColumn,IFERROR(GETPIVOTDATA("Sum of "&amp;I$9,'PT-All'!$A$1,"Scenario",I$12,"P&amp;L Item",$B134),0),IFERROR(GETPIVOTDATA("Sum of "&amp;I$9,'PT-All'!$A$1,"Scenario",I$12,"P&amp;L Item",$B134)/I$201,0),TEXT(IFERROR(GETPIVOTDATA("Sum of "&amp;I$9,'PT-All'!$A$1,"Scenario",I$12,"P&amp;L Item",$B134)/I$29,0),"0.00%"))</f>
        <v>0</v>
      </c>
      <c r="J134" s="65">
        <f>CHOOSE(PLColumn,IFERROR(GETPIVOTDATA("Sum of "&amp;J$9,'PT-All'!$A$1,"Scenario",J$12,"P&amp;L Item",$B134),0),IFERROR(GETPIVOTDATA("Sum of "&amp;J$9,'PT-All'!$A$1,"Scenario",J$12,"P&amp;L Item",$B134)/J$201,0),TEXT(IFERROR(GETPIVOTDATA("Sum of "&amp;J$9,'PT-All'!$A$1,"Scenario",J$12,"P&amp;L Item",$B134)/J$29,0),"0.00%"))</f>
        <v>0</v>
      </c>
      <c r="K134" s="65">
        <f>CHOOSE(PLColumn,IFERROR(GETPIVOTDATA("Sum of "&amp;K$9,'PT-All'!$A$1,"Scenario",K$12,"P&amp;L Item",$B134),0),IFERROR(GETPIVOTDATA("Sum of "&amp;K$9,'PT-All'!$A$1,"Scenario",K$12,"P&amp;L Item",$B134)/K$201,0),TEXT(IFERROR(GETPIVOTDATA("Sum of "&amp;K$9,'PT-All'!$A$1,"Scenario",K$12,"P&amp;L Item",$B134)/K$29,0),"0.00%"))</f>
        <v>0</v>
      </c>
      <c r="L134" s="65">
        <f>CHOOSE(PLColumn,IFERROR(GETPIVOTDATA("Sum of "&amp;L$9,'PT-All'!$A$1,"Scenario",L$12,"P&amp;L Item",$B134),0),IFERROR(GETPIVOTDATA("Sum of "&amp;L$9,'PT-All'!$A$1,"Scenario",L$12,"P&amp;L Item",$B134)/L$201,0),TEXT(IFERROR(GETPIVOTDATA("Sum of "&amp;L$9,'PT-All'!$A$1,"Scenario",L$12,"P&amp;L Item",$B134)/L$29,0),"0.00%"))</f>
        <v>0</v>
      </c>
      <c r="M134" s="65">
        <f>CHOOSE(PLColumn,IFERROR(GETPIVOTDATA("Sum of "&amp;M$9,'PT-All'!$A$1,"Scenario",M$12,"P&amp;L Item",$B134),0),IFERROR(GETPIVOTDATA("Sum of "&amp;M$9,'PT-All'!$A$1,"Scenario",M$12,"P&amp;L Item",$B134)/M$201,0),TEXT(IFERROR(GETPIVOTDATA("Sum of "&amp;M$9,'PT-All'!$A$1,"Scenario",M$12,"P&amp;L Item",$B134)/M$29,0),"0.00%"))</f>
        <v>0</v>
      </c>
      <c r="N134" s="65">
        <f>CHOOSE(PLColumn,IFERROR(GETPIVOTDATA("Sum of "&amp;N$9,'PT-All'!$A$1,"Scenario",N$12,"P&amp;L Item",$B134),0),IFERROR(GETPIVOTDATA("Sum of "&amp;N$9,'PT-All'!$A$1,"Scenario",N$12,"P&amp;L Item",$B134)/N$201,0),TEXT(IFERROR(GETPIVOTDATA("Sum of "&amp;N$9,'PT-All'!$A$1,"Scenario",N$12,"P&amp;L Item",$B134)/N$29,0),"0.00%"))</f>
        <v>0</v>
      </c>
      <c r="O134" s="65">
        <f>CHOOSE(PLColumn,IFERROR(GETPIVOTDATA("Sum of "&amp;O$9,'PT-All'!$A$1,"Scenario",O$12,"P&amp;L Item",$B134),0),IFERROR(GETPIVOTDATA("Sum of "&amp;O$9,'PT-All'!$A$1,"Scenario",O$12,"P&amp;L Item",$B134)/O$201,0),TEXT(IFERROR(GETPIVOTDATA("Sum of "&amp;O$9,'PT-All'!$A$1,"Scenario",O$12,"P&amp;L Item",$B134)/O$29,0),"0.00%"))</f>
        <v>0</v>
      </c>
      <c r="P134" s="65">
        <f>CHOOSE(PLColumn,IFERROR(GETPIVOTDATA("Sum of "&amp;P$9,'PT-All'!$A$1,"Scenario",P$12,"P&amp;L Item",$B134),0),IFERROR(GETPIVOTDATA("Sum of "&amp;P$9,'PT-All'!$A$1,"Scenario",P$12,"P&amp;L Item",$B134)/P$201,0),TEXT(IFERROR(GETPIVOTDATA("Sum of "&amp;P$9,'PT-All'!$A$1,"Scenario",P$12,"P&amp;L Item",$B134)/P$29,0),"0.00%"))</f>
        <v>0</v>
      </c>
      <c r="Q134" s="65">
        <f>CHOOSE(PLColumn,IFERROR(GETPIVOTDATA("Sum of "&amp;Q$9,'PT-All'!$A$1,"Scenario",Q$12,"P&amp;L Item",$B134),0),IFERROR(GETPIVOTDATA("Sum of "&amp;Q$9,'PT-All'!$A$1,"Scenario",Q$12,"P&amp;L Item",$B134)/Q$201,0),TEXT(IFERROR(GETPIVOTDATA("Sum of "&amp;Q$9,'PT-All'!$A$1,"Scenario",Q$12,"P&amp;L Item",$B134)/Q$29,0),"0.00%"))</f>
        <v>0</v>
      </c>
      <c r="R134" s="65">
        <f>CHOOSE(PLColumn,IFERROR(GETPIVOTDATA("Sum of "&amp;R$9,'PT-All'!$A$1,"Scenario",R$12,"P&amp;L Item",$B134),0),IFERROR(GETPIVOTDATA("Sum of "&amp;R$9,'PT-All'!$A$1,"Scenario",R$12,"P&amp;L Item",$B134)/R$201,0),TEXT(IFERROR(GETPIVOTDATA("Sum of "&amp;R$9,'PT-All'!$A$1,"Scenario",R$12,"P&amp;L Item",$B134)/R$29,0),"0.00%"))</f>
        <v>0</v>
      </c>
      <c r="S134" s="65">
        <f>CHOOSE(PLColumn,IFERROR(GETPIVOTDATA("Sum of "&amp;S$9,'PT-All'!$A$1,"Scenario",S$12,"P&amp;L Item",$B134),0),IFERROR(GETPIVOTDATA("Sum of "&amp;S$9,'PT-All'!$A$1,"Scenario",S$12,"P&amp;L Item",$B134)/S$201,0),TEXT(IFERROR(GETPIVOTDATA("Sum of "&amp;S$9,'PT-All'!$A$1,"Scenario",S$12,"P&amp;L Item",$B134)/S$29,0),"0.00%"))</f>
        <v>0</v>
      </c>
      <c r="T134" s="65">
        <f>CHOOSE(PLColumn,IFERROR(GETPIVOTDATA("Sum of "&amp;T$9,'PT-All'!$A$1,"Scenario",T$12,"P&amp;L Item",$B134),0),IFERROR(GETPIVOTDATA("Sum of "&amp;T$9,'PT-All'!$A$1,"Scenario",T$12,"P&amp;L Item",$B134)/T$201,0),TEXT(IFERROR(GETPIVOTDATA("Sum of "&amp;T$9,'PT-All'!$A$1,"Scenario",T$12,"P&amp;L Item",$B134)/T$29,0),"0.00%"))</f>
        <v>0</v>
      </c>
      <c r="U134" s="65">
        <f>CHOOSE(PLColumn,IFERROR(GETPIVOTDATA("Sum of "&amp;U$9,'PT-All'!$A$1,"Scenario",U$12,"P&amp;L Item",$B134),0),IFERROR(GETPIVOTDATA("Sum of "&amp;U$9,'PT-All'!$A$1,"Scenario",U$12,"P&amp;L Item",$B134)/U$201,0),TEXT(IFERROR(GETPIVOTDATA("Sum of "&amp;U$9,'PT-All'!$A$1,"Scenario",U$12,"P&amp;L Item",$B134)/U$29,0),"0.00%"))</f>
        <v>0</v>
      </c>
      <c r="V134" s="65">
        <f>CHOOSE(PLColumn,IFERROR(GETPIVOTDATA("Sum of "&amp;V$9,'PT-All'!$A$1,"Scenario",V$12,"P&amp;L Item",$B134),0),IFERROR(GETPIVOTDATA("Sum of "&amp;V$9,'PT-All'!$A$1,"Scenario",V$12,"P&amp;L Item",$B134)/V$201,0),TEXT(IFERROR(GETPIVOTDATA("Sum of "&amp;V$9,'PT-All'!$A$1,"Scenario",V$12,"P&amp;L Item",$B134)/V$29,0),"0.00%"))</f>
        <v>0</v>
      </c>
      <c r="W134" s="65">
        <f>CHOOSE(PLColumn,IFERROR(GETPIVOTDATA("Sum of "&amp;W$9,'PT-All'!$A$1,"Scenario",W$12,"P&amp;L Item",$B134),0),IFERROR(GETPIVOTDATA("Sum of "&amp;W$9,'PT-All'!$A$1,"Scenario",W$12,"P&amp;L Item",$B134)/W$201,0),TEXT(IFERROR(GETPIVOTDATA("Sum of "&amp;W$9,'PT-All'!$A$1,"Scenario",W$12,"P&amp;L Item",$B134)/W$29,0),"0.00%"))</f>
        <v>0</v>
      </c>
      <c r="X134" s="65">
        <f>CHOOSE(PLColumn,IFERROR(GETPIVOTDATA("Sum of "&amp;X$9,'PT-All'!$A$1,"Scenario",X$12,"P&amp;L Item",$B134),0),IFERROR(GETPIVOTDATA("Sum of "&amp;X$9,'PT-All'!$A$1,"Scenario",X$12,"P&amp;L Item",$B134)/X$201,0),TEXT(IFERROR(GETPIVOTDATA("Sum of "&amp;X$9,'PT-All'!$A$1,"Scenario",X$12,"P&amp;L Item",$B134)/X$29,0),"0.00%"))</f>
        <v>0</v>
      </c>
      <c r="Y134" s="65">
        <f>CHOOSE(PLColumn,IFERROR(GETPIVOTDATA("Sum of "&amp;Y$9,'PT-All'!$A$1,"Scenario",Y$12,"P&amp;L Item",$B134),0),IFERROR(GETPIVOTDATA("Sum of "&amp;Y$9,'PT-All'!$A$1,"Scenario",Y$12,"P&amp;L Item",$B134)/Y$201,0),TEXT(IFERROR(GETPIVOTDATA("Sum of "&amp;Y$9,'PT-All'!$A$1,"Scenario",Y$12,"P&amp;L Item",$B134)/Y$29,0),"0.00%"))</f>
        <v>0</v>
      </c>
      <c r="Z134" s="65">
        <f>CHOOSE(PLColumn,IFERROR(GETPIVOTDATA("Sum of "&amp;Z$9,'PT-All'!$A$1,"Scenario",Z$12,"P&amp;L Item",$B134),0),IFERROR(GETPIVOTDATA("Sum of "&amp;Z$9,'PT-All'!$A$1,"Scenario",Z$12,"P&amp;L Item",$B134)/Z$201,0),TEXT(IFERROR(GETPIVOTDATA("Sum of "&amp;Z$9,'PT-All'!$A$1,"Scenario",Z$12,"P&amp;L Item",$B134)/Z$29,0),"0.00%"))</f>
        <v>0</v>
      </c>
      <c r="AA134" s="65">
        <f>CHOOSE(PLColumn,IFERROR(GETPIVOTDATA("Sum of "&amp;AA$9,'PT-All'!$A$1,"Scenario",AA$12,"P&amp;L Item",$B134),0),IFERROR(GETPIVOTDATA("Sum of "&amp;AA$9,'PT-All'!$A$1,"Scenario",AA$12,"P&amp;L Item",$B134)/AA$201,0),TEXT(IFERROR(GETPIVOTDATA("Sum of "&amp;AA$9,'PT-All'!$A$1,"Scenario",AA$12,"P&amp;L Item",$B134)/AA$29,0),"0.00%"))</f>
        <v>0</v>
      </c>
      <c r="AB134" s="65">
        <f>CHOOSE(PLColumn,IFERROR(GETPIVOTDATA("Sum of "&amp;AB$9,'PT-All'!$A$1,"Scenario",AB$12,"P&amp;L Item",$B134),0),IFERROR(GETPIVOTDATA("Sum of "&amp;AB$9,'PT-All'!$A$1,"Scenario",AB$12,"P&amp;L Item",$B134)/AB$201,0),TEXT(IFERROR(GETPIVOTDATA("Sum of "&amp;AB$9,'PT-All'!$A$1,"Scenario",AB$12,"P&amp;L Item",$B134)/AB$29,0),"0.00%"))</f>
        <v>0</v>
      </c>
      <c r="AC134" s="65">
        <f>CHOOSE(PLColumn,IFERROR(GETPIVOTDATA("Sum of "&amp;AC$9,'PT-All'!$A$1,"Scenario",AC$12,"P&amp;L Item",$B134),0),IFERROR(GETPIVOTDATA("Sum of "&amp;AC$9,'PT-All'!$A$1,"Scenario",AC$12,"P&amp;L Item",$B134)/AC$201,0),TEXT(IFERROR(GETPIVOTDATA("Sum of "&amp;AC$9,'PT-All'!$A$1,"Scenario",AC$12,"P&amp;L Item",$B134)/AC$29,0),"0.00%"))</f>
        <v>0</v>
      </c>
      <c r="AD134" s="65">
        <f>CHOOSE(PLColumn,IFERROR(GETPIVOTDATA("Sum of "&amp;AD$9,'PT-All'!$A$1,"Scenario",AD$12,"P&amp;L Item",$B134),0),IFERROR(GETPIVOTDATA("Sum of "&amp;AD$9,'PT-All'!$A$1,"Scenario",AD$12,"P&amp;L Item",$B134)/AD$201,0),TEXT(IFERROR(GETPIVOTDATA("Sum of "&amp;AD$9,'PT-All'!$A$1,"Scenario",AD$12,"P&amp;L Item",$B134)/AD$29,0),"0.00%"))</f>
        <v>0</v>
      </c>
      <c r="AE134" s="65">
        <f>CHOOSE(PLColumn,IFERROR(GETPIVOTDATA("Sum of "&amp;AE$9,'PT-All'!$A$1,"Scenario",AE$12,"P&amp;L Item",$B134),0),IFERROR(GETPIVOTDATA("Sum of "&amp;AE$9,'PT-All'!$A$1,"Scenario",AE$12,"P&amp;L Item",$B134)/AE$201,0),TEXT(IFERROR(GETPIVOTDATA("Sum of "&amp;AE$9,'PT-All'!$A$1,"Scenario",AE$12,"P&amp;L Item",$B134)/AE$29,0),"0.00%"))</f>
        <v>0</v>
      </c>
      <c r="AF134" s="65">
        <f>CHOOSE(PLColumn,IFERROR(GETPIVOTDATA("Sum of "&amp;AF$9,'PT-All'!$A$1,"Scenario",AF$12,"P&amp;L Item",$B134),0),IFERROR(GETPIVOTDATA("Sum of "&amp;AF$9,'PT-All'!$A$1,"Scenario",AF$12,"P&amp;L Item",$B134)/AF$201,0),TEXT(IFERROR(GETPIVOTDATA("Sum of "&amp;AF$9,'PT-All'!$A$1,"Scenario",AF$12,"P&amp;L Item",$B134)/AF$29,0),"0.00%"))</f>
        <v>0</v>
      </c>
      <c r="AG134" s="65">
        <f>CHOOSE(PLColumn,IFERROR(GETPIVOTDATA("Sum of "&amp;AG$9,'PT-All'!$A$1,"Scenario",AG$12,"P&amp;L Item",$B134),0),IFERROR(GETPIVOTDATA("Sum of "&amp;AG$9,'PT-All'!$A$1,"Scenario",AG$12,"P&amp;L Item",$B134)/AG$201,0),TEXT(IFERROR(GETPIVOTDATA("Sum of "&amp;AG$9,'PT-All'!$A$1,"Scenario",AG$12,"P&amp;L Item",$B134)/AG$29,0),"0.00%"))</f>
        <v>0</v>
      </c>
      <c r="AH134" s="65">
        <f>CHOOSE(PLColumn,IFERROR(GETPIVOTDATA("Sum of "&amp;AH$9,'PT-All'!$A$1,"Scenario",AH$12,"P&amp;L Item",$B134),0),IFERROR(GETPIVOTDATA("Sum of "&amp;AH$9,'PT-All'!$A$1,"Scenario",AH$12,"P&amp;L Item",$B134)/AH$201,0),TEXT(IFERROR(GETPIVOTDATA("Sum of "&amp;AH$9,'PT-All'!$A$1,"Scenario",AH$12,"P&amp;L Item",$B134)/AH$29,0),"0.00%"))</f>
        <v>0</v>
      </c>
      <c r="AI134" s="65">
        <f>CHOOSE(PLColumn,IFERROR(GETPIVOTDATA("Sum of "&amp;AI$9,'PT-All'!$A$1,"Scenario",AI$12,"P&amp;L Item",$B134),0),IFERROR(GETPIVOTDATA("Sum of "&amp;AI$9,'PT-All'!$A$1,"Scenario",AI$12,"P&amp;L Item",$B134)/AI$201,0),TEXT(IFERROR(GETPIVOTDATA("Sum of "&amp;AI$9,'PT-All'!$A$1,"Scenario",AI$12,"P&amp;L Item",$B134)/AI$29,0),"0.00%"))</f>
        <v>0</v>
      </c>
      <c r="AJ134" s="65">
        <f>CHOOSE(PLColumn,IFERROR(GETPIVOTDATA("Sum of "&amp;AJ$9,'PT-All'!$A$1,"Scenario",AJ$12,"P&amp;L Item",$B134),0),IFERROR(GETPIVOTDATA("Sum of "&amp;AJ$9,'PT-All'!$A$1,"Scenario",AJ$12,"P&amp;L Item",$B134)/AJ$201,0),TEXT(IFERROR(GETPIVOTDATA("Sum of "&amp;AJ$9,'PT-All'!$A$1,"Scenario",AJ$12,"P&amp;L Item",$B134)/AJ$29,0),"0.00%"))</f>
        <v>0</v>
      </c>
      <c r="AK134" s="65">
        <f>CHOOSE(PLColumn,IFERROR(GETPIVOTDATA("Sum of "&amp;AK$9,'PT-All'!$A$1,"Scenario",AK$12,"P&amp;L Item",$B134),0),IFERROR(GETPIVOTDATA("Sum of "&amp;AK$9,'PT-All'!$A$1,"Scenario",AK$12,"P&amp;L Item",$B134)/AK$201,0),TEXT(IFERROR(GETPIVOTDATA("Sum of "&amp;AK$9,'PT-All'!$A$1,"Scenario",AK$12,"P&amp;L Item",$B134)/AK$29,0),"0.00%"))</f>
        <v>0</v>
      </c>
      <c r="AL134" s="97">
        <f>CHOOSE(PLColumn,IFERROR(GETPIVOTDATA("Sum of "&amp;AL$9,'PT-All'!$A$1,"Scenario",AL$12,"P&amp;L Item",$B134),0),IFERROR(GETPIVOTDATA("Sum of "&amp;AL$9,'PT-All'!$A$1,"Scenario",AL$12,"P&amp;L Item",$B134)/AL$201,0),TEXT(IFERROR(GETPIVOTDATA("Sum of "&amp;AL$9,'PT-All'!$A$1,"Scenario",AL$12,"P&amp;L Item",$B134)/AL$29,0),"0.00%"))</f>
        <v>0</v>
      </c>
      <c r="AM134" s="590"/>
      <c r="AN134" s="108">
        <f ca="1">IF(AN$12="Pro Forma",SUM(OFFSET($B134,0,3*AN$9+1,1,3)),IFERROR(GETPIVOTDATA("Sum of Q"&amp;AN$9+1,'PT-All'!$A$1,"Scenario",AN$12,"P&amp;L Item",$B134),0))</f>
        <v>0</v>
      </c>
      <c r="AO134" s="65">
        <f ca="1">IF(AO$12="Pro Forma",SUM(OFFSET($B134,0,3*AO$9+1,1,3)),IFERROR(GETPIVOTDATA("Sum of Q"&amp;AO$9+1,'PT-All'!$A$1,"Scenario",AO$12,"P&amp;L Item",$B134),0))</f>
        <v>0</v>
      </c>
      <c r="AP134" s="65">
        <f ca="1">IF(AP$12="Pro Forma",SUM(OFFSET($B134,0,3*AP$9+1,1,3)),IFERROR(GETPIVOTDATA("Sum of Q"&amp;AP$9+1,'PT-All'!$A$1,"Scenario",AP$12,"P&amp;L Item",$B134),0))</f>
        <v>0</v>
      </c>
      <c r="AQ134" s="65">
        <f ca="1">IF(AQ$12="Pro Forma",SUM(OFFSET($B134,0,3*AQ$9+1,1,3)),IFERROR(GETPIVOTDATA("Sum of Q"&amp;AQ$9+1,'PT-All'!$A$1,"Scenario",AQ$12,"P&amp;L Item",$B134),0))</f>
        <v>0</v>
      </c>
      <c r="AR134" s="65">
        <f ca="1">IF(AR$12="Pro Forma",SUM(OFFSET($B134,0,3*AR$9+1,1,3)),IFERROR(GETPIVOTDATA("Sum of Q"&amp;AR$9+1,'PT-All'!$A$1,"Scenario",AR$12,"P&amp;L Item",$B134),0))</f>
        <v>0</v>
      </c>
      <c r="AS134" s="65">
        <f ca="1">IF(AS$12="Pro Forma",SUM(OFFSET($B134,0,3*AS$9+1,1,3)),IFERROR(GETPIVOTDATA("Sum of Q"&amp;AS$9+1,'PT-All'!$A$1,"Scenario",AS$12,"P&amp;L Item",$B134),0))</f>
        <v>0</v>
      </c>
      <c r="AT134" s="65">
        <f ca="1">IF(AT$12="Pro Forma",SUM(OFFSET($B134,0,3*AT$9+1,1,3)),IFERROR(GETPIVOTDATA("Sum of Q"&amp;AT$9+1,'PT-All'!$A$1,"Scenario",AT$12,"P&amp;L Item",$B134),0))</f>
        <v>0</v>
      </c>
      <c r="AU134" s="65">
        <f ca="1">IF(AU$12="Pro Forma",SUM(OFFSET($B134,0,3*AU$9+1,1,3)),IFERROR(GETPIVOTDATA("Sum of Q"&amp;AU$9+1,'PT-All'!$A$1,"Scenario",AU$12,"P&amp;L Item",$B134),0))</f>
        <v>0</v>
      </c>
      <c r="AV134" s="65">
        <f ca="1">IF(AV$12="Pro Forma",SUM(OFFSET($B134,0,3*AV$9+1,1,3)),IFERROR(GETPIVOTDATA("Sum of Q"&amp;AV$9+1,'PT-All'!$A$1,"Scenario",AV$12,"P&amp;L Item",$B134),0))</f>
        <v>0</v>
      </c>
      <c r="AW134" s="65">
        <f ca="1">IF(AW$12="Pro Forma",SUM(OFFSET($B134,0,3*AW$9+1,1,3)),IFERROR(GETPIVOTDATA("Sum of Q"&amp;AW$9+1,'PT-All'!$A$1,"Scenario",AW$12,"P&amp;L Item",$B134),0))</f>
        <v>0</v>
      </c>
      <c r="AX134" s="65">
        <f ca="1">IF(AX$12="Pro Forma",SUM(OFFSET($B134,0,3*AX$9+1,1,3)),IFERROR(GETPIVOTDATA("Sum of Q"&amp;AX$9+1,'PT-All'!$A$1,"Scenario",AX$12,"P&amp;L Item",$B134),0))</f>
        <v>0</v>
      </c>
      <c r="AY134" s="97">
        <f ca="1">IF(AY$12="Pro Forma",SUM(OFFSET($B134,0,3*AY$9+1,1,3)),IFERROR(GETPIVOTDATA("Sum of Q"&amp;AY$9+1,'PT-All'!$A$1,"Scenario",AY$12,"P&amp;L Item",$B134),0))</f>
        <v>0</v>
      </c>
      <c r="AZ134" s="590"/>
      <c r="BA134" s="108">
        <f ca="1">IF(BA$12="Pro Forma",SUM(OFFSET($B134,0,12*BA$9+1,1,12)),IFERROR(GETPIVOTDATA("Sum of FY"&amp;BA$9+1,'PT-All'!$A$1,"Scenario",BA$12,"P&amp;L Item",$B134),0))</f>
        <v>0</v>
      </c>
      <c r="BB134" s="65">
        <f ca="1">IF(BB$12="Pro Forma",SUM(OFFSET($B134,0,12*BB$9+1,1,12)),IFERROR(GETPIVOTDATA("Sum of FY"&amp;BB$9+1,'PT-All'!$A$1,"Scenario",BB$12,"P&amp;L Item",$B134),0))</f>
        <v>0</v>
      </c>
      <c r="BC134" s="97">
        <f ca="1">IF(BC$12="Pro Forma",SUM(OFFSET($B134,0,12*BC$9+1,1,12)),IFERROR(GETPIVOTDATA("Sum of FY"&amp;BC$9+1,'PT-All'!$A$1,"Scenario",BC$12,"P&amp;L Item",$B134),0))</f>
        <v>0</v>
      </c>
    </row>
    <row r="135" spans="2:55" x14ac:dyDescent="0.35">
      <c r="B135" s="64" t="s">
        <v>165</v>
      </c>
      <c r="C135" s="65">
        <f>CHOOSE(PLColumn,IFERROR(GETPIVOTDATA("Sum of "&amp;C$9,'PT-All'!$A$1,"Scenario",C$12,"P&amp;L Item",$B135),0),IFERROR(GETPIVOTDATA("Sum of "&amp;C$9,'PT-All'!$A$1,"Scenario",C$12,"P&amp;L Item",$B135)/C$201,0),TEXT(IFERROR(GETPIVOTDATA("Sum of "&amp;C$9,'PT-All'!$A$1,"Scenario",C$12,"P&amp;L Item",$B135)/C$29,0),"0.00%"))</f>
        <v>0</v>
      </c>
      <c r="D135" s="65">
        <f>CHOOSE(PLColumn,IFERROR(GETPIVOTDATA("Sum of "&amp;D$9,'PT-All'!$A$1,"Scenario",D$12,"P&amp;L Item",$B135),0),IFERROR(GETPIVOTDATA("Sum of "&amp;D$9,'PT-All'!$A$1,"Scenario",D$12,"P&amp;L Item",$B135)/D$201,0),TEXT(IFERROR(GETPIVOTDATA("Sum of "&amp;D$9,'PT-All'!$A$1,"Scenario",D$12,"P&amp;L Item",$B135)/D$29,0),"0.00%"))</f>
        <v>0</v>
      </c>
      <c r="E135" s="65">
        <f>CHOOSE(PLColumn,IFERROR(GETPIVOTDATA("Sum of "&amp;E$9,'PT-All'!$A$1,"Scenario",E$12,"P&amp;L Item",$B135),0),IFERROR(GETPIVOTDATA("Sum of "&amp;E$9,'PT-All'!$A$1,"Scenario",E$12,"P&amp;L Item",$B135)/E$201,0),TEXT(IFERROR(GETPIVOTDATA("Sum of "&amp;E$9,'PT-All'!$A$1,"Scenario",E$12,"P&amp;L Item",$B135)/E$29,0),"0.00%"))</f>
        <v>0</v>
      </c>
      <c r="F135" s="65">
        <f>CHOOSE(PLColumn,IFERROR(GETPIVOTDATA("Sum of "&amp;F$9,'PT-All'!$A$1,"Scenario",F$12,"P&amp;L Item",$B135),0),IFERROR(GETPIVOTDATA("Sum of "&amp;F$9,'PT-All'!$A$1,"Scenario",F$12,"P&amp;L Item",$B135)/F$201,0),TEXT(IFERROR(GETPIVOTDATA("Sum of "&amp;F$9,'PT-All'!$A$1,"Scenario",F$12,"P&amp;L Item",$B135)/F$29,0),"0.00%"))</f>
        <v>0</v>
      </c>
      <c r="G135" s="65">
        <f>CHOOSE(PLColumn,IFERROR(GETPIVOTDATA("Sum of "&amp;G$9,'PT-All'!$A$1,"Scenario",G$12,"P&amp;L Item",$B135),0),IFERROR(GETPIVOTDATA("Sum of "&amp;G$9,'PT-All'!$A$1,"Scenario",G$12,"P&amp;L Item",$B135)/G$201,0),TEXT(IFERROR(GETPIVOTDATA("Sum of "&amp;G$9,'PT-All'!$A$1,"Scenario",G$12,"P&amp;L Item",$B135)/G$29,0),"0.00%"))</f>
        <v>0</v>
      </c>
      <c r="H135" s="65">
        <f>CHOOSE(PLColumn,IFERROR(GETPIVOTDATA("Sum of "&amp;H$9,'PT-All'!$A$1,"Scenario",H$12,"P&amp;L Item",$B135),0),IFERROR(GETPIVOTDATA("Sum of "&amp;H$9,'PT-All'!$A$1,"Scenario",H$12,"P&amp;L Item",$B135)/H$201,0),TEXT(IFERROR(GETPIVOTDATA("Sum of "&amp;H$9,'PT-All'!$A$1,"Scenario",H$12,"P&amp;L Item",$B135)/H$29,0),"0.00%"))</f>
        <v>0</v>
      </c>
      <c r="I135" s="65">
        <f>CHOOSE(PLColumn,IFERROR(GETPIVOTDATA("Sum of "&amp;I$9,'PT-All'!$A$1,"Scenario",I$12,"P&amp;L Item",$B135),0),IFERROR(GETPIVOTDATA("Sum of "&amp;I$9,'PT-All'!$A$1,"Scenario",I$12,"P&amp;L Item",$B135)/I$201,0),TEXT(IFERROR(GETPIVOTDATA("Sum of "&amp;I$9,'PT-All'!$A$1,"Scenario",I$12,"P&amp;L Item",$B135)/I$29,0),"0.00%"))</f>
        <v>0</v>
      </c>
      <c r="J135" s="65">
        <f>CHOOSE(PLColumn,IFERROR(GETPIVOTDATA("Sum of "&amp;J$9,'PT-All'!$A$1,"Scenario",J$12,"P&amp;L Item",$B135),0),IFERROR(GETPIVOTDATA("Sum of "&amp;J$9,'PT-All'!$A$1,"Scenario",J$12,"P&amp;L Item",$B135)/J$201,0),TEXT(IFERROR(GETPIVOTDATA("Sum of "&amp;J$9,'PT-All'!$A$1,"Scenario",J$12,"P&amp;L Item",$B135)/J$29,0),"0.00%"))</f>
        <v>0</v>
      </c>
      <c r="K135" s="65">
        <f>CHOOSE(PLColumn,IFERROR(GETPIVOTDATA("Sum of "&amp;K$9,'PT-All'!$A$1,"Scenario",K$12,"P&amp;L Item",$B135),0),IFERROR(GETPIVOTDATA("Sum of "&amp;K$9,'PT-All'!$A$1,"Scenario",K$12,"P&amp;L Item",$B135)/K$201,0),TEXT(IFERROR(GETPIVOTDATA("Sum of "&amp;K$9,'PT-All'!$A$1,"Scenario",K$12,"P&amp;L Item",$B135)/K$29,0),"0.00%"))</f>
        <v>0</v>
      </c>
      <c r="L135" s="65">
        <f>CHOOSE(PLColumn,IFERROR(GETPIVOTDATA("Sum of "&amp;L$9,'PT-All'!$A$1,"Scenario",L$12,"P&amp;L Item",$B135),0),IFERROR(GETPIVOTDATA("Sum of "&amp;L$9,'PT-All'!$A$1,"Scenario",L$12,"P&amp;L Item",$B135)/L$201,0),TEXT(IFERROR(GETPIVOTDATA("Sum of "&amp;L$9,'PT-All'!$A$1,"Scenario",L$12,"P&amp;L Item",$B135)/L$29,0),"0.00%"))</f>
        <v>0</v>
      </c>
      <c r="M135" s="65">
        <f>CHOOSE(PLColumn,IFERROR(GETPIVOTDATA("Sum of "&amp;M$9,'PT-All'!$A$1,"Scenario",M$12,"P&amp;L Item",$B135),0),IFERROR(GETPIVOTDATA("Sum of "&amp;M$9,'PT-All'!$A$1,"Scenario",M$12,"P&amp;L Item",$B135)/M$201,0),TEXT(IFERROR(GETPIVOTDATA("Sum of "&amp;M$9,'PT-All'!$A$1,"Scenario",M$12,"P&amp;L Item",$B135)/M$29,0),"0.00%"))</f>
        <v>0</v>
      </c>
      <c r="N135" s="65">
        <f>CHOOSE(PLColumn,IFERROR(GETPIVOTDATA("Sum of "&amp;N$9,'PT-All'!$A$1,"Scenario",N$12,"P&amp;L Item",$B135),0),IFERROR(GETPIVOTDATA("Sum of "&amp;N$9,'PT-All'!$A$1,"Scenario",N$12,"P&amp;L Item",$B135)/N$201,0),TEXT(IFERROR(GETPIVOTDATA("Sum of "&amp;N$9,'PT-All'!$A$1,"Scenario",N$12,"P&amp;L Item",$B135)/N$29,0),"0.00%"))</f>
        <v>0</v>
      </c>
      <c r="O135" s="65">
        <f>CHOOSE(PLColumn,IFERROR(GETPIVOTDATA("Sum of "&amp;O$9,'PT-All'!$A$1,"Scenario",O$12,"P&amp;L Item",$B135),0),IFERROR(GETPIVOTDATA("Sum of "&amp;O$9,'PT-All'!$A$1,"Scenario",O$12,"P&amp;L Item",$B135)/O$201,0),TEXT(IFERROR(GETPIVOTDATA("Sum of "&amp;O$9,'PT-All'!$A$1,"Scenario",O$12,"P&amp;L Item",$B135)/O$29,0),"0.00%"))</f>
        <v>0</v>
      </c>
      <c r="P135" s="65">
        <f>CHOOSE(PLColumn,IFERROR(GETPIVOTDATA("Sum of "&amp;P$9,'PT-All'!$A$1,"Scenario",P$12,"P&amp;L Item",$B135),0),IFERROR(GETPIVOTDATA("Sum of "&amp;P$9,'PT-All'!$A$1,"Scenario",P$12,"P&amp;L Item",$B135)/P$201,0),TEXT(IFERROR(GETPIVOTDATA("Sum of "&amp;P$9,'PT-All'!$A$1,"Scenario",P$12,"P&amp;L Item",$B135)/P$29,0),"0.00%"))</f>
        <v>0</v>
      </c>
      <c r="Q135" s="65">
        <f>CHOOSE(PLColumn,IFERROR(GETPIVOTDATA("Sum of "&amp;Q$9,'PT-All'!$A$1,"Scenario",Q$12,"P&amp;L Item",$B135),0),IFERROR(GETPIVOTDATA("Sum of "&amp;Q$9,'PT-All'!$A$1,"Scenario",Q$12,"P&amp;L Item",$B135)/Q$201,0),TEXT(IFERROR(GETPIVOTDATA("Sum of "&amp;Q$9,'PT-All'!$A$1,"Scenario",Q$12,"P&amp;L Item",$B135)/Q$29,0),"0.00%"))</f>
        <v>0</v>
      </c>
      <c r="R135" s="65">
        <f>CHOOSE(PLColumn,IFERROR(GETPIVOTDATA("Sum of "&amp;R$9,'PT-All'!$A$1,"Scenario",R$12,"P&amp;L Item",$B135),0),IFERROR(GETPIVOTDATA("Sum of "&amp;R$9,'PT-All'!$A$1,"Scenario",R$12,"P&amp;L Item",$B135)/R$201,0),TEXT(IFERROR(GETPIVOTDATA("Sum of "&amp;R$9,'PT-All'!$A$1,"Scenario",R$12,"P&amp;L Item",$B135)/R$29,0),"0.00%"))</f>
        <v>0</v>
      </c>
      <c r="S135" s="65">
        <f>CHOOSE(PLColumn,IFERROR(GETPIVOTDATA("Sum of "&amp;S$9,'PT-All'!$A$1,"Scenario",S$12,"P&amp;L Item",$B135),0),IFERROR(GETPIVOTDATA("Sum of "&amp;S$9,'PT-All'!$A$1,"Scenario",S$12,"P&amp;L Item",$B135)/S$201,0),TEXT(IFERROR(GETPIVOTDATA("Sum of "&amp;S$9,'PT-All'!$A$1,"Scenario",S$12,"P&amp;L Item",$B135)/S$29,0),"0.00%"))</f>
        <v>0</v>
      </c>
      <c r="T135" s="65">
        <f>CHOOSE(PLColumn,IFERROR(GETPIVOTDATA("Sum of "&amp;T$9,'PT-All'!$A$1,"Scenario",T$12,"P&amp;L Item",$B135),0),IFERROR(GETPIVOTDATA("Sum of "&amp;T$9,'PT-All'!$A$1,"Scenario",T$12,"P&amp;L Item",$B135)/T$201,0),TEXT(IFERROR(GETPIVOTDATA("Sum of "&amp;T$9,'PT-All'!$A$1,"Scenario",T$12,"P&amp;L Item",$B135)/T$29,0),"0.00%"))</f>
        <v>0</v>
      </c>
      <c r="U135" s="65">
        <f>CHOOSE(PLColumn,IFERROR(GETPIVOTDATA("Sum of "&amp;U$9,'PT-All'!$A$1,"Scenario",U$12,"P&amp;L Item",$B135),0),IFERROR(GETPIVOTDATA("Sum of "&amp;U$9,'PT-All'!$A$1,"Scenario",U$12,"P&amp;L Item",$B135)/U$201,0),TEXT(IFERROR(GETPIVOTDATA("Sum of "&amp;U$9,'PT-All'!$A$1,"Scenario",U$12,"P&amp;L Item",$B135)/U$29,0),"0.00%"))</f>
        <v>0</v>
      </c>
      <c r="V135" s="65">
        <f>CHOOSE(PLColumn,IFERROR(GETPIVOTDATA("Sum of "&amp;V$9,'PT-All'!$A$1,"Scenario",V$12,"P&amp;L Item",$B135),0),IFERROR(GETPIVOTDATA("Sum of "&amp;V$9,'PT-All'!$A$1,"Scenario",V$12,"P&amp;L Item",$B135)/V$201,0),TEXT(IFERROR(GETPIVOTDATA("Sum of "&amp;V$9,'PT-All'!$A$1,"Scenario",V$12,"P&amp;L Item",$B135)/V$29,0),"0.00%"))</f>
        <v>0</v>
      </c>
      <c r="W135" s="65">
        <f>CHOOSE(PLColumn,IFERROR(GETPIVOTDATA("Sum of "&amp;W$9,'PT-All'!$A$1,"Scenario",W$12,"P&amp;L Item",$B135),0),IFERROR(GETPIVOTDATA("Sum of "&amp;W$9,'PT-All'!$A$1,"Scenario",W$12,"P&amp;L Item",$B135)/W$201,0),TEXT(IFERROR(GETPIVOTDATA("Sum of "&amp;W$9,'PT-All'!$A$1,"Scenario",W$12,"P&amp;L Item",$B135)/W$29,0),"0.00%"))</f>
        <v>0</v>
      </c>
      <c r="X135" s="65">
        <f>CHOOSE(PLColumn,IFERROR(GETPIVOTDATA("Sum of "&amp;X$9,'PT-All'!$A$1,"Scenario",X$12,"P&amp;L Item",$B135),0),IFERROR(GETPIVOTDATA("Sum of "&amp;X$9,'PT-All'!$A$1,"Scenario",X$12,"P&amp;L Item",$B135)/X$201,0),TEXT(IFERROR(GETPIVOTDATA("Sum of "&amp;X$9,'PT-All'!$A$1,"Scenario",X$12,"P&amp;L Item",$B135)/X$29,0),"0.00%"))</f>
        <v>0</v>
      </c>
      <c r="Y135" s="65">
        <f>CHOOSE(PLColumn,IFERROR(GETPIVOTDATA("Sum of "&amp;Y$9,'PT-All'!$A$1,"Scenario",Y$12,"P&amp;L Item",$B135),0),IFERROR(GETPIVOTDATA("Sum of "&amp;Y$9,'PT-All'!$A$1,"Scenario",Y$12,"P&amp;L Item",$B135)/Y$201,0),TEXT(IFERROR(GETPIVOTDATA("Sum of "&amp;Y$9,'PT-All'!$A$1,"Scenario",Y$12,"P&amp;L Item",$B135)/Y$29,0),"0.00%"))</f>
        <v>0</v>
      </c>
      <c r="Z135" s="65">
        <f>CHOOSE(PLColumn,IFERROR(GETPIVOTDATA("Sum of "&amp;Z$9,'PT-All'!$A$1,"Scenario",Z$12,"P&amp;L Item",$B135),0),IFERROR(GETPIVOTDATA("Sum of "&amp;Z$9,'PT-All'!$A$1,"Scenario",Z$12,"P&amp;L Item",$B135)/Z$201,0),TEXT(IFERROR(GETPIVOTDATA("Sum of "&amp;Z$9,'PT-All'!$A$1,"Scenario",Z$12,"P&amp;L Item",$B135)/Z$29,0),"0.00%"))</f>
        <v>0</v>
      </c>
      <c r="AA135" s="65">
        <f>CHOOSE(PLColumn,IFERROR(GETPIVOTDATA("Sum of "&amp;AA$9,'PT-All'!$A$1,"Scenario",AA$12,"P&amp;L Item",$B135),0),IFERROR(GETPIVOTDATA("Sum of "&amp;AA$9,'PT-All'!$A$1,"Scenario",AA$12,"P&amp;L Item",$B135)/AA$201,0),TEXT(IFERROR(GETPIVOTDATA("Sum of "&amp;AA$9,'PT-All'!$A$1,"Scenario",AA$12,"P&amp;L Item",$B135)/AA$29,0),"0.00%"))</f>
        <v>0</v>
      </c>
      <c r="AB135" s="65">
        <f>CHOOSE(PLColumn,IFERROR(GETPIVOTDATA("Sum of "&amp;AB$9,'PT-All'!$A$1,"Scenario",AB$12,"P&amp;L Item",$B135),0),IFERROR(GETPIVOTDATA("Sum of "&amp;AB$9,'PT-All'!$A$1,"Scenario",AB$12,"P&amp;L Item",$B135)/AB$201,0),TEXT(IFERROR(GETPIVOTDATA("Sum of "&amp;AB$9,'PT-All'!$A$1,"Scenario",AB$12,"P&amp;L Item",$B135)/AB$29,0),"0.00%"))</f>
        <v>0</v>
      </c>
      <c r="AC135" s="65">
        <f>CHOOSE(PLColumn,IFERROR(GETPIVOTDATA("Sum of "&amp;AC$9,'PT-All'!$A$1,"Scenario",AC$12,"P&amp;L Item",$B135),0),IFERROR(GETPIVOTDATA("Sum of "&amp;AC$9,'PT-All'!$A$1,"Scenario",AC$12,"P&amp;L Item",$B135)/AC$201,0),TEXT(IFERROR(GETPIVOTDATA("Sum of "&amp;AC$9,'PT-All'!$A$1,"Scenario",AC$12,"P&amp;L Item",$B135)/AC$29,0),"0.00%"))</f>
        <v>0</v>
      </c>
      <c r="AD135" s="65">
        <f>CHOOSE(PLColumn,IFERROR(GETPIVOTDATA("Sum of "&amp;AD$9,'PT-All'!$A$1,"Scenario",AD$12,"P&amp;L Item",$B135),0),IFERROR(GETPIVOTDATA("Sum of "&amp;AD$9,'PT-All'!$A$1,"Scenario",AD$12,"P&amp;L Item",$B135)/AD$201,0),TEXT(IFERROR(GETPIVOTDATA("Sum of "&amp;AD$9,'PT-All'!$A$1,"Scenario",AD$12,"P&amp;L Item",$B135)/AD$29,0),"0.00%"))</f>
        <v>0</v>
      </c>
      <c r="AE135" s="65">
        <f>CHOOSE(PLColumn,IFERROR(GETPIVOTDATA("Sum of "&amp;AE$9,'PT-All'!$A$1,"Scenario",AE$12,"P&amp;L Item",$B135),0),IFERROR(GETPIVOTDATA("Sum of "&amp;AE$9,'PT-All'!$A$1,"Scenario",AE$12,"P&amp;L Item",$B135)/AE$201,0),TEXT(IFERROR(GETPIVOTDATA("Sum of "&amp;AE$9,'PT-All'!$A$1,"Scenario",AE$12,"P&amp;L Item",$B135)/AE$29,0),"0.00%"))</f>
        <v>0</v>
      </c>
      <c r="AF135" s="65">
        <f>CHOOSE(PLColumn,IFERROR(GETPIVOTDATA("Sum of "&amp;AF$9,'PT-All'!$A$1,"Scenario",AF$12,"P&amp;L Item",$B135),0),IFERROR(GETPIVOTDATA("Sum of "&amp;AF$9,'PT-All'!$A$1,"Scenario",AF$12,"P&amp;L Item",$B135)/AF$201,0),TEXT(IFERROR(GETPIVOTDATA("Sum of "&amp;AF$9,'PT-All'!$A$1,"Scenario",AF$12,"P&amp;L Item",$B135)/AF$29,0),"0.00%"))</f>
        <v>0</v>
      </c>
      <c r="AG135" s="65">
        <f>CHOOSE(PLColumn,IFERROR(GETPIVOTDATA("Sum of "&amp;AG$9,'PT-All'!$A$1,"Scenario",AG$12,"P&amp;L Item",$B135),0),IFERROR(GETPIVOTDATA("Sum of "&amp;AG$9,'PT-All'!$A$1,"Scenario",AG$12,"P&amp;L Item",$B135)/AG$201,0),TEXT(IFERROR(GETPIVOTDATA("Sum of "&amp;AG$9,'PT-All'!$A$1,"Scenario",AG$12,"P&amp;L Item",$B135)/AG$29,0),"0.00%"))</f>
        <v>0</v>
      </c>
      <c r="AH135" s="65">
        <f>CHOOSE(PLColumn,IFERROR(GETPIVOTDATA("Sum of "&amp;AH$9,'PT-All'!$A$1,"Scenario",AH$12,"P&amp;L Item",$B135),0),IFERROR(GETPIVOTDATA("Sum of "&amp;AH$9,'PT-All'!$A$1,"Scenario",AH$12,"P&amp;L Item",$B135)/AH$201,0),TEXT(IFERROR(GETPIVOTDATA("Sum of "&amp;AH$9,'PT-All'!$A$1,"Scenario",AH$12,"P&amp;L Item",$B135)/AH$29,0),"0.00%"))</f>
        <v>0</v>
      </c>
      <c r="AI135" s="65">
        <f>CHOOSE(PLColumn,IFERROR(GETPIVOTDATA("Sum of "&amp;AI$9,'PT-All'!$A$1,"Scenario",AI$12,"P&amp;L Item",$B135),0),IFERROR(GETPIVOTDATA("Sum of "&amp;AI$9,'PT-All'!$A$1,"Scenario",AI$12,"P&amp;L Item",$B135)/AI$201,0),TEXT(IFERROR(GETPIVOTDATA("Sum of "&amp;AI$9,'PT-All'!$A$1,"Scenario",AI$12,"P&amp;L Item",$B135)/AI$29,0),"0.00%"))</f>
        <v>0</v>
      </c>
      <c r="AJ135" s="65">
        <f>CHOOSE(PLColumn,IFERROR(GETPIVOTDATA("Sum of "&amp;AJ$9,'PT-All'!$A$1,"Scenario",AJ$12,"P&amp;L Item",$B135),0),IFERROR(GETPIVOTDATA("Sum of "&amp;AJ$9,'PT-All'!$A$1,"Scenario",AJ$12,"P&amp;L Item",$B135)/AJ$201,0),TEXT(IFERROR(GETPIVOTDATA("Sum of "&amp;AJ$9,'PT-All'!$A$1,"Scenario",AJ$12,"P&amp;L Item",$B135)/AJ$29,0),"0.00%"))</f>
        <v>0</v>
      </c>
      <c r="AK135" s="65">
        <f>CHOOSE(PLColumn,IFERROR(GETPIVOTDATA("Sum of "&amp;AK$9,'PT-All'!$A$1,"Scenario",AK$12,"P&amp;L Item",$B135),0),IFERROR(GETPIVOTDATA("Sum of "&amp;AK$9,'PT-All'!$A$1,"Scenario",AK$12,"P&amp;L Item",$B135)/AK$201,0),TEXT(IFERROR(GETPIVOTDATA("Sum of "&amp;AK$9,'PT-All'!$A$1,"Scenario",AK$12,"P&amp;L Item",$B135)/AK$29,0),"0.00%"))</f>
        <v>0</v>
      </c>
      <c r="AL135" s="97">
        <f>CHOOSE(PLColumn,IFERROR(GETPIVOTDATA("Sum of "&amp;AL$9,'PT-All'!$A$1,"Scenario",AL$12,"P&amp;L Item",$B135),0),IFERROR(GETPIVOTDATA("Sum of "&amp;AL$9,'PT-All'!$A$1,"Scenario",AL$12,"P&amp;L Item",$B135)/AL$201,0),TEXT(IFERROR(GETPIVOTDATA("Sum of "&amp;AL$9,'PT-All'!$A$1,"Scenario",AL$12,"P&amp;L Item",$B135)/AL$29,0),"0.00%"))</f>
        <v>0</v>
      </c>
      <c r="AM135" s="590"/>
      <c r="AN135" s="108">
        <f ca="1">IF(AN$12="Pro Forma",SUM(OFFSET($B135,0,3*AN$9+1,1,3)),IFERROR(GETPIVOTDATA("Sum of Q"&amp;AN$9+1,'PT-All'!$A$1,"Scenario",AN$12,"P&amp;L Item",$B135),0))</f>
        <v>0</v>
      </c>
      <c r="AO135" s="65">
        <f ca="1">IF(AO$12="Pro Forma",SUM(OFFSET($B135,0,3*AO$9+1,1,3)),IFERROR(GETPIVOTDATA("Sum of Q"&amp;AO$9+1,'PT-All'!$A$1,"Scenario",AO$12,"P&amp;L Item",$B135),0))</f>
        <v>0</v>
      </c>
      <c r="AP135" s="65">
        <f ca="1">IF(AP$12="Pro Forma",SUM(OFFSET($B135,0,3*AP$9+1,1,3)),IFERROR(GETPIVOTDATA("Sum of Q"&amp;AP$9+1,'PT-All'!$A$1,"Scenario",AP$12,"P&amp;L Item",$B135),0))</f>
        <v>0</v>
      </c>
      <c r="AQ135" s="65">
        <f ca="1">IF(AQ$12="Pro Forma",SUM(OFFSET($B135,0,3*AQ$9+1,1,3)),IFERROR(GETPIVOTDATA("Sum of Q"&amp;AQ$9+1,'PT-All'!$A$1,"Scenario",AQ$12,"P&amp;L Item",$B135),0))</f>
        <v>0</v>
      </c>
      <c r="AR135" s="65">
        <f ca="1">IF(AR$12="Pro Forma",SUM(OFFSET($B135,0,3*AR$9+1,1,3)),IFERROR(GETPIVOTDATA("Sum of Q"&amp;AR$9+1,'PT-All'!$A$1,"Scenario",AR$12,"P&amp;L Item",$B135),0))</f>
        <v>0</v>
      </c>
      <c r="AS135" s="65">
        <f ca="1">IF(AS$12="Pro Forma",SUM(OFFSET($B135,0,3*AS$9+1,1,3)),IFERROR(GETPIVOTDATA("Sum of Q"&amp;AS$9+1,'PT-All'!$A$1,"Scenario",AS$12,"P&amp;L Item",$B135),0))</f>
        <v>0</v>
      </c>
      <c r="AT135" s="65">
        <f ca="1">IF(AT$12="Pro Forma",SUM(OFFSET($B135,0,3*AT$9+1,1,3)),IFERROR(GETPIVOTDATA("Sum of Q"&amp;AT$9+1,'PT-All'!$A$1,"Scenario",AT$12,"P&amp;L Item",$B135),0))</f>
        <v>0</v>
      </c>
      <c r="AU135" s="65">
        <f ca="1">IF(AU$12="Pro Forma",SUM(OFFSET($B135,0,3*AU$9+1,1,3)),IFERROR(GETPIVOTDATA("Sum of Q"&amp;AU$9+1,'PT-All'!$A$1,"Scenario",AU$12,"P&amp;L Item",$B135),0))</f>
        <v>0</v>
      </c>
      <c r="AV135" s="65">
        <f ca="1">IF(AV$12="Pro Forma",SUM(OFFSET($B135,0,3*AV$9+1,1,3)),IFERROR(GETPIVOTDATA("Sum of Q"&amp;AV$9+1,'PT-All'!$A$1,"Scenario",AV$12,"P&amp;L Item",$B135),0))</f>
        <v>0</v>
      </c>
      <c r="AW135" s="65">
        <f ca="1">IF(AW$12="Pro Forma",SUM(OFFSET($B135,0,3*AW$9+1,1,3)),IFERROR(GETPIVOTDATA("Sum of Q"&amp;AW$9+1,'PT-All'!$A$1,"Scenario",AW$12,"P&amp;L Item",$B135),0))</f>
        <v>0</v>
      </c>
      <c r="AX135" s="65">
        <f ca="1">IF(AX$12="Pro Forma",SUM(OFFSET($B135,0,3*AX$9+1,1,3)),IFERROR(GETPIVOTDATA("Sum of Q"&amp;AX$9+1,'PT-All'!$A$1,"Scenario",AX$12,"P&amp;L Item",$B135),0))</f>
        <v>0</v>
      </c>
      <c r="AY135" s="97">
        <f ca="1">IF(AY$12="Pro Forma",SUM(OFFSET($B135,0,3*AY$9+1,1,3)),IFERROR(GETPIVOTDATA("Sum of Q"&amp;AY$9+1,'PT-All'!$A$1,"Scenario",AY$12,"P&amp;L Item",$B135),0))</f>
        <v>0</v>
      </c>
      <c r="AZ135" s="590"/>
      <c r="BA135" s="108">
        <f ca="1">IF(BA$12="Pro Forma",SUM(OFFSET($B135,0,12*BA$9+1,1,12)),IFERROR(GETPIVOTDATA("Sum of FY"&amp;BA$9+1,'PT-All'!$A$1,"Scenario",BA$12,"P&amp;L Item",$B135),0))</f>
        <v>0</v>
      </c>
      <c r="BB135" s="65">
        <f ca="1">IF(BB$12="Pro Forma",SUM(OFFSET($B135,0,12*BB$9+1,1,12)),IFERROR(GETPIVOTDATA("Sum of FY"&amp;BB$9+1,'PT-All'!$A$1,"Scenario",BB$12,"P&amp;L Item",$B135),0))</f>
        <v>0</v>
      </c>
      <c r="BC135" s="97">
        <f ca="1">IF(BC$12="Pro Forma",SUM(OFFSET($B135,0,12*BC$9+1,1,12)),IFERROR(GETPIVOTDATA("Sum of FY"&amp;BC$9+1,'PT-All'!$A$1,"Scenario",BC$12,"P&amp;L Item",$B135),0))</f>
        <v>0</v>
      </c>
    </row>
    <row r="136" spans="2:55" x14ac:dyDescent="0.35">
      <c r="B136" s="64" t="s">
        <v>166</v>
      </c>
      <c r="C136" s="65">
        <f>CHOOSE(PLColumn,IFERROR(GETPIVOTDATA("Sum of "&amp;C$9,'PT-All'!$A$1,"Scenario",C$12,"P&amp;L Item",$B136),0),IFERROR(GETPIVOTDATA("Sum of "&amp;C$9,'PT-All'!$A$1,"Scenario",C$12,"P&amp;L Item",$B136)/C$201,0),TEXT(IFERROR(GETPIVOTDATA("Sum of "&amp;C$9,'PT-All'!$A$1,"Scenario",C$12,"P&amp;L Item",$B136)/C$29,0),"0.00%"))</f>
        <v>0</v>
      </c>
      <c r="D136" s="65">
        <f>CHOOSE(PLColumn,IFERROR(GETPIVOTDATA("Sum of "&amp;D$9,'PT-All'!$A$1,"Scenario",D$12,"P&amp;L Item",$B136),0),IFERROR(GETPIVOTDATA("Sum of "&amp;D$9,'PT-All'!$A$1,"Scenario",D$12,"P&amp;L Item",$B136)/D$201,0),TEXT(IFERROR(GETPIVOTDATA("Sum of "&amp;D$9,'PT-All'!$A$1,"Scenario",D$12,"P&amp;L Item",$B136)/D$29,0),"0.00%"))</f>
        <v>0</v>
      </c>
      <c r="E136" s="65">
        <f>CHOOSE(PLColumn,IFERROR(GETPIVOTDATA("Sum of "&amp;E$9,'PT-All'!$A$1,"Scenario",E$12,"P&amp;L Item",$B136),0),IFERROR(GETPIVOTDATA("Sum of "&amp;E$9,'PT-All'!$A$1,"Scenario",E$12,"P&amp;L Item",$B136)/E$201,0),TEXT(IFERROR(GETPIVOTDATA("Sum of "&amp;E$9,'PT-All'!$A$1,"Scenario",E$12,"P&amp;L Item",$B136)/E$29,0),"0.00%"))</f>
        <v>0</v>
      </c>
      <c r="F136" s="65">
        <f>CHOOSE(PLColumn,IFERROR(GETPIVOTDATA("Sum of "&amp;F$9,'PT-All'!$A$1,"Scenario",F$12,"P&amp;L Item",$B136),0),IFERROR(GETPIVOTDATA("Sum of "&amp;F$9,'PT-All'!$A$1,"Scenario",F$12,"P&amp;L Item",$B136)/F$201,0),TEXT(IFERROR(GETPIVOTDATA("Sum of "&amp;F$9,'PT-All'!$A$1,"Scenario",F$12,"P&amp;L Item",$B136)/F$29,0),"0.00%"))</f>
        <v>0</v>
      </c>
      <c r="G136" s="65">
        <f>CHOOSE(PLColumn,IFERROR(GETPIVOTDATA("Sum of "&amp;G$9,'PT-All'!$A$1,"Scenario",G$12,"P&amp;L Item",$B136),0),IFERROR(GETPIVOTDATA("Sum of "&amp;G$9,'PT-All'!$A$1,"Scenario",G$12,"P&amp;L Item",$B136)/G$201,0),TEXT(IFERROR(GETPIVOTDATA("Sum of "&amp;G$9,'PT-All'!$A$1,"Scenario",G$12,"P&amp;L Item",$B136)/G$29,0),"0.00%"))</f>
        <v>0</v>
      </c>
      <c r="H136" s="65">
        <f>CHOOSE(PLColumn,IFERROR(GETPIVOTDATA("Sum of "&amp;H$9,'PT-All'!$A$1,"Scenario",H$12,"P&amp;L Item",$B136),0),IFERROR(GETPIVOTDATA("Sum of "&amp;H$9,'PT-All'!$A$1,"Scenario",H$12,"P&amp;L Item",$B136)/H$201,0),TEXT(IFERROR(GETPIVOTDATA("Sum of "&amp;H$9,'PT-All'!$A$1,"Scenario",H$12,"P&amp;L Item",$B136)/H$29,0),"0.00%"))</f>
        <v>0</v>
      </c>
      <c r="I136" s="65">
        <f>CHOOSE(PLColumn,IFERROR(GETPIVOTDATA("Sum of "&amp;I$9,'PT-All'!$A$1,"Scenario",I$12,"P&amp;L Item",$B136),0),IFERROR(GETPIVOTDATA("Sum of "&amp;I$9,'PT-All'!$A$1,"Scenario",I$12,"P&amp;L Item",$B136)/I$201,0),TEXT(IFERROR(GETPIVOTDATA("Sum of "&amp;I$9,'PT-All'!$A$1,"Scenario",I$12,"P&amp;L Item",$B136)/I$29,0),"0.00%"))</f>
        <v>0</v>
      </c>
      <c r="J136" s="65">
        <f>CHOOSE(PLColumn,IFERROR(GETPIVOTDATA("Sum of "&amp;J$9,'PT-All'!$A$1,"Scenario",J$12,"P&amp;L Item",$B136),0),IFERROR(GETPIVOTDATA("Sum of "&amp;J$9,'PT-All'!$A$1,"Scenario",J$12,"P&amp;L Item",$B136)/J$201,0),TEXT(IFERROR(GETPIVOTDATA("Sum of "&amp;J$9,'PT-All'!$A$1,"Scenario",J$12,"P&amp;L Item",$B136)/J$29,0),"0.00%"))</f>
        <v>0</v>
      </c>
      <c r="K136" s="65">
        <f>CHOOSE(PLColumn,IFERROR(GETPIVOTDATA("Sum of "&amp;K$9,'PT-All'!$A$1,"Scenario",K$12,"P&amp;L Item",$B136),0),IFERROR(GETPIVOTDATA("Sum of "&amp;K$9,'PT-All'!$A$1,"Scenario",K$12,"P&amp;L Item",$B136)/K$201,0),TEXT(IFERROR(GETPIVOTDATA("Sum of "&amp;K$9,'PT-All'!$A$1,"Scenario",K$12,"P&amp;L Item",$B136)/K$29,0),"0.00%"))</f>
        <v>0</v>
      </c>
      <c r="L136" s="65">
        <f>CHOOSE(PLColumn,IFERROR(GETPIVOTDATA("Sum of "&amp;L$9,'PT-All'!$A$1,"Scenario",L$12,"P&amp;L Item",$B136),0),IFERROR(GETPIVOTDATA("Sum of "&amp;L$9,'PT-All'!$A$1,"Scenario",L$12,"P&amp;L Item",$B136)/L$201,0),TEXT(IFERROR(GETPIVOTDATA("Sum of "&amp;L$9,'PT-All'!$A$1,"Scenario",L$12,"P&amp;L Item",$B136)/L$29,0),"0.00%"))</f>
        <v>0</v>
      </c>
      <c r="M136" s="65">
        <f>CHOOSE(PLColumn,IFERROR(GETPIVOTDATA("Sum of "&amp;M$9,'PT-All'!$A$1,"Scenario",M$12,"P&amp;L Item",$B136),0),IFERROR(GETPIVOTDATA("Sum of "&amp;M$9,'PT-All'!$A$1,"Scenario",M$12,"P&amp;L Item",$B136)/M$201,0),TEXT(IFERROR(GETPIVOTDATA("Sum of "&amp;M$9,'PT-All'!$A$1,"Scenario",M$12,"P&amp;L Item",$B136)/M$29,0),"0.00%"))</f>
        <v>0</v>
      </c>
      <c r="N136" s="65">
        <f>CHOOSE(PLColumn,IFERROR(GETPIVOTDATA("Sum of "&amp;N$9,'PT-All'!$A$1,"Scenario",N$12,"P&amp;L Item",$B136),0),IFERROR(GETPIVOTDATA("Sum of "&amp;N$9,'PT-All'!$A$1,"Scenario",N$12,"P&amp;L Item",$B136)/N$201,0),TEXT(IFERROR(GETPIVOTDATA("Sum of "&amp;N$9,'PT-All'!$A$1,"Scenario",N$12,"P&amp;L Item",$B136)/N$29,0),"0.00%"))</f>
        <v>0</v>
      </c>
      <c r="O136" s="65">
        <f>CHOOSE(PLColumn,IFERROR(GETPIVOTDATA("Sum of "&amp;O$9,'PT-All'!$A$1,"Scenario",O$12,"P&amp;L Item",$B136),0),IFERROR(GETPIVOTDATA("Sum of "&amp;O$9,'PT-All'!$A$1,"Scenario",O$12,"P&amp;L Item",$B136)/O$201,0),TEXT(IFERROR(GETPIVOTDATA("Sum of "&amp;O$9,'PT-All'!$A$1,"Scenario",O$12,"P&amp;L Item",$B136)/O$29,0),"0.00%"))</f>
        <v>0</v>
      </c>
      <c r="P136" s="65">
        <f>CHOOSE(PLColumn,IFERROR(GETPIVOTDATA("Sum of "&amp;P$9,'PT-All'!$A$1,"Scenario",P$12,"P&amp;L Item",$B136),0),IFERROR(GETPIVOTDATA("Sum of "&amp;P$9,'PT-All'!$A$1,"Scenario",P$12,"P&amp;L Item",$B136)/P$201,0),TEXT(IFERROR(GETPIVOTDATA("Sum of "&amp;P$9,'PT-All'!$A$1,"Scenario",P$12,"P&amp;L Item",$B136)/P$29,0),"0.00%"))</f>
        <v>0</v>
      </c>
      <c r="Q136" s="65">
        <f>CHOOSE(PLColumn,IFERROR(GETPIVOTDATA("Sum of "&amp;Q$9,'PT-All'!$A$1,"Scenario",Q$12,"P&amp;L Item",$B136),0),IFERROR(GETPIVOTDATA("Sum of "&amp;Q$9,'PT-All'!$A$1,"Scenario",Q$12,"P&amp;L Item",$B136)/Q$201,0),TEXT(IFERROR(GETPIVOTDATA("Sum of "&amp;Q$9,'PT-All'!$A$1,"Scenario",Q$12,"P&amp;L Item",$B136)/Q$29,0),"0.00%"))</f>
        <v>0</v>
      </c>
      <c r="R136" s="65">
        <f>CHOOSE(PLColumn,IFERROR(GETPIVOTDATA("Sum of "&amp;R$9,'PT-All'!$A$1,"Scenario",R$12,"P&amp;L Item",$B136),0),IFERROR(GETPIVOTDATA("Sum of "&amp;R$9,'PT-All'!$A$1,"Scenario",R$12,"P&amp;L Item",$B136)/R$201,0),TEXT(IFERROR(GETPIVOTDATA("Sum of "&amp;R$9,'PT-All'!$A$1,"Scenario",R$12,"P&amp;L Item",$B136)/R$29,0),"0.00%"))</f>
        <v>0</v>
      </c>
      <c r="S136" s="65">
        <f>CHOOSE(PLColumn,IFERROR(GETPIVOTDATA("Sum of "&amp;S$9,'PT-All'!$A$1,"Scenario",S$12,"P&amp;L Item",$B136),0),IFERROR(GETPIVOTDATA("Sum of "&amp;S$9,'PT-All'!$A$1,"Scenario",S$12,"P&amp;L Item",$B136)/S$201,0),TEXT(IFERROR(GETPIVOTDATA("Sum of "&amp;S$9,'PT-All'!$A$1,"Scenario",S$12,"P&amp;L Item",$B136)/S$29,0),"0.00%"))</f>
        <v>0</v>
      </c>
      <c r="T136" s="65">
        <f>CHOOSE(PLColumn,IFERROR(GETPIVOTDATA("Sum of "&amp;T$9,'PT-All'!$A$1,"Scenario",T$12,"P&amp;L Item",$B136),0),IFERROR(GETPIVOTDATA("Sum of "&amp;T$9,'PT-All'!$A$1,"Scenario",T$12,"P&amp;L Item",$B136)/T$201,0),TEXT(IFERROR(GETPIVOTDATA("Sum of "&amp;T$9,'PT-All'!$A$1,"Scenario",T$12,"P&amp;L Item",$B136)/T$29,0),"0.00%"))</f>
        <v>0</v>
      </c>
      <c r="U136" s="65">
        <f>CHOOSE(PLColumn,IFERROR(GETPIVOTDATA("Sum of "&amp;U$9,'PT-All'!$A$1,"Scenario",U$12,"P&amp;L Item",$B136),0),IFERROR(GETPIVOTDATA("Sum of "&amp;U$9,'PT-All'!$A$1,"Scenario",U$12,"P&amp;L Item",$B136)/U$201,0),TEXT(IFERROR(GETPIVOTDATA("Sum of "&amp;U$9,'PT-All'!$A$1,"Scenario",U$12,"P&amp;L Item",$B136)/U$29,0),"0.00%"))</f>
        <v>0</v>
      </c>
      <c r="V136" s="65">
        <f>CHOOSE(PLColumn,IFERROR(GETPIVOTDATA("Sum of "&amp;V$9,'PT-All'!$A$1,"Scenario",V$12,"P&amp;L Item",$B136),0),IFERROR(GETPIVOTDATA("Sum of "&amp;V$9,'PT-All'!$A$1,"Scenario",V$12,"P&amp;L Item",$B136)/V$201,0),TEXT(IFERROR(GETPIVOTDATA("Sum of "&amp;V$9,'PT-All'!$A$1,"Scenario",V$12,"P&amp;L Item",$B136)/V$29,0),"0.00%"))</f>
        <v>0</v>
      </c>
      <c r="W136" s="65">
        <f>CHOOSE(PLColumn,IFERROR(GETPIVOTDATA("Sum of "&amp;W$9,'PT-All'!$A$1,"Scenario",W$12,"P&amp;L Item",$B136),0),IFERROR(GETPIVOTDATA("Sum of "&amp;W$9,'PT-All'!$A$1,"Scenario",W$12,"P&amp;L Item",$B136)/W$201,0),TEXT(IFERROR(GETPIVOTDATA("Sum of "&amp;W$9,'PT-All'!$A$1,"Scenario",W$12,"P&amp;L Item",$B136)/W$29,0),"0.00%"))</f>
        <v>0</v>
      </c>
      <c r="X136" s="65">
        <f>CHOOSE(PLColumn,IFERROR(GETPIVOTDATA("Sum of "&amp;X$9,'PT-All'!$A$1,"Scenario",X$12,"P&amp;L Item",$B136),0),IFERROR(GETPIVOTDATA("Sum of "&amp;X$9,'PT-All'!$A$1,"Scenario",X$12,"P&amp;L Item",$B136)/X$201,0),TEXT(IFERROR(GETPIVOTDATA("Sum of "&amp;X$9,'PT-All'!$A$1,"Scenario",X$12,"P&amp;L Item",$B136)/X$29,0),"0.00%"))</f>
        <v>0</v>
      </c>
      <c r="Y136" s="65">
        <f>CHOOSE(PLColumn,IFERROR(GETPIVOTDATA("Sum of "&amp;Y$9,'PT-All'!$A$1,"Scenario",Y$12,"P&amp;L Item",$B136),0),IFERROR(GETPIVOTDATA("Sum of "&amp;Y$9,'PT-All'!$A$1,"Scenario",Y$12,"P&amp;L Item",$B136)/Y$201,0),TEXT(IFERROR(GETPIVOTDATA("Sum of "&amp;Y$9,'PT-All'!$A$1,"Scenario",Y$12,"P&amp;L Item",$B136)/Y$29,0),"0.00%"))</f>
        <v>0</v>
      </c>
      <c r="Z136" s="65">
        <f>CHOOSE(PLColumn,IFERROR(GETPIVOTDATA("Sum of "&amp;Z$9,'PT-All'!$A$1,"Scenario",Z$12,"P&amp;L Item",$B136),0),IFERROR(GETPIVOTDATA("Sum of "&amp;Z$9,'PT-All'!$A$1,"Scenario",Z$12,"P&amp;L Item",$B136)/Z$201,0),TEXT(IFERROR(GETPIVOTDATA("Sum of "&amp;Z$9,'PT-All'!$A$1,"Scenario",Z$12,"P&amp;L Item",$B136)/Z$29,0),"0.00%"))</f>
        <v>0</v>
      </c>
      <c r="AA136" s="65">
        <f>CHOOSE(PLColumn,IFERROR(GETPIVOTDATA("Sum of "&amp;AA$9,'PT-All'!$A$1,"Scenario",AA$12,"P&amp;L Item",$B136),0),IFERROR(GETPIVOTDATA("Sum of "&amp;AA$9,'PT-All'!$A$1,"Scenario",AA$12,"P&amp;L Item",$B136)/AA$201,0),TEXT(IFERROR(GETPIVOTDATA("Sum of "&amp;AA$9,'PT-All'!$A$1,"Scenario",AA$12,"P&amp;L Item",$B136)/AA$29,0),"0.00%"))</f>
        <v>0</v>
      </c>
      <c r="AB136" s="65">
        <f>CHOOSE(PLColumn,IFERROR(GETPIVOTDATA("Sum of "&amp;AB$9,'PT-All'!$A$1,"Scenario",AB$12,"P&amp;L Item",$B136),0),IFERROR(GETPIVOTDATA("Sum of "&amp;AB$9,'PT-All'!$A$1,"Scenario",AB$12,"P&amp;L Item",$B136)/AB$201,0),TEXT(IFERROR(GETPIVOTDATA("Sum of "&amp;AB$9,'PT-All'!$A$1,"Scenario",AB$12,"P&amp;L Item",$B136)/AB$29,0),"0.00%"))</f>
        <v>0</v>
      </c>
      <c r="AC136" s="65">
        <f>CHOOSE(PLColumn,IFERROR(GETPIVOTDATA("Sum of "&amp;AC$9,'PT-All'!$A$1,"Scenario",AC$12,"P&amp;L Item",$B136),0),IFERROR(GETPIVOTDATA("Sum of "&amp;AC$9,'PT-All'!$A$1,"Scenario",AC$12,"P&amp;L Item",$B136)/AC$201,0),TEXT(IFERROR(GETPIVOTDATA("Sum of "&amp;AC$9,'PT-All'!$A$1,"Scenario",AC$12,"P&amp;L Item",$B136)/AC$29,0),"0.00%"))</f>
        <v>0</v>
      </c>
      <c r="AD136" s="65">
        <f>CHOOSE(PLColumn,IFERROR(GETPIVOTDATA("Sum of "&amp;AD$9,'PT-All'!$A$1,"Scenario",AD$12,"P&amp;L Item",$B136),0),IFERROR(GETPIVOTDATA("Sum of "&amp;AD$9,'PT-All'!$A$1,"Scenario",AD$12,"P&amp;L Item",$B136)/AD$201,0),TEXT(IFERROR(GETPIVOTDATA("Sum of "&amp;AD$9,'PT-All'!$A$1,"Scenario",AD$12,"P&amp;L Item",$B136)/AD$29,0),"0.00%"))</f>
        <v>0</v>
      </c>
      <c r="AE136" s="65">
        <f>CHOOSE(PLColumn,IFERROR(GETPIVOTDATA("Sum of "&amp;AE$9,'PT-All'!$A$1,"Scenario",AE$12,"P&amp;L Item",$B136),0),IFERROR(GETPIVOTDATA("Sum of "&amp;AE$9,'PT-All'!$A$1,"Scenario",AE$12,"P&amp;L Item",$B136)/AE$201,0),TEXT(IFERROR(GETPIVOTDATA("Sum of "&amp;AE$9,'PT-All'!$A$1,"Scenario",AE$12,"P&amp;L Item",$B136)/AE$29,0),"0.00%"))</f>
        <v>0</v>
      </c>
      <c r="AF136" s="65">
        <f>CHOOSE(PLColumn,IFERROR(GETPIVOTDATA("Sum of "&amp;AF$9,'PT-All'!$A$1,"Scenario",AF$12,"P&amp;L Item",$B136),0),IFERROR(GETPIVOTDATA("Sum of "&amp;AF$9,'PT-All'!$A$1,"Scenario",AF$12,"P&amp;L Item",$B136)/AF$201,0),TEXT(IFERROR(GETPIVOTDATA("Sum of "&amp;AF$9,'PT-All'!$A$1,"Scenario",AF$12,"P&amp;L Item",$B136)/AF$29,0),"0.00%"))</f>
        <v>0</v>
      </c>
      <c r="AG136" s="65">
        <f>CHOOSE(PLColumn,IFERROR(GETPIVOTDATA("Sum of "&amp;AG$9,'PT-All'!$A$1,"Scenario",AG$12,"P&amp;L Item",$B136),0),IFERROR(GETPIVOTDATA("Sum of "&amp;AG$9,'PT-All'!$A$1,"Scenario",AG$12,"P&amp;L Item",$B136)/AG$201,0),TEXT(IFERROR(GETPIVOTDATA("Sum of "&amp;AG$9,'PT-All'!$A$1,"Scenario",AG$12,"P&amp;L Item",$B136)/AG$29,0),"0.00%"))</f>
        <v>0</v>
      </c>
      <c r="AH136" s="65">
        <f>CHOOSE(PLColumn,IFERROR(GETPIVOTDATA("Sum of "&amp;AH$9,'PT-All'!$A$1,"Scenario",AH$12,"P&amp;L Item",$B136),0),IFERROR(GETPIVOTDATA("Sum of "&amp;AH$9,'PT-All'!$A$1,"Scenario",AH$12,"P&amp;L Item",$B136)/AH$201,0),TEXT(IFERROR(GETPIVOTDATA("Sum of "&amp;AH$9,'PT-All'!$A$1,"Scenario",AH$12,"P&amp;L Item",$B136)/AH$29,0),"0.00%"))</f>
        <v>0</v>
      </c>
      <c r="AI136" s="65">
        <f>CHOOSE(PLColumn,IFERROR(GETPIVOTDATA("Sum of "&amp;AI$9,'PT-All'!$A$1,"Scenario",AI$12,"P&amp;L Item",$B136),0),IFERROR(GETPIVOTDATA("Sum of "&amp;AI$9,'PT-All'!$A$1,"Scenario",AI$12,"P&amp;L Item",$B136)/AI$201,0),TEXT(IFERROR(GETPIVOTDATA("Sum of "&amp;AI$9,'PT-All'!$A$1,"Scenario",AI$12,"P&amp;L Item",$B136)/AI$29,0),"0.00%"))</f>
        <v>0</v>
      </c>
      <c r="AJ136" s="65">
        <f>CHOOSE(PLColumn,IFERROR(GETPIVOTDATA("Sum of "&amp;AJ$9,'PT-All'!$A$1,"Scenario",AJ$12,"P&amp;L Item",$B136),0),IFERROR(GETPIVOTDATA("Sum of "&amp;AJ$9,'PT-All'!$A$1,"Scenario",AJ$12,"P&amp;L Item",$B136)/AJ$201,0),TEXT(IFERROR(GETPIVOTDATA("Sum of "&amp;AJ$9,'PT-All'!$A$1,"Scenario",AJ$12,"P&amp;L Item",$B136)/AJ$29,0),"0.00%"))</f>
        <v>0</v>
      </c>
      <c r="AK136" s="65">
        <f>CHOOSE(PLColumn,IFERROR(GETPIVOTDATA("Sum of "&amp;AK$9,'PT-All'!$A$1,"Scenario",AK$12,"P&amp;L Item",$B136),0),IFERROR(GETPIVOTDATA("Sum of "&amp;AK$9,'PT-All'!$A$1,"Scenario",AK$12,"P&amp;L Item",$B136)/AK$201,0),TEXT(IFERROR(GETPIVOTDATA("Sum of "&amp;AK$9,'PT-All'!$A$1,"Scenario",AK$12,"P&amp;L Item",$B136)/AK$29,0),"0.00%"))</f>
        <v>0</v>
      </c>
      <c r="AL136" s="97">
        <f>CHOOSE(PLColumn,IFERROR(GETPIVOTDATA("Sum of "&amp;AL$9,'PT-All'!$A$1,"Scenario",AL$12,"P&amp;L Item",$B136),0),IFERROR(GETPIVOTDATA("Sum of "&amp;AL$9,'PT-All'!$A$1,"Scenario",AL$12,"P&amp;L Item",$B136)/AL$201,0),TEXT(IFERROR(GETPIVOTDATA("Sum of "&amp;AL$9,'PT-All'!$A$1,"Scenario",AL$12,"P&amp;L Item",$B136)/AL$29,0),"0.00%"))</f>
        <v>0</v>
      </c>
      <c r="AM136" s="590"/>
      <c r="AN136" s="108">
        <f ca="1">IF(AN$12="Pro Forma",SUM(OFFSET($B136,0,3*AN$9+1,1,3)),IFERROR(GETPIVOTDATA("Sum of Q"&amp;AN$9+1,'PT-All'!$A$1,"Scenario",AN$12,"P&amp;L Item",$B136),0))</f>
        <v>0</v>
      </c>
      <c r="AO136" s="65">
        <f ca="1">IF(AO$12="Pro Forma",SUM(OFFSET($B136,0,3*AO$9+1,1,3)),IFERROR(GETPIVOTDATA("Sum of Q"&amp;AO$9+1,'PT-All'!$A$1,"Scenario",AO$12,"P&amp;L Item",$B136),0))</f>
        <v>0</v>
      </c>
      <c r="AP136" s="65">
        <f ca="1">IF(AP$12="Pro Forma",SUM(OFFSET($B136,0,3*AP$9+1,1,3)),IFERROR(GETPIVOTDATA("Sum of Q"&amp;AP$9+1,'PT-All'!$A$1,"Scenario",AP$12,"P&amp;L Item",$B136),0))</f>
        <v>0</v>
      </c>
      <c r="AQ136" s="65">
        <f ca="1">IF(AQ$12="Pro Forma",SUM(OFFSET($B136,0,3*AQ$9+1,1,3)),IFERROR(GETPIVOTDATA("Sum of Q"&amp;AQ$9+1,'PT-All'!$A$1,"Scenario",AQ$12,"P&amp;L Item",$B136),0))</f>
        <v>0</v>
      </c>
      <c r="AR136" s="65">
        <f ca="1">IF(AR$12="Pro Forma",SUM(OFFSET($B136,0,3*AR$9+1,1,3)),IFERROR(GETPIVOTDATA("Sum of Q"&amp;AR$9+1,'PT-All'!$A$1,"Scenario",AR$12,"P&amp;L Item",$B136),0))</f>
        <v>0</v>
      </c>
      <c r="AS136" s="65">
        <f ca="1">IF(AS$12="Pro Forma",SUM(OFFSET($B136,0,3*AS$9+1,1,3)),IFERROR(GETPIVOTDATA("Sum of Q"&amp;AS$9+1,'PT-All'!$A$1,"Scenario",AS$12,"P&amp;L Item",$B136),0))</f>
        <v>0</v>
      </c>
      <c r="AT136" s="65">
        <f ca="1">IF(AT$12="Pro Forma",SUM(OFFSET($B136,0,3*AT$9+1,1,3)),IFERROR(GETPIVOTDATA("Sum of Q"&amp;AT$9+1,'PT-All'!$A$1,"Scenario",AT$12,"P&amp;L Item",$B136),0))</f>
        <v>0</v>
      </c>
      <c r="AU136" s="65">
        <f ca="1">IF(AU$12="Pro Forma",SUM(OFFSET($B136,0,3*AU$9+1,1,3)),IFERROR(GETPIVOTDATA("Sum of Q"&amp;AU$9+1,'PT-All'!$A$1,"Scenario",AU$12,"P&amp;L Item",$B136),0))</f>
        <v>0</v>
      </c>
      <c r="AV136" s="65">
        <f ca="1">IF(AV$12="Pro Forma",SUM(OFFSET($B136,0,3*AV$9+1,1,3)),IFERROR(GETPIVOTDATA("Sum of Q"&amp;AV$9+1,'PT-All'!$A$1,"Scenario",AV$12,"P&amp;L Item",$B136),0))</f>
        <v>0</v>
      </c>
      <c r="AW136" s="65">
        <f ca="1">IF(AW$12="Pro Forma",SUM(OFFSET($B136,0,3*AW$9+1,1,3)),IFERROR(GETPIVOTDATA("Sum of Q"&amp;AW$9+1,'PT-All'!$A$1,"Scenario",AW$12,"P&amp;L Item",$B136),0))</f>
        <v>0</v>
      </c>
      <c r="AX136" s="65">
        <f ca="1">IF(AX$12="Pro Forma",SUM(OFFSET($B136,0,3*AX$9+1,1,3)),IFERROR(GETPIVOTDATA("Sum of Q"&amp;AX$9+1,'PT-All'!$A$1,"Scenario",AX$12,"P&amp;L Item",$B136),0))</f>
        <v>0</v>
      </c>
      <c r="AY136" s="97">
        <f ca="1">IF(AY$12="Pro Forma",SUM(OFFSET($B136,0,3*AY$9+1,1,3)),IFERROR(GETPIVOTDATA("Sum of Q"&amp;AY$9+1,'PT-All'!$A$1,"Scenario",AY$12,"P&amp;L Item",$B136),0))</f>
        <v>0</v>
      </c>
      <c r="AZ136" s="590"/>
      <c r="BA136" s="108">
        <f ca="1">IF(BA$12="Pro Forma",SUM(OFFSET($B136,0,12*BA$9+1,1,12)),IFERROR(GETPIVOTDATA("Sum of FY"&amp;BA$9+1,'PT-All'!$A$1,"Scenario",BA$12,"P&amp;L Item",$B136),0))</f>
        <v>0</v>
      </c>
      <c r="BB136" s="65">
        <f ca="1">IF(BB$12="Pro Forma",SUM(OFFSET($B136,0,12*BB$9+1,1,12)),IFERROR(GETPIVOTDATA("Sum of FY"&amp;BB$9+1,'PT-All'!$A$1,"Scenario",BB$12,"P&amp;L Item",$B136),0))</f>
        <v>0</v>
      </c>
      <c r="BC136" s="97">
        <f ca="1">IF(BC$12="Pro Forma",SUM(OFFSET($B136,0,12*BC$9+1,1,12)),IFERROR(GETPIVOTDATA("Sum of FY"&amp;BC$9+1,'PT-All'!$A$1,"Scenario",BC$12,"P&amp;L Item",$B136),0))</f>
        <v>0</v>
      </c>
    </row>
    <row r="137" spans="2:55" x14ac:dyDescent="0.35">
      <c r="B137" s="64" t="s">
        <v>167</v>
      </c>
      <c r="C137" s="65">
        <f>CHOOSE(PLColumn,IFERROR(GETPIVOTDATA("Sum of "&amp;C$9,'PT-All'!$A$1,"Scenario",C$12,"P&amp;L Item",$B137),0),IFERROR(GETPIVOTDATA("Sum of "&amp;C$9,'PT-All'!$A$1,"Scenario",C$12,"P&amp;L Item",$B137)/C$201,0),TEXT(IFERROR(GETPIVOTDATA("Sum of "&amp;C$9,'PT-All'!$A$1,"Scenario",C$12,"P&amp;L Item",$B137)/C$29,0),"0.00%"))</f>
        <v>0</v>
      </c>
      <c r="D137" s="65">
        <f>CHOOSE(PLColumn,IFERROR(GETPIVOTDATA("Sum of "&amp;D$9,'PT-All'!$A$1,"Scenario",D$12,"P&amp;L Item",$B137),0),IFERROR(GETPIVOTDATA("Sum of "&amp;D$9,'PT-All'!$A$1,"Scenario",D$12,"P&amp;L Item",$B137)/D$201,0),TEXT(IFERROR(GETPIVOTDATA("Sum of "&amp;D$9,'PT-All'!$A$1,"Scenario",D$12,"P&amp;L Item",$B137)/D$29,0),"0.00%"))</f>
        <v>0</v>
      </c>
      <c r="E137" s="65">
        <f>CHOOSE(PLColumn,IFERROR(GETPIVOTDATA("Sum of "&amp;E$9,'PT-All'!$A$1,"Scenario",E$12,"P&amp;L Item",$B137),0),IFERROR(GETPIVOTDATA("Sum of "&amp;E$9,'PT-All'!$A$1,"Scenario",E$12,"P&amp;L Item",$B137)/E$201,0),TEXT(IFERROR(GETPIVOTDATA("Sum of "&amp;E$9,'PT-All'!$A$1,"Scenario",E$12,"P&amp;L Item",$B137)/E$29,0),"0.00%"))</f>
        <v>0</v>
      </c>
      <c r="F137" s="65">
        <f>CHOOSE(PLColumn,IFERROR(GETPIVOTDATA("Sum of "&amp;F$9,'PT-All'!$A$1,"Scenario",F$12,"P&amp;L Item",$B137),0),IFERROR(GETPIVOTDATA("Sum of "&amp;F$9,'PT-All'!$A$1,"Scenario",F$12,"P&amp;L Item",$B137)/F$201,0),TEXT(IFERROR(GETPIVOTDATA("Sum of "&amp;F$9,'PT-All'!$A$1,"Scenario",F$12,"P&amp;L Item",$B137)/F$29,0),"0.00%"))</f>
        <v>0</v>
      </c>
      <c r="G137" s="65">
        <f>CHOOSE(PLColumn,IFERROR(GETPIVOTDATA("Sum of "&amp;G$9,'PT-All'!$A$1,"Scenario",G$12,"P&amp;L Item",$B137),0),IFERROR(GETPIVOTDATA("Sum of "&amp;G$9,'PT-All'!$A$1,"Scenario",G$12,"P&amp;L Item",$B137)/G$201,0),TEXT(IFERROR(GETPIVOTDATA("Sum of "&amp;G$9,'PT-All'!$A$1,"Scenario",G$12,"P&amp;L Item",$B137)/G$29,0),"0.00%"))</f>
        <v>0</v>
      </c>
      <c r="H137" s="65">
        <f>CHOOSE(PLColumn,IFERROR(GETPIVOTDATA("Sum of "&amp;H$9,'PT-All'!$A$1,"Scenario",H$12,"P&amp;L Item",$B137),0),IFERROR(GETPIVOTDATA("Sum of "&amp;H$9,'PT-All'!$A$1,"Scenario",H$12,"P&amp;L Item",$B137)/H$201,0),TEXT(IFERROR(GETPIVOTDATA("Sum of "&amp;H$9,'PT-All'!$A$1,"Scenario",H$12,"P&amp;L Item",$B137)/H$29,0),"0.00%"))</f>
        <v>0</v>
      </c>
      <c r="I137" s="65">
        <f>CHOOSE(PLColumn,IFERROR(GETPIVOTDATA("Sum of "&amp;I$9,'PT-All'!$A$1,"Scenario",I$12,"P&amp;L Item",$B137),0),IFERROR(GETPIVOTDATA("Sum of "&amp;I$9,'PT-All'!$A$1,"Scenario",I$12,"P&amp;L Item",$B137)/I$201,0),TEXT(IFERROR(GETPIVOTDATA("Sum of "&amp;I$9,'PT-All'!$A$1,"Scenario",I$12,"P&amp;L Item",$B137)/I$29,0),"0.00%"))</f>
        <v>0</v>
      </c>
      <c r="J137" s="65">
        <f>CHOOSE(PLColumn,IFERROR(GETPIVOTDATA("Sum of "&amp;J$9,'PT-All'!$A$1,"Scenario",J$12,"P&amp;L Item",$B137),0),IFERROR(GETPIVOTDATA("Sum of "&amp;J$9,'PT-All'!$A$1,"Scenario",J$12,"P&amp;L Item",$B137)/J$201,0),TEXT(IFERROR(GETPIVOTDATA("Sum of "&amp;J$9,'PT-All'!$A$1,"Scenario",J$12,"P&amp;L Item",$B137)/J$29,0),"0.00%"))</f>
        <v>0</v>
      </c>
      <c r="K137" s="65">
        <f>CHOOSE(PLColumn,IFERROR(GETPIVOTDATA("Sum of "&amp;K$9,'PT-All'!$A$1,"Scenario",K$12,"P&amp;L Item",$B137),0),IFERROR(GETPIVOTDATA("Sum of "&amp;K$9,'PT-All'!$A$1,"Scenario",K$12,"P&amp;L Item",$B137)/K$201,0),TEXT(IFERROR(GETPIVOTDATA("Sum of "&amp;K$9,'PT-All'!$A$1,"Scenario",K$12,"P&amp;L Item",$B137)/K$29,0),"0.00%"))</f>
        <v>0</v>
      </c>
      <c r="L137" s="65">
        <f>CHOOSE(PLColumn,IFERROR(GETPIVOTDATA("Sum of "&amp;L$9,'PT-All'!$A$1,"Scenario",L$12,"P&amp;L Item",$B137),0),IFERROR(GETPIVOTDATA("Sum of "&amp;L$9,'PT-All'!$A$1,"Scenario",L$12,"P&amp;L Item",$B137)/L$201,0),TEXT(IFERROR(GETPIVOTDATA("Sum of "&amp;L$9,'PT-All'!$A$1,"Scenario",L$12,"P&amp;L Item",$B137)/L$29,0),"0.00%"))</f>
        <v>0</v>
      </c>
      <c r="M137" s="65">
        <f>CHOOSE(PLColumn,IFERROR(GETPIVOTDATA("Sum of "&amp;M$9,'PT-All'!$A$1,"Scenario",M$12,"P&amp;L Item",$B137),0),IFERROR(GETPIVOTDATA("Sum of "&amp;M$9,'PT-All'!$A$1,"Scenario",M$12,"P&amp;L Item",$B137)/M$201,0),TEXT(IFERROR(GETPIVOTDATA("Sum of "&amp;M$9,'PT-All'!$A$1,"Scenario",M$12,"P&amp;L Item",$B137)/M$29,0),"0.00%"))</f>
        <v>0</v>
      </c>
      <c r="N137" s="65">
        <f>CHOOSE(PLColumn,IFERROR(GETPIVOTDATA("Sum of "&amp;N$9,'PT-All'!$A$1,"Scenario",N$12,"P&amp;L Item",$B137),0),IFERROR(GETPIVOTDATA("Sum of "&amp;N$9,'PT-All'!$A$1,"Scenario",N$12,"P&amp;L Item",$B137)/N$201,0),TEXT(IFERROR(GETPIVOTDATA("Sum of "&amp;N$9,'PT-All'!$A$1,"Scenario",N$12,"P&amp;L Item",$B137)/N$29,0),"0.00%"))</f>
        <v>0</v>
      </c>
      <c r="O137" s="65">
        <f>CHOOSE(PLColumn,IFERROR(GETPIVOTDATA("Sum of "&amp;O$9,'PT-All'!$A$1,"Scenario",O$12,"P&amp;L Item",$B137),0),IFERROR(GETPIVOTDATA("Sum of "&amp;O$9,'PT-All'!$A$1,"Scenario",O$12,"P&amp;L Item",$B137)/O$201,0),TEXT(IFERROR(GETPIVOTDATA("Sum of "&amp;O$9,'PT-All'!$A$1,"Scenario",O$12,"P&amp;L Item",$B137)/O$29,0),"0.00%"))</f>
        <v>0</v>
      </c>
      <c r="P137" s="65">
        <f>CHOOSE(PLColumn,IFERROR(GETPIVOTDATA("Sum of "&amp;P$9,'PT-All'!$A$1,"Scenario",P$12,"P&amp;L Item",$B137),0),IFERROR(GETPIVOTDATA("Sum of "&amp;P$9,'PT-All'!$A$1,"Scenario",P$12,"P&amp;L Item",$B137)/P$201,0),TEXT(IFERROR(GETPIVOTDATA("Sum of "&amp;P$9,'PT-All'!$A$1,"Scenario",P$12,"P&amp;L Item",$B137)/P$29,0),"0.00%"))</f>
        <v>0</v>
      </c>
      <c r="Q137" s="65">
        <f>CHOOSE(PLColumn,IFERROR(GETPIVOTDATA("Sum of "&amp;Q$9,'PT-All'!$A$1,"Scenario",Q$12,"P&amp;L Item",$B137),0),IFERROR(GETPIVOTDATA("Sum of "&amp;Q$9,'PT-All'!$A$1,"Scenario",Q$12,"P&amp;L Item",$B137)/Q$201,0),TEXT(IFERROR(GETPIVOTDATA("Sum of "&amp;Q$9,'PT-All'!$A$1,"Scenario",Q$12,"P&amp;L Item",$B137)/Q$29,0),"0.00%"))</f>
        <v>0</v>
      </c>
      <c r="R137" s="65">
        <f>CHOOSE(PLColumn,IFERROR(GETPIVOTDATA("Sum of "&amp;R$9,'PT-All'!$A$1,"Scenario",R$12,"P&amp;L Item",$B137),0),IFERROR(GETPIVOTDATA("Sum of "&amp;R$9,'PT-All'!$A$1,"Scenario",R$12,"P&amp;L Item",$B137)/R$201,0),TEXT(IFERROR(GETPIVOTDATA("Sum of "&amp;R$9,'PT-All'!$A$1,"Scenario",R$12,"P&amp;L Item",$B137)/R$29,0),"0.00%"))</f>
        <v>0</v>
      </c>
      <c r="S137" s="65">
        <f>CHOOSE(PLColumn,IFERROR(GETPIVOTDATA("Sum of "&amp;S$9,'PT-All'!$A$1,"Scenario",S$12,"P&amp;L Item",$B137),0),IFERROR(GETPIVOTDATA("Sum of "&amp;S$9,'PT-All'!$A$1,"Scenario",S$12,"P&amp;L Item",$B137)/S$201,0),TEXT(IFERROR(GETPIVOTDATA("Sum of "&amp;S$9,'PT-All'!$A$1,"Scenario",S$12,"P&amp;L Item",$B137)/S$29,0),"0.00%"))</f>
        <v>0</v>
      </c>
      <c r="T137" s="65">
        <f>CHOOSE(PLColumn,IFERROR(GETPIVOTDATA("Sum of "&amp;T$9,'PT-All'!$A$1,"Scenario",T$12,"P&amp;L Item",$B137),0),IFERROR(GETPIVOTDATA("Sum of "&amp;T$9,'PT-All'!$A$1,"Scenario",T$12,"P&amp;L Item",$B137)/T$201,0),TEXT(IFERROR(GETPIVOTDATA("Sum of "&amp;T$9,'PT-All'!$A$1,"Scenario",T$12,"P&amp;L Item",$B137)/T$29,0),"0.00%"))</f>
        <v>0</v>
      </c>
      <c r="U137" s="65">
        <f>CHOOSE(PLColumn,IFERROR(GETPIVOTDATA("Sum of "&amp;U$9,'PT-All'!$A$1,"Scenario",U$12,"P&amp;L Item",$B137),0),IFERROR(GETPIVOTDATA("Sum of "&amp;U$9,'PT-All'!$A$1,"Scenario",U$12,"P&amp;L Item",$B137)/U$201,0),TEXT(IFERROR(GETPIVOTDATA("Sum of "&amp;U$9,'PT-All'!$A$1,"Scenario",U$12,"P&amp;L Item",$B137)/U$29,0),"0.00%"))</f>
        <v>0</v>
      </c>
      <c r="V137" s="65">
        <f>CHOOSE(PLColumn,IFERROR(GETPIVOTDATA("Sum of "&amp;V$9,'PT-All'!$A$1,"Scenario",V$12,"P&amp;L Item",$B137),0),IFERROR(GETPIVOTDATA("Sum of "&amp;V$9,'PT-All'!$A$1,"Scenario",V$12,"P&amp;L Item",$B137)/V$201,0),TEXT(IFERROR(GETPIVOTDATA("Sum of "&amp;V$9,'PT-All'!$A$1,"Scenario",V$12,"P&amp;L Item",$B137)/V$29,0),"0.00%"))</f>
        <v>0</v>
      </c>
      <c r="W137" s="65">
        <f>CHOOSE(PLColumn,IFERROR(GETPIVOTDATA("Sum of "&amp;W$9,'PT-All'!$A$1,"Scenario",W$12,"P&amp;L Item",$B137),0),IFERROR(GETPIVOTDATA("Sum of "&amp;W$9,'PT-All'!$A$1,"Scenario",W$12,"P&amp;L Item",$B137)/W$201,0),TEXT(IFERROR(GETPIVOTDATA("Sum of "&amp;W$9,'PT-All'!$A$1,"Scenario",W$12,"P&amp;L Item",$B137)/W$29,0),"0.00%"))</f>
        <v>0</v>
      </c>
      <c r="X137" s="65">
        <f>CHOOSE(PLColumn,IFERROR(GETPIVOTDATA("Sum of "&amp;X$9,'PT-All'!$A$1,"Scenario",X$12,"P&amp;L Item",$B137),0),IFERROR(GETPIVOTDATA("Sum of "&amp;X$9,'PT-All'!$A$1,"Scenario",X$12,"P&amp;L Item",$B137)/X$201,0),TEXT(IFERROR(GETPIVOTDATA("Sum of "&amp;X$9,'PT-All'!$A$1,"Scenario",X$12,"P&amp;L Item",$B137)/X$29,0),"0.00%"))</f>
        <v>0</v>
      </c>
      <c r="Y137" s="65">
        <f>CHOOSE(PLColumn,IFERROR(GETPIVOTDATA("Sum of "&amp;Y$9,'PT-All'!$A$1,"Scenario",Y$12,"P&amp;L Item",$B137),0),IFERROR(GETPIVOTDATA("Sum of "&amp;Y$9,'PT-All'!$A$1,"Scenario",Y$12,"P&amp;L Item",$B137)/Y$201,0),TEXT(IFERROR(GETPIVOTDATA("Sum of "&amp;Y$9,'PT-All'!$A$1,"Scenario",Y$12,"P&amp;L Item",$B137)/Y$29,0),"0.00%"))</f>
        <v>0</v>
      </c>
      <c r="Z137" s="65">
        <f>CHOOSE(PLColumn,IFERROR(GETPIVOTDATA("Sum of "&amp;Z$9,'PT-All'!$A$1,"Scenario",Z$12,"P&amp;L Item",$B137),0),IFERROR(GETPIVOTDATA("Sum of "&amp;Z$9,'PT-All'!$A$1,"Scenario",Z$12,"P&amp;L Item",$B137)/Z$201,0),TEXT(IFERROR(GETPIVOTDATA("Sum of "&amp;Z$9,'PT-All'!$A$1,"Scenario",Z$12,"P&amp;L Item",$B137)/Z$29,0),"0.00%"))</f>
        <v>0</v>
      </c>
      <c r="AA137" s="65">
        <f>CHOOSE(PLColumn,IFERROR(GETPIVOTDATA("Sum of "&amp;AA$9,'PT-All'!$A$1,"Scenario",AA$12,"P&amp;L Item",$B137),0),IFERROR(GETPIVOTDATA("Sum of "&amp;AA$9,'PT-All'!$A$1,"Scenario",AA$12,"P&amp;L Item",$B137)/AA$201,0),TEXT(IFERROR(GETPIVOTDATA("Sum of "&amp;AA$9,'PT-All'!$A$1,"Scenario",AA$12,"P&amp;L Item",$B137)/AA$29,0),"0.00%"))</f>
        <v>0</v>
      </c>
      <c r="AB137" s="65">
        <f>CHOOSE(PLColumn,IFERROR(GETPIVOTDATA("Sum of "&amp;AB$9,'PT-All'!$A$1,"Scenario",AB$12,"P&amp;L Item",$B137),0),IFERROR(GETPIVOTDATA("Sum of "&amp;AB$9,'PT-All'!$A$1,"Scenario",AB$12,"P&amp;L Item",$B137)/AB$201,0),TEXT(IFERROR(GETPIVOTDATA("Sum of "&amp;AB$9,'PT-All'!$A$1,"Scenario",AB$12,"P&amp;L Item",$B137)/AB$29,0),"0.00%"))</f>
        <v>0</v>
      </c>
      <c r="AC137" s="65">
        <f>CHOOSE(PLColumn,IFERROR(GETPIVOTDATA("Sum of "&amp;AC$9,'PT-All'!$A$1,"Scenario",AC$12,"P&amp;L Item",$B137),0),IFERROR(GETPIVOTDATA("Sum of "&amp;AC$9,'PT-All'!$A$1,"Scenario",AC$12,"P&amp;L Item",$B137)/AC$201,0),TEXT(IFERROR(GETPIVOTDATA("Sum of "&amp;AC$9,'PT-All'!$A$1,"Scenario",AC$12,"P&amp;L Item",$B137)/AC$29,0),"0.00%"))</f>
        <v>0</v>
      </c>
      <c r="AD137" s="65">
        <f>CHOOSE(PLColumn,IFERROR(GETPIVOTDATA("Sum of "&amp;AD$9,'PT-All'!$A$1,"Scenario",AD$12,"P&amp;L Item",$B137),0),IFERROR(GETPIVOTDATA("Sum of "&amp;AD$9,'PT-All'!$A$1,"Scenario",AD$12,"P&amp;L Item",$B137)/AD$201,0),TEXT(IFERROR(GETPIVOTDATA("Sum of "&amp;AD$9,'PT-All'!$A$1,"Scenario",AD$12,"P&amp;L Item",$B137)/AD$29,0),"0.00%"))</f>
        <v>0</v>
      </c>
      <c r="AE137" s="65">
        <f>CHOOSE(PLColumn,IFERROR(GETPIVOTDATA("Sum of "&amp;AE$9,'PT-All'!$A$1,"Scenario",AE$12,"P&amp;L Item",$B137),0),IFERROR(GETPIVOTDATA("Sum of "&amp;AE$9,'PT-All'!$A$1,"Scenario",AE$12,"P&amp;L Item",$B137)/AE$201,0),TEXT(IFERROR(GETPIVOTDATA("Sum of "&amp;AE$9,'PT-All'!$A$1,"Scenario",AE$12,"P&amp;L Item",$B137)/AE$29,0),"0.00%"))</f>
        <v>0</v>
      </c>
      <c r="AF137" s="65">
        <f>CHOOSE(PLColumn,IFERROR(GETPIVOTDATA("Sum of "&amp;AF$9,'PT-All'!$A$1,"Scenario",AF$12,"P&amp;L Item",$B137),0),IFERROR(GETPIVOTDATA("Sum of "&amp;AF$9,'PT-All'!$A$1,"Scenario",AF$12,"P&amp;L Item",$B137)/AF$201,0),TEXT(IFERROR(GETPIVOTDATA("Sum of "&amp;AF$9,'PT-All'!$A$1,"Scenario",AF$12,"P&amp;L Item",$B137)/AF$29,0),"0.00%"))</f>
        <v>0</v>
      </c>
      <c r="AG137" s="65">
        <f>CHOOSE(PLColumn,IFERROR(GETPIVOTDATA("Sum of "&amp;AG$9,'PT-All'!$A$1,"Scenario",AG$12,"P&amp;L Item",$B137),0),IFERROR(GETPIVOTDATA("Sum of "&amp;AG$9,'PT-All'!$A$1,"Scenario",AG$12,"P&amp;L Item",$B137)/AG$201,0),TEXT(IFERROR(GETPIVOTDATA("Sum of "&amp;AG$9,'PT-All'!$A$1,"Scenario",AG$12,"P&amp;L Item",$B137)/AG$29,0),"0.00%"))</f>
        <v>0</v>
      </c>
      <c r="AH137" s="65">
        <f>CHOOSE(PLColumn,IFERROR(GETPIVOTDATA("Sum of "&amp;AH$9,'PT-All'!$A$1,"Scenario",AH$12,"P&amp;L Item",$B137),0),IFERROR(GETPIVOTDATA("Sum of "&amp;AH$9,'PT-All'!$A$1,"Scenario",AH$12,"P&amp;L Item",$B137)/AH$201,0),TEXT(IFERROR(GETPIVOTDATA("Sum of "&amp;AH$9,'PT-All'!$A$1,"Scenario",AH$12,"P&amp;L Item",$B137)/AH$29,0),"0.00%"))</f>
        <v>0</v>
      </c>
      <c r="AI137" s="65">
        <f>CHOOSE(PLColumn,IFERROR(GETPIVOTDATA("Sum of "&amp;AI$9,'PT-All'!$A$1,"Scenario",AI$12,"P&amp;L Item",$B137),0),IFERROR(GETPIVOTDATA("Sum of "&amp;AI$9,'PT-All'!$A$1,"Scenario",AI$12,"P&amp;L Item",$B137)/AI$201,0),TEXT(IFERROR(GETPIVOTDATA("Sum of "&amp;AI$9,'PT-All'!$A$1,"Scenario",AI$12,"P&amp;L Item",$B137)/AI$29,0),"0.00%"))</f>
        <v>0</v>
      </c>
      <c r="AJ137" s="65">
        <f>CHOOSE(PLColumn,IFERROR(GETPIVOTDATA("Sum of "&amp;AJ$9,'PT-All'!$A$1,"Scenario",AJ$12,"P&amp;L Item",$B137),0),IFERROR(GETPIVOTDATA("Sum of "&amp;AJ$9,'PT-All'!$A$1,"Scenario",AJ$12,"P&amp;L Item",$B137)/AJ$201,0),TEXT(IFERROR(GETPIVOTDATA("Sum of "&amp;AJ$9,'PT-All'!$A$1,"Scenario",AJ$12,"P&amp;L Item",$B137)/AJ$29,0),"0.00%"))</f>
        <v>0</v>
      </c>
      <c r="AK137" s="65">
        <f>CHOOSE(PLColumn,IFERROR(GETPIVOTDATA("Sum of "&amp;AK$9,'PT-All'!$A$1,"Scenario",AK$12,"P&amp;L Item",$B137),0),IFERROR(GETPIVOTDATA("Sum of "&amp;AK$9,'PT-All'!$A$1,"Scenario",AK$12,"P&amp;L Item",$B137)/AK$201,0),TEXT(IFERROR(GETPIVOTDATA("Sum of "&amp;AK$9,'PT-All'!$A$1,"Scenario",AK$12,"P&amp;L Item",$B137)/AK$29,0),"0.00%"))</f>
        <v>0</v>
      </c>
      <c r="AL137" s="97">
        <f>CHOOSE(PLColumn,IFERROR(GETPIVOTDATA("Sum of "&amp;AL$9,'PT-All'!$A$1,"Scenario",AL$12,"P&amp;L Item",$B137),0),IFERROR(GETPIVOTDATA("Sum of "&amp;AL$9,'PT-All'!$A$1,"Scenario",AL$12,"P&amp;L Item",$B137)/AL$201,0),TEXT(IFERROR(GETPIVOTDATA("Sum of "&amp;AL$9,'PT-All'!$A$1,"Scenario",AL$12,"P&amp;L Item",$B137)/AL$29,0),"0.00%"))</f>
        <v>0</v>
      </c>
      <c r="AM137" s="590"/>
      <c r="AN137" s="108">
        <f ca="1">IF(AN$12="Pro Forma",SUM(OFFSET($B137,0,3*AN$9+1,1,3)),IFERROR(GETPIVOTDATA("Sum of Q"&amp;AN$9+1,'PT-All'!$A$1,"Scenario",AN$12,"P&amp;L Item",$B137),0))</f>
        <v>0</v>
      </c>
      <c r="AO137" s="65">
        <f ca="1">IF(AO$12="Pro Forma",SUM(OFFSET($B137,0,3*AO$9+1,1,3)),IFERROR(GETPIVOTDATA("Sum of Q"&amp;AO$9+1,'PT-All'!$A$1,"Scenario",AO$12,"P&amp;L Item",$B137),0))</f>
        <v>0</v>
      </c>
      <c r="AP137" s="65">
        <f ca="1">IF(AP$12="Pro Forma",SUM(OFFSET($B137,0,3*AP$9+1,1,3)),IFERROR(GETPIVOTDATA("Sum of Q"&amp;AP$9+1,'PT-All'!$A$1,"Scenario",AP$12,"P&amp;L Item",$B137),0))</f>
        <v>0</v>
      </c>
      <c r="AQ137" s="65">
        <f ca="1">IF(AQ$12="Pro Forma",SUM(OFFSET($B137,0,3*AQ$9+1,1,3)),IFERROR(GETPIVOTDATA("Sum of Q"&amp;AQ$9+1,'PT-All'!$A$1,"Scenario",AQ$12,"P&amp;L Item",$B137),0))</f>
        <v>0</v>
      </c>
      <c r="AR137" s="65">
        <f ca="1">IF(AR$12="Pro Forma",SUM(OFFSET($B137,0,3*AR$9+1,1,3)),IFERROR(GETPIVOTDATA("Sum of Q"&amp;AR$9+1,'PT-All'!$A$1,"Scenario",AR$12,"P&amp;L Item",$B137),0))</f>
        <v>0</v>
      </c>
      <c r="AS137" s="65">
        <f ca="1">IF(AS$12="Pro Forma",SUM(OFFSET($B137,0,3*AS$9+1,1,3)),IFERROR(GETPIVOTDATA("Sum of Q"&amp;AS$9+1,'PT-All'!$A$1,"Scenario",AS$12,"P&amp;L Item",$B137),0))</f>
        <v>0</v>
      </c>
      <c r="AT137" s="65">
        <f ca="1">IF(AT$12="Pro Forma",SUM(OFFSET($B137,0,3*AT$9+1,1,3)),IFERROR(GETPIVOTDATA("Sum of Q"&amp;AT$9+1,'PT-All'!$A$1,"Scenario",AT$12,"P&amp;L Item",$B137),0))</f>
        <v>0</v>
      </c>
      <c r="AU137" s="65">
        <f ca="1">IF(AU$12="Pro Forma",SUM(OFFSET($B137,0,3*AU$9+1,1,3)),IFERROR(GETPIVOTDATA("Sum of Q"&amp;AU$9+1,'PT-All'!$A$1,"Scenario",AU$12,"P&amp;L Item",$B137),0))</f>
        <v>0</v>
      </c>
      <c r="AV137" s="65">
        <f ca="1">IF(AV$12="Pro Forma",SUM(OFFSET($B137,0,3*AV$9+1,1,3)),IFERROR(GETPIVOTDATA("Sum of Q"&amp;AV$9+1,'PT-All'!$A$1,"Scenario",AV$12,"P&amp;L Item",$B137),0))</f>
        <v>0</v>
      </c>
      <c r="AW137" s="65">
        <f ca="1">IF(AW$12="Pro Forma",SUM(OFFSET($B137,0,3*AW$9+1,1,3)),IFERROR(GETPIVOTDATA("Sum of Q"&amp;AW$9+1,'PT-All'!$A$1,"Scenario",AW$12,"P&amp;L Item",$B137),0))</f>
        <v>0</v>
      </c>
      <c r="AX137" s="65">
        <f ca="1">IF(AX$12="Pro Forma",SUM(OFFSET($B137,0,3*AX$9+1,1,3)),IFERROR(GETPIVOTDATA("Sum of Q"&amp;AX$9+1,'PT-All'!$A$1,"Scenario",AX$12,"P&amp;L Item",$B137),0))</f>
        <v>0</v>
      </c>
      <c r="AY137" s="97">
        <f ca="1">IF(AY$12="Pro Forma",SUM(OFFSET($B137,0,3*AY$9+1,1,3)),IFERROR(GETPIVOTDATA("Sum of Q"&amp;AY$9+1,'PT-All'!$A$1,"Scenario",AY$12,"P&amp;L Item",$B137),0))</f>
        <v>0</v>
      </c>
      <c r="AZ137" s="590"/>
      <c r="BA137" s="108">
        <f ca="1">IF(BA$12="Pro Forma",SUM(OFFSET($B137,0,12*BA$9+1,1,12)),IFERROR(GETPIVOTDATA("Sum of FY"&amp;BA$9+1,'PT-All'!$A$1,"Scenario",BA$12,"P&amp;L Item",$B137),0))</f>
        <v>0</v>
      </c>
      <c r="BB137" s="65">
        <f ca="1">IF(BB$12="Pro Forma",SUM(OFFSET($B137,0,12*BB$9+1,1,12)),IFERROR(GETPIVOTDATA("Sum of FY"&amp;BB$9+1,'PT-All'!$A$1,"Scenario",BB$12,"P&amp;L Item",$B137),0))</f>
        <v>0</v>
      </c>
      <c r="BC137" s="97">
        <f ca="1">IF(BC$12="Pro Forma",SUM(OFFSET($B137,0,12*BC$9+1,1,12)),IFERROR(GETPIVOTDATA("Sum of FY"&amp;BC$9+1,'PT-All'!$A$1,"Scenario",BC$12,"P&amp;L Item",$B137),0))</f>
        <v>0</v>
      </c>
    </row>
    <row r="138" spans="2:55" x14ac:dyDescent="0.35">
      <c r="B138" s="64" t="s">
        <v>168</v>
      </c>
      <c r="C138" s="65">
        <f>CHOOSE(PLColumn,IFERROR(GETPIVOTDATA("Sum of "&amp;C$9,'PT-All'!$A$1,"Scenario",C$12,"P&amp;L Item",$B138),0),IFERROR(GETPIVOTDATA("Sum of "&amp;C$9,'PT-All'!$A$1,"Scenario",C$12,"P&amp;L Item",$B138)/C$201,0),TEXT(IFERROR(GETPIVOTDATA("Sum of "&amp;C$9,'PT-All'!$A$1,"Scenario",C$12,"P&amp;L Item",$B138)/C$29,0),"0.00%"))</f>
        <v>0</v>
      </c>
      <c r="D138" s="65">
        <f>CHOOSE(PLColumn,IFERROR(GETPIVOTDATA("Sum of "&amp;D$9,'PT-All'!$A$1,"Scenario",D$12,"P&amp;L Item",$B138),0),IFERROR(GETPIVOTDATA("Sum of "&amp;D$9,'PT-All'!$A$1,"Scenario",D$12,"P&amp;L Item",$B138)/D$201,0),TEXT(IFERROR(GETPIVOTDATA("Sum of "&amp;D$9,'PT-All'!$A$1,"Scenario",D$12,"P&amp;L Item",$B138)/D$29,0),"0.00%"))</f>
        <v>0</v>
      </c>
      <c r="E138" s="65">
        <f>CHOOSE(PLColumn,IFERROR(GETPIVOTDATA("Sum of "&amp;E$9,'PT-All'!$A$1,"Scenario",E$12,"P&amp;L Item",$B138),0),IFERROR(GETPIVOTDATA("Sum of "&amp;E$9,'PT-All'!$A$1,"Scenario",E$12,"P&amp;L Item",$B138)/E$201,0),TEXT(IFERROR(GETPIVOTDATA("Sum of "&amp;E$9,'PT-All'!$A$1,"Scenario",E$12,"P&amp;L Item",$B138)/E$29,0),"0.00%"))</f>
        <v>0</v>
      </c>
      <c r="F138" s="65">
        <f>CHOOSE(PLColumn,IFERROR(GETPIVOTDATA("Sum of "&amp;F$9,'PT-All'!$A$1,"Scenario",F$12,"P&amp;L Item",$B138),0),IFERROR(GETPIVOTDATA("Sum of "&amp;F$9,'PT-All'!$A$1,"Scenario",F$12,"P&amp;L Item",$B138)/F$201,0),TEXT(IFERROR(GETPIVOTDATA("Sum of "&amp;F$9,'PT-All'!$A$1,"Scenario",F$12,"P&amp;L Item",$B138)/F$29,0),"0.00%"))</f>
        <v>0</v>
      </c>
      <c r="G138" s="65">
        <f>CHOOSE(PLColumn,IFERROR(GETPIVOTDATA("Sum of "&amp;G$9,'PT-All'!$A$1,"Scenario",G$12,"P&amp;L Item",$B138),0),IFERROR(GETPIVOTDATA("Sum of "&amp;G$9,'PT-All'!$A$1,"Scenario",G$12,"P&amp;L Item",$B138)/G$201,0),TEXT(IFERROR(GETPIVOTDATA("Sum of "&amp;G$9,'PT-All'!$A$1,"Scenario",G$12,"P&amp;L Item",$B138)/G$29,0),"0.00%"))</f>
        <v>0</v>
      </c>
      <c r="H138" s="65">
        <f>CHOOSE(PLColumn,IFERROR(GETPIVOTDATA("Sum of "&amp;H$9,'PT-All'!$A$1,"Scenario",H$12,"P&amp;L Item",$B138),0),IFERROR(GETPIVOTDATA("Sum of "&amp;H$9,'PT-All'!$A$1,"Scenario",H$12,"P&amp;L Item",$B138)/H$201,0),TEXT(IFERROR(GETPIVOTDATA("Sum of "&amp;H$9,'PT-All'!$A$1,"Scenario",H$12,"P&amp;L Item",$B138)/H$29,0),"0.00%"))</f>
        <v>0</v>
      </c>
      <c r="I138" s="65">
        <f>CHOOSE(PLColumn,IFERROR(GETPIVOTDATA("Sum of "&amp;I$9,'PT-All'!$A$1,"Scenario",I$12,"P&amp;L Item",$B138),0),IFERROR(GETPIVOTDATA("Sum of "&amp;I$9,'PT-All'!$A$1,"Scenario",I$12,"P&amp;L Item",$B138)/I$201,0),TEXT(IFERROR(GETPIVOTDATA("Sum of "&amp;I$9,'PT-All'!$A$1,"Scenario",I$12,"P&amp;L Item",$B138)/I$29,0),"0.00%"))</f>
        <v>0</v>
      </c>
      <c r="J138" s="65">
        <f>CHOOSE(PLColumn,IFERROR(GETPIVOTDATA("Sum of "&amp;J$9,'PT-All'!$A$1,"Scenario",J$12,"P&amp;L Item",$B138),0),IFERROR(GETPIVOTDATA("Sum of "&amp;J$9,'PT-All'!$A$1,"Scenario",J$12,"P&amp;L Item",$B138)/J$201,0),TEXT(IFERROR(GETPIVOTDATA("Sum of "&amp;J$9,'PT-All'!$A$1,"Scenario",J$12,"P&amp;L Item",$B138)/J$29,0),"0.00%"))</f>
        <v>0</v>
      </c>
      <c r="K138" s="65">
        <f>CHOOSE(PLColumn,IFERROR(GETPIVOTDATA("Sum of "&amp;K$9,'PT-All'!$A$1,"Scenario",K$12,"P&amp;L Item",$B138),0),IFERROR(GETPIVOTDATA("Sum of "&amp;K$9,'PT-All'!$A$1,"Scenario",K$12,"P&amp;L Item",$B138)/K$201,0),TEXT(IFERROR(GETPIVOTDATA("Sum of "&amp;K$9,'PT-All'!$A$1,"Scenario",K$12,"P&amp;L Item",$B138)/K$29,0),"0.00%"))</f>
        <v>0</v>
      </c>
      <c r="L138" s="65">
        <f>CHOOSE(PLColumn,IFERROR(GETPIVOTDATA("Sum of "&amp;L$9,'PT-All'!$A$1,"Scenario",L$12,"P&amp;L Item",$B138),0),IFERROR(GETPIVOTDATA("Sum of "&amp;L$9,'PT-All'!$A$1,"Scenario",L$12,"P&amp;L Item",$B138)/L$201,0),TEXT(IFERROR(GETPIVOTDATA("Sum of "&amp;L$9,'PT-All'!$A$1,"Scenario",L$12,"P&amp;L Item",$B138)/L$29,0),"0.00%"))</f>
        <v>0</v>
      </c>
      <c r="M138" s="65">
        <f>CHOOSE(PLColumn,IFERROR(GETPIVOTDATA("Sum of "&amp;M$9,'PT-All'!$A$1,"Scenario",M$12,"P&amp;L Item",$B138),0),IFERROR(GETPIVOTDATA("Sum of "&amp;M$9,'PT-All'!$A$1,"Scenario",M$12,"P&amp;L Item",$B138)/M$201,0),TEXT(IFERROR(GETPIVOTDATA("Sum of "&amp;M$9,'PT-All'!$A$1,"Scenario",M$12,"P&amp;L Item",$B138)/M$29,0),"0.00%"))</f>
        <v>0</v>
      </c>
      <c r="N138" s="65">
        <f>CHOOSE(PLColumn,IFERROR(GETPIVOTDATA("Sum of "&amp;N$9,'PT-All'!$A$1,"Scenario",N$12,"P&amp;L Item",$B138),0),IFERROR(GETPIVOTDATA("Sum of "&amp;N$9,'PT-All'!$A$1,"Scenario",N$12,"P&amp;L Item",$B138)/N$201,0),TEXT(IFERROR(GETPIVOTDATA("Sum of "&amp;N$9,'PT-All'!$A$1,"Scenario",N$12,"P&amp;L Item",$B138)/N$29,0),"0.00%"))</f>
        <v>0</v>
      </c>
      <c r="O138" s="65">
        <f>CHOOSE(PLColumn,IFERROR(GETPIVOTDATA("Sum of "&amp;O$9,'PT-All'!$A$1,"Scenario",O$12,"P&amp;L Item",$B138),0),IFERROR(GETPIVOTDATA("Sum of "&amp;O$9,'PT-All'!$A$1,"Scenario",O$12,"P&amp;L Item",$B138)/O$201,0),TEXT(IFERROR(GETPIVOTDATA("Sum of "&amp;O$9,'PT-All'!$A$1,"Scenario",O$12,"P&amp;L Item",$B138)/O$29,0),"0.00%"))</f>
        <v>0</v>
      </c>
      <c r="P138" s="65">
        <f>CHOOSE(PLColumn,IFERROR(GETPIVOTDATA("Sum of "&amp;P$9,'PT-All'!$A$1,"Scenario",P$12,"P&amp;L Item",$B138),0),IFERROR(GETPIVOTDATA("Sum of "&amp;P$9,'PT-All'!$A$1,"Scenario",P$12,"P&amp;L Item",$B138)/P$201,0),TEXT(IFERROR(GETPIVOTDATA("Sum of "&amp;P$9,'PT-All'!$A$1,"Scenario",P$12,"P&amp;L Item",$B138)/P$29,0),"0.00%"))</f>
        <v>0</v>
      </c>
      <c r="Q138" s="65">
        <f>CHOOSE(PLColumn,IFERROR(GETPIVOTDATA("Sum of "&amp;Q$9,'PT-All'!$A$1,"Scenario",Q$12,"P&amp;L Item",$B138),0),IFERROR(GETPIVOTDATA("Sum of "&amp;Q$9,'PT-All'!$A$1,"Scenario",Q$12,"P&amp;L Item",$B138)/Q$201,0),TEXT(IFERROR(GETPIVOTDATA("Sum of "&amp;Q$9,'PT-All'!$A$1,"Scenario",Q$12,"P&amp;L Item",$B138)/Q$29,0),"0.00%"))</f>
        <v>0</v>
      </c>
      <c r="R138" s="65">
        <f>CHOOSE(PLColumn,IFERROR(GETPIVOTDATA("Sum of "&amp;R$9,'PT-All'!$A$1,"Scenario",R$12,"P&amp;L Item",$B138),0),IFERROR(GETPIVOTDATA("Sum of "&amp;R$9,'PT-All'!$A$1,"Scenario",R$12,"P&amp;L Item",$B138)/R$201,0),TEXT(IFERROR(GETPIVOTDATA("Sum of "&amp;R$9,'PT-All'!$A$1,"Scenario",R$12,"P&amp;L Item",$B138)/R$29,0),"0.00%"))</f>
        <v>0</v>
      </c>
      <c r="S138" s="65">
        <f>CHOOSE(PLColumn,IFERROR(GETPIVOTDATA("Sum of "&amp;S$9,'PT-All'!$A$1,"Scenario",S$12,"P&amp;L Item",$B138),0),IFERROR(GETPIVOTDATA("Sum of "&amp;S$9,'PT-All'!$A$1,"Scenario",S$12,"P&amp;L Item",$B138)/S$201,0),TEXT(IFERROR(GETPIVOTDATA("Sum of "&amp;S$9,'PT-All'!$A$1,"Scenario",S$12,"P&amp;L Item",$B138)/S$29,0),"0.00%"))</f>
        <v>0</v>
      </c>
      <c r="T138" s="65">
        <f>CHOOSE(PLColumn,IFERROR(GETPIVOTDATA("Sum of "&amp;T$9,'PT-All'!$A$1,"Scenario",T$12,"P&amp;L Item",$B138),0),IFERROR(GETPIVOTDATA("Sum of "&amp;T$9,'PT-All'!$A$1,"Scenario",T$12,"P&amp;L Item",$B138)/T$201,0),TEXT(IFERROR(GETPIVOTDATA("Sum of "&amp;T$9,'PT-All'!$A$1,"Scenario",T$12,"P&amp;L Item",$B138)/T$29,0),"0.00%"))</f>
        <v>0</v>
      </c>
      <c r="U138" s="65">
        <f>CHOOSE(PLColumn,IFERROR(GETPIVOTDATA("Sum of "&amp;U$9,'PT-All'!$A$1,"Scenario",U$12,"P&amp;L Item",$B138),0),IFERROR(GETPIVOTDATA("Sum of "&amp;U$9,'PT-All'!$A$1,"Scenario",U$12,"P&amp;L Item",$B138)/U$201,0),TEXT(IFERROR(GETPIVOTDATA("Sum of "&amp;U$9,'PT-All'!$A$1,"Scenario",U$12,"P&amp;L Item",$B138)/U$29,0),"0.00%"))</f>
        <v>0</v>
      </c>
      <c r="V138" s="65">
        <f>CHOOSE(PLColumn,IFERROR(GETPIVOTDATA("Sum of "&amp;V$9,'PT-All'!$A$1,"Scenario",V$12,"P&amp;L Item",$B138),0),IFERROR(GETPIVOTDATA("Sum of "&amp;V$9,'PT-All'!$A$1,"Scenario",V$12,"P&amp;L Item",$B138)/V$201,0),TEXT(IFERROR(GETPIVOTDATA("Sum of "&amp;V$9,'PT-All'!$A$1,"Scenario",V$12,"P&amp;L Item",$B138)/V$29,0),"0.00%"))</f>
        <v>0</v>
      </c>
      <c r="W138" s="65">
        <f>CHOOSE(PLColumn,IFERROR(GETPIVOTDATA("Sum of "&amp;W$9,'PT-All'!$A$1,"Scenario",W$12,"P&amp;L Item",$B138),0),IFERROR(GETPIVOTDATA("Sum of "&amp;W$9,'PT-All'!$A$1,"Scenario",W$12,"P&amp;L Item",$B138)/W$201,0),TEXT(IFERROR(GETPIVOTDATA("Sum of "&amp;W$9,'PT-All'!$A$1,"Scenario",W$12,"P&amp;L Item",$B138)/W$29,0),"0.00%"))</f>
        <v>0</v>
      </c>
      <c r="X138" s="65">
        <f>CHOOSE(PLColumn,IFERROR(GETPIVOTDATA("Sum of "&amp;X$9,'PT-All'!$A$1,"Scenario",X$12,"P&amp;L Item",$B138),0),IFERROR(GETPIVOTDATA("Sum of "&amp;X$9,'PT-All'!$A$1,"Scenario",X$12,"P&amp;L Item",$B138)/X$201,0),TEXT(IFERROR(GETPIVOTDATA("Sum of "&amp;X$9,'PT-All'!$A$1,"Scenario",X$12,"P&amp;L Item",$B138)/X$29,0),"0.00%"))</f>
        <v>0</v>
      </c>
      <c r="Y138" s="65">
        <f>CHOOSE(PLColumn,IFERROR(GETPIVOTDATA("Sum of "&amp;Y$9,'PT-All'!$A$1,"Scenario",Y$12,"P&amp;L Item",$B138),0),IFERROR(GETPIVOTDATA("Sum of "&amp;Y$9,'PT-All'!$A$1,"Scenario",Y$12,"P&amp;L Item",$B138)/Y$201,0),TEXT(IFERROR(GETPIVOTDATA("Sum of "&amp;Y$9,'PT-All'!$A$1,"Scenario",Y$12,"P&amp;L Item",$B138)/Y$29,0),"0.00%"))</f>
        <v>0</v>
      </c>
      <c r="Z138" s="65">
        <f>CHOOSE(PLColumn,IFERROR(GETPIVOTDATA("Sum of "&amp;Z$9,'PT-All'!$A$1,"Scenario",Z$12,"P&amp;L Item",$B138),0),IFERROR(GETPIVOTDATA("Sum of "&amp;Z$9,'PT-All'!$A$1,"Scenario",Z$12,"P&amp;L Item",$B138)/Z$201,0),TEXT(IFERROR(GETPIVOTDATA("Sum of "&amp;Z$9,'PT-All'!$A$1,"Scenario",Z$12,"P&amp;L Item",$B138)/Z$29,0),"0.00%"))</f>
        <v>0</v>
      </c>
      <c r="AA138" s="65">
        <f>CHOOSE(PLColumn,IFERROR(GETPIVOTDATA("Sum of "&amp;AA$9,'PT-All'!$A$1,"Scenario",AA$12,"P&amp;L Item",$B138),0),IFERROR(GETPIVOTDATA("Sum of "&amp;AA$9,'PT-All'!$A$1,"Scenario",AA$12,"P&amp;L Item",$B138)/AA$201,0),TEXT(IFERROR(GETPIVOTDATA("Sum of "&amp;AA$9,'PT-All'!$A$1,"Scenario",AA$12,"P&amp;L Item",$B138)/AA$29,0),"0.00%"))</f>
        <v>0</v>
      </c>
      <c r="AB138" s="65">
        <f>CHOOSE(PLColumn,IFERROR(GETPIVOTDATA("Sum of "&amp;AB$9,'PT-All'!$A$1,"Scenario",AB$12,"P&amp;L Item",$B138),0),IFERROR(GETPIVOTDATA("Sum of "&amp;AB$9,'PT-All'!$A$1,"Scenario",AB$12,"P&amp;L Item",$B138)/AB$201,0),TEXT(IFERROR(GETPIVOTDATA("Sum of "&amp;AB$9,'PT-All'!$A$1,"Scenario",AB$12,"P&amp;L Item",$B138)/AB$29,0),"0.00%"))</f>
        <v>0</v>
      </c>
      <c r="AC138" s="65">
        <f>CHOOSE(PLColumn,IFERROR(GETPIVOTDATA("Sum of "&amp;AC$9,'PT-All'!$A$1,"Scenario",AC$12,"P&amp;L Item",$B138),0),IFERROR(GETPIVOTDATA("Sum of "&amp;AC$9,'PT-All'!$A$1,"Scenario",AC$12,"P&amp;L Item",$B138)/AC$201,0),TEXT(IFERROR(GETPIVOTDATA("Sum of "&amp;AC$9,'PT-All'!$A$1,"Scenario",AC$12,"P&amp;L Item",$B138)/AC$29,0),"0.00%"))</f>
        <v>0</v>
      </c>
      <c r="AD138" s="65">
        <f>CHOOSE(PLColumn,IFERROR(GETPIVOTDATA("Sum of "&amp;AD$9,'PT-All'!$A$1,"Scenario",AD$12,"P&amp;L Item",$B138),0),IFERROR(GETPIVOTDATA("Sum of "&amp;AD$9,'PT-All'!$A$1,"Scenario",AD$12,"P&amp;L Item",$B138)/AD$201,0),TEXT(IFERROR(GETPIVOTDATA("Sum of "&amp;AD$9,'PT-All'!$A$1,"Scenario",AD$12,"P&amp;L Item",$B138)/AD$29,0),"0.00%"))</f>
        <v>0</v>
      </c>
      <c r="AE138" s="65">
        <f>CHOOSE(PLColumn,IFERROR(GETPIVOTDATA("Sum of "&amp;AE$9,'PT-All'!$A$1,"Scenario",AE$12,"P&amp;L Item",$B138),0),IFERROR(GETPIVOTDATA("Sum of "&amp;AE$9,'PT-All'!$A$1,"Scenario",AE$12,"P&amp;L Item",$B138)/AE$201,0),TEXT(IFERROR(GETPIVOTDATA("Sum of "&amp;AE$9,'PT-All'!$A$1,"Scenario",AE$12,"P&amp;L Item",$B138)/AE$29,0),"0.00%"))</f>
        <v>0</v>
      </c>
      <c r="AF138" s="65">
        <f>CHOOSE(PLColumn,IFERROR(GETPIVOTDATA("Sum of "&amp;AF$9,'PT-All'!$A$1,"Scenario",AF$12,"P&amp;L Item",$B138),0),IFERROR(GETPIVOTDATA("Sum of "&amp;AF$9,'PT-All'!$A$1,"Scenario",AF$12,"P&amp;L Item",$B138)/AF$201,0),TEXT(IFERROR(GETPIVOTDATA("Sum of "&amp;AF$9,'PT-All'!$A$1,"Scenario",AF$12,"P&amp;L Item",$B138)/AF$29,0),"0.00%"))</f>
        <v>0</v>
      </c>
      <c r="AG138" s="65">
        <f>CHOOSE(PLColumn,IFERROR(GETPIVOTDATA("Sum of "&amp;AG$9,'PT-All'!$A$1,"Scenario",AG$12,"P&amp;L Item",$B138),0),IFERROR(GETPIVOTDATA("Sum of "&amp;AG$9,'PT-All'!$A$1,"Scenario",AG$12,"P&amp;L Item",$B138)/AG$201,0),TEXT(IFERROR(GETPIVOTDATA("Sum of "&amp;AG$9,'PT-All'!$A$1,"Scenario",AG$12,"P&amp;L Item",$B138)/AG$29,0),"0.00%"))</f>
        <v>0</v>
      </c>
      <c r="AH138" s="65">
        <f>CHOOSE(PLColumn,IFERROR(GETPIVOTDATA("Sum of "&amp;AH$9,'PT-All'!$A$1,"Scenario",AH$12,"P&amp;L Item",$B138),0),IFERROR(GETPIVOTDATA("Sum of "&amp;AH$9,'PT-All'!$A$1,"Scenario",AH$12,"P&amp;L Item",$B138)/AH$201,0),TEXT(IFERROR(GETPIVOTDATA("Sum of "&amp;AH$9,'PT-All'!$A$1,"Scenario",AH$12,"P&amp;L Item",$B138)/AH$29,0),"0.00%"))</f>
        <v>0</v>
      </c>
      <c r="AI138" s="65">
        <f>CHOOSE(PLColumn,IFERROR(GETPIVOTDATA("Sum of "&amp;AI$9,'PT-All'!$A$1,"Scenario",AI$12,"P&amp;L Item",$B138),0),IFERROR(GETPIVOTDATA("Sum of "&amp;AI$9,'PT-All'!$A$1,"Scenario",AI$12,"P&amp;L Item",$B138)/AI$201,0),TEXT(IFERROR(GETPIVOTDATA("Sum of "&amp;AI$9,'PT-All'!$A$1,"Scenario",AI$12,"P&amp;L Item",$B138)/AI$29,0),"0.00%"))</f>
        <v>0</v>
      </c>
      <c r="AJ138" s="65">
        <f>CHOOSE(PLColumn,IFERROR(GETPIVOTDATA("Sum of "&amp;AJ$9,'PT-All'!$A$1,"Scenario",AJ$12,"P&amp;L Item",$B138),0),IFERROR(GETPIVOTDATA("Sum of "&amp;AJ$9,'PT-All'!$A$1,"Scenario",AJ$12,"P&amp;L Item",$B138)/AJ$201,0),TEXT(IFERROR(GETPIVOTDATA("Sum of "&amp;AJ$9,'PT-All'!$A$1,"Scenario",AJ$12,"P&amp;L Item",$B138)/AJ$29,0),"0.00%"))</f>
        <v>0</v>
      </c>
      <c r="AK138" s="65">
        <f>CHOOSE(PLColumn,IFERROR(GETPIVOTDATA("Sum of "&amp;AK$9,'PT-All'!$A$1,"Scenario",AK$12,"P&amp;L Item",$B138),0),IFERROR(GETPIVOTDATA("Sum of "&amp;AK$9,'PT-All'!$A$1,"Scenario",AK$12,"P&amp;L Item",$B138)/AK$201,0),TEXT(IFERROR(GETPIVOTDATA("Sum of "&amp;AK$9,'PT-All'!$A$1,"Scenario",AK$12,"P&amp;L Item",$B138)/AK$29,0),"0.00%"))</f>
        <v>0</v>
      </c>
      <c r="AL138" s="97">
        <f>CHOOSE(PLColumn,IFERROR(GETPIVOTDATA("Sum of "&amp;AL$9,'PT-All'!$A$1,"Scenario",AL$12,"P&amp;L Item",$B138),0),IFERROR(GETPIVOTDATA("Sum of "&amp;AL$9,'PT-All'!$A$1,"Scenario",AL$12,"P&amp;L Item",$B138)/AL$201,0),TEXT(IFERROR(GETPIVOTDATA("Sum of "&amp;AL$9,'PT-All'!$A$1,"Scenario",AL$12,"P&amp;L Item",$B138)/AL$29,0),"0.00%"))</f>
        <v>0</v>
      </c>
      <c r="AM138" s="590"/>
      <c r="AN138" s="108">
        <f ca="1">IF(AN$12="Pro Forma",SUM(OFFSET($B138,0,3*AN$9+1,1,3)),IFERROR(GETPIVOTDATA("Sum of Q"&amp;AN$9+1,'PT-All'!$A$1,"Scenario",AN$12,"P&amp;L Item",$B138),0))</f>
        <v>0</v>
      </c>
      <c r="AO138" s="65">
        <f ca="1">IF(AO$12="Pro Forma",SUM(OFFSET($B138,0,3*AO$9+1,1,3)),IFERROR(GETPIVOTDATA("Sum of Q"&amp;AO$9+1,'PT-All'!$A$1,"Scenario",AO$12,"P&amp;L Item",$B138),0))</f>
        <v>0</v>
      </c>
      <c r="AP138" s="65">
        <f ca="1">IF(AP$12="Pro Forma",SUM(OFFSET($B138,0,3*AP$9+1,1,3)),IFERROR(GETPIVOTDATA("Sum of Q"&amp;AP$9+1,'PT-All'!$A$1,"Scenario",AP$12,"P&amp;L Item",$B138),0))</f>
        <v>0</v>
      </c>
      <c r="AQ138" s="65">
        <f ca="1">IF(AQ$12="Pro Forma",SUM(OFFSET($B138,0,3*AQ$9+1,1,3)),IFERROR(GETPIVOTDATA("Sum of Q"&amp;AQ$9+1,'PT-All'!$A$1,"Scenario",AQ$12,"P&amp;L Item",$B138),0))</f>
        <v>0</v>
      </c>
      <c r="AR138" s="65">
        <f ca="1">IF(AR$12="Pro Forma",SUM(OFFSET($B138,0,3*AR$9+1,1,3)),IFERROR(GETPIVOTDATA("Sum of Q"&amp;AR$9+1,'PT-All'!$A$1,"Scenario",AR$12,"P&amp;L Item",$B138),0))</f>
        <v>0</v>
      </c>
      <c r="AS138" s="65">
        <f ca="1">IF(AS$12="Pro Forma",SUM(OFFSET($B138,0,3*AS$9+1,1,3)),IFERROR(GETPIVOTDATA("Sum of Q"&amp;AS$9+1,'PT-All'!$A$1,"Scenario",AS$12,"P&amp;L Item",$B138),0))</f>
        <v>0</v>
      </c>
      <c r="AT138" s="65">
        <f ca="1">IF(AT$12="Pro Forma",SUM(OFFSET($B138,0,3*AT$9+1,1,3)),IFERROR(GETPIVOTDATA("Sum of Q"&amp;AT$9+1,'PT-All'!$A$1,"Scenario",AT$12,"P&amp;L Item",$B138),0))</f>
        <v>0</v>
      </c>
      <c r="AU138" s="65">
        <f ca="1">IF(AU$12="Pro Forma",SUM(OFFSET($B138,0,3*AU$9+1,1,3)),IFERROR(GETPIVOTDATA("Sum of Q"&amp;AU$9+1,'PT-All'!$A$1,"Scenario",AU$12,"P&amp;L Item",$B138),0))</f>
        <v>0</v>
      </c>
      <c r="AV138" s="65">
        <f ca="1">IF(AV$12="Pro Forma",SUM(OFFSET($B138,0,3*AV$9+1,1,3)),IFERROR(GETPIVOTDATA("Sum of Q"&amp;AV$9+1,'PT-All'!$A$1,"Scenario",AV$12,"P&amp;L Item",$B138),0))</f>
        <v>0</v>
      </c>
      <c r="AW138" s="65">
        <f ca="1">IF(AW$12="Pro Forma",SUM(OFFSET($B138,0,3*AW$9+1,1,3)),IFERROR(GETPIVOTDATA("Sum of Q"&amp;AW$9+1,'PT-All'!$A$1,"Scenario",AW$12,"P&amp;L Item",$B138),0))</f>
        <v>0</v>
      </c>
      <c r="AX138" s="65">
        <f ca="1">IF(AX$12="Pro Forma",SUM(OFFSET($B138,0,3*AX$9+1,1,3)),IFERROR(GETPIVOTDATA("Sum of Q"&amp;AX$9+1,'PT-All'!$A$1,"Scenario",AX$12,"P&amp;L Item",$B138),0))</f>
        <v>0</v>
      </c>
      <c r="AY138" s="97">
        <f ca="1">IF(AY$12="Pro Forma",SUM(OFFSET($B138,0,3*AY$9+1,1,3)),IFERROR(GETPIVOTDATA("Sum of Q"&amp;AY$9+1,'PT-All'!$A$1,"Scenario",AY$12,"P&amp;L Item",$B138),0))</f>
        <v>0</v>
      </c>
      <c r="AZ138" s="590"/>
      <c r="BA138" s="108">
        <f ca="1">IF(BA$12="Pro Forma",SUM(OFFSET($B138,0,12*BA$9+1,1,12)),IFERROR(GETPIVOTDATA("Sum of FY"&amp;BA$9+1,'PT-All'!$A$1,"Scenario",BA$12,"P&amp;L Item",$B138),0))</f>
        <v>0</v>
      </c>
      <c r="BB138" s="65">
        <f ca="1">IF(BB$12="Pro Forma",SUM(OFFSET($B138,0,12*BB$9+1,1,12)),IFERROR(GETPIVOTDATA("Sum of FY"&amp;BB$9+1,'PT-All'!$A$1,"Scenario",BB$12,"P&amp;L Item",$B138),0))</f>
        <v>0</v>
      </c>
      <c r="BC138" s="97">
        <f ca="1">IF(BC$12="Pro Forma",SUM(OFFSET($B138,0,12*BC$9+1,1,12)),IFERROR(GETPIVOTDATA("Sum of FY"&amp;BC$9+1,'PT-All'!$A$1,"Scenario",BC$12,"P&amp;L Item",$B138),0))</f>
        <v>0</v>
      </c>
    </row>
    <row r="139" spans="2:55" x14ac:dyDescent="0.35">
      <c r="B139" s="64" t="s">
        <v>169</v>
      </c>
      <c r="C139" s="65">
        <f>CHOOSE(PLColumn,IFERROR(GETPIVOTDATA("Sum of "&amp;C$9,'PT-All'!$A$1,"Scenario",C$12,"P&amp;L Item",$B139),0),IFERROR(GETPIVOTDATA("Sum of "&amp;C$9,'PT-All'!$A$1,"Scenario",C$12,"P&amp;L Item",$B139)/C$201,0),TEXT(IFERROR(GETPIVOTDATA("Sum of "&amp;C$9,'PT-All'!$A$1,"Scenario",C$12,"P&amp;L Item",$B139)/C$29,0),"0.00%"))</f>
        <v>0</v>
      </c>
      <c r="D139" s="65">
        <f>CHOOSE(PLColumn,IFERROR(GETPIVOTDATA("Sum of "&amp;D$9,'PT-All'!$A$1,"Scenario",D$12,"P&amp;L Item",$B139),0),IFERROR(GETPIVOTDATA("Sum of "&amp;D$9,'PT-All'!$A$1,"Scenario",D$12,"P&amp;L Item",$B139)/D$201,0),TEXT(IFERROR(GETPIVOTDATA("Sum of "&amp;D$9,'PT-All'!$A$1,"Scenario",D$12,"P&amp;L Item",$B139)/D$29,0),"0.00%"))</f>
        <v>0</v>
      </c>
      <c r="E139" s="65">
        <f>CHOOSE(PLColumn,IFERROR(GETPIVOTDATA("Sum of "&amp;E$9,'PT-All'!$A$1,"Scenario",E$12,"P&amp;L Item",$B139),0),IFERROR(GETPIVOTDATA("Sum of "&amp;E$9,'PT-All'!$A$1,"Scenario",E$12,"P&amp;L Item",$B139)/E$201,0),TEXT(IFERROR(GETPIVOTDATA("Sum of "&amp;E$9,'PT-All'!$A$1,"Scenario",E$12,"P&amp;L Item",$B139)/E$29,0),"0.00%"))</f>
        <v>0</v>
      </c>
      <c r="F139" s="65">
        <f>CHOOSE(PLColumn,IFERROR(GETPIVOTDATA("Sum of "&amp;F$9,'PT-All'!$A$1,"Scenario",F$12,"P&amp;L Item",$B139),0),IFERROR(GETPIVOTDATA("Sum of "&amp;F$9,'PT-All'!$A$1,"Scenario",F$12,"P&amp;L Item",$B139)/F$201,0),TEXT(IFERROR(GETPIVOTDATA("Sum of "&amp;F$9,'PT-All'!$A$1,"Scenario",F$12,"P&amp;L Item",$B139)/F$29,0),"0.00%"))</f>
        <v>0</v>
      </c>
      <c r="G139" s="65">
        <f>CHOOSE(PLColumn,IFERROR(GETPIVOTDATA("Sum of "&amp;G$9,'PT-All'!$A$1,"Scenario",G$12,"P&amp;L Item",$B139),0),IFERROR(GETPIVOTDATA("Sum of "&amp;G$9,'PT-All'!$A$1,"Scenario",G$12,"P&amp;L Item",$B139)/G$201,0),TEXT(IFERROR(GETPIVOTDATA("Sum of "&amp;G$9,'PT-All'!$A$1,"Scenario",G$12,"P&amp;L Item",$B139)/G$29,0),"0.00%"))</f>
        <v>0</v>
      </c>
      <c r="H139" s="65">
        <f>CHOOSE(PLColumn,IFERROR(GETPIVOTDATA("Sum of "&amp;H$9,'PT-All'!$A$1,"Scenario",H$12,"P&amp;L Item",$B139),0),IFERROR(GETPIVOTDATA("Sum of "&amp;H$9,'PT-All'!$A$1,"Scenario",H$12,"P&amp;L Item",$B139)/H$201,0),TEXT(IFERROR(GETPIVOTDATA("Sum of "&amp;H$9,'PT-All'!$A$1,"Scenario",H$12,"P&amp;L Item",$B139)/H$29,0),"0.00%"))</f>
        <v>0</v>
      </c>
      <c r="I139" s="65">
        <f>CHOOSE(PLColumn,IFERROR(GETPIVOTDATA("Sum of "&amp;I$9,'PT-All'!$A$1,"Scenario",I$12,"P&amp;L Item",$B139),0),IFERROR(GETPIVOTDATA("Sum of "&amp;I$9,'PT-All'!$A$1,"Scenario",I$12,"P&amp;L Item",$B139)/I$201,0),TEXT(IFERROR(GETPIVOTDATA("Sum of "&amp;I$9,'PT-All'!$A$1,"Scenario",I$12,"P&amp;L Item",$B139)/I$29,0),"0.00%"))</f>
        <v>0</v>
      </c>
      <c r="J139" s="65">
        <f>CHOOSE(PLColumn,IFERROR(GETPIVOTDATA("Sum of "&amp;J$9,'PT-All'!$A$1,"Scenario",J$12,"P&amp;L Item",$B139),0),IFERROR(GETPIVOTDATA("Sum of "&amp;J$9,'PT-All'!$A$1,"Scenario",J$12,"P&amp;L Item",$B139)/J$201,0),TEXT(IFERROR(GETPIVOTDATA("Sum of "&amp;J$9,'PT-All'!$A$1,"Scenario",J$12,"P&amp;L Item",$B139)/J$29,0),"0.00%"))</f>
        <v>0</v>
      </c>
      <c r="K139" s="65">
        <f>CHOOSE(PLColumn,IFERROR(GETPIVOTDATA("Sum of "&amp;K$9,'PT-All'!$A$1,"Scenario",K$12,"P&amp;L Item",$B139),0),IFERROR(GETPIVOTDATA("Sum of "&amp;K$9,'PT-All'!$A$1,"Scenario",K$12,"P&amp;L Item",$B139)/K$201,0),TEXT(IFERROR(GETPIVOTDATA("Sum of "&amp;K$9,'PT-All'!$A$1,"Scenario",K$12,"P&amp;L Item",$B139)/K$29,0),"0.00%"))</f>
        <v>0</v>
      </c>
      <c r="L139" s="65">
        <f>CHOOSE(PLColumn,IFERROR(GETPIVOTDATA("Sum of "&amp;L$9,'PT-All'!$A$1,"Scenario",L$12,"P&amp;L Item",$B139),0),IFERROR(GETPIVOTDATA("Sum of "&amp;L$9,'PT-All'!$A$1,"Scenario",L$12,"P&amp;L Item",$B139)/L$201,0),TEXT(IFERROR(GETPIVOTDATA("Sum of "&amp;L$9,'PT-All'!$A$1,"Scenario",L$12,"P&amp;L Item",$B139)/L$29,0),"0.00%"))</f>
        <v>0</v>
      </c>
      <c r="M139" s="65">
        <f>CHOOSE(PLColumn,IFERROR(GETPIVOTDATA("Sum of "&amp;M$9,'PT-All'!$A$1,"Scenario",M$12,"P&amp;L Item",$B139),0),IFERROR(GETPIVOTDATA("Sum of "&amp;M$9,'PT-All'!$A$1,"Scenario",M$12,"P&amp;L Item",$B139)/M$201,0),TEXT(IFERROR(GETPIVOTDATA("Sum of "&amp;M$9,'PT-All'!$A$1,"Scenario",M$12,"P&amp;L Item",$B139)/M$29,0),"0.00%"))</f>
        <v>0</v>
      </c>
      <c r="N139" s="65">
        <f>CHOOSE(PLColumn,IFERROR(GETPIVOTDATA("Sum of "&amp;N$9,'PT-All'!$A$1,"Scenario",N$12,"P&amp;L Item",$B139),0),IFERROR(GETPIVOTDATA("Sum of "&amp;N$9,'PT-All'!$A$1,"Scenario",N$12,"P&amp;L Item",$B139)/N$201,0),TEXT(IFERROR(GETPIVOTDATA("Sum of "&amp;N$9,'PT-All'!$A$1,"Scenario",N$12,"P&amp;L Item",$B139)/N$29,0),"0.00%"))</f>
        <v>0</v>
      </c>
      <c r="O139" s="65">
        <f>CHOOSE(PLColumn,IFERROR(GETPIVOTDATA("Sum of "&amp;O$9,'PT-All'!$A$1,"Scenario",O$12,"P&amp;L Item",$B139),0),IFERROR(GETPIVOTDATA("Sum of "&amp;O$9,'PT-All'!$A$1,"Scenario",O$12,"P&amp;L Item",$B139)/O$201,0),TEXT(IFERROR(GETPIVOTDATA("Sum of "&amp;O$9,'PT-All'!$A$1,"Scenario",O$12,"P&amp;L Item",$B139)/O$29,0),"0.00%"))</f>
        <v>0</v>
      </c>
      <c r="P139" s="65">
        <f>CHOOSE(PLColumn,IFERROR(GETPIVOTDATA("Sum of "&amp;P$9,'PT-All'!$A$1,"Scenario",P$12,"P&amp;L Item",$B139),0),IFERROR(GETPIVOTDATA("Sum of "&amp;P$9,'PT-All'!$A$1,"Scenario",P$12,"P&amp;L Item",$B139)/P$201,0),TEXT(IFERROR(GETPIVOTDATA("Sum of "&amp;P$9,'PT-All'!$A$1,"Scenario",P$12,"P&amp;L Item",$B139)/P$29,0),"0.00%"))</f>
        <v>0</v>
      </c>
      <c r="Q139" s="65">
        <f>CHOOSE(PLColumn,IFERROR(GETPIVOTDATA("Sum of "&amp;Q$9,'PT-All'!$A$1,"Scenario",Q$12,"P&amp;L Item",$B139),0),IFERROR(GETPIVOTDATA("Sum of "&amp;Q$9,'PT-All'!$A$1,"Scenario",Q$12,"P&amp;L Item",$B139)/Q$201,0),TEXT(IFERROR(GETPIVOTDATA("Sum of "&amp;Q$9,'PT-All'!$A$1,"Scenario",Q$12,"P&amp;L Item",$B139)/Q$29,0),"0.00%"))</f>
        <v>0</v>
      </c>
      <c r="R139" s="65">
        <f>CHOOSE(PLColumn,IFERROR(GETPIVOTDATA("Sum of "&amp;R$9,'PT-All'!$A$1,"Scenario",R$12,"P&amp;L Item",$B139),0),IFERROR(GETPIVOTDATA("Sum of "&amp;R$9,'PT-All'!$A$1,"Scenario",R$12,"P&amp;L Item",$B139)/R$201,0),TEXT(IFERROR(GETPIVOTDATA("Sum of "&amp;R$9,'PT-All'!$A$1,"Scenario",R$12,"P&amp;L Item",$B139)/R$29,0),"0.00%"))</f>
        <v>0</v>
      </c>
      <c r="S139" s="65">
        <f>CHOOSE(PLColumn,IFERROR(GETPIVOTDATA("Sum of "&amp;S$9,'PT-All'!$A$1,"Scenario",S$12,"P&amp;L Item",$B139),0),IFERROR(GETPIVOTDATA("Sum of "&amp;S$9,'PT-All'!$A$1,"Scenario",S$12,"P&amp;L Item",$B139)/S$201,0),TEXT(IFERROR(GETPIVOTDATA("Sum of "&amp;S$9,'PT-All'!$A$1,"Scenario",S$12,"P&amp;L Item",$B139)/S$29,0),"0.00%"))</f>
        <v>0</v>
      </c>
      <c r="T139" s="65">
        <f>CHOOSE(PLColumn,IFERROR(GETPIVOTDATA("Sum of "&amp;T$9,'PT-All'!$A$1,"Scenario",T$12,"P&amp;L Item",$B139),0),IFERROR(GETPIVOTDATA("Sum of "&amp;T$9,'PT-All'!$A$1,"Scenario",T$12,"P&amp;L Item",$B139)/T$201,0),TEXT(IFERROR(GETPIVOTDATA("Sum of "&amp;T$9,'PT-All'!$A$1,"Scenario",T$12,"P&amp;L Item",$B139)/T$29,0),"0.00%"))</f>
        <v>0</v>
      </c>
      <c r="U139" s="65">
        <f>CHOOSE(PLColumn,IFERROR(GETPIVOTDATA("Sum of "&amp;U$9,'PT-All'!$A$1,"Scenario",U$12,"P&amp;L Item",$B139),0),IFERROR(GETPIVOTDATA("Sum of "&amp;U$9,'PT-All'!$A$1,"Scenario",U$12,"P&amp;L Item",$B139)/U$201,0),TEXT(IFERROR(GETPIVOTDATA("Sum of "&amp;U$9,'PT-All'!$A$1,"Scenario",U$12,"P&amp;L Item",$B139)/U$29,0),"0.00%"))</f>
        <v>0</v>
      </c>
      <c r="V139" s="65">
        <f>CHOOSE(PLColumn,IFERROR(GETPIVOTDATA("Sum of "&amp;V$9,'PT-All'!$A$1,"Scenario",V$12,"P&amp;L Item",$B139),0),IFERROR(GETPIVOTDATA("Sum of "&amp;V$9,'PT-All'!$A$1,"Scenario",V$12,"P&amp;L Item",$B139)/V$201,0),TEXT(IFERROR(GETPIVOTDATA("Sum of "&amp;V$9,'PT-All'!$A$1,"Scenario",V$12,"P&amp;L Item",$B139)/V$29,0),"0.00%"))</f>
        <v>0</v>
      </c>
      <c r="W139" s="65">
        <f>CHOOSE(PLColumn,IFERROR(GETPIVOTDATA("Sum of "&amp;W$9,'PT-All'!$A$1,"Scenario",W$12,"P&amp;L Item",$B139),0),IFERROR(GETPIVOTDATA("Sum of "&amp;W$9,'PT-All'!$A$1,"Scenario",W$12,"P&amp;L Item",$B139)/W$201,0),TEXT(IFERROR(GETPIVOTDATA("Sum of "&amp;W$9,'PT-All'!$A$1,"Scenario",W$12,"P&amp;L Item",$B139)/W$29,0),"0.00%"))</f>
        <v>0</v>
      </c>
      <c r="X139" s="65">
        <f>CHOOSE(PLColumn,IFERROR(GETPIVOTDATA("Sum of "&amp;X$9,'PT-All'!$A$1,"Scenario",X$12,"P&amp;L Item",$B139),0),IFERROR(GETPIVOTDATA("Sum of "&amp;X$9,'PT-All'!$A$1,"Scenario",X$12,"P&amp;L Item",$B139)/X$201,0),TEXT(IFERROR(GETPIVOTDATA("Sum of "&amp;X$9,'PT-All'!$A$1,"Scenario",X$12,"P&amp;L Item",$B139)/X$29,0),"0.00%"))</f>
        <v>0</v>
      </c>
      <c r="Y139" s="65">
        <f>CHOOSE(PLColumn,IFERROR(GETPIVOTDATA("Sum of "&amp;Y$9,'PT-All'!$A$1,"Scenario",Y$12,"P&amp;L Item",$B139),0),IFERROR(GETPIVOTDATA("Sum of "&amp;Y$9,'PT-All'!$A$1,"Scenario",Y$12,"P&amp;L Item",$B139)/Y$201,0),TEXT(IFERROR(GETPIVOTDATA("Sum of "&amp;Y$9,'PT-All'!$A$1,"Scenario",Y$12,"P&amp;L Item",$B139)/Y$29,0),"0.00%"))</f>
        <v>0</v>
      </c>
      <c r="Z139" s="65">
        <f>CHOOSE(PLColumn,IFERROR(GETPIVOTDATA("Sum of "&amp;Z$9,'PT-All'!$A$1,"Scenario",Z$12,"P&amp;L Item",$B139),0),IFERROR(GETPIVOTDATA("Sum of "&amp;Z$9,'PT-All'!$A$1,"Scenario",Z$12,"P&amp;L Item",$B139)/Z$201,0),TEXT(IFERROR(GETPIVOTDATA("Sum of "&amp;Z$9,'PT-All'!$A$1,"Scenario",Z$12,"P&amp;L Item",$B139)/Z$29,0),"0.00%"))</f>
        <v>0</v>
      </c>
      <c r="AA139" s="65">
        <f>CHOOSE(PLColumn,IFERROR(GETPIVOTDATA("Sum of "&amp;AA$9,'PT-All'!$A$1,"Scenario",AA$12,"P&amp;L Item",$B139),0),IFERROR(GETPIVOTDATA("Sum of "&amp;AA$9,'PT-All'!$A$1,"Scenario",AA$12,"P&amp;L Item",$B139)/AA$201,0),TEXT(IFERROR(GETPIVOTDATA("Sum of "&amp;AA$9,'PT-All'!$A$1,"Scenario",AA$12,"P&amp;L Item",$B139)/AA$29,0),"0.00%"))</f>
        <v>0</v>
      </c>
      <c r="AB139" s="65">
        <f>CHOOSE(PLColumn,IFERROR(GETPIVOTDATA("Sum of "&amp;AB$9,'PT-All'!$A$1,"Scenario",AB$12,"P&amp;L Item",$B139),0),IFERROR(GETPIVOTDATA("Sum of "&amp;AB$9,'PT-All'!$A$1,"Scenario",AB$12,"P&amp;L Item",$B139)/AB$201,0),TEXT(IFERROR(GETPIVOTDATA("Sum of "&amp;AB$9,'PT-All'!$A$1,"Scenario",AB$12,"P&amp;L Item",$B139)/AB$29,0),"0.00%"))</f>
        <v>0</v>
      </c>
      <c r="AC139" s="65">
        <f>CHOOSE(PLColumn,IFERROR(GETPIVOTDATA("Sum of "&amp;AC$9,'PT-All'!$A$1,"Scenario",AC$12,"P&amp;L Item",$B139),0),IFERROR(GETPIVOTDATA("Sum of "&amp;AC$9,'PT-All'!$A$1,"Scenario",AC$12,"P&amp;L Item",$B139)/AC$201,0),TEXT(IFERROR(GETPIVOTDATA("Sum of "&amp;AC$9,'PT-All'!$A$1,"Scenario",AC$12,"P&amp;L Item",$B139)/AC$29,0),"0.00%"))</f>
        <v>0</v>
      </c>
      <c r="AD139" s="65">
        <f>CHOOSE(PLColumn,IFERROR(GETPIVOTDATA("Sum of "&amp;AD$9,'PT-All'!$A$1,"Scenario",AD$12,"P&amp;L Item",$B139),0),IFERROR(GETPIVOTDATA("Sum of "&amp;AD$9,'PT-All'!$A$1,"Scenario",AD$12,"P&amp;L Item",$B139)/AD$201,0),TEXT(IFERROR(GETPIVOTDATA("Sum of "&amp;AD$9,'PT-All'!$A$1,"Scenario",AD$12,"P&amp;L Item",$B139)/AD$29,0),"0.00%"))</f>
        <v>0</v>
      </c>
      <c r="AE139" s="65">
        <f>CHOOSE(PLColumn,IFERROR(GETPIVOTDATA("Sum of "&amp;AE$9,'PT-All'!$A$1,"Scenario",AE$12,"P&amp;L Item",$B139),0),IFERROR(GETPIVOTDATA("Sum of "&amp;AE$9,'PT-All'!$A$1,"Scenario",AE$12,"P&amp;L Item",$B139)/AE$201,0),TEXT(IFERROR(GETPIVOTDATA("Sum of "&amp;AE$9,'PT-All'!$A$1,"Scenario",AE$12,"P&amp;L Item",$B139)/AE$29,0),"0.00%"))</f>
        <v>0</v>
      </c>
      <c r="AF139" s="65">
        <f>CHOOSE(PLColumn,IFERROR(GETPIVOTDATA("Sum of "&amp;AF$9,'PT-All'!$A$1,"Scenario",AF$12,"P&amp;L Item",$B139),0),IFERROR(GETPIVOTDATA("Sum of "&amp;AF$9,'PT-All'!$A$1,"Scenario",AF$12,"P&amp;L Item",$B139)/AF$201,0),TEXT(IFERROR(GETPIVOTDATA("Sum of "&amp;AF$9,'PT-All'!$A$1,"Scenario",AF$12,"P&amp;L Item",$B139)/AF$29,0),"0.00%"))</f>
        <v>0</v>
      </c>
      <c r="AG139" s="65">
        <f>CHOOSE(PLColumn,IFERROR(GETPIVOTDATA("Sum of "&amp;AG$9,'PT-All'!$A$1,"Scenario",AG$12,"P&amp;L Item",$B139),0),IFERROR(GETPIVOTDATA("Sum of "&amp;AG$9,'PT-All'!$A$1,"Scenario",AG$12,"P&amp;L Item",$B139)/AG$201,0),TEXT(IFERROR(GETPIVOTDATA("Sum of "&amp;AG$9,'PT-All'!$A$1,"Scenario",AG$12,"P&amp;L Item",$B139)/AG$29,0),"0.00%"))</f>
        <v>0</v>
      </c>
      <c r="AH139" s="65">
        <f>CHOOSE(PLColumn,IFERROR(GETPIVOTDATA("Sum of "&amp;AH$9,'PT-All'!$A$1,"Scenario",AH$12,"P&amp;L Item",$B139),0),IFERROR(GETPIVOTDATA("Sum of "&amp;AH$9,'PT-All'!$A$1,"Scenario",AH$12,"P&amp;L Item",$B139)/AH$201,0),TEXT(IFERROR(GETPIVOTDATA("Sum of "&amp;AH$9,'PT-All'!$A$1,"Scenario",AH$12,"P&amp;L Item",$B139)/AH$29,0),"0.00%"))</f>
        <v>0</v>
      </c>
      <c r="AI139" s="65">
        <f>CHOOSE(PLColumn,IFERROR(GETPIVOTDATA("Sum of "&amp;AI$9,'PT-All'!$A$1,"Scenario",AI$12,"P&amp;L Item",$B139),0),IFERROR(GETPIVOTDATA("Sum of "&amp;AI$9,'PT-All'!$A$1,"Scenario",AI$12,"P&amp;L Item",$B139)/AI$201,0),TEXT(IFERROR(GETPIVOTDATA("Sum of "&amp;AI$9,'PT-All'!$A$1,"Scenario",AI$12,"P&amp;L Item",$B139)/AI$29,0),"0.00%"))</f>
        <v>0</v>
      </c>
      <c r="AJ139" s="65">
        <f>CHOOSE(PLColumn,IFERROR(GETPIVOTDATA("Sum of "&amp;AJ$9,'PT-All'!$A$1,"Scenario",AJ$12,"P&amp;L Item",$B139),0),IFERROR(GETPIVOTDATA("Sum of "&amp;AJ$9,'PT-All'!$A$1,"Scenario",AJ$12,"P&amp;L Item",$B139)/AJ$201,0),TEXT(IFERROR(GETPIVOTDATA("Sum of "&amp;AJ$9,'PT-All'!$A$1,"Scenario",AJ$12,"P&amp;L Item",$B139)/AJ$29,0),"0.00%"))</f>
        <v>0</v>
      </c>
      <c r="AK139" s="65">
        <f>CHOOSE(PLColumn,IFERROR(GETPIVOTDATA("Sum of "&amp;AK$9,'PT-All'!$A$1,"Scenario",AK$12,"P&amp;L Item",$B139),0),IFERROR(GETPIVOTDATA("Sum of "&amp;AK$9,'PT-All'!$A$1,"Scenario",AK$12,"P&amp;L Item",$B139)/AK$201,0),TEXT(IFERROR(GETPIVOTDATA("Sum of "&amp;AK$9,'PT-All'!$A$1,"Scenario",AK$12,"P&amp;L Item",$B139)/AK$29,0),"0.00%"))</f>
        <v>0</v>
      </c>
      <c r="AL139" s="97">
        <f>CHOOSE(PLColumn,IFERROR(GETPIVOTDATA("Sum of "&amp;AL$9,'PT-All'!$A$1,"Scenario",AL$12,"P&amp;L Item",$B139),0),IFERROR(GETPIVOTDATA("Sum of "&amp;AL$9,'PT-All'!$A$1,"Scenario",AL$12,"P&amp;L Item",$B139)/AL$201,0),TEXT(IFERROR(GETPIVOTDATA("Sum of "&amp;AL$9,'PT-All'!$A$1,"Scenario",AL$12,"P&amp;L Item",$B139)/AL$29,0),"0.00%"))</f>
        <v>0</v>
      </c>
      <c r="AM139" s="590"/>
      <c r="AN139" s="108">
        <f ca="1">IF(AN$12="Pro Forma",SUM(OFFSET($B139,0,3*AN$9+1,1,3)),IFERROR(GETPIVOTDATA("Sum of Q"&amp;AN$9+1,'PT-All'!$A$1,"Scenario",AN$12,"P&amp;L Item",$B139),0))</f>
        <v>0</v>
      </c>
      <c r="AO139" s="65">
        <f ca="1">IF(AO$12="Pro Forma",SUM(OFFSET($B139,0,3*AO$9+1,1,3)),IFERROR(GETPIVOTDATA("Sum of Q"&amp;AO$9+1,'PT-All'!$A$1,"Scenario",AO$12,"P&amp;L Item",$B139),0))</f>
        <v>0</v>
      </c>
      <c r="AP139" s="65">
        <f ca="1">IF(AP$12="Pro Forma",SUM(OFFSET($B139,0,3*AP$9+1,1,3)),IFERROR(GETPIVOTDATA("Sum of Q"&amp;AP$9+1,'PT-All'!$A$1,"Scenario",AP$12,"P&amp;L Item",$B139),0))</f>
        <v>0</v>
      </c>
      <c r="AQ139" s="65">
        <f ca="1">IF(AQ$12="Pro Forma",SUM(OFFSET($B139,0,3*AQ$9+1,1,3)),IFERROR(GETPIVOTDATA("Sum of Q"&amp;AQ$9+1,'PT-All'!$A$1,"Scenario",AQ$12,"P&amp;L Item",$B139),0))</f>
        <v>0</v>
      </c>
      <c r="AR139" s="65">
        <f ca="1">IF(AR$12="Pro Forma",SUM(OFFSET($B139,0,3*AR$9+1,1,3)),IFERROR(GETPIVOTDATA("Sum of Q"&amp;AR$9+1,'PT-All'!$A$1,"Scenario",AR$12,"P&amp;L Item",$B139),0))</f>
        <v>0</v>
      </c>
      <c r="AS139" s="65">
        <f ca="1">IF(AS$12="Pro Forma",SUM(OFFSET($B139,0,3*AS$9+1,1,3)),IFERROR(GETPIVOTDATA("Sum of Q"&amp;AS$9+1,'PT-All'!$A$1,"Scenario",AS$12,"P&amp;L Item",$B139),0))</f>
        <v>0</v>
      </c>
      <c r="AT139" s="65">
        <f ca="1">IF(AT$12="Pro Forma",SUM(OFFSET($B139,0,3*AT$9+1,1,3)),IFERROR(GETPIVOTDATA("Sum of Q"&amp;AT$9+1,'PT-All'!$A$1,"Scenario",AT$12,"P&amp;L Item",$B139),0))</f>
        <v>0</v>
      </c>
      <c r="AU139" s="65">
        <f ca="1">IF(AU$12="Pro Forma",SUM(OFFSET($B139,0,3*AU$9+1,1,3)),IFERROR(GETPIVOTDATA("Sum of Q"&amp;AU$9+1,'PT-All'!$A$1,"Scenario",AU$12,"P&amp;L Item",$B139),0))</f>
        <v>0</v>
      </c>
      <c r="AV139" s="65">
        <f ca="1">IF(AV$12="Pro Forma",SUM(OFFSET($B139,0,3*AV$9+1,1,3)),IFERROR(GETPIVOTDATA("Sum of Q"&amp;AV$9+1,'PT-All'!$A$1,"Scenario",AV$12,"P&amp;L Item",$B139),0))</f>
        <v>0</v>
      </c>
      <c r="AW139" s="65">
        <f ca="1">IF(AW$12="Pro Forma",SUM(OFFSET($B139,0,3*AW$9+1,1,3)),IFERROR(GETPIVOTDATA("Sum of Q"&amp;AW$9+1,'PT-All'!$A$1,"Scenario",AW$12,"P&amp;L Item",$B139),0))</f>
        <v>0</v>
      </c>
      <c r="AX139" s="65">
        <f ca="1">IF(AX$12="Pro Forma",SUM(OFFSET($B139,0,3*AX$9+1,1,3)),IFERROR(GETPIVOTDATA("Sum of Q"&amp;AX$9+1,'PT-All'!$A$1,"Scenario",AX$12,"P&amp;L Item",$B139),0))</f>
        <v>0</v>
      </c>
      <c r="AY139" s="97">
        <f ca="1">IF(AY$12="Pro Forma",SUM(OFFSET($B139,0,3*AY$9+1,1,3)),IFERROR(GETPIVOTDATA("Sum of Q"&amp;AY$9+1,'PT-All'!$A$1,"Scenario",AY$12,"P&amp;L Item",$B139),0))</f>
        <v>0</v>
      </c>
      <c r="AZ139" s="590"/>
      <c r="BA139" s="108">
        <f ca="1">IF(BA$12="Pro Forma",SUM(OFFSET($B139,0,12*BA$9+1,1,12)),IFERROR(GETPIVOTDATA("Sum of FY"&amp;BA$9+1,'PT-All'!$A$1,"Scenario",BA$12,"P&amp;L Item",$B139),0))</f>
        <v>0</v>
      </c>
      <c r="BB139" s="65">
        <f ca="1">IF(BB$12="Pro Forma",SUM(OFFSET($B139,0,12*BB$9+1,1,12)),IFERROR(GETPIVOTDATA("Sum of FY"&amp;BB$9+1,'PT-All'!$A$1,"Scenario",BB$12,"P&amp;L Item",$B139),0))</f>
        <v>0</v>
      </c>
      <c r="BC139" s="97">
        <f ca="1">IF(BC$12="Pro Forma",SUM(OFFSET($B139,0,12*BC$9+1,1,12)),IFERROR(GETPIVOTDATA("Sum of FY"&amp;BC$9+1,'PT-All'!$A$1,"Scenario",BC$12,"P&amp;L Item",$B139),0))</f>
        <v>0</v>
      </c>
    </row>
    <row r="140" spans="2:55" ht="15" x14ac:dyDescent="0.4">
      <c r="B140" s="64" t="s">
        <v>170</v>
      </c>
      <c r="C140" s="66">
        <f>CHOOSE(PLColumn,IFERROR(GETPIVOTDATA("Sum of "&amp;C$9,'PT-All'!$A$1,"Scenario",C$12,"P&amp;L Item",$B140),0),IFERROR(GETPIVOTDATA("Sum of "&amp;C$9,'PT-All'!$A$1,"Scenario",C$12,"P&amp;L Item",$B140)/C$201,0),TEXT(IFERROR(GETPIVOTDATA("Sum of "&amp;C$9,'PT-All'!$A$1,"Scenario",C$12,"P&amp;L Item",$B140)/C$29,0),"0.00%"))</f>
        <v>0</v>
      </c>
      <c r="D140" s="66">
        <f>CHOOSE(PLColumn,IFERROR(GETPIVOTDATA("Sum of "&amp;D$9,'PT-All'!$A$1,"Scenario",D$12,"P&amp;L Item",$B140),0),IFERROR(GETPIVOTDATA("Sum of "&amp;D$9,'PT-All'!$A$1,"Scenario",D$12,"P&amp;L Item",$B140)/D$201,0),TEXT(IFERROR(GETPIVOTDATA("Sum of "&amp;D$9,'PT-All'!$A$1,"Scenario",D$12,"P&amp;L Item",$B140)/D$29,0),"0.00%"))</f>
        <v>0</v>
      </c>
      <c r="E140" s="66">
        <f>CHOOSE(PLColumn,IFERROR(GETPIVOTDATA("Sum of "&amp;E$9,'PT-All'!$A$1,"Scenario",E$12,"P&amp;L Item",$B140),0),IFERROR(GETPIVOTDATA("Sum of "&amp;E$9,'PT-All'!$A$1,"Scenario",E$12,"P&amp;L Item",$B140)/E$201,0),TEXT(IFERROR(GETPIVOTDATA("Sum of "&amp;E$9,'PT-All'!$A$1,"Scenario",E$12,"P&amp;L Item",$B140)/E$29,0),"0.00%"))</f>
        <v>0</v>
      </c>
      <c r="F140" s="66">
        <f>CHOOSE(PLColumn,IFERROR(GETPIVOTDATA("Sum of "&amp;F$9,'PT-All'!$A$1,"Scenario",F$12,"P&amp;L Item",$B140),0),IFERROR(GETPIVOTDATA("Sum of "&amp;F$9,'PT-All'!$A$1,"Scenario",F$12,"P&amp;L Item",$B140)/F$201,0),TEXT(IFERROR(GETPIVOTDATA("Sum of "&amp;F$9,'PT-All'!$A$1,"Scenario",F$12,"P&amp;L Item",$B140)/F$29,0),"0.00%"))</f>
        <v>0</v>
      </c>
      <c r="G140" s="66">
        <f>CHOOSE(PLColumn,IFERROR(GETPIVOTDATA("Sum of "&amp;G$9,'PT-All'!$A$1,"Scenario",G$12,"P&amp;L Item",$B140),0),IFERROR(GETPIVOTDATA("Sum of "&amp;G$9,'PT-All'!$A$1,"Scenario",G$12,"P&amp;L Item",$B140)/G$201,0),TEXT(IFERROR(GETPIVOTDATA("Sum of "&amp;G$9,'PT-All'!$A$1,"Scenario",G$12,"P&amp;L Item",$B140)/G$29,0),"0.00%"))</f>
        <v>0</v>
      </c>
      <c r="H140" s="66">
        <f>CHOOSE(PLColumn,IFERROR(GETPIVOTDATA("Sum of "&amp;H$9,'PT-All'!$A$1,"Scenario",H$12,"P&amp;L Item",$B140),0),IFERROR(GETPIVOTDATA("Sum of "&amp;H$9,'PT-All'!$A$1,"Scenario",H$12,"P&amp;L Item",$B140)/H$201,0),TEXT(IFERROR(GETPIVOTDATA("Sum of "&amp;H$9,'PT-All'!$A$1,"Scenario",H$12,"P&amp;L Item",$B140)/H$29,0),"0.00%"))</f>
        <v>0</v>
      </c>
      <c r="I140" s="66">
        <f>CHOOSE(PLColumn,IFERROR(GETPIVOTDATA("Sum of "&amp;I$9,'PT-All'!$A$1,"Scenario",I$12,"P&amp;L Item",$B140),0),IFERROR(GETPIVOTDATA("Sum of "&amp;I$9,'PT-All'!$A$1,"Scenario",I$12,"P&amp;L Item",$B140)/I$201,0),TEXT(IFERROR(GETPIVOTDATA("Sum of "&amp;I$9,'PT-All'!$A$1,"Scenario",I$12,"P&amp;L Item",$B140)/I$29,0),"0.00%"))</f>
        <v>0</v>
      </c>
      <c r="J140" s="66">
        <f>CHOOSE(PLColumn,IFERROR(GETPIVOTDATA("Sum of "&amp;J$9,'PT-All'!$A$1,"Scenario",J$12,"P&amp;L Item",$B140),0),IFERROR(GETPIVOTDATA("Sum of "&amp;J$9,'PT-All'!$A$1,"Scenario",J$12,"P&amp;L Item",$B140)/J$201,0),TEXT(IFERROR(GETPIVOTDATA("Sum of "&amp;J$9,'PT-All'!$A$1,"Scenario",J$12,"P&amp;L Item",$B140)/J$29,0),"0.00%"))</f>
        <v>0</v>
      </c>
      <c r="K140" s="66">
        <f>CHOOSE(PLColumn,IFERROR(GETPIVOTDATA("Sum of "&amp;K$9,'PT-All'!$A$1,"Scenario",K$12,"P&amp;L Item",$B140),0),IFERROR(GETPIVOTDATA("Sum of "&amp;K$9,'PT-All'!$A$1,"Scenario",K$12,"P&amp;L Item",$B140)/K$201,0),TEXT(IFERROR(GETPIVOTDATA("Sum of "&amp;K$9,'PT-All'!$A$1,"Scenario",K$12,"P&amp;L Item",$B140)/K$29,0),"0.00%"))</f>
        <v>0</v>
      </c>
      <c r="L140" s="66">
        <f>CHOOSE(PLColumn,IFERROR(GETPIVOTDATA("Sum of "&amp;L$9,'PT-All'!$A$1,"Scenario",L$12,"P&amp;L Item",$B140),0),IFERROR(GETPIVOTDATA("Sum of "&amp;L$9,'PT-All'!$A$1,"Scenario",L$12,"P&amp;L Item",$B140)/L$201,0),TEXT(IFERROR(GETPIVOTDATA("Sum of "&amp;L$9,'PT-All'!$A$1,"Scenario",L$12,"P&amp;L Item",$B140)/L$29,0),"0.00%"))</f>
        <v>0</v>
      </c>
      <c r="M140" s="66">
        <f>CHOOSE(PLColumn,IFERROR(GETPIVOTDATA("Sum of "&amp;M$9,'PT-All'!$A$1,"Scenario",M$12,"P&amp;L Item",$B140),0),IFERROR(GETPIVOTDATA("Sum of "&amp;M$9,'PT-All'!$A$1,"Scenario",M$12,"P&amp;L Item",$B140)/M$201,0),TEXT(IFERROR(GETPIVOTDATA("Sum of "&amp;M$9,'PT-All'!$A$1,"Scenario",M$12,"P&amp;L Item",$B140)/M$29,0),"0.00%"))</f>
        <v>0</v>
      </c>
      <c r="N140" s="66">
        <f>CHOOSE(PLColumn,IFERROR(GETPIVOTDATA("Sum of "&amp;N$9,'PT-All'!$A$1,"Scenario",N$12,"P&amp;L Item",$B140),0),IFERROR(GETPIVOTDATA("Sum of "&amp;N$9,'PT-All'!$A$1,"Scenario",N$12,"P&amp;L Item",$B140)/N$201,0),TEXT(IFERROR(GETPIVOTDATA("Sum of "&amp;N$9,'PT-All'!$A$1,"Scenario",N$12,"P&amp;L Item",$B140)/N$29,0),"0.00%"))</f>
        <v>0</v>
      </c>
      <c r="O140" s="66">
        <f>CHOOSE(PLColumn,IFERROR(GETPIVOTDATA("Sum of "&amp;O$9,'PT-All'!$A$1,"Scenario",O$12,"P&amp;L Item",$B140),0),IFERROR(GETPIVOTDATA("Sum of "&amp;O$9,'PT-All'!$A$1,"Scenario",O$12,"P&amp;L Item",$B140)/O$201,0),TEXT(IFERROR(GETPIVOTDATA("Sum of "&amp;O$9,'PT-All'!$A$1,"Scenario",O$12,"P&amp;L Item",$B140)/O$29,0),"0.00%"))</f>
        <v>0</v>
      </c>
      <c r="P140" s="66">
        <f>CHOOSE(PLColumn,IFERROR(GETPIVOTDATA("Sum of "&amp;P$9,'PT-All'!$A$1,"Scenario",P$12,"P&amp;L Item",$B140),0),IFERROR(GETPIVOTDATA("Sum of "&amp;P$9,'PT-All'!$A$1,"Scenario",P$12,"P&amp;L Item",$B140)/P$201,0),TEXT(IFERROR(GETPIVOTDATA("Sum of "&amp;P$9,'PT-All'!$A$1,"Scenario",P$12,"P&amp;L Item",$B140)/P$29,0),"0.00%"))</f>
        <v>0</v>
      </c>
      <c r="Q140" s="66">
        <f>CHOOSE(PLColumn,IFERROR(GETPIVOTDATA("Sum of "&amp;Q$9,'PT-All'!$A$1,"Scenario",Q$12,"P&amp;L Item",$B140),0),IFERROR(GETPIVOTDATA("Sum of "&amp;Q$9,'PT-All'!$A$1,"Scenario",Q$12,"P&amp;L Item",$B140)/Q$201,0),TEXT(IFERROR(GETPIVOTDATA("Sum of "&amp;Q$9,'PT-All'!$A$1,"Scenario",Q$12,"P&amp;L Item",$B140)/Q$29,0),"0.00%"))</f>
        <v>0</v>
      </c>
      <c r="R140" s="66">
        <f>CHOOSE(PLColumn,IFERROR(GETPIVOTDATA("Sum of "&amp;R$9,'PT-All'!$A$1,"Scenario",R$12,"P&amp;L Item",$B140),0),IFERROR(GETPIVOTDATA("Sum of "&amp;R$9,'PT-All'!$A$1,"Scenario",R$12,"P&amp;L Item",$B140)/R$201,0),TEXT(IFERROR(GETPIVOTDATA("Sum of "&amp;R$9,'PT-All'!$A$1,"Scenario",R$12,"P&amp;L Item",$B140)/R$29,0),"0.00%"))</f>
        <v>0</v>
      </c>
      <c r="S140" s="66">
        <f>CHOOSE(PLColumn,IFERROR(GETPIVOTDATA("Sum of "&amp;S$9,'PT-All'!$A$1,"Scenario",S$12,"P&amp;L Item",$B140),0),IFERROR(GETPIVOTDATA("Sum of "&amp;S$9,'PT-All'!$A$1,"Scenario",S$12,"P&amp;L Item",$B140)/S$201,0),TEXT(IFERROR(GETPIVOTDATA("Sum of "&amp;S$9,'PT-All'!$A$1,"Scenario",S$12,"P&amp;L Item",$B140)/S$29,0),"0.00%"))</f>
        <v>0</v>
      </c>
      <c r="T140" s="66">
        <f>CHOOSE(PLColumn,IFERROR(GETPIVOTDATA("Sum of "&amp;T$9,'PT-All'!$A$1,"Scenario",T$12,"P&amp;L Item",$B140),0),IFERROR(GETPIVOTDATA("Sum of "&amp;T$9,'PT-All'!$A$1,"Scenario",T$12,"P&amp;L Item",$B140)/T$201,0),TEXT(IFERROR(GETPIVOTDATA("Sum of "&amp;T$9,'PT-All'!$A$1,"Scenario",T$12,"P&amp;L Item",$B140)/T$29,0),"0.00%"))</f>
        <v>0</v>
      </c>
      <c r="U140" s="66">
        <f>CHOOSE(PLColumn,IFERROR(GETPIVOTDATA("Sum of "&amp;U$9,'PT-All'!$A$1,"Scenario",U$12,"P&amp;L Item",$B140),0),IFERROR(GETPIVOTDATA("Sum of "&amp;U$9,'PT-All'!$A$1,"Scenario",U$12,"P&amp;L Item",$B140)/U$201,0),TEXT(IFERROR(GETPIVOTDATA("Sum of "&amp;U$9,'PT-All'!$A$1,"Scenario",U$12,"P&amp;L Item",$B140)/U$29,0),"0.00%"))</f>
        <v>0</v>
      </c>
      <c r="V140" s="66">
        <f>CHOOSE(PLColumn,IFERROR(GETPIVOTDATA("Sum of "&amp;V$9,'PT-All'!$A$1,"Scenario",V$12,"P&amp;L Item",$B140),0),IFERROR(GETPIVOTDATA("Sum of "&amp;V$9,'PT-All'!$A$1,"Scenario",V$12,"P&amp;L Item",$B140)/V$201,0),TEXT(IFERROR(GETPIVOTDATA("Sum of "&amp;V$9,'PT-All'!$A$1,"Scenario",V$12,"P&amp;L Item",$B140)/V$29,0),"0.00%"))</f>
        <v>0</v>
      </c>
      <c r="W140" s="66">
        <f>CHOOSE(PLColumn,IFERROR(GETPIVOTDATA("Sum of "&amp;W$9,'PT-All'!$A$1,"Scenario",W$12,"P&amp;L Item",$B140),0),IFERROR(GETPIVOTDATA("Sum of "&amp;W$9,'PT-All'!$A$1,"Scenario",W$12,"P&amp;L Item",$B140)/W$201,0),TEXT(IFERROR(GETPIVOTDATA("Sum of "&amp;W$9,'PT-All'!$A$1,"Scenario",W$12,"P&amp;L Item",$B140)/W$29,0),"0.00%"))</f>
        <v>0</v>
      </c>
      <c r="X140" s="66">
        <f>CHOOSE(PLColumn,IFERROR(GETPIVOTDATA("Sum of "&amp;X$9,'PT-All'!$A$1,"Scenario",X$12,"P&amp;L Item",$B140),0),IFERROR(GETPIVOTDATA("Sum of "&amp;X$9,'PT-All'!$A$1,"Scenario",X$12,"P&amp;L Item",$B140)/X$201,0),TEXT(IFERROR(GETPIVOTDATA("Sum of "&amp;X$9,'PT-All'!$A$1,"Scenario",X$12,"P&amp;L Item",$B140)/X$29,0),"0.00%"))</f>
        <v>0</v>
      </c>
      <c r="Y140" s="66">
        <f>CHOOSE(PLColumn,IFERROR(GETPIVOTDATA("Sum of "&amp;Y$9,'PT-All'!$A$1,"Scenario",Y$12,"P&amp;L Item",$B140),0),IFERROR(GETPIVOTDATA("Sum of "&amp;Y$9,'PT-All'!$A$1,"Scenario",Y$12,"P&amp;L Item",$B140)/Y$201,0),TEXT(IFERROR(GETPIVOTDATA("Sum of "&amp;Y$9,'PT-All'!$A$1,"Scenario",Y$12,"P&amp;L Item",$B140)/Y$29,0),"0.00%"))</f>
        <v>0</v>
      </c>
      <c r="Z140" s="66">
        <f>CHOOSE(PLColumn,IFERROR(GETPIVOTDATA("Sum of "&amp;Z$9,'PT-All'!$A$1,"Scenario",Z$12,"P&amp;L Item",$B140),0),IFERROR(GETPIVOTDATA("Sum of "&amp;Z$9,'PT-All'!$A$1,"Scenario",Z$12,"P&amp;L Item",$B140)/Z$201,0),TEXT(IFERROR(GETPIVOTDATA("Sum of "&amp;Z$9,'PT-All'!$A$1,"Scenario",Z$12,"P&amp;L Item",$B140)/Z$29,0),"0.00%"))</f>
        <v>0</v>
      </c>
      <c r="AA140" s="66">
        <f>CHOOSE(PLColumn,IFERROR(GETPIVOTDATA("Sum of "&amp;AA$9,'PT-All'!$A$1,"Scenario",AA$12,"P&amp;L Item",$B140),0),IFERROR(GETPIVOTDATA("Sum of "&amp;AA$9,'PT-All'!$A$1,"Scenario",AA$12,"P&amp;L Item",$B140)/AA$201,0),TEXT(IFERROR(GETPIVOTDATA("Sum of "&amp;AA$9,'PT-All'!$A$1,"Scenario",AA$12,"P&amp;L Item",$B140)/AA$29,0),"0.00%"))</f>
        <v>0</v>
      </c>
      <c r="AB140" s="66">
        <f>CHOOSE(PLColumn,IFERROR(GETPIVOTDATA("Sum of "&amp;AB$9,'PT-All'!$A$1,"Scenario",AB$12,"P&amp;L Item",$B140),0),IFERROR(GETPIVOTDATA("Sum of "&amp;AB$9,'PT-All'!$A$1,"Scenario",AB$12,"P&amp;L Item",$B140)/AB$201,0),TEXT(IFERROR(GETPIVOTDATA("Sum of "&amp;AB$9,'PT-All'!$A$1,"Scenario",AB$12,"P&amp;L Item",$B140)/AB$29,0),"0.00%"))</f>
        <v>0</v>
      </c>
      <c r="AC140" s="66">
        <f>CHOOSE(PLColumn,IFERROR(GETPIVOTDATA("Sum of "&amp;AC$9,'PT-All'!$A$1,"Scenario",AC$12,"P&amp;L Item",$B140),0),IFERROR(GETPIVOTDATA("Sum of "&amp;AC$9,'PT-All'!$A$1,"Scenario",AC$12,"P&amp;L Item",$B140)/AC$201,0),TEXT(IFERROR(GETPIVOTDATA("Sum of "&amp;AC$9,'PT-All'!$A$1,"Scenario",AC$12,"P&amp;L Item",$B140)/AC$29,0),"0.00%"))</f>
        <v>0</v>
      </c>
      <c r="AD140" s="66">
        <f>CHOOSE(PLColumn,IFERROR(GETPIVOTDATA("Sum of "&amp;AD$9,'PT-All'!$A$1,"Scenario",AD$12,"P&amp;L Item",$B140),0),IFERROR(GETPIVOTDATA("Sum of "&amp;AD$9,'PT-All'!$A$1,"Scenario",AD$12,"P&amp;L Item",$B140)/AD$201,0),TEXT(IFERROR(GETPIVOTDATA("Sum of "&amp;AD$9,'PT-All'!$A$1,"Scenario",AD$12,"P&amp;L Item",$B140)/AD$29,0),"0.00%"))</f>
        <v>0</v>
      </c>
      <c r="AE140" s="66">
        <f>CHOOSE(PLColumn,IFERROR(GETPIVOTDATA("Sum of "&amp;AE$9,'PT-All'!$A$1,"Scenario",AE$12,"P&amp;L Item",$B140),0),IFERROR(GETPIVOTDATA("Sum of "&amp;AE$9,'PT-All'!$A$1,"Scenario",AE$12,"P&amp;L Item",$B140)/AE$201,0),TEXT(IFERROR(GETPIVOTDATA("Sum of "&amp;AE$9,'PT-All'!$A$1,"Scenario",AE$12,"P&amp;L Item",$B140)/AE$29,0),"0.00%"))</f>
        <v>0</v>
      </c>
      <c r="AF140" s="66">
        <f>CHOOSE(PLColumn,IFERROR(GETPIVOTDATA("Sum of "&amp;AF$9,'PT-All'!$A$1,"Scenario",AF$12,"P&amp;L Item",$B140),0),IFERROR(GETPIVOTDATA("Sum of "&amp;AF$9,'PT-All'!$A$1,"Scenario",AF$12,"P&amp;L Item",$B140)/AF$201,0),TEXT(IFERROR(GETPIVOTDATA("Sum of "&amp;AF$9,'PT-All'!$A$1,"Scenario",AF$12,"P&amp;L Item",$B140)/AF$29,0),"0.00%"))</f>
        <v>0</v>
      </c>
      <c r="AG140" s="66">
        <f>CHOOSE(PLColumn,IFERROR(GETPIVOTDATA("Sum of "&amp;AG$9,'PT-All'!$A$1,"Scenario",AG$12,"P&amp;L Item",$B140),0),IFERROR(GETPIVOTDATA("Sum of "&amp;AG$9,'PT-All'!$A$1,"Scenario",AG$12,"P&amp;L Item",$B140)/AG$201,0),TEXT(IFERROR(GETPIVOTDATA("Sum of "&amp;AG$9,'PT-All'!$A$1,"Scenario",AG$12,"P&amp;L Item",$B140)/AG$29,0),"0.00%"))</f>
        <v>0</v>
      </c>
      <c r="AH140" s="66">
        <f>CHOOSE(PLColumn,IFERROR(GETPIVOTDATA("Sum of "&amp;AH$9,'PT-All'!$A$1,"Scenario",AH$12,"P&amp;L Item",$B140),0),IFERROR(GETPIVOTDATA("Sum of "&amp;AH$9,'PT-All'!$A$1,"Scenario",AH$12,"P&amp;L Item",$B140)/AH$201,0),TEXT(IFERROR(GETPIVOTDATA("Sum of "&amp;AH$9,'PT-All'!$A$1,"Scenario",AH$12,"P&amp;L Item",$B140)/AH$29,0),"0.00%"))</f>
        <v>0</v>
      </c>
      <c r="AI140" s="66">
        <f>CHOOSE(PLColumn,IFERROR(GETPIVOTDATA("Sum of "&amp;AI$9,'PT-All'!$A$1,"Scenario",AI$12,"P&amp;L Item",$B140),0),IFERROR(GETPIVOTDATA("Sum of "&amp;AI$9,'PT-All'!$A$1,"Scenario",AI$12,"P&amp;L Item",$B140)/AI$201,0),TEXT(IFERROR(GETPIVOTDATA("Sum of "&amp;AI$9,'PT-All'!$A$1,"Scenario",AI$12,"P&amp;L Item",$B140)/AI$29,0),"0.00%"))</f>
        <v>0</v>
      </c>
      <c r="AJ140" s="66">
        <f>CHOOSE(PLColumn,IFERROR(GETPIVOTDATA("Sum of "&amp;AJ$9,'PT-All'!$A$1,"Scenario",AJ$12,"P&amp;L Item",$B140),0),IFERROR(GETPIVOTDATA("Sum of "&amp;AJ$9,'PT-All'!$A$1,"Scenario",AJ$12,"P&amp;L Item",$B140)/AJ$201,0),TEXT(IFERROR(GETPIVOTDATA("Sum of "&amp;AJ$9,'PT-All'!$A$1,"Scenario",AJ$12,"P&amp;L Item",$B140)/AJ$29,0),"0.00%"))</f>
        <v>0</v>
      </c>
      <c r="AK140" s="66">
        <f>CHOOSE(PLColumn,IFERROR(GETPIVOTDATA("Sum of "&amp;AK$9,'PT-All'!$A$1,"Scenario",AK$12,"P&amp;L Item",$B140),0),IFERROR(GETPIVOTDATA("Sum of "&amp;AK$9,'PT-All'!$A$1,"Scenario",AK$12,"P&amp;L Item",$B140)/AK$201,0),TEXT(IFERROR(GETPIVOTDATA("Sum of "&amp;AK$9,'PT-All'!$A$1,"Scenario",AK$12,"P&amp;L Item",$B140)/AK$29,0),"0.00%"))</f>
        <v>0</v>
      </c>
      <c r="AL140" s="98">
        <f>CHOOSE(PLColumn,IFERROR(GETPIVOTDATA("Sum of "&amp;AL$9,'PT-All'!$A$1,"Scenario",AL$12,"P&amp;L Item",$B140),0),IFERROR(GETPIVOTDATA("Sum of "&amp;AL$9,'PT-All'!$A$1,"Scenario",AL$12,"P&amp;L Item",$B140)/AL$201,0),TEXT(IFERROR(GETPIVOTDATA("Sum of "&amp;AL$9,'PT-All'!$A$1,"Scenario",AL$12,"P&amp;L Item",$B140)/AL$29,0),"0.00%"))</f>
        <v>0</v>
      </c>
      <c r="AM140" s="590"/>
      <c r="AN140" s="109">
        <f ca="1">IF(AN$12="Pro Forma",SUM(OFFSET($B140,0,3*AN$9+1,1,3)),IFERROR(GETPIVOTDATA("Sum of Q"&amp;AN$9+1,'PT-All'!$A$1,"Scenario",AN$12,"P&amp;L Item",$B140),0))</f>
        <v>0</v>
      </c>
      <c r="AO140" s="66">
        <f ca="1">IF(AO$12="Pro Forma",SUM(OFFSET($B140,0,3*AO$9+1,1,3)),IFERROR(GETPIVOTDATA("Sum of Q"&amp;AO$9+1,'PT-All'!$A$1,"Scenario",AO$12,"P&amp;L Item",$B140),0))</f>
        <v>0</v>
      </c>
      <c r="AP140" s="66">
        <f ca="1">IF(AP$12="Pro Forma",SUM(OFFSET($B140,0,3*AP$9+1,1,3)),IFERROR(GETPIVOTDATA("Sum of Q"&amp;AP$9+1,'PT-All'!$A$1,"Scenario",AP$12,"P&amp;L Item",$B140),0))</f>
        <v>0</v>
      </c>
      <c r="AQ140" s="66">
        <f ca="1">IF(AQ$12="Pro Forma",SUM(OFFSET($B140,0,3*AQ$9+1,1,3)),IFERROR(GETPIVOTDATA("Sum of Q"&amp;AQ$9+1,'PT-All'!$A$1,"Scenario",AQ$12,"P&amp;L Item",$B140),0))</f>
        <v>0</v>
      </c>
      <c r="AR140" s="66">
        <f ca="1">IF(AR$12="Pro Forma",SUM(OFFSET($B140,0,3*AR$9+1,1,3)),IFERROR(GETPIVOTDATA("Sum of Q"&amp;AR$9+1,'PT-All'!$A$1,"Scenario",AR$12,"P&amp;L Item",$B140),0))</f>
        <v>0</v>
      </c>
      <c r="AS140" s="66">
        <f ca="1">IF(AS$12="Pro Forma",SUM(OFFSET($B140,0,3*AS$9+1,1,3)),IFERROR(GETPIVOTDATA("Sum of Q"&amp;AS$9+1,'PT-All'!$A$1,"Scenario",AS$12,"P&amp;L Item",$B140),0))</f>
        <v>0</v>
      </c>
      <c r="AT140" s="66">
        <f ca="1">IF(AT$12="Pro Forma",SUM(OFFSET($B140,0,3*AT$9+1,1,3)),IFERROR(GETPIVOTDATA("Sum of Q"&amp;AT$9+1,'PT-All'!$A$1,"Scenario",AT$12,"P&amp;L Item",$B140),0))</f>
        <v>0</v>
      </c>
      <c r="AU140" s="66">
        <f ca="1">IF(AU$12="Pro Forma",SUM(OFFSET($B140,0,3*AU$9+1,1,3)),IFERROR(GETPIVOTDATA("Sum of Q"&amp;AU$9+1,'PT-All'!$A$1,"Scenario",AU$12,"P&amp;L Item",$B140),0))</f>
        <v>0</v>
      </c>
      <c r="AV140" s="66">
        <f ca="1">IF(AV$12="Pro Forma",SUM(OFFSET($B140,0,3*AV$9+1,1,3)),IFERROR(GETPIVOTDATA("Sum of Q"&amp;AV$9+1,'PT-All'!$A$1,"Scenario",AV$12,"P&amp;L Item",$B140),0))</f>
        <v>0</v>
      </c>
      <c r="AW140" s="66">
        <f ca="1">IF(AW$12="Pro Forma",SUM(OFFSET($B140,0,3*AW$9+1,1,3)),IFERROR(GETPIVOTDATA("Sum of Q"&amp;AW$9+1,'PT-All'!$A$1,"Scenario",AW$12,"P&amp;L Item",$B140),0))</f>
        <v>0</v>
      </c>
      <c r="AX140" s="66">
        <f ca="1">IF(AX$12="Pro Forma",SUM(OFFSET($B140,0,3*AX$9+1,1,3)),IFERROR(GETPIVOTDATA("Sum of Q"&amp;AX$9+1,'PT-All'!$A$1,"Scenario",AX$12,"P&amp;L Item",$B140),0))</f>
        <v>0</v>
      </c>
      <c r="AY140" s="98">
        <f ca="1">IF(AY$12="Pro Forma",SUM(OFFSET($B140,0,3*AY$9+1,1,3)),IFERROR(GETPIVOTDATA("Sum of Q"&amp;AY$9+1,'PT-All'!$A$1,"Scenario",AY$12,"P&amp;L Item",$B140),0))</f>
        <v>0</v>
      </c>
      <c r="AZ140" s="590"/>
      <c r="BA140" s="109">
        <f ca="1">IF(BA$12="Pro Forma",SUM(OFFSET($B140,0,12*BA$9+1,1,12)),IFERROR(GETPIVOTDATA("Sum of FY"&amp;BA$9+1,'PT-All'!$A$1,"Scenario",BA$12,"P&amp;L Item",$B140),0))</f>
        <v>0</v>
      </c>
      <c r="BB140" s="66">
        <f ca="1">IF(BB$12="Pro Forma",SUM(OFFSET($B140,0,12*BB$9+1,1,12)),IFERROR(GETPIVOTDATA("Sum of FY"&amp;BB$9+1,'PT-All'!$A$1,"Scenario",BB$12,"P&amp;L Item",$B140),0))</f>
        <v>0</v>
      </c>
      <c r="BC140" s="98">
        <f ca="1">IF(BC$12="Pro Forma",SUM(OFFSET($B140,0,12*BC$9+1,1,12)),IFERROR(GETPIVOTDATA("Sum of FY"&amp;BC$9+1,'PT-All'!$A$1,"Scenario",BC$12,"P&amp;L Item",$B140),0))</f>
        <v>0</v>
      </c>
    </row>
    <row r="141" spans="2:55" x14ac:dyDescent="0.35">
      <c r="B141" s="84" t="s">
        <v>171</v>
      </c>
      <c r="C141" s="623">
        <f t="shared" ref="C141:Y141" si="299">SUM(C130:C132,C110:C111)</f>
        <v>0</v>
      </c>
      <c r="D141" s="623">
        <f t="shared" si="299"/>
        <v>0</v>
      </c>
      <c r="E141" s="623">
        <f t="shared" si="299"/>
        <v>0</v>
      </c>
      <c r="F141" s="623">
        <f t="shared" si="299"/>
        <v>0</v>
      </c>
      <c r="G141" s="623">
        <f t="shared" si="299"/>
        <v>0</v>
      </c>
      <c r="H141" s="623">
        <f t="shared" si="299"/>
        <v>0</v>
      </c>
      <c r="I141" s="623">
        <f t="shared" si="299"/>
        <v>0</v>
      </c>
      <c r="J141" s="623">
        <f t="shared" si="299"/>
        <v>0</v>
      </c>
      <c r="K141" s="623">
        <f t="shared" si="299"/>
        <v>0</v>
      </c>
      <c r="L141" s="623">
        <f t="shared" si="299"/>
        <v>0</v>
      </c>
      <c r="M141" s="623">
        <f t="shared" si="299"/>
        <v>0</v>
      </c>
      <c r="N141" s="623">
        <f t="shared" si="299"/>
        <v>0</v>
      </c>
      <c r="O141" s="623">
        <f t="shared" si="299"/>
        <v>0</v>
      </c>
      <c r="P141" s="623">
        <f t="shared" si="299"/>
        <v>0</v>
      </c>
      <c r="Q141" s="623">
        <f t="shared" si="299"/>
        <v>0</v>
      </c>
      <c r="R141" s="623">
        <f t="shared" si="299"/>
        <v>0</v>
      </c>
      <c r="S141" s="623">
        <f t="shared" si="299"/>
        <v>0</v>
      </c>
      <c r="T141" s="623">
        <f t="shared" si="299"/>
        <v>0</v>
      </c>
      <c r="U141" s="623">
        <f t="shared" si="299"/>
        <v>0</v>
      </c>
      <c r="V141" s="623">
        <f t="shared" si="299"/>
        <v>0</v>
      </c>
      <c r="W141" s="623">
        <f t="shared" si="299"/>
        <v>0</v>
      </c>
      <c r="X141" s="623">
        <f t="shared" si="299"/>
        <v>0</v>
      </c>
      <c r="Y141" s="623">
        <f t="shared" si="299"/>
        <v>0</v>
      </c>
      <c r="Z141" s="623">
        <f t="shared" ref="Z141:AL141" si="300">SUM(Z130:Z132,Z110:Z111)</f>
        <v>0</v>
      </c>
      <c r="AA141" s="623">
        <f t="shared" si="300"/>
        <v>0</v>
      </c>
      <c r="AB141" s="623">
        <f t="shared" si="300"/>
        <v>0</v>
      </c>
      <c r="AC141" s="623">
        <f t="shared" si="300"/>
        <v>0</v>
      </c>
      <c r="AD141" s="623">
        <f t="shared" si="300"/>
        <v>0</v>
      </c>
      <c r="AE141" s="623">
        <f t="shared" si="300"/>
        <v>0</v>
      </c>
      <c r="AF141" s="623">
        <f t="shared" si="300"/>
        <v>0</v>
      </c>
      <c r="AG141" s="623">
        <f t="shared" si="300"/>
        <v>0</v>
      </c>
      <c r="AH141" s="623">
        <f t="shared" si="300"/>
        <v>0</v>
      </c>
      <c r="AI141" s="623">
        <f t="shared" si="300"/>
        <v>0</v>
      </c>
      <c r="AJ141" s="623">
        <f t="shared" si="300"/>
        <v>0</v>
      </c>
      <c r="AK141" s="623">
        <f t="shared" si="300"/>
        <v>0</v>
      </c>
      <c r="AL141" s="624">
        <f t="shared" si="300"/>
        <v>0</v>
      </c>
      <c r="AM141" s="590"/>
      <c r="AN141" s="625">
        <f t="shared" ref="AN141:AT141" ca="1" si="301">SUM(AN130:AN132,AN110:AN111)</f>
        <v>0</v>
      </c>
      <c r="AO141" s="623">
        <f t="shared" ca="1" si="301"/>
        <v>0</v>
      </c>
      <c r="AP141" s="623">
        <f t="shared" ca="1" si="301"/>
        <v>0</v>
      </c>
      <c r="AQ141" s="623">
        <f t="shared" ca="1" si="301"/>
        <v>0</v>
      </c>
      <c r="AR141" s="623">
        <f t="shared" ca="1" si="301"/>
        <v>0</v>
      </c>
      <c r="AS141" s="623">
        <f t="shared" ca="1" si="301"/>
        <v>0</v>
      </c>
      <c r="AT141" s="623">
        <f t="shared" ca="1" si="301"/>
        <v>0</v>
      </c>
      <c r="AU141" s="623">
        <f t="shared" ref="AU141:AY141" ca="1" si="302">SUM(AU130:AU132,AU110:AU111)</f>
        <v>0</v>
      </c>
      <c r="AV141" s="623">
        <f t="shared" ca="1" si="302"/>
        <v>0</v>
      </c>
      <c r="AW141" s="623">
        <f t="shared" ca="1" si="302"/>
        <v>0</v>
      </c>
      <c r="AX141" s="623">
        <f t="shared" ca="1" si="302"/>
        <v>0</v>
      </c>
      <c r="AY141" s="624">
        <f t="shared" ca="1" si="302"/>
        <v>0</v>
      </c>
      <c r="AZ141" s="590"/>
      <c r="BA141" s="625">
        <f t="shared" ref="BA141" ca="1" si="303">SUM(BA130:BA132,BA110:BA111)</f>
        <v>0</v>
      </c>
      <c r="BB141" s="623">
        <f t="shared" ref="BB141:BC141" ca="1" si="304">SUM(BB130:BB132,BB110:BB111)</f>
        <v>0</v>
      </c>
      <c r="BC141" s="624">
        <f t="shared" ca="1" si="304"/>
        <v>0</v>
      </c>
    </row>
    <row r="142" spans="2:55" x14ac:dyDescent="0.35">
      <c r="B142" s="601"/>
      <c r="C142" s="595"/>
      <c r="D142" s="595"/>
      <c r="E142" s="595"/>
      <c r="F142" s="595"/>
      <c r="G142" s="595"/>
      <c r="H142" s="595"/>
      <c r="I142" s="595"/>
      <c r="J142" s="595"/>
      <c r="K142" s="595"/>
      <c r="L142" s="595"/>
      <c r="M142" s="595"/>
      <c r="N142" s="595"/>
      <c r="O142" s="595"/>
      <c r="P142" s="595"/>
      <c r="Q142" s="595"/>
      <c r="R142" s="595"/>
      <c r="S142" s="595"/>
      <c r="T142" s="595"/>
      <c r="U142" s="595"/>
      <c r="V142" s="595"/>
      <c r="W142" s="595"/>
      <c r="X142" s="595"/>
      <c r="Y142" s="595"/>
      <c r="Z142" s="595"/>
      <c r="AA142" s="595"/>
      <c r="AB142" s="595"/>
      <c r="AC142" s="595"/>
      <c r="AD142" s="595"/>
      <c r="AE142" s="595"/>
      <c r="AF142" s="595"/>
      <c r="AG142" s="595"/>
      <c r="AH142" s="595"/>
      <c r="AI142" s="595"/>
      <c r="AJ142" s="595"/>
      <c r="AK142" s="595"/>
      <c r="AL142" s="596"/>
      <c r="AM142" s="590"/>
      <c r="AN142" s="597"/>
      <c r="AO142" s="595"/>
      <c r="AP142" s="595"/>
      <c r="AQ142" s="595"/>
      <c r="AR142" s="595"/>
      <c r="AS142" s="595"/>
      <c r="AT142" s="595"/>
      <c r="AU142" s="595"/>
      <c r="AV142" s="595"/>
      <c r="AW142" s="595"/>
      <c r="AX142" s="595"/>
      <c r="AY142" s="596"/>
      <c r="AZ142" s="590"/>
      <c r="BA142" s="597"/>
      <c r="BB142" s="595"/>
      <c r="BC142" s="596"/>
    </row>
    <row r="143" spans="2:55" x14ac:dyDescent="0.35">
      <c r="B143" s="67" t="s">
        <v>172</v>
      </c>
      <c r="C143" s="588"/>
      <c r="D143" s="588"/>
      <c r="E143" s="588"/>
      <c r="F143" s="588"/>
      <c r="G143" s="588"/>
      <c r="H143" s="588"/>
      <c r="I143" s="588"/>
      <c r="J143" s="588"/>
      <c r="K143" s="588"/>
      <c r="L143" s="588"/>
      <c r="M143" s="588"/>
      <c r="N143" s="588"/>
      <c r="O143" s="588"/>
      <c r="P143" s="588"/>
      <c r="Q143" s="588"/>
      <c r="R143" s="588"/>
      <c r="S143" s="588"/>
      <c r="T143" s="588"/>
      <c r="U143" s="588"/>
      <c r="V143" s="588"/>
      <c r="W143" s="588"/>
      <c r="X143" s="588"/>
      <c r="Y143" s="588"/>
      <c r="Z143" s="588"/>
      <c r="AA143" s="588"/>
      <c r="AB143" s="588"/>
      <c r="AC143" s="588"/>
      <c r="AD143" s="588"/>
      <c r="AE143" s="588"/>
      <c r="AF143" s="588"/>
      <c r="AG143" s="588"/>
      <c r="AH143" s="588"/>
      <c r="AI143" s="588"/>
      <c r="AJ143" s="588"/>
      <c r="AK143" s="588"/>
      <c r="AL143" s="589"/>
      <c r="AM143" s="590"/>
      <c r="AN143" s="591"/>
      <c r="AO143" s="588"/>
      <c r="AP143" s="588"/>
      <c r="AQ143" s="588"/>
      <c r="AR143" s="588"/>
      <c r="AS143" s="588"/>
      <c r="AT143" s="588"/>
      <c r="AU143" s="588"/>
      <c r="AV143" s="588"/>
      <c r="AW143" s="588"/>
      <c r="AX143" s="588"/>
      <c r="AY143" s="589"/>
      <c r="AZ143" s="590"/>
      <c r="BA143" s="591"/>
      <c r="BB143" s="588"/>
      <c r="BC143" s="589"/>
    </row>
    <row r="144" spans="2:55" x14ac:dyDescent="0.35">
      <c r="B144" s="356" t="s">
        <v>17</v>
      </c>
      <c r="C144" s="588">
        <f>CHOOSE(PLColumn,IFERROR(GETPIVOTDATA("Sum of "&amp;C$9,'PT-All'!$A$1,"Scenario",C$12,"P&amp;L Item",$B144),0),IFERROR(GETPIVOTDATA("Sum of "&amp;C$9,'PT-All'!$A$1,"Scenario",C$12,"P&amp;L Item",$B144)/C$201,0),TEXT(IFERROR(GETPIVOTDATA("Sum of "&amp;C$9,'PT-All'!$A$1,"Scenario",C$12,"P&amp;L Item",$B144)/C$29,0),"0.00%"))</f>
        <v>0</v>
      </c>
      <c r="D144" s="588">
        <f>CHOOSE(PLColumn,IFERROR(GETPIVOTDATA("Sum of "&amp;D$9,'PT-All'!$A$1,"Scenario",D$12,"P&amp;L Item",$B144),0),IFERROR(GETPIVOTDATA("Sum of "&amp;D$9,'PT-All'!$A$1,"Scenario",D$12,"P&amp;L Item",$B144)/D$201,0),TEXT(IFERROR(GETPIVOTDATA("Sum of "&amp;D$9,'PT-All'!$A$1,"Scenario",D$12,"P&amp;L Item",$B144)/D$29,0),"0.00%"))</f>
        <v>0</v>
      </c>
      <c r="E144" s="588">
        <f>CHOOSE(PLColumn,IFERROR(GETPIVOTDATA("Sum of "&amp;E$9,'PT-All'!$A$1,"Scenario",E$12,"P&amp;L Item",$B144),0),IFERROR(GETPIVOTDATA("Sum of "&amp;E$9,'PT-All'!$A$1,"Scenario",E$12,"P&amp;L Item",$B144)/E$201,0),TEXT(IFERROR(GETPIVOTDATA("Sum of "&amp;E$9,'PT-All'!$A$1,"Scenario",E$12,"P&amp;L Item",$B144)/E$29,0),"0.00%"))</f>
        <v>0</v>
      </c>
      <c r="F144" s="588">
        <f>CHOOSE(PLColumn,IFERROR(GETPIVOTDATA("Sum of "&amp;F$9,'PT-All'!$A$1,"Scenario",F$12,"P&amp;L Item",$B144),0),IFERROR(GETPIVOTDATA("Sum of "&amp;F$9,'PT-All'!$A$1,"Scenario",F$12,"P&amp;L Item",$B144)/F$201,0),TEXT(IFERROR(GETPIVOTDATA("Sum of "&amp;F$9,'PT-All'!$A$1,"Scenario",F$12,"P&amp;L Item",$B144)/F$29,0),"0.00%"))</f>
        <v>0</v>
      </c>
      <c r="G144" s="588">
        <f>CHOOSE(PLColumn,IFERROR(GETPIVOTDATA("Sum of "&amp;G$9,'PT-All'!$A$1,"Scenario",G$12,"P&amp;L Item",$B144),0),IFERROR(GETPIVOTDATA("Sum of "&amp;G$9,'PT-All'!$A$1,"Scenario",G$12,"P&amp;L Item",$B144)/G$201,0),TEXT(IFERROR(GETPIVOTDATA("Sum of "&amp;G$9,'PT-All'!$A$1,"Scenario",G$12,"P&amp;L Item",$B144)/G$29,0),"0.00%"))</f>
        <v>0</v>
      </c>
      <c r="H144" s="588">
        <f>CHOOSE(PLColumn,IFERROR(GETPIVOTDATA("Sum of "&amp;H$9,'PT-All'!$A$1,"Scenario",H$12,"P&amp;L Item",$B144),0),IFERROR(GETPIVOTDATA("Sum of "&amp;H$9,'PT-All'!$A$1,"Scenario",H$12,"P&amp;L Item",$B144)/H$201,0),TEXT(IFERROR(GETPIVOTDATA("Sum of "&amp;H$9,'PT-All'!$A$1,"Scenario",H$12,"P&amp;L Item",$B144)/H$29,0),"0.00%"))</f>
        <v>0</v>
      </c>
      <c r="I144" s="588">
        <f>CHOOSE(PLColumn,IFERROR(GETPIVOTDATA("Sum of "&amp;I$9,'PT-All'!$A$1,"Scenario",I$12,"P&amp;L Item",$B144),0),IFERROR(GETPIVOTDATA("Sum of "&amp;I$9,'PT-All'!$A$1,"Scenario",I$12,"P&amp;L Item",$B144)/I$201,0),TEXT(IFERROR(GETPIVOTDATA("Sum of "&amp;I$9,'PT-All'!$A$1,"Scenario",I$12,"P&amp;L Item",$B144)/I$29,0),"0.00%"))</f>
        <v>0</v>
      </c>
      <c r="J144" s="588">
        <f>CHOOSE(PLColumn,IFERROR(GETPIVOTDATA("Sum of "&amp;J$9,'PT-All'!$A$1,"Scenario",J$12,"P&amp;L Item",$B144),0),IFERROR(GETPIVOTDATA("Sum of "&amp;J$9,'PT-All'!$A$1,"Scenario",J$12,"P&amp;L Item",$B144)/J$201,0),TEXT(IFERROR(GETPIVOTDATA("Sum of "&amp;J$9,'PT-All'!$A$1,"Scenario",J$12,"P&amp;L Item",$B144)/J$29,0),"0.00%"))</f>
        <v>0</v>
      </c>
      <c r="K144" s="588">
        <f>CHOOSE(PLColumn,IFERROR(GETPIVOTDATA("Sum of "&amp;K$9,'PT-All'!$A$1,"Scenario",K$12,"P&amp;L Item",$B144),0),IFERROR(GETPIVOTDATA("Sum of "&amp;K$9,'PT-All'!$A$1,"Scenario",K$12,"P&amp;L Item",$B144)/K$201,0),TEXT(IFERROR(GETPIVOTDATA("Sum of "&amp;K$9,'PT-All'!$A$1,"Scenario",K$12,"P&amp;L Item",$B144)/K$29,0),"0.00%"))</f>
        <v>0</v>
      </c>
      <c r="L144" s="588">
        <f>CHOOSE(PLColumn,IFERROR(GETPIVOTDATA("Sum of "&amp;L$9,'PT-All'!$A$1,"Scenario",L$12,"P&amp;L Item",$B144),0),IFERROR(GETPIVOTDATA("Sum of "&amp;L$9,'PT-All'!$A$1,"Scenario",L$12,"P&amp;L Item",$B144)/L$201,0),TEXT(IFERROR(GETPIVOTDATA("Sum of "&amp;L$9,'PT-All'!$A$1,"Scenario",L$12,"P&amp;L Item",$B144)/L$29,0),"0.00%"))</f>
        <v>0</v>
      </c>
      <c r="M144" s="588">
        <f>CHOOSE(PLColumn,IFERROR(GETPIVOTDATA("Sum of "&amp;M$9,'PT-All'!$A$1,"Scenario",M$12,"P&amp;L Item",$B144),0),IFERROR(GETPIVOTDATA("Sum of "&amp;M$9,'PT-All'!$A$1,"Scenario",M$12,"P&amp;L Item",$B144)/M$201,0),TEXT(IFERROR(GETPIVOTDATA("Sum of "&amp;M$9,'PT-All'!$A$1,"Scenario",M$12,"P&amp;L Item",$B144)/M$29,0),"0.00%"))</f>
        <v>0</v>
      </c>
      <c r="N144" s="588">
        <f>CHOOSE(PLColumn,IFERROR(GETPIVOTDATA("Sum of "&amp;N$9,'PT-All'!$A$1,"Scenario",N$12,"P&amp;L Item",$B144),0),IFERROR(GETPIVOTDATA("Sum of "&amp;N$9,'PT-All'!$A$1,"Scenario",N$12,"P&amp;L Item",$B144)/N$201,0),TEXT(IFERROR(GETPIVOTDATA("Sum of "&amp;N$9,'PT-All'!$A$1,"Scenario",N$12,"P&amp;L Item",$B144)/N$29,0),"0.00%"))</f>
        <v>0</v>
      </c>
      <c r="O144" s="588">
        <f>CHOOSE(PLColumn,IFERROR(GETPIVOTDATA("Sum of "&amp;O$9,'PT-All'!$A$1,"Scenario",O$12,"P&amp;L Item",$B144),0),IFERROR(GETPIVOTDATA("Sum of "&amp;O$9,'PT-All'!$A$1,"Scenario",O$12,"P&amp;L Item",$B144)/O$201,0),TEXT(IFERROR(GETPIVOTDATA("Sum of "&amp;O$9,'PT-All'!$A$1,"Scenario",O$12,"P&amp;L Item",$B144)/O$29,0),"0.00%"))</f>
        <v>0</v>
      </c>
      <c r="P144" s="588">
        <f>CHOOSE(PLColumn,IFERROR(GETPIVOTDATA("Sum of "&amp;P$9,'PT-All'!$A$1,"Scenario",P$12,"P&amp;L Item",$B144),0),IFERROR(GETPIVOTDATA("Sum of "&amp;P$9,'PT-All'!$A$1,"Scenario",P$12,"P&amp;L Item",$B144)/P$201,0),TEXT(IFERROR(GETPIVOTDATA("Sum of "&amp;P$9,'PT-All'!$A$1,"Scenario",P$12,"P&amp;L Item",$B144)/P$29,0),"0.00%"))</f>
        <v>0</v>
      </c>
      <c r="Q144" s="588">
        <f>CHOOSE(PLColumn,IFERROR(GETPIVOTDATA("Sum of "&amp;Q$9,'PT-All'!$A$1,"Scenario",Q$12,"P&amp;L Item",$B144),0),IFERROR(GETPIVOTDATA("Sum of "&amp;Q$9,'PT-All'!$A$1,"Scenario",Q$12,"P&amp;L Item",$B144)/Q$201,0),TEXT(IFERROR(GETPIVOTDATA("Sum of "&amp;Q$9,'PT-All'!$A$1,"Scenario",Q$12,"P&amp;L Item",$B144)/Q$29,0),"0.00%"))</f>
        <v>0</v>
      </c>
      <c r="R144" s="588">
        <f>CHOOSE(PLColumn,IFERROR(GETPIVOTDATA("Sum of "&amp;R$9,'PT-All'!$A$1,"Scenario",R$12,"P&amp;L Item",$B144),0),IFERROR(GETPIVOTDATA("Sum of "&amp;R$9,'PT-All'!$A$1,"Scenario",R$12,"P&amp;L Item",$B144)/R$201,0),TEXT(IFERROR(GETPIVOTDATA("Sum of "&amp;R$9,'PT-All'!$A$1,"Scenario",R$12,"P&amp;L Item",$B144)/R$29,0),"0.00%"))</f>
        <v>0</v>
      </c>
      <c r="S144" s="588">
        <f>CHOOSE(PLColumn,IFERROR(GETPIVOTDATA("Sum of "&amp;S$9,'PT-All'!$A$1,"Scenario",S$12,"P&amp;L Item",$B144),0),IFERROR(GETPIVOTDATA("Sum of "&amp;S$9,'PT-All'!$A$1,"Scenario",S$12,"P&amp;L Item",$B144)/S$201,0),TEXT(IFERROR(GETPIVOTDATA("Sum of "&amp;S$9,'PT-All'!$A$1,"Scenario",S$12,"P&amp;L Item",$B144)/S$29,0),"0.00%"))</f>
        <v>0</v>
      </c>
      <c r="T144" s="588">
        <f>CHOOSE(PLColumn,IFERROR(GETPIVOTDATA("Sum of "&amp;T$9,'PT-All'!$A$1,"Scenario",T$12,"P&amp;L Item",$B144),0),IFERROR(GETPIVOTDATA("Sum of "&amp;T$9,'PT-All'!$A$1,"Scenario",T$12,"P&amp;L Item",$B144)/T$201,0),TEXT(IFERROR(GETPIVOTDATA("Sum of "&amp;T$9,'PT-All'!$A$1,"Scenario",T$12,"P&amp;L Item",$B144)/T$29,0),"0.00%"))</f>
        <v>0</v>
      </c>
      <c r="U144" s="588">
        <f>CHOOSE(PLColumn,IFERROR(GETPIVOTDATA("Sum of "&amp;U$9,'PT-All'!$A$1,"Scenario",U$12,"P&amp;L Item",$B144),0),IFERROR(GETPIVOTDATA("Sum of "&amp;U$9,'PT-All'!$A$1,"Scenario",U$12,"P&amp;L Item",$B144)/U$201,0),TEXT(IFERROR(GETPIVOTDATA("Sum of "&amp;U$9,'PT-All'!$A$1,"Scenario",U$12,"P&amp;L Item",$B144)/U$29,0),"0.00%"))</f>
        <v>0</v>
      </c>
      <c r="V144" s="588">
        <f>CHOOSE(PLColumn,IFERROR(GETPIVOTDATA("Sum of "&amp;V$9,'PT-All'!$A$1,"Scenario",V$12,"P&amp;L Item",$B144),0),IFERROR(GETPIVOTDATA("Sum of "&amp;V$9,'PT-All'!$A$1,"Scenario",V$12,"P&amp;L Item",$B144)/V$201,0),TEXT(IFERROR(GETPIVOTDATA("Sum of "&amp;V$9,'PT-All'!$A$1,"Scenario",V$12,"P&amp;L Item",$B144)/V$29,0),"0.00%"))</f>
        <v>0</v>
      </c>
      <c r="W144" s="588">
        <f>CHOOSE(PLColumn,IFERROR(GETPIVOTDATA("Sum of "&amp;W$9,'PT-All'!$A$1,"Scenario",W$12,"P&amp;L Item",$B144),0),IFERROR(GETPIVOTDATA("Sum of "&amp;W$9,'PT-All'!$A$1,"Scenario",W$12,"P&amp;L Item",$B144)/W$201,0),TEXT(IFERROR(GETPIVOTDATA("Sum of "&amp;W$9,'PT-All'!$A$1,"Scenario",W$12,"P&amp;L Item",$B144)/W$29,0),"0.00%"))</f>
        <v>0</v>
      </c>
      <c r="X144" s="588">
        <f>CHOOSE(PLColumn,IFERROR(GETPIVOTDATA("Sum of "&amp;X$9,'PT-All'!$A$1,"Scenario",X$12,"P&amp;L Item",$B144),0),IFERROR(GETPIVOTDATA("Sum of "&amp;X$9,'PT-All'!$A$1,"Scenario",X$12,"P&amp;L Item",$B144)/X$201,0),TEXT(IFERROR(GETPIVOTDATA("Sum of "&amp;X$9,'PT-All'!$A$1,"Scenario",X$12,"P&amp;L Item",$B144)/X$29,0),"0.00%"))</f>
        <v>0</v>
      </c>
      <c r="Y144" s="588">
        <f>CHOOSE(PLColumn,IFERROR(GETPIVOTDATA("Sum of "&amp;Y$9,'PT-All'!$A$1,"Scenario",Y$12,"P&amp;L Item",$B144),0),IFERROR(GETPIVOTDATA("Sum of "&amp;Y$9,'PT-All'!$A$1,"Scenario",Y$12,"P&amp;L Item",$B144)/Y$201,0),TEXT(IFERROR(GETPIVOTDATA("Sum of "&amp;Y$9,'PT-All'!$A$1,"Scenario",Y$12,"P&amp;L Item",$B144)/Y$29,0),"0.00%"))</f>
        <v>0</v>
      </c>
      <c r="Z144" s="588">
        <f>CHOOSE(PLColumn,IFERROR(GETPIVOTDATA("Sum of "&amp;Z$9,'PT-All'!$A$1,"Scenario",Z$12,"P&amp;L Item",$B144),0),IFERROR(GETPIVOTDATA("Sum of "&amp;Z$9,'PT-All'!$A$1,"Scenario",Z$12,"P&amp;L Item",$B144)/Z$201,0),TEXT(IFERROR(GETPIVOTDATA("Sum of "&amp;Z$9,'PT-All'!$A$1,"Scenario",Z$12,"P&amp;L Item",$B144)/Z$29,0),"0.00%"))</f>
        <v>0</v>
      </c>
      <c r="AA144" s="588">
        <f>CHOOSE(PLColumn,IFERROR(GETPIVOTDATA("Sum of "&amp;AA$9,'PT-All'!$A$1,"Scenario",AA$12,"P&amp;L Item",$B144),0),IFERROR(GETPIVOTDATA("Sum of "&amp;AA$9,'PT-All'!$A$1,"Scenario",AA$12,"P&amp;L Item",$B144)/AA$201,0),TEXT(IFERROR(GETPIVOTDATA("Sum of "&amp;AA$9,'PT-All'!$A$1,"Scenario",AA$12,"P&amp;L Item",$B144)/AA$29,0),"0.00%"))</f>
        <v>0</v>
      </c>
      <c r="AB144" s="588">
        <f>CHOOSE(PLColumn,IFERROR(GETPIVOTDATA("Sum of "&amp;AB$9,'PT-All'!$A$1,"Scenario",AB$12,"P&amp;L Item",$B144),0),IFERROR(GETPIVOTDATA("Sum of "&amp;AB$9,'PT-All'!$A$1,"Scenario",AB$12,"P&amp;L Item",$B144)/AB$201,0),TEXT(IFERROR(GETPIVOTDATA("Sum of "&amp;AB$9,'PT-All'!$A$1,"Scenario",AB$12,"P&amp;L Item",$B144)/AB$29,0),"0.00%"))</f>
        <v>0</v>
      </c>
      <c r="AC144" s="588">
        <f>CHOOSE(PLColumn,IFERROR(GETPIVOTDATA("Sum of "&amp;AC$9,'PT-All'!$A$1,"Scenario",AC$12,"P&amp;L Item",$B144),0),IFERROR(GETPIVOTDATA("Sum of "&amp;AC$9,'PT-All'!$A$1,"Scenario",AC$12,"P&amp;L Item",$B144)/AC$201,0),TEXT(IFERROR(GETPIVOTDATA("Sum of "&amp;AC$9,'PT-All'!$A$1,"Scenario",AC$12,"P&amp;L Item",$B144)/AC$29,0),"0.00%"))</f>
        <v>0</v>
      </c>
      <c r="AD144" s="588">
        <f>CHOOSE(PLColumn,IFERROR(GETPIVOTDATA("Sum of "&amp;AD$9,'PT-All'!$A$1,"Scenario",AD$12,"P&amp;L Item",$B144),0),IFERROR(GETPIVOTDATA("Sum of "&amp;AD$9,'PT-All'!$A$1,"Scenario",AD$12,"P&amp;L Item",$B144)/AD$201,0),TEXT(IFERROR(GETPIVOTDATA("Sum of "&amp;AD$9,'PT-All'!$A$1,"Scenario",AD$12,"P&amp;L Item",$B144)/AD$29,0),"0.00%"))</f>
        <v>0</v>
      </c>
      <c r="AE144" s="588">
        <f>CHOOSE(PLColumn,IFERROR(GETPIVOTDATA("Sum of "&amp;AE$9,'PT-All'!$A$1,"Scenario",AE$12,"P&amp;L Item",$B144),0),IFERROR(GETPIVOTDATA("Sum of "&amp;AE$9,'PT-All'!$A$1,"Scenario",AE$12,"P&amp;L Item",$B144)/AE$201,0),TEXT(IFERROR(GETPIVOTDATA("Sum of "&amp;AE$9,'PT-All'!$A$1,"Scenario",AE$12,"P&amp;L Item",$B144)/AE$29,0),"0.00%"))</f>
        <v>0</v>
      </c>
      <c r="AF144" s="588">
        <f>CHOOSE(PLColumn,IFERROR(GETPIVOTDATA("Sum of "&amp;AF$9,'PT-All'!$A$1,"Scenario",AF$12,"P&amp;L Item",$B144),0),IFERROR(GETPIVOTDATA("Sum of "&amp;AF$9,'PT-All'!$A$1,"Scenario",AF$12,"P&amp;L Item",$B144)/AF$201,0),TEXT(IFERROR(GETPIVOTDATA("Sum of "&amp;AF$9,'PT-All'!$A$1,"Scenario",AF$12,"P&amp;L Item",$B144)/AF$29,0),"0.00%"))</f>
        <v>0</v>
      </c>
      <c r="AG144" s="588">
        <f>CHOOSE(PLColumn,IFERROR(GETPIVOTDATA("Sum of "&amp;AG$9,'PT-All'!$A$1,"Scenario",AG$12,"P&amp;L Item",$B144),0),IFERROR(GETPIVOTDATA("Sum of "&amp;AG$9,'PT-All'!$A$1,"Scenario",AG$12,"P&amp;L Item",$B144)/AG$201,0),TEXT(IFERROR(GETPIVOTDATA("Sum of "&amp;AG$9,'PT-All'!$A$1,"Scenario",AG$12,"P&amp;L Item",$B144)/AG$29,0),"0.00%"))</f>
        <v>0</v>
      </c>
      <c r="AH144" s="588">
        <f>CHOOSE(PLColumn,IFERROR(GETPIVOTDATA("Sum of "&amp;AH$9,'PT-All'!$A$1,"Scenario",AH$12,"P&amp;L Item",$B144),0),IFERROR(GETPIVOTDATA("Sum of "&amp;AH$9,'PT-All'!$A$1,"Scenario",AH$12,"P&amp;L Item",$B144)/AH$201,0),TEXT(IFERROR(GETPIVOTDATA("Sum of "&amp;AH$9,'PT-All'!$A$1,"Scenario",AH$12,"P&amp;L Item",$B144)/AH$29,0),"0.00%"))</f>
        <v>0</v>
      </c>
      <c r="AI144" s="588">
        <f>CHOOSE(PLColumn,IFERROR(GETPIVOTDATA("Sum of "&amp;AI$9,'PT-All'!$A$1,"Scenario",AI$12,"P&amp;L Item",$B144),0),IFERROR(GETPIVOTDATA("Sum of "&amp;AI$9,'PT-All'!$A$1,"Scenario",AI$12,"P&amp;L Item",$B144)/AI$201,0),TEXT(IFERROR(GETPIVOTDATA("Sum of "&amp;AI$9,'PT-All'!$A$1,"Scenario",AI$12,"P&amp;L Item",$B144)/AI$29,0),"0.00%"))</f>
        <v>0</v>
      </c>
      <c r="AJ144" s="588">
        <f>CHOOSE(PLColumn,IFERROR(GETPIVOTDATA("Sum of "&amp;AJ$9,'PT-All'!$A$1,"Scenario",AJ$12,"P&amp;L Item",$B144),0),IFERROR(GETPIVOTDATA("Sum of "&amp;AJ$9,'PT-All'!$A$1,"Scenario",AJ$12,"P&amp;L Item",$B144)/AJ$201,0),TEXT(IFERROR(GETPIVOTDATA("Sum of "&amp;AJ$9,'PT-All'!$A$1,"Scenario",AJ$12,"P&amp;L Item",$B144)/AJ$29,0),"0.00%"))</f>
        <v>0</v>
      </c>
      <c r="AK144" s="588">
        <f>CHOOSE(PLColumn,IFERROR(GETPIVOTDATA("Sum of "&amp;AK$9,'PT-All'!$A$1,"Scenario",AK$12,"P&amp;L Item",$B144),0),IFERROR(GETPIVOTDATA("Sum of "&amp;AK$9,'PT-All'!$A$1,"Scenario",AK$12,"P&amp;L Item",$B144)/AK$201,0),TEXT(IFERROR(GETPIVOTDATA("Sum of "&amp;AK$9,'PT-All'!$A$1,"Scenario",AK$12,"P&amp;L Item",$B144)/AK$29,0),"0.00%"))</f>
        <v>0</v>
      </c>
      <c r="AL144" s="589">
        <f>CHOOSE(PLColumn,IFERROR(GETPIVOTDATA("Sum of "&amp;AL$9,'PT-All'!$A$1,"Scenario",AL$12,"P&amp;L Item",$B144),0),IFERROR(GETPIVOTDATA("Sum of "&amp;AL$9,'PT-All'!$A$1,"Scenario",AL$12,"P&amp;L Item",$B144)/AL$201,0),TEXT(IFERROR(GETPIVOTDATA("Sum of "&amp;AL$9,'PT-All'!$A$1,"Scenario",AL$12,"P&amp;L Item",$B144)/AL$29,0),"0.00%"))</f>
        <v>0</v>
      </c>
      <c r="AM144" s="590"/>
      <c r="AN144" s="591">
        <f ca="1">IF(AN$12="Pro Forma",SUM(OFFSET($B144,0,3*AN$9+1,1,3)),IFERROR(GETPIVOTDATA("Sum of Q"&amp;AN$9+1,'PT-All'!$A$1,"Scenario",AN$12,"P&amp;L Item",$B144),0))</f>
        <v>0</v>
      </c>
      <c r="AO144" s="588">
        <f ca="1">IF(AO$12="Pro Forma",SUM(OFFSET($B144,0,3*AO$9+1,1,3)),IFERROR(GETPIVOTDATA("Sum of Q"&amp;AO$9+1,'PT-All'!$A$1,"Scenario",AO$12,"P&amp;L Item",$B144),0))</f>
        <v>0</v>
      </c>
      <c r="AP144" s="588">
        <f ca="1">IF(AP$12="Pro Forma",SUM(OFFSET($B144,0,3*AP$9+1,1,3)),IFERROR(GETPIVOTDATA("Sum of Q"&amp;AP$9+1,'PT-All'!$A$1,"Scenario",AP$12,"P&amp;L Item",$B144),0))</f>
        <v>0</v>
      </c>
      <c r="AQ144" s="588">
        <f ca="1">IF(AQ$12="Pro Forma",SUM(OFFSET($B144,0,3*AQ$9+1,1,3)),IFERROR(GETPIVOTDATA("Sum of Q"&amp;AQ$9+1,'PT-All'!$A$1,"Scenario",AQ$12,"P&amp;L Item",$B144),0))</f>
        <v>0</v>
      </c>
      <c r="AR144" s="588">
        <f ca="1">IF(AR$12="Pro Forma",SUM(OFFSET($B144,0,3*AR$9+1,1,3)),IFERROR(GETPIVOTDATA("Sum of Q"&amp;AR$9+1,'PT-All'!$A$1,"Scenario",AR$12,"P&amp;L Item",$B144),0))</f>
        <v>0</v>
      </c>
      <c r="AS144" s="588">
        <f ca="1">IF(AS$12="Pro Forma",SUM(OFFSET($B144,0,3*AS$9+1,1,3)),IFERROR(GETPIVOTDATA("Sum of Q"&amp;AS$9+1,'PT-All'!$A$1,"Scenario",AS$12,"P&amp;L Item",$B144),0))</f>
        <v>0</v>
      </c>
      <c r="AT144" s="588">
        <f ca="1">IF(AT$12="Pro Forma",SUM(OFFSET($B144,0,3*AT$9+1,1,3)),IFERROR(GETPIVOTDATA("Sum of Q"&amp;AT$9+1,'PT-All'!$A$1,"Scenario",AT$12,"P&amp;L Item",$B144),0))</f>
        <v>0</v>
      </c>
      <c r="AU144" s="588">
        <f ca="1">IF(AU$12="Pro Forma",SUM(OFFSET($B144,0,3*AU$9+1,1,3)),IFERROR(GETPIVOTDATA("Sum of Q"&amp;AU$9+1,'PT-All'!$A$1,"Scenario",AU$12,"P&amp;L Item",$B144),0))</f>
        <v>0</v>
      </c>
      <c r="AV144" s="588">
        <f ca="1">IF(AV$12="Pro Forma",SUM(OFFSET($B144,0,3*AV$9+1,1,3)),IFERROR(GETPIVOTDATA("Sum of Q"&amp;AV$9+1,'PT-All'!$A$1,"Scenario",AV$12,"P&amp;L Item",$B144),0))</f>
        <v>0</v>
      </c>
      <c r="AW144" s="588">
        <f ca="1">IF(AW$12="Pro Forma",SUM(OFFSET($B144,0,3*AW$9+1,1,3)),IFERROR(GETPIVOTDATA("Sum of Q"&amp;AW$9+1,'PT-All'!$A$1,"Scenario",AW$12,"P&amp;L Item",$B144),0))</f>
        <v>0</v>
      </c>
      <c r="AX144" s="588">
        <f ca="1">IF(AX$12="Pro Forma",SUM(OFFSET($B144,0,3*AX$9+1,1,3)),IFERROR(GETPIVOTDATA("Sum of Q"&amp;AX$9+1,'PT-All'!$A$1,"Scenario",AX$12,"P&amp;L Item",$B144),0))</f>
        <v>0</v>
      </c>
      <c r="AY144" s="589">
        <f ca="1">IF(AY$12="Pro Forma",SUM(OFFSET($B144,0,3*AY$9+1,1,3)),IFERROR(GETPIVOTDATA("Sum of Q"&amp;AY$9+1,'PT-All'!$A$1,"Scenario",AY$12,"P&amp;L Item",$B144),0))</f>
        <v>0</v>
      </c>
      <c r="AZ144" s="590"/>
      <c r="BA144" s="591">
        <f ca="1">IF(BA$12="Pro Forma",SUM(OFFSET($B144,0,12*BA$9+1,1,12)),IFERROR(GETPIVOTDATA("Sum of FY"&amp;BA$9+1,'PT-All'!$A$1,"Scenario",BA$12,"P&amp;L Item",$B144),0))</f>
        <v>0</v>
      </c>
      <c r="BB144" s="588">
        <f ca="1">IF(BB$12="Pro Forma",SUM(OFFSET($B144,0,12*BB$9+1,1,12)),IFERROR(GETPIVOTDATA("Sum of FY"&amp;BB$9+1,'PT-All'!$A$1,"Scenario",BB$12,"P&amp;L Item",$B144),0))</f>
        <v>0</v>
      </c>
      <c r="BC144" s="589">
        <f ca="1">IF(BC$12="Pro Forma",SUM(OFFSET($B144,0,12*BC$9+1,1,12)),IFERROR(GETPIVOTDATA("Sum of FY"&amp;BC$9+1,'PT-All'!$A$1,"Scenario",BC$12,"P&amp;L Item",$B144),0))</f>
        <v>0</v>
      </c>
    </row>
    <row r="145" spans="2:55" x14ac:dyDescent="0.35">
      <c r="B145" s="74" t="s">
        <v>173</v>
      </c>
      <c r="C145" s="592">
        <f t="shared" ref="C145:AN145" si="305">SUM(C146,C154)</f>
        <v>0</v>
      </c>
      <c r="D145" s="592">
        <f t="shared" si="305"/>
        <v>0</v>
      </c>
      <c r="E145" s="592">
        <f t="shared" si="305"/>
        <v>0</v>
      </c>
      <c r="F145" s="592">
        <f t="shared" si="305"/>
        <v>0</v>
      </c>
      <c r="G145" s="592">
        <f t="shared" si="305"/>
        <v>0</v>
      </c>
      <c r="H145" s="592">
        <f t="shared" si="305"/>
        <v>0</v>
      </c>
      <c r="I145" s="592">
        <f t="shared" si="305"/>
        <v>0</v>
      </c>
      <c r="J145" s="592">
        <f t="shared" si="305"/>
        <v>0</v>
      </c>
      <c r="K145" s="592">
        <f t="shared" si="305"/>
        <v>0</v>
      </c>
      <c r="L145" s="592">
        <f t="shared" si="305"/>
        <v>0</v>
      </c>
      <c r="M145" s="592">
        <f t="shared" si="305"/>
        <v>0</v>
      </c>
      <c r="N145" s="592">
        <f t="shared" si="305"/>
        <v>0</v>
      </c>
      <c r="O145" s="592">
        <f t="shared" si="305"/>
        <v>0</v>
      </c>
      <c r="P145" s="592">
        <f t="shared" si="305"/>
        <v>0</v>
      </c>
      <c r="Q145" s="592">
        <f t="shared" si="305"/>
        <v>0</v>
      </c>
      <c r="R145" s="592">
        <f t="shared" si="305"/>
        <v>0</v>
      </c>
      <c r="S145" s="592">
        <f t="shared" si="305"/>
        <v>0</v>
      </c>
      <c r="T145" s="592">
        <f t="shared" si="305"/>
        <v>0</v>
      </c>
      <c r="U145" s="592">
        <f t="shared" si="305"/>
        <v>0</v>
      </c>
      <c r="V145" s="592">
        <f t="shared" si="305"/>
        <v>0</v>
      </c>
      <c r="W145" s="592">
        <f t="shared" si="305"/>
        <v>0</v>
      </c>
      <c r="X145" s="592">
        <f t="shared" si="305"/>
        <v>0</v>
      </c>
      <c r="Y145" s="592">
        <f t="shared" si="305"/>
        <v>0</v>
      </c>
      <c r="Z145" s="592">
        <f t="shared" ref="Z145:AL145" si="306">SUM(Z146,Z154)</f>
        <v>0</v>
      </c>
      <c r="AA145" s="592">
        <f t="shared" si="306"/>
        <v>0</v>
      </c>
      <c r="AB145" s="592">
        <f t="shared" si="306"/>
        <v>0</v>
      </c>
      <c r="AC145" s="592">
        <f t="shared" si="306"/>
        <v>0</v>
      </c>
      <c r="AD145" s="592">
        <f t="shared" si="306"/>
        <v>0</v>
      </c>
      <c r="AE145" s="592">
        <f t="shared" si="306"/>
        <v>0</v>
      </c>
      <c r="AF145" s="592">
        <f t="shared" si="306"/>
        <v>0</v>
      </c>
      <c r="AG145" s="592">
        <f t="shared" si="306"/>
        <v>0</v>
      </c>
      <c r="AH145" s="592">
        <f t="shared" si="306"/>
        <v>0</v>
      </c>
      <c r="AI145" s="592">
        <f t="shared" si="306"/>
        <v>0</v>
      </c>
      <c r="AJ145" s="592">
        <f t="shared" si="306"/>
        <v>0</v>
      </c>
      <c r="AK145" s="592">
        <f t="shared" si="306"/>
        <v>0</v>
      </c>
      <c r="AL145" s="593">
        <f t="shared" si="306"/>
        <v>0</v>
      </c>
      <c r="AM145" s="590"/>
      <c r="AN145" s="594">
        <f t="shared" ca="1" si="305"/>
        <v>0</v>
      </c>
      <c r="AO145" s="592">
        <f t="shared" ref="AO145" ca="1" si="307">SUM(AO146,AO154)</f>
        <v>0</v>
      </c>
      <c r="AP145" s="592">
        <f t="shared" ref="AP145" ca="1" si="308">SUM(AP146,AP154)</f>
        <v>0</v>
      </c>
      <c r="AQ145" s="592">
        <f t="shared" ref="AQ145" ca="1" si="309">SUM(AQ146,AQ154)</f>
        <v>0</v>
      </c>
      <c r="AR145" s="592">
        <f t="shared" ref="AR145" ca="1" si="310">SUM(AR146,AR154)</f>
        <v>0</v>
      </c>
      <c r="AS145" s="592">
        <f t="shared" ref="AS145" ca="1" si="311">SUM(AS146,AS154)</f>
        <v>0</v>
      </c>
      <c r="AT145" s="592">
        <f t="shared" ref="AT145:AY145" ca="1" si="312">SUM(AT146,AT154)</f>
        <v>0</v>
      </c>
      <c r="AU145" s="592">
        <f t="shared" ca="1" si="312"/>
        <v>0</v>
      </c>
      <c r="AV145" s="592">
        <f t="shared" ca="1" si="312"/>
        <v>0</v>
      </c>
      <c r="AW145" s="592">
        <f t="shared" ca="1" si="312"/>
        <v>0</v>
      </c>
      <c r="AX145" s="592">
        <f t="shared" ca="1" si="312"/>
        <v>0</v>
      </c>
      <c r="AY145" s="593">
        <f t="shared" ca="1" si="312"/>
        <v>0</v>
      </c>
      <c r="AZ145" s="590"/>
      <c r="BA145" s="594">
        <f t="shared" ref="BA145" ca="1" si="313">SUM(BA146,BA154)</f>
        <v>0</v>
      </c>
      <c r="BB145" s="592">
        <f t="shared" ref="BB145:BC145" ca="1" si="314">SUM(BB146,BB154)</f>
        <v>0</v>
      </c>
      <c r="BC145" s="593">
        <f t="shared" ca="1" si="314"/>
        <v>0</v>
      </c>
    </row>
    <row r="146" spans="2:55" x14ac:dyDescent="0.35">
      <c r="B146" s="359" t="s">
        <v>174</v>
      </c>
      <c r="C146" s="592">
        <f t="shared" ref="C146:AN146" si="315">SUM(C147:C153)</f>
        <v>0</v>
      </c>
      <c r="D146" s="592">
        <f t="shared" si="315"/>
        <v>0</v>
      </c>
      <c r="E146" s="592">
        <f t="shared" si="315"/>
        <v>0</v>
      </c>
      <c r="F146" s="592">
        <f t="shared" si="315"/>
        <v>0</v>
      </c>
      <c r="G146" s="592">
        <f t="shared" si="315"/>
        <v>0</v>
      </c>
      <c r="H146" s="592">
        <f t="shared" si="315"/>
        <v>0</v>
      </c>
      <c r="I146" s="592">
        <f t="shared" si="315"/>
        <v>0</v>
      </c>
      <c r="J146" s="592">
        <f t="shared" si="315"/>
        <v>0</v>
      </c>
      <c r="K146" s="592">
        <f t="shared" si="315"/>
        <v>0</v>
      </c>
      <c r="L146" s="592">
        <f t="shared" si="315"/>
        <v>0</v>
      </c>
      <c r="M146" s="592">
        <f t="shared" si="315"/>
        <v>0</v>
      </c>
      <c r="N146" s="592">
        <f t="shared" si="315"/>
        <v>0</v>
      </c>
      <c r="O146" s="592">
        <f t="shared" si="315"/>
        <v>0</v>
      </c>
      <c r="P146" s="592">
        <f t="shared" si="315"/>
        <v>0</v>
      </c>
      <c r="Q146" s="592">
        <f t="shared" si="315"/>
        <v>0</v>
      </c>
      <c r="R146" s="592">
        <f t="shared" si="315"/>
        <v>0</v>
      </c>
      <c r="S146" s="592">
        <f t="shared" si="315"/>
        <v>0</v>
      </c>
      <c r="T146" s="592">
        <f t="shared" si="315"/>
        <v>0</v>
      </c>
      <c r="U146" s="592">
        <f t="shared" si="315"/>
        <v>0</v>
      </c>
      <c r="V146" s="592">
        <f t="shared" si="315"/>
        <v>0</v>
      </c>
      <c r="W146" s="592">
        <f t="shared" si="315"/>
        <v>0</v>
      </c>
      <c r="X146" s="592">
        <f t="shared" si="315"/>
        <v>0</v>
      </c>
      <c r="Y146" s="592">
        <f t="shared" si="315"/>
        <v>0</v>
      </c>
      <c r="Z146" s="592">
        <f t="shared" ref="Z146:AL146" si="316">SUM(Z147:Z153)</f>
        <v>0</v>
      </c>
      <c r="AA146" s="592">
        <f t="shared" si="316"/>
        <v>0</v>
      </c>
      <c r="AB146" s="592">
        <f t="shared" si="316"/>
        <v>0</v>
      </c>
      <c r="AC146" s="592">
        <f t="shared" si="316"/>
        <v>0</v>
      </c>
      <c r="AD146" s="592">
        <f t="shared" si="316"/>
        <v>0</v>
      </c>
      <c r="AE146" s="592">
        <f t="shared" si="316"/>
        <v>0</v>
      </c>
      <c r="AF146" s="592">
        <f t="shared" si="316"/>
        <v>0</v>
      </c>
      <c r="AG146" s="592">
        <f t="shared" si="316"/>
        <v>0</v>
      </c>
      <c r="AH146" s="592">
        <f t="shared" si="316"/>
        <v>0</v>
      </c>
      <c r="AI146" s="592">
        <f t="shared" si="316"/>
        <v>0</v>
      </c>
      <c r="AJ146" s="592">
        <f t="shared" si="316"/>
        <v>0</v>
      </c>
      <c r="AK146" s="592">
        <f t="shared" si="316"/>
        <v>0</v>
      </c>
      <c r="AL146" s="593">
        <f t="shared" si="316"/>
        <v>0</v>
      </c>
      <c r="AM146" s="590"/>
      <c r="AN146" s="594">
        <f t="shared" ca="1" si="315"/>
        <v>0</v>
      </c>
      <c r="AO146" s="592">
        <f t="shared" ref="AO146" ca="1" si="317">SUM(AO147:AO153)</f>
        <v>0</v>
      </c>
      <c r="AP146" s="592">
        <f t="shared" ref="AP146" ca="1" si="318">SUM(AP147:AP153)</f>
        <v>0</v>
      </c>
      <c r="AQ146" s="592">
        <f t="shared" ref="AQ146" ca="1" si="319">SUM(AQ147:AQ153)</f>
        <v>0</v>
      </c>
      <c r="AR146" s="592">
        <f t="shared" ref="AR146" ca="1" si="320">SUM(AR147:AR153)</f>
        <v>0</v>
      </c>
      <c r="AS146" s="592">
        <f t="shared" ref="AS146" ca="1" si="321">SUM(AS147:AS153)</f>
        <v>0</v>
      </c>
      <c r="AT146" s="592">
        <f t="shared" ref="AT146:AY146" ca="1" si="322">SUM(AT147:AT153)</f>
        <v>0</v>
      </c>
      <c r="AU146" s="592">
        <f t="shared" ca="1" si="322"/>
        <v>0</v>
      </c>
      <c r="AV146" s="592">
        <f t="shared" ca="1" si="322"/>
        <v>0</v>
      </c>
      <c r="AW146" s="592">
        <f t="shared" ca="1" si="322"/>
        <v>0</v>
      </c>
      <c r="AX146" s="592">
        <f t="shared" ca="1" si="322"/>
        <v>0</v>
      </c>
      <c r="AY146" s="593">
        <f t="shared" ca="1" si="322"/>
        <v>0</v>
      </c>
      <c r="AZ146" s="590"/>
      <c r="BA146" s="594">
        <f t="shared" ref="BA146" ca="1" si="323">SUM(BA147:BA153)</f>
        <v>0</v>
      </c>
      <c r="BB146" s="592">
        <f t="shared" ref="BB146:BC146" ca="1" si="324">SUM(BB147:BB153)</f>
        <v>0</v>
      </c>
      <c r="BC146" s="593">
        <f t="shared" ca="1" si="324"/>
        <v>0</v>
      </c>
    </row>
    <row r="147" spans="2:55" x14ac:dyDescent="0.35">
      <c r="B147" s="76" t="s">
        <v>175</v>
      </c>
      <c r="C147" s="65">
        <f>CHOOSE(PLColumn,IFERROR(GETPIVOTDATA("Sum of "&amp;C$9,'PT-All'!$A$1,"Scenario",C$12,"P&amp;L Item",$B147),0),IFERROR(GETPIVOTDATA("Sum of "&amp;C$9,'PT-All'!$A$1,"Scenario",C$12,"P&amp;L Item",$B147)/C$201,0),TEXT(IFERROR(GETPIVOTDATA("Sum of "&amp;C$9,'PT-All'!$A$1,"Scenario",C$12,"P&amp;L Item",$B147)/C$29,0),"0.00%"))</f>
        <v>0</v>
      </c>
      <c r="D147" s="65">
        <f>CHOOSE(PLColumn,IFERROR(GETPIVOTDATA("Sum of "&amp;D$9,'PT-All'!$A$1,"Scenario",D$12,"P&amp;L Item",$B147),0),IFERROR(GETPIVOTDATA("Sum of "&amp;D$9,'PT-All'!$A$1,"Scenario",D$12,"P&amp;L Item",$B147)/D$201,0),TEXT(IFERROR(GETPIVOTDATA("Sum of "&amp;D$9,'PT-All'!$A$1,"Scenario",D$12,"P&amp;L Item",$B147)/D$29,0),"0.00%"))</f>
        <v>0</v>
      </c>
      <c r="E147" s="65">
        <f>CHOOSE(PLColumn,IFERROR(GETPIVOTDATA("Sum of "&amp;E$9,'PT-All'!$A$1,"Scenario",E$12,"P&amp;L Item",$B147),0),IFERROR(GETPIVOTDATA("Sum of "&amp;E$9,'PT-All'!$A$1,"Scenario",E$12,"P&amp;L Item",$B147)/E$201,0),TEXT(IFERROR(GETPIVOTDATA("Sum of "&amp;E$9,'PT-All'!$A$1,"Scenario",E$12,"P&amp;L Item",$B147)/E$29,0),"0.00%"))</f>
        <v>0</v>
      </c>
      <c r="F147" s="65">
        <f>CHOOSE(PLColumn,IFERROR(GETPIVOTDATA("Sum of "&amp;F$9,'PT-All'!$A$1,"Scenario",F$12,"P&amp;L Item",$B147),0),IFERROR(GETPIVOTDATA("Sum of "&amp;F$9,'PT-All'!$A$1,"Scenario",F$12,"P&amp;L Item",$B147)/F$201,0),TEXT(IFERROR(GETPIVOTDATA("Sum of "&amp;F$9,'PT-All'!$A$1,"Scenario",F$12,"P&amp;L Item",$B147)/F$29,0),"0.00%"))</f>
        <v>0</v>
      </c>
      <c r="G147" s="65">
        <f>CHOOSE(PLColumn,IFERROR(GETPIVOTDATA("Sum of "&amp;G$9,'PT-All'!$A$1,"Scenario",G$12,"P&amp;L Item",$B147),0),IFERROR(GETPIVOTDATA("Sum of "&amp;G$9,'PT-All'!$A$1,"Scenario",G$12,"P&amp;L Item",$B147)/G$201,0),TEXT(IFERROR(GETPIVOTDATA("Sum of "&amp;G$9,'PT-All'!$A$1,"Scenario",G$12,"P&amp;L Item",$B147)/G$29,0),"0.00%"))</f>
        <v>0</v>
      </c>
      <c r="H147" s="65">
        <f>CHOOSE(PLColumn,IFERROR(GETPIVOTDATA("Sum of "&amp;H$9,'PT-All'!$A$1,"Scenario",H$12,"P&amp;L Item",$B147),0),IFERROR(GETPIVOTDATA("Sum of "&amp;H$9,'PT-All'!$A$1,"Scenario",H$12,"P&amp;L Item",$B147)/H$201,0),TEXT(IFERROR(GETPIVOTDATA("Sum of "&amp;H$9,'PT-All'!$A$1,"Scenario",H$12,"P&amp;L Item",$B147)/H$29,0),"0.00%"))</f>
        <v>0</v>
      </c>
      <c r="I147" s="65">
        <f>CHOOSE(PLColumn,IFERROR(GETPIVOTDATA("Sum of "&amp;I$9,'PT-All'!$A$1,"Scenario",I$12,"P&amp;L Item",$B147),0),IFERROR(GETPIVOTDATA("Sum of "&amp;I$9,'PT-All'!$A$1,"Scenario",I$12,"P&amp;L Item",$B147)/I$201,0),TEXT(IFERROR(GETPIVOTDATA("Sum of "&amp;I$9,'PT-All'!$A$1,"Scenario",I$12,"P&amp;L Item",$B147)/I$29,0),"0.00%"))</f>
        <v>0</v>
      </c>
      <c r="J147" s="65">
        <f>CHOOSE(PLColumn,IFERROR(GETPIVOTDATA("Sum of "&amp;J$9,'PT-All'!$A$1,"Scenario",J$12,"P&amp;L Item",$B147),0),IFERROR(GETPIVOTDATA("Sum of "&amp;J$9,'PT-All'!$A$1,"Scenario",J$12,"P&amp;L Item",$B147)/J$201,0),TEXT(IFERROR(GETPIVOTDATA("Sum of "&amp;J$9,'PT-All'!$A$1,"Scenario",J$12,"P&amp;L Item",$B147)/J$29,0),"0.00%"))</f>
        <v>0</v>
      </c>
      <c r="K147" s="65">
        <f>CHOOSE(PLColumn,IFERROR(GETPIVOTDATA("Sum of "&amp;K$9,'PT-All'!$A$1,"Scenario",K$12,"P&amp;L Item",$B147),0),IFERROR(GETPIVOTDATA("Sum of "&amp;K$9,'PT-All'!$A$1,"Scenario",K$12,"P&amp;L Item",$B147)/K$201,0),TEXT(IFERROR(GETPIVOTDATA("Sum of "&amp;K$9,'PT-All'!$A$1,"Scenario",K$12,"P&amp;L Item",$B147)/K$29,0),"0.00%"))</f>
        <v>0</v>
      </c>
      <c r="L147" s="65">
        <f>CHOOSE(PLColumn,IFERROR(GETPIVOTDATA("Sum of "&amp;L$9,'PT-All'!$A$1,"Scenario",L$12,"P&amp;L Item",$B147),0),IFERROR(GETPIVOTDATA("Sum of "&amp;L$9,'PT-All'!$A$1,"Scenario",L$12,"P&amp;L Item",$B147)/L$201,0),TEXT(IFERROR(GETPIVOTDATA("Sum of "&amp;L$9,'PT-All'!$A$1,"Scenario",L$12,"P&amp;L Item",$B147)/L$29,0),"0.00%"))</f>
        <v>0</v>
      </c>
      <c r="M147" s="65">
        <f>CHOOSE(PLColumn,IFERROR(GETPIVOTDATA("Sum of "&amp;M$9,'PT-All'!$A$1,"Scenario",M$12,"P&amp;L Item",$B147),0),IFERROR(GETPIVOTDATA("Sum of "&amp;M$9,'PT-All'!$A$1,"Scenario",M$12,"P&amp;L Item",$B147)/M$201,0),TEXT(IFERROR(GETPIVOTDATA("Sum of "&amp;M$9,'PT-All'!$A$1,"Scenario",M$12,"P&amp;L Item",$B147)/M$29,0),"0.00%"))</f>
        <v>0</v>
      </c>
      <c r="N147" s="65">
        <f>CHOOSE(PLColumn,IFERROR(GETPIVOTDATA("Sum of "&amp;N$9,'PT-All'!$A$1,"Scenario",N$12,"P&amp;L Item",$B147),0),IFERROR(GETPIVOTDATA("Sum of "&amp;N$9,'PT-All'!$A$1,"Scenario",N$12,"P&amp;L Item",$B147)/N$201,0),TEXT(IFERROR(GETPIVOTDATA("Sum of "&amp;N$9,'PT-All'!$A$1,"Scenario",N$12,"P&amp;L Item",$B147)/N$29,0),"0.00%"))</f>
        <v>0</v>
      </c>
      <c r="O147" s="65">
        <f>CHOOSE(PLColumn,IFERROR(GETPIVOTDATA("Sum of "&amp;O$9,'PT-All'!$A$1,"Scenario",O$12,"P&amp;L Item",$B147),0),IFERROR(GETPIVOTDATA("Sum of "&amp;O$9,'PT-All'!$A$1,"Scenario",O$12,"P&amp;L Item",$B147)/O$201,0),TEXT(IFERROR(GETPIVOTDATA("Sum of "&amp;O$9,'PT-All'!$A$1,"Scenario",O$12,"P&amp;L Item",$B147)/O$29,0),"0.00%"))</f>
        <v>0</v>
      </c>
      <c r="P147" s="65">
        <f>CHOOSE(PLColumn,IFERROR(GETPIVOTDATA("Sum of "&amp;P$9,'PT-All'!$A$1,"Scenario",P$12,"P&amp;L Item",$B147),0),IFERROR(GETPIVOTDATA("Sum of "&amp;P$9,'PT-All'!$A$1,"Scenario",P$12,"P&amp;L Item",$B147)/P$201,0),TEXT(IFERROR(GETPIVOTDATA("Sum of "&amp;P$9,'PT-All'!$A$1,"Scenario",P$12,"P&amp;L Item",$B147)/P$29,0),"0.00%"))</f>
        <v>0</v>
      </c>
      <c r="Q147" s="65">
        <f>CHOOSE(PLColumn,IFERROR(GETPIVOTDATA("Sum of "&amp;Q$9,'PT-All'!$A$1,"Scenario",Q$12,"P&amp;L Item",$B147),0),IFERROR(GETPIVOTDATA("Sum of "&amp;Q$9,'PT-All'!$A$1,"Scenario",Q$12,"P&amp;L Item",$B147)/Q$201,0),TEXT(IFERROR(GETPIVOTDATA("Sum of "&amp;Q$9,'PT-All'!$A$1,"Scenario",Q$12,"P&amp;L Item",$B147)/Q$29,0),"0.00%"))</f>
        <v>0</v>
      </c>
      <c r="R147" s="65">
        <f>CHOOSE(PLColumn,IFERROR(GETPIVOTDATA("Sum of "&amp;R$9,'PT-All'!$A$1,"Scenario",R$12,"P&amp;L Item",$B147),0),IFERROR(GETPIVOTDATA("Sum of "&amp;R$9,'PT-All'!$A$1,"Scenario",R$12,"P&amp;L Item",$B147)/R$201,0),TEXT(IFERROR(GETPIVOTDATA("Sum of "&amp;R$9,'PT-All'!$A$1,"Scenario",R$12,"P&amp;L Item",$B147)/R$29,0),"0.00%"))</f>
        <v>0</v>
      </c>
      <c r="S147" s="65">
        <f>CHOOSE(PLColumn,IFERROR(GETPIVOTDATA("Sum of "&amp;S$9,'PT-All'!$A$1,"Scenario",S$12,"P&amp;L Item",$B147),0),IFERROR(GETPIVOTDATA("Sum of "&amp;S$9,'PT-All'!$A$1,"Scenario",S$12,"P&amp;L Item",$B147)/S$201,0),TEXT(IFERROR(GETPIVOTDATA("Sum of "&amp;S$9,'PT-All'!$A$1,"Scenario",S$12,"P&amp;L Item",$B147)/S$29,0),"0.00%"))</f>
        <v>0</v>
      </c>
      <c r="T147" s="65">
        <f>CHOOSE(PLColumn,IFERROR(GETPIVOTDATA("Sum of "&amp;T$9,'PT-All'!$A$1,"Scenario",T$12,"P&amp;L Item",$B147),0),IFERROR(GETPIVOTDATA("Sum of "&amp;T$9,'PT-All'!$A$1,"Scenario",T$12,"P&amp;L Item",$B147)/T$201,0),TEXT(IFERROR(GETPIVOTDATA("Sum of "&amp;T$9,'PT-All'!$A$1,"Scenario",T$12,"P&amp;L Item",$B147)/T$29,0),"0.00%"))</f>
        <v>0</v>
      </c>
      <c r="U147" s="65">
        <f>CHOOSE(PLColumn,IFERROR(GETPIVOTDATA("Sum of "&amp;U$9,'PT-All'!$A$1,"Scenario",U$12,"P&amp;L Item",$B147),0),IFERROR(GETPIVOTDATA("Sum of "&amp;U$9,'PT-All'!$A$1,"Scenario",U$12,"P&amp;L Item",$B147)/U$201,0),TEXT(IFERROR(GETPIVOTDATA("Sum of "&amp;U$9,'PT-All'!$A$1,"Scenario",U$12,"P&amp;L Item",$B147)/U$29,0),"0.00%"))</f>
        <v>0</v>
      </c>
      <c r="V147" s="65">
        <f>CHOOSE(PLColumn,IFERROR(GETPIVOTDATA("Sum of "&amp;V$9,'PT-All'!$A$1,"Scenario",V$12,"P&amp;L Item",$B147),0),IFERROR(GETPIVOTDATA("Sum of "&amp;V$9,'PT-All'!$A$1,"Scenario",V$12,"P&amp;L Item",$B147)/V$201,0),TEXT(IFERROR(GETPIVOTDATA("Sum of "&amp;V$9,'PT-All'!$A$1,"Scenario",V$12,"P&amp;L Item",$B147)/V$29,0),"0.00%"))</f>
        <v>0</v>
      </c>
      <c r="W147" s="65">
        <f>CHOOSE(PLColumn,IFERROR(GETPIVOTDATA("Sum of "&amp;W$9,'PT-All'!$A$1,"Scenario",W$12,"P&amp;L Item",$B147),0),IFERROR(GETPIVOTDATA("Sum of "&amp;W$9,'PT-All'!$A$1,"Scenario",W$12,"P&amp;L Item",$B147)/W$201,0),TEXT(IFERROR(GETPIVOTDATA("Sum of "&amp;W$9,'PT-All'!$A$1,"Scenario",W$12,"P&amp;L Item",$B147)/W$29,0),"0.00%"))</f>
        <v>0</v>
      </c>
      <c r="X147" s="65">
        <f>CHOOSE(PLColumn,IFERROR(GETPIVOTDATA("Sum of "&amp;X$9,'PT-All'!$A$1,"Scenario",X$12,"P&amp;L Item",$B147),0),IFERROR(GETPIVOTDATA("Sum of "&amp;X$9,'PT-All'!$A$1,"Scenario",X$12,"P&amp;L Item",$B147)/X$201,0),TEXT(IFERROR(GETPIVOTDATA("Sum of "&amp;X$9,'PT-All'!$A$1,"Scenario",X$12,"P&amp;L Item",$B147)/X$29,0),"0.00%"))</f>
        <v>0</v>
      </c>
      <c r="Y147" s="65">
        <f>CHOOSE(PLColumn,IFERROR(GETPIVOTDATA("Sum of "&amp;Y$9,'PT-All'!$A$1,"Scenario",Y$12,"P&amp;L Item",$B147),0),IFERROR(GETPIVOTDATA("Sum of "&amp;Y$9,'PT-All'!$A$1,"Scenario",Y$12,"P&amp;L Item",$B147)/Y$201,0),TEXT(IFERROR(GETPIVOTDATA("Sum of "&amp;Y$9,'PT-All'!$A$1,"Scenario",Y$12,"P&amp;L Item",$B147)/Y$29,0),"0.00%"))</f>
        <v>0</v>
      </c>
      <c r="Z147" s="65">
        <f>CHOOSE(PLColumn,IFERROR(GETPIVOTDATA("Sum of "&amp;Z$9,'PT-All'!$A$1,"Scenario",Z$12,"P&amp;L Item",$B147),0),IFERROR(GETPIVOTDATA("Sum of "&amp;Z$9,'PT-All'!$A$1,"Scenario",Z$12,"P&amp;L Item",$B147)/Z$201,0),TEXT(IFERROR(GETPIVOTDATA("Sum of "&amp;Z$9,'PT-All'!$A$1,"Scenario",Z$12,"P&amp;L Item",$B147)/Z$29,0),"0.00%"))</f>
        <v>0</v>
      </c>
      <c r="AA147" s="65">
        <f>CHOOSE(PLColumn,IFERROR(GETPIVOTDATA("Sum of "&amp;AA$9,'PT-All'!$A$1,"Scenario",AA$12,"P&amp;L Item",$B147),0),IFERROR(GETPIVOTDATA("Sum of "&amp;AA$9,'PT-All'!$A$1,"Scenario",AA$12,"P&amp;L Item",$B147)/AA$201,0),TEXT(IFERROR(GETPIVOTDATA("Sum of "&amp;AA$9,'PT-All'!$A$1,"Scenario",AA$12,"P&amp;L Item",$B147)/AA$29,0),"0.00%"))</f>
        <v>0</v>
      </c>
      <c r="AB147" s="65">
        <f>CHOOSE(PLColumn,IFERROR(GETPIVOTDATA("Sum of "&amp;AB$9,'PT-All'!$A$1,"Scenario",AB$12,"P&amp;L Item",$B147),0),IFERROR(GETPIVOTDATA("Sum of "&amp;AB$9,'PT-All'!$A$1,"Scenario",AB$12,"P&amp;L Item",$B147)/AB$201,0),TEXT(IFERROR(GETPIVOTDATA("Sum of "&amp;AB$9,'PT-All'!$A$1,"Scenario",AB$12,"P&amp;L Item",$B147)/AB$29,0),"0.00%"))</f>
        <v>0</v>
      </c>
      <c r="AC147" s="65">
        <f>CHOOSE(PLColumn,IFERROR(GETPIVOTDATA("Sum of "&amp;AC$9,'PT-All'!$A$1,"Scenario",AC$12,"P&amp;L Item",$B147),0),IFERROR(GETPIVOTDATA("Sum of "&amp;AC$9,'PT-All'!$A$1,"Scenario",AC$12,"P&amp;L Item",$B147)/AC$201,0),TEXT(IFERROR(GETPIVOTDATA("Sum of "&amp;AC$9,'PT-All'!$A$1,"Scenario",AC$12,"P&amp;L Item",$B147)/AC$29,0),"0.00%"))</f>
        <v>0</v>
      </c>
      <c r="AD147" s="65">
        <f>CHOOSE(PLColumn,IFERROR(GETPIVOTDATA("Sum of "&amp;AD$9,'PT-All'!$A$1,"Scenario",AD$12,"P&amp;L Item",$B147),0),IFERROR(GETPIVOTDATA("Sum of "&amp;AD$9,'PT-All'!$A$1,"Scenario",AD$12,"P&amp;L Item",$B147)/AD$201,0),TEXT(IFERROR(GETPIVOTDATA("Sum of "&amp;AD$9,'PT-All'!$A$1,"Scenario",AD$12,"P&amp;L Item",$B147)/AD$29,0),"0.00%"))</f>
        <v>0</v>
      </c>
      <c r="AE147" s="65">
        <f>CHOOSE(PLColumn,IFERROR(GETPIVOTDATA("Sum of "&amp;AE$9,'PT-All'!$A$1,"Scenario",AE$12,"P&amp;L Item",$B147),0),IFERROR(GETPIVOTDATA("Sum of "&amp;AE$9,'PT-All'!$A$1,"Scenario",AE$12,"P&amp;L Item",$B147)/AE$201,0),TEXT(IFERROR(GETPIVOTDATA("Sum of "&amp;AE$9,'PT-All'!$A$1,"Scenario",AE$12,"P&amp;L Item",$B147)/AE$29,0),"0.00%"))</f>
        <v>0</v>
      </c>
      <c r="AF147" s="65">
        <f>CHOOSE(PLColumn,IFERROR(GETPIVOTDATA("Sum of "&amp;AF$9,'PT-All'!$A$1,"Scenario",AF$12,"P&amp;L Item",$B147),0),IFERROR(GETPIVOTDATA("Sum of "&amp;AF$9,'PT-All'!$A$1,"Scenario",AF$12,"P&amp;L Item",$B147)/AF$201,0),TEXT(IFERROR(GETPIVOTDATA("Sum of "&amp;AF$9,'PT-All'!$A$1,"Scenario",AF$12,"P&amp;L Item",$B147)/AF$29,0),"0.00%"))</f>
        <v>0</v>
      </c>
      <c r="AG147" s="65">
        <f>CHOOSE(PLColumn,IFERROR(GETPIVOTDATA("Sum of "&amp;AG$9,'PT-All'!$A$1,"Scenario",AG$12,"P&amp;L Item",$B147),0),IFERROR(GETPIVOTDATA("Sum of "&amp;AG$9,'PT-All'!$A$1,"Scenario",AG$12,"P&amp;L Item",$B147)/AG$201,0),TEXT(IFERROR(GETPIVOTDATA("Sum of "&amp;AG$9,'PT-All'!$A$1,"Scenario",AG$12,"P&amp;L Item",$B147)/AG$29,0),"0.00%"))</f>
        <v>0</v>
      </c>
      <c r="AH147" s="65">
        <f>CHOOSE(PLColumn,IFERROR(GETPIVOTDATA("Sum of "&amp;AH$9,'PT-All'!$A$1,"Scenario",AH$12,"P&amp;L Item",$B147),0),IFERROR(GETPIVOTDATA("Sum of "&amp;AH$9,'PT-All'!$A$1,"Scenario",AH$12,"P&amp;L Item",$B147)/AH$201,0),TEXT(IFERROR(GETPIVOTDATA("Sum of "&amp;AH$9,'PT-All'!$A$1,"Scenario",AH$12,"P&amp;L Item",$B147)/AH$29,0),"0.00%"))</f>
        <v>0</v>
      </c>
      <c r="AI147" s="65">
        <f>CHOOSE(PLColumn,IFERROR(GETPIVOTDATA("Sum of "&amp;AI$9,'PT-All'!$A$1,"Scenario",AI$12,"P&amp;L Item",$B147),0),IFERROR(GETPIVOTDATA("Sum of "&amp;AI$9,'PT-All'!$A$1,"Scenario",AI$12,"P&amp;L Item",$B147)/AI$201,0),TEXT(IFERROR(GETPIVOTDATA("Sum of "&amp;AI$9,'PT-All'!$A$1,"Scenario",AI$12,"P&amp;L Item",$B147)/AI$29,0),"0.00%"))</f>
        <v>0</v>
      </c>
      <c r="AJ147" s="65">
        <f>CHOOSE(PLColumn,IFERROR(GETPIVOTDATA("Sum of "&amp;AJ$9,'PT-All'!$A$1,"Scenario",AJ$12,"P&amp;L Item",$B147),0),IFERROR(GETPIVOTDATA("Sum of "&amp;AJ$9,'PT-All'!$A$1,"Scenario",AJ$12,"P&amp;L Item",$B147)/AJ$201,0),TEXT(IFERROR(GETPIVOTDATA("Sum of "&amp;AJ$9,'PT-All'!$A$1,"Scenario",AJ$12,"P&amp;L Item",$B147)/AJ$29,0),"0.00%"))</f>
        <v>0</v>
      </c>
      <c r="AK147" s="65">
        <f>CHOOSE(PLColumn,IFERROR(GETPIVOTDATA("Sum of "&amp;AK$9,'PT-All'!$A$1,"Scenario",AK$12,"P&amp;L Item",$B147),0),IFERROR(GETPIVOTDATA("Sum of "&amp;AK$9,'PT-All'!$A$1,"Scenario",AK$12,"P&amp;L Item",$B147)/AK$201,0),TEXT(IFERROR(GETPIVOTDATA("Sum of "&amp;AK$9,'PT-All'!$A$1,"Scenario",AK$12,"P&amp;L Item",$B147)/AK$29,0),"0.00%"))</f>
        <v>0</v>
      </c>
      <c r="AL147" s="97">
        <f>CHOOSE(PLColumn,IFERROR(GETPIVOTDATA("Sum of "&amp;AL$9,'PT-All'!$A$1,"Scenario",AL$12,"P&amp;L Item",$B147),0),IFERROR(GETPIVOTDATA("Sum of "&amp;AL$9,'PT-All'!$A$1,"Scenario",AL$12,"P&amp;L Item",$B147)/AL$201,0),TEXT(IFERROR(GETPIVOTDATA("Sum of "&amp;AL$9,'PT-All'!$A$1,"Scenario",AL$12,"P&amp;L Item",$B147)/AL$29,0),"0.00%"))</f>
        <v>0</v>
      </c>
      <c r="AM147" s="590"/>
      <c r="AN147" s="108">
        <f ca="1">IF(AN$12="Pro Forma",SUM(OFFSET($B147,0,3*AN$9+1,1,3)),IFERROR(GETPIVOTDATA("Sum of Q"&amp;AN$9+1,'PT-All'!$A$1,"Scenario",AN$12,"P&amp;L Item",$B147),0))</f>
        <v>0</v>
      </c>
      <c r="AO147" s="65">
        <f ca="1">IF(AO$12="Pro Forma",SUM(OFFSET($B147,0,3*AO$9+1,1,3)),IFERROR(GETPIVOTDATA("Sum of Q"&amp;AO$9+1,'PT-All'!$A$1,"Scenario",AO$12,"P&amp;L Item",$B147),0))</f>
        <v>0</v>
      </c>
      <c r="AP147" s="65">
        <f ca="1">IF(AP$12="Pro Forma",SUM(OFFSET($B147,0,3*AP$9+1,1,3)),IFERROR(GETPIVOTDATA("Sum of Q"&amp;AP$9+1,'PT-All'!$A$1,"Scenario",AP$12,"P&amp;L Item",$B147),0))</f>
        <v>0</v>
      </c>
      <c r="AQ147" s="65">
        <f ca="1">IF(AQ$12="Pro Forma",SUM(OFFSET($B147,0,3*AQ$9+1,1,3)),IFERROR(GETPIVOTDATA("Sum of Q"&amp;AQ$9+1,'PT-All'!$A$1,"Scenario",AQ$12,"P&amp;L Item",$B147),0))</f>
        <v>0</v>
      </c>
      <c r="AR147" s="65">
        <f ca="1">IF(AR$12="Pro Forma",SUM(OFFSET($B147,0,3*AR$9+1,1,3)),IFERROR(GETPIVOTDATA("Sum of Q"&amp;AR$9+1,'PT-All'!$A$1,"Scenario",AR$12,"P&amp;L Item",$B147),0))</f>
        <v>0</v>
      </c>
      <c r="AS147" s="65">
        <f ca="1">IF(AS$12="Pro Forma",SUM(OFFSET($B147,0,3*AS$9+1,1,3)),IFERROR(GETPIVOTDATA("Sum of Q"&amp;AS$9+1,'PT-All'!$A$1,"Scenario",AS$12,"P&amp;L Item",$B147),0))</f>
        <v>0</v>
      </c>
      <c r="AT147" s="65">
        <f ca="1">IF(AT$12="Pro Forma",SUM(OFFSET($B147,0,3*AT$9+1,1,3)),IFERROR(GETPIVOTDATA("Sum of Q"&amp;AT$9+1,'PT-All'!$A$1,"Scenario",AT$12,"P&amp;L Item",$B147),0))</f>
        <v>0</v>
      </c>
      <c r="AU147" s="65">
        <f ca="1">IF(AU$12="Pro Forma",SUM(OFFSET($B147,0,3*AU$9+1,1,3)),IFERROR(GETPIVOTDATA("Sum of Q"&amp;AU$9+1,'PT-All'!$A$1,"Scenario",AU$12,"P&amp;L Item",$B147),0))</f>
        <v>0</v>
      </c>
      <c r="AV147" s="65">
        <f ca="1">IF(AV$12="Pro Forma",SUM(OFFSET($B147,0,3*AV$9+1,1,3)),IFERROR(GETPIVOTDATA("Sum of Q"&amp;AV$9+1,'PT-All'!$A$1,"Scenario",AV$12,"P&amp;L Item",$B147),0))</f>
        <v>0</v>
      </c>
      <c r="AW147" s="65">
        <f ca="1">IF(AW$12="Pro Forma",SUM(OFFSET($B147,0,3*AW$9+1,1,3)),IFERROR(GETPIVOTDATA("Sum of Q"&amp;AW$9+1,'PT-All'!$A$1,"Scenario",AW$12,"P&amp;L Item",$B147),0))</f>
        <v>0</v>
      </c>
      <c r="AX147" s="65">
        <f ca="1">IF(AX$12="Pro Forma",SUM(OFFSET($B147,0,3*AX$9+1,1,3)),IFERROR(GETPIVOTDATA("Sum of Q"&amp;AX$9+1,'PT-All'!$A$1,"Scenario",AX$12,"P&amp;L Item",$B147),0))</f>
        <v>0</v>
      </c>
      <c r="AY147" s="97">
        <f ca="1">IF(AY$12="Pro Forma",SUM(OFFSET($B147,0,3*AY$9+1,1,3)),IFERROR(GETPIVOTDATA("Sum of Q"&amp;AY$9+1,'PT-All'!$A$1,"Scenario",AY$12,"P&amp;L Item",$B147),0))</f>
        <v>0</v>
      </c>
      <c r="AZ147" s="590"/>
      <c r="BA147" s="108">
        <f ca="1">IF(BA$12="Pro Forma",SUM(OFFSET($B147,0,12*BA$9+1,1,12)),IFERROR(GETPIVOTDATA("Sum of FY"&amp;BA$9+1,'PT-All'!$A$1,"Scenario",BA$12,"P&amp;L Item",$B147),0))</f>
        <v>0</v>
      </c>
      <c r="BB147" s="65">
        <f ca="1">IF(BB$12="Pro Forma",SUM(OFFSET($B147,0,12*BB$9+1,1,12)),IFERROR(GETPIVOTDATA("Sum of FY"&amp;BB$9+1,'PT-All'!$A$1,"Scenario",BB$12,"P&amp;L Item",$B147),0))</f>
        <v>0</v>
      </c>
      <c r="BC147" s="97">
        <f ca="1">IF(BC$12="Pro Forma",SUM(OFFSET($B147,0,12*BC$9+1,1,12)),IFERROR(GETPIVOTDATA("Sum of FY"&amp;BC$9+1,'PT-All'!$A$1,"Scenario",BC$12,"P&amp;L Item",$B147),0))</f>
        <v>0</v>
      </c>
    </row>
    <row r="148" spans="2:55" x14ac:dyDescent="0.35">
      <c r="B148" s="76" t="s">
        <v>176</v>
      </c>
      <c r="C148" s="65">
        <f>CHOOSE(PLColumn,IFERROR(GETPIVOTDATA("Sum of "&amp;C$9,'PT-All'!$A$1,"Scenario",C$12,"P&amp;L Item",$B148),0),IFERROR(GETPIVOTDATA("Sum of "&amp;C$9,'PT-All'!$A$1,"Scenario",C$12,"P&amp;L Item",$B148)/C$201,0),TEXT(IFERROR(GETPIVOTDATA("Sum of "&amp;C$9,'PT-All'!$A$1,"Scenario",C$12,"P&amp;L Item",$B148)/C$29,0),"0.00%"))</f>
        <v>0</v>
      </c>
      <c r="D148" s="65">
        <f>CHOOSE(PLColumn,IFERROR(GETPIVOTDATA("Sum of "&amp;D$9,'PT-All'!$A$1,"Scenario",D$12,"P&amp;L Item",$B148),0),IFERROR(GETPIVOTDATA("Sum of "&amp;D$9,'PT-All'!$A$1,"Scenario",D$12,"P&amp;L Item",$B148)/D$201,0),TEXT(IFERROR(GETPIVOTDATA("Sum of "&amp;D$9,'PT-All'!$A$1,"Scenario",D$12,"P&amp;L Item",$B148)/D$29,0),"0.00%"))</f>
        <v>0</v>
      </c>
      <c r="E148" s="65">
        <f>CHOOSE(PLColumn,IFERROR(GETPIVOTDATA("Sum of "&amp;E$9,'PT-All'!$A$1,"Scenario",E$12,"P&amp;L Item",$B148),0),IFERROR(GETPIVOTDATA("Sum of "&amp;E$9,'PT-All'!$A$1,"Scenario",E$12,"P&amp;L Item",$B148)/E$201,0),TEXT(IFERROR(GETPIVOTDATA("Sum of "&amp;E$9,'PT-All'!$A$1,"Scenario",E$12,"P&amp;L Item",$B148)/E$29,0),"0.00%"))</f>
        <v>0</v>
      </c>
      <c r="F148" s="65">
        <f>CHOOSE(PLColumn,IFERROR(GETPIVOTDATA("Sum of "&amp;F$9,'PT-All'!$A$1,"Scenario",F$12,"P&amp;L Item",$B148),0),IFERROR(GETPIVOTDATA("Sum of "&amp;F$9,'PT-All'!$A$1,"Scenario",F$12,"P&amp;L Item",$B148)/F$201,0),TEXT(IFERROR(GETPIVOTDATA("Sum of "&amp;F$9,'PT-All'!$A$1,"Scenario",F$12,"P&amp;L Item",$B148)/F$29,0),"0.00%"))</f>
        <v>0</v>
      </c>
      <c r="G148" s="65">
        <f>CHOOSE(PLColumn,IFERROR(GETPIVOTDATA("Sum of "&amp;G$9,'PT-All'!$A$1,"Scenario",G$12,"P&amp;L Item",$B148),0),IFERROR(GETPIVOTDATA("Sum of "&amp;G$9,'PT-All'!$A$1,"Scenario",G$12,"P&amp;L Item",$B148)/G$201,0),TEXT(IFERROR(GETPIVOTDATA("Sum of "&amp;G$9,'PT-All'!$A$1,"Scenario",G$12,"P&amp;L Item",$B148)/G$29,0),"0.00%"))</f>
        <v>0</v>
      </c>
      <c r="H148" s="65">
        <f>CHOOSE(PLColumn,IFERROR(GETPIVOTDATA("Sum of "&amp;H$9,'PT-All'!$A$1,"Scenario",H$12,"P&amp;L Item",$B148),0),IFERROR(GETPIVOTDATA("Sum of "&amp;H$9,'PT-All'!$A$1,"Scenario",H$12,"P&amp;L Item",$B148)/H$201,0),TEXT(IFERROR(GETPIVOTDATA("Sum of "&amp;H$9,'PT-All'!$A$1,"Scenario",H$12,"P&amp;L Item",$B148)/H$29,0),"0.00%"))</f>
        <v>0</v>
      </c>
      <c r="I148" s="65">
        <f>CHOOSE(PLColumn,IFERROR(GETPIVOTDATA("Sum of "&amp;I$9,'PT-All'!$A$1,"Scenario",I$12,"P&amp;L Item",$B148),0),IFERROR(GETPIVOTDATA("Sum of "&amp;I$9,'PT-All'!$A$1,"Scenario",I$12,"P&amp;L Item",$B148)/I$201,0),TEXT(IFERROR(GETPIVOTDATA("Sum of "&amp;I$9,'PT-All'!$A$1,"Scenario",I$12,"P&amp;L Item",$B148)/I$29,0),"0.00%"))</f>
        <v>0</v>
      </c>
      <c r="J148" s="65">
        <f>CHOOSE(PLColumn,IFERROR(GETPIVOTDATA("Sum of "&amp;J$9,'PT-All'!$A$1,"Scenario",J$12,"P&amp;L Item",$B148),0),IFERROR(GETPIVOTDATA("Sum of "&amp;J$9,'PT-All'!$A$1,"Scenario",J$12,"P&amp;L Item",$B148)/J$201,0),TEXT(IFERROR(GETPIVOTDATA("Sum of "&amp;J$9,'PT-All'!$A$1,"Scenario",J$12,"P&amp;L Item",$B148)/J$29,0),"0.00%"))</f>
        <v>0</v>
      </c>
      <c r="K148" s="65">
        <f>CHOOSE(PLColumn,IFERROR(GETPIVOTDATA("Sum of "&amp;K$9,'PT-All'!$A$1,"Scenario",K$12,"P&amp;L Item",$B148),0),IFERROR(GETPIVOTDATA("Sum of "&amp;K$9,'PT-All'!$A$1,"Scenario",K$12,"P&amp;L Item",$B148)/K$201,0),TEXT(IFERROR(GETPIVOTDATA("Sum of "&amp;K$9,'PT-All'!$A$1,"Scenario",K$12,"P&amp;L Item",$B148)/K$29,0),"0.00%"))</f>
        <v>0</v>
      </c>
      <c r="L148" s="65">
        <f>CHOOSE(PLColumn,IFERROR(GETPIVOTDATA("Sum of "&amp;L$9,'PT-All'!$A$1,"Scenario",L$12,"P&amp;L Item",$B148),0),IFERROR(GETPIVOTDATA("Sum of "&amp;L$9,'PT-All'!$A$1,"Scenario",L$12,"P&amp;L Item",$B148)/L$201,0),TEXT(IFERROR(GETPIVOTDATA("Sum of "&amp;L$9,'PT-All'!$A$1,"Scenario",L$12,"P&amp;L Item",$B148)/L$29,0),"0.00%"))</f>
        <v>0</v>
      </c>
      <c r="M148" s="65">
        <f>CHOOSE(PLColumn,IFERROR(GETPIVOTDATA("Sum of "&amp;M$9,'PT-All'!$A$1,"Scenario",M$12,"P&amp;L Item",$B148),0),IFERROR(GETPIVOTDATA("Sum of "&amp;M$9,'PT-All'!$A$1,"Scenario",M$12,"P&amp;L Item",$B148)/M$201,0),TEXT(IFERROR(GETPIVOTDATA("Sum of "&amp;M$9,'PT-All'!$A$1,"Scenario",M$12,"P&amp;L Item",$B148)/M$29,0),"0.00%"))</f>
        <v>0</v>
      </c>
      <c r="N148" s="65">
        <f>CHOOSE(PLColumn,IFERROR(GETPIVOTDATA("Sum of "&amp;N$9,'PT-All'!$A$1,"Scenario",N$12,"P&amp;L Item",$B148),0),IFERROR(GETPIVOTDATA("Sum of "&amp;N$9,'PT-All'!$A$1,"Scenario",N$12,"P&amp;L Item",$B148)/N$201,0),TEXT(IFERROR(GETPIVOTDATA("Sum of "&amp;N$9,'PT-All'!$A$1,"Scenario",N$12,"P&amp;L Item",$B148)/N$29,0),"0.00%"))</f>
        <v>0</v>
      </c>
      <c r="O148" s="65">
        <f>CHOOSE(PLColumn,IFERROR(GETPIVOTDATA("Sum of "&amp;O$9,'PT-All'!$A$1,"Scenario",O$12,"P&amp;L Item",$B148),0),IFERROR(GETPIVOTDATA("Sum of "&amp;O$9,'PT-All'!$A$1,"Scenario",O$12,"P&amp;L Item",$B148)/O$201,0),TEXT(IFERROR(GETPIVOTDATA("Sum of "&amp;O$9,'PT-All'!$A$1,"Scenario",O$12,"P&amp;L Item",$B148)/O$29,0),"0.00%"))</f>
        <v>0</v>
      </c>
      <c r="P148" s="65">
        <f>CHOOSE(PLColumn,IFERROR(GETPIVOTDATA("Sum of "&amp;P$9,'PT-All'!$A$1,"Scenario",P$12,"P&amp;L Item",$B148),0),IFERROR(GETPIVOTDATA("Sum of "&amp;P$9,'PT-All'!$A$1,"Scenario",P$12,"P&amp;L Item",$B148)/P$201,0),TEXT(IFERROR(GETPIVOTDATA("Sum of "&amp;P$9,'PT-All'!$A$1,"Scenario",P$12,"P&amp;L Item",$B148)/P$29,0),"0.00%"))</f>
        <v>0</v>
      </c>
      <c r="Q148" s="65">
        <f>CHOOSE(PLColumn,IFERROR(GETPIVOTDATA("Sum of "&amp;Q$9,'PT-All'!$A$1,"Scenario",Q$12,"P&amp;L Item",$B148),0),IFERROR(GETPIVOTDATA("Sum of "&amp;Q$9,'PT-All'!$A$1,"Scenario",Q$12,"P&amp;L Item",$B148)/Q$201,0),TEXT(IFERROR(GETPIVOTDATA("Sum of "&amp;Q$9,'PT-All'!$A$1,"Scenario",Q$12,"P&amp;L Item",$B148)/Q$29,0),"0.00%"))</f>
        <v>0</v>
      </c>
      <c r="R148" s="65">
        <f>CHOOSE(PLColumn,IFERROR(GETPIVOTDATA("Sum of "&amp;R$9,'PT-All'!$A$1,"Scenario",R$12,"P&amp;L Item",$B148),0),IFERROR(GETPIVOTDATA("Sum of "&amp;R$9,'PT-All'!$A$1,"Scenario",R$12,"P&amp;L Item",$B148)/R$201,0),TEXT(IFERROR(GETPIVOTDATA("Sum of "&amp;R$9,'PT-All'!$A$1,"Scenario",R$12,"P&amp;L Item",$B148)/R$29,0),"0.00%"))</f>
        <v>0</v>
      </c>
      <c r="S148" s="65">
        <f>CHOOSE(PLColumn,IFERROR(GETPIVOTDATA("Sum of "&amp;S$9,'PT-All'!$A$1,"Scenario",S$12,"P&amp;L Item",$B148),0),IFERROR(GETPIVOTDATA("Sum of "&amp;S$9,'PT-All'!$A$1,"Scenario",S$12,"P&amp;L Item",$B148)/S$201,0),TEXT(IFERROR(GETPIVOTDATA("Sum of "&amp;S$9,'PT-All'!$A$1,"Scenario",S$12,"P&amp;L Item",$B148)/S$29,0),"0.00%"))</f>
        <v>0</v>
      </c>
      <c r="T148" s="65">
        <f>CHOOSE(PLColumn,IFERROR(GETPIVOTDATA("Sum of "&amp;T$9,'PT-All'!$A$1,"Scenario",T$12,"P&amp;L Item",$B148),0),IFERROR(GETPIVOTDATA("Sum of "&amp;T$9,'PT-All'!$A$1,"Scenario",T$12,"P&amp;L Item",$B148)/T$201,0),TEXT(IFERROR(GETPIVOTDATA("Sum of "&amp;T$9,'PT-All'!$A$1,"Scenario",T$12,"P&amp;L Item",$B148)/T$29,0),"0.00%"))</f>
        <v>0</v>
      </c>
      <c r="U148" s="65">
        <f>CHOOSE(PLColumn,IFERROR(GETPIVOTDATA("Sum of "&amp;U$9,'PT-All'!$A$1,"Scenario",U$12,"P&amp;L Item",$B148),0),IFERROR(GETPIVOTDATA("Sum of "&amp;U$9,'PT-All'!$A$1,"Scenario",U$12,"P&amp;L Item",$B148)/U$201,0),TEXT(IFERROR(GETPIVOTDATA("Sum of "&amp;U$9,'PT-All'!$A$1,"Scenario",U$12,"P&amp;L Item",$B148)/U$29,0),"0.00%"))</f>
        <v>0</v>
      </c>
      <c r="V148" s="65">
        <f>CHOOSE(PLColumn,IFERROR(GETPIVOTDATA("Sum of "&amp;V$9,'PT-All'!$A$1,"Scenario",V$12,"P&amp;L Item",$B148),0),IFERROR(GETPIVOTDATA("Sum of "&amp;V$9,'PT-All'!$A$1,"Scenario",V$12,"P&amp;L Item",$B148)/V$201,0),TEXT(IFERROR(GETPIVOTDATA("Sum of "&amp;V$9,'PT-All'!$A$1,"Scenario",V$12,"P&amp;L Item",$B148)/V$29,0),"0.00%"))</f>
        <v>0</v>
      </c>
      <c r="W148" s="65">
        <f>CHOOSE(PLColumn,IFERROR(GETPIVOTDATA("Sum of "&amp;W$9,'PT-All'!$A$1,"Scenario",W$12,"P&amp;L Item",$B148),0),IFERROR(GETPIVOTDATA("Sum of "&amp;W$9,'PT-All'!$A$1,"Scenario",W$12,"P&amp;L Item",$B148)/W$201,0),TEXT(IFERROR(GETPIVOTDATA("Sum of "&amp;W$9,'PT-All'!$A$1,"Scenario",W$12,"P&amp;L Item",$B148)/W$29,0),"0.00%"))</f>
        <v>0</v>
      </c>
      <c r="X148" s="65">
        <f>CHOOSE(PLColumn,IFERROR(GETPIVOTDATA("Sum of "&amp;X$9,'PT-All'!$A$1,"Scenario",X$12,"P&amp;L Item",$B148),0),IFERROR(GETPIVOTDATA("Sum of "&amp;X$9,'PT-All'!$A$1,"Scenario",X$12,"P&amp;L Item",$B148)/X$201,0),TEXT(IFERROR(GETPIVOTDATA("Sum of "&amp;X$9,'PT-All'!$A$1,"Scenario",X$12,"P&amp;L Item",$B148)/X$29,0),"0.00%"))</f>
        <v>0</v>
      </c>
      <c r="Y148" s="65">
        <f>CHOOSE(PLColumn,IFERROR(GETPIVOTDATA("Sum of "&amp;Y$9,'PT-All'!$A$1,"Scenario",Y$12,"P&amp;L Item",$B148),0),IFERROR(GETPIVOTDATA("Sum of "&amp;Y$9,'PT-All'!$A$1,"Scenario",Y$12,"P&amp;L Item",$B148)/Y$201,0),TEXT(IFERROR(GETPIVOTDATA("Sum of "&amp;Y$9,'PT-All'!$A$1,"Scenario",Y$12,"P&amp;L Item",$B148)/Y$29,0),"0.00%"))</f>
        <v>0</v>
      </c>
      <c r="Z148" s="65">
        <f>CHOOSE(PLColumn,IFERROR(GETPIVOTDATA("Sum of "&amp;Z$9,'PT-All'!$A$1,"Scenario",Z$12,"P&amp;L Item",$B148),0),IFERROR(GETPIVOTDATA("Sum of "&amp;Z$9,'PT-All'!$A$1,"Scenario",Z$12,"P&amp;L Item",$B148)/Z$201,0),TEXT(IFERROR(GETPIVOTDATA("Sum of "&amp;Z$9,'PT-All'!$A$1,"Scenario",Z$12,"P&amp;L Item",$B148)/Z$29,0),"0.00%"))</f>
        <v>0</v>
      </c>
      <c r="AA148" s="65">
        <f>CHOOSE(PLColumn,IFERROR(GETPIVOTDATA("Sum of "&amp;AA$9,'PT-All'!$A$1,"Scenario",AA$12,"P&amp;L Item",$B148),0),IFERROR(GETPIVOTDATA("Sum of "&amp;AA$9,'PT-All'!$A$1,"Scenario",AA$12,"P&amp;L Item",$B148)/AA$201,0),TEXT(IFERROR(GETPIVOTDATA("Sum of "&amp;AA$9,'PT-All'!$A$1,"Scenario",AA$12,"P&amp;L Item",$B148)/AA$29,0),"0.00%"))</f>
        <v>0</v>
      </c>
      <c r="AB148" s="65">
        <f>CHOOSE(PLColumn,IFERROR(GETPIVOTDATA("Sum of "&amp;AB$9,'PT-All'!$A$1,"Scenario",AB$12,"P&amp;L Item",$B148),0),IFERROR(GETPIVOTDATA("Sum of "&amp;AB$9,'PT-All'!$A$1,"Scenario",AB$12,"P&amp;L Item",$B148)/AB$201,0),TEXT(IFERROR(GETPIVOTDATA("Sum of "&amp;AB$9,'PT-All'!$A$1,"Scenario",AB$12,"P&amp;L Item",$B148)/AB$29,0),"0.00%"))</f>
        <v>0</v>
      </c>
      <c r="AC148" s="65">
        <f>CHOOSE(PLColumn,IFERROR(GETPIVOTDATA("Sum of "&amp;AC$9,'PT-All'!$A$1,"Scenario",AC$12,"P&amp;L Item",$B148),0),IFERROR(GETPIVOTDATA("Sum of "&amp;AC$9,'PT-All'!$A$1,"Scenario",AC$12,"P&amp;L Item",$B148)/AC$201,0),TEXT(IFERROR(GETPIVOTDATA("Sum of "&amp;AC$9,'PT-All'!$A$1,"Scenario",AC$12,"P&amp;L Item",$B148)/AC$29,0),"0.00%"))</f>
        <v>0</v>
      </c>
      <c r="AD148" s="65">
        <f>CHOOSE(PLColumn,IFERROR(GETPIVOTDATA("Sum of "&amp;AD$9,'PT-All'!$A$1,"Scenario",AD$12,"P&amp;L Item",$B148),0),IFERROR(GETPIVOTDATA("Sum of "&amp;AD$9,'PT-All'!$A$1,"Scenario",AD$12,"P&amp;L Item",$B148)/AD$201,0),TEXT(IFERROR(GETPIVOTDATA("Sum of "&amp;AD$9,'PT-All'!$A$1,"Scenario",AD$12,"P&amp;L Item",$B148)/AD$29,0),"0.00%"))</f>
        <v>0</v>
      </c>
      <c r="AE148" s="65">
        <f>CHOOSE(PLColumn,IFERROR(GETPIVOTDATA("Sum of "&amp;AE$9,'PT-All'!$A$1,"Scenario",AE$12,"P&amp;L Item",$B148),0),IFERROR(GETPIVOTDATA("Sum of "&amp;AE$9,'PT-All'!$A$1,"Scenario",AE$12,"P&amp;L Item",$B148)/AE$201,0),TEXT(IFERROR(GETPIVOTDATA("Sum of "&amp;AE$9,'PT-All'!$A$1,"Scenario",AE$12,"P&amp;L Item",$B148)/AE$29,0),"0.00%"))</f>
        <v>0</v>
      </c>
      <c r="AF148" s="65">
        <f>CHOOSE(PLColumn,IFERROR(GETPIVOTDATA("Sum of "&amp;AF$9,'PT-All'!$A$1,"Scenario",AF$12,"P&amp;L Item",$B148),0),IFERROR(GETPIVOTDATA("Sum of "&amp;AF$9,'PT-All'!$A$1,"Scenario",AF$12,"P&amp;L Item",$B148)/AF$201,0),TEXT(IFERROR(GETPIVOTDATA("Sum of "&amp;AF$9,'PT-All'!$A$1,"Scenario",AF$12,"P&amp;L Item",$B148)/AF$29,0),"0.00%"))</f>
        <v>0</v>
      </c>
      <c r="AG148" s="65">
        <f>CHOOSE(PLColumn,IFERROR(GETPIVOTDATA("Sum of "&amp;AG$9,'PT-All'!$A$1,"Scenario",AG$12,"P&amp;L Item",$B148),0),IFERROR(GETPIVOTDATA("Sum of "&amp;AG$9,'PT-All'!$A$1,"Scenario",AG$12,"P&amp;L Item",$B148)/AG$201,0),TEXT(IFERROR(GETPIVOTDATA("Sum of "&amp;AG$9,'PT-All'!$A$1,"Scenario",AG$12,"P&amp;L Item",$B148)/AG$29,0),"0.00%"))</f>
        <v>0</v>
      </c>
      <c r="AH148" s="65">
        <f>CHOOSE(PLColumn,IFERROR(GETPIVOTDATA("Sum of "&amp;AH$9,'PT-All'!$A$1,"Scenario",AH$12,"P&amp;L Item",$B148),0),IFERROR(GETPIVOTDATA("Sum of "&amp;AH$9,'PT-All'!$A$1,"Scenario",AH$12,"P&amp;L Item",$B148)/AH$201,0),TEXT(IFERROR(GETPIVOTDATA("Sum of "&amp;AH$9,'PT-All'!$A$1,"Scenario",AH$12,"P&amp;L Item",$B148)/AH$29,0),"0.00%"))</f>
        <v>0</v>
      </c>
      <c r="AI148" s="65">
        <f>CHOOSE(PLColumn,IFERROR(GETPIVOTDATA("Sum of "&amp;AI$9,'PT-All'!$A$1,"Scenario",AI$12,"P&amp;L Item",$B148),0),IFERROR(GETPIVOTDATA("Sum of "&amp;AI$9,'PT-All'!$A$1,"Scenario",AI$12,"P&amp;L Item",$B148)/AI$201,0),TEXT(IFERROR(GETPIVOTDATA("Sum of "&amp;AI$9,'PT-All'!$A$1,"Scenario",AI$12,"P&amp;L Item",$B148)/AI$29,0),"0.00%"))</f>
        <v>0</v>
      </c>
      <c r="AJ148" s="65">
        <f>CHOOSE(PLColumn,IFERROR(GETPIVOTDATA("Sum of "&amp;AJ$9,'PT-All'!$A$1,"Scenario",AJ$12,"P&amp;L Item",$B148),0),IFERROR(GETPIVOTDATA("Sum of "&amp;AJ$9,'PT-All'!$A$1,"Scenario",AJ$12,"P&amp;L Item",$B148)/AJ$201,0),TEXT(IFERROR(GETPIVOTDATA("Sum of "&amp;AJ$9,'PT-All'!$A$1,"Scenario",AJ$12,"P&amp;L Item",$B148)/AJ$29,0),"0.00%"))</f>
        <v>0</v>
      </c>
      <c r="AK148" s="65">
        <f>CHOOSE(PLColumn,IFERROR(GETPIVOTDATA("Sum of "&amp;AK$9,'PT-All'!$A$1,"Scenario",AK$12,"P&amp;L Item",$B148),0),IFERROR(GETPIVOTDATA("Sum of "&amp;AK$9,'PT-All'!$A$1,"Scenario",AK$12,"P&amp;L Item",$B148)/AK$201,0),TEXT(IFERROR(GETPIVOTDATA("Sum of "&amp;AK$9,'PT-All'!$A$1,"Scenario",AK$12,"P&amp;L Item",$B148)/AK$29,0),"0.00%"))</f>
        <v>0</v>
      </c>
      <c r="AL148" s="97">
        <f>CHOOSE(PLColumn,IFERROR(GETPIVOTDATA("Sum of "&amp;AL$9,'PT-All'!$A$1,"Scenario",AL$12,"P&amp;L Item",$B148),0),IFERROR(GETPIVOTDATA("Sum of "&amp;AL$9,'PT-All'!$A$1,"Scenario",AL$12,"P&amp;L Item",$B148)/AL$201,0),TEXT(IFERROR(GETPIVOTDATA("Sum of "&amp;AL$9,'PT-All'!$A$1,"Scenario",AL$12,"P&amp;L Item",$B148)/AL$29,0),"0.00%"))</f>
        <v>0</v>
      </c>
      <c r="AM148" s="590"/>
      <c r="AN148" s="108">
        <f ca="1">IF(AN$12="Pro Forma",SUM(OFFSET($B148,0,3*AN$9+1,1,3)),IFERROR(GETPIVOTDATA("Sum of Q"&amp;AN$9+1,'PT-All'!$A$1,"Scenario",AN$12,"P&amp;L Item",$B148),0))</f>
        <v>0</v>
      </c>
      <c r="AO148" s="65">
        <f ca="1">IF(AO$12="Pro Forma",SUM(OFFSET($B148,0,3*AO$9+1,1,3)),IFERROR(GETPIVOTDATA("Sum of Q"&amp;AO$9+1,'PT-All'!$A$1,"Scenario",AO$12,"P&amp;L Item",$B148),0))</f>
        <v>0</v>
      </c>
      <c r="AP148" s="65">
        <f ca="1">IF(AP$12="Pro Forma",SUM(OFFSET($B148,0,3*AP$9+1,1,3)),IFERROR(GETPIVOTDATA("Sum of Q"&amp;AP$9+1,'PT-All'!$A$1,"Scenario",AP$12,"P&amp;L Item",$B148),0))</f>
        <v>0</v>
      </c>
      <c r="AQ148" s="65">
        <f ca="1">IF(AQ$12="Pro Forma",SUM(OFFSET($B148,0,3*AQ$9+1,1,3)),IFERROR(GETPIVOTDATA("Sum of Q"&amp;AQ$9+1,'PT-All'!$A$1,"Scenario",AQ$12,"P&amp;L Item",$B148),0))</f>
        <v>0</v>
      </c>
      <c r="AR148" s="65">
        <f ca="1">IF(AR$12="Pro Forma",SUM(OFFSET($B148,0,3*AR$9+1,1,3)),IFERROR(GETPIVOTDATA("Sum of Q"&amp;AR$9+1,'PT-All'!$A$1,"Scenario",AR$12,"P&amp;L Item",$B148),0))</f>
        <v>0</v>
      </c>
      <c r="AS148" s="65">
        <f ca="1">IF(AS$12="Pro Forma",SUM(OFFSET($B148,0,3*AS$9+1,1,3)),IFERROR(GETPIVOTDATA("Sum of Q"&amp;AS$9+1,'PT-All'!$A$1,"Scenario",AS$12,"P&amp;L Item",$B148),0))</f>
        <v>0</v>
      </c>
      <c r="AT148" s="65">
        <f ca="1">IF(AT$12="Pro Forma",SUM(OFFSET($B148,0,3*AT$9+1,1,3)),IFERROR(GETPIVOTDATA("Sum of Q"&amp;AT$9+1,'PT-All'!$A$1,"Scenario",AT$12,"P&amp;L Item",$B148),0))</f>
        <v>0</v>
      </c>
      <c r="AU148" s="65">
        <f ca="1">IF(AU$12="Pro Forma",SUM(OFFSET($B148,0,3*AU$9+1,1,3)),IFERROR(GETPIVOTDATA("Sum of Q"&amp;AU$9+1,'PT-All'!$A$1,"Scenario",AU$12,"P&amp;L Item",$B148),0))</f>
        <v>0</v>
      </c>
      <c r="AV148" s="65">
        <f ca="1">IF(AV$12="Pro Forma",SUM(OFFSET($B148,0,3*AV$9+1,1,3)),IFERROR(GETPIVOTDATA("Sum of Q"&amp;AV$9+1,'PT-All'!$A$1,"Scenario",AV$12,"P&amp;L Item",$B148),0))</f>
        <v>0</v>
      </c>
      <c r="AW148" s="65">
        <f ca="1">IF(AW$12="Pro Forma",SUM(OFFSET($B148,0,3*AW$9+1,1,3)),IFERROR(GETPIVOTDATA("Sum of Q"&amp;AW$9+1,'PT-All'!$A$1,"Scenario",AW$12,"P&amp;L Item",$B148),0))</f>
        <v>0</v>
      </c>
      <c r="AX148" s="65">
        <f ca="1">IF(AX$12="Pro Forma",SUM(OFFSET($B148,0,3*AX$9+1,1,3)),IFERROR(GETPIVOTDATA("Sum of Q"&amp;AX$9+1,'PT-All'!$A$1,"Scenario",AX$12,"P&amp;L Item",$B148),0))</f>
        <v>0</v>
      </c>
      <c r="AY148" s="97">
        <f ca="1">IF(AY$12="Pro Forma",SUM(OFFSET($B148,0,3*AY$9+1,1,3)),IFERROR(GETPIVOTDATA("Sum of Q"&amp;AY$9+1,'PT-All'!$A$1,"Scenario",AY$12,"P&amp;L Item",$B148),0))</f>
        <v>0</v>
      </c>
      <c r="AZ148" s="590"/>
      <c r="BA148" s="108">
        <f ca="1">IF(BA$12="Pro Forma",SUM(OFFSET($B148,0,12*BA$9+1,1,12)),IFERROR(GETPIVOTDATA("Sum of FY"&amp;BA$9+1,'PT-All'!$A$1,"Scenario",BA$12,"P&amp;L Item",$B148),0))</f>
        <v>0</v>
      </c>
      <c r="BB148" s="65">
        <f ca="1">IF(BB$12="Pro Forma",SUM(OFFSET($B148,0,12*BB$9+1,1,12)),IFERROR(GETPIVOTDATA("Sum of FY"&amp;BB$9+1,'PT-All'!$A$1,"Scenario",BB$12,"P&amp;L Item",$B148),0))</f>
        <v>0</v>
      </c>
      <c r="BC148" s="97">
        <f ca="1">IF(BC$12="Pro Forma",SUM(OFFSET($B148,0,12*BC$9+1,1,12)),IFERROR(GETPIVOTDATA("Sum of FY"&amp;BC$9+1,'PT-All'!$A$1,"Scenario",BC$12,"P&amp;L Item",$B148),0))</f>
        <v>0</v>
      </c>
    </row>
    <row r="149" spans="2:55" x14ac:dyDescent="0.35">
      <c r="B149" s="76" t="s">
        <v>177</v>
      </c>
      <c r="C149" s="65">
        <f>CHOOSE(PLColumn,IFERROR(GETPIVOTDATA("Sum of "&amp;C$9,'PT-All'!$A$1,"Scenario",C$12,"P&amp;L Item",$B149),0),IFERROR(GETPIVOTDATA("Sum of "&amp;C$9,'PT-All'!$A$1,"Scenario",C$12,"P&amp;L Item",$B149)/C$201,0),TEXT(IFERROR(GETPIVOTDATA("Sum of "&amp;C$9,'PT-All'!$A$1,"Scenario",C$12,"P&amp;L Item",$B149)/C$29,0),"0.00%"))</f>
        <v>0</v>
      </c>
      <c r="D149" s="65">
        <f>CHOOSE(PLColumn,IFERROR(GETPIVOTDATA("Sum of "&amp;D$9,'PT-All'!$A$1,"Scenario",D$12,"P&amp;L Item",$B149),0),IFERROR(GETPIVOTDATA("Sum of "&amp;D$9,'PT-All'!$A$1,"Scenario",D$12,"P&amp;L Item",$B149)/D$201,0),TEXT(IFERROR(GETPIVOTDATA("Sum of "&amp;D$9,'PT-All'!$A$1,"Scenario",D$12,"P&amp;L Item",$B149)/D$29,0),"0.00%"))</f>
        <v>0</v>
      </c>
      <c r="E149" s="65">
        <f>CHOOSE(PLColumn,IFERROR(GETPIVOTDATA("Sum of "&amp;E$9,'PT-All'!$A$1,"Scenario",E$12,"P&amp;L Item",$B149),0),IFERROR(GETPIVOTDATA("Sum of "&amp;E$9,'PT-All'!$A$1,"Scenario",E$12,"P&amp;L Item",$B149)/E$201,0),TEXT(IFERROR(GETPIVOTDATA("Sum of "&amp;E$9,'PT-All'!$A$1,"Scenario",E$12,"P&amp;L Item",$B149)/E$29,0),"0.00%"))</f>
        <v>0</v>
      </c>
      <c r="F149" s="65">
        <f>CHOOSE(PLColumn,IFERROR(GETPIVOTDATA("Sum of "&amp;F$9,'PT-All'!$A$1,"Scenario",F$12,"P&amp;L Item",$B149),0),IFERROR(GETPIVOTDATA("Sum of "&amp;F$9,'PT-All'!$A$1,"Scenario",F$12,"P&amp;L Item",$B149)/F$201,0),TEXT(IFERROR(GETPIVOTDATA("Sum of "&amp;F$9,'PT-All'!$A$1,"Scenario",F$12,"P&amp;L Item",$B149)/F$29,0),"0.00%"))</f>
        <v>0</v>
      </c>
      <c r="G149" s="65">
        <f>CHOOSE(PLColumn,IFERROR(GETPIVOTDATA("Sum of "&amp;G$9,'PT-All'!$A$1,"Scenario",G$12,"P&amp;L Item",$B149),0),IFERROR(GETPIVOTDATA("Sum of "&amp;G$9,'PT-All'!$A$1,"Scenario",G$12,"P&amp;L Item",$B149)/G$201,0),TEXT(IFERROR(GETPIVOTDATA("Sum of "&amp;G$9,'PT-All'!$A$1,"Scenario",G$12,"P&amp;L Item",$B149)/G$29,0),"0.00%"))</f>
        <v>0</v>
      </c>
      <c r="H149" s="65">
        <f>CHOOSE(PLColumn,IFERROR(GETPIVOTDATA("Sum of "&amp;H$9,'PT-All'!$A$1,"Scenario",H$12,"P&amp;L Item",$B149),0),IFERROR(GETPIVOTDATA("Sum of "&amp;H$9,'PT-All'!$A$1,"Scenario",H$12,"P&amp;L Item",$B149)/H$201,0),TEXT(IFERROR(GETPIVOTDATA("Sum of "&amp;H$9,'PT-All'!$A$1,"Scenario",H$12,"P&amp;L Item",$B149)/H$29,0),"0.00%"))</f>
        <v>0</v>
      </c>
      <c r="I149" s="65">
        <f>CHOOSE(PLColumn,IFERROR(GETPIVOTDATA("Sum of "&amp;I$9,'PT-All'!$A$1,"Scenario",I$12,"P&amp;L Item",$B149),0),IFERROR(GETPIVOTDATA("Sum of "&amp;I$9,'PT-All'!$A$1,"Scenario",I$12,"P&amp;L Item",$B149)/I$201,0),TEXT(IFERROR(GETPIVOTDATA("Sum of "&amp;I$9,'PT-All'!$A$1,"Scenario",I$12,"P&amp;L Item",$B149)/I$29,0),"0.00%"))</f>
        <v>0</v>
      </c>
      <c r="J149" s="65">
        <f>CHOOSE(PLColumn,IFERROR(GETPIVOTDATA("Sum of "&amp;J$9,'PT-All'!$A$1,"Scenario",J$12,"P&amp;L Item",$B149),0),IFERROR(GETPIVOTDATA("Sum of "&amp;J$9,'PT-All'!$A$1,"Scenario",J$12,"P&amp;L Item",$B149)/J$201,0),TEXT(IFERROR(GETPIVOTDATA("Sum of "&amp;J$9,'PT-All'!$A$1,"Scenario",J$12,"P&amp;L Item",$B149)/J$29,0),"0.00%"))</f>
        <v>0</v>
      </c>
      <c r="K149" s="65">
        <f>CHOOSE(PLColumn,IFERROR(GETPIVOTDATA("Sum of "&amp;K$9,'PT-All'!$A$1,"Scenario",K$12,"P&amp;L Item",$B149),0),IFERROR(GETPIVOTDATA("Sum of "&amp;K$9,'PT-All'!$A$1,"Scenario",K$12,"P&amp;L Item",$B149)/K$201,0),TEXT(IFERROR(GETPIVOTDATA("Sum of "&amp;K$9,'PT-All'!$A$1,"Scenario",K$12,"P&amp;L Item",$B149)/K$29,0),"0.00%"))</f>
        <v>0</v>
      </c>
      <c r="L149" s="65">
        <f>CHOOSE(PLColumn,IFERROR(GETPIVOTDATA("Sum of "&amp;L$9,'PT-All'!$A$1,"Scenario",L$12,"P&amp;L Item",$B149),0),IFERROR(GETPIVOTDATA("Sum of "&amp;L$9,'PT-All'!$A$1,"Scenario",L$12,"P&amp;L Item",$B149)/L$201,0),TEXT(IFERROR(GETPIVOTDATA("Sum of "&amp;L$9,'PT-All'!$A$1,"Scenario",L$12,"P&amp;L Item",$B149)/L$29,0),"0.00%"))</f>
        <v>0</v>
      </c>
      <c r="M149" s="65">
        <f>CHOOSE(PLColumn,IFERROR(GETPIVOTDATA("Sum of "&amp;M$9,'PT-All'!$A$1,"Scenario",M$12,"P&amp;L Item",$B149),0),IFERROR(GETPIVOTDATA("Sum of "&amp;M$9,'PT-All'!$A$1,"Scenario",M$12,"P&amp;L Item",$B149)/M$201,0),TEXT(IFERROR(GETPIVOTDATA("Sum of "&amp;M$9,'PT-All'!$A$1,"Scenario",M$12,"P&amp;L Item",$B149)/M$29,0),"0.00%"))</f>
        <v>0</v>
      </c>
      <c r="N149" s="65">
        <f>CHOOSE(PLColumn,IFERROR(GETPIVOTDATA("Sum of "&amp;N$9,'PT-All'!$A$1,"Scenario",N$12,"P&amp;L Item",$B149),0),IFERROR(GETPIVOTDATA("Sum of "&amp;N$9,'PT-All'!$A$1,"Scenario",N$12,"P&amp;L Item",$B149)/N$201,0),TEXT(IFERROR(GETPIVOTDATA("Sum of "&amp;N$9,'PT-All'!$A$1,"Scenario",N$12,"P&amp;L Item",$B149)/N$29,0),"0.00%"))</f>
        <v>0</v>
      </c>
      <c r="O149" s="65">
        <f>CHOOSE(PLColumn,IFERROR(GETPIVOTDATA("Sum of "&amp;O$9,'PT-All'!$A$1,"Scenario",O$12,"P&amp;L Item",$B149),0),IFERROR(GETPIVOTDATA("Sum of "&amp;O$9,'PT-All'!$A$1,"Scenario",O$12,"P&amp;L Item",$B149)/O$201,0),TEXT(IFERROR(GETPIVOTDATA("Sum of "&amp;O$9,'PT-All'!$A$1,"Scenario",O$12,"P&amp;L Item",$B149)/O$29,0),"0.00%"))</f>
        <v>0</v>
      </c>
      <c r="P149" s="65">
        <f>CHOOSE(PLColumn,IFERROR(GETPIVOTDATA("Sum of "&amp;P$9,'PT-All'!$A$1,"Scenario",P$12,"P&amp;L Item",$B149),0),IFERROR(GETPIVOTDATA("Sum of "&amp;P$9,'PT-All'!$A$1,"Scenario",P$12,"P&amp;L Item",$B149)/P$201,0),TEXT(IFERROR(GETPIVOTDATA("Sum of "&amp;P$9,'PT-All'!$A$1,"Scenario",P$12,"P&amp;L Item",$B149)/P$29,0),"0.00%"))</f>
        <v>0</v>
      </c>
      <c r="Q149" s="65">
        <f>CHOOSE(PLColumn,IFERROR(GETPIVOTDATA("Sum of "&amp;Q$9,'PT-All'!$A$1,"Scenario",Q$12,"P&amp;L Item",$B149),0),IFERROR(GETPIVOTDATA("Sum of "&amp;Q$9,'PT-All'!$A$1,"Scenario",Q$12,"P&amp;L Item",$B149)/Q$201,0),TEXT(IFERROR(GETPIVOTDATA("Sum of "&amp;Q$9,'PT-All'!$A$1,"Scenario",Q$12,"P&amp;L Item",$B149)/Q$29,0),"0.00%"))</f>
        <v>0</v>
      </c>
      <c r="R149" s="65">
        <f>CHOOSE(PLColumn,IFERROR(GETPIVOTDATA("Sum of "&amp;R$9,'PT-All'!$A$1,"Scenario",R$12,"P&amp;L Item",$B149),0),IFERROR(GETPIVOTDATA("Sum of "&amp;R$9,'PT-All'!$A$1,"Scenario",R$12,"P&amp;L Item",$B149)/R$201,0),TEXT(IFERROR(GETPIVOTDATA("Sum of "&amp;R$9,'PT-All'!$A$1,"Scenario",R$12,"P&amp;L Item",$B149)/R$29,0),"0.00%"))</f>
        <v>0</v>
      </c>
      <c r="S149" s="65">
        <f>CHOOSE(PLColumn,IFERROR(GETPIVOTDATA("Sum of "&amp;S$9,'PT-All'!$A$1,"Scenario",S$12,"P&amp;L Item",$B149),0),IFERROR(GETPIVOTDATA("Sum of "&amp;S$9,'PT-All'!$A$1,"Scenario",S$12,"P&amp;L Item",$B149)/S$201,0),TEXT(IFERROR(GETPIVOTDATA("Sum of "&amp;S$9,'PT-All'!$A$1,"Scenario",S$12,"P&amp;L Item",$B149)/S$29,0),"0.00%"))</f>
        <v>0</v>
      </c>
      <c r="T149" s="65">
        <f>CHOOSE(PLColumn,IFERROR(GETPIVOTDATA("Sum of "&amp;T$9,'PT-All'!$A$1,"Scenario",T$12,"P&amp;L Item",$B149),0),IFERROR(GETPIVOTDATA("Sum of "&amp;T$9,'PT-All'!$A$1,"Scenario",T$12,"P&amp;L Item",$B149)/T$201,0),TEXT(IFERROR(GETPIVOTDATA("Sum of "&amp;T$9,'PT-All'!$A$1,"Scenario",T$12,"P&amp;L Item",$B149)/T$29,0),"0.00%"))</f>
        <v>0</v>
      </c>
      <c r="U149" s="65">
        <f>CHOOSE(PLColumn,IFERROR(GETPIVOTDATA("Sum of "&amp;U$9,'PT-All'!$A$1,"Scenario",U$12,"P&amp;L Item",$B149),0),IFERROR(GETPIVOTDATA("Sum of "&amp;U$9,'PT-All'!$A$1,"Scenario",U$12,"P&amp;L Item",$B149)/U$201,0),TEXT(IFERROR(GETPIVOTDATA("Sum of "&amp;U$9,'PT-All'!$A$1,"Scenario",U$12,"P&amp;L Item",$B149)/U$29,0),"0.00%"))</f>
        <v>0</v>
      </c>
      <c r="V149" s="65">
        <f>CHOOSE(PLColumn,IFERROR(GETPIVOTDATA("Sum of "&amp;V$9,'PT-All'!$A$1,"Scenario",V$12,"P&amp;L Item",$B149),0),IFERROR(GETPIVOTDATA("Sum of "&amp;V$9,'PT-All'!$A$1,"Scenario",V$12,"P&amp;L Item",$B149)/V$201,0),TEXT(IFERROR(GETPIVOTDATA("Sum of "&amp;V$9,'PT-All'!$A$1,"Scenario",V$12,"P&amp;L Item",$B149)/V$29,0),"0.00%"))</f>
        <v>0</v>
      </c>
      <c r="W149" s="65">
        <f>CHOOSE(PLColumn,IFERROR(GETPIVOTDATA("Sum of "&amp;W$9,'PT-All'!$A$1,"Scenario",W$12,"P&amp;L Item",$B149),0),IFERROR(GETPIVOTDATA("Sum of "&amp;W$9,'PT-All'!$A$1,"Scenario",W$12,"P&amp;L Item",$B149)/W$201,0),TEXT(IFERROR(GETPIVOTDATA("Sum of "&amp;W$9,'PT-All'!$A$1,"Scenario",W$12,"P&amp;L Item",$B149)/W$29,0),"0.00%"))</f>
        <v>0</v>
      </c>
      <c r="X149" s="65">
        <f>CHOOSE(PLColumn,IFERROR(GETPIVOTDATA("Sum of "&amp;X$9,'PT-All'!$A$1,"Scenario",X$12,"P&amp;L Item",$B149),0),IFERROR(GETPIVOTDATA("Sum of "&amp;X$9,'PT-All'!$A$1,"Scenario",X$12,"P&amp;L Item",$B149)/X$201,0),TEXT(IFERROR(GETPIVOTDATA("Sum of "&amp;X$9,'PT-All'!$A$1,"Scenario",X$12,"P&amp;L Item",$B149)/X$29,0),"0.00%"))</f>
        <v>0</v>
      </c>
      <c r="Y149" s="65">
        <f>CHOOSE(PLColumn,IFERROR(GETPIVOTDATA("Sum of "&amp;Y$9,'PT-All'!$A$1,"Scenario",Y$12,"P&amp;L Item",$B149),0),IFERROR(GETPIVOTDATA("Sum of "&amp;Y$9,'PT-All'!$A$1,"Scenario",Y$12,"P&amp;L Item",$B149)/Y$201,0),TEXT(IFERROR(GETPIVOTDATA("Sum of "&amp;Y$9,'PT-All'!$A$1,"Scenario",Y$12,"P&amp;L Item",$B149)/Y$29,0),"0.00%"))</f>
        <v>0</v>
      </c>
      <c r="Z149" s="65">
        <f>CHOOSE(PLColumn,IFERROR(GETPIVOTDATA("Sum of "&amp;Z$9,'PT-All'!$A$1,"Scenario",Z$12,"P&amp;L Item",$B149),0),IFERROR(GETPIVOTDATA("Sum of "&amp;Z$9,'PT-All'!$A$1,"Scenario",Z$12,"P&amp;L Item",$B149)/Z$201,0),TEXT(IFERROR(GETPIVOTDATA("Sum of "&amp;Z$9,'PT-All'!$A$1,"Scenario",Z$12,"P&amp;L Item",$B149)/Z$29,0),"0.00%"))</f>
        <v>0</v>
      </c>
      <c r="AA149" s="65">
        <f>CHOOSE(PLColumn,IFERROR(GETPIVOTDATA("Sum of "&amp;AA$9,'PT-All'!$A$1,"Scenario",AA$12,"P&amp;L Item",$B149),0),IFERROR(GETPIVOTDATA("Sum of "&amp;AA$9,'PT-All'!$A$1,"Scenario",AA$12,"P&amp;L Item",$B149)/AA$201,0),TEXT(IFERROR(GETPIVOTDATA("Sum of "&amp;AA$9,'PT-All'!$A$1,"Scenario",AA$12,"P&amp;L Item",$B149)/AA$29,0),"0.00%"))</f>
        <v>0</v>
      </c>
      <c r="AB149" s="65">
        <f>CHOOSE(PLColumn,IFERROR(GETPIVOTDATA("Sum of "&amp;AB$9,'PT-All'!$A$1,"Scenario",AB$12,"P&amp;L Item",$B149),0),IFERROR(GETPIVOTDATA("Sum of "&amp;AB$9,'PT-All'!$A$1,"Scenario",AB$12,"P&amp;L Item",$B149)/AB$201,0),TEXT(IFERROR(GETPIVOTDATA("Sum of "&amp;AB$9,'PT-All'!$A$1,"Scenario",AB$12,"P&amp;L Item",$B149)/AB$29,0),"0.00%"))</f>
        <v>0</v>
      </c>
      <c r="AC149" s="65">
        <f>CHOOSE(PLColumn,IFERROR(GETPIVOTDATA("Sum of "&amp;AC$9,'PT-All'!$A$1,"Scenario",AC$12,"P&amp;L Item",$B149),0),IFERROR(GETPIVOTDATA("Sum of "&amp;AC$9,'PT-All'!$A$1,"Scenario",AC$12,"P&amp;L Item",$B149)/AC$201,0),TEXT(IFERROR(GETPIVOTDATA("Sum of "&amp;AC$9,'PT-All'!$A$1,"Scenario",AC$12,"P&amp;L Item",$B149)/AC$29,0),"0.00%"))</f>
        <v>0</v>
      </c>
      <c r="AD149" s="65">
        <f>CHOOSE(PLColumn,IFERROR(GETPIVOTDATA("Sum of "&amp;AD$9,'PT-All'!$A$1,"Scenario",AD$12,"P&amp;L Item",$B149),0),IFERROR(GETPIVOTDATA("Sum of "&amp;AD$9,'PT-All'!$A$1,"Scenario",AD$12,"P&amp;L Item",$B149)/AD$201,0),TEXT(IFERROR(GETPIVOTDATA("Sum of "&amp;AD$9,'PT-All'!$A$1,"Scenario",AD$12,"P&amp;L Item",$B149)/AD$29,0),"0.00%"))</f>
        <v>0</v>
      </c>
      <c r="AE149" s="65">
        <f>CHOOSE(PLColumn,IFERROR(GETPIVOTDATA("Sum of "&amp;AE$9,'PT-All'!$A$1,"Scenario",AE$12,"P&amp;L Item",$B149),0),IFERROR(GETPIVOTDATA("Sum of "&amp;AE$9,'PT-All'!$A$1,"Scenario",AE$12,"P&amp;L Item",$B149)/AE$201,0),TEXT(IFERROR(GETPIVOTDATA("Sum of "&amp;AE$9,'PT-All'!$A$1,"Scenario",AE$12,"P&amp;L Item",$B149)/AE$29,0),"0.00%"))</f>
        <v>0</v>
      </c>
      <c r="AF149" s="65">
        <f>CHOOSE(PLColumn,IFERROR(GETPIVOTDATA("Sum of "&amp;AF$9,'PT-All'!$A$1,"Scenario",AF$12,"P&amp;L Item",$B149),0),IFERROR(GETPIVOTDATA("Sum of "&amp;AF$9,'PT-All'!$A$1,"Scenario",AF$12,"P&amp;L Item",$B149)/AF$201,0),TEXT(IFERROR(GETPIVOTDATA("Sum of "&amp;AF$9,'PT-All'!$A$1,"Scenario",AF$12,"P&amp;L Item",$B149)/AF$29,0),"0.00%"))</f>
        <v>0</v>
      </c>
      <c r="AG149" s="65">
        <f>CHOOSE(PLColumn,IFERROR(GETPIVOTDATA("Sum of "&amp;AG$9,'PT-All'!$A$1,"Scenario",AG$12,"P&amp;L Item",$B149),0),IFERROR(GETPIVOTDATA("Sum of "&amp;AG$9,'PT-All'!$A$1,"Scenario",AG$12,"P&amp;L Item",$B149)/AG$201,0),TEXT(IFERROR(GETPIVOTDATA("Sum of "&amp;AG$9,'PT-All'!$A$1,"Scenario",AG$12,"P&amp;L Item",$B149)/AG$29,0),"0.00%"))</f>
        <v>0</v>
      </c>
      <c r="AH149" s="65">
        <f>CHOOSE(PLColumn,IFERROR(GETPIVOTDATA("Sum of "&amp;AH$9,'PT-All'!$A$1,"Scenario",AH$12,"P&amp;L Item",$B149),0),IFERROR(GETPIVOTDATA("Sum of "&amp;AH$9,'PT-All'!$A$1,"Scenario",AH$12,"P&amp;L Item",$B149)/AH$201,0),TEXT(IFERROR(GETPIVOTDATA("Sum of "&amp;AH$9,'PT-All'!$A$1,"Scenario",AH$12,"P&amp;L Item",$B149)/AH$29,0),"0.00%"))</f>
        <v>0</v>
      </c>
      <c r="AI149" s="65">
        <f>CHOOSE(PLColumn,IFERROR(GETPIVOTDATA("Sum of "&amp;AI$9,'PT-All'!$A$1,"Scenario",AI$12,"P&amp;L Item",$B149),0),IFERROR(GETPIVOTDATA("Sum of "&amp;AI$9,'PT-All'!$A$1,"Scenario",AI$12,"P&amp;L Item",$B149)/AI$201,0),TEXT(IFERROR(GETPIVOTDATA("Sum of "&amp;AI$9,'PT-All'!$A$1,"Scenario",AI$12,"P&amp;L Item",$B149)/AI$29,0),"0.00%"))</f>
        <v>0</v>
      </c>
      <c r="AJ149" s="65">
        <f>CHOOSE(PLColumn,IFERROR(GETPIVOTDATA("Sum of "&amp;AJ$9,'PT-All'!$A$1,"Scenario",AJ$12,"P&amp;L Item",$B149),0),IFERROR(GETPIVOTDATA("Sum of "&amp;AJ$9,'PT-All'!$A$1,"Scenario",AJ$12,"P&amp;L Item",$B149)/AJ$201,0),TEXT(IFERROR(GETPIVOTDATA("Sum of "&amp;AJ$9,'PT-All'!$A$1,"Scenario",AJ$12,"P&amp;L Item",$B149)/AJ$29,0),"0.00%"))</f>
        <v>0</v>
      </c>
      <c r="AK149" s="65">
        <f>CHOOSE(PLColumn,IFERROR(GETPIVOTDATA("Sum of "&amp;AK$9,'PT-All'!$A$1,"Scenario",AK$12,"P&amp;L Item",$B149),0),IFERROR(GETPIVOTDATA("Sum of "&amp;AK$9,'PT-All'!$A$1,"Scenario",AK$12,"P&amp;L Item",$B149)/AK$201,0),TEXT(IFERROR(GETPIVOTDATA("Sum of "&amp;AK$9,'PT-All'!$A$1,"Scenario",AK$12,"P&amp;L Item",$B149)/AK$29,0),"0.00%"))</f>
        <v>0</v>
      </c>
      <c r="AL149" s="97">
        <f>CHOOSE(PLColumn,IFERROR(GETPIVOTDATA("Sum of "&amp;AL$9,'PT-All'!$A$1,"Scenario",AL$12,"P&amp;L Item",$B149),0),IFERROR(GETPIVOTDATA("Sum of "&amp;AL$9,'PT-All'!$A$1,"Scenario",AL$12,"P&amp;L Item",$B149)/AL$201,0),TEXT(IFERROR(GETPIVOTDATA("Sum of "&amp;AL$9,'PT-All'!$A$1,"Scenario",AL$12,"P&amp;L Item",$B149)/AL$29,0),"0.00%"))</f>
        <v>0</v>
      </c>
      <c r="AM149" s="590"/>
      <c r="AN149" s="108">
        <f ca="1">IF(AN$12="Pro Forma",SUM(OFFSET($B149,0,3*AN$9+1,1,3)),IFERROR(GETPIVOTDATA("Sum of Q"&amp;AN$9+1,'PT-All'!$A$1,"Scenario",AN$12,"P&amp;L Item",$B149),0))</f>
        <v>0</v>
      </c>
      <c r="AO149" s="65">
        <f ca="1">IF(AO$12="Pro Forma",SUM(OFFSET($B149,0,3*AO$9+1,1,3)),IFERROR(GETPIVOTDATA("Sum of Q"&amp;AO$9+1,'PT-All'!$A$1,"Scenario",AO$12,"P&amp;L Item",$B149),0))</f>
        <v>0</v>
      </c>
      <c r="AP149" s="65">
        <f ca="1">IF(AP$12="Pro Forma",SUM(OFFSET($B149,0,3*AP$9+1,1,3)),IFERROR(GETPIVOTDATA("Sum of Q"&amp;AP$9+1,'PT-All'!$A$1,"Scenario",AP$12,"P&amp;L Item",$B149),0))</f>
        <v>0</v>
      </c>
      <c r="AQ149" s="65">
        <f ca="1">IF(AQ$12="Pro Forma",SUM(OFFSET($B149,0,3*AQ$9+1,1,3)),IFERROR(GETPIVOTDATA("Sum of Q"&amp;AQ$9+1,'PT-All'!$A$1,"Scenario",AQ$12,"P&amp;L Item",$B149),0))</f>
        <v>0</v>
      </c>
      <c r="AR149" s="65">
        <f ca="1">IF(AR$12="Pro Forma",SUM(OFFSET($B149,0,3*AR$9+1,1,3)),IFERROR(GETPIVOTDATA("Sum of Q"&amp;AR$9+1,'PT-All'!$A$1,"Scenario",AR$12,"P&amp;L Item",$B149),0))</f>
        <v>0</v>
      </c>
      <c r="AS149" s="65">
        <f ca="1">IF(AS$12="Pro Forma",SUM(OFFSET($B149,0,3*AS$9+1,1,3)),IFERROR(GETPIVOTDATA("Sum of Q"&amp;AS$9+1,'PT-All'!$A$1,"Scenario",AS$12,"P&amp;L Item",$B149),0))</f>
        <v>0</v>
      </c>
      <c r="AT149" s="65">
        <f ca="1">IF(AT$12="Pro Forma",SUM(OFFSET($B149,0,3*AT$9+1,1,3)),IFERROR(GETPIVOTDATA("Sum of Q"&amp;AT$9+1,'PT-All'!$A$1,"Scenario",AT$12,"P&amp;L Item",$B149),0))</f>
        <v>0</v>
      </c>
      <c r="AU149" s="65">
        <f ca="1">IF(AU$12="Pro Forma",SUM(OFFSET($B149,0,3*AU$9+1,1,3)),IFERROR(GETPIVOTDATA("Sum of Q"&amp;AU$9+1,'PT-All'!$A$1,"Scenario",AU$12,"P&amp;L Item",$B149),0))</f>
        <v>0</v>
      </c>
      <c r="AV149" s="65">
        <f ca="1">IF(AV$12="Pro Forma",SUM(OFFSET($B149,0,3*AV$9+1,1,3)),IFERROR(GETPIVOTDATA("Sum of Q"&amp;AV$9+1,'PT-All'!$A$1,"Scenario",AV$12,"P&amp;L Item",$B149),0))</f>
        <v>0</v>
      </c>
      <c r="AW149" s="65">
        <f ca="1">IF(AW$12="Pro Forma",SUM(OFFSET($B149,0,3*AW$9+1,1,3)),IFERROR(GETPIVOTDATA("Sum of Q"&amp;AW$9+1,'PT-All'!$A$1,"Scenario",AW$12,"P&amp;L Item",$B149),0))</f>
        <v>0</v>
      </c>
      <c r="AX149" s="65">
        <f ca="1">IF(AX$12="Pro Forma",SUM(OFFSET($B149,0,3*AX$9+1,1,3)),IFERROR(GETPIVOTDATA("Sum of Q"&amp;AX$9+1,'PT-All'!$A$1,"Scenario",AX$12,"P&amp;L Item",$B149),0))</f>
        <v>0</v>
      </c>
      <c r="AY149" s="97">
        <f ca="1">IF(AY$12="Pro Forma",SUM(OFFSET($B149,0,3*AY$9+1,1,3)),IFERROR(GETPIVOTDATA("Sum of Q"&amp;AY$9+1,'PT-All'!$A$1,"Scenario",AY$12,"P&amp;L Item",$B149),0))</f>
        <v>0</v>
      </c>
      <c r="AZ149" s="590"/>
      <c r="BA149" s="108">
        <f ca="1">IF(BA$12="Pro Forma",SUM(OFFSET($B149,0,12*BA$9+1,1,12)),IFERROR(GETPIVOTDATA("Sum of FY"&amp;BA$9+1,'PT-All'!$A$1,"Scenario",BA$12,"P&amp;L Item",$B149),0))</f>
        <v>0</v>
      </c>
      <c r="BB149" s="65">
        <f ca="1">IF(BB$12="Pro Forma",SUM(OFFSET($B149,0,12*BB$9+1,1,12)),IFERROR(GETPIVOTDATA("Sum of FY"&amp;BB$9+1,'PT-All'!$A$1,"Scenario",BB$12,"P&amp;L Item",$B149),0))</f>
        <v>0</v>
      </c>
      <c r="BC149" s="97">
        <f ca="1">IF(BC$12="Pro Forma",SUM(OFFSET($B149,0,12*BC$9+1,1,12)),IFERROR(GETPIVOTDATA("Sum of FY"&amp;BC$9+1,'PT-All'!$A$1,"Scenario",BC$12,"P&amp;L Item",$B149),0))</f>
        <v>0</v>
      </c>
    </row>
    <row r="150" spans="2:55" x14ac:dyDescent="0.35">
      <c r="B150" s="76" t="s">
        <v>178</v>
      </c>
      <c r="C150" s="65">
        <f>CHOOSE(PLColumn,IFERROR(GETPIVOTDATA("Sum of "&amp;C$9,'PT-All'!$A$1,"Scenario",C$12,"P&amp;L Item",$B150),0),IFERROR(GETPIVOTDATA("Sum of "&amp;C$9,'PT-All'!$A$1,"Scenario",C$12,"P&amp;L Item",$B150)/C$201,0),TEXT(IFERROR(GETPIVOTDATA("Sum of "&amp;C$9,'PT-All'!$A$1,"Scenario",C$12,"P&amp;L Item",$B150)/C$29,0),"0.00%"))</f>
        <v>0</v>
      </c>
      <c r="D150" s="65">
        <f>CHOOSE(PLColumn,IFERROR(GETPIVOTDATA("Sum of "&amp;D$9,'PT-All'!$A$1,"Scenario",D$12,"P&amp;L Item",$B150),0),IFERROR(GETPIVOTDATA("Sum of "&amp;D$9,'PT-All'!$A$1,"Scenario",D$12,"P&amp;L Item",$B150)/D$201,0),TEXT(IFERROR(GETPIVOTDATA("Sum of "&amp;D$9,'PT-All'!$A$1,"Scenario",D$12,"P&amp;L Item",$B150)/D$29,0),"0.00%"))</f>
        <v>0</v>
      </c>
      <c r="E150" s="65">
        <f>CHOOSE(PLColumn,IFERROR(GETPIVOTDATA("Sum of "&amp;E$9,'PT-All'!$A$1,"Scenario",E$12,"P&amp;L Item",$B150),0),IFERROR(GETPIVOTDATA("Sum of "&amp;E$9,'PT-All'!$A$1,"Scenario",E$12,"P&amp;L Item",$B150)/E$201,0),TEXT(IFERROR(GETPIVOTDATA("Sum of "&amp;E$9,'PT-All'!$A$1,"Scenario",E$12,"P&amp;L Item",$B150)/E$29,0),"0.00%"))</f>
        <v>0</v>
      </c>
      <c r="F150" s="65">
        <f>CHOOSE(PLColumn,IFERROR(GETPIVOTDATA("Sum of "&amp;F$9,'PT-All'!$A$1,"Scenario",F$12,"P&amp;L Item",$B150),0),IFERROR(GETPIVOTDATA("Sum of "&amp;F$9,'PT-All'!$A$1,"Scenario",F$12,"P&amp;L Item",$B150)/F$201,0),TEXT(IFERROR(GETPIVOTDATA("Sum of "&amp;F$9,'PT-All'!$A$1,"Scenario",F$12,"P&amp;L Item",$B150)/F$29,0),"0.00%"))</f>
        <v>0</v>
      </c>
      <c r="G150" s="65">
        <f>CHOOSE(PLColumn,IFERROR(GETPIVOTDATA("Sum of "&amp;G$9,'PT-All'!$A$1,"Scenario",G$12,"P&amp;L Item",$B150),0),IFERROR(GETPIVOTDATA("Sum of "&amp;G$9,'PT-All'!$A$1,"Scenario",G$12,"P&amp;L Item",$B150)/G$201,0),TEXT(IFERROR(GETPIVOTDATA("Sum of "&amp;G$9,'PT-All'!$A$1,"Scenario",G$12,"P&amp;L Item",$B150)/G$29,0),"0.00%"))</f>
        <v>0</v>
      </c>
      <c r="H150" s="65">
        <f>CHOOSE(PLColumn,IFERROR(GETPIVOTDATA("Sum of "&amp;H$9,'PT-All'!$A$1,"Scenario",H$12,"P&amp;L Item",$B150),0),IFERROR(GETPIVOTDATA("Sum of "&amp;H$9,'PT-All'!$A$1,"Scenario",H$12,"P&amp;L Item",$B150)/H$201,0),TEXT(IFERROR(GETPIVOTDATA("Sum of "&amp;H$9,'PT-All'!$A$1,"Scenario",H$12,"P&amp;L Item",$B150)/H$29,0),"0.00%"))</f>
        <v>0</v>
      </c>
      <c r="I150" s="65">
        <f>CHOOSE(PLColumn,IFERROR(GETPIVOTDATA("Sum of "&amp;I$9,'PT-All'!$A$1,"Scenario",I$12,"P&amp;L Item",$B150),0),IFERROR(GETPIVOTDATA("Sum of "&amp;I$9,'PT-All'!$A$1,"Scenario",I$12,"P&amp;L Item",$B150)/I$201,0),TEXT(IFERROR(GETPIVOTDATA("Sum of "&amp;I$9,'PT-All'!$A$1,"Scenario",I$12,"P&amp;L Item",$B150)/I$29,0),"0.00%"))</f>
        <v>0</v>
      </c>
      <c r="J150" s="65">
        <f>CHOOSE(PLColumn,IFERROR(GETPIVOTDATA("Sum of "&amp;J$9,'PT-All'!$A$1,"Scenario",J$12,"P&amp;L Item",$B150),0),IFERROR(GETPIVOTDATA("Sum of "&amp;J$9,'PT-All'!$A$1,"Scenario",J$12,"P&amp;L Item",$B150)/J$201,0),TEXT(IFERROR(GETPIVOTDATA("Sum of "&amp;J$9,'PT-All'!$A$1,"Scenario",J$12,"P&amp;L Item",$B150)/J$29,0),"0.00%"))</f>
        <v>0</v>
      </c>
      <c r="K150" s="65">
        <f>CHOOSE(PLColumn,IFERROR(GETPIVOTDATA("Sum of "&amp;K$9,'PT-All'!$A$1,"Scenario",K$12,"P&amp;L Item",$B150),0),IFERROR(GETPIVOTDATA("Sum of "&amp;K$9,'PT-All'!$A$1,"Scenario",K$12,"P&amp;L Item",$B150)/K$201,0),TEXT(IFERROR(GETPIVOTDATA("Sum of "&amp;K$9,'PT-All'!$A$1,"Scenario",K$12,"P&amp;L Item",$B150)/K$29,0),"0.00%"))</f>
        <v>0</v>
      </c>
      <c r="L150" s="65">
        <f>CHOOSE(PLColumn,IFERROR(GETPIVOTDATA("Sum of "&amp;L$9,'PT-All'!$A$1,"Scenario",L$12,"P&amp;L Item",$B150),0),IFERROR(GETPIVOTDATA("Sum of "&amp;L$9,'PT-All'!$A$1,"Scenario",L$12,"P&amp;L Item",$B150)/L$201,0),TEXT(IFERROR(GETPIVOTDATA("Sum of "&amp;L$9,'PT-All'!$A$1,"Scenario",L$12,"P&amp;L Item",$B150)/L$29,0),"0.00%"))</f>
        <v>0</v>
      </c>
      <c r="M150" s="65">
        <f>CHOOSE(PLColumn,IFERROR(GETPIVOTDATA("Sum of "&amp;M$9,'PT-All'!$A$1,"Scenario",M$12,"P&amp;L Item",$B150),0),IFERROR(GETPIVOTDATA("Sum of "&amp;M$9,'PT-All'!$A$1,"Scenario",M$12,"P&amp;L Item",$B150)/M$201,0),TEXT(IFERROR(GETPIVOTDATA("Sum of "&amp;M$9,'PT-All'!$A$1,"Scenario",M$12,"P&amp;L Item",$B150)/M$29,0),"0.00%"))</f>
        <v>0</v>
      </c>
      <c r="N150" s="65">
        <f>CHOOSE(PLColumn,IFERROR(GETPIVOTDATA("Sum of "&amp;N$9,'PT-All'!$A$1,"Scenario",N$12,"P&amp;L Item",$B150),0),IFERROR(GETPIVOTDATA("Sum of "&amp;N$9,'PT-All'!$A$1,"Scenario",N$12,"P&amp;L Item",$B150)/N$201,0),TEXT(IFERROR(GETPIVOTDATA("Sum of "&amp;N$9,'PT-All'!$A$1,"Scenario",N$12,"P&amp;L Item",$B150)/N$29,0),"0.00%"))</f>
        <v>0</v>
      </c>
      <c r="O150" s="65">
        <f>CHOOSE(PLColumn,IFERROR(GETPIVOTDATA("Sum of "&amp;O$9,'PT-All'!$A$1,"Scenario",O$12,"P&amp;L Item",$B150),0),IFERROR(GETPIVOTDATA("Sum of "&amp;O$9,'PT-All'!$A$1,"Scenario",O$12,"P&amp;L Item",$B150)/O$201,0),TEXT(IFERROR(GETPIVOTDATA("Sum of "&amp;O$9,'PT-All'!$A$1,"Scenario",O$12,"P&amp;L Item",$B150)/O$29,0),"0.00%"))</f>
        <v>0</v>
      </c>
      <c r="P150" s="65">
        <f>CHOOSE(PLColumn,IFERROR(GETPIVOTDATA("Sum of "&amp;P$9,'PT-All'!$A$1,"Scenario",P$12,"P&amp;L Item",$B150),0),IFERROR(GETPIVOTDATA("Sum of "&amp;P$9,'PT-All'!$A$1,"Scenario",P$12,"P&amp;L Item",$B150)/P$201,0),TEXT(IFERROR(GETPIVOTDATA("Sum of "&amp;P$9,'PT-All'!$A$1,"Scenario",P$12,"P&amp;L Item",$B150)/P$29,0),"0.00%"))</f>
        <v>0</v>
      </c>
      <c r="Q150" s="65">
        <f>CHOOSE(PLColumn,IFERROR(GETPIVOTDATA("Sum of "&amp;Q$9,'PT-All'!$A$1,"Scenario",Q$12,"P&amp;L Item",$B150),0),IFERROR(GETPIVOTDATA("Sum of "&amp;Q$9,'PT-All'!$A$1,"Scenario",Q$12,"P&amp;L Item",$B150)/Q$201,0),TEXT(IFERROR(GETPIVOTDATA("Sum of "&amp;Q$9,'PT-All'!$A$1,"Scenario",Q$12,"P&amp;L Item",$B150)/Q$29,0),"0.00%"))</f>
        <v>0</v>
      </c>
      <c r="R150" s="65">
        <f>CHOOSE(PLColumn,IFERROR(GETPIVOTDATA("Sum of "&amp;R$9,'PT-All'!$A$1,"Scenario",R$12,"P&amp;L Item",$B150),0),IFERROR(GETPIVOTDATA("Sum of "&amp;R$9,'PT-All'!$A$1,"Scenario",R$12,"P&amp;L Item",$B150)/R$201,0),TEXT(IFERROR(GETPIVOTDATA("Sum of "&amp;R$9,'PT-All'!$A$1,"Scenario",R$12,"P&amp;L Item",$B150)/R$29,0),"0.00%"))</f>
        <v>0</v>
      </c>
      <c r="S150" s="65">
        <f>CHOOSE(PLColumn,IFERROR(GETPIVOTDATA("Sum of "&amp;S$9,'PT-All'!$A$1,"Scenario",S$12,"P&amp;L Item",$B150),0),IFERROR(GETPIVOTDATA("Sum of "&amp;S$9,'PT-All'!$A$1,"Scenario",S$12,"P&amp;L Item",$B150)/S$201,0),TEXT(IFERROR(GETPIVOTDATA("Sum of "&amp;S$9,'PT-All'!$A$1,"Scenario",S$12,"P&amp;L Item",$B150)/S$29,0),"0.00%"))</f>
        <v>0</v>
      </c>
      <c r="T150" s="65">
        <f>CHOOSE(PLColumn,IFERROR(GETPIVOTDATA("Sum of "&amp;T$9,'PT-All'!$A$1,"Scenario",T$12,"P&amp;L Item",$B150),0),IFERROR(GETPIVOTDATA("Sum of "&amp;T$9,'PT-All'!$A$1,"Scenario",T$12,"P&amp;L Item",$B150)/T$201,0),TEXT(IFERROR(GETPIVOTDATA("Sum of "&amp;T$9,'PT-All'!$A$1,"Scenario",T$12,"P&amp;L Item",$B150)/T$29,0),"0.00%"))</f>
        <v>0</v>
      </c>
      <c r="U150" s="65">
        <f>CHOOSE(PLColumn,IFERROR(GETPIVOTDATA("Sum of "&amp;U$9,'PT-All'!$A$1,"Scenario",U$12,"P&amp;L Item",$B150),0),IFERROR(GETPIVOTDATA("Sum of "&amp;U$9,'PT-All'!$A$1,"Scenario",U$12,"P&amp;L Item",$B150)/U$201,0),TEXT(IFERROR(GETPIVOTDATA("Sum of "&amp;U$9,'PT-All'!$A$1,"Scenario",U$12,"P&amp;L Item",$B150)/U$29,0),"0.00%"))</f>
        <v>0</v>
      </c>
      <c r="V150" s="65">
        <f>CHOOSE(PLColumn,IFERROR(GETPIVOTDATA("Sum of "&amp;V$9,'PT-All'!$A$1,"Scenario",V$12,"P&amp;L Item",$B150),0),IFERROR(GETPIVOTDATA("Sum of "&amp;V$9,'PT-All'!$A$1,"Scenario",V$12,"P&amp;L Item",$B150)/V$201,0),TEXT(IFERROR(GETPIVOTDATA("Sum of "&amp;V$9,'PT-All'!$A$1,"Scenario",V$12,"P&amp;L Item",$B150)/V$29,0),"0.00%"))</f>
        <v>0</v>
      </c>
      <c r="W150" s="65">
        <f>CHOOSE(PLColumn,IFERROR(GETPIVOTDATA("Sum of "&amp;W$9,'PT-All'!$A$1,"Scenario",W$12,"P&amp;L Item",$B150),0),IFERROR(GETPIVOTDATA("Sum of "&amp;W$9,'PT-All'!$A$1,"Scenario",W$12,"P&amp;L Item",$B150)/W$201,0),TEXT(IFERROR(GETPIVOTDATA("Sum of "&amp;W$9,'PT-All'!$A$1,"Scenario",W$12,"P&amp;L Item",$B150)/W$29,0),"0.00%"))</f>
        <v>0</v>
      </c>
      <c r="X150" s="65">
        <f>CHOOSE(PLColumn,IFERROR(GETPIVOTDATA("Sum of "&amp;X$9,'PT-All'!$A$1,"Scenario",X$12,"P&amp;L Item",$B150),0),IFERROR(GETPIVOTDATA("Sum of "&amp;X$9,'PT-All'!$A$1,"Scenario",X$12,"P&amp;L Item",$B150)/X$201,0),TEXT(IFERROR(GETPIVOTDATA("Sum of "&amp;X$9,'PT-All'!$A$1,"Scenario",X$12,"P&amp;L Item",$B150)/X$29,0),"0.00%"))</f>
        <v>0</v>
      </c>
      <c r="Y150" s="65">
        <f>CHOOSE(PLColumn,IFERROR(GETPIVOTDATA("Sum of "&amp;Y$9,'PT-All'!$A$1,"Scenario",Y$12,"P&amp;L Item",$B150),0),IFERROR(GETPIVOTDATA("Sum of "&amp;Y$9,'PT-All'!$A$1,"Scenario",Y$12,"P&amp;L Item",$B150)/Y$201,0),TEXT(IFERROR(GETPIVOTDATA("Sum of "&amp;Y$9,'PT-All'!$A$1,"Scenario",Y$12,"P&amp;L Item",$B150)/Y$29,0),"0.00%"))</f>
        <v>0</v>
      </c>
      <c r="Z150" s="65">
        <f>CHOOSE(PLColumn,IFERROR(GETPIVOTDATA("Sum of "&amp;Z$9,'PT-All'!$A$1,"Scenario",Z$12,"P&amp;L Item",$B150),0),IFERROR(GETPIVOTDATA("Sum of "&amp;Z$9,'PT-All'!$A$1,"Scenario",Z$12,"P&amp;L Item",$B150)/Z$201,0),TEXT(IFERROR(GETPIVOTDATA("Sum of "&amp;Z$9,'PT-All'!$A$1,"Scenario",Z$12,"P&amp;L Item",$B150)/Z$29,0),"0.00%"))</f>
        <v>0</v>
      </c>
      <c r="AA150" s="65">
        <f>CHOOSE(PLColumn,IFERROR(GETPIVOTDATA("Sum of "&amp;AA$9,'PT-All'!$A$1,"Scenario",AA$12,"P&amp;L Item",$B150),0),IFERROR(GETPIVOTDATA("Sum of "&amp;AA$9,'PT-All'!$A$1,"Scenario",AA$12,"P&amp;L Item",$B150)/AA$201,0),TEXT(IFERROR(GETPIVOTDATA("Sum of "&amp;AA$9,'PT-All'!$A$1,"Scenario",AA$12,"P&amp;L Item",$B150)/AA$29,0),"0.00%"))</f>
        <v>0</v>
      </c>
      <c r="AB150" s="65">
        <f>CHOOSE(PLColumn,IFERROR(GETPIVOTDATA("Sum of "&amp;AB$9,'PT-All'!$A$1,"Scenario",AB$12,"P&amp;L Item",$B150),0),IFERROR(GETPIVOTDATA("Sum of "&amp;AB$9,'PT-All'!$A$1,"Scenario",AB$12,"P&amp;L Item",$B150)/AB$201,0),TEXT(IFERROR(GETPIVOTDATA("Sum of "&amp;AB$9,'PT-All'!$A$1,"Scenario",AB$12,"P&amp;L Item",$B150)/AB$29,0),"0.00%"))</f>
        <v>0</v>
      </c>
      <c r="AC150" s="65">
        <f>CHOOSE(PLColumn,IFERROR(GETPIVOTDATA("Sum of "&amp;AC$9,'PT-All'!$A$1,"Scenario",AC$12,"P&amp;L Item",$B150),0),IFERROR(GETPIVOTDATA("Sum of "&amp;AC$9,'PT-All'!$A$1,"Scenario",AC$12,"P&amp;L Item",$B150)/AC$201,0),TEXT(IFERROR(GETPIVOTDATA("Sum of "&amp;AC$9,'PT-All'!$A$1,"Scenario",AC$12,"P&amp;L Item",$B150)/AC$29,0),"0.00%"))</f>
        <v>0</v>
      </c>
      <c r="AD150" s="65">
        <f>CHOOSE(PLColumn,IFERROR(GETPIVOTDATA("Sum of "&amp;AD$9,'PT-All'!$A$1,"Scenario",AD$12,"P&amp;L Item",$B150),0),IFERROR(GETPIVOTDATA("Sum of "&amp;AD$9,'PT-All'!$A$1,"Scenario",AD$12,"P&amp;L Item",$B150)/AD$201,0),TEXT(IFERROR(GETPIVOTDATA("Sum of "&amp;AD$9,'PT-All'!$A$1,"Scenario",AD$12,"P&amp;L Item",$B150)/AD$29,0),"0.00%"))</f>
        <v>0</v>
      </c>
      <c r="AE150" s="65">
        <f>CHOOSE(PLColumn,IFERROR(GETPIVOTDATA("Sum of "&amp;AE$9,'PT-All'!$A$1,"Scenario",AE$12,"P&amp;L Item",$B150),0),IFERROR(GETPIVOTDATA("Sum of "&amp;AE$9,'PT-All'!$A$1,"Scenario",AE$12,"P&amp;L Item",$B150)/AE$201,0),TEXT(IFERROR(GETPIVOTDATA("Sum of "&amp;AE$9,'PT-All'!$A$1,"Scenario",AE$12,"P&amp;L Item",$B150)/AE$29,0),"0.00%"))</f>
        <v>0</v>
      </c>
      <c r="AF150" s="65">
        <f>CHOOSE(PLColumn,IFERROR(GETPIVOTDATA("Sum of "&amp;AF$9,'PT-All'!$A$1,"Scenario",AF$12,"P&amp;L Item",$B150),0),IFERROR(GETPIVOTDATA("Sum of "&amp;AF$9,'PT-All'!$A$1,"Scenario",AF$12,"P&amp;L Item",$B150)/AF$201,0),TEXT(IFERROR(GETPIVOTDATA("Sum of "&amp;AF$9,'PT-All'!$A$1,"Scenario",AF$12,"P&amp;L Item",$B150)/AF$29,0),"0.00%"))</f>
        <v>0</v>
      </c>
      <c r="AG150" s="65">
        <f>CHOOSE(PLColumn,IFERROR(GETPIVOTDATA("Sum of "&amp;AG$9,'PT-All'!$A$1,"Scenario",AG$12,"P&amp;L Item",$B150),0),IFERROR(GETPIVOTDATA("Sum of "&amp;AG$9,'PT-All'!$A$1,"Scenario",AG$12,"P&amp;L Item",$B150)/AG$201,0),TEXT(IFERROR(GETPIVOTDATA("Sum of "&amp;AG$9,'PT-All'!$A$1,"Scenario",AG$12,"P&amp;L Item",$B150)/AG$29,0),"0.00%"))</f>
        <v>0</v>
      </c>
      <c r="AH150" s="65">
        <f>CHOOSE(PLColumn,IFERROR(GETPIVOTDATA("Sum of "&amp;AH$9,'PT-All'!$A$1,"Scenario",AH$12,"P&amp;L Item",$B150),0),IFERROR(GETPIVOTDATA("Sum of "&amp;AH$9,'PT-All'!$A$1,"Scenario",AH$12,"P&amp;L Item",$B150)/AH$201,0),TEXT(IFERROR(GETPIVOTDATA("Sum of "&amp;AH$9,'PT-All'!$A$1,"Scenario",AH$12,"P&amp;L Item",$B150)/AH$29,0),"0.00%"))</f>
        <v>0</v>
      </c>
      <c r="AI150" s="65">
        <f>CHOOSE(PLColumn,IFERROR(GETPIVOTDATA("Sum of "&amp;AI$9,'PT-All'!$A$1,"Scenario",AI$12,"P&amp;L Item",$B150),0),IFERROR(GETPIVOTDATA("Sum of "&amp;AI$9,'PT-All'!$A$1,"Scenario",AI$12,"P&amp;L Item",$B150)/AI$201,0),TEXT(IFERROR(GETPIVOTDATA("Sum of "&amp;AI$9,'PT-All'!$A$1,"Scenario",AI$12,"P&amp;L Item",$B150)/AI$29,0),"0.00%"))</f>
        <v>0</v>
      </c>
      <c r="AJ150" s="65">
        <f>CHOOSE(PLColumn,IFERROR(GETPIVOTDATA("Sum of "&amp;AJ$9,'PT-All'!$A$1,"Scenario",AJ$12,"P&amp;L Item",$B150),0),IFERROR(GETPIVOTDATA("Sum of "&amp;AJ$9,'PT-All'!$A$1,"Scenario",AJ$12,"P&amp;L Item",$B150)/AJ$201,0),TEXT(IFERROR(GETPIVOTDATA("Sum of "&amp;AJ$9,'PT-All'!$A$1,"Scenario",AJ$12,"P&amp;L Item",$B150)/AJ$29,0),"0.00%"))</f>
        <v>0</v>
      </c>
      <c r="AK150" s="65">
        <f>CHOOSE(PLColumn,IFERROR(GETPIVOTDATA("Sum of "&amp;AK$9,'PT-All'!$A$1,"Scenario",AK$12,"P&amp;L Item",$B150),0),IFERROR(GETPIVOTDATA("Sum of "&amp;AK$9,'PT-All'!$A$1,"Scenario",AK$12,"P&amp;L Item",$B150)/AK$201,0),TEXT(IFERROR(GETPIVOTDATA("Sum of "&amp;AK$9,'PT-All'!$A$1,"Scenario",AK$12,"P&amp;L Item",$B150)/AK$29,0),"0.00%"))</f>
        <v>0</v>
      </c>
      <c r="AL150" s="97">
        <f>CHOOSE(PLColumn,IFERROR(GETPIVOTDATA("Sum of "&amp;AL$9,'PT-All'!$A$1,"Scenario",AL$12,"P&amp;L Item",$B150),0),IFERROR(GETPIVOTDATA("Sum of "&amp;AL$9,'PT-All'!$A$1,"Scenario",AL$12,"P&amp;L Item",$B150)/AL$201,0),TEXT(IFERROR(GETPIVOTDATA("Sum of "&amp;AL$9,'PT-All'!$A$1,"Scenario",AL$12,"P&amp;L Item",$B150)/AL$29,0),"0.00%"))</f>
        <v>0</v>
      </c>
      <c r="AM150" s="590"/>
      <c r="AN150" s="108">
        <f ca="1">IF(AN$12="Pro Forma",SUM(OFFSET($B150,0,3*AN$9+1,1,3)),IFERROR(GETPIVOTDATA("Sum of Q"&amp;AN$9+1,'PT-All'!$A$1,"Scenario",AN$12,"P&amp;L Item",$B150),0))</f>
        <v>0</v>
      </c>
      <c r="AO150" s="65">
        <f ca="1">IF(AO$12="Pro Forma",SUM(OFFSET($B150,0,3*AO$9+1,1,3)),IFERROR(GETPIVOTDATA("Sum of Q"&amp;AO$9+1,'PT-All'!$A$1,"Scenario",AO$12,"P&amp;L Item",$B150),0))</f>
        <v>0</v>
      </c>
      <c r="AP150" s="65">
        <f ca="1">IF(AP$12="Pro Forma",SUM(OFFSET($B150,0,3*AP$9+1,1,3)),IFERROR(GETPIVOTDATA("Sum of Q"&amp;AP$9+1,'PT-All'!$A$1,"Scenario",AP$12,"P&amp;L Item",$B150),0))</f>
        <v>0</v>
      </c>
      <c r="AQ150" s="65">
        <f ca="1">IF(AQ$12="Pro Forma",SUM(OFFSET($B150,0,3*AQ$9+1,1,3)),IFERROR(GETPIVOTDATA("Sum of Q"&amp;AQ$9+1,'PT-All'!$A$1,"Scenario",AQ$12,"P&amp;L Item",$B150),0))</f>
        <v>0</v>
      </c>
      <c r="AR150" s="65">
        <f ca="1">IF(AR$12="Pro Forma",SUM(OFFSET($B150,0,3*AR$9+1,1,3)),IFERROR(GETPIVOTDATA("Sum of Q"&amp;AR$9+1,'PT-All'!$A$1,"Scenario",AR$12,"P&amp;L Item",$B150),0))</f>
        <v>0</v>
      </c>
      <c r="AS150" s="65">
        <f ca="1">IF(AS$12="Pro Forma",SUM(OFFSET($B150,0,3*AS$9+1,1,3)),IFERROR(GETPIVOTDATA("Sum of Q"&amp;AS$9+1,'PT-All'!$A$1,"Scenario",AS$12,"P&amp;L Item",$B150),0))</f>
        <v>0</v>
      </c>
      <c r="AT150" s="65">
        <f ca="1">IF(AT$12="Pro Forma",SUM(OFFSET($B150,0,3*AT$9+1,1,3)),IFERROR(GETPIVOTDATA("Sum of Q"&amp;AT$9+1,'PT-All'!$A$1,"Scenario",AT$12,"P&amp;L Item",$B150),0))</f>
        <v>0</v>
      </c>
      <c r="AU150" s="65">
        <f ca="1">IF(AU$12="Pro Forma",SUM(OFFSET($B150,0,3*AU$9+1,1,3)),IFERROR(GETPIVOTDATA("Sum of Q"&amp;AU$9+1,'PT-All'!$A$1,"Scenario",AU$12,"P&amp;L Item",$B150),0))</f>
        <v>0</v>
      </c>
      <c r="AV150" s="65">
        <f ca="1">IF(AV$12="Pro Forma",SUM(OFFSET($B150,0,3*AV$9+1,1,3)),IFERROR(GETPIVOTDATA("Sum of Q"&amp;AV$9+1,'PT-All'!$A$1,"Scenario",AV$12,"P&amp;L Item",$B150),0))</f>
        <v>0</v>
      </c>
      <c r="AW150" s="65">
        <f ca="1">IF(AW$12="Pro Forma",SUM(OFFSET($B150,0,3*AW$9+1,1,3)),IFERROR(GETPIVOTDATA("Sum of Q"&amp;AW$9+1,'PT-All'!$A$1,"Scenario",AW$12,"P&amp;L Item",$B150),0))</f>
        <v>0</v>
      </c>
      <c r="AX150" s="65">
        <f ca="1">IF(AX$12="Pro Forma",SUM(OFFSET($B150,0,3*AX$9+1,1,3)),IFERROR(GETPIVOTDATA("Sum of Q"&amp;AX$9+1,'PT-All'!$A$1,"Scenario",AX$12,"P&amp;L Item",$B150),0))</f>
        <v>0</v>
      </c>
      <c r="AY150" s="97">
        <f ca="1">IF(AY$12="Pro Forma",SUM(OFFSET($B150,0,3*AY$9+1,1,3)),IFERROR(GETPIVOTDATA("Sum of Q"&amp;AY$9+1,'PT-All'!$A$1,"Scenario",AY$12,"P&amp;L Item",$B150),0))</f>
        <v>0</v>
      </c>
      <c r="AZ150" s="590"/>
      <c r="BA150" s="108">
        <f ca="1">IF(BA$12="Pro Forma",SUM(OFFSET($B150,0,12*BA$9+1,1,12)),IFERROR(GETPIVOTDATA("Sum of FY"&amp;BA$9+1,'PT-All'!$A$1,"Scenario",BA$12,"P&amp;L Item",$B150),0))</f>
        <v>0</v>
      </c>
      <c r="BB150" s="65">
        <f ca="1">IF(BB$12="Pro Forma",SUM(OFFSET($B150,0,12*BB$9+1,1,12)),IFERROR(GETPIVOTDATA("Sum of FY"&amp;BB$9+1,'PT-All'!$A$1,"Scenario",BB$12,"P&amp;L Item",$B150),0))</f>
        <v>0</v>
      </c>
      <c r="BC150" s="97">
        <f ca="1">IF(BC$12="Pro Forma",SUM(OFFSET($B150,0,12*BC$9+1,1,12)),IFERROR(GETPIVOTDATA("Sum of FY"&amp;BC$9+1,'PT-All'!$A$1,"Scenario",BC$12,"P&amp;L Item",$B150),0))</f>
        <v>0</v>
      </c>
    </row>
    <row r="151" spans="2:55" x14ac:dyDescent="0.35">
      <c r="B151" s="76" t="s">
        <v>179</v>
      </c>
      <c r="C151" s="65">
        <f>CHOOSE(PLColumn,IFERROR(GETPIVOTDATA("Sum of "&amp;C$9,'PT-All'!$A$1,"Scenario",C$12,"P&amp;L Item",$B151),0),IFERROR(GETPIVOTDATA("Sum of "&amp;C$9,'PT-All'!$A$1,"Scenario",C$12,"P&amp;L Item",$B151)/C$201,0),TEXT(IFERROR(GETPIVOTDATA("Sum of "&amp;C$9,'PT-All'!$A$1,"Scenario",C$12,"P&amp;L Item",$B151)/C$29,0),"0.00%"))</f>
        <v>0</v>
      </c>
      <c r="D151" s="65">
        <f>CHOOSE(PLColumn,IFERROR(GETPIVOTDATA("Sum of "&amp;D$9,'PT-All'!$A$1,"Scenario",D$12,"P&amp;L Item",$B151),0),IFERROR(GETPIVOTDATA("Sum of "&amp;D$9,'PT-All'!$A$1,"Scenario",D$12,"P&amp;L Item",$B151)/D$201,0),TEXT(IFERROR(GETPIVOTDATA("Sum of "&amp;D$9,'PT-All'!$A$1,"Scenario",D$12,"P&amp;L Item",$B151)/D$29,0),"0.00%"))</f>
        <v>0</v>
      </c>
      <c r="E151" s="65">
        <f>CHOOSE(PLColumn,IFERROR(GETPIVOTDATA("Sum of "&amp;E$9,'PT-All'!$A$1,"Scenario",E$12,"P&amp;L Item",$B151),0),IFERROR(GETPIVOTDATA("Sum of "&amp;E$9,'PT-All'!$A$1,"Scenario",E$12,"P&amp;L Item",$B151)/E$201,0),TEXT(IFERROR(GETPIVOTDATA("Sum of "&amp;E$9,'PT-All'!$A$1,"Scenario",E$12,"P&amp;L Item",$B151)/E$29,0),"0.00%"))</f>
        <v>0</v>
      </c>
      <c r="F151" s="65">
        <f>CHOOSE(PLColumn,IFERROR(GETPIVOTDATA("Sum of "&amp;F$9,'PT-All'!$A$1,"Scenario",F$12,"P&amp;L Item",$B151),0),IFERROR(GETPIVOTDATA("Sum of "&amp;F$9,'PT-All'!$A$1,"Scenario",F$12,"P&amp;L Item",$B151)/F$201,0),TEXT(IFERROR(GETPIVOTDATA("Sum of "&amp;F$9,'PT-All'!$A$1,"Scenario",F$12,"P&amp;L Item",$B151)/F$29,0),"0.00%"))</f>
        <v>0</v>
      </c>
      <c r="G151" s="65">
        <f>CHOOSE(PLColumn,IFERROR(GETPIVOTDATA("Sum of "&amp;G$9,'PT-All'!$A$1,"Scenario",G$12,"P&amp;L Item",$B151),0),IFERROR(GETPIVOTDATA("Sum of "&amp;G$9,'PT-All'!$A$1,"Scenario",G$12,"P&amp;L Item",$B151)/G$201,0),TEXT(IFERROR(GETPIVOTDATA("Sum of "&amp;G$9,'PT-All'!$A$1,"Scenario",G$12,"P&amp;L Item",$B151)/G$29,0),"0.00%"))</f>
        <v>0</v>
      </c>
      <c r="H151" s="65">
        <f>CHOOSE(PLColumn,IFERROR(GETPIVOTDATA("Sum of "&amp;H$9,'PT-All'!$A$1,"Scenario",H$12,"P&amp;L Item",$B151),0),IFERROR(GETPIVOTDATA("Sum of "&amp;H$9,'PT-All'!$A$1,"Scenario",H$12,"P&amp;L Item",$B151)/H$201,0),TEXT(IFERROR(GETPIVOTDATA("Sum of "&amp;H$9,'PT-All'!$A$1,"Scenario",H$12,"P&amp;L Item",$B151)/H$29,0),"0.00%"))</f>
        <v>0</v>
      </c>
      <c r="I151" s="65">
        <f>CHOOSE(PLColumn,IFERROR(GETPIVOTDATA("Sum of "&amp;I$9,'PT-All'!$A$1,"Scenario",I$12,"P&amp;L Item",$B151),0),IFERROR(GETPIVOTDATA("Sum of "&amp;I$9,'PT-All'!$A$1,"Scenario",I$12,"P&amp;L Item",$B151)/I$201,0),TEXT(IFERROR(GETPIVOTDATA("Sum of "&amp;I$9,'PT-All'!$A$1,"Scenario",I$12,"P&amp;L Item",$B151)/I$29,0),"0.00%"))</f>
        <v>0</v>
      </c>
      <c r="J151" s="65">
        <f>CHOOSE(PLColumn,IFERROR(GETPIVOTDATA("Sum of "&amp;J$9,'PT-All'!$A$1,"Scenario",J$12,"P&amp;L Item",$B151),0),IFERROR(GETPIVOTDATA("Sum of "&amp;J$9,'PT-All'!$A$1,"Scenario",J$12,"P&amp;L Item",$B151)/J$201,0),TEXT(IFERROR(GETPIVOTDATA("Sum of "&amp;J$9,'PT-All'!$A$1,"Scenario",J$12,"P&amp;L Item",$B151)/J$29,0),"0.00%"))</f>
        <v>0</v>
      </c>
      <c r="K151" s="65">
        <f>CHOOSE(PLColumn,IFERROR(GETPIVOTDATA("Sum of "&amp;K$9,'PT-All'!$A$1,"Scenario",K$12,"P&amp;L Item",$B151),0),IFERROR(GETPIVOTDATA("Sum of "&amp;K$9,'PT-All'!$A$1,"Scenario",K$12,"P&amp;L Item",$B151)/K$201,0),TEXT(IFERROR(GETPIVOTDATA("Sum of "&amp;K$9,'PT-All'!$A$1,"Scenario",K$12,"P&amp;L Item",$B151)/K$29,0),"0.00%"))</f>
        <v>0</v>
      </c>
      <c r="L151" s="65">
        <f>CHOOSE(PLColumn,IFERROR(GETPIVOTDATA("Sum of "&amp;L$9,'PT-All'!$A$1,"Scenario",L$12,"P&amp;L Item",$B151),0),IFERROR(GETPIVOTDATA("Sum of "&amp;L$9,'PT-All'!$A$1,"Scenario",L$12,"P&amp;L Item",$B151)/L$201,0),TEXT(IFERROR(GETPIVOTDATA("Sum of "&amp;L$9,'PT-All'!$A$1,"Scenario",L$12,"P&amp;L Item",$B151)/L$29,0),"0.00%"))</f>
        <v>0</v>
      </c>
      <c r="M151" s="65">
        <f>CHOOSE(PLColumn,IFERROR(GETPIVOTDATA("Sum of "&amp;M$9,'PT-All'!$A$1,"Scenario",M$12,"P&amp;L Item",$B151),0),IFERROR(GETPIVOTDATA("Sum of "&amp;M$9,'PT-All'!$A$1,"Scenario",M$12,"P&amp;L Item",$B151)/M$201,0),TEXT(IFERROR(GETPIVOTDATA("Sum of "&amp;M$9,'PT-All'!$A$1,"Scenario",M$12,"P&amp;L Item",$B151)/M$29,0),"0.00%"))</f>
        <v>0</v>
      </c>
      <c r="N151" s="65">
        <f>CHOOSE(PLColumn,IFERROR(GETPIVOTDATA("Sum of "&amp;N$9,'PT-All'!$A$1,"Scenario",N$12,"P&amp;L Item",$B151),0),IFERROR(GETPIVOTDATA("Sum of "&amp;N$9,'PT-All'!$A$1,"Scenario",N$12,"P&amp;L Item",$B151)/N$201,0),TEXT(IFERROR(GETPIVOTDATA("Sum of "&amp;N$9,'PT-All'!$A$1,"Scenario",N$12,"P&amp;L Item",$B151)/N$29,0),"0.00%"))</f>
        <v>0</v>
      </c>
      <c r="O151" s="65">
        <f>CHOOSE(PLColumn,IFERROR(GETPIVOTDATA("Sum of "&amp;O$9,'PT-All'!$A$1,"Scenario",O$12,"P&amp;L Item",$B151),0),IFERROR(GETPIVOTDATA("Sum of "&amp;O$9,'PT-All'!$A$1,"Scenario",O$12,"P&amp;L Item",$B151)/O$201,0),TEXT(IFERROR(GETPIVOTDATA("Sum of "&amp;O$9,'PT-All'!$A$1,"Scenario",O$12,"P&amp;L Item",$B151)/O$29,0),"0.00%"))</f>
        <v>0</v>
      </c>
      <c r="P151" s="65">
        <f>CHOOSE(PLColumn,IFERROR(GETPIVOTDATA("Sum of "&amp;P$9,'PT-All'!$A$1,"Scenario",P$12,"P&amp;L Item",$B151),0),IFERROR(GETPIVOTDATA("Sum of "&amp;P$9,'PT-All'!$A$1,"Scenario",P$12,"P&amp;L Item",$B151)/P$201,0),TEXT(IFERROR(GETPIVOTDATA("Sum of "&amp;P$9,'PT-All'!$A$1,"Scenario",P$12,"P&amp;L Item",$B151)/P$29,0),"0.00%"))</f>
        <v>0</v>
      </c>
      <c r="Q151" s="65">
        <f>CHOOSE(PLColumn,IFERROR(GETPIVOTDATA("Sum of "&amp;Q$9,'PT-All'!$A$1,"Scenario",Q$12,"P&amp;L Item",$B151),0),IFERROR(GETPIVOTDATA("Sum of "&amp;Q$9,'PT-All'!$A$1,"Scenario",Q$12,"P&amp;L Item",$B151)/Q$201,0),TEXT(IFERROR(GETPIVOTDATA("Sum of "&amp;Q$9,'PT-All'!$A$1,"Scenario",Q$12,"P&amp;L Item",$B151)/Q$29,0),"0.00%"))</f>
        <v>0</v>
      </c>
      <c r="R151" s="65">
        <f>CHOOSE(PLColumn,IFERROR(GETPIVOTDATA("Sum of "&amp;R$9,'PT-All'!$A$1,"Scenario",R$12,"P&amp;L Item",$B151),0),IFERROR(GETPIVOTDATA("Sum of "&amp;R$9,'PT-All'!$A$1,"Scenario",R$12,"P&amp;L Item",$B151)/R$201,0),TEXT(IFERROR(GETPIVOTDATA("Sum of "&amp;R$9,'PT-All'!$A$1,"Scenario",R$12,"P&amp;L Item",$B151)/R$29,0),"0.00%"))</f>
        <v>0</v>
      </c>
      <c r="S151" s="65">
        <f>CHOOSE(PLColumn,IFERROR(GETPIVOTDATA("Sum of "&amp;S$9,'PT-All'!$A$1,"Scenario",S$12,"P&amp;L Item",$B151),0),IFERROR(GETPIVOTDATA("Sum of "&amp;S$9,'PT-All'!$A$1,"Scenario",S$12,"P&amp;L Item",$B151)/S$201,0),TEXT(IFERROR(GETPIVOTDATA("Sum of "&amp;S$9,'PT-All'!$A$1,"Scenario",S$12,"P&amp;L Item",$B151)/S$29,0),"0.00%"))</f>
        <v>0</v>
      </c>
      <c r="T151" s="65">
        <f>CHOOSE(PLColumn,IFERROR(GETPIVOTDATA("Sum of "&amp;T$9,'PT-All'!$A$1,"Scenario",T$12,"P&amp;L Item",$B151),0),IFERROR(GETPIVOTDATA("Sum of "&amp;T$9,'PT-All'!$A$1,"Scenario",T$12,"P&amp;L Item",$B151)/T$201,0),TEXT(IFERROR(GETPIVOTDATA("Sum of "&amp;T$9,'PT-All'!$A$1,"Scenario",T$12,"P&amp;L Item",$B151)/T$29,0),"0.00%"))</f>
        <v>0</v>
      </c>
      <c r="U151" s="65">
        <f>CHOOSE(PLColumn,IFERROR(GETPIVOTDATA("Sum of "&amp;U$9,'PT-All'!$A$1,"Scenario",U$12,"P&amp;L Item",$B151),0),IFERROR(GETPIVOTDATA("Sum of "&amp;U$9,'PT-All'!$A$1,"Scenario",U$12,"P&amp;L Item",$B151)/U$201,0),TEXT(IFERROR(GETPIVOTDATA("Sum of "&amp;U$9,'PT-All'!$A$1,"Scenario",U$12,"P&amp;L Item",$B151)/U$29,0),"0.00%"))</f>
        <v>0</v>
      </c>
      <c r="V151" s="65">
        <f>CHOOSE(PLColumn,IFERROR(GETPIVOTDATA("Sum of "&amp;V$9,'PT-All'!$A$1,"Scenario",V$12,"P&amp;L Item",$B151),0),IFERROR(GETPIVOTDATA("Sum of "&amp;V$9,'PT-All'!$A$1,"Scenario",V$12,"P&amp;L Item",$B151)/V$201,0),TEXT(IFERROR(GETPIVOTDATA("Sum of "&amp;V$9,'PT-All'!$A$1,"Scenario",V$12,"P&amp;L Item",$B151)/V$29,0),"0.00%"))</f>
        <v>0</v>
      </c>
      <c r="W151" s="65">
        <f>CHOOSE(PLColumn,IFERROR(GETPIVOTDATA("Sum of "&amp;W$9,'PT-All'!$A$1,"Scenario",W$12,"P&amp;L Item",$B151),0),IFERROR(GETPIVOTDATA("Sum of "&amp;W$9,'PT-All'!$A$1,"Scenario",W$12,"P&amp;L Item",$B151)/W$201,0),TEXT(IFERROR(GETPIVOTDATA("Sum of "&amp;W$9,'PT-All'!$A$1,"Scenario",W$12,"P&amp;L Item",$B151)/W$29,0),"0.00%"))</f>
        <v>0</v>
      </c>
      <c r="X151" s="65">
        <f>CHOOSE(PLColumn,IFERROR(GETPIVOTDATA("Sum of "&amp;X$9,'PT-All'!$A$1,"Scenario",X$12,"P&amp;L Item",$B151),0),IFERROR(GETPIVOTDATA("Sum of "&amp;X$9,'PT-All'!$A$1,"Scenario",X$12,"P&amp;L Item",$B151)/X$201,0),TEXT(IFERROR(GETPIVOTDATA("Sum of "&amp;X$9,'PT-All'!$A$1,"Scenario",X$12,"P&amp;L Item",$B151)/X$29,0),"0.00%"))</f>
        <v>0</v>
      </c>
      <c r="Y151" s="65">
        <f>CHOOSE(PLColumn,IFERROR(GETPIVOTDATA("Sum of "&amp;Y$9,'PT-All'!$A$1,"Scenario",Y$12,"P&amp;L Item",$B151),0),IFERROR(GETPIVOTDATA("Sum of "&amp;Y$9,'PT-All'!$A$1,"Scenario",Y$12,"P&amp;L Item",$B151)/Y$201,0),TEXT(IFERROR(GETPIVOTDATA("Sum of "&amp;Y$9,'PT-All'!$A$1,"Scenario",Y$12,"P&amp;L Item",$B151)/Y$29,0),"0.00%"))</f>
        <v>0</v>
      </c>
      <c r="Z151" s="65">
        <f>CHOOSE(PLColumn,IFERROR(GETPIVOTDATA("Sum of "&amp;Z$9,'PT-All'!$A$1,"Scenario",Z$12,"P&amp;L Item",$B151),0),IFERROR(GETPIVOTDATA("Sum of "&amp;Z$9,'PT-All'!$A$1,"Scenario",Z$12,"P&amp;L Item",$B151)/Z$201,0),TEXT(IFERROR(GETPIVOTDATA("Sum of "&amp;Z$9,'PT-All'!$A$1,"Scenario",Z$12,"P&amp;L Item",$B151)/Z$29,0),"0.00%"))</f>
        <v>0</v>
      </c>
      <c r="AA151" s="65">
        <f>CHOOSE(PLColumn,IFERROR(GETPIVOTDATA("Sum of "&amp;AA$9,'PT-All'!$A$1,"Scenario",AA$12,"P&amp;L Item",$B151),0),IFERROR(GETPIVOTDATA("Sum of "&amp;AA$9,'PT-All'!$A$1,"Scenario",AA$12,"P&amp;L Item",$B151)/AA$201,0),TEXT(IFERROR(GETPIVOTDATA("Sum of "&amp;AA$9,'PT-All'!$A$1,"Scenario",AA$12,"P&amp;L Item",$B151)/AA$29,0),"0.00%"))</f>
        <v>0</v>
      </c>
      <c r="AB151" s="65">
        <f>CHOOSE(PLColumn,IFERROR(GETPIVOTDATA("Sum of "&amp;AB$9,'PT-All'!$A$1,"Scenario",AB$12,"P&amp;L Item",$B151),0),IFERROR(GETPIVOTDATA("Sum of "&amp;AB$9,'PT-All'!$A$1,"Scenario",AB$12,"P&amp;L Item",$B151)/AB$201,0),TEXT(IFERROR(GETPIVOTDATA("Sum of "&amp;AB$9,'PT-All'!$A$1,"Scenario",AB$12,"P&amp;L Item",$B151)/AB$29,0),"0.00%"))</f>
        <v>0</v>
      </c>
      <c r="AC151" s="65">
        <f>CHOOSE(PLColumn,IFERROR(GETPIVOTDATA("Sum of "&amp;AC$9,'PT-All'!$A$1,"Scenario",AC$12,"P&amp;L Item",$B151),0),IFERROR(GETPIVOTDATA("Sum of "&amp;AC$9,'PT-All'!$A$1,"Scenario",AC$12,"P&amp;L Item",$B151)/AC$201,0),TEXT(IFERROR(GETPIVOTDATA("Sum of "&amp;AC$9,'PT-All'!$A$1,"Scenario",AC$12,"P&amp;L Item",$B151)/AC$29,0),"0.00%"))</f>
        <v>0</v>
      </c>
      <c r="AD151" s="65">
        <f>CHOOSE(PLColumn,IFERROR(GETPIVOTDATA("Sum of "&amp;AD$9,'PT-All'!$A$1,"Scenario",AD$12,"P&amp;L Item",$B151),0),IFERROR(GETPIVOTDATA("Sum of "&amp;AD$9,'PT-All'!$A$1,"Scenario",AD$12,"P&amp;L Item",$B151)/AD$201,0),TEXT(IFERROR(GETPIVOTDATA("Sum of "&amp;AD$9,'PT-All'!$A$1,"Scenario",AD$12,"P&amp;L Item",$B151)/AD$29,0),"0.00%"))</f>
        <v>0</v>
      </c>
      <c r="AE151" s="65">
        <f>CHOOSE(PLColumn,IFERROR(GETPIVOTDATA("Sum of "&amp;AE$9,'PT-All'!$A$1,"Scenario",AE$12,"P&amp;L Item",$B151),0),IFERROR(GETPIVOTDATA("Sum of "&amp;AE$9,'PT-All'!$A$1,"Scenario",AE$12,"P&amp;L Item",$B151)/AE$201,0),TEXT(IFERROR(GETPIVOTDATA("Sum of "&amp;AE$9,'PT-All'!$A$1,"Scenario",AE$12,"P&amp;L Item",$B151)/AE$29,0),"0.00%"))</f>
        <v>0</v>
      </c>
      <c r="AF151" s="65">
        <f>CHOOSE(PLColumn,IFERROR(GETPIVOTDATA("Sum of "&amp;AF$9,'PT-All'!$A$1,"Scenario",AF$12,"P&amp;L Item",$B151),0),IFERROR(GETPIVOTDATA("Sum of "&amp;AF$9,'PT-All'!$A$1,"Scenario",AF$12,"P&amp;L Item",$B151)/AF$201,0),TEXT(IFERROR(GETPIVOTDATA("Sum of "&amp;AF$9,'PT-All'!$A$1,"Scenario",AF$12,"P&amp;L Item",$B151)/AF$29,0),"0.00%"))</f>
        <v>0</v>
      </c>
      <c r="AG151" s="65">
        <f>CHOOSE(PLColumn,IFERROR(GETPIVOTDATA("Sum of "&amp;AG$9,'PT-All'!$A$1,"Scenario",AG$12,"P&amp;L Item",$B151),0),IFERROR(GETPIVOTDATA("Sum of "&amp;AG$9,'PT-All'!$A$1,"Scenario",AG$12,"P&amp;L Item",$B151)/AG$201,0),TEXT(IFERROR(GETPIVOTDATA("Sum of "&amp;AG$9,'PT-All'!$A$1,"Scenario",AG$12,"P&amp;L Item",$B151)/AG$29,0),"0.00%"))</f>
        <v>0</v>
      </c>
      <c r="AH151" s="65">
        <f>CHOOSE(PLColumn,IFERROR(GETPIVOTDATA("Sum of "&amp;AH$9,'PT-All'!$A$1,"Scenario",AH$12,"P&amp;L Item",$B151),0),IFERROR(GETPIVOTDATA("Sum of "&amp;AH$9,'PT-All'!$A$1,"Scenario",AH$12,"P&amp;L Item",$B151)/AH$201,0),TEXT(IFERROR(GETPIVOTDATA("Sum of "&amp;AH$9,'PT-All'!$A$1,"Scenario",AH$12,"P&amp;L Item",$B151)/AH$29,0),"0.00%"))</f>
        <v>0</v>
      </c>
      <c r="AI151" s="65">
        <f>CHOOSE(PLColumn,IFERROR(GETPIVOTDATA("Sum of "&amp;AI$9,'PT-All'!$A$1,"Scenario",AI$12,"P&amp;L Item",$B151),0),IFERROR(GETPIVOTDATA("Sum of "&amp;AI$9,'PT-All'!$A$1,"Scenario",AI$12,"P&amp;L Item",$B151)/AI$201,0),TEXT(IFERROR(GETPIVOTDATA("Sum of "&amp;AI$9,'PT-All'!$A$1,"Scenario",AI$12,"P&amp;L Item",$B151)/AI$29,0),"0.00%"))</f>
        <v>0</v>
      </c>
      <c r="AJ151" s="65">
        <f>CHOOSE(PLColumn,IFERROR(GETPIVOTDATA("Sum of "&amp;AJ$9,'PT-All'!$A$1,"Scenario",AJ$12,"P&amp;L Item",$B151),0),IFERROR(GETPIVOTDATA("Sum of "&amp;AJ$9,'PT-All'!$A$1,"Scenario",AJ$12,"P&amp;L Item",$B151)/AJ$201,0),TEXT(IFERROR(GETPIVOTDATA("Sum of "&amp;AJ$9,'PT-All'!$A$1,"Scenario",AJ$12,"P&amp;L Item",$B151)/AJ$29,0),"0.00%"))</f>
        <v>0</v>
      </c>
      <c r="AK151" s="65">
        <f>CHOOSE(PLColumn,IFERROR(GETPIVOTDATA("Sum of "&amp;AK$9,'PT-All'!$A$1,"Scenario",AK$12,"P&amp;L Item",$B151),0),IFERROR(GETPIVOTDATA("Sum of "&amp;AK$9,'PT-All'!$A$1,"Scenario",AK$12,"P&amp;L Item",$B151)/AK$201,0),TEXT(IFERROR(GETPIVOTDATA("Sum of "&amp;AK$9,'PT-All'!$A$1,"Scenario",AK$12,"P&amp;L Item",$B151)/AK$29,0),"0.00%"))</f>
        <v>0</v>
      </c>
      <c r="AL151" s="97">
        <f>CHOOSE(PLColumn,IFERROR(GETPIVOTDATA("Sum of "&amp;AL$9,'PT-All'!$A$1,"Scenario",AL$12,"P&amp;L Item",$B151),0),IFERROR(GETPIVOTDATA("Sum of "&amp;AL$9,'PT-All'!$A$1,"Scenario",AL$12,"P&amp;L Item",$B151)/AL$201,0),TEXT(IFERROR(GETPIVOTDATA("Sum of "&amp;AL$9,'PT-All'!$A$1,"Scenario",AL$12,"P&amp;L Item",$B151)/AL$29,0),"0.00%"))</f>
        <v>0</v>
      </c>
      <c r="AM151" s="590"/>
      <c r="AN151" s="108">
        <f ca="1">IF(AN$12="Pro Forma",SUM(OFFSET($B151,0,3*AN$9+1,1,3)),IFERROR(GETPIVOTDATA("Sum of Q"&amp;AN$9+1,'PT-All'!$A$1,"Scenario",AN$12,"P&amp;L Item",$B151),0))</f>
        <v>0</v>
      </c>
      <c r="AO151" s="65">
        <f ca="1">IF(AO$12="Pro Forma",SUM(OFFSET($B151,0,3*AO$9+1,1,3)),IFERROR(GETPIVOTDATA("Sum of Q"&amp;AO$9+1,'PT-All'!$A$1,"Scenario",AO$12,"P&amp;L Item",$B151),0))</f>
        <v>0</v>
      </c>
      <c r="AP151" s="65">
        <f ca="1">IF(AP$12="Pro Forma",SUM(OFFSET($B151,0,3*AP$9+1,1,3)),IFERROR(GETPIVOTDATA("Sum of Q"&amp;AP$9+1,'PT-All'!$A$1,"Scenario",AP$12,"P&amp;L Item",$B151),0))</f>
        <v>0</v>
      </c>
      <c r="AQ151" s="65">
        <f ca="1">IF(AQ$12="Pro Forma",SUM(OFFSET($B151,0,3*AQ$9+1,1,3)),IFERROR(GETPIVOTDATA("Sum of Q"&amp;AQ$9+1,'PT-All'!$A$1,"Scenario",AQ$12,"P&amp;L Item",$B151),0))</f>
        <v>0</v>
      </c>
      <c r="AR151" s="65">
        <f ca="1">IF(AR$12="Pro Forma",SUM(OFFSET($B151,0,3*AR$9+1,1,3)),IFERROR(GETPIVOTDATA("Sum of Q"&amp;AR$9+1,'PT-All'!$A$1,"Scenario",AR$12,"P&amp;L Item",$B151),0))</f>
        <v>0</v>
      </c>
      <c r="AS151" s="65">
        <f ca="1">IF(AS$12="Pro Forma",SUM(OFFSET($B151,0,3*AS$9+1,1,3)),IFERROR(GETPIVOTDATA("Sum of Q"&amp;AS$9+1,'PT-All'!$A$1,"Scenario",AS$12,"P&amp;L Item",$B151),0))</f>
        <v>0</v>
      </c>
      <c r="AT151" s="65">
        <f ca="1">IF(AT$12="Pro Forma",SUM(OFFSET($B151,0,3*AT$9+1,1,3)),IFERROR(GETPIVOTDATA("Sum of Q"&amp;AT$9+1,'PT-All'!$A$1,"Scenario",AT$12,"P&amp;L Item",$B151),0))</f>
        <v>0</v>
      </c>
      <c r="AU151" s="65">
        <f ca="1">IF(AU$12="Pro Forma",SUM(OFFSET($B151,0,3*AU$9+1,1,3)),IFERROR(GETPIVOTDATA("Sum of Q"&amp;AU$9+1,'PT-All'!$A$1,"Scenario",AU$12,"P&amp;L Item",$B151),0))</f>
        <v>0</v>
      </c>
      <c r="AV151" s="65">
        <f ca="1">IF(AV$12="Pro Forma",SUM(OFFSET($B151,0,3*AV$9+1,1,3)),IFERROR(GETPIVOTDATA("Sum of Q"&amp;AV$9+1,'PT-All'!$A$1,"Scenario",AV$12,"P&amp;L Item",$B151),0))</f>
        <v>0</v>
      </c>
      <c r="AW151" s="65">
        <f ca="1">IF(AW$12="Pro Forma",SUM(OFFSET($B151,0,3*AW$9+1,1,3)),IFERROR(GETPIVOTDATA("Sum of Q"&amp;AW$9+1,'PT-All'!$A$1,"Scenario",AW$12,"P&amp;L Item",$B151),0))</f>
        <v>0</v>
      </c>
      <c r="AX151" s="65">
        <f ca="1">IF(AX$12="Pro Forma",SUM(OFFSET($B151,0,3*AX$9+1,1,3)),IFERROR(GETPIVOTDATA("Sum of Q"&amp;AX$9+1,'PT-All'!$A$1,"Scenario",AX$12,"P&amp;L Item",$B151),0))</f>
        <v>0</v>
      </c>
      <c r="AY151" s="97">
        <f ca="1">IF(AY$12="Pro Forma",SUM(OFFSET($B151,0,3*AY$9+1,1,3)),IFERROR(GETPIVOTDATA("Sum of Q"&amp;AY$9+1,'PT-All'!$A$1,"Scenario",AY$12,"P&amp;L Item",$B151),0))</f>
        <v>0</v>
      </c>
      <c r="AZ151" s="590"/>
      <c r="BA151" s="108">
        <f ca="1">IF(BA$12="Pro Forma",SUM(OFFSET($B151,0,12*BA$9+1,1,12)),IFERROR(GETPIVOTDATA("Sum of FY"&amp;BA$9+1,'PT-All'!$A$1,"Scenario",BA$12,"P&amp;L Item",$B151),0))</f>
        <v>0</v>
      </c>
      <c r="BB151" s="65">
        <f ca="1">IF(BB$12="Pro Forma",SUM(OFFSET($B151,0,12*BB$9+1,1,12)),IFERROR(GETPIVOTDATA("Sum of FY"&amp;BB$9+1,'PT-All'!$A$1,"Scenario",BB$12,"P&amp;L Item",$B151),0))</f>
        <v>0</v>
      </c>
      <c r="BC151" s="97">
        <f ca="1">IF(BC$12="Pro Forma",SUM(OFFSET($B151,0,12*BC$9+1,1,12)),IFERROR(GETPIVOTDATA("Sum of FY"&amp;BC$9+1,'PT-All'!$A$1,"Scenario",BC$12,"P&amp;L Item",$B151),0))</f>
        <v>0</v>
      </c>
    </row>
    <row r="152" spans="2:55" x14ac:dyDescent="0.35">
      <c r="B152" s="76" t="s">
        <v>180</v>
      </c>
      <c r="C152" s="65">
        <f>CHOOSE(PLColumn,IFERROR(GETPIVOTDATA("Sum of "&amp;C$9,'PT-All'!$A$1,"Scenario",C$12,"P&amp;L Item",$B152),0),IFERROR(GETPIVOTDATA("Sum of "&amp;C$9,'PT-All'!$A$1,"Scenario",C$12,"P&amp;L Item",$B152)/C$201,0),TEXT(IFERROR(GETPIVOTDATA("Sum of "&amp;C$9,'PT-All'!$A$1,"Scenario",C$12,"P&amp;L Item",$B152)/C$29,0),"0.00%"))</f>
        <v>0</v>
      </c>
      <c r="D152" s="65">
        <f>CHOOSE(PLColumn,IFERROR(GETPIVOTDATA("Sum of "&amp;D$9,'PT-All'!$A$1,"Scenario",D$12,"P&amp;L Item",$B152),0),IFERROR(GETPIVOTDATA("Sum of "&amp;D$9,'PT-All'!$A$1,"Scenario",D$12,"P&amp;L Item",$B152)/D$201,0),TEXT(IFERROR(GETPIVOTDATA("Sum of "&amp;D$9,'PT-All'!$A$1,"Scenario",D$12,"P&amp;L Item",$B152)/D$29,0),"0.00%"))</f>
        <v>0</v>
      </c>
      <c r="E152" s="65">
        <f>CHOOSE(PLColumn,IFERROR(GETPIVOTDATA("Sum of "&amp;E$9,'PT-All'!$A$1,"Scenario",E$12,"P&amp;L Item",$B152),0),IFERROR(GETPIVOTDATA("Sum of "&amp;E$9,'PT-All'!$A$1,"Scenario",E$12,"P&amp;L Item",$B152)/E$201,0),TEXT(IFERROR(GETPIVOTDATA("Sum of "&amp;E$9,'PT-All'!$A$1,"Scenario",E$12,"P&amp;L Item",$B152)/E$29,0),"0.00%"))</f>
        <v>0</v>
      </c>
      <c r="F152" s="65">
        <f>CHOOSE(PLColumn,IFERROR(GETPIVOTDATA("Sum of "&amp;F$9,'PT-All'!$A$1,"Scenario",F$12,"P&amp;L Item",$B152),0),IFERROR(GETPIVOTDATA("Sum of "&amp;F$9,'PT-All'!$A$1,"Scenario",F$12,"P&amp;L Item",$B152)/F$201,0),TEXT(IFERROR(GETPIVOTDATA("Sum of "&amp;F$9,'PT-All'!$A$1,"Scenario",F$12,"P&amp;L Item",$B152)/F$29,0),"0.00%"))</f>
        <v>0</v>
      </c>
      <c r="G152" s="65">
        <f>CHOOSE(PLColumn,IFERROR(GETPIVOTDATA("Sum of "&amp;G$9,'PT-All'!$A$1,"Scenario",G$12,"P&amp;L Item",$B152),0),IFERROR(GETPIVOTDATA("Sum of "&amp;G$9,'PT-All'!$A$1,"Scenario",G$12,"P&amp;L Item",$B152)/G$201,0),TEXT(IFERROR(GETPIVOTDATA("Sum of "&amp;G$9,'PT-All'!$A$1,"Scenario",G$12,"P&amp;L Item",$B152)/G$29,0),"0.00%"))</f>
        <v>0</v>
      </c>
      <c r="H152" s="65">
        <f>CHOOSE(PLColumn,IFERROR(GETPIVOTDATA("Sum of "&amp;H$9,'PT-All'!$A$1,"Scenario",H$12,"P&amp;L Item",$B152),0),IFERROR(GETPIVOTDATA("Sum of "&amp;H$9,'PT-All'!$A$1,"Scenario",H$12,"P&amp;L Item",$B152)/H$201,0),TEXT(IFERROR(GETPIVOTDATA("Sum of "&amp;H$9,'PT-All'!$A$1,"Scenario",H$12,"P&amp;L Item",$B152)/H$29,0),"0.00%"))</f>
        <v>0</v>
      </c>
      <c r="I152" s="65">
        <f>CHOOSE(PLColumn,IFERROR(GETPIVOTDATA("Sum of "&amp;I$9,'PT-All'!$A$1,"Scenario",I$12,"P&amp;L Item",$B152),0),IFERROR(GETPIVOTDATA("Sum of "&amp;I$9,'PT-All'!$A$1,"Scenario",I$12,"P&amp;L Item",$B152)/I$201,0),TEXT(IFERROR(GETPIVOTDATA("Sum of "&amp;I$9,'PT-All'!$A$1,"Scenario",I$12,"P&amp;L Item",$B152)/I$29,0),"0.00%"))</f>
        <v>0</v>
      </c>
      <c r="J152" s="65">
        <f>CHOOSE(PLColumn,IFERROR(GETPIVOTDATA("Sum of "&amp;J$9,'PT-All'!$A$1,"Scenario",J$12,"P&amp;L Item",$B152),0),IFERROR(GETPIVOTDATA("Sum of "&amp;J$9,'PT-All'!$A$1,"Scenario",J$12,"P&amp;L Item",$B152)/J$201,0),TEXT(IFERROR(GETPIVOTDATA("Sum of "&amp;J$9,'PT-All'!$A$1,"Scenario",J$12,"P&amp;L Item",$B152)/J$29,0),"0.00%"))</f>
        <v>0</v>
      </c>
      <c r="K152" s="65">
        <f>CHOOSE(PLColumn,IFERROR(GETPIVOTDATA("Sum of "&amp;K$9,'PT-All'!$A$1,"Scenario",K$12,"P&amp;L Item",$B152),0),IFERROR(GETPIVOTDATA("Sum of "&amp;K$9,'PT-All'!$A$1,"Scenario",K$12,"P&amp;L Item",$B152)/K$201,0),TEXT(IFERROR(GETPIVOTDATA("Sum of "&amp;K$9,'PT-All'!$A$1,"Scenario",K$12,"P&amp;L Item",$B152)/K$29,0),"0.00%"))</f>
        <v>0</v>
      </c>
      <c r="L152" s="65">
        <f>CHOOSE(PLColumn,IFERROR(GETPIVOTDATA("Sum of "&amp;L$9,'PT-All'!$A$1,"Scenario",L$12,"P&amp;L Item",$B152),0),IFERROR(GETPIVOTDATA("Sum of "&amp;L$9,'PT-All'!$A$1,"Scenario",L$12,"P&amp;L Item",$B152)/L$201,0),TEXT(IFERROR(GETPIVOTDATA("Sum of "&amp;L$9,'PT-All'!$A$1,"Scenario",L$12,"P&amp;L Item",$B152)/L$29,0),"0.00%"))</f>
        <v>0</v>
      </c>
      <c r="M152" s="65">
        <f>CHOOSE(PLColumn,IFERROR(GETPIVOTDATA("Sum of "&amp;M$9,'PT-All'!$A$1,"Scenario",M$12,"P&amp;L Item",$B152),0),IFERROR(GETPIVOTDATA("Sum of "&amp;M$9,'PT-All'!$A$1,"Scenario",M$12,"P&amp;L Item",$B152)/M$201,0),TEXT(IFERROR(GETPIVOTDATA("Sum of "&amp;M$9,'PT-All'!$A$1,"Scenario",M$12,"P&amp;L Item",$B152)/M$29,0),"0.00%"))</f>
        <v>0</v>
      </c>
      <c r="N152" s="65">
        <f>CHOOSE(PLColumn,IFERROR(GETPIVOTDATA("Sum of "&amp;N$9,'PT-All'!$A$1,"Scenario",N$12,"P&amp;L Item",$B152),0),IFERROR(GETPIVOTDATA("Sum of "&amp;N$9,'PT-All'!$A$1,"Scenario",N$12,"P&amp;L Item",$B152)/N$201,0),TEXT(IFERROR(GETPIVOTDATA("Sum of "&amp;N$9,'PT-All'!$A$1,"Scenario",N$12,"P&amp;L Item",$B152)/N$29,0),"0.00%"))</f>
        <v>0</v>
      </c>
      <c r="O152" s="65">
        <f>CHOOSE(PLColumn,IFERROR(GETPIVOTDATA("Sum of "&amp;O$9,'PT-All'!$A$1,"Scenario",O$12,"P&amp;L Item",$B152),0),IFERROR(GETPIVOTDATA("Sum of "&amp;O$9,'PT-All'!$A$1,"Scenario",O$12,"P&amp;L Item",$B152)/O$201,0),TEXT(IFERROR(GETPIVOTDATA("Sum of "&amp;O$9,'PT-All'!$A$1,"Scenario",O$12,"P&amp;L Item",$B152)/O$29,0),"0.00%"))</f>
        <v>0</v>
      </c>
      <c r="P152" s="65">
        <f>CHOOSE(PLColumn,IFERROR(GETPIVOTDATA("Sum of "&amp;P$9,'PT-All'!$A$1,"Scenario",P$12,"P&amp;L Item",$B152),0),IFERROR(GETPIVOTDATA("Sum of "&amp;P$9,'PT-All'!$A$1,"Scenario",P$12,"P&amp;L Item",$B152)/P$201,0),TEXT(IFERROR(GETPIVOTDATA("Sum of "&amp;P$9,'PT-All'!$A$1,"Scenario",P$12,"P&amp;L Item",$B152)/P$29,0),"0.00%"))</f>
        <v>0</v>
      </c>
      <c r="Q152" s="65">
        <f>CHOOSE(PLColumn,IFERROR(GETPIVOTDATA("Sum of "&amp;Q$9,'PT-All'!$A$1,"Scenario",Q$12,"P&amp;L Item",$B152),0),IFERROR(GETPIVOTDATA("Sum of "&amp;Q$9,'PT-All'!$A$1,"Scenario",Q$12,"P&amp;L Item",$B152)/Q$201,0),TEXT(IFERROR(GETPIVOTDATA("Sum of "&amp;Q$9,'PT-All'!$A$1,"Scenario",Q$12,"P&amp;L Item",$B152)/Q$29,0),"0.00%"))</f>
        <v>0</v>
      </c>
      <c r="R152" s="65">
        <f>CHOOSE(PLColumn,IFERROR(GETPIVOTDATA("Sum of "&amp;R$9,'PT-All'!$A$1,"Scenario",R$12,"P&amp;L Item",$B152),0),IFERROR(GETPIVOTDATA("Sum of "&amp;R$9,'PT-All'!$A$1,"Scenario",R$12,"P&amp;L Item",$B152)/R$201,0),TEXT(IFERROR(GETPIVOTDATA("Sum of "&amp;R$9,'PT-All'!$A$1,"Scenario",R$12,"P&amp;L Item",$B152)/R$29,0),"0.00%"))</f>
        <v>0</v>
      </c>
      <c r="S152" s="65">
        <f>CHOOSE(PLColumn,IFERROR(GETPIVOTDATA("Sum of "&amp;S$9,'PT-All'!$A$1,"Scenario",S$12,"P&amp;L Item",$B152),0),IFERROR(GETPIVOTDATA("Sum of "&amp;S$9,'PT-All'!$A$1,"Scenario",S$12,"P&amp;L Item",$B152)/S$201,0),TEXT(IFERROR(GETPIVOTDATA("Sum of "&amp;S$9,'PT-All'!$A$1,"Scenario",S$12,"P&amp;L Item",$B152)/S$29,0),"0.00%"))</f>
        <v>0</v>
      </c>
      <c r="T152" s="65">
        <f>CHOOSE(PLColumn,IFERROR(GETPIVOTDATA("Sum of "&amp;T$9,'PT-All'!$A$1,"Scenario",T$12,"P&amp;L Item",$B152),0),IFERROR(GETPIVOTDATA("Sum of "&amp;T$9,'PT-All'!$A$1,"Scenario",T$12,"P&amp;L Item",$B152)/T$201,0),TEXT(IFERROR(GETPIVOTDATA("Sum of "&amp;T$9,'PT-All'!$A$1,"Scenario",T$12,"P&amp;L Item",$B152)/T$29,0),"0.00%"))</f>
        <v>0</v>
      </c>
      <c r="U152" s="65">
        <f>CHOOSE(PLColumn,IFERROR(GETPIVOTDATA("Sum of "&amp;U$9,'PT-All'!$A$1,"Scenario",U$12,"P&amp;L Item",$B152),0),IFERROR(GETPIVOTDATA("Sum of "&amp;U$9,'PT-All'!$A$1,"Scenario",U$12,"P&amp;L Item",$B152)/U$201,0),TEXT(IFERROR(GETPIVOTDATA("Sum of "&amp;U$9,'PT-All'!$A$1,"Scenario",U$12,"P&amp;L Item",$B152)/U$29,0),"0.00%"))</f>
        <v>0</v>
      </c>
      <c r="V152" s="65">
        <f>CHOOSE(PLColumn,IFERROR(GETPIVOTDATA("Sum of "&amp;V$9,'PT-All'!$A$1,"Scenario",V$12,"P&amp;L Item",$B152),0),IFERROR(GETPIVOTDATA("Sum of "&amp;V$9,'PT-All'!$A$1,"Scenario",V$12,"P&amp;L Item",$B152)/V$201,0),TEXT(IFERROR(GETPIVOTDATA("Sum of "&amp;V$9,'PT-All'!$A$1,"Scenario",V$12,"P&amp;L Item",$B152)/V$29,0),"0.00%"))</f>
        <v>0</v>
      </c>
      <c r="W152" s="65">
        <f>CHOOSE(PLColumn,IFERROR(GETPIVOTDATA("Sum of "&amp;W$9,'PT-All'!$A$1,"Scenario",W$12,"P&amp;L Item",$B152),0),IFERROR(GETPIVOTDATA("Sum of "&amp;W$9,'PT-All'!$A$1,"Scenario",W$12,"P&amp;L Item",$B152)/W$201,0),TEXT(IFERROR(GETPIVOTDATA("Sum of "&amp;W$9,'PT-All'!$A$1,"Scenario",W$12,"P&amp;L Item",$B152)/W$29,0),"0.00%"))</f>
        <v>0</v>
      </c>
      <c r="X152" s="65">
        <f>CHOOSE(PLColumn,IFERROR(GETPIVOTDATA("Sum of "&amp;X$9,'PT-All'!$A$1,"Scenario",X$12,"P&amp;L Item",$B152),0),IFERROR(GETPIVOTDATA("Sum of "&amp;X$9,'PT-All'!$A$1,"Scenario",X$12,"P&amp;L Item",$B152)/X$201,0),TEXT(IFERROR(GETPIVOTDATA("Sum of "&amp;X$9,'PT-All'!$A$1,"Scenario",X$12,"P&amp;L Item",$B152)/X$29,0),"0.00%"))</f>
        <v>0</v>
      </c>
      <c r="Y152" s="65">
        <f>CHOOSE(PLColumn,IFERROR(GETPIVOTDATA("Sum of "&amp;Y$9,'PT-All'!$A$1,"Scenario",Y$12,"P&amp;L Item",$B152),0),IFERROR(GETPIVOTDATA("Sum of "&amp;Y$9,'PT-All'!$A$1,"Scenario",Y$12,"P&amp;L Item",$B152)/Y$201,0),TEXT(IFERROR(GETPIVOTDATA("Sum of "&amp;Y$9,'PT-All'!$A$1,"Scenario",Y$12,"P&amp;L Item",$B152)/Y$29,0),"0.00%"))</f>
        <v>0</v>
      </c>
      <c r="Z152" s="65">
        <f>CHOOSE(PLColumn,IFERROR(GETPIVOTDATA("Sum of "&amp;Z$9,'PT-All'!$A$1,"Scenario",Z$12,"P&amp;L Item",$B152),0),IFERROR(GETPIVOTDATA("Sum of "&amp;Z$9,'PT-All'!$A$1,"Scenario",Z$12,"P&amp;L Item",$B152)/Z$201,0),TEXT(IFERROR(GETPIVOTDATA("Sum of "&amp;Z$9,'PT-All'!$A$1,"Scenario",Z$12,"P&amp;L Item",$B152)/Z$29,0),"0.00%"))</f>
        <v>0</v>
      </c>
      <c r="AA152" s="65">
        <f>CHOOSE(PLColumn,IFERROR(GETPIVOTDATA("Sum of "&amp;AA$9,'PT-All'!$A$1,"Scenario",AA$12,"P&amp;L Item",$B152),0),IFERROR(GETPIVOTDATA("Sum of "&amp;AA$9,'PT-All'!$A$1,"Scenario",AA$12,"P&amp;L Item",$B152)/AA$201,0),TEXT(IFERROR(GETPIVOTDATA("Sum of "&amp;AA$9,'PT-All'!$A$1,"Scenario",AA$12,"P&amp;L Item",$B152)/AA$29,0),"0.00%"))</f>
        <v>0</v>
      </c>
      <c r="AB152" s="65">
        <f>CHOOSE(PLColumn,IFERROR(GETPIVOTDATA("Sum of "&amp;AB$9,'PT-All'!$A$1,"Scenario",AB$12,"P&amp;L Item",$B152),0),IFERROR(GETPIVOTDATA("Sum of "&amp;AB$9,'PT-All'!$A$1,"Scenario",AB$12,"P&amp;L Item",$B152)/AB$201,0),TEXT(IFERROR(GETPIVOTDATA("Sum of "&amp;AB$9,'PT-All'!$A$1,"Scenario",AB$12,"P&amp;L Item",$B152)/AB$29,0),"0.00%"))</f>
        <v>0</v>
      </c>
      <c r="AC152" s="65">
        <f>CHOOSE(PLColumn,IFERROR(GETPIVOTDATA("Sum of "&amp;AC$9,'PT-All'!$A$1,"Scenario",AC$12,"P&amp;L Item",$B152),0),IFERROR(GETPIVOTDATA("Sum of "&amp;AC$9,'PT-All'!$A$1,"Scenario",AC$12,"P&amp;L Item",$B152)/AC$201,0),TEXT(IFERROR(GETPIVOTDATA("Sum of "&amp;AC$9,'PT-All'!$A$1,"Scenario",AC$12,"P&amp;L Item",$B152)/AC$29,0),"0.00%"))</f>
        <v>0</v>
      </c>
      <c r="AD152" s="65">
        <f>CHOOSE(PLColumn,IFERROR(GETPIVOTDATA("Sum of "&amp;AD$9,'PT-All'!$A$1,"Scenario",AD$12,"P&amp;L Item",$B152),0),IFERROR(GETPIVOTDATA("Sum of "&amp;AD$9,'PT-All'!$A$1,"Scenario",AD$12,"P&amp;L Item",$B152)/AD$201,0),TEXT(IFERROR(GETPIVOTDATA("Sum of "&amp;AD$9,'PT-All'!$A$1,"Scenario",AD$12,"P&amp;L Item",$B152)/AD$29,0),"0.00%"))</f>
        <v>0</v>
      </c>
      <c r="AE152" s="65">
        <f>CHOOSE(PLColumn,IFERROR(GETPIVOTDATA("Sum of "&amp;AE$9,'PT-All'!$A$1,"Scenario",AE$12,"P&amp;L Item",$B152),0),IFERROR(GETPIVOTDATA("Sum of "&amp;AE$9,'PT-All'!$A$1,"Scenario",AE$12,"P&amp;L Item",$B152)/AE$201,0),TEXT(IFERROR(GETPIVOTDATA("Sum of "&amp;AE$9,'PT-All'!$A$1,"Scenario",AE$12,"P&amp;L Item",$B152)/AE$29,0),"0.00%"))</f>
        <v>0</v>
      </c>
      <c r="AF152" s="65">
        <f>CHOOSE(PLColumn,IFERROR(GETPIVOTDATA("Sum of "&amp;AF$9,'PT-All'!$A$1,"Scenario",AF$12,"P&amp;L Item",$B152),0),IFERROR(GETPIVOTDATA("Sum of "&amp;AF$9,'PT-All'!$A$1,"Scenario",AF$12,"P&amp;L Item",$B152)/AF$201,0),TEXT(IFERROR(GETPIVOTDATA("Sum of "&amp;AF$9,'PT-All'!$A$1,"Scenario",AF$12,"P&amp;L Item",$B152)/AF$29,0),"0.00%"))</f>
        <v>0</v>
      </c>
      <c r="AG152" s="65">
        <f>CHOOSE(PLColumn,IFERROR(GETPIVOTDATA("Sum of "&amp;AG$9,'PT-All'!$A$1,"Scenario",AG$12,"P&amp;L Item",$B152),0),IFERROR(GETPIVOTDATA("Sum of "&amp;AG$9,'PT-All'!$A$1,"Scenario",AG$12,"P&amp;L Item",$B152)/AG$201,0),TEXT(IFERROR(GETPIVOTDATA("Sum of "&amp;AG$9,'PT-All'!$A$1,"Scenario",AG$12,"P&amp;L Item",$B152)/AG$29,0),"0.00%"))</f>
        <v>0</v>
      </c>
      <c r="AH152" s="65">
        <f>CHOOSE(PLColumn,IFERROR(GETPIVOTDATA("Sum of "&amp;AH$9,'PT-All'!$A$1,"Scenario",AH$12,"P&amp;L Item",$B152),0),IFERROR(GETPIVOTDATA("Sum of "&amp;AH$9,'PT-All'!$A$1,"Scenario",AH$12,"P&amp;L Item",$B152)/AH$201,0),TEXT(IFERROR(GETPIVOTDATA("Sum of "&amp;AH$9,'PT-All'!$A$1,"Scenario",AH$12,"P&amp;L Item",$B152)/AH$29,0),"0.00%"))</f>
        <v>0</v>
      </c>
      <c r="AI152" s="65">
        <f>CHOOSE(PLColumn,IFERROR(GETPIVOTDATA("Sum of "&amp;AI$9,'PT-All'!$A$1,"Scenario",AI$12,"P&amp;L Item",$B152),0),IFERROR(GETPIVOTDATA("Sum of "&amp;AI$9,'PT-All'!$A$1,"Scenario",AI$12,"P&amp;L Item",$B152)/AI$201,0),TEXT(IFERROR(GETPIVOTDATA("Sum of "&amp;AI$9,'PT-All'!$A$1,"Scenario",AI$12,"P&amp;L Item",$B152)/AI$29,0),"0.00%"))</f>
        <v>0</v>
      </c>
      <c r="AJ152" s="65">
        <f>CHOOSE(PLColumn,IFERROR(GETPIVOTDATA("Sum of "&amp;AJ$9,'PT-All'!$A$1,"Scenario",AJ$12,"P&amp;L Item",$B152),0),IFERROR(GETPIVOTDATA("Sum of "&amp;AJ$9,'PT-All'!$A$1,"Scenario",AJ$12,"P&amp;L Item",$B152)/AJ$201,0),TEXT(IFERROR(GETPIVOTDATA("Sum of "&amp;AJ$9,'PT-All'!$A$1,"Scenario",AJ$12,"P&amp;L Item",$B152)/AJ$29,0),"0.00%"))</f>
        <v>0</v>
      </c>
      <c r="AK152" s="65">
        <f>CHOOSE(PLColumn,IFERROR(GETPIVOTDATA("Sum of "&amp;AK$9,'PT-All'!$A$1,"Scenario",AK$12,"P&amp;L Item",$B152),0),IFERROR(GETPIVOTDATA("Sum of "&amp;AK$9,'PT-All'!$A$1,"Scenario",AK$12,"P&amp;L Item",$B152)/AK$201,0),TEXT(IFERROR(GETPIVOTDATA("Sum of "&amp;AK$9,'PT-All'!$A$1,"Scenario",AK$12,"P&amp;L Item",$B152)/AK$29,0),"0.00%"))</f>
        <v>0</v>
      </c>
      <c r="AL152" s="97">
        <f>CHOOSE(PLColumn,IFERROR(GETPIVOTDATA("Sum of "&amp;AL$9,'PT-All'!$A$1,"Scenario",AL$12,"P&amp;L Item",$B152),0),IFERROR(GETPIVOTDATA("Sum of "&amp;AL$9,'PT-All'!$A$1,"Scenario",AL$12,"P&amp;L Item",$B152)/AL$201,0),TEXT(IFERROR(GETPIVOTDATA("Sum of "&amp;AL$9,'PT-All'!$A$1,"Scenario",AL$12,"P&amp;L Item",$B152)/AL$29,0),"0.00%"))</f>
        <v>0</v>
      </c>
      <c r="AM152" s="590"/>
      <c r="AN152" s="108">
        <f ca="1">IF(AN$12="Pro Forma",SUM(OFFSET($B152,0,3*AN$9+1,1,3)),IFERROR(GETPIVOTDATA("Sum of Q"&amp;AN$9+1,'PT-All'!$A$1,"Scenario",AN$12,"P&amp;L Item",$B152),0))</f>
        <v>0</v>
      </c>
      <c r="AO152" s="65">
        <f ca="1">IF(AO$12="Pro Forma",SUM(OFFSET($B152,0,3*AO$9+1,1,3)),IFERROR(GETPIVOTDATA("Sum of Q"&amp;AO$9+1,'PT-All'!$A$1,"Scenario",AO$12,"P&amp;L Item",$B152),0))</f>
        <v>0</v>
      </c>
      <c r="AP152" s="65">
        <f ca="1">IF(AP$12="Pro Forma",SUM(OFFSET($B152,0,3*AP$9+1,1,3)),IFERROR(GETPIVOTDATA("Sum of Q"&amp;AP$9+1,'PT-All'!$A$1,"Scenario",AP$12,"P&amp;L Item",$B152),0))</f>
        <v>0</v>
      </c>
      <c r="AQ152" s="65">
        <f ca="1">IF(AQ$12="Pro Forma",SUM(OFFSET($B152,0,3*AQ$9+1,1,3)),IFERROR(GETPIVOTDATA("Sum of Q"&amp;AQ$9+1,'PT-All'!$A$1,"Scenario",AQ$12,"P&amp;L Item",$B152),0))</f>
        <v>0</v>
      </c>
      <c r="AR152" s="65">
        <f ca="1">IF(AR$12="Pro Forma",SUM(OFFSET($B152,0,3*AR$9+1,1,3)),IFERROR(GETPIVOTDATA("Sum of Q"&amp;AR$9+1,'PT-All'!$A$1,"Scenario",AR$12,"P&amp;L Item",$B152),0))</f>
        <v>0</v>
      </c>
      <c r="AS152" s="65">
        <f ca="1">IF(AS$12="Pro Forma",SUM(OFFSET($B152,0,3*AS$9+1,1,3)),IFERROR(GETPIVOTDATA("Sum of Q"&amp;AS$9+1,'PT-All'!$A$1,"Scenario",AS$12,"P&amp;L Item",$B152),0))</f>
        <v>0</v>
      </c>
      <c r="AT152" s="65">
        <f ca="1">IF(AT$12="Pro Forma",SUM(OFFSET($B152,0,3*AT$9+1,1,3)),IFERROR(GETPIVOTDATA("Sum of Q"&amp;AT$9+1,'PT-All'!$A$1,"Scenario",AT$12,"P&amp;L Item",$B152),0))</f>
        <v>0</v>
      </c>
      <c r="AU152" s="65">
        <f ca="1">IF(AU$12="Pro Forma",SUM(OFFSET($B152,0,3*AU$9+1,1,3)),IFERROR(GETPIVOTDATA("Sum of Q"&amp;AU$9+1,'PT-All'!$A$1,"Scenario",AU$12,"P&amp;L Item",$B152),0))</f>
        <v>0</v>
      </c>
      <c r="AV152" s="65">
        <f ca="1">IF(AV$12="Pro Forma",SUM(OFFSET($B152,0,3*AV$9+1,1,3)),IFERROR(GETPIVOTDATA("Sum of Q"&amp;AV$9+1,'PT-All'!$A$1,"Scenario",AV$12,"P&amp;L Item",$B152),0))</f>
        <v>0</v>
      </c>
      <c r="AW152" s="65">
        <f ca="1">IF(AW$12="Pro Forma",SUM(OFFSET($B152,0,3*AW$9+1,1,3)),IFERROR(GETPIVOTDATA("Sum of Q"&amp;AW$9+1,'PT-All'!$A$1,"Scenario",AW$12,"P&amp;L Item",$B152),0))</f>
        <v>0</v>
      </c>
      <c r="AX152" s="65">
        <f ca="1">IF(AX$12="Pro Forma",SUM(OFFSET($B152,0,3*AX$9+1,1,3)),IFERROR(GETPIVOTDATA("Sum of Q"&amp;AX$9+1,'PT-All'!$A$1,"Scenario",AX$12,"P&amp;L Item",$B152),0))</f>
        <v>0</v>
      </c>
      <c r="AY152" s="97">
        <f ca="1">IF(AY$12="Pro Forma",SUM(OFFSET($B152,0,3*AY$9+1,1,3)),IFERROR(GETPIVOTDATA("Sum of Q"&amp;AY$9+1,'PT-All'!$A$1,"Scenario",AY$12,"P&amp;L Item",$B152),0))</f>
        <v>0</v>
      </c>
      <c r="AZ152" s="590"/>
      <c r="BA152" s="108">
        <f ca="1">IF(BA$12="Pro Forma",SUM(OFFSET($B152,0,12*BA$9+1,1,12)),IFERROR(GETPIVOTDATA("Sum of FY"&amp;BA$9+1,'PT-All'!$A$1,"Scenario",BA$12,"P&amp;L Item",$B152),0))</f>
        <v>0</v>
      </c>
      <c r="BB152" s="65">
        <f ca="1">IF(BB$12="Pro Forma",SUM(OFFSET($B152,0,12*BB$9+1,1,12)),IFERROR(GETPIVOTDATA("Sum of FY"&amp;BB$9+1,'PT-All'!$A$1,"Scenario",BB$12,"P&amp;L Item",$B152),0))</f>
        <v>0</v>
      </c>
      <c r="BC152" s="97">
        <f ca="1">IF(BC$12="Pro Forma",SUM(OFFSET($B152,0,12*BC$9+1,1,12)),IFERROR(GETPIVOTDATA("Sum of FY"&amp;BC$9+1,'PT-All'!$A$1,"Scenario",BC$12,"P&amp;L Item",$B152),0))</f>
        <v>0</v>
      </c>
    </row>
    <row r="153" spans="2:55" x14ac:dyDescent="0.35">
      <c r="B153" s="76" t="s">
        <v>181</v>
      </c>
      <c r="C153" s="65">
        <f>CHOOSE(PLColumn,IFERROR(GETPIVOTDATA("Sum of "&amp;C$9,'PT-All'!$A$1,"Scenario",C$12,"P&amp;L Item",$B153),0),IFERROR(GETPIVOTDATA("Sum of "&amp;C$9,'PT-All'!$A$1,"Scenario",C$12,"P&amp;L Item",$B153)/C$201,0),TEXT(IFERROR(GETPIVOTDATA("Sum of "&amp;C$9,'PT-All'!$A$1,"Scenario",C$12,"P&amp;L Item",$B153)/C$29,0),"0.00%"))</f>
        <v>0</v>
      </c>
      <c r="D153" s="65">
        <f>CHOOSE(PLColumn,IFERROR(GETPIVOTDATA("Sum of "&amp;D$9,'PT-All'!$A$1,"Scenario",D$12,"P&amp;L Item",$B153),0),IFERROR(GETPIVOTDATA("Sum of "&amp;D$9,'PT-All'!$A$1,"Scenario",D$12,"P&amp;L Item",$B153)/D$201,0),TEXT(IFERROR(GETPIVOTDATA("Sum of "&amp;D$9,'PT-All'!$A$1,"Scenario",D$12,"P&amp;L Item",$B153)/D$29,0),"0.00%"))</f>
        <v>0</v>
      </c>
      <c r="E153" s="65">
        <f>CHOOSE(PLColumn,IFERROR(GETPIVOTDATA("Sum of "&amp;E$9,'PT-All'!$A$1,"Scenario",E$12,"P&amp;L Item",$B153),0),IFERROR(GETPIVOTDATA("Sum of "&amp;E$9,'PT-All'!$A$1,"Scenario",E$12,"P&amp;L Item",$B153)/E$201,0),TEXT(IFERROR(GETPIVOTDATA("Sum of "&amp;E$9,'PT-All'!$A$1,"Scenario",E$12,"P&amp;L Item",$B153)/E$29,0),"0.00%"))</f>
        <v>0</v>
      </c>
      <c r="F153" s="65">
        <f>CHOOSE(PLColumn,IFERROR(GETPIVOTDATA("Sum of "&amp;F$9,'PT-All'!$A$1,"Scenario",F$12,"P&amp;L Item",$B153),0),IFERROR(GETPIVOTDATA("Sum of "&amp;F$9,'PT-All'!$A$1,"Scenario",F$12,"P&amp;L Item",$B153)/F$201,0),TEXT(IFERROR(GETPIVOTDATA("Sum of "&amp;F$9,'PT-All'!$A$1,"Scenario",F$12,"P&amp;L Item",$B153)/F$29,0),"0.00%"))</f>
        <v>0</v>
      </c>
      <c r="G153" s="65">
        <f>CHOOSE(PLColumn,IFERROR(GETPIVOTDATA("Sum of "&amp;G$9,'PT-All'!$A$1,"Scenario",G$12,"P&amp;L Item",$B153),0),IFERROR(GETPIVOTDATA("Sum of "&amp;G$9,'PT-All'!$A$1,"Scenario",G$12,"P&amp;L Item",$B153)/G$201,0),TEXT(IFERROR(GETPIVOTDATA("Sum of "&amp;G$9,'PT-All'!$A$1,"Scenario",G$12,"P&amp;L Item",$B153)/G$29,0),"0.00%"))</f>
        <v>0</v>
      </c>
      <c r="H153" s="65">
        <f>CHOOSE(PLColumn,IFERROR(GETPIVOTDATA("Sum of "&amp;H$9,'PT-All'!$A$1,"Scenario",H$12,"P&amp;L Item",$B153),0),IFERROR(GETPIVOTDATA("Sum of "&amp;H$9,'PT-All'!$A$1,"Scenario",H$12,"P&amp;L Item",$B153)/H$201,0),TEXT(IFERROR(GETPIVOTDATA("Sum of "&amp;H$9,'PT-All'!$A$1,"Scenario",H$12,"P&amp;L Item",$B153)/H$29,0),"0.00%"))</f>
        <v>0</v>
      </c>
      <c r="I153" s="65">
        <f>CHOOSE(PLColumn,IFERROR(GETPIVOTDATA("Sum of "&amp;I$9,'PT-All'!$A$1,"Scenario",I$12,"P&amp;L Item",$B153),0),IFERROR(GETPIVOTDATA("Sum of "&amp;I$9,'PT-All'!$A$1,"Scenario",I$12,"P&amp;L Item",$B153)/I$201,0),TEXT(IFERROR(GETPIVOTDATA("Sum of "&amp;I$9,'PT-All'!$A$1,"Scenario",I$12,"P&amp;L Item",$B153)/I$29,0),"0.00%"))</f>
        <v>0</v>
      </c>
      <c r="J153" s="65">
        <f>CHOOSE(PLColumn,IFERROR(GETPIVOTDATA("Sum of "&amp;J$9,'PT-All'!$A$1,"Scenario",J$12,"P&amp;L Item",$B153),0),IFERROR(GETPIVOTDATA("Sum of "&amp;J$9,'PT-All'!$A$1,"Scenario",J$12,"P&amp;L Item",$B153)/J$201,0),TEXT(IFERROR(GETPIVOTDATA("Sum of "&amp;J$9,'PT-All'!$A$1,"Scenario",J$12,"P&amp;L Item",$B153)/J$29,0),"0.00%"))</f>
        <v>0</v>
      </c>
      <c r="K153" s="65">
        <f>CHOOSE(PLColumn,IFERROR(GETPIVOTDATA("Sum of "&amp;K$9,'PT-All'!$A$1,"Scenario",K$12,"P&amp;L Item",$B153),0),IFERROR(GETPIVOTDATA("Sum of "&amp;K$9,'PT-All'!$A$1,"Scenario",K$12,"P&amp;L Item",$B153)/K$201,0),TEXT(IFERROR(GETPIVOTDATA("Sum of "&amp;K$9,'PT-All'!$A$1,"Scenario",K$12,"P&amp;L Item",$B153)/K$29,0),"0.00%"))</f>
        <v>0</v>
      </c>
      <c r="L153" s="65">
        <f>CHOOSE(PLColumn,IFERROR(GETPIVOTDATA("Sum of "&amp;L$9,'PT-All'!$A$1,"Scenario",L$12,"P&amp;L Item",$B153),0),IFERROR(GETPIVOTDATA("Sum of "&amp;L$9,'PT-All'!$A$1,"Scenario",L$12,"P&amp;L Item",$B153)/L$201,0),TEXT(IFERROR(GETPIVOTDATA("Sum of "&amp;L$9,'PT-All'!$A$1,"Scenario",L$12,"P&amp;L Item",$B153)/L$29,0),"0.00%"))</f>
        <v>0</v>
      </c>
      <c r="M153" s="65">
        <f>CHOOSE(PLColumn,IFERROR(GETPIVOTDATA("Sum of "&amp;M$9,'PT-All'!$A$1,"Scenario",M$12,"P&amp;L Item",$B153),0),IFERROR(GETPIVOTDATA("Sum of "&amp;M$9,'PT-All'!$A$1,"Scenario",M$12,"P&amp;L Item",$B153)/M$201,0),TEXT(IFERROR(GETPIVOTDATA("Sum of "&amp;M$9,'PT-All'!$A$1,"Scenario",M$12,"P&amp;L Item",$B153)/M$29,0),"0.00%"))</f>
        <v>0</v>
      </c>
      <c r="N153" s="65">
        <f>CHOOSE(PLColumn,IFERROR(GETPIVOTDATA("Sum of "&amp;N$9,'PT-All'!$A$1,"Scenario",N$12,"P&amp;L Item",$B153),0),IFERROR(GETPIVOTDATA("Sum of "&amp;N$9,'PT-All'!$A$1,"Scenario",N$12,"P&amp;L Item",$B153)/N$201,0),TEXT(IFERROR(GETPIVOTDATA("Sum of "&amp;N$9,'PT-All'!$A$1,"Scenario",N$12,"P&amp;L Item",$B153)/N$29,0),"0.00%"))</f>
        <v>0</v>
      </c>
      <c r="O153" s="65">
        <f>CHOOSE(PLColumn,IFERROR(GETPIVOTDATA("Sum of "&amp;O$9,'PT-All'!$A$1,"Scenario",O$12,"P&amp;L Item",$B153),0),IFERROR(GETPIVOTDATA("Sum of "&amp;O$9,'PT-All'!$A$1,"Scenario",O$12,"P&amp;L Item",$B153)/O$201,0),TEXT(IFERROR(GETPIVOTDATA("Sum of "&amp;O$9,'PT-All'!$A$1,"Scenario",O$12,"P&amp;L Item",$B153)/O$29,0),"0.00%"))</f>
        <v>0</v>
      </c>
      <c r="P153" s="65">
        <f>CHOOSE(PLColumn,IFERROR(GETPIVOTDATA("Sum of "&amp;P$9,'PT-All'!$A$1,"Scenario",P$12,"P&amp;L Item",$B153),0),IFERROR(GETPIVOTDATA("Sum of "&amp;P$9,'PT-All'!$A$1,"Scenario",P$12,"P&amp;L Item",$B153)/P$201,0),TEXT(IFERROR(GETPIVOTDATA("Sum of "&amp;P$9,'PT-All'!$A$1,"Scenario",P$12,"P&amp;L Item",$B153)/P$29,0),"0.00%"))</f>
        <v>0</v>
      </c>
      <c r="Q153" s="65">
        <f>CHOOSE(PLColumn,IFERROR(GETPIVOTDATA("Sum of "&amp;Q$9,'PT-All'!$A$1,"Scenario",Q$12,"P&amp;L Item",$B153),0),IFERROR(GETPIVOTDATA("Sum of "&amp;Q$9,'PT-All'!$A$1,"Scenario",Q$12,"P&amp;L Item",$B153)/Q$201,0),TEXT(IFERROR(GETPIVOTDATA("Sum of "&amp;Q$9,'PT-All'!$A$1,"Scenario",Q$12,"P&amp;L Item",$B153)/Q$29,0),"0.00%"))</f>
        <v>0</v>
      </c>
      <c r="R153" s="65">
        <f>CHOOSE(PLColumn,IFERROR(GETPIVOTDATA("Sum of "&amp;R$9,'PT-All'!$A$1,"Scenario",R$12,"P&amp;L Item",$B153),0),IFERROR(GETPIVOTDATA("Sum of "&amp;R$9,'PT-All'!$A$1,"Scenario",R$12,"P&amp;L Item",$B153)/R$201,0),TEXT(IFERROR(GETPIVOTDATA("Sum of "&amp;R$9,'PT-All'!$A$1,"Scenario",R$12,"P&amp;L Item",$B153)/R$29,0),"0.00%"))</f>
        <v>0</v>
      </c>
      <c r="S153" s="65">
        <f>CHOOSE(PLColumn,IFERROR(GETPIVOTDATA("Sum of "&amp;S$9,'PT-All'!$A$1,"Scenario",S$12,"P&amp;L Item",$B153),0),IFERROR(GETPIVOTDATA("Sum of "&amp;S$9,'PT-All'!$A$1,"Scenario",S$12,"P&amp;L Item",$B153)/S$201,0),TEXT(IFERROR(GETPIVOTDATA("Sum of "&amp;S$9,'PT-All'!$A$1,"Scenario",S$12,"P&amp;L Item",$B153)/S$29,0),"0.00%"))</f>
        <v>0</v>
      </c>
      <c r="T153" s="65">
        <f>CHOOSE(PLColumn,IFERROR(GETPIVOTDATA("Sum of "&amp;T$9,'PT-All'!$A$1,"Scenario",T$12,"P&amp;L Item",$B153),0),IFERROR(GETPIVOTDATA("Sum of "&amp;T$9,'PT-All'!$A$1,"Scenario",T$12,"P&amp;L Item",$B153)/T$201,0),TEXT(IFERROR(GETPIVOTDATA("Sum of "&amp;T$9,'PT-All'!$A$1,"Scenario",T$12,"P&amp;L Item",$B153)/T$29,0),"0.00%"))</f>
        <v>0</v>
      </c>
      <c r="U153" s="65">
        <f>CHOOSE(PLColumn,IFERROR(GETPIVOTDATA("Sum of "&amp;U$9,'PT-All'!$A$1,"Scenario",U$12,"P&amp;L Item",$B153),0),IFERROR(GETPIVOTDATA("Sum of "&amp;U$9,'PT-All'!$A$1,"Scenario",U$12,"P&amp;L Item",$B153)/U$201,0),TEXT(IFERROR(GETPIVOTDATA("Sum of "&amp;U$9,'PT-All'!$A$1,"Scenario",U$12,"P&amp;L Item",$B153)/U$29,0),"0.00%"))</f>
        <v>0</v>
      </c>
      <c r="V153" s="65">
        <f>CHOOSE(PLColumn,IFERROR(GETPIVOTDATA("Sum of "&amp;V$9,'PT-All'!$A$1,"Scenario",V$12,"P&amp;L Item",$B153),0),IFERROR(GETPIVOTDATA("Sum of "&amp;V$9,'PT-All'!$A$1,"Scenario",V$12,"P&amp;L Item",$B153)/V$201,0),TEXT(IFERROR(GETPIVOTDATA("Sum of "&amp;V$9,'PT-All'!$A$1,"Scenario",V$12,"P&amp;L Item",$B153)/V$29,0),"0.00%"))</f>
        <v>0</v>
      </c>
      <c r="W153" s="65">
        <f>CHOOSE(PLColumn,IFERROR(GETPIVOTDATA("Sum of "&amp;W$9,'PT-All'!$A$1,"Scenario",W$12,"P&amp;L Item",$B153),0),IFERROR(GETPIVOTDATA("Sum of "&amp;W$9,'PT-All'!$A$1,"Scenario",W$12,"P&amp;L Item",$B153)/W$201,0),TEXT(IFERROR(GETPIVOTDATA("Sum of "&amp;W$9,'PT-All'!$A$1,"Scenario",W$12,"P&amp;L Item",$B153)/W$29,0),"0.00%"))</f>
        <v>0</v>
      </c>
      <c r="X153" s="65">
        <f>CHOOSE(PLColumn,IFERROR(GETPIVOTDATA("Sum of "&amp;X$9,'PT-All'!$A$1,"Scenario",X$12,"P&amp;L Item",$B153),0),IFERROR(GETPIVOTDATA("Sum of "&amp;X$9,'PT-All'!$A$1,"Scenario",X$12,"P&amp;L Item",$B153)/X$201,0),TEXT(IFERROR(GETPIVOTDATA("Sum of "&amp;X$9,'PT-All'!$A$1,"Scenario",X$12,"P&amp;L Item",$B153)/X$29,0),"0.00%"))</f>
        <v>0</v>
      </c>
      <c r="Y153" s="65">
        <f>CHOOSE(PLColumn,IFERROR(GETPIVOTDATA("Sum of "&amp;Y$9,'PT-All'!$A$1,"Scenario",Y$12,"P&amp;L Item",$B153),0),IFERROR(GETPIVOTDATA("Sum of "&amp;Y$9,'PT-All'!$A$1,"Scenario",Y$12,"P&amp;L Item",$B153)/Y$201,0),TEXT(IFERROR(GETPIVOTDATA("Sum of "&amp;Y$9,'PT-All'!$A$1,"Scenario",Y$12,"P&amp;L Item",$B153)/Y$29,0),"0.00%"))</f>
        <v>0</v>
      </c>
      <c r="Z153" s="65">
        <f>CHOOSE(PLColumn,IFERROR(GETPIVOTDATA("Sum of "&amp;Z$9,'PT-All'!$A$1,"Scenario",Z$12,"P&amp;L Item",$B153),0),IFERROR(GETPIVOTDATA("Sum of "&amp;Z$9,'PT-All'!$A$1,"Scenario",Z$12,"P&amp;L Item",$B153)/Z$201,0),TEXT(IFERROR(GETPIVOTDATA("Sum of "&amp;Z$9,'PT-All'!$A$1,"Scenario",Z$12,"P&amp;L Item",$B153)/Z$29,0),"0.00%"))</f>
        <v>0</v>
      </c>
      <c r="AA153" s="65">
        <f>CHOOSE(PLColumn,IFERROR(GETPIVOTDATA("Sum of "&amp;AA$9,'PT-All'!$A$1,"Scenario",AA$12,"P&amp;L Item",$B153),0),IFERROR(GETPIVOTDATA("Sum of "&amp;AA$9,'PT-All'!$A$1,"Scenario",AA$12,"P&amp;L Item",$B153)/AA$201,0),TEXT(IFERROR(GETPIVOTDATA("Sum of "&amp;AA$9,'PT-All'!$A$1,"Scenario",AA$12,"P&amp;L Item",$B153)/AA$29,0),"0.00%"))</f>
        <v>0</v>
      </c>
      <c r="AB153" s="65">
        <f>CHOOSE(PLColumn,IFERROR(GETPIVOTDATA("Sum of "&amp;AB$9,'PT-All'!$A$1,"Scenario",AB$12,"P&amp;L Item",$B153),0),IFERROR(GETPIVOTDATA("Sum of "&amp;AB$9,'PT-All'!$A$1,"Scenario",AB$12,"P&amp;L Item",$B153)/AB$201,0),TEXT(IFERROR(GETPIVOTDATA("Sum of "&amp;AB$9,'PT-All'!$A$1,"Scenario",AB$12,"P&amp;L Item",$B153)/AB$29,0),"0.00%"))</f>
        <v>0</v>
      </c>
      <c r="AC153" s="65">
        <f>CHOOSE(PLColumn,IFERROR(GETPIVOTDATA("Sum of "&amp;AC$9,'PT-All'!$A$1,"Scenario",AC$12,"P&amp;L Item",$B153),0),IFERROR(GETPIVOTDATA("Sum of "&amp;AC$9,'PT-All'!$A$1,"Scenario",AC$12,"P&amp;L Item",$B153)/AC$201,0),TEXT(IFERROR(GETPIVOTDATA("Sum of "&amp;AC$9,'PT-All'!$A$1,"Scenario",AC$12,"P&amp;L Item",$B153)/AC$29,0),"0.00%"))</f>
        <v>0</v>
      </c>
      <c r="AD153" s="65">
        <f>CHOOSE(PLColumn,IFERROR(GETPIVOTDATA("Sum of "&amp;AD$9,'PT-All'!$A$1,"Scenario",AD$12,"P&amp;L Item",$B153),0),IFERROR(GETPIVOTDATA("Sum of "&amp;AD$9,'PT-All'!$A$1,"Scenario",AD$12,"P&amp;L Item",$B153)/AD$201,0),TEXT(IFERROR(GETPIVOTDATA("Sum of "&amp;AD$9,'PT-All'!$A$1,"Scenario",AD$12,"P&amp;L Item",$B153)/AD$29,0),"0.00%"))</f>
        <v>0</v>
      </c>
      <c r="AE153" s="65">
        <f>CHOOSE(PLColumn,IFERROR(GETPIVOTDATA("Sum of "&amp;AE$9,'PT-All'!$A$1,"Scenario",AE$12,"P&amp;L Item",$B153),0),IFERROR(GETPIVOTDATA("Sum of "&amp;AE$9,'PT-All'!$A$1,"Scenario",AE$12,"P&amp;L Item",$B153)/AE$201,0),TEXT(IFERROR(GETPIVOTDATA("Sum of "&amp;AE$9,'PT-All'!$A$1,"Scenario",AE$12,"P&amp;L Item",$B153)/AE$29,0),"0.00%"))</f>
        <v>0</v>
      </c>
      <c r="AF153" s="65">
        <f>CHOOSE(PLColumn,IFERROR(GETPIVOTDATA("Sum of "&amp;AF$9,'PT-All'!$A$1,"Scenario",AF$12,"P&amp;L Item",$B153),0),IFERROR(GETPIVOTDATA("Sum of "&amp;AF$9,'PT-All'!$A$1,"Scenario",AF$12,"P&amp;L Item",$B153)/AF$201,0),TEXT(IFERROR(GETPIVOTDATA("Sum of "&amp;AF$9,'PT-All'!$A$1,"Scenario",AF$12,"P&amp;L Item",$B153)/AF$29,0),"0.00%"))</f>
        <v>0</v>
      </c>
      <c r="AG153" s="65">
        <f>CHOOSE(PLColumn,IFERROR(GETPIVOTDATA("Sum of "&amp;AG$9,'PT-All'!$A$1,"Scenario",AG$12,"P&amp;L Item",$B153),0),IFERROR(GETPIVOTDATA("Sum of "&amp;AG$9,'PT-All'!$A$1,"Scenario",AG$12,"P&amp;L Item",$B153)/AG$201,0),TEXT(IFERROR(GETPIVOTDATA("Sum of "&amp;AG$9,'PT-All'!$A$1,"Scenario",AG$12,"P&amp;L Item",$B153)/AG$29,0),"0.00%"))</f>
        <v>0</v>
      </c>
      <c r="AH153" s="65">
        <f>CHOOSE(PLColumn,IFERROR(GETPIVOTDATA("Sum of "&amp;AH$9,'PT-All'!$A$1,"Scenario",AH$12,"P&amp;L Item",$B153),0),IFERROR(GETPIVOTDATA("Sum of "&amp;AH$9,'PT-All'!$A$1,"Scenario",AH$12,"P&amp;L Item",$B153)/AH$201,0),TEXT(IFERROR(GETPIVOTDATA("Sum of "&amp;AH$9,'PT-All'!$A$1,"Scenario",AH$12,"P&amp;L Item",$B153)/AH$29,0),"0.00%"))</f>
        <v>0</v>
      </c>
      <c r="AI153" s="65">
        <f>CHOOSE(PLColumn,IFERROR(GETPIVOTDATA("Sum of "&amp;AI$9,'PT-All'!$A$1,"Scenario",AI$12,"P&amp;L Item",$B153),0),IFERROR(GETPIVOTDATA("Sum of "&amp;AI$9,'PT-All'!$A$1,"Scenario",AI$12,"P&amp;L Item",$B153)/AI$201,0),TEXT(IFERROR(GETPIVOTDATA("Sum of "&amp;AI$9,'PT-All'!$A$1,"Scenario",AI$12,"P&amp;L Item",$B153)/AI$29,0),"0.00%"))</f>
        <v>0</v>
      </c>
      <c r="AJ153" s="65">
        <f>CHOOSE(PLColumn,IFERROR(GETPIVOTDATA("Sum of "&amp;AJ$9,'PT-All'!$A$1,"Scenario",AJ$12,"P&amp;L Item",$B153),0),IFERROR(GETPIVOTDATA("Sum of "&amp;AJ$9,'PT-All'!$A$1,"Scenario",AJ$12,"P&amp;L Item",$B153)/AJ$201,0),TEXT(IFERROR(GETPIVOTDATA("Sum of "&amp;AJ$9,'PT-All'!$A$1,"Scenario",AJ$12,"P&amp;L Item",$B153)/AJ$29,0),"0.00%"))</f>
        <v>0</v>
      </c>
      <c r="AK153" s="65">
        <f>CHOOSE(PLColumn,IFERROR(GETPIVOTDATA("Sum of "&amp;AK$9,'PT-All'!$A$1,"Scenario",AK$12,"P&amp;L Item",$B153),0),IFERROR(GETPIVOTDATA("Sum of "&amp;AK$9,'PT-All'!$A$1,"Scenario",AK$12,"P&amp;L Item",$B153)/AK$201,0),TEXT(IFERROR(GETPIVOTDATA("Sum of "&amp;AK$9,'PT-All'!$A$1,"Scenario",AK$12,"P&amp;L Item",$B153)/AK$29,0),"0.00%"))</f>
        <v>0</v>
      </c>
      <c r="AL153" s="97">
        <f>CHOOSE(PLColumn,IFERROR(GETPIVOTDATA("Sum of "&amp;AL$9,'PT-All'!$A$1,"Scenario",AL$12,"P&amp;L Item",$B153),0),IFERROR(GETPIVOTDATA("Sum of "&amp;AL$9,'PT-All'!$A$1,"Scenario",AL$12,"P&amp;L Item",$B153)/AL$201,0),TEXT(IFERROR(GETPIVOTDATA("Sum of "&amp;AL$9,'PT-All'!$A$1,"Scenario",AL$12,"P&amp;L Item",$B153)/AL$29,0),"0.00%"))</f>
        <v>0</v>
      </c>
      <c r="AM153" s="590"/>
      <c r="AN153" s="108">
        <f ca="1">IF(AN$12="Pro Forma",SUM(OFFSET($B153,0,3*AN$9+1,1,3)),IFERROR(GETPIVOTDATA("Sum of Q"&amp;AN$9+1,'PT-All'!$A$1,"Scenario",AN$12,"P&amp;L Item",$B153),0))</f>
        <v>0</v>
      </c>
      <c r="AO153" s="65">
        <f ca="1">IF(AO$12="Pro Forma",SUM(OFFSET($B153,0,3*AO$9+1,1,3)),IFERROR(GETPIVOTDATA("Sum of Q"&amp;AO$9+1,'PT-All'!$A$1,"Scenario",AO$12,"P&amp;L Item",$B153),0))</f>
        <v>0</v>
      </c>
      <c r="AP153" s="65">
        <f ca="1">IF(AP$12="Pro Forma",SUM(OFFSET($B153,0,3*AP$9+1,1,3)),IFERROR(GETPIVOTDATA("Sum of Q"&amp;AP$9+1,'PT-All'!$A$1,"Scenario",AP$12,"P&amp;L Item",$B153),0))</f>
        <v>0</v>
      </c>
      <c r="AQ153" s="65">
        <f ca="1">IF(AQ$12="Pro Forma",SUM(OFFSET($B153,0,3*AQ$9+1,1,3)),IFERROR(GETPIVOTDATA("Sum of Q"&amp;AQ$9+1,'PT-All'!$A$1,"Scenario",AQ$12,"P&amp;L Item",$B153),0))</f>
        <v>0</v>
      </c>
      <c r="AR153" s="65">
        <f ca="1">IF(AR$12="Pro Forma",SUM(OFFSET($B153,0,3*AR$9+1,1,3)),IFERROR(GETPIVOTDATA("Sum of Q"&amp;AR$9+1,'PT-All'!$A$1,"Scenario",AR$12,"P&amp;L Item",$B153),0))</f>
        <v>0</v>
      </c>
      <c r="AS153" s="65">
        <f ca="1">IF(AS$12="Pro Forma",SUM(OFFSET($B153,0,3*AS$9+1,1,3)),IFERROR(GETPIVOTDATA("Sum of Q"&amp;AS$9+1,'PT-All'!$A$1,"Scenario",AS$12,"P&amp;L Item",$B153),0))</f>
        <v>0</v>
      </c>
      <c r="AT153" s="65">
        <f ca="1">IF(AT$12="Pro Forma",SUM(OFFSET($B153,0,3*AT$9+1,1,3)),IFERROR(GETPIVOTDATA("Sum of Q"&amp;AT$9+1,'PT-All'!$A$1,"Scenario",AT$12,"P&amp;L Item",$B153),0))</f>
        <v>0</v>
      </c>
      <c r="AU153" s="65">
        <f ca="1">IF(AU$12="Pro Forma",SUM(OFFSET($B153,0,3*AU$9+1,1,3)),IFERROR(GETPIVOTDATA("Sum of Q"&amp;AU$9+1,'PT-All'!$A$1,"Scenario",AU$12,"P&amp;L Item",$B153),0))</f>
        <v>0</v>
      </c>
      <c r="AV153" s="65">
        <f ca="1">IF(AV$12="Pro Forma",SUM(OFFSET($B153,0,3*AV$9+1,1,3)),IFERROR(GETPIVOTDATA("Sum of Q"&amp;AV$9+1,'PT-All'!$A$1,"Scenario",AV$12,"P&amp;L Item",$B153),0))</f>
        <v>0</v>
      </c>
      <c r="AW153" s="65">
        <f ca="1">IF(AW$12="Pro Forma",SUM(OFFSET($B153,0,3*AW$9+1,1,3)),IFERROR(GETPIVOTDATA("Sum of Q"&amp;AW$9+1,'PT-All'!$A$1,"Scenario",AW$12,"P&amp;L Item",$B153),0))</f>
        <v>0</v>
      </c>
      <c r="AX153" s="65">
        <f ca="1">IF(AX$12="Pro Forma",SUM(OFFSET($B153,0,3*AX$9+1,1,3)),IFERROR(GETPIVOTDATA("Sum of Q"&amp;AX$9+1,'PT-All'!$A$1,"Scenario",AX$12,"P&amp;L Item",$B153),0))</f>
        <v>0</v>
      </c>
      <c r="AY153" s="97">
        <f ca="1">IF(AY$12="Pro Forma",SUM(OFFSET($B153,0,3*AY$9+1,1,3)),IFERROR(GETPIVOTDATA("Sum of Q"&amp;AY$9+1,'PT-All'!$A$1,"Scenario",AY$12,"P&amp;L Item",$B153),0))</f>
        <v>0</v>
      </c>
      <c r="AZ153" s="590"/>
      <c r="BA153" s="108">
        <f ca="1">IF(BA$12="Pro Forma",SUM(OFFSET($B153,0,12*BA$9+1,1,12)),IFERROR(GETPIVOTDATA("Sum of FY"&amp;BA$9+1,'PT-All'!$A$1,"Scenario",BA$12,"P&amp;L Item",$B153),0))</f>
        <v>0</v>
      </c>
      <c r="BB153" s="65">
        <f ca="1">IF(BB$12="Pro Forma",SUM(OFFSET($B153,0,12*BB$9+1,1,12)),IFERROR(GETPIVOTDATA("Sum of FY"&amp;BB$9+1,'PT-All'!$A$1,"Scenario",BB$12,"P&amp;L Item",$B153),0))</f>
        <v>0</v>
      </c>
      <c r="BC153" s="97">
        <f ca="1">IF(BC$12="Pro Forma",SUM(OFFSET($B153,0,12*BC$9+1,1,12)),IFERROR(GETPIVOTDATA("Sum of FY"&amp;BC$9+1,'PT-All'!$A$1,"Scenario",BC$12,"P&amp;L Item",$B153),0))</f>
        <v>0</v>
      </c>
    </row>
    <row r="154" spans="2:55" x14ac:dyDescent="0.35">
      <c r="B154" s="77" t="s">
        <v>182</v>
      </c>
      <c r="C154" s="78">
        <f t="shared" ref="C154:AN154" si="325">SUM(C155,C158)</f>
        <v>0</v>
      </c>
      <c r="D154" s="78">
        <f t="shared" si="325"/>
        <v>0</v>
      </c>
      <c r="E154" s="78">
        <f t="shared" si="325"/>
        <v>0</v>
      </c>
      <c r="F154" s="78">
        <f t="shared" si="325"/>
        <v>0</v>
      </c>
      <c r="G154" s="78">
        <f t="shared" si="325"/>
        <v>0</v>
      </c>
      <c r="H154" s="78">
        <f t="shared" si="325"/>
        <v>0</v>
      </c>
      <c r="I154" s="78">
        <f t="shared" si="325"/>
        <v>0</v>
      </c>
      <c r="J154" s="78">
        <f t="shared" si="325"/>
        <v>0</v>
      </c>
      <c r="K154" s="78">
        <f t="shared" si="325"/>
        <v>0</v>
      </c>
      <c r="L154" s="78">
        <f t="shared" si="325"/>
        <v>0</v>
      </c>
      <c r="M154" s="78">
        <f t="shared" si="325"/>
        <v>0</v>
      </c>
      <c r="N154" s="78">
        <f t="shared" si="325"/>
        <v>0</v>
      </c>
      <c r="O154" s="78">
        <f t="shared" si="325"/>
        <v>0</v>
      </c>
      <c r="P154" s="78">
        <f t="shared" si="325"/>
        <v>0</v>
      </c>
      <c r="Q154" s="78">
        <f t="shared" si="325"/>
        <v>0</v>
      </c>
      <c r="R154" s="78">
        <f t="shared" si="325"/>
        <v>0</v>
      </c>
      <c r="S154" s="78">
        <f t="shared" si="325"/>
        <v>0</v>
      </c>
      <c r="T154" s="78">
        <f t="shared" si="325"/>
        <v>0</v>
      </c>
      <c r="U154" s="78">
        <f t="shared" si="325"/>
        <v>0</v>
      </c>
      <c r="V154" s="78">
        <f t="shared" si="325"/>
        <v>0</v>
      </c>
      <c r="W154" s="78">
        <f t="shared" si="325"/>
        <v>0</v>
      </c>
      <c r="X154" s="78">
        <f t="shared" si="325"/>
        <v>0</v>
      </c>
      <c r="Y154" s="78">
        <f t="shared" si="325"/>
        <v>0</v>
      </c>
      <c r="Z154" s="78">
        <f t="shared" ref="Z154:AL154" si="326">SUM(Z155,Z158)</f>
        <v>0</v>
      </c>
      <c r="AA154" s="78">
        <f t="shared" si="326"/>
        <v>0</v>
      </c>
      <c r="AB154" s="78">
        <f t="shared" si="326"/>
        <v>0</v>
      </c>
      <c r="AC154" s="78">
        <f t="shared" si="326"/>
        <v>0</v>
      </c>
      <c r="AD154" s="78">
        <f t="shared" si="326"/>
        <v>0</v>
      </c>
      <c r="AE154" s="78">
        <f t="shared" si="326"/>
        <v>0</v>
      </c>
      <c r="AF154" s="78">
        <f t="shared" si="326"/>
        <v>0</v>
      </c>
      <c r="AG154" s="78">
        <f t="shared" si="326"/>
        <v>0</v>
      </c>
      <c r="AH154" s="78">
        <f t="shared" si="326"/>
        <v>0</v>
      </c>
      <c r="AI154" s="78">
        <f t="shared" si="326"/>
        <v>0</v>
      </c>
      <c r="AJ154" s="78">
        <f t="shared" si="326"/>
        <v>0</v>
      </c>
      <c r="AK154" s="78">
        <f t="shared" si="326"/>
        <v>0</v>
      </c>
      <c r="AL154" s="100">
        <f t="shared" si="326"/>
        <v>0</v>
      </c>
      <c r="AM154" s="590"/>
      <c r="AN154" s="111">
        <f t="shared" ca="1" si="325"/>
        <v>0</v>
      </c>
      <c r="AO154" s="78">
        <f t="shared" ref="AO154" ca="1" si="327">SUM(AO155,AO158)</f>
        <v>0</v>
      </c>
      <c r="AP154" s="78">
        <f t="shared" ref="AP154" ca="1" si="328">SUM(AP155,AP158)</f>
        <v>0</v>
      </c>
      <c r="AQ154" s="78">
        <f t="shared" ref="AQ154" ca="1" si="329">SUM(AQ155,AQ158)</f>
        <v>0</v>
      </c>
      <c r="AR154" s="78">
        <f t="shared" ref="AR154" ca="1" si="330">SUM(AR155,AR158)</f>
        <v>0</v>
      </c>
      <c r="AS154" s="78">
        <f t="shared" ref="AS154" ca="1" si="331">SUM(AS155,AS158)</f>
        <v>0</v>
      </c>
      <c r="AT154" s="78">
        <f t="shared" ref="AT154:AY154" ca="1" si="332">SUM(AT155,AT158)</f>
        <v>0</v>
      </c>
      <c r="AU154" s="78">
        <f t="shared" ca="1" si="332"/>
        <v>0</v>
      </c>
      <c r="AV154" s="78">
        <f t="shared" ca="1" si="332"/>
        <v>0</v>
      </c>
      <c r="AW154" s="78">
        <f t="shared" ca="1" si="332"/>
        <v>0</v>
      </c>
      <c r="AX154" s="78">
        <f t="shared" ca="1" si="332"/>
        <v>0</v>
      </c>
      <c r="AY154" s="100">
        <f t="shared" ca="1" si="332"/>
        <v>0</v>
      </c>
      <c r="AZ154" s="590"/>
      <c r="BA154" s="111">
        <f t="shared" ref="BA154" ca="1" si="333">SUM(BA155,BA158)</f>
        <v>0</v>
      </c>
      <c r="BB154" s="78">
        <f t="shared" ref="BB154:BC154" ca="1" si="334">SUM(BB155,BB158)</f>
        <v>0</v>
      </c>
      <c r="BC154" s="100">
        <f t="shared" ca="1" si="334"/>
        <v>0</v>
      </c>
    </row>
    <row r="155" spans="2:55" x14ac:dyDescent="0.35">
      <c r="B155" s="79" t="s">
        <v>183</v>
      </c>
      <c r="C155" s="592">
        <f t="shared" ref="C155:AN155" si="335">SUM(C156:C157)</f>
        <v>0</v>
      </c>
      <c r="D155" s="592">
        <f t="shared" si="335"/>
        <v>0</v>
      </c>
      <c r="E155" s="592">
        <f t="shared" si="335"/>
        <v>0</v>
      </c>
      <c r="F155" s="592">
        <f t="shared" si="335"/>
        <v>0</v>
      </c>
      <c r="G155" s="592">
        <f t="shared" si="335"/>
        <v>0</v>
      </c>
      <c r="H155" s="592">
        <f t="shared" si="335"/>
        <v>0</v>
      </c>
      <c r="I155" s="592">
        <f t="shared" si="335"/>
        <v>0</v>
      </c>
      <c r="J155" s="592">
        <f t="shared" si="335"/>
        <v>0</v>
      </c>
      <c r="K155" s="592">
        <f t="shared" si="335"/>
        <v>0</v>
      </c>
      <c r="L155" s="592">
        <f t="shared" si="335"/>
        <v>0</v>
      </c>
      <c r="M155" s="592">
        <f t="shared" si="335"/>
        <v>0</v>
      </c>
      <c r="N155" s="592">
        <f t="shared" si="335"/>
        <v>0</v>
      </c>
      <c r="O155" s="592">
        <f t="shared" si="335"/>
        <v>0</v>
      </c>
      <c r="P155" s="592">
        <f t="shared" si="335"/>
        <v>0</v>
      </c>
      <c r="Q155" s="592">
        <f t="shared" si="335"/>
        <v>0</v>
      </c>
      <c r="R155" s="592">
        <f t="shared" si="335"/>
        <v>0</v>
      </c>
      <c r="S155" s="592">
        <f t="shared" si="335"/>
        <v>0</v>
      </c>
      <c r="T155" s="592">
        <f t="shared" si="335"/>
        <v>0</v>
      </c>
      <c r="U155" s="592">
        <f t="shared" si="335"/>
        <v>0</v>
      </c>
      <c r="V155" s="592">
        <f t="shared" si="335"/>
        <v>0</v>
      </c>
      <c r="W155" s="592">
        <f t="shared" si="335"/>
        <v>0</v>
      </c>
      <c r="X155" s="592">
        <f t="shared" si="335"/>
        <v>0</v>
      </c>
      <c r="Y155" s="592">
        <f t="shared" si="335"/>
        <v>0</v>
      </c>
      <c r="Z155" s="592">
        <f t="shared" ref="Z155:AL155" si="336">SUM(Z156:Z157)</f>
        <v>0</v>
      </c>
      <c r="AA155" s="592">
        <f t="shared" si="336"/>
        <v>0</v>
      </c>
      <c r="AB155" s="592">
        <f t="shared" si="336"/>
        <v>0</v>
      </c>
      <c r="AC155" s="592">
        <f t="shared" si="336"/>
        <v>0</v>
      </c>
      <c r="AD155" s="592">
        <f t="shared" si="336"/>
        <v>0</v>
      </c>
      <c r="AE155" s="592">
        <f t="shared" si="336"/>
        <v>0</v>
      </c>
      <c r="AF155" s="592">
        <f t="shared" si="336"/>
        <v>0</v>
      </c>
      <c r="AG155" s="592">
        <f t="shared" si="336"/>
        <v>0</v>
      </c>
      <c r="AH155" s="592">
        <f t="shared" si="336"/>
        <v>0</v>
      </c>
      <c r="AI155" s="592">
        <f t="shared" si="336"/>
        <v>0</v>
      </c>
      <c r="AJ155" s="592">
        <f t="shared" si="336"/>
        <v>0</v>
      </c>
      <c r="AK155" s="592">
        <f t="shared" si="336"/>
        <v>0</v>
      </c>
      <c r="AL155" s="593">
        <f t="shared" si="336"/>
        <v>0</v>
      </c>
      <c r="AM155" s="590"/>
      <c r="AN155" s="594">
        <f t="shared" ca="1" si="335"/>
        <v>0</v>
      </c>
      <c r="AO155" s="592">
        <f t="shared" ref="AO155" ca="1" si="337">SUM(AO156:AO157)</f>
        <v>0</v>
      </c>
      <c r="AP155" s="592">
        <f t="shared" ref="AP155" ca="1" si="338">SUM(AP156:AP157)</f>
        <v>0</v>
      </c>
      <c r="AQ155" s="592">
        <f t="shared" ref="AQ155" ca="1" si="339">SUM(AQ156:AQ157)</f>
        <v>0</v>
      </c>
      <c r="AR155" s="592">
        <f t="shared" ref="AR155" ca="1" si="340">SUM(AR156:AR157)</f>
        <v>0</v>
      </c>
      <c r="AS155" s="592">
        <f t="shared" ref="AS155" ca="1" si="341">SUM(AS156:AS157)</f>
        <v>0</v>
      </c>
      <c r="AT155" s="592">
        <f t="shared" ref="AT155:AY155" ca="1" si="342">SUM(AT156:AT157)</f>
        <v>0</v>
      </c>
      <c r="AU155" s="592">
        <f t="shared" ca="1" si="342"/>
        <v>0</v>
      </c>
      <c r="AV155" s="592">
        <f t="shared" ca="1" si="342"/>
        <v>0</v>
      </c>
      <c r="AW155" s="592">
        <f t="shared" ca="1" si="342"/>
        <v>0</v>
      </c>
      <c r="AX155" s="592">
        <f t="shared" ca="1" si="342"/>
        <v>0</v>
      </c>
      <c r="AY155" s="593">
        <f t="shared" ca="1" si="342"/>
        <v>0</v>
      </c>
      <c r="AZ155" s="590"/>
      <c r="BA155" s="594">
        <f t="shared" ref="BA155" ca="1" si="343">SUM(BA156:BA157)</f>
        <v>0</v>
      </c>
      <c r="BB155" s="592">
        <f t="shared" ref="BB155:BC155" ca="1" si="344">SUM(BB156:BB157)</f>
        <v>0</v>
      </c>
      <c r="BC155" s="593">
        <f t="shared" ca="1" si="344"/>
        <v>0</v>
      </c>
    </row>
    <row r="156" spans="2:55" x14ac:dyDescent="0.35">
      <c r="B156" s="80" t="s">
        <v>184</v>
      </c>
      <c r="C156" s="65">
        <f>CHOOSE(PLColumn,IFERROR(GETPIVOTDATA("Sum of "&amp;C$9,'PT-All'!$A$1,"Scenario",C$12,"P&amp;L Item",$B156),0),IFERROR(GETPIVOTDATA("Sum of "&amp;C$9,'PT-All'!$A$1,"Scenario",C$12,"P&amp;L Item",$B156)/C$201,0),TEXT(IFERROR(GETPIVOTDATA("Sum of "&amp;C$9,'PT-All'!$A$1,"Scenario",C$12,"P&amp;L Item",$B156)/C$29,0),"0.00%"))</f>
        <v>0</v>
      </c>
      <c r="D156" s="65">
        <f>CHOOSE(PLColumn,IFERROR(GETPIVOTDATA("Sum of "&amp;D$9,'PT-All'!$A$1,"Scenario",D$12,"P&amp;L Item",$B156),0),IFERROR(GETPIVOTDATA("Sum of "&amp;D$9,'PT-All'!$A$1,"Scenario",D$12,"P&amp;L Item",$B156)/D$201,0),TEXT(IFERROR(GETPIVOTDATA("Sum of "&amp;D$9,'PT-All'!$A$1,"Scenario",D$12,"P&amp;L Item",$B156)/D$29,0),"0.00%"))</f>
        <v>0</v>
      </c>
      <c r="E156" s="65">
        <f>CHOOSE(PLColumn,IFERROR(GETPIVOTDATA("Sum of "&amp;E$9,'PT-All'!$A$1,"Scenario",E$12,"P&amp;L Item",$B156),0),IFERROR(GETPIVOTDATA("Sum of "&amp;E$9,'PT-All'!$A$1,"Scenario",E$12,"P&amp;L Item",$B156)/E$201,0),TEXT(IFERROR(GETPIVOTDATA("Sum of "&amp;E$9,'PT-All'!$A$1,"Scenario",E$12,"P&amp;L Item",$B156)/E$29,0),"0.00%"))</f>
        <v>0</v>
      </c>
      <c r="F156" s="65">
        <f>CHOOSE(PLColumn,IFERROR(GETPIVOTDATA("Sum of "&amp;F$9,'PT-All'!$A$1,"Scenario",F$12,"P&amp;L Item",$B156),0),IFERROR(GETPIVOTDATA("Sum of "&amp;F$9,'PT-All'!$A$1,"Scenario",F$12,"P&amp;L Item",$B156)/F$201,0),TEXT(IFERROR(GETPIVOTDATA("Sum of "&amp;F$9,'PT-All'!$A$1,"Scenario",F$12,"P&amp;L Item",$B156)/F$29,0),"0.00%"))</f>
        <v>0</v>
      </c>
      <c r="G156" s="65">
        <f>CHOOSE(PLColumn,IFERROR(GETPIVOTDATA("Sum of "&amp;G$9,'PT-All'!$A$1,"Scenario",G$12,"P&amp;L Item",$B156),0),IFERROR(GETPIVOTDATA("Sum of "&amp;G$9,'PT-All'!$A$1,"Scenario",G$12,"P&amp;L Item",$B156)/G$201,0),TEXT(IFERROR(GETPIVOTDATA("Sum of "&amp;G$9,'PT-All'!$A$1,"Scenario",G$12,"P&amp;L Item",$B156)/G$29,0),"0.00%"))</f>
        <v>0</v>
      </c>
      <c r="H156" s="65">
        <f>CHOOSE(PLColumn,IFERROR(GETPIVOTDATA("Sum of "&amp;H$9,'PT-All'!$A$1,"Scenario",H$12,"P&amp;L Item",$B156),0),IFERROR(GETPIVOTDATA("Sum of "&amp;H$9,'PT-All'!$A$1,"Scenario",H$12,"P&amp;L Item",$B156)/H$201,0),TEXT(IFERROR(GETPIVOTDATA("Sum of "&amp;H$9,'PT-All'!$A$1,"Scenario",H$12,"P&amp;L Item",$B156)/H$29,0),"0.00%"))</f>
        <v>0</v>
      </c>
      <c r="I156" s="65">
        <f>CHOOSE(PLColumn,IFERROR(GETPIVOTDATA("Sum of "&amp;I$9,'PT-All'!$A$1,"Scenario",I$12,"P&amp;L Item",$B156),0),IFERROR(GETPIVOTDATA("Sum of "&amp;I$9,'PT-All'!$A$1,"Scenario",I$12,"P&amp;L Item",$B156)/I$201,0),TEXT(IFERROR(GETPIVOTDATA("Sum of "&amp;I$9,'PT-All'!$A$1,"Scenario",I$12,"P&amp;L Item",$B156)/I$29,0),"0.00%"))</f>
        <v>0</v>
      </c>
      <c r="J156" s="65">
        <f>CHOOSE(PLColumn,IFERROR(GETPIVOTDATA("Sum of "&amp;J$9,'PT-All'!$A$1,"Scenario",J$12,"P&amp;L Item",$B156),0),IFERROR(GETPIVOTDATA("Sum of "&amp;J$9,'PT-All'!$A$1,"Scenario",J$12,"P&amp;L Item",$B156)/J$201,0),TEXT(IFERROR(GETPIVOTDATA("Sum of "&amp;J$9,'PT-All'!$A$1,"Scenario",J$12,"P&amp;L Item",$B156)/J$29,0),"0.00%"))</f>
        <v>0</v>
      </c>
      <c r="K156" s="65">
        <f>CHOOSE(PLColumn,IFERROR(GETPIVOTDATA("Sum of "&amp;K$9,'PT-All'!$A$1,"Scenario",K$12,"P&amp;L Item",$B156),0),IFERROR(GETPIVOTDATA("Sum of "&amp;K$9,'PT-All'!$A$1,"Scenario",K$12,"P&amp;L Item",$B156)/K$201,0),TEXT(IFERROR(GETPIVOTDATA("Sum of "&amp;K$9,'PT-All'!$A$1,"Scenario",K$12,"P&amp;L Item",$B156)/K$29,0),"0.00%"))</f>
        <v>0</v>
      </c>
      <c r="L156" s="65">
        <f>CHOOSE(PLColumn,IFERROR(GETPIVOTDATA("Sum of "&amp;L$9,'PT-All'!$A$1,"Scenario",L$12,"P&amp;L Item",$B156),0),IFERROR(GETPIVOTDATA("Sum of "&amp;L$9,'PT-All'!$A$1,"Scenario",L$12,"P&amp;L Item",$B156)/L$201,0),TEXT(IFERROR(GETPIVOTDATA("Sum of "&amp;L$9,'PT-All'!$A$1,"Scenario",L$12,"P&amp;L Item",$B156)/L$29,0),"0.00%"))</f>
        <v>0</v>
      </c>
      <c r="M156" s="65">
        <f>CHOOSE(PLColumn,IFERROR(GETPIVOTDATA("Sum of "&amp;M$9,'PT-All'!$A$1,"Scenario",M$12,"P&amp;L Item",$B156),0),IFERROR(GETPIVOTDATA("Sum of "&amp;M$9,'PT-All'!$A$1,"Scenario",M$12,"P&amp;L Item",$B156)/M$201,0),TEXT(IFERROR(GETPIVOTDATA("Sum of "&amp;M$9,'PT-All'!$A$1,"Scenario",M$12,"P&amp;L Item",$B156)/M$29,0),"0.00%"))</f>
        <v>0</v>
      </c>
      <c r="N156" s="65">
        <f>CHOOSE(PLColumn,IFERROR(GETPIVOTDATA("Sum of "&amp;N$9,'PT-All'!$A$1,"Scenario",N$12,"P&amp;L Item",$B156),0),IFERROR(GETPIVOTDATA("Sum of "&amp;N$9,'PT-All'!$A$1,"Scenario",N$12,"P&amp;L Item",$B156)/N$201,0),TEXT(IFERROR(GETPIVOTDATA("Sum of "&amp;N$9,'PT-All'!$A$1,"Scenario",N$12,"P&amp;L Item",$B156)/N$29,0),"0.00%"))</f>
        <v>0</v>
      </c>
      <c r="O156" s="65">
        <f>CHOOSE(PLColumn,IFERROR(GETPIVOTDATA("Sum of "&amp;O$9,'PT-All'!$A$1,"Scenario",O$12,"P&amp;L Item",$B156),0),IFERROR(GETPIVOTDATA("Sum of "&amp;O$9,'PT-All'!$A$1,"Scenario",O$12,"P&amp;L Item",$B156)/O$201,0),TEXT(IFERROR(GETPIVOTDATA("Sum of "&amp;O$9,'PT-All'!$A$1,"Scenario",O$12,"P&amp;L Item",$B156)/O$29,0),"0.00%"))</f>
        <v>0</v>
      </c>
      <c r="P156" s="65">
        <f>CHOOSE(PLColumn,IFERROR(GETPIVOTDATA("Sum of "&amp;P$9,'PT-All'!$A$1,"Scenario",P$12,"P&amp;L Item",$B156),0),IFERROR(GETPIVOTDATA("Sum of "&amp;P$9,'PT-All'!$A$1,"Scenario",P$12,"P&amp;L Item",$B156)/P$201,0),TEXT(IFERROR(GETPIVOTDATA("Sum of "&amp;P$9,'PT-All'!$A$1,"Scenario",P$12,"P&amp;L Item",$B156)/P$29,0),"0.00%"))</f>
        <v>0</v>
      </c>
      <c r="Q156" s="65">
        <f>CHOOSE(PLColumn,IFERROR(GETPIVOTDATA("Sum of "&amp;Q$9,'PT-All'!$A$1,"Scenario",Q$12,"P&amp;L Item",$B156),0),IFERROR(GETPIVOTDATA("Sum of "&amp;Q$9,'PT-All'!$A$1,"Scenario",Q$12,"P&amp;L Item",$B156)/Q$201,0),TEXT(IFERROR(GETPIVOTDATA("Sum of "&amp;Q$9,'PT-All'!$A$1,"Scenario",Q$12,"P&amp;L Item",$B156)/Q$29,0),"0.00%"))</f>
        <v>0</v>
      </c>
      <c r="R156" s="65">
        <f>CHOOSE(PLColumn,IFERROR(GETPIVOTDATA("Sum of "&amp;R$9,'PT-All'!$A$1,"Scenario",R$12,"P&amp;L Item",$B156),0),IFERROR(GETPIVOTDATA("Sum of "&amp;R$9,'PT-All'!$A$1,"Scenario",R$12,"P&amp;L Item",$B156)/R$201,0),TEXT(IFERROR(GETPIVOTDATA("Sum of "&amp;R$9,'PT-All'!$A$1,"Scenario",R$12,"P&amp;L Item",$B156)/R$29,0),"0.00%"))</f>
        <v>0</v>
      </c>
      <c r="S156" s="65">
        <f>CHOOSE(PLColumn,IFERROR(GETPIVOTDATA("Sum of "&amp;S$9,'PT-All'!$A$1,"Scenario",S$12,"P&amp;L Item",$B156),0),IFERROR(GETPIVOTDATA("Sum of "&amp;S$9,'PT-All'!$A$1,"Scenario",S$12,"P&amp;L Item",$B156)/S$201,0),TEXT(IFERROR(GETPIVOTDATA("Sum of "&amp;S$9,'PT-All'!$A$1,"Scenario",S$12,"P&amp;L Item",$B156)/S$29,0),"0.00%"))</f>
        <v>0</v>
      </c>
      <c r="T156" s="65">
        <f>CHOOSE(PLColumn,IFERROR(GETPIVOTDATA("Sum of "&amp;T$9,'PT-All'!$A$1,"Scenario",T$12,"P&amp;L Item",$B156),0),IFERROR(GETPIVOTDATA("Sum of "&amp;T$9,'PT-All'!$A$1,"Scenario",T$12,"P&amp;L Item",$B156)/T$201,0),TEXT(IFERROR(GETPIVOTDATA("Sum of "&amp;T$9,'PT-All'!$A$1,"Scenario",T$12,"P&amp;L Item",$B156)/T$29,0),"0.00%"))</f>
        <v>0</v>
      </c>
      <c r="U156" s="65">
        <f>CHOOSE(PLColumn,IFERROR(GETPIVOTDATA("Sum of "&amp;U$9,'PT-All'!$A$1,"Scenario",U$12,"P&amp;L Item",$B156),0),IFERROR(GETPIVOTDATA("Sum of "&amp;U$9,'PT-All'!$A$1,"Scenario",U$12,"P&amp;L Item",$B156)/U$201,0),TEXT(IFERROR(GETPIVOTDATA("Sum of "&amp;U$9,'PT-All'!$A$1,"Scenario",U$12,"P&amp;L Item",$B156)/U$29,0),"0.00%"))</f>
        <v>0</v>
      </c>
      <c r="V156" s="65">
        <f>CHOOSE(PLColumn,IFERROR(GETPIVOTDATA("Sum of "&amp;V$9,'PT-All'!$A$1,"Scenario",V$12,"P&amp;L Item",$B156),0),IFERROR(GETPIVOTDATA("Sum of "&amp;V$9,'PT-All'!$A$1,"Scenario",V$12,"P&amp;L Item",$B156)/V$201,0),TEXT(IFERROR(GETPIVOTDATA("Sum of "&amp;V$9,'PT-All'!$A$1,"Scenario",V$12,"P&amp;L Item",$B156)/V$29,0),"0.00%"))</f>
        <v>0</v>
      </c>
      <c r="W156" s="65">
        <f>CHOOSE(PLColumn,IFERROR(GETPIVOTDATA("Sum of "&amp;W$9,'PT-All'!$A$1,"Scenario",W$12,"P&amp;L Item",$B156),0),IFERROR(GETPIVOTDATA("Sum of "&amp;W$9,'PT-All'!$A$1,"Scenario",W$12,"P&amp;L Item",$B156)/W$201,0),TEXT(IFERROR(GETPIVOTDATA("Sum of "&amp;W$9,'PT-All'!$A$1,"Scenario",W$12,"P&amp;L Item",$B156)/W$29,0),"0.00%"))</f>
        <v>0</v>
      </c>
      <c r="X156" s="65">
        <f>CHOOSE(PLColumn,IFERROR(GETPIVOTDATA("Sum of "&amp;X$9,'PT-All'!$A$1,"Scenario",X$12,"P&amp;L Item",$B156),0),IFERROR(GETPIVOTDATA("Sum of "&amp;X$9,'PT-All'!$A$1,"Scenario",X$12,"P&amp;L Item",$B156)/X$201,0),TEXT(IFERROR(GETPIVOTDATA("Sum of "&amp;X$9,'PT-All'!$A$1,"Scenario",X$12,"P&amp;L Item",$B156)/X$29,0),"0.00%"))</f>
        <v>0</v>
      </c>
      <c r="Y156" s="65">
        <f>CHOOSE(PLColumn,IFERROR(GETPIVOTDATA("Sum of "&amp;Y$9,'PT-All'!$A$1,"Scenario",Y$12,"P&amp;L Item",$B156),0),IFERROR(GETPIVOTDATA("Sum of "&amp;Y$9,'PT-All'!$A$1,"Scenario",Y$12,"P&amp;L Item",$B156)/Y$201,0),TEXT(IFERROR(GETPIVOTDATA("Sum of "&amp;Y$9,'PT-All'!$A$1,"Scenario",Y$12,"P&amp;L Item",$B156)/Y$29,0),"0.00%"))</f>
        <v>0</v>
      </c>
      <c r="Z156" s="65">
        <f>CHOOSE(PLColumn,IFERROR(GETPIVOTDATA("Sum of "&amp;Z$9,'PT-All'!$A$1,"Scenario",Z$12,"P&amp;L Item",$B156),0),IFERROR(GETPIVOTDATA("Sum of "&amp;Z$9,'PT-All'!$A$1,"Scenario",Z$12,"P&amp;L Item",$B156)/Z$201,0),TEXT(IFERROR(GETPIVOTDATA("Sum of "&amp;Z$9,'PT-All'!$A$1,"Scenario",Z$12,"P&amp;L Item",$B156)/Z$29,0),"0.00%"))</f>
        <v>0</v>
      </c>
      <c r="AA156" s="65">
        <f>CHOOSE(PLColumn,IFERROR(GETPIVOTDATA("Sum of "&amp;AA$9,'PT-All'!$A$1,"Scenario",AA$12,"P&amp;L Item",$B156),0),IFERROR(GETPIVOTDATA("Sum of "&amp;AA$9,'PT-All'!$A$1,"Scenario",AA$12,"P&amp;L Item",$B156)/AA$201,0),TEXT(IFERROR(GETPIVOTDATA("Sum of "&amp;AA$9,'PT-All'!$A$1,"Scenario",AA$12,"P&amp;L Item",$B156)/AA$29,0),"0.00%"))</f>
        <v>0</v>
      </c>
      <c r="AB156" s="65">
        <f>CHOOSE(PLColumn,IFERROR(GETPIVOTDATA("Sum of "&amp;AB$9,'PT-All'!$A$1,"Scenario",AB$12,"P&amp;L Item",$B156),0),IFERROR(GETPIVOTDATA("Sum of "&amp;AB$9,'PT-All'!$A$1,"Scenario",AB$12,"P&amp;L Item",$B156)/AB$201,0),TEXT(IFERROR(GETPIVOTDATA("Sum of "&amp;AB$9,'PT-All'!$A$1,"Scenario",AB$12,"P&amp;L Item",$B156)/AB$29,0),"0.00%"))</f>
        <v>0</v>
      </c>
      <c r="AC156" s="65">
        <f>CHOOSE(PLColumn,IFERROR(GETPIVOTDATA("Sum of "&amp;AC$9,'PT-All'!$A$1,"Scenario",AC$12,"P&amp;L Item",$B156),0),IFERROR(GETPIVOTDATA("Sum of "&amp;AC$9,'PT-All'!$A$1,"Scenario",AC$12,"P&amp;L Item",$B156)/AC$201,0),TEXT(IFERROR(GETPIVOTDATA("Sum of "&amp;AC$9,'PT-All'!$A$1,"Scenario",AC$12,"P&amp;L Item",$B156)/AC$29,0),"0.00%"))</f>
        <v>0</v>
      </c>
      <c r="AD156" s="65">
        <f>CHOOSE(PLColumn,IFERROR(GETPIVOTDATA("Sum of "&amp;AD$9,'PT-All'!$A$1,"Scenario",AD$12,"P&amp;L Item",$B156),0),IFERROR(GETPIVOTDATA("Sum of "&amp;AD$9,'PT-All'!$A$1,"Scenario",AD$12,"P&amp;L Item",$B156)/AD$201,0),TEXT(IFERROR(GETPIVOTDATA("Sum of "&amp;AD$9,'PT-All'!$A$1,"Scenario",AD$12,"P&amp;L Item",$B156)/AD$29,0),"0.00%"))</f>
        <v>0</v>
      </c>
      <c r="AE156" s="65">
        <f>CHOOSE(PLColumn,IFERROR(GETPIVOTDATA("Sum of "&amp;AE$9,'PT-All'!$A$1,"Scenario",AE$12,"P&amp;L Item",$B156),0),IFERROR(GETPIVOTDATA("Sum of "&amp;AE$9,'PT-All'!$A$1,"Scenario",AE$12,"P&amp;L Item",$B156)/AE$201,0),TEXT(IFERROR(GETPIVOTDATA("Sum of "&amp;AE$9,'PT-All'!$A$1,"Scenario",AE$12,"P&amp;L Item",$B156)/AE$29,0),"0.00%"))</f>
        <v>0</v>
      </c>
      <c r="AF156" s="65">
        <f>CHOOSE(PLColumn,IFERROR(GETPIVOTDATA("Sum of "&amp;AF$9,'PT-All'!$A$1,"Scenario",AF$12,"P&amp;L Item",$B156),0),IFERROR(GETPIVOTDATA("Sum of "&amp;AF$9,'PT-All'!$A$1,"Scenario",AF$12,"P&amp;L Item",$B156)/AF$201,0),TEXT(IFERROR(GETPIVOTDATA("Sum of "&amp;AF$9,'PT-All'!$A$1,"Scenario",AF$12,"P&amp;L Item",$B156)/AF$29,0),"0.00%"))</f>
        <v>0</v>
      </c>
      <c r="AG156" s="65">
        <f>CHOOSE(PLColumn,IFERROR(GETPIVOTDATA("Sum of "&amp;AG$9,'PT-All'!$A$1,"Scenario",AG$12,"P&amp;L Item",$B156),0),IFERROR(GETPIVOTDATA("Sum of "&amp;AG$9,'PT-All'!$A$1,"Scenario",AG$12,"P&amp;L Item",$B156)/AG$201,0),TEXT(IFERROR(GETPIVOTDATA("Sum of "&amp;AG$9,'PT-All'!$A$1,"Scenario",AG$12,"P&amp;L Item",$B156)/AG$29,0),"0.00%"))</f>
        <v>0</v>
      </c>
      <c r="AH156" s="65">
        <f>CHOOSE(PLColumn,IFERROR(GETPIVOTDATA("Sum of "&amp;AH$9,'PT-All'!$A$1,"Scenario",AH$12,"P&amp;L Item",$B156),0),IFERROR(GETPIVOTDATA("Sum of "&amp;AH$9,'PT-All'!$A$1,"Scenario",AH$12,"P&amp;L Item",$B156)/AH$201,0),TEXT(IFERROR(GETPIVOTDATA("Sum of "&amp;AH$9,'PT-All'!$A$1,"Scenario",AH$12,"P&amp;L Item",$B156)/AH$29,0),"0.00%"))</f>
        <v>0</v>
      </c>
      <c r="AI156" s="65">
        <f>CHOOSE(PLColumn,IFERROR(GETPIVOTDATA("Sum of "&amp;AI$9,'PT-All'!$A$1,"Scenario",AI$12,"P&amp;L Item",$B156),0),IFERROR(GETPIVOTDATA("Sum of "&amp;AI$9,'PT-All'!$A$1,"Scenario",AI$12,"P&amp;L Item",$B156)/AI$201,0),TEXT(IFERROR(GETPIVOTDATA("Sum of "&amp;AI$9,'PT-All'!$A$1,"Scenario",AI$12,"P&amp;L Item",$B156)/AI$29,0),"0.00%"))</f>
        <v>0</v>
      </c>
      <c r="AJ156" s="65">
        <f>CHOOSE(PLColumn,IFERROR(GETPIVOTDATA("Sum of "&amp;AJ$9,'PT-All'!$A$1,"Scenario",AJ$12,"P&amp;L Item",$B156),0),IFERROR(GETPIVOTDATA("Sum of "&amp;AJ$9,'PT-All'!$A$1,"Scenario",AJ$12,"P&amp;L Item",$B156)/AJ$201,0),TEXT(IFERROR(GETPIVOTDATA("Sum of "&amp;AJ$9,'PT-All'!$A$1,"Scenario",AJ$12,"P&amp;L Item",$B156)/AJ$29,0),"0.00%"))</f>
        <v>0</v>
      </c>
      <c r="AK156" s="65">
        <f>CHOOSE(PLColumn,IFERROR(GETPIVOTDATA("Sum of "&amp;AK$9,'PT-All'!$A$1,"Scenario",AK$12,"P&amp;L Item",$B156),0),IFERROR(GETPIVOTDATA("Sum of "&amp;AK$9,'PT-All'!$A$1,"Scenario",AK$12,"P&amp;L Item",$B156)/AK$201,0),TEXT(IFERROR(GETPIVOTDATA("Sum of "&amp;AK$9,'PT-All'!$A$1,"Scenario",AK$12,"P&amp;L Item",$B156)/AK$29,0),"0.00%"))</f>
        <v>0</v>
      </c>
      <c r="AL156" s="97">
        <f>CHOOSE(PLColumn,IFERROR(GETPIVOTDATA("Sum of "&amp;AL$9,'PT-All'!$A$1,"Scenario",AL$12,"P&amp;L Item",$B156),0),IFERROR(GETPIVOTDATA("Sum of "&amp;AL$9,'PT-All'!$A$1,"Scenario",AL$12,"P&amp;L Item",$B156)/AL$201,0),TEXT(IFERROR(GETPIVOTDATA("Sum of "&amp;AL$9,'PT-All'!$A$1,"Scenario",AL$12,"P&amp;L Item",$B156)/AL$29,0),"0.00%"))</f>
        <v>0</v>
      </c>
      <c r="AM156" s="590"/>
      <c r="AN156" s="108">
        <f ca="1">IF(AN$12="Pro Forma",SUM(OFFSET($B156,0,3*AN$9+1,1,3)),IFERROR(GETPIVOTDATA("Sum of Q"&amp;AN$9+1,'PT-All'!$A$1,"Scenario",AN$12,"P&amp;L Item",$B156),0))</f>
        <v>0</v>
      </c>
      <c r="AO156" s="65">
        <f ca="1">IF(AO$12="Pro Forma",SUM(OFFSET($B156,0,3*AO$9+1,1,3)),IFERROR(GETPIVOTDATA("Sum of Q"&amp;AO$9+1,'PT-All'!$A$1,"Scenario",AO$12,"P&amp;L Item",$B156),0))</f>
        <v>0</v>
      </c>
      <c r="AP156" s="65">
        <f ca="1">IF(AP$12="Pro Forma",SUM(OFFSET($B156,0,3*AP$9+1,1,3)),IFERROR(GETPIVOTDATA("Sum of Q"&amp;AP$9+1,'PT-All'!$A$1,"Scenario",AP$12,"P&amp;L Item",$B156),0))</f>
        <v>0</v>
      </c>
      <c r="AQ156" s="65">
        <f ca="1">IF(AQ$12="Pro Forma",SUM(OFFSET($B156,0,3*AQ$9+1,1,3)),IFERROR(GETPIVOTDATA("Sum of Q"&amp;AQ$9+1,'PT-All'!$A$1,"Scenario",AQ$12,"P&amp;L Item",$B156),0))</f>
        <v>0</v>
      </c>
      <c r="AR156" s="65">
        <f ca="1">IF(AR$12="Pro Forma",SUM(OFFSET($B156,0,3*AR$9+1,1,3)),IFERROR(GETPIVOTDATA("Sum of Q"&amp;AR$9+1,'PT-All'!$A$1,"Scenario",AR$12,"P&amp;L Item",$B156),0))</f>
        <v>0</v>
      </c>
      <c r="AS156" s="65">
        <f ca="1">IF(AS$12="Pro Forma",SUM(OFFSET($B156,0,3*AS$9+1,1,3)),IFERROR(GETPIVOTDATA("Sum of Q"&amp;AS$9+1,'PT-All'!$A$1,"Scenario",AS$12,"P&amp;L Item",$B156),0))</f>
        <v>0</v>
      </c>
      <c r="AT156" s="65">
        <f ca="1">IF(AT$12="Pro Forma",SUM(OFFSET($B156,0,3*AT$9+1,1,3)),IFERROR(GETPIVOTDATA("Sum of Q"&amp;AT$9+1,'PT-All'!$A$1,"Scenario",AT$12,"P&amp;L Item",$B156),0))</f>
        <v>0</v>
      </c>
      <c r="AU156" s="65">
        <f ca="1">IF(AU$12="Pro Forma",SUM(OFFSET($B156,0,3*AU$9+1,1,3)),IFERROR(GETPIVOTDATA("Sum of Q"&amp;AU$9+1,'PT-All'!$A$1,"Scenario",AU$12,"P&amp;L Item",$B156),0))</f>
        <v>0</v>
      </c>
      <c r="AV156" s="65">
        <f ca="1">IF(AV$12="Pro Forma",SUM(OFFSET($B156,0,3*AV$9+1,1,3)),IFERROR(GETPIVOTDATA("Sum of Q"&amp;AV$9+1,'PT-All'!$A$1,"Scenario",AV$12,"P&amp;L Item",$B156),0))</f>
        <v>0</v>
      </c>
      <c r="AW156" s="65">
        <f ca="1">IF(AW$12="Pro Forma",SUM(OFFSET($B156,0,3*AW$9+1,1,3)),IFERROR(GETPIVOTDATA("Sum of Q"&amp;AW$9+1,'PT-All'!$A$1,"Scenario",AW$12,"P&amp;L Item",$B156),0))</f>
        <v>0</v>
      </c>
      <c r="AX156" s="65">
        <f ca="1">IF(AX$12="Pro Forma",SUM(OFFSET($B156,0,3*AX$9+1,1,3)),IFERROR(GETPIVOTDATA("Sum of Q"&amp;AX$9+1,'PT-All'!$A$1,"Scenario",AX$12,"P&amp;L Item",$B156),0))</f>
        <v>0</v>
      </c>
      <c r="AY156" s="97">
        <f ca="1">IF(AY$12="Pro Forma",SUM(OFFSET($B156,0,3*AY$9+1,1,3)),IFERROR(GETPIVOTDATA("Sum of Q"&amp;AY$9+1,'PT-All'!$A$1,"Scenario",AY$12,"P&amp;L Item",$B156),0))</f>
        <v>0</v>
      </c>
      <c r="AZ156" s="590"/>
      <c r="BA156" s="108">
        <f ca="1">IF(BA$12="Pro Forma",SUM(OFFSET($B156,0,12*BA$9+1,1,12)),IFERROR(GETPIVOTDATA("Sum of FY"&amp;BA$9+1,'PT-All'!$A$1,"Scenario",BA$12,"P&amp;L Item",$B156),0))</f>
        <v>0</v>
      </c>
      <c r="BB156" s="65">
        <f ca="1">IF(BB$12="Pro Forma",SUM(OFFSET($B156,0,12*BB$9+1,1,12)),IFERROR(GETPIVOTDATA("Sum of FY"&amp;BB$9+1,'PT-All'!$A$1,"Scenario",BB$12,"P&amp;L Item",$B156),0))</f>
        <v>0</v>
      </c>
      <c r="BC156" s="97">
        <f ca="1">IF(BC$12="Pro Forma",SUM(OFFSET($B156,0,12*BC$9+1,1,12)),IFERROR(GETPIVOTDATA("Sum of FY"&amp;BC$9+1,'PT-All'!$A$1,"Scenario",BC$12,"P&amp;L Item",$B156),0))</f>
        <v>0</v>
      </c>
    </row>
    <row r="157" spans="2:55" x14ac:dyDescent="0.35">
      <c r="B157" s="80" t="s">
        <v>185</v>
      </c>
      <c r="C157" s="65">
        <f>CHOOSE(PLColumn,IFERROR(GETPIVOTDATA("Sum of "&amp;C$9,'PT-All'!$A$1,"Scenario",C$12,"P&amp;L Item",$B157),0),IFERROR(GETPIVOTDATA("Sum of "&amp;C$9,'PT-All'!$A$1,"Scenario",C$12,"P&amp;L Item",$B157)/C$201,0),TEXT(IFERROR(GETPIVOTDATA("Sum of "&amp;C$9,'PT-All'!$A$1,"Scenario",C$12,"P&amp;L Item",$B157)/C$29,0),"0.00%"))</f>
        <v>0</v>
      </c>
      <c r="D157" s="65">
        <f>CHOOSE(PLColumn,IFERROR(GETPIVOTDATA("Sum of "&amp;D$9,'PT-All'!$A$1,"Scenario",D$12,"P&amp;L Item",$B157),0),IFERROR(GETPIVOTDATA("Sum of "&amp;D$9,'PT-All'!$A$1,"Scenario",D$12,"P&amp;L Item",$B157)/D$201,0),TEXT(IFERROR(GETPIVOTDATA("Sum of "&amp;D$9,'PT-All'!$A$1,"Scenario",D$12,"P&amp;L Item",$B157)/D$29,0),"0.00%"))</f>
        <v>0</v>
      </c>
      <c r="E157" s="65">
        <f>CHOOSE(PLColumn,IFERROR(GETPIVOTDATA("Sum of "&amp;E$9,'PT-All'!$A$1,"Scenario",E$12,"P&amp;L Item",$B157),0),IFERROR(GETPIVOTDATA("Sum of "&amp;E$9,'PT-All'!$A$1,"Scenario",E$12,"P&amp;L Item",$B157)/E$201,0),TEXT(IFERROR(GETPIVOTDATA("Sum of "&amp;E$9,'PT-All'!$A$1,"Scenario",E$12,"P&amp;L Item",$B157)/E$29,0),"0.00%"))</f>
        <v>0</v>
      </c>
      <c r="F157" s="65">
        <f>CHOOSE(PLColumn,IFERROR(GETPIVOTDATA("Sum of "&amp;F$9,'PT-All'!$A$1,"Scenario",F$12,"P&amp;L Item",$B157),0),IFERROR(GETPIVOTDATA("Sum of "&amp;F$9,'PT-All'!$A$1,"Scenario",F$12,"P&amp;L Item",$B157)/F$201,0),TEXT(IFERROR(GETPIVOTDATA("Sum of "&amp;F$9,'PT-All'!$A$1,"Scenario",F$12,"P&amp;L Item",$B157)/F$29,0),"0.00%"))</f>
        <v>0</v>
      </c>
      <c r="G157" s="65">
        <f>CHOOSE(PLColumn,IFERROR(GETPIVOTDATA("Sum of "&amp;G$9,'PT-All'!$A$1,"Scenario",G$12,"P&amp;L Item",$B157),0),IFERROR(GETPIVOTDATA("Sum of "&amp;G$9,'PT-All'!$A$1,"Scenario",G$12,"P&amp;L Item",$B157)/G$201,0),TEXT(IFERROR(GETPIVOTDATA("Sum of "&amp;G$9,'PT-All'!$A$1,"Scenario",G$12,"P&amp;L Item",$B157)/G$29,0),"0.00%"))</f>
        <v>0</v>
      </c>
      <c r="H157" s="65">
        <f>CHOOSE(PLColumn,IFERROR(GETPIVOTDATA("Sum of "&amp;H$9,'PT-All'!$A$1,"Scenario",H$12,"P&amp;L Item",$B157),0),IFERROR(GETPIVOTDATA("Sum of "&amp;H$9,'PT-All'!$A$1,"Scenario",H$12,"P&amp;L Item",$B157)/H$201,0),TEXT(IFERROR(GETPIVOTDATA("Sum of "&amp;H$9,'PT-All'!$A$1,"Scenario",H$12,"P&amp;L Item",$B157)/H$29,0),"0.00%"))</f>
        <v>0</v>
      </c>
      <c r="I157" s="65">
        <f>CHOOSE(PLColumn,IFERROR(GETPIVOTDATA("Sum of "&amp;I$9,'PT-All'!$A$1,"Scenario",I$12,"P&amp;L Item",$B157),0),IFERROR(GETPIVOTDATA("Sum of "&amp;I$9,'PT-All'!$A$1,"Scenario",I$12,"P&amp;L Item",$B157)/I$201,0),TEXT(IFERROR(GETPIVOTDATA("Sum of "&amp;I$9,'PT-All'!$A$1,"Scenario",I$12,"P&amp;L Item",$B157)/I$29,0),"0.00%"))</f>
        <v>0</v>
      </c>
      <c r="J157" s="65">
        <f>CHOOSE(PLColumn,IFERROR(GETPIVOTDATA("Sum of "&amp;J$9,'PT-All'!$A$1,"Scenario",J$12,"P&amp;L Item",$B157),0),IFERROR(GETPIVOTDATA("Sum of "&amp;J$9,'PT-All'!$A$1,"Scenario",J$12,"P&amp;L Item",$B157)/J$201,0),TEXT(IFERROR(GETPIVOTDATA("Sum of "&amp;J$9,'PT-All'!$A$1,"Scenario",J$12,"P&amp;L Item",$B157)/J$29,0),"0.00%"))</f>
        <v>0</v>
      </c>
      <c r="K157" s="65">
        <f>CHOOSE(PLColumn,IFERROR(GETPIVOTDATA("Sum of "&amp;K$9,'PT-All'!$A$1,"Scenario",K$12,"P&amp;L Item",$B157),0),IFERROR(GETPIVOTDATA("Sum of "&amp;K$9,'PT-All'!$A$1,"Scenario",K$12,"P&amp;L Item",$B157)/K$201,0),TEXT(IFERROR(GETPIVOTDATA("Sum of "&amp;K$9,'PT-All'!$A$1,"Scenario",K$12,"P&amp;L Item",$B157)/K$29,0),"0.00%"))</f>
        <v>0</v>
      </c>
      <c r="L157" s="65">
        <f>CHOOSE(PLColumn,IFERROR(GETPIVOTDATA("Sum of "&amp;L$9,'PT-All'!$A$1,"Scenario",L$12,"P&amp;L Item",$B157),0),IFERROR(GETPIVOTDATA("Sum of "&amp;L$9,'PT-All'!$A$1,"Scenario",L$12,"P&amp;L Item",$B157)/L$201,0),TEXT(IFERROR(GETPIVOTDATA("Sum of "&amp;L$9,'PT-All'!$A$1,"Scenario",L$12,"P&amp;L Item",$B157)/L$29,0),"0.00%"))</f>
        <v>0</v>
      </c>
      <c r="M157" s="65">
        <f>CHOOSE(PLColumn,IFERROR(GETPIVOTDATA("Sum of "&amp;M$9,'PT-All'!$A$1,"Scenario",M$12,"P&amp;L Item",$B157),0),IFERROR(GETPIVOTDATA("Sum of "&amp;M$9,'PT-All'!$A$1,"Scenario",M$12,"P&amp;L Item",$B157)/M$201,0),TEXT(IFERROR(GETPIVOTDATA("Sum of "&amp;M$9,'PT-All'!$A$1,"Scenario",M$12,"P&amp;L Item",$B157)/M$29,0),"0.00%"))</f>
        <v>0</v>
      </c>
      <c r="N157" s="65">
        <f>CHOOSE(PLColumn,IFERROR(GETPIVOTDATA("Sum of "&amp;N$9,'PT-All'!$A$1,"Scenario",N$12,"P&amp;L Item",$B157),0),IFERROR(GETPIVOTDATA("Sum of "&amp;N$9,'PT-All'!$A$1,"Scenario",N$12,"P&amp;L Item",$B157)/N$201,0),TEXT(IFERROR(GETPIVOTDATA("Sum of "&amp;N$9,'PT-All'!$A$1,"Scenario",N$12,"P&amp;L Item",$B157)/N$29,0),"0.00%"))</f>
        <v>0</v>
      </c>
      <c r="O157" s="65">
        <f>CHOOSE(PLColumn,IFERROR(GETPIVOTDATA("Sum of "&amp;O$9,'PT-All'!$A$1,"Scenario",O$12,"P&amp;L Item",$B157),0),IFERROR(GETPIVOTDATA("Sum of "&amp;O$9,'PT-All'!$A$1,"Scenario",O$12,"P&amp;L Item",$B157)/O$201,0),TEXT(IFERROR(GETPIVOTDATA("Sum of "&amp;O$9,'PT-All'!$A$1,"Scenario",O$12,"P&amp;L Item",$B157)/O$29,0),"0.00%"))</f>
        <v>0</v>
      </c>
      <c r="P157" s="65">
        <f>CHOOSE(PLColumn,IFERROR(GETPIVOTDATA("Sum of "&amp;P$9,'PT-All'!$A$1,"Scenario",P$12,"P&amp;L Item",$B157),0),IFERROR(GETPIVOTDATA("Sum of "&amp;P$9,'PT-All'!$A$1,"Scenario",P$12,"P&amp;L Item",$B157)/P$201,0),TEXT(IFERROR(GETPIVOTDATA("Sum of "&amp;P$9,'PT-All'!$A$1,"Scenario",P$12,"P&amp;L Item",$B157)/P$29,0),"0.00%"))</f>
        <v>0</v>
      </c>
      <c r="Q157" s="65">
        <f>CHOOSE(PLColumn,IFERROR(GETPIVOTDATA("Sum of "&amp;Q$9,'PT-All'!$A$1,"Scenario",Q$12,"P&amp;L Item",$B157),0),IFERROR(GETPIVOTDATA("Sum of "&amp;Q$9,'PT-All'!$A$1,"Scenario",Q$12,"P&amp;L Item",$B157)/Q$201,0),TEXT(IFERROR(GETPIVOTDATA("Sum of "&amp;Q$9,'PT-All'!$A$1,"Scenario",Q$12,"P&amp;L Item",$B157)/Q$29,0),"0.00%"))</f>
        <v>0</v>
      </c>
      <c r="R157" s="65">
        <f>CHOOSE(PLColumn,IFERROR(GETPIVOTDATA("Sum of "&amp;R$9,'PT-All'!$A$1,"Scenario",R$12,"P&amp;L Item",$B157),0),IFERROR(GETPIVOTDATA("Sum of "&amp;R$9,'PT-All'!$A$1,"Scenario",R$12,"P&amp;L Item",$B157)/R$201,0),TEXT(IFERROR(GETPIVOTDATA("Sum of "&amp;R$9,'PT-All'!$A$1,"Scenario",R$12,"P&amp;L Item",$B157)/R$29,0),"0.00%"))</f>
        <v>0</v>
      </c>
      <c r="S157" s="65">
        <f>CHOOSE(PLColumn,IFERROR(GETPIVOTDATA("Sum of "&amp;S$9,'PT-All'!$A$1,"Scenario",S$12,"P&amp;L Item",$B157),0),IFERROR(GETPIVOTDATA("Sum of "&amp;S$9,'PT-All'!$A$1,"Scenario",S$12,"P&amp;L Item",$B157)/S$201,0),TEXT(IFERROR(GETPIVOTDATA("Sum of "&amp;S$9,'PT-All'!$A$1,"Scenario",S$12,"P&amp;L Item",$B157)/S$29,0),"0.00%"))</f>
        <v>0</v>
      </c>
      <c r="T157" s="65">
        <f>CHOOSE(PLColumn,IFERROR(GETPIVOTDATA("Sum of "&amp;T$9,'PT-All'!$A$1,"Scenario",T$12,"P&amp;L Item",$B157),0),IFERROR(GETPIVOTDATA("Sum of "&amp;T$9,'PT-All'!$A$1,"Scenario",T$12,"P&amp;L Item",$B157)/T$201,0),TEXT(IFERROR(GETPIVOTDATA("Sum of "&amp;T$9,'PT-All'!$A$1,"Scenario",T$12,"P&amp;L Item",$B157)/T$29,0),"0.00%"))</f>
        <v>0</v>
      </c>
      <c r="U157" s="65">
        <f>CHOOSE(PLColumn,IFERROR(GETPIVOTDATA("Sum of "&amp;U$9,'PT-All'!$A$1,"Scenario",U$12,"P&amp;L Item",$B157),0),IFERROR(GETPIVOTDATA("Sum of "&amp;U$9,'PT-All'!$A$1,"Scenario",U$12,"P&amp;L Item",$B157)/U$201,0),TEXT(IFERROR(GETPIVOTDATA("Sum of "&amp;U$9,'PT-All'!$A$1,"Scenario",U$12,"P&amp;L Item",$B157)/U$29,0),"0.00%"))</f>
        <v>0</v>
      </c>
      <c r="V157" s="65">
        <f>CHOOSE(PLColumn,IFERROR(GETPIVOTDATA("Sum of "&amp;V$9,'PT-All'!$A$1,"Scenario",V$12,"P&amp;L Item",$B157),0),IFERROR(GETPIVOTDATA("Sum of "&amp;V$9,'PT-All'!$A$1,"Scenario",V$12,"P&amp;L Item",$B157)/V$201,0),TEXT(IFERROR(GETPIVOTDATA("Sum of "&amp;V$9,'PT-All'!$A$1,"Scenario",V$12,"P&amp;L Item",$B157)/V$29,0),"0.00%"))</f>
        <v>0</v>
      </c>
      <c r="W157" s="65">
        <f>CHOOSE(PLColumn,IFERROR(GETPIVOTDATA("Sum of "&amp;W$9,'PT-All'!$A$1,"Scenario",W$12,"P&amp;L Item",$B157),0),IFERROR(GETPIVOTDATA("Sum of "&amp;W$9,'PT-All'!$A$1,"Scenario",W$12,"P&amp;L Item",$B157)/W$201,0),TEXT(IFERROR(GETPIVOTDATA("Sum of "&amp;W$9,'PT-All'!$A$1,"Scenario",W$12,"P&amp;L Item",$B157)/W$29,0),"0.00%"))</f>
        <v>0</v>
      </c>
      <c r="X157" s="65">
        <f>CHOOSE(PLColumn,IFERROR(GETPIVOTDATA("Sum of "&amp;X$9,'PT-All'!$A$1,"Scenario",X$12,"P&amp;L Item",$B157),0),IFERROR(GETPIVOTDATA("Sum of "&amp;X$9,'PT-All'!$A$1,"Scenario",X$12,"P&amp;L Item",$B157)/X$201,0),TEXT(IFERROR(GETPIVOTDATA("Sum of "&amp;X$9,'PT-All'!$A$1,"Scenario",X$12,"P&amp;L Item",$B157)/X$29,0),"0.00%"))</f>
        <v>0</v>
      </c>
      <c r="Y157" s="65">
        <f>CHOOSE(PLColumn,IFERROR(GETPIVOTDATA("Sum of "&amp;Y$9,'PT-All'!$A$1,"Scenario",Y$12,"P&amp;L Item",$B157),0),IFERROR(GETPIVOTDATA("Sum of "&amp;Y$9,'PT-All'!$A$1,"Scenario",Y$12,"P&amp;L Item",$B157)/Y$201,0),TEXT(IFERROR(GETPIVOTDATA("Sum of "&amp;Y$9,'PT-All'!$A$1,"Scenario",Y$12,"P&amp;L Item",$B157)/Y$29,0),"0.00%"))</f>
        <v>0</v>
      </c>
      <c r="Z157" s="65">
        <f>CHOOSE(PLColumn,IFERROR(GETPIVOTDATA("Sum of "&amp;Z$9,'PT-All'!$A$1,"Scenario",Z$12,"P&amp;L Item",$B157),0),IFERROR(GETPIVOTDATA("Sum of "&amp;Z$9,'PT-All'!$A$1,"Scenario",Z$12,"P&amp;L Item",$B157)/Z$201,0),TEXT(IFERROR(GETPIVOTDATA("Sum of "&amp;Z$9,'PT-All'!$A$1,"Scenario",Z$12,"P&amp;L Item",$B157)/Z$29,0),"0.00%"))</f>
        <v>0</v>
      </c>
      <c r="AA157" s="65">
        <f>CHOOSE(PLColumn,IFERROR(GETPIVOTDATA("Sum of "&amp;AA$9,'PT-All'!$A$1,"Scenario",AA$12,"P&amp;L Item",$B157),0),IFERROR(GETPIVOTDATA("Sum of "&amp;AA$9,'PT-All'!$A$1,"Scenario",AA$12,"P&amp;L Item",$B157)/AA$201,0),TEXT(IFERROR(GETPIVOTDATA("Sum of "&amp;AA$9,'PT-All'!$A$1,"Scenario",AA$12,"P&amp;L Item",$B157)/AA$29,0),"0.00%"))</f>
        <v>0</v>
      </c>
      <c r="AB157" s="65">
        <f>CHOOSE(PLColumn,IFERROR(GETPIVOTDATA("Sum of "&amp;AB$9,'PT-All'!$A$1,"Scenario",AB$12,"P&amp;L Item",$B157),0),IFERROR(GETPIVOTDATA("Sum of "&amp;AB$9,'PT-All'!$A$1,"Scenario",AB$12,"P&amp;L Item",$B157)/AB$201,0),TEXT(IFERROR(GETPIVOTDATA("Sum of "&amp;AB$9,'PT-All'!$A$1,"Scenario",AB$12,"P&amp;L Item",$B157)/AB$29,0),"0.00%"))</f>
        <v>0</v>
      </c>
      <c r="AC157" s="65">
        <f>CHOOSE(PLColumn,IFERROR(GETPIVOTDATA("Sum of "&amp;AC$9,'PT-All'!$A$1,"Scenario",AC$12,"P&amp;L Item",$B157),0),IFERROR(GETPIVOTDATA("Sum of "&amp;AC$9,'PT-All'!$A$1,"Scenario",AC$12,"P&amp;L Item",$B157)/AC$201,0),TEXT(IFERROR(GETPIVOTDATA("Sum of "&amp;AC$9,'PT-All'!$A$1,"Scenario",AC$12,"P&amp;L Item",$B157)/AC$29,0),"0.00%"))</f>
        <v>0</v>
      </c>
      <c r="AD157" s="65">
        <f>CHOOSE(PLColumn,IFERROR(GETPIVOTDATA("Sum of "&amp;AD$9,'PT-All'!$A$1,"Scenario",AD$12,"P&amp;L Item",$B157),0),IFERROR(GETPIVOTDATA("Sum of "&amp;AD$9,'PT-All'!$A$1,"Scenario",AD$12,"P&amp;L Item",$B157)/AD$201,0),TEXT(IFERROR(GETPIVOTDATA("Sum of "&amp;AD$9,'PT-All'!$A$1,"Scenario",AD$12,"P&amp;L Item",$B157)/AD$29,0),"0.00%"))</f>
        <v>0</v>
      </c>
      <c r="AE157" s="65">
        <f>CHOOSE(PLColumn,IFERROR(GETPIVOTDATA("Sum of "&amp;AE$9,'PT-All'!$A$1,"Scenario",AE$12,"P&amp;L Item",$B157),0),IFERROR(GETPIVOTDATA("Sum of "&amp;AE$9,'PT-All'!$A$1,"Scenario",AE$12,"P&amp;L Item",$B157)/AE$201,0),TEXT(IFERROR(GETPIVOTDATA("Sum of "&amp;AE$9,'PT-All'!$A$1,"Scenario",AE$12,"P&amp;L Item",$B157)/AE$29,0),"0.00%"))</f>
        <v>0</v>
      </c>
      <c r="AF157" s="65">
        <f>CHOOSE(PLColumn,IFERROR(GETPIVOTDATA("Sum of "&amp;AF$9,'PT-All'!$A$1,"Scenario",AF$12,"P&amp;L Item",$B157),0),IFERROR(GETPIVOTDATA("Sum of "&amp;AF$9,'PT-All'!$A$1,"Scenario",AF$12,"P&amp;L Item",$B157)/AF$201,0),TEXT(IFERROR(GETPIVOTDATA("Sum of "&amp;AF$9,'PT-All'!$A$1,"Scenario",AF$12,"P&amp;L Item",$B157)/AF$29,0),"0.00%"))</f>
        <v>0</v>
      </c>
      <c r="AG157" s="65">
        <f>CHOOSE(PLColumn,IFERROR(GETPIVOTDATA("Sum of "&amp;AG$9,'PT-All'!$A$1,"Scenario",AG$12,"P&amp;L Item",$B157),0),IFERROR(GETPIVOTDATA("Sum of "&amp;AG$9,'PT-All'!$A$1,"Scenario",AG$12,"P&amp;L Item",$B157)/AG$201,0),TEXT(IFERROR(GETPIVOTDATA("Sum of "&amp;AG$9,'PT-All'!$A$1,"Scenario",AG$12,"P&amp;L Item",$B157)/AG$29,0),"0.00%"))</f>
        <v>0</v>
      </c>
      <c r="AH157" s="65">
        <f>CHOOSE(PLColumn,IFERROR(GETPIVOTDATA("Sum of "&amp;AH$9,'PT-All'!$A$1,"Scenario",AH$12,"P&amp;L Item",$B157),0),IFERROR(GETPIVOTDATA("Sum of "&amp;AH$9,'PT-All'!$A$1,"Scenario",AH$12,"P&amp;L Item",$B157)/AH$201,0),TEXT(IFERROR(GETPIVOTDATA("Sum of "&amp;AH$9,'PT-All'!$A$1,"Scenario",AH$12,"P&amp;L Item",$B157)/AH$29,0),"0.00%"))</f>
        <v>0</v>
      </c>
      <c r="AI157" s="65">
        <f>CHOOSE(PLColumn,IFERROR(GETPIVOTDATA("Sum of "&amp;AI$9,'PT-All'!$A$1,"Scenario",AI$12,"P&amp;L Item",$B157),0),IFERROR(GETPIVOTDATA("Sum of "&amp;AI$9,'PT-All'!$A$1,"Scenario",AI$12,"P&amp;L Item",$B157)/AI$201,0),TEXT(IFERROR(GETPIVOTDATA("Sum of "&amp;AI$9,'PT-All'!$A$1,"Scenario",AI$12,"P&amp;L Item",$B157)/AI$29,0),"0.00%"))</f>
        <v>0</v>
      </c>
      <c r="AJ157" s="65">
        <f>CHOOSE(PLColumn,IFERROR(GETPIVOTDATA("Sum of "&amp;AJ$9,'PT-All'!$A$1,"Scenario",AJ$12,"P&amp;L Item",$B157),0),IFERROR(GETPIVOTDATA("Sum of "&amp;AJ$9,'PT-All'!$A$1,"Scenario",AJ$12,"P&amp;L Item",$B157)/AJ$201,0),TEXT(IFERROR(GETPIVOTDATA("Sum of "&amp;AJ$9,'PT-All'!$A$1,"Scenario",AJ$12,"P&amp;L Item",$B157)/AJ$29,0),"0.00%"))</f>
        <v>0</v>
      </c>
      <c r="AK157" s="65">
        <f>CHOOSE(PLColumn,IFERROR(GETPIVOTDATA("Sum of "&amp;AK$9,'PT-All'!$A$1,"Scenario",AK$12,"P&amp;L Item",$B157),0),IFERROR(GETPIVOTDATA("Sum of "&amp;AK$9,'PT-All'!$A$1,"Scenario",AK$12,"P&amp;L Item",$B157)/AK$201,0),TEXT(IFERROR(GETPIVOTDATA("Sum of "&amp;AK$9,'PT-All'!$A$1,"Scenario",AK$12,"P&amp;L Item",$B157)/AK$29,0),"0.00%"))</f>
        <v>0</v>
      </c>
      <c r="AL157" s="97">
        <f>CHOOSE(PLColumn,IFERROR(GETPIVOTDATA("Sum of "&amp;AL$9,'PT-All'!$A$1,"Scenario",AL$12,"P&amp;L Item",$B157),0),IFERROR(GETPIVOTDATA("Sum of "&amp;AL$9,'PT-All'!$A$1,"Scenario",AL$12,"P&amp;L Item",$B157)/AL$201,0),TEXT(IFERROR(GETPIVOTDATA("Sum of "&amp;AL$9,'PT-All'!$A$1,"Scenario",AL$12,"P&amp;L Item",$B157)/AL$29,0),"0.00%"))</f>
        <v>0</v>
      </c>
      <c r="AM157" s="590"/>
      <c r="AN157" s="108">
        <f ca="1">IF(AN$12="Pro Forma",SUM(OFFSET($B157,0,3*AN$9+1,1,3)),IFERROR(GETPIVOTDATA("Sum of Q"&amp;AN$9+1,'PT-All'!$A$1,"Scenario",AN$12,"P&amp;L Item",$B157),0))</f>
        <v>0</v>
      </c>
      <c r="AO157" s="65">
        <f ca="1">IF(AO$12="Pro Forma",SUM(OFFSET($B157,0,3*AO$9+1,1,3)),IFERROR(GETPIVOTDATA("Sum of Q"&amp;AO$9+1,'PT-All'!$A$1,"Scenario",AO$12,"P&amp;L Item",$B157),0))</f>
        <v>0</v>
      </c>
      <c r="AP157" s="65">
        <f ca="1">IF(AP$12="Pro Forma",SUM(OFFSET($B157,0,3*AP$9+1,1,3)),IFERROR(GETPIVOTDATA("Sum of Q"&amp;AP$9+1,'PT-All'!$A$1,"Scenario",AP$12,"P&amp;L Item",$B157),0))</f>
        <v>0</v>
      </c>
      <c r="AQ157" s="65">
        <f ca="1">IF(AQ$12="Pro Forma",SUM(OFFSET($B157,0,3*AQ$9+1,1,3)),IFERROR(GETPIVOTDATA("Sum of Q"&amp;AQ$9+1,'PT-All'!$A$1,"Scenario",AQ$12,"P&amp;L Item",$B157),0))</f>
        <v>0</v>
      </c>
      <c r="AR157" s="65">
        <f ca="1">IF(AR$12="Pro Forma",SUM(OFFSET($B157,0,3*AR$9+1,1,3)),IFERROR(GETPIVOTDATA("Sum of Q"&amp;AR$9+1,'PT-All'!$A$1,"Scenario",AR$12,"P&amp;L Item",$B157),0))</f>
        <v>0</v>
      </c>
      <c r="AS157" s="65">
        <f ca="1">IF(AS$12="Pro Forma",SUM(OFFSET($B157,0,3*AS$9+1,1,3)),IFERROR(GETPIVOTDATA("Sum of Q"&amp;AS$9+1,'PT-All'!$A$1,"Scenario",AS$12,"P&amp;L Item",$B157),0))</f>
        <v>0</v>
      </c>
      <c r="AT157" s="65">
        <f ca="1">IF(AT$12="Pro Forma",SUM(OFFSET($B157,0,3*AT$9+1,1,3)),IFERROR(GETPIVOTDATA("Sum of Q"&amp;AT$9+1,'PT-All'!$A$1,"Scenario",AT$12,"P&amp;L Item",$B157),0))</f>
        <v>0</v>
      </c>
      <c r="AU157" s="65">
        <f ca="1">IF(AU$12="Pro Forma",SUM(OFFSET($B157,0,3*AU$9+1,1,3)),IFERROR(GETPIVOTDATA("Sum of Q"&amp;AU$9+1,'PT-All'!$A$1,"Scenario",AU$12,"P&amp;L Item",$B157),0))</f>
        <v>0</v>
      </c>
      <c r="AV157" s="65">
        <f ca="1">IF(AV$12="Pro Forma",SUM(OFFSET($B157,0,3*AV$9+1,1,3)),IFERROR(GETPIVOTDATA("Sum of Q"&amp;AV$9+1,'PT-All'!$A$1,"Scenario",AV$12,"P&amp;L Item",$B157),0))</f>
        <v>0</v>
      </c>
      <c r="AW157" s="65">
        <f ca="1">IF(AW$12="Pro Forma",SUM(OFFSET($B157,0,3*AW$9+1,1,3)),IFERROR(GETPIVOTDATA("Sum of Q"&amp;AW$9+1,'PT-All'!$A$1,"Scenario",AW$12,"P&amp;L Item",$B157),0))</f>
        <v>0</v>
      </c>
      <c r="AX157" s="65">
        <f ca="1">IF(AX$12="Pro Forma",SUM(OFFSET($B157,0,3*AX$9+1,1,3)),IFERROR(GETPIVOTDATA("Sum of Q"&amp;AX$9+1,'PT-All'!$A$1,"Scenario",AX$12,"P&amp;L Item",$B157),0))</f>
        <v>0</v>
      </c>
      <c r="AY157" s="97">
        <f ca="1">IF(AY$12="Pro Forma",SUM(OFFSET($B157,0,3*AY$9+1,1,3)),IFERROR(GETPIVOTDATA("Sum of Q"&amp;AY$9+1,'PT-All'!$A$1,"Scenario",AY$12,"P&amp;L Item",$B157),0))</f>
        <v>0</v>
      </c>
      <c r="AZ157" s="590"/>
      <c r="BA157" s="108">
        <f ca="1">IF(BA$12="Pro Forma",SUM(OFFSET($B157,0,12*BA$9+1,1,12)),IFERROR(GETPIVOTDATA("Sum of FY"&amp;BA$9+1,'PT-All'!$A$1,"Scenario",BA$12,"P&amp;L Item",$B157),0))</f>
        <v>0</v>
      </c>
      <c r="BB157" s="65">
        <f ca="1">IF(BB$12="Pro Forma",SUM(OFFSET($B157,0,12*BB$9+1,1,12)),IFERROR(GETPIVOTDATA("Sum of FY"&amp;BB$9+1,'PT-All'!$A$1,"Scenario",BB$12,"P&amp;L Item",$B157),0))</f>
        <v>0</v>
      </c>
      <c r="BC157" s="97">
        <f ca="1">IF(BC$12="Pro Forma",SUM(OFFSET($B157,0,12*BC$9+1,1,12)),IFERROR(GETPIVOTDATA("Sum of FY"&amp;BC$9+1,'PT-All'!$A$1,"Scenario",BC$12,"P&amp;L Item",$B157),0))</f>
        <v>0</v>
      </c>
    </row>
    <row r="158" spans="2:55" x14ac:dyDescent="0.35">
      <c r="B158" s="79" t="s">
        <v>186</v>
      </c>
      <c r="C158" s="592">
        <f t="shared" ref="C158:AN158" si="345">SUM(C159:C163)</f>
        <v>0</v>
      </c>
      <c r="D158" s="592">
        <f t="shared" si="345"/>
        <v>0</v>
      </c>
      <c r="E158" s="592">
        <f t="shared" si="345"/>
        <v>0</v>
      </c>
      <c r="F158" s="592">
        <f t="shared" si="345"/>
        <v>0</v>
      </c>
      <c r="G158" s="592">
        <f t="shared" si="345"/>
        <v>0</v>
      </c>
      <c r="H158" s="592">
        <f t="shared" si="345"/>
        <v>0</v>
      </c>
      <c r="I158" s="592">
        <f t="shared" si="345"/>
        <v>0</v>
      </c>
      <c r="J158" s="592">
        <f t="shared" si="345"/>
        <v>0</v>
      </c>
      <c r="K158" s="592">
        <f t="shared" si="345"/>
        <v>0</v>
      </c>
      <c r="L158" s="592">
        <f t="shared" si="345"/>
        <v>0</v>
      </c>
      <c r="M158" s="592">
        <f t="shared" si="345"/>
        <v>0</v>
      </c>
      <c r="N158" s="592">
        <f t="shared" si="345"/>
        <v>0</v>
      </c>
      <c r="O158" s="592">
        <f t="shared" si="345"/>
        <v>0</v>
      </c>
      <c r="P158" s="592">
        <f t="shared" si="345"/>
        <v>0</v>
      </c>
      <c r="Q158" s="592">
        <f t="shared" si="345"/>
        <v>0</v>
      </c>
      <c r="R158" s="592">
        <f t="shared" si="345"/>
        <v>0</v>
      </c>
      <c r="S158" s="592">
        <f t="shared" si="345"/>
        <v>0</v>
      </c>
      <c r="T158" s="592">
        <f t="shared" si="345"/>
        <v>0</v>
      </c>
      <c r="U158" s="592">
        <f t="shared" si="345"/>
        <v>0</v>
      </c>
      <c r="V158" s="592">
        <f t="shared" si="345"/>
        <v>0</v>
      </c>
      <c r="W158" s="592">
        <f t="shared" si="345"/>
        <v>0</v>
      </c>
      <c r="X158" s="592">
        <f t="shared" si="345"/>
        <v>0</v>
      </c>
      <c r="Y158" s="592">
        <f t="shared" si="345"/>
        <v>0</v>
      </c>
      <c r="Z158" s="592">
        <f t="shared" ref="Z158:AL158" si="346">SUM(Z159:Z163)</f>
        <v>0</v>
      </c>
      <c r="AA158" s="592">
        <f t="shared" si="346"/>
        <v>0</v>
      </c>
      <c r="AB158" s="592">
        <f t="shared" si="346"/>
        <v>0</v>
      </c>
      <c r="AC158" s="592">
        <f t="shared" si="346"/>
        <v>0</v>
      </c>
      <c r="AD158" s="592">
        <f t="shared" si="346"/>
        <v>0</v>
      </c>
      <c r="AE158" s="592">
        <f t="shared" si="346"/>
        <v>0</v>
      </c>
      <c r="AF158" s="592">
        <f t="shared" si="346"/>
        <v>0</v>
      </c>
      <c r="AG158" s="592">
        <f t="shared" si="346"/>
        <v>0</v>
      </c>
      <c r="AH158" s="592">
        <f t="shared" si="346"/>
        <v>0</v>
      </c>
      <c r="AI158" s="592">
        <f t="shared" si="346"/>
        <v>0</v>
      </c>
      <c r="AJ158" s="592">
        <f t="shared" si="346"/>
        <v>0</v>
      </c>
      <c r="AK158" s="592">
        <f t="shared" si="346"/>
        <v>0</v>
      </c>
      <c r="AL158" s="593">
        <f t="shared" si="346"/>
        <v>0</v>
      </c>
      <c r="AM158" s="590"/>
      <c r="AN158" s="594">
        <f t="shared" ca="1" si="345"/>
        <v>0</v>
      </c>
      <c r="AO158" s="592">
        <f t="shared" ref="AO158" ca="1" si="347">SUM(AO159:AO163)</f>
        <v>0</v>
      </c>
      <c r="AP158" s="592">
        <f t="shared" ref="AP158" ca="1" si="348">SUM(AP159:AP163)</f>
        <v>0</v>
      </c>
      <c r="AQ158" s="592">
        <f t="shared" ref="AQ158" ca="1" si="349">SUM(AQ159:AQ163)</f>
        <v>0</v>
      </c>
      <c r="AR158" s="592">
        <f t="shared" ref="AR158" ca="1" si="350">SUM(AR159:AR163)</f>
        <v>0</v>
      </c>
      <c r="AS158" s="592">
        <f t="shared" ref="AS158" ca="1" si="351">SUM(AS159:AS163)</f>
        <v>0</v>
      </c>
      <c r="AT158" s="592">
        <f t="shared" ref="AT158:AY158" ca="1" si="352">SUM(AT159:AT163)</f>
        <v>0</v>
      </c>
      <c r="AU158" s="592">
        <f t="shared" ca="1" si="352"/>
        <v>0</v>
      </c>
      <c r="AV158" s="592">
        <f t="shared" ca="1" si="352"/>
        <v>0</v>
      </c>
      <c r="AW158" s="592">
        <f t="shared" ca="1" si="352"/>
        <v>0</v>
      </c>
      <c r="AX158" s="592">
        <f t="shared" ca="1" si="352"/>
        <v>0</v>
      </c>
      <c r="AY158" s="593">
        <f t="shared" ca="1" si="352"/>
        <v>0</v>
      </c>
      <c r="AZ158" s="590"/>
      <c r="BA158" s="594">
        <f t="shared" ref="BA158" ca="1" si="353">SUM(BA159:BA163)</f>
        <v>0</v>
      </c>
      <c r="BB158" s="592">
        <f t="shared" ref="BB158:BC158" ca="1" si="354">SUM(BB159:BB163)</f>
        <v>0</v>
      </c>
      <c r="BC158" s="593">
        <f t="shared" ca="1" si="354"/>
        <v>0</v>
      </c>
    </row>
    <row r="159" spans="2:55" x14ac:dyDescent="0.35">
      <c r="B159" s="80" t="s">
        <v>187</v>
      </c>
      <c r="C159" s="65">
        <f>CHOOSE(PLColumn,IFERROR(GETPIVOTDATA("Sum of "&amp;C$9,'PT-All'!$A$1,"Scenario",C$12,"P&amp;L Item",$B159),0),IFERROR(GETPIVOTDATA("Sum of "&amp;C$9,'PT-All'!$A$1,"Scenario",C$12,"P&amp;L Item",$B159)/C$201,0),TEXT(IFERROR(GETPIVOTDATA("Sum of "&amp;C$9,'PT-All'!$A$1,"Scenario",C$12,"P&amp;L Item",$B159)/C$29,0),"0.00%"))</f>
        <v>0</v>
      </c>
      <c r="D159" s="65">
        <f>CHOOSE(PLColumn,IFERROR(GETPIVOTDATA("Sum of "&amp;D$9,'PT-All'!$A$1,"Scenario",D$12,"P&amp;L Item",$B159),0),IFERROR(GETPIVOTDATA("Sum of "&amp;D$9,'PT-All'!$A$1,"Scenario",D$12,"P&amp;L Item",$B159)/D$201,0),TEXT(IFERROR(GETPIVOTDATA("Sum of "&amp;D$9,'PT-All'!$A$1,"Scenario",D$12,"P&amp;L Item",$B159)/D$29,0),"0.00%"))</f>
        <v>0</v>
      </c>
      <c r="E159" s="65">
        <f>CHOOSE(PLColumn,IFERROR(GETPIVOTDATA("Sum of "&amp;E$9,'PT-All'!$A$1,"Scenario",E$12,"P&amp;L Item",$B159),0),IFERROR(GETPIVOTDATA("Sum of "&amp;E$9,'PT-All'!$A$1,"Scenario",E$12,"P&amp;L Item",$B159)/E$201,0),TEXT(IFERROR(GETPIVOTDATA("Sum of "&amp;E$9,'PT-All'!$A$1,"Scenario",E$12,"P&amp;L Item",$B159)/E$29,0),"0.00%"))</f>
        <v>0</v>
      </c>
      <c r="F159" s="65">
        <f>CHOOSE(PLColumn,IFERROR(GETPIVOTDATA("Sum of "&amp;F$9,'PT-All'!$A$1,"Scenario",F$12,"P&amp;L Item",$B159),0),IFERROR(GETPIVOTDATA("Sum of "&amp;F$9,'PT-All'!$A$1,"Scenario",F$12,"P&amp;L Item",$B159)/F$201,0),TEXT(IFERROR(GETPIVOTDATA("Sum of "&amp;F$9,'PT-All'!$A$1,"Scenario",F$12,"P&amp;L Item",$B159)/F$29,0),"0.00%"))</f>
        <v>0</v>
      </c>
      <c r="G159" s="65">
        <f>CHOOSE(PLColumn,IFERROR(GETPIVOTDATA("Sum of "&amp;G$9,'PT-All'!$A$1,"Scenario",G$12,"P&amp;L Item",$B159),0),IFERROR(GETPIVOTDATA("Sum of "&amp;G$9,'PT-All'!$A$1,"Scenario",G$12,"P&amp;L Item",$B159)/G$201,0),TEXT(IFERROR(GETPIVOTDATA("Sum of "&amp;G$9,'PT-All'!$A$1,"Scenario",G$12,"P&amp;L Item",$B159)/G$29,0),"0.00%"))</f>
        <v>0</v>
      </c>
      <c r="H159" s="65">
        <f>CHOOSE(PLColumn,IFERROR(GETPIVOTDATA("Sum of "&amp;H$9,'PT-All'!$A$1,"Scenario",H$12,"P&amp;L Item",$B159),0),IFERROR(GETPIVOTDATA("Sum of "&amp;H$9,'PT-All'!$A$1,"Scenario",H$12,"P&amp;L Item",$B159)/H$201,0),TEXT(IFERROR(GETPIVOTDATA("Sum of "&amp;H$9,'PT-All'!$A$1,"Scenario",H$12,"P&amp;L Item",$B159)/H$29,0),"0.00%"))</f>
        <v>0</v>
      </c>
      <c r="I159" s="65">
        <f>CHOOSE(PLColumn,IFERROR(GETPIVOTDATA("Sum of "&amp;I$9,'PT-All'!$A$1,"Scenario",I$12,"P&amp;L Item",$B159),0),IFERROR(GETPIVOTDATA("Sum of "&amp;I$9,'PT-All'!$A$1,"Scenario",I$12,"P&amp;L Item",$B159)/I$201,0),TEXT(IFERROR(GETPIVOTDATA("Sum of "&amp;I$9,'PT-All'!$A$1,"Scenario",I$12,"P&amp;L Item",$B159)/I$29,0),"0.00%"))</f>
        <v>0</v>
      </c>
      <c r="J159" s="65">
        <f>CHOOSE(PLColumn,IFERROR(GETPIVOTDATA("Sum of "&amp;J$9,'PT-All'!$A$1,"Scenario",J$12,"P&amp;L Item",$B159),0),IFERROR(GETPIVOTDATA("Sum of "&amp;J$9,'PT-All'!$A$1,"Scenario",J$12,"P&amp;L Item",$B159)/J$201,0),TEXT(IFERROR(GETPIVOTDATA("Sum of "&amp;J$9,'PT-All'!$A$1,"Scenario",J$12,"P&amp;L Item",$B159)/J$29,0),"0.00%"))</f>
        <v>0</v>
      </c>
      <c r="K159" s="65">
        <f>CHOOSE(PLColumn,IFERROR(GETPIVOTDATA("Sum of "&amp;K$9,'PT-All'!$A$1,"Scenario",K$12,"P&amp;L Item",$B159),0),IFERROR(GETPIVOTDATA("Sum of "&amp;K$9,'PT-All'!$A$1,"Scenario",K$12,"P&amp;L Item",$B159)/K$201,0),TEXT(IFERROR(GETPIVOTDATA("Sum of "&amp;K$9,'PT-All'!$A$1,"Scenario",K$12,"P&amp;L Item",$B159)/K$29,0),"0.00%"))</f>
        <v>0</v>
      </c>
      <c r="L159" s="65">
        <f>CHOOSE(PLColumn,IFERROR(GETPIVOTDATA("Sum of "&amp;L$9,'PT-All'!$A$1,"Scenario",L$12,"P&amp;L Item",$B159),0),IFERROR(GETPIVOTDATA("Sum of "&amp;L$9,'PT-All'!$A$1,"Scenario",L$12,"P&amp;L Item",$B159)/L$201,0),TEXT(IFERROR(GETPIVOTDATA("Sum of "&amp;L$9,'PT-All'!$A$1,"Scenario",L$12,"P&amp;L Item",$B159)/L$29,0),"0.00%"))</f>
        <v>0</v>
      </c>
      <c r="M159" s="65">
        <f>CHOOSE(PLColumn,IFERROR(GETPIVOTDATA("Sum of "&amp;M$9,'PT-All'!$A$1,"Scenario",M$12,"P&amp;L Item",$B159),0),IFERROR(GETPIVOTDATA("Sum of "&amp;M$9,'PT-All'!$A$1,"Scenario",M$12,"P&amp;L Item",$B159)/M$201,0),TEXT(IFERROR(GETPIVOTDATA("Sum of "&amp;M$9,'PT-All'!$A$1,"Scenario",M$12,"P&amp;L Item",$B159)/M$29,0),"0.00%"))</f>
        <v>0</v>
      </c>
      <c r="N159" s="65">
        <f>CHOOSE(PLColumn,IFERROR(GETPIVOTDATA("Sum of "&amp;N$9,'PT-All'!$A$1,"Scenario",N$12,"P&amp;L Item",$B159),0),IFERROR(GETPIVOTDATA("Sum of "&amp;N$9,'PT-All'!$A$1,"Scenario",N$12,"P&amp;L Item",$B159)/N$201,0),TEXT(IFERROR(GETPIVOTDATA("Sum of "&amp;N$9,'PT-All'!$A$1,"Scenario",N$12,"P&amp;L Item",$B159)/N$29,0),"0.00%"))</f>
        <v>0</v>
      </c>
      <c r="O159" s="65">
        <f>CHOOSE(PLColumn,IFERROR(GETPIVOTDATA("Sum of "&amp;O$9,'PT-All'!$A$1,"Scenario",O$12,"P&amp;L Item",$B159),0),IFERROR(GETPIVOTDATA("Sum of "&amp;O$9,'PT-All'!$A$1,"Scenario",O$12,"P&amp;L Item",$B159)/O$201,0),TEXT(IFERROR(GETPIVOTDATA("Sum of "&amp;O$9,'PT-All'!$A$1,"Scenario",O$12,"P&amp;L Item",$B159)/O$29,0),"0.00%"))</f>
        <v>0</v>
      </c>
      <c r="P159" s="65">
        <f>CHOOSE(PLColumn,IFERROR(GETPIVOTDATA("Sum of "&amp;P$9,'PT-All'!$A$1,"Scenario",P$12,"P&amp;L Item",$B159),0),IFERROR(GETPIVOTDATA("Sum of "&amp;P$9,'PT-All'!$A$1,"Scenario",P$12,"P&amp;L Item",$B159)/P$201,0),TEXT(IFERROR(GETPIVOTDATA("Sum of "&amp;P$9,'PT-All'!$A$1,"Scenario",P$12,"P&amp;L Item",$B159)/P$29,0),"0.00%"))</f>
        <v>0</v>
      </c>
      <c r="Q159" s="65">
        <f>CHOOSE(PLColumn,IFERROR(GETPIVOTDATA("Sum of "&amp;Q$9,'PT-All'!$A$1,"Scenario",Q$12,"P&amp;L Item",$B159),0),IFERROR(GETPIVOTDATA("Sum of "&amp;Q$9,'PT-All'!$A$1,"Scenario",Q$12,"P&amp;L Item",$B159)/Q$201,0),TEXT(IFERROR(GETPIVOTDATA("Sum of "&amp;Q$9,'PT-All'!$A$1,"Scenario",Q$12,"P&amp;L Item",$B159)/Q$29,0),"0.00%"))</f>
        <v>0</v>
      </c>
      <c r="R159" s="65">
        <f>CHOOSE(PLColumn,IFERROR(GETPIVOTDATA("Sum of "&amp;R$9,'PT-All'!$A$1,"Scenario",R$12,"P&amp;L Item",$B159),0),IFERROR(GETPIVOTDATA("Sum of "&amp;R$9,'PT-All'!$A$1,"Scenario",R$12,"P&amp;L Item",$B159)/R$201,0),TEXT(IFERROR(GETPIVOTDATA("Sum of "&amp;R$9,'PT-All'!$A$1,"Scenario",R$12,"P&amp;L Item",$B159)/R$29,0),"0.00%"))</f>
        <v>0</v>
      </c>
      <c r="S159" s="65">
        <f>CHOOSE(PLColumn,IFERROR(GETPIVOTDATA("Sum of "&amp;S$9,'PT-All'!$A$1,"Scenario",S$12,"P&amp;L Item",$B159),0),IFERROR(GETPIVOTDATA("Sum of "&amp;S$9,'PT-All'!$A$1,"Scenario",S$12,"P&amp;L Item",$B159)/S$201,0),TEXT(IFERROR(GETPIVOTDATA("Sum of "&amp;S$9,'PT-All'!$A$1,"Scenario",S$12,"P&amp;L Item",$B159)/S$29,0),"0.00%"))</f>
        <v>0</v>
      </c>
      <c r="T159" s="65">
        <f>CHOOSE(PLColumn,IFERROR(GETPIVOTDATA("Sum of "&amp;T$9,'PT-All'!$A$1,"Scenario",T$12,"P&amp;L Item",$B159),0),IFERROR(GETPIVOTDATA("Sum of "&amp;T$9,'PT-All'!$A$1,"Scenario",T$12,"P&amp;L Item",$B159)/T$201,0),TEXT(IFERROR(GETPIVOTDATA("Sum of "&amp;T$9,'PT-All'!$A$1,"Scenario",T$12,"P&amp;L Item",$B159)/T$29,0),"0.00%"))</f>
        <v>0</v>
      </c>
      <c r="U159" s="65">
        <f>CHOOSE(PLColumn,IFERROR(GETPIVOTDATA("Sum of "&amp;U$9,'PT-All'!$A$1,"Scenario",U$12,"P&amp;L Item",$B159),0),IFERROR(GETPIVOTDATA("Sum of "&amp;U$9,'PT-All'!$A$1,"Scenario",U$12,"P&amp;L Item",$B159)/U$201,0),TEXT(IFERROR(GETPIVOTDATA("Sum of "&amp;U$9,'PT-All'!$A$1,"Scenario",U$12,"P&amp;L Item",$B159)/U$29,0),"0.00%"))</f>
        <v>0</v>
      </c>
      <c r="V159" s="65">
        <f>CHOOSE(PLColumn,IFERROR(GETPIVOTDATA("Sum of "&amp;V$9,'PT-All'!$A$1,"Scenario",V$12,"P&amp;L Item",$B159),0),IFERROR(GETPIVOTDATA("Sum of "&amp;V$9,'PT-All'!$A$1,"Scenario",V$12,"P&amp;L Item",$B159)/V$201,0),TEXT(IFERROR(GETPIVOTDATA("Sum of "&amp;V$9,'PT-All'!$A$1,"Scenario",V$12,"P&amp;L Item",$B159)/V$29,0),"0.00%"))</f>
        <v>0</v>
      </c>
      <c r="W159" s="65">
        <f>CHOOSE(PLColumn,IFERROR(GETPIVOTDATA("Sum of "&amp;W$9,'PT-All'!$A$1,"Scenario",W$12,"P&amp;L Item",$B159),0),IFERROR(GETPIVOTDATA("Sum of "&amp;W$9,'PT-All'!$A$1,"Scenario",W$12,"P&amp;L Item",$B159)/W$201,0),TEXT(IFERROR(GETPIVOTDATA("Sum of "&amp;W$9,'PT-All'!$A$1,"Scenario",W$12,"P&amp;L Item",$B159)/W$29,0),"0.00%"))</f>
        <v>0</v>
      </c>
      <c r="X159" s="65">
        <f>CHOOSE(PLColumn,IFERROR(GETPIVOTDATA("Sum of "&amp;X$9,'PT-All'!$A$1,"Scenario",X$12,"P&amp;L Item",$B159),0),IFERROR(GETPIVOTDATA("Sum of "&amp;X$9,'PT-All'!$A$1,"Scenario",X$12,"P&amp;L Item",$B159)/X$201,0),TEXT(IFERROR(GETPIVOTDATA("Sum of "&amp;X$9,'PT-All'!$A$1,"Scenario",X$12,"P&amp;L Item",$B159)/X$29,0),"0.00%"))</f>
        <v>0</v>
      </c>
      <c r="Y159" s="65">
        <f>CHOOSE(PLColumn,IFERROR(GETPIVOTDATA("Sum of "&amp;Y$9,'PT-All'!$A$1,"Scenario",Y$12,"P&amp;L Item",$B159),0),IFERROR(GETPIVOTDATA("Sum of "&amp;Y$9,'PT-All'!$A$1,"Scenario",Y$12,"P&amp;L Item",$B159)/Y$201,0),TEXT(IFERROR(GETPIVOTDATA("Sum of "&amp;Y$9,'PT-All'!$A$1,"Scenario",Y$12,"P&amp;L Item",$B159)/Y$29,0),"0.00%"))</f>
        <v>0</v>
      </c>
      <c r="Z159" s="65">
        <f>CHOOSE(PLColumn,IFERROR(GETPIVOTDATA("Sum of "&amp;Z$9,'PT-All'!$A$1,"Scenario",Z$12,"P&amp;L Item",$B159),0),IFERROR(GETPIVOTDATA("Sum of "&amp;Z$9,'PT-All'!$A$1,"Scenario",Z$12,"P&amp;L Item",$B159)/Z$201,0),TEXT(IFERROR(GETPIVOTDATA("Sum of "&amp;Z$9,'PT-All'!$A$1,"Scenario",Z$12,"P&amp;L Item",$B159)/Z$29,0),"0.00%"))</f>
        <v>0</v>
      </c>
      <c r="AA159" s="65">
        <f>CHOOSE(PLColumn,IFERROR(GETPIVOTDATA("Sum of "&amp;AA$9,'PT-All'!$A$1,"Scenario",AA$12,"P&amp;L Item",$B159),0),IFERROR(GETPIVOTDATA("Sum of "&amp;AA$9,'PT-All'!$A$1,"Scenario",AA$12,"P&amp;L Item",$B159)/AA$201,0),TEXT(IFERROR(GETPIVOTDATA("Sum of "&amp;AA$9,'PT-All'!$A$1,"Scenario",AA$12,"P&amp;L Item",$B159)/AA$29,0),"0.00%"))</f>
        <v>0</v>
      </c>
      <c r="AB159" s="65">
        <f>CHOOSE(PLColumn,IFERROR(GETPIVOTDATA("Sum of "&amp;AB$9,'PT-All'!$A$1,"Scenario",AB$12,"P&amp;L Item",$B159),0),IFERROR(GETPIVOTDATA("Sum of "&amp;AB$9,'PT-All'!$A$1,"Scenario",AB$12,"P&amp;L Item",$B159)/AB$201,0),TEXT(IFERROR(GETPIVOTDATA("Sum of "&amp;AB$9,'PT-All'!$A$1,"Scenario",AB$12,"P&amp;L Item",$B159)/AB$29,0),"0.00%"))</f>
        <v>0</v>
      </c>
      <c r="AC159" s="65">
        <f>CHOOSE(PLColumn,IFERROR(GETPIVOTDATA("Sum of "&amp;AC$9,'PT-All'!$A$1,"Scenario",AC$12,"P&amp;L Item",$B159),0),IFERROR(GETPIVOTDATA("Sum of "&amp;AC$9,'PT-All'!$A$1,"Scenario",AC$12,"P&amp;L Item",$B159)/AC$201,0),TEXT(IFERROR(GETPIVOTDATA("Sum of "&amp;AC$9,'PT-All'!$A$1,"Scenario",AC$12,"P&amp;L Item",$B159)/AC$29,0),"0.00%"))</f>
        <v>0</v>
      </c>
      <c r="AD159" s="65">
        <f>CHOOSE(PLColumn,IFERROR(GETPIVOTDATA("Sum of "&amp;AD$9,'PT-All'!$A$1,"Scenario",AD$12,"P&amp;L Item",$B159),0),IFERROR(GETPIVOTDATA("Sum of "&amp;AD$9,'PT-All'!$A$1,"Scenario",AD$12,"P&amp;L Item",$B159)/AD$201,0),TEXT(IFERROR(GETPIVOTDATA("Sum of "&amp;AD$9,'PT-All'!$A$1,"Scenario",AD$12,"P&amp;L Item",$B159)/AD$29,0),"0.00%"))</f>
        <v>0</v>
      </c>
      <c r="AE159" s="65">
        <f>CHOOSE(PLColumn,IFERROR(GETPIVOTDATA("Sum of "&amp;AE$9,'PT-All'!$A$1,"Scenario",AE$12,"P&amp;L Item",$B159),0),IFERROR(GETPIVOTDATA("Sum of "&amp;AE$9,'PT-All'!$A$1,"Scenario",AE$12,"P&amp;L Item",$B159)/AE$201,0),TEXT(IFERROR(GETPIVOTDATA("Sum of "&amp;AE$9,'PT-All'!$A$1,"Scenario",AE$12,"P&amp;L Item",$B159)/AE$29,0),"0.00%"))</f>
        <v>0</v>
      </c>
      <c r="AF159" s="65">
        <f>CHOOSE(PLColumn,IFERROR(GETPIVOTDATA("Sum of "&amp;AF$9,'PT-All'!$A$1,"Scenario",AF$12,"P&amp;L Item",$B159),0),IFERROR(GETPIVOTDATA("Sum of "&amp;AF$9,'PT-All'!$A$1,"Scenario",AF$12,"P&amp;L Item",$B159)/AF$201,0),TEXT(IFERROR(GETPIVOTDATA("Sum of "&amp;AF$9,'PT-All'!$A$1,"Scenario",AF$12,"P&amp;L Item",$B159)/AF$29,0),"0.00%"))</f>
        <v>0</v>
      </c>
      <c r="AG159" s="65">
        <f>CHOOSE(PLColumn,IFERROR(GETPIVOTDATA("Sum of "&amp;AG$9,'PT-All'!$A$1,"Scenario",AG$12,"P&amp;L Item",$B159),0),IFERROR(GETPIVOTDATA("Sum of "&amp;AG$9,'PT-All'!$A$1,"Scenario",AG$12,"P&amp;L Item",$B159)/AG$201,0),TEXT(IFERROR(GETPIVOTDATA("Sum of "&amp;AG$9,'PT-All'!$A$1,"Scenario",AG$12,"P&amp;L Item",$B159)/AG$29,0),"0.00%"))</f>
        <v>0</v>
      </c>
      <c r="AH159" s="65">
        <f>CHOOSE(PLColumn,IFERROR(GETPIVOTDATA("Sum of "&amp;AH$9,'PT-All'!$A$1,"Scenario",AH$12,"P&amp;L Item",$B159),0),IFERROR(GETPIVOTDATA("Sum of "&amp;AH$9,'PT-All'!$A$1,"Scenario",AH$12,"P&amp;L Item",$B159)/AH$201,0),TEXT(IFERROR(GETPIVOTDATA("Sum of "&amp;AH$9,'PT-All'!$A$1,"Scenario",AH$12,"P&amp;L Item",$B159)/AH$29,0),"0.00%"))</f>
        <v>0</v>
      </c>
      <c r="AI159" s="65">
        <f>CHOOSE(PLColumn,IFERROR(GETPIVOTDATA("Sum of "&amp;AI$9,'PT-All'!$A$1,"Scenario",AI$12,"P&amp;L Item",$B159),0),IFERROR(GETPIVOTDATA("Sum of "&amp;AI$9,'PT-All'!$A$1,"Scenario",AI$12,"P&amp;L Item",$B159)/AI$201,0),TEXT(IFERROR(GETPIVOTDATA("Sum of "&amp;AI$9,'PT-All'!$A$1,"Scenario",AI$12,"P&amp;L Item",$B159)/AI$29,0),"0.00%"))</f>
        <v>0</v>
      </c>
      <c r="AJ159" s="65">
        <f>CHOOSE(PLColumn,IFERROR(GETPIVOTDATA("Sum of "&amp;AJ$9,'PT-All'!$A$1,"Scenario",AJ$12,"P&amp;L Item",$B159),0),IFERROR(GETPIVOTDATA("Sum of "&amp;AJ$9,'PT-All'!$A$1,"Scenario",AJ$12,"P&amp;L Item",$B159)/AJ$201,0),TEXT(IFERROR(GETPIVOTDATA("Sum of "&amp;AJ$9,'PT-All'!$A$1,"Scenario",AJ$12,"P&amp;L Item",$B159)/AJ$29,0),"0.00%"))</f>
        <v>0</v>
      </c>
      <c r="AK159" s="65">
        <f>CHOOSE(PLColumn,IFERROR(GETPIVOTDATA("Sum of "&amp;AK$9,'PT-All'!$A$1,"Scenario",AK$12,"P&amp;L Item",$B159),0),IFERROR(GETPIVOTDATA("Sum of "&amp;AK$9,'PT-All'!$A$1,"Scenario",AK$12,"P&amp;L Item",$B159)/AK$201,0),TEXT(IFERROR(GETPIVOTDATA("Sum of "&amp;AK$9,'PT-All'!$A$1,"Scenario",AK$12,"P&amp;L Item",$B159)/AK$29,0),"0.00%"))</f>
        <v>0</v>
      </c>
      <c r="AL159" s="97">
        <f>CHOOSE(PLColumn,IFERROR(GETPIVOTDATA("Sum of "&amp;AL$9,'PT-All'!$A$1,"Scenario",AL$12,"P&amp;L Item",$B159),0),IFERROR(GETPIVOTDATA("Sum of "&amp;AL$9,'PT-All'!$A$1,"Scenario",AL$12,"P&amp;L Item",$B159)/AL$201,0),TEXT(IFERROR(GETPIVOTDATA("Sum of "&amp;AL$9,'PT-All'!$A$1,"Scenario",AL$12,"P&amp;L Item",$B159)/AL$29,0),"0.00%"))</f>
        <v>0</v>
      </c>
      <c r="AM159" s="590"/>
      <c r="AN159" s="108">
        <f ca="1">IF(AN$12="Pro Forma",SUM(OFFSET($B159,0,3*AN$9+1,1,3)),IFERROR(GETPIVOTDATA("Sum of Q"&amp;AN$9+1,'PT-All'!$A$1,"Scenario",AN$12,"P&amp;L Item",$B159),0))</f>
        <v>0</v>
      </c>
      <c r="AO159" s="65">
        <f ca="1">IF(AO$12="Pro Forma",SUM(OFFSET($B159,0,3*AO$9+1,1,3)),IFERROR(GETPIVOTDATA("Sum of Q"&amp;AO$9+1,'PT-All'!$A$1,"Scenario",AO$12,"P&amp;L Item",$B159),0))</f>
        <v>0</v>
      </c>
      <c r="AP159" s="65">
        <f ca="1">IF(AP$12="Pro Forma",SUM(OFFSET($B159,0,3*AP$9+1,1,3)),IFERROR(GETPIVOTDATA("Sum of Q"&amp;AP$9+1,'PT-All'!$A$1,"Scenario",AP$12,"P&amp;L Item",$B159),0))</f>
        <v>0</v>
      </c>
      <c r="AQ159" s="65">
        <f ca="1">IF(AQ$12="Pro Forma",SUM(OFFSET($B159,0,3*AQ$9+1,1,3)),IFERROR(GETPIVOTDATA("Sum of Q"&amp;AQ$9+1,'PT-All'!$A$1,"Scenario",AQ$12,"P&amp;L Item",$B159),0))</f>
        <v>0</v>
      </c>
      <c r="AR159" s="65">
        <f ca="1">IF(AR$12="Pro Forma",SUM(OFFSET($B159,0,3*AR$9+1,1,3)),IFERROR(GETPIVOTDATA("Sum of Q"&amp;AR$9+1,'PT-All'!$A$1,"Scenario",AR$12,"P&amp;L Item",$B159),0))</f>
        <v>0</v>
      </c>
      <c r="AS159" s="65">
        <f ca="1">IF(AS$12="Pro Forma",SUM(OFFSET($B159,0,3*AS$9+1,1,3)),IFERROR(GETPIVOTDATA("Sum of Q"&amp;AS$9+1,'PT-All'!$A$1,"Scenario",AS$12,"P&amp;L Item",$B159),0))</f>
        <v>0</v>
      </c>
      <c r="AT159" s="65">
        <f ca="1">IF(AT$12="Pro Forma",SUM(OFFSET($B159,0,3*AT$9+1,1,3)),IFERROR(GETPIVOTDATA("Sum of Q"&amp;AT$9+1,'PT-All'!$A$1,"Scenario",AT$12,"P&amp;L Item",$B159),0))</f>
        <v>0</v>
      </c>
      <c r="AU159" s="65">
        <f ca="1">IF(AU$12="Pro Forma",SUM(OFFSET($B159,0,3*AU$9+1,1,3)),IFERROR(GETPIVOTDATA("Sum of Q"&amp;AU$9+1,'PT-All'!$A$1,"Scenario",AU$12,"P&amp;L Item",$B159),0))</f>
        <v>0</v>
      </c>
      <c r="AV159" s="65">
        <f ca="1">IF(AV$12="Pro Forma",SUM(OFFSET($B159,0,3*AV$9+1,1,3)),IFERROR(GETPIVOTDATA("Sum of Q"&amp;AV$9+1,'PT-All'!$A$1,"Scenario",AV$12,"P&amp;L Item",$B159),0))</f>
        <v>0</v>
      </c>
      <c r="AW159" s="65">
        <f ca="1">IF(AW$12="Pro Forma",SUM(OFFSET($B159,0,3*AW$9+1,1,3)),IFERROR(GETPIVOTDATA("Sum of Q"&amp;AW$9+1,'PT-All'!$A$1,"Scenario",AW$12,"P&amp;L Item",$B159),0))</f>
        <v>0</v>
      </c>
      <c r="AX159" s="65">
        <f ca="1">IF(AX$12="Pro Forma",SUM(OFFSET($B159,0,3*AX$9+1,1,3)),IFERROR(GETPIVOTDATA("Sum of Q"&amp;AX$9+1,'PT-All'!$A$1,"Scenario",AX$12,"P&amp;L Item",$B159),0))</f>
        <v>0</v>
      </c>
      <c r="AY159" s="97">
        <f ca="1">IF(AY$12="Pro Forma",SUM(OFFSET($B159,0,3*AY$9+1,1,3)),IFERROR(GETPIVOTDATA("Sum of Q"&amp;AY$9+1,'PT-All'!$A$1,"Scenario",AY$12,"P&amp;L Item",$B159),0))</f>
        <v>0</v>
      </c>
      <c r="AZ159" s="590"/>
      <c r="BA159" s="108">
        <f ca="1">IF(BA$12="Pro Forma",SUM(OFFSET($B159,0,12*BA$9+1,1,12)),IFERROR(GETPIVOTDATA("Sum of FY"&amp;BA$9+1,'PT-All'!$A$1,"Scenario",BA$12,"P&amp;L Item",$B159),0))</f>
        <v>0</v>
      </c>
      <c r="BB159" s="65">
        <f ca="1">IF(BB$12="Pro Forma",SUM(OFFSET($B159,0,12*BB$9+1,1,12)),IFERROR(GETPIVOTDATA("Sum of FY"&amp;BB$9+1,'PT-All'!$A$1,"Scenario",BB$12,"P&amp;L Item",$B159),0))</f>
        <v>0</v>
      </c>
      <c r="BC159" s="97">
        <f ca="1">IF(BC$12="Pro Forma",SUM(OFFSET($B159,0,12*BC$9+1,1,12)),IFERROR(GETPIVOTDATA("Sum of FY"&amp;BC$9+1,'PT-All'!$A$1,"Scenario",BC$12,"P&amp;L Item",$B159),0))</f>
        <v>0</v>
      </c>
    </row>
    <row r="160" spans="2:55" x14ac:dyDescent="0.35">
      <c r="B160" s="80" t="s">
        <v>188</v>
      </c>
      <c r="C160" s="65">
        <f>CHOOSE(PLColumn,IFERROR(GETPIVOTDATA("Sum of "&amp;C$9,'PT-All'!$A$1,"Scenario",C$12,"P&amp;L Item",$B160),0),IFERROR(GETPIVOTDATA("Sum of "&amp;C$9,'PT-All'!$A$1,"Scenario",C$12,"P&amp;L Item",$B160)/C$201,0),TEXT(IFERROR(GETPIVOTDATA("Sum of "&amp;C$9,'PT-All'!$A$1,"Scenario",C$12,"P&amp;L Item",$B160)/C$29,0),"0.00%"))</f>
        <v>0</v>
      </c>
      <c r="D160" s="65">
        <f>CHOOSE(PLColumn,IFERROR(GETPIVOTDATA("Sum of "&amp;D$9,'PT-All'!$A$1,"Scenario",D$12,"P&amp;L Item",$B160),0),IFERROR(GETPIVOTDATA("Sum of "&amp;D$9,'PT-All'!$A$1,"Scenario",D$12,"P&amp;L Item",$B160)/D$201,0),TEXT(IFERROR(GETPIVOTDATA("Sum of "&amp;D$9,'PT-All'!$A$1,"Scenario",D$12,"P&amp;L Item",$B160)/D$29,0),"0.00%"))</f>
        <v>0</v>
      </c>
      <c r="E160" s="65">
        <f>CHOOSE(PLColumn,IFERROR(GETPIVOTDATA("Sum of "&amp;E$9,'PT-All'!$A$1,"Scenario",E$12,"P&amp;L Item",$B160),0),IFERROR(GETPIVOTDATA("Sum of "&amp;E$9,'PT-All'!$A$1,"Scenario",E$12,"P&amp;L Item",$B160)/E$201,0),TEXT(IFERROR(GETPIVOTDATA("Sum of "&amp;E$9,'PT-All'!$A$1,"Scenario",E$12,"P&amp;L Item",$B160)/E$29,0),"0.00%"))</f>
        <v>0</v>
      </c>
      <c r="F160" s="65">
        <f>CHOOSE(PLColumn,IFERROR(GETPIVOTDATA("Sum of "&amp;F$9,'PT-All'!$A$1,"Scenario",F$12,"P&amp;L Item",$B160),0),IFERROR(GETPIVOTDATA("Sum of "&amp;F$9,'PT-All'!$A$1,"Scenario",F$12,"P&amp;L Item",$B160)/F$201,0),TEXT(IFERROR(GETPIVOTDATA("Sum of "&amp;F$9,'PT-All'!$A$1,"Scenario",F$12,"P&amp;L Item",$B160)/F$29,0),"0.00%"))</f>
        <v>0</v>
      </c>
      <c r="G160" s="65">
        <f>CHOOSE(PLColumn,IFERROR(GETPIVOTDATA("Sum of "&amp;G$9,'PT-All'!$A$1,"Scenario",G$12,"P&amp;L Item",$B160),0),IFERROR(GETPIVOTDATA("Sum of "&amp;G$9,'PT-All'!$A$1,"Scenario",G$12,"P&amp;L Item",$B160)/G$201,0),TEXT(IFERROR(GETPIVOTDATA("Sum of "&amp;G$9,'PT-All'!$A$1,"Scenario",G$12,"P&amp;L Item",$B160)/G$29,0),"0.00%"))</f>
        <v>0</v>
      </c>
      <c r="H160" s="65">
        <f>CHOOSE(PLColumn,IFERROR(GETPIVOTDATA("Sum of "&amp;H$9,'PT-All'!$A$1,"Scenario",H$12,"P&amp;L Item",$B160),0),IFERROR(GETPIVOTDATA("Sum of "&amp;H$9,'PT-All'!$A$1,"Scenario",H$12,"P&amp;L Item",$B160)/H$201,0),TEXT(IFERROR(GETPIVOTDATA("Sum of "&amp;H$9,'PT-All'!$A$1,"Scenario",H$12,"P&amp;L Item",$B160)/H$29,0),"0.00%"))</f>
        <v>0</v>
      </c>
      <c r="I160" s="65">
        <f>CHOOSE(PLColumn,IFERROR(GETPIVOTDATA("Sum of "&amp;I$9,'PT-All'!$A$1,"Scenario",I$12,"P&amp;L Item",$B160),0),IFERROR(GETPIVOTDATA("Sum of "&amp;I$9,'PT-All'!$A$1,"Scenario",I$12,"P&amp;L Item",$B160)/I$201,0),TEXT(IFERROR(GETPIVOTDATA("Sum of "&amp;I$9,'PT-All'!$A$1,"Scenario",I$12,"P&amp;L Item",$B160)/I$29,0),"0.00%"))</f>
        <v>0</v>
      </c>
      <c r="J160" s="65">
        <f>CHOOSE(PLColumn,IFERROR(GETPIVOTDATA("Sum of "&amp;J$9,'PT-All'!$A$1,"Scenario",J$12,"P&amp;L Item",$B160),0),IFERROR(GETPIVOTDATA("Sum of "&amp;J$9,'PT-All'!$A$1,"Scenario",J$12,"P&amp;L Item",$B160)/J$201,0),TEXT(IFERROR(GETPIVOTDATA("Sum of "&amp;J$9,'PT-All'!$A$1,"Scenario",J$12,"P&amp;L Item",$B160)/J$29,0),"0.00%"))</f>
        <v>0</v>
      </c>
      <c r="K160" s="65">
        <f>CHOOSE(PLColumn,IFERROR(GETPIVOTDATA("Sum of "&amp;K$9,'PT-All'!$A$1,"Scenario",K$12,"P&amp;L Item",$B160),0),IFERROR(GETPIVOTDATA("Sum of "&amp;K$9,'PT-All'!$A$1,"Scenario",K$12,"P&amp;L Item",$B160)/K$201,0),TEXT(IFERROR(GETPIVOTDATA("Sum of "&amp;K$9,'PT-All'!$A$1,"Scenario",K$12,"P&amp;L Item",$B160)/K$29,0),"0.00%"))</f>
        <v>0</v>
      </c>
      <c r="L160" s="65">
        <f>CHOOSE(PLColumn,IFERROR(GETPIVOTDATA("Sum of "&amp;L$9,'PT-All'!$A$1,"Scenario",L$12,"P&amp;L Item",$B160),0),IFERROR(GETPIVOTDATA("Sum of "&amp;L$9,'PT-All'!$A$1,"Scenario",L$12,"P&amp;L Item",$B160)/L$201,0),TEXT(IFERROR(GETPIVOTDATA("Sum of "&amp;L$9,'PT-All'!$A$1,"Scenario",L$12,"P&amp;L Item",$B160)/L$29,0),"0.00%"))</f>
        <v>0</v>
      </c>
      <c r="M160" s="65">
        <f>CHOOSE(PLColumn,IFERROR(GETPIVOTDATA("Sum of "&amp;M$9,'PT-All'!$A$1,"Scenario",M$12,"P&amp;L Item",$B160),0),IFERROR(GETPIVOTDATA("Sum of "&amp;M$9,'PT-All'!$A$1,"Scenario",M$12,"P&amp;L Item",$B160)/M$201,0),TEXT(IFERROR(GETPIVOTDATA("Sum of "&amp;M$9,'PT-All'!$A$1,"Scenario",M$12,"P&amp;L Item",$B160)/M$29,0),"0.00%"))</f>
        <v>0</v>
      </c>
      <c r="N160" s="65">
        <f>CHOOSE(PLColumn,IFERROR(GETPIVOTDATA("Sum of "&amp;N$9,'PT-All'!$A$1,"Scenario",N$12,"P&amp;L Item",$B160),0),IFERROR(GETPIVOTDATA("Sum of "&amp;N$9,'PT-All'!$A$1,"Scenario",N$12,"P&amp;L Item",$B160)/N$201,0),TEXT(IFERROR(GETPIVOTDATA("Sum of "&amp;N$9,'PT-All'!$A$1,"Scenario",N$12,"P&amp;L Item",$B160)/N$29,0),"0.00%"))</f>
        <v>0</v>
      </c>
      <c r="O160" s="65">
        <f>CHOOSE(PLColumn,IFERROR(GETPIVOTDATA("Sum of "&amp;O$9,'PT-All'!$A$1,"Scenario",O$12,"P&amp;L Item",$B160),0),IFERROR(GETPIVOTDATA("Sum of "&amp;O$9,'PT-All'!$A$1,"Scenario",O$12,"P&amp;L Item",$B160)/O$201,0),TEXT(IFERROR(GETPIVOTDATA("Sum of "&amp;O$9,'PT-All'!$A$1,"Scenario",O$12,"P&amp;L Item",$B160)/O$29,0),"0.00%"))</f>
        <v>0</v>
      </c>
      <c r="P160" s="65">
        <f>CHOOSE(PLColumn,IFERROR(GETPIVOTDATA("Sum of "&amp;P$9,'PT-All'!$A$1,"Scenario",P$12,"P&amp;L Item",$B160),0),IFERROR(GETPIVOTDATA("Sum of "&amp;P$9,'PT-All'!$A$1,"Scenario",P$12,"P&amp;L Item",$B160)/P$201,0),TEXT(IFERROR(GETPIVOTDATA("Sum of "&amp;P$9,'PT-All'!$A$1,"Scenario",P$12,"P&amp;L Item",$B160)/P$29,0),"0.00%"))</f>
        <v>0</v>
      </c>
      <c r="Q160" s="65">
        <f>CHOOSE(PLColumn,IFERROR(GETPIVOTDATA("Sum of "&amp;Q$9,'PT-All'!$A$1,"Scenario",Q$12,"P&amp;L Item",$B160),0),IFERROR(GETPIVOTDATA("Sum of "&amp;Q$9,'PT-All'!$A$1,"Scenario",Q$12,"P&amp;L Item",$B160)/Q$201,0),TEXT(IFERROR(GETPIVOTDATA("Sum of "&amp;Q$9,'PT-All'!$A$1,"Scenario",Q$12,"P&amp;L Item",$B160)/Q$29,0),"0.00%"))</f>
        <v>0</v>
      </c>
      <c r="R160" s="65">
        <f>CHOOSE(PLColumn,IFERROR(GETPIVOTDATA("Sum of "&amp;R$9,'PT-All'!$A$1,"Scenario",R$12,"P&amp;L Item",$B160),0),IFERROR(GETPIVOTDATA("Sum of "&amp;R$9,'PT-All'!$A$1,"Scenario",R$12,"P&amp;L Item",$B160)/R$201,0),TEXT(IFERROR(GETPIVOTDATA("Sum of "&amp;R$9,'PT-All'!$A$1,"Scenario",R$12,"P&amp;L Item",$B160)/R$29,0),"0.00%"))</f>
        <v>0</v>
      </c>
      <c r="S160" s="65">
        <f>CHOOSE(PLColumn,IFERROR(GETPIVOTDATA("Sum of "&amp;S$9,'PT-All'!$A$1,"Scenario",S$12,"P&amp;L Item",$B160),0),IFERROR(GETPIVOTDATA("Sum of "&amp;S$9,'PT-All'!$A$1,"Scenario",S$12,"P&amp;L Item",$B160)/S$201,0),TEXT(IFERROR(GETPIVOTDATA("Sum of "&amp;S$9,'PT-All'!$A$1,"Scenario",S$12,"P&amp;L Item",$B160)/S$29,0),"0.00%"))</f>
        <v>0</v>
      </c>
      <c r="T160" s="65">
        <f>CHOOSE(PLColumn,IFERROR(GETPIVOTDATA("Sum of "&amp;T$9,'PT-All'!$A$1,"Scenario",T$12,"P&amp;L Item",$B160),0),IFERROR(GETPIVOTDATA("Sum of "&amp;T$9,'PT-All'!$A$1,"Scenario",T$12,"P&amp;L Item",$B160)/T$201,0),TEXT(IFERROR(GETPIVOTDATA("Sum of "&amp;T$9,'PT-All'!$A$1,"Scenario",T$12,"P&amp;L Item",$B160)/T$29,0),"0.00%"))</f>
        <v>0</v>
      </c>
      <c r="U160" s="65">
        <f>CHOOSE(PLColumn,IFERROR(GETPIVOTDATA("Sum of "&amp;U$9,'PT-All'!$A$1,"Scenario",U$12,"P&amp;L Item",$B160),0),IFERROR(GETPIVOTDATA("Sum of "&amp;U$9,'PT-All'!$A$1,"Scenario",U$12,"P&amp;L Item",$B160)/U$201,0),TEXT(IFERROR(GETPIVOTDATA("Sum of "&amp;U$9,'PT-All'!$A$1,"Scenario",U$12,"P&amp;L Item",$B160)/U$29,0),"0.00%"))</f>
        <v>0</v>
      </c>
      <c r="V160" s="65">
        <f>CHOOSE(PLColumn,IFERROR(GETPIVOTDATA("Sum of "&amp;V$9,'PT-All'!$A$1,"Scenario",V$12,"P&amp;L Item",$B160),0),IFERROR(GETPIVOTDATA("Sum of "&amp;V$9,'PT-All'!$A$1,"Scenario",V$12,"P&amp;L Item",$B160)/V$201,0),TEXT(IFERROR(GETPIVOTDATA("Sum of "&amp;V$9,'PT-All'!$A$1,"Scenario",V$12,"P&amp;L Item",$B160)/V$29,0),"0.00%"))</f>
        <v>0</v>
      </c>
      <c r="W160" s="65">
        <f>CHOOSE(PLColumn,IFERROR(GETPIVOTDATA("Sum of "&amp;W$9,'PT-All'!$A$1,"Scenario",W$12,"P&amp;L Item",$B160),0),IFERROR(GETPIVOTDATA("Sum of "&amp;W$9,'PT-All'!$A$1,"Scenario",W$12,"P&amp;L Item",$B160)/W$201,0),TEXT(IFERROR(GETPIVOTDATA("Sum of "&amp;W$9,'PT-All'!$A$1,"Scenario",W$12,"P&amp;L Item",$B160)/W$29,0),"0.00%"))</f>
        <v>0</v>
      </c>
      <c r="X160" s="65">
        <f>CHOOSE(PLColumn,IFERROR(GETPIVOTDATA("Sum of "&amp;X$9,'PT-All'!$A$1,"Scenario",X$12,"P&amp;L Item",$B160),0),IFERROR(GETPIVOTDATA("Sum of "&amp;X$9,'PT-All'!$A$1,"Scenario",X$12,"P&amp;L Item",$B160)/X$201,0),TEXT(IFERROR(GETPIVOTDATA("Sum of "&amp;X$9,'PT-All'!$A$1,"Scenario",X$12,"P&amp;L Item",$B160)/X$29,0),"0.00%"))</f>
        <v>0</v>
      </c>
      <c r="Y160" s="65">
        <f>CHOOSE(PLColumn,IFERROR(GETPIVOTDATA("Sum of "&amp;Y$9,'PT-All'!$A$1,"Scenario",Y$12,"P&amp;L Item",$B160),0),IFERROR(GETPIVOTDATA("Sum of "&amp;Y$9,'PT-All'!$A$1,"Scenario",Y$12,"P&amp;L Item",$B160)/Y$201,0),TEXT(IFERROR(GETPIVOTDATA("Sum of "&amp;Y$9,'PT-All'!$A$1,"Scenario",Y$12,"P&amp;L Item",$B160)/Y$29,0),"0.00%"))</f>
        <v>0</v>
      </c>
      <c r="Z160" s="65">
        <f>CHOOSE(PLColumn,IFERROR(GETPIVOTDATA("Sum of "&amp;Z$9,'PT-All'!$A$1,"Scenario",Z$12,"P&amp;L Item",$B160),0),IFERROR(GETPIVOTDATA("Sum of "&amp;Z$9,'PT-All'!$A$1,"Scenario",Z$12,"P&amp;L Item",$B160)/Z$201,0),TEXT(IFERROR(GETPIVOTDATA("Sum of "&amp;Z$9,'PT-All'!$A$1,"Scenario",Z$12,"P&amp;L Item",$B160)/Z$29,0),"0.00%"))</f>
        <v>0</v>
      </c>
      <c r="AA160" s="65">
        <f>CHOOSE(PLColumn,IFERROR(GETPIVOTDATA("Sum of "&amp;AA$9,'PT-All'!$A$1,"Scenario",AA$12,"P&amp;L Item",$B160),0),IFERROR(GETPIVOTDATA("Sum of "&amp;AA$9,'PT-All'!$A$1,"Scenario",AA$12,"P&amp;L Item",$B160)/AA$201,0),TEXT(IFERROR(GETPIVOTDATA("Sum of "&amp;AA$9,'PT-All'!$A$1,"Scenario",AA$12,"P&amp;L Item",$B160)/AA$29,0),"0.00%"))</f>
        <v>0</v>
      </c>
      <c r="AB160" s="65">
        <f>CHOOSE(PLColumn,IFERROR(GETPIVOTDATA("Sum of "&amp;AB$9,'PT-All'!$A$1,"Scenario",AB$12,"P&amp;L Item",$B160),0),IFERROR(GETPIVOTDATA("Sum of "&amp;AB$9,'PT-All'!$A$1,"Scenario",AB$12,"P&amp;L Item",$B160)/AB$201,0),TEXT(IFERROR(GETPIVOTDATA("Sum of "&amp;AB$9,'PT-All'!$A$1,"Scenario",AB$12,"P&amp;L Item",$B160)/AB$29,0),"0.00%"))</f>
        <v>0</v>
      </c>
      <c r="AC160" s="65">
        <f>CHOOSE(PLColumn,IFERROR(GETPIVOTDATA("Sum of "&amp;AC$9,'PT-All'!$A$1,"Scenario",AC$12,"P&amp;L Item",$B160),0),IFERROR(GETPIVOTDATA("Sum of "&amp;AC$9,'PT-All'!$A$1,"Scenario",AC$12,"P&amp;L Item",$B160)/AC$201,0),TEXT(IFERROR(GETPIVOTDATA("Sum of "&amp;AC$9,'PT-All'!$A$1,"Scenario",AC$12,"P&amp;L Item",$B160)/AC$29,0),"0.00%"))</f>
        <v>0</v>
      </c>
      <c r="AD160" s="65">
        <f>CHOOSE(PLColumn,IFERROR(GETPIVOTDATA("Sum of "&amp;AD$9,'PT-All'!$A$1,"Scenario",AD$12,"P&amp;L Item",$B160),0),IFERROR(GETPIVOTDATA("Sum of "&amp;AD$9,'PT-All'!$A$1,"Scenario",AD$12,"P&amp;L Item",$B160)/AD$201,0),TEXT(IFERROR(GETPIVOTDATA("Sum of "&amp;AD$9,'PT-All'!$A$1,"Scenario",AD$12,"P&amp;L Item",$B160)/AD$29,0),"0.00%"))</f>
        <v>0</v>
      </c>
      <c r="AE160" s="65">
        <f>CHOOSE(PLColumn,IFERROR(GETPIVOTDATA("Sum of "&amp;AE$9,'PT-All'!$A$1,"Scenario",AE$12,"P&amp;L Item",$B160),0),IFERROR(GETPIVOTDATA("Sum of "&amp;AE$9,'PT-All'!$A$1,"Scenario",AE$12,"P&amp;L Item",$B160)/AE$201,0),TEXT(IFERROR(GETPIVOTDATA("Sum of "&amp;AE$9,'PT-All'!$A$1,"Scenario",AE$12,"P&amp;L Item",$B160)/AE$29,0),"0.00%"))</f>
        <v>0</v>
      </c>
      <c r="AF160" s="65">
        <f>CHOOSE(PLColumn,IFERROR(GETPIVOTDATA("Sum of "&amp;AF$9,'PT-All'!$A$1,"Scenario",AF$12,"P&amp;L Item",$B160),0),IFERROR(GETPIVOTDATA("Sum of "&amp;AF$9,'PT-All'!$A$1,"Scenario",AF$12,"P&amp;L Item",$B160)/AF$201,0),TEXT(IFERROR(GETPIVOTDATA("Sum of "&amp;AF$9,'PT-All'!$A$1,"Scenario",AF$12,"P&amp;L Item",$B160)/AF$29,0),"0.00%"))</f>
        <v>0</v>
      </c>
      <c r="AG160" s="65">
        <f>CHOOSE(PLColumn,IFERROR(GETPIVOTDATA("Sum of "&amp;AG$9,'PT-All'!$A$1,"Scenario",AG$12,"P&amp;L Item",$B160),0),IFERROR(GETPIVOTDATA("Sum of "&amp;AG$9,'PT-All'!$A$1,"Scenario",AG$12,"P&amp;L Item",$B160)/AG$201,0),TEXT(IFERROR(GETPIVOTDATA("Sum of "&amp;AG$9,'PT-All'!$A$1,"Scenario",AG$12,"P&amp;L Item",$B160)/AG$29,0),"0.00%"))</f>
        <v>0</v>
      </c>
      <c r="AH160" s="65">
        <f>CHOOSE(PLColumn,IFERROR(GETPIVOTDATA("Sum of "&amp;AH$9,'PT-All'!$A$1,"Scenario",AH$12,"P&amp;L Item",$B160),0),IFERROR(GETPIVOTDATA("Sum of "&amp;AH$9,'PT-All'!$A$1,"Scenario",AH$12,"P&amp;L Item",$B160)/AH$201,0),TEXT(IFERROR(GETPIVOTDATA("Sum of "&amp;AH$9,'PT-All'!$A$1,"Scenario",AH$12,"P&amp;L Item",$B160)/AH$29,0),"0.00%"))</f>
        <v>0</v>
      </c>
      <c r="AI160" s="65">
        <f>CHOOSE(PLColumn,IFERROR(GETPIVOTDATA("Sum of "&amp;AI$9,'PT-All'!$A$1,"Scenario",AI$12,"P&amp;L Item",$B160),0),IFERROR(GETPIVOTDATA("Sum of "&amp;AI$9,'PT-All'!$A$1,"Scenario",AI$12,"P&amp;L Item",$B160)/AI$201,0),TEXT(IFERROR(GETPIVOTDATA("Sum of "&amp;AI$9,'PT-All'!$A$1,"Scenario",AI$12,"P&amp;L Item",$B160)/AI$29,0),"0.00%"))</f>
        <v>0</v>
      </c>
      <c r="AJ160" s="65">
        <f>CHOOSE(PLColumn,IFERROR(GETPIVOTDATA("Sum of "&amp;AJ$9,'PT-All'!$A$1,"Scenario",AJ$12,"P&amp;L Item",$B160),0),IFERROR(GETPIVOTDATA("Sum of "&amp;AJ$9,'PT-All'!$A$1,"Scenario",AJ$12,"P&amp;L Item",$B160)/AJ$201,0),TEXT(IFERROR(GETPIVOTDATA("Sum of "&amp;AJ$9,'PT-All'!$A$1,"Scenario",AJ$12,"P&amp;L Item",$B160)/AJ$29,0),"0.00%"))</f>
        <v>0</v>
      </c>
      <c r="AK160" s="65">
        <f>CHOOSE(PLColumn,IFERROR(GETPIVOTDATA("Sum of "&amp;AK$9,'PT-All'!$A$1,"Scenario",AK$12,"P&amp;L Item",$B160),0),IFERROR(GETPIVOTDATA("Sum of "&amp;AK$9,'PT-All'!$A$1,"Scenario",AK$12,"P&amp;L Item",$B160)/AK$201,0),TEXT(IFERROR(GETPIVOTDATA("Sum of "&amp;AK$9,'PT-All'!$A$1,"Scenario",AK$12,"P&amp;L Item",$B160)/AK$29,0),"0.00%"))</f>
        <v>0</v>
      </c>
      <c r="AL160" s="97">
        <f>CHOOSE(PLColumn,IFERROR(GETPIVOTDATA("Sum of "&amp;AL$9,'PT-All'!$A$1,"Scenario",AL$12,"P&amp;L Item",$B160),0),IFERROR(GETPIVOTDATA("Sum of "&amp;AL$9,'PT-All'!$A$1,"Scenario",AL$12,"P&amp;L Item",$B160)/AL$201,0),TEXT(IFERROR(GETPIVOTDATA("Sum of "&amp;AL$9,'PT-All'!$A$1,"Scenario",AL$12,"P&amp;L Item",$B160)/AL$29,0),"0.00%"))</f>
        <v>0</v>
      </c>
      <c r="AM160" s="590"/>
      <c r="AN160" s="108">
        <f ca="1">IF(AN$12="Pro Forma",SUM(OFFSET($B160,0,3*AN$9+1,1,3)),IFERROR(GETPIVOTDATA("Sum of Q"&amp;AN$9+1,'PT-All'!$A$1,"Scenario",AN$12,"P&amp;L Item",$B160),0))</f>
        <v>0</v>
      </c>
      <c r="AO160" s="65">
        <f ca="1">IF(AO$12="Pro Forma",SUM(OFFSET($B160,0,3*AO$9+1,1,3)),IFERROR(GETPIVOTDATA("Sum of Q"&amp;AO$9+1,'PT-All'!$A$1,"Scenario",AO$12,"P&amp;L Item",$B160),0))</f>
        <v>0</v>
      </c>
      <c r="AP160" s="65">
        <f ca="1">IF(AP$12="Pro Forma",SUM(OFFSET($B160,0,3*AP$9+1,1,3)),IFERROR(GETPIVOTDATA("Sum of Q"&amp;AP$9+1,'PT-All'!$A$1,"Scenario",AP$12,"P&amp;L Item",$B160),0))</f>
        <v>0</v>
      </c>
      <c r="AQ160" s="65">
        <f ca="1">IF(AQ$12="Pro Forma",SUM(OFFSET($B160,0,3*AQ$9+1,1,3)),IFERROR(GETPIVOTDATA("Sum of Q"&amp;AQ$9+1,'PT-All'!$A$1,"Scenario",AQ$12,"P&amp;L Item",$B160),0))</f>
        <v>0</v>
      </c>
      <c r="AR160" s="65">
        <f ca="1">IF(AR$12="Pro Forma",SUM(OFFSET($B160,0,3*AR$9+1,1,3)),IFERROR(GETPIVOTDATA("Sum of Q"&amp;AR$9+1,'PT-All'!$A$1,"Scenario",AR$12,"P&amp;L Item",$B160),0))</f>
        <v>0</v>
      </c>
      <c r="AS160" s="65">
        <f ca="1">IF(AS$12="Pro Forma",SUM(OFFSET($B160,0,3*AS$9+1,1,3)),IFERROR(GETPIVOTDATA("Sum of Q"&amp;AS$9+1,'PT-All'!$A$1,"Scenario",AS$12,"P&amp;L Item",$B160),0))</f>
        <v>0</v>
      </c>
      <c r="AT160" s="65">
        <f ca="1">IF(AT$12="Pro Forma",SUM(OFFSET($B160,0,3*AT$9+1,1,3)),IFERROR(GETPIVOTDATA("Sum of Q"&amp;AT$9+1,'PT-All'!$A$1,"Scenario",AT$12,"P&amp;L Item",$B160),0))</f>
        <v>0</v>
      </c>
      <c r="AU160" s="65">
        <f ca="1">IF(AU$12="Pro Forma",SUM(OFFSET($B160,0,3*AU$9+1,1,3)),IFERROR(GETPIVOTDATA("Sum of Q"&amp;AU$9+1,'PT-All'!$A$1,"Scenario",AU$12,"P&amp;L Item",$B160),0))</f>
        <v>0</v>
      </c>
      <c r="AV160" s="65">
        <f ca="1">IF(AV$12="Pro Forma",SUM(OFFSET($B160,0,3*AV$9+1,1,3)),IFERROR(GETPIVOTDATA("Sum of Q"&amp;AV$9+1,'PT-All'!$A$1,"Scenario",AV$12,"P&amp;L Item",$B160),0))</f>
        <v>0</v>
      </c>
      <c r="AW160" s="65">
        <f ca="1">IF(AW$12="Pro Forma",SUM(OFFSET($B160,0,3*AW$9+1,1,3)),IFERROR(GETPIVOTDATA("Sum of Q"&amp;AW$9+1,'PT-All'!$A$1,"Scenario",AW$12,"P&amp;L Item",$B160),0))</f>
        <v>0</v>
      </c>
      <c r="AX160" s="65">
        <f ca="1">IF(AX$12="Pro Forma",SUM(OFFSET($B160,0,3*AX$9+1,1,3)),IFERROR(GETPIVOTDATA("Sum of Q"&amp;AX$9+1,'PT-All'!$A$1,"Scenario",AX$12,"P&amp;L Item",$B160),0))</f>
        <v>0</v>
      </c>
      <c r="AY160" s="97">
        <f ca="1">IF(AY$12="Pro Forma",SUM(OFFSET($B160,0,3*AY$9+1,1,3)),IFERROR(GETPIVOTDATA("Sum of Q"&amp;AY$9+1,'PT-All'!$A$1,"Scenario",AY$12,"P&amp;L Item",$B160),0))</f>
        <v>0</v>
      </c>
      <c r="AZ160" s="590"/>
      <c r="BA160" s="108">
        <f ca="1">IF(BA$12="Pro Forma",SUM(OFFSET($B160,0,12*BA$9+1,1,12)),IFERROR(GETPIVOTDATA("Sum of FY"&amp;BA$9+1,'PT-All'!$A$1,"Scenario",BA$12,"P&amp;L Item",$B160),0))</f>
        <v>0</v>
      </c>
      <c r="BB160" s="65">
        <f ca="1">IF(BB$12="Pro Forma",SUM(OFFSET($B160,0,12*BB$9+1,1,12)),IFERROR(GETPIVOTDATA("Sum of FY"&amp;BB$9+1,'PT-All'!$A$1,"Scenario",BB$12,"P&amp;L Item",$B160),0))</f>
        <v>0</v>
      </c>
      <c r="BC160" s="97">
        <f ca="1">IF(BC$12="Pro Forma",SUM(OFFSET($B160,0,12*BC$9+1,1,12)),IFERROR(GETPIVOTDATA("Sum of FY"&amp;BC$9+1,'PT-All'!$A$1,"Scenario",BC$12,"P&amp;L Item",$B160),0))</f>
        <v>0</v>
      </c>
    </row>
    <row r="161" spans="2:55" x14ac:dyDescent="0.35">
      <c r="B161" s="80" t="s">
        <v>189</v>
      </c>
      <c r="C161" s="65">
        <f>CHOOSE(PLColumn,IFERROR(GETPIVOTDATA("Sum of "&amp;C$9,'PT-All'!$A$1,"Scenario",C$12,"P&amp;L Item",$B161),0),IFERROR(GETPIVOTDATA("Sum of "&amp;C$9,'PT-All'!$A$1,"Scenario",C$12,"P&amp;L Item",$B161)/C$201,0),TEXT(IFERROR(GETPIVOTDATA("Sum of "&amp;C$9,'PT-All'!$A$1,"Scenario",C$12,"P&amp;L Item",$B161)/C$29,0),"0.00%"))</f>
        <v>0</v>
      </c>
      <c r="D161" s="65">
        <f>CHOOSE(PLColumn,IFERROR(GETPIVOTDATA("Sum of "&amp;D$9,'PT-All'!$A$1,"Scenario",D$12,"P&amp;L Item",$B161),0),IFERROR(GETPIVOTDATA("Sum of "&amp;D$9,'PT-All'!$A$1,"Scenario",D$12,"P&amp;L Item",$B161)/D$201,0),TEXT(IFERROR(GETPIVOTDATA("Sum of "&amp;D$9,'PT-All'!$A$1,"Scenario",D$12,"P&amp;L Item",$B161)/D$29,0),"0.00%"))</f>
        <v>0</v>
      </c>
      <c r="E161" s="65">
        <f>CHOOSE(PLColumn,IFERROR(GETPIVOTDATA("Sum of "&amp;E$9,'PT-All'!$A$1,"Scenario",E$12,"P&amp;L Item",$B161),0),IFERROR(GETPIVOTDATA("Sum of "&amp;E$9,'PT-All'!$A$1,"Scenario",E$12,"P&amp;L Item",$B161)/E$201,0),TEXT(IFERROR(GETPIVOTDATA("Sum of "&amp;E$9,'PT-All'!$A$1,"Scenario",E$12,"P&amp;L Item",$B161)/E$29,0),"0.00%"))</f>
        <v>0</v>
      </c>
      <c r="F161" s="65">
        <f>CHOOSE(PLColumn,IFERROR(GETPIVOTDATA("Sum of "&amp;F$9,'PT-All'!$A$1,"Scenario",F$12,"P&amp;L Item",$B161),0),IFERROR(GETPIVOTDATA("Sum of "&amp;F$9,'PT-All'!$A$1,"Scenario",F$12,"P&amp;L Item",$B161)/F$201,0),TEXT(IFERROR(GETPIVOTDATA("Sum of "&amp;F$9,'PT-All'!$A$1,"Scenario",F$12,"P&amp;L Item",$B161)/F$29,0),"0.00%"))</f>
        <v>0</v>
      </c>
      <c r="G161" s="65">
        <f>CHOOSE(PLColumn,IFERROR(GETPIVOTDATA("Sum of "&amp;G$9,'PT-All'!$A$1,"Scenario",G$12,"P&amp;L Item",$B161),0),IFERROR(GETPIVOTDATA("Sum of "&amp;G$9,'PT-All'!$A$1,"Scenario",G$12,"P&amp;L Item",$B161)/G$201,0),TEXT(IFERROR(GETPIVOTDATA("Sum of "&amp;G$9,'PT-All'!$A$1,"Scenario",G$12,"P&amp;L Item",$B161)/G$29,0),"0.00%"))</f>
        <v>0</v>
      </c>
      <c r="H161" s="65">
        <f>CHOOSE(PLColumn,IFERROR(GETPIVOTDATA("Sum of "&amp;H$9,'PT-All'!$A$1,"Scenario",H$12,"P&amp;L Item",$B161),0),IFERROR(GETPIVOTDATA("Sum of "&amp;H$9,'PT-All'!$A$1,"Scenario",H$12,"P&amp;L Item",$B161)/H$201,0),TEXT(IFERROR(GETPIVOTDATA("Sum of "&amp;H$9,'PT-All'!$A$1,"Scenario",H$12,"P&amp;L Item",$B161)/H$29,0),"0.00%"))</f>
        <v>0</v>
      </c>
      <c r="I161" s="65">
        <f>CHOOSE(PLColumn,IFERROR(GETPIVOTDATA("Sum of "&amp;I$9,'PT-All'!$A$1,"Scenario",I$12,"P&amp;L Item",$B161),0),IFERROR(GETPIVOTDATA("Sum of "&amp;I$9,'PT-All'!$A$1,"Scenario",I$12,"P&amp;L Item",$B161)/I$201,0),TEXT(IFERROR(GETPIVOTDATA("Sum of "&amp;I$9,'PT-All'!$A$1,"Scenario",I$12,"P&amp;L Item",$B161)/I$29,0),"0.00%"))</f>
        <v>0</v>
      </c>
      <c r="J161" s="65">
        <f>CHOOSE(PLColumn,IFERROR(GETPIVOTDATA("Sum of "&amp;J$9,'PT-All'!$A$1,"Scenario",J$12,"P&amp;L Item",$B161),0),IFERROR(GETPIVOTDATA("Sum of "&amp;J$9,'PT-All'!$A$1,"Scenario",J$12,"P&amp;L Item",$B161)/J$201,0),TEXT(IFERROR(GETPIVOTDATA("Sum of "&amp;J$9,'PT-All'!$A$1,"Scenario",J$12,"P&amp;L Item",$B161)/J$29,0),"0.00%"))</f>
        <v>0</v>
      </c>
      <c r="K161" s="65">
        <f>CHOOSE(PLColumn,IFERROR(GETPIVOTDATA("Sum of "&amp;K$9,'PT-All'!$A$1,"Scenario",K$12,"P&amp;L Item",$B161),0),IFERROR(GETPIVOTDATA("Sum of "&amp;K$9,'PT-All'!$A$1,"Scenario",K$12,"P&amp;L Item",$B161)/K$201,0),TEXT(IFERROR(GETPIVOTDATA("Sum of "&amp;K$9,'PT-All'!$A$1,"Scenario",K$12,"P&amp;L Item",$B161)/K$29,0),"0.00%"))</f>
        <v>0</v>
      </c>
      <c r="L161" s="65">
        <f>CHOOSE(PLColumn,IFERROR(GETPIVOTDATA("Sum of "&amp;L$9,'PT-All'!$A$1,"Scenario",L$12,"P&amp;L Item",$B161),0),IFERROR(GETPIVOTDATA("Sum of "&amp;L$9,'PT-All'!$A$1,"Scenario",L$12,"P&amp;L Item",$B161)/L$201,0),TEXT(IFERROR(GETPIVOTDATA("Sum of "&amp;L$9,'PT-All'!$A$1,"Scenario",L$12,"P&amp;L Item",$B161)/L$29,0),"0.00%"))</f>
        <v>0</v>
      </c>
      <c r="M161" s="65">
        <f>CHOOSE(PLColumn,IFERROR(GETPIVOTDATA("Sum of "&amp;M$9,'PT-All'!$A$1,"Scenario",M$12,"P&amp;L Item",$B161),0),IFERROR(GETPIVOTDATA("Sum of "&amp;M$9,'PT-All'!$A$1,"Scenario",M$12,"P&amp;L Item",$B161)/M$201,0),TEXT(IFERROR(GETPIVOTDATA("Sum of "&amp;M$9,'PT-All'!$A$1,"Scenario",M$12,"P&amp;L Item",$B161)/M$29,0),"0.00%"))</f>
        <v>0</v>
      </c>
      <c r="N161" s="65">
        <f>CHOOSE(PLColumn,IFERROR(GETPIVOTDATA("Sum of "&amp;N$9,'PT-All'!$A$1,"Scenario",N$12,"P&amp;L Item",$B161),0),IFERROR(GETPIVOTDATA("Sum of "&amp;N$9,'PT-All'!$A$1,"Scenario",N$12,"P&amp;L Item",$B161)/N$201,0),TEXT(IFERROR(GETPIVOTDATA("Sum of "&amp;N$9,'PT-All'!$A$1,"Scenario",N$12,"P&amp;L Item",$B161)/N$29,0),"0.00%"))</f>
        <v>0</v>
      </c>
      <c r="O161" s="65">
        <f>CHOOSE(PLColumn,IFERROR(GETPIVOTDATA("Sum of "&amp;O$9,'PT-All'!$A$1,"Scenario",O$12,"P&amp;L Item",$B161),0),IFERROR(GETPIVOTDATA("Sum of "&amp;O$9,'PT-All'!$A$1,"Scenario",O$12,"P&amp;L Item",$B161)/O$201,0),TEXT(IFERROR(GETPIVOTDATA("Sum of "&amp;O$9,'PT-All'!$A$1,"Scenario",O$12,"P&amp;L Item",$B161)/O$29,0),"0.00%"))</f>
        <v>0</v>
      </c>
      <c r="P161" s="65">
        <f>CHOOSE(PLColumn,IFERROR(GETPIVOTDATA("Sum of "&amp;P$9,'PT-All'!$A$1,"Scenario",P$12,"P&amp;L Item",$B161),0),IFERROR(GETPIVOTDATA("Sum of "&amp;P$9,'PT-All'!$A$1,"Scenario",P$12,"P&amp;L Item",$B161)/P$201,0),TEXT(IFERROR(GETPIVOTDATA("Sum of "&amp;P$9,'PT-All'!$A$1,"Scenario",P$12,"P&amp;L Item",$B161)/P$29,0),"0.00%"))</f>
        <v>0</v>
      </c>
      <c r="Q161" s="65">
        <f>CHOOSE(PLColumn,IFERROR(GETPIVOTDATA("Sum of "&amp;Q$9,'PT-All'!$A$1,"Scenario",Q$12,"P&amp;L Item",$B161),0),IFERROR(GETPIVOTDATA("Sum of "&amp;Q$9,'PT-All'!$A$1,"Scenario",Q$12,"P&amp;L Item",$B161)/Q$201,0),TEXT(IFERROR(GETPIVOTDATA("Sum of "&amp;Q$9,'PT-All'!$A$1,"Scenario",Q$12,"P&amp;L Item",$B161)/Q$29,0),"0.00%"))</f>
        <v>0</v>
      </c>
      <c r="R161" s="65">
        <f>CHOOSE(PLColumn,IFERROR(GETPIVOTDATA("Sum of "&amp;R$9,'PT-All'!$A$1,"Scenario",R$12,"P&amp;L Item",$B161),0),IFERROR(GETPIVOTDATA("Sum of "&amp;R$9,'PT-All'!$A$1,"Scenario",R$12,"P&amp;L Item",$B161)/R$201,0),TEXT(IFERROR(GETPIVOTDATA("Sum of "&amp;R$9,'PT-All'!$A$1,"Scenario",R$12,"P&amp;L Item",$B161)/R$29,0),"0.00%"))</f>
        <v>0</v>
      </c>
      <c r="S161" s="65">
        <f>CHOOSE(PLColumn,IFERROR(GETPIVOTDATA("Sum of "&amp;S$9,'PT-All'!$A$1,"Scenario",S$12,"P&amp;L Item",$B161),0),IFERROR(GETPIVOTDATA("Sum of "&amp;S$9,'PT-All'!$A$1,"Scenario",S$12,"P&amp;L Item",$B161)/S$201,0),TEXT(IFERROR(GETPIVOTDATA("Sum of "&amp;S$9,'PT-All'!$A$1,"Scenario",S$12,"P&amp;L Item",$B161)/S$29,0),"0.00%"))</f>
        <v>0</v>
      </c>
      <c r="T161" s="65">
        <f>CHOOSE(PLColumn,IFERROR(GETPIVOTDATA("Sum of "&amp;T$9,'PT-All'!$A$1,"Scenario",T$12,"P&amp;L Item",$B161),0),IFERROR(GETPIVOTDATA("Sum of "&amp;T$9,'PT-All'!$A$1,"Scenario",T$12,"P&amp;L Item",$B161)/T$201,0),TEXT(IFERROR(GETPIVOTDATA("Sum of "&amp;T$9,'PT-All'!$A$1,"Scenario",T$12,"P&amp;L Item",$B161)/T$29,0),"0.00%"))</f>
        <v>0</v>
      </c>
      <c r="U161" s="65">
        <f>CHOOSE(PLColumn,IFERROR(GETPIVOTDATA("Sum of "&amp;U$9,'PT-All'!$A$1,"Scenario",U$12,"P&amp;L Item",$B161),0),IFERROR(GETPIVOTDATA("Sum of "&amp;U$9,'PT-All'!$A$1,"Scenario",U$12,"P&amp;L Item",$B161)/U$201,0),TEXT(IFERROR(GETPIVOTDATA("Sum of "&amp;U$9,'PT-All'!$A$1,"Scenario",U$12,"P&amp;L Item",$B161)/U$29,0),"0.00%"))</f>
        <v>0</v>
      </c>
      <c r="V161" s="65">
        <f>CHOOSE(PLColumn,IFERROR(GETPIVOTDATA("Sum of "&amp;V$9,'PT-All'!$A$1,"Scenario",V$12,"P&amp;L Item",$B161),0),IFERROR(GETPIVOTDATA("Sum of "&amp;V$9,'PT-All'!$A$1,"Scenario",V$12,"P&amp;L Item",$B161)/V$201,0),TEXT(IFERROR(GETPIVOTDATA("Sum of "&amp;V$9,'PT-All'!$A$1,"Scenario",V$12,"P&amp;L Item",$B161)/V$29,0),"0.00%"))</f>
        <v>0</v>
      </c>
      <c r="W161" s="65">
        <f>CHOOSE(PLColumn,IFERROR(GETPIVOTDATA("Sum of "&amp;W$9,'PT-All'!$A$1,"Scenario",W$12,"P&amp;L Item",$B161),0),IFERROR(GETPIVOTDATA("Sum of "&amp;W$9,'PT-All'!$A$1,"Scenario",W$12,"P&amp;L Item",$B161)/W$201,0),TEXT(IFERROR(GETPIVOTDATA("Sum of "&amp;W$9,'PT-All'!$A$1,"Scenario",W$12,"P&amp;L Item",$B161)/W$29,0),"0.00%"))</f>
        <v>0</v>
      </c>
      <c r="X161" s="65">
        <f>CHOOSE(PLColumn,IFERROR(GETPIVOTDATA("Sum of "&amp;X$9,'PT-All'!$A$1,"Scenario",X$12,"P&amp;L Item",$B161),0),IFERROR(GETPIVOTDATA("Sum of "&amp;X$9,'PT-All'!$A$1,"Scenario",X$12,"P&amp;L Item",$B161)/X$201,0),TEXT(IFERROR(GETPIVOTDATA("Sum of "&amp;X$9,'PT-All'!$A$1,"Scenario",X$12,"P&amp;L Item",$B161)/X$29,0),"0.00%"))</f>
        <v>0</v>
      </c>
      <c r="Y161" s="65">
        <f>CHOOSE(PLColumn,IFERROR(GETPIVOTDATA("Sum of "&amp;Y$9,'PT-All'!$A$1,"Scenario",Y$12,"P&amp;L Item",$B161),0),IFERROR(GETPIVOTDATA("Sum of "&amp;Y$9,'PT-All'!$A$1,"Scenario",Y$12,"P&amp;L Item",$B161)/Y$201,0),TEXT(IFERROR(GETPIVOTDATA("Sum of "&amp;Y$9,'PT-All'!$A$1,"Scenario",Y$12,"P&amp;L Item",$B161)/Y$29,0),"0.00%"))</f>
        <v>0</v>
      </c>
      <c r="Z161" s="65">
        <f>CHOOSE(PLColumn,IFERROR(GETPIVOTDATA("Sum of "&amp;Z$9,'PT-All'!$A$1,"Scenario",Z$12,"P&amp;L Item",$B161),0),IFERROR(GETPIVOTDATA("Sum of "&amp;Z$9,'PT-All'!$A$1,"Scenario",Z$12,"P&amp;L Item",$B161)/Z$201,0),TEXT(IFERROR(GETPIVOTDATA("Sum of "&amp;Z$9,'PT-All'!$A$1,"Scenario",Z$12,"P&amp;L Item",$B161)/Z$29,0),"0.00%"))</f>
        <v>0</v>
      </c>
      <c r="AA161" s="65">
        <f>CHOOSE(PLColumn,IFERROR(GETPIVOTDATA("Sum of "&amp;AA$9,'PT-All'!$A$1,"Scenario",AA$12,"P&amp;L Item",$B161),0),IFERROR(GETPIVOTDATA("Sum of "&amp;AA$9,'PT-All'!$A$1,"Scenario",AA$12,"P&amp;L Item",$B161)/AA$201,0),TEXT(IFERROR(GETPIVOTDATA("Sum of "&amp;AA$9,'PT-All'!$A$1,"Scenario",AA$12,"P&amp;L Item",$B161)/AA$29,0),"0.00%"))</f>
        <v>0</v>
      </c>
      <c r="AB161" s="65">
        <f>CHOOSE(PLColumn,IFERROR(GETPIVOTDATA("Sum of "&amp;AB$9,'PT-All'!$A$1,"Scenario",AB$12,"P&amp;L Item",$B161),0),IFERROR(GETPIVOTDATA("Sum of "&amp;AB$9,'PT-All'!$A$1,"Scenario",AB$12,"P&amp;L Item",$B161)/AB$201,0),TEXT(IFERROR(GETPIVOTDATA("Sum of "&amp;AB$9,'PT-All'!$A$1,"Scenario",AB$12,"P&amp;L Item",$B161)/AB$29,0),"0.00%"))</f>
        <v>0</v>
      </c>
      <c r="AC161" s="65">
        <f>CHOOSE(PLColumn,IFERROR(GETPIVOTDATA("Sum of "&amp;AC$9,'PT-All'!$A$1,"Scenario",AC$12,"P&amp;L Item",$B161),0),IFERROR(GETPIVOTDATA("Sum of "&amp;AC$9,'PT-All'!$A$1,"Scenario",AC$12,"P&amp;L Item",$B161)/AC$201,0),TEXT(IFERROR(GETPIVOTDATA("Sum of "&amp;AC$9,'PT-All'!$A$1,"Scenario",AC$12,"P&amp;L Item",$B161)/AC$29,0),"0.00%"))</f>
        <v>0</v>
      </c>
      <c r="AD161" s="65">
        <f>CHOOSE(PLColumn,IFERROR(GETPIVOTDATA("Sum of "&amp;AD$9,'PT-All'!$A$1,"Scenario",AD$12,"P&amp;L Item",$B161),0),IFERROR(GETPIVOTDATA("Sum of "&amp;AD$9,'PT-All'!$A$1,"Scenario",AD$12,"P&amp;L Item",$B161)/AD$201,0),TEXT(IFERROR(GETPIVOTDATA("Sum of "&amp;AD$9,'PT-All'!$A$1,"Scenario",AD$12,"P&amp;L Item",$B161)/AD$29,0),"0.00%"))</f>
        <v>0</v>
      </c>
      <c r="AE161" s="65">
        <f>CHOOSE(PLColumn,IFERROR(GETPIVOTDATA("Sum of "&amp;AE$9,'PT-All'!$A$1,"Scenario",AE$12,"P&amp;L Item",$B161),0),IFERROR(GETPIVOTDATA("Sum of "&amp;AE$9,'PT-All'!$A$1,"Scenario",AE$12,"P&amp;L Item",$B161)/AE$201,0),TEXT(IFERROR(GETPIVOTDATA("Sum of "&amp;AE$9,'PT-All'!$A$1,"Scenario",AE$12,"P&amp;L Item",$B161)/AE$29,0),"0.00%"))</f>
        <v>0</v>
      </c>
      <c r="AF161" s="65">
        <f>CHOOSE(PLColumn,IFERROR(GETPIVOTDATA("Sum of "&amp;AF$9,'PT-All'!$A$1,"Scenario",AF$12,"P&amp;L Item",$B161),0),IFERROR(GETPIVOTDATA("Sum of "&amp;AF$9,'PT-All'!$A$1,"Scenario",AF$12,"P&amp;L Item",$B161)/AF$201,0),TEXT(IFERROR(GETPIVOTDATA("Sum of "&amp;AF$9,'PT-All'!$A$1,"Scenario",AF$12,"P&amp;L Item",$B161)/AF$29,0),"0.00%"))</f>
        <v>0</v>
      </c>
      <c r="AG161" s="65">
        <f>CHOOSE(PLColumn,IFERROR(GETPIVOTDATA("Sum of "&amp;AG$9,'PT-All'!$A$1,"Scenario",AG$12,"P&amp;L Item",$B161),0),IFERROR(GETPIVOTDATA("Sum of "&amp;AG$9,'PT-All'!$A$1,"Scenario",AG$12,"P&amp;L Item",$B161)/AG$201,0),TEXT(IFERROR(GETPIVOTDATA("Sum of "&amp;AG$9,'PT-All'!$A$1,"Scenario",AG$12,"P&amp;L Item",$B161)/AG$29,0),"0.00%"))</f>
        <v>0</v>
      </c>
      <c r="AH161" s="65">
        <f>CHOOSE(PLColumn,IFERROR(GETPIVOTDATA("Sum of "&amp;AH$9,'PT-All'!$A$1,"Scenario",AH$12,"P&amp;L Item",$B161),0),IFERROR(GETPIVOTDATA("Sum of "&amp;AH$9,'PT-All'!$A$1,"Scenario",AH$12,"P&amp;L Item",$B161)/AH$201,0),TEXT(IFERROR(GETPIVOTDATA("Sum of "&amp;AH$9,'PT-All'!$A$1,"Scenario",AH$12,"P&amp;L Item",$B161)/AH$29,0),"0.00%"))</f>
        <v>0</v>
      </c>
      <c r="AI161" s="65">
        <f>CHOOSE(PLColumn,IFERROR(GETPIVOTDATA("Sum of "&amp;AI$9,'PT-All'!$A$1,"Scenario",AI$12,"P&amp;L Item",$B161),0),IFERROR(GETPIVOTDATA("Sum of "&amp;AI$9,'PT-All'!$A$1,"Scenario",AI$12,"P&amp;L Item",$B161)/AI$201,0),TEXT(IFERROR(GETPIVOTDATA("Sum of "&amp;AI$9,'PT-All'!$A$1,"Scenario",AI$12,"P&amp;L Item",$B161)/AI$29,0),"0.00%"))</f>
        <v>0</v>
      </c>
      <c r="AJ161" s="65">
        <f>CHOOSE(PLColumn,IFERROR(GETPIVOTDATA("Sum of "&amp;AJ$9,'PT-All'!$A$1,"Scenario",AJ$12,"P&amp;L Item",$B161),0),IFERROR(GETPIVOTDATA("Sum of "&amp;AJ$9,'PT-All'!$A$1,"Scenario",AJ$12,"P&amp;L Item",$B161)/AJ$201,0),TEXT(IFERROR(GETPIVOTDATA("Sum of "&amp;AJ$9,'PT-All'!$A$1,"Scenario",AJ$12,"P&amp;L Item",$B161)/AJ$29,0),"0.00%"))</f>
        <v>0</v>
      </c>
      <c r="AK161" s="65">
        <f>CHOOSE(PLColumn,IFERROR(GETPIVOTDATA("Sum of "&amp;AK$9,'PT-All'!$A$1,"Scenario",AK$12,"P&amp;L Item",$B161),0),IFERROR(GETPIVOTDATA("Sum of "&amp;AK$9,'PT-All'!$A$1,"Scenario",AK$12,"P&amp;L Item",$B161)/AK$201,0),TEXT(IFERROR(GETPIVOTDATA("Sum of "&amp;AK$9,'PT-All'!$A$1,"Scenario",AK$12,"P&amp;L Item",$B161)/AK$29,0),"0.00%"))</f>
        <v>0</v>
      </c>
      <c r="AL161" s="97">
        <f>CHOOSE(PLColumn,IFERROR(GETPIVOTDATA("Sum of "&amp;AL$9,'PT-All'!$A$1,"Scenario",AL$12,"P&amp;L Item",$B161),0),IFERROR(GETPIVOTDATA("Sum of "&amp;AL$9,'PT-All'!$A$1,"Scenario",AL$12,"P&amp;L Item",$B161)/AL$201,0),TEXT(IFERROR(GETPIVOTDATA("Sum of "&amp;AL$9,'PT-All'!$A$1,"Scenario",AL$12,"P&amp;L Item",$B161)/AL$29,0),"0.00%"))</f>
        <v>0</v>
      </c>
      <c r="AM161" s="590"/>
      <c r="AN161" s="108">
        <f ca="1">IF(AN$12="Pro Forma",SUM(OFFSET($B161,0,3*AN$9+1,1,3)),IFERROR(GETPIVOTDATA("Sum of Q"&amp;AN$9+1,'PT-All'!$A$1,"Scenario",AN$12,"P&amp;L Item",$B161),0))</f>
        <v>0</v>
      </c>
      <c r="AO161" s="65">
        <f ca="1">IF(AO$12="Pro Forma",SUM(OFFSET($B161,0,3*AO$9+1,1,3)),IFERROR(GETPIVOTDATA("Sum of Q"&amp;AO$9+1,'PT-All'!$A$1,"Scenario",AO$12,"P&amp;L Item",$B161),0))</f>
        <v>0</v>
      </c>
      <c r="AP161" s="65">
        <f ca="1">IF(AP$12="Pro Forma",SUM(OFFSET($B161,0,3*AP$9+1,1,3)),IFERROR(GETPIVOTDATA("Sum of Q"&amp;AP$9+1,'PT-All'!$A$1,"Scenario",AP$12,"P&amp;L Item",$B161),0))</f>
        <v>0</v>
      </c>
      <c r="AQ161" s="65">
        <f ca="1">IF(AQ$12="Pro Forma",SUM(OFFSET($B161,0,3*AQ$9+1,1,3)),IFERROR(GETPIVOTDATA("Sum of Q"&amp;AQ$9+1,'PT-All'!$A$1,"Scenario",AQ$12,"P&amp;L Item",$B161),0))</f>
        <v>0</v>
      </c>
      <c r="AR161" s="65">
        <f ca="1">IF(AR$12="Pro Forma",SUM(OFFSET($B161,0,3*AR$9+1,1,3)),IFERROR(GETPIVOTDATA("Sum of Q"&amp;AR$9+1,'PT-All'!$A$1,"Scenario",AR$12,"P&amp;L Item",$B161),0))</f>
        <v>0</v>
      </c>
      <c r="AS161" s="65">
        <f ca="1">IF(AS$12="Pro Forma",SUM(OFFSET($B161,0,3*AS$9+1,1,3)),IFERROR(GETPIVOTDATA("Sum of Q"&amp;AS$9+1,'PT-All'!$A$1,"Scenario",AS$12,"P&amp;L Item",$B161),0))</f>
        <v>0</v>
      </c>
      <c r="AT161" s="65">
        <f ca="1">IF(AT$12="Pro Forma",SUM(OFFSET($B161,0,3*AT$9+1,1,3)),IFERROR(GETPIVOTDATA("Sum of Q"&amp;AT$9+1,'PT-All'!$A$1,"Scenario",AT$12,"P&amp;L Item",$B161),0))</f>
        <v>0</v>
      </c>
      <c r="AU161" s="65">
        <f ca="1">IF(AU$12="Pro Forma",SUM(OFFSET($B161,0,3*AU$9+1,1,3)),IFERROR(GETPIVOTDATA("Sum of Q"&amp;AU$9+1,'PT-All'!$A$1,"Scenario",AU$12,"P&amp;L Item",$B161),0))</f>
        <v>0</v>
      </c>
      <c r="AV161" s="65">
        <f ca="1">IF(AV$12="Pro Forma",SUM(OFFSET($B161,0,3*AV$9+1,1,3)),IFERROR(GETPIVOTDATA("Sum of Q"&amp;AV$9+1,'PT-All'!$A$1,"Scenario",AV$12,"P&amp;L Item",$B161),0))</f>
        <v>0</v>
      </c>
      <c r="AW161" s="65">
        <f ca="1">IF(AW$12="Pro Forma",SUM(OFFSET($B161,0,3*AW$9+1,1,3)),IFERROR(GETPIVOTDATA("Sum of Q"&amp;AW$9+1,'PT-All'!$A$1,"Scenario",AW$12,"P&amp;L Item",$B161),0))</f>
        <v>0</v>
      </c>
      <c r="AX161" s="65">
        <f ca="1">IF(AX$12="Pro Forma",SUM(OFFSET($B161,0,3*AX$9+1,1,3)),IFERROR(GETPIVOTDATA("Sum of Q"&amp;AX$9+1,'PT-All'!$A$1,"Scenario",AX$12,"P&amp;L Item",$B161),0))</f>
        <v>0</v>
      </c>
      <c r="AY161" s="97">
        <f ca="1">IF(AY$12="Pro Forma",SUM(OFFSET($B161,0,3*AY$9+1,1,3)),IFERROR(GETPIVOTDATA("Sum of Q"&amp;AY$9+1,'PT-All'!$A$1,"Scenario",AY$12,"P&amp;L Item",$B161),0))</f>
        <v>0</v>
      </c>
      <c r="AZ161" s="590"/>
      <c r="BA161" s="108">
        <f ca="1">IF(BA$12="Pro Forma",SUM(OFFSET($B161,0,12*BA$9+1,1,12)),IFERROR(GETPIVOTDATA("Sum of FY"&amp;BA$9+1,'PT-All'!$A$1,"Scenario",BA$12,"P&amp;L Item",$B161),0))</f>
        <v>0</v>
      </c>
      <c r="BB161" s="65">
        <f ca="1">IF(BB$12="Pro Forma",SUM(OFFSET($B161,0,12*BB$9+1,1,12)),IFERROR(GETPIVOTDATA("Sum of FY"&amp;BB$9+1,'PT-All'!$A$1,"Scenario",BB$12,"P&amp;L Item",$B161),0))</f>
        <v>0</v>
      </c>
      <c r="BC161" s="97">
        <f ca="1">IF(BC$12="Pro Forma",SUM(OFFSET($B161,0,12*BC$9+1,1,12)),IFERROR(GETPIVOTDATA("Sum of FY"&amp;BC$9+1,'PT-All'!$A$1,"Scenario",BC$12,"P&amp;L Item",$B161),0))</f>
        <v>0</v>
      </c>
    </row>
    <row r="162" spans="2:55" x14ac:dyDescent="0.35">
      <c r="B162" s="80" t="s">
        <v>190</v>
      </c>
      <c r="C162" s="65">
        <f>CHOOSE(PLColumn,IFERROR(GETPIVOTDATA("Sum of "&amp;C$9,'PT-All'!$A$1,"Scenario",C$12,"P&amp;L Item",$B162),0),IFERROR(GETPIVOTDATA("Sum of "&amp;C$9,'PT-All'!$A$1,"Scenario",C$12,"P&amp;L Item",$B162)/C$201,0),TEXT(IFERROR(GETPIVOTDATA("Sum of "&amp;C$9,'PT-All'!$A$1,"Scenario",C$12,"P&amp;L Item",$B162)/C$29,0),"0.00%"))</f>
        <v>0</v>
      </c>
      <c r="D162" s="65">
        <f>CHOOSE(PLColumn,IFERROR(GETPIVOTDATA("Sum of "&amp;D$9,'PT-All'!$A$1,"Scenario",D$12,"P&amp;L Item",$B162),0),IFERROR(GETPIVOTDATA("Sum of "&amp;D$9,'PT-All'!$A$1,"Scenario",D$12,"P&amp;L Item",$B162)/D$201,0),TEXT(IFERROR(GETPIVOTDATA("Sum of "&amp;D$9,'PT-All'!$A$1,"Scenario",D$12,"P&amp;L Item",$B162)/D$29,0),"0.00%"))</f>
        <v>0</v>
      </c>
      <c r="E162" s="65">
        <f>CHOOSE(PLColumn,IFERROR(GETPIVOTDATA("Sum of "&amp;E$9,'PT-All'!$A$1,"Scenario",E$12,"P&amp;L Item",$B162),0),IFERROR(GETPIVOTDATA("Sum of "&amp;E$9,'PT-All'!$A$1,"Scenario",E$12,"P&amp;L Item",$B162)/E$201,0),TEXT(IFERROR(GETPIVOTDATA("Sum of "&amp;E$9,'PT-All'!$A$1,"Scenario",E$12,"P&amp;L Item",$B162)/E$29,0),"0.00%"))</f>
        <v>0</v>
      </c>
      <c r="F162" s="65">
        <f>CHOOSE(PLColumn,IFERROR(GETPIVOTDATA("Sum of "&amp;F$9,'PT-All'!$A$1,"Scenario",F$12,"P&amp;L Item",$B162),0),IFERROR(GETPIVOTDATA("Sum of "&amp;F$9,'PT-All'!$A$1,"Scenario",F$12,"P&amp;L Item",$B162)/F$201,0),TEXT(IFERROR(GETPIVOTDATA("Sum of "&amp;F$9,'PT-All'!$A$1,"Scenario",F$12,"P&amp;L Item",$B162)/F$29,0),"0.00%"))</f>
        <v>0</v>
      </c>
      <c r="G162" s="65">
        <f>CHOOSE(PLColumn,IFERROR(GETPIVOTDATA("Sum of "&amp;G$9,'PT-All'!$A$1,"Scenario",G$12,"P&amp;L Item",$B162),0),IFERROR(GETPIVOTDATA("Sum of "&amp;G$9,'PT-All'!$A$1,"Scenario",G$12,"P&amp;L Item",$B162)/G$201,0),TEXT(IFERROR(GETPIVOTDATA("Sum of "&amp;G$9,'PT-All'!$A$1,"Scenario",G$12,"P&amp;L Item",$B162)/G$29,0),"0.00%"))</f>
        <v>0</v>
      </c>
      <c r="H162" s="65">
        <f>CHOOSE(PLColumn,IFERROR(GETPIVOTDATA("Sum of "&amp;H$9,'PT-All'!$A$1,"Scenario",H$12,"P&amp;L Item",$B162),0),IFERROR(GETPIVOTDATA("Sum of "&amp;H$9,'PT-All'!$A$1,"Scenario",H$12,"P&amp;L Item",$B162)/H$201,0),TEXT(IFERROR(GETPIVOTDATA("Sum of "&amp;H$9,'PT-All'!$A$1,"Scenario",H$12,"P&amp;L Item",$B162)/H$29,0),"0.00%"))</f>
        <v>0</v>
      </c>
      <c r="I162" s="65">
        <f>CHOOSE(PLColumn,IFERROR(GETPIVOTDATA("Sum of "&amp;I$9,'PT-All'!$A$1,"Scenario",I$12,"P&amp;L Item",$B162),0),IFERROR(GETPIVOTDATA("Sum of "&amp;I$9,'PT-All'!$A$1,"Scenario",I$12,"P&amp;L Item",$B162)/I$201,0),TEXT(IFERROR(GETPIVOTDATA("Sum of "&amp;I$9,'PT-All'!$A$1,"Scenario",I$12,"P&amp;L Item",$B162)/I$29,0),"0.00%"))</f>
        <v>0</v>
      </c>
      <c r="J162" s="65">
        <f>CHOOSE(PLColumn,IFERROR(GETPIVOTDATA("Sum of "&amp;J$9,'PT-All'!$A$1,"Scenario",J$12,"P&amp;L Item",$B162),0),IFERROR(GETPIVOTDATA("Sum of "&amp;J$9,'PT-All'!$A$1,"Scenario",J$12,"P&amp;L Item",$B162)/J$201,0),TEXT(IFERROR(GETPIVOTDATA("Sum of "&amp;J$9,'PT-All'!$A$1,"Scenario",J$12,"P&amp;L Item",$B162)/J$29,0),"0.00%"))</f>
        <v>0</v>
      </c>
      <c r="K162" s="65">
        <f>CHOOSE(PLColumn,IFERROR(GETPIVOTDATA("Sum of "&amp;K$9,'PT-All'!$A$1,"Scenario",K$12,"P&amp;L Item",$B162),0),IFERROR(GETPIVOTDATA("Sum of "&amp;K$9,'PT-All'!$A$1,"Scenario",K$12,"P&amp;L Item",$B162)/K$201,0),TEXT(IFERROR(GETPIVOTDATA("Sum of "&amp;K$9,'PT-All'!$A$1,"Scenario",K$12,"P&amp;L Item",$B162)/K$29,0),"0.00%"))</f>
        <v>0</v>
      </c>
      <c r="L162" s="65">
        <f>CHOOSE(PLColumn,IFERROR(GETPIVOTDATA("Sum of "&amp;L$9,'PT-All'!$A$1,"Scenario",L$12,"P&amp;L Item",$B162),0),IFERROR(GETPIVOTDATA("Sum of "&amp;L$9,'PT-All'!$A$1,"Scenario",L$12,"P&amp;L Item",$B162)/L$201,0),TEXT(IFERROR(GETPIVOTDATA("Sum of "&amp;L$9,'PT-All'!$A$1,"Scenario",L$12,"P&amp;L Item",$B162)/L$29,0),"0.00%"))</f>
        <v>0</v>
      </c>
      <c r="M162" s="65">
        <f>CHOOSE(PLColumn,IFERROR(GETPIVOTDATA("Sum of "&amp;M$9,'PT-All'!$A$1,"Scenario",M$12,"P&amp;L Item",$B162),0),IFERROR(GETPIVOTDATA("Sum of "&amp;M$9,'PT-All'!$A$1,"Scenario",M$12,"P&amp;L Item",$B162)/M$201,0),TEXT(IFERROR(GETPIVOTDATA("Sum of "&amp;M$9,'PT-All'!$A$1,"Scenario",M$12,"P&amp;L Item",$B162)/M$29,0),"0.00%"))</f>
        <v>0</v>
      </c>
      <c r="N162" s="65">
        <f>CHOOSE(PLColumn,IFERROR(GETPIVOTDATA("Sum of "&amp;N$9,'PT-All'!$A$1,"Scenario",N$12,"P&amp;L Item",$B162),0),IFERROR(GETPIVOTDATA("Sum of "&amp;N$9,'PT-All'!$A$1,"Scenario",N$12,"P&amp;L Item",$B162)/N$201,0),TEXT(IFERROR(GETPIVOTDATA("Sum of "&amp;N$9,'PT-All'!$A$1,"Scenario",N$12,"P&amp;L Item",$B162)/N$29,0),"0.00%"))</f>
        <v>0</v>
      </c>
      <c r="O162" s="65">
        <f>CHOOSE(PLColumn,IFERROR(GETPIVOTDATA("Sum of "&amp;O$9,'PT-All'!$A$1,"Scenario",O$12,"P&amp;L Item",$B162),0),IFERROR(GETPIVOTDATA("Sum of "&amp;O$9,'PT-All'!$A$1,"Scenario",O$12,"P&amp;L Item",$B162)/O$201,0),TEXT(IFERROR(GETPIVOTDATA("Sum of "&amp;O$9,'PT-All'!$A$1,"Scenario",O$12,"P&amp;L Item",$B162)/O$29,0),"0.00%"))</f>
        <v>0</v>
      </c>
      <c r="P162" s="65">
        <f>CHOOSE(PLColumn,IFERROR(GETPIVOTDATA("Sum of "&amp;P$9,'PT-All'!$A$1,"Scenario",P$12,"P&amp;L Item",$B162),0),IFERROR(GETPIVOTDATA("Sum of "&amp;P$9,'PT-All'!$A$1,"Scenario",P$12,"P&amp;L Item",$B162)/P$201,0),TEXT(IFERROR(GETPIVOTDATA("Sum of "&amp;P$9,'PT-All'!$A$1,"Scenario",P$12,"P&amp;L Item",$B162)/P$29,0),"0.00%"))</f>
        <v>0</v>
      </c>
      <c r="Q162" s="65">
        <f>CHOOSE(PLColumn,IFERROR(GETPIVOTDATA("Sum of "&amp;Q$9,'PT-All'!$A$1,"Scenario",Q$12,"P&amp;L Item",$B162),0),IFERROR(GETPIVOTDATA("Sum of "&amp;Q$9,'PT-All'!$A$1,"Scenario",Q$12,"P&amp;L Item",$B162)/Q$201,0),TEXT(IFERROR(GETPIVOTDATA("Sum of "&amp;Q$9,'PT-All'!$A$1,"Scenario",Q$12,"P&amp;L Item",$B162)/Q$29,0),"0.00%"))</f>
        <v>0</v>
      </c>
      <c r="R162" s="65">
        <f>CHOOSE(PLColumn,IFERROR(GETPIVOTDATA("Sum of "&amp;R$9,'PT-All'!$A$1,"Scenario",R$12,"P&amp;L Item",$B162),0),IFERROR(GETPIVOTDATA("Sum of "&amp;R$9,'PT-All'!$A$1,"Scenario",R$12,"P&amp;L Item",$B162)/R$201,0),TEXT(IFERROR(GETPIVOTDATA("Sum of "&amp;R$9,'PT-All'!$A$1,"Scenario",R$12,"P&amp;L Item",$B162)/R$29,0),"0.00%"))</f>
        <v>0</v>
      </c>
      <c r="S162" s="65">
        <f>CHOOSE(PLColumn,IFERROR(GETPIVOTDATA("Sum of "&amp;S$9,'PT-All'!$A$1,"Scenario",S$12,"P&amp;L Item",$B162),0),IFERROR(GETPIVOTDATA("Sum of "&amp;S$9,'PT-All'!$A$1,"Scenario",S$12,"P&amp;L Item",$B162)/S$201,0),TEXT(IFERROR(GETPIVOTDATA("Sum of "&amp;S$9,'PT-All'!$A$1,"Scenario",S$12,"P&amp;L Item",$B162)/S$29,0),"0.00%"))</f>
        <v>0</v>
      </c>
      <c r="T162" s="65">
        <f>CHOOSE(PLColumn,IFERROR(GETPIVOTDATA("Sum of "&amp;T$9,'PT-All'!$A$1,"Scenario",T$12,"P&amp;L Item",$B162),0),IFERROR(GETPIVOTDATA("Sum of "&amp;T$9,'PT-All'!$A$1,"Scenario",T$12,"P&amp;L Item",$B162)/T$201,0),TEXT(IFERROR(GETPIVOTDATA("Sum of "&amp;T$9,'PT-All'!$A$1,"Scenario",T$12,"P&amp;L Item",$B162)/T$29,0),"0.00%"))</f>
        <v>0</v>
      </c>
      <c r="U162" s="65">
        <f>CHOOSE(PLColumn,IFERROR(GETPIVOTDATA("Sum of "&amp;U$9,'PT-All'!$A$1,"Scenario",U$12,"P&amp;L Item",$B162),0),IFERROR(GETPIVOTDATA("Sum of "&amp;U$9,'PT-All'!$A$1,"Scenario",U$12,"P&amp;L Item",$B162)/U$201,0),TEXT(IFERROR(GETPIVOTDATA("Sum of "&amp;U$9,'PT-All'!$A$1,"Scenario",U$12,"P&amp;L Item",$B162)/U$29,0),"0.00%"))</f>
        <v>0</v>
      </c>
      <c r="V162" s="65">
        <f>CHOOSE(PLColumn,IFERROR(GETPIVOTDATA("Sum of "&amp;V$9,'PT-All'!$A$1,"Scenario",V$12,"P&amp;L Item",$B162),0),IFERROR(GETPIVOTDATA("Sum of "&amp;V$9,'PT-All'!$A$1,"Scenario",V$12,"P&amp;L Item",$B162)/V$201,0),TEXT(IFERROR(GETPIVOTDATA("Sum of "&amp;V$9,'PT-All'!$A$1,"Scenario",V$12,"P&amp;L Item",$B162)/V$29,0),"0.00%"))</f>
        <v>0</v>
      </c>
      <c r="W162" s="65">
        <f>CHOOSE(PLColumn,IFERROR(GETPIVOTDATA("Sum of "&amp;W$9,'PT-All'!$A$1,"Scenario",W$12,"P&amp;L Item",$B162),0),IFERROR(GETPIVOTDATA("Sum of "&amp;W$9,'PT-All'!$A$1,"Scenario",W$12,"P&amp;L Item",$B162)/W$201,0),TEXT(IFERROR(GETPIVOTDATA("Sum of "&amp;W$9,'PT-All'!$A$1,"Scenario",W$12,"P&amp;L Item",$B162)/W$29,0),"0.00%"))</f>
        <v>0</v>
      </c>
      <c r="X162" s="65">
        <f>CHOOSE(PLColumn,IFERROR(GETPIVOTDATA("Sum of "&amp;X$9,'PT-All'!$A$1,"Scenario",X$12,"P&amp;L Item",$B162),0),IFERROR(GETPIVOTDATA("Sum of "&amp;X$9,'PT-All'!$A$1,"Scenario",X$12,"P&amp;L Item",$B162)/X$201,0),TEXT(IFERROR(GETPIVOTDATA("Sum of "&amp;X$9,'PT-All'!$A$1,"Scenario",X$12,"P&amp;L Item",$B162)/X$29,0),"0.00%"))</f>
        <v>0</v>
      </c>
      <c r="Y162" s="65">
        <f>CHOOSE(PLColumn,IFERROR(GETPIVOTDATA("Sum of "&amp;Y$9,'PT-All'!$A$1,"Scenario",Y$12,"P&amp;L Item",$B162),0),IFERROR(GETPIVOTDATA("Sum of "&amp;Y$9,'PT-All'!$A$1,"Scenario",Y$12,"P&amp;L Item",$B162)/Y$201,0),TEXT(IFERROR(GETPIVOTDATA("Sum of "&amp;Y$9,'PT-All'!$A$1,"Scenario",Y$12,"P&amp;L Item",$B162)/Y$29,0),"0.00%"))</f>
        <v>0</v>
      </c>
      <c r="Z162" s="65">
        <f>CHOOSE(PLColumn,IFERROR(GETPIVOTDATA("Sum of "&amp;Z$9,'PT-All'!$A$1,"Scenario",Z$12,"P&amp;L Item",$B162),0),IFERROR(GETPIVOTDATA("Sum of "&amp;Z$9,'PT-All'!$A$1,"Scenario",Z$12,"P&amp;L Item",$B162)/Z$201,0),TEXT(IFERROR(GETPIVOTDATA("Sum of "&amp;Z$9,'PT-All'!$A$1,"Scenario",Z$12,"P&amp;L Item",$B162)/Z$29,0),"0.00%"))</f>
        <v>0</v>
      </c>
      <c r="AA162" s="65">
        <f>CHOOSE(PLColumn,IFERROR(GETPIVOTDATA("Sum of "&amp;AA$9,'PT-All'!$A$1,"Scenario",AA$12,"P&amp;L Item",$B162),0),IFERROR(GETPIVOTDATA("Sum of "&amp;AA$9,'PT-All'!$A$1,"Scenario",AA$12,"P&amp;L Item",$B162)/AA$201,0),TEXT(IFERROR(GETPIVOTDATA("Sum of "&amp;AA$9,'PT-All'!$A$1,"Scenario",AA$12,"P&amp;L Item",$B162)/AA$29,0),"0.00%"))</f>
        <v>0</v>
      </c>
      <c r="AB162" s="65">
        <f>CHOOSE(PLColumn,IFERROR(GETPIVOTDATA("Sum of "&amp;AB$9,'PT-All'!$A$1,"Scenario",AB$12,"P&amp;L Item",$B162),0),IFERROR(GETPIVOTDATA("Sum of "&amp;AB$9,'PT-All'!$A$1,"Scenario",AB$12,"P&amp;L Item",$B162)/AB$201,0),TEXT(IFERROR(GETPIVOTDATA("Sum of "&amp;AB$9,'PT-All'!$A$1,"Scenario",AB$12,"P&amp;L Item",$B162)/AB$29,0),"0.00%"))</f>
        <v>0</v>
      </c>
      <c r="AC162" s="65">
        <f>CHOOSE(PLColumn,IFERROR(GETPIVOTDATA("Sum of "&amp;AC$9,'PT-All'!$A$1,"Scenario",AC$12,"P&amp;L Item",$B162),0),IFERROR(GETPIVOTDATA("Sum of "&amp;AC$9,'PT-All'!$A$1,"Scenario",AC$12,"P&amp;L Item",$B162)/AC$201,0),TEXT(IFERROR(GETPIVOTDATA("Sum of "&amp;AC$9,'PT-All'!$A$1,"Scenario",AC$12,"P&amp;L Item",$B162)/AC$29,0),"0.00%"))</f>
        <v>0</v>
      </c>
      <c r="AD162" s="65">
        <f>CHOOSE(PLColumn,IFERROR(GETPIVOTDATA("Sum of "&amp;AD$9,'PT-All'!$A$1,"Scenario",AD$12,"P&amp;L Item",$B162),0),IFERROR(GETPIVOTDATA("Sum of "&amp;AD$9,'PT-All'!$A$1,"Scenario",AD$12,"P&amp;L Item",$B162)/AD$201,0),TEXT(IFERROR(GETPIVOTDATA("Sum of "&amp;AD$9,'PT-All'!$A$1,"Scenario",AD$12,"P&amp;L Item",$B162)/AD$29,0),"0.00%"))</f>
        <v>0</v>
      </c>
      <c r="AE162" s="65">
        <f>CHOOSE(PLColumn,IFERROR(GETPIVOTDATA("Sum of "&amp;AE$9,'PT-All'!$A$1,"Scenario",AE$12,"P&amp;L Item",$B162),0),IFERROR(GETPIVOTDATA("Sum of "&amp;AE$9,'PT-All'!$A$1,"Scenario",AE$12,"P&amp;L Item",$B162)/AE$201,0),TEXT(IFERROR(GETPIVOTDATA("Sum of "&amp;AE$9,'PT-All'!$A$1,"Scenario",AE$12,"P&amp;L Item",$B162)/AE$29,0),"0.00%"))</f>
        <v>0</v>
      </c>
      <c r="AF162" s="65">
        <f>CHOOSE(PLColumn,IFERROR(GETPIVOTDATA("Sum of "&amp;AF$9,'PT-All'!$A$1,"Scenario",AF$12,"P&amp;L Item",$B162),0),IFERROR(GETPIVOTDATA("Sum of "&amp;AF$9,'PT-All'!$A$1,"Scenario",AF$12,"P&amp;L Item",$B162)/AF$201,0),TEXT(IFERROR(GETPIVOTDATA("Sum of "&amp;AF$9,'PT-All'!$A$1,"Scenario",AF$12,"P&amp;L Item",$B162)/AF$29,0),"0.00%"))</f>
        <v>0</v>
      </c>
      <c r="AG162" s="65">
        <f>CHOOSE(PLColumn,IFERROR(GETPIVOTDATA("Sum of "&amp;AG$9,'PT-All'!$A$1,"Scenario",AG$12,"P&amp;L Item",$B162),0),IFERROR(GETPIVOTDATA("Sum of "&amp;AG$9,'PT-All'!$A$1,"Scenario",AG$12,"P&amp;L Item",$B162)/AG$201,0),TEXT(IFERROR(GETPIVOTDATA("Sum of "&amp;AG$9,'PT-All'!$A$1,"Scenario",AG$12,"P&amp;L Item",$B162)/AG$29,0),"0.00%"))</f>
        <v>0</v>
      </c>
      <c r="AH162" s="65">
        <f>CHOOSE(PLColumn,IFERROR(GETPIVOTDATA("Sum of "&amp;AH$9,'PT-All'!$A$1,"Scenario",AH$12,"P&amp;L Item",$B162),0),IFERROR(GETPIVOTDATA("Sum of "&amp;AH$9,'PT-All'!$A$1,"Scenario",AH$12,"P&amp;L Item",$B162)/AH$201,0),TEXT(IFERROR(GETPIVOTDATA("Sum of "&amp;AH$9,'PT-All'!$A$1,"Scenario",AH$12,"P&amp;L Item",$B162)/AH$29,0),"0.00%"))</f>
        <v>0</v>
      </c>
      <c r="AI162" s="65">
        <f>CHOOSE(PLColumn,IFERROR(GETPIVOTDATA("Sum of "&amp;AI$9,'PT-All'!$A$1,"Scenario",AI$12,"P&amp;L Item",$B162),0),IFERROR(GETPIVOTDATA("Sum of "&amp;AI$9,'PT-All'!$A$1,"Scenario",AI$12,"P&amp;L Item",$B162)/AI$201,0),TEXT(IFERROR(GETPIVOTDATA("Sum of "&amp;AI$9,'PT-All'!$A$1,"Scenario",AI$12,"P&amp;L Item",$B162)/AI$29,0),"0.00%"))</f>
        <v>0</v>
      </c>
      <c r="AJ162" s="65">
        <f>CHOOSE(PLColumn,IFERROR(GETPIVOTDATA("Sum of "&amp;AJ$9,'PT-All'!$A$1,"Scenario",AJ$12,"P&amp;L Item",$B162),0),IFERROR(GETPIVOTDATA("Sum of "&amp;AJ$9,'PT-All'!$A$1,"Scenario",AJ$12,"P&amp;L Item",$B162)/AJ$201,0),TEXT(IFERROR(GETPIVOTDATA("Sum of "&amp;AJ$9,'PT-All'!$A$1,"Scenario",AJ$12,"P&amp;L Item",$B162)/AJ$29,0),"0.00%"))</f>
        <v>0</v>
      </c>
      <c r="AK162" s="65">
        <f>CHOOSE(PLColumn,IFERROR(GETPIVOTDATA("Sum of "&amp;AK$9,'PT-All'!$A$1,"Scenario",AK$12,"P&amp;L Item",$B162),0),IFERROR(GETPIVOTDATA("Sum of "&amp;AK$9,'PT-All'!$A$1,"Scenario",AK$12,"P&amp;L Item",$B162)/AK$201,0),TEXT(IFERROR(GETPIVOTDATA("Sum of "&amp;AK$9,'PT-All'!$A$1,"Scenario",AK$12,"P&amp;L Item",$B162)/AK$29,0),"0.00%"))</f>
        <v>0</v>
      </c>
      <c r="AL162" s="97">
        <f>CHOOSE(PLColumn,IFERROR(GETPIVOTDATA("Sum of "&amp;AL$9,'PT-All'!$A$1,"Scenario",AL$12,"P&amp;L Item",$B162),0),IFERROR(GETPIVOTDATA("Sum of "&amp;AL$9,'PT-All'!$A$1,"Scenario",AL$12,"P&amp;L Item",$B162)/AL$201,0),TEXT(IFERROR(GETPIVOTDATA("Sum of "&amp;AL$9,'PT-All'!$A$1,"Scenario",AL$12,"P&amp;L Item",$B162)/AL$29,0),"0.00%"))</f>
        <v>0</v>
      </c>
      <c r="AM162" s="590"/>
      <c r="AN162" s="108">
        <f ca="1">IF(AN$12="Pro Forma",SUM(OFFSET($B162,0,3*AN$9+1,1,3)),IFERROR(GETPIVOTDATA("Sum of Q"&amp;AN$9+1,'PT-All'!$A$1,"Scenario",AN$12,"P&amp;L Item",$B162),0))</f>
        <v>0</v>
      </c>
      <c r="AO162" s="65">
        <f ca="1">IF(AO$12="Pro Forma",SUM(OFFSET($B162,0,3*AO$9+1,1,3)),IFERROR(GETPIVOTDATA("Sum of Q"&amp;AO$9+1,'PT-All'!$A$1,"Scenario",AO$12,"P&amp;L Item",$B162),0))</f>
        <v>0</v>
      </c>
      <c r="AP162" s="65">
        <f ca="1">IF(AP$12="Pro Forma",SUM(OFFSET($B162,0,3*AP$9+1,1,3)),IFERROR(GETPIVOTDATA("Sum of Q"&amp;AP$9+1,'PT-All'!$A$1,"Scenario",AP$12,"P&amp;L Item",$B162),0))</f>
        <v>0</v>
      </c>
      <c r="AQ162" s="65">
        <f ca="1">IF(AQ$12="Pro Forma",SUM(OFFSET($B162,0,3*AQ$9+1,1,3)),IFERROR(GETPIVOTDATA("Sum of Q"&amp;AQ$9+1,'PT-All'!$A$1,"Scenario",AQ$12,"P&amp;L Item",$B162),0))</f>
        <v>0</v>
      </c>
      <c r="AR162" s="65">
        <f ca="1">IF(AR$12="Pro Forma",SUM(OFFSET($B162,0,3*AR$9+1,1,3)),IFERROR(GETPIVOTDATA("Sum of Q"&amp;AR$9+1,'PT-All'!$A$1,"Scenario",AR$12,"P&amp;L Item",$B162),0))</f>
        <v>0</v>
      </c>
      <c r="AS162" s="65">
        <f ca="1">IF(AS$12="Pro Forma",SUM(OFFSET($B162,0,3*AS$9+1,1,3)),IFERROR(GETPIVOTDATA("Sum of Q"&amp;AS$9+1,'PT-All'!$A$1,"Scenario",AS$12,"P&amp;L Item",$B162),0))</f>
        <v>0</v>
      </c>
      <c r="AT162" s="65">
        <f ca="1">IF(AT$12="Pro Forma",SUM(OFFSET($B162,0,3*AT$9+1,1,3)),IFERROR(GETPIVOTDATA("Sum of Q"&amp;AT$9+1,'PT-All'!$A$1,"Scenario",AT$12,"P&amp;L Item",$B162),0))</f>
        <v>0</v>
      </c>
      <c r="AU162" s="65">
        <f ca="1">IF(AU$12="Pro Forma",SUM(OFFSET($B162,0,3*AU$9+1,1,3)),IFERROR(GETPIVOTDATA("Sum of Q"&amp;AU$9+1,'PT-All'!$A$1,"Scenario",AU$12,"P&amp;L Item",$B162),0))</f>
        <v>0</v>
      </c>
      <c r="AV162" s="65">
        <f ca="1">IF(AV$12="Pro Forma",SUM(OFFSET($B162,0,3*AV$9+1,1,3)),IFERROR(GETPIVOTDATA("Sum of Q"&amp;AV$9+1,'PT-All'!$A$1,"Scenario",AV$12,"P&amp;L Item",$B162),0))</f>
        <v>0</v>
      </c>
      <c r="AW162" s="65">
        <f ca="1">IF(AW$12="Pro Forma",SUM(OFFSET($B162,0,3*AW$9+1,1,3)),IFERROR(GETPIVOTDATA("Sum of Q"&amp;AW$9+1,'PT-All'!$A$1,"Scenario",AW$12,"P&amp;L Item",$B162),0))</f>
        <v>0</v>
      </c>
      <c r="AX162" s="65">
        <f ca="1">IF(AX$12="Pro Forma",SUM(OFFSET($B162,0,3*AX$9+1,1,3)),IFERROR(GETPIVOTDATA("Sum of Q"&amp;AX$9+1,'PT-All'!$A$1,"Scenario",AX$12,"P&amp;L Item",$B162),0))</f>
        <v>0</v>
      </c>
      <c r="AY162" s="97">
        <f ca="1">IF(AY$12="Pro Forma",SUM(OFFSET($B162,0,3*AY$9+1,1,3)),IFERROR(GETPIVOTDATA("Sum of Q"&amp;AY$9+1,'PT-All'!$A$1,"Scenario",AY$12,"P&amp;L Item",$B162),0))</f>
        <v>0</v>
      </c>
      <c r="AZ162" s="590"/>
      <c r="BA162" s="108">
        <f ca="1">IF(BA$12="Pro Forma",SUM(OFFSET($B162,0,12*BA$9+1,1,12)),IFERROR(GETPIVOTDATA("Sum of FY"&amp;BA$9+1,'PT-All'!$A$1,"Scenario",BA$12,"P&amp;L Item",$B162),0))</f>
        <v>0</v>
      </c>
      <c r="BB162" s="65">
        <f ca="1">IF(BB$12="Pro Forma",SUM(OFFSET($B162,0,12*BB$9+1,1,12)),IFERROR(GETPIVOTDATA("Sum of FY"&amp;BB$9+1,'PT-All'!$A$1,"Scenario",BB$12,"P&amp;L Item",$B162),0))</f>
        <v>0</v>
      </c>
      <c r="BC162" s="97">
        <f ca="1">IF(BC$12="Pro Forma",SUM(OFFSET($B162,0,12*BC$9+1,1,12)),IFERROR(GETPIVOTDATA("Sum of FY"&amp;BC$9+1,'PT-All'!$A$1,"Scenario",BC$12,"P&amp;L Item",$B162),0))</f>
        <v>0</v>
      </c>
    </row>
    <row r="163" spans="2:55" x14ac:dyDescent="0.35">
      <c r="B163" s="80" t="s">
        <v>191</v>
      </c>
      <c r="C163" s="65">
        <f>CHOOSE(PLColumn,IFERROR(GETPIVOTDATA("Sum of "&amp;C$9,'PT-All'!$A$1,"Scenario",C$12,"P&amp;L Item",$B163),0),IFERROR(GETPIVOTDATA("Sum of "&amp;C$9,'PT-All'!$A$1,"Scenario",C$12,"P&amp;L Item",$B163)/C$201,0),TEXT(IFERROR(GETPIVOTDATA("Sum of "&amp;C$9,'PT-All'!$A$1,"Scenario",C$12,"P&amp;L Item",$B163)/C$29,0),"0.00%"))</f>
        <v>0</v>
      </c>
      <c r="D163" s="65">
        <f>CHOOSE(PLColumn,IFERROR(GETPIVOTDATA("Sum of "&amp;D$9,'PT-All'!$A$1,"Scenario",D$12,"P&amp;L Item",$B163),0),IFERROR(GETPIVOTDATA("Sum of "&amp;D$9,'PT-All'!$A$1,"Scenario",D$12,"P&amp;L Item",$B163)/D$201,0),TEXT(IFERROR(GETPIVOTDATA("Sum of "&amp;D$9,'PT-All'!$A$1,"Scenario",D$12,"P&amp;L Item",$B163)/D$29,0),"0.00%"))</f>
        <v>0</v>
      </c>
      <c r="E163" s="65">
        <f>CHOOSE(PLColumn,IFERROR(GETPIVOTDATA("Sum of "&amp;E$9,'PT-All'!$A$1,"Scenario",E$12,"P&amp;L Item",$B163),0),IFERROR(GETPIVOTDATA("Sum of "&amp;E$9,'PT-All'!$A$1,"Scenario",E$12,"P&amp;L Item",$B163)/E$201,0),TEXT(IFERROR(GETPIVOTDATA("Sum of "&amp;E$9,'PT-All'!$A$1,"Scenario",E$12,"P&amp;L Item",$B163)/E$29,0),"0.00%"))</f>
        <v>0</v>
      </c>
      <c r="F163" s="65">
        <f>CHOOSE(PLColumn,IFERROR(GETPIVOTDATA("Sum of "&amp;F$9,'PT-All'!$A$1,"Scenario",F$12,"P&amp;L Item",$B163),0),IFERROR(GETPIVOTDATA("Sum of "&amp;F$9,'PT-All'!$A$1,"Scenario",F$12,"P&amp;L Item",$B163)/F$201,0),TEXT(IFERROR(GETPIVOTDATA("Sum of "&amp;F$9,'PT-All'!$A$1,"Scenario",F$12,"P&amp;L Item",$B163)/F$29,0),"0.00%"))</f>
        <v>0</v>
      </c>
      <c r="G163" s="65">
        <f>CHOOSE(PLColumn,IFERROR(GETPIVOTDATA("Sum of "&amp;G$9,'PT-All'!$A$1,"Scenario",G$12,"P&amp;L Item",$B163),0),IFERROR(GETPIVOTDATA("Sum of "&amp;G$9,'PT-All'!$A$1,"Scenario",G$12,"P&amp;L Item",$B163)/G$201,0),TEXT(IFERROR(GETPIVOTDATA("Sum of "&amp;G$9,'PT-All'!$A$1,"Scenario",G$12,"P&amp;L Item",$B163)/G$29,0),"0.00%"))</f>
        <v>0</v>
      </c>
      <c r="H163" s="65">
        <f>CHOOSE(PLColumn,IFERROR(GETPIVOTDATA("Sum of "&amp;H$9,'PT-All'!$A$1,"Scenario",H$12,"P&amp;L Item",$B163),0),IFERROR(GETPIVOTDATA("Sum of "&amp;H$9,'PT-All'!$A$1,"Scenario",H$12,"P&amp;L Item",$B163)/H$201,0),TEXT(IFERROR(GETPIVOTDATA("Sum of "&amp;H$9,'PT-All'!$A$1,"Scenario",H$12,"P&amp;L Item",$B163)/H$29,0),"0.00%"))</f>
        <v>0</v>
      </c>
      <c r="I163" s="65">
        <f>CHOOSE(PLColumn,IFERROR(GETPIVOTDATA("Sum of "&amp;I$9,'PT-All'!$A$1,"Scenario",I$12,"P&amp;L Item",$B163),0),IFERROR(GETPIVOTDATA("Sum of "&amp;I$9,'PT-All'!$A$1,"Scenario",I$12,"P&amp;L Item",$B163)/I$201,0),TEXT(IFERROR(GETPIVOTDATA("Sum of "&amp;I$9,'PT-All'!$A$1,"Scenario",I$12,"P&amp;L Item",$B163)/I$29,0),"0.00%"))</f>
        <v>0</v>
      </c>
      <c r="J163" s="65">
        <f>CHOOSE(PLColumn,IFERROR(GETPIVOTDATA("Sum of "&amp;J$9,'PT-All'!$A$1,"Scenario",J$12,"P&amp;L Item",$B163),0),IFERROR(GETPIVOTDATA("Sum of "&amp;J$9,'PT-All'!$A$1,"Scenario",J$12,"P&amp;L Item",$B163)/J$201,0),TEXT(IFERROR(GETPIVOTDATA("Sum of "&amp;J$9,'PT-All'!$A$1,"Scenario",J$12,"P&amp;L Item",$B163)/J$29,0),"0.00%"))</f>
        <v>0</v>
      </c>
      <c r="K163" s="65">
        <f>CHOOSE(PLColumn,IFERROR(GETPIVOTDATA("Sum of "&amp;K$9,'PT-All'!$A$1,"Scenario",K$12,"P&amp;L Item",$B163),0),IFERROR(GETPIVOTDATA("Sum of "&amp;K$9,'PT-All'!$A$1,"Scenario",K$12,"P&amp;L Item",$B163)/K$201,0),TEXT(IFERROR(GETPIVOTDATA("Sum of "&amp;K$9,'PT-All'!$A$1,"Scenario",K$12,"P&amp;L Item",$B163)/K$29,0),"0.00%"))</f>
        <v>0</v>
      </c>
      <c r="L163" s="65">
        <f>CHOOSE(PLColumn,IFERROR(GETPIVOTDATA("Sum of "&amp;L$9,'PT-All'!$A$1,"Scenario",L$12,"P&amp;L Item",$B163),0),IFERROR(GETPIVOTDATA("Sum of "&amp;L$9,'PT-All'!$A$1,"Scenario",L$12,"P&amp;L Item",$B163)/L$201,0),TEXT(IFERROR(GETPIVOTDATA("Sum of "&amp;L$9,'PT-All'!$A$1,"Scenario",L$12,"P&amp;L Item",$B163)/L$29,0),"0.00%"))</f>
        <v>0</v>
      </c>
      <c r="M163" s="65">
        <f>CHOOSE(PLColumn,IFERROR(GETPIVOTDATA("Sum of "&amp;M$9,'PT-All'!$A$1,"Scenario",M$12,"P&amp;L Item",$B163),0),IFERROR(GETPIVOTDATA("Sum of "&amp;M$9,'PT-All'!$A$1,"Scenario",M$12,"P&amp;L Item",$B163)/M$201,0),TEXT(IFERROR(GETPIVOTDATA("Sum of "&amp;M$9,'PT-All'!$A$1,"Scenario",M$12,"P&amp;L Item",$B163)/M$29,0),"0.00%"))</f>
        <v>0</v>
      </c>
      <c r="N163" s="65">
        <f>CHOOSE(PLColumn,IFERROR(GETPIVOTDATA("Sum of "&amp;N$9,'PT-All'!$A$1,"Scenario",N$12,"P&amp;L Item",$B163),0),IFERROR(GETPIVOTDATA("Sum of "&amp;N$9,'PT-All'!$A$1,"Scenario",N$12,"P&amp;L Item",$B163)/N$201,0),TEXT(IFERROR(GETPIVOTDATA("Sum of "&amp;N$9,'PT-All'!$A$1,"Scenario",N$12,"P&amp;L Item",$B163)/N$29,0),"0.00%"))</f>
        <v>0</v>
      </c>
      <c r="O163" s="65">
        <f>CHOOSE(PLColumn,IFERROR(GETPIVOTDATA("Sum of "&amp;O$9,'PT-All'!$A$1,"Scenario",O$12,"P&amp;L Item",$B163),0),IFERROR(GETPIVOTDATA("Sum of "&amp;O$9,'PT-All'!$A$1,"Scenario",O$12,"P&amp;L Item",$B163)/O$201,0),TEXT(IFERROR(GETPIVOTDATA("Sum of "&amp;O$9,'PT-All'!$A$1,"Scenario",O$12,"P&amp;L Item",$B163)/O$29,0),"0.00%"))</f>
        <v>0</v>
      </c>
      <c r="P163" s="65">
        <f>CHOOSE(PLColumn,IFERROR(GETPIVOTDATA("Sum of "&amp;P$9,'PT-All'!$A$1,"Scenario",P$12,"P&amp;L Item",$B163),0),IFERROR(GETPIVOTDATA("Sum of "&amp;P$9,'PT-All'!$A$1,"Scenario",P$12,"P&amp;L Item",$B163)/P$201,0),TEXT(IFERROR(GETPIVOTDATA("Sum of "&amp;P$9,'PT-All'!$A$1,"Scenario",P$12,"P&amp;L Item",$B163)/P$29,0),"0.00%"))</f>
        <v>0</v>
      </c>
      <c r="Q163" s="65">
        <f>CHOOSE(PLColumn,IFERROR(GETPIVOTDATA("Sum of "&amp;Q$9,'PT-All'!$A$1,"Scenario",Q$12,"P&amp;L Item",$B163),0),IFERROR(GETPIVOTDATA("Sum of "&amp;Q$9,'PT-All'!$A$1,"Scenario",Q$12,"P&amp;L Item",$B163)/Q$201,0),TEXT(IFERROR(GETPIVOTDATA("Sum of "&amp;Q$9,'PT-All'!$A$1,"Scenario",Q$12,"P&amp;L Item",$B163)/Q$29,0),"0.00%"))</f>
        <v>0</v>
      </c>
      <c r="R163" s="65">
        <f>CHOOSE(PLColumn,IFERROR(GETPIVOTDATA("Sum of "&amp;R$9,'PT-All'!$A$1,"Scenario",R$12,"P&amp;L Item",$B163),0),IFERROR(GETPIVOTDATA("Sum of "&amp;R$9,'PT-All'!$A$1,"Scenario",R$12,"P&amp;L Item",$B163)/R$201,0),TEXT(IFERROR(GETPIVOTDATA("Sum of "&amp;R$9,'PT-All'!$A$1,"Scenario",R$12,"P&amp;L Item",$B163)/R$29,0),"0.00%"))</f>
        <v>0</v>
      </c>
      <c r="S163" s="65">
        <f>CHOOSE(PLColumn,IFERROR(GETPIVOTDATA("Sum of "&amp;S$9,'PT-All'!$A$1,"Scenario",S$12,"P&amp;L Item",$B163),0),IFERROR(GETPIVOTDATA("Sum of "&amp;S$9,'PT-All'!$A$1,"Scenario",S$12,"P&amp;L Item",$B163)/S$201,0),TEXT(IFERROR(GETPIVOTDATA("Sum of "&amp;S$9,'PT-All'!$A$1,"Scenario",S$12,"P&amp;L Item",$B163)/S$29,0),"0.00%"))</f>
        <v>0</v>
      </c>
      <c r="T163" s="65">
        <f>CHOOSE(PLColumn,IFERROR(GETPIVOTDATA("Sum of "&amp;T$9,'PT-All'!$A$1,"Scenario",T$12,"P&amp;L Item",$B163),0),IFERROR(GETPIVOTDATA("Sum of "&amp;T$9,'PT-All'!$A$1,"Scenario",T$12,"P&amp;L Item",$B163)/T$201,0),TEXT(IFERROR(GETPIVOTDATA("Sum of "&amp;T$9,'PT-All'!$A$1,"Scenario",T$12,"P&amp;L Item",$B163)/T$29,0),"0.00%"))</f>
        <v>0</v>
      </c>
      <c r="U163" s="65">
        <f>CHOOSE(PLColumn,IFERROR(GETPIVOTDATA("Sum of "&amp;U$9,'PT-All'!$A$1,"Scenario",U$12,"P&amp;L Item",$B163),0),IFERROR(GETPIVOTDATA("Sum of "&amp;U$9,'PT-All'!$A$1,"Scenario",U$12,"P&amp;L Item",$B163)/U$201,0),TEXT(IFERROR(GETPIVOTDATA("Sum of "&amp;U$9,'PT-All'!$A$1,"Scenario",U$12,"P&amp;L Item",$B163)/U$29,0),"0.00%"))</f>
        <v>0</v>
      </c>
      <c r="V163" s="65">
        <f>CHOOSE(PLColumn,IFERROR(GETPIVOTDATA("Sum of "&amp;V$9,'PT-All'!$A$1,"Scenario",V$12,"P&amp;L Item",$B163),0),IFERROR(GETPIVOTDATA("Sum of "&amp;V$9,'PT-All'!$A$1,"Scenario",V$12,"P&amp;L Item",$B163)/V$201,0),TEXT(IFERROR(GETPIVOTDATA("Sum of "&amp;V$9,'PT-All'!$A$1,"Scenario",V$12,"P&amp;L Item",$B163)/V$29,0),"0.00%"))</f>
        <v>0</v>
      </c>
      <c r="W163" s="65">
        <f>CHOOSE(PLColumn,IFERROR(GETPIVOTDATA("Sum of "&amp;W$9,'PT-All'!$A$1,"Scenario",W$12,"P&amp;L Item",$B163),0),IFERROR(GETPIVOTDATA("Sum of "&amp;W$9,'PT-All'!$A$1,"Scenario",W$12,"P&amp;L Item",$B163)/W$201,0),TEXT(IFERROR(GETPIVOTDATA("Sum of "&amp;W$9,'PT-All'!$A$1,"Scenario",W$12,"P&amp;L Item",$B163)/W$29,0),"0.00%"))</f>
        <v>0</v>
      </c>
      <c r="X163" s="65">
        <f>CHOOSE(PLColumn,IFERROR(GETPIVOTDATA("Sum of "&amp;X$9,'PT-All'!$A$1,"Scenario",X$12,"P&amp;L Item",$B163),0),IFERROR(GETPIVOTDATA("Sum of "&amp;X$9,'PT-All'!$A$1,"Scenario",X$12,"P&amp;L Item",$B163)/X$201,0),TEXT(IFERROR(GETPIVOTDATA("Sum of "&amp;X$9,'PT-All'!$A$1,"Scenario",X$12,"P&amp;L Item",$B163)/X$29,0),"0.00%"))</f>
        <v>0</v>
      </c>
      <c r="Y163" s="65">
        <f>CHOOSE(PLColumn,IFERROR(GETPIVOTDATA("Sum of "&amp;Y$9,'PT-All'!$A$1,"Scenario",Y$12,"P&amp;L Item",$B163),0),IFERROR(GETPIVOTDATA("Sum of "&amp;Y$9,'PT-All'!$A$1,"Scenario",Y$12,"P&amp;L Item",$B163)/Y$201,0),TEXT(IFERROR(GETPIVOTDATA("Sum of "&amp;Y$9,'PT-All'!$A$1,"Scenario",Y$12,"P&amp;L Item",$B163)/Y$29,0),"0.00%"))</f>
        <v>0</v>
      </c>
      <c r="Z163" s="65">
        <f>CHOOSE(PLColumn,IFERROR(GETPIVOTDATA("Sum of "&amp;Z$9,'PT-All'!$A$1,"Scenario",Z$12,"P&amp;L Item",$B163),0),IFERROR(GETPIVOTDATA("Sum of "&amp;Z$9,'PT-All'!$A$1,"Scenario",Z$12,"P&amp;L Item",$B163)/Z$201,0),TEXT(IFERROR(GETPIVOTDATA("Sum of "&amp;Z$9,'PT-All'!$A$1,"Scenario",Z$12,"P&amp;L Item",$B163)/Z$29,0),"0.00%"))</f>
        <v>0</v>
      </c>
      <c r="AA163" s="65">
        <f>CHOOSE(PLColumn,IFERROR(GETPIVOTDATA("Sum of "&amp;AA$9,'PT-All'!$A$1,"Scenario",AA$12,"P&amp;L Item",$B163),0),IFERROR(GETPIVOTDATA("Sum of "&amp;AA$9,'PT-All'!$A$1,"Scenario",AA$12,"P&amp;L Item",$B163)/AA$201,0),TEXT(IFERROR(GETPIVOTDATA("Sum of "&amp;AA$9,'PT-All'!$A$1,"Scenario",AA$12,"P&amp;L Item",$B163)/AA$29,0),"0.00%"))</f>
        <v>0</v>
      </c>
      <c r="AB163" s="65">
        <f>CHOOSE(PLColumn,IFERROR(GETPIVOTDATA("Sum of "&amp;AB$9,'PT-All'!$A$1,"Scenario",AB$12,"P&amp;L Item",$B163),0),IFERROR(GETPIVOTDATA("Sum of "&amp;AB$9,'PT-All'!$A$1,"Scenario",AB$12,"P&amp;L Item",$B163)/AB$201,0),TEXT(IFERROR(GETPIVOTDATA("Sum of "&amp;AB$9,'PT-All'!$A$1,"Scenario",AB$12,"P&amp;L Item",$B163)/AB$29,0),"0.00%"))</f>
        <v>0</v>
      </c>
      <c r="AC163" s="65">
        <f>CHOOSE(PLColumn,IFERROR(GETPIVOTDATA("Sum of "&amp;AC$9,'PT-All'!$A$1,"Scenario",AC$12,"P&amp;L Item",$B163),0),IFERROR(GETPIVOTDATA("Sum of "&amp;AC$9,'PT-All'!$A$1,"Scenario",AC$12,"P&amp;L Item",$B163)/AC$201,0),TEXT(IFERROR(GETPIVOTDATA("Sum of "&amp;AC$9,'PT-All'!$A$1,"Scenario",AC$12,"P&amp;L Item",$B163)/AC$29,0),"0.00%"))</f>
        <v>0</v>
      </c>
      <c r="AD163" s="65">
        <f>CHOOSE(PLColumn,IFERROR(GETPIVOTDATA("Sum of "&amp;AD$9,'PT-All'!$A$1,"Scenario",AD$12,"P&amp;L Item",$B163),0),IFERROR(GETPIVOTDATA("Sum of "&amp;AD$9,'PT-All'!$A$1,"Scenario",AD$12,"P&amp;L Item",$B163)/AD$201,0),TEXT(IFERROR(GETPIVOTDATA("Sum of "&amp;AD$9,'PT-All'!$A$1,"Scenario",AD$12,"P&amp;L Item",$B163)/AD$29,0),"0.00%"))</f>
        <v>0</v>
      </c>
      <c r="AE163" s="65">
        <f>CHOOSE(PLColumn,IFERROR(GETPIVOTDATA("Sum of "&amp;AE$9,'PT-All'!$A$1,"Scenario",AE$12,"P&amp;L Item",$B163),0),IFERROR(GETPIVOTDATA("Sum of "&amp;AE$9,'PT-All'!$A$1,"Scenario",AE$12,"P&amp;L Item",$B163)/AE$201,0),TEXT(IFERROR(GETPIVOTDATA("Sum of "&amp;AE$9,'PT-All'!$A$1,"Scenario",AE$12,"P&amp;L Item",$B163)/AE$29,0),"0.00%"))</f>
        <v>0</v>
      </c>
      <c r="AF163" s="65">
        <f>CHOOSE(PLColumn,IFERROR(GETPIVOTDATA("Sum of "&amp;AF$9,'PT-All'!$A$1,"Scenario",AF$12,"P&amp;L Item",$B163),0),IFERROR(GETPIVOTDATA("Sum of "&amp;AF$9,'PT-All'!$A$1,"Scenario",AF$12,"P&amp;L Item",$B163)/AF$201,0),TEXT(IFERROR(GETPIVOTDATA("Sum of "&amp;AF$9,'PT-All'!$A$1,"Scenario",AF$12,"P&amp;L Item",$B163)/AF$29,0),"0.00%"))</f>
        <v>0</v>
      </c>
      <c r="AG163" s="65">
        <f>CHOOSE(PLColumn,IFERROR(GETPIVOTDATA("Sum of "&amp;AG$9,'PT-All'!$A$1,"Scenario",AG$12,"P&amp;L Item",$B163),0),IFERROR(GETPIVOTDATA("Sum of "&amp;AG$9,'PT-All'!$A$1,"Scenario",AG$12,"P&amp;L Item",$B163)/AG$201,0),TEXT(IFERROR(GETPIVOTDATA("Sum of "&amp;AG$9,'PT-All'!$A$1,"Scenario",AG$12,"P&amp;L Item",$B163)/AG$29,0),"0.00%"))</f>
        <v>0</v>
      </c>
      <c r="AH163" s="65">
        <f>CHOOSE(PLColumn,IFERROR(GETPIVOTDATA("Sum of "&amp;AH$9,'PT-All'!$A$1,"Scenario",AH$12,"P&amp;L Item",$B163),0),IFERROR(GETPIVOTDATA("Sum of "&amp;AH$9,'PT-All'!$A$1,"Scenario",AH$12,"P&amp;L Item",$B163)/AH$201,0),TEXT(IFERROR(GETPIVOTDATA("Sum of "&amp;AH$9,'PT-All'!$A$1,"Scenario",AH$12,"P&amp;L Item",$B163)/AH$29,0),"0.00%"))</f>
        <v>0</v>
      </c>
      <c r="AI163" s="65">
        <f>CHOOSE(PLColumn,IFERROR(GETPIVOTDATA("Sum of "&amp;AI$9,'PT-All'!$A$1,"Scenario",AI$12,"P&amp;L Item",$B163),0),IFERROR(GETPIVOTDATA("Sum of "&amp;AI$9,'PT-All'!$A$1,"Scenario",AI$12,"P&amp;L Item",$B163)/AI$201,0),TEXT(IFERROR(GETPIVOTDATA("Sum of "&amp;AI$9,'PT-All'!$A$1,"Scenario",AI$12,"P&amp;L Item",$B163)/AI$29,0),"0.00%"))</f>
        <v>0</v>
      </c>
      <c r="AJ163" s="65">
        <f>CHOOSE(PLColumn,IFERROR(GETPIVOTDATA("Sum of "&amp;AJ$9,'PT-All'!$A$1,"Scenario",AJ$12,"P&amp;L Item",$B163),0),IFERROR(GETPIVOTDATA("Sum of "&amp;AJ$9,'PT-All'!$A$1,"Scenario",AJ$12,"P&amp;L Item",$B163)/AJ$201,0),TEXT(IFERROR(GETPIVOTDATA("Sum of "&amp;AJ$9,'PT-All'!$A$1,"Scenario",AJ$12,"P&amp;L Item",$B163)/AJ$29,0),"0.00%"))</f>
        <v>0</v>
      </c>
      <c r="AK163" s="65">
        <f>CHOOSE(PLColumn,IFERROR(GETPIVOTDATA("Sum of "&amp;AK$9,'PT-All'!$A$1,"Scenario",AK$12,"P&amp;L Item",$B163),0),IFERROR(GETPIVOTDATA("Sum of "&amp;AK$9,'PT-All'!$A$1,"Scenario",AK$12,"P&amp;L Item",$B163)/AK$201,0),TEXT(IFERROR(GETPIVOTDATA("Sum of "&amp;AK$9,'PT-All'!$A$1,"Scenario",AK$12,"P&amp;L Item",$B163)/AK$29,0),"0.00%"))</f>
        <v>0</v>
      </c>
      <c r="AL163" s="97">
        <f>CHOOSE(PLColumn,IFERROR(GETPIVOTDATA("Sum of "&amp;AL$9,'PT-All'!$A$1,"Scenario",AL$12,"P&amp;L Item",$B163),0),IFERROR(GETPIVOTDATA("Sum of "&amp;AL$9,'PT-All'!$A$1,"Scenario",AL$12,"P&amp;L Item",$B163)/AL$201,0),TEXT(IFERROR(GETPIVOTDATA("Sum of "&amp;AL$9,'PT-All'!$A$1,"Scenario",AL$12,"P&amp;L Item",$B163)/AL$29,0),"0.00%"))</f>
        <v>0</v>
      </c>
      <c r="AM163" s="590"/>
      <c r="AN163" s="108">
        <f ca="1">IF(AN$12="Pro Forma",SUM(OFFSET($B163,0,3*AN$9+1,1,3)),IFERROR(GETPIVOTDATA("Sum of Q"&amp;AN$9+1,'PT-All'!$A$1,"Scenario",AN$12,"P&amp;L Item",$B163),0))</f>
        <v>0</v>
      </c>
      <c r="AO163" s="65">
        <f ca="1">IF(AO$12="Pro Forma",SUM(OFFSET($B163,0,3*AO$9+1,1,3)),IFERROR(GETPIVOTDATA("Sum of Q"&amp;AO$9+1,'PT-All'!$A$1,"Scenario",AO$12,"P&amp;L Item",$B163),0))</f>
        <v>0</v>
      </c>
      <c r="AP163" s="65">
        <f ca="1">IF(AP$12="Pro Forma",SUM(OFFSET($B163,0,3*AP$9+1,1,3)),IFERROR(GETPIVOTDATA("Sum of Q"&amp;AP$9+1,'PT-All'!$A$1,"Scenario",AP$12,"P&amp;L Item",$B163),0))</f>
        <v>0</v>
      </c>
      <c r="AQ163" s="65">
        <f ca="1">IF(AQ$12="Pro Forma",SUM(OFFSET($B163,0,3*AQ$9+1,1,3)),IFERROR(GETPIVOTDATA("Sum of Q"&amp;AQ$9+1,'PT-All'!$A$1,"Scenario",AQ$12,"P&amp;L Item",$B163),0))</f>
        <v>0</v>
      </c>
      <c r="AR163" s="65">
        <f ca="1">IF(AR$12="Pro Forma",SUM(OFFSET($B163,0,3*AR$9+1,1,3)),IFERROR(GETPIVOTDATA("Sum of Q"&amp;AR$9+1,'PT-All'!$A$1,"Scenario",AR$12,"P&amp;L Item",$B163),0))</f>
        <v>0</v>
      </c>
      <c r="AS163" s="65">
        <f ca="1">IF(AS$12="Pro Forma",SUM(OFFSET($B163,0,3*AS$9+1,1,3)),IFERROR(GETPIVOTDATA("Sum of Q"&amp;AS$9+1,'PT-All'!$A$1,"Scenario",AS$12,"P&amp;L Item",$B163),0))</f>
        <v>0</v>
      </c>
      <c r="AT163" s="65">
        <f ca="1">IF(AT$12="Pro Forma",SUM(OFFSET($B163,0,3*AT$9+1,1,3)),IFERROR(GETPIVOTDATA("Sum of Q"&amp;AT$9+1,'PT-All'!$A$1,"Scenario",AT$12,"P&amp;L Item",$B163),0))</f>
        <v>0</v>
      </c>
      <c r="AU163" s="65">
        <f ca="1">IF(AU$12="Pro Forma",SUM(OFFSET($B163,0,3*AU$9+1,1,3)),IFERROR(GETPIVOTDATA("Sum of Q"&amp;AU$9+1,'PT-All'!$A$1,"Scenario",AU$12,"P&amp;L Item",$B163),0))</f>
        <v>0</v>
      </c>
      <c r="AV163" s="65">
        <f ca="1">IF(AV$12="Pro Forma",SUM(OFFSET($B163,0,3*AV$9+1,1,3)),IFERROR(GETPIVOTDATA("Sum of Q"&amp;AV$9+1,'PT-All'!$A$1,"Scenario",AV$12,"P&amp;L Item",$B163),0))</f>
        <v>0</v>
      </c>
      <c r="AW163" s="65">
        <f ca="1">IF(AW$12="Pro Forma",SUM(OFFSET($B163,0,3*AW$9+1,1,3)),IFERROR(GETPIVOTDATA("Sum of Q"&amp;AW$9+1,'PT-All'!$A$1,"Scenario",AW$12,"P&amp;L Item",$B163),0))</f>
        <v>0</v>
      </c>
      <c r="AX163" s="65">
        <f ca="1">IF(AX$12="Pro Forma",SUM(OFFSET($B163,0,3*AX$9+1,1,3)),IFERROR(GETPIVOTDATA("Sum of Q"&amp;AX$9+1,'PT-All'!$A$1,"Scenario",AX$12,"P&amp;L Item",$B163),0))</f>
        <v>0</v>
      </c>
      <c r="AY163" s="97">
        <f ca="1">IF(AY$12="Pro Forma",SUM(OFFSET($B163,0,3*AY$9+1,1,3)),IFERROR(GETPIVOTDATA("Sum of Q"&amp;AY$9+1,'PT-All'!$A$1,"Scenario",AY$12,"P&amp;L Item",$B163),0))</f>
        <v>0</v>
      </c>
      <c r="AZ163" s="590"/>
      <c r="BA163" s="108">
        <f ca="1">IF(BA$12="Pro Forma",SUM(OFFSET($B163,0,12*BA$9+1,1,12)),IFERROR(GETPIVOTDATA("Sum of FY"&amp;BA$9+1,'PT-All'!$A$1,"Scenario",BA$12,"P&amp;L Item",$B163),0))</f>
        <v>0</v>
      </c>
      <c r="BB163" s="65">
        <f ca="1">IF(BB$12="Pro Forma",SUM(OFFSET($B163,0,12*BB$9+1,1,12)),IFERROR(GETPIVOTDATA("Sum of FY"&amp;BB$9+1,'PT-All'!$A$1,"Scenario",BB$12,"P&amp;L Item",$B163),0))</f>
        <v>0</v>
      </c>
      <c r="BC163" s="97">
        <f ca="1">IF(BC$12="Pro Forma",SUM(OFFSET($B163,0,12*BC$9+1,1,12)),IFERROR(GETPIVOTDATA("Sum of FY"&amp;BC$9+1,'PT-All'!$A$1,"Scenario",BC$12,"P&amp;L Item",$B163),0))</f>
        <v>0</v>
      </c>
    </row>
    <row r="164" spans="2:55" x14ac:dyDescent="0.35">
      <c r="B164" s="356" t="s">
        <v>192</v>
      </c>
      <c r="C164" s="592">
        <f>CHOOSE(PLColumn,IFERROR(GETPIVOTDATA("Sum of "&amp;C$9,'PT-All'!$A$1,"Scenario",C$12,"P&amp;L Item",$B164),0),IFERROR(GETPIVOTDATA("Sum of "&amp;C$9,'PT-All'!$A$1,"Scenario",C$12,"P&amp;L Item",$B164)/C$201,0),TEXT(IFERROR(GETPIVOTDATA("Sum of "&amp;C$9,'PT-All'!$A$1,"Scenario",C$12,"P&amp;L Item",$B164)/C$29,0),"0.00%"))</f>
        <v>0</v>
      </c>
      <c r="D164" s="592">
        <f>CHOOSE(PLColumn,IFERROR(GETPIVOTDATA("Sum of "&amp;D$9,'PT-All'!$A$1,"Scenario",D$12,"P&amp;L Item",$B164),0),IFERROR(GETPIVOTDATA("Sum of "&amp;D$9,'PT-All'!$A$1,"Scenario",D$12,"P&amp;L Item",$B164)/D$201,0),TEXT(IFERROR(GETPIVOTDATA("Sum of "&amp;D$9,'PT-All'!$A$1,"Scenario",D$12,"P&amp;L Item",$B164)/D$29,0),"0.00%"))</f>
        <v>0</v>
      </c>
      <c r="E164" s="592">
        <f>CHOOSE(PLColumn,IFERROR(GETPIVOTDATA("Sum of "&amp;E$9,'PT-All'!$A$1,"Scenario",E$12,"P&amp;L Item",$B164),0),IFERROR(GETPIVOTDATA("Sum of "&amp;E$9,'PT-All'!$A$1,"Scenario",E$12,"P&amp;L Item",$B164)/E$201,0),TEXT(IFERROR(GETPIVOTDATA("Sum of "&amp;E$9,'PT-All'!$A$1,"Scenario",E$12,"P&amp;L Item",$B164)/E$29,0),"0.00%"))</f>
        <v>0</v>
      </c>
      <c r="F164" s="592">
        <f>CHOOSE(PLColumn,IFERROR(GETPIVOTDATA("Sum of "&amp;F$9,'PT-All'!$A$1,"Scenario",F$12,"P&amp;L Item",$B164),0),IFERROR(GETPIVOTDATA("Sum of "&amp;F$9,'PT-All'!$A$1,"Scenario",F$12,"P&amp;L Item",$B164)/F$201,0),TEXT(IFERROR(GETPIVOTDATA("Sum of "&amp;F$9,'PT-All'!$A$1,"Scenario",F$12,"P&amp;L Item",$B164)/F$29,0),"0.00%"))</f>
        <v>0</v>
      </c>
      <c r="G164" s="592">
        <f>CHOOSE(PLColumn,IFERROR(GETPIVOTDATA("Sum of "&amp;G$9,'PT-All'!$A$1,"Scenario",G$12,"P&amp;L Item",$B164),0),IFERROR(GETPIVOTDATA("Sum of "&amp;G$9,'PT-All'!$A$1,"Scenario",G$12,"P&amp;L Item",$B164)/G$201,0),TEXT(IFERROR(GETPIVOTDATA("Sum of "&amp;G$9,'PT-All'!$A$1,"Scenario",G$12,"P&amp;L Item",$B164)/G$29,0),"0.00%"))</f>
        <v>0</v>
      </c>
      <c r="H164" s="592">
        <f>CHOOSE(PLColumn,IFERROR(GETPIVOTDATA("Sum of "&amp;H$9,'PT-All'!$A$1,"Scenario",H$12,"P&amp;L Item",$B164),0),IFERROR(GETPIVOTDATA("Sum of "&amp;H$9,'PT-All'!$A$1,"Scenario",H$12,"P&amp;L Item",$B164)/H$201,0),TEXT(IFERROR(GETPIVOTDATA("Sum of "&amp;H$9,'PT-All'!$A$1,"Scenario",H$12,"P&amp;L Item",$B164)/H$29,0),"0.00%"))</f>
        <v>0</v>
      </c>
      <c r="I164" s="592">
        <f>CHOOSE(PLColumn,IFERROR(GETPIVOTDATA("Sum of "&amp;I$9,'PT-All'!$A$1,"Scenario",I$12,"P&amp;L Item",$B164),0),IFERROR(GETPIVOTDATA("Sum of "&amp;I$9,'PT-All'!$A$1,"Scenario",I$12,"P&amp;L Item",$B164)/I$201,0),TEXT(IFERROR(GETPIVOTDATA("Sum of "&amp;I$9,'PT-All'!$A$1,"Scenario",I$12,"P&amp;L Item",$B164)/I$29,0),"0.00%"))</f>
        <v>0</v>
      </c>
      <c r="J164" s="592">
        <f>CHOOSE(PLColumn,IFERROR(GETPIVOTDATA("Sum of "&amp;J$9,'PT-All'!$A$1,"Scenario",J$12,"P&amp;L Item",$B164),0),IFERROR(GETPIVOTDATA("Sum of "&amp;J$9,'PT-All'!$A$1,"Scenario",J$12,"P&amp;L Item",$B164)/J$201,0),TEXT(IFERROR(GETPIVOTDATA("Sum of "&amp;J$9,'PT-All'!$A$1,"Scenario",J$12,"P&amp;L Item",$B164)/J$29,0),"0.00%"))</f>
        <v>0</v>
      </c>
      <c r="K164" s="592">
        <f>CHOOSE(PLColumn,IFERROR(GETPIVOTDATA("Sum of "&amp;K$9,'PT-All'!$A$1,"Scenario",K$12,"P&amp;L Item",$B164),0),IFERROR(GETPIVOTDATA("Sum of "&amp;K$9,'PT-All'!$A$1,"Scenario",K$12,"P&amp;L Item",$B164)/K$201,0),TEXT(IFERROR(GETPIVOTDATA("Sum of "&amp;K$9,'PT-All'!$A$1,"Scenario",K$12,"P&amp;L Item",$B164)/K$29,0),"0.00%"))</f>
        <v>0</v>
      </c>
      <c r="L164" s="592">
        <f>CHOOSE(PLColumn,IFERROR(GETPIVOTDATA("Sum of "&amp;L$9,'PT-All'!$A$1,"Scenario",L$12,"P&amp;L Item",$B164),0),IFERROR(GETPIVOTDATA("Sum of "&amp;L$9,'PT-All'!$A$1,"Scenario",L$12,"P&amp;L Item",$B164)/L$201,0),TEXT(IFERROR(GETPIVOTDATA("Sum of "&amp;L$9,'PT-All'!$A$1,"Scenario",L$12,"P&amp;L Item",$B164)/L$29,0),"0.00%"))</f>
        <v>0</v>
      </c>
      <c r="M164" s="592">
        <f>CHOOSE(PLColumn,IFERROR(GETPIVOTDATA("Sum of "&amp;M$9,'PT-All'!$A$1,"Scenario",M$12,"P&amp;L Item",$B164),0),IFERROR(GETPIVOTDATA("Sum of "&amp;M$9,'PT-All'!$A$1,"Scenario",M$12,"P&amp;L Item",$B164)/M$201,0),TEXT(IFERROR(GETPIVOTDATA("Sum of "&amp;M$9,'PT-All'!$A$1,"Scenario",M$12,"P&amp;L Item",$B164)/M$29,0),"0.00%"))</f>
        <v>0</v>
      </c>
      <c r="N164" s="592">
        <f>CHOOSE(PLColumn,IFERROR(GETPIVOTDATA("Sum of "&amp;N$9,'PT-All'!$A$1,"Scenario",N$12,"P&amp;L Item",$B164),0),IFERROR(GETPIVOTDATA("Sum of "&amp;N$9,'PT-All'!$A$1,"Scenario",N$12,"P&amp;L Item",$B164)/N$201,0),TEXT(IFERROR(GETPIVOTDATA("Sum of "&amp;N$9,'PT-All'!$A$1,"Scenario",N$12,"P&amp;L Item",$B164)/N$29,0),"0.00%"))</f>
        <v>0</v>
      </c>
      <c r="O164" s="592">
        <f>CHOOSE(PLColumn,IFERROR(GETPIVOTDATA("Sum of "&amp;O$9,'PT-All'!$A$1,"Scenario",O$12,"P&amp;L Item",$B164),0),IFERROR(GETPIVOTDATA("Sum of "&amp;O$9,'PT-All'!$A$1,"Scenario",O$12,"P&amp;L Item",$B164)/O$201,0),TEXT(IFERROR(GETPIVOTDATA("Sum of "&amp;O$9,'PT-All'!$A$1,"Scenario",O$12,"P&amp;L Item",$B164)/O$29,0),"0.00%"))</f>
        <v>0</v>
      </c>
      <c r="P164" s="592">
        <f>CHOOSE(PLColumn,IFERROR(GETPIVOTDATA("Sum of "&amp;P$9,'PT-All'!$A$1,"Scenario",P$12,"P&amp;L Item",$B164),0),IFERROR(GETPIVOTDATA("Sum of "&amp;P$9,'PT-All'!$A$1,"Scenario",P$12,"P&amp;L Item",$B164)/P$201,0),TEXT(IFERROR(GETPIVOTDATA("Sum of "&amp;P$9,'PT-All'!$A$1,"Scenario",P$12,"P&amp;L Item",$B164)/P$29,0),"0.00%"))</f>
        <v>0</v>
      </c>
      <c r="Q164" s="592">
        <f>CHOOSE(PLColumn,IFERROR(GETPIVOTDATA("Sum of "&amp;Q$9,'PT-All'!$A$1,"Scenario",Q$12,"P&amp;L Item",$B164),0),IFERROR(GETPIVOTDATA("Sum of "&amp;Q$9,'PT-All'!$A$1,"Scenario",Q$12,"P&amp;L Item",$B164)/Q$201,0),TEXT(IFERROR(GETPIVOTDATA("Sum of "&amp;Q$9,'PT-All'!$A$1,"Scenario",Q$12,"P&amp;L Item",$B164)/Q$29,0),"0.00%"))</f>
        <v>0</v>
      </c>
      <c r="R164" s="592">
        <f>CHOOSE(PLColumn,IFERROR(GETPIVOTDATA("Sum of "&amp;R$9,'PT-All'!$A$1,"Scenario",R$12,"P&amp;L Item",$B164),0),IFERROR(GETPIVOTDATA("Sum of "&amp;R$9,'PT-All'!$A$1,"Scenario",R$12,"P&amp;L Item",$B164)/R$201,0),TEXT(IFERROR(GETPIVOTDATA("Sum of "&amp;R$9,'PT-All'!$A$1,"Scenario",R$12,"P&amp;L Item",$B164)/R$29,0),"0.00%"))</f>
        <v>0</v>
      </c>
      <c r="S164" s="592">
        <f>CHOOSE(PLColumn,IFERROR(GETPIVOTDATA("Sum of "&amp;S$9,'PT-All'!$A$1,"Scenario",S$12,"P&amp;L Item",$B164),0),IFERROR(GETPIVOTDATA("Sum of "&amp;S$9,'PT-All'!$A$1,"Scenario",S$12,"P&amp;L Item",$B164)/S$201,0),TEXT(IFERROR(GETPIVOTDATA("Sum of "&amp;S$9,'PT-All'!$A$1,"Scenario",S$12,"P&amp;L Item",$B164)/S$29,0),"0.00%"))</f>
        <v>0</v>
      </c>
      <c r="T164" s="592">
        <f>CHOOSE(PLColumn,IFERROR(GETPIVOTDATA("Sum of "&amp;T$9,'PT-All'!$A$1,"Scenario",T$12,"P&amp;L Item",$B164),0),IFERROR(GETPIVOTDATA("Sum of "&amp;T$9,'PT-All'!$A$1,"Scenario",T$12,"P&amp;L Item",$B164)/T$201,0),TEXT(IFERROR(GETPIVOTDATA("Sum of "&amp;T$9,'PT-All'!$A$1,"Scenario",T$12,"P&amp;L Item",$B164)/T$29,0),"0.00%"))</f>
        <v>0</v>
      </c>
      <c r="U164" s="592">
        <f>CHOOSE(PLColumn,IFERROR(GETPIVOTDATA("Sum of "&amp;U$9,'PT-All'!$A$1,"Scenario",U$12,"P&amp;L Item",$B164),0),IFERROR(GETPIVOTDATA("Sum of "&amp;U$9,'PT-All'!$A$1,"Scenario",U$12,"P&amp;L Item",$B164)/U$201,0),TEXT(IFERROR(GETPIVOTDATA("Sum of "&amp;U$9,'PT-All'!$A$1,"Scenario",U$12,"P&amp;L Item",$B164)/U$29,0),"0.00%"))</f>
        <v>0</v>
      </c>
      <c r="V164" s="592">
        <f>CHOOSE(PLColumn,IFERROR(GETPIVOTDATA("Sum of "&amp;V$9,'PT-All'!$A$1,"Scenario",V$12,"P&amp;L Item",$B164),0),IFERROR(GETPIVOTDATA("Sum of "&amp;V$9,'PT-All'!$A$1,"Scenario",V$12,"P&amp;L Item",$B164)/V$201,0),TEXT(IFERROR(GETPIVOTDATA("Sum of "&amp;V$9,'PT-All'!$A$1,"Scenario",V$12,"P&amp;L Item",$B164)/V$29,0),"0.00%"))</f>
        <v>0</v>
      </c>
      <c r="W164" s="592">
        <f>CHOOSE(PLColumn,IFERROR(GETPIVOTDATA("Sum of "&amp;W$9,'PT-All'!$A$1,"Scenario",W$12,"P&amp;L Item",$B164),0),IFERROR(GETPIVOTDATA("Sum of "&amp;W$9,'PT-All'!$A$1,"Scenario",W$12,"P&amp;L Item",$B164)/W$201,0),TEXT(IFERROR(GETPIVOTDATA("Sum of "&amp;W$9,'PT-All'!$A$1,"Scenario",W$12,"P&amp;L Item",$B164)/W$29,0),"0.00%"))</f>
        <v>0</v>
      </c>
      <c r="X164" s="592">
        <f>CHOOSE(PLColumn,IFERROR(GETPIVOTDATA("Sum of "&amp;X$9,'PT-All'!$A$1,"Scenario",X$12,"P&amp;L Item",$B164),0),IFERROR(GETPIVOTDATA("Sum of "&amp;X$9,'PT-All'!$A$1,"Scenario",X$12,"P&amp;L Item",$B164)/X$201,0),TEXT(IFERROR(GETPIVOTDATA("Sum of "&amp;X$9,'PT-All'!$A$1,"Scenario",X$12,"P&amp;L Item",$B164)/X$29,0),"0.00%"))</f>
        <v>0</v>
      </c>
      <c r="Y164" s="592">
        <f>CHOOSE(PLColumn,IFERROR(GETPIVOTDATA("Sum of "&amp;Y$9,'PT-All'!$A$1,"Scenario",Y$12,"P&amp;L Item",$B164),0),IFERROR(GETPIVOTDATA("Sum of "&amp;Y$9,'PT-All'!$A$1,"Scenario",Y$12,"P&amp;L Item",$B164)/Y$201,0),TEXT(IFERROR(GETPIVOTDATA("Sum of "&amp;Y$9,'PT-All'!$A$1,"Scenario",Y$12,"P&amp;L Item",$B164)/Y$29,0),"0.00%"))</f>
        <v>0</v>
      </c>
      <c r="Z164" s="592">
        <f>CHOOSE(PLColumn,IFERROR(GETPIVOTDATA("Sum of "&amp;Z$9,'PT-All'!$A$1,"Scenario",Z$12,"P&amp;L Item",$B164),0),IFERROR(GETPIVOTDATA("Sum of "&amp;Z$9,'PT-All'!$A$1,"Scenario",Z$12,"P&amp;L Item",$B164)/Z$201,0),TEXT(IFERROR(GETPIVOTDATA("Sum of "&amp;Z$9,'PT-All'!$A$1,"Scenario",Z$12,"P&amp;L Item",$B164)/Z$29,0),"0.00%"))</f>
        <v>0</v>
      </c>
      <c r="AA164" s="592">
        <f>CHOOSE(PLColumn,IFERROR(GETPIVOTDATA("Sum of "&amp;AA$9,'PT-All'!$A$1,"Scenario",AA$12,"P&amp;L Item",$B164),0),IFERROR(GETPIVOTDATA("Sum of "&amp;AA$9,'PT-All'!$A$1,"Scenario",AA$12,"P&amp;L Item",$B164)/AA$201,0),TEXT(IFERROR(GETPIVOTDATA("Sum of "&amp;AA$9,'PT-All'!$A$1,"Scenario",AA$12,"P&amp;L Item",$B164)/AA$29,0),"0.00%"))</f>
        <v>0</v>
      </c>
      <c r="AB164" s="592">
        <f>CHOOSE(PLColumn,IFERROR(GETPIVOTDATA("Sum of "&amp;AB$9,'PT-All'!$A$1,"Scenario",AB$12,"P&amp;L Item",$B164),0),IFERROR(GETPIVOTDATA("Sum of "&amp;AB$9,'PT-All'!$A$1,"Scenario",AB$12,"P&amp;L Item",$B164)/AB$201,0),TEXT(IFERROR(GETPIVOTDATA("Sum of "&amp;AB$9,'PT-All'!$A$1,"Scenario",AB$12,"P&amp;L Item",$B164)/AB$29,0),"0.00%"))</f>
        <v>0</v>
      </c>
      <c r="AC164" s="592">
        <f>CHOOSE(PLColumn,IFERROR(GETPIVOTDATA("Sum of "&amp;AC$9,'PT-All'!$A$1,"Scenario",AC$12,"P&amp;L Item",$B164),0),IFERROR(GETPIVOTDATA("Sum of "&amp;AC$9,'PT-All'!$A$1,"Scenario",AC$12,"P&amp;L Item",$B164)/AC$201,0),TEXT(IFERROR(GETPIVOTDATA("Sum of "&amp;AC$9,'PT-All'!$A$1,"Scenario",AC$12,"P&amp;L Item",$B164)/AC$29,0),"0.00%"))</f>
        <v>0</v>
      </c>
      <c r="AD164" s="592">
        <f>CHOOSE(PLColumn,IFERROR(GETPIVOTDATA("Sum of "&amp;AD$9,'PT-All'!$A$1,"Scenario",AD$12,"P&amp;L Item",$B164),0),IFERROR(GETPIVOTDATA("Sum of "&amp;AD$9,'PT-All'!$A$1,"Scenario",AD$12,"P&amp;L Item",$B164)/AD$201,0),TEXT(IFERROR(GETPIVOTDATA("Sum of "&amp;AD$9,'PT-All'!$A$1,"Scenario",AD$12,"P&amp;L Item",$B164)/AD$29,0),"0.00%"))</f>
        <v>0</v>
      </c>
      <c r="AE164" s="592">
        <f>CHOOSE(PLColumn,IFERROR(GETPIVOTDATA("Sum of "&amp;AE$9,'PT-All'!$A$1,"Scenario",AE$12,"P&amp;L Item",$B164),0),IFERROR(GETPIVOTDATA("Sum of "&amp;AE$9,'PT-All'!$A$1,"Scenario",AE$12,"P&amp;L Item",$B164)/AE$201,0),TEXT(IFERROR(GETPIVOTDATA("Sum of "&amp;AE$9,'PT-All'!$A$1,"Scenario",AE$12,"P&amp;L Item",$B164)/AE$29,0),"0.00%"))</f>
        <v>0</v>
      </c>
      <c r="AF164" s="592">
        <f>CHOOSE(PLColumn,IFERROR(GETPIVOTDATA("Sum of "&amp;AF$9,'PT-All'!$A$1,"Scenario",AF$12,"P&amp;L Item",$B164),0),IFERROR(GETPIVOTDATA("Sum of "&amp;AF$9,'PT-All'!$A$1,"Scenario",AF$12,"P&amp;L Item",$B164)/AF$201,0),TEXT(IFERROR(GETPIVOTDATA("Sum of "&amp;AF$9,'PT-All'!$A$1,"Scenario",AF$12,"P&amp;L Item",$B164)/AF$29,0),"0.00%"))</f>
        <v>0</v>
      </c>
      <c r="AG164" s="592">
        <f>CHOOSE(PLColumn,IFERROR(GETPIVOTDATA("Sum of "&amp;AG$9,'PT-All'!$A$1,"Scenario",AG$12,"P&amp;L Item",$B164),0),IFERROR(GETPIVOTDATA("Sum of "&amp;AG$9,'PT-All'!$A$1,"Scenario",AG$12,"P&amp;L Item",$B164)/AG$201,0),TEXT(IFERROR(GETPIVOTDATA("Sum of "&amp;AG$9,'PT-All'!$A$1,"Scenario",AG$12,"P&amp;L Item",$B164)/AG$29,0),"0.00%"))</f>
        <v>0</v>
      </c>
      <c r="AH164" s="592">
        <f>CHOOSE(PLColumn,IFERROR(GETPIVOTDATA("Sum of "&amp;AH$9,'PT-All'!$A$1,"Scenario",AH$12,"P&amp;L Item",$B164),0),IFERROR(GETPIVOTDATA("Sum of "&amp;AH$9,'PT-All'!$A$1,"Scenario",AH$12,"P&amp;L Item",$B164)/AH$201,0),TEXT(IFERROR(GETPIVOTDATA("Sum of "&amp;AH$9,'PT-All'!$A$1,"Scenario",AH$12,"P&amp;L Item",$B164)/AH$29,0),"0.00%"))</f>
        <v>0</v>
      </c>
      <c r="AI164" s="592">
        <f>CHOOSE(PLColumn,IFERROR(GETPIVOTDATA("Sum of "&amp;AI$9,'PT-All'!$A$1,"Scenario",AI$12,"P&amp;L Item",$B164),0),IFERROR(GETPIVOTDATA("Sum of "&amp;AI$9,'PT-All'!$A$1,"Scenario",AI$12,"P&amp;L Item",$B164)/AI$201,0),TEXT(IFERROR(GETPIVOTDATA("Sum of "&amp;AI$9,'PT-All'!$A$1,"Scenario",AI$12,"P&amp;L Item",$B164)/AI$29,0),"0.00%"))</f>
        <v>0</v>
      </c>
      <c r="AJ164" s="592">
        <f>CHOOSE(PLColumn,IFERROR(GETPIVOTDATA("Sum of "&amp;AJ$9,'PT-All'!$A$1,"Scenario",AJ$12,"P&amp;L Item",$B164),0),IFERROR(GETPIVOTDATA("Sum of "&amp;AJ$9,'PT-All'!$A$1,"Scenario",AJ$12,"P&amp;L Item",$B164)/AJ$201,0),TEXT(IFERROR(GETPIVOTDATA("Sum of "&amp;AJ$9,'PT-All'!$A$1,"Scenario",AJ$12,"P&amp;L Item",$B164)/AJ$29,0),"0.00%"))</f>
        <v>0</v>
      </c>
      <c r="AK164" s="592">
        <f>CHOOSE(PLColumn,IFERROR(GETPIVOTDATA("Sum of "&amp;AK$9,'PT-All'!$A$1,"Scenario",AK$12,"P&amp;L Item",$B164),0),IFERROR(GETPIVOTDATA("Sum of "&amp;AK$9,'PT-All'!$A$1,"Scenario",AK$12,"P&amp;L Item",$B164)/AK$201,0),TEXT(IFERROR(GETPIVOTDATA("Sum of "&amp;AK$9,'PT-All'!$A$1,"Scenario",AK$12,"P&amp;L Item",$B164)/AK$29,0),"0.00%"))</f>
        <v>0</v>
      </c>
      <c r="AL164" s="593">
        <f>CHOOSE(PLColumn,IFERROR(GETPIVOTDATA("Sum of "&amp;AL$9,'PT-All'!$A$1,"Scenario",AL$12,"P&amp;L Item",$B164),0),IFERROR(GETPIVOTDATA("Sum of "&amp;AL$9,'PT-All'!$A$1,"Scenario",AL$12,"P&amp;L Item",$B164)/AL$201,0),TEXT(IFERROR(GETPIVOTDATA("Sum of "&amp;AL$9,'PT-All'!$A$1,"Scenario",AL$12,"P&amp;L Item",$B164)/AL$29,0),"0.00%"))</f>
        <v>0</v>
      </c>
      <c r="AM164" s="590"/>
      <c r="AN164" s="594">
        <f ca="1">IF(AN$12="Pro Forma",SUM(OFFSET($B164,0,3*AN$9+1,1,3)),IFERROR(GETPIVOTDATA("Sum of Q"&amp;AN$9+1,'PT-All'!$A$1,"Scenario",AN$12,"P&amp;L Item",$B164),0))</f>
        <v>0</v>
      </c>
      <c r="AO164" s="592">
        <f ca="1">IF(AO$12="Pro Forma",SUM(OFFSET($B164,0,3*AO$9+1,1,3)),IFERROR(GETPIVOTDATA("Sum of Q"&amp;AO$9+1,'PT-All'!$A$1,"Scenario",AO$12,"P&amp;L Item",$B164),0))</f>
        <v>0</v>
      </c>
      <c r="AP164" s="592">
        <f ca="1">IF(AP$12="Pro Forma",SUM(OFFSET($B164,0,3*AP$9+1,1,3)),IFERROR(GETPIVOTDATA("Sum of Q"&amp;AP$9+1,'PT-All'!$A$1,"Scenario",AP$12,"P&amp;L Item",$B164),0))</f>
        <v>0</v>
      </c>
      <c r="AQ164" s="592">
        <f ca="1">IF(AQ$12="Pro Forma",SUM(OFFSET($B164,0,3*AQ$9+1,1,3)),IFERROR(GETPIVOTDATA("Sum of Q"&amp;AQ$9+1,'PT-All'!$A$1,"Scenario",AQ$12,"P&amp;L Item",$B164),0))</f>
        <v>0</v>
      </c>
      <c r="AR164" s="592">
        <f ca="1">IF(AR$12="Pro Forma",SUM(OFFSET($B164,0,3*AR$9+1,1,3)),IFERROR(GETPIVOTDATA("Sum of Q"&amp;AR$9+1,'PT-All'!$A$1,"Scenario",AR$12,"P&amp;L Item",$B164),0))</f>
        <v>0</v>
      </c>
      <c r="AS164" s="592">
        <f ca="1">IF(AS$12="Pro Forma",SUM(OFFSET($B164,0,3*AS$9+1,1,3)),IFERROR(GETPIVOTDATA("Sum of Q"&amp;AS$9+1,'PT-All'!$A$1,"Scenario",AS$12,"P&amp;L Item",$B164),0))</f>
        <v>0</v>
      </c>
      <c r="AT164" s="592">
        <f ca="1">IF(AT$12="Pro Forma",SUM(OFFSET($B164,0,3*AT$9+1,1,3)),IFERROR(GETPIVOTDATA("Sum of Q"&amp;AT$9+1,'PT-All'!$A$1,"Scenario",AT$12,"P&amp;L Item",$B164),0))</f>
        <v>0</v>
      </c>
      <c r="AU164" s="592">
        <f ca="1">IF(AU$12="Pro Forma",SUM(OFFSET($B164,0,3*AU$9+1,1,3)),IFERROR(GETPIVOTDATA("Sum of Q"&amp;AU$9+1,'PT-All'!$A$1,"Scenario",AU$12,"P&amp;L Item",$B164),0))</f>
        <v>0</v>
      </c>
      <c r="AV164" s="592">
        <f ca="1">IF(AV$12="Pro Forma",SUM(OFFSET($B164,0,3*AV$9+1,1,3)),IFERROR(GETPIVOTDATA("Sum of Q"&amp;AV$9+1,'PT-All'!$A$1,"Scenario",AV$12,"P&amp;L Item",$B164),0))</f>
        <v>0</v>
      </c>
      <c r="AW164" s="592">
        <f ca="1">IF(AW$12="Pro Forma",SUM(OFFSET($B164,0,3*AW$9+1,1,3)),IFERROR(GETPIVOTDATA("Sum of Q"&amp;AW$9+1,'PT-All'!$A$1,"Scenario",AW$12,"P&amp;L Item",$B164),0))</f>
        <v>0</v>
      </c>
      <c r="AX164" s="592">
        <f ca="1">IF(AX$12="Pro Forma",SUM(OFFSET($B164,0,3*AX$9+1,1,3)),IFERROR(GETPIVOTDATA("Sum of Q"&amp;AX$9+1,'PT-All'!$A$1,"Scenario",AX$12,"P&amp;L Item",$B164),0))</f>
        <v>0</v>
      </c>
      <c r="AY164" s="593">
        <f ca="1">IF(AY$12="Pro Forma",SUM(OFFSET($B164,0,3*AY$9+1,1,3)),IFERROR(GETPIVOTDATA("Sum of Q"&amp;AY$9+1,'PT-All'!$A$1,"Scenario",AY$12,"P&amp;L Item",$B164),0))</f>
        <v>0</v>
      </c>
      <c r="AZ164" s="590"/>
      <c r="BA164" s="594">
        <f ca="1">IF(BA$12="Pro Forma",SUM(OFFSET($B164,0,12*BA$9+1,1,12)),IFERROR(GETPIVOTDATA("Sum of FY"&amp;BA$9+1,'PT-All'!$A$1,"Scenario",BA$12,"P&amp;L Item",$B164),0))</f>
        <v>0</v>
      </c>
      <c r="BB164" s="592">
        <f ca="1">IF(BB$12="Pro Forma",SUM(OFFSET($B164,0,12*BB$9+1,1,12)),IFERROR(GETPIVOTDATA("Sum of FY"&amp;BB$9+1,'PT-All'!$A$1,"Scenario",BB$12,"P&amp;L Item",$B164),0))</f>
        <v>0</v>
      </c>
      <c r="BC164" s="593">
        <f ca="1">IF(BC$12="Pro Forma",SUM(OFFSET($B164,0,12*BC$9+1,1,12)),IFERROR(GETPIVOTDATA("Sum of FY"&amp;BC$9+1,'PT-All'!$A$1,"Scenario",BC$12,"P&amp;L Item",$B164),0))</f>
        <v>0</v>
      </c>
    </row>
    <row r="165" spans="2:55" x14ac:dyDescent="0.35">
      <c r="B165" s="356" t="s">
        <v>193</v>
      </c>
      <c r="C165" s="592">
        <f>CHOOSE(PLColumn,IFERROR(GETPIVOTDATA("Sum of "&amp;C$9,'PT-All'!$A$1,"Scenario",C$12,"P&amp;L Item",$B165),0),IFERROR(GETPIVOTDATA("Sum of "&amp;C$9,'PT-All'!$A$1,"Scenario",C$12,"P&amp;L Item",$B165)/C$201,0),TEXT(IFERROR(GETPIVOTDATA("Sum of "&amp;C$9,'PT-All'!$A$1,"Scenario",C$12,"P&amp;L Item",$B165)/C$29,0),"0.00%"))</f>
        <v>0</v>
      </c>
      <c r="D165" s="592">
        <f>CHOOSE(PLColumn,IFERROR(GETPIVOTDATA("Sum of "&amp;D$9,'PT-All'!$A$1,"Scenario",D$12,"P&amp;L Item",$B165),0),IFERROR(GETPIVOTDATA("Sum of "&amp;D$9,'PT-All'!$A$1,"Scenario",D$12,"P&amp;L Item",$B165)/D$201,0),TEXT(IFERROR(GETPIVOTDATA("Sum of "&amp;D$9,'PT-All'!$A$1,"Scenario",D$12,"P&amp;L Item",$B165)/D$29,0),"0.00%"))</f>
        <v>0</v>
      </c>
      <c r="E165" s="592">
        <f>CHOOSE(PLColumn,IFERROR(GETPIVOTDATA("Sum of "&amp;E$9,'PT-All'!$A$1,"Scenario",E$12,"P&amp;L Item",$B165),0),IFERROR(GETPIVOTDATA("Sum of "&amp;E$9,'PT-All'!$A$1,"Scenario",E$12,"P&amp;L Item",$B165)/E$201,0),TEXT(IFERROR(GETPIVOTDATA("Sum of "&amp;E$9,'PT-All'!$A$1,"Scenario",E$12,"P&amp;L Item",$B165)/E$29,0),"0.00%"))</f>
        <v>0</v>
      </c>
      <c r="F165" s="592">
        <f>CHOOSE(PLColumn,IFERROR(GETPIVOTDATA("Sum of "&amp;F$9,'PT-All'!$A$1,"Scenario",F$12,"P&amp;L Item",$B165),0),IFERROR(GETPIVOTDATA("Sum of "&amp;F$9,'PT-All'!$A$1,"Scenario",F$12,"P&amp;L Item",$B165)/F$201,0),TEXT(IFERROR(GETPIVOTDATA("Sum of "&amp;F$9,'PT-All'!$A$1,"Scenario",F$12,"P&amp;L Item",$B165)/F$29,0),"0.00%"))</f>
        <v>0</v>
      </c>
      <c r="G165" s="592">
        <f>CHOOSE(PLColumn,IFERROR(GETPIVOTDATA("Sum of "&amp;G$9,'PT-All'!$A$1,"Scenario",G$12,"P&amp;L Item",$B165),0),IFERROR(GETPIVOTDATA("Sum of "&amp;G$9,'PT-All'!$A$1,"Scenario",G$12,"P&amp;L Item",$B165)/G$201,0),TEXT(IFERROR(GETPIVOTDATA("Sum of "&amp;G$9,'PT-All'!$A$1,"Scenario",G$12,"P&amp;L Item",$B165)/G$29,0),"0.00%"))</f>
        <v>0</v>
      </c>
      <c r="H165" s="592">
        <f>CHOOSE(PLColumn,IFERROR(GETPIVOTDATA("Sum of "&amp;H$9,'PT-All'!$A$1,"Scenario",H$12,"P&amp;L Item",$B165),0),IFERROR(GETPIVOTDATA("Sum of "&amp;H$9,'PT-All'!$A$1,"Scenario",H$12,"P&amp;L Item",$B165)/H$201,0),TEXT(IFERROR(GETPIVOTDATA("Sum of "&amp;H$9,'PT-All'!$A$1,"Scenario",H$12,"P&amp;L Item",$B165)/H$29,0),"0.00%"))</f>
        <v>0</v>
      </c>
      <c r="I165" s="592">
        <f>CHOOSE(PLColumn,IFERROR(GETPIVOTDATA("Sum of "&amp;I$9,'PT-All'!$A$1,"Scenario",I$12,"P&amp;L Item",$B165),0),IFERROR(GETPIVOTDATA("Sum of "&amp;I$9,'PT-All'!$A$1,"Scenario",I$12,"P&amp;L Item",$B165)/I$201,0),TEXT(IFERROR(GETPIVOTDATA("Sum of "&amp;I$9,'PT-All'!$A$1,"Scenario",I$12,"P&amp;L Item",$B165)/I$29,0),"0.00%"))</f>
        <v>0</v>
      </c>
      <c r="J165" s="592">
        <f>CHOOSE(PLColumn,IFERROR(GETPIVOTDATA("Sum of "&amp;J$9,'PT-All'!$A$1,"Scenario",J$12,"P&amp;L Item",$B165),0),IFERROR(GETPIVOTDATA("Sum of "&amp;J$9,'PT-All'!$A$1,"Scenario",J$12,"P&amp;L Item",$B165)/J$201,0),TEXT(IFERROR(GETPIVOTDATA("Sum of "&amp;J$9,'PT-All'!$A$1,"Scenario",J$12,"P&amp;L Item",$B165)/J$29,0),"0.00%"))</f>
        <v>0</v>
      </c>
      <c r="K165" s="592">
        <f>CHOOSE(PLColumn,IFERROR(GETPIVOTDATA("Sum of "&amp;K$9,'PT-All'!$A$1,"Scenario",K$12,"P&amp;L Item",$B165),0),IFERROR(GETPIVOTDATA("Sum of "&amp;K$9,'PT-All'!$A$1,"Scenario",K$12,"P&amp;L Item",$B165)/K$201,0),TEXT(IFERROR(GETPIVOTDATA("Sum of "&amp;K$9,'PT-All'!$A$1,"Scenario",K$12,"P&amp;L Item",$B165)/K$29,0),"0.00%"))</f>
        <v>0</v>
      </c>
      <c r="L165" s="592">
        <f>CHOOSE(PLColumn,IFERROR(GETPIVOTDATA("Sum of "&amp;L$9,'PT-All'!$A$1,"Scenario",L$12,"P&amp;L Item",$B165),0),IFERROR(GETPIVOTDATA("Sum of "&amp;L$9,'PT-All'!$A$1,"Scenario",L$12,"P&amp;L Item",$B165)/L$201,0),TEXT(IFERROR(GETPIVOTDATA("Sum of "&amp;L$9,'PT-All'!$A$1,"Scenario",L$12,"P&amp;L Item",$B165)/L$29,0),"0.00%"))</f>
        <v>0</v>
      </c>
      <c r="M165" s="592">
        <f>CHOOSE(PLColumn,IFERROR(GETPIVOTDATA("Sum of "&amp;M$9,'PT-All'!$A$1,"Scenario",M$12,"P&amp;L Item",$B165),0),IFERROR(GETPIVOTDATA("Sum of "&amp;M$9,'PT-All'!$A$1,"Scenario",M$12,"P&amp;L Item",$B165)/M$201,0),TEXT(IFERROR(GETPIVOTDATA("Sum of "&amp;M$9,'PT-All'!$A$1,"Scenario",M$12,"P&amp;L Item",$B165)/M$29,0),"0.00%"))</f>
        <v>0</v>
      </c>
      <c r="N165" s="592">
        <f>CHOOSE(PLColumn,IFERROR(GETPIVOTDATA("Sum of "&amp;N$9,'PT-All'!$A$1,"Scenario",N$12,"P&amp;L Item",$B165),0),IFERROR(GETPIVOTDATA("Sum of "&amp;N$9,'PT-All'!$A$1,"Scenario",N$12,"P&amp;L Item",$B165)/N$201,0),TEXT(IFERROR(GETPIVOTDATA("Sum of "&amp;N$9,'PT-All'!$A$1,"Scenario",N$12,"P&amp;L Item",$B165)/N$29,0),"0.00%"))</f>
        <v>0</v>
      </c>
      <c r="O165" s="592">
        <f>CHOOSE(PLColumn,IFERROR(GETPIVOTDATA("Sum of "&amp;O$9,'PT-All'!$A$1,"Scenario",O$12,"P&amp;L Item",$B165),0),IFERROR(GETPIVOTDATA("Sum of "&amp;O$9,'PT-All'!$A$1,"Scenario",O$12,"P&amp;L Item",$B165)/O$201,0),TEXT(IFERROR(GETPIVOTDATA("Sum of "&amp;O$9,'PT-All'!$A$1,"Scenario",O$12,"P&amp;L Item",$B165)/O$29,0),"0.00%"))</f>
        <v>0</v>
      </c>
      <c r="P165" s="592">
        <f>CHOOSE(PLColumn,IFERROR(GETPIVOTDATA("Sum of "&amp;P$9,'PT-All'!$A$1,"Scenario",P$12,"P&amp;L Item",$B165),0),IFERROR(GETPIVOTDATA("Sum of "&amp;P$9,'PT-All'!$A$1,"Scenario",P$12,"P&amp;L Item",$B165)/P$201,0),TEXT(IFERROR(GETPIVOTDATA("Sum of "&amp;P$9,'PT-All'!$A$1,"Scenario",P$12,"P&amp;L Item",$B165)/P$29,0),"0.00%"))</f>
        <v>0</v>
      </c>
      <c r="Q165" s="592">
        <f>CHOOSE(PLColumn,IFERROR(GETPIVOTDATA("Sum of "&amp;Q$9,'PT-All'!$A$1,"Scenario",Q$12,"P&amp;L Item",$B165),0),IFERROR(GETPIVOTDATA("Sum of "&amp;Q$9,'PT-All'!$A$1,"Scenario",Q$12,"P&amp;L Item",$B165)/Q$201,0),TEXT(IFERROR(GETPIVOTDATA("Sum of "&amp;Q$9,'PT-All'!$A$1,"Scenario",Q$12,"P&amp;L Item",$B165)/Q$29,0),"0.00%"))</f>
        <v>0</v>
      </c>
      <c r="R165" s="592">
        <f>CHOOSE(PLColumn,IFERROR(GETPIVOTDATA("Sum of "&amp;R$9,'PT-All'!$A$1,"Scenario",R$12,"P&amp;L Item",$B165),0),IFERROR(GETPIVOTDATA("Sum of "&amp;R$9,'PT-All'!$A$1,"Scenario",R$12,"P&amp;L Item",$B165)/R$201,0),TEXT(IFERROR(GETPIVOTDATA("Sum of "&amp;R$9,'PT-All'!$A$1,"Scenario",R$12,"P&amp;L Item",$B165)/R$29,0),"0.00%"))</f>
        <v>0</v>
      </c>
      <c r="S165" s="592">
        <f>CHOOSE(PLColumn,IFERROR(GETPIVOTDATA("Sum of "&amp;S$9,'PT-All'!$A$1,"Scenario",S$12,"P&amp;L Item",$B165),0),IFERROR(GETPIVOTDATA("Sum of "&amp;S$9,'PT-All'!$A$1,"Scenario",S$12,"P&amp;L Item",$B165)/S$201,0),TEXT(IFERROR(GETPIVOTDATA("Sum of "&amp;S$9,'PT-All'!$A$1,"Scenario",S$12,"P&amp;L Item",$B165)/S$29,0),"0.00%"))</f>
        <v>0</v>
      </c>
      <c r="T165" s="592">
        <f>CHOOSE(PLColumn,IFERROR(GETPIVOTDATA("Sum of "&amp;T$9,'PT-All'!$A$1,"Scenario",T$12,"P&amp;L Item",$B165),0),IFERROR(GETPIVOTDATA("Sum of "&amp;T$9,'PT-All'!$A$1,"Scenario",T$12,"P&amp;L Item",$B165)/T$201,0),TEXT(IFERROR(GETPIVOTDATA("Sum of "&amp;T$9,'PT-All'!$A$1,"Scenario",T$12,"P&amp;L Item",$B165)/T$29,0),"0.00%"))</f>
        <v>0</v>
      </c>
      <c r="U165" s="592">
        <f>CHOOSE(PLColumn,IFERROR(GETPIVOTDATA("Sum of "&amp;U$9,'PT-All'!$A$1,"Scenario",U$12,"P&amp;L Item",$B165),0),IFERROR(GETPIVOTDATA("Sum of "&amp;U$9,'PT-All'!$A$1,"Scenario",U$12,"P&amp;L Item",$B165)/U$201,0),TEXT(IFERROR(GETPIVOTDATA("Sum of "&amp;U$9,'PT-All'!$A$1,"Scenario",U$12,"P&amp;L Item",$B165)/U$29,0),"0.00%"))</f>
        <v>0</v>
      </c>
      <c r="V165" s="592">
        <f>CHOOSE(PLColumn,IFERROR(GETPIVOTDATA("Sum of "&amp;V$9,'PT-All'!$A$1,"Scenario",V$12,"P&amp;L Item",$B165),0),IFERROR(GETPIVOTDATA("Sum of "&amp;V$9,'PT-All'!$A$1,"Scenario",V$12,"P&amp;L Item",$B165)/V$201,0),TEXT(IFERROR(GETPIVOTDATA("Sum of "&amp;V$9,'PT-All'!$A$1,"Scenario",V$12,"P&amp;L Item",$B165)/V$29,0),"0.00%"))</f>
        <v>0</v>
      </c>
      <c r="W165" s="592">
        <f>CHOOSE(PLColumn,IFERROR(GETPIVOTDATA("Sum of "&amp;W$9,'PT-All'!$A$1,"Scenario",W$12,"P&amp;L Item",$B165),0),IFERROR(GETPIVOTDATA("Sum of "&amp;W$9,'PT-All'!$A$1,"Scenario",W$12,"P&amp;L Item",$B165)/W$201,0),TEXT(IFERROR(GETPIVOTDATA("Sum of "&amp;W$9,'PT-All'!$A$1,"Scenario",W$12,"P&amp;L Item",$B165)/W$29,0),"0.00%"))</f>
        <v>0</v>
      </c>
      <c r="X165" s="592">
        <f>CHOOSE(PLColumn,IFERROR(GETPIVOTDATA("Sum of "&amp;X$9,'PT-All'!$A$1,"Scenario",X$12,"P&amp;L Item",$B165),0),IFERROR(GETPIVOTDATA("Sum of "&amp;X$9,'PT-All'!$A$1,"Scenario",X$12,"P&amp;L Item",$B165)/X$201,0),TEXT(IFERROR(GETPIVOTDATA("Sum of "&amp;X$9,'PT-All'!$A$1,"Scenario",X$12,"P&amp;L Item",$B165)/X$29,0),"0.00%"))</f>
        <v>0</v>
      </c>
      <c r="Y165" s="592">
        <f>CHOOSE(PLColumn,IFERROR(GETPIVOTDATA("Sum of "&amp;Y$9,'PT-All'!$A$1,"Scenario",Y$12,"P&amp;L Item",$B165),0),IFERROR(GETPIVOTDATA("Sum of "&amp;Y$9,'PT-All'!$A$1,"Scenario",Y$12,"P&amp;L Item",$B165)/Y$201,0),TEXT(IFERROR(GETPIVOTDATA("Sum of "&amp;Y$9,'PT-All'!$A$1,"Scenario",Y$12,"P&amp;L Item",$B165)/Y$29,0),"0.00%"))</f>
        <v>0</v>
      </c>
      <c r="Z165" s="592">
        <f>CHOOSE(PLColumn,IFERROR(GETPIVOTDATA("Sum of "&amp;Z$9,'PT-All'!$A$1,"Scenario",Z$12,"P&amp;L Item",$B165),0),IFERROR(GETPIVOTDATA("Sum of "&amp;Z$9,'PT-All'!$A$1,"Scenario",Z$12,"P&amp;L Item",$B165)/Z$201,0),TEXT(IFERROR(GETPIVOTDATA("Sum of "&amp;Z$9,'PT-All'!$A$1,"Scenario",Z$12,"P&amp;L Item",$B165)/Z$29,0),"0.00%"))</f>
        <v>0</v>
      </c>
      <c r="AA165" s="592">
        <f>CHOOSE(PLColumn,IFERROR(GETPIVOTDATA("Sum of "&amp;AA$9,'PT-All'!$A$1,"Scenario",AA$12,"P&amp;L Item",$B165),0),IFERROR(GETPIVOTDATA("Sum of "&amp;AA$9,'PT-All'!$A$1,"Scenario",AA$12,"P&amp;L Item",$B165)/AA$201,0),TEXT(IFERROR(GETPIVOTDATA("Sum of "&amp;AA$9,'PT-All'!$A$1,"Scenario",AA$12,"P&amp;L Item",$B165)/AA$29,0),"0.00%"))</f>
        <v>0</v>
      </c>
      <c r="AB165" s="592">
        <f>CHOOSE(PLColumn,IFERROR(GETPIVOTDATA("Sum of "&amp;AB$9,'PT-All'!$A$1,"Scenario",AB$12,"P&amp;L Item",$B165),0),IFERROR(GETPIVOTDATA("Sum of "&amp;AB$9,'PT-All'!$A$1,"Scenario",AB$12,"P&amp;L Item",$B165)/AB$201,0),TEXT(IFERROR(GETPIVOTDATA("Sum of "&amp;AB$9,'PT-All'!$A$1,"Scenario",AB$12,"P&amp;L Item",$B165)/AB$29,0),"0.00%"))</f>
        <v>0</v>
      </c>
      <c r="AC165" s="592">
        <f>CHOOSE(PLColumn,IFERROR(GETPIVOTDATA("Sum of "&amp;AC$9,'PT-All'!$A$1,"Scenario",AC$12,"P&amp;L Item",$B165),0),IFERROR(GETPIVOTDATA("Sum of "&amp;AC$9,'PT-All'!$A$1,"Scenario",AC$12,"P&amp;L Item",$B165)/AC$201,0),TEXT(IFERROR(GETPIVOTDATA("Sum of "&amp;AC$9,'PT-All'!$A$1,"Scenario",AC$12,"P&amp;L Item",$B165)/AC$29,0),"0.00%"))</f>
        <v>0</v>
      </c>
      <c r="AD165" s="592">
        <f>CHOOSE(PLColumn,IFERROR(GETPIVOTDATA("Sum of "&amp;AD$9,'PT-All'!$A$1,"Scenario",AD$12,"P&amp;L Item",$B165),0),IFERROR(GETPIVOTDATA("Sum of "&amp;AD$9,'PT-All'!$A$1,"Scenario",AD$12,"P&amp;L Item",$B165)/AD$201,0),TEXT(IFERROR(GETPIVOTDATA("Sum of "&amp;AD$9,'PT-All'!$A$1,"Scenario",AD$12,"P&amp;L Item",$B165)/AD$29,0),"0.00%"))</f>
        <v>0</v>
      </c>
      <c r="AE165" s="592">
        <f>CHOOSE(PLColumn,IFERROR(GETPIVOTDATA("Sum of "&amp;AE$9,'PT-All'!$A$1,"Scenario",AE$12,"P&amp;L Item",$B165),0),IFERROR(GETPIVOTDATA("Sum of "&amp;AE$9,'PT-All'!$A$1,"Scenario",AE$12,"P&amp;L Item",$B165)/AE$201,0),TEXT(IFERROR(GETPIVOTDATA("Sum of "&amp;AE$9,'PT-All'!$A$1,"Scenario",AE$12,"P&amp;L Item",$B165)/AE$29,0),"0.00%"))</f>
        <v>0</v>
      </c>
      <c r="AF165" s="592">
        <f>CHOOSE(PLColumn,IFERROR(GETPIVOTDATA("Sum of "&amp;AF$9,'PT-All'!$A$1,"Scenario",AF$12,"P&amp;L Item",$B165),0),IFERROR(GETPIVOTDATA("Sum of "&amp;AF$9,'PT-All'!$A$1,"Scenario",AF$12,"P&amp;L Item",$B165)/AF$201,0),TEXT(IFERROR(GETPIVOTDATA("Sum of "&amp;AF$9,'PT-All'!$A$1,"Scenario",AF$12,"P&amp;L Item",$B165)/AF$29,0),"0.00%"))</f>
        <v>0</v>
      </c>
      <c r="AG165" s="592">
        <f>CHOOSE(PLColumn,IFERROR(GETPIVOTDATA("Sum of "&amp;AG$9,'PT-All'!$A$1,"Scenario",AG$12,"P&amp;L Item",$B165),0),IFERROR(GETPIVOTDATA("Sum of "&amp;AG$9,'PT-All'!$A$1,"Scenario",AG$12,"P&amp;L Item",$B165)/AG$201,0),TEXT(IFERROR(GETPIVOTDATA("Sum of "&amp;AG$9,'PT-All'!$A$1,"Scenario",AG$12,"P&amp;L Item",$B165)/AG$29,0),"0.00%"))</f>
        <v>0</v>
      </c>
      <c r="AH165" s="592">
        <f>CHOOSE(PLColumn,IFERROR(GETPIVOTDATA("Sum of "&amp;AH$9,'PT-All'!$A$1,"Scenario",AH$12,"P&amp;L Item",$B165),0),IFERROR(GETPIVOTDATA("Sum of "&amp;AH$9,'PT-All'!$A$1,"Scenario",AH$12,"P&amp;L Item",$B165)/AH$201,0),TEXT(IFERROR(GETPIVOTDATA("Sum of "&amp;AH$9,'PT-All'!$A$1,"Scenario",AH$12,"P&amp;L Item",$B165)/AH$29,0),"0.00%"))</f>
        <v>0</v>
      </c>
      <c r="AI165" s="592">
        <f>CHOOSE(PLColumn,IFERROR(GETPIVOTDATA("Sum of "&amp;AI$9,'PT-All'!$A$1,"Scenario",AI$12,"P&amp;L Item",$B165),0),IFERROR(GETPIVOTDATA("Sum of "&amp;AI$9,'PT-All'!$A$1,"Scenario",AI$12,"P&amp;L Item",$B165)/AI$201,0),TEXT(IFERROR(GETPIVOTDATA("Sum of "&amp;AI$9,'PT-All'!$A$1,"Scenario",AI$12,"P&amp;L Item",$B165)/AI$29,0),"0.00%"))</f>
        <v>0</v>
      </c>
      <c r="AJ165" s="592">
        <f>CHOOSE(PLColumn,IFERROR(GETPIVOTDATA("Sum of "&amp;AJ$9,'PT-All'!$A$1,"Scenario",AJ$12,"P&amp;L Item",$B165),0),IFERROR(GETPIVOTDATA("Sum of "&amp;AJ$9,'PT-All'!$A$1,"Scenario",AJ$12,"P&amp;L Item",$B165)/AJ$201,0),TEXT(IFERROR(GETPIVOTDATA("Sum of "&amp;AJ$9,'PT-All'!$A$1,"Scenario",AJ$12,"P&amp;L Item",$B165)/AJ$29,0),"0.00%"))</f>
        <v>0</v>
      </c>
      <c r="AK165" s="592">
        <f>CHOOSE(PLColumn,IFERROR(GETPIVOTDATA("Sum of "&amp;AK$9,'PT-All'!$A$1,"Scenario",AK$12,"P&amp;L Item",$B165),0),IFERROR(GETPIVOTDATA("Sum of "&amp;AK$9,'PT-All'!$A$1,"Scenario",AK$12,"P&amp;L Item",$B165)/AK$201,0),TEXT(IFERROR(GETPIVOTDATA("Sum of "&amp;AK$9,'PT-All'!$A$1,"Scenario",AK$12,"P&amp;L Item",$B165)/AK$29,0),"0.00%"))</f>
        <v>0</v>
      </c>
      <c r="AL165" s="593">
        <f>CHOOSE(PLColumn,IFERROR(GETPIVOTDATA("Sum of "&amp;AL$9,'PT-All'!$A$1,"Scenario",AL$12,"P&amp;L Item",$B165),0),IFERROR(GETPIVOTDATA("Sum of "&amp;AL$9,'PT-All'!$A$1,"Scenario",AL$12,"P&amp;L Item",$B165)/AL$201,0),TEXT(IFERROR(GETPIVOTDATA("Sum of "&amp;AL$9,'PT-All'!$A$1,"Scenario",AL$12,"P&amp;L Item",$B165)/AL$29,0),"0.00%"))</f>
        <v>0</v>
      </c>
      <c r="AM165" s="590"/>
      <c r="AN165" s="594">
        <f ca="1">IF(AN$12="Pro Forma",SUM(OFFSET($B165,0,3*AN$9+1,1,3)),IFERROR(GETPIVOTDATA("Sum of Q"&amp;AN$9+1,'PT-All'!$A$1,"Scenario",AN$12,"P&amp;L Item",$B165),0))</f>
        <v>0</v>
      </c>
      <c r="AO165" s="592">
        <f ca="1">IF(AO$12="Pro Forma",SUM(OFFSET($B165,0,3*AO$9+1,1,3)),IFERROR(GETPIVOTDATA("Sum of Q"&amp;AO$9+1,'PT-All'!$A$1,"Scenario",AO$12,"P&amp;L Item",$B165),0))</f>
        <v>0</v>
      </c>
      <c r="AP165" s="592">
        <f ca="1">IF(AP$12="Pro Forma",SUM(OFFSET($B165,0,3*AP$9+1,1,3)),IFERROR(GETPIVOTDATA("Sum of Q"&amp;AP$9+1,'PT-All'!$A$1,"Scenario",AP$12,"P&amp;L Item",$B165),0))</f>
        <v>0</v>
      </c>
      <c r="AQ165" s="592">
        <f ca="1">IF(AQ$12="Pro Forma",SUM(OFFSET($B165,0,3*AQ$9+1,1,3)),IFERROR(GETPIVOTDATA("Sum of Q"&amp;AQ$9+1,'PT-All'!$A$1,"Scenario",AQ$12,"P&amp;L Item",$B165),0))</f>
        <v>0</v>
      </c>
      <c r="AR165" s="592">
        <f ca="1">IF(AR$12="Pro Forma",SUM(OFFSET($B165,0,3*AR$9+1,1,3)),IFERROR(GETPIVOTDATA("Sum of Q"&amp;AR$9+1,'PT-All'!$A$1,"Scenario",AR$12,"P&amp;L Item",$B165),0))</f>
        <v>0</v>
      </c>
      <c r="AS165" s="592">
        <f ca="1">IF(AS$12="Pro Forma",SUM(OFFSET($B165,0,3*AS$9+1,1,3)),IFERROR(GETPIVOTDATA("Sum of Q"&amp;AS$9+1,'PT-All'!$A$1,"Scenario",AS$12,"P&amp;L Item",$B165),0))</f>
        <v>0</v>
      </c>
      <c r="AT165" s="592">
        <f ca="1">IF(AT$12="Pro Forma",SUM(OFFSET($B165,0,3*AT$9+1,1,3)),IFERROR(GETPIVOTDATA("Sum of Q"&amp;AT$9+1,'PT-All'!$A$1,"Scenario",AT$12,"P&amp;L Item",$B165),0))</f>
        <v>0</v>
      </c>
      <c r="AU165" s="592">
        <f ca="1">IF(AU$12="Pro Forma",SUM(OFFSET($B165,0,3*AU$9+1,1,3)),IFERROR(GETPIVOTDATA("Sum of Q"&amp;AU$9+1,'PT-All'!$A$1,"Scenario",AU$12,"P&amp;L Item",$B165),0))</f>
        <v>0</v>
      </c>
      <c r="AV165" s="592">
        <f ca="1">IF(AV$12="Pro Forma",SUM(OFFSET($B165,0,3*AV$9+1,1,3)),IFERROR(GETPIVOTDATA("Sum of Q"&amp;AV$9+1,'PT-All'!$A$1,"Scenario",AV$12,"P&amp;L Item",$B165),0))</f>
        <v>0</v>
      </c>
      <c r="AW165" s="592">
        <f ca="1">IF(AW$12="Pro Forma",SUM(OFFSET($B165,0,3*AW$9+1,1,3)),IFERROR(GETPIVOTDATA("Sum of Q"&amp;AW$9+1,'PT-All'!$A$1,"Scenario",AW$12,"P&amp;L Item",$B165),0))</f>
        <v>0</v>
      </c>
      <c r="AX165" s="592">
        <f ca="1">IF(AX$12="Pro Forma",SUM(OFFSET($B165,0,3*AX$9+1,1,3)),IFERROR(GETPIVOTDATA("Sum of Q"&amp;AX$9+1,'PT-All'!$A$1,"Scenario",AX$12,"P&amp;L Item",$B165),0))</f>
        <v>0</v>
      </c>
      <c r="AY165" s="593">
        <f ca="1">IF(AY$12="Pro Forma",SUM(OFFSET($B165,0,3*AY$9+1,1,3)),IFERROR(GETPIVOTDATA("Sum of Q"&amp;AY$9+1,'PT-All'!$A$1,"Scenario",AY$12,"P&amp;L Item",$B165),0))</f>
        <v>0</v>
      </c>
      <c r="AZ165" s="590"/>
      <c r="BA165" s="594">
        <f ca="1">IF(BA$12="Pro Forma",SUM(OFFSET($B165,0,12*BA$9+1,1,12)),IFERROR(GETPIVOTDATA("Sum of FY"&amp;BA$9+1,'PT-All'!$A$1,"Scenario",BA$12,"P&amp;L Item",$B165),0))</f>
        <v>0</v>
      </c>
      <c r="BB165" s="592">
        <f ca="1">IF(BB$12="Pro Forma",SUM(OFFSET($B165,0,12*BB$9+1,1,12)),IFERROR(GETPIVOTDATA("Sum of FY"&amp;BB$9+1,'PT-All'!$A$1,"Scenario",BB$12,"P&amp;L Item",$B165),0))</f>
        <v>0</v>
      </c>
      <c r="BC165" s="593">
        <f ca="1">IF(BC$12="Pro Forma",SUM(OFFSET($B165,0,12*BC$9+1,1,12)),IFERROR(GETPIVOTDATA("Sum of FY"&amp;BC$9+1,'PT-All'!$A$1,"Scenario",BC$12,"P&amp;L Item",$B165),0))</f>
        <v>0</v>
      </c>
    </row>
    <row r="166" spans="2:55" x14ac:dyDescent="0.35">
      <c r="B166" s="356" t="s">
        <v>194</v>
      </c>
      <c r="C166" s="592">
        <f>CHOOSE(PLColumn,IFERROR(GETPIVOTDATA("Sum of "&amp;C$9,'PT-All'!$A$1,"Scenario",C$12,"P&amp;L Item",$B166),0),IFERROR(GETPIVOTDATA("Sum of "&amp;C$9,'PT-All'!$A$1,"Scenario",C$12,"P&amp;L Item",$B166)/C$201,0),TEXT(IFERROR(GETPIVOTDATA("Sum of "&amp;C$9,'PT-All'!$A$1,"Scenario",C$12,"P&amp;L Item",$B166)/C$29,0),"0.00%"))</f>
        <v>0</v>
      </c>
      <c r="D166" s="592">
        <f>CHOOSE(PLColumn,IFERROR(GETPIVOTDATA("Sum of "&amp;D$9,'PT-All'!$A$1,"Scenario",D$12,"P&amp;L Item",$B166),0),IFERROR(GETPIVOTDATA("Sum of "&amp;D$9,'PT-All'!$A$1,"Scenario",D$12,"P&amp;L Item",$B166)/D$201,0),TEXT(IFERROR(GETPIVOTDATA("Sum of "&amp;D$9,'PT-All'!$A$1,"Scenario",D$12,"P&amp;L Item",$B166)/D$29,0),"0.00%"))</f>
        <v>0</v>
      </c>
      <c r="E166" s="592">
        <f>CHOOSE(PLColumn,IFERROR(GETPIVOTDATA("Sum of "&amp;E$9,'PT-All'!$A$1,"Scenario",E$12,"P&amp;L Item",$B166),0),IFERROR(GETPIVOTDATA("Sum of "&amp;E$9,'PT-All'!$A$1,"Scenario",E$12,"P&amp;L Item",$B166)/E$201,0),TEXT(IFERROR(GETPIVOTDATA("Sum of "&amp;E$9,'PT-All'!$A$1,"Scenario",E$12,"P&amp;L Item",$B166)/E$29,0),"0.00%"))</f>
        <v>0</v>
      </c>
      <c r="F166" s="592">
        <f>CHOOSE(PLColumn,IFERROR(GETPIVOTDATA("Sum of "&amp;F$9,'PT-All'!$A$1,"Scenario",F$12,"P&amp;L Item",$B166),0),IFERROR(GETPIVOTDATA("Sum of "&amp;F$9,'PT-All'!$A$1,"Scenario",F$12,"P&amp;L Item",$B166)/F$201,0),TEXT(IFERROR(GETPIVOTDATA("Sum of "&amp;F$9,'PT-All'!$A$1,"Scenario",F$12,"P&amp;L Item",$B166)/F$29,0),"0.00%"))</f>
        <v>0</v>
      </c>
      <c r="G166" s="592">
        <f>CHOOSE(PLColumn,IFERROR(GETPIVOTDATA("Sum of "&amp;G$9,'PT-All'!$A$1,"Scenario",G$12,"P&amp;L Item",$B166),0),IFERROR(GETPIVOTDATA("Sum of "&amp;G$9,'PT-All'!$A$1,"Scenario",G$12,"P&amp;L Item",$B166)/G$201,0),TEXT(IFERROR(GETPIVOTDATA("Sum of "&amp;G$9,'PT-All'!$A$1,"Scenario",G$12,"P&amp;L Item",$B166)/G$29,0),"0.00%"))</f>
        <v>0</v>
      </c>
      <c r="H166" s="592">
        <f>CHOOSE(PLColumn,IFERROR(GETPIVOTDATA("Sum of "&amp;H$9,'PT-All'!$A$1,"Scenario",H$12,"P&amp;L Item",$B166),0),IFERROR(GETPIVOTDATA("Sum of "&amp;H$9,'PT-All'!$A$1,"Scenario",H$12,"P&amp;L Item",$B166)/H$201,0),TEXT(IFERROR(GETPIVOTDATA("Sum of "&amp;H$9,'PT-All'!$A$1,"Scenario",H$12,"P&amp;L Item",$B166)/H$29,0),"0.00%"))</f>
        <v>0</v>
      </c>
      <c r="I166" s="592">
        <f>CHOOSE(PLColumn,IFERROR(GETPIVOTDATA("Sum of "&amp;I$9,'PT-All'!$A$1,"Scenario",I$12,"P&amp;L Item",$B166),0),IFERROR(GETPIVOTDATA("Sum of "&amp;I$9,'PT-All'!$A$1,"Scenario",I$12,"P&amp;L Item",$B166)/I$201,0),TEXT(IFERROR(GETPIVOTDATA("Sum of "&amp;I$9,'PT-All'!$A$1,"Scenario",I$12,"P&amp;L Item",$B166)/I$29,0),"0.00%"))</f>
        <v>0</v>
      </c>
      <c r="J166" s="592">
        <f>CHOOSE(PLColumn,IFERROR(GETPIVOTDATA("Sum of "&amp;J$9,'PT-All'!$A$1,"Scenario",J$12,"P&amp;L Item",$B166),0),IFERROR(GETPIVOTDATA("Sum of "&amp;J$9,'PT-All'!$A$1,"Scenario",J$12,"P&amp;L Item",$B166)/J$201,0),TEXT(IFERROR(GETPIVOTDATA("Sum of "&amp;J$9,'PT-All'!$A$1,"Scenario",J$12,"P&amp;L Item",$B166)/J$29,0),"0.00%"))</f>
        <v>0</v>
      </c>
      <c r="K166" s="592">
        <f>CHOOSE(PLColumn,IFERROR(GETPIVOTDATA("Sum of "&amp;K$9,'PT-All'!$A$1,"Scenario",K$12,"P&amp;L Item",$B166),0),IFERROR(GETPIVOTDATA("Sum of "&amp;K$9,'PT-All'!$A$1,"Scenario",K$12,"P&amp;L Item",$B166)/K$201,0),TEXT(IFERROR(GETPIVOTDATA("Sum of "&amp;K$9,'PT-All'!$A$1,"Scenario",K$12,"P&amp;L Item",$B166)/K$29,0),"0.00%"))</f>
        <v>0</v>
      </c>
      <c r="L166" s="592">
        <f>CHOOSE(PLColumn,IFERROR(GETPIVOTDATA("Sum of "&amp;L$9,'PT-All'!$A$1,"Scenario",L$12,"P&amp;L Item",$B166),0),IFERROR(GETPIVOTDATA("Sum of "&amp;L$9,'PT-All'!$A$1,"Scenario",L$12,"P&amp;L Item",$B166)/L$201,0),TEXT(IFERROR(GETPIVOTDATA("Sum of "&amp;L$9,'PT-All'!$A$1,"Scenario",L$12,"P&amp;L Item",$B166)/L$29,0),"0.00%"))</f>
        <v>0</v>
      </c>
      <c r="M166" s="592">
        <f>CHOOSE(PLColumn,IFERROR(GETPIVOTDATA("Sum of "&amp;M$9,'PT-All'!$A$1,"Scenario",M$12,"P&amp;L Item",$B166),0),IFERROR(GETPIVOTDATA("Sum of "&amp;M$9,'PT-All'!$A$1,"Scenario",M$12,"P&amp;L Item",$B166)/M$201,0),TEXT(IFERROR(GETPIVOTDATA("Sum of "&amp;M$9,'PT-All'!$A$1,"Scenario",M$12,"P&amp;L Item",$B166)/M$29,0),"0.00%"))</f>
        <v>0</v>
      </c>
      <c r="N166" s="592">
        <f>CHOOSE(PLColumn,IFERROR(GETPIVOTDATA("Sum of "&amp;N$9,'PT-All'!$A$1,"Scenario",N$12,"P&amp;L Item",$B166),0),IFERROR(GETPIVOTDATA("Sum of "&amp;N$9,'PT-All'!$A$1,"Scenario",N$12,"P&amp;L Item",$B166)/N$201,0),TEXT(IFERROR(GETPIVOTDATA("Sum of "&amp;N$9,'PT-All'!$A$1,"Scenario",N$12,"P&amp;L Item",$B166)/N$29,0),"0.00%"))</f>
        <v>0</v>
      </c>
      <c r="O166" s="592">
        <f>CHOOSE(PLColumn,IFERROR(GETPIVOTDATA("Sum of "&amp;O$9,'PT-All'!$A$1,"Scenario",O$12,"P&amp;L Item",$B166),0),IFERROR(GETPIVOTDATA("Sum of "&amp;O$9,'PT-All'!$A$1,"Scenario",O$12,"P&amp;L Item",$B166)/O$201,0),TEXT(IFERROR(GETPIVOTDATA("Sum of "&amp;O$9,'PT-All'!$A$1,"Scenario",O$12,"P&amp;L Item",$B166)/O$29,0),"0.00%"))</f>
        <v>0</v>
      </c>
      <c r="P166" s="592">
        <f>CHOOSE(PLColumn,IFERROR(GETPIVOTDATA("Sum of "&amp;P$9,'PT-All'!$A$1,"Scenario",P$12,"P&amp;L Item",$B166),0),IFERROR(GETPIVOTDATA("Sum of "&amp;P$9,'PT-All'!$A$1,"Scenario",P$12,"P&amp;L Item",$B166)/P$201,0),TEXT(IFERROR(GETPIVOTDATA("Sum of "&amp;P$9,'PT-All'!$A$1,"Scenario",P$12,"P&amp;L Item",$B166)/P$29,0),"0.00%"))</f>
        <v>0</v>
      </c>
      <c r="Q166" s="592">
        <f>CHOOSE(PLColumn,IFERROR(GETPIVOTDATA("Sum of "&amp;Q$9,'PT-All'!$A$1,"Scenario",Q$12,"P&amp;L Item",$B166),0),IFERROR(GETPIVOTDATA("Sum of "&amp;Q$9,'PT-All'!$A$1,"Scenario",Q$12,"P&amp;L Item",$B166)/Q$201,0),TEXT(IFERROR(GETPIVOTDATA("Sum of "&amp;Q$9,'PT-All'!$A$1,"Scenario",Q$12,"P&amp;L Item",$B166)/Q$29,0),"0.00%"))</f>
        <v>0</v>
      </c>
      <c r="R166" s="592">
        <f>CHOOSE(PLColumn,IFERROR(GETPIVOTDATA("Sum of "&amp;R$9,'PT-All'!$A$1,"Scenario",R$12,"P&amp;L Item",$B166),0),IFERROR(GETPIVOTDATA("Sum of "&amp;R$9,'PT-All'!$A$1,"Scenario",R$12,"P&amp;L Item",$B166)/R$201,0),TEXT(IFERROR(GETPIVOTDATA("Sum of "&amp;R$9,'PT-All'!$A$1,"Scenario",R$12,"P&amp;L Item",$B166)/R$29,0),"0.00%"))</f>
        <v>0</v>
      </c>
      <c r="S166" s="592">
        <f>CHOOSE(PLColumn,IFERROR(GETPIVOTDATA("Sum of "&amp;S$9,'PT-All'!$A$1,"Scenario",S$12,"P&amp;L Item",$B166),0),IFERROR(GETPIVOTDATA("Sum of "&amp;S$9,'PT-All'!$A$1,"Scenario",S$12,"P&amp;L Item",$B166)/S$201,0),TEXT(IFERROR(GETPIVOTDATA("Sum of "&amp;S$9,'PT-All'!$A$1,"Scenario",S$12,"P&amp;L Item",$B166)/S$29,0),"0.00%"))</f>
        <v>0</v>
      </c>
      <c r="T166" s="592">
        <f>CHOOSE(PLColumn,IFERROR(GETPIVOTDATA("Sum of "&amp;T$9,'PT-All'!$A$1,"Scenario",T$12,"P&amp;L Item",$B166),0),IFERROR(GETPIVOTDATA("Sum of "&amp;T$9,'PT-All'!$A$1,"Scenario",T$12,"P&amp;L Item",$B166)/T$201,0),TEXT(IFERROR(GETPIVOTDATA("Sum of "&amp;T$9,'PT-All'!$A$1,"Scenario",T$12,"P&amp;L Item",$B166)/T$29,0),"0.00%"))</f>
        <v>0</v>
      </c>
      <c r="U166" s="592">
        <f>CHOOSE(PLColumn,IFERROR(GETPIVOTDATA("Sum of "&amp;U$9,'PT-All'!$A$1,"Scenario",U$12,"P&amp;L Item",$B166),0),IFERROR(GETPIVOTDATA("Sum of "&amp;U$9,'PT-All'!$A$1,"Scenario",U$12,"P&amp;L Item",$B166)/U$201,0),TEXT(IFERROR(GETPIVOTDATA("Sum of "&amp;U$9,'PT-All'!$A$1,"Scenario",U$12,"P&amp;L Item",$B166)/U$29,0),"0.00%"))</f>
        <v>0</v>
      </c>
      <c r="V166" s="592">
        <f>CHOOSE(PLColumn,IFERROR(GETPIVOTDATA("Sum of "&amp;V$9,'PT-All'!$A$1,"Scenario",V$12,"P&amp;L Item",$B166),0),IFERROR(GETPIVOTDATA("Sum of "&amp;V$9,'PT-All'!$A$1,"Scenario",V$12,"P&amp;L Item",$B166)/V$201,0),TEXT(IFERROR(GETPIVOTDATA("Sum of "&amp;V$9,'PT-All'!$A$1,"Scenario",V$12,"P&amp;L Item",$B166)/V$29,0),"0.00%"))</f>
        <v>0</v>
      </c>
      <c r="W166" s="592">
        <f>CHOOSE(PLColumn,IFERROR(GETPIVOTDATA("Sum of "&amp;W$9,'PT-All'!$A$1,"Scenario",W$12,"P&amp;L Item",$B166),0),IFERROR(GETPIVOTDATA("Sum of "&amp;W$9,'PT-All'!$A$1,"Scenario",W$12,"P&amp;L Item",$B166)/W$201,0),TEXT(IFERROR(GETPIVOTDATA("Sum of "&amp;W$9,'PT-All'!$A$1,"Scenario",W$12,"P&amp;L Item",$B166)/W$29,0),"0.00%"))</f>
        <v>0</v>
      </c>
      <c r="X166" s="592">
        <f>CHOOSE(PLColumn,IFERROR(GETPIVOTDATA("Sum of "&amp;X$9,'PT-All'!$A$1,"Scenario",X$12,"P&amp;L Item",$B166),0),IFERROR(GETPIVOTDATA("Sum of "&amp;X$9,'PT-All'!$A$1,"Scenario",X$12,"P&amp;L Item",$B166)/X$201,0),TEXT(IFERROR(GETPIVOTDATA("Sum of "&amp;X$9,'PT-All'!$A$1,"Scenario",X$12,"P&amp;L Item",$B166)/X$29,0),"0.00%"))</f>
        <v>0</v>
      </c>
      <c r="Y166" s="592">
        <f>CHOOSE(PLColumn,IFERROR(GETPIVOTDATA("Sum of "&amp;Y$9,'PT-All'!$A$1,"Scenario",Y$12,"P&amp;L Item",$B166),0),IFERROR(GETPIVOTDATA("Sum of "&amp;Y$9,'PT-All'!$A$1,"Scenario",Y$12,"P&amp;L Item",$B166)/Y$201,0),TEXT(IFERROR(GETPIVOTDATA("Sum of "&amp;Y$9,'PT-All'!$A$1,"Scenario",Y$12,"P&amp;L Item",$B166)/Y$29,0),"0.00%"))</f>
        <v>0</v>
      </c>
      <c r="Z166" s="592">
        <f>CHOOSE(PLColumn,IFERROR(GETPIVOTDATA("Sum of "&amp;Z$9,'PT-All'!$A$1,"Scenario",Z$12,"P&amp;L Item",$B166),0),IFERROR(GETPIVOTDATA("Sum of "&amp;Z$9,'PT-All'!$A$1,"Scenario",Z$12,"P&amp;L Item",$B166)/Z$201,0),TEXT(IFERROR(GETPIVOTDATA("Sum of "&amp;Z$9,'PT-All'!$A$1,"Scenario",Z$12,"P&amp;L Item",$B166)/Z$29,0),"0.00%"))</f>
        <v>0</v>
      </c>
      <c r="AA166" s="592">
        <f>CHOOSE(PLColumn,IFERROR(GETPIVOTDATA("Sum of "&amp;AA$9,'PT-All'!$A$1,"Scenario",AA$12,"P&amp;L Item",$B166),0),IFERROR(GETPIVOTDATA("Sum of "&amp;AA$9,'PT-All'!$A$1,"Scenario",AA$12,"P&amp;L Item",$B166)/AA$201,0),TEXT(IFERROR(GETPIVOTDATA("Sum of "&amp;AA$9,'PT-All'!$A$1,"Scenario",AA$12,"P&amp;L Item",$B166)/AA$29,0),"0.00%"))</f>
        <v>0</v>
      </c>
      <c r="AB166" s="592">
        <f>CHOOSE(PLColumn,IFERROR(GETPIVOTDATA("Sum of "&amp;AB$9,'PT-All'!$A$1,"Scenario",AB$12,"P&amp;L Item",$B166),0),IFERROR(GETPIVOTDATA("Sum of "&amp;AB$9,'PT-All'!$A$1,"Scenario",AB$12,"P&amp;L Item",$B166)/AB$201,0),TEXT(IFERROR(GETPIVOTDATA("Sum of "&amp;AB$9,'PT-All'!$A$1,"Scenario",AB$12,"P&amp;L Item",$B166)/AB$29,0),"0.00%"))</f>
        <v>0</v>
      </c>
      <c r="AC166" s="592">
        <f>CHOOSE(PLColumn,IFERROR(GETPIVOTDATA("Sum of "&amp;AC$9,'PT-All'!$A$1,"Scenario",AC$12,"P&amp;L Item",$B166),0),IFERROR(GETPIVOTDATA("Sum of "&amp;AC$9,'PT-All'!$A$1,"Scenario",AC$12,"P&amp;L Item",$B166)/AC$201,0),TEXT(IFERROR(GETPIVOTDATA("Sum of "&amp;AC$9,'PT-All'!$A$1,"Scenario",AC$12,"P&amp;L Item",$B166)/AC$29,0),"0.00%"))</f>
        <v>0</v>
      </c>
      <c r="AD166" s="592">
        <f>CHOOSE(PLColumn,IFERROR(GETPIVOTDATA("Sum of "&amp;AD$9,'PT-All'!$A$1,"Scenario",AD$12,"P&amp;L Item",$B166),0),IFERROR(GETPIVOTDATA("Sum of "&amp;AD$9,'PT-All'!$A$1,"Scenario",AD$12,"P&amp;L Item",$B166)/AD$201,0),TEXT(IFERROR(GETPIVOTDATA("Sum of "&amp;AD$9,'PT-All'!$A$1,"Scenario",AD$12,"P&amp;L Item",$B166)/AD$29,0),"0.00%"))</f>
        <v>0</v>
      </c>
      <c r="AE166" s="592">
        <f>CHOOSE(PLColumn,IFERROR(GETPIVOTDATA("Sum of "&amp;AE$9,'PT-All'!$A$1,"Scenario",AE$12,"P&amp;L Item",$B166),0),IFERROR(GETPIVOTDATA("Sum of "&amp;AE$9,'PT-All'!$A$1,"Scenario",AE$12,"P&amp;L Item",$B166)/AE$201,0),TEXT(IFERROR(GETPIVOTDATA("Sum of "&amp;AE$9,'PT-All'!$A$1,"Scenario",AE$12,"P&amp;L Item",$B166)/AE$29,0),"0.00%"))</f>
        <v>0</v>
      </c>
      <c r="AF166" s="592">
        <f>CHOOSE(PLColumn,IFERROR(GETPIVOTDATA("Sum of "&amp;AF$9,'PT-All'!$A$1,"Scenario",AF$12,"P&amp;L Item",$B166),0),IFERROR(GETPIVOTDATA("Sum of "&amp;AF$9,'PT-All'!$A$1,"Scenario",AF$12,"P&amp;L Item",$B166)/AF$201,0),TEXT(IFERROR(GETPIVOTDATA("Sum of "&amp;AF$9,'PT-All'!$A$1,"Scenario",AF$12,"P&amp;L Item",$B166)/AF$29,0),"0.00%"))</f>
        <v>0</v>
      </c>
      <c r="AG166" s="592">
        <f>CHOOSE(PLColumn,IFERROR(GETPIVOTDATA("Sum of "&amp;AG$9,'PT-All'!$A$1,"Scenario",AG$12,"P&amp;L Item",$B166),0),IFERROR(GETPIVOTDATA("Sum of "&amp;AG$9,'PT-All'!$A$1,"Scenario",AG$12,"P&amp;L Item",$B166)/AG$201,0),TEXT(IFERROR(GETPIVOTDATA("Sum of "&amp;AG$9,'PT-All'!$A$1,"Scenario",AG$12,"P&amp;L Item",$B166)/AG$29,0),"0.00%"))</f>
        <v>0</v>
      </c>
      <c r="AH166" s="592">
        <f>CHOOSE(PLColumn,IFERROR(GETPIVOTDATA("Sum of "&amp;AH$9,'PT-All'!$A$1,"Scenario",AH$12,"P&amp;L Item",$B166),0),IFERROR(GETPIVOTDATA("Sum of "&amp;AH$9,'PT-All'!$A$1,"Scenario",AH$12,"P&amp;L Item",$B166)/AH$201,0),TEXT(IFERROR(GETPIVOTDATA("Sum of "&amp;AH$9,'PT-All'!$A$1,"Scenario",AH$12,"P&amp;L Item",$B166)/AH$29,0),"0.00%"))</f>
        <v>0</v>
      </c>
      <c r="AI166" s="592">
        <f>CHOOSE(PLColumn,IFERROR(GETPIVOTDATA("Sum of "&amp;AI$9,'PT-All'!$A$1,"Scenario",AI$12,"P&amp;L Item",$B166),0),IFERROR(GETPIVOTDATA("Sum of "&amp;AI$9,'PT-All'!$A$1,"Scenario",AI$12,"P&amp;L Item",$B166)/AI$201,0),TEXT(IFERROR(GETPIVOTDATA("Sum of "&amp;AI$9,'PT-All'!$A$1,"Scenario",AI$12,"P&amp;L Item",$B166)/AI$29,0),"0.00%"))</f>
        <v>0</v>
      </c>
      <c r="AJ166" s="592">
        <f>CHOOSE(PLColumn,IFERROR(GETPIVOTDATA("Sum of "&amp;AJ$9,'PT-All'!$A$1,"Scenario",AJ$12,"P&amp;L Item",$B166),0),IFERROR(GETPIVOTDATA("Sum of "&amp;AJ$9,'PT-All'!$A$1,"Scenario",AJ$12,"P&amp;L Item",$B166)/AJ$201,0),TEXT(IFERROR(GETPIVOTDATA("Sum of "&amp;AJ$9,'PT-All'!$A$1,"Scenario",AJ$12,"P&amp;L Item",$B166)/AJ$29,0),"0.00%"))</f>
        <v>0</v>
      </c>
      <c r="AK166" s="592">
        <f>CHOOSE(PLColumn,IFERROR(GETPIVOTDATA("Sum of "&amp;AK$9,'PT-All'!$A$1,"Scenario",AK$12,"P&amp;L Item",$B166),0),IFERROR(GETPIVOTDATA("Sum of "&amp;AK$9,'PT-All'!$A$1,"Scenario",AK$12,"P&amp;L Item",$B166)/AK$201,0),TEXT(IFERROR(GETPIVOTDATA("Sum of "&amp;AK$9,'PT-All'!$A$1,"Scenario",AK$12,"P&amp;L Item",$B166)/AK$29,0),"0.00%"))</f>
        <v>0</v>
      </c>
      <c r="AL166" s="593">
        <f>CHOOSE(PLColumn,IFERROR(GETPIVOTDATA("Sum of "&amp;AL$9,'PT-All'!$A$1,"Scenario",AL$12,"P&amp;L Item",$B166),0),IFERROR(GETPIVOTDATA("Sum of "&amp;AL$9,'PT-All'!$A$1,"Scenario",AL$12,"P&amp;L Item",$B166)/AL$201,0),TEXT(IFERROR(GETPIVOTDATA("Sum of "&amp;AL$9,'PT-All'!$A$1,"Scenario",AL$12,"P&amp;L Item",$B166)/AL$29,0),"0.00%"))</f>
        <v>0</v>
      </c>
      <c r="AM166" s="590"/>
      <c r="AN166" s="594">
        <f ca="1">IF(AN$12="Pro Forma",SUM(OFFSET($B166,0,3*AN$9+1,1,3)),IFERROR(GETPIVOTDATA("Sum of Q"&amp;AN$9+1,'PT-All'!$A$1,"Scenario",AN$12,"P&amp;L Item",$B166),0))</f>
        <v>0</v>
      </c>
      <c r="AO166" s="592">
        <f ca="1">IF(AO$12="Pro Forma",SUM(OFFSET($B166,0,3*AO$9+1,1,3)),IFERROR(GETPIVOTDATA("Sum of Q"&amp;AO$9+1,'PT-All'!$A$1,"Scenario",AO$12,"P&amp;L Item",$B166),0))</f>
        <v>0</v>
      </c>
      <c r="AP166" s="592">
        <f ca="1">IF(AP$12="Pro Forma",SUM(OFFSET($B166,0,3*AP$9+1,1,3)),IFERROR(GETPIVOTDATA("Sum of Q"&amp;AP$9+1,'PT-All'!$A$1,"Scenario",AP$12,"P&amp;L Item",$B166),0))</f>
        <v>0</v>
      </c>
      <c r="AQ166" s="592">
        <f ca="1">IF(AQ$12="Pro Forma",SUM(OFFSET($B166,0,3*AQ$9+1,1,3)),IFERROR(GETPIVOTDATA("Sum of Q"&amp;AQ$9+1,'PT-All'!$A$1,"Scenario",AQ$12,"P&amp;L Item",$B166),0))</f>
        <v>0</v>
      </c>
      <c r="AR166" s="592">
        <f ca="1">IF(AR$12="Pro Forma",SUM(OFFSET($B166,0,3*AR$9+1,1,3)),IFERROR(GETPIVOTDATA("Sum of Q"&amp;AR$9+1,'PT-All'!$A$1,"Scenario",AR$12,"P&amp;L Item",$B166),0))</f>
        <v>0</v>
      </c>
      <c r="AS166" s="592">
        <f ca="1">IF(AS$12="Pro Forma",SUM(OFFSET($B166,0,3*AS$9+1,1,3)),IFERROR(GETPIVOTDATA("Sum of Q"&amp;AS$9+1,'PT-All'!$A$1,"Scenario",AS$12,"P&amp;L Item",$B166),0))</f>
        <v>0</v>
      </c>
      <c r="AT166" s="592">
        <f ca="1">IF(AT$12="Pro Forma",SUM(OFFSET($B166,0,3*AT$9+1,1,3)),IFERROR(GETPIVOTDATA("Sum of Q"&amp;AT$9+1,'PT-All'!$A$1,"Scenario",AT$12,"P&amp;L Item",$B166),0))</f>
        <v>0</v>
      </c>
      <c r="AU166" s="592">
        <f ca="1">IF(AU$12="Pro Forma",SUM(OFFSET($B166,0,3*AU$9+1,1,3)),IFERROR(GETPIVOTDATA("Sum of Q"&amp;AU$9+1,'PT-All'!$A$1,"Scenario",AU$12,"P&amp;L Item",$B166),0))</f>
        <v>0</v>
      </c>
      <c r="AV166" s="592">
        <f ca="1">IF(AV$12="Pro Forma",SUM(OFFSET($B166,0,3*AV$9+1,1,3)),IFERROR(GETPIVOTDATA("Sum of Q"&amp;AV$9+1,'PT-All'!$A$1,"Scenario",AV$12,"P&amp;L Item",$B166),0))</f>
        <v>0</v>
      </c>
      <c r="AW166" s="592">
        <f ca="1">IF(AW$12="Pro Forma",SUM(OFFSET($B166,0,3*AW$9+1,1,3)),IFERROR(GETPIVOTDATA("Sum of Q"&amp;AW$9+1,'PT-All'!$A$1,"Scenario",AW$12,"P&amp;L Item",$B166),0))</f>
        <v>0</v>
      </c>
      <c r="AX166" s="592">
        <f ca="1">IF(AX$12="Pro Forma",SUM(OFFSET($B166,0,3*AX$9+1,1,3)),IFERROR(GETPIVOTDATA("Sum of Q"&amp;AX$9+1,'PT-All'!$A$1,"Scenario",AX$12,"P&amp;L Item",$B166),0))</f>
        <v>0</v>
      </c>
      <c r="AY166" s="593">
        <f ca="1">IF(AY$12="Pro Forma",SUM(OFFSET($B166,0,3*AY$9+1,1,3)),IFERROR(GETPIVOTDATA("Sum of Q"&amp;AY$9+1,'PT-All'!$A$1,"Scenario",AY$12,"P&amp;L Item",$B166),0))</f>
        <v>0</v>
      </c>
      <c r="AZ166" s="590"/>
      <c r="BA166" s="594">
        <f ca="1">IF(BA$12="Pro Forma",SUM(OFFSET($B166,0,12*BA$9+1,1,12)),IFERROR(GETPIVOTDATA("Sum of FY"&amp;BA$9+1,'PT-All'!$A$1,"Scenario",BA$12,"P&amp;L Item",$B166),0))</f>
        <v>0</v>
      </c>
      <c r="BB166" s="592">
        <f ca="1">IF(BB$12="Pro Forma",SUM(OFFSET($B166,0,12*BB$9+1,1,12)),IFERROR(GETPIVOTDATA("Sum of FY"&amp;BB$9+1,'PT-All'!$A$1,"Scenario",BB$12,"P&amp;L Item",$B166),0))</f>
        <v>0</v>
      </c>
      <c r="BC166" s="593">
        <f ca="1">IF(BC$12="Pro Forma",SUM(OFFSET($B166,0,12*BC$9+1,1,12)),IFERROR(GETPIVOTDATA("Sum of FY"&amp;BC$9+1,'PT-All'!$A$1,"Scenario",BC$12,"P&amp;L Item",$B166),0))</f>
        <v>0</v>
      </c>
    </row>
    <row r="167" spans="2:55" ht="15" x14ac:dyDescent="0.4">
      <c r="B167" s="360" t="s">
        <v>195</v>
      </c>
      <c r="C167" s="86">
        <f t="shared" ref="C167:AN167" si="355">SUM(C168:C175)</f>
        <v>0</v>
      </c>
      <c r="D167" s="86">
        <f t="shared" si="355"/>
        <v>0</v>
      </c>
      <c r="E167" s="86">
        <f t="shared" si="355"/>
        <v>0</v>
      </c>
      <c r="F167" s="86">
        <f t="shared" si="355"/>
        <v>0</v>
      </c>
      <c r="G167" s="86">
        <f t="shared" si="355"/>
        <v>0</v>
      </c>
      <c r="H167" s="86">
        <f t="shared" si="355"/>
        <v>0</v>
      </c>
      <c r="I167" s="86">
        <f t="shared" si="355"/>
        <v>0</v>
      </c>
      <c r="J167" s="86">
        <f t="shared" si="355"/>
        <v>0</v>
      </c>
      <c r="K167" s="86">
        <f t="shared" si="355"/>
        <v>0</v>
      </c>
      <c r="L167" s="86">
        <f t="shared" si="355"/>
        <v>0</v>
      </c>
      <c r="M167" s="86">
        <f t="shared" si="355"/>
        <v>0</v>
      </c>
      <c r="N167" s="86">
        <f t="shared" si="355"/>
        <v>0</v>
      </c>
      <c r="O167" s="86">
        <f t="shared" si="355"/>
        <v>0</v>
      </c>
      <c r="P167" s="86">
        <f t="shared" si="355"/>
        <v>0</v>
      </c>
      <c r="Q167" s="86">
        <f t="shared" si="355"/>
        <v>0</v>
      </c>
      <c r="R167" s="86">
        <f t="shared" si="355"/>
        <v>0</v>
      </c>
      <c r="S167" s="86">
        <f t="shared" si="355"/>
        <v>0</v>
      </c>
      <c r="T167" s="86">
        <f t="shared" si="355"/>
        <v>0</v>
      </c>
      <c r="U167" s="86">
        <f t="shared" si="355"/>
        <v>0</v>
      </c>
      <c r="V167" s="86">
        <f t="shared" si="355"/>
        <v>0</v>
      </c>
      <c r="W167" s="86">
        <f t="shared" si="355"/>
        <v>0</v>
      </c>
      <c r="X167" s="86">
        <f t="shared" si="355"/>
        <v>0</v>
      </c>
      <c r="Y167" s="86">
        <f t="shared" si="355"/>
        <v>0</v>
      </c>
      <c r="Z167" s="86">
        <f t="shared" ref="Z167:AL167" si="356">SUM(Z168:Z175)</f>
        <v>0</v>
      </c>
      <c r="AA167" s="86">
        <f t="shared" si="356"/>
        <v>0</v>
      </c>
      <c r="AB167" s="86">
        <f t="shared" si="356"/>
        <v>0</v>
      </c>
      <c r="AC167" s="86">
        <f t="shared" si="356"/>
        <v>0</v>
      </c>
      <c r="AD167" s="86">
        <f t="shared" si="356"/>
        <v>0</v>
      </c>
      <c r="AE167" s="86">
        <f t="shared" si="356"/>
        <v>0</v>
      </c>
      <c r="AF167" s="86">
        <f t="shared" si="356"/>
        <v>0</v>
      </c>
      <c r="AG167" s="86">
        <f t="shared" si="356"/>
        <v>0</v>
      </c>
      <c r="AH167" s="86">
        <f t="shared" si="356"/>
        <v>0</v>
      </c>
      <c r="AI167" s="86">
        <f t="shared" si="356"/>
        <v>0</v>
      </c>
      <c r="AJ167" s="86">
        <f t="shared" si="356"/>
        <v>0</v>
      </c>
      <c r="AK167" s="86">
        <f t="shared" si="356"/>
        <v>0</v>
      </c>
      <c r="AL167" s="102">
        <f t="shared" si="356"/>
        <v>0</v>
      </c>
      <c r="AM167" s="590"/>
      <c r="AN167" s="113">
        <f t="shared" ca="1" si="355"/>
        <v>0</v>
      </c>
      <c r="AO167" s="86">
        <f t="shared" ref="AO167" ca="1" si="357">SUM(AO168:AO175)</f>
        <v>0</v>
      </c>
      <c r="AP167" s="86">
        <f t="shared" ref="AP167" ca="1" si="358">SUM(AP168:AP175)</f>
        <v>0</v>
      </c>
      <c r="AQ167" s="86">
        <f t="shared" ref="AQ167" ca="1" si="359">SUM(AQ168:AQ175)</f>
        <v>0</v>
      </c>
      <c r="AR167" s="86">
        <f t="shared" ref="AR167" ca="1" si="360">SUM(AR168:AR175)</f>
        <v>0</v>
      </c>
      <c r="AS167" s="86">
        <f t="shared" ref="AS167" ca="1" si="361">SUM(AS168:AS175)</f>
        <v>0</v>
      </c>
      <c r="AT167" s="86">
        <f t="shared" ref="AT167:AY167" ca="1" si="362">SUM(AT168:AT175)</f>
        <v>0</v>
      </c>
      <c r="AU167" s="86">
        <f t="shared" ca="1" si="362"/>
        <v>0</v>
      </c>
      <c r="AV167" s="86">
        <f t="shared" ca="1" si="362"/>
        <v>0</v>
      </c>
      <c r="AW167" s="86">
        <f t="shared" ca="1" si="362"/>
        <v>0</v>
      </c>
      <c r="AX167" s="86">
        <f t="shared" ca="1" si="362"/>
        <v>0</v>
      </c>
      <c r="AY167" s="102">
        <f t="shared" ca="1" si="362"/>
        <v>0</v>
      </c>
      <c r="AZ167" s="590"/>
      <c r="BA167" s="113">
        <f t="shared" ref="BA167" ca="1" si="363">SUM(BA168:BA175)</f>
        <v>0</v>
      </c>
      <c r="BB167" s="86">
        <f t="shared" ref="BB167:BC167" ca="1" si="364">SUM(BB168:BB175)</f>
        <v>0</v>
      </c>
      <c r="BC167" s="102">
        <f t="shared" ca="1" si="364"/>
        <v>0</v>
      </c>
    </row>
    <row r="168" spans="2:55" x14ac:dyDescent="0.35">
      <c r="B168" s="64" t="s">
        <v>196</v>
      </c>
      <c r="C168" s="65">
        <f>CHOOSE(PLColumn,IFERROR(GETPIVOTDATA("Sum of "&amp;C$9,'PT-All'!$A$1,"Scenario",C$12,"P&amp;L Item",$B168),0),IFERROR(GETPIVOTDATA("Sum of "&amp;C$9,'PT-All'!$A$1,"Scenario",C$12,"P&amp;L Item",$B168)/C$201,0),TEXT(IFERROR(GETPIVOTDATA("Sum of "&amp;C$9,'PT-All'!$A$1,"Scenario",C$12,"P&amp;L Item",$B168)/C$29,0),"0.00%"))</f>
        <v>0</v>
      </c>
      <c r="D168" s="65">
        <f>CHOOSE(PLColumn,IFERROR(GETPIVOTDATA("Sum of "&amp;D$9,'PT-All'!$A$1,"Scenario",D$12,"P&amp;L Item",$B168),0),IFERROR(GETPIVOTDATA("Sum of "&amp;D$9,'PT-All'!$A$1,"Scenario",D$12,"P&amp;L Item",$B168)/D$201,0),TEXT(IFERROR(GETPIVOTDATA("Sum of "&amp;D$9,'PT-All'!$A$1,"Scenario",D$12,"P&amp;L Item",$B168)/D$29,0),"0.00%"))</f>
        <v>0</v>
      </c>
      <c r="E168" s="65">
        <f>CHOOSE(PLColumn,IFERROR(GETPIVOTDATA("Sum of "&amp;E$9,'PT-All'!$A$1,"Scenario",E$12,"P&amp;L Item",$B168),0),IFERROR(GETPIVOTDATA("Sum of "&amp;E$9,'PT-All'!$A$1,"Scenario",E$12,"P&amp;L Item",$B168)/E$201,0),TEXT(IFERROR(GETPIVOTDATA("Sum of "&amp;E$9,'PT-All'!$A$1,"Scenario",E$12,"P&amp;L Item",$B168)/E$29,0),"0.00%"))</f>
        <v>0</v>
      </c>
      <c r="F168" s="65">
        <f>CHOOSE(PLColumn,IFERROR(GETPIVOTDATA("Sum of "&amp;F$9,'PT-All'!$A$1,"Scenario",F$12,"P&amp;L Item",$B168),0),IFERROR(GETPIVOTDATA("Sum of "&amp;F$9,'PT-All'!$A$1,"Scenario",F$12,"P&amp;L Item",$B168)/F$201,0),TEXT(IFERROR(GETPIVOTDATA("Sum of "&amp;F$9,'PT-All'!$A$1,"Scenario",F$12,"P&amp;L Item",$B168)/F$29,0),"0.00%"))</f>
        <v>0</v>
      </c>
      <c r="G168" s="65">
        <f>CHOOSE(PLColumn,IFERROR(GETPIVOTDATA("Sum of "&amp;G$9,'PT-All'!$A$1,"Scenario",G$12,"P&amp;L Item",$B168),0),IFERROR(GETPIVOTDATA("Sum of "&amp;G$9,'PT-All'!$A$1,"Scenario",G$12,"P&amp;L Item",$B168)/G$201,0),TEXT(IFERROR(GETPIVOTDATA("Sum of "&amp;G$9,'PT-All'!$A$1,"Scenario",G$12,"P&amp;L Item",$B168)/G$29,0),"0.00%"))</f>
        <v>0</v>
      </c>
      <c r="H168" s="65">
        <f>CHOOSE(PLColumn,IFERROR(GETPIVOTDATA("Sum of "&amp;H$9,'PT-All'!$A$1,"Scenario",H$12,"P&amp;L Item",$B168),0),IFERROR(GETPIVOTDATA("Sum of "&amp;H$9,'PT-All'!$A$1,"Scenario",H$12,"P&amp;L Item",$B168)/H$201,0),TEXT(IFERROR(GETPIVOTDATA("Sum of "&amp;H$9,'PT-All'!$A$1,"Scenario",H$12,"P&amp;L Item",$B168)/H$29,0),"0.00%"))</f>
        <v>0</v>
      </c>
      <c r="I168" s="65">
        <f>CHOOSE(PLColumn,IFERROR(GETPIVOTDATA("Sum of "&amp;I$9,'PT-All'!$A$1,"Scenario",I$12,"P&amp;L Item",$B168),0),IFERROR(GETPIVOTDATA("Sum of "&amp;I$9,'PT-All'!$A$1,"Scenario",I$12,"P&amp;L Item",$B168)/I$201,0),TEXT(IFERROR(GETPIVOTDATA("Sum of "&amp;I$9,'PT-All'!$A$1,"Scenario",I$12,"P&amp;L Item",$B168)/I$29,0),"0.00%"))</f>
        <v>0</v>
      </c>
      <c r="J168" s="65">
        <f>CHOOSE(PLColumn,IFERROR(GETPIVOTDATA("Sum of "&amp;J$9,'PT-All'!$A$1,"Scenario",J$12,"P&amp;L Item",$B168),0),IFERROR(GETPIVOTDATA("Sum of "&amp;J$9,'PT-All'!$A$1,"Scenario",J$12,"P&amp;L Item",$B168)/J$201,0),TEXT(IFERROR(GETPIVOTDATA("Sum of "&amp;J$9,'PT-All'!$A$1,"Scenario",J$12,"P&amp;L Item",$B168)/J$29,0),"0.00%"))</f>
        <v>0</v>
      </c>
      <c r="K168" s="65">
        <f>CHOOSE(PLColumn,IFERROR(GETPIVOTDATA("Sum of "&amp;K$9,'PT-All'!$A$1,"Scenario",K$12,"P&amp;L Item",$B168),0),IFERROR(GETPIVOTDATA("Sum of "&amp;K$9,'PT-All'!$A$1,"Scenario",K$12,"P&amp;L Item",$B168)/K$201,0),TEXT(IFERROR(GETPIVOTDATA("Sum of "&amp;K$9,'PT-All'!$A$1,"Scenario",K$12,"P&amp;L Item",$B168)/K$29,0),"0.00%"))</f>
        <v>0</v>
      </c>
      <c r="L168" s="65">
        <f>CHOOSE(PLColumn,IFERROR(GETPIVOTDATA("Sum of "&amp;L$9,'PT-All'!$A$1,"Scenario",L$12,"P&amp;L Item",$B168),0),IFERROR(GETPIVOTDATA("Sum of "&amp;L$9,'PT-All'!$A$1,"Scenario",L$12,"P&amp;L Item",$B168)/L$201,0),TEXT(IFERROR(GETPIVOTDATA("Sum of "&amp;L$9,'PT-All'!$A$1,"Scenario",L$12,"P&amp;L Item",$B168)/L$29,0),"0.00%"))</f>
        <v>0</v>
      </c>
      <c r="M168" s="65">
        <f>CHOOSE(PLColumn,IFERROR(GETPIVOTDATA("Sum of "&amp;M$9,'PT-All'!$A$1,"Scenario",M$12,"P&amp;L Item",$B168),0),IFERROR(GETPIVOTDATA("Sum of "&amp;M$9,'PT-All'!$A$1,"Scenario",M$12,"P&amp;L Item",$B168)/M$201,0),TEXT(IFERROR(GETPIVOTDATA("Sum of "&amp;M$9,'PT-All'!$A$1,"Scenario",M$12,"P&amp;L Item",$B168)/M$29,0),"0.00%"))</f>
        <v>0</v>
      </c>
      <c r="N168" s="65">
        <f>CHOOSE(PLColumn,IFERROR(GETPIVOTDATA("Sum of "&amp;N$9,'PT-All'!$A$1,"Scenario",N$12,"P&amp;L Item",$B168),0),IFERROR(GETPIVOTDATA("Sum of "&amp;N$9,'PT-All'!$A$1,"Scenario",N$12,"P&amp;L Item",$B168)/N$201,0),TEXT(IFERROR(GETPIVOTDATA("Sum of "&amp;N$9,'PT-All'!$A$1,"Scenario",N$12,"P&amp;L Item",$B168)/N$29,0),"0.00%"))</f>
        <v>0</v>
      </c>
      <c r="O168" s="65">
        <f>CHOOSE(PLColumn,IFERROR(GETPIVOTDATA("Sum of "&amp;O$9,'PT-All'!$A$1,"Scenario",O$12,"P&amp;L Item",$B168),0),IFERROR(GETPIVOTDATA("Sum of "&amp;O$9,'PT-All'!$A$1,"Scenario",O$12,"P&amp;L Item",$B168)/O$201,0),TEXT(IFERROR(GETPIVOTDATA("Sum of "&amp;O$9,'PT-All'!$A$1,"Scenario",O$12,"P&amp;L Item",$B168)/O$29,0),"0.00%"))</f>
        <v>0</v>
      </c>
      <c r="P168" s="65">
        <f>CHOOSE(PLColumn,IFERROR(GETPIVOTDATA("Sum of "&amp;P$9,'PT-All'!$A$1,"Scenario",P$12,"P&amp;L Item",$B168),0),IFERROR(GETPIVOTDATA("Sum of "&amp;P$9,'PT-All'!$A$1,"Scenario",P$12,"P&amp;L Item",$B168)/P$201,0),TEXT(IFERROR(GETPIVOTDATA("Sum of "&amp;P$9,'PT-All'!$A$1,"Scenario",P$12,"P&amp;L Item",$B168)/P$29,0),"0.00%"))</f>
        <v>0</v>
      </c>
      <c r="Q168" s="65">
        <f>CHOOSE(PLColumn,IFERROR(GETPIVOTDATA("Sum of "&amp;Q$9,'PT-All'!$A$1,"Scenario",Q$12,"P&amp;L Item",$B168),0),IFERROR(GETPIVOTDATA("Sum of "&amp;Q$9,'PT-All'!$A$1,"Scenario",Q$12,"P&amp;L Item",$B168)/Q$201,0),TEXT(IFERROR(GETPIVOTDATA("Sum of "&amp;Q$9,'PT-All'!$A$1,"Scenario",Q$12,"P&amp;L Item",$B168)/Q$29,0),"0.00%"))</f>
        <v>0</v>
      </c>
      <c r="R168" s="65">
        <f>CHOOSE(PLColumn,IFERROR(GETPIVOTDATA("Sum of "&amp;R$9,'PT-All'!$A$1,"Scenario",R$12,"P&amp;L Item",$B168),0),IFERROR(GETPIVOTDATA("Sum of "&amp;R$9,'PT-All'!$A$1,"Scenario",R$12,"P&amp;L Item",$B168)/R$201,0),TEXT(IFERROR(GETPIVOTDATA("Sum of "&amp;R$9,'PT-All'!$A$1,"Scenario",R$12,"P&amp;L Item",$B168)/R$29,0),"0.00%"))</f>
        <v>0</v>
      </c>
      <c r="S168" s="65">
        <f>CHOOSE(PLColumn,IFERROR(GETPIVOTDATA("Sum of "&amp;S$9,'PT-All'!$A$1,"Scenario",S$12,"P&amp;L Item",$B168),0),IFERROR(GETPIVOTDATA("Sum of "&amp;S$9,'PT-All'!$A$1,"Scenario",S$12,"P&amp;L Item",$B168)/S$201,0),TEXT(IFERROR(GETPIVOTDATA("Sum of "&amp;S$9,'PT-All'!$A$1,"Scenario",S$12,"P&amp;L Item",$B168)/S$29,0),"0.00%"))</f>
        <v>0</v>
      </c>
      <c r="T168" s="65">
        <f>CHOOSE(PLColumn,IFERROR(GETPIVOTDATA("Sum of "&amp;T$9,'PT-All'!$A$1,"Scenario",T$12,"P&amp;L Item",$B168),0),IFERROR(GETPIVOTDATA("Sum of "&amp;T$9,'PT-All'!$A$1,"Scenario",T$12,"P&amp;L Item",$B168)/T$201,0),TEXT(IFERROR(GETPIVOTDATA("Sum of "&amp;T$9,'PT-All'!$A$1,"Scenario",T$12,"P&amp;L Item",$B168)/T$29,0),"0.00%"))</f>
        <v>0</v>
      </c>
      <c r="U168" s="65">
        <f>CHOOSE(PLColumn,IFERROR(GETPIVOTDATA("Sum of "&amp;U$9,'PT-All'!$A$1,"Scenario",U$12,"P&amp;L Item",$B168),0),IFERROR(GETPIVOTDATA("Sum of "&amp;U$9,'PT-All'!$A$1,"Scenario",U$12,"P&amp;L Item",$B168)/U$201,0),TEXT(IFERROR(GETPIVOTDATA("Sum of "&amp;U$9,'PT-All'!$A$1,"Scenario",U$12,"P&amp;L Item",$B168)/U$29,0),"0.00%"))</f>
        <v>0</v>
      </c>
      <c r="V168" s="65">
        <f>CHOOSE(PLColumn,IFERROR(GETPIVOTDATA("Sum of "&amp;V$9,'PT-All'!$A$1,"Scenario",V$12,"P&amp;L Item",$B168),0),IFERROR(GETPIVOTDATA("Sum of "&amp;V$9,'PT-All'!$A$1,"Scenario",V$12,"P&amp;L Item",$B168)/V$201,0),TEXT(IFERROR(GETPIVOTDATA("Sum of "&amp;V$9,'PT-All'!$A$1,"Scenario",V$12,"P&amp;L Item",$B168)/V$29,0),"0.00%"))</f>
        <v>0</v>
      </c>
      <c r="W168" s="65">
        <f>CHOOSE(PLColumn,IFERROR(GETPIVOTDATA("Sum of "&amp;W$9,'PT-All'!$A$1,"Scenario",W$12,"P&amp;L Item",$B168),0),IFERROR(GETPIVOTDATA("Sum of "&amp;W$9,'PT-All'!$A$1,"Scenario",W$12,"P&amp;L Item",$B168)/W$201,0),TEXT(IFERROR(GETPIVOTDATA("Sum of "&amp;W$9,'PT-All'!$A$1,"Scenario",W$12,"P&amp;L Item",$B168)/W$29,0),"0.00%"))</f>
        <v>0</v>
      </c>
      <c r="X168" s="65">
        <f>CHOOSE(PLColumn,IFERROR(GETPIVOTDATA("Sum of "&amp;X$9,'PT-All'!$A$1,"Scenario",X$12,"P&amp;L Item",$B168),0),IFERROR(GETPIVOTDATA("Sum of "&amp;X$9,'PT-All'!$A$1,"Scenario",X$12,"P&amp;L Item",$B168)/X$201,0),TEXT(IFERROR(GETPIVOTDATA("Sum of "&amp;X$9,'PT-All'!$A$1,"Scenario",X$12,"P&amp;L Item",$B168)/X$29,0),"0.00%"))</f>
        <v>0</v>
      </c>
      <c r="Y168" s="65">
        <f>CHOOSE(PLColumn,IFERROR(GETPIVOTDATA("Sum of "&amp;Y$9,'PT-All'!$A$1,"Scenario",Y$12,"P&amp;L Item",$B168),0),IFERROR(GETPIVOTDATA("Sum of "&amp;Y$9,'PT-All'!$A$1,"Scenario",Y$12,"P&amp;L Item",$B168)/Y$201,0),TEXT(IFERROR(GETPIVOTDATA("Sum of "&amp;Y$9,'PT-All'!$A$1,"Scenario",Y$12,"P&amp;L Item",$B168)/Y$29,0),"0.00%"))</f>
        <v>0</v>
      </c>
      <c r="Z168" s="65">
        <f>CHOOSE(PLColumn,IFERROR(GETPIVOTDATA("Sum of "&amp;Z$9,'PT-All'!$A$1,"Scenario",Z$12,"P&amp;L Item",$B168),0),IFERROR(GETPIVOTDATA("Sum of "&amp;Z$9,'PT-All'!$A$1,"Scenario",Z$12,"P&amp;L Item",$B168)/Z$201,0),TEXT(IFERROR(GETPIVOTDATA("Sum of "&amp;Z$9,'PT-All'!$A$1,"Scenario",Z$12,"P&amp;L Item",$B168)/Z$29,0),"0.00%"))</f>
        <v>0</v>
      </c>
      <c r="AA168" s="65">
        <f>CHOOSE(PLColumn,IFERROR(GETPIVOTDATA("Sum of "&amp;AA$9,'PT-All'!$A$1,"Scenario",AA$12,"P&amp;L Item",$B168),0),IFERROR(GETPIVOTDATA("Sum of "&amp;AA$9,'PT-All'!$A$1,"Scenario",AA$12,"P&amp;L Item",$B168)/AA$201,0),TEXT(IFERROR(GETPIVOTDATA("Sum of "&amp;AA$9,'PT-All'!$A$1,"Scenario",AA$12,"P&amp;L Item",$B168)/AA$29,0),"0.00%"))</f>
        <v>0</v>
      </c>
      <c r="AB168" s="65">
        <f>CHOOSE(PLColumn,IFERROR(GETPIVOTDATA("Sum of "&amp;AB$9,'PT-All'!$A$1,"Scenario",AB$12,"P&amp;L Item",$B168),0),IFERROR(GETPIVOTDATA("Sum of "&amp;AB$9,'PT-All'!$A$1,"Scenario",AB$12,"P&amp;L Item",$B168)/AB$201,0),TEXT(IFERROR(GETPIVOTDATA("Sum of "&amp;AB$9,'PT-All'!$A$1,"Scenario",AB$12,"P&amp;L Item",$B168)/AB$29,0),"0.00%"))</f>
        <v>0</v>
      </c>
      <c r="AC168" s="65">
        <f>CHOOSE(PLColumn,IFERROR(GETPIVOTDATA("Sum of "&amp;AC$9,'PT-All'!$A$1,"Scenario",AC$12,"P&amp;L Item",$B168),0),IFERROR(GETPIVOTDATA("Sum of "&amp;AC$9,'PT-All'!$A$1,"Scenario",AC$12,"P&amp;L Item",$B168)/AC$201,0),TEXT(IFERROR(GETPIVOTDATA("Sum of "&amp;AC$9,'PT-All'!$A$1,"Scenario",AC$12,"P&amp;L Item",$B168)/AC$29,0),"0.00%"))</f>
        <v>0</v>
      </c>
      <c r="AD168" s="65">
        <f>CHOOSE(PLColumn,IFERROR(GETPIVOTDATA("Sum of "&amp;AD$9,'PT-All'!$A$1,"Scenario",AD$12,"P&amp;L Item",$B168),0),IFERROR(GETPIVOTDATA("Sum of "&amp;AD$9,'PT-All'!$A$1,"Scenario",AD$12,"P&amp;L Item",$B168)/AD$201,0),TEXT(IFERROR(GETPIVOTDATA("Sum of "&amp;AD$9,'PT-All'!$A$1,"Scenario",AD$12,"P&amp;L Item",$B168)/AD$29,0),"0.00%"))</f>
        <v>0</v>
      </c>
      <c r="AE168" s="65">
        <f>CHOOSE(PLColumn,IFERROR(GETPIVOTDATA("Sum of "&amp;AE$9,'PT-All'!$A$1,"Scenario",AE$12,"P&amp;L Item",$B168),0),IFERROR(GETPIVOTDATA("Sum of "&amp;AE$9,'PT-All'!$A$1,"Scenario",AE$12,"P&amp;L Item",$B168)/AE$201,0),TEXT(IFERROR(GETPIVOTDATA("Sum of "&amp;AE$9,'PT-All'!$A$1,"Scenario",AE$12,"P&amp;L Item",$B168)/AE$29,0),"0.00%"))</f>
        <v>0</v>
      </c>
      <c r="AF168" s="65">
        <f>CHOOSE(PLColumn,IFERROR(GETPIVOTDATA("Sum of "&amp;AF$9,'PT-All'!$A$1,"Scenario",AF$12,"P&amp;L Item",$B168),0),IFERROR(GETPIVOTDATA("Sum of "&amp;AF$9,'PT-All'!$A$1,"Scenario",AF$12,"P&amp;L Item",$B168)/AF$201,0),TEXT(IFERROR(GETPIVOTDATA("Sum of "&amp;AF$9,'PT-All'!$A$1,"Scenario",AF$12,"P&amp;L Item",$B168)/AF$29,0),"0.00%"))</f>
        <v>0</v>
      </c>
      <c r="AG168" s="65">
        <f>CHOOSE(PLColumn,IFERROR(GETPIVOTDATA("Sum of "&amp;AG$9,'PT-All'!$A$1,"Scenario",AG$12,"P&amp;L Item",$B168),0),IFERROR(GETPIVOTDATA("Sum of "&amp;AG$9,'PT-All'!$A$1,"Scenario",AG$12,"P&amp;L Item",$B168)/AG$201,0),TEXT(IFERROR(GETPIVOTDATA("Sum of "&amp;AG$9,'PT-All'!$A$1,"Scenario",AG$12,"P&amp;L Item",$B168)/AG$29,0),"0.00%"))</f>
        <v>0</v>
      </c>
      <c r="AH168" s="65">
        <f>CHOOSE(PLColumn,IFERROR(GETPIVOTDATA("Sum of "&amp;AH$9,'PT-All'!$A$1,"Scenario",AH$12,"P&amp;L Item",$B168),0),IFERROR(GETPIVOTDATA("Sum of "&amp;AH$9,'PT-All'!$A$1,"Scenario",AH$12,"P&amp;L Item",$B168)/AH$201,0),TEXT(IFERROR(GETPIVOTDATA("Sum of "&amp;AH$9,'PT-All'!$A$1,"Scenario",AH$12,"P&amp;L Item",$B168)/AH$29,0),"0.00%"))</f>
        <v>0</v>
      </c>
      <c r="AI168" s="65">
        <f>CHOOSE(PLColumn,IFERROR(GETPIVOTDATA("Sum of "&amp;AI$9,'PT-All'!$A$1,"Scenario",AI$12,"P&amp;L Item",$B168),0),IFERROR(GETPIVOTDATA("Sum of "&amp;AI$9,'PT-All'!$A$1,"Scenario",AI$12,"P&amp;L Item",$B168)/AI$201,0),TEXT(IFERROR(GETPIVOTDATA("Sum of "&amp;AI$9,'PT-All'!$A$1,"Scenario",AI$12,"P&amp;L Item",$B168)/AI$29,0),"0.00%"))</f>
        <v>0</v>
      </c>
      <c r="AJ168" s="65">
        <f>CHOOSE(PLColumn,IFERROR(GETPIVOTDATA("Sum of "&amp;AJ$9,'PT-All'!$A$1,"Scenario",AJ$12,"P&amp;L Item",$B168),0),IFERROR(GETPIVOTDATA("Sum of "&amp;AJ$9,'PT-All'!$A$1,"Scenario",AJ$12,"P&amp;L Item",$B168)/AJ$201,0),TEXT(IFERROR(GETPIVOTDATA("Sum of "&amp;AJ$9,'PT-All'!$A$1,"Scenario",AJ$12,"P&amp;L Item",$B168)/AJ$29,0),"0.00%"))</f>
        <v>0</v>
      </c>
      <c r="AK168" s="65">
        <f>CHOOSE(PLColumn,IFERROR(GETPIVOTDATA("Sum of "&amp;AK$9,'PT-All'!$A$1,"Scenario",AK$12,"P&amp;L Item",$B168),0),IFERROR(GETPIVOTDATA("Sum of "&amp;AK$9,'PT-All'!$A$1,"Scenario",AK$12,"P&amp;L Item",$B168)/AK$201,0),TEXT(IFERROR(GETPIVOTDATA("Sum of "&amp;AK$9,'PT-All'!$A$1,"Scenario",AK$12,"P&amp;L Item",$B168)/AK$29,0),"0.00%"))</f>
        <v>0</v>
      </c>
      <c r="AL168" s="97">
        <f>CHOOSE(PLColumn,IFERROR(GETPIVOTDATA("Sum of "&amp;AL$9,'PT-All'!$A$1,"Scenario",AL$12,"P&amp;L Item",$B168),0),IFERROR(GETPIVOTDATA("Sum of "&amp;AL$9,'PT-All'!$A$1,"Scenario",AL$12,"P&amp;L Item",$B168)/AL$201,0),TEXT(IFERROR(GETPIVOTDATA("Sum of "&amp;AL$9,'PT-All'!$A$1,"Scenario",AL$12,"P&amp;L Item",$B168)/AL$29,0),"0.00%"))</f>
        <v>0</v>
      </c>
      <c r="AM168" s="590"/>
      <c r="AN168" s="108">
        <f ca="1">IF(AN$12="Pro Forma",SUM(OFFSET($B168,0,3*AN$9+1,1,3)),IFERROR(GETPIVOTDATA("Sum of Q"&amp;AN$9+1,'PT-All'!$A$1,"Scenario",AN$12,"P&amp;L Item",$B168),0))</f>
        <v>0</v>
      </c>
      <c r="AO168" s="65">
        <f ca="1">IF(AO$12="Pro Forma",SUM(OFFSET($B168,0,3*AO$9+1,1,3)),IFERROR(GETPIVOTDATA("Sum of Q"&amp;AO$9+1,'PT-All'!$A$1,"Scenario",AO$12,"P&amp;L Item",$B168),0))</f>
        <v>0</v>
      </c>
      <c r="AP168" s="65">
        <f ca="1">IF(AP$12="Pro Forma",SUM(OFFSET($B168,0,3*AP$9+1,1,3)),IFERROR(GETPIVOTDATA("Sum of Q"&amp;AP$9+1,'PT-All'!$A$1,"Scenario",AP$12,"P&amp;L Item",$B168),0))</f>
        <v>0</v>
      </c>
      <c r="AQ168" s="65">
        <f ca="1">IF(AQ$12="Pro Forma",SUM(OFFSET($B168,0,3*AQ$9+1,1,3)),IFERROR(GETPIVOTDATA("Sum of Q"&amp;AQ$9+1,'PT-All'!$A$1,"Scenario",AQ$12,"P&amp;L Item",$B168),0))</f>
        <v>0</v>
      </c>
      <c r="AR168" s="65">
        <f ca="1">IF(AR$12="Pro Forma",SUM(OFFSET($B168,0,3*AR$9+1,1,3)),IFERROR(GETPIVOTDATA("Sum of Q"&amp;AR$9+1,'PT-All'!$A$1,"Scenario",AR$12,"P&amp;L Item",$B168),0))</f>
        <v>0</v>
      </c>
      <c r="AS168" s="65">
        <f ca="1">IF(AS$12="Pro Forma",SUM(OFFSET($B168,0,3*AS$9+1,1,3)),IFERROR(GETPIVOTDATA("Sum of Q"&amp;AS$9+1,'PT-All'!$A$1,"Scenario",AS$12,"P&amp;L Item",$B168),0))</f>
        <v>0</v>
      </c>
      <c r="AT168" s="65">
        <f ca="1">IF(AT$12="Pro Forma",SUM(OFFSET($B168,0,3*AT$9+1,1,3)),IFERROR(GETPIVOTDATA("Sum of Q"&amp;AT$9+1,'PT-All'!$A$1,"Scenario",AT$12,"P&amp;L Item",$B168),0))</f>
        <v>0</v>
      </c>
      <c r="AU168" s="65">
        <f ca="1">IF(AU$12="Pro Forma",SUM(OFFSET($B168,0,3*AU$9+1,1,3)),IFERROR(GETPIVOTDATA("Sum of Q"&amp;AU$9+1,'PT-All'!$A$1,"Scenario",AU$12,"P&amp;L Item",$B168),0))</f>
        <v>0</v>
      </c>
      <c r="AV168" s="65">
        <f ca="1">IF(AV$12="Pro Forma",SUM(OFFSET($B168,0,3*AV$9+1,1,3)),IFERROR(GETPIVOTDATA("Sum of Q"&amp;AV$9+1,'PT-All'!$A$1,"Scenario",AV$12,"P&amp;L Item",$B168),0))</f>
        <v>0</v>
      </c>
      <c r="AW168" s="65">
        <f ca="1">IF(AW$12="Pro Forma",SUM(OFFSET($B168,0,3*AW$9+1,1,3)),IFERROR(GETPIVOTDATA("Sum of Q"&amp;AW$9+1,'PT-All'!$A$1,"Scenario",AW$12,"P&amp;L Item",$B168),0))</f>
        <v>0</v>
      </c>
      <c r="AX168" s="65">
        <f ca="1">IF(AX$12="Pro Forma",SUM(OFFSET($B168,0,3*AX$9+1,1,3)),IFERROR(GETPIVOTDATA("Sum of Q"&amp;AX$9+1,'PT-All'!$A$1,"Scenario",AX$12,"P&amp;L Item",$B168),0))</f>
        <v>0</v>
      </c>
      <c r="AY168" s="97">
        <f ca="1">IF(AY$12="Pro Forma",SUM(OFFSET($B168,0,3*AY$9+1,1,3)),IFERROR(GETPIVOTDATA("Sum of Q"&amp;AY$9+1,'PT-All'!$A$1,"Scenario",AY$12,"P&amp;L Item",$B168),0))</f>
        <v>0</v>
      </c>
      <c r="AZ168" s="590"/>
      <c r="BA168" s="108">
        <f ca="1">IF(BA$12="Pro Forma",SUM(OFFSET($B168,0,12*BA$9+1,1,12)),IFERROR(GETPIVOTDATA("Sum of FY"&amp;BA$9+1,'PT-All'!$A$1,"Scenario",BA$12,"P&amp;L Item",$B168),0))</f>
        <v>0</v>
      </c>
      <c r="BB168" s="65">
        <f ca="1">IF(BB$12="Pro Forma",SUM(OFFSET($B168,0,12*BB$9+1,1,12)),IFERROR(GETPIVOTDATA("Sum of FY"&amp;BB$9+1,'PT-All'!$A$1,"Scenario",BB$12,"P&amp;L Item",$B168),0))</f>
        <v>0</v>
      </c>
      <c r="BC168" s="97">
        <f ca="1">IF(BC$12="Pro Forma",SUM(OFFSET($B168,0,12*BC$9+1,1,12)),IFERROR(GETPIVOTDATA("Sum of FY"&amp;BC$9+1,'PT-All'!$A$1,"Scenario",BC$12,"P&amp;L Item",$B168),0))</f>
        <v>0</v>
      </c>
    </row>
    <row r="169" spans="2:55" x14ac:dyDescent="0.35">
      <c r="B169" s="64" t="s">
        <v>197</v>
      </c>
      <c r="C169" s="65">
        <f>CHOOSE(PLColumn,IFERROR(GETPIVOTDATA("Sum of "&amp;C$9,'PT-All'!$A$1,"Scenario",C$12,"P&amp;L Item",$B169),0),IFERROR(GETPIVOTDATA("Sum of "&amp;C$9,'PT-All'!$A$1,"Scenario",C$12,"P&amp;L Item",$B169)/C$201,0),TEXT(IFERROR(GETPIVOTDATA("Sum of "&amp;C$9,'PT-All'!$A$1,"Scenario",C$12,"P&amp;L Item",$B169)/C$29,0),"0.00%"))</f>
        <v>0</v>
      </c>
      <c r="D169" s="65">
        <f>CHOOSE(PLColumn,IFERROR(GETPIVOTDATA("Sum of "&amp;D$9,'PT-All'!$A$1,"Scenario",D$12,"P&amp;L Item",$B169),0),IFERROR(GETPIVOTDATA("Sum of "&amp;D$9,'PT-All'!$A$1,"Scenario",D$12,"P&amp;L Item",$B169)/D$201,0),TEXT(IFERROR(GETPIVOTDATA("Sum of "&amp;D$9,'PT-All'!$A$1,"Scenario",D$12,"P&amp;L Item",$B169)/D$29,0),"0.00%"))</f>
        <v>0</v>
      </c>
      <c r="E169" s="65">
        <f>CHOOSE(PLColumn,IFERROR(GETPIVOTDATA("Sum of "&amp;E$9,'PT-All'!$A$1,"Scenario",E$12,"P&amp;L Item",$B169),0),IFERROR(GETPIVOTDATA("Sum of "&amp;E$9,'PT-All'!$A$1,"Scenario",E$12,"P&amp;L Item",$B169)/E$201,0),TEXT(IFERROR(GETPIVOTDATA("Sum of "&amp;E$9,'PT-All'!$A$1,"Scenario",E$12,"P&amp;L Item",$B169)/E$29,0),"0.00%"))</f>
        <v>0</v>
      </c>
      <c r="F169" s="65">
        <f>CHOOSE(PLColumn,IFERROR(GETPIVOTDATA("Sum of "&amp;F$9,'PT-All'!$A$1,"Scenario",F$12,"P&amp;L Item",$B169),0),IFERROR(GETPIVOTDATA("Sum of "&amp;F$9,'PT-All'!$A$1,"Scenario",F$12,"P&amp;L Item",$B169)/F$201,0),TEXT(IFERROR(GETPIVOTDATA("Sum of "&amp;F$9,'PT-All'!$A$1,"Scenario",F$12,"P&amp;L Item",$B169)/F$29,0),"0.00%"))</f>
        <v>0</v>
      </c>
      <c r="G169" s="65">
        <f>CHOOSE(PLColumn,IFERROR(GETPIVOTDATA("Sum of "&amp;G$9,'PT-All'!$A$1,"Scenario",G$12,"P&amp;L Item",$B169),0),IFERROR(GETPIVOTDATA("Sum of "&amp;G$9,'PT-All'!$A$1,"Scenario",G$12,"P&amp;L Item",$B169)/G$201,0),TEXT(IFERROR(GETPIVOTDATA("Sum of "&amp;G$9,'PT-All'!$A$1,"Scenario",G$12,"P&amp;L Item",$B169)/G$29,0),"0.00%"))</f>
        <v>0</v>
      </c>
      <c r="H169" s="65">
        <f>CHOOSE(PLColumn,IFERROR(GETPIVOTDATA("Sum of "&amp;H$9,'PT-All'!$A$1,"Scenario",H$12,"P&amp;L Item",$B169),0),IFERROR(GETPIVOTDATA("Sum of "&amp;H$9,'PT-All'!$A$1,"Scenario",H$12,"P&amp;L Item",$B169)/H$201,0),TEXT(IFERROR(GETPIVOTDATA("Sum of "&amp;H$9,'PT-All'!$A$1,"Scenario",H$12,"P&amp;L Item",$B169)/H$29,0),"0.00%"))</f>
        <v>0</v>
      </c>
      <c r="I169" s="65">
        <f>CHOOSE(PLColumn,IFERROR(GETPIVOTDATA("Sum of "&amp;I$9,'PT-All'!$A$1,"Scenario",I$12,"P&amp;L Item",$B169),0),IFERROR(GETPIVOTDATA("Sum of "&amp;I$9,'PT-All'!$A$1,"Scenario",I$12,"P&amp;L Item",$B169)/I$201,0),TEXT(IFERROR(GETPIVOTDATA("Sum of "&amp;I$9,'PT-All'!$A$1,"Scenario",I$12,"P&amp;L Item",$B169)/I$29,0),"0.00%"))</f>
        <v>0</v>
      </c>
      <c r="J169" s="65">
        <f>CHOOSE(PLColumn,IFERROR(GETPIVOTDATA("Sum of "&amp;J$9,'PT-All'!$A$1,"Scenario",J$12,"P&amp;L Item",$B169),0),IFERROR(GETPIVOTDATA("Sum of "&amp;J$9,'PT-All'!$A$1,"Scenario",J$12,"P&amp;L Item",$B169)/J$201,0),TEXT(IFERROR(GETPIVOTDATA("Sum of "&amp;J$9,'PT-All'!$A$1,"Scenario",J$12,"P&amp;L Item",$B169)/J$29,0),"0.00%"))</f>
        <v>0</v>
      </c>
      <c r="K169" s="65">
        <f>CHOOSE(PLColumn,IFERROR(GETPIVOTDATA("Sum of "&amp;K$9,'PT-All'!$A$1,"Scenario",K$12,"P&amp;L Item",$B169),0),IFERROR(GETPIVOTDATA("Sum of "&amp;K$9,'PT-All'!$A$1,"Scenario",K$12,"P&amp;L Item",$B169)/K$201,0),TEXT(IFERROR(GETPIVOTDATA("Sum of "&amp;K$9,'PT-All'!$A$1,"Scenario",K$12,"P&amp;L Item",$B169)/K$29,0),"0.00%"))</f>
        <v>0</v>
      </c>
      <c r="L169" s="65">
        <f>CHOOSE(PLColumn,IFERROR(GETPIVOTDATA("Sum of "&amp;L$9,'PT-All'!$A$1,"Scenario",L$12,"P&amp;L Item",$B169),0),IFERROR(GETPIVOTDATA("Sum of "&amp;L$9,'PT-All'!$A$1,"Scenario",L$12,"P&amp;L Item",$B169)/L$201,0),TEXT(IFERROR(GETPIVOTDATA("Sum of "&amp;L$9,'PT-All'!$A$1,"Scenario",L$12,"P&amp;L Item",$B169)/L$29,0),"0.00%"))</f>
        <v>0</v>
      </c>
      <c r="M169" s="65">
        <f>CHOOSE(PLColumn,IFERROR(GETPIVOTDATA("Sum of "&amp;M$9,'PT-All'!$A$1,"Scenario",M$12,"P&amp;L Item",$B169),0),IFERROR(GETPIVOTDATA("Sum of "&amp;M$9,'PT-All'!$A$1,"Scenario",M$12,"P&amp;L Item",$B169)/M$201,0),TEXT(IFERROR(GETPIVOTDATA("Sum of "&amp;M$9,'PT-All'!$A$1,"Scenario",M$12,"P&amp;L Item",$B169)/M$29,0),"0.00%"))</f>
        <v>0</v>
      </c>
      <c r="N169" s="65">
        <f>CHOOSE(PLColumn,IFERROR(GETPIVOTDATA("Sum of "&amp;N$9,'PT-All'!$A$1,"Scenario",N$12,"P&amp;L Item",$B169),0),IFERROR(GETPIVOTDATA("Sum of "&amp;N$9,'PT-All'!$A$1,"Scenario",N$12,"P&amp;L Item",$B169)/N$201,0),TEXT(IFERROR(GETPIVOTDATA("Sum of "&amp;N$9,'PT-All'!$A$1,"Scenario",N$12,"P&amp;L Item",$B169)/N$29,0),"0.00%"))</f>
        <v>0</v>
      </c>
      <c r="O169" s="65">
        <f>CHOOSE(PLColumn,IFERROR(GETPIVOTDATA("Sum of "&amp;O$9,'PT-All'!$A$1,"Scenario",O$12,"P&amp;L Item",$B169),0),IFERROR(GETPIVOTDATA("Sum of "&amp;O$9,'PT-All'!$A$1,"Scenario",O$12,"P&amp;L Item",$B169)/O$201,0),TEXT(IFERROR(GETPIVOTDATA("Sum of "&amp;O$9,'PT-All'!$A$1,"Scenario",O$12,"P&amp;L Item",$B169)/O$29,0),"0.00%"))</f>
        <v>0</v>
      </c>
      <c r="P169" s="65">
        <f>CHOOSE(PLColumn,IFERROR(GETPIVOTDATA("Sum of "&amp;P$9,'PT-All'!$A$1,"Scenario",P$12,"P&amp;L Item",$B169),0),IFERROR(GETPIVOTDATA("Sum of "&amp;P$9,'PT-All'!$A$1,"Scenario",P$12,"P&amp;L Item",$B169)/P$201,0),TEXT(IFERROR(GETPIVOTDATA("Sum of "&amp;P$9,'PT-All'!$A$1,"Scenario",P$12,"P&amp;L Item",$B169)/P$29,0),"0.00%"))</f>
        <v>0</v>
      </c>
      <c r="Q169" s="65">
        <f>CHOOSE(PLColumn,IFERROR(GETPIVOTDATA("Sum of "&amp;Q$9,'PT-All'!$A$1,"Scenario",Q$12,"P&amp;L Item",$B169),0),IFERROR(GETPIVOTDATA("Sum of "&amp;Q$9,'PT-All'!$A$1,"Scenario",Q$12,"P&amp;L Item",$B169)/Q$201,0),TEXT(IFERROR(GETPIVOTDATA("Sum of "&amp;Q$9,'PT-All'!$A$1,"Scenario",Q$12,"P&amp;L Item",$B169)/Q$29,0),"0.00%"))</f>
        <v>0</v>
      </c>
      <c r="R169" s="65">
        <f>CHOOSE(PLColumn,IFERROR(GETPIVOTDATA("Sum of "&amp;R$9,'PT-All'!$A$1,"Scenario",R$12,"P&amp;L Item",$B169),0),IFERROR(GETPIVOTDATA("Sum of "&amp;R$9,'PT-All'!$A$1,"Scenario",R$12,"P&amp;L Item",$B169)/R$201,0),TEXT(IFERROR(GETPIVOTDATA("Sum of "&amp;R$9,'PT-All'!$A$1,"Scenario",R$12,"P&amp;L Item",$B169)/R$29,0),"0.00%"))</f>
        <v>0</v>
      </c>
      <c r="S169" s="65">
        <f>CHOOSE(PLColumn,IFERROR(GETPIVOTDATA("Sum of "&amp;S$9,'PT-All'!$A$1,"Scenario",S$12,"P&amp;L Item",$B169),0),IFERROR(GETPIVOTDATA("Sum of "&amp;S$9,'PT-All'!$A$1,"Scenario",S$12,"P&amp;L Item",$B169)/S$201,0),TEXT(IFERROR(GETPIVOTDATA("Sum of "&amp;S$9,'PT-All'!$A$1,"Scenario",S$12,"P&amp;L Item",$B169)/S$29,0),"0.00%"))</f>
        <v>0</v>
      </c>
      <c r="T169" s="65">
        <f>CHOOSE(PLColumn,IFERROR(GETPIVOTDATA("Sum of "&amp;T$9,'PT-All'!$A$1,"Scenario",T$12,"P&amp;L Item",$B169),0),IFERROR(GETPIVOTDATA("Sum of "&amp;T$9,'PT-All'!$A$1,"Scenario",T$12,"P&amp;L Item",$B169)/T$201,0),TEXT(IFERROR(GETPIVOTDATA("Sum of "&amp;T$9,'PT-All'!$A$1,"Scenario",T$12,"P&amp;L Item",$B169)/T$29,0),"0.00%"))</f>
        <v>0</v>
      </c>
      <c r="U169" s="65">
        <f>CHOOSE(PLColumn,IFERROR(GETPIVOTDATA("Sum of "&amp;U$9,'PT-All'!$A$1,"Scenario",U$12,"P&amp;L Item",$B169),0),IFERROR(GETPIVOTDATA("Sum of "&amp;U$9,'PT-All'!$A$1,"Scenario",U$12,"P&amp;L Item",$B169)/U$201,0),TEXT(IFERROR(GETPIVOTDATA("Sum of "&amp;U$9,'PT-All'!$A$1,"Scenario",U$12,"P&amp;L Item",$B169)/U$29,0),"0.00%"))</f>
        <v>0</v>
      </c>
      <c r="V169" s="65">
        <f>CHOOSE(PLColumn,IFERROR(GETPIVOTDATA("Sum of "&amp;V$9,'PT-All'!$A$1,"Scenario",V$12,"P&amp;L Item",$B169),0),IFERROR(GETPIVOTDATA("Sum of "&amp;V$9,'PT-All'!$A$1,"Scenario",V$12,"P&amp;L Item",$B169)/V$201,0),TEXT(IFERROR(GETPIVOTDATA("Sum of "&amp;V$9,'PT-All'!$A$1,"Scenario",V$12,"P&amp;L Item",$B169)/V$29,0),"0.00%"))</f>
        <v>0</v>
      </c>
      <c r="W169" s="65">
        <f>CHOOSE(PLColumn,IFERROR(GETPIVOTDATA("Sum of "&amp;W$9,'PT-All'!$A$1,"Scenario",W$12,"P&amp;L Item",$B169),0),IFERROR(GETPIVOTDATA("Sum of "&amp;W$9,'PT-All'!$A$1,"Scenario",W$12,"P&amp;L Item",$B169)/W$201,0),TEXT(IFERROR(GETPIVOTDATA("Sum of "&amp;W$9,'PT-All'!$A$1,"Scenario",W$12,"P&amp;L Item",$B169)/W$29,0),"0.00%"))</f>
        <v>0</v>
      </c>
      <c r="X169" s="65">
        <f>CHOOSE(PLColumn,IFERROR(GETPIVOTDATA("Sum of "&amp;X$9,'PT-All'!$A$1,"Scenario",X$12,"P&amp;L Item",$B169),0),IFERROR(GETPIVOTDATA("Sum of "&amp;X$9,'PT-All'!$A$1,"Scenario",X$12,"P&amp;L Item",$B169)/X$201,0),TEXT(IFERROR(GETPIVOTDATA("Sum of "&amp;X$9,'PT-All'!$A$1,"Scenario",X$12,"P&amp;L Item",$B169)/X$29,0),"0.00%"))</f>
        <v>0</v>
      </c>
      <c r="Y169" s="65">
        <f>CHOOSE(PLColumn,IFERROR(GETPIVOTDATA("Sum of "&amp;Y$9,'PT-All'!$A$1,"Scenario",Y$12,"P&amp;L Item",$B169),0),IFERROR(GETPIVOTDATA("Sum of "&amp;Y$9,'PT-All'!$A$1,"Scenario",Y$12,"P&amp;L Item",$B169)/Y$201,0),TEXT(IFERROR(GETPIVOTDATA("Sum of "&amp;Y$9,'PT-All'!$A$1,"Scenario",Y$12,"P&amp;L Item",$B169)/Y$29,0),"0.00%"))</f>
        <v>0</v>
      </c>
      <c r="Z169" s="65">
        <f>CHOOSE(PLColumn,IFERROR(GETPIVOTDATA("Sum of "&amp;Z$9,'PT-All'!$A$1,"Scenario",Z$12,"P&amp;L Item",$B169),0),IFERROR(GETPIVOTDATA("Sum of "&amp;Z$9,'PT-All'!$A$1,"Scenario",Z$12,"P&amp;L Item",$B169)/Z$201,0),TEXT(IFERROR(GETPIVOTDATA("Sum of "&amp;Z$9,'PT-All'!$A$1,"Scenario",Z$12,"P&amp;L Item",$B169)/Z$29,0),"0.00%"))</f>
        <v>0</v>
      </c>
      <c r="AA169" s="65">
        <f>CHOOSE(PLColumn,IFERROR(GETPIVOTDATA("Sum of "&amp;AA$9,'PT-All'!$A$1,"Scenario",AA$12,"P&amp;L Item",$B169),0),IFERROR(GETPIVOTDATA("Sum of "&amp;AA$9,'PT-All'!$A$1,"Scenario",AA$12,"P&amp;L Item",$B169)/AA$201,0),TEXT(IFERROR(GETPIVOTDATA("Sum of "&amp;AA$9,'PT-All'!$A$1,"Scenario",AA$12,"P&amp;L Item",$B169)/AA$29,0),"0.00%"))</f>
        <v>0</v>
      </c>
      <c r="AB169" s="65">
        <f>CHOOSE(PLColumn,IFERROR(GETPIVOTDATA("Sum of "&amp;AB$9,'PT-All'!$A$1,"Scenario",AB$12,"P&amp;L Item",$B169),0),IFERROR(GETPIVOTDATA("Sum of "&amp;AB$9,'PT-All'!$A$1,"Scenario",AB$12,"P&amp;L Item",$B169)/AB$201,0),TEXT(IFERROR(GETPIVOTDATA("Sum of "&amp;AB$9,'PT-All'!$A$1,"Scenario",AB$12,"P&amp;L Item",$B169)/AB$29,0),"0.00%"))</f>
        <v>0</v>
      </c>
      <c r="AC169" s="65">
        <f>CHOOSE(PLColumn,IFERROR(GETPIVOTDATA("Sum of "&amp;AC$9,'PT-All'!$A$1,"Scenario",AC$12,"P&amp;L Item",$B169),0),IFERROR(GETPIVOTDATA("Sum of "&amp;AC$9,'PT-All'!$A$1,"Scenario",AC$12,"P&amp;L Item",$B169)/AC$201,0),TEXT(IFERROR(GETPIVOTDATA("Sum of "&amp;AC$9,'PT-All'!$A$1,"Scenario",AC$12,"P&amp;L Item",$B169)/AC$29,0),"0.00%"))</f>
        <v>0</v>
      </c>
      <c r="AD169" s="65">
        <f>CHOOSE(PLColumn,IFERROR(GETPIVOTDATA("Sum of "&amp;AD$9,'PT-All'!$A$1,"Scenario",AD$12,"P&amp;L Item",$B169),0),IFERROR(GETPIVOTDATA("Sum of "&amp;AD$9,'PT-All'!$A$1,"Scenario",AD$12,"P&amp;L Item",$B169)/AD$201,0),TEXT(IFERROR(GETPIVOTDATA("Sum of "&amp;AD$9,'PT-All'!$A$1,"Scenario",AD$12,"P&amp;L Item",$B169)/AD$29,0),"0.00%"))</f>
        <v>0</v>
      </c>
      <c r="AE169" s="65">
        <f>CHOOSE(PLColumn,IFERROR(GETPIVOTDATA("Sum of "&amp;AE$9,'PT-All'!$A$1,"Scenario",AE$12,"P&amp;L Item",$B169),0),IFERROR(GETPIVOTDATA("Sum of "&amp;AE$9,'PT-All'!$A$1,"Scenario",AE$12,"P&amp;L Item",$B169)/AE$201,0),TEXT(IFERROR(GETPIVOTDATA("Sum of "&amp;AE$9,'PT-All'!$A$1,"Scenario",AE$12,"P&amp;L Item",$B169)/AE$29,0),"0.00%"))</f>
        <v>0</v>
      </c>
      <c r="AF169" s="65">
        <f>CHOOSE(PLColumn,IFERROR(GETPIVOTDATA("Sum of "&amp;AF$9,'PT-All'!$A$1,"Scenario",AF$12,"P&amp;L Item",$B169),0),IFERROR(GETPIVOTDATA("Sum of "&amp;AF$9,'PT-All'!$A$1,"Scenario",AF$12,"P&amp;L Item",$B169)/AF$201,0),TEXT(IFERROR(GETPIVOTDATA("Sum of "&amp;AF$9,'PT-All'!$A$1,"Scenario",AF$12,"P&amp;L Item",$B169)/AF$29,0),"0.00%"))</f>
        <v>0</v>
      </c>
      <c r="AG169" s="65">
        <f>CHOOSE(PLColumn,IFERROR(GETPIVOTDATA("Sum of "&amp;AG$9,'PT-All'!$A$1,"Scenario",AG$12,"P&amp;L Item",$B169),0),IFERROR(GETPIVOTDATA("Sum of "&amp;AG$9,'PT-All'!$A$1,"Scenario",AG$12,"P&amp;L Item",$B169)/AG$201,0),TEXT(IFERROR(GETPIVOTDATA("Sum of "&amp;AG$9,'PT-All'!$A$1,"Scenario",AG$12,"P&amp;L Item",$B169)/AG$29,0),"0.00%"))</f>
        <v>0</v>
      </c>
      <c r="AH169" s="65">
        <f>CHOOSE(PLColumn,IFERROR(GETPIVOTDATA("Sum of "&amp;AH$9,'PT-All'!$A$1,"Scenario",AH$12,"P&amp;L Item",$B169),0),IFERROR(GETPIVOTDATA("Sum of "&amp;AH$9,'PT-All'!$A$1,"Scenario",AH$12,"P&amp;L Item",$B169)/AH$201,0),TEXT(IFERROR(GETPIVOTDATA("Sum of "&amp;AH$9,'PT-All'!$A$1,"Scenario",AH$12,"P&amp;L Item",$B169)/AH$29,0),"0.00%"))</f>
        <v>0</v>
      </c>
      <c r="AI169" s="65">
        <f>CHOOSE(PLColumn,IFERROR(GETPIVOTDATA("Sum of "&amp;AI$9,'PT-All'!$A$1,"Scenario",AI$12,"P&amp;L Item",$B169),0),IFERROR(GETPIVOTDATA("Sum of "&amp;AI$9,'PT-All'!$A$1,"Scenario",AI$12,"P&amp;L Item",$B169)/AI$201,0),TEXT(IFERROR(GETPIVOTDATA("Sum of "&amp;AI$9,'PT-All'!$A$1,"Scenario",AI$12,"P&amp;L Item",$B169)/AI$29,0),"0.00%"))</f>
        <v>0</v>
      </c>
      <c r="AJ169" s="65">
        <f>CHOOSE(PLColumn,IFERROR(GETPIVOTDATA("Sum of "&amp;AJ$9,'PT-All'!$A$1,"Scenario",AJ$12,"P&amp;L Item",$B169),0),IFERROR(GETPIVOTDATA("Sum of "&amp;AJ$9,'PT-All'!$A$1,"Scenario",AJ$12,"P&amp;L Item",$B169)/AJ$201,0),TEXT(IFERROR(GETPIVOTDATA("Sum of "&amp;AJ$9,'PT-All'!$A$1,"Scenario",AJ$12,"P&amp;L Item",$B169)/AJ$29,0),"0.00%"))</f>
        <v>0</v>
      </c>
      <c r="AK169" s="65">
        <f>CHOOSE(PLColumn,IFERROR(GETPIVOTDATA("Sum of "&amp;AK$9,'PT-All'!$A$1,"Scenario",AK$12,"P&amp;L Item",$B169),0),IFERROR(GETPIVOTDATA("Sum of "&amp;AK$9,'PT-All'!$A$1,"Scenario",AK$12,"P&amp;L Item",$B169)/AK$201,0),TEXT(IFERROR(GETPIVOTDATA("Sum of "&amp;AK$9,'PT-All'!$A$1,"Scenario",AK$12,"P&amp;L Item",$B169)/AK$29,0),"0.00%"))</f>
        <v>0</v>
      </c>
      <c r="AL169" s="97">
        <f>CHOOSE(PLColumn,IFERROR(GETPIVOTDATA("Sum of "&amp;AL$9,'PT-All'!$A$1,"Scenario",AL$12,"P&amp;L Item",$B169),0),IFERROR(GETPIVOTDATA("Sum of "&amp;AL$9,'PT-All'!$A$1,"Scenario",AL$12,"P&amp;L Item",$B169)/AL$201,0),TEXT(IFERROR(GETPIVOTDATA("Sum of "&amp;AL$9,'PT-All'!$A$1,"Scenario",AL$12,"P&amp;L Item",$B169)/AL$29,0),"0.00%"))</f>
        <v>0</v>
      </c>
      <c r="AM169" s="590"/>
      <c r="AN169" s="108">
        <f ca="1">IF(AN$12="Pro Forma",SUM(OFFSET($B169,0,3*AN$9+1,1,3)),IFERROR(GETPIVOTDATA("Sum of Q"&amp;AN$9+1,'PT-All'!$A$1,"Scenario",AN$12,"P&amp;L Item",$B169),0))</f>
        <v>0</v>
      </c>
      <c r="AO169" s="65">
        <f ca="1">IF(AO$12="Pro Forma",SUM(OFFSET($B169,0,3*AO$9+1,1,3)),IFERROR(GETPIVOTDATA("Sum of Q"&amp;AO$9+1,'PT-All'!$A$1,"Scenario",AO$12,"P&amp;L Item",$B169),0))</f>
        <v>0</v>
      </c>
      <c r="AP169" s="65">
        <f ca="1">IF(AP$12="Pro Forma",SUM(OFFSET($B169,0,3*AP$9+1,1,3)),IFERROR(GETPIVOTDATA("Sum of Q"&amp;AP$9+1,'PT-All'!$A$1,"Scenario",AP$12,"P&amp;L Item",$B169),0))</f>
        <v>0</v>
      </c>
      <c r="AQ169" s="65">
        <f ca="1">IF(AQ$12="Pro Forma",SUM(OFFSET($B169,0,3*AQ$9+1,1,3)),IFERROR(GETPIVOTDATA("Sum of Q"&amp;AQ$9+1,'PT-All'!$A$1,"Scenario",AQ$12,"P&amp;L Item",$B169),0))</f>
        <v>0</v>
      </c>
      <c r="AR169" s="65">
        <f ca="1">IF(AR$12="Pro Forma",SUM(OFFSET($B169,0,3*AR$9+1,1,3)),IFERROR(GETPIVOTDATA("Sum of Q"&amp;AR$9+1,'PT-All'!$A$1,"Scenario",AR$12,"P&amp;L Item",$B169),0))</f>
        <v>0</v>
      </c>
      <c r="AS169" s="65">
        <f ca="1">IF(AS$12="Pro Forma",SUM(OFFSET($B169,0,3*AS$9+1,1,3)),IFERROR(GETPIVOTDATA("Sum of Q"&amp;AS$9+1,'PT-All'!$A$1,"Scenario",AS$12,"P&amp;L Item",$B169),0))</f>
        <v>0</v>
      </c>
      <c r="AT169" s="65">
        <f ca="1">IF(AT$12="Pro Forma",SUM(OFFSET($B169,0,3*AT$9+1,1,3)),IFERROR(GETPIVOTDATA("Sum of Q"&amp;AT$9+1,'PT-All'!$A$1,"Scenario",AT$12,"P&amp;L Item",$B169),0))</f>
        <v>0</v>
      </c>
      <c r="AU169" s="65">
        <f ca="1">IF(AU$12="Pro Forma",SUM(OFFSET($B169,0,3*AU$9+1,1,3)),IFERROR(GETPIVOTDATA("Sum of Q"&amp;AU$9+1,'PT-All'!$A$1,"Scenario",AU$12,"P&amp;L Item",$B169),0))</f>
        <v>0</v>
      </c>
      <c r="AV169" s="65">
        <f ca="1">IF(AV$12="Pro Forma",SUM(OFFSET($B169,0,3*AV$9+1,1,3)),IFERROR(GETPIVOTDATA("Sum of Q"&amp;AV$9+1,'PT-All'!$A$1,"Scenario",AV$12,"P&amp;L Item",$B169),0))</f>
        <v>0</v>
      </c>
      <c r="AW169" s="65">
        <f ca="1">IF(AW$12="Pro Forma",SUM(OFFSET($B169,0,3*AW$9+1,1,3)),IFERROR(GETPIVOTDATA("Sum of Q"&amp;AW$9+1,'PT-All'!$A$1,"Scenario",AW$12,"P&amp;L Item",$B169),0))</f>
        <v>0</v>
      </c>
      <c r="AX169" s="65">
        <f ca="1">IF(AX$12="Pro Forma",SUM(OFFSET($B169,0,3*AX$9+1,1,3)),IFERROR(GETPIVOTDATA("Sum of Q"&amp;AX$9+1,'PT-All'!$A$1,"Scenario",AX$12,"P&amp;L Item",$B169),0))</f>
        <v>0</v>
      </c>
      <c r="AY169" s="97">
        <f ca="1">IF(AY$12="Pro Forma",SUM(OFFSET($B169,0,3*AY$9+1,1,3)),IFERROR(GETPIVOTDATA("Sum of Q"&amp;AY$9+1,'PT-All'!$A$1,"Scenario",AY$12,"P&amp;L Item",$B169),0))</f>
        <v>0</v>
      </c>
      <c r="AZ169" s="590"/>
      <c r="BA169" s="108">
        <f ca="1">IF(BA$12="Pro Forma",SUM(OFFSET($B169,0,12*BA$9+1,1,12)),IFERROR(GETPIVOTDATA("Sum of FY"&amp;BA$9+1,'PT-All'!$A$1,"Scenario",BA$12,"P&amp;L Item",$B169),0))</f>
        <v>0</v>
      </c>
      <c r="BB169" s="65">
        <f ca="1">IF(BB$12="Pro Forma",SUM(OFFSET($B169,0,12*BB$9+1,1,12)),IFERROR(GETPIVOTDATA("Sum of FY"&amp;BB$9+1,'PT-All'!$A$1,"Scenario",BB$12,"P&amp;L Item",$B169),0))</f>
        <v>0</v>
      </c>
      <c r="BC169" s="97">
        <f ca="1">IF(BC$12="Pro Forma",SUM(OFFSET($B169,0,12*BC$9+1,1,12)),IFERROR(GETPIVOTDATA("Sum of FY"&amp;BC$9+1,'PT-All'!$A$1,"Scenario",BC$12,"P&amp;L Item",$B169),0))</f>
        <v>0</v>
      </c>
    </row>
    <row r="170" spans="2:55" x14ac:dyDescent="0.35">
      <c r="B170" s="64" t="s">
        <v>198</v>
      </c>
      <c r="C170" s="65">
        <f>CHOOSE(PLColumn,IFERROR(GETPIVOTDATA("Sum of "&amp;C$9,'PT-All'!$A$1,"Scenario",C$12,"P&amp;L Item",$B170),0),IFERROR(GETPIVOTDATA("Sum of "&amp;C$9,'PT-All'!$A$1,"Scenario",C$12,"P&amp;L Item",$B170)/C$201,0),TEXT(IFERROR(GETPIVOTDATA("Sum of "&amp;C$9,'PT-All'!$A$1,"Scenario",C$12,"P&amp;L Item",$B170)/C$29,0),"0.00%"))</f>
        <v>0</v>
      </c>
      <c r="D170" s="65">
        <f>CHOOSE(PLColumn,IFERROR(GETPIVOTDATA("Sum of "&amp;D$9,'PT-All'!$A$1,"Scenario",D$12,"P&amp;L Item",$B170),0),IFERROR(GETPIVOTDATA("Sum of "&amp;D$9,'PT-All'!$A$1,"Scenario",D$12,"P&amp;L Item",$B170)/D$201,0),TEXT(IFERROR(GETPIVOTDATA("Sum of "&amp;D$9,'PT-All'!$A$1,"Scenario",D$12,"P&amp;L Item",$B170)/D$29,0),"0.00%"))</f>
        <v>0</v>
      </c>
      <c r="E170" s="65">
        <f>CHOOSE(PLColumn,IFERROR(GETPIVOTDATA("Sum of "&amp;E$9,'PT-All'!$A$1,"Scenario",E$12,"P&amp;L Item",$B170),0),IFERROR(GETPIVOTDATA("Sum of "&amp;E$9,'PT-All'!$A$1,"Scenario",E$12,"P&amp;L Item",$B170)/E$201,0),TEXT(IFERROR(GETPIVOTDATA("Sum of "&amp;E$9,'PT-All'!$A$1,"Scenario",E$12,"P&amp;L Item",$B170)/E$29,0),"0.00%"))</f>
        <v>0</v>
      </c>
      <c r="F170" s="65">
        <f>CHOOSE(PLColumn,IFERROR(GETPIVOTDATA("Sum of "&amp;F$9,'PT-All'!$A$1,"Scenario",F$12,"P&amp;L Item",$B170),0),IFERROR(GETPIVOTDATA("Sum of "&amp;F$9,'PT-All'!$A$1,"Scenario",F$12,"P&amp;L Item",$B170)/F$201,0),TEXT(IFERROR(GETPIVOTDATA("Sum of "&amp;F$9,'PT-All'!$A$1,"Scenario",F$12,"P&amp;L Item",$B170)/F$29,0),"0.00%"))</f>
        <v>0</v>
      </c>
      <c r="G170" s="65">
        <f>CHOOSE(PLColumn,IFERROR(GETPIVOTDATA("Sum of "&amp;G$9,'PT-All'!$A$1,"Scenario",G$12,"P&amp;L Item",$B170),0),IFERROR(GETPIVOTDATA("Sum of "&amp;G$9,'PT-All'!$A$1,"Scenario",G$12,"P&amp;L Item",$B170)/G$201,0),TEXT(IFERROR(GETPIVOTDATA("Sum of "&amp;G$9,'PT-All'!$A$1,"Scenario",G$12,"P&amp;L Item",$B170)/G$29,0),"0.00%"))</f>
        <v>0</v>
      </c>
      <c r="H170" s="65">
        <f>CHOOSE(PLColumn,IFERROR(GETPIVOTDATA("Sum of "&amp;H$9,'PT-All'!$A$1,"Scenario",H$12,"P&amp;L Item",$B170),0),IFERROR(GETPIVOTDATA("Sum of "&amp;H$9,'PT-All'!$A$1,"Scenario",H$12,"P&amp;L Item",$B170)/H$201,0),TEXT(IFERROR(GETPIVOTDATA("Sum of "&amp;H$9,'PT-All'!$A$1,"Scenario",H$12,"P&amp;L Item",$B170)/H$29,0),"0.00%"))</f>
        <v>0</v>
      </c>
      <c r="I170" s="65">
        <f>CHOOSE(PLColumn,IFERROR(GETPIVOTDATA("Sum of "&amp;I$9,'PT-All'!$A$1,"Scenario",I$12,"P&amp;L Item",$B170),0),IFERROR(GETPIVOTDATA("Sum of "&amp;I$9,'PT-All'!$A$1,"Scenario",I$12,"P&amp;L Item",$B170)/I$201,0),TEXT(IFERROR(GETPIVOTDATA("Sum of "&amp;I$9,'PT-All'!$A$1,"Scenario",I$12,"P&amp;L Item",$B170)/I$29,0),"0.00%"))</f>
        <v>0</v>
      </c>
      <c r="J170" s="65">
        <f>CHOOSE(PLColumn,IFERROR(GETPIVOTDATA("Sum of "&amp;J$9,'PT-All'!$A$1,"Scenario",J$12,"P&amp;L Item",$B170),0),IFERROR(GETPIVOTDATA("Sum of "&amp;J$9,'PT-All'!$A$1,"Scenario",J$12,"P&amp;L Item",$B170)/J$201,0),TEXT(IFERROR(GETPIVOTDATA("Sum of "&amp;J$9,'PT-All'!$A$1,"Scenario",J$12,"P&amp;L Item",$B170)/J$29,0),"0.00%"))</f>
        <v>0</v>
      </c>
      <c r="K170" s="65">
        <f>CHOOSE(PLColumn,IFERROR(GETPIVOTDATA("Sum of "&amp;K$9,'PT-All'!$A$1,"Scenario",K$12,"P&amp;L Item",$B170),0),IFERROR(GETPIVOTDATA("Sum of "&amp;K$9,'PT-All'!$A$1,"Scenario",K$12,"P&amp;L Item",$B170)/K$201,0),TEXT(IFERROR(GETPIVOTDATA("Sum of "&amp;K$9,'PT-All'!$A$1,"Scenario",K$12,"P&amp;L Item",$B170)/K$29,0),"0.00%"))</f>
        <v>0</v>
      </c>
      <c r="L170" s="65">
        <f>CHOOSE(PLColumn,IFERROR(GETPIVOTDATA("Sum of "&amp;L$9,'PT-All'!$A$1,"Scenario",L$12,"P&amp;L Item",$B170),0),IFERROR(GETPIVOTDATA("Sum of "&amp;L$9,'PT-All'!$A$1,"Scenario",L$12,"P&amp;L Item",$B170)/L$201,0),TEXT(IFERROR(GETPIVOTDATA("Sum of "&amp;L$9,'PT-All'!$A$1,"Scenario",L$12,"P&amp;L Item",$B170)/L$29,0),"0.00%"))</f>
        <v>0</v>
      </c>
      <c r="M170" s="65">
        <f>CHOOSE(PLColumn,IFERROR(GETPIVOTDATA("Sum of "&amp;M$9,'PT-All'!$A$1,"Scenario",M$12,"P&amp;L Item",$B170),0),IFERROR(GETPIVOTDATA("Sum of "&amp;M$9,'PT-All'!$A$1,"Scenario",M$12,"P&amp;L Item",$B170)/M$201,0),TEXT(IFERROR(GETPIVOTDATA("Sum of "&amp;M$9,'PT-All'!$A$1,"Scenario",M$12,"P&amp;L Item",$B170)/M$29,0),"0.00%"))</f>
        <v>0</v>
      </c>
      <c r="N170" s="65">
        <f>CHOOSE(PLColumn,IFERROR(GETPIVOTDATA("Sum of "&amp;N$9,'PT-All'!$A$1,"Scenario",N$12,"P&amp;L Item",$B170),0),IFERROR(GETPIVOTDATA("Sum of "&amp;N$9,'PT-All'!$A$1,"Scenario",N$12,"P&amp;L Item",$B170)/N$201,0),TEXT(IFERROR(GETPIVOTDATA("Sum of "&amp;N$9,'PT-All'!$A$1,"Scenario",N$12,"P&amp;L Item",$B170)/N$29,0),"0.00%"))</f>
        <v>0</v>
      </c>
      <c r="O170" s="65">
        <f>CHOOSE(PLColumn,IFERROR(GETPIVOTDATA("Sum of "&amp;O$9,'PT-All'!$A$1,"Scenario",O$12,"P&amp;L Item",$B170),0),IFERROR(GETPIVOTDATA("Sum of "&amp;O$9,'PT-All'!$A$1,"Scenario",O$12,"P&amp;L Item",$B170)/O$201,0),TEXT(IFERROR(GETPIVOTDATA("Sum of "&amp;O$9,'PT-All'!$A$1,"Scenario",O$12,"P&amp;L Item",$B170)/O$29,0),"0.00%"))</f>
        <v>0</v>
      </c>
      <c r="P170" s="65">
        <f>CHOOSE(PLColumn,IFERROR(GETPIVOTDATA("Sum of "&amp;P$9,'PT-All'!$A$1,"Scenario",P$12,"P&amp;L Item",$B170),0),IFERROR(GETPIVOTDATA("Sum of "&amp;P$9,'PT-All'!$A$1,"Scenario",P$12,"P&amp;L Item",$B170)/P$201,0),TEXT(IFERROR(GETPIVOTDATA("Sum of "&amp;P$9,'PT-All'!$A$1,"Scenario",P$12,"P&amp;L Item",$B170)/P$29,0),"0.00%"))</f>
        <v>0</v>
      </c>
      <c r="Q170" s="65">
        <f>CHOOSE(PLColumn,IFERROR(GETPIVOTDATA("Sum of "&amp;Q$9,'PT-All'!$A$1,"Scenario",Q$12,"P&amp;L Item",$B170),0),IFERROR(GETPIVOTDATA("Sum of "&amp;Q$9,'PT-All'!$A$1,"Scenario",Q$12,"P&amp;L Item",$B170)/Q$201,0),TEXT(IFERROR(GETPIVOTDATA("Sum of "&amp;Q$9,'PT-All'!$A$1,"Scenario",Q$12,"P&amp;L Item",$B170)/Q$29,0),"0.00%"))</f>
        <v>0</v>
      </c>
      <c r="R170" s="65">
        <f>CHOOSE(PLColumn,IFERROR(GETPIVOTDATA("Sum of "&amp;R$9,'PT-All'!$A$1,"Scenario",R$12,"P&amp;L Item",$B170),0),IFERROR(GETPIVOTDATA("Sum of "&amp;R$9,'PT-All'!$A$1,"Scenario",R$12,"P&amp;L Item",$B170)/R$201,0),TEXT(IFERROR(GETPIVOTDATA("Sum of "&amp;R$9,'PT-All'!$A$1,"Scenario",R$12,"P&amp;L Item",$B170)/R$29,0),"0.00%"))</f>
        <v>0</v>
      </c>
      <c r="S170" s="65">
        <f>CHOOSE(PLColumn,IFERROR(GETPIVOTDATA("Sum of "&amp;S$9,'PT-All'!$A$1,"Scenario",S$12,"P&amp;L Item",$B170),0),IFERROR(GETPIVOTDATA("Sum of "&amp;S$9,'PT-All'!$A$1,"Scenario",S$12,"P&amp;L Item",$B170)/S$201,0),TEXT(IFERROR(GETPIVOTDATA("Sum of "&amp;S$9,'PT-All'!$A$1,"Scenario",S$12,"P&amp;L Item",$B170)/S$29,0),"0.00%"))</f>
        <v>0</v>
      </c>
      <c r="T170" s="65">
        <f>CHOOSE(PLColumn,IFERROR(GETPIVOTDATA("Sum of "&amp;T$9,'PT-All'!$A$1,"Scenario",T$12,"P&amp;L Item",$B170),0),IFERROR(GETPIVOTDATA("Sum of "&amp;T$9,'PT-All'!$A$1,"Scenario",T$12,"P&amp;L Item",$B170)/T$201,0),TEXT(IFERROR(GETPIVOTDATA("Sum of "&amp;T$9,'PT-All'!$A$1,"Scenario",T$12,"P&amp;L Item",$B170)/T$29,0),"0.00%"))</f>
        <v>0</v>
      </c>
      <c r="U170" s="65">
        <f>CHOOSE(PLColumn,IFERROR(GETPIVOTDATA("Sum of "&amp;U$9,'PT-All'!$A$1,"Scenario",U$12,"P&amp;L Item",$B170),0),IFERROR(GETPIVOTDATA("Sum of "&amp;U$9,'PT-All'!$A$1,"Scenario",U$12,"P&amp;L Item",$B170)/U$201,0),TEXT(IFERROR(GETPIVOTDATA("Sum of "&amp;U$9,'PT-All'!$A$1,"Scenario",U$12,"P&amp;L Item",$B170)/U$29,0),"0.00%"))</f>
        <v>0</v>
      </c>
      <c r="V170" s="65">
        <f>CHOOSE(PLColumn,IFERROR(GETPIVOTDATA("Sum of "&amp;V$9,'PT-All'!$A$1,"Scenario",V$12,"P&amp;L Item",$B170),0),IFERROR(GETPIVOTDATA("Sum of "&amp;V$9,'PT-All'!$A$1,"Scenario",V$12,"P&amp;L Item",$B170)/V$201,0),TEXT(IFERROR(GETPIVOTDATA("Sum of "&amp;V$9,'PT-All'!$A$1,"Scenario",V$12,"P&amp;L Item",$B170)/V$29,0),"0.00%"))</f>
        <v>0</v>
      </c>
      <c r="W170" s="65">
        <f>CHOOSE(PLColumn,IFERROR(GETPIVOTDATA("Sum of "&amp;W$9,'PT-All'!$A$1,"Scenario",W$12,"P&amp;L Item",$B170),0),IFERROR(GETPIVOTDATA("Sum of "&amp;W$9,'PT-All'!$A$1,"Scenario",W$12,"P&amp;L Item",$B170)/W$201,0),TEXT(IFERROR(GETPIVOTDATA("Sum of "&amp;W$9,'PT-All'!$A$1,"Scenario",W$12,"P&amp;L Item",$B170)/W$29,0),"0.00%"))</f>
        <v>0</v>
      </c>
      <c r="X170" s="65">
        <f>CHOOSE(PLColumn,IFERROR(GETPIVOTDATA("Sum of "&amp;X$9,'PT-All'!$A$1,"Scenario",X$12,"P&amp;L Item",$B170),0),IFERROR(GETPIVOTDATA("Sum of "&amp;X$9,'PT-All'!$A$1,"Scenario",X$12,"P&amp;L Item",$B170)/X$201,0),TEXT(IFERROR(GETPIVOTDATA("Sum of "&amp;X$9,'PT-All'!$A$1,"Scenario",X$12,"P&amp;L Item",$B170)/X$29,0),"0.00%"))</f>
        <v>0</v>
      </c>
      <c r="Y170" s="65">
        <f>CHOOSE(PLColumn,IFERROR(GETPIVOTDATA("Sum of "&amp;Y$9,'PT-All'!$A$1,"Scenario",Y$12,"P&amp;L Item",$B170),0),IFERROR(GETPIVOTDATA("Sum of "&amp;Y$9,'PT-All'!$A$1,"Scenario",Y$12,"P&amp;L Item",$B170)/Y$201,0),TEXT(IFERROR(GETPIVOTDATA("Sum of "&amp;Y$9,'PT-All'!$A$1,"Scenario",Y$12,"P&amp;L Item",$B170)/Y$29,0),"0.00%"))</f>
        <v>0</v>
      </c>
      <c r="Z170" s="65">
        <f>CHOOSE(PLColumn,IFERROR(GETPIVOTDATA("Sum of "&amp;Z$9,'PT-All'!$A$1,"Scenario",Z$12,"P&amp;L Item",$B170),0),IFERROR(GETPIVOTDATA("Sum of "&amp;Z$9,'PT-All'!$A$1,"Scenario",Z$12,"P&amp;L Item",$B170)/Z$201,0),TEXT(IFERROR(GETPIVOTDATA("Sum of "&amp;Z$9,'PT-All'!$A$1,"Scenario",Z$12,"P&amp;L Item",$B170)/Z$29,0),"0.00%"))</f>
        <v>0</v>
      </c>
      <c r="AA170" s="65">
        <f>CHOOSE(PLColumn,IFERROR(GETPIVOTDATA("Sum of "&amp;AA$9,'PT-All'!$A$1,"Scenario",AA$12,"P&amp;L Item",$B170),0),IFERROR(GETPIVOTDATA("Sum of "&amp;AA$9,'PT-All'!$A$1,"Scenario",AA$12,"P&amp;L Item",$B170)/AA$201,0),TEXT(IFERROR(GETPIVOTDATA("Sum of "&amp;AA$9,'PT-All'!$A$1,"Scenario",AA$12,"P&amp;L Item",$B170)/AA$29,0),"0.00%"))</f>
        <v>0</v>
      </c>
      <c r="AB170" s="65">
        <f>CHOOSE(PLColumn,IFERROR(GETPIVOTDATA("Sum of "&amp;AB$9,'PT-All'!$A$1,"Scenario",AB$12,"P&amp;L Item",$B170),0),IFERROR(GETPIVOTDATA("Sum of "&amp;AB$9,'PT-All'!$A$1,"Scenario",AB$12,"P&amp;L Item",$B170)/AB$201,0),TEXT(IFERROR(GETPIVOTDATA("Sum of "&amp;AB$9,'PT-All'!$A$1,"Scenario",AB$12,"P&amp;L Item",$B170)/AB$29,0),"0.00%"))</f>
        <v>0</v>
      </c>
      <c r="AC170" s="65">
        <f>CHOOSE(PLColumn,IFERROR(GETPIVOTDATA("Sum of "&amp;AC$9,'PT-All'!$A$1,"Scenario",AC$12,"P&amp;L Item",$B170),0),IFERROR(GETPIVOTDATA("Sum of "&amp;AC$9,'PT-All'!$A$1,"Scenario",AC$12,"P&amp;L Item",$B170)/AC$201,0),TEXT(IFERROR(GETPIVOTDATA("Sum of "&amp;AC$9,'PT-All'!$A$1,"Scenario",AC$12,"P&amp;L Item",$B170)/AC$29,0),"0.00%"))</f>
        <v>0</v>
      </c>
      <c r="AD170" s="65">
        <f>CHOOSE(PLColumn,IFERROR(GETPIVOTDATA("Sum of "&amp;AD$9,'PT-All'!$A$1,"Scenario",AD$12,"P&amp;L Item",$B170),0),IFERROR(GETPIVOTDATA("Sum of "&amp;AD$9,'PT-All'!$A$1,"Scenario",AD$12,"P&amp;L Item",$B170)/AD$201,0),TEXT(IFERROR(GETPIVOTDATA("Sum of "&amp;AD$9,'PT-All'!$A$1,"Scenario",AD$12,"P&amp;L Item",$B170)/AD$29,0),"0.00%"))</f>
        <v>0</v>
      </c>
      <c r="AE170" s="65">
        <f>CHOOSE(PLColumn,IFERROR(GETPIVOTDATA("Sum of "&amp;AE$9,'PT-All'!$A$1,"Scenario",AE$12,"P&amp;L Item",$B170),0),IFERROR(GETPIVOTDATA("Sum of "&amp;AE$9,'PT-All'!$A$1,"Scenario",AE$12,"P&amp;L Item",$B170)/AE$201,0),TEXT(IFERROR(GETPIVOTDATA("Sum of "&amp;AE$9,'PT-All'!$A$1,"Scenario",AE$12,"P&amp;L Item",$B170)/AE$29,0),"0.00%"))</f>
        <v>0</v>
      </c>
      <c r="AF170" s="65">
        <f>CHOOSE(PLColumn,IFERROR(GETPIVOTDATA("Sum of "&amp;AF$9,'PT-All'!$A$1,"Scenario",AF$12,"P&amp;L Item",$B170),0),IFERROR(GETPIVOTDATA("Sum of "&amp;AF$9,'PT-All'!$A$1,"Scenario",AF$12,"P&amp;L Item",$B170)/AF$201,0),TEXT(IFERROR(GETPIVOTDATA("Sum of "&amp;AF$9,'PT-All'!$A$1,"Scenario",AF$12,"P&amp;L Item",$B170)/AF$29,0),"0.00%"))</f>
        <v>0</v>
      </c>
      <c r="AG170" s="65">
        <f>CHOOSE(PLColumn,IFERROR(GETPIVOTDATA("Sum of "&amp;AG$9,'PT-All'!$A$1,"Scenario",AG$12,"P&amp;L Item",$B170),0),IFERROR(GETPIVOTDATA("Sum of "&amp;AG$9,'PT-All'!$A$1,"Scenario",AG$12,"P&amp;L Item",$B170)/AG$201,0),TEXT(IFERROR(GETPIVOTDATA("Sum of "&amp;AG$9,'PT-All'!$A$1,"Scenario",AG$12,"P&amp;L Item",$B170)/AG$29,0),"0.00%"))</f>
        <v>0</v>
      </c>
      <c r="AH170" s="65">
        <f>CHOOSE(PLColumn,IFERROR(GETPIVOTDATA("Sum of "&amp;AH$9,'PT-All'!$A$1,"Scenario",AH$12,"P&amp;L Item",$B170),0),IFERROR(GETPIVOTDATA("Sum of "&amp;AH$9,'PT-All'!$A$1,"Scenario",AH$12,"P&amp;L Item",$B170)/AH$201,0),TEXT(IFERROR(GETPIVOTDATA("Sum of "&amp;AH$9,'PT-All'!$A$1,"Scenario",AH$12,"P&amp;L Item",$B170)/AH$29,0),"0.00%"))</f>
        <v>0</v>
      </c>
      <c r="AI170" s="65">
        <f>CHOOSE(PLColumn,IFERROR(GETPIVOTDATA("Sum of "&amp;AI$9,'PT-All'!$A$1,"Scenario",AI$12,"P&amp;L Item",$B170),0),IFERROR(GETPIVOTDATA("Sum of "&amp;AI$9,'PT-All'!$A$1,"Scenario",AI$12,"P&amp;L Item",$B170)/AI$201,0),TEXT(IFERROR(GETPIVOTDATA("Sum of "&amp;AI$9,'PT-All'!$A$1,"Scenario",AI$12,"P&amp;L Item",$B170)/AI$29,0),"0.00%"))</f>
        <v>0</v>
      </c>
      <c r="AJ170" s="65">
        <f>CHOOSE(PLColumn,IFERROR(GETPIVOTDATA("Sum of "&amp;AJ$9,'PT-All'!$A$1,"Scenario",AJ$12,"P&amp;L Item",$B170),0),IFERROR(GETPIVOTDATA("Sum of "&amp;AJ$9,'PT-All'!$A$1,"Scenario",AJ$12,"P&amp;L Item",$B170)/AJ$201,0),TEXT(IFERROR(GETPIVOTDATA("Sum of "&amp;AJ$9,'PT-All'!$A$1,"Scenario",AJ$12,"P&amp;L Item",$B170)/AJ$29,0),"0.00%"))</f>
        <v>0</v>
      </c>
      <c r="AK170" s="65">
        <f>CHOOSE(PLColumn,IFERROR(GETPIVOTDATA("Sum of "&amp;AK$9,'PT-All'!$A$1,"Scenario",AK$12,"P&amp;L Item",$B170),0),IFERROR(GETPIVOTDATA("Sum of "&amp;AK$9,'PT-All'!$A$1,"Scenario",AK$12,"P&amp;L Item",$B170)/AK$201,0),TEXT(IFERROR(GETPIVOTDATA("Sum of "&amp;AK$9,'PT-All'!$A$1,"Scenario",AK$12,"P&amp;L Item",$B170)/AK$29,0),"0.00%"))</f>
        <v>0</v>
      </c>
      <c r="AL170" s="97">
        <f>CHOOSE(PLColumn,IFERROR(GETPIVOTDATA("Sum of "&amp;AL$9,'PT-All'!$A$1,"Scenario",AL$12,"P&amp;L Item",$B170),0),IFERROR(GETPIVOTDATA("Sum of "&amp;AL$9,'PT-All'!$A$1,"Scenario",AL$12,"P&amp;L Item",$B170)/AL$201,0),TEXT(IFERROR(GETPIVOTDATA("Sum of "&amp;AL$9,'PT-All'!$A$1,"Scenario",AL$12,"P&amp;L Item",$B170)/AL$29,0),"0.00%"))</f>
        <v>0</v>
      </c>
      <c r="AM170" s="590"/>
      <c r="AN170" s="108">
        <f ca="1">IF(AN$12="Pro Forma",SUM(OFFSET($B170,0,3*AN$9+1,1,3)),IFERROR(GETPIVOTDATA("Sum of Q"&amp;AN$9+1,'PT-All'!$A$1,"Scenario",AN$12,"P&amp;L Item",$B170),0))</f>
        <v>0</v>
      </c>
      <c r="AO170" s="65">
        <f ca="1">IF(AO$12="Pro Forma",SUM(OFFSET($B170,0,3*AO$9+1,1,3)),IFERROR(GETPIVOTDATA("Sum of Q"&amp;AO$9+1,'PT-All'!$A$1,"Scenario",AO$12,"P&amp;L Item",$B170),0))</f>
        <v>0</v>
      </c>
      <c r="AP170" s="65">
        <f ca="1">IF(AP$12="Pro Forma",SUM(OFFSET($B170,0,3*AP$9+1,1,3)),IFERROR(GETPIVOTDATA("Sum of Q"&amp;AP$9+1,'PT-All'!$A$1,"Scenario",AP$12,"P&amp;L Item",$B170),0))</f>
        <v>0</v>
      </c>
      <c r="AQ170" s="65">
        <f ca="1">IF(AQ$12="Pro Forma",SUM(OFFSET($B170,0,3*AQ$9+1,1,3)),IFERROR(GETPIVOTDATA("Sum of Q"&amp;AQ$9+1,'PT-All'!$A$1,"Scenario",AQ$12,"P&amp;L Item",$B170),0))</f>
        <v>0</v>
      </c>
      <c r="AR170" s="65">
        <f ca="1">IF(AR$12="Pro Forma",SUM(OFFSET($B170,0,3*AR$9+1,1,3)),IFERROR(GETPIVOTDATA("Sum of Q"&amp;AR$9+1,'PT-All'!$A$1,"Scenario",AR$12,"P&amp;L Item",$B170),0))</f>
        <v>0</v>
      </c>
      <c r="AS170" s="65">
        <f ca="1">IF(AS$12="Pro Forma",SUM(OFFSET($B170,0,3*AS$9+1,1,3)),IFERROR(GETPIVOTDATA("Sum of Q"&amp;AS$9+1,'PT-All'!$A$1,"Scenario",AS$12,"P&amp;L Item",$B170),0))</f>
        <v>0</v>
      </c>
      <c r="AT170" s="65">
        <f ca="1">IF(AT$12="Pro Forma",SUM(OFFSET($B170,0,3*AT$9+1,1,3)),IFERROR(GETPIVOTDATA("Sum of Q"&amp;AT$9+1,'PT-All'!$A$1,"Scenario",AT$12,"P&amp;L Item",$B170),0))</f>
        <v>0</v>
      </c>
      <c r="AU170" s="65">
        <f ca="1">IF(AU$12="Pro Forma",SUM(OFFSET($B170,0,3*AU$9+1,1,3)),IFERROR(GETPIVOTDATA("Sum of Q"&amp;AU$9+1,'PT-All'!$A$1,"Scenario",AU$12,"P&amp;L Item",$B170),0))</f>
        <v>0</v>
      </c>
      <c r="AV170" s="65">
        <f ca="1">IF(AV$12="Pro Forma",SUM(OFFSET($B170,0,3*AV$9+1,1,3)),IFERROR(GETPIVOTDATA("Sum of Q"&amp;AV$9+1,'PT-All'!$A$1,"Scenario",AV$12,"P&amp;L Item",$B170),0))</f>
        <v>0</v>
      </c>
      <c r="AW170" s="65">
        <f ca="1">IF(AW$12="Pro Forma",SUM(OFFSET($B170,0,3*AW$9+1,1,3)),IFERROR(GETPIVOTDATA("Sum of Q"&amp;AW$9+1,'PT-All'!$A$1,"Scenario",AW$12,"P&amp;L Item",$B170),0))</f>
        <v>0</v>
      </c>
      <c r="AX170" s="65">
        <f ca="1">IF(AX$12="Pro Forma",SUM(OFFSET($B170,0,3*AX$9+1,1,3)),IFERROR(GETPIVOTDATA("Sum of Q"&amp;AX$9+1,'PT-All'!$A$1,"Scenario",AX$12,"P&amp;L Item",$B170),0))</f>
        <v>0</v>
      </c>
      <c r="AY170" s="97">
        <f ca="1">IF(AY$12="Pro Forma",SUM(OFFSET($B170,0,3*AY$9+1,1,3)),IFERROR(GETPIVOTDATA("Sum of Q"&amp;AY$9+1,'PT-All'!$A$1,"Scenario",AY$12,"P&amp;L Item",$B170),0))</f>
        <v>0</v>
      </c>
      <c r="AZ170" s="590"/>
      <c r="BA170" s="108">
        <f ca="1">IF(BA$12="Pro Forma",SUM(OFFSET($B170,0,12*BA$9+1,1,12)),IFERROR(GETPIVOTDATA("Sum of FY"&amp;BA$9+1,'PT-All'!$A$1,"Scenario",BA$12,"P&amp;L Item",$B170),0))</f>
        <v>0</v>
      </c>
      <c r="BB170" s="65">
        <f ca="1">IF(BB$12="Pro Forma",SUM(OFFSET($B170,0,12*BB$9+1,1,12)),IFERROR(GETPIVOTDATA("Sum of FY"&amp;BB$9+1,'PT-All'!$A$1,"Scenario",BB$12,"P&amp;L Item",$B170),0))</f>
        <v>0</v>
      </c>
      <c r="BC170" s="97">
        <f ca="1">IF(BC$12="Pro Forma",SUM(OFFSET($B170,0,12*BC$9+1,1,12)),IFERROR(GETPIVOTDATA("Sum of FY"&amp;BC$9+1,'PT-All'!$A$1,"Scenario",BC$12,"P&amp;L Item",$B170),0))</f>
        <v>0</v>
      </c>
    </row>
    <row r="171" spans="2:55" x14ac:dyDescent="0.35">
      <c r="B171" s="64" t="s">
        <v>199</v>
      </c>
      <c r="C171" s="65">
        <f>CHOOSE(PLColumn,IFERROR(GETPIVOTDATA("Sum of "&amp;C$9,'PT-All'!$A$1,"Scenario",C$12,"P&amp;L Item",$B171),0),IFERROR(GETPIVOTDATA("Sum of "&amp;C$9,'PT-All'!$A$1,"Scenario",C$12,"P&amp;L Item",$B171)/C$201,0),TEXT(IFERROR(GETPIVOTDATA("Sum of "&amp;C$9,'PT-All'!$A$1,"Scenario",C$12,"P&amp;L Item",$B171)/C$29,0),"0.00%"))</f>
        <v>0</v>
      </c>
      <c r="D171" s="65">
        <f>CHOOSE(PLColumn,IFERROR(GETPIVOTDATA("Sum of "&amp;D$9,'PT-All'!$A$1,"Scenario",D$12,"P&amp;L Item",$B171),0),IFERROR(GETPIVOTDATA("Sum of "&amp;D$9,'PT-All'!$A$1,"Scenario",D$12,"P&amp;L Item",$B171)/D$201,0),TEXT(IFERROR(GETPIVOTDATA("Sum of "&amp;D$9,'PT-All'!$A$1,"Scenario",D$12,"P&amp;L Item",$B171)/D$29,0),"0.00%"))</f>
        <v>0</v>
      </c>
      <c r="E171" s="65">
        <f>CHOOSE(PLColumn,IFERROR(GETPIVOTDATA("Sum of "&amp;E$9,'PT-All'!$A$1,"Scenario",E$12,"P&amp;L Item",$B171),0),IFERROR(GETPIVOTDATA("Sum of "&amp;E$9,'PT-All'!$A$1,"Scenario",E$12,"P&amp;L Item",$B171)/E$201,0),TEXT(IFERROR(GETPIVOTDATA("Sum of "&amp;E$9,'PT-All'!$A$1,"Scenario",E$12,"P&amp;L Item",$B171)/E$29,0),"0.00%"))</f>
        <v>0</v>
      </c>
      <c r="F171" s="65">
        <f>CHOOSE(PLColumn,IFERROR(GETPIVOTDATA("Sum of "&amp;F$9,'PT-All'!$A$1,"Scenario",F$12,"P&amp;L Item",$B171),0),IFERROR(GETPIVOTDATA("Sum of "&amp;F$9,'PT-All'!$A$1,"Scenario",F$12,"P&amp;L Item",$B171)/F$201,0),TEXT(IFERROR(GETPIVOTDATA("Sum of "&amp;F$9,'PT-All'!$A$1,"Scenario",F$12,"P&amp;L Item",$B171)/F$29,0),"0.00%"))</f>
        <v>0</v>
      </c>
      <c r="G171" s="65">
        <f>CHOOSE(PLColumn,IFERROR(GETPIVOTDATA("Sum of "&amp;G$9,'PT-All'!$A$1,"Scenario",G$12,"P&amp;L Item",$B171),0),IFERROR(GETPIVOTDATA("Sum of "&amp;G$9,'PT-All'!$A$1,"Scenario",G$12,"P&amp;L Item",$B171)/G$201,0),TEXT(IFERROR(GETPIVOTDATA("Sum of "&amp;G$9,'PT-All'!$A$1,"Scenario",G$12,"P&amp;L Item",$B171)/G$29,0),"0.00%"))</f>
        <v>0</v>
      </c>
      <c r="H171" s="65">
        <f>CHOOSE(PLColumn,IFERROR(GETPIVOTDATA("Sum of "&amp;H$9,'PT-All'!$A$1,"Scenario",H$12,"P&amp;L Item",$B171),0),IFERROR(GETPIVOTDATA("Sum of "&amp;H$9,'PT-All'!$A$1,"Scenario",H$12,"P&amp;L Item",$B171)/H$201,0),TEXT(IFERROR(GETPIVOTDATA("Sum of "&amp;H$9,'PT-All'!$A$1,"Scenario",H$12,"P&amp;L Item",$B171)/H$29,0),"0.00%"))</f>
        <v>0</v>
      </c>
      <c r="I171" s="65">
        <f>CHOOSE(PLColumn,IFERROR(GETPIVOTDATA("Sum of "&amp;I$9,'PT-All'!$A$1,"Scenario",I$12,"P&amp;L Item",$B171),0),IFERROR(GETPIVOTDATA("Sum of "&amp;I$9,'PT-All'!$A$1,"Scenario",I$12,"P&amp;L Item",$B171)/I$201,0),TEXT(IFERROR(GETPIVOTDATA("Sum of "&amp;I$9,'PT-All'!$A$1,"Scenario",I$12,"P&amp;L Item",$B171)/I$29,0),"0.00%"))</f>
        <v>0</v>
      </c>
      <c r="J171" s="65">
        <f>CHOOSE(PLColumn,IFERROR(GETPIVOTDATA("Sum of "&amp;J$9,'PT-All'!$A$1,"Scenario",J$12,"P&amp;L Item",$B171),0),IFERROR(GETPIVOTDATA("Sum of "&amp;J$9,'PT-All'!$A$1,"Scenario",J$12,"P&amp;L Item",$B171)/J$201,0),TEXT(IFERROR(GETPIVOTDATA("Sum of "&amp;J$9,'PT-All'!$A$1,"Scenario",J$12,"P&amp;L Item",$B171)/J$29,0),"0.00%"))</f>
        <v>0</v>
      </c>
      <c r="K171" s="65">
        <f>CHOOSE(PLColumn,IFERROR(GETPIVOTDATA("Sum of "&amp;K$9,'PT-All'!$A$1,"Scenario",K$12,"P&amp;L Item",$B171),0),IFERROR(GETPIVOTDATA("Sum of "&amp;K$9,'PT-All'!$A$1,"Scenario",K$12,"P&amp;L Item",$B171)/K$201,0),TEXT(IFERROR(GETPIVOTDATA("Sum of "&amp;K$9,'PT-All'!$A$1,"Scenario",K$12,"P&amp;L Item",$B171)/K$29,0),"0.00%"))</f>
        <v>0</v>
      </c>
      <c r="L171" s="65">
        <f>CHOOSE(PLColumn,IFERROR(GETPIVOTDATA("Sum of "&amp;L$9,'PT-All'!$A$1,"Scenario",L$12,"P&amp;L Item",$B171),0),IFERROR(GETPIVOTDATA("Sum of "&amp;L$9,'PT-All'!$A$1,"Scenario",L$12,"P&amp;L Item",$B171)/L$201,0),TEXT(IFERROR(GETPIVOTDATA("Sum of "&amp;L$9,'PT-All'!$A$1,"Scenario",L$12,"P&amp;L Item",$B171)/L$29,0),"0.00%"))</f>
        <v>0</v>
      </c>
      <c r="M171" s="65">
        <f>CHOOSE(PLColumn,IFERROR(GETPIVOTDATA("Sum of "&amp;M$9,'PT-All'!$A$1,"Scenario",M$12,"P&amp;L Item",$B171),0),IFERROR(GETPIVOTDATA("Sum of "&amp;M$9,'PT-All'!$A$1,"Scenario",M$12,"P&amp;L Item",$B171)/M$201,0),TEXT(IFERROR(GETPIVOTDATA("Sum of "&amp;M$9,'PT-All'!$A$1,"Scenario",M$12,"P&amp;L Item",$B171)/M$29,0),"0.00%"))</f>
        <v>0</v>
      </c>
      <c r="N171" s="65">
        <f>CHOOSE(PLColumn,IFERROR(GETPIVOTDATA("Sum of "&amp;N$9,'PT-All'!$A$1,"Scenario",N$12,"P&amp;L Item",$B171),0),IFERROR(GETPIVOTDATA("Sum of "&amp;N$9,'PT-All'!$A$1,"Scenario",N$12,"P&amp;L Item",$B171)/N$201,0),TEXT(IFERROR(GETPIVOTDATA("Sum of "&amp;N$9,'PT-All'!$A$1,"Scenario",N$12,"P&amp;L Item",$B171)/N$29,0),"0.00%"))</f>
        <v>0</v>
      </c>
      <c r="O171" s="65">
        <f>CHOOSE(PLColumn,IFERROR(GETPIVOTDATA("Sum of "&amp;O$9,'PT-All'!$A$1,"Scenario",O$12,"P&amp;L Item",$B171),0),IFERROR(GETPIVOTDATA("Sum of "&amp;O$9,'PT-All'!$A$1,"Scenario",O$12,"P&amp;L Item",$B171)/O$201,0),TEXT(IFERROR(GETPIVOTDATA("Sum of "&amp;O$9,'PT-All'!$A$1,"Scenario",O$12,"P&amp;L Item",$B171)/O$29,0),"0.00%"))</f>
        <v>0</v>
      </c>
      <c r="P171" s="65">
        <f>CHOOSE(PLColumn,IFERROR(GETPIVOTDATA("Sum of "&amp;P$9,'PT-All'!$A$1,"Scenario",P$12,"P&amp;L Item",$B171),0),IFERROR(GETPIVOTDATA("Sum of "&amp;P$9,'PT-All'!$A$1,"Scenario",P$12,"P&amp;L Item",$B171)/P$201,0),TEXT(IFERROR(GETPIVOTDATA("Sum of "&amp;P$9,'PT-All'!$A$1,"Scenario",P$12,"P&amp;L Item",$B171)/P$29,0),"0.00%"))</f>
        <v>0</v>
      </c>
      <c r="Q171" s="65">
        <f>CHOOSE(PLColumn,IFERROR(GETPIVOTDATA("Sum of "&amp;Q$9,'PT-All'!$A$1,"Scenario",Q$12,"P&amp;L Item",$B171),0),IFERROR(GETPIVOTDATA("Sum of "&amp;Q$9,'PT-All'!$A$1,"Scenario",Q$12,"P&amp;L Item",$B171)/Q$201,0),TEXT(IFERROR(GETPIVOTDATA("Sum of "&amp;Q$9,'PT-All'!$A$1,"Scenario",Q$12,"P&amp;L Item",$B171)/Q$29,0),"0.00%"))</f>
        <v>0</v>
      </c>
      <c r="R171" s="65">
        <f>CHOOSE(PLColumn,IFERROR(GETPIVOTDATA("Sum of "&amp;R$9,'PT-All'!$A$1,"Scenario",R$12,"P&amp;L Item",$B171),0),IFERROR(GETPIVOTDATA("Sum of "&amp;R$9,'PT-All'!$A$1,"Scenario",R$12,"P&amp;L Item",$B171)/R$201,0),TEXT(IFERROR(GETPIVOTDATA("Sum of "&amp;R$9,'PT-All'!$A$1,"Scenario",R$12,"P&amp;L Item",$B171)/R$29,0),"0.00%"))</f>
        <v>0</v>
      </c>
      <c r="S171" s="65">
        <f>CHOOSE(PLColumn,IFERROR(GETPIVOTDATA("Sum of "&amp;S$9,'PT-All'!$A$1,"Scenario",S$12,"P&amp;L Item",$B171),0),IFERROR(GETPIVOTDATA("Sum of "&amp;S$9,'PT-All'!$A$1,"Scenario",S$12,"P&amp;L Item",$B171)/S$201,0),TEXT(IFERROR(GETPIVOTDATA("Sum of "&amp;S$9,'PT-All'!$A$1,"Scenario",S$12,"P&amp;L Item",$B171)/S$29,0),"0.00%"))</f>
        <v>0</v>
      </c>
      <c r="T171" s="65">
        <f>CHOOSE(PLColumn,IFERROR(GETPIVOTDATA("Sum of "&amp;T$9,'PT-All'!$A$1,"Scenario",T$12,"P&amp;L Item",$B171),0),IFERROR(GETPIVOTDATA("Sum of "&amp;T$9,'PT-All'!$A$1,"Scenario",T$12,"P&amp;L Item",$B171)/T$201,0),TEXT(IFERROR(GETPIVOTDATA("Sum of "&amp;T$9,'PT-All'!$A$1,"Scenario",T$12,"P&amp;L Item",$B171)/T$29,0),"0.00%"))</f>
        <v>0</v>
      </c>
      <c r="U171" s="65">
        <f>CHOOSE(PLColumn,IFERROR(GETPIVOTDATA("Sum of "&amp;U$9,'PT-All'!$A$1,"Scenario",U$12,"P&amp;L Item",$B171),0),IFERROR(GETPIVOTDATA("Sum of "&amp;U$9,'PT-All'!$A$1,"Scenario",U$12,"P&amp;L Item",$B171)/U$201,0),TEXT(IFERROR(GETPIVOTDATA("Sum of "&amp;U$9,'PT-All'!$A$1,"Scenario",U$12,"P&amp;L Item",$B171)/U$29,0),"0.00%"))</f>
        <v>0</v>
      </c>
      <c r="V171" s="65">
        <f>CHOOSE(PLColumn,IFERROR(GETPIVOTDATA("Sum of "&amp;V$9,'PT-All'!$A$1,"Scenario",V$12,"P&amp;L Item",$B171),0),IFERROR(GETPIVOTDATA("Sum of "&amp;V$9,'PT-All'!$A$1,"Scenario",V$12,"P&amp;L Item",$B171)/V$201,0),TEXT(IFERROR(GETPIVOTDATA("Sum of "&amp;V$9,'PT-All'!$A$1,"Scenario",V$12,"P&amp;L Item",$B171)/V$29,0),"0.00%"))</f>
        <v>0</v>
      </c>
      <c r="W171" s="65">
        <f>CHOOSE(PLColumn,IFERROR(GETPIVOTDATA("Sum of "&amp;W$9,'PT-All'!$A$1,"Scenario",W$12,"P&amp;L Item",$B171),0),IFERROR(GETPIVOTDATA("Sum of "&amp;W$9,'PT-All'!$A$1,"Scenario",W$12,"P&amp;L Item",$B171)/W$201,0),TEXT(IFERROR(GETPIVOTDATA("Sum of "&amp;W$9,'PT-All'!$A$1,"Scenario",W$12,"P&amp;L Item",$B171)/W$29,0),"0.00%"))</f>
        <v>0</v>
      </c>
      <c r="X171" s="65">
        <f>CHOOSE(PLColumn,IFERROR(GETPIVOTDATA("Sum of "&amp;X$9,'PT-All'!$A$1,"Scenario",X$12,"P&amp;L Item",$B171),0),IFERROR(GETPIVOTDATA("Sum of "&amp;X$9,'PT-All'!$A$1,"Scenario",X$12,"P&amp;L Item",$B171)/X$201,0),TEXT(IFERROR(GETPIVOTDATA("Sum of "&amp;X$9,'PT-All'!$A$1,"Scenario",X$12,"P&amp;L Item",$B171)/X$29,0),"0.00%"))</f>
        <v>0</v>
      </c>
      <c r="Y171" s="65">
        <f>CHOOSE(PLColumn,IFERROR(GETPIVOTDATA("Sum of "&amp;Y$9,'PT-All'!$A$1,"Scenario",Y$12,"P&amp;L Item",$B171),0),IFERROR(GETPIVOTDATA("Sum of "&amp;Y$9,'PT-All'!$A$1,"Scenario",Y$12,"P&amp;L Item",$B171)/Y$201,0),TEXT(IFERROR(GETPIVOTDATA("Sum of "&amp;Y$9,'PT-All'!$A$1,"Scenario",Y$12,"P&amp;L Item",$B171)/Y$29,0),"0.00%"))</f>
        <v>0</v>
      </c>
      <c r="Z171" s="65">
        <f>CHOOSE(PLColumn,IFERROR(GETPIVOTDATA("Sum of "&amp;Z$9,'PT-All'!$A$1,"Scenario",Z$12,"P&amp;L Item",$B171),0),IFERROR(GETPIVOTDATA("Sum of "&amp;Z$9,'PT-All'!$A$1,"Scenario",Z$12,"P&amp;L Item",$B171)/Z$201,0),TEXT(IFERROR(GETPIVOTDATA("Sum of "&amp;Z$9,'PT-All'!$A$1,"Scenario",Z$12,"P&amp;L Item",$B171)/Z$29,0),"0.00%"))</f>
        <v>0</v>
      </c>
      <c r="AA171" s="65">
        <f>CHOOSE(PLColumn,IFERROR(GETPIVOTDATA("Sum of "&amp;AA$9,'PT-All'!$A$1,"Scenario",AA$12,"P&amp;L Item",$B171),0),IFERROR(GETPIVOTDATA("Sum of "&amp;AA$9,'PT-All'!$A$1,"Scenario",AA$12,"P&amp;L Item",$B171)/AA$201,0),TEXT(IFERROR(GETPIVOTDATA("Sum of "&amp;AA$9,'PT-All'!$A$1,"Scenario",AA$12,"P&amp;L Item",$B171)/AA$29,0),"0.00%"))</f>
        <v>0</v>
      </c>
      <c r="AB171" s="65">
        <f>CHOOSE(PLColumn,IFERROR(GETPIVOTDATA("Sum of "&amp;AB$9,'PT-All'!$A$1,"Scenario",AB$12,"P&amp;L Item",$B171),0),IFERROR(GETPIVOTDATA("Sum of "&amp;AB$9,'PT-All'!$A$1,"Scenario",AB$12,"P&amp;L Item",$B171)/AB$201,0),TEXT(IFERROR(GETPIVOTDATA("Sum of "&amp;AB$9,'PT-All'!$A$1,"Scenario",AB$12,"P&amp;L Item",$B171)/AB$29,0),"0.00%"))</f>
        <v>0</v>
      </c>
      <c r="AC171" s="65">
        <f>CHOOSE(PLColumn,IFERROR(GETPIVOTDATA("Sum of "&amp;AC$9,'PT-All'!$A$1,"Scenario",AC$12,"P&amp;L Item",$B171),0),IFERROR(GETPIVOTDATA("Sum of "&amp;AC$9,'PT-All'!$A$1,"Scenario",AC$12,"P&amp;L Item",$B171)/AC$201,0),TEXT(IFERROR(GETPIVOTDATA("Sum of "&amp;AC$9,'PT-All'!$A$1,"Scenario",AC$12,"P&amp;L Item",$B171)/AC$29,0),"0.00%"))</f>
        <v>0</v>
      </c>
      <c r="AD171" s="65">
        <f>CHOOSE(PLColumn,IFERROR(GETPIVOTDATA("Sum of "&amp;AD$9,'PT-All'!$A$1,"Scenario",AD$12,"P&amp;L Item",$B171),0),IFERROR(GETPIVOTDATA("Sum of "&amp;AD$9,'PT-All'!$A$1,"Scenario",AD$12,"P&amp;L Item",$B171)/AD$201,0),TEXT(IFERROR(GETPIVOTDATA("Sum of "&amp;AD$9,'PT-All'!$A$1,"Scenario",AD$12,"P&amp;L Item",$B171)/AD$29,0),"0.00%"))</f>
        <v>0</v>
      </c>
      <c r="AE171" s="65">
        <f>CHOOSE(PLColumn,IFERROR(GETPIVOTDATA("Sum of "&amp;AE$9,'PT-All'!$A$1,"Scenario",AE$12,"P&amp;L Item",$B171),0),IFERROR(GETPIVOTDATA("Sum of "&amp;AE$9,'PT-All'!$A$1,"Scenario",AE$12,"P&amp;L Item",$B171)/AE$201,0),TEXT(IFERROR(GETPIVOTDATA("Sum of "&amp;AE$9,'PT-All'!$A$1,"Scenario",AE$12,"P&amp;L Item",$B171)/AE$29,0),"0.00%"))</f>
        <v>0</v>
      </c>
      <c r="AF171" s="65">
        <f>CHOOSE(PLColumn,IFERROR(GETPIVOTDATA("Sum of "&amp;AF$9,'PT-All'!$A$1,"Scenario",AF$12,"P&amp;L Item",$B171),0),IFERROR(GETPIVOTDATA("Sum of "&amp;AF$9,'PT-All'!$A$1,"Scenario",AF$12,"P&amp;L Item",$B171)/AF$201,0),TEXT(IFERROR(GETPIVOTDATA("Sum of "&amp;AF$9,'PT-All'!$A$1,"Scenario",AF$12,"P&amp;L Item",$B171)/AF$29,0),"0.00%"))</f>
        <v>0</v>
      </c>
      <c r="AG171" s="65">
        <f>CHOOSE(PLColumn,IFERROR(GETPIVOTDATA("Sum of "&amp;AG$9,'PT-All'!$A$1,"Scenario",AG$12,"P&amp;L Item",$B171),0),IFERROR(GETPIVOTDATA("Sum of "&amp;AG$9,'PT-All'!$A$1,"Scenario",AG$12,"P&amp;L Item",$B171)/AG$201,0),TEXT(IFERROR(GETPIVOTDATA("Sum of "&amp;AG$9,'PT-All'!$A$1,"Scenario",AG$12,"P&amp;L Item",$B171)/AG$29,0),"0.00%"))</f>
        <v>0</v>
      </c>
      <c r="AH171" s="65">
        <f>CHOOSE(PLColumn,IFERROR(GETPIVOTDATA("Sum of "&amp;AH$9,'PT-All'!$A$1,"Scenario",AH$12,"P&amp;L Item",$B171),0),IFERROR(GETPIVOTDATA("Sum of "&amp;AH$9,'PT-All'!$A$1,"Scenario",AH$12,"P&amp;L Item",$B171)/AH$201,0),TEXT(IFERROR(GETPIVOTDATA("Sum of "&amp;AH$9,'PT-All'!$A$1,"Scenario",AH$12,"P&amp;L Item",$B171)/AH$29,0),"0.00%"))</f>
        <v>0</v>
      </c>
      <c r="AI171" s="65">
        <f>CHOOSE(PLColumn,IFERROR(GETPIVOTDATA("Sum of "&amp;AI$9,'PT-All'!$A$1,"Scenario",AI$12,"P&amp;L Item",$B171),0),IFERROR(GETPIVOTDATA("Sum of "&amp;AI$9,'PT-All'!$A$1,"Scenario",AI$12,"P&amp;L Item",$B171)/AI$201,0),TEXT(IFERROR(GETPIVOTDATA("Sum of "&amp;AI$9,'PT-All'!$A$1,"Scenario",AI$12,"P&amp;L Item",$B171)/AI$29,0),"0.00%"))</f>
        <v>0</v>
      </c>
      <c r="AJ171" s="65">
        <f>CHOOSE(PLColumn,IFERROR(GETPIVOTDATA("Sum of "&amp;AJ$9,'PT-All'!$A$1,"Scenario",AJ$12,"P&amp;L Item",$B171),0),IFERROR(GETPIVOTDATA("Sum of "&amp;AJ$9,'PT-All'!$A$1,"Scenario",AJ$12,"P&amp;L Item",$B171)/AJ$201,0),TEXT(IFERROR(GETPIVOTDATA("Sum of "&amp;AJ$9,'PT-All'!$A$1,"Scenario",AJ$12,"P&amp;L Item",$B171)/AJ$29,0),"0.00%"))</f>
        <v>0</v>
      </c>
      <c r="AK171" s="65">
        <f>CHOOSE(PLColumn,IFERROR(GETPIVOTDATA("Sum of "&amp;AK$9,'PT-All'!$A$1,"Scenario",AK$12,"P&amp;L Item",$B171),0),IFERROR(GETPIVOTDATA("Sum of "&amp;AK$9,'PT-All'!$A$1,"Scenario",AK$12,"P&amp;L Item",$B171)/AK$201,0),TEXT(IFERROR(GETPIVOTDATA("Sum of "&amp;AK$9,'PT-All'!$A$1,"Scenario",AK$12,"P&amp;L Item",$B171)/AK$29,0),"0.00%"))</f>
        <v>0</v>
      </c>
      <c r="AL171" s="97">
        <f>CHOOSE(PLColumn,IFERROR(GETPIVOTDATA("Sum of "&amp;AL$9,'PT-All'!$A$1,"Scenario",AL$12,"P&amp;L Item",$B171),0),IFERROR(GETPIVOTDATA("Sum of "&amp;AL$9,'PT-All'!$A$1,"Scenario",AL$12,"P&amp;L Item",$B171)/AL$201,0),TEXT(IFERROR(GETPIVOTDATA("Sum of "&amp;AL$9,'PT-All'!$A$1,"Scenario",AL$12,"P&amp;L Item",$B171)/AL$29,0),"0.00%"))</f>
        <v>0</v>
      </c>
      <c r="AM171" s="590"/>
      <c r="AN171" s="108">
        <f ca="1">IF(AN$12="Pro Forma",SUM(OFFSET($B171,0,3*AN$9+1,1,3)),IFERROR(GETPIVOTDATA("Sum of Q"&amp;AN$9+1,'PT-All'!$A$1,"Scenario",AN$12,"P&amp;L Item",$B171),0))</f>
        <v>0</v>
      </c>
      <c r="AO171" s="65">
        <f ca="1">IF(AO$12="Pro Forma",SUM(OFFSET($B171,0,3*AO$9+1,1,3)),IFERROR(GETPIVOTDATA("Sum of Q"&amp;AO$9+1,'PT-All'!$A$1,"Scenario",AO$12,"P&amp;L Item",$B171),0))</f>
        <v>0</v>
      </c>
      <c r="AP171" s="65">
        <f ca="1">IF(AP$12="Pro Forma",SUM(OFFSET($B171,0,3*AP$9+1,1,3)),IFERROR(GETPIVOTDATA("Sum of Q"&amp;AP$9+1,'PT-All'!$A$1,"Scenario",AP$12,"P&amp;L Item",$B171),0))</f>
        <v>0</v>
      </c>
      <c r="AQ171" s="65">
        <f ca="1">IF(AQ$12="Pro Forma",SUM(OFFSET($B171,0,3*AQ$9+1,1,3)),IFERROR(GETPIVOTDATA("Sum of Q"&amp;AQ$9+1,'PT-All'!$A$1,"Scenario",AQ$12,"P&amp;L Item",$B171),0))</f>
        <v>0</v>
      </c>
      <c r="AR171" s="65">
        <f ca="1">IF(AR$12="Pro Forma",SUM(OFFSET($B171,0,3*AR$9+1,1,3)),IFERROR(GETPIVOTDATA("Sum of Q"&amp;AR$9+1,'PT-All'!$A$1,"Scenario",AR$12,"P&amp;L Item",$B171),0))</f>
        <v>0</v>
      </c>
      <c r="AS171" s="65">
        <f ca="1">IF(AS$12="Pro Forma",SUM(OFFSET($B171,0,3*AS$9+1,1,3)),IFERROR(GETPIVOTDATA("Sum of Q"&amp;AS$9+1,'PT-All'!$A$1,"Scenario",AS$12,"P&amp;L Item",$B171),0))</f>
        <v>0</v>
      </c>
      <c r="AT171" s="65">
        <f ca="1">IF(AT$12="Pro Forma",SUM(OFFSET($B171,0,3*AT$9+1,1,3)),IFERROR(GETPIVOTDATA("Sum of Q"&amp;AT$9+1,'PT-All'!$A$1,"Scenario",AT$12,"P&amp;L Item",$B171),0))</f>
        <v>0</v>
      </c>
      <c r="AU171" s="65">
        <f ca="1">IF(AU$12="Pro Forma",SUM(OFFSET($B171,0,3*AU$9+1,1,3)),IFERROR(GETPIVOTDATA("Sum of Q"&amp;AU$9+1,'PT-All'!$A$1,"Scenario",AU$12,"P&amp;L Item",$B171),0))</f>
        <v>0</v>
      </c>
      <c r="AV171" s="65">
        <f ca="1">IF(AV$12="Pro Forma",SUM(OFFSET($B171,0,3*AV$9+1,1,3)),IFERROR(GETPIVOTDATA("Sum of Q"&amp;AV$9+1,'PT-All'!$A$1,"Scenario",AV$12,"P&amp;L Item",$B171),0))</f>
        <v>0</v>
      </c>
      <c r="AW171" s="65">
        <f ca="1">IF(AW$12="Pro Forma",SUM(OFFSET($B171,0,3*AW$9+1,1,3)),IFERROR(GETPIVOTDATA("Sum of Q"&amp;AW$9+1,'PT-All'!$A$1,"Scenario",AW$12,"P&amp;L Item",$B171),0))</f>
        <v>0</v>
      </c>
      <c r="AX171" s="65">
        <f ca="1">IF(AX$12="Pro Forma",SUM(OFFSET($B171,0,3*AX$9+1,1,3)),IFERROR(GETPIVOTDATA("Sum of Q"&amp;AX$9+1,'PT-All'!$A$1,"Scenario",AX$12,"P&amp;L Item",$B171),0))</f>
        <v>0</v>
      </c>
      <c r="AY171" s="97">
        <f ca="1">IF(AY$12="Pro Forma",SUM(OFFSET($B171,0,3*AY$9+1,1,3)),IFERROR(GETPIVOTDATA("Sum of Q"&amp;AY$9+1,'PT-All'!$A$1,"Scenario",AY$12,"P&amp;L Item",$B171),0))</f>
        <v>0</v>
      </c>
      <c r="AZ171" s="590"/>
      <c r="BA171" s="108">
        <f ca="1">IF(BA$12="Pro Forma",SUM(OFFSET($B171,0,12*BA$9+1,1,12)),IFERROR(GETPIVOTDATA("Sum of FY"&amp;BA$9+1,'PT-All'!$A$1,"Scenario",BA$12,"P&amp;L Item",$B171),0))</f>
        <v>0</v>
      </c>
      <c r="BB171" s="65">
        <f ca="1">IF(BB$12="Pro Forma",SUM(OFFSET($B171,0,12*BB$9+1,1,12)),IFERROR(GETPIVOTDATA("Sum of FY"&amp;BB$9+1,'PT-All'!$A$1,"Scenario",BB$12,"P&amp;L Item",$B171),0))</f>
        <v>0</v>
      </c>
      <c r="BC171" s="97">
        <f ca="1">IF(BC$12="Pro Forma",SUM(OFFSET($B171,0,12*BC$9+1,1,12)),IFERROR(GETPIVOTDATA("Sum of FY"&amp;BC$9+1,'PT-All'!$A$1,"Scenario",BC$12,"P&amp;L Item",$B171),0))</f>
        <v>0</v>
      </c>
    </row>
    <row r="172" spans="2:55" x14ac:dyDescent="0.35">
      <c r="B172" s="64" t="s">
        <v>200</v>
      </c>
      <c r="C172" s="65">
        <f>CHOOSE(PLColumn,IFERROR(GETPIVOTDATA("Sum of "&amp;C$9,'PT-All'!$A$1,"Scenario",C$12,"P&amp;L Item",$B172),0),IFERROR(GETPIVOTDATA("Sum of "&amp;C$9,'PT-All'!$A$1,"Scenario",C$12,"P&amp;L Item",$B172)/C$201,0),TEXT(IFERROR(GETPIVOTDATA("Sum of "&amp;C$9,'PT-All'!$A$1,"Scenario",C$12,"P&amp;L Item",$B172)/C$29,0),"0.00%"))</f>
        <v>0</v>
      </c>
      <c r="D172" s="65">
        <f>CHOOSE(PLColumn,IFERROR(GETPIVOTDATA("Sum of "&amp;D$9,'PT-All'!$A$1,"Scenario",D$12,"P&amp;L Item",$B172),0),IFERROR(GETPIVOTDATA("Sum of "&amp;D$9,'PT-All'!$A$1,"Scenario",D$12,"P&amp;L Item",$B172)/D$201,0),TEXT(IFERROR(GETPIVOTDATA("Sum of "&amp;D$9,'PT-All'!$A$1,"Scenario",D$12,"P&amp;L Item",$B172)/D$29,0),"0.00%"))</f>
        <v>0</v>
      </c>
      <c r="E172" s="65">
        <f>CHOOSE(PLColumn,IFERROR(GETPIVOTDATA("Sum of "&amp;E$9,'PT-All'!$A$1,"Scenario",E$12,"P&amp;L Item",$B172),0),IFERROR(GETPIVOTDATA("Sum of "&amp;E$9,'PT-All'!$A$1,"Scenario",E$12,"P&amp;L Item",$B172)/E$201,0),TEXT(IFERROR(GETPIVOTDATA("Sum of "&amp;E$9,'PT-All'!$A$1,"Scenario",E$12,"P&amp;L Item",$B172)/E$29,0),"0.00%"))</f>
        <v>0</v>
      </c>
      <c r="F172" s="65">
        <f>CHOOSE(PLColumn,IFERROR(GETPIVOTDATA("Sum of "&amp;F$9,'PT-All'!$A$1,"Scenario",F$12,"P&amp;L Item",$B172),0),IFERROR(GETPIVOTDATA("Sum of "&amp;F$9,'PT-All'!$A$1,"Scenario",F$12,"P&amp;L Item",$B172)/F$201,0),TEXT(IFERROR(GETPIVOTDATA("Sum of "&amp;F$9,'PT-All'!$A$1,"Scenario",F$12,"P&amp;L Item",$B172)/F$29,0),"0.00%"))</f>
        <v>0</v>
      </c>
      <c r="G172" s="65">
        <f>CHOOSE(PLColumn,IFERROR(GETPIVOTDATA("Sum of "&amp;G$9,'PT-All'!$A$1,"Scenario",G$12,"P&amp;L Item",$B172),0),IFERROR(GETPIVOTDATA("Sum of "&amp;G$9,'PT-All'!$A$1,"Scenario",G$12,"P&amp;L Item",$B172)/G$201,0),TEXT(IFERROR(GETPIVOTDATA("Sum of "&amp;G$9,'PT-All'!$A$1,"Scenario",G$12,"P&amp;L Item",$B172)/G$29,0),"0.00%"))</f>
        <v>0</v>
      </c>
      <c r="H172" s="65">
        <f>CHOOSE(PLColumn,IFERROR(GETPIVOTDATA("Sum of "&amp;H$9,'PT-All'!$A$1,"Scenario",H$12,"P&amp;L Item",$B172),0),IFERROR(GETPIVOTDATA("Sum of "&amp;H$9,'PT-All'!$A$1,"Scenario",H$12,"P&amp;L Item",$B172)/H$201,0),TEXT(IFERROR(GETPIVOTDATA("Sum of "&amp;H$9,'PT-All'!$A$1,"Scenario",H$12,"P&amp;L Item",$B172)/H$29,0),"0.00%"))</f>
        <v>0</v>
      </c>
      <c r="I172" s="65">
        <f>CHOOSE(PLColumn,IFERROR(GETPIVOTDATA("Sum of "&amp;I$9,'PT-All'!$A$1,"Scenario",I$12,"P&amp;L Item",$B172),0),IFERROR(GETPIVOTDATA("Sum of "&amp;I$9,'PT-All'!$A$1,"Scenario",I$12,"P&amp;L Item",$B172)/I$201,0),TEXT(IFERROR(GETPIVOTDATA("Sum of "&amp;I$9,'PT-All'!$A$1,"Scenario",I$12,"P&amp;L Item",$B172)/I$29,0),"0.00%"))</f>
        <v>0</v>
      </c>
      <c r="J172" s="65">
        <f>CHOOSE(PLColumn,IFERROR(GETPIVOTDATA("Sum of "&amp;J$9,'PT-All'!$A$1,"Scenario",J$12,"P&amp;L Item",$B172),0),IFERROR(GETPIVOTDATA("Sum of "&amp;J$9,'PT-All'!$A$1,"Scenario",J$12,"P&amp;L Item",$B172)/J$201,0),TEXT(IFERROR(GETPIVOTDATA("Sum of "&amp;J$9,'PT-All'!$A$1,"Scenario",J$12,"P&amp;L Item",$B172)/J$29,0),"0.00%"))</f>
        <v>0</v>
      </c>
      <c r="K172" s="65">
        <f>CHOOSE(PLColumn,IFERROR(GETPIVOTDATA("Sum of "&amp;K$9,'PT-All'!$A$1,"Scenario",K$12,"P&amp;L Item",$B172),0),IFERROR(GETPIVOTDATA("Sum of "&amp;K$9,'PT-All'!$A$1,"Scenario",K$12,"P&amp;L Item",$B172)/K$201,0),TEXT(IFERROR(GETPIVOTDATA("Sum of "&amp;K$9,'PT-All'!$A$1,"Scenario",K$12,"P&amp;L Item",$B172)/K$29,0),"0.00%"))</f>
        <v>0</v>
      </c>
      <c r="L172" s="65">
        <f>CHOOSE(PLColumn,IFERROR(GETPIVOTDATA("Sum of "&amp;L$9,'PT-All'!$A$1,"Scenario",L$12,"P&amp;L Item",$B172),0),IFERROR(GETPIVOTDATA("Sum of "&amp;L$9,'PT-All'!$A$1,"Scenario",L$12,"P&amp;L Item",$B172)/L$201,0),TEXT(IFERROR(GETPIVOTDATA("Sum of "&amp;L$9,'PT-All'!$A$1,"Scenario",L$12,"P&amp;L Item",$B172)/L$29,0),"0.00%"))</f>
        <v>0</v>
      </c>
      <c r="M172" s="65">
        <f>CHOOSE(PLColumn,IFERROR(GETPIVOTDATA("Sum of "&amp;M$9,'PT-All'!$A$1,"Scenario",M$12,"P&amp;L Item",$B172),0),IFERROR(GETPIVOTDATA("Sum of "&amp;M$9,'PT-All'!$A$1,"Scenario",M$12,"P&amp;L Item",$B172)/M$201,0),TEXT(IFERROR(GETPIVOTDATA("Sum of "&amp;M$9,'PT-All'!$A$1,"Scenario",M$12,"P&amp;L Item",$B172)/M$29,0),"0.00%"))</f>
        <v>0</v>
      </c>
      <c r="N172" s="65">
        <f>CHOOSE(PLColumn,IFERROR(GETPIVOTDATA("Sum of "&amp;N$9,'PT-All'!$A$1,"Scenario",N$12,"P&amp;L Item",$B172),0),IFERROR(GETPIVOTDATA("Sum of "&amp;N$9,'PT-All'!$A$1,"Scenario",N$12,"P&amp;L Item",$B172)/N$201,0),TEXT(IFERROR(GETPIVOTDATA("Sum of "&amp;N$9,'PT-All'!$A$1,"Scenario",N$12,"P&amp;L Item",$B172)/N$29,0),"0.00%"))</f>
        <v>0</v>
      </c>
      <c r="O172" s="65">
        <f>CHOOSE(PLColumn,IFERROR(GETPIVOTDATA("Sum of "&amp;O$9,'PT-All'!$A$1,"Scenario",O$12,"P&amp;L Item",$B172),0),IFERROR(GETPIVOTDATA("Sum of "&amp;O$9,'PT-All'!$A$1,"Scenario",O$12,"P&amp;L Item",$B172)/O$201,0),TEXT(IFERROR(GETPIVOTDATA("Sum of "&amp;O$9,'PT-All'!$A$1,"Scenario",O$12,"P&amp;L Item",$B172)/O$29,0),"0.00%"))</f>
        <v>0</v>
      </c>
      <c r="P172" s="65">
        <f>CHOOSE(PLColumn,IFERROR(GETPIVOTDATA("Sum of "&amp;P$9,'PT-All'!$A$1,"Scenario",P$12,"P&amp;L Item",$B172),0),IFERROR(GETPIVOTDATA("Sum of "&amp;P$9,'PT-All'!$A$1,"Scenario",P$12,"P&amp;L Item",$B172)/P$201,0),TEXT(IFERROR(GETPIVOTDATA("Sum of "&amp;P$9,'PT-All'!$A$1,"Scenario",P$12,"P&amp;L Item",$B172)/P$29,0),"0.00%"))</f>
        <v>0</v>
      </c>
      <c r="Q172" s="65">
        <f>CHOOSE(PLColumn,IFERROR(GETPIVOTDATA("Sum of "&amp;Q$9,'PT-All'!$A$1,"Scenario",Q$12,"P&amp;L Item",$B172),0),IFERROR(GETPIVOTDATA("Sum of "&amp;Q$9,'PT-All'!$A$1,"Scenario",Q$12,"P&amp;L Item",$B172)/Q$201,0),TEXT(IFERROR(GETPIVOTDATA("Sum of "&amp;Q$9,'PT-All'!$A$1,"Scenario",Q$12,"P&amp;L Item",$B172)/Q$29,0),"0.00%"))</f>
        <v>0</v>
      </c>
      <c r="R172" s="65">
        <f>CHOOSE(PLColumn,IFERROR(GETPIVOTDATA("Sum of "&amp;R$9,'PT-All'!$A$1,"Scenario",R$12,"P&amp;L Item",$B172),0),IFERROR(GETPIVOTDATA("Sum of "&amp;R$9,'PT-All'!$A$1,"Scenario",R$12,"P&amp;L Item",$B172)/R$201,0),TEXT(IFERROR(GETPIVOTDATA("Sum of "&amp;R$9,'PT-All'!$A$1,"Scenario",R$12,"P&amp;L Item",$B172)/R$29,0),"0.00%"))</f>
        <v>0</v>
      </c>
      <c r="S172" s="65">
        <f>CHOOSE(PLColumn,IFERROR(GETPIVOTDATA("Sum of "&amp;S$9,'PT-All'!$A$1,"Scenario",S$12,"P&amp;L Item",$B172),0),IFERROR(GETPIVOTDATA("Sum of "&amp;S$9,'PT-All'!$A$1,"Scenario",S$12,"P&amp;L Item",$B172)/S$201,0),TEXT(IFERROR(GETPIVOTDATA("Sum of "&amp;S$9,'PT-All'!$A$1,"Scenario",S$12,"P&amp;L Item",$B172)/S$29,0),"0.00%"))</f>
        <v>0</v>
      </c>
      <c r="T172" s="65">
        <f>CHOOSE(PLColumn,IFERROR(GETPIVOTDATA("Sum of "&amp;T$9,'PT-All'!$A$1,"Scenario",T$12,"P&amp;L Item",$B172),0),IFERROR(GETPIVOTDATA("Sum of "&amp;T$9,'PT-All'!$A$1,"Scenario",T$12,"P&amp;L Item",$B172)/T$201,0),TEXT(IFERROR(GETPIVOTDATA("Sum of "&amp;T$9,'PT-All'!$A$1,"Scenario",T$12,"P&amp;L Item",$B172)/T$29,0),"0.00%"))</f>
        <v>0</v>
      </c>
      <c r="U172" s="65">
        <f>CHOOSE(PLColumn,IFERROR(GETPIVOTDATA("Sum of "&amp;U$9,'PT-All'!$A$1,"Scenario",U$12,"P&amp;L Item",$B172),0),IFERROR(GETPIVOTDATA("Sum of "&amp;U$9,'PT-All'!$A$1,"Scenario",U$12,"P&amp;L Item",$B172)/U$201,0),TEXT(IFERROR(GETPIVOTDATA("Sum of "&amp;U$9,'PT-All'!$A$1,"Scenario",U$12,"P&amp;L Item",$B172)/U$29,0),"0.00%"))</f>
        <v>0</v>
      </c>
      <c r="V172" s="65">
        <f>CHOOSE(PLColumn,IFERROR(GETPIVOTDATA("Sum of "&amp;V$9,'PT-All'!$A$1,"Scenario",V$12,"P&amp;L Item",$B172),0),IFERROR(GETPIVOTDATA("Sum of "&amp;V$9,'PT-All'!$A$1,"Scenario",V$12,"P&amp;L Item",$B172)/V$201,0),TEXT(IFERROR(GETPIVOTDATA("Sum of "&amp;V$9,'PT-All'!$A$1,"Scenario",V$12,"P&amp;L Item",$B172)/V$29,0),"0.00%"))</f>
        <v>0</v>
      </c>
      <c r="W172" s="65">
        <f>CHOOSE(PLColumn,IFERROR(GETPIVOTDATA("Sum of "&amp;W$9,'PT-All'!$A$1,"Scenario",W$12,"P&amp;L Item",$B172),0),IFERROR(GETPIVOTDATA("Sum of "&amp;W$9,'PT-All'!$A$1,"Scenario",W$12,"P&amp;L Item",$B172)/W$201,0),TEXT(IFERROR(GETPIVOTDATA("Sum of "&amp;W$9,'PT-All'!$A$1,"Scenario",W$12,"P&amp;L Item",$B172)/W$29,0),"0.00%"))</f>
        <v>0</v>
      </c>
      <c r="X172" s="65">
        <f>CHOOSE(PLColumn,IFERROR(GETPIVOTDATA("Sum of "&amp;X$9,'PT-All'!$A$1,"Scenario",X$12,"P&amp;L Item",$B172),0),IFERROR(GETPIVOTDATA("Sum of "&amp;X$9,'PT-All'!$A$1,"Scenario",X$12,"P&amp;L Item",$B172)/X$201,0),TEXT(IFERROR(GETPIVOTDATA("Sum of "&amp;X$9,'PT-All'!$A$1,"Scenario",X$12,"P&amp;L Item",$B172)/X$29,0),"0.00%"))</f>
        <v>0</v>
      </c>
      <c r="Y172" s="65">
        <f>CHOOSE(PLColumn,IFERROR(GETPIVOTDATA("Sum of "&amp;Y$9,'PT-All'!$A$1,"Scenario",Y$12,"P&amp;L Item",$B172),0),IFERROR(GETPIVOTDATA("Sum of "&amp;Y$9,'PT-All'!$A$1,"Scenario",Y$12,"P&amp;L Item",$B172)/Y$201,0),TEXT(IFERROR(GETPIVOTDATA("Sum of "&amp;Y$9,'PT-All'!$A$1,"Scenario",Y$12,"P&amp;L Item",$B172)/Y$29,0),"0.00%"))</f>
        <v>0</v>
      </c>
      <c r="Z172" s="65">
        <f>CHOOSE(PLColumn,IFERROR(GETPIVOTDATA("Sum of "&amp;Z$9,'PT-All'!$A$1,"Scenario",Z$12,"P&amp;L Item",$B172),0),IFERROR(GETPIVOTDATA("Sum of "&amp;Z$9,'PT-All'!$A$1,"Scenario",Z$12,"P&amp;L Item",$B172)/Z$201,0),TEXT(IFERROR(GETPIVOTDATA("Sum of "&amp;Z$9,'PT-All'!$A$1,"Scenario",Z$12,"P&amp;L Item",$B172)/Z$29,0),"0.00%"))</f>
        <v>0</v>
      </c>
      <c r="AA172" s="65">
        <f>CHOOSE(PLColumn,IFERROR(GETPIVOTDATA("Sum of "&amp;AA$9,'PT-All'!$A$1,"Scenario",AA$12,"P&amp;L Item",$B172),0),IFERROR(GETPIVOTDATA("Sum of "&amp;AA$9,'PT-All'!$A$1,"Scenario",AA$12,"P&amp;L Item",$B172)/AA$201,0),TEXT(IFERROR(GETPIVOTDATA("Sum of "&amp;AA$9,'PT-All'!$A$1,"Scenario",AA$12,"P&amp;L Item",$B172)/AA$29,0),"0.00%"))</f>
        <v>0</v>
      </c>
      <c r="AB172" s="65">
        <f>CHOOSE(PLColumn,IFERROR(GETPIVOTDATA("Sum of "&amp;AB$9,'PT-All'!$A$1,"Scenario",AB$12,"P&amp;L Item",$B172),0),IFERROR(GETPIVOTDATA("Sum of "&amp;AB$9,'PT-All'!$A$1,"Scenario",AB$12,"P&amp;L Item",$B172)/AB$201,0),TEXT(IFERROR(GETPIVOTDATA("Sum of "&amp;AB$9,'PT-All'!$A$1,"Scenario",AB$12,"P&amp;L Item",$B172)/AB$29,0),"0.00%"))</f>
        <v>0</v>
      </c>
      <c r="AC172" s="65">
        <f>CHOOSE(PLColumn,IFERROR(GETPIVOTDATA("Sum of "&amp;AC$9,'PT-All'!$A$1,"Scenario",AC$12,"P&amp;L Item",$B172),0),IFERROR(GETPIVOTDATA("Sum of "&amp;AC$9,'PT-All'!$A$1,"Scenario",AC$12,"P&amp;L Item",$B172)/AC$201,0),TEXT(IFERROR(GETPIVOTDATA("Sum of "&amp;AC$9,'PT-All'!$A$1,"Scenario",AC$12,"P&amp;L Item",$B172)/AC$29,0),"0.00%"))</f>
        <v>0</v>
      </c>
      <c r="AD172" s="65">
        <f>CHOOSE(PLColumn,IFERROR(GETPIVOTDATA("Sum of "&amp;AD$9,'PT-All'!$A$1,"Scenario",AD$12,"P&amp;L Item",$B172),0),IFERROR(GETPIVOTDATA("Sum of "&amp;AD$9,'PT-All'!$A$1,"Scenario",AD$12,"P&amp;L Item",$B172)/AD$201,0),TEXT(IFERROR(GETPIVOTDATA("Sum of "&amp;AD$9,'PT-All'!$A$1,"Scenario",AD$12,"P&amp;L Item",$B172)/AD$29,0),"0.00%"))</f>
        <v>0</v>
      </c>
      <c r="AE172" s="65">
        <f>CHOOSE(PLColumn,IFERROR(GETPIVOTDATA("Sum of "&amp;AE$9,'PT-All'!$A$1,"Scenario",AE$12,"P&amp;L Item",$B172),0),IFERROR(GETPIVOTDATA("Sum of "&amp;AE$9,'PT-All'!$A$1,"Scenario",AE$12,"P&amp;L Item",$B172)/AE$201,0),TEXT(IFERROR(GETPIVOTDATA("Sum of "&amp;AE$9,'PT-All'!$A$1,"Scenario",AE$12,"P&amp;L Item",$B172)/AE$29,0),"0.00%"))</f>
        <v>0</v>
      </c>
      <c r="AF172" s="65">
        <f>CHOOSE(PLColumn,IFERROR(GETPIVOTDATA("Sum of "&amp;AF$9,'PT-All'!$A$1,"Scenario",AF$12,"P&amp;L Item",$B172),0),IFERROR(GETPIVOTDATA("Sum of "&amp;AF$9,'PT-All'!$A$1,"Scenario",AF$12,"P&amp;L Item",$B172)/AF$201,0),TEXT(IFERROR(GETPIVOTDATA("Sum of "&amp;AF$9,'PT-All'!$A$1,"Scenario",AF$12,"P&amp;L Item",$B172)/AF$29,0),"0.00%"))</f>
        <v>0</v>
      </c>
      <c r="AG172" s="65">
        <f>CHOOSE(PLColumn,IFERROR(GETPIVOTDATA("Sum of "&amp;AG$9,'PT-All'!$A$1,"Scenario",AG$12,"P&amp;L Item",$B172),0),IFERROR(GETPIVOTDATA("Sum of "&amp;AG$9,'PT-All'!$A$1,"Scenario",AG$12,"P&amp;L Item",$B172)/AG$201,0),TEXT(IFERROR(GETPIVOTDATA("Sum of "&amp;AG$9,'PT-All'!$A$1,"Scenario",AG$12,"P&amp;L Item",$B172)/AG$29,0),"0.00%"))</f>
        <v>0</v>
      </c>
      <c r="AH172" s="65">
        <f>CHOOSE(PLColumn,IFERROR(GETPIVOTDATA("Sum of "&amp;AH$9,'PT-All'!$A$1,"Scenario",AH$12,"P&amp;L Item",$B172),0),IFERROR(GETPIVOTDATA("Sum of "&amp;AH$9,'PT-All'!$A$1,"Scenario",AH$12,"P&amp;L Item",$B172)/AH$201,0),TEXT(IFERROR(GETPIVOTDATA("Sum of "&amp;AH$9,'PT-All'!$A$1,"Scenario",AH$12,"P&amp;L Item",$B172)/AH$29,0),"0.00%"))</f>
        <v>0</v>
      </c>
      <c r="AI172" s="65">
        <f>CHOOSE(PLColumn,IFERROR(GETPIVOTDATA("Sum of "&amp;AI$9,'PT-All'!$A$1,"Scenario",AI$12,"P&amp;L Item",$B172),0),IFERROR(GETPIVOTDATA("Sum of "&amp;AI$9,'PT-All'!$A$1,"Scenario",AI$12,"P&amp;L Item",$B172)/AI$201,0),TEXT(IFERROR(GETPIVOTDATA("Sum of "&amp;AI$9,'PT-All'!$A$1,"Scenario",AI$12,"P&amp;L Item",$B172)/AI$29,0),"0.00%"))</f>
        <v>0</v>
      </c>
      <c r="AJ172" s="65">
        <f>CHOOSE(PLColumn,IFERROR(GETPIVOTDATA("Sum of "&amp;AJ$9,'PT-All'!$A$1,"Scenario",AJ$12,"P&amp;L Item",$B172),0),IFERROR(GETPIVOTDATA("Sum of "&amp;AJ$9,'PT-All'!$A$1,"Scenario",AJ$12,"P&amp;L Item",$B172)/AJ$201,0),TEXT(IFERROR(GETPIVOTDATA("Sum of "&amp;AJ$9,'PT-All'!$A$1,"Scenario",AJ$12,"P&amp;L Item",$B172)/AJ$29,0),"0.00%"))</f>
        <v>0</v>
      </c>
      <c r="AK172" s="65">
        <f>CHOOSE(PLColumn,IFERROR(GETPIVOTDATA("Sum of "&amp;AK$9,'PT-All'!$A$1,"Scenario",AK$12,"P&amp;L Item",$B172),0),IFERROR(GETPIVOTDATA("Sum of "&amp;AK$9,'PT-All'!$A$1,"Scenario",AK$12,"P&amp;L Item",$B172)/AK$201,0),TEXT(IFERROR(GETPIVOTDATA("Sum of "&amp;AK$9,'PT-All'!$A$1,"Scenario",AK$12,"P&amp;L Item",$B172)/AK$29,0),"0.00%"))</f>
        <v>0</v>
      </c>
      <c r="AL172" s="97">
        <f>CHOOSE(PLColumn,IFERROR(GETPIVOTDATA("Sum of "&amp;AL$9,'PT-All'!$A$1,"Scenario",AL$12,"P&amp;L Item",$B172),0),IFERROR(GETPIVOTDATA("Sum of "&amp;AL$9,'PT-All'!$A$1,"Scenario",AL$12,"P&amp;L Item",$B172)/AL$201,0),TEXT(IFERROR(GETPIVOTDATA("Sum of "&amp;AL$9,'PT-All'!$A$1,"Scenario",AL$12,"P&amp;L Item",$B172)/AL$29,0),"0.00%"))</f>
        <v>0</v>
      </c>
      <c r="AM172" s="590"/>
      <c r="AN172" s="108">
        <f ca="1">IF(AN$12="Pro Forma",SUM(OFFSET($B172,0,3*AN$9+1,1,3)),IFERROR(GETPIVOTDATA("Sum of Q"&amp;AN$9+1,'PT-All'!$A$1,"Scenario",AN$12,"P&amp;L Item",$B172),0))</f>
        <v>0</v>
      </c>
      <c r="AO172" s="65">
        <f ca="1">IF(AO$12="Pro Forma",SUM(OFFSET($B172,0,3*AO$9+1,1,3)),IFERROR(GETPIVOTDATA("Sum of Q"&amp;AO$9+1,'PT-All'!$A$1,"Scenario",AO$12,"P&amp;L Item",$B172),0))</f>
        <v>0</v>
      </c>
      <c r="AP172" s="65">
        <f ca="1">IF(AP$12="Pro Forma",SUM(OFFSET($B172,0,3*AP$9+1,1,3)),IFERROR(GETPIVOTDATA("Sum of Q"&amp;AP$9+1,'PT-All'!$A$1,"Scenario",AP$12,"P&amp;L Item",$B172),0))</f>
        <v>0</v>
      </c>
      <c r="AQ172" s="65">
        <f ca="1">IF(AQ$12="Pro Forma",SUM(OFFSET($B172,0,3*AQ$9+1,1,3)),IFERROR(GETPIVOTDATA("Sum of Q"&amp;AQ$9+1,'PT-All'!$A$1,"Scenario",AQ$12,"P&amp;L Item",$B172),0))</f>
        <v>0</v>
      </c>
      <c r="AR172" s="65">
        <f ca="1">IF(AR$12="Pro Forma",SUM(OFFSET($B172,0,3*AR$9+1,1,3)),IFERROR(GETPIVOTDATA("Sum of Q"&amp;AR$9+1,'PT-All'!$A$1,"Scenario",AR$12,"P&amp;L Item",$B172),0))</f>
        <v>0</v>
      </c>
      <c r="AS172" s="65">
        <f ca="1">IF(AS$12="Pro Forma",SUM(OFFSET($B172,0,3*AS$9+1,1,3)),IFERROR(GETPIVOTDATA("Sum of Q"&amp;AS$9+1,'PT-All'!$A$1,"Scenario",AS$12,"P&amp;L Item",$B172),0))</f>
        <v>0</v>
      </c>
      <c r="AT172" s="65">
        <f ca="1">IF(AT$12="Pro Forma",SUM(OFFSET($B172,0,3*AT$9+1,1,3)),IFERROR(GETPIVOTDATA("Sum of Q"&amp;AT$9+1,'PT-All'!$A$1,"Scenario",AT$12,"P&amp;L Item",$B172),0))</f>
        <v>0</v>
      </c>
      <c r="AU172" s="65">
        <f ca="1">IF(AU$12="Pro Forma",SUM(OFFSET($B172,0,3*AU$9+1,1,3)),IFERROR(GETPIVOTDATA("Sum of Q"&amp;AU$9+1,'PT-All'!$A$1,"Scenario",AU$12,"P&amp;L Item",$B172),0))</f>
        <v>0</v>
      </c>
      <c r="AV172" s="65">
        <f ca="1">IF(AV$12="Pro Forma",SUM(OFFSET($B172,0,3*AV$9+1,1,3)),IFERROR(GETPIVOTDATA("Sum of Q"&amp;AV$9+1,'PT-All'!$A$1,"Scenario",AV$12,"P&amp;L Item",$B172),0))</f>
        <v>0</v>
      </c>
      <c r="AW172" s="65">
        <f ca="1">IF(AW$12="Pro Forma",SUM(OFFSET($B172,0,3*AW$9+1,1,3)),IFERROR(GETPIVOTDATA("Sum of Q"&amp;AW$9+1,'PT-All'!$A$1,"Scenario",AW$12,"P&amp;L Item",$B172),0))</f>
        <v>0</v>
      </c>
      <c r="AX172" s="65">
        <f ca="1">IF(AX$12="Pro Forma",SUM(OFFSET($B172,0,3*AX$9+1,1,3)),IFERROR(GETPIVOTDATA("Sum of Q"&amp;AX$9+1,'PT-All'!$A$1,"Scenario",AX$12,"P&amp;L Item",$B172),0))</f>
        <v>0</v>
      </c>
      <c r="AY172" s="97">
        <f ca="1">IF(AY$12="Pro Forma",SUM(OFFSET($B172,0,3*AY$9+1,1,3)),IFERROR(GETPIVOTDATA("Sum of Q"&amp;AY$9+1,'PT-All'!$A$1,"Scenario",AY$12,"P&amp;L Item",$B172),0))</f>
        <v>0</v>
      </c>
      <c r="AZ172" s="590"/>
      <c r="BA172" s="108">
        <f ca="1">IF(BA$12="Pro Forma",SUM(OFFSET($B172,0,12*BA$9+1,1,12)),IFERROR(GETPIVOTDATA("Sum of FY"&amp;BA$9+1,'PT-All'!$A$1,"Scenario",BA$12,"P&amp;L Item",$B172),0))</f>
        <v>0</v>
      </c>
      <c r="BB172" s="65">
        <f ca="1">IF(BB$12="Pro Forma",SUM(OFFSET($B172,0,12*BB$9+1,1,12)),IFERROR(GETPIVOTDATA("Sum of FY"&amp;BB$9+1,'PT-All'!$A$1,"Scenario",BB$12,"P&amp;L Item",$B172),0))</f>
        <v>0</v>
      </c>
      <c r="BC172" s="97">
        <f ca="1">IF(BC$12="Pro Forma",SUM(OFFSET($B172,0,12*BC$9+1,1,12)),IFERROR(GETPIVOTDATA("Sum of FY"&amp;BC$9+1,'PT-All'!$A$1,"Scenario",BC$12,"P&amp;L Item",$B172),0))</f>
        <v>0</v>
      </c>
    </row>
    <row r="173" spans="2:55" x14ac:dyDescent="0.35">
      <c r="B173" s="64" t="s">
        <v>201</v>
      </c>
      <c r="C173" s="65">
        <f>CHOOSE(PLColumn,IFERROR(GETPIVOTDATA("Sum of "&amp;C$9,'PT-All'!$A$1,"Scenario",C$12,"P&amp;L Item",$B173),0),IFERROR(GETPIVOTDATA("Sum of "&amp;C$9,'PT-All'!$A$1,"Scenario",C$12,"P&amp;L Item",$B173)/C$201,0),TEXT(IFERROR(GETPIVOTDATA("Sum of "&amp;C$9,'PT-All'!$A$1,"Scenario",C$12,"P&amp;L Item",$B173)/C$29,0),"0.00%"))</f>
        <v>0</v>
      </c>
      <c r="D173" s="65">
        <f>CHOOSE(PLColumn,IFERROR(GETPIVOTDATA("Sum of "&amp;D$9,'PT-All'!$A$1,"Scenario",D$12,"P&amp;L Item",$B173),0),IFERROR(GETPIVOTDATA("Sum of "&amp;D$9,'PT-All'!$A$1,"Scenario",D$12,"P&amp;L Item",$B173)/D$201,0),TEXT(IFERROR(GETPIVOTDATA("Sum of "&amp;D$9,'PT-All'!$A$1,"Scenario",D$12,"P&amp;L Item",$B173)/D$29,0),"0.00%"))</f>
        <v>0</v>
      </c>
      <c r="E173" s="65">
        <f>CHOOSE(PLColumn,IFERROR(GETPIVOTDATA("Sum of "&amp;E$9,'PT-All'!$A$1,"Scenario",E$12,"P&amp;L Item",$B173),0),IFERROR(GETPIVOTDATA("Sum of "&amp;E$9,'PT-All'!$A$1,"Scenario",E$12,"P&amp;L Item",$B173)/E$201,0),TEXT(IFERROR(GETPIVOTDATA("Sum of "&amp;E$9,'PT-All'!$A$1,"Scenario",E$12,"P&amp;L Item",$B173)/E$29,0),"0.00%"))</f>
        <v>0</v>
      </c>
      <c r="F173" s="65">
        <f>CHOOSE(PLColumn,IFERROR(GETPIVOTDATA("Sum of "&amp;F$9,'PT-All'!$A$1,"Scenario",F$12,"P&amp;L Item",$B173),0),IFERROR(GETPIVOTDATA("Sum of "&amp;F$9,'PT-All'!$A$1,"Scenario",F$12,"P&amp;L Item",$B173)/F$201,0),TEXT(IFERROR(GETPIVOTDATA("Sum of "&amp;F$9,'PT-All'!$A$1,"Scenario",F$12,"P&amp;L Item",$B173)/F$29,0),"0.00%"))</f>
        <v>0</v>
      </c>
      <c r="G173" s="65">
        <f>CHOOSE(PLColumn,IFERROR(GETPIVOTDATA("Sum of "&amp;G$9,'PT-All'!$A$1,"Scenario",G$12,"P&amp;L Item",$B173),0),IFERROR(GETPIVOTDATA("Sum of "&amp;G$9,'PT-All'!$A$1,"Scenario",G$12,"P&amp;L Item",$B173)/G$201,0),TEXT(IFERROR(GETPIVOTDATA("Sum of "&amp;G$9,'PT-All'!$A$1,"Scenario",G$12,"P&amp;L Item",$B173)/G$29,0),"0.00%"))</f>
        <v>0</v>
      </c>
      <c r="H173" s="65">
        <f>CHOOSE(PLColumn,IFERROR(GETPIVOTDATA("Sum of "&amp;H$9,'PT-All'!$A$1,"Scenario",H$12,"P&amp;L Item",$B173),0),IFERROR(GETPIVOTDATA("Sum of "&amp;H$9,'PT-All'!$A$1,"Scenario",H$12,"P&amp;L Item",$B173)/H$201,0),TEXT(IFERROR(GETPIVOTDATA("Sum of "&amp;H$9,'PT-All'!$A$1,"Scenario",H$12,"P&amp;L Item",$B173)/H$29,0),"0.00%"))</f>
        <v>0</v>
      </c>
      <c r="I173" s="65">
        <f>CHOOSE(PLColumn,IFERROR(GETPIVOTDATA("Sum of "&amp;I$9,'PT-All'!$A$1,"Scenario",I$12,"P&amp;L Item",$B173),0),IFERROR(GETPIVOTDATA("Sum of "&amp;I$9,'PT-All'!$A$1,"Scenario",I$12,"P&amp;L Item",$B173)/I$201,0),TEXT(IFERROR(GETPIVOTDATA("Sum of "&amp;I$9,'PT-All'!$A$1,"Scenario",I$12,"P&amp;L Item",$B173)/I$29,0),"0.00%"))</f>
        <v>0</v>
      </c>
      <c r="J173" s="65">
        <f>CHOOSE(PLColumn,IFERROR(GETPIVOTDATA("Sum of "&amp;J$9,'PT-All'!$A$1,"Scenario",J$12,"P&amp;L Item",$B173),0),IFERROR(GETPIVOTDATA("Sum of "&amp;J$9,'PT-All'!$A$1,"Scenario",J$12,"P&amp;L Item",$B173)/J$201,0),TEXT(IFERROR(GETPIVOTDATA("Sum of "&amp;J$9,'PT-All'!$A$1,"Scenario",J$12,"P&amp;L Item",$B173)/J$29,0),"0.00%"))</f>
        <v>0</v>
      </c>
      <c r="K173" s="65">
        <f>CHOOSE(PLColumn,IFERROR(GETPIVOTDATA("Sum of "&amp;K$9,'PT-All'!$A$1,"Scenario",K$12,"P&amp;L Item",$B173),0),IFERROR(GETPIVOTDATA("Sum of "&amp;K$9,'PT-All'!$A$1,"Scenario",K$12,"P&amp;L Item",$B173)/K$201,0),TEXT(IFERROR(GETPIVOTDATA("Sum of "&amp;K$9,'PT-All'!$A$1,"Scenario",K$12,"P&amp;L Item",$B173)/K$29,0),"0.00%"))</f>
        <v>0</v>
      </c>
      <c r="L173" s="65">
        <f>CHOOSE(PLColumn,IFERROR(GETPIVOTDATA("Sum of "&amp;L$9,'PT-All'!$A$1,"Scenario",L$12,"P&amp;L Item",$B173),0),IFERROR(GETPIVOTDATA("Sum of "&amp;L$9,'PT-All'!$A$1,"Scenario",L$12,"P&amp;L Item",$B173)/L$201,0),TEXT(IFERROR(GETPIVOTDATA("Sum of "&amp;L$9,'PT-All'!$A$1,"Scenario",L$12,"P&amp;L Item",$B173)/L$29,0),"0.00%"))</f>
        <v>0</v>
      </c>
      <c r="M173" s="65">
        <f>CHOOSE(PLColumn,IFERROR(GETPIVOTDATA("Sum of "&amp;M$9,'PT-All'!$A$1,"Scenario",M$12,"P&amp;L Item",$B173),0),IFERROR(GETPIVOTDATA("Sum of "&amp;M$9,'PT-All'!$A$1,"Scenario",M$12,"P&amp;L Item",$B173)/M$201,0),TEXT(IFERROR(GETPIVOTDATA("Sum of "&amp;M$9,'PT-All'!$A$1,"Scenario",M$12,"P&amp;L Item",$B173)/M$29,0),"0.00%"))</f>
        <v>0</v>
      </c>
      <c r="N173" s="65">
        <f>CHOOSE(PLColumn,IFERROR(GETPIVOTDATA("Sum of "&amp;N$9,'PT-All'!$A$1,"Scenario",N$12,"P&amp;L Item",$B173),0),IFERROR(GETPIVOTDATA("Sum of "&amp;N$9,'PT-All'!$A$1,"Scenario",N$12,"P&amp;L Item",$B173)/N$201,0),TEXT(IFERROR(GETPIVOTDATA("Sum of "&amp;N$9,'PT-All'!$A$1,"Scenario",N$12,"P&amp;L Item",$B173)/N$29,0),"0.00%"))</f>
        <v>0</v>
      </c>
      <c r="O173" s="65">
        <f>CHOOSE(PLColumn,IFERROR(GETPIVOTDATA("Sum of "&amp;O$9,'PT-All'!$A$1,"Scenario",O$12,"P&amp;L Item",$B173),0),IFERROR(GETPIVOTDATA("Sum of "&amp;O$9,'PT-All'!$A$1,"Scenario",O$12,"P&amp;L Item",$B173)/O$201,0),TEXT(IFERROR(GETPIVOTDATA("Sum of "&amp;O$9,'PT-All'!$A$1,"Scenario",O$12,"P&amp;L Item",$B173)/O$29,0),"0.00%"))</f>
        <v>0</v>
      </c>
      <c r="P173" s="65">
        <f>CHOOSE(PLColumn,IFERROR(GETPIVOTDATA("Sum of "&amp;P$9,'PT-All'!$A$1,"Scenario",P$12,"P&amp;L Item",$B173),0),IFERROR(GETPIVOTDATA("Sum of "&amp;P$9,'PT-All'!$A$1,"Scenario",P$12,"P&amp;L Item",$B173)/P$201,0),TEXT(IFERROR(GETPIVOTDATA("Sum of "&amp;P$9,'PT-All'!$A$1,"Scenario",P$12,"P&amp;L Item",$B173)/P$29,0),"0.00%"))</f>
        <v>0</v>
      </c>
      <c r="Q173" s="65">
        <f>CHOOSE(PLColumn,IFERROR(GETPIVOTDATA("Sum of "&amp;Q$9,'PT-All'!$A$1,"Scenario",Q$12,"P&amp;L Item",$B173),0),IFERROR(GETPIVOTDATA("Sum of "&amp;Q$9,'PT-All'!$A$1,"Scenario",Q$12,"P&amp;L Item",$B173)/Q$201,0),TEXT(IFERROR(GETPIVOTDATA("Sum of "&amp;Q$9,'PT-All'!$A$1,"Scenario",Q$12,"P&amp;L Item",$B173)/Q$29,0),"0.00%"))</f>
        <v>0</v>
      </c>
      <c r="R173" s="65">
        <f>CHOOSE(PLColumn,IFERROR(GETPIVOTDATA("Sum of "&amp;R$9,'PT-All'!$A$1,"Scenario",R$12,"P&amp;L Item",$B173),0),IFERROR(GETPIVOTDATA("Sum of "&amp;R$9,'PT-All'!$A$1,"Scenario",R$12,"P&amp;L Item",$B173)/R$201,0),TEXT(IFERROR(GETPIVOTDATA("Sum of "&amp;R$9,'PT-All'!$A$1,"Scenario",R$12,"P&amp;L Item",$B173)/R$29,0),"0.00%"))</f>
        <v>0</v>
      </c>
      <c r="S173" s="65">
        <f>CHOOSE(PLColumn,IFERROR(GETPIVOTDATA("Sum of "&amp;S$9,'PT-All'!$A$1,"Scenario",S$12,"P&amp;L Item",$B173),0),IFERROR(GETPIVOTDATA("Sum of "&amp;S$9,'PT-All'!$A$1,"Scenario",S$12,"P&amp;L Item",$B173)/S$201,0),TEXT(IFERROR(GETPIVOTDATA("Sum of "&amp;S$9,'PT-All'!$A$1,"Scenario",S$12,"P&amp;L Item",$B173)/S$29,0),"0.00%"))</f>
        <v>0</v>
      </c>
      <c r="T173" s="65">
        <f>CHOOSE(PLColumn,IFERROR(GETPIVOTDATA("Sum of "&amp;T$9,'PT-All'!$A$1,"Scenario",T$12,"P&amp;L Item",$B173),0),IFERROR(GETPIVOTDATA("Sum of "&amp;T$9,'PT-All'!$A$1,"Scenario",T$12,"P&amp;L Item",$B173)/T$201,0),TEXT(IFERROR(GETPIVOTDATA("Sum of "&amp;T$9,'PT-All'!$A$1,"Scenario",T$12,"P&amp;L Item",$B173)/T$29,0),"0.00%"))</f>
        <v>0</v>
      </c>
      <c r="U173" s="65">
        <f>CHOOSE(PLColumn,IFERROR(GETPIVOTDATA("Sum of "&amp;U$9,'PT-All'!$A$1,"Scenario",U$12,"P&amp;L Item",$B173),0),IFERROR(GETPIVOTDATA("Sum of "&amp;U$9,'PT-All'!$A$1,"Scenario",U$12,"P&amp;L Item",$B173)/U$201,0),TEXT(IFERROR(GETPIVOTDATA("Sum of "&amp;U$9,'PT-All'!$A$1,"Scenario",U$12,"P&amp;L Item",$B173)/U$29,0),"0.00%"))</f>
        <v>0</v>
      </c>
      <c r="V173" s="65">
        <f>CHOOSE(PLColumn,IFERROR(GETPIVOTDATA("Sum of "&amp;V$9,'PT-All'!$A$1,"Scenario",V$12,"P&amp;L Item",$B173),0),IFERROR(GETPIVOTDATA("Sum of "&amp;V$9,'PT-All'!$A$1,"Scenario",V$12,"P&amp;L Item",$B173)/V$201,0),TEXT(IFERROR(GETPIVOTDATA("Sum of "&amp;V$9,'PT-All'!$A$1,"Scenario",V$12,"P&amp;L Item",$B173)/V$29,0),"0.00%"))</f>
        <v>0</v>
      </c>
      <c r="W173" s="65">
        <f>CHOOSE(PLColumn,IFERROR(GETPIVOTDATA("Sum of "&amp;W$9,'PT-All'!$A$1,"Scenario",W$12,"P&amp;L Item",$B173),0),IFERROR(GETPIVOTDATA("Sum of "&amp;W$9,'PT-All'!$A$1,"Scenario",W$12,"P&amp;L Item",$B173)/W$201,0),TEXT(IFERROR(GETPIVOTDATA("Sum of "&amp;W$9,'PT-All'!$A$1,"Scenario",W$12,"P&amp;L Item",$B173)/W$29,0),"0.00%"))</f>
        <v>0</v>
      </c>
      <c r="X173" s="65">
        <f>CHOOSE(PLColumn,IFERROR(GETPIVOTDATA("Sum of "&amp;X$9,'PT-All'!$A$1,"Scenario",X$12,"P&amp;L Item",$B173),0),IFERROR(GETPIVOTDATA("Sum of "&amp;X$9,'PT-All'!$A$1,"Scenario",X$12,"P&amp;L Item",$B173)/X$201,0),TEXT(IFERROR(GETPIVOTDATA("Sum of "&amp;X$9,'PT-All'!$A$1,"Scenario",X$12,"P&amp;L Item",$B173)/X$29,0),"0.00%"))</f>
        <v>0</v>
      </c>
      <c r="Y173" s="65">
        <f>CHOOSE(PLColumn,IFERROR(GETPIVOTDATA("Sum of "&amp;Y$9,'PT-All'!$A$1,"Scenario",Y$12,"P&amp;L Item",$B173),0),IFERROR(GETPIVOTDATA("Sum of "&amp;Y$9,'PT-All'!$A$1,"Scenario",Y$12,"P&amp;L Item",$B173)/Y$201,0),TEXT(IFERROR(GETPIVOTDATA("Sum of "&amp;Y$9,'PT-All'!$A$1,"Scenario",Y$12,"P&amp;L Item",$B173)/Y$29,0),"0.00%"))</f>
        <v>0</v>
      </c>
      <c r="Z173" s="65">
        <f>CHOOSE(PLColumn,IFERROR(GETPIVOTDATA("Sum of "&amp;Z$9,'PT-All'!$A$1,"Scenario",Z$12,"P&amp;L Item",$B173),0),IFERROR(GETPIVOTDATA("Sum of "&amp;Z$9,'PT-All'!$A$1,"Scenario",Z$12,"P&amp;L Item",$B173)/Z$201,0),TEXT(IFERROR(GETPIVOTDATA("Sum of "&amp;Z$9,'PT-All'!$A$1,"Scenario",Z$12,"P&amp;L Item",$B173)/Z$29,0),"0.00%"))</f>
        <v>0</v>
      </c>
      <c r="AA173" s="65">
        <f>CHOOSE(PLColumn,IFERROR(GETPIVOTDATA("Sum of "&amp;AA$9,'PT-All'!$A$1,"Scenario",AA$12,"P&amp;L Item",$B173),0),IFERROR(GETPIVOTDATA("Sum of "&amp;AA$9,'PT-All'!$A$1,"Scenario",AA$12,"P&amp;L Item",$B173)/AA$201,0),TEXT(IFERROR(GETPIVOTDATA("Sum of "&amp;AA$9,'PT-All'!$A$1,"Scenario",AA$12,"P&amp;L Item",$B173)/AA$29,0),"0.00%"))</f>
        <v>0</v>
      </c>
      <c r="AB173" s="65">
        <f>CHOOSE(PLColumn,IFERROR(GETPIVOTDATA("Sum of "&amp;AB$9,'PT-All'!$A$1,"Scenario",AB$12,"P&amp;L Item",$B173),0),IFERROR(GETPIVOTDATA("Sum of "&amp;AB$9,'PT-All'!$A$1,"Scenario",AB$12,"P&amp;L Item",$B173)/AB$201,0),TEXT(IFERROR(GETPIVOTDATA("Sum of "&amp;AB$9,'PT-All'!$A$1,"Scenario",AB$12,"P&amp;L Item",$B173)/AB$29,0),"0.00%"))</f>
        <v>0</v>
      </c>
      <c r="AC173" s="65">
        <f>CHOOSE(PLColumn,IFERROR(GETPIVOTDATA("Sum of "&amp;AC$9,'PT-All'!$A$1,"Scenario",AC$12,"P&amp;L Item",$B173),0),IFERROR(GETPIVOTDATA("Sum of "&amp;AC$9,'PT-All'!$A$1,"Scenario",AC$12,"P&amp;L Item",$B173)/AC$201,0),TEXT(IFERROR(GETPIVOTDATA("Sum of "&amp;AC$9,'PT-All'!$A$1,"Scenario",AC$12,"P&amp;L Item",$B173)/AC$29,0),"0.00%"))</f>
        <v>0</v>
      </c>
      <c r="AD173" s="65">
        <f>CHOOSE(PLColumn,IFERROR(GETPIVOTDATA("Sum of "&amp;AD$9,'PT-All'!$A$1,"Scenario",AD$12,"P&amp;L Item",$B173),0),IFERROR(GETPIVOTDATA("Sum of "&amp;AD$9,'PT-All'!$A$1,"Scenario",AD$12,"P&amp;L Item",$B173)/AD$201,0),TEXT(IFERROR(GETPIVOTDATA("Sum of "&amp;AD$9,'PT-All'!$A$1,"Scenario",AD$12,"P&amp;L Item",$B173)/AD$29,0),"0.00%"))</f>
        <v>0</v>
      </c>
      <c r="AE173" s="65">
        <f>CHOOSE(PLColumn,IFERROR(GETPIVOTDATA("Sum of "&amp;AE$9,'PT-All'!$A$1,"Scenario",AE$12,"P&amp;L Item",$B173),0),IFERROR(GETPIVOTDATA("Sum of "&amp;AE$9,'PT-All'!$A$1,"Scenario",AE$12,"P&amp;L Item",$B173)/AE$201,0),TEXT(IFERROR(GETPIVOTDATA("Sum of "&amp;AE$9,'PT-All'!$A$1,"Scenario",AE$12,"P&amp;L Item",$B173)/AE$29,0),"0.00%"))</f>
        <v>0</v>
      </c>
      <c r="AF173" s="65">
        <f>CHOOSE(PLColumn,IFERROR(GETPIVOTDATA("Sum of "&amp;AF$9,'PT-All'!$A$1,"Scenario",AF$12,"P&amp;L Item",$B173),0),IFERROR(GETPIVOTDATA("Sum of "&amp;AF$9,'PT-All'!$A$1,"Scenario",AF$12,"P&amp;L Item",$B173)/AF$201,0),TEXT(IFERROR(GETPIVOTDATA("Sum of "&amp;AF$9,'PT-All'!$A$1,"Scenario",AF$12,"P&amp;L Item",$B173)/AF$29,0),"0.00%"))</f>
        <v>0</v>
      </c>
      <c r="AG173" s="65">
        <f>CHOOSE(PLColumn,IFERROR(GETPIVOTDATA("Sum of "&amp;AG$9,'PT-All'!$A$1,"Scenario",AG$12,"P&amp;L Item",$B173),0),IFERROR(GETPIVOTDATA("Sum of "&amp;AG$9,'PT-All'!$A$1,"Scenario",AG$12,"P&amp;L Item",$B173)/AG$201,0),TEXT(IFERROR(GETPIVOTDATA("Sum of "&amp;AG$9,'PT-All'!$A$1,"Scenario",AG$12,"P&amp;L Item",$B173)/AG$29,0),"0.00%"))</f>
        <v>0</v>
      </c>
      <c r="AH173" s="65">
        <f>CHOOSE(PLColumn,IFERROR(GETPIVOTDATA("Sum of "&amp;AH$9,'PT-All'!$A$1,"Scenario",AH$12,"P&amp;L Item",$B173),0),IFERROR(GETPIVOTDATA("Sum of "&amp;AH$9,'PT-All'!$A$1,"Scenario",AH$12,"P&amp;L Item",$B173)/AH$201,0),TEXT(IFERROR(GETPIVOTDATA("Sum of "&amp;AH$9,'PT-All'!$A$1,"Scenario",AH$12,"P&amp;L Item",$B173)/AH$29,0),"0.00%"))</f>
        <v>0</v>
      </c>
      <c r="AI173" s="65">
        <f>CHOOSE(PLColumn,IFERROR(GETPIVOTDATA("Sum of "&amp;AI$9,'PT-All'!$A$1,"Scenario",AI$12,"P&amp;L Item",$B173),0),IFERROR(GETPIVOTDATA("Sum of "&amp;AI$9,'PT-All'!$A$1,"Scenario",AI$12,"P&amp;L Item",$B173)/AI$201,0),TEXT(IFERROR(GETPIVOTDATA("Sum of "&amp;AI$9,'PT-All'!$A$1,"Scenario",AI$12,"P&amp;L Item",$B173)/AI$29,0),"0.00%"))</f>
        <v>0</v>
      </c>
      <c r="AJ173" s="65">
        <f>CHOOSE(PLColumn,IFERROR(GETPIVOTDATA("Sum of "&amp;AJ$9,'PT-All'!$A$1,"Scenario",AJ$12,"P&amp;L Item",$B173),0),IFERROR(GETPIVOTDATA("Sum of "&amp;AJ$9,'PT-All'!$A$1,"Scenario",AJ$12,"P&amp;L Item",$B173)/AJ$201,0),TEXT(IFERROR(GETPIVOTDATA("Sum of "&amp;AJ$9,'PT-All'!$A$1,"Scenario",AJ$12,"P&amp;L Item",$B173)/AJ$29,0),"0.00%"))</f>
        <v>0</v>
      </c>
      <c r="AK173" s="65">
        <f>CHOOSE(PLColumn,IFERROR(GETPIVOTDATA("Sum of "&amp;AK$9,'PT-All'!$A$1,"Scenario",AK$12,"P&amp;L Item",$B173),0),IFERROR(GETPIVOTDATA("Sum of "&amp;AK$9,'PT-All'!$A$1,"Scenario",AK$12,"P&amp;L Item",$B173)/AK$201,0),TEXT(IFERROR(GETPIVOTDATA("Sum of "&amp;AK$9,'PT-All'!$A$1,"Scenario",AK$12,"P&amp;L Item",$B173)/AK$29,0),"0.00%"))</f>
        <v>0</v>
      </c>
      <c r="AL173" s="97">
        <f>CHOOSE(PLColumn,IFERROR(GETPIVOTDATA("Sum of "&amp;AL$9,'PT-All'!$A$1,"Scenario",AL$12,"P&amp;L Item",$B173),0),IFERROR(GETPIVOTDATA("Sum of "&amp;AL$9,'PT-All'!$A$1,"Scenario",AL$12,"P&amp;L Item",$B173)/AL$201,0),TEXT(IFERROR(GETPIVOTDATA("Sum of "&amp;AL$9,'PT-All'!$A$1,"Scenario",AL$12,"P&amp;L Item",$B173)/AL$29,0),"0.00%"))</f>
        <v>0</v>
      </c>
      <c r="AM173" s="590"/>
      <c r="AN173" s="108">
        <f ca="1">IF(AN$12="Pro Forma",SUM(OFFSET($B173,0,3*AN$9+1,1,3)),IFERROR(GETPIVOTDATA("Sum of Q"&amp;AN$9+1,'PT-All'!$A$1,"Scenario",AN$12,"P&amp;L Item",$B173),0))</f>
        <v>0</v>
      </c>
      <c r="AO173" s="65">
        <f ca="1">IF(AO$12="Pro Forma",SUM(OFFSET($B173,0,3*AO$9+1,1,3)),IFERROR(GETPIVOTDATA("Sum of Q"&amp;AO$9+1,'PT-All'!$A$1,"Scenario",AO$12,"P&amp;L Item",$B173),0))</f>
        <v>0</v>
      </c>
      <c r="AP173" s="65">
        <f ca="1">IF(AP$12="Pro Forma",SUM(OFFSET($B173,0,3*AP$9+1,1,3)),IFERROR(GETPIVOTDATA("Sum of Q"&amp;AP$9+1,'PT-All'!$A$1,"Scenario",AP$12,"P&amp;L Item",$B173),0))</f>
        <v>0</v>
      </c>
      <c r="AQ173" s="65">
        <f ca="1">IF(AQ$12="Pro Forma",SUM(OFFSET($B173,0,3*AQ$9+1,1,3)),IFERROR(GETPIVOTDATA("Sum of Q"&amp;AQ$9+1,'PT-All'!$A$1,"Scenario",AQ$12,"P&amp;L Item",$B173),0))</f>
        <v>0</v>
      </c>
      <c r="AR173" s="65">
        <f ca="1">IF(AR$12="Pro Forma",SUM(OFFSET($B173,0,3*AR$9+1,1,3)),IFERROR(GETPIVOTDATA("Sum of Q"&amp;AR$9+1,'PT-All'!$A$1,"Scenario",AR$12,"P&amp;L Item",$B173),0))</f>
        <v>0</v>
      </c>
      <c r="AS173" s="65">
        <f ca="1">IF(AS$12="Pro Forma",SUM(OFFSET($B173,0,3*AS$9+1,1,3)),IFERROR(GETPIVOTDATA("Sum of Q"&amp;AS$9+1,'PT-All'!$A$1,"Scenario",AS$12,"P&amp;L Item",$B173),0))</f>
        <v>0</v>
      </c>
      <c r="AT173" s="65">
        <f ca="1">IF(AT$12="Pro Forma",SUM(OFFSET($B173,0,3*AT$9+1,1,3)),IFERROR(GETPIVOTDATA("Sum of Q"&amp;AT$9+1,'PT-All'!$A$1,"Scenario",AT$12,"P&amp;L Item",$B173),0))</f>
        <v>0</v>
      </c>
      <c r="AU173" s="65">
        <f ca="1">IF(AU$12="Pro Forma",SUM(OFFSET($B173,0,3*AU$9+1,1,3)),IFERROR(GETPIVOTDATA("Sum of Q"&amp;AU$9+1,'PT-All'!$A$1,"Scenario",AU$12,"P&amp;L Item",$B173),0))</f>
        <v>0</v>
      </c>
      <c r="AV173" s="65">
        <f ca="1">IF(AV$12="Pro Forma",SUM(OFFSET($B173,0,3*AV$9+1,1,3)),IFERROR(GETPIVOTDATA("Sum of Q"&amp;AV$9+1,'PT-All'!$A$1,"Scenario",AV$12,"P&amp;L Item",$B173),0))</f>
        <v>0</v>
      </c>
      <c r="AW173" s="65">
        <f ca="1">IF(AW$12="Pro Forma",SUM(OFFSET($B173,0,3*AW$9+1,1,3)),IFERROR(GETPIVOTDATA("Sum of Q"&amp;AW$9+1,'PT-All'!$A$1,"Scenario",AW$12,"P&amp;L Item",$B173),0))</f>
        <v>0</v>
      </c>
      <c r="AX173" s="65">
        <f ca="1">IF(AX$12="Pro Forma",SUM(OFFSET($B173,0,3*AX$9+1,1,3)),IFERROR(GETPIVOTDATA("Sum of Q"&amp;AX$9+1,'PT-All'!$A$1,"Scenario",AX$12,"P&amp;L Item",$B173),0))</f>
        <v>0</v>
      </c>
      <c r="AY173" s="97">
        <f ca="1">IF(AY$12="Pro Forma",SUM(OFFSET($B173,0,3*AY$9+1,1,3)),IFERROR(GETPIVOTDATA("Sum of Q"&amp;AY$9+1,'PT-All'!$A$1,"Scenario",AY$12,"P&amp;L Item",$B173),0))</f>
        <v>0</v>
      </c>
      <c r="AZ173" s="590"/>
      <c r="BA173" s="108">
        <f ca="1">IF(BA$12="Pro Forma",SUM(OFFSET($B173,0,12*BA$9+1,1,12)),IFERROR(GETPIVOTDATA("Sum of FY"&amp;BA$9+1,'PT-All'!$A$1,"Scenario",BA$12,"P&amp;L Item",$B173),0))</f>
        <v>0</v>
      </c>
      <c r="BB173" s="65">
        <f ca="1">IF(BB$12="Pro Forma",SUM(OFFSET($B173,0,12*BB$9+1,1,12)),IFERROR(GETPIVOTDATA("Sum of FY"&amp;BB$9+1,'PT-All'!$A$1,"Scenario",BB$12,"P&amp;L Item",$B173),0))</f>
        <v>0</v>
      </c>
      <c r="BC173" s="97">
        <f ca="1">IF(BC$12="Pro Forma",SUM(OFFSET($B173,0,12*BC$9+1,1,12)),IFERROR(GETPIVOTDATA("Sum of FY"&amp;BC$9+1,'PT-All'!$A$1,"Scenario",BC$12,"P&amp;L Item",$B173),0))</f>
        <v>0</v>
      </c>
    </row>
    <row r="174" spans="2:55" x14ac:dyDescent="0.35">
      <c r="B174" s="64" t="s">
        <v>202</v>
      </c>
      <c r="C174" s="65">
        <f>CHOOSE(PLColumn,IFERROR(GETPIVOTDATA("Sum of "&amp;C$9,'PT-All'!$A$1,"Scenario",C$12,"P&amp;L Item",$B174),0),IFERROR(GETPIVOTDATA("Sum of "&amp;C$9,'PT-All'!$A$1,"Scenario",C$12,"P&amp;L Item",$B174)/C$201,0),TEXT(IFERROR(GETPIVOTDATA("Sum of "&amp;C$9,'PT-All'!$A$1,"Scenario",C$12,"P&amp;L Item",$B174)/C$29,0),"0.00%"))</f>
        <v>0</v>
      </c>
      <c r="D174" s="65">
        <f>CHOOSE(PLColumn,IFERROR(GETPIVOTDATA("Sum of "&amp;D$9,'PT-All'!$A$1,"Scenario",D$12,"P&amp;L Item",$B174),0),IFERROR(GETPIVOTDATA("Sum of "&amp;D$9,'PT-All'!$A$1,"Scenario",D$12,"P&amp;L Item",$B174)/D$201,0),TEXT(IFERROR(GETPIVOTDATA("Sum of "&amp;D$9,'PT-All'!$A$1,"Scenario",D$12,"P&amp;L Item",$B174)/D$29,0),"0.00%"))</f>
        <v>0</v>
      </c>
      <c r="E174" s="65">
        <f>CHOOSE(PLColumn,IFERROR(GETPIVOTDATA("Sum of "&amp;E$9,'PT-All'!$A$1,"Scenario",E$12,"P&amp;L Item",$B174),0),IFERROR(GETPIVOTDATA("Sum of "&amp;E$9,'PT-All'!$A$1,"Scenario",E$12,"P&amp;L Item",$B174)/E$201,0),TEXT(IFERROR(GETPIVOTDATA("Sum of "&amp;E$9,'PT-All'!$A$1,"Scenario",E$12,"P&amp;L Item",$B174)/E$29,0),"0.00%"))</f>
        <v>0</v>
      </c>
      <c r="F174" s="65">
        <f>CHOOSE(PLColumn,IFERROR(GETPIVOTDATA("Sum of "&amp;F$9,'PT-All'!$A$1,"Scenario",F$12,"P&amp;L Item",$B174),0),IFERROR(GETPIVOTDATA("Sum of "&amp;F$9,'PT-All'!$A$1,"Scenario",F$12,"P&amp;L Item",$B174)/F$201,0),TEXT(IFERROR(GETPIVOTDATA("Sum of "&amp;F$9,'PT-All'!$A$1,"Scenario",F$12,"P&amp;L Item",$B174)/F$29,0),"0.00%"))</f>
        <v>0</v>
      </c>
      <c r="G174" s="65">
        <f>CHOOSE(PLColumn,IFERROR(GETPIVOTDATA("Sum of "&amp;G$9,'PT-All'!$A$1,"Scenario",G$12,"P&amp;L Item",$B174),0),IFERROR(GETPIVOTDATA("Sum of "&amp;G$9,'PT-All'!$A$1,"Scenario",G$12,"P&amp;L Item",$B174)/G$201,0),TEXT(IFERROR(GETPIVOTDATA("Sum of "&amp;G$9,'PT-All'!$A$1,"Scenario",G$12,"P&amp;L Item",$B174)/G$29,0),"0.00%"))</f>
        <v>0</v>
      </c>
      <c r="H174" s="65">
        <f>CHOOSE(PLColumn,IFERROR(GETPIVOTDATA("Sum of "&amp;H$9,'PT-All'!$A$1,"Scenario",H$12,"P&amp;L Item",$B174),0),IFERROR(GETPIVOTDATA("Sum of "&amp;H$9,'PT-All'!$A$1,"Scenario",H$12,"P&amp;L Item",$B174)/H$201,0),TEXT(IFERROR(GETPIVOTDATA("Sum of "&amp;H$9,'PT-All'!$A$1,"Scenario",H$12,"P&amp;L Item",$B174)/H$29,0),"0.00%"))</f>
        <v>0</v>
      </c>
      <c r="I174" s="65">
        <f>CHOOSE(PLColumn,IFERROR(GETPIVOTDATA("Sum of "&amp;I$9,'PT-All'!$A$1,"Scenario",I$12,"P&amp;L Item",$B174),0),IFERROR(GETPIVOTDATA("Sum of "&amp;I$9,'PT-All'!$A$1,"Scenario",I$12,"P&amp;L Item",$B174)/I$201,0),TEXT(IFERROR(GETPIVOTDATA("Sum of "&amp;I$9,'PT-All'!$A$1,"Scenario",I$12,"P&amp;L Item",$B174)/I$29,0),"0.00%"))</f>
        <v>0</v>
      </c>
      <c r="J174" s="65">
        <f>CHOOSE(PLColumn,IFERROR(GETPIVOTDATA("Sum of "&amp;J$9,'PT-All'!$A$1,"Scenario",J$12,"P&amp;L Item",$B174),0),IFERROR(GETPIVOTDATA("Sum of "&amp;J$9,'PT-All'!$A$1,"Scenario",J$12,"P&amp;L Item",$B174)/J$201,0),TEXT(IFERROR(GETPIVOTDATA("Sum of "&amp;J$9,'PT-All'!$A$1,"Scenario",J$12,"P&amp;L Item",$B174)/J$29,0),"0.00%"))</f>
        <v>0</v>
      </c>
      <c r="K174" s="65">
        <f>CHOOSE(PLColumn,IFERROR(GETPIVOTDATA("Sum of "&amp;K$9,'PT-All'!$A$1,"Scenario",K$12,"P&amp;L Item",$B174),0),IFERROR(GETPIVOTDATA("Sum of "&amp;K$9,'PT-All'!$A$1,"Scenario",K$12,"P&amp;L Item",$B174)/K$201,0),TEXT(IFERROR(GETPIVOTDATA("Sum of "&amp;K$9,'PT-All'!$A$1,"Scenario",K$12,"P&amp;L Item",$B174)/K$29,0),"0.00%"))</f>
        <v>0</v>
      </c>
      <c r="L174" s="65">
        <f>CHOOSE(PLColumn,IFERROR(GETPIVOTDATA("Sum of "&amp;L$9,'PT-All'!$A$1,"Scenario",L$12,"P&amp;L Item",$B174),0),IFERROR(GETPIVOTDATA("Sum of "&amp;L$9,'PT-All'!$A$1,"Scenario",L$12,"P&amp;L Item",$B174)/L$201,0),TEXT(IFERROR(GETPIVOTDATA("Sum of "&amp;L$9,'PT-All'!$A$1,"Scenario",L$12,"P&amp;L Item",$B174)/L$29,0),"0.00%"))</f>
        <v>0</v>
      </c>
      <c r="M174" s="65">
        <f>CHOOSE(PLColumn,IFERROR(GETPIVOTDATA("Sum of "&amp;M$9,'PT-All'!$A$1,"Scenario",M$12,"P&amp;L Item",$B174),0),IFERROR(GETPIVOTDATA("Sum of "&amp;M$9,'PT-All'!$A$1,"Scenario",M$12,"P&amp;L Item",$B174)/M$201,0),TEXT(IFERROR(GETPIVOTDATA("Sum of "&amp;M$9,'PT-All'!$A$1,"Scenario",M$12,"P&amp;L Item",$B174)/M$29,0),"0.00%"))</f>
        <v>0</v>
      </c>
      <c r="N174" s="65">
        <f>CHOOSE(PLColumn,IFERROR(GETPIVOTDATA("Sum of "&amp;N$9,'PT-All'!$A$1,"Scenario",N$12,"P&amp;L Item",$B174),0),IFERROR(GETPIVOTDATA("Sum of "&amp;N$9,'PT-All'!$A$1,"Scenario",N$12,"P&amp;L Item",$B174)/N$201,0),TEXT(IFERROR(GETPIVOTDATA("Sum of "&amp;N$9,'PT-All'!$A$1,"Scenario",N$12,"P&amp;L Item",$B174)/N$29,0),"0.00%"))</f>
        <v>0</v>
      </c>
      <c r="O174" s="65">
        <f>CHOOSE(PLColumn,IFERROR(GETPIVOTDATA("Sum of "&amp;O$9,'PT-All'!$A$1,"Scenario",O$12,"P&amp;L Item",$B174),0),IFERROR(GETPIVOTDATA("Sum of "&amp;O$9,'PT-All'!$A$1,"Scenario",O$12,"P&amp;L Item",$B174)/O$201,0),TEXT(IFERROR(GETPIVOTDATA("Sum of "&amp;O$9,'PT-All'!$A$1,"Scenario",O$12,"P&amp;L Item",$B174)/O$29,0),"0.00%"))</f>
        <v>0</v>
      </c>
      <c r="P174" s="65">
        <f>CHOOSE(PLColumn,IFERROR(GETPIVOTDATA("Sum of "&amp;P$9,'PT-All'!$A$1,"Scenario",P$12,"P&amp;L Item",$B174),0),IFERROR(GETPIVOTDATA("Sum of "&amp;P$9,'PT-All'!$A$1,"Scenario",P$12,"P&amp;L Item",$B174)/P$201,0),TEXT(IFERROR(GETPIVOTDATA("Sum of "&amp;P$9,'PT-All'!$A$1,"Scenario",P$12,"P&amp;L Item",$B174)/P$29,0),"0.00%"))</f>
        <v>0</v>
      </c>
      <c r="Q174" s="65">
        <f>CHOOSE(PLColumn,IFERROR(GETPIVOTDATA("Sum of "&amp;Q$9,'PT-All'!$A$1,"Scenario",Q$12,"P&amp;L Item",$B174),0),IFERROR(GETPIVOTDATA("Sum of "&amp;Q$9,'PT-All'!$A$1,"Scenario",Q$12,"P&amp;L Item",$B174)/Q$201,0),TEXT(IFERROR(GETPIVOTDATA("Sum of "&amp;Q$9,'PT-All'!$A$1,"Scenario",Q$12,"P&amp;L Item",$B174)/Q$29,0),"0.00%"))</f>
        <v>0</v>
      </c>
      <c r="R174" s="65">
        <f>CHOOSE(PLColumn,IFERROR(GETPIVOTDATA("Sum of "&amp;R$9,'PT-All'!$A$1,"Scenario",R$12,"P&amp;L Item",$B174),0),IFERROR(GETPIVOTDATA("Sum of "&amp;R$9,'PT-All'!$A$1,"Scenario",R$12,"P&amp;L Item",$B174)/R$201,0),TEXT(IFERROR(GETPIVOTDATA("Sum of "&amp;R$9,'PT-All'!$A$1,"Scenario",R$12,"P&amp;L Item",$B174)/R$29,0),"0.00%"))</f>
        <v>0</v>
      </c>
      <c r="S174" s="65">
        <f>CHOOSE(PLColumn,IFERROR(GETPIVOTDATA("Sum of "&amp;S$9,'PT-All'!$A$1,"Scenario",S$12,"P&amp;L Item",$B174),0),IFERROR(GETPIVOTDATA("Sum of "&amp;S$9,'PT-All'!$A$1,"Scenario",S$12,"P&amp;L Item",$B174)/S$201,0),TEXT(IFERROR(GETPIVOTDATA("Sum of "&amp;S$9,'PT-All'!$A$1,"Scenario",S$12,"P&amp;L Item",$B174)/S$29,0),"0.00%"))</f>
        <v>0</v>
      </c>
      <c r="T174" s="65">
        <f>CHOOSE(PLColumn,IFERROR(GETPIVOTDATA("Sum of "&amp;T$9,'PT-All'!$A$1,"Scenario",T$12,"P&amp;L Item",$B174),0),IFERROR(GETPIVOTDATA("Sum of "&amp;T$9,'PT-All'!$A$1,"Scenario",T$12,"P&amp;L Item",$B174)/T$201,0),TEXT(IFERROR(GETPIVOTDATA("Sum of "&amp;T$9,'PT-All'!$A$1,"Scenario",T$12,"P&amp;L Item",$B174)/T$29,0),"0.00%"))</f>
        <v>0</v>
      </c>
      <c r="U174" s="65">
        <f>CHOOSE(PLColumn,IFERROR(GETPIVOTDATA("Sum of "&amp;U$9,'PT-All'!$A$1,"Scenario",U$12,"P&amp;L Item",$B174),0),IFERROR(GETPIVOTDATA("Sum of "&amp;U$9,'PT-All'!$A$1,"Scenario",U$12,"P&amp;L Item",$B174)/U$201,0),TEXT(IFERROR(GETPIVOTDATA("Sum of "&amp;U$9,'PT-All'!$A$1,"Scenario",U$12,"P&amp;L Item",$B174)/U$29,0),"0.00%"))</f>
        <v>0</v>
      </c>
      <c r="V174" s="65">
        <f>CHOOSE(PLColumn,IFERROR(GETPIVOTDATA("Sum of "&amp;V$9,'PT-All'!$A$1,"Scenario",V$12,"P&amp;L Item",$B174),0),IFERROR(GETPIVOTDATA("Sum of "&amp;V$9,'PT-All'!$A$1,"Scenario",V$12,"P&amp;L Item",$B174)/V$201,0),TEXT(IFERROR(GETPIVOTDATA("Sum of "&amp;V$9,'PT-All'!$A$1,"Scenario",V$12,"P&amp;L Item",$B174)/V$29,0),"0.00%"))</f>
        <v>0</v>
      </c>
      <c r="W174" s="65">
        <f>CHOOSE(PLColumn,IFERROR(GETPIVOTDATA("Sum of "&amp;W$9,'PT-All'!$A$1,"Scenario",W$12,"P&amp;L Item",$B174),0),IFERROR(GETPIVOTDATA("Sum of "&amp;W$9,'PT-All'!$A$1,"Scenario",W$12,"P&amp;L Item",$B174)/W$201,0),TEXT(IFERROR(GETPIVOTDATA("Sum of "&amp;W$9,'PT-All'!$A$1,"Scenario",W$12,"P&amp;L Item",$B174)/W$29,0),"0.00%"))</f>
        <v>0</v>
      </c>
      <c r="X174" s="65">
        <f>CHOOSE(PLColumn,IFERROR(GETPIVOTDATA("Sum of "&amp;X$9,'PT-All'!$A$1,"Scenario",X$12,"P&amp;L Item",$B174),0),IFERROR(GETPIVOTDATA("Sum of "&amp;X$9,'PT-All'!$A$1,"Scenario",X$12,"P&amp;L Item",$B174)/X$201,0),TEXT(IFERROR(GETPIVOTDATA("Sum of "&amp;X$9,'PT-All'!$A$1,"Scenario",X$12,"P&amp;L Item",$B174)/X$29,0),"0.00%"))</f>
        <v>0</v>
      </c>
      <c r="Y174" s="65">
        <f>CHOOSE(PLColumn,IFERROR(GETPIVOTDATA("Sum of "&amp;Y$9,'PT-All'!$A$1,"Scenario",Y$12,"P&amp;L Item",$B174),0),IFERROR(GETPIVOTDATA("Sum of "&amp;Y$9,'PT-All'!$A$1,"Scenario",Y$12,"P&amp;L Item",$B174)/Y$201,0),TEXT(IFERROR(GETPIVOTDATA("Sum of "&amp;Y$9,'PT-All'!$A$1,"Scenario",Y$12,"P&amp;L Item",$B174)/Y$29,0),"0.00%"))</f>
        <v>0</v>
      </c>
      <c r="Z174" s="65">
        <f>CHOOSE(PLColumn,IFERROR(GETPIVOTDATA("Sum of "&amp;Z$9,'PT-All'!$A$1,"Scenario",Z$12,"P&amp;L Item",$B174),0),IFERROR(GETPIVOTDATA("Sum of "&amp;Z$9,'PT-All'!$A$1,"Scenario",Z$12,"P&amp;L Item",$B174)/Z$201,0),TEXT(IFERROR(GETPIVOTDATA("Sum of "&amp;Z$9,'PT-All'!$A$1,"Scenario",Z$12,"P&amp;L Item",$B174)/Z$29,0),"0.00%"))</f>
        <v>0</v>
      </c>
      <c r="AA174" s="65">
        <f>CHOOSE(PLColumn,IFERROR(GETPIVOTDATA("Sum of "&amp;AA$9,'PT-All'!$A$1,"Scenario",AA$12,"P&amp;L Item",$B174),0),IFERROR(GETPIVOTDATA("Sum of "&amp;AA$9,'PT-All'!$A$1,"Scenario",AA$12,"P&amp;L Item",$B174)/AA$201,0),TEXT(IFERROR(GETPIVOTDATA("Sum of "&amp;AA$9,'PT-All'!$A$1,"Scenario",AA$12,"P&amp;L Item",$B174)/AA$29,0),"0.00%"))</f>
        <v>0</v>
      </c>
      <c r="AB174" s="65">
        <f>CHOOSE(PLColumn,IFERROR(GETPIVOTDATA("Sum of "&amp;AB$9,'PT-All'!$A$1,"Scenario",AB$12,"P&amp;L Item",$B174),0),IFERROR(GETPIVOTDATA("Sum of "&amp;AB$9,'PT-All'!$A$1,"Scenario",AB$12,"P&amp;L Item",$B174)/AB$201,0),TEXT(IFERROR(GETPIVOTDATA("Sum of "&amp;AB$9,'PT-All'!$A$1,"Scenario",AB$12,"P&amp;L Item",$B174)/AB$29,0),"0.00%"))</f>
        <v>0</v>
      </c>
      <c r="AC174" s="65">
        <f>CHOOSE(PLColumn,IFERROR(GETPIVOTDATA("Sum of "&amp;AC$9,'PT-All'!$A$1,"Scenario",AC$12,"P&amp;L Item",$B174),0),IFERROR(GETPIVOTDATA("Sum of "&amp;AC$9,'PT-All'!$A$1,"Scenario",AC$12,"P&amp;L Item",$B174)/AC$201,0),TEXT(IFERROR(GETPIVOTDATA("Sum of "&amp;AC$9,'PT-All'!$A$1,"Scenario",AC$12,"P&amp;L Item",$B174)/AC$29,0),"0.00%"))</f>
        <v>0</v>
      </c>
      <c r="AD174" s="65">
        <f>CHOOSE(PLColumn,IFERROR(GETPIVOTDATA("Sum of "&amp;AD$9,'PT-All'!$A$1,"Scenario",AD$12,"P&amp;L Item",$B174),0),IFERROR(GETPIVOTDATA("Sum of "&amp;AD$9,'PT-All'!$A$1,"Scenario",AD$12,"P&amp;L Item",$B174)/AD$201,0),TEXT(IFERROR(GETPIVOTDATA("Sum of "&amp;AD$9,'PT-All'!$A$1,"Scenario",AD$12,"P&amp;L Item",$B174)/AD$29,0),"0.00%"))</f>
        <v>0</v>
      </c>
      <c r="AE174" s="65">
        <f>CHOOSE(PLColumn,IFERROR(GETPIVOTDATA("Sum of "&amp;AE$9,'PT-All'!$A$1,"Scenario",AE$12,"P&amp;L Item",$B174),0),IFERROR(GETPIVOTDATA("Sum of "&amp;AE$9,'PT-All'!$A$1,"Scenario",AE$12,"P&amp;L Item",$B174)/AE$201,0),TEXT(IFERROR(GETPIVOTDATA("Sum of "&amp;AE$9,'PT-All'!$A$1,"Scenario",AE$12,"P&amp;L Item",$B174)/AE$29,0),"0.00%"))</f>
        <v>0</v>
      </c>
      <c r="AF174" s="65">
        <f>CHOOSE(PLColumn,IFERROR(GETPIVOTDATA("Sum of "&amp;AF$9,'PT-All'!$A$1,"Scenario",AF$12,"P&amp;L Item",$B174),0),IFERROR(GETPIVOTDATA("Sum of "&amp;AF$9,'PT-All'!$A$1,"Scenario",AF$12,"P&amp;L Item",$B174)/AF$201,0),TEXT(IFERROR(GETPIVOTDATA("Sum of "&amp;AF$9,'PT-All'!$A$1,"Scenario",AF$12,"P&amp;L Item",$B174)/AF$29,0),"0.00%"))</f>
        <v>0</v>
      </c>
      <c r="AG174" s="65">
        <f>CHOOSE(PLColumn,IFERROR(GETPIVOTDATA("Sum of "&amp;AG$9,'PT-All'!$A$1,"Scenario",AG$12,"P&amp;L Item",$B174),0),IFERROR(GETPIVOTDATA("Sum of "&amp;AG$9,'PT-All'!$A$1,"Scenario",AG$12,"P&amp;L Item",$B174)/AG$201,0),TEXT(IFERROR(GETPIVOTDATA("Sum of "&amp;AG$9,'PT-All'!$A$1,"Scenario",AG$12,"P&amp;L Item",$B174)/AG$29,0),"0.00%"))</f>
        <v>0</v>
      </c>
      <c r="AH174" s="65">
        <f>CHOOSE(PLColumn,IFERROR(GETPIVOTDATA("Sum of "&amp;AH$9,'PT-All'!$A$1,"Scenario",AH$12,"P&amp;L Item",$B174),0),IFERROR(GETPIVOTDATA("Sum of "&amp;AH$9,'PT-All'!$A$1,"Scenario",AH$12,"P&amp;L Item",$B174)/AH$201,0),TEXT(IFERROR(GETPIVOTDATA("Sum of "&amp;AH$9,'PT-All'!$A$1,"Scenario",AH$12,"P&amp;L Item",$B174)/AH$29,0),"0.00%"))</f>
        <v>0</v>
      </c>
      <c r="AI174" s="65">
        <f>CHOOSE(PLColumn,IFERROR(GETPIVOTDATA("Sum of "&amp;AI$9,'PT-All'!$A$1,"Scenario",AI$12,"P&amp;L Item",$B174),0),IFERROR(GETPIVOTDATA("Sum of "&amp;AI$9,'PT-All'!$A$1,"Scenario",AI$12,"P&amp;L Item",$B174)/AI$201,0),TEXT(IFERROR(GETPIVOTDATA("Sum of "&amp;AI$9,'PT-All'!$A$1,"Scenario",AI$12,"P&amp;L Item",$B174)/AI$29,0),"0.00%"))</f>
        <v>0</v>
      </c>
      <c r="AJ174" s="65">
        <f>CHOOSE(PLColumn,IFERROR(GETPIVOTDATA("Sum of "&amp;AJ$9,'PT-All'!$A$1,"Scenario",AJ$12,"P&amp;L Item",$B174),0),IFERROR(GETPIVOTDATA("Sum of "&amp;AJ$9,'PT-All'!$A$1,"Scenario",AJ$12,"P&amp;L Item",$B174)/AJ$201,0),TEXT(IFERROR(GETPIVOTDATA("Sum of "&amp;AJ$9,'PT-All'!$A$1,"Scenario",AJ$12,"P&amp;L Item",$B174)/AJ$29,0),"0.00%"))</f>
        <v>0</v>
      </c>
      <c r="AK174" s="65">
        <f>CHOOSE(PLColumn,IFERROR(GETPIVOTDATA("Sum of "&amp;AK$9,'PT-All'!$A$1,"Scenario",AK$12,"P&amp;L Item",$B174),0),IFERROR(GETPIVOTDATA("Sum of "&amp;AK$9,'PT-All'!$A$1,"Scenario",AK$12,"P&amp;L Item",$B174)/AK$201,0),TEXT(IFERROR(GETPIVOTDATA("Sum of "&amp;AK$9,'PT-All'!$A$1,"Scenario",AK$12,"P&amp;L Item",$B174)/AK$29,0),"0.00%"))</f>
        <v>0</v>
      </c>
      <c r="AL174" s="97">
        <f>CHOOSE(PLColumn,IFERROR(GETPIVOTDATA("Sum of "&amp;AL$9,'PT-All'!$A$1,"Scenario",AL$12,"P&amp;L Item",$B174),0),IFERROR(GETPIVOTDATA("Sum of "&amp;AL$9,'PT-All'!$A$1,"Scenario",AL$12,"P&amp;L Item",$B174)/AL$201,0),TEXT(IFERROR(GETPIVOTDATA("Sum of "&amp;AL$9,'PT-All'!$A$1,"Scenario",AL$12,"P&amp;L Item",$B174)/AL$29,0),"0.00%"))</f>
        <v>0</v>
      </c>
      <c r="AM174" s="590"/>
      <c r="AN174" s="108">
        <f ca="1">IF(AN$12="Pro Forma",SUM(OFFSET($B174,0,3*AN$9+1,1,3)),IFERROR(GETPIVOTDATA("Sum of Q"&amp;AN$9+1,'PT-All'!$A$1,"Scenario",AN$12,"P&amp;L Item",$B174),0))</f>
        <v>0</v>
      </c>
      <c r="AO174" s="65">
        <f ca="1">IF(AO$12="Pro Forma",SUM(OFFSET($B174,0,3*AO$9+1,1,3)),IFERROR(GETPIVOTDATA("Sum of Q"&amp;AO$9+1,'PT-All'!$A$1,"Scenario",AO$12,"P&amp;L Item",$B174),0))</f>
        <v>0</v>
      </c>
      <c r="AP174" s="65">
        <f ca="1">IF(AP$12="Pro Forma",SUM(OFFSET($B174,0,3*AP$9+1,1,3)),IFERROR(GETPIVOTDATA("Sum of Q"&amp;AP$9+1,'PT-All'!$A$1,"Scenario",AP$12,"P&amp;L Item",$B174),0))</f>
        <v>0</v>
      </c>
      <c r="AQ174" s="65">
        <f ca="1">IF(AQ$12="Pro Forma",SUM(OFFSET($B174,0,3*AQ$9+1,1,3)),IFERROR(GETPIVOTDATA("Sum of Q"&amp;AQ$9+1,'PT-All'!$A$1,"Scenario",AQ$12,"P&amp;L Item",$B174),0))</f>
        <v>0</v>
      </c>
      <c r="AR174" s="65">
        <f ca="1">IF(AR$12="Pro Forma",SUM(OFFSET($B174,0,3*AR$9+1,1,3)),IFERROR(GETPIVOTDATA("Sum of Q"&amp;AR$9+1,'PT-All'!$A$1,"Scenario",AR$12,"P&amp;L Item",$B174),0))</f>
        <v>0</v>
      </c>
      <c r="AS174" s="65">
        <f ca="1">IF(AS$12="Pro Forma",SUM(OFFSET($B174,0,3*AS$9+1,1,3)),IFERROR(GETPIVOTDATA("Sum of Q"&amp;AS$9+1,'PT-All'!$A$1,"Scenario",AS$12,"P&amp;L Item",$B174),0))</f>
        <v>0</v>
      </c>
      <c r="AT174" s="65">
        <f ca="1">IF(AT$12="Pro Forma",SUM(OFFSET($B174,0,3*AT$9+1,1,3)),IFERROR(GETPIVOTDATA("Sum of Q"&amp;AT$9+1,'PT-All'!$A$1,"Scenario",AT$12,"P&amp;L Item",$B174),0))</f>
        <v>0</v>
      </c>
      <c r="AU174" s="65">
        <f ca="1">IF(AU$12="Pro Forma",SUM(OFFSET($B174,0,3*AU$9+1,1,3)),IFERROR(GETPIVOTDATA("Sum of Q"&amp;AU$9+1,'PT-All'!$A$1,"Scenario",AU$12,"P&amp;L Item",$B174),0))</f>
        <v>0</v>
      </c>
      <c r="AV174" s="65">
        <f ca="1">IF(AV$12="Pro Forma",SUM(OFFSET($B174,0,3*AV$9+1,1,3)),IFERROR(GETPIVOTDATA("Sum of Q"&amp;AV$9+1,'PT-All'!$A$1,"Scenario",AV$12,"P&amp;L Item",$B174),0))</f>
        <v>0</v>
      </c>
      <c r="AW174" s="65">
        <f ca="1">IF(AW$12="Pro Forma",SUM(OFFSET($B174,0,3*AW$9+1,1,3)),IFERROR(GETPIVOTDATA("Sum of Q"&amp;AW$9+1,'PT-All'!$A$1,"Scenario",AW$12,"P&amp;L Item",$B174),0))</f>
        <v>0</v>
      </c>
      <c r="AX174" s="65">
        <f ca="1">IF(AX$12="Pro Forma",SUM(OFFSET($B174,0,3*AX$9+1,1,3)),IFERROR(GETPIVOTDATA("Sum of Q"&amp;AX$9+1,'PT-All'!$A$1,"Scenario",AX$12,"P&amp;L Item",$B174),0))</f>
        <v>0</v>
      </c>
      <c r="AY174" s="97">
        <f ca="1">IF(AY$12="Pro Forma",SUM(OFFSET($B174,0,3*AY$9+1,1,3)),IFERROR(GETPIVOTDATA("Sum of Q"&amp;AY$9+1,'PT-All'!$A$1,"Scenario",AY$12,"P&amp;L Item",$B174),0))</f>
        <v>0</v>
      </c>
      <c r="AZ174" s="590"/>
      <c r="BA174" s="108">
        <f ca="1">IF(BA$12="Pro Forma",SUM(OFFSET($B174,0,12*BA$9+1,1,12)),IFERROR(GETPIVOTDATA("Sum of FY"&amp;BA$9+1,'PT-All'!$A$1,"Scenario",BA$12,"P&amp;L Item",$B174),0))</f>
        <v>0</v>
      </c>
      <c r="BB174" s="65">
        <f ca="1">IF(BB$12="Pro Forma",SUM(OFFSET($B174,0,12*BB$9+1,1,12)),IFERROR(GETPIVOTDATA("Sum of FY"&amp;BB$9+1,'PT-All'!$A$1,"Scenario",BB$12,"P&amp;L Item",$B174),0))</f>
        <v>0</v>
      </c>
      <c r="BC174" s="97">
        <f ca="1">IF(BC$12="Pro Forma",SUM(OFFSET($B174,0,12*BC$9+1,1,12)),IFERROR(GETPIVOTDATA("Sum of FY"&amp;BC$9+1,'PT-All'!$A$1,"Scenario",BC$12,"P&amp;L Item",$B174),0))</f>
        <v>0</v>
      </c>
    </row>
    <row r="175" spans="2:55" ht="15" x14ac:dyDescent="0.4">
      <c r="B175" s="64" t="s">
        <v>203</v>
      </c>
      <c r="C175" s="66">
        <f>CHOOSE(PLColumn,IFERROR(GETPIVOTDATA("Sum of "&amp;C$9,'PT-All'!$A$1,"Scenario",C$12,"P&amp;L Item",$B175),0),IFERROR(GETPIVOTDATA("Sum of "&amp;C$9,'PT-All'!$A$1,"Scenario",C$12,"P&amp;L Item",$B175)/C$201,0),TEXT(IFERROR(GETPIVOTDATA("Sum of "&amp;C$9,'PT-All'!$A$1,"Scenario",C$12,"P&amp;L Item",$B175)/C$29,0),"0.00%"))</f>
        <v>0</v>
      </c>
      <c r="D175" s="66">
        <f>CHOOSE(PLColumn,IFERROR(GETPIVOTDATA("Sum of "&amp;D$9,'PT-All'!$A$1,"Scenario",D$12,"P&amp;L Item",$B175),0),IFERROR(GETPIVOTDATA("Sum of "&amp;D$9,'PT-All'!$A$1,"Scenario",D$12,"P&amp;L Item",$B175)/D$201,0),TEXT(IFERROR(GETPIVOTDATA("Sum of "&amp;D$9,'PT-All'!$A$1,"Scenario",D$12,"P&amp;L Item",$B175)/D$29,0),"0.00%"))</f>
        <v>0</v>
      </c>
      <c r="E175" s="66">
        <f>CHOOSE(PLColumn,IFERROR(GETPIVOTDATA("Sum of "&amp;E$9,'PT-All'!$A$1,"Scenario",E$12,"P&amp;L Item",$B175),0),IFERROR(GETPIVOTDATA("Sum of "&amp;E$9,'PT-All'!$A$1,"Scenario",E$12,"P&amp;L Item",$B175)/E$201,0),TEXT(IFERROR(GETPIVOTDATA("Sum of "&amp;E$9,'PT-All'!$A$1,"Scenario",E$12,"P&amp;L Item",$B175)/E$29,0),"0.00%"))</f>
        <v>0</v>
      </c>
      <c r="F175" s="66">
        <f>CHOOSE(PLColumn,IFERROR(GETPIVOTDATA("Sum of "&amp;F$9,'PT-All'!$A$1,"Scenario",F$12,"P&amp;L Item",$B175),0),IFERROR(GETPIVOTDATA("Sum of "&amp;F$9,'PT-All'!$A$1,"Scenario",F$12,"P&amp;L Item",$B175)/F$201,0),TEXT(IFERROR(GETPIVOTDATA("Sum of "&amp;F$9,'PT-All'!$A$1,"Scenario",F$12,"P&amp;L Item",$B175)/F$29,0),"0.00%"))</f>
        <v>0</v>
      </c>
      <c r="G175" s="66">
        <f>CHOOSE(PLColumn,IFERROR(GETPIVOTDATA("Sum of "&amp;G$9,'PT-All'!$A$1,"Scenario",G$12,"P&amp;L Item",$B175),0),IFERROR(GETPIVOTDATA("Sum of "&amp;G$9,'PT-All'!$A$1,"Scenario",G$12,"P&amp;L Item",$B175)/G$201,0),TEXT(IFERROR(GETPIVOTDATA("Sum of "&amp;G$9,'PT-All'!$A$1,"Scenario",G$12,"P&amp;L Item",$B175)/G$29,0),"0.00%"))</f>
        <v>0</v>
      </c>
      <c r="H175" s="66">
        <f>CHOOSE(PLColumn,IFERROR(GETPIVOTDATA("Sum of "&amp;H$9,'PT-All'!$A$1,"Scenario",H$12,"P&amp;L Item",$B175),0),IFERROR(GETPIVOTDATA("Sum of "&amp;H$9,'PT-All'!$A$1,"Scenario",H$12,"P&amp;L Item",$B175)/H$201,0),TEXT(IFERROR(GETPIVOTDATA("Sum of "&amp;H$9,'PT-All'!$A$1,"Scenario",H$12,"P&amp;L Item",$B175)/H$29,0),"0.00%"))</f>
        <v>0</v>
      </c>
      <c r="I175" s="66">
        <f>CHOOSE(PLColumn,IFERROR(GETPIVOTDATA("Sum of "&amp;I$9,'PT-All'!$A$1,"Scenario",I$12,"P&amp;L Item",$B175),0),IFERROR(GETPIVOTDATA("Sum of "&amp;I$9,'PT-All'!$A$1,"Scenario",I$12,"P&amp;L Item",$B175)/I$201,0),TEXT(IFERROR(GETPIVOTDATA("Sum of "&amp;I$9,'PT-All'!$A$1,"Scenario",I$12,"P&amp;L Item",$B175)/I$29,0),"0.00%"))</f>
        <v>0</v>
      </c>
      <c r="J175" s="66">
        <f>CHOOSE(PLColumn,IFERROR(GETPIVOTDATA("Sum of "&amp;J$9,'PT-All'!$A$1,"Scenario",J$12,"P&amp;L Item",$B175),0),IFERROR(GETPIVOTDATA("Sum of "&amp;J$9,'PT-All'!$A$1,"Scenario",J$12,"P&amp;L Item",$B175)/J$201,0),TEXT(IFERROR(GETPIVOTDATA("Sum of "&amp;J$9,'PT-All'!$A$1,"Scenario",J$12,"P&amp;L Item",$B175)/J$29,0),"0.00%"))</f>
        <v>0</v>
      </c>
      <c r="K175" s="66">
        <f>CHOOSE(PLColumn,IFERROR(GETPIVOTDATA("Sum of "&amp;K$9,'PT-All'!$A$1,"Scenario",K$12,"P&amp;L Item",$B175),0),IFERROR(GETPIVOTDATA("Sum of "&amp;K$9,'PT-All'!$A$1,"Scenario",K$12,"P&amp;L Item",$B175)/K$201,0),TEXT(IFERROR(GETPIVOTDATA("Sum of "&amp;K$9,'PT-All'!$A$1,"Scenario",K$12,"P&amp;L Item",$B175)/K$29,0),"0.00%"))</f>
        <v>0</v>
      </c>
      <c r="L175" s="66">
        <f>CHOOSE(PLColumn,IFERROR(GETPIVOTDATA("Sum of "&amp;L$9,'PT-All'!$A$1,"Scenario",L$12,"P&amp;L Item",$B175),0),IFERROR(GETPIVOTDATA("Sum of "&amp;L$9,'PT-All'!$A$1,"Scenario",L$12,"P&amp;L Item",$B175)/L$201,0),TEXT(IFERROR(GETPIVOTDATA("Sum of "&amp;L$9,'PT-All'!$A$1,"Scenario",L$12,"P&amp;L Item",$B175)/L$29,0),"0.00%"))</f>
        <v>0</v>
      </c>
      <c r="M175" s="66">
        <f>CHOOSE(PLColumn,IFERROR(GETPIVOTDATA("Sum of "&amp;M$9,'PT-All'!$A$1,"Scenario",M$12,"P&amp;L Item",$B175),0),IFERROR(GETPIVOTDATA("Sum of "&amp;M$9,'PT-All'!$A$1,"Scenario",M$12,"P&amp;L Item",$B175)/M$201,0),TEXT(IFERROR(GETPIVOTDATA("Sum of "&amp;M$9,'PT-All'!$A$1,"Scenario",M$12,"P&amp;L Item",$B175)/M$29,0),"0.00%"))</f>
        <v>0</v>
      </c>
      <c r="N175" s="66">
        <f>CHOOSE(PLColumn,IFERROR(GETPIVOTDATA("Sum of "&amp;N$9,'PT-All'!$A$1,"Scenario",N$12,"P&amp;L Item",$B175),0),IFERROR(GETPIVOTDATA("Sum of "&amp;N$9,'PT-All'!$A$1,"Scenario",N$12,"P&amp;L Item",$B175)/N$201,0),TEXT(IFERROR(GETPIVOTDATA("Sum of "&amp;N$9,'PT-All'!$A$1,"Scenario",N$12,"P&amp;L Item",$B175)/N$29,0),"0.00%"))</f>
        <v>0</v>
      </c>
      <c r="O175" s="66">
        <f>CHOOSE(PLColumn,IFERROR(GETPIVOTDATA("Sum of "&amp;O$9,'PT-All'!$A$1,"Scenario",O$12,"P&amp;L Item",$B175),0),IFERROR(GETPIVOTDATA("Sum of "&amp;O$9,'PT-All'!$A$1,"Scenario",O$12,"P&amp;L Item",$B175)/O$201,0),TEXT(IFERROR(GETPIVOTDATA("Sum of "&amp;O$9,'PT-All'!$A$1,"Scenario",O$12,"P&amp;L Item",$B175)/O$29,0),"0.00%"))</f>
        <v>0</v>
      </c>
      <c r="P175" s="66">
        <f>CHOOSE(PLColumn,IFERROR(GETPIVOTDATA("Sum of "&amp;P$9,'PT-All'!$A$1,"Scenario",P$12,"P&amp;L Item",$B175),0),IFERROR(GETPIVOTDATA("Sum of "&amp;P$9,'PT-All'!$A$1,"Scenario",P$12,"P&amp;L Item",$B175)/P$201,0),TEXT(IFERROR(GETPIVOTDATA("Sum of "&amp;P$9,'PT-All'!$A$1,"Scenario",P$12,"P&amp;L Item",$B175)/P$29,0),"0.00%"))</f>
        <v>0</v>
      </c>
      <c r="Q175" s="66">
        <f>CHOOSE(PLColumn,IFERROR(GETPIVOTDATA("Sum of "&amp;Q$9,'PT-All'!$A$1,"Scenario",Q$12,"P&amp;L Item",$B175),0),IFERROR(GETPIVOTDATA("Sum of "&amp;Q$9,'PT-All'!$A$1,"Scenario",Q$12,"P&amp;L Item",$B175)/Q$201,0),TEXT(IFERROR(GETPIVOTDATA("Sum of "&amp;Q$9,'PT-All'!$A$1,"Scenario",Q$12,"P&amp;L Item",$B175)/Q$29,0),"0.00%"))</f>
        <v>0</v>
      </c>
      <c r="R175" s="66">
        <f>CHOOSE(PLColumn,IFERROR(GETPIVOTDATA("Sum of "&amp;R$9,'PT-All'!$A$1,"Scenario",R$12,"P&amp;L Item",$B175),0),IFERROR(GETPIVOTDATA("Sum of "&amp;R$9,'PT-All'!$A$1,"Scenario",R$12,"P&amp;L Item",$B175)/R$201,0),TEXT(IFERROR(GETPIVOTDATA("Sum of "&amp;R$9,'PT-All'!$A$1,"Scenario",R$12,"P&amp;L Item",$B175)/R$29,0),"0.00%"))</f>
        <v>0</v>
      </c>
      <c r="S175" s="66">
        <f>CHOOSE(PLColumn,IFERROR(GETPIVOTDATA("Sum of "&amp;S$9,'PT-All'!$A$1,"Scenario",S$12,"P&amp;L Item",$B175),0),IFERROR(GETPIVOTDATA("Sum of "&amp;S$9,'PT-All'!$A$1,"Scenario",S$12,"P&amp;L Item",$B175)/S$201,0),TEXT(IFERROR(GETPIVOTDATA("Sum of "&amp;S$9,'PT-All'!$A$1,"Scenario",S$12,"P&amp;L Item",$B175)/S$29,0),"0.00%"))</f>
        <v>0</v>
      </c>
      <c r="T175" s="66">
        <f>CHOOSE(PLColumn,IFERROR(GETPIVOTDATA("Sum of "&amp;T$9,'PT-All'!$A$1,"Scenario",T$12,"P&amp;L Item",$B175),0),IFERROR(GETPIVOTDATA("Sum of "&amp;T$9,'PT-All'!$A$1,"Scenario",T$12,"P&amp;L Item",$B175)/T$201,0),TEXT(IFERROR(GETPIVOTDATA("Sum of "&amp;T$9,'PT-All'!$A$1,"Scenario",T$12,"P&amp;L Item",$B175)/T$29,0),"0.00%"))</f>
        <v>0</v>
      </c>
      <c r="U175" s="66">
        <f>CHOOSE(PLColumn,IFERROR(GETPIVOTDATA("Sum of "&amp;U$9,'PT-All'!$A$1,"Scenario",U$12,"P&amp;L Item",$B175),0),IFERROR(GETPIVOTDATA("Sum of "&amp;U$9,'PT-All'!$A$1,"Scenario",U$12,"P&amp;L Item",$B175)/U$201,0),TEXT(IFERROR(GETPIVOTDATA("Sum of "&amp;U$9,'PT-All'!$A$1,"Scenario",U$12,"P&amp;L Item",$B175)/U$29,0),"0.00%"))</f>
        <v>0</v>
      </c>
      <c r="V175" s="66">
        <f>CHOOSE(PLColumn,IFERROR(GETPIVOTDATA("Sum of "&amp;V$9,'PT-All'!$A$1,"Scenario",V$12,"P&amp;L Item",$B175),0),IFERROR(GETPIVOTDATA("Sum of "&amp;V$9,'PT-All'!$A$1,"Scenario",V$12,"P&amp;L Item",$B175)/V$201,0),TEXT(IFERROR(GETPIVOTDATA("Sum of "&amp;V$9,'PT-All'!$A$1,"Scenario",V$12,"P&amp;L Item",$B175)/V$29,0),"0.00%"))</f>
        <v>0</v>
      </c>
      <c r="W175" s="66">
        <f>CHOOSE(PLColumn,IFERROR(GETPIVOTDATA("Sum of "&amp;W$9,'PT-All'!$A$1,"Scenario",W$12,"P&amp;L Item",$B175),0),IFERROR(GETPIVOTDATA("Sum of "&amp;W$9,'PT-All'!$A$1,"Scenario",W$12,"P&amp;L Item",$B175)/W$201,0),TEXT(IFERROR(GETPIVOTDATA("Sum of "&amp;W$9,'PT-All'!$A$1,"Scenario",W$12,"P&amp;L Item",$B175)/W$29,0),"0.00%"))</f>
        <v>0</v>
      </c>
      <c r="X175" s="66">
        <f>CHOOSE(PLColumn,IFERROR(GETPIVOTDATA("Sum of "&amp;X$9,'PT-All'!$A$1,"Scenario",X$12,"P&amp;L Item",$B175),0),IFERROR(GETPIVOTDATA("Sum of "&amp;X$9,'PT-All'!$A$1,"Scenario",X$12,"P&amp;L Item",$B175)/X$201,0),TEXT(IFERROR(GETPIVOTDATA("Sum of "&amp;X$9,'PT-All'!$A$1,"Scenario",X$12,"P&amp;L Item",$B175)/X$29,0),"0.00%"))</f>
        <v>0</v>
      </c>
      <c r="Y175" s="66">
        <f>CHOOSE(PLColumn,IFERROR(GETPIVOTDATA("Sum of "&amp;Y$9,'PT-All'!$A$1,"Scenario",Y$12,"P&amp;L Item",$B175),0),IFERROR(GETPIVOTDATA("Sum of "&amp;Y$9,'PT-All'!$A$1,"Scenario",Y$12,"P&amp;L Item",$B175)/Y$201,0),TEXT(IFERROR(GETPIVOTDATA("Sum of "&amp;Y$9,'PT-All'!$A$1,"Scenario",Y$12,"P&amp;L Item",$B175)/Y$29,0),"0.00%"))</f>
        <v>0</v>
      </c>
      <c r="Z175" s="66">
        <f>CHOOSE(PLColumn,IFERROR(GETPIVOTDATA("Sum of "&amp;Z$9,'PT-All'!$A$1,"Scenario",Z$12,"P&amp;L Item",$B175),0),IFERROR(GETPIVOTDATA("Sum of "&amp;Z$9,'PT-All'!$A$1,"Scenario",Z$12,"P&amp;L Item",$B175)/Z$201,0),TEXT(IFERROR(GETPIVOTDATA("Sum of "&amp;Z$9,'PT-All'!$A$1,"Scenario",Z$12,"P&amp;L Item",$B175)/Z$29,0),"0.00%"))</f>
        <v>0</v>
      </c>
      <c r="AA175" s="66">
        <f>CHOOSE(PLColumn,IFERROR(GETPIVOTDATA("Sum of "&amp;AA$9,'PT-All'!$A$1,"Scenario",AA$12,"P&amp;L Item",$B175),0),IFERROR(GETPIVOTDATA("Sum of "&amp;AA$9,'PT-All'!$A$1,"Scenario",AA$12,"P&amp;L Item",$B175)/AA$201,0),TEXT(IFERROR(GETPIVOTDATA("Sum of "&amp;AA$9,'PT-All'!$A$1,"Scenario",AA$12,"P&amp;L Item",$B175)/AA$29,0),"0.00%"))</f>
        <v>0</v>
      </c>
      <c r="AB175" s="66">
        <f>CHOOSE(PLColumn,IFERROR(GETPIVOTDATA("Sum of "&amp;AB$9,'PT-All'!$A$1,"Scenario",AB$12,"P&amp;L Item",$B175),0),IFERROR(GETPIVOTDATA("Sum of "&amp;AB$9,'PT-All'!$A$1,"Scenario",AB$12,"P&amp;L Item",$B175)/AB$201,0),TEXT(IFERROR(GETPIVOTDATA("Sum of "&amp;AB$9,'PT-All'!$A$1,"Scenario",AB$12,"P&amp;L Item",$B175)/AB$29,0),"0.00%"))</f>
        <v>0</v>
      </c>
      <c r="AC175" s="66">
        <f>CHOOSE(PLColumn,IFERROR(GETPIVOTDATA("Sum of "&amp;AC$9,'PT-All'!$A$1,"Scenario",AC$12,"P&amp;L Item",$B175),0),IFERROR(GETPIVOTDATA("Sum of "&amp;AC$9,'PT-All'!$A$1,"Scenario",AC$12,"P&amp;L Item",$B175)/AC$201,0),TEXT(IFERROR(GETPIVOTDATA("Sum of "&amp;AC$9,'PT-All'!$A$1,"Scenario",AC$12,"P&amp;L Item",$B175)/AC$29,0),"0.00%"))</f>
        <v>0</v>
      </c>
      <c r="AD175" s="66">
        <f>CHOOSE(PLColumn,IFERROR(GETPIVOTDATA("Sum of "&amp;AD$9,'PT-All'!$A$1,"Scenario",AD$12,"P&amp;L Item",$B175),0),IFERROR(GETPIVOTDATA("Sum of "&amp;AD$9,'PT-All'!$A$1,"Scenario",AD$12,"P&amp;L Item",$B175)/AD$201,0),TEXT(IFERROR(GETPIVOTDATA("Sum of "&amp;AD$9,'PT-All'!$A$1,"Scenario",AD$12,"P&amp;L Item",$B175)/AD$29,0),"0.00%"))</f>
        <v>0</v>
      </c>
      <c r="AE175" s="66">
        <f>CHOOSE(PLColumn,IFERROR(GETPIVOTDATA("Sum of "&amp;AE$9,'PT-All'!$A$1,"Scenario",AE$12,"P&amp;L Item",$B175),0),IFERROR(GETPIVOTDATA("Sum of "&amp;AE$9,'PT-All'!$A$1,"Scenario",AE$12,"P&amp;L Item",$B175)/AE$201,0),TEXT(IFERROR(GETPIVOTDATA("Sum of "&amp;AE$9,'PT-All'!$A$1,"Scenario",AE$12,"P&amp;L Item",$B175)/AE$29,0),"0.00%"))</f>
        <v>0</v>
      </c>
      <c r="AF175" s="66">
        <f>CHOOSE(PLColumn,IFERROR(GETPIVOTDATA("Sum of "&amp;AF$9,'PT-All'!$A$1,"Scenario",AF$12,"P&amp;L Item",$B175),0),IFERROR(GETPIVOTDATA("Sum of "&amp;AF$9,'PT-All'!$A$1,"Scenario",AF$12,"P&amp;L Item",$B175)/AF$201,0),TEXT(IFERROR(GETPIVOTDATA("Sum of "&amp;AF$9,'PT-All'!$A$1,"Scenario",AF$12,"P&amp;L Item",$B175)/AF$29,0),"0.00%"))</f>
        <v>0</v>
      </c>
      <c r="AG175" s="66">
        <f>CHOOSE(PLColumn,IFERROR(GETPIVOTDATA("Sum of "&amp;AG$9,'PT-All'!$A$1,"Scenario",AG$12,"P&amp;L Item",$B175),0),IFERROR(GETPIVOTDATA("Sum of "&amp;AG$9,'PT-All'!$A$1,"Scenario",AG$12,"P&amp;L Item",$B175)/AG$201,0),TEXT(IFERROR(GETPIVOTDATA("Sum of "&amp;AG$9,'PT-All'!$A$1,"Scenario",AG$12,"P&amp;L Item",$B175)/AG$29,0),"0.00%"))</f>
        <v>0</v>
      </c>
      <c r="AH175" s="66">
        <f>CHOOSE(PLColumn,IFERROR(GETPIVOTDATA("Sum of "&amp;AH$9,'PT-All'!$A$1,"Scenario",AH$12,"P&amp;L Item",$B175),0),IFERROR(GETPIVOTDATA("Sum of "&amp;AH$9,'PT-All'!$A$1,"Scenario",AH$12,"P&amp;L Item",$B175)/AH$201,0),TEXT(IFERROR(GETPIVOTDATA("Sum of "&amp;AH$9,'PT-All'!$A$1,"Scenario",AH$12,"P&amp;L Item",$B175)/AH$29,0),"0.00%"))</f>
        <v>0</v>
      </c>
      <c r="AI175" s="66">
        <f>CHOOSE(PLColumn,IFERROR(GETPIVOTDATA("Sum of "&amp;AI$9,'PT-All'!$A$1,"Scenario",AI$12,"P&amp;L Item",$B175),0),IFERROR(GETPIVOTDATA("Sum of "&amp;AI$9,'PT-All'!$A$1,"Scenario",AI$12,"P&amp;L Item",$B175)/AI$201,0),TEXT(IFERROR(GETPIVOTDATA("Sum of "&amp;AI$9,'PT-All'!$A$1,"Scenario",AI$12,"P&amp;L Item",$B175)/AI$29,0),"0.00%"))</f>
        <v>0</v>
      </c>
      <c r="AJ175" s="66">
        <f>CHOOSE(PLColumn,IFERROR(GETPIVOTDATA("Sum of "&amp;AJ$9,'PT-All'!$A$1,"Scenario",AJ$12,"P&amp;L Item",$B175),0),IFERROR(GETPIVOTDATA("Sum of "&amp;AJ$9,'PT-All'!$A$1,"Scenario",AJ$12,"P&amp;L Item",$B175)/AJ$201,0),TEXT(IFERROR(GETPIVOTDATA("Sum of "&amp;AJ$9,'PT-All'!$A$1,"Scenario",AJ$12,"P&amp;L Item",$B175)/AJ$29,0),"0.00%"))</f>
        <v>0</v>
      </c>
      <c r="AK175" s="66">
        <f>CHOOSE(PLColumn,IFERROR(GETPIVOTDATA("Sum of "&amp;AK$9,'PT-All'!$A$1,"Scenario",AK$12,"P&amp;L Item",$B175),0),IFERROR(GETPIVOTDATA("Sum of "&amp;AK$9,'PT-All'!$A$1,"Scenario",AK$12,"P&amp;L Item",$B175)/AK$201,0),TEXT(IFERROR(GETPIVOTDATA("Sum of "&amp;AK$9,'PT-All'!$A$1,"Scenario",AK$12,"P&amp;L Item",$B175)/AK$29,0),"0.00%"))</f>
        <v>0</v>
      </c>
      <c r="AL175" s="98">
        <f>CHOOSE(PLColumn,IFERROR(GETPIVOTDATA("Sum of "&amp;AL$9,'PT-All'!$A$1,"Scenario",AL$12,"P&amp;L Item",$B175),0),IFERROR(GETPIVOTDATA("Sum of "&amp;AL$9,'PT-All'!$A$1,"Scenario",AL$12,"P&amp;L Item",$B175)/AL$201,0),TEXT(IFERROR(GETPIVOTDATA("Sum of "&amp;AL$9,'PT-All'!$A$1,"Scenario",AL$12,"P&amp;L Item",$B175)/AL$29,0),"0.00%"))</f>
        <v>0</v>
      </c>
      <c r="AM175" s="590"/>
      <c r="AN175" s="109">
        <f ca="1">IF(AN$12="Pro Forma",SUM(OFFSET($B175,0,3*AN$9+1,1,3)),IFERROR(GETPIVOTDATA("Sum of Q"&amp;AN$9+1,'PT-All'!$A$1,"Scenario",AN$12,"P&amp;L Item",$B175),0))</f>
        <v>0</v>
      </c>
      <c r="AO175" s="66">
        <f ca="1">IF(AO$12="Pro Forma",SUM(OFFSET($B175,0,3*AO$9+1,1,3)),IFERROR(GETPIVOTDATA("Sum of Q"&amp;AO$9+1,'PT-All'!$A$1,"Scenario",AO$12,"P&amp;L Item",$B175),0))</f>
        <v>0</v>
      </c>
      <c r="AP175" s="66">
        <f ca="1">IF(AP$12="Pro Forma",SUM(OFFSET($B175,0,3*AP$9+1,1,3)),IFERROR(GETPIVOTDATA("Sum of Q"&amp;AP$9+1,'PT-All'!$A$1,"Scenario",AP$12,"P&amp;L Item",$B175),0))</f>
        <v>0</v>
      </c>
      <c r="AQ175" s="66">
        <f ca="1">IF(AQ$12="Pro Forma",SUM(OFFSET($B175,0,3*AQ$9+1,1,3)),IFERROR(GETPIVOTDATA("Sum of Q"&amp;AQ$9+1,'PT-All'!$A$1,"Scenario",AQ$12,"P&amp;L Item",$B175),0))</f>
        <v>0</v>
      </c>
      <c r="AR175" s="66">
        <f ca="1">IF(AR$12="Pro Forma",SUM(OFFSET($B175,0,3*AR$9+1,1,3)),IFERROR(GETPIVOTDATA("Sum of Q"&amp;AR$9+1,'PT-All'!$A$1,"Scenario",AR$12,"P&amp;L Item",$B175),0))</f>
        <v>0</v>
      </c>
      <c r="AS175" s="66">
        <f ca="1">IF(AS$12="Pro Forma",SUM(OFFSET($B175,0,3*AS$9+1,1,3)),IFERROR(GETPIVOTDATA("Sum of Q"&amp;AS$9+1,'PT-All'!$A$1,"Scenario",AS$12,"P&amp;L Item",$B175),0))</f>
        <v>0</v>
      </c>
      <c r="AT175" s="66">
        <f ca="1">IF(AT$12="Pro Forma",SUM(OFFSET($B175,0,3*AT$9+1,1,3)),IFERROR(GETPIVOTDATA("Sum of Q"&amp;AT$9+1,'PT-All'!$A$1,"Scenario",AT$12,"P&amp;L Item",$B175),0))</f>
        <v>0</v>
      </c>
      <c r="AU175" s="66">
        <f ca="1">IF(AU$12="Pro Forma",SUM(OFFSET($B175,0,3*AU$9+1,1,3)),IFERROR(GETPIVOTDATA("Sum of Q"&amp;AU$9+1,'PT-All'!$A$1,"Scenario",AU$12,"P&amp;L Item",$B175),0))</f>
        <v>0</v>
      </c>
      <c r="AV175" s="66">
        <f ca="1">IF(AV$12="Pro Forma",SUM(OFFSET($B175,0,3*AV$9+1,1,3)),IFERROR(GETPIVOTDATA("Sum of Q"&amp;AV$9+1,'PT-All'!$A$1,"Scenario",AV$12,"P&amp;L Item",$B175),0))</f>
        <v>0</v>
      </c>
      <c r="AW175" s="66">
        <f ca="1">IF(AW$12="Pro Forma",SUM(OFFSET($B175,0,3*AW$9+1,1,3)),IFERROR(GETPIVOTDATA("Sum of Q"&amp;AW$9+1,'PT-All'!$A$1,"Scenario",AW$12,"P&amp;L Item",$B175),0))</f>
        <v>0</v>
      </c>
      <c r="AX175" s="66">
        <f ca="1">IF(AX$12="Pro Forma",SUM(OFFSET($B175,0,3*AX$9+1,1,3)),IFERROR(GETPIVOTDATA("Sum of Q"&amp;AX$9+1,'PT-All'!$A$1,"Scenario",AX$12,"P&amp;L Item",$B175),0))</f>
        <v>0</v>
      </c>
      <c r="AY175" s="98">
        <f ca="1">IF(AY$12="Pro Forma",SUM(OFFSET($B175,0,3*AY$9+1,1,3)),IFERROR(GETPIVOTDATA("Sum of Q"&amp;AY$9+1,'PT-All'!$A$1,"Scenario",AY$12,"P&amp;L Item",$B175),0))</f>
        <v>0</v>
      </c>
      <c r="AZ175" s="590"/>
      <c r="BA175" s="109">
        <f ca="1">IF(BA$12="Pro Forma",SUM(OFFSET($B175,0,12*BA$9+1,1,12)),IFERROR(GETPIVOTDATA("Sum of FY"&amp;BA$9+1,'PT-All'!$A$1,"Scenario",BA$12,"P&amp;L Item",$B175),0))</f>
        <v>0</v>
      </c>
      <c r="BB175" s="66">
        <f ca="1">IF(BB$12="Pro Forma",SUM(OFFSET($B175,0,12*BB$9+1,1,12)),IFERROR(GETPIVOTDATA("Sum of FY"&amp;BB$9+1,'PT-All'!$A$1,"Scenario",BB$12,"P&amp;L Item",$B175),0))</f>
        <v>0</v>
      </c>
      <c r="BC175" s="98">
        <f ca="1">IF(BC$12="Pro Forma",SUM(OFFSET($B175,0,12*BC$9+1,1,12)),IFERROR(GETPIVOTDATA("Sum of FY"&amp;BC$9+1,'PT-All'!$A$1,"Scenario",BC$12,"P&amp;L Item",$B175),0))</f>
        <v>0</v>
      </c>
    </row>
    <row r="176" spans="2:55" x14ac:dyDescent="0.35">
      <c r="B176" s="84" t="s">
        <v>204</v>
      </c>
      <c r="C176" s="623">
        <f t="shared" ref="C176:Y176" si="365">SUM(C164:C167,C144:C145)</f>
        <v>0</v>
      </c>
      <c r="D176" s="623">
        <f t="shared" si="365"/>
        <v>0</v>
      </c>
      <c r="E176" s="623">
        <f t="shared" si="365"/>
        <v>0</v>
      </c>
      <c r="F176" s="623">
        <f t="shared" si="365"/>
        <v>0</v>
      </c>
      <c r="G176" s="623">
        <f t="shared" si="365"/>
        <v>0</v>
      </c>
      <c r="H176" s="623">
        <f t="shared" si="365"/>
        <v>0</v>
      </c>
      <c r="I176" s="623">
        <f t="shared" si="365"/>
        <v>0</v>
      </c>
      <c r="J176" s="623">
        <f t="shared" si="365"/>
        <v>0</v>
      </c>
      <c r="K176" s="623">
        <f t="shared" si="365"/>
        <v>0</v>
      </c>
      <c r="L176" s="623">
        <f t="shared" si="365"/>
        <v>0</v>
      </c>
      <c r="M176" s="623">
        <f t="shared" si="365"/>
        <v>0</v>
      </c>
      <c r="N176" s="623">
        <f t="shared" si="365"/>
        <v>0</v>
      </c>
      <c r="O176" s="623">
        <f t="shared" si="365"/>
        <v>0</v>
      </c>
      <c r="P176" s="623">
        <f t="shared" si="365"/>
        <v>0</v>
      </c>
      <c r="Q176" s="623">
        <f t="shared" si="365"/>
        <v>0</v>
      </c>
      <c r="R176" s="623">
        <f t="shared" si="365"/>
        <v>0</v>
      </c>
      <c r="S176" s="623">
        <f t="shared" si="365"/>
        <v>0</v>
      </c>
      <c r="T176" s="623">
        <f t="shared" si="365"/>
        <v>0</v>
      </c>
      <c r="U176" s="623">
        <f t="shared" si="365"/>
        <v>0</v>
      </c>
      <c r="V176" s="623">
        <f t="shared" si="365"/>
        <v>0</v>
      </c>
      <c r="W176" s="623">
        <f t="shared" si="365"/>
        <v>0</v>
      </c>
      <c r="X176" s="623">
        <f t="shared" si="365"/>
        <v>0</v>
      </c>
      <c r="Y176" s="623">
        <f t="shared" si="365"/>
        <v>0</v>
      </c>
      <c r="Z176" s="623">
        <f t="shared" ref="Z176:AL176" si="366">SUM(Z164:Z167,Z144:Z145)</f>
        <v>0</v>
      </c>
      <c r="AA176" s="623">
        <f t="shared" si="366"/>
        <v>0</v>
      </c>
      <c r="AB176" s="623">
        <f t="shared" si="366"/>
        <v>0</v>
      </c>
      <c r="AC176" s="623">
        <f t="shared" si="366"/>
        <v>0</v>
      </c>
      <c r="AD176" s="623">
        <f t="shared" si="366"/>
        <v>0</v>
      </c>
      <c r="AE176" s="623">
        <f t="shared" si="366"/>
        <v>0</v>
      </c>
      <c r="AF176" s="623">
        <f t="shared" si="366"/>
        <v>0</v>
      </c>
      <c r="AG176" s="623">
        <f t="shared" si="366"/>
        <v>0</v>
      </c>
      <c r="AH176" s="623">
        <f t="shared" si="366"/>
        <v>0</v>
      </c>
      <c r="AI176" s="623">
        <f t="shared" si="366"/>
        <v>0</v>
      </c>
      <c r="AJ176" s="623">
        <f t="shared" si="366"/>
        <v>0</v>
      </c>
      <c r="AK176" s="623">
        <f t="shared" si="366"/>
        <v>0</v>
      </c>
      <c r="AL176" s="624">
        <f t="shared" si="366"/>
        <v>0</v>
      </c>
      <c r="AM176" s="590"/>
      <c r="AN176" s="625">
        <f t="shared" ref="AN176:AT176" ca="1" si="367">SUM(AN164:AN167,AN144:AN145)</f>
        <v>0</v>
      </c>
      <c r="AO176" s="623">
        <f t="shared" ca="1" si="367"/>
        <v>0</v>
      </c>
      <c r="AP176" s="623">
        <f t="shared" ca="1" si="367"/>
        <v>0</v>
      </c>
      <c r="AQ176" s="623">
        <f t="shared" ca="1" si="367"/>
        <v>0</v>
      </c>
      <c r="AR176" s="623">
        <f t="shared" ca="1" si="367"/>
        <v>0</v>
      </c>
      <c r="AS176" s="623">
        <f t="shared" ca="1" si="367"/>
        <v>0</v>
      </c>
      <c r="AT176" s="623">
        <f t="shared" ca="1" si="367"/>
        <v>0</v>
      </c>
      <c r="AU176" s="623">
        <f t="shared" ref="AU176:AY176" ca="1" si="368">SUM(AU164:AU167,AU144:AU145)</f>
        <v>0</v>
      </c>
      <c r="AV176" s="623">
        <f t="shared" ca="1" si="368"/>
        <v>0</v>
      </c>
      <c r="AW176" s="623">
        <f t="shared" ca="1" si="368"/>
        <v>0</v>
      </c>
      <c r="AX176" s="623">
        <f t="shared" ca="1" si="368"/>
        <v>0</v>
      </c>
      <c r="AY176" s="624">
        <f t="shared" ca="1" si="368"/>
        <v>0</v>
      </c>
      <c r="AZ176" s="590"/>
      <c r="BA176" s="625">
        <f t="shared" ref="BA176" ca="1" si="369">SUM(BA164:BA167,BA144:BA145)</f>
        <v>0</v>
      </c>
      <c r="BB176" s="623">
        <f t="shared" ref="BB176:BC176" ca="1" si="370">SUM(BB164:BB167,BB144:BB145)</f>
        <v>0</v>
      </c>
      <c r="BC176" s="624">
        <f t="shared" ca="1" si="370"/>
        <v>0</v>
      </c>
    </row>
    <row r="177" spans="2:55" x14ac:dyDescent="0.35">
      <c r="B177" s="358"/>
      <c r="C177" s="595"/>
      <c r="D177" s="595"/>
      <c r="E177" s="595"/>
      <c r="F177" s="595"/>
      <c r="G177" s="595"/>
      <c r="H177" s="595"/>
      <c r="I177" s="595"/>
      <c r="J177" s="595"/>
      <c r="K177" s="595"/>
      <c r="L177" s="595"/>
      <c r="M177" s="595"/>
      <c r="N177" s="595"/>
      <c r="O177" s="595"/>
      <c r="P177" s="595"/>
      <c r="Q177" s="595"/>
      <c r="R177" s="595"/>
      <c r="S177" s="595"/>
      <c r="T177" s="595"/>
      <c r="U177" s="595"/>
      <c r="V177" s="595"/>
      <c r="W177" s="595"/>
      <c r="X177" s="595"/>
      <c r="Y177" s="595"/>
      <c r="Z177" s="595"/>
      <c r="AA177" s="595"/>
      <c r="AB177" s="595"/>
      <c r="AC177" s="595"/>
      <c r="AD177" s="595"/>
      <c r="AE177" s="595"/>
      <c r="AF177" s="595"/>
      <c r="AG177" s="595"/>
      <c r="AH177" s="595"/>
      <c r="AI177" s="595"/>
      <c r="AJ177" s="595"/>
      <c r="AK177" s="595"/>
      <c r="AL177" s="596"/>
      <c r="AM177" s="590"/>
      <c r="AN177" s="597"/>
      <c r="AO177" s="595"/>
      <c r="AP177" s="595"/>
      <c r="AQ177" s="595"/>
      <c r="AR177" s="595"/>
      <c r="AS177" s="595"/>
      <c r="AT177" s="595"/>
      <c r="AU177" s="595"/>
      <c r="AV177" s="595"/>
      <c r="AW177" s="595"/>
      <c r="AX177" s="595"/>
      <c r="AY177" s="596"/>
      <c r="AZ177" s="590"/>
      <c r="BA177" s="597"/>
      <c r="BB177" s="595"/>
      <c r="BC177" s="596"/>
    </row>
    <row r="178" spans="2:55" x14ac:dyDescent="0.35">
      <c r="B178" s="67" t="s">
        <v>56</v>
      </c>
      <c r="C178" s="619">
        <f t="shared" ref="C178:Y178" si="371">C72-C107-C141-C176</f>
        <v>0</v>
      </c>
      <c r="D178" s="619">
        <f t="shared" si="371"/>
        <v>0</v>
      </c>
      <c r="E178" s="619">
        <f t="shared" si="371"/>
        <v>0</v>
      </c>
      <c r="F178" s="619">
        <f t="shared" si="371"/>
        <v>0</v>
      </c>
      <c r="G178" s="619">
        <f t="shared" si="371"/>
        <v>0</v>
      </c>
      <c r="H178" s="619">
        <f t="shared" si="371"/>
        <v>0</v>
      </c>
      <c r="I178" s="619">
        <f t="shared" si="371"/>
        <v>0</v>
      </c>
      <c r="J178" s="619">
        <f t="shared" si="371"/>
        <v>0</v>
      </c>
      <c r="K178" s="619">
        <f t="shared" si="371"/>
        <v>0</v>
      </c>
      <c r="L178" s="619">
        <f t="shared" si="371"/>
        <v>0</v>
      </c>
      <c r="M178" s="619">
        <f t="shared" si="371"/>
        <v>0</v>
      </c>
      <c r="N178" s="619">
        <f t="shared" si="371"/>
        <v>0</v>
      </c>
      <c r="O178" s="619">
        <f t="shared" si="371"/>
        <v>0</v>
      </c>
      <c r="P178" s="619">
        <f t="shared" si="371"/>
        <v>0</v>
      </c>
      <c r="Q178" s="619">
        <f t="shared" si="371"/>
        <v>0</v>
      </c>
      <c r="R178" s="619">
        <f t="shared" si="371"/>
        <v>0</v>
      </c>
      <c r="S178" s="619">
        <f t="shared" si="371"/>
        <v>0</v>
      </c>
      <c r="T178" s="619">
        <f t="shared" si="371"/>
        <v>0</v>
      </c>
      <c r="U178" s="619">
        <f t="shared" si="371"/>
        <v>0</v>
      </c>
      <c r="V178" s="619">
        <f t="shared" si="371"/>
        <v>0</v>
      </c>
      <c r="W178" s="619">
        <f t="shared" si="371"/>
        <v>0</v>
      </c>
      <c r="X178" s="619">
        <f t="shared" si="371"/>
        <v>0</v>
      </c>
      <c r="Y178" s="619">
        <f t="shared" si="371"/>
        <v>0</v>
      </c>
      <c r="Z178" s="619">
        <f t="shared" ref="Z178:AL178" si="372">Z72-Z107-Z141-Z176</f>
        <v>0</v>
      </c>
      <c r="AA178" s="619">
        <f t="shared" si="372"/>
        <v>0</v>
      </c>
      <c r="AB178" s="619">
        <f t="shared" si="372"/>
        <v>0</v>
      </c>
      <c r="AC178" s="619">
        <f t="shared" si="372"/>
        <v>0</v>
      </c>
      <c r="AD178" s="619">
        <f t="shared" si="372"/>
        <v>0</v>
      </c>
      <c r="AE178" s="619">
        <f t="shared" si="372"/>
        <v>0</v>
      </c>
      <c r="AF178" s="619">
        <f t="shared" si="372"/>
        <v>0</v>
      </c>
      <c r="AG178" s="619">
        <f t="shared" si="372"/>
        <v>0</v>
      </c>
      <c r="AH178" s="619">
        <f t="shared" si="372"/>
        <v>0</v>
      </c>
      <c r="AI178" s="619">
        <f t="shared" si="372"/>
        <v>0</v>
      </c>
      <c r="AJ178" s="619">
        <f t="shared" si="372"/>
        <v>0</v>
      </c>
      <c r="AK178" s="619">
        <f t="shared" si="372"/>
        <v>0</v>
      </c>
      <c r="AL178" s="620">
        <f t="shared" si="372"/>
        <v>0</v>
      </c>
      <c r="AM178" s="590"/>
      <c r="AN178" s="627">
        <f t="shared" ref="AN178:AT178" ca="1" si="373">AN72-AN107-AN141-AN176</f>
        <v>0</v>
      </c>
      <c r="AO178" s="619">
        <f t="shared" ca="1" si="373"/>
        <v>0</v>
      </c>
      <c r="AP178" s="619">
        <f t="shared" ca="1" si="373"/>
        <v>0</v>
      </c>
      <c r="AQ178" s="619">
        <f t="shared" ca="1" si="373"/>
        <v>0</v>
      </c>
      <c r="AR178" s="619">
        <f t="shared" ca="1" si="373"/>
        <v>0</v>
      </c>
      <c r="AS178" s="619">
        <f t="shared" ca="1" si="373"/>
        <v>0</v>
      </c>
      <c r="AT178" s="619">
        <f t="shared" ca="1" si="373"/>
        <v>0</v>
      </c>
      <c r="AU178" s="619">
        <f t="shared" ref="AU178:AY178" ca="1" si="374">AU72-AU107-AU141-AU176</f>
        <v>0</v>
      </c>
      <c r="AV178" s="619">
        <f t="shared" ca="1" si="374"/>
        <v>0</v>
      </c>
      <c r="AW178" s="619">
        <f t="shared" ca="1" si="374"/>
        <v>0</v>
      </c>
      <c r="AX178" s="619">
        <f t="shared" ca="1" si="374"/>
        <v>0</v>
      </c>
      <c r="AY178" s="620">
        <f t="shared" ca="1" si="374"/>
        <v>0</v>
      </c>
      <c r="AZ178" s="590"/>
      <c r="BA178" s="627">
        <f t="shared" ref="BA178" ca="1" si="375">BA72-BA107-BA141-BA176</f>
        <v>0</v>
      </c>
      <c r="BB178" s="619">
        <f t="shared" ref="BB178:BC178" ca="1" si="376">BB72-BB107-BB141-BB176</f>
        <v>0</v>
      </c>
      <c r="BC178" s="620">
        <f t="shared" ca="1" si="376"/>
        <v>0</v>
      </c>
    </row>
    <row r="179" spans="2:55" x14ac:dyDescent="0.35">
      <c r="B179" s="72" t="s">
        <v>57</v>
      </c>
      <c r="C179" s="598">
        <f t="shared" ref="C179:AN179" si="377">IFERROR(C178/C$29,0)</f>
        <v>0</v>
      </c>
      <c r="D179" s="598">
        <f t="shared" si="377"/>
        <v>0</v>
      </c>
      <c r="E179" s="598">
        <f t="shared" si="377"/>
        <v>0</v>
      </c>
      <c r="F179" s="598">
        <f t="shared" si="377"/>
        <v>0</v>
      </c>
      <c r="G179" s="598">
        <f t="shared" si="377"/>
        <v>0</v>
      </c>
      <c r="H179" s="598">
        <f t="shared" si="377"/>
        <v>0</v>
      </c>
      <c r="I179" s="598">
        <f t="shared" si="377"/>
        <v>0</v>
      </c>
      <c r="J179" s="598">
        <f t="shared" si="377"/>
        <v>0</v>
      </c>
      <c r="K179" s="598">
        <f t="shared" si="377"/>
        <v>0</v>
      </c>
      <c r="L179" s="598">
        <f t="shared" si="377"/>
        <v>0</v>
      </c>
      <c r="M179" s="598">
        <f t="shared" si="377"/>
        <v>0</v>
      </c>
      <c r="N179" s="598">
        <f t="shared" si="377"/>
        <v>0</v>
      </c>
      <c r="O179" s="598">
        <f t="shared" si="377"/>
        <v>0</v>
      </c>
      <c r="P179" s="598">
        <f t="shared" si="377"/>
        <v>0</v>
      </c>
      <c r="Q179" s="598">
        <f t="shared" si="377"/>
        <v>0</v>
      </c>
      <c r="R179" s="598">
        <f t="shared" si="377"/>
        <v>0</v>
      </c>
      <c r="S179" s="598">
        <f t="shared" si="377"/>
        <v>0</v>
      </c>
      <c r="T179" s="598">
        <f t="shared" si="377"/>
        <v>0</v>
      </c>
      <c r="U179" s="598">
        <f t="shared" si="377"/>
        <v>0</v>
      </c>
      <c r="V179" s="598">
        <f t="shared" si="377"/>
        <v>0</v>
      </c>
      <c r="W179" s="598">
        <f t="shared" si="377"/>
        <v>0</v>
      </c>
      <c r="X179" s="598">
        <f t="shared" si="377"/>
        <v>0</v>
      </c>
      <c r="Y179" s="598">
        <f t="shared" si="377"/>
        <v>0</v>
      </c>
      <c r="Z179" s="598">
        <f t="shared" ref="Z179:AL179" si="378">IFERROR(Z178/Z$29,0)</f>
        <v>0</v>
      </c>
      <c r="AA179" s="598">
        <f t="shared" si="378"/>
        <v>0</v>
      </c>
      <c r="AB179" s="598">
        <f t="shared" si="378"/>
        <v>0</v>
      </c>
      <c r="AC179" s="598">
        <f t="shared" si="378"/>
        <v>0</v>
      </c>
      <c r="AD179" s="598">
        <f t="shared" si="378"/>
        <v>0</v>
      </c>
      <c r="AE179" s="598">
        <f t="shared" si="378"/>
        <v>0</v>
      </c>
      <c r="AF179" s="598">
        <f t="shared" si="378"/>
        <v>0</v>
      </c>
      <c r="AG179" s="598">
        <f t="shared" si="378"/>
        <v>0</v>
      </c>
      <c r="AH179" s="598">
        <f t="shared" si="378"/>
        <v>0</v>
      </c>
      <c r="AI179" s="598">
        <f t="shared" si="378"/>
        <v>0</v>
      </c>
      <c r="AJ179" s="598">
        <f t="shared" si="378"/>
        <v>0</v>
      </c>
      <c r="AK179" s="598">
        <f t="shared" si="378"/>
        <v>0</v>
      </c>
      <c r="AL179" s="599">
        <f t="shared" si="378"/>
        <v>0</v>
      </c>
      <c r="AM179" s="590"/>
      <c r="AN179" s="600">
        <f t="shared" ca="1" si="377"/>
        <v>0</v>
      </c>
      <c r="AO179" s="598">
        <f t="shared" ref="AO179" ca="1" si="379">IFERROR(AO178/AO$29,0)</f>
        <v>0</v>
      </c>
      <c r="AP179" s="598">
        <f t="shared" ref="AP179" ca="1" si="380">IFERROR(AP178/AP$29,0)</f>
        <v>0</v>
      </c>
      <c r="AQ179" s="598">
        <f t="shared" ref="AQ179" ca="1" si="381">IFERROR(AQ178/AQ$29,0)</f>
        <v>0</v>
      </c>
      <c r="AR179" s="598">
        <f t="shared" ref="AR179" ca="1" si="382">IFERROR(AR178/AR$29,0)</f>
        <v>0</v>
      </c>
      <c r="AS179" s="598">
        <f t="shared" ref="AS179" ca="1" si="383">IFERROR(AS178/AS$29,0)</f>
        <v>0</v>
      </c>
      <c r="AT179" s="598">
        <f t="shared" ref="AT179:AY179" ca="1" si="384">IFERROR(AT178/AT$29,0)</f>
        <v>0</v>
      </c>
      <c r="AU179" s="598">
        <f t="shared" ca="1" si="384"/>
        <v>0</v>
      </c>
      <c r="AV179" s="598">
        <f t="shared" ca="1" si="384"/>
        <v>0</v>
      </c>
      <c r="AW179" s="598">
        <f t="shared" ca="1" si="384"/>
        <v>0</v>
      </c>
      <c r="AX179" s="598">
        <f t="shared" ca="1" si="384"/>
        <v>0</v>
      </c>
      <c r="AY179" s="599">
        <f t="shared" ca="1" si="384"/>
        <v>0</v>
      </c>
      <c r="AZ179" s="590"/>
      <c r="BA179" s="600">
        <f t="shared" ref="BA179" ca="1" si="385">IFERROR(BA178/BA$29,0)</f>
        <v>0</v>
      </c>
      <c r="BB179" s="598">
        <f t="shared" ref="BB179:BC179" ca="1" si="386">IFERROR(BB178/BB$29,0)</f>
        <v>0</v>
      </c>
      <c r="BC179" s="599">
        <f t="shared" ca="1" si="386"/>
        <v>0</v>
      </c>
    </row>
    <row r="180" spans="2:55" x14ac:dyDescent="0.35">
      <c r="B180" s="67" t="s">
        <v>58</v>
      </c>
      <c r="C180" s="628">
        <f t="shared" ref="C180:Y180" si="387">C178+SUM(C153,C119,C84,C41)</f>
        <v>0</v>
      </c>
      <c r="D180" s="628">
        <f t="shared" si="387"/>
        <v>0</v>
      </c>
      <c r="E180" s="628">
        <f t="shared" si="387"/>
        <v>0</v>
      </c>
      <c r="F180" s="628">
        <f t="shared" si="387"/>
        <v>0</v>
      </c>
      <c r="G180" s="628">
        <f t="shared" si="387"/>
        <v>0</v>
      </c>
      <c r="H180" s="628">
        <f t="shared" si="387"/>
        <v>0</v>
      </c>
      <c r="I180" s="628">
        <f t="shared" si="387"/>
        <v>0</v>
      </c>
      <c r="J180" s="628">
        <f t="shared" si="387"/>
        <v>0</v>
      </c>
      <c r="K180" s="628">
        <f t="shared" si="387"/>
        <v>0</v>
      </c>
      <c r="L180" s="628">
        <f t="shared" si="387"/>
        <v>0</v>
      </c>
      <c r="M180" s="628">
        <f t="shared" si="387"/>
        <v>0</v>
      </c>
      <c r="N180" s="628">
        <f t="shared" si="387"/>
        <v>0</v>
      </c>
      <c r="O180" s="628">
        <f t="shared" si="387"/>
        <v>0</v>
      </c>
      <c r="P180" s="628">
        <f t="shared" si="387"/>
        <v>0</v>
      </c>
      <c r="Q180" s="628">
        <f t="shared" si="387"/>
        <v>0</v>
      </c>
      <c r="R180" s="628">
        <f t="shared" si="387"/>
        <v>0</v>
      </c>
      <c r="S180" s="628">
        <f t="shared" si="387"/>
        <v>0</v>
      </c>
      <c r="T180" s="628">
        <f t="shared" si="387"/>
        <v>0</v>
      </c>
      <c r="U180" s="628">
        <f t="shared" si="387"/>
        <v>0</v>
      </c>
      <c r="V180" s="628">
        <f t="shared" si="387"/>
        <v>0</v>
      </c>
      <c r="W180" s="628">
        <f t="shared" si="387"/>
        <v>0</v>
      </c>
      <c r="X180" s="628">
        <f t="shared" si="387"/>
        <v>0</v>
      </c>
      <c r="Y180" s="628">
        <f t="shared" si="387"/>
        <v>0</v>
      </c>
      <c r="Z180" s="628">
        <f t="shared" ref="Z180:AL180" si="388">Z178+SUM(Z153,Z119,Z84,Z41)</f>
        <v>0</v>
      </c>
      <c r="AA180" s="628">
        <f t="shared" si="388"/>
        <v>0</v>
      </c>
      <c r="AB180" s="628">
        <f t="shared" si="388"/>
        <v>0</v>
      </c>
      <c r="AC180" s="628">
        <f t="shared" si="388"/>
        <v>0</v>
      </c>
      <c r="AD180" s="628">
        <f t="shared" si="388"/>
        <v>0</v>
      </c>
      <c r="AE180" s="628">
        <f t="shared" si="388"/>
        <v>0</v>
      </c>
      <c r="AF180" s="628">
        <f t="shared" si="388"/>
        <v>0</v>
      </c>
      <c r="AG180" s="628">
        <f t="shared" si="388"/>
        <v>0</v>
      </c>
      <c r="AH180" s="628">
        <f t="shared" si="388"/>
        <v>0</v>
      </c>
      <c r="AI180" s="628">
        <f t="shared" si="388"/>
        <v>0</v>
      </c>
      <c r="AJ180" s="628">
        <f t="shared" si="388"/>
        <v>0</v>
      </c>
      <c r="AK180" s="628">
        <f t="shared" si="388"/>
        <v>0</v>
      </c>
      <c r="AL180" s="629">
        <f t="shared" si="388"/>
        <v>0</v>
      </c>
      <c r="AM180" s="590"/>
      <c r="AN180" s="630">
        <f t="shared" ref="AN180:AT180" ca="1" si="389">AN178+SUM(AN153,AN119,AN84,AN41)</f>
        <v>0</v>
      </c>
      <c r="AO180" s="628">
        <f t="shared" ca="1" si="389"/>
        <v>0</v>
      </c>
      <c r="AP180" s="628">
        <f t="shared" ca="1" si="389"/>
        <v>0</v>
      </c>
      <c r="AQ180" s="628">
        <f t="shared" ca="1" si="389"/>
        <v>0</v>
      </c>
      <c r="AR180" s="628">
        <f t="shared" ca="1" si="389"/>
        <v>0</v>
      </c>
      <c r="AS180" s="628">
        <f t="shared" ca="1" si="389"/>
        <v>0</v>
      </c>
      <c r="AT180" s="628">
        <f t="shared" ca="1" si="389"/>
        <v>0</v>
      </c>
      <c r="AU180" s="628">
        <f t="shared" ref="AU180:AY180" ca="1" si="390">AU178+SUM(AU153,AU119,AU84,AU41)</f>
        <v>0</v>
      </c>
      <c r="AV180" s="628">
        <f t="shared" ca="1" si="390"/>
        <v>0</v>
      </c>
      <c r="AW180" s="628">
        <f t="shared" ca="1" si="390"/>
        <v>0</v>
      </c>
      <c r="AX180" s="628">
        <f t="shared" ca="1" si="390"/>
        <v>0</v>
      </c>
      <c r="AY180" s="629">
        <f t="shared" ca="1" si="390"/>
        <v>0</v>
      </c>
      <c r="AZ180" s="590"/>
      <c r="BA180" s="630">
        <f t="shared" ref="BA180" ca="1" si="391">BA178+SUM(BA153,BA119,BA84,BA41)</f>
        <v>0</v>
      </c>
      <c r="BB180" s="628">
        <f t="shared" ref="BB180:BC180" ca="1" si="392">BB178+SUM(BB153,BB119,BB84,BB41)</f>
        <v>0</v>
      </c>
      <c r="BC180" s="629">
        <f t="shared" ca="1" si="392"/>
        <v>0</v>
      </c>
    </row>
    <row r="181" spans="2:55" x14ac:dyDescent="0.35">
      <c r="B181" s="72" t="s">
        <v>59</v>
      </c>
      <c r="C181" s="598">
        <f t="shared" ref="C181:Y181" si="393">IFERROR(C180/C$29,0)</f>
        <v>0</v>
      </c>
      <c r="D181" s="598">
        <f t="shared" si="393"/>
        <v>0</v>
      </c>
      <c r="E181" s="598">
        <f t="shared" si="393"/>
        <v>0</v>
      </c>
      <c r="F181" s="598">
        <f t="shared" si="393"/>
        <v>0</v>
      </c>
      <c r="G181" s="598">
        <f t="shared" si="393"/>
        <v>0</v>
      </c>
      <c r="H181" s="598">
        <f t="shared" si="393"/>
        <v>0</v>
      </c>
      <c r="I181" s="598">
        <f t="shared" si="393"/>
        <v>0</v>
      </c>
      <c r="J181" s="598">
        <f t="shared" si="393"/>
        <v>0</v>
      </c>
      <c r="K181" s="598">
        <f t="shared" si="393"/>
        <v>0</v>
      </c>
      <c r="L181" s="598">
        <f t="shared" si="393"/>
        <v>0</v>
      </c>
      <c r="M181" s="598">
        <f t="shared" si="393"/>
        <v>0</v>
      </c>
      <c r="N181" s="598">
        <f t="shared" si="393"/>
        <v>0</v>
      </c>
      <c r="O181" s="598">
        <f t="shared" si="393"/>
        <v>0</v>
      </c>
      <c r="P181" s="598">
        <f t="shared" si="393"/>
        <v>0</v>
      </c>
      <c r="Q181" s="598">
        <f t="shared" si="393"/>
        <v>0</v>
      </c>
      <c r="R181" s="598">
        <f t="shared" si="393"/>
        <v>0</v>
      </c>
      <c r="S181" s="598">
        <f t="shared" si="393"/>
        <v>0</v>
      </c>
      <c r="T181" s="598">
        <f t="shared" si="393"/>
        <v>0</v>
      </c>
      <c r="U181" s="598">
        <f t="shared" si="393"/>
        <v>0</v>
      </c>
      <c r="V181" s="598">
        <f t="shared" si="393"/>
        <v>0</v>
      </c>
      <c r="W181" s="598">
        <f t="shared" si="393"/>
        <v>0</v>
      </c>
      <c r="X181" s="598">
        <f t="shared" si="393"/>
        <v>0</v>
      </c>
      <c r="Y181" s="598">
        <f t="shared" si="393"/>
        <v>0</v>
      </c>
      <c r="Z181" s="598">
        <f t="shared" ref="Z181:AL181" si="394">IFERROR(Z180/Z$29,0)</f>
        <v>0</v>
      </c>
      <c r="AA181" s="598">
        <f t="shared" si="394"/>
        <v>0</v>
      </c>
      <c r="AB181" s="598">
        <f t="shared" si="394"/>
        <v>0</v>
      </c>
      <c r="AC181" s="598">
        <f t="shared" si="394"/>
        <v>0</v>
      </c>
      <c r="AD181" s="598">
        <f t="shared" si="394"/>
        <v>0</v>
      </c>
      <c r="AE181" s="598">
        <f t="shared" si="394"/>
        <v>0</v>
      </c>
      <c r="AF181" s="598">
        <f t="shared" si="394"/>
        <v>0</v>
      </c>
      <c r="AG181" s="598">
        <f t="shared" si="394"/>
        <v>0</v>
      </c>
      <c r="AH181" s="598">
        <f t="shared" si="394"/>
        <v>0</v>
      </c>
      <c r="AI181" s="598">
        <f t="shared" si="394"/>
        <v>0</v>
      </c>
      <c r="AJ181" s="598">
        <f t="shared" si="394"/>
        <v>0</v>
      </c>
      <c r="AK181" s="598">
        <f t="shared" si="394"/>
        <v>0</v>
      </c>
      <c r="AL181" s="599">
        <f t="shared" si="394"/>
        <v>0</v>
      </c>
      <c r="AM181" s="590"/>
      <c r="AN181" s="600">
        <f t="shared" ref="AN181:AT181" ca="1" si="395">IFERROR(AN180/AN$29,0)</f>
        <v>0</v>
      </c>
      <c r="AO181" s="598">
        <f t="shared" ca="1" si="395"/>
        <v>0</v>
      </c>
      <c r="AP181" s="598">
        <f t="shared" ca="1" si="395"/>
        <v>0</v>
      </c>
      <c r="AQ181" s="598">
        <f t="shared" ca="1" si="395"/>
        <v>0</v>
      </c>
      <c r="AR181" s="598">
        <f t="shared" ca="1" si="395"/>
        <v>0</v>
      </c>
      <c r="AS181" s="598">
        <f t="shared" ca="1" si="395"/>
        <v>0</v>
      </c>
      <c r="AT181" s="598">
        <f t="shared" ca="1" si="395"/>
        <v>0</v>
      </c>
      <c r="AU181" s="598">
        <f t="shared" ref="AU181:AY181" ca="1" si="396">IFERROR(AU180/AU$29,0)</f>
        <v>0</v>
      </c>
      <c r="AV181" s="598">
        <f t="shared" ca="1" si="396"/>
        <v>0</v>
      </c>
      <c r="AW181" s="598">
        <f t="shared" ca="1" si="396"/>
        <v>0</v>
      </c>
      <c r="AX181" s="598">
        <f t="shared" ca="1" si="396"/>
        <v>0</v>
      </c>
      <c r="AY181" s="599">
        <f t="shared" ca="1" si="396"/>
        <v>0</v>
      </c>
      <c r="AZ181" s="590"/>
      <c r="BA181" s="600">
        <f t="shared" ref="BA181" ca="1" si="397">IFERROR(BA180/BA$29,0)</f>
        <v>0</v>
      </c>
      <c r="BB181" s="598">
        <f t="shared" ref="BB181:BC181" ca="1" si="398">IFERROR(BB180/BB$29,0)</f>
        <v>0</v>
      </c>
      <c r="BC181" s="599">
        <f t="shared" ca="1" si="398"/>
        <v>0</v>
      </c>
    </row>
    <row r="182" spans="2:55" x14ac:dyDescent="0.35">
      <c r="B182" s="358"/>
      <c r="C182" s="595"/>
      <c r="D182" s="595"/>
      <c r="E182" s="595"/>
      <c r="F182" s="595"/>
      <c r="G182" s="595"/>
      <c r="H182" s="595"/>
      <c r="I182" s="595"/>
      <c r="J182" s="595"/>
      <c r="K182" s="595"/>
      <c r="L182" s="595"/>
      <c r="M182" s="595"/>
      <c r="N182" s="595"/>
      <c r="O182" s="595"/>
      <c r="P182" s="595"/>
      <c r="Q182" s="595"/>
      <c r="R182" s="595"/>
      <c r="S182" s="595"/>
      <c r="T182" s="595"/>
      <c r="U182" s="595"/>
      <c r="V182" s="595"/>
      <c r="W182" s="595"/>
      <c r="X182" s="595"/>
      <c r="Y182" s="595"/>
      <c r="Z182" s="595"/>
      <c r="AA182" s="595"/>
      <c r="AB182" s="595"/>
      <c r="AC182" s="595"/>
      <c r="AD182" s="595"/>
      <c r="AE182" s="595"/>
      <c r="AF182" s="595"/>
      <c r="AG182" s="595"/>
      <c r="AH182" s="595"/>
      <c r="AI182" s="595"/>
      <c r="AJ182" s="595"/>
      <c r="AK182" s="595"/>
      <c r="AL182" s="596"/>
      <c r="AM182" s="590"/>
      <c r="AN182" s="597"/>
      <c r="AO182" s="595"/>
      <c r="AP182" s="595"/>
      <c r="AQ182" s="595"/>
      <c r="AR182" s="595"/>
      <c r="AS182" s="595"/>
      <c r="AT182" s="595"/>
      <c r="AU182" s="595"/>
      <c r="AV182" s="595"/>
      <c r="AW182" s="595"/>
      <c r="AX182" s="595"/>
      <c r="AY182" s="596"/>
      <c r="AZ182" s="590"/>
      <c r="BA182" s="597"/>
      <c r="BB182" s="595"/>
      <c r="BC182" s="596"/>
    </row>
    <row r="183" spans="2:55" x14ac:dyDescent="0.35">
      <c r="B183" s="356" t="s">
        <v>60</v>
      </c>
      <c r="C183" s="588">
        <f>CHOOSE(PLColumn,IFERROR(GETPIVOTDATA("Sum of "&amp;C$9,'PT-All'!$A$1,"Scenario",C$12,"P&amp;L Item",$B183),0),IFERROR(GETPIVOTDATA("Sum of "&amp;C$9,'PT-All'!$A$1,"Scenario",C$12,"P&amp;L Item",$B183)/C$201,0),TEXT(IFERROR(GETPIVOTDATA("Sum of "&amp;C$9,'PT-All'!$A$1,"Scenario",C$12,"P&amp;L Item",$B183)/C$29,0),"0.00%"))</f>
        <v>0</v>
      </c>
      <c r="D183" s="588">
        <f>CHOOSE(PLColumn,IFERROR(GETPIVOTDATA("Sum of "&amp;D$9,'PT-All'!$A$1,"Scenario",D$12,"P&amp;L Item",$B183),0),IFERROR(GETPIVOTDATA("Sum of "&amp;D$9,'PT-All'!$A$1,"Scenario",D$12,"P&amp;L Item",$B183)/D$201,0),TEXT(IFERROR(GETPIVOTDATA("Sum of "&amp;D$9,'PT-All'!$A$1,"Scenario",D$12,"P&amp;L Item",$B183)/D$29,0),"0.00%"))</f>
        <v>0</v>
      </c>
      <c r="E183" s="588">
        <f>CHOOSE(PLColumn,IFERROR(GETPIVOTDATA("Sum of "&amp;E$9,'PT-All'!$A$1,"Scenario",E$12,"P&amp;L Item",$B183),0),IFERROR(GETPIVOTDATA("Sum of "&amp;E$9,'PT-All'!$A$1,"Scenario",E$12,"P&amp;L Item",$B183)/E$201,0),TEXT(IFERROR(GETPIVOTDATA("Sum of "&amp;E$9,'PT-All'!$A$1,"Scenario",E$12,"P&amp;L Item",$B183)/E$29,0),"0.00%"))</f>
        <v>0</v>
      </c>
      <c r="F183" s="588">
        <f>CHOOSE(PLColumn,IFERROR(GETPIVOTDATA("Sum of "&amp;F$9,'PT-All'!$A$1,"Scenario",F$12,"P&amp;L Item",$B183),0),IFERROR(GETPIVOTDATA("Sum of "&amp;F$9,'PT-All'!$A$1,"Scenario",F$12,"P&amp;L Item",$B183)/F$201,0),TEXT(IFERROR(GETPIVOTDATA("Sum of "&amp;F$9,'PT-All'!$A$1,"Scenario",F$12,"P&amp;L Item",$B183)/F$29,0),"0.00%"))</f>
        <v>0</v>
      </c>
      <c r="G183" s="588">
        <f>CHOOSE(PLColumn,IFERROR(GETPIVOTDATA("Sum of "&amp;G$9,'PT-All'!$A$1,"Scenario",G$12,"P&amp;L Item",$B183),0),IFERROR(GETPIVOTDATA("Sum of "&amp;G$9,'PT-All'!$A$1,"Scenario",G$12,"P&amp;L Item",$B183)/G$201,0),TEXT(IFERROR(GETPIVOTDATA("Sum of "&amp;G$9,'PT-All'!$A$1,"Scenario",G$12,"P&amp;L Item",$B183)/G$29,0),"0.00%"))</f>
        <v>0</v>
      </c>
      <c r="H183" s="588">
        <f>CHOOSE(PLColumn,IFERROR(GETPIVOTDATA("Sum of "&amp;H$9,'PT-All'!$A$1,"Scenario",H$12,"P&amp;L Item",$B183),0),IFERROR(GETPIVOTDATA("Sum of "&amp;H$9,'PT-All'!$A$1,"Scenario",H$12,"P&amp;L Item",$B183)/H$201,0),TEXT(IFERROR(GETPIVOTDATA("Sum of "&amp;H$9,'PT-All'!$A$1,"Scenario",H$12,"P&amp;L Item",$B183)/H$29,0),"0.00%"))</f>
        <v>0</v>
      </c>
      <c r="I183" s="588">
        <f>CHOOSE(PLColumn,IFERROR(GETPIVOTDATA("Sum of "&amp;I$9,'PT-All'!$A$1,"Scenario",I$12,"P&amp;L Item",$B183),0),IFERROR(GETPIVOTDATA("Sum of "&amp;I$9,'PT-All'!$A$1,"Scenario",I$12,"P&amp;L Item",$B183)/I$201,0),TEXT(IFERROR(GETPIVOTDATA("Sum of "&amp;I$9,'PT-All'!$A$1,"Scenario",I$12,"P&amp;L Item",$B183)/I$29,0),"0.00%"))</f>
        <v>0</v>
      </c>
      <c r="J183" s="588">
        <f>CHOOSE(PLColumn,IFERROR(GETPIVOTDATA("Sum of "&amp;J$9,'PT-All'!$A$1,"Scenario",J$12,"P&amp;L Item",$B183),0),IFERROR(GETPIVOTDATA("Sum of "&amp;J$9,'PT-All'!$A$1,"Scenario",J$12,"P&amp;L Item",$B183)/J$201,0),TEXT(IFERROR(GETPIVOTDATA("Sum of "&amp;J$9,'PT-All'!$A$1,"Scenario",J$12,"P&amp;L Item",$B183)/J$29,0),"0.00%"))</f>
        <v>0</v>
      </c>
      <c r="K183" s="588">
        <f>CHOOSE(PLColumn,IFERROR(GETPIVOTDATA("Sum of "&amp;K$9,'PT-All'!$A$1,"Scenario",K$12,"P&amp;L Item",$B183),0),IFERROR(GETPIVOTDATA("Sum of "&amp;K$9,'PT-All'!$A$1,"Scenario",K$12,"P&amp;L Item",$B183)/K$201,0),TEXT(IFERROR(GETPIVOTDATA("Sum of "&amp;K$9,'PT-All'!$A$1,"Scenario",K$12,"P&amp;L Item",$B183)/K$29,0),"0.00%"))</f>
        <v>0</v>
      </c>
      <c r="L183" s="588">
        <f>CHOOSE(PLColumn,IFERROR(GETPIVOTDATA("Sum of "&amp;L$9,'PT-All'!$A$1,"Scenario",L$12,"P&amp;L Item",$B183),0),IFERROR(GETPIVOTDATA("Sum of "&amp;L$9,'PT-All'!$A$1,"Scenario",L$12,"P&amp;L Item",$B183)/L$201,0),TEXT(IFERROR(GETPIVOTDATA("Sum of "&amp;L$9,'PT-All'!$A$1,"Scenario",L$12,"P&amp;L Item",$B183)/L$29,0),"0.00%"))</f>
        <v>0</v>
      </c>
      <c r="M183" s="588">
        <f>CHOOSE(PLColumn,IFERROR(GETPIVOTDATA("Sum of "&amp;M$9,'PT-All'!$A$1,"Scenario",M$12,"P&amp;L Item",$B183),0),IFERROR(GETPIVOTDATA("Sum of "&amp;M$9,'PT-All'!$A$1,"Scenario",M$12,"P&amp;L Item",$B183)/M$201,0),TEXT(IFERROR(GETPIVOTDATA("Sum of "&amp;M$9,'PT-All'!$A$1,"Scenario",M$12,"P&amp;L Item",$B183)/M$29,0),"0.00%"))</f>
        <v>0</v>
      </c>
      <c r="N183" s="588">
        <f>CHOOSE(PLColumn,IFERROR(GETPIVOTDATA("Sum of "&amp;N$9,'PT-All'!$A$1,"Scenario",N$12,"P&amp;L Item",$B183),0),IFERROR(GETPIVOTDATA("Sum of "&amp;N$9,'PT-All'!$A$1,"Scenario",N$12,"P&amp;L Item",$B183)/N$201,0),TEXT(IFERROR(GETPIVOTDATA("Sum of "&amp;N$9,'PT-All'!$A$1,"Scenario",N$12,"P&amp;L Item",$B183)/N$29,0),"0.00%"))</f>
        <v>0</v>
      </c>
      <c r="O183" s="588">
        <f>CHOOSE(PLColumn,IFERROR(GETPIVOTDATA("Sum of "&amp;O$9,'PT-All'!$A$1,"Scenario",O$12,"P&amp;L Item",$B183),0),IFERROR(GETPIVOTDATA("Sum of "&amp;O$9,'PT-All'!$A$1,"Scenario",O$12,"P&amp;L Item",$B183)/O$201,0),TEXT(IFERROR(GETPIVOTDATA("Sum of "&amp;O$9,'PT-All'!$A$1,"Scenario",O$12,"P&amp;L Item",$B183)/O$29,0),"0.00%"))</f>
        <v>0</v>
      </c>
      <c r="P183" s="588">
        <f>CHOOSE(PLColumn,IFERROR(GETPIVOTDATA("Sum of "&amp;P$9,'PT-All'!$A$1,"Scenario",P$12,"P&amp;L Item",$B183),0),IFERROR(GETPIVOTDATA("Sum of "&amp;P$9,'PT-All'!$A$1,"Scenario",P$12,"P&amp;L Item",$B183)/P$201,0),TEXT(IFERROR(GETPIVOTDATA("Sum of "&amp;P$9,'PT-All'!$A$1,"Scenario",P$12,"P&amp;L Item",$B183)/P$29,0),"0.00%"))</f>
        <v>0</v>
      </c>
      <c r="Q183" s="588">
        <f>CHOOSE(PLColumn,IFERROR(GETPIVOTDATA("Sum of "&amp;Q$9,'PT-All'!$A$1,"Scenario",Q$12,"P&amp;L Item",$B183),0),IFERROR(GETPIVOTDATA("Sum of "&amp;Q$9,'PT-All'!$A$1,"Scenario",Q$12,"P&amp;L Item",$B183)/Q$201,0),TEXT(IFERROR(GETPIVOTDATA("Sum of "&amp;Q$9,'PT-All'!$A$1,"Scenario",Q$12,"P&amp;L Item",$B183)/Q$29,0),"0.00%"))</f>
        <v>0</v>
      </c>
      <c r="R183" s="588">
        <f>CHOOSE(PLColumn,IFERROR(GETPIVOTDATA("Sum of "&amp;R$9,'PT-All'!$A$1,"Scenario",R$12,"P&amp;L Item",$B183),0),IFERROR(GETPIVOTDATA("Sum of "&amp;R$9,'PT-All'!$A$1,"Scenario",R$12,"P&amp;L Item",$B183)/R$201,0),TEXT(IFERROR(GETPIVOTDATA("Sum of "&amp;R$9,'PT-All'!$A$1,"Scenario",R$12,"P&amp;L Item",$B183)/R$29,0),"0.00%"))</f>
        <v>0</v>
      </c>
      <c r="S183" s="588">
        <f>CHOOSE(PLColumn,IFERROR(GETPIVOTDATA("Sum of "&amp;S$9,'PT-All'!$A$1,"Scenario",S$12,"P&amp;L Item",$B183),0),IFERROR(GETPIVOTDATA("Sum of "&amp;S$9,'PT-All'!$A$1,"Scenario",S$12,"P&amp;L Item",$B183)/S$201,0),TEXT(IFERROR(GETPIVOTDATA("Sum of "&amp;S$9,'PT-All'!$A$1,"Scenario",S$12,"P&amp;L Item",$B183)/S$29,0),"0.00%"))</f>
        <v>0</v>
      </c>
      <c r="T183" s="588">
        <f>CHOOSE(PLColumn,IFERROR(GETPIVOTDATA("Sum of "&amp;T$9,'PT-All'!$A$1,"Scenario",T$12,"P&amp;L Item",$B183),0),IFERROR(GETPIVOTDATA("Sum of "&amp;T$9,'PT-All'!$A$1,"Scenario",T$12,"P&amp;L Item",$B183)/T$201,0),TEXT(IFERROR(GETPIVOTDATA("Sum of "&amp;T$9,'PT-All'!$A$1,"Scenario",T$12,"P&amp;L Item",$B183)/T$29,0),"0.00%"))</f>
        <v>0</v>
      </c>
      <c r="U183" s="588">
        <f>CHOOSE(PLColumn,IFERROR(GETPIVOTDATA("Sum of "&amp;U$9,'PT-All'!$A$1,"Scenario",U$12,"P&amp;L Item",$B183),0),IFERROR(GETPIVOTDATA("Sum of "&amp;U$9,'PT-All'!$A$1,"Scenario",U$12,"P&amp;L Item",$B183)/U$201,0),TEXT(IFERROR(GETPIVOTDATA("Sum of "&amp;U$9,'PT-All'!$A$1,"Scenario",U$12,"P&amp;L Item",$B183)/U$29,0),"0.00%"))</f>
        <v>0</v>
      </c>
      <c r="V183" s="588">
        <f>CHOOSE(PLColumn,IFERROR(GETPIVOTDATA("Sum of "&amp;V$9,'PT-All'!$A$1,"Scenario",V$12,"P&amp;L Item",$B183),0),IFERROR(GETPIVOTDATA("Sum of "&amp;V$9,'PT-All'!$A$1,"Scenario",V$12,"P&amp;L Item",$B183)/V$201,0),TEXT(IFERROR(GETPIVOTDATA("Sum of "&amp;V$9,'PT-All'!$A$1,"Scenario",V$12,"P&amp;L Item",$B183)/V$29,0),"0.00%"))</f>
        <v>0</v>
      </c>
      <c r="W183" s="588">
        <f>CHOOSE(PLColumn,IFERROR(GETPIVOTDATA("Sum of "&amp;W$9,'PT-All'!$A$1,"Scenario",W$12,"P&amp;L Item",$B183),0),IFERROR(GETPIVOTDATA("Sum of "&amp;W$9,'PT-All'!$A$1,"Scenario",W$12,"P&amp;L Item",$B183)/W$201,0),TEXT(IFERROR(GETPIVOTDATA("Sum of "&amp;W$9,'PT-All'!$A$1,"Scenario",W$12,"P&amp;L Item",$B183)/W$29,0),"0.00%"))</f>
        <v>0</v>
      </c>
      <c r="X183" s="588">
        <f>CHOOSE(PLColumn,IFERROR(GETPIVOTDATA("Sum of "&amp;X$9,'PT-All'!$A$1,"Scenario",X$12,"P&amp;L Item",$B183),0),IFERROR(GETPIVOTDATA("Sum of "&amp;X$9,'PT-All'!$A$1,"Scenario",X$12,"P&amp;L Item",$B183)/X$201,0),TEXT(IFERROR(GETPIVOTDATA("Sum of "&amp;X$9,'PT-All'!$A$1,"Scenario",X$12,"P&amp;L Item",$B183)/X$29,0),"0.00%"))</f>
        <v>0</v>
      </c>
      <c r="Y183" s="588">
        <f>CHOOSE(PLColumn,IFERROR(GETPIVOTDATA("Sum of "&amp;Y$9,'PT-All'!$A$1,"Scenario",Y$12,"P&amp;L Item",$B183),0),IFERROR(GETPIVOTDATA("Sum of "&amp;Y$9,'PT-All'!$A$1,"Scenario",Y$12,"P&amp;L Item",$B183)/Y$201,0),TEXT(IFERROR(GETPIVOTDATA("Sum of "&amp;Y$9,'PT-All'!$A$1,"Scenario",Y$12,"P&amp;L Item",$B183)/Y$29,0),"0.00%"))</f>
        <v>0</v>
      </c>
      <c r="Z183" s="588">
        <f>CHOOSE(PLColumn,IFERROR(GETPIVOTDATA("Sum of "&amp;Z$9,'PT-All'!$A$1,"Scenario",Z$12,"P&amp;L Item",$B183),0),IFERROR(GETPIVOTDATA("Sum of "&amp;Z$9,'PT-All'!$A$1,"Scenario",Z$12,"P&amp;L Item",$B183)/Z$201,0),TEXT(IFERROR(GETPIVOTDATA("Sum of "&amp;Z$9,'PT-All'!$A$1,"Scenario",Z$12,"P&amp;L Item",$B183)/Z$29,0),"0.00%"))</f>
        <v>0</v>
      </c>
      <c r="AA183" s="588">
        <f>CHOOSE(PLColumn,IFERROR(GETPIVOTDATA("Sum of "&amp;AA$9,'PT-All'!$A$1,"Scenario",AA$12,"P&amp;L Item",$B183),0),IFERROR(GETPIVOTDATA("Sum of "&amp;AA$9,'PT-All'!$A$1,"Scenario",AA$12,"P&amp;L Item",$B183)/AA$201,0),TEXT(IFERROR(GETPIVOTDATA("Sum of "&amp;AA$9,'PT-All'!$A$1,"Scenario",AA$12,"P&amp;L Item",$B183)/AA$29,0),"0.00%"))</f>
        <v>0</v>
      </c>
      <c r="AB183" s="588">
        <f>CHOOSE(PLColumn,IFERROR(GETPIVOTDATA("Sum of "&amp;AB$9,'PT-All'!$A$1,"Scenario",AB$12,"P&amp;L Item",$B183),0),IFERROR(GETPIVOTDATA("Sum of "&amp;AB$9,'PT-All'!$A$1,"Scenario",AB$12,"P&amp;L Item",$B183)/AB$201,0),TEXT(IFERROR(GETPIVOTDATA("Sum of "&amp;AB$9,'PT-All'!$A$1,"Scenario",AB$12,"P&amp;L Item",$B183)/AB$29,0),"0.00%"))</f>
        <v>0</v>
      </c>
      <c r="AC183" s="588">
        <f>CHOOSE(PLColumn,IFERROR(GETPIVOTDATA("Sum of "&amp;AC$9,'PT-All'!$A$1,"Scenario",AC$12,"P&amp;L Item",$B183),0),IFERROR(GETPIVOTDATA("Sum of "&amp;AC$9,'PT-All'!$A$1,"Scenario",AC$12,"P&amp;L Item",$B183)/AC$201,0),TEXT(IFERROR(GETPIVOTDATA("Sum of "&amp;AC$9,'PT-All'!$A$1,"Scenario",AC$12,"P&amp;L Item",$B183)/AC$29,0),"0.00%"))</f>
        <v>0</v>
      </c>
      <c r="AD183" s="588">
        <f>CHOOSE(PLColumn,IFERROR(GETPIVOTDATA("Sum of "&amp;AD$9,'PT-All'!$A$1,"Scenario",AD$12,"P&amp;L Item",$B183),0),IFERROR(GETPIVOTDATA("Sum of "&amp;AD$9,'PT-All'!$A$1,"Scenario",AD$12,"P&amp;L Item",$B183)/AD$201,0),TEXT(IFERROR(GETPIVOTDATA("Sum of "&amp;AD$9,'PT-All'!$A$1,"Scenario",AD$12,"P&amp;L Item",$B183)/AD$29,0),"0.00%"))</f>
        <v>0</v>
      </c>
      <c r="AE183" s="588">
        <f>CHOOSE(PLColumn,IFERROR(GETPIVOTDATA("Sum of "&amp;AE$9,'PT-All'!$A$1,"Scenario",AE$12,"P&amp;L Item",$B183),0),IFERROR(GETPIVOTDATA("Sum of "&amp;AE$9,'PT-All'!$A$1,"Scenario",AE$12,"P&amp;L Item",$B183)/AE$201,0),TEXT(IFERROR(GETPIVOTDATA("Sum of "&amp;AE$9,'PT-All'!$A$1,"Scenario",AE$12,"P&amp;L Item",$B183)/AE$29,0),"0.00%"))</f>
        <v>0</v>
      </c>
      <c r="AF183" s="588">
        <f>CHOOSE(PLColumn,IFERROR(GETPIVOTDATA("Sum of "&amp;AF$9,'PT-All'!$A$1,"Scenario",AF$12,"P&amp;L Item",$B183),0),IFERROR(GETPIVOTDATA("Sum of "&amp;AF$9,'PT-All'!$A$1,"Scenario",AF$12,"P&amp;L Item",$B183)/AF$201,0),TEXT(IFERROR(GETPIVOTDATA("Sum of "&amp;AF$9,'PT-All'!$A$1,"Scenario",AF$12,"P&amp;L Item",$B183)/AF$29,0),"0.00%"))</f>
        <v>0</v>
      </c>
      <c r="AG183" s="588">
        <f>CHOOSE(PLColumn,IFERROR(GETPIVOTDATA("Sum of "&amp;AG$9,'PT-All'!$A$1,"Scenario",AG$12,"P&amp;L Item",$B183),0),IFERROR(GETPIVOTDATA("Sum of "&amp;AG$9,'PT-All'!$A$1,"Scenario",AG$12,"P&amp;L Item",$B183)/AG$201,0),TEXT(IFERROR(GETPIVOTDATA("Sum of "&amp;AG$9,'PT-All'!$A$1,"Scenario",AG$12,"P&amp;L Item",$B183)/AG$29,0),"0.00%"))</f>
        <v>0</v>
      </c>
      <c r="AH183" s="588">
        <f>CHOOSE(PLColumn,IFERROR(GETPIVOTDATA("Sum of "&amp;AH$9,'PT-All'!$A$1,"Scenario",AH$12,"P&amp;L Item",$B183),0),IFERROR(GETPIVOTDATA("Sum of "&amp;AH$9,'PT-All'!$A$1,"Scenario",AH$12,"P&amp;L Item",$B183)/AH$201,0),TEXT(IFERROR(GETPIVOTDATA("Sum of "&amp;AH$9,'PT-All'!$A$1,"Scenario",AH$12,"P&amp;L Item",$B183)/AH$29,0),"0.00%"))</f>
        <v>0</v>
      </c>
      <c r="AI183" s="588">
        <f>CHOOSE(PLColumn,IFERROR(GETPIVOTDATA("Sum of "&amp;AI$9,'PT-All'!$A$1,"Scenario",AI$12,"P&amp;L Item",$B183),0),IFERROR(GETPIVOTDATA("Sum of "&amp;AI$9,'PT-All'!$A$1,"Scenario",AI$12,"P&amp;L Item",$B183)/AI$201,0),TEXT(IFERROR(GETPIVOTDATA("Sum of "&amp;AI$9,'PT-All'!$A$1,"Scenario",AI$12,"P&amp;L Item",$B183)/AI$29,0),"0.00%"))</f>
        <v>0</v>
      </c>
      <c r="AJ183" s="588">
        <f>CHOOSE(PLColumn,IFERROR(GETPIVOTDATA("Sum of "&amp;AJ$9,'PT-All'!$A$1,"Scenario",AJ$12,"P&amp;L Item",$B183),0),IFERROR(GETPIVOTDATA("Sum of "&amp;AJ$9,'PT-All'!$A$1,"Scenario",AJ$12,"P&amp;L Item",$B183)/AJ$201,0),TEXT(IFERROR(GETPIVOTDATA("Sum of "&amp;AJ$9,'PT-All'!$A$1,"Scenario",AJ$12,"P&amp;L Item",$B183)/AJ$29,0),"0.00%"))</f>
        <v>0</v>
      </c>
      <c r="AK183" s="588">
        <f>CHOOSE(PLColumn,IFERROR(GETPIVOTDATA("Sum of "&amp;AK$9,'PT-All'!$A$1,"Scenario",AK$12,"P&amp;L Item",$B183),0),IFERROR(GETPIVOTDATA("Sum of "&amp;AK$9,'PT-All'!$A$1,"Scenario",AK$12,"P&amp;L Item",$B183)/AK$201,0),TEXT(IFERROR(GETPIVOTDATA("Sum of "&amp;AK$9,'PT-All'!$A$1,"Scenario",AK$12,"P&amp;L Item",$B183)/AK$29,0),"0.00%"))</f>
        <v>0</v>
      </c>
      <c r="AL183" s="589">
        <f>CHOOSE(PLColumn,IFERROR(GETPIVOTDATA("Sum of "&amp;AL$9,'PT-All'!$A$1,"Scenario",AL$12,"P&amp;L Item",$B183),0),IFERROR(GETPIVOTDATA("Sum of "&amp;AL$9,'PT-All'!$A$1,"Scenario",AL$12,"P&amp;L Item",$B183)/AL$201,0),TEXT(IFERROR(GETPIVOTDATA("Sum of "&amp;AL$9,'PT-All'!$A$1,"Scenario",AL$12,"P&amp;L Item",$B183)/AL$29,0),"0.00%"))</f>
        <v>0</v>
      </c>
      <c r="AM183" s="590"/>
      <c r="AN183" s="591">
        <f ca="1">IF(AN$12="Pro Forma",SUM(OFFSET($B183,0,3*AN$9+1,1,3)),IFERROR(GETPIVOTDATA("Sum of Q"&amp;AN$9+1,'PT-All'!$A$1,"Scenario",AN$12,"P&amp;L Item",$B183),0))</f>
        <v>0</v>
      </c>
      <c r="AO183" s="588">
        <f ca="1">IF(AO$12="Pro Forma",SUM(OFFSET($B183,0,3*AO$9+1,1,3)),IFERROR(GETPIVOTDATA("Sum of Q"&amp;AO$9+1,'PT-All'!$A$1,"Scenario",AO$12,"P&amp;L Item",$B183),0))</f>
        <v>0</v>
      </c>
      <c r="AP183" s="588">
        <f ca="1">IF(AP$12="Pro Forma",SUM(OFFSET($B183,0,3*AP$9+1,1,3)),IFERROR(GETPIVOTDATA("Sum of Q"&amp;AP$9+1,'PT-All'!$A$1,"Scenario",AP$12,"P&amp;L Item",$B183),0))</f>
        <v>0</v>
      </c>
      <c r="AQ183" s="588">
        <f ca="1">IF(AQ$12="Pro Forma",SUM(OFFSET($B183,0,3*AQ$9+1,1,3)),IFERROR(GETPIVOTDATA("Sum of Q"&amp;AQ$9+1,'PT-All'!$A$1,"Scenario",AQ$12,"P&amp;L Item",$B183),0))</f>
        <v>0</v>
      </c>
      <c r="AR183" s="588">
        <f ca="1">IF(AR$12="Pro Forma",SUM(OFFSET($B183,0,3*AR$9+1,1,3)),IFERROR(GETPIVOTDATA("Sum of Q"&amp;AR$9+1,'PT-All'!$A$1,"Scenario",AR$12,"P&amp;L Item",$B183),0))</f>
        <v>0</v>
      </c>
      <c r="AS183" s="588">
        <f ca="1">IF(AS$12="Pro Forma",SUM(OFFSET($B183,0,3*AS$9+1,1,3)),IFERROR(GETPIVOTDATA("Sum of Q"&amp;AS$9+1,'PT-All'!$A$1,"Scenario",AS$12,"P&amp;L Item",$B183),0))</f>
        <v>0</v>
      </c>
      <c r="AT183" s="588">
        <f ca="1">IF(AT$12="Pro Forma",SUM(OFFSET($B183,0,3*AT$9+1,1,3)),IFERROR(GETPIVOTDATA("Sum of Q"&amp;AT$9+1,'PT-All'!$A$1,"Scenario",AT$12,"P&amp;L Item",$B183),0))</f>
        <v>0</v>
      </c>
      <c r="AU183" s="588">
        <f ca="1">IF(AU$12="Pro Forma",SUM(OFFSET($B183,0,3*AU$9+1,1,3)),IFERROR(GETPIVOTDATA("Sum of Q"&amp;AU$9+1,'PT-All'!$A$1,"Scenario",AU$12,"P&amp;L Item",$B183),0))</f>
        <v>0</v>
      </c>
      <c r="AV183" s="588">
        <f ca="1">IF(AV$12="Pro Forma",SUM(OFFSET($B183,0,3*AV$9+1,1,3)),IFERROR(GETPIVOTDATA("Sum of Q"&amp;AV$9+1,'PT-All'!$A$1,"Scenario",AV$12,"P&amp;L Item",$B183),0))</f>
        <v>0</v>
      </c>
      <c r="AW183" s="588">
        <f ca="1">IF(AW$12="Pro Forma",SUM(OFFSET($B183,0,3*AW$9+1,1,3)),IFERROR(GETPIVOTDATA("Sum of Q"&amp;AW$9+1,'PT-All'!$A$1,"Scenario",AW$12,"P&amp;L Item",$B183),0))</f>
        <v>0</v>
      </c>
      <c r="AX183" s="588">
        <f ca="1">IF(AX$12="Pro Forma",SUM(OFFSET($B183,0,3*AX$9+1,1,3)),IFERROR(GETPIVOTDATA("Sum of Q"&amp;AX$9+1,'PT-All'!$A$1,"Scenario",AX$12,"P&amp;L Item",$B183),0))</f>
        <v>0</v>
      </c>
      <c r="AY183" s="589">
        <f ca="1">IF(AY$12="Pro Forma",SUM(OFFSET($B183,0,3*AY$9+1,1,3)),IFERROR(GETPIVOTDATA("Sum of Q"&amp;AY$9+1,'PT-All'!$A$1,"Scenario",AY$12,"P&amp;L Item",$B183),0))</f>
        <v>0</v>
      </c>
      <c r="AZ183" s="590"/>
      <c r="BA183" s="591">
        <f ca="1">IF(BA$12="Pro Forma",SUM(OFFSET($B183,0,12*BA$9+1,1,12)),IFERROR(GETPIVOTDATA("Sum of FY"&amp;BA$9+1,'PT-All'!$A$1,"Scenario",BA$12,"P&amp;L Item",$B183),0))</f>
        <v>0</v>
      </c>
      <c r="BB183" s="588">
        <f ca="1">IF(BB$12="Pro Forma",SUM(OFFSET($B183,0,12*BB$9+1,1,12)),IFERROR(GETPIVOTDATA("Sum of FY"&amp;BB$9+1,'PT-All'!$A$1,"Scenario",BB$12,"P&amp;L Item",$B183),0))</f>
        <v>0</v>
      </c>
      <c r="BC183" s="589">
        <f ca="1">IF(BC$12="Pro Forma",SUM(OFFSET($B183,0,12*BC$9+1,1,12)),IFERROR(GETPIVOTDATA("Sum of FY"&amp;BC$9+1,'PT-All'!$A$1,"Scenario",BC$12,"P&amp;L Item",$B183),0))</f>
        <v>0</v>
      </c>
    </row>
    <row r="184" spans="2:55" x14ac:dyDescent="0.35">
      <c r="B184" s="358"/>
      <c r="C184" s="595"/>
      <c r="D184" s="595"/>
      <c r="E184" s="595"/>
      <c r="F184" s="595"/>
      <c r="G184" s="595"/>
      <c r="H184" s="595"/>
      <c r="I184" s="595"/>
      <c r="J184" s="595"/>
      <c r="K184" s="595"/>
      <c r="L184" s="595"/>
      <c r="M184" s="595"/>
      <c r="N184" s="595"/>
      <c r="O184" s="595"/>
      <c r="P184" s="595"/>
      <c r="Q184" s="595"/>
      <c r="R184" s="595"/>
      <c r="S184" s="595"/>
      <c r="T184" s="595"/>
      <c r="U184" s="595"/>
      <c r="V184" s="595"/>
      <c r="W184" s="595"/>
      <c r="X184" s="595"/>
      <c r="Y184" s="595"/>
      <c r="Z184" s="595"/>
      <c r="AA184" s="595"/>
      <c r="AB184" s="595"/>
      <c r="AC184" s="595"/>
      <c r="AD184" s="595"/>
      <c r="AE184" s="595"/>
      <c r="AF184" s="595"/>
      <c r="AG184" s="595"/>
      <c r="AH184" s="595"/>
      <c r="AI184" s="595"/>
      <c r="AJ184" s="595"/>
      <c r="AK184" s="595"/>
      <c r="AL184" s="596"/>
      <c r="AM184" s="590"/>
      <c r="AN184" s="597"/>
      <c r="AO184" s="595"/>
      <c r="AP184" s="595"/>
      <c r="AQ184" s="595"/>
      <c r="AR184" s="595"/>
      <c r="AS184" s="595"/>
      <c r="AT184" s="595"/>
      <c r="AU184" s="595"/>
      <c r="AV184" s="595"/>
      <c r="AW184" s="595"/>
      <c r="AX184" s="595"/>
      <c r="AY184" s="596"/>
      <c r="AZ184" s="590"/>
      <c r="BA184" s="597"/>
      <c r="BB184" s="595"/>
      <c r="BC184" s="596"/>
    </row>
    <row r="185" spans="2:55" x14ac:dyDescent="0.35">
      <c r="B185" s="67" t="s">
        <v>61</v>
      </c>
      <c r="C185" s="619">
        <f t="shared" ref="C185:Y185" si="399">C178-C183</f>
        <v>0</v>
      </c>
      <c r="D185" s="619">
        <f t="shared" si="399"/>
        <v>0</v>
      </c>
      <c r="E185" s="619">
        <f t="shared" si="399"/>
        <v>0</v>
      </c>
      <c r="F185" s="619">
        <f t="shared" si="399"/>
        <v>0</v>
      </c>
      <c r="G185" s="619">
        <f t="shared" si="399"/>
        <v>0</v>
      </c>
      <c r="H185" s="619">
        <f t="shared" si="399"/>
        <v>0</v>
      </c>
      <c r="I185" s="619">
        <f t="shared" si="399"/>
        <v>0</v>
      </c>
      <c r="J185" s="619">
        <f t="shared" si="399"/>
        <v>0</v>
      </c>
      <c r="K185" s="619">
        <f t="shared" si="399"/>
        <v>0</v>
      </c>
      <c r="L185" s="619">
        <f t="shared" si="399"/>
        <v>0</v>
      </c>
      <c r="M185" s="619">
        <f t="shared" si="399"/>
        <v>0</v>
      </c>
      <c r="N185" s="619">
        <f t="shared" si="399"/>
        <v>0</v>
      </c>
      <c r="O185" s="619">
        <f t="shared" si="399"/>
        <v>0</v>
      </c>
      <c r="P185" s="619">
        <f t="shared" si="399"/>
        <v>0</v>
      </c>
      <c r="Q185" s="619">
        <f t="shared" si="399"/>
        <v>0</v>
      </c>
      <c r="R185" s="619">
        <f t="shared" si="399"/>
        <v>0</v>
      </c>
      <c r="S185" s="619">
        <f t="shared" si="399"/>
        <v>0</v>
      </c>
      <c r="T185" s="619">
        <f t="shared" si="399"/>
        <v>0</v>
      </c>
      <c r="U185" s="619">
        <f t="shared" si="399"/>
        <v>0</v>
      </c>
      <c r="V185" s="619">
        <f t="shared" si="399"/>
        <v>0</v>
      </c>
      <c r="W185" s="619">
        <f t="shared" si="399"/>
        <v>0</v>
      </c>
      <c r="X185" s="619">
        <f t="shared" si="399"/>
        <v>0</v>
      </c>
      <c r="Y185" s="619">
        <f t="shared" si="399"/>
        <v>0</v>
      </c>
      <c r="Z185" s="619">
        <f t="shared" ref="Z185:AL185" si="400">Z178-Z183</f>
        <v>0</v>
      </c>
      <c r="AA185" s="619">
        <f t="shared" si="400"/>
        <v>0</v>
      </c>
      <c r="AB185" s="619">
        <f t="shared" si="400"/>
        <v>0</v>
      </c>
      <c r="AC185" s="619">
        <f t="shared" si="400"/>
        <v>0</v>
      </c>
      <c r="AD185" s="619">
        <f t="shared" si="400"/>
        <v>0</v>
      </c>
      <c r="AE185" s="619">
        <f t="shared" si="400"/>
        <v>0</v>
      </c>
      <c r="AF185" s="619">
        <f t="shared" si="400"/>
        <v>0</v>
      </c>
      <c r="AG185" s="619">
        <f t="shared" si="400"/>
        <v>0</v>
      </c>
      <c r="AH185" s="619">
        <f t="shared" si="400"/>
        <v>0</v>
      </c>
      <c r="AI185" s="619">
        <f t="shared" si="400"/>
        <v>0</v>
      </c>
      <c r="AJ185" s="619">
        <f t="shared" si="400"/>
        <v>0</v>
      </c>
      <c r="AK185" s="619">
        <f t="shared" si="400"/>
        <v>0</v>
      </c>
      <c r="AL185" s="620">
        <f t="shared" si="400"/>
        <v>0</v>
      </c>
      <c r="AM185" s="590"/>
      <c r="AN185" s="627">
        <f t="shared" ref="AN185:AT185" ca="1" si="401">AN178-AN183</f>
        <v>0</v>
      </c>
      <c r="AO185" s="619">
        <f t="shared" ca="1" si="401"/>
        <v>0</v>
      </c>
      <c r="AP185" s="619">
        <f t="shared" ca="1" si="401"/>
        <v>0</v>
      </c>
      <c r="AQ185" s="619">
        <f t="shared" ca="1" si="401"/>
        <v>0</v>
      </c>
      <c r="AR185" s="619">
        <f t="shared" ca="1" si="401"/>
        <v>0</v>
      </c>
      <c r="AS185" s="619">
        <f t="shared" ca="1" si="401"/>
        <v>0</v>
      </c>
      <c r="AT185" s="619">
        <f t="shared" ca="1" si="401"/>
        <v>0</v>
      </c>
      <c r="AU185" s="619">
        <f t="shared" ref="AU185:AY185" ca="1" si="402">AU178-AU183</f>
        <v>0</v>
      </c>
      <c r="AV185" s="619">
        <f t="shared" ca="1" si="402"/>
        <v>0</v>
      </c>
      <c r="AW185" s="619">
        <f t="shared" ca="1" si="402"/>
        <v>0</v>
      </c>
      <c r="AX185" s="619">
        <f t="shared" ca="1" si="402"/>
        <v>0</v>
      </c>
      <c r="AY185" s="620">
        <f t="shared" ca="1" si="402"/>
        <v>0</v>
      </c>
      <c r="AZ185" s="590"/>
      <c r="BA185" s="627">
        <f t="shared" ref="BA185" ca="1" si="403">BA178-BA183</f>
        <v>0</v>
      </c>
      <c r="BB185" s="619">
        <f t="shared" ref="BB185:BC185" ca="1" si="404">BB178-BB183</f>
        <v>0</v>
      </c>
      <c r="BC185" s="620">
        <f t="shared" ca="1" si="404"/>
        <v>0</v>
      </c>
    </row>
    <row r="186" spans="2:55" x14ac:dyDescent="0.35">
      <c r="B186" s="72" t="s">
        <v>62</v>
      </c>
      <c r="C186" s="598">
        <f t="shared" ref="C186:AN186" si="405">IFERROR(C185/C$29,0)</f>
        <v>0</v>
      </c>
      <c r="D186" s="598">
        <f t="shared" si="405"/>
        <v>0</v>
      </c>
      <c r="E186" s="598">
        <f t="shared" si="405"/>
        <v>0</v>
      </c>
      <c r="F186" s="598">
        <f t="shared" si="405"/>
        <v>0</v>
      </c>
      <c r="G186" s="598">
        <f t="shared" si="405"/>
        <v>0</v>
      </c>
      <c r="H186" s="598">
        <f t="shared" si="405"/>
        <v>0</v>
      </c>
      <c r="I186" s="598">
        <f t="shared" si="405"/>
        <v>0</v>
      </c>
      <c r="J186" s="598">
        <f t="shared" si="405"/>
        <v>0</v>
      </c>
      <c r="K186" s="598">
        <f t="shared" si="405"/>
        <v>0</v>
      </c>
      <c r="L186" s="598">
        <f t="shared" si="405"/>
        <v>0</v>
      </c>
      <c r="M186" s="598">
        <f t="shared" si="405"/>
        <v>0</v>
      </c>
      <c r="N186" s="598">
        <f t="shared" si="405"/>
        <v>0</v>
      </c>
      <c r="O186" s="598">
        <f t="shared" si="405"/>
        <v>0</v>
      </c>
      <c r="P186" s="598">
        <f t="shared" si="405"/>
        <v>0</v>
      </c>
      <c r="Q186" s="598">
        <f t="shared" si="405"/>
        <v>0</v>
      </c>
      <c r="R186" s="598">
        <f t="shared" si="405"/>
        <v>0</v>
      </c>
      <c r="S186" s="598">
        <f t="shared" si="405"/>
        <v>0</v>
      </c>
      <c r="T186" s="598">
        <f t="shared" si="405"/>
        <v>0</v>
      </c>
      <c r="U186" s="598">
        <f t="shared" si="405"/>
        <v>0</v>
      </c>
      <c r="V186" s="598">
        <f t="shared" si="405"/>
        <v>0</v>
      </c>
      <c r="W186" s="598">
        <f t="shared" si="405"/>
        <v>0</v>
      </c>
      <c r="X186" s="598">
        <f t="shared" si="405"/>
        <v>0</v>
      </c>
      <c r="Y186" s="598">
        <f t="shared" si="405"/>
        <v>0</v>
      </c>
      <c r="Z186" s="598">
        <f t="shared" ref="Z186:AL186" si="406">IFERROR(Z185/Z$29,0)</f>
        <v>0</v>
      </c>
      <c r="AA186" s="598">
        <f t="shared" si="406"/>
        <v>0</v>
      </c>
      <c r="AB186" s="598">
        <f t="shared" si="406"/>
        <v>0</v>
      </c>
      <c r="AC186" s="598">
        <f t="shared" si="406"/>
        <v>0</v>
      </c>
      <c r="AD186" s="598">
        <f t="shared" si="406"/>
        <v>0</v>
      </c>
      <c r="AE186" s="598">
        <f t="shared" si="406"/>
        <v>0</v>
      </c>
      <c r="AF186" s="598">
        <f t="shared" si="406"/>
        <v>0</v>
      </c>
      <c r="AG186" s="598">
        <f t="shared" si="406"/>
        <v>0</v>
      </c>
      <c r="AH186" s="598">
        <f t="shared" si="406"/>
        <v>0</v>
      </c>
      <c r="AI186" s="598">
        <f t="shared" si="406"/>
        <v>0</v>
      </c>
      <c r="AJ186" s="598">
        <f t="shared" si="406"/>
        <v>0</v>
      </c>
      <c r="AK186" s="598">
        <f t="shared" si="406"/>
        <v>0</v>
      </c>
      <c r="AL186" s="599">
        <f t="shared" si="406"/>
        <v>0</v>
      </c>
      <c r="AM186" s="590"/>
      <c r="AN186" s="600">
        <f t="shared" ca="1" si="405"/>
        <v>0</v>
      </c>
      <c r="AO186" s="598">
        <f t="shared" ref="AO186" ca="1" si="407">IFERROR(AO185/AO$29,0)</f>
        <v>0</v>
      </c>
      <c r="AP186" s="598">
        <f t="shared" ref="AP186" ca="1" si="408">IFERROR(AP185/AP$29,0)</f>
        <v>0</v>
      </c>
      <c r="AQ186" s="598">
        <f t="shared" ref="AQ186" ca="1" si="409">IFERROR(AQ185/AQ$29,0)</f>
        <v>0</v>
      </c>
      <c r="AR186" s="598">
        <f t="shared" ref="AR186" ca="1" si="410">IFERROR(AR185/AR$29,0)</f>
        <v>0</v>
      </c>
      <c r="AS186" s="598">
        <f t="shared" ref="AS186" ca="1" si="411">IFERROR(AS185/AS$29,0)</f>
        <v>0</v>
      </c>
      <c r="AT186" s="598">
        <f t="shared" ref="AT186:AY186" ca="1" si="412">IFERROR(AT185/AT$29,0)</f>
        <v>0</v>
      </c>
      <c r="AU186" s="598">
        <f t="shared" ca="1" si="412"/>
        <v>0</v>
      </c>
      <c r="AV186" s="598">
        <f t="shared" ca="1" si="412"/>
        <v>0</v>
      </c>
      <c r="AW186" s="598">
        <f t="shared" ca="1" si="412"/>
        <v>0</v>
      </c>
      <c r="AX186" s="598">
        <f t="shared" ca="1" si="412"/>
        <v>0</v>
      </c>
      <c r="AY186" s="599">
        <f t="shared" ca="1" si="412"/>
        <v>0</v>
      </c>
      <c r="AZ186" s="590"/>
      <c r="BA186" s="600">
        <f t="shared" ref="BA186" ca="1" si="413">IFERROR(BA185/BA$29,0)</f>
        <v>0</v>
      </c>
      <c r="BB186" s="598">
        <f t="shared" ref="BB186:BC186" ca="1" si="414">IFERROR(BB185/BB$29,0)</f>
        <v>0</v>
      </c>
      <c r="BC186" s="599">
        <f t="shared" ca="1" si="414"/>
        <v>0</v>
      </c>
    </row>
    <row r="187" spans="2:55" x14ac:dyDescent="0.35">
      <c r="B187" s="358"/>
      <c r="C187" s="595"/>
      <c r="D187" s="595"/>
      <c r="E187" s="595"/>
      <c r="F187" s="595"/>
      <c r="G187" s="595"/>
      <c r="H187" s="595"/>
      <c r="I187" s="595"/>
      <c r="J187" s="595"/>
      <c r="K187" s="595"/>
      <c r="L187" s="595"/>
      <c r="M187" s="595"/>
      <c r="N187" s="595"/>
      <c r="O187" s="595"/>
      <c r="P187" s="595"/>
      <c r="Q187" s="595"/>
      <c r="R187" s="595"/>
      <c r="S187" s="595"/>
      <c r="T187" s="595"/>
      <c r="U187" s="595"/>
      <c r="V187" s="595"/>
      <c r="W187" s="595"/>
      <c r="X187" s="595"/>
      <c r="Y187" s="595"/>
      <c r="Z187" s="595"/>
      <c r="AA187" s="595"/>
      <c r="AB187" s="595"/>
      <c r="AC187" s="595"/>
      <c r="AD187" s="595"/>
      <c r="AE187" s="595"/>
      <c r="AF187" s="595"/>
      <c r="AG187" s="595"/>
      <c r="AH187" s="595"/>
      <c r="AI187" s="595"/>
      <c r="AJ187" s="595"/>
      <c r="AK187" s="595"/>
      <c r="AL187" s="596"/>
      <c r="AM187" s="590"/>
      <c r="AN187" s="597"/>
      <c r="AO187" s="595"/>
      <c r="AP187" s="595"/>
      <c r="AQ187" s="595"/>
      <c r="AR187" s="595"/>
      <c r="AS187" s="595"/>
      <c r="AT187" s="595"/>
      <c r="AU187" s="595"/>
      <c r="AV187" s="595"/>
      <c r="AW187" s="595"/>
      <c r="AX187" s="595"/>
      <c r="AY187" s="596"/>
      <c r="AZ187" s="590"/>
      <c r="BA187" s="597"/>
      <c r="BB187" s="595"/>
      <c r="BC187" s="596"/>
    </row>
    <row r="188" spans="2:55" x14ac:dyDescent="0.35">
      <c r="B188" s="356" t="s">
        <v>63</v>
      </c>
      <c r="C188" s="588">
        <f>CHOOSE(PLColumn,IFERROR(GETPIVOTDATA("Sum of "&amp;C$9,'PT-All'!$A$1,"Scenario",C$12,"P&amp;L Item",$B188),0),IFERROR(GETPIVOTDATA("Sum of "&amp;C$9,'PT-All'!$A$1,"Scenario",C$12,"P&amp;L Item",$B188)/C$201,0),TEXT(IFERROR(GETPIVOTDATA("Sum of "&amp;C$9,'PT-All'!$A$1,"Scenario",C$12,"P&amp;L Item",$B188)/C$29,0),"0.00%"))</f>
        <v>0</v>
      </c>
      <c r="D188" s="588">
        <f>CHOOSE(PLColumn,IFERROR(GETPIVOTDATA("Sum of "&amp;D$9,'PT-All'!$A$1,"Scenario",D$12,"P&amp;L Item",$B188),0),IFERROR(GETPIVOTDATA("Sum of "&amp;D$9,'PT-All'!$A$1,"Scenario",D$12,"P&amp;L Item",$B188)/D$201,0),TEXT(IFERROR(GETPIVOTDATA("Sum of "&amp;D$9,'PT-All'!$A$1,"Scenario",D$12,"P&amp;L Item",$B188)/D$29,0),"0.00%"))</f>
        <v>0</v>
      </c>
      <c r="E188" s="588">
        <f>CHOOSE(PLColumn,IFERROR(GETPIVOTDATA("Sum of "&amp;E$9,'PT-All'!$A$1,"Scenario",E$12,"P&amp;L Item",$B188),0),IFERROR(GETPIVOTDATA("Sum of "&amp;E$9,'PT-All'!$A$1,"Scenario",E$12,"P&amp;L Item",$B188)/E$201,0),TEXT(IFERROR(GETPIVOTDATA("Sum of "&amp;E$9,'PT-All'!$A$1,"Scenario",E$12,"P&amp;L Item",$B188)/E$29,0),"0.00%"))</f>
        <v>0</v>
      </c>
      <c r="F188" s="588">
        <f>CHOOSE(PLColumn,IFERROR(GETPIVOTDATA("Sum of "&amp;F$9,'PT-All'!$A$1,"Scenario",F$12,"P&amp;L Item",$B188),0),IFERROR(GETPIVOTDATA("Sum of "&amp;F$9,'PT-All'!$A$1,"Scenario",F$12,"P&amp;L Item",$B188)/F$201,0),TEXT(IFERROR(GETPIVOTDATA("Sum of "&amp;F$9,'PT-All'!$A$1,"Scenario",F$12,"P&amp;L Item",$B188)/F$29,0),"0.00%"))</f>
        <v>0</v>
      </c>
      <c r="G188" s="588">
        <f>CHOOSE(PLColumn,IFERROR(GETPIVOTDATA("Sum of "&amp;G$9,'PT-All'!$A$1,"Scenario",G$12,"P&amp;L Item",$B188),0),IFERROR(GETPIVOTDATA("Sum of "&amp;G$9,'PT-All'!$A$1,"Scenario",G$12,"P&amp;L Item",$B188)/G$201,0),TEXT(IFERROR(GETPIVOTDATA("Sum of "&amp;G$9,'PT-All'!$A$1,"Scenario",G$12,"P&amp;L Item",$B188)/G$29,0),"0.00%"))</f>
        <v>0</v>
      </c>
      <c r="H188" s="588">
        <f>CHOOSE(PLColumn,IFERROR(GETPIVOTDATA("Sum of "&amp;H$9,'PT-All'!$A$1,"Scenario",H$12,"P&amp;L Item",$B188),0),IFERROR(GETPIVOTDATA("Sum of "&amp;H$9,'PT-All'!$A$1,"Scenario",H$12,"P&amp;L Item",$B188)/H$201,0),TEXT(IFERROR(GETPIVOTDATA("Sum of "&amp;H$9,'PT-All'!$A$1,"Scenario",H$12,"P&amp;L Item",$B188)/H$29,0),"0.00%"))</f>
        <v>0</v>
      </c>
      <c r="I188" s="588">
        <f>CHOOSE(PLColumn,IFERROR(GETPIVOTDATA("Sum of "&amp;I$9,'PT-All'!$A$1,"Scenario",I$12,"P&amp;L Item",$B188),0),IFERROR(GETPIVOTDATA("Sum of "&amp;I$9,'PT-All'!$A$1,"Scenario",I$12,"P&amp;L Item",$B188)/I$201,0),TEXT(IFERROR(GETPIVOTDATA("Sum of "&amp;I$9,'PT-All'!$A$1,"Scenario",I$12,"P&amp;L Item",$B188)/I$29,0),"0.00%"))</f>
        <v>0</v>
      </c>
      <c r="J188" s="588">
        <f>CHOOSE(PLColumn,IFERROR(GETPIVOTDATA("Sum of "&amp;J$9,'PT-All'!$A$1,"Scenario",J$12,"P&amp;L Item",$B188),0),IFERROR(GETPIVOTDATA("Sum of "&amp;J$9,'PT-All'!$A$1,"Scenario",J$12,"P&amp;L Item",$B188)/J$201,0),TEXT(IFERROR(GETPIVOTDATA("Sum of "&amp;J$9,'PT-All'!$A$1,"Scenario",J$12,"P&amp;L Item",$B188)/J$29,0),"0.00%"))</f>
        <v>0</v>
      </c>
      <c r="K188" s="588">
        <f>CHOOSE(PLColumn,IFERROR(GETPIVOTDATA("Sum of "&amp;K$9,'PT-All'!$A$1,"Scenario",K$12,"P&amp;L Item",$B188),0),IFERROR(GETPIVOTDATA("Sum of "&amp;K$9,'PT-All'!$A$1,"Scenario",K$12,"P&amp;L Item",$B188)/K$201,0),TEXT(IFERROR(GETPIVOTDATA("Sum of "&amp;K$9,'PT-All'!$A$1,"Scenario",K$12,"P&amp;L Item",$B188)/K$29,0),"0.00%"))</f>
        <v>0</v>
      </c>
      <c r="L188" s="588">
        <f>CHOOSE(PLColumn,IFERROR(GETPIVOTDATA("Sum of "&amp;L$9,'PT-All'!$A$1,"Scenario",L$12,"P&amp;L Item",$B188),0),IFERROR(GETPIVOTDATA("Sum of "&amp;L$9,'PT-All'!$A$1,"Scenario",L$12,"P&amp;L Item",$B188)/L$201,0),TEXT(IFERROR(GETPIVOTDATA("Sum of "&amp;L$9,'PT-All'!$A$1,"Scenario",L$12,"P&amp;L Item",$B188)/L$29,0),"0.00%"))</f>
        <v>0</v>
      </c>
      <c r="M188" s="588">
        <f>CHOOSE(PLColumn,IFERROR(GETPIVOTDATA("Sum of "&amp;M$9,'PT-All'!$A$1,"Scenario",M$12,"P&amp;L Item",$B188),0),IFERROR(GETPIVOTDATA("Sum of "&amp;M$9,'PT-All'!$A$1,"Scenario",M$12,"P&amp;L Item",$B188)/M$201,0),TEXT(IFERROR(GETPIVOTDATA("Sum of "&amp;M$9,'PT-All'!$A$1,"Scenario",M$12,"P&amp;L Item",$B188)/M$29,0),"0.00%"))</f>
        <v>0</v>
      </c>
      <c r="N188" s="588">
        <f>CHOOSE(PLColumn,IFERROR(GETPIVOTDATA("Sum of "&amp;N$9,'PT-All'!$A$1,"Scenario",N$12,"P&amp;L Item",$B188),0),IFERROR(GETPIVOTDATA("Sum of "&amp;N$9,'PT-All'!$A$1,"Scenario",N$12,"P&amp;L Item",$B188)/N$201,0),TEXT(IFERROR(GETPIVOTDATA("Sum of "&amp;N$9,'PT-All'!$A$1,"Scenario",N$12,"P&amp;L Item",$B188)/N$29,0),"0.00%"))</f>
        <v>0</v>
      </c>
      <c r="O188" s="588">
        <f>CHOOSE(PLColumn,IFERROR(GETPIVOTDATA("Sum of "&amp;O$9,'PT-All'!$A$1,"Scenario",O$12,"P&amp;L Item",$B188),0),IFERROR(GETPIVOTDATA("Sum of "&amp;O$9,'PT-All'!$A$1,"Scenario",O$12,"P&amp;L Item",$B188)/O$201,0),TEXT(IFERROR(GETPIVOTDATA("Sum of "&amp;O$9,'PT-All'!$A$1,"Scenario",O$12,"P&amp;L Item",$B188)/O$29,0),"0.00%"))</f>
        <v>0</v>
      </c>
      <c r="P188" s="588">
        <f>CHOOSE(PLColumn,IFERROR(GETPIVOTDATA("Sum of "&amp;P$9,'PT-All'!$A$1,"Scenario",P$12,"P&amp;L Item",$B188),0),IFERROR(GETPIVOTDATA("Sum of "&amp;P$9,'PT-All'!$A$1,"Scenario",P$12,"P&amp;L Item",$B188)/P$201,0),TEXT(IFERROR(GETPIVOTDATA("Sum of "&amp;P$9,'PT-All'!$A$1,"Scenario",P$12,"P&amp;L Item",$B188)/P$29,0),"0.00%"))</f>
        <v>0</v>
      </c>
      <c r="Q188" s="588">
        <f>CHOOSE(PLColumn,IFERROR(GETPIVOTDATA("Sum of "&amp;Q$9,'PT-All'!$A$1,"Scenario",Q$12,"P&amp;L Item",$B188),0),IFERROR(GETPIVOTDATA("Sum of "&amp;Q$9,'PT-All'!$A$1,"Scenario",Q$12,"P&amp;L Item",$B188)/Q$201,0),TEXT(IFERROR(GETPIVOTDATA("Sum of "&amp;Q$9,'PT-All'!$A$1,"Scenario",Q$12,"P&amp;L Item",$B188)/Q$29,0),"0.00%"))</f>
        <v>0</v>
      </c>
      <c r="R188" s="588">
        <f>CHOOSE(PLColumn,IFERROR(GETPIVOTDATA("Sum of "&amp;R$9,'PT-All'!$A$1,"Scenario",R$12,"P&amp;L Item",$B188),0),IFERROR(GETPIVOTDATA("Sum of "&amp;R$9,'PT-All'!$A$1,"Scenario",R$12,"P&amp;L Item",$B188)/R$201,0),TEXT(IFERROR(GETPIVOTDATA("Sum of "&amp;R$9,'PT-All'!$A$1,"Scenario",R$12,"P&amp;L Item",$B188)/R$29,0),"0.00%"))</f>
        <v>0</v>
      </c>
      <c r="S188" s="588">
        <f>CHOOSE(PLColumn,IFERROR(GETPIVOTDATA("Sum of "&amp;S$9,'PT-All'!$A$1,"Scenario",S$12,"P&amp;L Item",$B188),0),IFERROR(GETPIVOTDATA("Sum of "&amp;S$9,'PT-All'!$A$1,"Scenario",S$12,"P&amp;L Item",$B188)/S$201,0),TEXT(IFERROR(GETPIVOTDATA("Sum of "&amp;S$9,'PT-All'!$A$1,"Scenario",S$12,"P&amp;L Item",$B188)/S$29,0),"0.00%"))</f>
        <v>0</v>
      </c>
      <c r="T188" s="588">
        <f>CHOOSE(PLColumn,IFERROR(GETPIVOTDATA("Sum of "&amp;T$9,'PT-All'!$A$1,"Scenario",T$12,"P&amp;L Item",$B188),0),IFERROR(GETPIVOTDATA("Sum of "&amp;T$9,'PT-All'!$A$1,"Scenario",T$12,"P&amp;L Item",$B188)/T$201,0),TEXT(IFERROR(GETPIVOTDATA("Sum of "&amp;T$9,'PT-All'!$A$1,"Scenario",T$12,"P&amp;L Item",$B188)/T$29,0),"0.00%"))</f>
        <v>0</v>
      </c>
      <c r="U188" s="588">
        <f>CHOOSE(PLColumn,IFERROR(GETPIVOTDATA("Sum of "&amp;U$9,'PT-All'!$A$1,"Scenario",U$12,"P&amp;L Item",$B188),0),IFERROR(GETPIVOTDATA("Sum of "&amp;U$9,'PT-All'!$A$1,"Scenario",U$12,"P&amp;L Item",$B188)/U$201,0),TEXT(IFERROR(GETPIVOTDATA("Sum of "&amp;U$9,'PT-All'!$A$1,"Scenario",U$12,"P&amp;L Item",$B188)/U$29,0),"0.00%"))</f>
        <v>0</v>
      </c>
      <c r="V188" s="588">
        <f>CHOOSE(PLColumn,IFERROR(GETPIVOTDATA("Sum of "&amp;V$9,'PT-All'!$A$1,"Scenario",V$12,"P&amp;L Item",$B188),0),IFERROR(GETPIVOTDATA("Sum of "&amp;V$9,'PT-All'!$A$1,"Scenario",V$12,"P&amp;L Item",$B188)/V$201,0),TEXT(IFERROR(GETPIVOTDATA("Sum of "&amp;V$9,'PT-All'!$A$1,"Scenario",V$12,"P&amp;L Item",$B188)/V$29,0),"0.00%"))</f>
        <v>0</v>
      </c>
      <c r="W188" s="588">
        <f>CHOOSE(PLColumn,IFERROR(GETPIVOTDATA("Sum of "&amp;W$9,'PT-All'!$A$1,"Scenario",W$12,"P&amp;L Item",$B188),0),IFERROR(GETPIVOTDATA("Sum of "&amp;W$9,'PT-All'!$A$1,"Scenario",W$12,"P&amp;L Item",$B188)/W$201,0),TEXT(IFERROR(GETPIVOTDATA("Sum of "&amp;W$9,'PT-All'!$A$1,"Scenario",W$12,"P&amp;L Item",$B188)/W$29,0),"0.00%"))</f>
        <v>0</v>
      </c>
      <c r="X188" s="588">
        <f>CHOOSE(PLColumn,IFERROR(GETPIVOTDATA("Sum of "&amp;X$9,'PT-All'!$A$1,"Scenario",X$12,"P&amp;L Item",$B188),0),IFERROR(GETPIVOTDATA("Sum of "&amp;X$9,'PT-All'!$A$1,"Scenario",X$12,"P&amp;L Item",$B188)/X$201,0),TEXT(IFERROR(GETPIVOTDATA("Sum of "&amp;X$9,'PT-All'!$A$1,"Scenario",X$12,"P&amp;L Item",$B188)/X$29,0),"0.00%"))</f>
        <v>0</v>
      </c>
      <c r="Y188" s="588">
        <f>CHOOSE(PLColumn,IFERROR(GETPIVOTDATA("Sum of "&amp;Y$9,'PT-All'!$A$1,"Scenario",Y$12,"P&amp;L Item",$B188),0),IFERROR(GETPIVOTDATA("Sum of "&amp;Y$9,'PT-All'!$A$1,"Scenario",Y$12,"P&amp;L Item",$B188)/Y$201,0),TEXT(IFERROR(GETPIVOTDATA("Sum of "&amp;Y$9,'PT-All'!$A$1,"Scenario",Y$12,"P&amp;L Item",$B188)/Y$29,0),"0.00%"))</f>
        <v>0</v>
      </c>
      <c r="Z188" s="588">
        <f>CHOOSE(PLColumn,IFERROR(GETPIVOTDATA("Sum of "&amp;Z$9,'PT-All'!$A$1,"Scenario",Z$12,"P&amp;L Item",$B188),0),IFERROR(GETPIVOTDATA("Sum of "&amp;Z$9,'PT-All'!$A$1,"Scenario",Z$12,"P&amp;L Item",$B188)/Z$201,0),TEXT(IFERROR(GETPIVOTDATA("Sum of "&amp;Z$9,'PT-All'!$A$1,"Scenario",Z$12,"P&amp;L Item",$B188)/Z$29,0),"0.00%"))</f>
        <v>0</v>
      </c>
      <c r="AA188" s="588">
        <f>CHOOSE(PLColumn,IFERROR(GETPIVOTDATA("Sum of "&amp;AA$9,'PT-All'!$A$1,"Scenario",AA$12,"P&amp;L Item",$B188),0),IFERROR(GETPIVOTDATA("Sum of "&amp;AA$9,'PT-All'!$A$1,"Scenario",AA$12,"P&amp;L Item",$B188)/AA$201,0),TEXT(IFERROR(GETPIVOTDATA("Sum of "&amp;AA$9,'PT-All'!$A$1,"Scenario",AA$12,"P&amp;L Item",$B188)/AA$29,0),"0.00%"))</f>
        <v>0</v>
      </c>
      <c r="AB188" s="588">
        <f>CHOOSE(PLColumn,IFERROR(GETPIVOTDATA("Sum of "&amp;AB$9,'PT-All'!$A$1,"Scenario",AB$12,"P&amp;L Item",$B188),0),IFERROR(GETPIVOTDATA("Sum of "&amp;AB$9,'PT-All'!$A$1,"Scenario",AB$12,"P&amp;L Item",$B188)/AB$201,0),TEXT(IFERROR(GETPIVOTDATA("Sum of "&amp;AB$9,'PT-All'!$A$1,"Scenario",AB$12,"P&amp;L Item",$B188)/AB$29,0),"0.00%"))</f>
        <v>0</v>
      </c>
      <c r="AC188" s="588">
        <f>CHOOSE(PLColumn,IFERROR(GETPIVOTDATA("Sum of "&amp;AC$9,'PT-All'!$A$1,"Scenario",AC$12,"P&amp;L Item",$B188),0),IFERROR(GETPIVOTDATA("Sum of "&amp;AC$9,'PT-All'!$A$1,"Scenario",AC$12,"P&amp;L Item",$B188)/AC$201,0),TEXT(IFERROR(GETPIVOTDATA("Sum of "&amp;AC$9,'PT-All'!$A$1,"Scenario",AC$12,"P&amp;L Item",$B188)/AC$29,0),"0.00%"))</f>
        <v>0</v>
      </c>
      <c r="AD188" s="588">
        <f>CHOOSE(PLColumn,IFERROR(GETPIVOTDATA("Sum of "&amp;AD$9,'PT-All'!$A$1,"Scenario",AD$12,"P&amp;L Item",$B188),0),IFERROR(GETPIVOTDATA("Sum of "&amp;AD$9,'PT-All'!$A$1,"Scenario",AD$12,"P&amp;L Item",$B188)/AD$201,0),TEXT(IFERROR(GETPIVOTDATA("Sum of "&amp;AD$9,'PT-All'!$A$1,"Scenario",AD$12,"P&amp;L Item",$B188)/AD$29,0),"0.00%"))</f>
        <v>0</v>
      </c>
      <c r="AE188" s="588">
        <f>CHOOSE(PLColumn,IFERROR(GETPIVOTDATA("Sum of "&amp;AE$9,'PT-All'!$A$1,"Scenario",AE$12,"P&amp;L Item",$B188),0),IFERROR(GETPIVOTDATA("Sum of "&amp;AE$9,'PT-All'!$A$1,"Scenario",AE$12,"P&amp;L Item",$B188)/AE$201,0),TEXT(IFERROR(GETPIVOTDATA("Sum of "&amp;AE$9,'PT-All'!$A$1,"Scenario",AE$12,"P&amp;L Item",$B188)/AE$29,0),"0.00%"))</f>
        <v>0</v>
      </c>
      <c r="AF188" s="588">
        <f>CHOOSE(PLColumn,IFERROR(GETPIVOTDATA("Sum of "&amp;AF$9,'PT-All'!$A$1,"Scenario",AF$12,"P&amp;L Item",$B188),0),IFERROR(GETPIVOTDATA("Sum of "&amp;AF$9,'PT-All'!$A$1,"Scenario",AF$12,"P&amp;L Item",$B188)/AF$201,0),TEXT(IFERROR(GETPIVOTDATA("Sum of "&amp;AF$9,'PT-All'!$A$1,"Scenario",AF$12,"P&amp;L Item",$B188)/AF$29,0),"0.00%"))</f>
        <v>0</v>
      </c>
      <c r="AG188" s="588">
        <f>CHOOSE(PLColumn,IFERROR(GETPIVOTDATA("Sum of "&amp;AG$9,'PT-All'!$A$1,"Scenario",AG$12,"P&amp;L Item",$B188),0),IFERROR(GETPIVOTDATA("Sum of "&amp;AG$9,'PT-All'!$A$1,"Scenario",AG$12,"P&amp;L Item",$B188)/AG$201,0),TEXT(IFERROR(GETPIVOTDATA("Sum of "&amp;AG$9,'PT-All'!$A$1,"Scenario",AG$12,"P&amp;L Item",$B188)/AG$29,0),"0.00%"))</f>
        <v>0</v>
      </c>
      <c r="AH188" s="588">
        <f>CHOOSE(PLColumn,IFERROR(GETPIVOTDATA("Sum of "&amp;AH$9,'PT-All'!$A$1,"Scenario",AH$12,"P&amp;L Item",$B188),0),IFERROR(GETPIVOTDATA("Sum of "&amp;AH$9,'PT-All'!$A$1,"Scenario",AH$12,"P&amp;L Item",$B188)/AH$201,0),TEXT(IFERROR(GETPIVOTDATA("Sum of "&amp;AH$9,'PT-All'!$A$1,"Scenario",AH$12,"P&amp;L Item",$B188)/AH$29,0),"0.00%"))</f>
        <v>0</v>
      </c>
      <c r="AI188" s="588">
        <f>CHOOSE(PLColumn,IFERROR(GETPIVOTDATA("Sum of "&amp;AI$9,'PT-All'!$A$1,"Scenario",AI$12,"P&amp;L Item",$B188),0),IFERROR(GETPIVOTDATA("Sum of "&amp;AI$9,'PT-All'!$A$1,"Scenario",AI$12,"P&amp;L Item",$B188)/AI$201,0),TEXT(IFERROR(GETPIVOTDATA("Sum of "&amp;AI$9,'PT-All'!$A$1,"Scenario",AI$12,"P&amp;L Item",$B188)/AI$29,0),"0.00%"))</f>
        <v>0</v>
      </c>
      <c r="AJ188" s="588">
        <f>CHOOSE(PLColumn,IFERROR(GETPIVOTDATA("Sum of "&amp;AJ$9,'PT-All'!$A$1,"Scenario",AJ$12,"P&amp;L Item",$B188),0),IFERROR(GETPIVOTDATA("Sum of "&amp;AJ$9,'PT-All'!$A$1,"Scenario",AJ$12,"P&amp;L Item",$B188)/AJ$201,0),TEXT(IFERROR(GETPIVOTDATA("Sum of "&amp;AJ$9,'PT-All'!$A$1,"Scenario",AJ$12,"P&amp;L Item",$B188)/AJ$29,0),"0.00%"))</f>
        <v>0</v>
      </c>
      <c r="AK188" s="588">
        <f>CHOOSE(PLColumn,IFERROR(GETPIVOTDATA("Sum of "&amp;AK$9,'PT-All'!$A$1,"Scenario",AK$12,"P&amp;L Item",$B188),0),IFERROR(GETPIVOTDATA("Sum of "&amp;AK$9,'PT-All'!$A$1,"Scenario",AK$12,"P&amp;L Item",$B188)/AK$201,0),TEXT(IFERROR(GETPIVOTDATA("Sum of "&amp;AK$9,'PT-All'!$A$1,"Scenario",AK$12,"P&amp;L Item",$B188)/AK$29,0),"0.00%"))</f>
        <v>0</v>
      </c>
      <c r="AL188" s="589">
        <f>CHOOSE(PLColumn,IFERROR(GETPIVOTDATA("Sum of "&amp;AL$9,'PT-All'!$A$1,"Scenario",AL$12,"P&amp;L Item",$B188),0),IFERROR(GETPIVOTDATA("Sum of "&amp;AL$9,'PT-All'!$A$1,"Scenario",AL$12,"P&amp;L Item",$B188)/AL$201,0),TEXT(IFERROR(GETPIVOTDATA("Sum of "&amp;AL$9,'PT-All'!$A$1,"Scenario",AL$12,"P&amp;L Item",$B188)/AL$29,0),"0.00%"))</f>
        <v>0</v>
      </c>
      <c r="AM188" s="590"/>
      <c r="AN188" s="591">
        <f ca="1">IF(AN$12="Pro Forma",SUM(OFFSET($B188,0,3*AN$9+1,1,3)),IFERROR(GETPIVOTDATA("Sum of Q"&amp;AN$9+1,'PT-All'!$A$1,"Scenario",AN$12,"P&amp;L Item",$B188),0))</f>
        <v>0</v>
      </c>
      <c r="AO188" s="588">
        <f ca="1">IF(AO$12="Pro Forma",SUM(OFFSET($B188,0,3*AO$9+1,1,3)),IFERROR(GETPIVOTDATA("Sum of Q"&amp;AO$9+1,'PT-All'!$A$1,"Scenario",AO$12,"P&amp;L Item",$B188),0))</f>
        <v>0</v>
      </c>
      <c r="AP188" s="588">
        <f ca="1">IF(AP$12="Pro Forma",SUM(OFFSET($B188,0,3*AP$9+1,1,3)),IFERROR(GETPIVOTDATA("Sum of Q"&amp;AP$9+1,'PT-All'!$A$1,"Scenario",AP$12,"P&amp;L Item",$B188),0))</f>
        <v>0</v>
      </c>
      <c r="AQ188" s="588">
        <f ca="1">IF(AQ$12="Pro Forma",SUM(OFFSET($B188,0,3*AQ$9+1,1,3)),IFERROR(GETPIVOTDATA("Sum of Q"&amp;AQ$9+1,'PT-All'!$A$1,"Scenario",AQ$12,"P&amp;L Item",$B188),0))</f>
        <v>0</v>
      </c>
      <c r="AR188" s="588">
        <f ca="1">IF(AR$12="Pro Forma",SUM(OFFSET($B188,0,3*AR$9+1,1,3)),IFERROR(GETPIVOTDATA("Sum of Q"&amp;AR$9+1,'PT-All'!$A$1,"Scenario",AR$12,"P&amp;L Item",$B188),0))</f>
        <v>0</v>
      </c>
      <c r="AS188" s="588">
        <f ca="1">IF(AS$12="Pro Forma",SUM(OFFSET($B188,0,3*AS$9+1,1,3)),IFERROR(GETPIVOTDATA("Sum of Q"&amp;AS$9+1,'PT-All'!$A$1,"Scenario",AS$12,"P&amp;L Item",$B188),0))</f>
        <v>0</v>
      </c>
      <c r="AT188" s="588">
        <f ca="1">IF(AT$12="Pro Forma",SUM(OFFSET($B188,0,3*AT$9+1,1,3)),IFERROR(GETPIVOTDATA("Sum of Q"&amp;AT$9+1,'PT-All'!$A$1,"Scenario",AT$12,"P&amp;L Item",$B188),0))</f>
        <v>0</v>
      </c>
      <c r="AU188" s="588">
        <f ca="1">IF(AU$12="Pro Forma",SUM(OFFSET($B188,0,3*AU$9+1,1,3)),IFERROR(GETPIVOTDATA("Sum of Q"&amp;AU$9+1,'PT-All'!$A$1,"Scenario",AU$12,"P&amp;L Item",$B188),0))</f>
        <v>0</v>
      </c>
      <c r="AV188" s="588">
        <f ca="1">IF(AV$12="Pro Forma",SUM(OFFSET($B188,0,3*AV$9+1,1,3)),IFERROR(GETPIVOTDATA("Sum of Q"&amp;AV$9+1,'PT-All'!$A$1,"Scenario",AV$12,"P&amp;L Item",$B188),0))</f>
        <v>0</v>
      </c>
      <c r="AW188" s="588">
        <f ca="1">IF(AW$12="Pro Forma",SUM(OFFSET($B188,0,3*AW$9+1,1,3)),IFERROR(GETPIVOTDATA("Sum of Q"&amp;AW$9+1,'PT-All'!$A$1,"Scenario",AW$12,"P&amp;L Item",$B188),0))</f>
        <v>0</v>
      </c>
      <c r="AX188" s="588">
        <f ca="1">IF(AX$12="Pro Forma",SUM(OFFSET($B188,0,3*AX$9+1,1,3)),IFERROR(GETPIVOTDATA("Sum of Q"&amp;AX$9+1,'PT-All'!$A$1,"Scenario",AX$12,"P&amp;L Item",$B188),0))</f>
        <v>0</v>
      </c>
      <c r="AY188" s="589">
        <f ca="1">IF(AY$12="Pro Forma",SUM(OFFSET($B188,0,3*AY$9+1,1,3)),IFERROR(GETPIVOTDATA("Sum of Q"&amp;AY$9+1,'PT-All'!$A$1,"Scenario",AY$12,"P&amp;L Item",$B188),0))</f>
        <v>0</v>
      </c>
      <c r="AZ188" s="590"/>
      <c r="BA188" s="591">
        <f ca="1">IF(BA$12="Pro Forma",SUM(OFFSET($B188,0,12*BA$9+1,1,12)),IFERROR(GETPIVOTDATA("Sum of FY"&amp;BA$9+1,'PT-All'!$A$1,"Scenario",BA$12,"P&amp;L Item",$B188),0))</f>
        <v>0</v>
      </c>
      <c r="BB188" s="588">
        <f ca="1">IF(BB$12="Pro Forma",SUM(OFFSET($B188,0,12*BB$9+1,1,12)),IFERROR(GETPIVOTDATA("Sum of FY"&amp;BB$9+1,'PT-All'!$A$1,"Scenario",BB$12,"P&amp;L Item",$B188),0))</f>
        <v>0</v>
      </c>
      <c r="BC188" s="589">
        <f ca="1">IF(BC$12="Pro Forma",SUM(OFFSET($B188,0,12*BC$9+1,1,12)),IFERROR(GETPIVOTDATA("Sum of FY"&amp;BC$9+1,'PT-All'!$A$1,"Scenario",BC$12,"P&amp;L Item",$B188),0))</f>
        <v>0</v>
      </c>
    </row>
    <row r="189" spans="2:55" x14ac:dyDescent="0.35">
      <c r="B189" s="356" t="s">
        <v>64</v>
      </c>
      <c r="C189" s="592">
        <f>CHOOSE(PLColumn,IFERROR(GETPIVOTDATA("Sum of "&amp;C$9,'PT-All'!$A$1,"Scenario",C$12,"P&amp;L Item",$B189),0),IFERROR(GETPIVOTDATA("Sum of "&amp;C$9,'PT-All'!$A$1,"Scenario",C$12,"P&amp;L Item",$B189)/C$201,0),TEXT(IFERROR(GETPIVOTDATA("Sum of "&amp;C$9,'PT-All'!$A$1,"Scenario",C$12,"P&amp;L Item",$B189)/C$29,0),"0.00%"))</f>
        <v>0</v>
      </c>
      <c r="D189" s="592">
        <f>CHOOSE(PLColumn,IFERROR(GETPIVOTDATA("Sum of "&amp;D$9,'PT-All'!$A$1,"Scenario",D$12,"P&amp;L Item",$B189),0),IFERROR(GETPIVOTDATA("Sum of "&amp;D$9,'PT-All'!$A$1,"Scenario",D$12,"P&amp;L Item",$B189)/D$201,0),TEXT(IFERROR(GETPIVOTDATA("Sum of "&amp;D$9,'PT-All'!$A$1,"Scenario",D$12,"P&amp;L Item",$B189)/D$29,0),"0.00%"))</f>
        <v>0</v>
      </c>
      <c r="E189" s="592">
        <f>CHOOSE(PLColumn,IFERROR(GETPIVOTDATA("Sum of "&amp;E$9,'PT-All'!$A$1,"Scenario",E$12,"P&amp;L Item",$B189),0),IFERROR(GETPIVOTDATA("Sum of "&amp;E$9,'PT-All'!$A$1,"Scenario",E$12,"P&amp;L Item",$B189)/E$201,0),TEXT(IFERROR(GETPIVOTDATA("Sum of "&amp;E$9,'PT-All'!$A$1,"Scenario",E$12,"P&amp;L Item",$B189)/E$29,0),"0.00%"))</f>
        <v>0</v>
      </c>
      <c r="F189" s="592">
        <f>CHOOSE(PLColumn,IFERROR(GETPIVOTDATA("Sum of "&amp;F$9,'PT-All'!$A$1,"Scenario",F$12,"P&amp;L Item",$B189),0),IFERROR(GETPIVOTDATA("Sum of "&amp;F$9,'PT-All'!$A$1,"Scenario",F$12,"P&amp;L Item",$B189)/F$201,0),TEXT(IFERROR(GETPIVOTDATA("Sum of "&amp;F$9,'PT-All'!$A$1,"Scenario",F$12,"P&amp;L Item",$B189)/F$29,0),"0.00%"))</f>
        <v>0</v>
      </c>
      <c r="G189" s="592">
        <f>CHOOSE(PLColumn,IFERROR(GETPIVOTDATA("Sum of "&amp;G$9,'PT-All'!$A$1,"Scenario",G$12,"P&amp;L Item",$B189),0),IFERROR(GETPIVOTDATA("Sum of "&amp;G$9,'PT-All'!$A$1,"Scenario",G$12,"P&amp;L Item",$B189)/G$201,0),TEXT(IFERROR(GETPIVOTDATA("Sum of "&amp;G$9,'PT-All'!$A$1,"Scenario",G$12,"P&amp;L Item",$B189)/G$29,0),"0.00%"))</f>
        <v>0</v>
      </c>
      <c r="H189" s="592">
        <f>CHOOSE(PLColumn,IFERROR(GETPIVOTDATA("Sum of "&amp;H$9,'PT-All'!$A$1,"Scenario",H$12,"P&amp;L Item",$B189),0),IFERROR(GETPIVOTDATA("Sum of "&amp;H$9,'PT-All'!$A$1,"Scenario",H$12,"P&amp;L Item",$B189)/H$201,0),TEXT(IFERROR(GETPIVOTDATA("Sum of "&amp;H$9,'PT-All'!$A$1,"Scenario",H$12,"P&amp;L Item",$B189)/H$29,0),"0.00%"))</f>
        <v>0</v>
      </c>
      <c r="I189" s="592">
        <f>CHOOSE(PLColumn,IFERROR(GETPIVOTDATA("Sum of "&amp;I$9,'PT-All'!$A$1,"Scenario",I$12,"P&amp;L Item",$B189),0),IFERROR(GETPIVOTDATA("Sum of "&amp;I$9,'PT-All'!$A$1,"Scenario",I$12,"P&amp;L Item",$B189)/I$201,0),TEXT(IFERROR(GETPIVOTDATA("Sum of "&amp;I$9,'PT-All'!$A$1,"Scenario",I$12,"P&amp;L Item",$B189)/I$29,0),"0.00%"))</f>
        <v>0</v>
      </c>
      <c r="J189" s="592">
        <f>CHOOSE(PLColumn,IFERROR(GETPIVOTDATA("Sum of "&amp;J$9,'PT-All'!$A$1,"Scenario",J$12,"P&amp;L Item",$B189),0),IFERROR(GETPIVOTDATA("Sum of "&amp;J$9,'PT-All'!$A$1,"Scenario",J$12,"P&amp;L Item",$B189)/J$201,0),TEXT(IFERROR(GETPIVOTDATA("Sum of "&amp;J$9,'PT-All'!$A$1,"Scenario",J$12,"P&amp;L Item",$B189)/J$29,0),"0.00%"))</f>
        <v>0</v>
      </c>
      <c r="K189" s="592">
        <f>CHOOSE(PLColumn,IFERROR(GETPIVOTDATA("Sum of "&amp;K$9,'PT-All'!$A$1,"Scenario",K$12,"P&amp;L Item",$B189),0),IFERROR(GETPIVOTDATA("Sum of "&amp;K$9,'PT-All'!$A$1,"Scenario",K$12,"P&amp;L Item",$B189)/K$201,0),TEXT(IFERROR(GETPIVOTDATA("Sum of "&amp;K$9,'PT-All'!$A$1,"Scenario",K$12,"P&amp;L Item",$B189)/K$29,0),"0.00%"))</f>
        <v>0</v>
      </c>
      <c r="L189" s="592">
        <f>CHOOSE(PLColumn,IFERROR(GETPIVOTDATA("Sum of "&amp;L$9,'PT-All'!$A$1,"Scenario",L$12,"P&amp;L Item",$B189),0),IFERROR(GETPIVOTDATA("Sum of "&amp;L$9,'PT-All'!$A$1,"Scenario",L$12,"P&amp;L Item",$B189)/L$201,0),TEXT(IFERROR(GETPIVOTDATA("Sum of "&amp;L$9,'PT-All'!$A$1,"Scenario",L$12,"P&amp;L Item",$B189)/L$29,0),"0.00%"))</f>
        <v>0</v>
      </c>
      <c r="M189" s="592">
        <f>CHOOSE(PLColumn,IFERROR(GETPIVOTDATA("Sum of "&amp;M$9,'PT-All'!$A$1,"Scenario",M$12,"P&amp;L Item",$B189),0),IFERROR(GETPIVOTDATA("Sum of "&amp;M$9,'PT-All'!$A$1,"Scenario",M$12,"P&amp;L Item",$B189)/M$201,0),TEXT(IFERROR(GETPIVOTDATA("Sum of "&amp;M$9,'PT-All'!$A$1,"Scenario",M$12,"P&amp;L Item",$B189)/M$29,0),"0.00%"))</f>
        <v>0</v>
      </c>
      <c r="N189" s="592">
        <f>CHOOSE(PLColumn,IFERROR(GETPIVOTDATA("Sum of "&amp;N$9,'PT-All'!$A$1,"Scenario",N$12,"P&amp;L Item",$B189),0),IFERROR(GETPIVOTDATA("Sum of "&amp;N$9,'PT-All'!$A$1,"Scenario",N$12,"P&amp;L Item",$B189)/N$201,0),TEXT(IFERROR(GETPIVOTDATA("Sum of "&amp;N$9,'PT-All'!$A$1,"Scenario",N$12,"P&amp;L Item",$B189)/N$29,0),"0.00%"))</f>
        <v>0</v>
      </c>
      <c r="O189" s="592">
        <f>CHOOSE(PLColumn,IFERROR(GETPIVOTDATA("Sum of "&amp;O$9,'PT-All'!$A$1,"Scenario",O$12,"P&amp;L Item",$B189),0),IFERROR(GETPIVOTDATA("Sum of "&amp;O$9,'PT-All'!$A$1,"Scenario",O$12,"P&amp;L Item",$B189)/O$201,0),TEXT(IFERROR(GETPIVOTDATA("Sum of "&amp;O$9,'PT-All'!$A$1,"Scenario",O$12,"P&amp;L Item",$B189)/O$29,0),"0.00%"))</f>
        <v>0</v>
      </c>
      <c r="P189" s="592">
        <f>CHOOSE(PLColumn,IFERROR(GETPIVOTDATA("Sum of "&amp;P$9,'PT-All'!$A$1,"Scenario",P$12,"P&amp;L Item",$B189),0),IFERROR(GETPIVOTDATA("Sum of "&amp;P$9,'PT-All'!$A$1,"Scenario",P$12,"P&amp;L Item",$B189)/P$201,0),TEXT(IFERROR(GETPIVOTDATA("Sum of "&amp;P$9,'PT-All'!$A$1,"Scenario",P$12,"P&amp;L Item",$B189)/P$29,0),"0.00%"))</f>
        <v>0</v>
      </c>
      <c r="Q189" s="592">
        <f>CHOOSE(PLColumn,IFERROR(GETPIVOTDATA("Sum of "&amp;Q$9,'PT-All'!$A$1,"Scenario",Q$12,"P&amp;L Item",$B189),0),IFERROR(GETPIVOTDATA("Sum of "&amp;Q$9,'PT-All'!$A$1,"Scenario",Q$12,"P&amp;L Item",$B189)/Q$201,0),TEXT(IFERROR(GETPIVOTDATA("Sum of "&amp;Q$9,'PT-All'!$A$1,"Scenario",Q$12,"P&amp;L Item",$B189)/Q$29,0),"0.00%"))</f>
        <v>0</v>
      </c>
      <c r="R189" s="592">
        <f>CHOOSE(PLColumn,IFERROR(GETPIVOTDATA("Sum of "&amp;R$9,'PT-All'!$A$1,"Scenario",R$12,"P&amp;L Item",$B189),0),IFERROR(GETPIVOTDATA("Sum of "&amp;R$9,'PT-All'!$A$1,"Scenario",R$12,"P&amp;L Item",$B189)/R$201,0),TEXT(IFERROR(GETPIVOTDATA("Sum of "&amp;R$9,'PT-All'!$A$1,"Scenario",R$12,"P&amp;L Item",$B189)/R$29,0),"0.00%"))</f>
        <v>0</v>
      </c>
      <c r="S189" s="592">
        <f>CHOOSE(PLColumn,IFERROR(GETPIVOTDATA("Sum of "&amp;S$9,'PT-All'!$A$1,"Scenario",S$12,"P&amp;L Item",$B189),0),IFERROR(GETPIVOTDATA("Sum of "&amp;S$9,'PT-All'!$A$1,"Scenario",S$12,"P&amp;L Item",$B189)/S$201,0),TEXT(IFERROR(GETPIVOTDATA("Sum of "&amp;S$9,'PT-All'!$A$1,"Scenario",S$12,"P&amp;L Item",$B189)/S$29,0),"0.00%"))</f>
        <v>0</v>
      </c>
      <c r="T189" s="592">
        <f>CHOOSE(PLColumn,IFERROR(GETPIVOTDATA("Sum of "&amp;T$9,'PT-All'!$A$1,"Scenario",T$12,"P&amp;L Item",$B189),0),IFERROR(GETPIVOTDATA("Sum of "&amp;T$9,'PT-All'!$A$1,"Scenario",T$12,"P&amp;L Item",$B189)/T$201,0),TEXT(IFERROR(GETPIVOTDATA("Sum of "&amp;T$9,'PT-All'!$A$1,"Scenario",T$12,"P&amp;L Item",$B189)/T$29,0),"0.00%"))</f>
        <v>0</v>
      </c>
      <c r="U189" s="592">
        <f>CHOOSE(PLColumn,IFERROR(GETPIVOTDATA("Sum of "&amp;U$9,'PT-All'!$A$1,"Scenario",U$12,"P&amp;L Item",$B189),0),IFERROR(GETPIVOTDATA("Sum of "&amp;U$9,'PT-All'!$A$1,"Scenario",U$12,"P&amp;L Item",$B189)/U$201,0),TEXT(IFERROR(GETPIVOTDATA("Sum of "&amp;U$9,'PT-All'!$A$1,"Scenario",U$12,"P&amp;L Item",$B189)/U$29,0),"0.00%"))</f>
        <v>0</v>
      </c>
      <c r="V189" s="592">
        <f>CHOOSE(PLColumn,IFERROR(GETPIVOTDATA("Sum of "&amp;V$9,'PT-All'!$A$1,"Scenario",V$12,"P&amp;L Item",$B189),0),IFERROR(GETPIVOTDATA("Sum of "&amp;V$9,'PT-All'!$A$1,"Scenario",V$12,"P&amp;L Item",$B189)/V$201,0),TEXT(IFERROR(GETPIVOTDATA("Sum of "&amp;V$9,'PT-All'!$A$1,"Scenario",V$12,"P&amp;L Item",$B189)/V$29,0),"0.00%"))</f>
        <v>0</v>
      </c>
      <c r="W189" s="592">
        <f>CHOOSE(PLColumn,IFERROR(GETPIVOTDATA("Sum of "&amp;W$9,'PT-All'!$A$1,"Scenario",W$12,"P&amp;L Item",$B189),0),IFERROR(GETPIVOTDATA("Sum of "&amp;W$9,'PT-All'!$A$1,"Scenario",W$12,"P&amp;L Item",$B189)/W$201,0),TEXT(IFERROR(GETPIVOTDATA("Sum of "&amp;W$9,'PT-All'!$A$1,"Scenario",W$12,"P&amp;L Item",$B189)/W$29,0),"0.00%"))</f>
        <v>0</v>
      </c>
      <c r="X189" s="592">
        <f>CHOOSE(PLColumn,IFERROR(GETPIVOTDATA("Sum of "&amp;X$9,'PT-All'!$A$1,"Scenario",X$12,"P&amp;L Item",$B189),0),IFERROR(GETPIVOTDATA("Sum of "&amp;X$9,'PT-All'!$A$1,"Scenario",X$12,"P&amp;L Item",$B189)/X$201,0),TEXT(IFERROR(GETPIVOTDATA("Sum of "&amp;X$9,'PT-All'!$A$1,"Scenario",X$12,"P&amp;L Item",$B189)/X$29,0),"0.00%"))</f>
        <v>0</v>
      </c>
      <c r="Y189" s="592">
        <f>CHOOSE(PLColumn,IFERROR(GETPIVOTDATA("Sum of "&amp;Y$9,'PT-All'!$A$1,"Scenario",Y$12,"P&amp;L Item",$B189),0),IFERROR(GETPIVOTDATA("Sum of "&amp;Y$9,'PT-All'!$A$1,"Scenario",Y$12,"P&amp;L Item",$B189)/Y$201,0),TEXT(IFERROR(GETPIVOTDATA("Sum of "&amp;Y$9,'PT-All'!$A$1,"Scenario",Y$12,"P&amp;L Item",$B189)/Y$29,0),"0.00%"))</f>
        <v>0</v>
      </c>
      <c r="Z189" s="592">
        <f>CHOOSE(PLColumn,IFERROR(GETPIVOTDATA("Sum of "&amp;Z$9,'PT-All'!$A$1,"Scenario",Z$12,"P&amp;L Item",$B189),0),IFERROR(GETPIVOTDATA("Sum of "&amp;Z$9,'PT-All'!$A$1,"Scenario",Z$12,"P&amp;L Item",$B189)/Z$201,0),TEXT(IFERROR(GETPIVOTDATA("Sum of "&amp;Z$9,'PT-All'!$A$1,"Scenario",Z$12,"P&amp;L Item",$B189)/Z$29,0),"0.00%"))</f>
        <v>0</v>
      </c>
      <c r="AA189" s="592">
        <f>CHOOSE(PLColumn,IFERROR(GETPIVOTDATA("Sum of "&amp;AA$9,'PT-All'!$A$1,"Scenario",AA$12,"P&amp;L Item",$B189),0),IFERROR(GETPIVOTDATA("Sum of "&amp;AA$9,'PT-All'!$A$1,"Scenario",AA$12,"P&amp;L Item",$B189)/AA$201,0),TEXT(IFERROR(GETPIVOTDATA("Sum of "&amp;AA$9,'PT-All'!$A$1,"Scenario",AA$12,"P&amp;L Item",$B189)/AA$29,0),"0.00%"))</f>
        <v>0</v>
      </c>
      <c r="AB189" s="592">
        <f>CHOOSE(PLColumn,IFERROR(GETPIVOTDATA("Sum of "&amp;AB$9,'PT-All'!$A$1,"Scenario",AB$12,"P&amp;L Item",$B189),0),IFERROR(GETPIVOTDATA("Sum of "&amp;AB$9,'PT-All'!$A$1,"Scenario",AB$12,"P&amp;L Item",$B189)/AB$201,0),TEXT(IFERROR(GETPIVOTDATA("Sum of "&amp;AB$9,'PT-All'!$A$1,"Scenario",AB$12,"P&amp;L Item",$B189)/AB$29,0),"0.00%"))</f>
        <v>0</v>
      </c>
      <c r="AC189" s="592">
        <f>CHOOSE(PLColumn,IFERROR(GETPIVOTDATA("Sum of "&amp;AC$9,'PT-All'!$A$1,"Scenario",AC$12,"P&amp;L Item",$B189),0),IFERROR(GETPIVOTDATA("Sum of "&amp;AC$9,'PT-All'!$A$1,"Scenario",AC$12,"P&amp;L Item",$B189)/AC$201,0),TEXT(IFERROR(GETPIVOTDATA("Sum of "&amp;AC$9,'PT-All'!$A$1,"Scenario",AC$12,"P&amp;L Item",$B189)/AC$29,0),"0.00%"))</f>
        <v>0</v>
      </c>
      <c r="AD189" s="592">
        <f>CHOOSE(PLColumn,IFERROR(GETPIVOTDATA("Sum of "&amp;AD$9,'PT-All'!$A$1,"Scenario",AD$12,"P&amp;L Item",$B189),0),IFERROR(GETPIVOTDATA("Sum of "&amp;AD$9,'PT-All'!$A$1,"Scenario",AD$12,"P&amp;L Item",$B189)/AD$201,0),TEXT(IFERROR(GETPIVOTDATA("Sum of "&amp;AD$9,'PT-All'!$A$1,"Scenario",AD$12,"P&amp;L Item",$B189)/AD$29,0),"0.00%"))</f>
        <v>0</v>
      </c>
      <c r="AE189" s="592">
        <f>CHOOSE(PLColumn,IFERROR(GETPIVOTDATA("Sum of "&amp;AE$9,'PT-All'!$A$1,"Scenario",AE$12,"P&amp;L Item",$B189),0),IFERROR(GETPIVOTDATA("Sum of "&amp;AE$9,'PT-All'!$A$1,"Scenario",AE$12,"P&amp;L Item",$B189)/AE$201,0),TEXT(IFERROR(GETPIVOTDATA("Sum of "&amp;AE$9,'PT-All'!$A$1,"Scenario",AE$12,"P&amp;L Item",$B189)/AE$29,0),"0.00%"))</f>
        <v>0</v>
      </c>
      <c r="AF189" s="592">
        <f>CHOOSE(PLColumn,IFERROR(GETPIVOTDATA("Sum of "&amp;AF$9,'PT-All'!$A$1,"Scenario",AF$12,"P&amp;L Item",$B189),0),IFERROR(GETPIVOTDATA("Sum of "&amp;AF$9,'PT-All'!$A$1,"Scenario",AF$12,"P&amp;L Item",$B189)/AF$201,0),TEXT(IFERROR(GETPIVOTDATA("Sum of "&amp;AF$9,'PT-All'!$A$1,"Scenario",AF$12,"P&amp;L Item",$B189)/AF$29,0),"0.00%"))</f>
        <v>0</v>
      </c>
      <c r="AG189" s="592">
        <f>CHOOSE(PLColumn,IFERROR(GETPIVOTDATA("Sum of "&amp;AG$9,'PT-All'!$A$1,"Scenario",AG$12,"P&amp;L Item",$B189),0),IFERROR(GETPIVOTDATA("Sum of "&amp;AG$9,'PT-All'!$A$1,"Scenario",AG$12,"P&amp;L Item",$B189)/AG$201,0),TEXT(IFERROR(GETPIVOTDATA("Sum of "&amp;AG$9,'PT-All'!$A$1,"Scenario",AG$12,"P&amp;L Item",$B189)/AG$29,0),"0.00%"))</f>
        <v>0</v>
      </c>
      <c r="AH189" s="592">
        <f>CHOOSE(PLColumn,IFERROR(GETPIVOTDATA("Sum of "&amp;AH$9,'PT-All'!$A$1,"Scenario",AH$12,"P&amp;L Item",$B189),0),IFERROR(GETPIVOTDATA("Sum of "&amp;AH$9,'PT-All'!$A$1,"Scenario",AH$12,"P&amp;L Item",$B189)/AH$201,0),TEXT(IFERROR(GETPIVOTDATA("Sum of "&amp;AH$9,'PT-All'!$A$1,"Scenario",AH$12,"P&amp;L Item",$B189)/AH$29,0),"0.00%"))</f>
        <v>0</v>
      </c>
      <c r="AI189" s="592">
        <f>CHOOSE(PLColumn,IFERROR(GETPIVOTDATA("Sum of "&amp;AI$9,'PT-All'!$A$1,"Scenario",AI$12,"P&amp;L Item",$B189),0),IFERROR(GETPIVOTDATA("Sum of "&amp;AI$9,'PT-All'!$A$1,"Scenario",AI$12,"P&amp;L Item",$B189)/AI$201,0),TEXT(IFERROR(GETPIVOTDATA("Sum of "&amp;AI$9,'PT-All'!$A$1,"Scenario",AI$12,"P&amp;L Item",$B189)/AI$29,0),"0.00%"))</f>
        <v>0</v>
      </c>
      <c r="AJ189" s="592">
        <f>CHOOSE(PLColumn,IFERROR(GETPIVOTDATA("Sum of "&amp;AJ$9,'PT-All'!$A$1,"Scenario",AJ$12,"P&amp;L Item",$B189),0),IFERROR(GETPIVOTDATA("Sum of "&amp;AJ$9,'PT-All'!$A$1,"Scenario",AJ$12,"P&amp;L Item",$B189)/AJ$201,0),TEXT(IFERROR(GETPIVOTDATA("Sum of "&amp;AJ$9,'PT-All'!$A$1,"Scenario",AJ$12,"P&amp;L Item",$B189)/AJ$29,0),"0.00%"))</f>
        <v>0</v>
      </c>
      <c r="AK189" s="592">
        <f>CHOOSE(PLColumn,IFERROR(GETPIVOTDATA("Sum of "&amp;AK$9,'PT-All'!$A$1,"Scenario",AK$12,"P&amp;L Item",$B189),0),IFERROR(GETPIVOTDATA("Sum of "&amp;AK$9,'PT-All'!$A$1,"Scenario",AK$12,"P&amp;L Item",$B189)/AK$201,0),TEXT(IFERROR(GETPIVOTDATA("Sum of "&amp;AK$9,'PT-All'!$A$1,"Scenario",AK$12,"P&amp;L Item",$B189)/AK$29,0),"0.00%"))</f>
        <v>0</v>
      </c>
      <c r="AL189" s="593">
        <f>CHOOSE(PLColumn,IFERROR(GETPIVOTDATA("Sum of "&amp;AL$9,'PT-All'!$A$1,"Scenario",AL$12,"P&amp;L Item",$B189),0),IFERROR(GETPIVOTDATA("Sum of "&amp;AL$9,'PT-All'!$A$1,"Scenario",AL$12,"P&amp;L Item",$B189)/AL$201,0),TEXT(IFERROR(GETPIVOTDATA("Sum of "&amp;AL$9,'PT-All'!$A$1,"Scenario",AL$12,"P&amp;L Item",$B189)/AL$29,0),"0.00%"))</f>
        <v>0</v>
      </c>
      <c r="AM189" s="590"/>
      <c r="AN189" s="594">
        <f ca="1">IF(AN$12="Pro Forma",SUM(OFFSET($B189,0,3*AN$9+1,1,3)),IFERROR(GETPIVOTDATA("Sum of Q"&amp;AN$9+1,'PT-All'!$A$1,"Scenario",AN$12,"P&amp;L Item",$B189),0))</f>
        <v>0</v>
      </c>
      <c r="AO189" s="592">
        <f ca="1">IF(AO$12="Pro Forma",SUM(OFFSET($B189,0,3*AO$9+1,1,3)),IFERROR(GETPIVOTDATA("Sum of Q"&amp;AO$9+1,'PT-All'!$A$1,"Scenario",AO$12,"P&amp;L Item",$B189),0))</f>
        <v>0</v>
      </c>
      <c r="AP189" s="592">
        <f ca="1">IF(AP$12="Pro Forma",SUM(OFFSET($B189,0,3*AP$9+1,1,3)),IFERROR(GETPIVOTDATA("Sum of Q"&amp;AP$9+1,'PT-All'!$A$1,"Scenario",AP$12,"P&amp;L Item",$B189),0))</f>
        <v>0</v>
      </c>
      <c r="AQ189" s="592">
        <f ca="1">IF(AQ$12="Pro Forma",SUM(OFFSET($B189,0,3*AQ$9+1,1,3)),IFERROR(GETPIVOTDATA("Sum of Q"&amp;AQ$9+1,'PT-All'!$A$1,"Scenario",AQ$12,"P&amp;L Item",$B189),0))</f>
        <v>0</v>
      </c>
      <c r="AR189" s="592">
        <f ca="1">IF(AR$12="Pro Forma",SUM(OFFSET($B189,0,3*AR$9+1,1,3)),IFERROR(GETPIVOTDATA("Sum of Q"&amp;AR$9+1,'PT-All'!$A$1,"Scenario",AR$12,"P&amp;L Item",$B189),0))</f>
        <v>0</v>
      </c>
      <c r="AS189" s="592">
        <f ca="1">IF(AS$12="Pro Forma",SUM(OFFSET($B189,0,3*AS$9+1,1,3)),IFERROR(GETPIVOTDATA("Sum of Q"&amp;AS$9+1,'PT-All'!$A$1,"Scenario",AS$12,"P&amp;L Item",$B189),0))</f>
        <v>0</v>
      </c>
      <c r="AT189" s="592">
        <f ca="1">IF(AT$12="Pro Forma",SUM(OFFSET($B189,0,3*AT$9+1,1,3)),IFERROR(GETPIVOTDATA("Sum of Q"&amp;AT$9+1,'PT-All'!$A$1,"Scenario",AT$12,"P&amp;L Item",$B189),0))</f>
        <v>0</v>
      </c>
      <c r="AU189" s="592">
        <f ca="1">IF(AU$12="Pro Forma",SUM(OFFSET($B189,0,3*AU$9+1,1,3)),IFERROR(GETPIVOTDATA("Sum of Q"&amp;AU$9+1,'PT-All'!$A$1,"Scenario",AU$12,"P&amp;L Item",$B189),0))</f>
        <v>0</v>
      </c>
      <c r="AV189" s="592">
        <f ca="1">IF(AV$12="Pro Forma",SUM(OFFSET($B189,0,3*AV$9+1,1,3)),IFERROR(GETPIVOTDATA("Sum of Q"&amp;AV$9+1,'PT-All'!$A$1,"Scenario",AV$12,"P&amp;L Item",$B189),0))</f>
        <v>0</v>
      </c>
      <c r="AW189" s="592">
        <f ca="1">IF(AW$12="Pro Forma",SUM(OFFSET($B189,0,3*AW$9+1,1,3)),IFERROR(GETPIVOTDATA("Sum of Q"&amp;AW$9+1,'PT-All'!$A$1,"Scenario",AW$12,"P&amp;L Item",$B189),0))</f>
        <v>0</v>
      </c>
      <c r="AX189" s="592">
        <f ca="1">IF(AX$12="Pro Forma",SUM(OFFSET($B189,0,3*AX$9+1,1,3)),IFERROR(GETPIVOTDATA("Sum of Q"&amp;AX$9+1,'PT-All'!$A$1,"Scenario",AX$12,"P&amp;L Item",$B189),0))</f>
        <v>0</v>
      </c>
      <c r="AY189" s="593">
        <f ca="1">IF(AY$12="Pro Forma",SUM(OFFSET($B189,0,3*AY$9+1,1,3)),IFERROR(GETPIVOTDATA("Sum of Q"&amp;AY$9+1,'PT-All'!$A$1,"Scenario",AY$12,"P&amp;L Item",$B189),0))</f>
        <v>0</v>
      </c>
      <c r="AZ189" s="590"/>
      <c r="BA189" s="594">
        <f ca="1">IF(BA$12="Pro Forma",SUM(OFFSET($B189,0,12*BA$9+1,1,12)),IFERROR(GETPIVOTDATA("Sum of FY"&amp;BA$9+1,'PT-All'!$A$1,"Scenario",BA$12,"P&amp;L Item",$B189),0))</f>
        <v>0</v>
      </c>
      <c r="BB189" s="592">
        <f ca="1">IF(BB$12="Pro Forma",SUM(OFFSET($B189,0,12*BB$9+1,1,12)),IFERROR(GETPIVOTDATA("Sum of FY"&amp;BB$9+1,'PT-All'!$A$1,"Scenario",BB$12,"P&amp;L Item",$B189),0))</f>
        <v>0</v>
      </c>
      <c r="BC189" s="593">
        <f ca="1">IF(BC$12="Pro Forma",SUM(OFFSET($B189,0,12*BC$9+1,1,12)),IFERROR(GETPIVOTDATA("Sum of FY"&amp;BC$9+1,'PT-All'!$A$1,"Scenario",BC$12,"P&amp;L Item",$B189),0))</f>
        <v>0</v>
      </c>
    </row>
    <row r="190" spans="2:55" ht="15" x14ac:dyDescent="0.4">
      <c r="B190" s="356" t="s">
        <v>65</v>
      </c>
      <c r="C190" s="70">
        <f>CHOOSE(PLColumn,IFERROR(GETPIVOTDATA("Sum of "&amp;C$9,'PT-All'!$A$1,"Scenario",C$12,"P&amp;L Item",$B190),0),IFERROR(GETPIVOTDATA("Sum of "&amp;C$9,'PT-All'!$A$1,"Scenario",C$12,"P&amp;L Item",$B190)/C$201,0),TEXT(IFERROR(GETPIVOTDATA("Sum of "&amp;C$9,'PT-All'!$A$1,"Scenario",C$12,"P&amp;L Item",$B190)/C$29,0),"0.00%"))</f>
        <v>0</v>
      </c>
      <c r="D190" s="70">
        <f>CHOOSE(PLColumn,IFERROR(GETPIVOTDATA("Sum of "&amp;D$9,'PT-All'!$A$1,"Scenario",D$12,"P&amp;L Item",$B190),0),IFERROR(GETPIVOTDATA("Sum of "&amp;D$9,'PT-All'!$A$1,"Scenario",D$12,"P&amp;L Item",$B190)/D$201,0),TEXT(IFERROR(GETPIVOTDATA("Sum of "&amp;D$9,'PT-All'!$A$1,"Scenario",D$12,"P&amp;L Item",$B190)/D$29,0),"0.00%"))</f>
        <v>0</v>
      </c>
      <c r="E190" s="70">
        <f>CHOOSE(PLColumn,IFERROR(GETPIVOTDATA("Sum of "&amp;E$9,'PT-All'!$A$1,"Scenario",E$12,"P&amp;L Item",$B190),0),IFERROR(GETPIVOTDATA("Sum of "&amp;E$9,'PT-All'!$A$1,"Scenario",E$12,"P&amp;L Item",$B190)/E$201,0),TEXT(IFERROR(GETPIVOTDATA("Sum of "&amp;E$9,'PT-All'!$A$1,"Scenario",E$12,"P&amp;L Item",$B190)/E$29,0),"0.00%"))</f>
        <v>0</v>
      </c>
      <c r="F190" s="70">
        <f>CHOOSE(PLColumn,IFERROR(GETPIVOTDATA("Sum of "&amp;F$9,'PT-All'!$A$1,"Scenario",F$12,"P&amp;L Item",$B190),0),IFERROR(GETPIVOTDATA("Sum of "&amp;F$9,'PT-All'!$A$1,"Scenario",F$12,"P&amp;L Item",$B190)/F$201,0),TEXT(IFERROR(GETPIVOTDATA("Sum of "&amp;F$9,'PT-All'!$A$1,"Scenario",F$12,"P&amp;L Item",$B190)/F$29,0),"0.00%"))</f>
        <v>0</v>
      </c>
      <c r="G190" s="70">
        <f>CHOOSE(PLColumn,IFERROR(GETPIVOTDATA("Sum of "&amp;G$9,'PT-All'!$A$1,"Scenario",G$12,"P&amp;L Item",$B190),0),IFERROR(GETPIVOTDATA("Sum of "&amp;G$9,'PT-All'!$A$1,"Scenario",G$12,"P&amp;L Item",$B190)/G$201,0),TEXT(IFERROR(GETPIVOTDATA("Sum of "&amp;G$9,'PT-All'!$A$1,"Scenario",G$12,"P&amp;L Item",$B190)/G$29,0),"0.00%"))</f>
        <v>0</v>
      </c>
      <c r="H190" s="70">
        <f>CHOOSE(PLColumn,IFERROR(GETPIVOTDATA("Sum of "&amp;H$9,'PT-All'!$A$1,"Scenario",H$12,"P&amp;L Item",$B190),0),IFERROR(GETPIVOTDATA("Sum of "&amp;H$9,'PT-All'!$A$1,"Scenario",H$12,"P&amp;L Item",$B190)/H$201,0),TEXT(IFERROR(GETPIVOTDATA("Sum of "&amp;H$9,'PT-All'!$A$1,"Scenario",H$12,"P&amp;L Item",$B190)/H$29,0),"0.00%"))</f>
        <v>0</v>
      </c>
      <c r="I190" s="70">
        <f>CHOOSE(PLColumn,IFERROR(GETPIVOTDATA("Sum of "&amp;I$9,'PT-All'!$A$1,"Scenario",I$12,"P&amp;L Item",$B190),0),IFERROR(GETPIVOTDATA("Sum of "&amp;I$9,'PT-All'!$A$1,"Scenario",I$12,"P&amp;L Item",$B190)/I$201,0),TEXT(IFERROR(GETPIVOTDATA("Sum of "&amp;I$9,'PT-All'!$A$1,"Scenario",I$12,"P&amp;L Item",$B190)/I$29,0),"0.00%"))</f>
        <v>0</v>
      </c>
      <c r="J190" s="70">
        <f>CHOOSE(PLColumn,IFERROR(GETPIVOTDATA("Sum of "&amp;J$9,'PT-All'!$A$1,"Scenario",J$12,"P&amp;L Item",$B190),0),IFERROR(GETPIVOTDATA("Sum of "&amp;J$9,'PT-All'!$A$1,"Scenario",J$12,"P&amp;L Item",$B190)/J$201,0),TEXT(IFERROR(GETPIVOTDATA("Sum of "&amp;J$9,'PT-All'!$A$1,"Scenario",J$12,"P&amp;L Item",$B190)/J$29,0),"0.00%"))</f>
        <v>0</v>
      </c>
      <c r="K190" s="70">
        <f>CHOOSE(PLColumn,IFERROR(GETPIVOTDATA("Sum of "&amp;K$9,'PT-All'!$A$1,"Scenario",K$12,"P&amp;L Item",$B190),0),IFERROR(GETPIVOTDATA("Sum of "&amp;K$9,'PT-All'!$A$1,"Scenario",K$12,"P&amp;L Item",$B190)/K$201,0),TEXT(IFERROR(GETPIVOTDATA("Sum of "&amp;K$9,'PT-All'!$A$1,"Scenario",K$12,"P&amp;L Item",$B190)/K$29,0),"0.00%"))</f>
        <v>0</v>
      </c>
      <c r="L190" s="70">
        <f>CHOOSE(PLColumn,IFERROR(GETPIVOTDATA("Sum of "&amp;L$9,'PT-All'!$A$1,"Scenario",L$12,"P&amp;L Item",$B190),0),IFERROR(GETPIVOTDATA("Sum of "&amp;L$9,'PT-All'!$A$1,"Scenario",L$12,"P&amp;L Item",$B190)/L$201,0),TEXT(IFERROR(GETPIVOTDATA("Sum of "&amp;L$9,'PT-All'!$A$1,"Scenario",L$12,"P&amp;L Item",$B190)/L$29,0),"0.00%"))</f>
        <v>0</v>
      </c>
      <c r="M190" s="70">
        <f>CHOOSE(PLColumn,IFERROR(GETPIVOTDATA("Sum of "&amp;M$9,'PT-All'!$A$1,"Scenario",M$12,"P&amp;L Item",$B190),0),IFERROR(GETPIVOTDATA("Sum of "&amp;M$9,'PT-All'!$A$1,"Scenario",M$12,"P&amp;L Item",$B190)/M$201,0),TEXT(IFERROR(GETPIVOTDATA("Sum of "&amp;M$9,'PT-All'!$A$1,"Scenario",M$12,"P&amp;L Item",$B190)/M$29,0),"0.00%"))</f>
        <v>0</v>
      </c>
      <c r="N190" s="70">
        <f>CHOOSE(PLColumn,IFERROR(GETPIVOTDATA("Sum of "&amp;N$9,'PT-All'!$A$1,"Scenario",N$12,"P&amp;L Item",$B190),0),IFERROR(GETPIVOTDATA("Sum of "&amp;N$9,'PT-All'!$A$1,"Scenario",N$12,"P&amp;L Item",$B190)/N$201,0),TEXT(IFERROR(GETPIVOTDATA("Sum of "&amp;N$9,'PT-All'!$A$1,"Scenario",N$12,"P&amp;L Item",$B190)/N$29,0),"0.00%"))</f>
        <v>0</v>
      </c>
      <c r="O190" s="70">
        <f>CHOOSE(PLColumn,IFERROR(GETPIVOTDATA("Sum of "&amp;O$9,'PT-All'!$A$1,"Scenario",O$12,"P&amp;L Item",$B190),0),IFERROR(GETPIVOTDATA("Sum of "&amp;O$9,'PT-All'!$A$1,"Scenario",O$12,"P&amp;L Item",$B190)/O$201,0),TEXT(IFERROR(GETPIVOTDATA("Sum of "&amp;O$9,'PT-All'!$A$1,"Scenario",O$12,"P&amp;L Item",$B190)/O$29,0),"0.00%"))</f>
        <v>0</v>
      </c>
      <c r="P190" s="70">
        <f>CHOOSE(PLColumn,IFERROR(GETPIVOTDATA("Sum of "&amp;P$9,'PT-All'!$A$1,"Scenario",P$12,"P&amp;L Item",$B190),0),IFERROR(GETPIVOTDATA("Sum of "&amp;P$9,'PT-All'!$A$1,"Scenario",P$12,"P&amp;L Item",$B190)/P$201,0),TEXT(IFERROR(GETPIVOTDATA("Sum of "&amp;P$9,'PT-All'!$A$1,"Scenario",P$12,"P&amp;L Item",$B190)/P$29,0),"0.00%"))</f>
        <v>0</v>
      </c>
      <c r="Q190" s="70">
        <f>CHOOSE(PLColumn,IFERROR(GETPIVOTDATA("Sum of "&amp;Q$9,'PT-All'!$A$1,"Scenario",Q$12,"P&amp;L Item",$B190),0),IFERROR(GETPIVOTDATA("Sum of "&amp;Q$9,'PT-All'!$A$1,"Scenario",Q$12,"P&amp;L Item",$B190)/Q$201,0),TEXT(IFERROR(GETPIVOTDATA("Sum of "&amp;Q$9,'PT-All'!$A$1,"Scenario",Q$12,"P&amp;L Item",$B190)/Q$29,0),"0.00%"))</f>
        <v>0</v>
      </c>
      <c r="R190" s="70">
        <f>CHOOSE(PLColumn,IFERROR(GETPIVOTDATA("Sum of "&amp;R$9,'PT-All'!$A$1,"Scenario",R$12,"P&amp;L Item",$B190),0),IFERROR(GETPIVOTDATA("Sum of "&amp;R$9,'PT-All'!$A$1,"Scenario",R$12,"P&amp;L Item",$B190)/R$201,0),TEXT(IFERROR(GETPIVOTDATA("Sum of "&amp;R$9,'PT-All'!$A$1,"Scenario",R$12,"P&amp;L Item",$B190)/R$29,0),"0.00%"))</f>
        <v>0</v>
      </c>
      <c r="S190" s="70">
        <f>CHOOSE(PLColumn,IFERROR(GETPIVOTDATA("Sum of "&amp;S$9,'PT-All'!$A$1,"Scenario",S$12,"P&amp;L Item",$B190),0),IFERROR(GETPIVOTDATA("Sum of "&amp;S$9,'PT-All'!$A$1,"Scenario",S$12,"P&amp;L Item",$B190)/S$201,0),TEXT(IFERROR(GETPIVOTDATA("Sum of "&amp;S$9,'PT-All'!$A$1,"Scenario",S$12,"P&amp;L Item",$B190)/S$29,0),"0.00%"))</f>
        <v>0</v>
      </c>
      <c r="T190" s="70">
        <f>CHOOSE(PLColumn,IFERROR(GETPIVOTDATA("Sum of "&amp;T$9,'PT-All'!$A$1,"Scenario",T$12,"P&amp;L Item",$B190),0),IFERROR(GETPIVOTDATA("Sum of "&amp;T$9,'PT-All'!$A$1,"Scenario",T$12,"P&amp;L Item",$B190)/T$201,0),TEXT(IFERROR(GETPIVOTDATA("Sum of "&amp;T$9,'PT-All'!$A$1,"Scenario",T$12,"P&amp;L Item",$B190)/T$29,0),"0.00%"))</f>
        <v>0</v>
      </c>
      <c r="U190" s="70">
        <f>CHOOSE(PLColumn,IFERROR(GETPIVOTDATA("Sum of "&amp;U$9,'PT-All'!$A$1,"Scenario",U$12,"P&amp;L Item",$B190),0),IFERROR(GETPIVOTDATA("Sum of "&amp;U$9,'PT-All'!$A$1,"Scenario",U$12,"P&amp;L Item",$B190)/U$201,0),TEXT(IFERROR(GETPIVOTDATA("Sum of "&amp;U$9,'PT-All'!$A$1,"Scenario",U$12,"P&amp;L Item",$B190)/U$29,0),"0.00%"))</f>
        <v>0</v>
      </c>
      <c r="V190" s="70">
        <f>CHOOSE(PLColumn,IFERROR(GETPIVOTDATA("Sum of "&amp;V$9,'PT-All'!$A$1,"Scenario",V$12,"P&amp;L Item",$B190),0),IFERROR(GETPIVOTDATA("Sum of "&amp;V$9,'PT-All'!$A$1,"Scenario",V$12,"P&amp;L Item",$B190)/V$201,0),TEXT(IFERROR(GETPIVOTDATA("Sum of "&amp;V$9,'PT-All'!$A$1,"Scenario",V$12,"P&amp;L Item",$B190)/V$29,0),"0.00%"))</f>
        <v>0</v>
      </c>
      <c r="W190" s="70">
        <f>CHOOSE(PLColumn,IFERROR(GETPIVOTDATA("Sum of "&amp;W$9,'PT-All'!$A$1,"Scenario",W$12,"P&amp;L Item",$B190),0),IFERROR(GETPIVOTDATA("Sum of "&amp;W$9,'PT-All'!$A$1,"Scenario",W$12,"P&amp;L Item",$B190)/W$201,0),TEXT(IFERROR(GETPIVOTDATA("Sum of "&amp;W$9,'PT-All'!$A$1,"Scenario",W$12,"P&amp;L Item",$B190)/W$29,0),"0.00%"))</f>
        <v>0</v>
      </c>
      <c r="X190" s="70">
        <f>CHOOSE(PLColumn,IFERROR(GETPIVOTDATA("Sum of "&amp;X$9,'PT-All'!$A$1,"Scenario",X$12,"P&amp;L Item",$B190),0),IFERROR(GETPIVOTDATA("Sum of "&amp;X$9,'PT-All'!$A$1,"Scenario",X$12,"P&amp;L Item",$B190)/X$201,0),TEXT(IFERROR(GETPIVOTDATA("Sum of "&amp;X$9,'PT-All'!$A$1,"Scenario",X$12,"P&amp;L Item",$B190)/X$29,0),"0.00%"))</f>
        <v>0</v>
      </c>
      <c r="Y190" s="70">
        <f>CHOOSE(PLColumn,IFERROR(GETPIVOTDATA("Sum of "&amp;Y$9,'PT-All'!$A$1,"Scenario",Y$12,"P&amp;L Item",$B190),0),IFERROR(GETPIVOTDATA("Sum of "&amp;Y$9,'PT-All'!$A$1,"Scenario",Y$12,"P&amp;L Item",$B190)/Y$201,0),TEXT(IFERROR(GETPIVOTDATA("Sum of "&amp;Y$9,'PT-All'!$A$1,"Scenario",Y$12,"P&amp;L Item",$B190)/Y$29,0),"0.00%"))</f>
        <v>0</v>
      </c>
      <c r="Z190" s="70">
        <f>CHOOSE(PLColumn,IFERROR(GETPIVOTDATA("Sum of "&amp;Z$9,'PT-All'!$A$1,"Scenario",Z$12,"P&amp;L Item",$B190),0),IFERROR(GETPIVOTDATA("Sum of "&amp;Z$9,'PT-All'!$A$1,"Scenario",Z$12,"P&amp;L Item",$B190)/Z$201,0),TEXT(IFERROR(GETPIVOTDATA("Sum of "&amp;Z$9,'PT-All'!$A$1,"Scenario",Z$12,"P&amp;L Item",$B190)/Z$29,0),"0.00%"))</f>
        <v>0</v>
      </c>
      <c r="AA190" s="70">
        <f>CHOOSE(PLColumn,IFERROR(GETPIVOTDATA("Sum of "&amp;AA$9,'PT-All'!$A$1,"Scenario",AA$12,"P&amp;L Item",$B190),0),IFERROR(GETPIVOTDATA("Sum of "&amp;AA$9,'PT-All'!$A$1,"Scenario",AA$12,"P&amp;L Item",$B190)/AA$201,0),TEXT(IFERROR(GETPIVOTDATA("Sum of "&amp;AA$9,'PT-All'!$A$1,"Scenario",AA$12,"P&amp;L Item",$B190)/AA$29,0),"0.00%"))</f>
        <v>0</v>
      </c>
      <c r="AB190" s="70">
        <f>CHOOSE(PLColumn,IFERROR(GETPIVOTDATA("Sum of "&amp;AB$9,'PT-All'!$A$1,"Scenario",AB$12,"P&amp;L Item",$B190),0),IFERROR(GETPIVOTDATA("Sum of "&amp;AB$9,'PT-All'!$A$1,"Scenario",AB$12,"P&amp;L Item",$B190)/AB$201,0),TEXT(IFERROR(GETPIVOTDATA("Sum of "&amp;AB$9,'PT-All'!$A$1,"Scenario",AB$12,"P&amp;L Item",$B190)/AB$29,0),"0.00%"))</f>
        <v>0</v>
      </c>
      <c r="AC190" s="70">
        <f>CHOOSE(PLColumn,IFERROR(GETPIVOTDATA("Sum of "&amp;AC$9,'PT-All'!$A$1,"Scenario",AC$12,"P&amp;L Item",$B190),0),IFERROR(GETPIVOTDATA("Sum of "&amp;AC$9,'PT-All'!$A$1,"Scenario",AC$12,"P&amp;L Item",$B190)/AC$201,0),TEXT(IFERROR(GETPIVOTDATA("Sum of "&amp;AC$9,'PT-All'!$A$1,"Scenario",AC$12,"P&amp;L Item",$B190)/AC$29,0),"0.00%"))</f>
        <v>0</v>
      </c>
      <c r="AD190" s="70">
        <f>CHOOSE(PLColumn,IFERROR(GETPIVOTDATA("Sum of "&amp;AD$9,'PT-All'!$A$1,"Scenario",AD$12,"P&amp;L Item",$B190),0),IFERROR(GETPIVOTDATA("Sum of "&amp;AD$9,'PT-All'!$A$1,"Scenario",AD$12,"P&amp;L Item",$B190)/AD$201,0),TEXT(IFERROR(GETPIVOTDATA("Sum of "&amp;AD$9,'PT-All'!$A$1,"Scenario",AD$12,"P&amp;L Item",$B190)/AD$29,0),"0.00%"))</f>
        <v>0</v>
      </c>
      <c r="AE190" s="70">
        <f>CHOOSE(PLColumn,IFERROR(GETPIVOTDATA("Sum of "&amp;AE$9,'PT-All'!$A$1,"Scenario",AE$12,"P&amp;L Item",$B190),0),IFERROR(GETPIVOTDATA("Sum of "&amp;AE$9,'PT-All'!$A$1,"Scenario",AE$12,"P&amp;L Item",$B190)/AE$201,0),TEXT(IFERROR(GETPIVOTDATA("Sum of "&amp;AE$9,'PT-All'!$A$1,"Scenario",AE$12,"P&amp;L Item",$B190)/AE$29,0),"0.00%"))</f>
        <v>0</v>
      </c>
      <c r="AF190" s="70">
        <f>CHOOSE(PLColumn,IFERROR(GETPIVOTDATA("Sum of "&amp;AF$9,'PT-All'!$A$1,"Scenario",AF$12,"P&amp;L Item",$B190),0),IFERROR(GETPIVOTDATA("Sum of "&amp;AF$9,'PT-All'!$A$1,"Scenario",AF$12,"P&amp;L Item",$B190)/AF$201,0),TEXT(IFERROR(GETPIVOTDATA("Sum of "&amp;AF$9,'PT-All'!$A$1,"Scenario",AF$12,"P&amp;L Item",$B190)/AF$29,0),"0.00%"))</f>
        <v>0</v>
      </c>
      <c r="AG190" s="70">
        <f>CHOOSE(PLColumn,IFERROR(GETPIVOTDATA("Sum of "&amp;AG$9,'PT-All'!$A$1,"Scenario",AG$12,"P&amp;L Item",$B190),0),IFERROR(GETPIVOTDATA("Sum of "&amp;AG$9,'PT-All'!$A$1,"Scenario",AG$12,"P&amp;L Item",$B190)/AG$201,0),TEXT(IFERROR(GETPIVOTDATA("Sum of "&amp;AG$9,'PT-All'!$A$1,"Scenario",AG$12,"P&amp;L Item",$B190)/AG$29,0),"0.00%"))</f>
        <v>0</v>
      </c>
      <c r="AH190" s="70">
        <f>CHOOSE(PLColumn,IFERROR(GETPIVOTDATA("Sum of "&amp;AH$9,'PT-All'!$A$1,"Scenario",AH$12,"P&amp;L Item",$B190),0),IFERROR(GETPIVOTDATA("Sum of "&amp;AH$9,'PT-All'!$A$1,"Scenario",AH$12,"P&amp;L Item",$B190)/AH$201,0),TEXT(IFERROR(GETPIVOTDATA("Sum of "&amp;AH$9,'PT-All'!$A$1,"Scenario",AH$12,"P&amp;L Item",$B190)/AH$29,0),"0.00%"))</f>
        <v>0</v>
      </c>
      <c r="AI190" s="70">
        <f>CHOOSE(PLColumn,IFERROR(GETPIVOTDATA("Sum of "&amp;AI$9,'PT-All'!$A$1,"Scenario",AI$12,"P&amp;L Item",$B190),0),IFERROR(GETPIVOTDATA("Sum of "&amp;AI$9,'PT-All'!$A$1,"Scenario",AI$12,"P&amp;L Item",$B190)/AI$201,0),TEXT(IFERROR(GETPIVOTDATA("Sum of "&amp;AI$9,'PT-All'!$A$1,"Scenario",AI$12,"P&amp;L Item",$B190)/AI$29,0),"0.00%"))</f>
        <v>0</v>
      </c>
      <c r="AJ190" s="70">
        <f>CHOOSE(PLColumn,IFERROR(GETPIVOTDATA("Sum of "&amp;AJ$9,'PT-All'!$A$1,"Scenario",AJ$12,"P&amp;L Item",$B190),0),IFERROR(GETPIVOTDATA("Sum of "&amp;AJ$9,'PT-All'!$A$1,"Scenario",AJ$12,"P&amp;L Item",$B190)/AJ$201,0),TEXT(IFERROR(GETPIVOTDATA("Sum of "&amp;AJ$9,'PT-All'!$A$1,"Scenario",AJ$12,"P&amp;L Item",$B190)/AJ$29,0),"0.00%"))</f>
        <v>0</v>
      </c>
      <c r="AK190" s="70">
        <f>CHOOSE(PLColumn,IFERROR(GETPIVOTDATA("Sum of "&amp;AK$9,'PT-All'!$A$1,"Scenario",AK$12,"P&amp;L Item",$B190),0),IFERROR(GETPIVOTDATA("Sum of "&amp;AK$9,'PT-All'!$A$1,"Scenario",AK$12,"P&amp;L Item",$B190)/AK$201,0),TEXT(IFERROR(GETPIVOTDATA("Sum of "&amp;AK$9,'PT-All'!$A$1,"Scenario",AK$12,"P&amp;L Item",$B190)/AK$29,0),"0.00%"))</f>
        <v>0</v>
      </c>
      <c r="AL190" s="99">
        <f>CHOOSE(PLColumn,IFERROR(GETPIVOTDATA("Sum of "&amp;AL$9,'PT-All'!$A$1,"Scenario",AL$12,"P&amp;L Item",$B190),0),IFERROR(GETPIVOTDATA("Sum of "&amp;AL$9,'PT-All'!$A$1,"Scenario",AL$12,"P&amp;L Item",$B190)/AL$201,0),TEXT(IFERROR(GETPIVOTDATA("Sum of "&amp;AL$9,'PT-All'!$A$1,"Scenario",AL$12,"P&amp;L Item",$B190)/AL$29,0),"0.00%"))</f>
        <v>0</v>
      </c>
      <c r="AM190" s="590"/>
      <c r="AN190" s="110">
        <f ca="1">IF(AN$12="Pro Forma",SUM(OFFSET($B190,0,3*AN$9+1,1,3)),IFERROR(GETPIVOTDATA("Sum of Q"&amp;AN$9+1,'PT-All'!$A$1,"Scenario",AN$12,"P&amp;L Item",$B190),0))</f>
        <v>0</v>
      </c>
      <c r="AO190" s="70">
        <f ca="1">IF(AO$12="Pro Forma",SUM(OFFSET($B190,0,3*AO$9+1,1,3)),IFERROR(GETPIVOTDATA("Sum of Q"&amp;AO$9+1,'PT-All'!$A$1,"Scenario",AO$12,"P&amp;L Item",$B190),0))</f>
        <v>0</v>
      </c>
      <c r="AP190" s="70">
        <f ca="1">IF(AP$12="Pro Forma",SUM(OFFSET($B190,0,3*AP$9+1,1,3)),IFERROR(GETPIVOTDATA("Sum of Q"&amp;AP$9+1,'PT-All'!$A$1,"Scenario",AP$12,"P&amp;L Item",$B190),0))</f>
        <v>0</v>
      </c>
      <c r="AQ190" s="70">
        <f ca="1">IF(AQ$12="Pro Forma",SUM(OFFSET($B190,0,3*AQ$9+1,1,3)),IFERROR(GETPIVOTDATA("Sum of Q"&amp;AQ$9+1,'PT-All'!$A$1,"Scenario",AQ$12,"P&amp;L Item",$B190),0))</f>
        <v>0</v>
      </c>
      <c r="AR190" s="70">
        <f ca="1">IF(AR$12="Pro Forma",SUM(OFFSET($B190,0,3*AR$9+1,1,3)),IFERROR(GETPIVOTDATA("Sum of Q"&amp;AR$9+1,'PT-All'!$A$1,"Scenario",AR$12,"P&amp;L Item",$B190),0))</f>
        <v>0</v>
      </c>
      <c r="AS190" s="70">
        <f ca="1">IF(AS$12="Pro Forma",SUM(OFFSET($B190,0,3*AS$9+1,1,3)),IFERROR(GETPIVOTDATA("Sum of Q"&amp;AS$9+1,'PT-All'!$A$1,"Scenario",AS$12,"P&amp;L Item",$B190),0))</f>
        <v>0</v>
      </c>
      <c r="AT190" s="70">
        <f ca="1">IF(AT$12="Pro Forma",SUM(OFFSET($B190,0,3*AT$9+1,1,3)),IFERROR(GETPIVOTDATA("Sum of Q"&amp;AT$9+1,'PT-All'!$A$1,"Scenario",AT$12,"P&amp;L Item",$B190),0))</f>
        <v>0</v>
      </c>
      <c r="AU190" s="70">
        <f ca="1">IF(AU$12="Pro Forma",SUM(OFFSET($B190,0,3*AU$9+1,1,3)),IFERROR(GETPIVOTDATA("Sum of Q"&amp;AU$9+1,'PT-All'!$A$1,"Scenario",AU$12,"P&amp;L Item",$B190),0))</f>
        <v>0</v>
      </c>
      <c r="AV190" s="70">
        <f ca="1">IF(AV$12="Pro Forma",SUM(OFFSET($B190,0,3*AV$9+1,1,3)),IFERROR(GETPIVOTDATA("Sum of Q"&amp;AV$9+1,'PT-All'!$A$1,"Scenario",AV$12,"P&amp;L Item",$B190),0))</f>
        <v>0</v>
      </c>
      <c r="AW190" s="70">
        <f ca="1">IF(AW$12="Pro Forma",SUM(OFFSET($B190,0,3*AW$9+1,1,3)),IFERROR(GETPIVOTDATA("Sum of Q"&amp;AW$9+1,'PT-All'!$A$1,"Scenario",AW$12,"P&amp;L Item",$B190),0))</f>
        <v>0</v>
      </c>
      <c r="AX190" s="70">
        <f ca="1">IF(AX$12="Pro Forma",SUM(OFFSET($B190,0,3*AX$9+1,1,3)),IFERROR(GETPIVOTDATA("Sum of Q"&amp;AX$9+1,'PT-All'!$A$1,"Scenario",AX$12,"P&amp;L Item",$B190),0))</f>
        <v>0</v>
      </c>
      <c r="AY190" s="99">
        <f ca="1">IF(AY$12="Pro Forma",SUM(OFFSET($B190,0,3*AY$9+1,1,3)),IFERROR(GETPIVOTDATA("Sum of Q"&amp;AY$9+1,'PT-All'!$A$1,"Scenario",AY$12,"P&amp;L Item",$B190),0))</f>
        <v>0</v>
      </c>
      <c r="AZ190" s="590"/>
      <c r="BA190" s="110">
        <f ca="1">IF(BA$12="Pro Forma",SUM(OFFSET($B190,0,12*BA$9+1,1,12)),IFERROR(GETPIVOTDATA("Sum of FY"&amp;BA$9+1,'PT-All'!$A$1,"Scenario",BA$12,"P&amp;L Item",$B190),0))</f>
        <v>0</v>
      </c>
      <c r="BB190" s="70">
        <f ca="1">IF(BB$12="Pro Forma",SUM(OFFSET($B190,0,12*BB$9+1,1,12)),IFERROR(GETPIVOTDATA("Sum of FY"&amp;BB$9+1,'PT-All'!$A$1,"Scenario",BB$12,"P&amp;L Item",$B190),0))</f>
        <v>0</v>
      </c>
      <c r="BC190" s="99">
        <f ca="1">IF(BC$12="Pro Forma",SUM(OFFSET($B190,0,12*BC$9+1,1,12)),IFERROR(GETPIVOTDATA("Sum of FY"&amp;BC$9+1,'PT-All'!$A$1,"Scenario",BC$12,"P&amp;L Item",$B190),0))</f>
        <v>0</v>
      </c>
    </row>
    <row r="191" spans="2:55" x14ac:dyDescent="0.35">
      <c r="B191" s="67" t="s">
        <v>66</v>
      </c>
      <c r="C191" s="619">
        <f t="shared" ref="C191:AN191" si="415">SUM(C188:C190)</f>
        <v>0</v>
      </c>
      <c r="D191" s="619">
        <f t="shared" si="415"/>
        <v>0</v>
      </c>
      <c r="E191" s="619">
        <f t="shared" si="415"/>
        <v>0</v>
      </c>
      <c r="F191" s="619">
        <f t="shared" si="415"/>
        <v>0</v>
      </c>
      <c r="G191" s="619">
        <f t="shared" si="415"/>
        <v>0</v>
      </c>
      <c r="H191" s="619">
        <f t="shared" si="415"/>
        <v>0</v>
      </c>
      <c r="I191" s="619">
        <f t="shared" si="415"/>
        <v>0</v>
      </c>
      <c r="J191" s="619">
        <f t="shared" si="415"/>
        <v>0</v>
      </c>
      <c r="K191" s="619">
        <f t="shared" si="415"/>
        <v>0</v>
      </c>
      <c r="L191" s="619">
        <f t="shared" si="415"/>
        <v>0</v>
      </c>
      <c r="M191" s="619">
        <f t="shared" si="415"/>
        <v>0</v>
      </c>
      <c r="N191" s="619">
        <f t="shared" si="415"/>
        <v>0</v>
      </c>
      <c r="O191" s="619">
        <f t="shared" si="415"/>
        <v>0</v>
      </c>
      <c r="P191" s="619">
        <f t="shared" si="415"/>
        <v>0</v>
      </c>
      <c r="Q191" s="619">
        <f t="shared" si="415"/>
        <v>0</v>
      </c>
      <c r="R191" s="619">
        <f t="shared" si="415"/>
        <v>0</v>
      </c>
      <c r="S191" s="619">
        <f t="shared" si="415"/>
        <v>0</v>
      </c>
      <c r="T191" s="619">
        <f t="shared" si="415"/>
        <v>0</v>
      </c>
      <c r="U191" s="619">
        <f t="shared" si="415"/>
        <v>0</v>
      </c>
      <c r="V191" s="619">
        <f t="shared" si="415"/>
        <v>0</v>
      </c>
      <c r="W191" s="619">
        <f t="shared" si="415"/>
        <v>0</v>
      </c>
      <c r="X191" s="619">
        <f t="shared" si="415"/>
        <v>0</v>
      </c>
      <c r="Y191" s="619">
        <f t="shared" si="415"/>
        <v>0</v>
      </c>
      <c r="Z191" s="619">
        <f t="shared" ref="Z191:AL191" si="416">SUM(Z188:Z190)</f>
        <v>0</v>
      </c>
      <c r="AA191" s="619">
        <f t="shared" si="416"/>
        <v>0</v>
      </c>
      <c r="AB191" s="619">
        <f t="shared" si="416"/>
        <v>0</v>
      </c>
      <c r="AC191" s="619">
        <f t="shared" si="416"/>
        <v>0</v>
      </c>
      <c r="AD191" s="619">
        <f t="shared" si="416"/>
        <v>0</v>
      </c>
      <c r="AE191" s="619">
        <f t="shared" si="416"/>
        <v>0</v>
      </c>
      <c r="AF191" s="619">
        <f t="shared" si="416"/>
        <v>0</v>
      </c>
      <c r="AG191" s="619">
        <f t="shared" si="416"/>
        <v>0</v>
      </c>
      <c r="AH191" s="619">
        <f t="shared" si="416"/>
        <v>0</v>
      </c>
      <c r="AI191" s="619">
        <f t="shared" si="416"/>
        <v>0</v>
      </c>
      <c r="AJ191" s="619">
        <f t="shared" si="416"/>
        <v>0</v>
      </c>
      <c r="AK191" s="619">
        <f t="shared" si="416"/>
        <v>0</v>
      </c>
      <c r="AL191" s="620">
        <f t="shared" si="416"/>
        <v>0</v>
      </c>
      <c r="AM191" s="590"/>
      <c r="AN191" s="627">
        <f t="shared" ca="1" si="415"/>
        <v>0</v>
      </c>
      <c r="AO191" s="619">
        <f t="shared" ref="AO191" ca="1" si="417">SUM(AO188:AO190)</f>
        <v>0</v>
      </c>
      <c r="AP191" s="619">
        <f t="shared" ref="AP191" ca="1" si="418">SUM(AP188:AP190)</f>
        <v>0</v>
      </c>
      <c r="AQ191" s="619">
        <f t="shared" ref="AQ191" ca="1" si="419">SUM(AQ188:AQ190)</f>
        <v>0</v>
      </c>
      <c r="AR191" s="619">
        <f t="shared" ref="AR191" ca="1" si="420">SUM(AR188:AR190)</f>
        <v>0</v>
      </c>
      <c r="AS191" s="619">
        <f t="shared" ref="AS191" ca="1" si="421">SUM(AS188:AS190)</f>
        <v>0</v>
      </c>
      <c r="AT191" s="619">
        <f t="shared" ref="AT191:AY191" ca="1" si="422">SUM(AT188:AT190)</f>
        <v>0</v>
      </c>
      <c r="AU191" s="619">
        <f t="shared" ca="1" si="422"/>
        <v>0</v>
      </c>
      <c r="AV191" s="619">
        <f t="shared" ca="1" si="422"/>
        <v>0</v>
      </c>
      <c r="AW191" s="619">
        <f t="shared" ca="1" si="422"/>
        <v>0</v>
      </c>
      <c r="AX191" s="619">
        <f t="shared" ca="1" si="422"/>
        <v>0</v>
      </c>
      <c r="AY191" s="620">
        <f t="shared" ca="1" si="422"/>
        <v>0</v>
      </c>
      <c r="AZ191" s="590"/>
      <c r="BA191" s="627">
        <f t="shared" ref="BA191" ca="1" si="423">SUM(BA188:BA190)</f>
        <v>0</v>
      </c>
      <c r="BB191" s="619">
        <f t="shared" ref="BB191:BC191" ca="1" si="424">SUM(BB188:BB190)</f>
        <v>0</v>
      </c>
      <c r="BC191" s="620">
        <f t="shared" ca="1" si="424"/>
        <v>0</v>
      </c>
    </row>
    <row r="192" spans="2:55" x14ac:dyDescent="0.35">
      <c r="B192" s="358"/>
      <c r="C192" s="595"/>
      <c r="D192" s="595"/>
      <c r="E192" s="595"/>
      <c r="F192" s="595"/>
      <c r="G192" s="595"/>
      <c r="H192" s="595"/>
      <c r="I192" s="595"/>
      <c r="J192" s="595"/>
      <c r="K192" s="595"/>
      <c r="L192" s="595"/>
      <c r="M192" s="595"/>
      <c r="N192" s="595"/>
      <c r="O192" s="595"/>
      <c r="P192" s="595"/>
      <c r="Q192" s="595"/>
      <c r="R192" s="595"/>
      <c r="S192" s="595"/>
      <c r="T192" s="595"/>
      <c r="U192" s="595"/>
      <c r="V192" s="595"/>
      <c r="W192" s="595"/>
      <c r="X192" s="595"/>
      <c r="Y192" s="595"/>
      <c r="Z192" s="595"/>
      <c r="AA192" s="595"/>
      <c r="AB192" s="595"/>
      <c r="AC192" s="595"/>
      <c r="AD192" s="595"/>
      <c r="AE192" s="595"/>
      <c r="AF192" s="595"/>
      <c r="AG192" s="595"/>
      <c r="AH192" s="595"/>
      <c r="AI192" s="595"/>
      <c r="AJ192" s="595"/>
      <c r="AK192" s="595"/>
      <c r="AL192" s="596"/>
      <c r="AM192" s="590"/>
      <c r="AN192" s="597"/>
      <c r="AO192" s="595"/>
      <c r="AP192" s="595"/>
      <c r="AQ192" s="595"/>
      <c r="AR192" s="595"/>
      <c r="AS192" s="595"/>
      <c r="AT192" s="595"/>
      <c r="AU192" s="595"/>
      <c r="AV192" s="595"/>
      <c r="AW192" s="595"/>
      <c r="AX192" s="595"/>
      <c r="AY192" s="596"/>
      <c r="AZ192" s="590"/>
      <c r="BA192" s="597"/>
      <c r="BB192" s="595"/>
      <c r="BC192" s="596"/>
    </row>
    <row r="193" spans="2:55" x14ac:dyDescent="0.35">
      <c r="B193" s="356" t="s">
        <v>67</v>
      </c>
      <c r="C193" s="588">
        <f t="shared" ref="C193:Y193" si="425">C185-C191</f>
        <v>0</v>
      </c>
      <c r="D193" s="588">
        <f t="shared" si="425"/>
        <v>0</v>
      </c>
      <c r="E193" s="588">
        <f t="shared" si="425"/>
        <v>0</v>
      </c>
      <c r="F193" s="588">
        <f t="shared" si="425"/>
        <v>0</v>
      </c>
      <c r="G193" s="588">
        <f t="shared" si="425"/>
        <v>0</v>
      </c>
      <c r="H193" s="588">
        <f t="shared" si="425"/>
        <v>0</v>
      </c>
      <c r="I193" s="588">
        <f t="shared" si="425"/>
        <v>0</v>
      </c>
      <c r="J193" s="588">
        <f t="shared" si="425"/>
        <v>0</v>
      </c>
      <c r="K193" s="588">
        <f t="shared" si="425"/>
        <v>0</v>
      </c>
      <c r="L193" s="588">
        <f t="shared" si="425"/>
        <v>0</v>
      </c>
      <c r="M193" s="588">
        <f t="shared" si="425"/>
        <v>0</v>
      </c>
      <c r="N193" s="588">
        <f t="shared" si="425"/>
        <v>0</v>
      </c>
      <c r="O193" s="588">
        <f t="shared" si="425"/>
        <v>0</v>
      </c>
      <c r="P193" s="588">
        <f t="shared" si="425"/>
        <v>0</v>
      </c>
      <c r="Q193" s="588">
        <f t="shared" si="425"/>
        <v>0</v>
      </c>
      <c r="R193" s="588">
        <f t="shared" si="425"/>
        <v>0</v>
      </c>
      <c r="S193" s="588">
        <f t="shared" si="425"/>
        <v>0</v>
      </c>
      <c r="T193" s="588">
        <f t="shared" si="425"/>
        <v>0</v>
      </c>
      <c r="U193" s="588">
        <f t="shared" si="425"/>
        <v>0</v>
      </c>
      <c r="V193" s="588">
        <f t="shared" si="425"/>
        <v>0</v>
      </c>
      <c r="W193" s="588">
        <f t="shared" si="425"/>
        <v>0</v>
      </c>
      <c r="X193" s="588">
        <f t="shared" si="425"/>
        <v>0</v>
      </c>
      <c r="Y193" s="588">
        <f t="shared" si="425"/>
        <v>0</v>
      </c>
      <c r="Z193" s="588">
        <f t="shared" ref="Z193:AL193" si="426">Z185-Z191</f>
        <v>0</v>
      </c>
      <c r="AA193" s="588">
        <f t="shared" si="426"/>
        <v>0</v>
      </c>
      <c r="AB193" s="588">
        <f t="shared" si="426"/>
        <v>0</v>
      </c>
      <c r="AC193" s="588">
        <f t="shared" si="426"/>
        <v>0</v>
      </c>
      <c r="AD193" s="588">
        <f t="shared" si="426"/>
        <v>0</v>
      </c>
      <c r="AE193" s="588">
        <f t="shared" si="426"/>
        <v>0</v>
      </c>
      <c r="AF193" s="588">
        <f t="shared" si="426"/>
        <v>0</v>
      </c>
      <c r="AG193" s="588">
        <f t="shared" si="426"/>
        <v>0</v>
      </c>
      <c r="AH193" s="588">
        <f t="shared" si="426"/>
        <v>0</v>
      </c>
      <c r="AI193" s="588">
        <f t="shared" si="426"/>
        <v>0</v>
      </c>
      <c r="AJ193" s="588">
        <f t="shared" si="426"/>
        <v>0</v>
      </c>
      <c r="AK193" s="588">
        <f t="shared" si="426"/>
        <v>0</v>
      </c>
      <c r="AL193" s="589">
        <f t="shared" si="426"/>
        <v>0</v>
      </c>
      <c r="AM193" s="590"/>
      <c r="AN193" s="591">
        <f t="shared" ref="AN193:AT193" ca="1" si="427">AN185-AN191</f>
        <v>0</v>
      </c>
      <c r="AO193" s="588">
        <f t="shared" ca="1" si="427"/>
        <v>0</v>
      </c>
      <c r="AP193" s="588">
        <f t="shared" ca="1" si="427"/>
        <v>0</v>
      </c>
      <c r="AQ193" s="588">
        <f t="shared" ca="1" si="427"/>
        <v>0</v>
      </c>
      <c r="AR193" s="588">
        <f t="shared" ca="1" si="427"/>
        <v>0</v>
      </c>
      <c r="AS193" s="588">
        <f t="shared" ca="1" si="427"/>
        <v>0</v>
      </c>
      <c r="AT193" s="588">
        <f t="shared" ca="1" si="427"/>
        <v>0</v>
      </c>
      <c r="AU193" s="588">
        <f t="shared" ref="AU193:AY193" ca="1" si="428">AU185-AU191</f>
        <v>0</v>
      </c>
      <c r="AV193" s="588">
        <f t="shared" ca="1" si="428"/>
        <v>0</v>
      </c>
      <c r="AW193" s="588">
        <f t="shared" ca="1" si="428"/>
        <v>0</v>
      </c>
      <c r="AX193" s="588">
        <f t="shared" ca="1" si="428"/>
        <v>0</v>
      </c>
      <c r="AY193" s="589">
        <f t="shared" ca="1" si="428"/>
        <v>0</v>
      </c>
      <c r="AZ193" s="590"/>
      <c r="BA193" s="591">
        <f t="shared" ref="BA193" ca="1" si="429">BA185-BA191</f>
        <v>0</v>
      </c>
      <c r="BB193" s="588">
        <f t="shared" ref="BB193:BC193" ca="1" si="430">BB185-BB191</f>
        <v>0</v>
      </c>
      <c r="BC193" s="589">
        <f t="shared" ca="1" si="430"/>
        <v>0</v>
      </c>
    </row>
    <row r="194" spans="2:55" x14ac:dyDescent="0.35">
      <c r="B194" s="358"/>
      <c r="C194" s="595"/>
      <c r="D194" s="595"/>
      <c r="E194" s="595"/>
      <c r="F194" s="595"/>
      <c r="G194" s="595"/>
      <c r="H194" s="595"/>
      <c r="I194" s="595"/>
      <c r="J194" s="595"/>
      <c r="K194" s="595"/>
      <c r="L194" s="595"/>
      <c r="M194" s="595"/>
      <c r="N194" s="595"/>
      <c r="O194" s="595"/>
      <c r="P194" s="595"/>
      <c r="Q194" s="595"/>
      <c r="R194" s="595"/>
      <c r="S194" s="595"/>
      <c r="T194" s="595"/>
      <c r="U194" s="595"/>
      <c r="V194" s="595"/>
      <c r="W194" s="595"/>
      <c r="X194" s="595"/>
      <c r="Y194" s="595"/>
      <c r="Z194" s="595"/>
      <c r="AA194" s="595"/>
      <c r="AB194" s="595"/>
      <c r="AC194" s="595"/>
      <c r="AD194" s="595"/>
      <c r="AE194" s="595"/>
      <c r="AF194" s="595"/>
      <c r="AG194" s="595"/>
      <c r="AH194" s="595"/>
      <c r="AI194" s="595"/>
      <c r="AJ194" s="595"/>
      <c r="AK194" s="595"/>
      <c r="AL194" s="596"/>
      <c r="AM194" s="590"/>
      <c r="AN194" s="597"/>
      <c r="AO194" s="595"/>
      <c r="AP194" s="595"/>
      <c r="AQ194" s="595"/>
      <c r="AR194" s="595"/>
      <c r="AS194" s="595"/>
      <c r="AT194" s="595"/>
      <c r="AU194" s="595"/>
      <c r="AV194" s="595"/>
      <c r="AW194" s="595"/>
      <c r="AX194" s="595"/>
      <c r="AY194" s="596"/>
      <c r="AZ194" s="590"/>
      <c r="BA194" s="597"/>
      <c r="BB194" s="595"/>
      <c r="BC194" s="596"/>
    </row>
    <row r="195" spans="2:55" ht="15" x14ac:dyDescent="0.4">
      <c r="B195" s="356" t="s">
        <v>68</v>
      </c>
      <c r="C195" s="88">
        <f>CHOOSE(PLColumn,IFERROR(GETPIVOTDATA("Sum of "&amp;C$9,'PT-All'!$A$1,"Scenario",C$12,"P&amp;L Item",$B195),0),IFERROR(GETPIVOTDATA("Sum of "&amp;C$9,'PT-All'!$A$1,"Scenario",C$12,"P&amp;L Item",$B195)/C$201,0),TEXT(IFERROR(GETPIVOTDATA("Sum of "&amp;C$9,'PT-All'!$A$1,"Scenario",C$12,"P&amp;L Item",$B195)/C$29,0),"0.00%"))</f>
        <v>0</v>
      </c>
      <c r="D195" s="88">
        <f>CHOOSE(PLColumn,IFERROR(GETPIVOTDATA("Sum of "&amp;D$9,'PT-All'!$A$1,"Scenario",D$12,"P&amp;L Item",$B195),0),IFERROR(GETPIVOTDATA("Sum of "&amp;D$9,'PT-All'!$A$1,"Scenario",D$12,"P&amp;L Item",$B195)/D$201,0),TEXT(IFERROR(GETPIVOTDATA("Sum of "&amp;D$9,'PT-All'!$A$1,"Scenario",D$12,"P&amp;L Item",$B195)/D$29,0),"0.00%"))</f>
        <v>0</v>
      </c>
      <c r="E195" s="88">
        <f>CHOOSE(PLColumn,IFERROR(GETPIVOTDATA("Sum of "&amp;E$9,'PT-All'!$A$1,"Scenario",E$12,"P&amp;L Item",$B195),0),IFERROR(GETPIVOTDATA("Sum of "&amp;E$9,'PT-All'!$A$1,"Scenario",E$12,"P&amp;L Item",$B195)/E$201,0),TEXT(IFERROR(GETPIVOTDATA("Sum of "&amp;E$9,'PT-All'!$A$1,"Scenario",E$12,"P&amp;L Item",$B195)/E$29,0),"0.00%"))</f>
        <v>0</v>
      </c>
      <c r="F195" s="88">
        <f>CHOOSE(PLColumn,IFERROR(GETPIVOTDATA("Sum of "&amp;F$9,'PT-All'!$A$1,"Scenario",F$12,"P&amp;L Item",$B195),0),IFERROR(GETPIVOTDATA("Sum of "&amp;F$9,'PT-All'!$A$1,"Scenario",F$12,"P&amp;L Item",$B195)/F$201,0),TEXT(IFERROR(GETPIVOTDATA("Sum of "&amp;F$9,'PT-All'!$A$1,"Scenario",F$12,"P&amp;L Item",$B195)/F$29,0),"0.00%"))</f>
        <v>0</v>
      </c>
      <c r="G195" s="88">
        <f>CHOOSE(PLColumn,IFERROR(GETPIVOTDATA("Sum of "&amp;G$9,'PT-All'!$A$1,"Scenario",G$12,"P&amp;L Item",$B195),0),IFERROR(GETPIVOTDATA("Sum of "&amp;G$9,'PT-All'!$A$1,"Scenario",G$12,"P&amp;L Item",$B195)/G$201,0),TEXT(IFERROR(GETPIVOTDATA("Sum of "&amp;G$9,'PT-All'!$A$1,"Scenario",G$12,"P&amp;L Item",$B195)/G$29,0),"0.00%"))</f>
        <v>0</v>
      </c>
      <c r="H195" s="88">
        <f>CHOOSE(PLColumn,IFERROR(GETPIVOTDATA("Sum of "&amp;H$9,'PT-All'!$A$1,"Scenario",H$12,"P&amp;L Item",$B195),0),IFERROR(GETPIVOTDATA("Sum of "&amp;H$9,'PT-All'!$A$1,"Scenario",H$12,"P&amp;L Item",$B195)/H$201,0),TEXT(IFERROR(GETPIVOTDATA("Sum of "&amp;H$9,'PT-All'!$A$1,"Scenario",H$12,"P&amp;L Item",$B195)/H$29,0),"0.00%"))</f>
        <v>0</v>
      </c>
      <c r="I195" s="88">
        <f>CHOOSE(PLColumn,IFERROR(GETPIVOTDATA("Sum of "&amp;I$9,'PT-All'!$A$1,"Scenario",I$12,"P&amp;L Item",$B195),0),IFERROR(GETPIVOTDATA("Sum of "&amp;I$9,'PT-All'!$A$1,"Scenario",I$12,"P&amp;L Item",$B195)/I$201,0),TEXT(IFERROR(GETPIVOTDATA("Sum of "&amp;I$9,'PT-All'!$A$1,"Scenario",I$12,"P&amp;L Item",$B195)/I$29,0),"0.00%"))</f>
        <v>0</v>
      </c>
      <c r="J195" s="88">
        <f>CHOOSE(PLColumn,IFERROR(GETPIVOTDATA("Sum of "&amp;J$9,'PT-All'!$A$1,"Scenario",J$12,"P&amp;L Item",$B195),0),IFERROR(GETPIVOTDATA("Sum of "&amp;J$9,'PT-All'!$A$1,"Scenario",J$12,"P&amp;L Item",$B195)/J$201,0),TEXT(IFERROR(GETPIVOTDATA("Sum of "&amp;J$9,'PT-All'!$A$1,"Scenario",J$12,"P&amp;L Item",$B195)/J$29,0),"0.00%"))</f>
        <v>0</v>
      </c>
      <c r="K195" s="88">
        <f>CHOOSE(PLColumn,IFERROR(GETPIVOTDATA("Sum of "&amp;K$9,'PT-All'!$A$1,"Scenario",K$12,"P&amp;L Item",$B195),0),IFERROR(GETPIVOTDATA("Sum of "&amp;K$9,'PT-All'!$A$1,"Scenario",K$12,"P&amp;L Item",$B195)/K$201,0),TEXT(IFERROR(GETPIVOTDATA("Sum of "&amp;K$9,'PT-All'!$A$1,"Scenario",K$12,"P&amp;L Item",$B195)/K$29,0),"0.00%"))</f>
        <v>0</v>
      </c>
      <c r="L195" s="88">
        <f>CHOOSE(PLColumn,IFERROR(GETPIVOTDATA("Sum of "&amp;L$9,'PT-All'!$A$1,"Scenario",L$12,"P&amp;L Item",$B195),0),IFERROR(GETPIVOTDATA("Sum of "&amp;L$9,'PT-All'!$A$1,"Scenario",L$12,"P&amp;L Item",$B195)/L$201,0),TEXT(IFERROR(GETPIVOTDATA("Sum of "&amp;L$9,'PT-All'!$A$1,"Scenario",L$12,"P&amp;L Item",$B195)/L$29,0),"0.00%"))</f>
        <v>0</v>
      </c>
      <c r="M195" s="88">
        <f>CHOOSE(PLColumn,IFERROR(GETPIVOTDATA("Sum of "&amp;M$9,'PT-All'!$A$1,"Scenario",M$12,"P&amp;L Item",$B195),0),IFERROR(GETPIVOTDATA("Sum of "&amp;M$9,'PT-All'!$A$1,"Scenario",M$12,"P&amp;L Item",$B195)/M$201,0),TEXT(IFERROR(GETPIVOTDATA("Sum of "&amp;M$9,'PT-All'!$A$1,"Scenario",M$12,"P&amp;L Item",$B195)/M$29,0),"0.00%"))</f>
        <v>0</v>
      </c>
      <c r="N195" s="88">
        <f>CHOOSE(PLColumn,IFERROR(GETPIVOTDATA("Sum of "&amp;N$9,'PT-All'!$A$1,"Scenario",N$12,"P&amp;L Item",$B195),0),IFERROR(GETPIVOTDATA("Sum of "&amp;N$9,'PT-All'!$A$1,"Scenario",N$12,"P&amp;L Item",$B195)/N$201,0),TEXT(IFERROR(GETPIVOTDATA("Sum of "&amp;N$9,'PT-All'!$A$1,"Scenario",N$12,"P&amp;L Item",$B195)/N$29,0),"0.00%"))</f>
        <v>0</v>
      </c>
      <c r="O195" s="88">
        <f>CHOOSE(PLColumn,IFERROR(GETPIVOTDATA("Sum of "&amp;O$9,'PT-All'!$A$1,"Scenario",O$12,"P&amp;L Item",$B195),0),IFERROR(GETPIVOTDATA("Sum of "&amp;O$9,'PT-All'!$A$1,"Scenario",O$12,"P&amp;L Item",$B195)/O$201,0),TEXT(IFERROR(GETPIVOTDATA("Sum of "&amp;O$9,'PT-All'!$A$1,"Scenario",O$12,"P&amp;L Item",$B195)/O$29,0),"0.00%"))</f>
        <v>0</v>
      </c>
      <c r="P195" s="88">
        <f>CHOOSE(PLColumn,IFERROR(GETPIVOTDATA("Sum of "&amp;P$9,'PT-All'!$A$1,"Scenario",P$12,"P&amp;L Item",$B195),0),IFERROR(GETPIVOTDATA("Sum of "&amp;P$9,'PT-All'!$A$1,"Scenario",P$12,"P&amp;L Item",$B195)/P$201,0),TEXT(IFERROR(GETPIVOTDATA("Sum of "&amp;P$9,'PT-All'!$A$1,"Scenario",P$12,"P&amp;L Item",$B195)/P$29,0),"0.00%"))</f>
        <v>0</v>
      </c>
      <c r="Q195" s="88">
        <f>CHOOSE(PLColumn,IFERROR(GETPIVOTDATA("Sum of "&amp;Q$9,'PT-All'!$A$1,"Scenario",Q$12,"P&amp;L Item",$B195),0),IFERROR(GETPIVOTDATA("Sum of "&amp;Q$9,'PT-All'!$A$1,"Scenario",Q$12,"P&amp;L Item",$B195)/Q$201,0),TEXT(IFERROR(GETPIVOTDATA("Sum of "&amp;Q$9,'PT-All'!$A$1,"Scenario",Q$12,"P&amp;L Item",$B195)/Q$29,0),"0.00%"))</f>
        <v>0</v>
      </c>
      <c r="R195" s="88">
        <f>CHOOSE(PLColumn,IFERROR(GETPIVOTDATA("Sum of "&amp;R$9,'PT-All'!$A$1,"Scenario",R$12,"P&amp;L Item",$B195),0),IFERROR(GETPIVOTDATA("Sum of "&amp;R$9,'PT-All'!$A$1,"Scenario",R$12,"P&amp;L Item",$B195)/R$201,0),TEXT(IFERROR(GETPIVOTDATA("Sum of "&amp;R$9,'PT-All'!$A$1,"Scenario",R$12,"P&amp;L Item",$B195)/R$29,0),"0.00%"))</f>
        <v>0</v>
      </c>
      <c r="S195" s="88">
        <f>CHOOSE(PLColumn,IFERROR(GETPIVOTDATA("Sum of "&amp;S$9,'PT-All'!$A$1,"Scenario",S$12,"P&amp;L Item",$B195),0),IFERROR(GETPIVOTDATA("Sum of "&amp;S$9,'PT-All'!$A$1,"Scenario",S$12,"P&amp;L Item",$B195)/S$201,0),TEXT(IFERROR(GETPIVOTDATA("Sum of "&amp;S$9,'PT-All'!$A$1,"Scenario",S$12,"P&amp;L Item",$B195)/S$29,0),"0.00%"))</f>
        <v>0</v>
      </c>
      <c r="T195" s="88">
        <f>CHOOSE(PLColumn,IFERROR(GETPIVOTDATA("Sum of "&amp;T$9,'PT-All'!$A$1,"Scenario",T$12,"P&amp;L Item",$B195),0),IFERROR(GETPIVOTDATA("Sum of "&amp;T$9,'PT-All'!$A$1,"Scenario",T$12,"P&amp;L Item",$B195)/T$201,0),TEXT(IFERROR(GETPIVOTDATA("Sum of "&amp;T$9,'PT-All'!$A$1,"Scenario",T$12,"P&amp;L Item",$B195)/T$29,0),"0.00%"))</f>
        <v>0</v>
      </c>
      <c r="U195" s="88">
        <f>CHOOSE(PLColumn,IFERROR(GETPIVOTDATA("Sum of "&amp;U$9,'PT-All'!$A$1,"Scenario",U$12,"P&amp;L Item",$B195),0),IFERROR(GETPIVOTDATA("Sum of "&amp;U$9,'PT-All'!$A$1,"Scenario",U$12,"P&amp;L Item",$B195)/U$201,0),TEXT(IFERROR(GETPIVOTDATA("Sum of "&amp;U$9,'PT-All'!$A$1,"Scenario",U$12,"P&amp;L Item",$B195)/U$29,0),"0.00%"))</f>
        <v>0</v>
      </c>
      <c r="V195" s="88">
        <f>CHOOSE(PLColumn,IFERROR(GETPIVOTDATA("Sum of "&amp;V$9,'PT-All'!$A$1,"Scenario",V$12,"P&amp;L Item",$B195),0),IFERROR(GETPIVOTDATA("Sum of "&amp;V$9,'PT-All'!$A$1,"Scenario",V$12,"P&amp;L Item",$B195)/V$201,0),TEXT(IFERROR(GETPIVOTDATA("Sum of "&amp;V$9,'PT-All'!$A$1,"Scenario",V$12,"P&amp;L Item",$B195)/V$29,0),"0.00%"))</f>
        <v>0</v>
      </c>
      <c r="W195" s="88">
        <f>CHOOSE(PLColumn,IFERROR(GETPIVOTDATA("Sum of "&amp;W$9,'PT-All'!$A$1,"Scenario",W$12,"P&amp;L Item",$B195),0),IFERROR(GETPIVOTDATA("Sum of "&amp;W$9,'PT-All'!$A$1,"Scenario",W$12,"P&amp;L Item",$B195)/W$201,0),TEXT(IFERROR(GETPIVOTDATA("Sum of "&amp;W$9,'PT-All'!$A$1,"Scenario",W$12,"P&amp;L Item",$B195)/W$29,0),"0.00%"))</f>
        <v>0</v>
      </c>
      <c r="X195" s="88">
        <f>CHOOSE(PLColumn,IFERROR(GETPIVOTDATA("Sum of "&amp;X$9,'PT-All'!$A$1,"Scenario",X$12,"P&amp;L Item",$B195),0),IFERROR(GETPIVOTDATA("Sum of "&amp;X$9,'PT-All'!$A$1,"Scenario",X$12,"P&amp;L Item",$B195)/X$201,0),TEXT(IFERROR(GETPIVOTDATA("Sum of "&amp;X$9,'PT-All'!$A$1,"Scenario",X$12,"P&amp;L Item",$B195)/X$29,0),"0.00%"))</f>
        <v>0</v>
      </c>
      <c r="Y195" s="88">
        <f>CHOOSE(PLColumn,IFERROR(GETPIVOTDATA("Sum of "&amp;Y$9,'PT-All'!$A$1,"Scenario",Y$12,"P&amp;L Item",$B195),0),IFERROR(GETPIVOTDATA("Sum of "&amp;Y$9,'PT-All'!$A$1,"Scenario",Y$12,"P&amp;L Item",$B195)/Y$201,0),TEXT(IFERROR(GETPIVOTDATA("Sum of "&amp;Y$9,'PT-All'!$A$1,"Scenario",Y$12,"P&amp;L Item",$B195)/Y$29,0),"0.00%"))</f>
        <v>0</v>
      </c>
      <c r="Z195" s="88">
        <f>CHOOSE(PLColumn,IFERROR(GETPIVOTDATA("Sum of "&amp;Z$9,'PT-All'!$A$1,"Scenario",Z$12,"P&amp;L Item",$B195),0),IFERROR(GETPIVOTDATA("Sum of "&amp;Z$9,'PT-All'!$A$1,"Scenario",Z$12,"P&amp;L Item",$B195)/Z$201,0),TEXT(IFERROR(GETPIVOTDATA("Sum of "&amp;Z$9,'PT-All'!$A$1,"Scenario",Z$12,"P&amp;L Item",$B195)/Z$29,0),"0.00%"))</f>
        <v>0</v>
      </c>
      <c r="AA195" s="88">
        <f>CHOOSE(PLColumn,IFERROR(GETPIVOTDATA("Sum of "&amp;AA$9,'PT-All'!$A$1,"Scenario",AA$12,"P&amp;L Item",$B195),0),IFERROR(GETPIVOTDATA("Sum of "&amp;AA$9,'PT-All'!$A$1,"Scenario",AA$12,"P&amp;L Item",$B195)/AA$201,0),TEXT(IFERROR(GETPIVOTDATA("Sum of "&amp;AA$9,'PT-All'!$A$1,"Scenario",AA$12,"P&amp;L Item",$B195)/AA$29,0),"0.00%"))</f>
        <v>0</v>
      </c>
      <c r="AB195" s="88">
        <f>CHOOSE(PLColumn,IFERROR(GETPIVOTDATA("Sum of "&amp;AB$9,'PT-All'!$A$1,"Scenario",AB$12,"P&amp;L Item",$B195),0),IFERROR(GETPIVOTDATA("Sum of "&amp;AB$9,'PT-All'!$A$1,"Scenario",AB$12,"P&amp;L Item",$B195)/AB$201,0),TEXT(IFERROR(GETPIVOTDATA("Sum of "&amp;AB$9,'PT-All'!$A$1,"Scenario",AB$12,"P&amp;L Item",$B195)/AB$29,0),"0.00%"))</f>
        <v>0</v>
      </c>
      <c r="AC195" s="88">
        <f>CHOOSE(PLColumn,IFERROR(GETPIVOTDATA("Sum of "&amp;AC$9,'PT-All'!$A$1,"Scenario",AC$12,"P&amp;L Item",$B195),0),IFERROR(GETPIVOTDATA("Sum of "&amp;AC$9,'PT-All'!$A$1,"Scenario",AC$12,"P&amp;L Item",$B195)/AC$201,0),TEXT(IFERROR(GETPIVOTDATA("Sum of "&amp;AC$9,'PT-All'!$A$1,"Scenario",AC$12,"P&amp;L Item",$B195)/AC$29,0),"0.00%"))</f>
        <v>0</v>
      </c>
      <c r="AD195" s="88">
        <f>CHOOSE(PLColumn,IFERROR(GETPIVOTDATA("Sum of "&amp;AD$9,'PT-All'!$A$1,"Scenario",AD$12,"P&amp;L Item",$B195),0),IFERROR(GETPIVOTDATA("Sum of "&amp;AD$9,'PT-All'!$A$1,"Scenario",AD$12,"P&amp;L Item",$B195)/AD$201,0),TEXT(IFERROR(GETPIVOTDATA("Sum of "&amp;AD$9,'PT-All'!$A$1,"Scenario",AD$12,"P&amp;L Item",$B195)/AD$29,0),"0.00%"))</f>
        <v>0</v>
      </c>
      <c r="AE195" s="88">
        <f>CHOOSE(PLColumn,IFERROR(GETPIVOTDATA("Sum of "&amp;AE$9,'PT-All'!$A$1,"Scenario",AE$12,"P&amp;L Item",$B195),0),IFERROR(GETPIVOTDATA("Sum of "&amp;AE$9,'PT-All'!$A$1,"Scenario",AE$12,"P&amp;L Item",$B195)/AE$201,0),TEXT(IFERROR(GETPIVOTDATA("Sum of "&amp;AE$9,'PT-All'!$A$1,"Scenario",AE$12,"P&amp;L Item",$B195)/AE$29,0),"0.00%"))</f>
        <v>0</v>
      </c>
      <c r="AF195" s="88">
        <f>CHOOSE(PLColumn,IFERROR(GETPIVOTDATA("Sum of "&amp;AF$9,'PT-All'!$A$1,"Scenario",AF$12,"P&amp;L Item",$B195),0),IFERROR(GETPIVOTDATA("Sum of "&amp;AF$9,'PT-All'!$A$1,"Scenario",AF$12,"P&amp;L Item",$B195)/AF$201,0),TEXT(IFERROR(GETPIVOTDATA("Sum of "&amp;AF$9,'PT-All'!$A$1,"Scenario",AF$12,"P&amp;L Item",$B195)/AF$29,0),"0.00%"))</f>
        <v>0</v>
      </c>
      <c r="AG195" s="88">
        <f>CHOOSE(PLColumn,IFERROR(GETPIVOTDATA("Sum of "&amp;AG$9,'PT-All'!$A$1,"Scenario",AG$12,"P&amp;L Item",$B195),0),IFERROR(GETPIVOTDATA("Sum of "&amp;AG$9,'PT-All'!$A$1,"Scenario",AG$12,"P&amp;L Item",$B195)/AG$201,0),TEXT(IFERROR(GETPIVOTDATA("Sum of "&amp;AG$9,'PT-All'!$A$1,"Scenario",AG$12,"P&amp;L Item",$B195)/AG$29,0),"0.00%"))</f>
        <v>0</v>
      </c>
      <c r="AH195" s="88">
        <f>CHOOSE(PLColumn,IFERROR(GETPIVOTDATA("Sum of "&amp;AH$9,'PT-All'!$A$1,"Scenario",AH$12,"P&amp;L Item",$B195),0),IFERROR(GETPIVOTDATA("Sum of "&amp;AH$9,'PT-All'!$A$1,"Scenario",AH$12,"P&amp;L Item",$B195)/AH$201,0),TEXT(IFERROR(GETPIVOTDATA("Sum of "&amp;AH$9,'PT-All'!$A$1,"Scenario",AH$12,"P&amp;L Item",$B195)/AH$29,0),"0.00%"))</f>
        <v>0</v>
      </c>
      <c r="AI195" s="88">
        <f>CHOOSE(PLColumn,IFERROR(GETPIVOTDATA("Sum of "&amp;AI$9,'PT-All'!$A$1,"Scenario",AI$12,"P&amp;L Item",$B195),0),IFERROR(GETPIVOTDATA("Sum of "&amp;AI$9,'PT-All'!$A$1,"Scenario",AI$12,"P&amp;L Item",$B195)/AI$201,0),TEXT(IFERROR(GETPIVOTDATA("Sum of "&amp;AI$9,'PT-All'!$A$1,"Scenario",AI$12,"P&amp;L Item",$B195)/AI$29,0),"0.00%"))</f>
        <v>0</v>
      </c>
      <c r="AJ195" s="88">
        <f>CHOOSE(PLColumn,IFERROR(GETPIVOTDATA("Sum of "&amp;AJ$9,'PT-All'!$A$1,"Scenario",AJ$12,"P&amp;L Item",$B195),0),IFERROR(GETPIVOTDATA("Sum of "&amp;AJ$9,'PT-All'!$A$1,"Scenario",AJ$12,"P&amp;L Item",$B195)/AJ$201,0),TEXT(IFERROR(GETPIVOTDATA("Sum of "&amp;AJ$9,'PT-All'!$A$1,"Scenario",AJ$12,"P&amp;L Item",$B195)/AJ$29,0),"0.00%"))</f>
        <v>0</v>
      </c>
      <c r="AK195" s="88">
        <f>CHOOSE(PLColumn,IFERROR(GETPIVOTDATA("Sum of "&amp;AK$9,'PT-All'!$A$1,"Scenario",AK$12,"P&amp;L Item",$B195),0),IFERROR(GETPIVOTDATA("Sum of "&amp;AK$9,'PT-All'!$A$1,"Scenario",AK$12,"P&amp;L Item",$B195)/AK$201,0),TEXT(IFERROR(GETPIVOTDATA("Sum of "&amp;AK$9,'PT-All'!$A$1,"Scenario",AK$12,"P&amp;L Item",$B195)/AK$29,0),"0.00%"))</f>
        <v>0</v>
      </c>
      <c r="AL195" s="103">
        <f>CHOOSE(PLColumn,IFERROR(GETPIVOTDATA("Sum of "&amp;AL$9,'PT-All'!$A$1,"Scenario",AL$12,"P&amp;L Item",$B195),0),IFERROR(GETPIVOTDATA("Sum of "&amp;AL$9,'PT-All'!$A$1,"Scenario",AL$12,"P&amp;L Item",$B195)/AL$201,0),TEXT(IFERROR(GETPIVOTDATA("Sum of "&amp;AL$9,'PT-All'!$A$1,"Scenario",AL$12,"P&amp;L Item",$B195)/AL$29,0),"0.00%"))</f>
        <v>0</v>
      </c>
      <c r="AM195" s="590"/>
      <c r="AN195" s="114">
        <f ca="1">IF(AN$12="Pro Forma",SUM(OFFSET($B195,0,3*AN$9+1,1,3)),IFERROR(GETPIVOTDATA("Sum of Q"&amp;AN$9+1,'PT-All'!$A$1,"Scenario",AN$12,"P&amp;L Item",$B195),0))</f>
        <v>0</v>
      </c>
      <c r="AO195" s="88">
        <f ca="1">IF(AO$12="Pro Forma",SUM(OFFSET($B195,0,3*AO$9+1,1,3)),IFERROR(GETPIVOTDATA("Sum of Q"&amp;AO$9+1,'PT-All'!$A$1,"Scenario",AO$12,"P&amp;L Item",$B195),0))</f>
        <v>0</v>
      </c>
      <c r="AP195" s="88">
        <f ca="1">IF(AP$12="Pro Forma",SUM(OFFSET($B195,0,3*AP$9+1,1,3)),IFERROR(GETPIVOTDATA("Sum of Q"&amp;AP$9+1,'PT-All'!$A$1,"Scenario",AP$12,"P&amp;L Item",$B195),0))</f>
        <v>0</v>
      </c>
      <c r="AQ195" s="88">
        <f ca="1">IF(AQ$12="Pro Forma",SUM(OFFSET($B195,0,3*AQ$9+1,1,3)),IFERROR(GETPIVOTDATA("Sum of Q"&amp;AQ$9+1,'PT-All'!$A$1,"Scenario",AQ$12,"P&amp;L Item",$B195),0))</f>
        <v>0</v>
      </c>
      <c r="AR195" s="88">
        <f ca="1">IF(AR$12="Pro Forma",SUM(OFFSET($B195,0,3*AR$9+1,1,3)),IFERROR(GETPIVOTDATA("Sum of Q"&amp;AR$9+1,'PT-All'!$A$1,"Scenario",AR$12,"P&amp;L Item",$B195),0))</f>
        <v>0</v>
      </c>
      <c r="AS195" s="88">
        <f ca="1">IF(AS$12="Pro Forma",SUM(OFFSET($B195,0,3*AS$9+1,1,3)),IFERROR(GETPIVOTDATA("Sum of Q"&amp;AS$9+1,'PT-All'!$A$1,"Scenario",AS$12,"P&amp;L Item",$B195),0))</f>
        <v>0</v>
      </c>
      <c r="AT195" s="88">
        <f ca="1">IF(AT$12="Pro Forma",SUM(OFFSET($B195,0,3*AT$9+1,1,3)),IFERROR(GETPIVOTDATA("Sum of Q"&amp;AT$9+1,'PT-All'!$A$1,"Scenario",AT$12,"P&amp;L Item",$B195),0))</f>
        <v>0</v>
      </c>
      <c r="AU195" s="88">
        <f ca="1">IF(AU$12="Pro Forma",SUM(OFFSET($B195,0,3*AU$9+1,1,3)),IFERROR(GETPIVOTDATA("Sum of Q"&amp;AU$9+1,'PT-All'!$A$1,"Scenario",AU$12,"P&amp;L Item",$B195),0))</f>
        <v>0</v>
      </c>
      <c r="AV195" s="88">
        <f ca="1">IF(AV$12="Pro Forma",SUM(OFFSET($B195,0,3*AV$9+1,1,3)),IFERROR(GETPIVOTDATA("Sum of Q"&amp;AV$9+1,'PT-All'!$A$1,"Scenario",AV$12,"P&amp;L Item",$B195),0))</f>
        <v>0</v>
      </c>
      <c r="AW195" s="88">
        <f ca="1">IF(AW$12="Pro Forma",SUM(OFFSET($B195,0,3*AW$9+1,1,3)),IFERROR(GETPIVOTDATA("Sum of Q"&amp;AW$9+1,'PT-All'!$A$1,"Scenario",AW$12,"P&amp;L Item",$B195),0))</f>
        <v>0</v>
      </c>
      <c r="AX195" s="88">
        <f ca="1">IF(AX$12="Pro Forma",SUM(OFFSET($B195,0,3*AX$9+1,1,3)),IFERROR(GETPIVOTDATA("Sum of Q"&amp;AX$9+1,'PT-All'!$A$1,"Scenario",AX$12,"P&amp;L Item",$B195),0))</f>
        <v>0</v>
      </c>
      <c r="AY195" s="103">
        <f ca="1">IF(AY$12="Pro Forma",SUM(OFFSET($B195,0,3*AY$9+1,1,3)),IFERROR(GETPIVOTDATA("Sum of Q"&amp;AY$9+1,'PT-All'!$A$1,"Scenario",AY$12,"P&amp;L Item",$B195),0))</f>
        <v>0</v>
      </c>
      <c r="AZ195" s="590"/>
      <c r="BA195" s="114">
        <f ca="1">IF(BA$12="Pro Forma",SUM(OFFSET($B195,0,12*BA$9+1,1,12)),IFERROR(GETPIVOTDATA("Sum of FY"&amp;BA$9+1,'PT-All'!$A$1,"Scenario",BA$12,"P&amp;L Item",$B195),0))</f>
        <v>0</v>
      </c>
      <c r="BB195" s="88">
        <f ca="1">IF(BB$12="Pro Forma",SUM(OFFSET($B195,0,12*BB$9+1,1,12)),IFERROR(GETPIVOTDATA("Sum of FY"&amp;BB$9+1,'PT-All'!$A$1,"Scenario",BB$12,"P&amp;L Item",$B195),0))</f>
        <v>0</v>
      </c>
      <c r="BC195" s="103">
        <f ca="1">IF(BC$12="Pro Forma",SUM(OFFSET($B195,0,12*BC$9+1,1,12)),IFERROR(GETPIVOTDATA("Sum of FY"&amp;BC$9+1,'PT-All'!$A$1,"Scenario",BC$12,"P&amp;L Item",$B195),0))</f>
        <v>0</v>
      </c>
    </row>
    <row r="196" spans="2:55" x14ac:dyDescent="0.35">
      <c r="B196" s="67" t="s">
        <v>69</v>
      </c>
      <c r="C196" s="619">
        <f t="shared" ref="C196:AN196" si="431">C193-C195</f>
        <v>0</v>
      </c>
      <c r="D196" s="619">
        <f t="shared" si="431"/>
        <v>0</v>
      </c>
      <c r="E196" s="619">
        <f t="shared" si="431"/>
        <v>0</v>
      </c>
      <c r="F196" s="619">
        <f t="shared" si="431"/>
        <v>0</v>
      </c>
      <c r="G196" s="619">
        <f t="shared" si="431"/>
        <v>0</v>
      </c>
      <c r="H196" s="619">
        <f t="shared" si="431"/>
        <v>0</v>
      </c>
      <c r="I196" s="619">
        <f t="shared" si="431"/>
        <v>0</v>
      </c>
      <c r="J196" s="619">
        <f t="shared" si="431"/>
        <v>0</v>
      </c>
      <c r="K196" s="619">
        <f t="shared" si="431"/>
        <v>0</v>
      </c>
      <c r="L196" s="619">
        <f t="shared" si="431"/>
        <v>0</v>
      </c>
      <c r="M196" s="619">
        <f t="shared" si="431"/>
        <v>0</v>
      </c>
      <c r="N196" s="619">
        <f t="shared" si="431"/>
        <v>0</v>
      </c>
      <c r="O196" s="619">
        <f t="shared" si="431"/>
        <v>0</v>
      </c>
      <c r="P196" s="619">
        <f t="shared" si="431"/>
        <v>0</v>
      </c>
      <c r="Q196" s="619">
        <f t="shared" si="431"/>
        <v>0</v>
      </c>
      <c r="R196" s="619">
        <f t="shared" si="431"/>
        <v>0</v>
      </c>
      <c r="S196" s="619">
        <f t="shared" si="431"/>
        <v>0</v>
      </c>
      <c r="T196" s="619">
        <f t="shared" si="431"/>
        <v>0</v>
      </c>
      <c r="U196" s="619">
        <f t="shared" si="431"/>
        <v>0</v>
      </c>
      <c r="V196" s="619">
        <f t="shared" si="431"/>
        <v>0</v>
      </c>
      <c r="W196" s="619">
        <f t="shared" si="431"/>
        <v>0</v>
      </c>
      <c r="X196" s="619">
        <f t="shared" si="431"/>
        <v>0</v>
      </c>
      <c r="Y196" s="619">
        <f t="shared" si="431"/>
        <v>0</v>
      </c>
      <c r="Z196" s="619">
        <f t="shared" ref="Z196:AL196" si="432">Z193-Z195</f>
        <v>0</v>
      </c>
      <c r="AA196" s="619">
        <f t="shared" si="432"/>
        <v>0</v>
      </c>
      <c r="AB196" s="619">
        <f t="shared" si="432"/>
        <v>0</v>
      </c>
      <c r="AC196" s="619">
        <f t="shared" si="432"/>
        <v>0</v>
      </c>
      <c r="AD196" s="619">
        <f t="shared" si="432"/>
        <v>0</v>
      </c>
      <c r="AE196" s="619">
        <f t="shared" si="432"/>
        <v>0</v>
      </c>
      <c r="AF196" s="619">
        <f t="shared" si="432"/>
        <v>0</v>
      </c>
      <c r="AG196" s="619">
        <f t="shared" si="432"/>
        <v>0</v>
      </c>
      <c r="AH196" s="619">
        <f t="shared" si="432"/>
        <v>0</v>
      </c>
      <c r="AI196" s="619">
        <f t="shared" si="432"/>
        <v>0</v>
      </c>
      <c r="AJ196" s="619">
        <f t="shared" si="432"/>
        <v>0</v>
      </c>
      <c r="AK196" s="619">
        <f t="shared" si="432"/>
        <v>0</v>
      </c>
      <c r="AL196" s="620">
        <f t="shared" si="432"/>
        <v>0</v>
      </c>
      <c r="AM196" s="590"/>
      <c r="AN196" s="627">
        <f t="shared" ca="1" si="431"/>
        <v>0</v>
      </c>
      <c r="AO196" s="619">
        <f t="shared" ref="AO196" ca="1" si="433">AO193-AO195</f>
        <v>0</v>
      </c>
      <c r="AP196" s="619">
        <f t="shared" ref="AP196" ca="1" si="434">AP193-AP195</f>
        <v>0</v>
      </c>
      <c r="AQ196" s="619">
        <f t="shared" ref="AQ196" ca="1" si="435">AQ193-AQ195</f>
        <v>0</v>
      </c>
      <c r="AR196" s="619">
        <f t="shared" ref="AR196" ca="1" si="436">AR193-AR195</f>
        <v>0</v>
      </c>
      <c r="AS196" s="619">
        <f t="shared" ref="AS196" ca="1" si="437">AS193-AS195</f>
        <v>0</v>
      </c>
      <c r="AT196" s="619">
        <f t="shared" ref="AT196:AY196" ca="1" si="438">AT193-AT195</f>
        <v>0</v>
      </c>
      <c r="AU196" s="619">
        <f t="shared" ca="1" si="438"/>
        <v>0</v>
      </c>
      <c r="AV196" s="619">
        <f t="shared" ca="1" si="438"/>
        <v>0</v>
      </c>
      <c r="AW196" s="619">
        <f t="shared" ca="1" si="438"/>
        <v>0</v>
      </c>
      <c r="AX196" s="619">
        <f t="shared" ca="1" si="438"/>
        <v>0</v>
      </c>
      <c r="AY196" s="620">
        <f t="shared" ca="1" si="438"/>
        <v>0</v>
      </c>
      <c r="AZ196" s="590"/>
      <c r="BA196" s="627">
        <f t="shared" ref="BA196" ca="1" si="439">BA193-BA195</f>
        <v>0</v>
      </c>
      <c r="BB196" s="619">
        <f t="shared" ref="BB196:BC196" ca="1" si="440">BB193-BB195</f>
        <v>0</v>
      </c>
      <c r="BC196" s="620">
        <f t="shared" ca="1" si="440"/>
        <v>0</v>
      </c>
    </row>
    <row r="197" spans="2:55" x14ac:dyDescent="0.35">
      <c r="B197" s="72" t="s">
        <v>70</v>
      </c>
      <c r="C197" s="598">
        <f t="shared" ref="C197:Y197" si="441">IFERROR(C196/C$29,0)</f>
        <v>0</v>
      </c>
      <c r="D197" s="598">
        <f t="shared" si="441"/>
        <v>0</v>
      </c>
      <c r="E197" s="598">
        <f t="shared" si="441"/>
        <v>0</v>
      </c>
      <c r="F197" s="598">
        <f t="shared" si="441"/>
        <v>0</v>
      </c>
      <c r="G197" s="598">
        <f t="shared" si="441"/>
        <v>0</v>
      </c>
      <c r="H197" s="598">
        <f t="shared" si="441"/>
        <v>0</v>
      </c>
      <c r="I197" s="598">
        <f t="shared" si="441"/>
        <v>0</v>
      </c>
      <c r="J197" s="598">
        <f t="shared" si="441"/>
        <v>0</v>
      </c>
      <c r="K197" s="598">
        <f t="shared" si="441"/>
        <v>0</v>
      </c>
      <c r="L197" s="598">
        <f t="shared" si="441"/>
        <v>0</v>
      </c>
      <c r="M197" s="598">
        <f t="shared" si="441"/>
        <v>0</v>
      </c>
      <c r="N197" s="598">
        <f t="shared" si="441"/>
        <v>0</v>
      </c>
      <c r="O197" s="598">
        <f t="shared" si="441"/>
        <v>0</v>
      </c>
      <c r="P197" s="598">
        <f t="shared" si="441"/>
        <v>0</v>
      </c>
      <c r="Q197" s="598">
        <f t="shared" si="441"/>
        <v>0</v>
      </c>
      <c r="R197" s="598">
        <f t="shared" si="441"/>
        <v>0</v>
      </c>
      <c r="S197" s="598">
        <f t="shared" si="441"/>
        <v>0</v>
      </c>
      <c r="T197" s="598">
        <f t="shared" si="441"/>
        <v>0</v>
      </c>
      <c r="U197" s="598">
        <f t="shared" si="441"/>
        <v>0</v>
      </c>
      <c r="V197" s="598">
        <f t="shared" si="441"/>
        <v>0</v>
      </c>
      <c r="W197" s="598">
        <f t="shared" si="441"/>
        <v>0</v>
      </c>
      <c r="X197" s="598">
        <f t="shared" si="441"/>
        <v>0</v>
      </c>
      <c r="Y197" s="598">
        <f t="shared" si="441"/>
        <v>0</v>
      </c>
      <c r="Z197" s="598">
        <f t="shared" ref="Z197:AL197" si="442">IFERROR(Z196/Z$29,0)</f>
        <v>0</v>
      </c>
      <c r="AA197" s="598">
        <f t="shared" si="442"/>
        <v>0</v>
      </c>
      <c r="AB197" s="598">
        <f t="shared" si="442"/>
        <v>0</v>
      </c>
      <c r="AC197" s="598">
        <f t="shared" si="442"/>
        <v>0</v>
      </c>
      <c r="AD197" s="598">
        <f t="shared" si="442"/>
        <v>0</v>
      </c>
      <c r="AE197" s="598">
        <f t="shared" si="442"/>
        <v>0</v>
      </c>
      <c r="AF197" s="598">
        <f t="shared" si="442"/>
        <v>0</v>
      </c>
      <c r="AG197" s="598">
        <f t="shared" si="442"/>
        <v>0</v>
      </c>
      <c r="AH197" s="598">
        <f t="shared" si="442"/>
        <v>0</v>
      </c>
      <c r="AI197" s="598">
        <f t="shared" si="442"/>
        <v>0</v>
      </c>
      <c r="AJ197" s="598">
        <f t="shared" si="442"/>
        <v>0</v>
      </c>
      <c r="AK197" s="598">
        <f t="shared" si="442"/>
        <v>0</v>
      </c>
      <c r="AL197" s="599">
        <f t="shared" si="442"/>
        <v>0</v>
      </c>
      <c r="AM197" s="590"/>
      <c r="AN197" s="600">
        <f t="shared" ref="AN197:AT197" ca="1" si="443">IFERROR(AN196/AN$29,0)</f>
        <v>0</v>
      </c>
      <c r="AO197" s="598">
        <f t="shared" ca="1" si="443"/>
        <v>0</v>
      </c>
      <c r="AP197" s="598">
        <f t="shared" ca="1" si="443"/>
        <v>0</v>
      </c>
      <c r="AQ197" s="598">
        <f t="shared" ca="1" si="443"/>
        <v>0</v>
      </c>
      <c r="AR197" s="598">
        <f t="shared" ca="1" si="443"/>
        <v>0</v>
      </c>
      <c r="AS197" s="598">
        <f t="shared" ca="1" si="443"/>
        <v>0</v>
      </c>
      <c r="AT197" s="598">
        <f t="shared" ca="1" si="443"/>
        <v>0</v>
      </c>
      <c r="AU197" s="598">
        <f t="shared" ref="AU197:AY197" ca="1" si="444">IFERROR(AU196/AU$29,0)</f>
        <v>0</v>
      </c>
      <c r="AV197" s="598">
        <f t="shared" ca="1" si="444"/>
        <v>0</v>
      </c>
      <c r="AW197" s="598">
        <f t="shared" ca="1" si="444"/>
        <v>0</v>
      </c>
      <c r="AX197" s="598">
        <f t="shared" ca="1" si="444"/>
        <v>0</v>
      </c>
      <c r="AY197" s="599">
        <f t="shared" ca="1" si="444"/>
        <v>0</v>
      </c>
      <c r="AZ197" s="590"/>
      <c r="BA197" s="600">
        <f t="shared" ref="BA197" ca="1" si="445">IFERROR(BA196/BA$29,0)</f>
        <v>0</v>
      </c>
      <c r="BB197" s="598">
        <f t="shared" ref="BB197:BC197" ca="1" si="446">IFERROR(BB196/BB$29,0)</f>
        <v>0</v>
      </c>
      <c r="BC197" s="599">
        <f t="shared" ca="1" si="446"/>
        <v>0</v>
      </c>
    </row>
    <row r="198" spans="2:55" x14ac:dyDescent="0.35">
      <c r="B198" s="356"/>
      <c r="C198" s="602"/>
      <c r="D198" s="602"/>
      <c r="E198" s="602"/>
      <c r="F198" s="602"/>
      <c r="G198" s="602"/>
      <c r="H198" s="602"/>
      <c r="I198" s="602"/>
      <c r="J198" s="602"/>
      <c r="K198" s="602"/>
      <c r="L198" s="602"/>
      <c r="M198" s="602"/>
      <c r="N198" s="602"/>
      <c r="O198" s="602"/>
      <c r="P198" s="602"/>
      <c r="Q198" s="602"/>
      <c r="R198" s="602"/>
      <c r="S198" s="602"/>
      <c r="T198" s="602"/>
      <c r="U198" s="602"/>
      <c r="V198" s="602"/>
      <c r="W198" s="602"/>
      <c r="X198" s="602"/>
      <c r="Y198" s="602"/>
      <c r="Z198" s="602"/>
      <c r="AA198" s="602"/>
      <c r="AB198" s="602"/>
      <c r="AC198" s="602"/>
      <c r="AD198" s="602"/>
      <c r="AE198" s="602"/>
      <c r="AF198" s="602"/>
      <c r="AG198" s="602"/>
      <c r="AH198" s="602"/>
      <c r="AI198" s="602"/>
      <c r="AJ198" s="602"/>
      <c r="AK198" s="602"/>
      <c r="AL198" s="603"/>
      <c r="AM198" s="590"/>
      <c r="AN198" s="604"/>
      <c r="AO198" s="602"/>
      <c r="AP198" s="602"/>
      <c r="AQ198" s="602"/>
      <c r="AR198" s="602"/>
      <c r="AS198" s="602"/>
      <c r="AT198" s="602"/>
      <c r="AU198" s="602"/>
      <c r="AV198" s="602"/>
      <c r="AW198" s="602"/>
      <c r="AX198" s="602"/>
      <c r="AY198" s="603"/>
      <c r="AZ198" s="590"/>
      <c r="BA198" s="604"/>
      <c r="BB198" s="602"/>
      <c r="BC198" s="603"/>
    </row>
    <row r="199" spans="2:55" x14ac:dyDescent="0.35">
      <c r="B199" s="32" t="s">
        <v>71</v>
      </c>
      <c r="C199" s="605">
        <f t="shared" ref="C199:Y199" si="447">IFERROR(C195/C193,0)</f>
        <v>0</v>
      </c>
      <c r="D199" s="605">
        <f t="shared" si="447"/>
        <v>0</v>
      </c>
      <c r="E199" s="605">
        <f t="shared" si="447"/>
        <v>0</v>
      </c>
      <c r="F199" s="605">
        <f t="shared" si="447"/>
        <v>0</v>
      </c>
      <c r="G199" s="605">
        <f t="shared" si="447"/>
        <v>0</v>
      </c>
      <c r="H199" s="605">
        <f t="shared" si="447"/>
        <v>0</v>
      </c>
      <c r="I199" s="605">
        <f t="shared" si="447"/>
        <v>0</v>
      </c>
      <c r="J199" s="605">
        <f t="shared" si="447"/>
        <v>0</v>
      </c>
      <c r="K199" s="605">
        <f t="shared" si="447"/>
        <v>0</v>
      </c>
      <c r="L199" s="605">
        <f t="shared" si="447"/>
        <v>0</v>
      </c>
      <c r="M199" s="605">
        <f t="shared" si="447"/>
        <v>0</v>
      </c>
      <c r="N199" s="605">
        <f t="shared" si="447"/>
        <v>0</v>
      </c>
      <c r="O199" s="605">
        <f t="shared" si="447"/>
        <v>0</v>
      </c>
      <c r="P199" s="605">
        <f t="shared" si="447"/>
        <v>0</v>
      </c>
      <c r="Q199" s="605">
        <f t="shared" si="447"/>
        <v>0</v>
      </c>
      <c r="R199" s="605">
        <f t="shared" si="447"/>
        <v>0</v>
      </c>
      <c r="S199" s="605">
        <f t="shared" si="447"/>
        <v>0</v>
      </c>
      <c r="T199" s="605">
        <f t="shared" si="447"/>
        <v>0</v>
      </c>
      <c r="U199" s="605">
        <f t="shared" si="447"/>
        <v>0</v>
      </c>
      <c r="V199" s="605">
        <f t="shared" si="447"/>
        <v>0</v>
      </c>
      <c r="W199" s="605">
        <f t="shared" si="447"/>
        <v>0</v>
      </c>
      <c r="X199" s="605">
        <f t="shared" si="447"/>
        <v>0</v>
      </c>
      <c r="Y199" s="605">
        <f t="shared" si="447"/>
        <v>0</v>
      </c>
      <c r="Z199" s="605">
        <f t="shared" ref="Z199:AL199" si="448">IFERROR(Z195/Z193,0)</f>
        <v>0</v>
      </c>
      <c r="AA199" s="605">
        <f t="shared" si="448"/>
        <v>0</v>
      </c>
      <c r="AB199" s="605">
        <f t="shared" si="448"/>
        <v>0</v>
      </c>
      <c r="AC199" s="605">
        <f t="shared" si="448"/>
        <v>0</v>
      </c>
      <c r="AD199" s="605">
        <f t="shared" si="448"/>
        <v>0</v>
      </c>
      <c r="AE199" s="605">
        <f t="shared" si="448"/>
        <v>0</v>
      </c>
      <c r="AF199" s="605">
        <f t="shared" si="448"/>
        <v>0</v>
      </c>
      <c r="AG199" s="605">
        <f t="shared" si="448"/>
        <v>0</v>
      </c>
      <c r="AH199" s="605">
        <f t="shared" si="448"/>
        <v>0</v>
      </c>
      <c r="AI199" s="605">
        <f t="shared" si="448"/>
        <v>0</v>
      </c>
      <c r="AJ199" s="605">
        <f t="shared" si="448"/>
        <v>0</v>
      </c>
      <c r="AK199" s="605">
        <f t="shared" si="448"/>
        <v>0</v>
      </c>
      <c r="AL199" s="606">
        <f t="shared" si="448"/>
        <v>0</v>
      </c>
      <c r="AM199" s="590"/>
      <c r="AN199" s="607">
        <f t="shared" ref="AN199:AT199" ca="1" si="449">IFERROR(AN195/AN193,0)</f>
        <v>0</v>
      </c>
      <c r="AO199" s="605">
        <f t="shared" ca="1" si="449"/>
        <v>0</v>
      </c>
      <c r="AP199" s="605">
        <f t="shared" ca="1" si="449"/>
        <v>0</v>
      </c>
      <c r="AQ199" s="605">
        <f t="shared" ca="1" si="449"/>
        <v>0</v>
      </c>
      <c r="AR199" s="605">
        <f t="shared" ca="1" si="449"/>
        <v>0</v>
      </c>
      <c r="AS199" s="605">
        <f t="shared" ca="1" si="449"/>
        <v>0</v>
      </c>
      <c r="AT199" s="605">
        <f t="shared" ca="1" si="449"/>
        <v>0</v>
      </c>
      <c r="AU199" s="605">
        <f t="shared" ref="AU199:AY199" ca="1" si="450">IFERROR(AU195/AU193,0)</f>
        <v>0</v>
      </c>
      <c r="AV199" s="605">
        <f t="shared" ca="1" si="450"/>
        <v>0</v>
      </c>
      <c r="AW199" s="605">
        <f t="shared" ca="1" si="450"/>
        <v>0</v>
      </c>
      <c r="AX199" s="605">
        <f t="shared" ca="1" si="450"/>
        <v>0</v>
      </c>
      <c r="AY199" s="606">
        <f t="shared" ca="1" si="450"/>
        <v>0</v>
      </c>
      <c r="AZ199" s="590"/>
      <c r="BA199" s="607">
        <f t="shared" ref="BA199" ca="1" si="451">IFERROR(BA195/BA193,0)</f>
        <v>0</v>
      </c>
      <c r="BB199" s="605">
        <f t="shared" ref="BB199:BC199" ca="1" si="452">IFERROR(BB195/BB193,0)</f>
        <v>0</v>
      </c>
      <c r="BC199" s="606">
        <f t="shared" ca="1" si="452"/>
        <v>0</v>
      </c>
    </row>
    <row r="200" spans="2:55" x14ac:dyDescent="0.35">
      <c r="B200" s="361"/>
      <c r="C200" s="608"/>
      <c r="D200" s="608"/>
      <c r="E200" s="608"/>
      <c r="F200" s="608"/>
      <c r="G200" s="608"/>
      <c r="H200" s="608"/>
      <c r="I200" s="608"/>
      <c r="J200" s="608"/>
      <c r="K200" s="608"/>
      <c r="L200" s="608"/>
      <c r="M200" s="608"/>
      <c r="N200" s="608"/>
      <c r="O200" s="608"/>
      <c r="P200" s="608"/>
      <c r="Q200" s="608"/>
      <c r="R200" s="608"/>
      <c r="S200" s="608"/>
      <c r="T200" s="608"/>
      <c r="U200" s="608"/>
      <c r="V200" s="608"/>
      <c r="W200" s="608"/>
      <c r="X200" s="608"/>
      <c r="Y200" s="608"/>
      <c r="Z200" s="608"/>
      <c r="AA200" s="608"/>
      <c r="AB200" s="608"/>
      <c r="AC200" s="608"/>
      <c r="AD200" s="608"/>
      <c r="AE200" s="608"/>
      <c r="AF200" s="608"/>
      <c r="AG200" s="608"/>
      <c r="AH200" s="608"/>
      <c r="AI200" s="608"/>
      <c r="AJ200" s="608"/>
      <c r="AK200" s="608"/>
      <c r="AL200" s="609"/>
      <c r="AM200" s="590"/>
      <c r="AN200" s="610"/>
      <c r="AO200" s="608"/>
      <c r="AP200" s="608"/>
      <c r="AQ200" s="608"/>
      <c r="AR200" s="608"/>
      <c r="AS200" s="608"/>
      <c r="AT200" s="608"/>
      <c r="AU200" s="608"/>
      <c r="AV200" s="608"/>
      <c r="AW200" s="608"/>
      <c r="AX200" s="608"/>
      <c r="AY200" s="609"/>
      <c r="AZ200" s="590"/>
      <c r="BA200" s="610"/>
      <c r="BB200" s="608"/>
      <c r="BC200" s="609"/>
    </row>
    <row r="201" spans="2:55" x14ac:dyDescent="0.35">
      <c r="B201" s="361" t="s">
        <v>72</v>
      </c>
      <c r="C201" s="611">
        <f>IFERROR(GETPIVOTDATA("Sum of "&amp;C$9,'PT-All'!$A$1,"Scenario",C$12,"P&amp;L Item",$B201),0)</f>
        <v>0</v>
      </c>
      <c r="D201" s="611">
        <f>IFERROR(GETPIVOTDATA("Sum of "&amp;D$9,'PT-All'!$A$1,"Scenario",D$12,"P&amp;L Item",$B201),0)</f>
        <v>0</v>
      </c>
      <c r="E201" s="611">
        <f>IFERROR(GETPIVOTDATA("Sum of "&amp;E$9,'PT-All'!$A$1,"Scenario",E$12,"P&amp;L Item",$B201),0)</f>
        <v>0</v>
      </c>
      <c r="F201" s="611">
        <f>IFERROR(GETPIVOTDATA("Sum of "&amp;F$9,'PT-All'!$A$1,"Scenario",F$12,"P&amp;L Item",$B201),0)</f>
        <v>0</v>
      </c>
      <c r="G201" s="611">
        <f>IFERROR(GETPIVOTDATA("Sum of "&amp;G$9,'PT-All'!$A$1,"Scenario",G$12,"P&amp;L Item",$B201),0)</f>
        <v>0</v>
      </c>
      <c r="H201" s="611">
        <f>IFERROR(GETPIVOTDATA("Sum of "&amp;H$9,'PT-All'!$A$1,"Scenario",H$12,"P&amp;L Item",$B201),0)</f>
        <v>0</v>
      </c>
      <c r="I201" s="611">
        <f>IFERROR(GETPIVOTDATA("Sum of "&amp;I$9,'PT-All'!$A$1,"Scenario",I$12,"P&amp;L Item",$B201),0)</f>
        <v>0</v>
      </c>
      <c r="J201" s="611">
        <f>IFERROR(GETPIVOTDATA("Sum of "&amp;J$9,'PT-All'!$A$1,"Scenario",J$12,"P&amp;L Item",$B201),0)</f>
        <v>0</v>
      </c>
      <c r="K201" s="611">
        <f>IFERROR(GETPIVOTDATA("Sum of "&amp;K$9,'PT-All'!$A$1,"Scenario",K$12,"P&amp;L Item",$B201),0)</f>
        <v>0</v>
      </c>
      <c r="L201" s="611">
        <f>IFERROR(GETPIVOTDATA("Sum of "&amp;L$9,'PT-All'!$A$1,"Scenario",L$12,"P&amp;L Item",$B201),0)</f>
        <v>0</v>
      </c>
      <c r="M201" s="611">
        <f>IFERROR(GETPIVOTDATA("Sum of "&amp;M$9,'PT-All'!$A$1,"Scenario",M$12,"P&amp;L Item",$B201),0)</f>
        <v>0</v>
      </c>
      <c r="N201" s="611">
        <f>IFERROR(GETPIVOTDATA("Sum of "&amp;N$9,'PT-All'!$A$1,"Scenario",N$12,"P&amp;L Item",$B201),0)</f>
        <v>0</v>
      </c>
      <c r="O201" s="611">
        <f>IFERROR(GETPIVOTDATA("Sum of "&amp;O$9,'PT-All'!$A$1,"Scenario",O$12,"P&amp;L Item",$B201),0)</f>
        <v>0</v>
      </c>
      <c r="P201" s="611">
        <f>IFERROR(GETPIVOTDATA("Sum of "&amp;P$9,'PT-All'!$A$1,"Scenario",P$12,"P&amp;L Item",$B201),0)</f>
        <v>0</v>
      </c>
      <c r="Q201" s="611">
        <f>IFERROR(GETPIVOTDATA("Sum of "&amp;Q$9,'PT-All'!$A$1,"Scenario",Q$12,"P&amp;L Item",$B201),0)</f>
        <v>0</v>
      </c>
      <c r="R201" s="611">
        <f>IFERROR(GETPIVOTDATA("Sum of "&amp;R$9,'PT-All'!$A$1,"Scenario",R$12,"P&amp;L Item",$B201),0)</f>
        <v>0</v>
      </c>
      <c r="S201" s="611">
        <f>IFERROR(GETPIVOTDATA("Sum of "&amp;S$9,'PT-All'!$A$1,"Scenario",S$12,"P&amp;L Item",$B201),0)</f>
        <v>0</v>
      </c>
      <c r="T201" s="611">
        <f>IFERROR(GETPIVOTDATA("Sum of "&amp;T$9,'PT-All'!$A$1,"Scenario",T$12,"P&amp;L Item",$B201),0)</f>
        <v>0</v>
      </c>
      <c r="U201" s="611">
        <f>IFERROR(GETPIVOTDATA("Sum of "&amp;U$9,'PT-All'!$A$1,"Scenario",U$12,"P&amp;L Item",$B201),0)</f>
        <v>0</v>
      </c>
      <c r="V201" s="611">
        <f>IFERROR(GETPIVOTDATA("Sum of "&amp;V$9,'PT-All'!$A$1,"Scenario",V$12,"P&amp;L Item",$B201),0)</f>
        <v>0</v>
      </c>
      <c r="W201" s="611">
        <f>IFERROR(GETPIVOTDATA("Sum of "&amp;W$9,'PT-All'!$A$1,"Scenario",W$12,"P&amp;L Item",$B201),0)</f>
        <v>0</v>
      </c>
      <c r="X201" s="611">
        <f>IFERROR(GETPIVOTDATA("Sum of "&amp;X$9,'PT-All'!$A$1,"Scenario",X$12,"P&amp;L Item",$B201),0)</f>
        <v>0</v>
      </c>
      <c r="Y201" s="611">
        <f>IFERROR(GETPIVOTDATA("Sum of "&amp;Y$9,'PT-All'!$A$1,"Scenario",Y$12,"P&amp;L Item",$B201),0)</f>
        <v>0</v>
      </c>
      <c r="Z201" s="611">
        <f>IFERROR(GETPIVOTDATA("Sum of "&amp;Z$9,'PT-All'!$A$1,"Scenario",Z$12,"P&amp;L Item",$B201),0)</f>
        <v>0</v>
      </c>
      <c r="AA201" s="611">
        <f>IFERROR(GETPIVOTDATA("Sum of "&amp;AA$9,'PT-All'!$A$1,"Scenario",AA$12,"P&amp;L Item",$B201),0)</f>
        <v>0</v>
      </c>
      <c r="AB201" s="611">
        <f>IFERROR(GETPIVOTDATA("Sum of "&amp;AB$9,'PT-All'!$A$1,"Scenario",AB$12,"P&amp;L Item",$B201),0)</f>
        <v>0</v>
      </c>
      <c r="AC201" s="611">
        <f>IFERROR(GETPIVOTDATA("Sum of "&amp;AC$9,'PT-All'!$A$1,"Scenario",AC$12,"P&amp;L Item",$B201),0)</f>
        <v>0</v>
      </c>
      <c r="AD201" s="611">
        <f>IFERROR(GETPIVOTDATA("Sum of "&amp;AD$9,'PT-All'!$A$1,"Scenario",AD$12,"P&amp;L Item",$B201),0)</f>
        <v>0</v>
      </c>
      <c r="AE201" s="611">
        <f>IFERROR(GETPIVOTDATA("Sum of "&amp;AE$9,'PT-All'!$A$1,"Scenario",AE$12,"P&amp;L Item",$B201),0)</f>
        <v>0</v>
      </c>
      <c r="AF201" s="611">
        <f>IFERROR(GETPIVOTDATA("Sum of "&amp;AF$9,'PT-All'!$A$1,"Scenario",AF$12,"P&amp;L Item",$B201),0)</f>
        <v>0</v>
      </c>
      <c r="AG201" s="611">
        <f>IFERROR(GETPIVOTDATA("Sum of "&amp;AG$9,'PT-All'!$A$1,"Scenario",AG$12,"P&amp;L Item",$B201),0)</f>
        <v>0</v>
      </c>
      <c r="AH201" s="611">
        <f>IFERROR(GETPIVOTDATA("Sum of "&amp;AH$9,'PT-All'!$A$1,"Scenario",AH$12,"P&amp;L Item",$B201),0)</f>
        <v>0</v>
      </c>
      <c r="AI201" s="611">
        <f>IFERROR(GETPIVOTDATA("Sum of "&amp;AI$9,'PT-All'!$A$1,"Scenario",AI$12,"P&amp;L Item",$B201),0)</f>
        <v>0</v>
      </c>
      <c r="AJ201" s="611">
        <f>IFERROR(GETPIVOTDATA("Sum of "&amp;AJ$9,'PT-All'!$A$1,"Scenario",AJ$12,"P&amp;L Item",$B201),0)</f>
        <v>0</v>
      </c>
      <c r="AK201" s="611">
        <f>IFERROR(GETPIVOTDATA("Sum of "&amp;AK$9,'PT-All'!$A$1,"Scenario",AK$12,"P&amp;L Item",$B201),0)</f>
        <v>0</v>
      </c>
      <c r="AL201" s="612">
        <f>IFERROR(GETPIVOTDATA("Sum of "&amp;AL$9,'PT-All'!$A$1,"Scenario",AL$12,"P&amp;L Item",$B201),0)</f>
        <v>0</v>
      </c>
      <c r="AM201" s="590"/>
      <c r="AN201" s="613">
        <f ca="1">OFFSET($B201,0,3*AN$9+3,1,1)</f>
        <v>0</v>
      </c>
      <c r="AO201" s="611">
        <f t="shared" ref="AO201:AY201" ca="1" si="453">OFFSET($B201,0,3*AO$9+3,1,1)</f>
        <v>0</v>
      </c>
      <c r="AP201" s="611">
        <f t="shared" ca="1" si="453"/>
        <v>0</v>
      </c>
      <c r="AQ201" s="611">
        <f t="shared" ca="1" si="453"/>
        <v>0</v>
      </c>
      <c r="AR201" s="611">
        <f t="shared" ca="1" si="453"/>
        <v>0</v>
      </c>
      <c r="AS201" s="611">
        <f t="shared" ca="1" si="453"/>
        <v>0</v>
      </c>
      <c r="AT201" s="611">
        <f t="shared" ca="1" si="453"/>
        <v>0</v>
      </c>
      <c r="AU201" s="611">
        <f t="shared" ca="1" si="453"/>
        <v>0</v>
      </c>
      <c r="AV201" s="611">
        <f t="shared" ca="1" si="453"/>
        <v>0</v>
      </c>
      <c r="AW201" s="611">
        <f t="shared" ca="1" si="453"/>
        <v>0</v>
      </c>
      <c r="AX201" s="611">
        <f t="shared" ca="1" si="453"/>
        <v>0</v>
      </c>
      <c r="AY201" s="612">
        <f t="shared" ca="1" si="453"/>
        <v>0</v>
      </c>
      <c r="AZ201" s="590"/>
      <c r="BA201" s="613">
        <f ca="1">OFFSET($B201,0,12*BA$9+12,1,1)</f>
        <v>0</v>
      </c>
      <c r="BB201" s="611">
        <f t="shared" ref="BB201:BC201" ca="1" si="454">OFFSET($B201,0,12*BB$9+12,1,1)</f>
        <v>0</v>
      </c>
      <c r="BC201" s="612">
        <f t="shared" ca="1" si="454"/>
        <v>0</v>
      </c>
    </row>
    <row r="202" spans="2:55" ht="15" thickBot="1" x14ac:dyDescent="0.4">
      <c r="B202" s="362"/>
      <c r="C202" s="614"/>
      <c r="D202" s="614"/>
      <c r="E202" s="614"/>
      <c r="F202" s="614"/>
      <c r="G202" s="614"/>
      <c r="H202" s="614"/>
      <c r="I202" s="614"/>
      <c r="J202" s="614"/>
      <c r="K202" s="614"/>
      <c r="L202" s="614"/>
      <c r="M202" s="614"/>
      <c r="N202" s="614"/>
      <c r="O202" s="614"/>
      <c r="P202" s="614"/>
      <c r="Q202" s="614"/>
      <c r="R202" s="614"/>
      <c r="S202" s="614"/>
      <c r="T202" s="614"/>
      <c r="U202" s="614"/>
      <c r="V202" s="614"/>
      <c r="W202" s="614"/>
      <c r="X202" s="614"/>
      <c r="Y202" s="614"/>
      <c r="Z202" s="614"/>
      <c r="AA202" s="614"/>
      <c r="AB202" s="614"/>
      <c r="AC202" s="614"/>
      <c r="AD202" s="614"/>
      <c r="AE202" s="614"/>
      <c r="AF202" s="614"/>
      <c r="AG202" s="614"/>
      <c r="AH202" s="614"/>
      <c r="AI202" s="614"/>
      <c r="AJ202" s="614"/>
      <c r="AK202" s="614"/>
      <c r="AL202" s="615"/>
      <c r="AM202" s="590"/>
      <c r="AN202" s="616"/>
      <c r="AO202" s="614"/>
      <c r="AP202" s="614"/>
      <c r="AQ202" s="614"/>
      <c r="AR202" s="614"/>
      <c r="AS202" s="614"/>
      <c r="AT202" s="614"/>
      <c r="AU202" s="614"/>
      <c r="AV202" s="614"/>
      <c r="AW202" s="614"/>
      <c r="AX202" s="614"/>
      <c r="AY202" s="615"/>
      <c r="AZ202" s="590"/>
      <c r="BA202" s="616"/>
      <c r="BB202" s="614"/>
      <c r="BC202" s="615"/>
    </row>
  </sheetData>
  <sheetProtection algorithmName="SHA-512" hashValue="v8lxgOqxV1shMZ593ae4MRSYYkuRcrowj4lgfEuc3OWtkeCzhwkgxScVYSTdApGyEEs/Qo4RftbQMbXVKjcYGw==" saltValue="u41np4jqQSryMli1J0xqiw==" spinCount="100000" sheet="1" objects="1" scenarios="1"/>
  <conditionalFormatting sqref="C9:AL202 AN9:AY202 BA9:BC202">
    <cfRule type="expression" dxfId="96" priority="11" stopIfTrue="1">
      <formula>C$12="Forecast"</formula>
    </cfRule>
    <cfRule type="expression" dxfId="95" priority="12" stopIfTrue="1">
      <formula>C$12="Actual"</formula>
    </cfRule>
    <cfRule type="expression" dxfId="94" priority="14" stopIfTrue="1">
      <formula>C$12="Pro Forma"</formula>
    </cfRule>
    <cfRule type="expression" dxfId="93" priority="15">
      <formula>AND(C$12&lt;&gt;"Forecast",C$12&lt;&gt;"Actual",C$12&lt;&gt;"Pro Forma")</formula>
    </cfRule>
  </conditionalFormatting>
  <conditionalFormatting sqref="C11:AL11 AN11:AY11 BA11:BC11">
    <cfRule type="expression" dxfId="92" priority="9">
      <formula>C12&lt;&gt;"Forecast"</formula>
    </cfRule>
  </conditionalFormatting>
  <conditionalFormatting sqref="C195:BC196 C193:BC193 C191:BC191 C188:BC188 C185:BC185 C183:BC183 C180:BC180 C178:BC178 C176:BC176 C141:BC141 C144:BC144 C110:BC110 C107:BC107 C72:BC72 C70:BC70 C33:BC33 C29:BC29 C26:BC26 C24:BC24 C22:BC22 C14:BC14">
    <cfRule type="expression" dxfId="91" priority="1">
      <formula>$C$13="INR"</formula>
    </cfRule>
    <cfRule type="expression" dxfId="90" priority="2">
      <formula>$C$13="AUD"</formula>
    </cfRule>
    <cfRule type="expression" dxfId="89" priority="3">
      <formula>$C$13="ILS"</formula>
    </cfRule>
    <cfRule type="expression" dxfId="88" priority="4">
      <formula>$C$13="CHF"</formula>
    </cfRule>
    <cfRule type="expression" dxfId="87" priority="5">
      <formula>$C$13="EUR"</formula>
    </cfRule>
    <cfRule type="expression" dxfId="86" priority="6">
      <formula>$C$13="HKD"</formula>
    </cfRule>
    <cfRule type="expression" dxfId="85" priority="7">
      <formula>$C$13="USD"</formula>
    </cfRule>
    <cfRule type="expression" dxfId="84" priority="8">
      <formula>$C$13="GBP"</formula>
    </cfRule>
  </conditionalFormatting>
  <dataValidations disablePrompts="1" count="4">
    <dataValidation type="list" allowBlank="1" showInputMessage="1" showErrorMessage="1" sqref="C12:AL12">
      <formula1>DV_Scenarios</formula1>
    </dataValidation>
    <dataValidation type="list" allowBlank="1" showInputMessage="1" showErrorMessage="1" sqref="AN12:AY12 BA12:BC12">
      <formula1>DV_ScenariosProForma</formula1>
    </dataValidation>
    <dataValidation type="list" allowBlank="1" showInputMessage="1" showErrorMessage="1" sqref="AN11:AY11 C11:AL11 BA11:BC11">
      <formula1>DV_RevenueScenarios</formula1>
    </dataValidation>
    <dataValidation type="list" allowBlank="1" showInputMessage="1" showErrorMessage="1" sqref="B11">
      <formula1>"Default,Per Head,Per Revenue"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CollapsedBTA">
    <tabColor theme="4" tint="0.39997558519241921"/>
    <pageSetUpPr fitToPage="1"/>
  </sheetPr>
  <dimension ref="A1:V99"/>
  <sheetViews>
    <sheetView showGridLines="0" topLeftCell="A7" zoomScale="80" zoomScaleNormal="80" workbookViewId="0">
      <pane xSplit="2" ySplit="7" topLeftCell="C14" activePane="bottomRight" state="frozen"/>
      <selection pane="topRight"/>
      <selection pane="bottomLeft"/>
      <selection pane="bottomRight" activeCell="C14" sqref="C14"/>
    </sheetView>
  </sheetViews>
  <sheetFormatPr defaultColWidth="9.1796875" defaultRowHeight="14.5" outlineLevelRow="1" x14ac:dyDescent="0.35"/>
  <cols>
    <col min="1" max="1" width="3.7265625" style="1" customWidth="1"/>
    <col min="2" max="2" width="40.7265625" style="121" customWidth="1"/>
    <col min="3" max="5" width="14.54296875" style="121" customWidth="1"/>
    <col min="6" max="8" width="14.54296875" style="121" bestFit="1" customWidth="1"/>
    <col min="9" max="9" width="14.54296875" style="121" customWidth="1"/>
    <col min="10" max="10" width="2.7265625" style="121" customWidth="1"/>
    <col min="11" max="12" width="14.54296875" style="121" customWidth="1"/>
    <col min="13" max="13" width="2.7265625" style="121" customWidth="1"/>
    <col min="14" max="17" width="14.54296875" style="121" customWidth="1"/>
    <col min="18" max="18" width="2.7265625" style="121" customWidth="1"/>
    <col min="19" max="19" width="15.26953125" style="121" customWidth="1"/>
    <col min="20" max="20" width="14.54296875" style="121" customWidth="1"/>
    <col min="21" max="21" width="2.7265625" style="121" customWidth="1"/>
    <col min="22" max="22" width="45.7265625" style="172" customWidth="1"/>
    <col min="23" max="16384" width="9.1796875" style="1"/>
  </cols>
  <sheetData>
    <row r="1" spans="1:22" hidden="1" outlineLevel="1" x14ac:dyDescent="0.35">
      <c r="B1" s="3" t="str">
        <f>'Detailed BTA'!B1</f>
        <v>Company - (All)</v>
      </c>
    </row>
    <row r="2" spans="1:22" hidden="1" outlineLevel="1" x14ac:dyDescent="0.35">
      <c r="B2" s="3" t="str">
        <f>'Detailed BTA'!B2</f>
        <v>Team - (All)</v>
      </c>
    </row>
    <row r="3" spans="1:22" hidden="1" outlineLevel="1" x14ac:dyDescent="0.35">
      <c r="B3" s="3" t="str">
        <f>'Detailed BTA'!B3</f>
        <v>Location - (All)</v>
      </c>
    </row>
    <row r="4" spans="1:22" hidden="1" outlineLevel="1" x14ac:dyDescent="0.35">
      <c r="B4" s="3" t="str">
        <f>'Detailed BTA'!B4</f>
        <v>Department - (All)</v>
      </c>
    </row>
    <row r="5" spans="1:22" hidden="1" outlineLevel="1" x14ac:dyDescent="0.35">
      <c r="B5" s="3" t="str">
        <f>'Detailed BTA'!B5</f>
        <v>Division - (All)</v>
      </c>
    </row>
    <row r="6" spans="1:22" hidden="1" outlineLevel="1" x14ac:dyDescent="0.35">
      <c r="B6" s="3" t="str">
        <f>'Detailed BTA'!B6</f>
        <v>Product - (All)</v>
      </c>
    </row>
    <row r="7" spans="1:22" ht="15" collapsed="1" thickBot="1" x14ac:dyDescent="0.4">
      <c r="B7" s="184"/>
      <c r="C7" s="184"/>
      <c r="D7" s="184"/>
    </row>
    <row r="8" spans="1:22" ht="22.5" x14ac:dyDescent="0.85">
      <c r="A8"/>
      <c r="B8" s="59" t="str">
        <f>ScenarioRow&amp;" - Collapsed BTA"</f>
        <v>Default - Collapsed BTA</v>
      </c>
      <c r="C8" s="161"/>
      <c r="D8" s="161"/>
      <c r="E8" s="60"/>
      <c r="F8" s="60"/>
      <c r="G8" s="60"/>
      <c r="H8" s="162"/>
      <c r="I8" s="162"/>
      <c r="J8" s="161"/>
      <c r="K8" s="162"/>
      <c r="L8" s="161"/>
      <c r="M8" s="161"/>
      <c r="N8" s="161"/>
      <c r="O8" s="161"/>
      <c r="P8" s="161"/>
      <c r="Q8" s="161"/>
      <c r="R8" s="161"/>
      <c r="S8" s="161"/>
      <c r="T8" s="161"/>
      <c r="U8" s="161"/>
      <c r="V8" s="183"/>
    </row>
    <row r="9" spans="1:22" ht="17" hidden="1" outlineLevel="1" x14ac:dyDescent="0.6">
      <c r="B9" s="353"/>
      <c r="C9" s="10"/>
      <c r="D9" s="10"/>
      <c r="E9" s="10"/>
      <c r="F9" s="10"/>
      <c r="G9" s="185"/>
      <c r="H9" s="157"/>
      <c r="I9" s="156"/>
      <c r="K9" s="154"/>
      <c r="L9" s="154"/>
      <c r="N9" s="186"/>
      <c r="O9" s="186"/>
      <c r="P9" s="186"/>
      <c r="Q9" s="186"/>
      <c r="R9" s="155"/>
      <c r="S9" s="154"/>
      <c r="T9" s="154"/>
      <c r="U9" s="155"/>
      <c r="V9" s="153"/>
    </row>
    <row r="10" spans="1:22" ht="17" collapsed="1" x14ac:dyDescent="0.6">
      <c r="B10" s="361"/>
      <c r="C10" s="10">
        <f>'Detailed BTA'!C11</f>
        <v>41395</v>
      </c>
      <c r="D10" s="10">
        <f>'Detailed BTA'!D11</f>
        <v>41426</v>
      </c>
      <c r="E10" s="10">
        <f>'Detailed BTA'!E11</f>
        <v>41456</v>
      </c>
      <c r="F10" s="10">
        <f>'Detailed BTA'!F11</f>
        <v>41487</v>
      </c>
      <c r="G10" s="158">
        <f>'Detailed BTA'!G11</f>
        <v>41518</v>
      </c>
      <c r="H10" s="157">
        <f>'Detailed BTA'!H11</f>
        <v>41548</v>
      </c>
      <c r="I10" s="156"/>
      <c r="K10" s="154" t="s">
        <v>217</v>
      </c>
      <c r="L10" s="154"/>
      <c r="M10" s="124"/>
      <c r="N10" s="164" t="str">
        <f>'Detailed BTA'!N11</f>
        <v>Q2 2013</v>
      </c>
      <c r="O10" s="167" t="str">
        <f>'Detailed BTA'!O11</f>
        <v>Q3 2013</v>
      </c>
      <c r="P10" s="154" t="str">
        <f>'Detailed BTA'!P11</f>
        <v>QTD 2013</v>
      </c>
      <c r="Q10" s="154"/>
      <c r="R10" s="155"/>
      <c r="S10" s="154" t="s">
        <v>217</v>
      </c>
      <c r="T10" s="154"/>
      <c r="U10" s="182"/>
      <c r="V10" s="153" t="s">
        <v>216</v>
      </c>
    </row>
    <row r="11" spans="1:22" ht="17" hidden="1" outlineLevel="1" x14ac:dyDescent="0.6">
      <c r="B11" s="553" t="str">
        <f>'Detailed BTA'!ScenarioRow</f>
        <v>Default</v>
      </c>
      <c r="C11" s="10" t="str">
        <f>'Detailed BTA'!C15</f>
        <v>Actual</v>
      </c>
      <c r="D11" s="10" t="str">
        <f>'Detailed BTA'!D15</f>
        <v>Actual</v>
      </c>
      <c r="E11" s="10" t="str">
        <f>'Detailed BTA'!E15</f>
        <v>Actual</v>
      </c>
      <c r="F11" s="10" t="str">
        <f>'Detailed BTA'!F15</f>
        <v>Actual</v>
      </c>
      <c r="G11" s="158" t="str">
        <f>'Detailed BTA'!G15</f>
        <v>Actual</v>
      </c>
      <c r="H11" s="157" t="str">
        <f>'Detailed BTA'!H15</f>
        <v>Actual</v>
      </c>
      <c r="I11" s="150" t="str">
        <f>'Detailed BTA'!I15</f>
        <v>Forecast</v>
      </c>
      <c r="K11" s="154"/>
      <c r="L11" s="154"/>
      <c r="M11" s="124"/>
      <c r="N11" s="164" t="str">
        <f>'Detailed BTA'!N15</f>
        <v>Actual</v>
      </c>
      <c r="O11" s="167" t="str">
        <f>'Detailed BTA'!O15</f>
        <v>Actual</v>
      </c>
      <c r="P11" s="154" t="str">
        <f>'Detailed BTA'!P15</f>
        <v>Actual</v>
      </c>
      <c r="Q11" s="154" t="str">
        <f>'Detailed BTA'!Q15</f>
        <v>Forecast</v>
      </c>
      <c r="R11" s="155"/>
      <c r="S11" s="154"/>
      <c r="T11" s="154"/>
      <c r="U11" s="182"/>
      <c r="V11" s="153"/>
    </row>
    <row r="12" spans="1:22" ht="17" collapsed="1" x14ac:dyDescent="0.6">
      <c r="B12" s="361"/>
      <c r="C12" s="10" t="str">
        <f>'Detailed BTA'!C16</f>
        <v>Actual</v>
      </c>
      <c r="D12" s="10" t="str">
        <f>'Detailed BTA'!D16</f>
        <v>Actual</v>
      </c>
      <c r="E12" s="10" t="str">
        <f>'Detailed BTA'!E16</f>
        <v>Actual</v>
      </c>
      <c r="F12" s="10" t="str">
        <f>'Detailed BTA'!F16</f>
        <v>Actual</v>
      </c>
      <c r="G12" s="152" t="str">
        <f>'Detailed BTA'!G16</f>
        <v>Actual</v>
      </c>
      <c r="H12" s="151" t="str">
        <f>'Detailed BTA'!H16</f>
        <v>Actual</v>
      </c>
      <c r="I12" s="150" t="str">
        <f>'Detailed BTA'!I16</f>
        <v>Budget</v>
      </c>
      <c r="K12" s="149" t="s">
        <v>215</v>
      </c>
      <c r="L12" s="149" t="s">
        <v>214</v>
      </c>
      <c r="M12" s="124"/>
      <c r="N12" s="165" t="str">
        <f>'Detailed BTA'!N16</f>
        <v>Actual</v>
      </c>
      <c r="O12" s="168" t="str">
        <f>'Detailed BTA'!O16</f>
        <v>Actual</v>
      </c>
      <c r="P12" s="150" t="str">
        <f>'Detailed BTA'!P16</f>
        <v>Actual</v>
      </c>
      <c r="Q12" s="150" t="str">
        <f>'Detailed BTA'!Q16</f>
        <v>Budget</v>
      </c>
      <c r="R12" s="150"/>
      <c r="S12" s="149" t="s">
        <v>215</v>
      </c>
      <c r="T12" s="149" t="s">
        <v>214</v>
      </c>
      <c r="U12" s="181"/>
      <c r="V12" s="153"/>
    </row>
    <row r="13" spans="1:22" ht="17" x14ac:dyDescent="0.6">
      <c r="B13" s="361"/>
      <c r="C13" s="10" t="str">
        <f>'Detailed BTA'!C17</f>
        <v>USD</v>
      </c>
      <c r="D13" s="10" t="str">
        <f>'Detailed BTA'!D17</f>
        <v>USD</v>
      </c>
      <c r="E13" s="10" t="str">
        <f>'Detailed BTA'!E17</f>
        <v>USD</v>
      </c>
      <c r="F13" s="10" t="str">
        <f>'Detailed BTA'!F17</f>
        <v>USD</v>
      </c>
      <c r="G13" s="152" t="str">
        <f>'Detailed BTA'!G17</f>
        <v>USD</v>
      </c>
      <c r="H13" s="151" t="str">
        <f>'Detailed BTA'!H17</f>
        <v>USD</v>
      </c>
      <c r="I13" s="150" t="str">
        <f>'Detailed BTA'!I17</f>
        <v>USD</v>
      </c>
      <c r="K13" s="149"/>
      <c r="L13" s="149"/>
      <c r="M13" s="124"/>
      <c r="N13" s="165" t="str">
        <f>'Detailed BTA'!N17</f>
        <v>USD</v>
      </c>
      <c r="O13" s="168" t="str">
        <f>'Detailed BTA'!O17</f>
        <v>USD</v>
      </c>
      <c r="P13" s="150" t="str">
        <f>'Detailed BTA'!P17</f>
        <v>USD</v>
      </c>
      <c r="Q13" s="150" t="str">
        <f>'Detailed BTA'!Q17</f>
        <v>USD</v>
      </c>
      <c r="R13" s="150"/>
      <c r="S13" s="149"/>
      <c r="T13" s="149"/>
      <c r="U13" s="181"/>
      <c r="V13" s="153"/>
    </row>
    <row r="14" spans="1:22" x14ac:dyDescent="0.35">
      <c r="B14" s="356" t="s">
        <v>1</v>
      </c>
      <c r="C14" s="375">
        <f>'Detailed BTA'!C18</f>
        <v>0</v>
      </c>
      <c r="D14" s="375">
        <f>'Detailed BTA'!D18</f>
        <v>0</v>
      </c>
      <c r="E14" s="375">
        <f>'Detailed BTA'!E18</f>
        <v>0</v>
      </c>
      <c r="F14" s="375">
        <f>'Detailed BTA'!F18</f>
        <v>0</v>
      </c>
      <c r="G14" s="376">
        <f>'Detailed BTA'!G18</f>
        <v>0</v>
      </c>
      <c r="H14" s="377">
        <f>'Detailed BTA'!H18</f>
        <v>0</v>
      </c>
      <c r="I14" s="377">
        <f>'Detailed BTA'!I18</f>
        <v>0</v>
      </c>
      <c r="J14" s="178"/>
      <c r="K14" s="377">
        <f t="shared" ref="K14:K22" si="0">H14-I14</f>
        <v>0</v>
      </c>
      <c r="L14" s="486">
        <f t="shared" ref="L14:L22" si="1">IFERROR(SIGN(K14)*ABS(K14/I14),0)</f>
        <v>0</v>
      </c>
      <c r="M14" s="180"/>
      <c r="N14" s="375">
        <f>'Detailed BTA'!N18</f>
        <v>0</v>
      </c>
      <c r="O14" s="376">
        <f>'Detailed BTA'!O18</f>
        <v>0</v>
      </c>
      <c r="P14" s="377">
        <f>'Detailed BTA'!P18</f>
        <v>0</v>
      </c>
      <c r="Q14" s="377">
        <f>'Detailed BTA'!Q18</f>
        <v>0</v>
      </c>
      <c r="R14" s="438"/>
      <c r="S14" s="377">
        <f t="shared" ref="S14:S22" si="2">P14-Q14</f>
        <v>0</v>
      </c>
      <c r="T14" s="486">
        <f t="shared" ref="T14:T22" si="3">IFERROR(SIGN(S14)*ABS(S14/Q14),0)</f>
        <v>0</v>
      </c>
      <c r="U14" s="487"/>
      <c r="V14" s="148"/>
    </row>
    <row r="15" spans="1:22" x14ac:dyDescent="0.35">
      <c r="B15" s="356" t="s">
        <v>2</v>
      </c>
      <c r="C15" s="69">
        <f>'Detailed BTA'!C19</f>
        <v>0</v>
      </c>
      <c r="D15" s="69">
        <f>'Detailed BTA'!D19</f>
        <v>0</v>
      </c>
      <c r="E15" s="69">
        <f>'Detailed BTA'!E19</f>
        <v>0</v>
      </c>
      <c r="F15" s="69">
        <f>'Detailed BTA'!F19</f>
        <v>0</v>
      </c>
      <c r="G15" s="145">
        <f>'Detailed BTA'!G19</f>
        <v>0</v>
      </c>
      <c r="H15" s="144">
        <f>'Detailed BTA'!H19</f>
        <v>0</v>
      </c>
      <c r="I15" s="144">
        <f>'Detailed BTA'!I19</f>
        <v>0</v>
      </c>
      <c r="J15" s="178"/>
      <c r="K15" s="144">
        <f t="shared" si="0"/>
        <v>0</v>
      </c>
      <c r="L15" s="486">
        <f t="shared" si="1"/>
        <v>0</v>
      </c>
      <c r="M15" s="180"/>
      <c r="N15" s="69">
        <f>'Detailed BTA'!N19</f>
        <v>0</v>
      </c>
      <c r="O15" s="145">
        <f>'Detailed BTA'!O19</f>
        <v>0</v>
      </c>
      <c r="P15" s="144">
        <f>'Detailed BTA'!P19</f>
        <v>0</v>
      </c>
      <c r="Q15" s="144">
        <f>'Detailed BTA'!Q19</f>
        <v>0</v>
      </c>
      <c r="R15" s="400"/>
      <c r="S15" s="144">
        <f t="shared" si="2"/>
        <v>0</v>
      </c>
      <c r="T15" s="486">
        <f t="shared" si="3"/>
        <v>0</v>
      </c>
      <c r="U15" s="488"/>
      <c r="V15" s="148"/>
    </row>
    <row r="16" spans="1:22" x14ac:dyDescent="0.35">
      <c r="B16" s="356" t="s">
        <v>3</v>
      </c>
      <c r="C16" s="69">
        <f>'Detailed BTA'!C20</f>
        <v>0</v>
      </c>
      <c r="D16" s="69">
        <f>'Detailed BTA'!D20</f>
        <v>0</v>
      </c>
      <c r="E16" s="69">
        <f>'Detailed BTA'!E20</f>
        <v>0</v>
      </c>
      <c r="F16" s="69">
        <f>'Detailed BTA'!F20</f>
        <v>0</v>
      </c>
      <c r="G16" s="145">
        <f>'Detailed BTA'!G20</f>
        <v>0</v>
      </c>
      <c r="H16" s="144">
        <f>'Detailed BTA'!H20</f>
        <v>0</v>
      </c>
      <c r="I16" s="144">
        <f>'Detailed BTA'!I20</f>
        <v>0</v>
      </c>
      <c r="J16" s="178"/>
      <c r="K16" s="144">
        <f t="shared" si="0"/>
        <v>0</v>
      </c>
      <c r="L16" s="486">
        <f t="shared" si="1"/>
        <v>0</v>
      </c>
      <c r="M16" s="180"/>
      <c r="N16" s="69">
        <f>'Detailed BTA'!N20</f>
        <v>0</v>
      </c>
      <c r="O16" s="145">
        <f>'Detailed BTA'!O20</f>
        <v>0</v>
      </c>
      <c r="P16" s="144">
        <f>'Detailed BTA'!P20</f>
        <v>0</v>
      </c>
      <c r="Q16" s="144">
        <f>'Detailed BTA'!Q20</f>
        <v>0</v>
      </c>
      <c r="R16" s="400"/>
      <c r="S16" s="144">
        <f t="shared" si="2"/>
        <v>0</v>
      </c>
      <c r="T16" s="486">
        <f t="shared" si="3"/>
        <v>0</v>
      </c>
      <c r="U16" s="488"/>
      <c r="V16" s="148"/>
    </row>
    <row r="17" spans="2:22" x14ac:dyDescent="0.35">
      <c r="B17" s="356" t="s">
        <v>4</v>
      </c>
      <c r="C17" s="69">
        <f>'Detailed BTA'!C21</f>
        <v>0</v>
      </c>
      <c r="D17" s="69">
        <f>'Detailed BTA'!D21</f>
        <v>0</v>
      </c>
      <c r="E17" s="69">
        <f>'Detailed BTA'!E21</f>
        <v>0</v>
      </c>
      <c r="F17" s="69">
        <f>'Detailed BTA'!F21</f>
        <v>0</v>
      </c>
      <c r="G17" s="145">
        <f>'Detailed BTA'!G21</f>
        <v>0</v>
      </c>
      <c r="H17" s="144">
        <f>'Detailed BTA'!H21</f>
        <v>0</v>
      </c>
      <c r="I17" s="144">
        <f>'Detailed BTA'!I21</f>
        <v>0</v>
      </c>
      <c r="J17" s="178"/>
      <c r="K17" s="144">
        <f t="shared" si="0"/>
        <v>0</v>
      </c>
      <c r="L17" s="486">
        <f t="shared" si="1"/>
        <v>0</v>
      </c>
      <c r="M17" s="180"/>
      <c r="N17" s="69">
        <f>'Detailed BTA'!N21</f>
        <v>0</v>
      </c>
      <c r="O17" s="145">
        <f>'Detailed BTA'!O21</f>
        <v>0</v>
      </c>
      <c r="P17" s="144">
        <f>'Detailed BTA'!P21</f>
        <v>0</v>
      </c>
      <c r="Q17" s="144">
        <f>'Detailed BTA'!Q21</f>
        <v>0</v>
      </c>
      <c r="R17" s="400"/>
      <c r="S17" s="144">
        <f t="shared" si="2"/>
        <v>0</v>
      </c>
      <c r="T17" s="486">
        <f t="shared" si="3"/>
        <v>0</v>
      </c>
      <c r="U17" s="488"/>
      <c r="V17" s="148"/>
    </row>
    <row r="18" spans="2:22" x14ac:dyDescent="0.35">
      <c r="B18" s="356" t="s">
        <v>5</v>
      </c>
      <c r="C18" s="69">
        <f>'Detailed BTA'!C22</f>
        <v>0</v>
      </c>
      <c r="D18" s="69">
        <f>'Detailed BTA'!D22</f>
        <v>0</v>
      </c>
      <c r="E18" s="69">
        <f>'Detailed BTA'!E22</f>
        <v>0</v>
      </c>
      <c r="F18" s="69">
        <f>'Detailed BTA'!F22</f>
        <v>0</v>
      </c>
      <c r="G18" s="145">
        <f>'Detailed BTA'!G22</f>
        <v>0</v>
      </c>
      <c r="H18" s="144">
        <f>'Detailed BTA'!H22</f>
        <v>0</v>
      </c>
      <c r="I18" s="144">
        <f>'Detailed BTA'!I22</f>
        <v>0</v>
      </c>
      <c r="J18" s="178"/>
      <c r="K18" s="144">
        <f t="shared" si="0"/>
        <v>0</v>
      </c>
      <c r="L18" s="486">
        <f t="shared" si="1"/>
        <v>0</v>
      </c>
      <c r="M18" s="180"/>
      <c r="N18" s="69">
        <f>'Detailed BTA'!N22</f>
        <v>0</v>
      </c>
      <c r="O18" s="145">
        <f>'Detailed BTA'!O22</f>
        <v>0</v>
      </c>
      <c r="P18" s="144">
        <f>'Detailed BTA'!P22</f>
        <v>0</v>
      </c>
      <c r="Q18" s="144">
        <f>'Detailed BTA'!Q22</f>
        <v>0</v>
      </c>
      <c r="R18" s="400"/>
      <c r="S18" s="144">
        <f t="shared" si="2"/>
        <v>0</v>
      </c>
      <c r="T18" s="486">
        <f t="shared" si="3"/>
        <v>0</v>
      </c>
      <c r="U18" s="488"/>
      <c r="V18" s="148"/>
    </row>
    <row r="19" spans="2:22" ht="16" x14ac:dyDescent="0.5">
      <c r="B19" s="356" t="s">
        <v>6</v>
      </c>
      <c r="C19" s="420">
        <f>'Detailed BTA'!C23</f>
        <v>0</v>
      </c>
      <c r="D19" s="420">
        <f>'Detailed BTA'!D23</f>
        <v>0</v>
      </c>
      <c r="E19" s="420">
        <f>'Detailed BTA'!E23</f>
        <v>0</v>
      </c>
      <c r="F19" s="420">
        <f>'Detailed BTA'!F23</f>
        <v>0</v>
      </c>
      <c r="G19" s="421">
        <f>'Detailed BTA'!G23</f>
        <v>0</v>
      </c>
      <c r="H19" s="422">
        <f>'Detailed BTA'!H23</f>
        <v>0</v>
      </c>
      <c r="I19" s="422">
        <f>'Detailed BTA'!I23</f>
        <v>0</v>
      </c>
      <c r="J19" s="178"/>
      <c r="K19" s="422">
        <f t="shared" si="0"/>
        <v>0</v>
      </c>
      <c r="L19" s="489">
        <f t="shared" si="1"/>
        <v>0</v>
      </c>
      <c r="M19" s="180"/>
      <c r="N19" s="420">
        <f>'Detailed BTA'!N23</f>
        <v>0</v>
      </c>
      <c r="O19" s="421">
        <f>'Detailed BTA'!O23</f>
        <v>0</v>
      </c>
      <c r="P19" s="422">
        <f>'Detailed BTA'!P23</f>
        <v>0</v>
      </c>
      <c r="Q19" s="422">
        <f>'Detailed BTA'!Q23</f>
        <v>0</v>
      </c>
      <c r="R19" s="405"/>
      <c r="S19" s="422">
        <f t="shared" si="2"/>
        <v>0</v>
      </c>
      <c r="T19" s="490">
        <f t="shared" si="3"/>
        <v>0</v>
      </c>
      <c r="U19" s="491"/>
      <c r="V19" s="148"/>
    </row>
    <row r="20" spans="2:22" x14ac:dyDescent="0.35">
      <c r="B20" s="64" t="s">
        <v>7</v>
      </c>
      <c r="C20" s="407">
        <f>'Detailed BTA'!C24</f>
        <v>0</v>
      </c>
      <c r="D20" s="407">
        <f>'Detailed BTA'!D24</f>
        <v>0</v>
      </c>
      <c r="E20" s="407">
        <f>'Detailed BTA'!E24</f>
        <v>0</v>
      </c>
      <c r="F20" s="407">
        <f>'Detailed BTA'!F24</f>
        <v>0</v>
      </c>
      <c r="G20" s="408">
        <f>'Detailed BTA'!G24</f>
        <v>0</v>
      </c>
      <c r="H20" s="409">
        <f>'Detailed BTA'!H24</f>
        <v>0</v>
      </c>
      <c r="I20" s="409">
        <f>'Detailed BTA'!I24</f>
        <v>0</v>
      </c>
      <c r="J20" s="178"/>
      <c r="K20" s="409">
        <f t="shared" si="0"/>
        <v>0</v>
      </c>
      <c r="L20" s="486">
        <f t="shared" si="1"/>
        <v>0</v>
      </c>
      <c r="M20" s="180"/>
      <c r="N20" s="407">
        <f>'Detailed BTA'!N24</f>
        <v>0</v>
      </c>
      <c r="O20" s="408">
        <f>'Detailed BTA'!O24</f>
        <v>0</v>
      </c>
      <c r="P20" s="409">
        <f>'Detailed BTA'!P24</f>
        <v>0</v>
      </c>
      <c r="Q20" s="409">
        <f>'Detailed BTA'!Q24</f>
        <v>0</v>
      </c>
      <c r="R20" s="492"/>
      <c r="S20" s="409">
        <f t="shared" si="2"/>
        <v>0</v>
      </c>
      <c r="T20" s="493">
        <f t="shared" si="3"/>
        <v>0</v>
      </c>
      <c r="U20" s="494"/>
      <c r="V20" s="148"/>
    </row>
    <row r="21" spans="2:22" ht="16" x14ac:dyDescent="0.5">
      <c r="B21" s="64" t="s">
        <v>8</v>
      </c>
      <c r="C21" s="412">
        <f>'Detailed BTA'!C25</f>
        <v>0</v>
      </c>
      <c r="D21" s="412">
        <f>'Detailed BTA'!D25</f>
        <v>0</v>
      </c>
      <c r="E21" s="412">
        <f>'Detailed BTA'!E25</f>
        <v>0</v>
      </c>
      <c r="F21" s="412">
        <f>'Detailed BTA'!F25</f>
        <v>0</v>
      </c>
      <c r="G21" s="413">
        <f>'Detailed BTA'!G25</f>
        <v>0</v>
      </c>
      <c r="H21" s="414">
        <f>'Detailed BTA'!H25</f>
        <v>0</v>
      </c>
      <c r="I21" s="414">
        <f>'Detailed BTA'!I25</f>
        <v>0</v>
      </c>
      <c r="J21" s="178"/>
      <c r="K21" s="414">
        <f t="shared" si="0"/>
        <v>0</v>
      </c>
      <c r="L21" s="486">
        <f t="shared" si="1"/>
        <v>0</v>
      </c>
      <c r="M21" s="180"/>
      <c r="N21" s="412">
        <f>'Detailed BTA'!N25</f>
        <v>0</v>
      </c>
      <c r="O21" s="413">
        <f>'Detailed BTA'!O25</f>
        <v>0</v>
      </c>
      <c r="P21" s="414">
        <f>'Detailed BTA'!P25</f>
        <v>0</v>
      </c>
      <c r="Q21" s="414">
        <f>'Detailed BTA'!Q25</f>
        <v>0</v>
      </c>
      <c r="R21" s="492"/>
      <c r="S21" s="414">
        <f t="shared" si="2"/>
        <v>0</v>
      </c>
      <c r="T21" s="495">
        <f t="shared" si="3"/>
        <v>0</v>
      </c>
      <c r="U21" s="494"/>
      <c r="V21" s="148"/>
    </row>
    <row r="22" spans="2:22" ht="16" x14ac:dyDescent="0.5">
      <c r="B22" s="67" t="s">
        <v>9</v>
      </c>
      <c r="C22" s="366">
        <f>'Detailed BTA'!C26</f>
        <v>0</v>
      </c>
      <c r="D22" s="366">
        <f>'Detailed BTA'!D26</f>
        <v>0</v>
      </c>
      <c r="E22" s="366">
        <f>'Detailed BTA'!E26</f>
        <v>0</v>
      </c>
      <c r="F22" s="366">
        <f>'Detailed BTA'!F26</f>
        <v>0</v>
      </c>
      <c r="G22" s="367">
        <f>'Detailed BTA'!G26</f>
        <v>0</v>
      </c>
      <c r="H22" s="368">
        <f>'Detailed BTA'!H26</f>
        <v>0</v>
      </c>
      <c r="I22" s="368">
        <f>'Detailed BTA'!I26</f>
        <v>0</v>
      </c>
      <c r="J22" s="178"/>
      <c r="K22" s="368">
        <f t="shared" si="0"/>
        <v>0</v>
      </c>
      <c r="L22" s="489">
        <f t="shared" si="1"/>
        <v>0</v>
      </c>
      <c r="M22" s="180"/>
      <c r="N22" s="366">
        <f>'Detailed BTA'!N26</f>
        <v>0</v>
      </c>
      <c r="O22" s="367">
        <f>'Detailed BTA'!O26</f>
        <v>0</v>
      </c>
      <c r="P22" s="368">
        <f>'Detailed BTA'!P26</f>
        <v>0</v>
      </c>
      <c r="Q22" s="368">
        <f>'Detailed BTA'!Q26</f>
        <v>0</v>
      </c>
      <c r="R22" s="496"/>
      <c r="S22" s="368">
        <f t="shared" si="2"/>
        <v>0</v>
      </c>
      <c r="T22" s="497">
        <f t="shared" si="3"/>
        <v>0</v>
      </c>
      <c r="U22" s="498"/>
      <c r="V22" s="148"/>
    </row>
    <row r="23" spans="2:22" ht="16" x14ac:dyDescent="0.5">
      <c r="B23" s="67"/>
      <c r="C23" s="366"/>
      <c r="D23" s="366"/>
      <c r="E23" s="366"/>
      <c r="F23" s="366"/>
      <c r="G23" s="367"/>
      <c r="H23" s="368"/>
      <c r="I23" s="368"/>
      <c r="J23" s="178"/>
      <c r="K23" s="368"/>
      <c r="L23" s="489"/>
      <c r="M23" s="180"/>
      <c r="N23" s="366"/>
      <c r="O23" s="367"/>
      <c r="P23" s="368"/>
      <c r="Q23" s="368"/>
      <c r="R23" s="496"/>
      <c r="S23" s="368"/>
      <c r="T23" s="489"/>
      <c r="U23" s="498"/>
      <c r="V23" s="148"/>
    </row>
    <row r="24" spans="2:22" x14ac:dyDescent="0.35">
      <c r="B24" s="67" t="s">
        <v>10</v>
      </c>
      <c r="C24" s="366">
        <f>'Detailed BTA'!C28</f>
        <v>0</v>
      </c>
      <c r="D24" s="366">
        <f>'Detailed BTA'!D28</f>
        <v>0</v>
      </c>
      <c r="E24" s="366">
        <f>'Detailed BTA'!E28</f>
        <v>0</v>
      </c>
      <c r="F24" s="366">
        <f>'Detailed BTA'!F28</f>
        <v>0</v>
      </c>
      <c r="G24" s="367">
        <f>'Detailed BTA'!G28</f>
        <v>0</v>
      </c>
      <c r="H24" s="368">
        <f>'Detailed BTA'!H28</f>
        <v>0</v>
      </c>
      <c r="I24" s="368">
        <f>'Detailed BTA'!I28</f>
        <v>0</v>
      </c>
      <c r="J24" s="178"/>
      <c r="K24" s="368">
        <f>H24-I24</f>
        <v>0</v>
      </c>
      <c r="L24" s="497">
        <f>IFERROR(SIGN(K24)*ABS(K24/I24),0)</f>
        <v>0</v>
      </c>
      <c r="M24" s="180"/>
      <c r="N24" s="366">
        <f>'Detailed BTA'!N28</f>
        <v>0</v>
      </c>
      <c r="O24" s="367">
        <f>'Detailed BTA'!O28</f>
        <v>0</v>
      </c>
      <c r="P24" s="368">
        <f>'Detailed BTA'!P28</f>
        <v>0</v>
      </c>
      <c r="Q24" s="368">
        <f>'Detailed BTA'!Q28</f>
        <v>0</v>
      </c>
      <c r="R24" s="418"/>
      <c r="S24" s="368">
        <f>P24-Q24</f>
        <v>0</v>
      </c>
      <c r="T24" s="497">
        <f>IFERROR(SIGN(S24)*ABS(S24/Q24),0)</f>
        <v>0</v>
      </c>
      <c r="U24" s="499"/>
      <c r="V24" s="148"/>
    </row>
    <row r="25" spans="2:22" x14ac:dyDescent="0.35">
      <c r="B25" s="357"/>
      <c r="C25" s="379"/>
      <c r="D25" s="379"/>
      <c r="E25" s="379"/>
      <c r="F25" s="379"/>
      <c r="G25" s="380"/>
      <c r="H25" s="381"/>
      <c r="I25" s="381"/>
      <c r="J25" s="178"/>
      <c r="K25" s="381"/>
      <c r="L25" s="486"/>
      <c r="M25" s="180"/>
      <c r="N25" s="379"/>
      <c r="O25" s="380"/>
      <c r="P25" s="381"/>
      <c r="Q25" s="381"/>
      <c r="R25" s="438"/>
      <c r="S25" s="381"/>
      <c r="T25" s="486"/>
      <c r="U25" s="487"/>
      <c r="V25" s="148"/>
    </row>
    <row r="26" spans="2:22" x14ac:dyDescent="0.35">
      <c r="B26" s="67" t="s">
        <v>11</v>
      </c>
      <c r="C26" s="366">
        <f>'Detailed BTA'!C30</f>
        <v>0</v>
      </c>
      <c r="D26" s="366">
        <f>'Detailed BTA'!D30</f>
        <v>0</v>
      </c>
      <c r="E26" s="366">
        <f>'Detailed BTA'!E30</f>
        <v>0</v>
      </c>
      <c r="F26" s="366">
        <f>'Detailed BTA'!F30</f>
        <v>0</v>
      </c>
      <c r="G26" s="367">
        <f>'Detailed BTA'!G30</f>
        <v>0</v>
      </c>
      <c r="H26" s="368">
        <f>'Detailed BTA'!H30</f>
        <v>0</v>
      </c>
      <c r="I26" s="368">
        <f>'Detailed BTA'!I30</f>
        <v>0</v>
      </c>
      <c r="J26" s="369"/>
      <c r="K26" s="368">
        <f>H26-I26</f>
        <v>0</v>
      </c>
      <c r="L26" s="500">
        <f>IFERROR(SIGN(K26)*ABS(K26/I26),0)</f>
        <v>0</v>
      </c>
      <c r="M26" s="487"/>
      <c r="N26" s="366">
        <f>'Detailed BTA'!N30</f>
        <v>0</v>
      </c>
      <c r="O26" s="367">
        <f>'Detailed BTA'!O30</f>
        <v>0</v>
      </c>
      <c r="P26" s="368">
        <f>'Detailed BTA'!P30</f>
        <v>0</v>
      </c>
      <c r="Q26" s="368">
        <f>'Detailed BTA'!Q30</f>
        <v>0</v>
      </c>
      <c r="R26" s="418"/>
      <c r="S26" s="368">
        <f>P26-Q26</f>
        <v>0</v>
      </c>
      <c r="T26" s="500">
        <f>IFERROR(SIGN(S26)*ABS(S26/Q26),0)</f>
        <v>0</v>
      </c>
      <c r="U26" s="487"/>
      <c r="V26" s="148"/>
    </row>
    <row r="27" spans="2:22" x14ac:dyDescent="0.35">
      <c r="B27" s="356" t="s">
        <v>12</v>
      </c>
      <c r="C27" s="69">
        <f>'Detailed BTA'!C31</f>
        <v>0</v>
      </c>
      <c r="D27" s="69">
        <f>'Detailed BTA'!D31</f>
        <v>0</v>
      </c>
      <c r="E27" s="69">
        <f>'Detailed BTA'!E31</f>
        <v>0</v>
      </c>
      <c r="F27" s="69">
        <f>'Detailed BTA'!F31</f>
        <v>0</v>
      </c>
      <c r="G27" s="145">
        <f>'Detailed BTA'!G31</f>
        <v>0</v>
      </c>
      <c r="H27" s="144">
        <f>'Detailed BTA'!H31</f>
        <v>0</v>
      </c>
      <c r="I27" s="144">
        <f>'Detailed BTA'!I31</f>
        <v>0</v>
      </c>
      <c r="J27" s="178"/>
      <c r="K27" s="144">
        <f>I27-H27</f>
        <v>0</v>
      </c>
      <c r="L27" s="175">
        <f>IFERROR(SIGN(K27)*ABS(K27/I27),0)</f>
        <v>0</v>
      </c>
      <c r="M27" s="174"/>
      <c r="N27" s="69">
        <f>'Detailed BTA'!N31</f>
        <v>0</v>
      </c>
      <c r="O27" s="145">
        <f>'Detailed BTA'!O31</f>
        <v>0</v>
      </c>
      <c r="P27" s="144">
        <f>'Detailed BTA'!P31</f>
        <v>0</v>
      </c>
      <c r="Q27" s="144">
        <f>'Detailed BTA'!Q31</f>
        <v>0</v>
      </c>
      <c r="R27" s="138"/>
      <c r="S27" s="144">
        <f>Q27-P27</f>
        <v>0</v>
      </c>
      <c r="T27" s="175">
        <f>IFERROR(SIGN(S27)*ABS(S27/Q27),0)</f>
        <v>0</v>
      </c>
      <c r="U27" s="174"/>
      <c r="V27" s="148"/>
    </row>
    <row r="28" spans="2:22" ht="16" x14ac:dyDescent="0.5">
      <c r="B28" s="360" t="s">
        <v>13</v>
      </c>
      <c r="C28" s="451">
        <f>'Detailed BTA'!C32</f>
        <v>0</v>
      </c>
      <c r="D28" s="451">
        <f>'Detailed BTA'!D32</f>
        <v>0</v>
      </c>
      <c r="E28" s="451">
        <f>'Detailed BTA'!E32</f>
        <v>0</v>
      </c>
      <c r="F28" s="451">
        <f>'Detailed BTA'!F32</f>
        <v>0</v>
      </c>
      <c r="G28" s="452">
        <f>'Detailed BTA'!G32</f>
        <v>0</v>
      </c>
      <c r="H28" s="453">
        <f>'Detailed BTA'!H32</f>
        <v>0</v>
      </c>
      <c r="I28" s="453">
        <f>'Detailed BTA'!I32</f>
        <v>0</v>
      </c>
      <c r="J28" s="477"/>
      <c r="K28" s="453">
        <f>H28-I28</f>
        <v>0</v>
      </c>
      <c r="L28" s="501">
        <f>IFERROR(SIGN(K28)*ABS(K28/I28),0)</f>
        <v>0</v>
      </c>
      <c r="M28" s="502"/>
      <c r="N28" s="451">
        <f>'Detailed BTA'!N32</f>
        <v>0</v>
      </c>
      <c r="O28" s="452">
        <f>'Detailed BTA'!O32</f>
        <v>0</v>
      </c>
      <c r="P28" s="453">
        <f>'Detailed BTA'!P32</f>
        <v>0</v>
      </c>
      <c r="Q28" s="453">
        <f>'Detailed BTA'!Q32</f>
        <v>0</v>
      </c>
      <c r="R28" s="447"/>
      <c r="S28" s="453">
        <f>P28-Q28</f>
        <v>0</v>
      </c>
      <c r="T28" s="501">
        <f>IFERROR(SIGN(S28)*ABS(S28/Q28),0)</f>
        <v>0</v>
      </c>
      <c r="U28" s="502"/>
      <c r="V28" s="387"/>
    </row>
    <row r="29" spans="2:22" x14ac:dyDescent="0.35">
      <c r="B29" s="67" t="s">
        <v>14</v>
      </c>
      <c r="C29" s="366">
        <f>'Detailed BTA'!C33</f>
        <v>0</v>
      </c>
      <c r="D29" s="366">
        <f>'Detailed BTA'!D33</f>
        <v>0</v>
      </c>
      <c r="E29" s="366">
        <f>'Detailed BTA'!E33</f>
        <v>0</v>
      </c>
      <c r="F29" s="366">
        <f>'Detailed BTA'!F33</f>
        <v>0</v>
      </c>
      <c r="G29" s="367">
        <f>'Detailed BTA'!G33</f>
        <v>0</v>
      </c>
      <c r="H29" s="368">
        <f>'Detailed BTA'!H33</f>
        <v>0</v>
      </c>
      <c r="I29" s="368">
        <f>'Detailed BTA'!I33</f>
        <v>0</v>
      </c>
      <c r="J29" s="178"/>
      <c r="K29" s="368">
        <f>H29-I29</f>
        <v>0</v>
      </c>
      <c r="L29" s="500">
        <f>IFERROR(SIGN(K29)*ABS(K29/I29),0)</f>
        <v>0</v>
      </c>
      <c r="M29" s="499"/>
      <c r="N29" s="366">
        <f>'Detailed BTA'!N33</f>
        <v>0</v>
      </c>
      <c r="O29" s="367">
        <f>'Detailed BTA'!O33</f>
        <v>0</v>
      </c>
      <c r="P29" s="368">
        <f>'Detailed BTA'!P33</f>
        <v>0</v>
      </c>
      <c r="Q29" s="368">
        <f>'Detailed BTA'!Q33</f>
        <v>0</v>
      </c>
      <c r="R29" s="418"/>
      <c r="S29" s="368">
        <f>P29-Q29</f>
        <v>0</v>
      </c>
      <c r="T29" s="500">
        <f>IFERROR(SIGN(S29)*ABS(S29/Q29),0)</f>
        <v>0</v>
      </c>
      <c r="U29" s="499"/>
      <c r="V29" s="148"/>
    </row>
    <row r="30" spans="2:22" x14ac:dyDescent="0.35">
      <c r="B30" s="72" t="s">
        <v>15</v>
      </c>
      <c r="C30" s="431">
        <f t="shared" ref="C30:H30" si="4">IFERROR(C29/B29-1,0)</f>
        <v>0</v>
      </c>
      <c r="D30" s="431">
        <f t="shared" si="4"/>
        <v>0</v>
      </c>
      <c r="E30" s="431">
        <f t="shared" si="4"/>
        <v>0</v>
      </c>
      <c r="F30" s="431">
        <f t="shared" si="4"/>
        <v>0</v>
      </c>
      <c r="G30" s="432">
        <f t="shared" si="4"/>
        <v>0</v>
      </c>
      <c r="H30" s="433">
        <f t="shared" si="4"/>
        <v>0</v>
      </c>
      <c r="I30" s="433">
        <f>IFERROR(I29/G29-1,0)</f>
        <v>0</v>
      </c>
      <c r="J30" s="178"/>
      <c r="K30" s="433">
        <f>H30-I30</f>
        <v>0</v>
      </c>
      <c r="L30" s="434">
        <f>IFERROR(SIGN(K30)*ABS(K30/I30),0)</f>
        <v>0</v>
      </c>
      <c r="M30" s="476"/>
      <c r="N30" s="431">
        <v>0</v>
      </c>
      <c r="O30" s="432">
        <f>IFERROR(O29/N29-1,0)</f>
        <v>0</v>
      </c>
      <c r="P30" s="433">
        <f>IFERROR(P29/O29-1,0)</f>
        <v>0</v>
      </c>
      <c r="Q30" s="433">
        <f>'Detailed BTA'!Q34</f>
        <v>0</v>
      </c>
      <c r="R30" s="434"/>
      <c r="S30" s="433">
        <f>P30-Q30</f>
        <v>0</v>
      </c>
      <c r="T30" s="434">
        <f>IFERROR(SIGN(S30)*ABS(S30/Q30),0)</f>
        <v>0</v>
      </c>
      <c r="U30" s="476"/>
      <c r="V30" s="148"/>
    </row>
    <row r="31" spans="2:22" x14ac:dyDescent="0.35">
      <c r="B31" s="29"/>
      <c r="C31" s="474"/>
      <c r="D31" s="474"/>
      <c r="E31" s="474"/>
      <c r="F31" s="474"/>
      <c r="G31" s="475"/>
      <c r="H31" s="434"/>
      <c r="I31" s="503"/>
      <c r="J31" s="178"/>
      <c r="K31" s="434"/>
      <c r="L31" s="434"/>
      <c r="M31" s="476"/>
      <c r="N31" s="474"/>
      <c r="O31" s="475"/>
      <c r="P31" s="434"/>
      <c r="Q31" s="434"/>
      <c r="R31" s="434"/>
      <c r="S31" s="434"/>
      <c r="T31" s="434"/>
      <c r="U31" s="476"/>
      <c r="V31" s="148"/>
    </row>
    <row r="32" spans="2:22" x14ac:dyDescent="0.35">
      <c r="B32" s="31" t="s">
        <v>16</v>
      </c>
      <c r="C32" s="474"/>
      <c r="D32" s="474"/>
      <c r="E32" s="474"/>
      <c r="F32" s="474"/>
      <c r="G32" s="475"/>
      <c r="H32" s="434"/>
      <c r="I32" s="504"/>
      <c r="J32" s="178"/>
      <c r="K32" s="434"/>
      <c r="L32" s="434"/>
      <c r="M32" s="476"/>
      <c r="N32" s="474"/>
      <c r="O32" s="475"/>
      <c r="P32" s="434"/>
      <c r="Q32" s="434"/>
      <c r="R32" s="434"/>
      <c r="S32" s="434"/>
      <c r="T32" s="434"/>
      <c r="U32" s="476"/>
      <c r="V32" s="148"/>
    </row>
    <row r="33" spans="2:22" x14ac:dyDescent="0.35">
      <c r="B33" s="32" t="s">
        <v>17</v>
      </c>
      <c r="C33" s="505">
        <f>'Detailed BTA'!C148</f>
        <v>0</v>
      </c>
      <c r="D33" s="505">
        <f>'Detailed BTA'!D148</f>
        <v>0</v>
      </c>
      <c r="E33" s="505">
        <f>'Detailed BTA'!E148</f>
        <v>0</v>
      </c>
      <c r="F33" s="505">
        <f>'Detailed BTA'!F148</f>
        <v>0</v>
      </c>
      <c r="G33" s="506">
        <f>'Detailed BTA'!G148</f>
        <v>0</v>
      </c>
      <c r="H33" s="507">
        <f>'Detailed BTA'!H148</f>
        <v>0</v>
      </c>
      <c r="I33" s="507">
        <f>'Detailed BTA'!I148</f>
        <v>0</v>
      </c>
      <c r="J33" s="507"/>
      <c r="K33" s="507">
        <f t="shared" ref="K33:K73" si="5">I33-H33</f>
        <v>0</v>
      </c>
      <c r="L33" s="508">
        <f t="shared" ref="L33:L73" si="6">IFERROR(SIGN(K33)*ABS(K33/I33),0)</f>
        <v>0</v>
      </c>
      <c r="M33" s="509"/>
      <c r="N33" s="505">
        <f>'Detailed BTA'!N148</f>
        <v>0</v>
      </c>
      <c r="O33" s="506">
        <f>'Detailed BTA'!O148</f>
        <v>0</v>
      </c>
      <c r="P33" s="507">
        <f>'Detailed BTA'!P148</f>
        <v>0</v>
      </c>
      <c r="Q33" s="507">
        <f>'Detailed BTA'!Q148</f>
        <v>0</v>
      </c>
      <c r="R33" s="507"/>
      <c r="S33" s="507">
        <f t="shared" ref="S33:S73" si="7">Q33-P33</f>
        <v>0</v>
      </c>
      <c r="T33" s="508">
        <f t="shared" ref="T33:T73" si="8">IFERROR(SIGN(S33)*ABS(S33/Q33),0)</f>
        <v>0</v>
      </c>
      <c r="U33" s="509"/>
      <c r="V33" s="148"/>
    </row>
    <row r="34" spans="2:22" x14ac:dyDescent="0.35">
      <c r="B34" s="32" t="s">
        <v>18</v>
      </c>
      <c r="C34" s="510">
        <f>'Detailed BTA'!C114</f>
        <v>0</v>
      </c>
      <c r="D34" s="510">
        <f>'Detailed BTA'!D114</f>
        <v>0</v>
      </c>
      <c r="E34" s="510">
        <f>'Detailed BTA'!E114</f>
        <v>0</v>
      </c>
      <c r="F34" s="510">
        <f>'Detailed BTA'!F114</f>
        <v>0</v>
      </c>
      <c r="G34" s="511">
        <f>'Detailed BTA'!G114</f>
        <v>0</v>
      </c>
      <c r="H34" s="512">
        <f>'Detailed BTA'!H114</f>
        <v>0</v>
      </c>
      <c r="I34" s="512">
        <f>'Detailed BTA'!I114</f>
        <v>0</v>
      </c>
      <c r="J34" s="178"/>
      <c r="K34" s="512">
        <f t="shared" si="5"/>
        <v>0</v>
      </c>
      <c r="L34" s="508">
        <f t="shared" si="6"/>
        <v>0</v>
      </c>
      <c r="M34" s="513"/>
      <c r="N34" s="510">
        <f>'Detailed BTA'!N114</f>
        <v>0</v>
      </c>
      <c r="O34" s="511">
        <f>'Detailed BTA'!O114</f>
        <v>0</v>
      </c>
      <c r="P34" s="512">
        <f>'Detailed BTA'!P114</f>
        <v>0</v>
      </c>
      <c r="Q34" s="512">
        <f>'Detailed BTA'!Q114</f>
        <v>0</v>
      </c>
      <c r="R34" s="512"/>
      <c r="S34" s="512">
        <f t="shared" si="7"/>
        <v>0</v>
      </c>
      <c r="T34" s="508">
        <f t="shared" si="8"/>
        <v>0</v>
      </c>
      <c r="U34" s="513"/>
      <c r="V34" s="148"/>
    </row>
    <row r="35" spans="2:22" x14ac:dyDescent="0.35">
      <c r="B35" s="32" t="s">
        <v>19</v>
      </c>
      <c r="C35" s="510">
        <f t="shared" ref="C35:I35" si="9">C36+C44</f>
        <v>0</v>
      </c>
      <c r="D35" s="510">
        <f t="shared" si="9"/>
        <v>0</v>
      </c>
      <c r="E35" s="510">
        <f t="shared" si="9"/>
        <v>0</v>
      </c>
      <c r="F35" s="510">
        <f t="shared" si="9"/>
        <v>0</v>
      </c>
      <c r="G35" s="511">
        <f t="shared" si="9"/>
        <v>0</v>
      </c>
      <c r="H35" s="512">
        <f t="shared" si="9"/>
        <v>0</v>
      </c>
      <c r="I35" s="512">
        <f t="shared" si="9"/>
        <v>0</v>
      </c>
      <c r="J35" s="178"/>
      <c r="K35" s="512">
        <f t="shared" si="5"/>
        <v>0</v>
      </c>
      <c r="L35" s="508">
        <f t="shared" si="6"/>
        <v>0</v>
      </c>
      <c r="M35" s="513"/>
      <c r="N35" s="510">
        <f t="shared" ref="N35:O35" si="10">N36+N44</f>
        <v>0</v>
      </c>
      <c r="O35" s="511">
        <f t="shared" si="10"/>
        <v>0</v>
      </c>
      <c r="P35" s="512">
        <f>P36+P44</f>
        <v>0</v>
      </c>
      <c r="Q35" s="512">
        <f>Q36+Q44</f>
        <v>0</v>
      </c>
      <c r="R35" s="512"/>
      <c r="S35" s="512">
        <f t="shared" si="7"/>
        <v>0</v>
      </c>
      <c r="T35" s="508">
        <f t="shared" si="8"/>
        <v>0</v>
      </c>
      <c r="U35" s="513"/>
      <c r="V35" s="148"/>
    </row>
    <row r="36" spans="2:22" hidden="1" outlineLevel="1" x14ac:dyDescent="0.35">
      <c r="B36" s="363" t="s">
        <v>20</v>
      </c>
      <c r="C36" s="510">
        <f t="shared" ref="C36:I36" si="11">SUM(C37:C43)</f>
        <v>0</v>
      </c>
      <c r="D36" s="510">
        <f t="shared" si="11"/>
        <v>0</v>
      </c>
      <c r="E36" s="510">
        <f t="shared" si="11"/>
        <v>0</v>
      </c>
      <c r="F36" s="510">
        <f t="shared" si="11"/>
        <v>0</v>
      </c>
      <c r="G36" s="511">
        <f t="shared" si="11"/>
        <v>0</v>
      </c>
      <c r="H36" s="512">
        <f t="shared" si="11"/>
        <v>0</v>
      </c>
      <c r="I36" s="512">
        <f t="shared" si="11"/>
        <v>0</v>
      </c>
      <c r="J36" s="179"/>
      <c r="K36" s="512">
        <f t="shared" si="5"/>
        <v>0</v>
      </c>
      <c r="L36" s="508">
        <f t="shared" si="6"/>
        <v>0</v>
      </c>
      <c r="M36" s="513"/>
      <c r="N36" s="510">
        <f t="shared" ref="N36:O36" si="12">SUM(N37:N43)</f>
        <v>0</v>
      </c>
      <c r="O36" s="511">
        <f t="shared" si="12"/>
        <v>0</v>
      </c>
      <c r="P36" s="512">
        <f>SUM(P37:P43)</f>
        <v>0</v>
      </c>
      <c r="Q36" s="512">
        <f>SUM(Q37:Q43)</f>
        <v>0</v>
      </c>
      <c r="R36" s="512"/>
      <c r="S36" s="512">
        <f t="shared" si="7"/>
        <v>0</v>
      </c>
      <c r="T36" s="508">
        <f t="shared" si="8"/>
        <v>0</v>
      </c>
      <c r="U36" s="513"/>
      <c r="V36" s="148"/>
    </row>
    <row r="37" spans="2:22" hidden="1" outlineLevel="1" x14ac:dyDescent="0.35">
      <c r="B37" s="36" t="s">
        <v>1</v>
      </c>
      <c r="C37" s="514">
        <f>'Detailed BTA'!C39+'Detailed BTA'!C82+'Detailed BTA'!C117+'Detailed BTA'!C151</f>
        <v>0</v>
      </c>
      <c r="D37" s="514">
        <f>'Detailed BTA'!D39+'Detailed BTA'!D82+'Detailed BTA'!D117+'Detailed BTA'!D151</f>
        <v>0</v>
      </c>
      <c r="E37" s="514">
        <f>'Detailed BTA'!E39+'Detailed BTA'!E82+'Detailed BTA'!E117+'Detailed BTA'!E151</f>
        <v>0</v>
      </c>
      <c r="F37" s="514">
        <f>'Detailed BTA'!F39+'Detailed BTA'!F82+'Detailed BTA'!F117+'Detailed BTA'!F151</f>
        <v>0</v>
      </c>
      <c r="G37" s="515">
        <f>'Detailed BTA'!G39+'Detailed BTA'!G82+'Detailed BTA'!G117+'Detailed BTA'!G151</f>
        <v>0</v>
      </c>
      <c r="H37" s="516">
        <f>'Detailed BTA'!H39+'Detailed BTA'!H82+'Detailed BTA'!H117+'Detailed BTA'!H151</f>
        <v>0</v>
      </c>
      <c r="I37" s="516">
        <f>'Detailed BTA'!I39+'Detailed BTA'!I82+'Detailed BTA'!I117+'Detailed BTA'!I151</f>
        <v>0</v>
      </c>
      <c r="J37" s="179"/>
      <c r="K37" s="516">
        <f t="shared" si="5"/>
        <v>0</v>
      </c>
      <c r="L37" s="517">
        <f t="shared" si="6"/>
        <v>0</v>
      </c>
      <c r="M37" s="513"/>
      <c r="N37" s="514">
        <f>'Detailed BTA'!N39+'Detailed BTA'!N82+'Detailed BTA'!N117+'Detailed BTA'!N151</f>
        <v>0</v>
      </c>
      <c r="O37" s="515">
        <f>'Detailed BTA'!O39+'Detailed BTA'!O82+'Detailed BTA'!O117+'Detailed BTA'!O151</f>
        <v>0</v>
      </c>
      <c r="P37" s="516">
        <f>'Detailed BTA'!P39+'Detailed BTA'!P82+'Detailed BTA'!P117+'Detailed BTA'!P151</f>
        <v>0</v>
      </c>
      <c r="Q37" s="516">
        <f>'Detailed BTA'!Q39+'Detailed BTA'!Q82+'Detailed BTA'!Q117+'Detailed BTA'!Q151</f>
        <v>0</v>
      </c>
      <c r="R37" s="516"/>
      <c r="S37" s="516">
        <f t="shared" si="7"/>
        <v>0</v>
      </c>
      <c r="T37" s="508">
        <f t="shared" si="8"/>
        <v>0</v>
      </c>
      <c r="U37" s="518"/>
      <c r="V37" s="148"/>
    </row>
    <row r="38" spans="2:22" hidden="1" outlineLevel="1" x14ac:dyDescent="0.35">
      <c r="B38" s="36" t="s">
        <v>21</v>
      </c>
      <c r="C38" s="514">
        <f>'Detailed BTA'!C40+'Detailed BTA'!C83+'Detailed BTA'!C118+'Detailed BTA'!C152</f>
        <v>0</v>
      </c>
      <c r="D38" s="514">
        <f>'Detailed BTA'!D40+'Detailed BTA'!D83+'Detailed BTA'!D118+'Detailed BTA'!D152</f>
        <v>0</v>
      </c>
      <c r="E38" s="514">
        <f>'Detailed BTA'!E40+'Detailed BTA'!E83+'Detailed BTA'!E118+'Detailed BTA'!E152</f>
        <v>0</v>
      </c>
      <c r="F38" s="514">
        <f>'Detailed BTA'!F40+'Detailed BTA'!F83+'Detailed BTA'!F118+'Detailed BTA'!F152</f>
        <v>0</v>
      </c>
      <c r="G38" s="515">
        <f>'Detailed BTA'!G40+'Detailed BTA'!G83+'Detailed BTA'!G118+'Detailed BTA'!G152</f>
        <v>0</v>
      </c>
      <c r="H38" s="516">
        <f>'Detailed BTA'!H40+'Detailed BTA'!H83+'Detailed BTA'!H118+'Detailed BTA'!H152</f>
        <v>0</v>
      </c>
      <c r="I38" s="516">
        <f>'Detailed BTA'!I40+'Detailed BTA'!I83+'Detailed BTA'!I118+'Detailed BTA'!I152</f>
        <v>0</v>
      </c>
      <c r="J38" s="179"/>
      <c r="K38" s="516">
        <f t="shared" si="5"/>
        <v>0</v>
      </c>
      <c r="L38" s="517">
        <f t="shared" si="6"/>
        <v>0</v>
      </c>
      <c r="M38" s="513"/>
      <c r="N38" s="514">
        <f>'Detailed BTA'!N40+'Detailed BTA'!N83+'Detailed BTA'!N118+'Detailed BTA'!N152</f>
        <v>0</v>
      </c>
      <c r="O38" s="515">
        <f>'Detailed BTA'!O40+'Detailed BTA'!O83+'Detailed BTA'!O118+'Detailed BTA'!O152</f>
        <v>0</v>
      </c>
      <c r="P38" s="516">
        <f>'Detailed BTA'!P40+'Detailed BTA'!P83+'Detailed BTA'!P118+'Detailed BTA'!P152</f>
        <v>0</v>
      </c>
      <c r="Q38" s="516">
        <f>'Detailed BTA'!Q40+'Detailed BTA'!Q83+'Detailed BTA'!Q118+'Detailed BTA'!Q152</f>
        <v>0</v>
      </c>
      <c r="R38" s="516"/>
      <c r="S38" s="516">
        <f t="shared" si="7"/>
        <v>0</v>
      </c>
      <c r="T38" s="508">
        <f t="shared" si="8"/>
        <v>0</v>
      </c>
      <c r="U38" s="518"/>
      <c r="V38" s="148"/>
    </row>
    <row r="39" spans="2:22" hidden="1" outlineLevel="1" x14ac:dyDescent="0.35">
      <c r="B39" s="36" t="s">
        <v>22</v>
      </c>
      <c r="C39" s="514">
        <f>'Detailed BTA'!C41+'Detailed BTA'!C84+'Detailed BTA'!C119+'Detailed BTA'!C153</f>
        <v>0</v>
      </c>
      <c r="D39" s="514">
        <f>'Detailed BTA'!D41+'Detailed BTA'!D84+'Detailed BTA'!D119+'Detailed BTA'!D153</f>
        <v>0</v>
      </c>
      <c r="E39" s="514">
        <f>'Detailed BTA'!E41+'Detailed BTA'!E84+'Detailed BTA'!E119+'Detailed BTA'!E153</f>
        <v>0</v>
      </c>
      <c r="F39" s="514">
        <f>'Detailed BTA'!F41+'Detailed BTA'!F84+'Detailed BTA'!F119+'Detailed BTA'!F153</f>
        <v>0</v>
      </c>
      <c r="G39" s="515">
        <f>'Detailed BTA'!G41+'Detailed BTA'!G84+'Detailed BTA'!G119+'Detailed BTA'!G153</f>
        <v>0</v>
      </c>
      <c r="H39" s="516">
        <f>'Detailed BTA'!H41+'Detailed BTA'!H84+'Detailed BTA'!H119+'Detailed BTA'!H153</f>
        <v>0</v>
      </c>
      <c r="I39" s="516">
        <f>'Detailed BTA'!I41+'Detailed BTA'!I84+'Detailed BTA'!I119+'Detailed BTA'!I153</f>
        <v>0</v>
      </c>
      <c r="J39" s="179"/>
      <c r="K39" s="516">
        <f t="shared" si="5"/>
        <v>0</v>
      </c>
      <c r="L39" s="517">
        <f t="shared" si="6"/>
        <v>0</v>
      </c>
      <c r="M39" s="513"/>
      <c r="N39" s="514">
        <f>'Detailed BTA'!N41+'Detailed BTA'!N84+'Detailed BTA'!N119+'Detailed BTA'!N153</f>
        <v>0</v>
      </c>
      <c r="O39" s="515">
        <f>'Detailed BTA'!O41+'Detailed BTA'!O84+'Detailed BTA'!O119+'Detailed BTA'!O153</f>
        <v>0</v>
      </c>
      <c r="P39" s="516">
        <f>'Detailed BTA'!P41+'Detailed BTA'!P84+'Detailed BTA'!P119+'Detailed BTA'!P153</f>
        <v>0</v>
      </c>
      <c r="Q39" s="516">
        <f>'Detailed BTA'!Q41+'Detailed BTA'!Q84+'Detailed BTA'!Q119+'Detailed BTA'!Q153</f>
        <v>0</v>
      </c>
      <c r="R39" s="516"/>
      <c r="S39" s="516">
        <f t="shared" si="7"/>
        <v>0</v>
      </c>
      <c r="T39" s="508">
        <f t="shared" si="8"/>
        <v>0</v>
      </c>
      <c r="U39" s="518"/>
      <c r="V39" s="148"/>
    </row>
    <row r="40" spans="2:22" hidden="1" outlineLevel="1" x14ac:dyDescent="0.35">
      <c r="B40" s="36" t="s">
        <v>23</v>
      </c>
      <c r="C40" s="514">
        <f>'Detailed BTA'!C42+'Detailed BTA'!C85+'Detailed BTA'!C120+'Detailed BTA'!C154</f>
        <v>0</v>
      </c>
      <c r="D40" s="514">
        <f>'Detailed BTA'!D42+'Detailed BTA'!D85+'Detailed BTA'!D120+'Detailed BTA'!D154</f>
        <v>0</v>
      </c>
      <c r="E40" s="514">
        <f>'Detailed BTA'!E42+'Detailed BTA'!E85+'Detailed BTA'!E120+'Detailed BTA'!E154</f>
        <v>0</v>
      </c>
      <c r="F40" s="514">
        <f>'Detailed BTA'!F42+'Detailed BTA'!F85+'Detailed BTA'!F120+'Detailed BTA'!F154</f>
        <v>0</v>
      </c>
      <c r="G40" s="515">
        <f>'Detailed BTA'!G42+'Detailed BTA'!G85+'Detailed BTA'!G120+'Detailed BTA'!G154</f>
        <v>0</v>
      </c>
      <c r="H40" s="516">
        <f>'Detailed BTA'!H42+'Detailed BTA'!H85+'Detailed BTA'!H120+'Detailed BTA'!H154</f>
        <v>0</v>
      </c>
      <c r="I40" s="516">
        <f>'Detailed BTA'!I42+'Detailed BTA'!I85+'Detailed BTA'!I120+'Detailed BTA'!I154</f>
        <v>0</v>
      </c>
      <c r="J40" s="179"/>
      <c r="K40" s="516">
        <f t="shared" si="5"/>
        <v>0</v>
      </c>
      <c r="L40" s="517">
        <f t="shared" si="6"/>
        <v>0</v>
      </c>
      <c r="M40" s="513"/>
      <c r="N40" s="514">
        <f>'Detailed BTA'!N42+'Detailed BTA'!N85+'Detailed BTA'!N120+'Detailed BTA'!N154</f>
        <v>0</v>
      </c>
      <c r="O40" s="515">
        <f>'Detailed BTA'!O42+'Detailed BTA'!O85+'Detailed BTA'!O120+'Detailed BTA'!O154</f>
        <v>0</v>
      </c>
      <c r="P40" s="516">
        <f>'Detailed BTA'!P42+'Detailed BTA'!P85+'Detailed BTA'!P120+'Detailed BTA'!P154</f>
        <v>0</v>
      </c>
      <c r="Q40" s="516">
        <f>'Detailed BTA'!Q42+'Detailed BTA'!Q85+'Detailed BTA'!Q120+'Detailed BTA'!Q154</f>
        <v>0</v>
      </c>
      <c r="R40" s="516"/>
      <c r="S40" s="516">
        <f t="shared" si="7"/>
        <v>0</v>
      </c>
      <c r="T40" s="508">
        <f t="shared" si="8"/>
        <v>0</v>
      </c>
      <c r="U40" s="518"/>
      <c r="V40" s="148"/>
    </row>
    <row r="41" spans="2:22" hidden="1" outlineLevel="1" x14ac:dyDescent="0.35">
      <c r="B41" s="36" t="s">
        <v>24</v>
      </c>
      <c r="C41" s="514">
        <f>'Detailed BTA'!C43+'Detailed BTA'!C86+'Detailed BTA'!C121+'Detailed BTA'!C155</f>
        <v>0</v>
      </c>
      <c r="D41" s="514">
        <f>'Detailed BTA'!D43+'Detailed BTA'!D86+'Detailed BTA'!D121+'Detailed BTA'!D155</f>
        <v>0</v>
      </c>
      <c r="E41" s="514">
        <f>'Detailed BTA'!E43+'Detailed BTA'!E86+'Detailed BTA'!E121+'Detailed BTA'!E155</f>
        <v>0</v>
      </c>
      <c r="F41" s="514">
        <f>'Detailed BTA'!F43+'Detailed BTA'!F86+'Detailed BTA'!F121+'Detailed BTA'!F155</f>
        <v>0</v>
      </c>
      <c r="G41" s="515">
        <f>'Detailed BTA'!G43+'Detailed BTA'!G86+'Detailed BTA'!G121+'Detailed BTA'!G155</f>
        <v>0</v>
      </c>
      <c r="H41" s="516">
        <f>'Detailed BTA'!H43+'Detailed BTA'!H86+'Detailed BTA'!H121+'Detailed BTA'!H155</f>
        <v>0</v>
      </c>
      <c r="I41" s="516">
        <f>'Detailed BTA'!I43+'Detailed BTA'!I86+'Detailed BTA'!I121+'Detailed BTA'!I155</f>
        <v>0</v>
      </c>
      <c r="J41" s="179"/>
      <c r="K41" s="516">
        <f t="shared" si="5"/>
        <v>0</v>
      </c>
      <c r="L41" s="517">
        <f t="shared" si="6"/>
        <v>0</v>
      </c>
      <c r="M41" s="513"/>
      <c r="N41" s="514">
        <f>'Detailed BTA'!N43+'Detailed BTA'!N86+'Detailed BTA'!N121+'Detailed BTA'!N155</f>
        <v>0</v>
      </c>
      <c r="O41" s="515">
        <f>'Detailed BTA'!O43+'Detailed BTA'!O86+'Detailed BTA'!O121+'Detailed BTA'!O155</f>
        <v>0</v>
      </c>
      <c r="P41" s="516">
        <f>'Detailed BTA'!P43+'Detailed BTA'!P86+'Detailed BTA'!P121+'Detailed BTA'!P155</f>
        <v>0</v>
      </c>
      <c r="Q41" s="516">
        <f>'Detailed BTA'!Q43+'Detailed BTA'!Q86+'Detailed BTA'!Q121+'Detailed BTA'!Q155</f>
        <v>0</v>
      </c>
      <c r="R41" s="516"/>
      <c r="S41" s="516">
        <f t="shared" si="7"/>
        <v>0</v>
      </c>
      <c r="T41" s="508">
        <f t="shared" si="8"/>
        <v>0</v>
      </c>
      <c r="U41" s="518"/>
      <c r="V41" s="148"/>
    </row>
    <row r="42" spans="2:22" hidden="1" outlineLevel="1" x14ac:dyDescent="0.35">
      <c r="B42" s="36" t="s">
        <v>25</v>
      </c>
      <c r="C42" s="514">
        <f>'Detailed BTA'!C44+'Detailed BTA'!C87+'Detailed BTA'!C122+'Detailed BTA'!C156</f>
        <v>0</v>
      </c>
      <c r="D42" s="514">
        <f>'Detailed BTA'!D44+'Detailed BTA'!D87+'Detailed BTA'!D122+'Detailed BTA'!D156</f>
        <v>0</v>
      </c>
      <c r="E42" s="514">
        <f>'Detailed BTA'!E44+'Detailed BTA'!E87+'Detailed BTA'!E122+'Detailed BTA'!E156</f>
        <v>0</v>
      </c>
      <c r="F42" s="514">
        <f>'Detailed BTA'!F44+'Detailed BTA'!F87+'Detailed BTA'!F122+'Detailed BTA'!F156</f>
        <v>0</v>
      </c>
      <c r="G42" s="515">
        <f>'Detailed BTA'!G44+'Detailed BTA'!G87+'Detailed BTA'!G122+'Detailed BTA'!G156</f>
        <v>0</v>
      </c>
      <c r="H42" s="516">
        <f>'Detailed BTA'!H44+'Detailed BTA'!H87+'Detailed BTA'!H122+'Detailed BTA'!H156</f>
        <v>0</v>
      </c>
      <c r="I42" s="516">
        <f>'Detailed BTA'!I44+'Detailed BTA'!I87+'Detailed BTA'!I122+'Detailed BTA'!I156</f>
        <v>0</v>
      </c>
      <c r="J42" s="179"/>
      <c r="K42" s="516">
        <f t="shared" si="5"/>
        <v>0</v>
      </c>
      <c r="L42" s="517">
        <f t="shared" si="6"/>
        <v>0</v>
      </c>
      <c r="M42" s="513"/>
      <c r="N42" s="514">
        <f>'Detailed BTA'!N44+'Detailed BTA'!N87+'Detailed BTA'!N122+'Detailed BTA'!N156</f>
        <v>0</v>
      </c>
      <c r="O42" s="515">
        <f>'Detailed BTA'!O44+'Detailed BTA'!O87+'Detailed BTA'!O122+'Detailed BTA'!O156</f>
        <v>0</v>
      </c>
      <c r="P42" s="516">
        <f>'Detailed BTA'!P44+'Detailed BTA'!P87+'Detailed BTA'!P122+'Detailed BTA'!P156</f>
        <v>0</v>
      </c>
      <c r="Q42" s="516">
        <f>'Detailed BTA'!Q44+'Detailed BTA'!Q87+'Detailed BTA'!Q122+'Detailed BTA'!Q156</f>
        <v>0</v>
      </c>
      <c r="R42" s="516"/>
      <c r="S42" s="516">
        <f t="shared" si="7"/>
        <v>0</v>
      </c>
      <c r="T42" s="508">
        <f t="shared" si="8"/>
        <v>0</v>
      </c>
      <c r="U42" s="518"/>
      <c r="V42" s="148"/>
    </row>
    <row r="43" spans="2:22" hidden="1" outlineLevel="1" x14ac:dyDescent="0.35">
      <c r="B43" s="36" t="s">
        <v>26</v>
      </c>
      <c r="C43" s="514">
        <f>'Detailed BTA'!C45+'Detailed BTA'!C88+'Detailed BTA'!C123+'Detailed BTA'!C157</f>
        <v>0</v>
      </c>
      <c r="D43" s="514">
        <f>'Detailed BTA'!D45+'Detailed BTA'!D88+'Detailed BTA'!D123+'Detailed BTA'!D157</f>
        <v>0</v>
      </c>
      <c r="E43" s="514">
        <f>'Detailed BTA'!E45+'Detailed BTA'!E88+'Detailed BTA'!E123+'Detailed BTA'!E157</f>
        <v>0</v>
      </c>
      <c r="F43" s="514">
        <f>'Detailed BTA'!F45+'Detailed BTA'!F88+'Detailed BTA'!F123+'Detailed BTA'!F157</f>
        <v>0</v>
      </c>
      <c r="G43" s="515">
        <f>'Detailed BTA'!G45+'Detailed BTA'!G88+'Detailed BTA'!G123+'Detailed BTA'!G157</f>
        <v>0</v>
      </c>
      <c r="H43" s="516">
        <f>'Detailed BTA'!H45+'Detailed BTA'!H88+'Detailed BTA'!H123+'Detailed BTA'!H157</f>
        <v>0</v>
      </c>
      <c r="I43" s="516">
        <f>'Detailed BTA'!I45+'Detailed BTA'!I88+'Detailed BTA'!I123+'Detailed BTA'!I157</f>
        <v>0</v>
      </c>
      <c r="J43" s="179"/>
      <c r="K43" s="516">
        <f t="shared" si="5"/>
        <v>0</v>
      </c>
      <c r="L43" s="517">
        <f t="shared" si="6"/>
        <v>0</v>
      </c>
      <c r="M43" s="513"/>
      <c r="N43" s="514">
        <f>'Detailed BTA'!N45+'Detailed BTA'!N88+'Detailed BTA'!N123+'Detailed BTA'!N157</f>
        <v>0</v>
      </c>
      <c r="O43" s="515">
        <f>'Detailed BTA'!O45+'Detailed BTA'!O88+'Detailed BTA'!O123+'Detailed BTA'!O157</f>
        <v>0</v>
      </c>
      <c r="P43" s="516">
        <f>'Detailed BTA'!P45+'Detailed BTA'!P88+'Detailed BTA'!P123+'Detailed BTA'!P157</f>
        <v>0</v>
      </c>
      <c r="Q43" s="516">
        <f>'Detailed BTA'!Q45+'Detailed BTA'!Q88+'Detailed BTA'!Q123+'Detailed BTA'!Q157</f>
        <v>0</v>
      </c>
      <c r="R43" s="516"/>
      <c r="S43" s="516">
        <f t="shared" si="7"/>
        <v>0</v>
      </c>
      <c r="T43" s="508">
        <f t="shared" si="8"/>
        <v>0</v>
      </c>
      <c r="U43" s="518"/>
      <c r="V43" s="148"/>
    </row>
    <row r="44" spans="2:22" hidden="1" outlineLevel="1" collapsed="1" x14ac:dyDescent="0.35">
      <c r="B44" s="363" t="s">
        <v>27</v>
      </c>
      <c r="C44" s="519">
        <f t="shared" ref="C44:I44" si="13">C45+C48</f>
        <v>0</v>
      </c>
      <c r="D44" s="519">
        <f t="shared" si="13"/>
        <v>0</v>
      </c>
      <c r="E44" s="519">
        <f t="shared" si="13"/>
        <v>0</v>
      </c>
      <c r="F44" s="519">
        <f t="shared" si="13"/>
        <v>0</v>
      </c>
      <c r="G44" s="520">
        <f t="shared" si="13"/>
        <v>0</v>
      </c>
      <c r="H44" s="438">
        <f t="shared" si="13"/>
        <v>0</v>
      </c>
      <c r="I44" s="438">
        <f t="shared" si="13"/>
        <v>0</v>
      </c>
      <c r="J44" s="178"/>
      <c r="K44" s="438">
        <f t="shared" si="5"/>
        <v>0</v>
      </c>
      <c r="L44" s="521">
        <f t="shared" si="6"/>
        <v>0</v>
      </c>
      <c r="M44" s="487"/>
      <c r="N44" s="519">
        <f t="shared" ref="N44:O44" si="14">N45+N48</f>
        <v>0</v>
      </c>
      <c r="O44" s="520">
        <f t="shared" si="14"/>
        <v>0</v>
      </c>
      <c r="P44" s="438">
        <f>P45+P48</f>
        <v>0</v>
      </c>
      <c r="Q44" s="438">
        <f>Q45+Q48</f>
        <v>0</v>
      </c>
      <c r="R44" s="438"/>
      <c r="S44" s="438">
        <f t="shared" si="7"/>
        <v>0</v>
      </c>
      <c r="T44" s="521">
        <f t="shared" si="8"/>
        <v>0</v>
      </c>
      <c r="U44" s="487"/>
      <c r="V44" s="148"/>
    </row>
    <row r="45" spans="2:22" hidden="1" outlineLevel="1" x14ac:dyDescent="0.35">
      <c r="B45" s="364" t="s">
        <v>28</v>
      </c>
      <c r="C45" s="522">
        <f t="shared" ref="C45:I45" si="15">SUM(C46:C47)</f>
        <v>0</v>
      </c>
      <c r="D45" s="522">
        <f t="shared" si="15"/>
        <v>0</v>
      </c>
      <c r="E45" s="522">
        <f t="shared" si="15"/>
        <v>0</v>
      </c>
      <c r="F45" s="522">
        <f t="shared" si="15"/>
        <v>0</v>
      </c>
      <c r="G45" s="523">
        <f t="shared" si="15"/>
        <v>0</v>
      </c>
      <c r="H45" s="524">
        <f t="shared" si="15"/>
        <v>0</v>
      </c>
      <c r="I45" s="524">
        <f t="shared" si="15"/>
        <v>0</v>
      </c>
      <c r="J45" s="179"/>
      <c r="K45" s="524">
        <f t="shared" si="5"/>
        <v>0</v>
      </c>
      <c r="L45" s="521">
        <f t="shared" si="6"/>
        <v>0</v>
      </c>
      <c r="M45" s="525"/>
      <c r="N45" s="522">
        <f t="shared" ref="N45:O45" si="16">SUM(N46:N47)</f>
        <v>0</v>
      </c>
      <c r="O45" s="523">
        <f t="shared" si="16"/>
        <v>0</v>
      </c>
      <c r="P45" s="524">
        <f>SUM(P46:P47)</f>
        <v>0</v>
      </c>
      <c r="Q45" s="524">
        <f>SUM(Q46:Q47)</f>
        <v>0</v>
      </c>
      <c r="R45" s="524"/>
      <c r="S45" s="524">
        <f t="shared" si="7"/>
        <v>0</v>
      </c>
      <c r="T45" s="521">
        <f t="shared" si="8"/>
        <v>0</v>
      </c>
      <c r="U45" s="525"/>
      <c r="V45" s="148"/>
    </row>
    <row r="46" spans="2:22" hidden="1" outlineLevel="1" x14ac:dyDescent="0.35">
      <c r="B46" s="41" t="s">
        <v>29</v>
      </c>
      <c r="C46" s="526">
        <f>'Detailed BTA'!C48+'Detailed BTA'!C91+'Detailed BTA'!C126+'Detailed BTA'!C160</f>
        <v>0</v>
      </c>
      <c r="D46" s="526">
        <f>'Detailed BTA'!D48+'Detailed BTA'!D91+'Detailed BTA'!D126+'Detailed BTA'!D160</f>
        <v>0</v>
      </c>
      <c r="E46" s="526">
        <f>'Detailed BTA'!E48+'Detailed BTA'!E91+'Detailed BTA'!E126+'Detailed BTA'!E160</f>
        <v>0</v>
      </c>
      <c r="F46" s="526">
        <f>'Detailed BTA'!F48+'Detailed BTA'!F91+'Detailed BTA'!F126+'Detailed BTA'!F160</f>
        <v>0</v>
      </c>
      <c r="G46" s="527">
        <f>'Detailed BTA'!G48+'Detailed BTA'!G91+'Detailed BTA'!G126+'Detailed BTA'!G160</f>
        <v>0</v>
      </c>
      <c r="H46" s="528">
        <f>'Detailed BTA'!H48+'Detailed BTA'!H91+'Detailed BTA'!H126+'Detailed BTA'!H160</f>
        <v>0</v>
      </c>
      <c r="I46" s="528">
        <f>'Detailed BTA'!I48+'Detailed BTA'!I91+'Detailed BTA'!I126+'Detailed BTA'!I160</f>
        <v>0</v>
      </c>
      <c r="J46" s="179"/>
      <c r="K46" s="528">
        <f t="shared" si="5"/>
        <v>0</v>
      </c>
      <c r="L46" s="529">
        <f t="shared" si="6"/>
        <v>0</v>
      </c>
      <c r="M46" s="525"/>
      <c r="N46" s="526">
        <f>'Detailed BTA'!N48+'Detailed BTA'!N91+'Detailed BTA'!N126+'Detailed BTA'!N160</f>
        <v>0</v>
      </c>
      <c r="O46" s="527">
        <f>'Detailed BTA'!O48+'Detailed BTA'!O91+'Detailed BTA'!O126+'Detailed BTA'!O160</f>
        <v>0</v>
      </c>
      <c r="P46" s="528">
        <f>'Detailed BTA'!P48+'Detailed BTA'!P91+'Detailed BTA'!P126+'Detailed BTA'!P160</f>
        <v>0</v>
      </c>
      <c r="Q46" s="528">
        <f>'Detailed BTA'!Q48+'Detailed BTA'!Q91+'Detailed BTA'!Q126+'Detailed BTA'!Q160</f>
        <v>0</v>
      </c>
      <c r="R46" s="528"/>
      <c r="S46" s="528">
        <f t="shared" si="7"/>
        <v>0</v>
      </c>
      <c r="T46" s="521">
        <f t="shared" si="8"/>
        <v>0</v>
      </c>
      <c r="U46" s="530"/>
      <c r="V46" s="148"/>
    </row>
    <row r="47" spans="2:22" hidden="1" outlineLevel="1" x14ac:dyDescent="0.35">
      <c r="B47" s="41" t="s">
        <v>30</v>
      </c>
      <c r="C47" s="526">
        <f>'Detailed BTA'!C49+'Detailed BTA'!C92+'Detailed BTA'!C127+'Detailed BTA'!C161</f>
        <v>0</v>
      </c>
      <c r="D47" s="526">
        <f>'Detailed BTA'!D49+'Detailed BTA'!D92+'Detailed BTA'!D127+'Detailed BTA'!D161</f>
        <v>0</v>
      </c>
      <c r="E47" s="526">
        <f>'Detailed BTA'!E49+'Detailed BTA'!E92+'Detailed BTA'!E127+'Detailed BTA'!E161</f>
        <v>0</v>
      </c>
      <c r="F47" s="526">
        <f>'Detailed BTA'!F49+'Detailed BTA'!F92+'Detailed BTA'!F127+'Detailed BTA'!F161</f>
        <v>0</v>
      </c>
      <c r="G47" s="527">
        <f>'Detailed BTA'!G49+'Detailed BTA'!G92+'Detailed BTA'!G127+'Detailed BTA'!G161</f>
        <v>0</v>
      </c>
      <c r="H47" s="528">
        <f>'Detailed BTA'!H49+'Detailed BTA'!H92+'Detailed BTA'!H127+'Detailed BTA'!H161</f>
        <v>0</v>
      </c>
      <c r="I47" s="528">
        <f>'Detailed BTA'!I49+'Detailed BTA'!I92+'Detailed BTA'!I127+'Detailed BTA'!I161</f>
        <v>0</v>
      </c>
      <c r="J47" s="179"/>
      <c r="K47" s="528">
        <f t="shared" si="5"/>
        <v>0</v>
      </c>
      <c r="L47" s="529">
        <f t="shared" si="6"/>
        <v>0</v>
      </c>
      <c r="M47" s="525"/>
      <c r="N47" s="526">
        <f>'Detailed BTA'!N49+'Detailed BTA'!N92+'Detailed BTA'!N127+'Detailed BTA'!N161</f>
        <v>0</v>
      </c>
      <c r="O47" s="527">
        <f>'Detailed BTA'!O49+'Detailed BTA'!O92+'Detailed BTA'!O127+'Detailed BTA'!O161</f>
        <v>0</v>
      </c>
      <c r="P47" s="528">
        <f>'Detailed BTA'!P49+'Detailed BTA'!P92+'Detailed BTA'!P127+'Detailed BTA'!P161</f>
        <v>0</v>
      </c>
      <c r="Q47" s="528">
        <f>'Detailed BTA'!Q49+'Detailed BTA'!Q92+'Detailed BTA'!Q127+'Detailed BTA'!Q161</f>
        <v>0</v>
      </c>
      <c r="R47" s="528"/>
      <c r="S47" s="528">
        <f t="shared" si="7"/>
        <v>0</v>
      </c>
      <c r="T47" s="521">
        <f t="shared" si="8"/>
        <v>0</v>
      </c>
      <c r="U47" s="530"/>
      <c r="V47" s="148"/>
    </row>
    <row r="48" spans="2:22" hidden="1" outlineLevel="1" x14ac:dyDescent="0.35">
      <c r="B48" s="364" t="s">
        <v>31</v>
      </c>
      <c r="C48" s="522">
        <f t="shared" ref="C48:I48" si="17">SUM(C49:C53)</f>
        <v>0</v>
      </c>
      <c r="D48" s="522">
        <f t="shared" si="17"/>
        <v>0</v>
      </c>
      <c r="E48" s="522">
        <f t="shared" si="17"/>
        <v>0</v>
      </c>
      <c r="F48" s="522">
        <f t="shared" si="17"/>
        <v>0</v>
      </c>
      <c r="G48" s="523">
        <f t="shared" si="17"/>
        <v>0</v>
      </c>
      <c r="H48" s="524">
        <f t="shared" si="17"/>
        <v>0</v>
      </c>
      <c r="I48" s="524">
        <f t="shared" si="17"/>
        <v>0</v>
      </c>
      <c r="J48" s="179"/>
      <c r="K48" s="524">
        <f t="shared" si="5"/>
        <v>0</v>
      </c>
      <c r="L48" s="521">
        <f t="shared" si="6"/>
        <v>0</v>
      </c>
      <c r="M48" s="525"/>
      <c r="N48" s="522">
        <f t="shared" ref="N48:O48" si="18">SUM(N49:N53)</f>
        <v>0</v>
      </c>
      <c r="O48" s="523">
        <f t="shared" si="18"/>
        <v>0</v>
      </c>
      <c r="P48" s="524">
        <f>SUM(P49:P53)</f>
        <v>0</v>
      </c>
      <c r="Q48" s="524">
        <f>SUM(Q49:Q53)</f>
        <v>0</v>
      </c>
      <c r="R48" s="524"/>
      <c r="S48" s="524">
        <f t="shared" si="7"/>
        <v>0</v>
      </c>
      <c r="T48" s="521">
        <f t="shared" si="8"/>
        <v>0</v>
      </c>
      <c r="U48" s="525"/>
      <c r="V48" s="148"/>
    </row>
    <row r="49" spans="2:22" hidden="1" outlineLevel="1" x14ac:dyDescent="0.35">
      <c r="B49" s="80" t="s">
        <v>32</v>
      </c>
      <c r="C49" s="526">
        <f>'Detailed BTA'!C51+'Detailed BTA'!C94+'Detailed BTA'!C129+'Detailed BTA'!C163</f>
        <v>0</v>
      </c>
      <c r="D49" s="526">
        <f>'Detailed BTA'!D51+'Detailed BTA'!D94+'Detailed BTA'!D129+'Detailed BTA'!D163</f>
        <v>0</v>
      </c>
      <c r="E49" s="526">
        <f>'Detailed BTA'!E51+'Detailed BTA'!E94+'Detailed BTA'!E129+'Detailed BTA'!E163</f>
        <v>0</v>
      </c>
      <c r="F49" s="526">
        <f>'Detailed BTA'!F51+'Detailed BTA'!F94+'Detailed BTA'!F129+'Detailed BTA'!F163</f>
        <v>0</v>
      </c>
      <c r="G49" s="527">
        <f>'Detailed BTA'!G51+'Detailed BTA'!G94+'Detailed BTA'!G129+'Detailed BTA'!G163</f>
        <v>0</v>
      </c>
      <c r="H49" s="528">
        <f>'Detailed BTA'!H51+'Detailed BTA'!H94+'Detailed BTA'!H129+'Detailed BTA'!H163</f>
        <v>0</v>
      </c>
      <c r="I49" s="528">
        <f>'Detailed BTA'!I51+'Detailed BTA'!I94+'Detailed BTA'!I129+'Detailed BTA'!I163</f>
        <v>0</v>
      </c>
      <c r="J49" s="179"/>
      <c r="K49" s="528">
        <f t="shared" si="5"/>
        <v>0</v>
      </c>
      <c r="L49" s="529">
        <f t="shared" si="6"/>
        <v>0</v>
      </c>
      <c r="M49" s="525"/>
      <c r="N49" s="526">
        <f>'Detailed BTA'!N51+'Detailed BTA'!N94+'Detailed BTA'!N129+'Detailed BTA'!N163</f>
        <v>0</v>
      </c>
      <c r="O49" s="527">
        <f>'Detailed BTA'!O51+'Detailed BTA'!O94+'Detailed BTA'!O129+'Detailed BTA'!O163</f>
        <v>0</v>
      </c>
      <c r="P49" s="528">
        <f>'Detailed BTA'!P51+'Detailed BTA'!P94+'Detailed BTA'!P129+'Detailed BTA'!P163</f>
        <v>0</v>
      </c>
      <c r="Q49" s="528">
        <f>'Detailed BTA'!Q51+'Detailed BTA'!Q94+'Detailed BTA'!Q129+'Detailed BTA'!Q163</f>
        <v>0</v>
      </c>
      <c r="R49" s="528"/>
      <c r="S49" s="528">
        <f t="shared" si="7"/>
        <v>0</v>
      </c>
      <c r="T49" s="521">
        <f t="shared" si="8"/>
        <v>0</v>
      </c>
      <c r="U49" s="530"/>
      <c r="V49" s="148"/>
    </row>
    <row r="50" spans="2:22" hidden="1" outlineLevel="1" x14ac:dyDescent="0.35">
      <c r="B50" s="80" t="s">
        <v>33</v>
      </c>
      <c r="C50" s="526">
        <f>'Detailed BTA'!C52+'Detailed BTA'!C95+'Detailed BTA'!C130+'Detailed BTA'!C164</f>
        <v>0</v>
      </c>
      <c r="D50" s="526">
        <f>'Detailed BTA'!D52+'Detailed BTA'!D95+'Detailed BTA'!D130+'Detailed BTA'!D164</f>
        <v>0</v>
      </c>
      <c r="E50" s="526">
        <f>'Detailed BTA'!E52+'Detailed BTA'!E95+'Detailed BTA'!E130+'Detailed BTA'!E164</f>
        <v>0</v>
      </c>
      <c r="F50" s="526">
        <f>'Detailed BTA'!F52+'Detailed BTA'!F95+'Detailed BTA'!F130+'Detailed BTA'!F164</f>
        <v>0</v>
      </c>
      <c r="G50" s="527">
        <f>'Detailed BTA'!G52+'Detailed BTA'!G95+'Detailed BTA'!G130+'Detailed BTA'!G164</f>
        <v>0</v>
      </c>
      <c r="H50" s="528">
        <f>'Detailed BTA'!H52+'Detailed BTA'!H95+'Detailed BTA'!H130+'Detailed BTA'!H164</f>
        <v>0</v>
      </c>
      <c r="I50" s="528">
        <f>'Detailed BTA'!I52+'Detailed BTA'!I95+'Detailed BTA'!I130+'Detailed BTA'!I164</f>
        <v>0</v>
      </c>
      <c r="J50" s="179"/>
      <c r="K50" s="528">
        <f t="shared" si="5"/>
        <v>0</v>
      </c>
      <c r="L50" s="529">
        <f t="shared" si="6"/>
        <v>0</v>
      </c>
      <c r="M50" s="525"/>
      <c r="N50" s="526">
        <f>'Detailed BTA'!N52+'Detailed BTA'!N95+'Detailed BTA'!N130+'Detailed BTA'!N164</f>
        <v>0</v>
      </c>
      <c r="O50" s="527">
        <f>'Detailed BTA'!O52+'Detailed BTA'!O95+'Detailed BTA'!O130+'Detailed BTA'!O164</f>
        <v>0</v>
      </c>
      <c r="P50" s="528">
        <f>'Detailed BTA'!P52+'Detailed BTA'!P95+'Detailed BTA'!P130+'Detailed BTA'!P164</f>
        <v>0</v>
      </c>
      <c r="Q50" s="528">
        <f>'Detailed BTA'!Q52+'Detailed BTA'!Q95+'Detailed BTA'!Q130+'Detailed BTA'!Q164</f>
        <v>0</v>
      </c>
      <c r="R50" s="528"/>
      <c r="S50" s="528">
        <f t="shared" si="7"/>
        <v>0</v>
      </c>
      <c r="T50" s="521">
        <f t="shared" si="8"/>
        <v>0</v>
      </c>
      <c r="U50" s="530"/>
      <c r="V50" s="148"/>
    </row>
    <row r="51" spans="2:22" hidden="1" outlineLevel="1" x14ac:dyDescent="0.35">
      <c r="B51" s="80" t="s">
        <v>34</v>
      </c>
      <c r="C51" s="526">
        <f>'Detailed BTA'!C53+'Detailed BTA'!C96+'Detailed BTA'!C131+'Detailed BTA'!C165</f>
        <v>0</v>
      </c>
      <c r="D51" s="526">
        <f>'Detailed BTA'!D53+'Detailed BTA'!D96+'Detailed BTA'!D131+'Detailed BTA'!D165</f>
        <v>0</v>
      </c>
      <c r="E51" s="526">
        <f>'Detailed BTA'!E53+'Detailed BTA'!E96+'Detailed BTA'!E131+'Detailed BTA'!E165</f>
        <v>0</v>
      </c>
      <c r="F51" s="526">
        <f>'Detailed BTA'!F53+'Detailed BTA'!F96+'Detailed BTA'!F131+'Detailed BTA'!F165</f>
        <v>0</v>
      </c>
      <c r="G51" s="527">
        <f>'Detailed BTA'!G53+'Detailed BTA'!G96+'Detailed BTA'!G131+'Detailed BTA'!G165</f>
        <v>0</v>
      </c>
      <c r="H51" s="528">
        <f>'Detailed BTA'!H53+'Detailed BTA'!H96+'Detailed BTA'!H131+'Detailed BTA'!H165</f>
        <v>0</v>
      </c>
      <c r="I51" s="528">
        <f>'Detailed BTA'!I53+'Detailed BTA'!I96+'Detailed BTA'!I131+'Detailed BTA'!I165</f>
        <v>0</v>
      </c>
      <c r="J51" s="179"/>
      <c r="K51" s="528">
        <f t="shared" si="5"/>
        <v>0</v>
      </c>
      <c r="L51" s="529">
        <f t="shared" si="6"/>
        <v>0</v>
      </c>
      <c r="M51" s="525"/>
      <c r="N51" s="526">
        <f>'Detailed BTA'!N53+'Detailed BTA'!N96+'Detailed BTA'!N131+'Detailed BTA'!N165</f>
        <v>0</v>
      </c>
      <c r="O51" s="527">
        <f>'Detailed BTA'!O53+'Detailed BTA'!O96+'Detailed BTA'!O131+'Detailed BTA'!O165</f>
        <v>0</v>
      </c>
      <c r="P51" s="528">
        <f>'Detailed BTA'!P53+'Detailed BTA'!P96+'Detailed BTA'!P131+'Detailed BTA'!P165</f>
        <v>0</v>
      </c>
      <c r="Q51" s="528">
        <f>'Detailed BTA'!Q53+'Detailed BTA'!Q96+'Detailed BTA'!Q131+'Detailed BTA'!Q165</f>
        <v>0</v>
      </c>
      <c r="R51" s="528"/>
      <c r="S51" s="528">
        <f t="shared" si="7"/>
        <v>0</v>
      </c>
      <c r="T51" s="521">
        <f t="shared" si="8"/>
        <v>0</v>
      </c>
      <c r="U51" s="530"/>
      <c r="V51" s="148"/>
    </row>
    <row r="52" spans="2:22" hidden="1" outlineLevel="1" x14ac:dyDescent="0.35">
      <c r="B52" s="80" t="s">
        <v>35</v>
      </c>
      <c r="C52" s="526">
        <f>'Detailed BTA'!C54+'Detailed BTA'!C97+'Detailed BTA'!C132+'Detailed BTA'!C166</f>
        <v>0</v>
      </c>
      <c r="D52" s="526">
        <f>'Detailed BTA'!D54+'Detailed BTA'!D97+'Detailed BTA'!D132+'Detailed BTA'!D166</f>
        <v>0</v>
      </c>
      <c r="E52" s="526">
        <f>'Detailed BTA'!E54+'Detailed BTA'!E97+'Detailed BTA'!E132+'Detailed BTA'!E166</f>
        <v>0</v>
      </c>
      <c r="F52" s="526">
        <f>'Detailed BTA'!F54+'Detailed BTA'!F97+'Detailed BTA'!F132+'Detailed BTA'!F166</f>
        <v>0</v>
      </c>
      <c r="G52" s="527">
        <f>'Detailed BTA'!G54+'Detailed BTA'!G97+'Detailed BTA'!G132+'Detailed BTA'!G166</f>
        <v>0</v>
      </c>
      <c r="H52" s="528">
        <f>'Detailed BTA'!H54+'Detailed BTA'!H97+'Detailed BTA'!H132+'Detailed BTA'!H166</f>
        <v>0</v>
      </c>
      <c r="I52" s="528">
        <f>'Detailed BTA'!I54+'Detailed BTA'!I97+'Detailed BTA'!I132+'Detailed BTA'!I166</f>
        <v>0</v>
      </c>
      <c r="J52" s="179"/>
      <c r="K52" s="528">
        <f t="shared" si="5"/>
        <v>0</v>
      </c>
      <c r="L52" s="529">
        <f t="shared" si="6"/>
        <v>0</v>
      </c>
      <c r="M52" s="525"/>
      <c r="N52" s="526">
        <f>'Detailed BTA'!N54+'Detailed BTA'!N97+'Detailed BTA'!N132+'Detailed BTA'!N166</f>
        <v>0</v>
      </c>
      <c r="O52" s="527">
        <f>'Detailed BTA'!O54+'Detailed BTA'!O97+'Detailed BTA'!O132+'Detailed BTA'!O166</f>
        <v>0</v>
      </c>
      <c r="P52" s="528">
        <f>'Detailed BTA'!P54+'Detailed BTA'!P97+'Detailed BTA'!P132+'Detailed BTA'!P166</f>
        <v>0</v>
      </c>
      <c r="Q52" s="528">
        <f>'Detailed BTA'!Q54+'Detailed BTA'!Q97+'Detailed BTA'!Q132+'Detailed BTA'!Q166</f>
        <v>0</v>
      </c>
      <c r="R52" s="528"/>
      <c r="S52" s="528">
        <f t="shared" si="7"/>
        <v>0</v>
      </c>
      <c r="T52" s="521">
        <f t="shared" si="8"/>
        <v>0</v>
      </c>
      <c r="U52" s="530"/>
      <c r="V52" s="148"/>
    </row>
    <row r="53" spans="2:22" hidden="1" outlineLevel="1" x14ac:dyDescent="0.35">
      <c r="B53" s="80" t="s">
        <v>36</v>
      </c>
      <c r="C53" s="526">
        <f>'Detailed BTA'!C55+'Detailed BTA'!C98+'Detailed BTA'!C133+'Detailed BTA'!C167</f>
        <v>0</v>
      </c>
      <c r="D53" s="526">
        <f>'Detailed BTA'!D55+'Detailed BTA'!D98+'Detailed BTA'!D133+'Detailed BTA'!D167</f>
        <v>0</v>
      </c>
      <c r="E53" s="526">
        <f>'Detailed BTA'!E55+'Detailed BTA'!E98+'Detailed BTA'!E133+'Detailed BTA'!E167</f>
        <v>0</v>
      </c>
      <c r="F53" s="526">
        <f>'Detailed BTA'!F55+'Detailed BTA'!F98+'Detailed BTA'!F133+'Detailed BTA'!F167</f>
        <v>0</v>
      </c>
      <c r="G53" s="527">
        <f>'Detailed BTA'!G55+'Detailed BTA'!G98+'Detailed BTA'!G133+'Detailed BTA'!G167</f>
        <v>0</v>
      </c>
      <c r="H53" s="528">
        <f>'Detailed BTA'!H55+'Detailed BTA'!H98+'Detailed BTA'!H133+'Detailed BTA'!H167</f>
        <v>0</v>
      </c>
      <c r="I53" s="528">
        <f>'Detailed BTA'!I55+'Detailed BTA'!I98+'Detailed BTA'!I133+'Detailed BTA'!I167</f>
        <v>0</v>
      </c>
      <c r="J53" s="179"/>
      <c r="K53" s="528">
        <f t="shared" si="5"/>
        <v>0</v>
      </c>
      <c r="L53" s="529">
        <f t="shared" si="6"/>
        <v>0</v>
      </c>
      <c r="M53" s="525"/>
      <c r="N53" s="526">
        <f>'Detailed BTA'!N55+'Detailed BTA'!N98+'Detailed BTA'!N133+'Detailed BTA'!N167</f>
        <v>0</v>
      </c>
      <c r="O53" s="527">
        <f>'Detailed BTA'!O55+'Detailed BTA'!O98+'Detailed BTA'!O133+'Detailed BTA'!O167</f>
        <v>0</v>
      </c>
      <c r="P53" s="528">
        <f>'Detailed BTA'!P55+'Detailed BTA'!P98+'Detailed BTA'!P133+'Detailed BTA'!P167</f>
        <v>0</v>
      </c>
      <c r="Q53" s="528">
        <f>'Detailed BTA'!Q55+'Detailed BTA'!Q98+'Detailed BTA'!Q133+'Detailed BTA'!Q167</f>
        <v>0</v>
      </c>
      <c r="R53" s="528"/>
      <c r="S53" s="528">
        <f t="shared" si="7"/>
        <v>0</v>
      </c>
      <c r="T53" s="521">
        <f t="shared" si="8"/>
        <v>0</v>
      </c>
      <c r="U53" s="530"/>
      <c r="V53" s="148"/>
    </row>
    <row r="54" spans="2:22" collapsed="1" x14ac:dyDescent="0.35">
      <c r="B54" s="32" t="s">
        <v>37</v>
      </c>
      <c r="C54" s="45">
        <f t="shared" ref="C54:I54" si="19">SUM(C55:C59)</f>
        <v>0</v>
      </c>
      <c r="D54" s="45">
        <f t="shared" si="19"/>
        <v>0</v>
      </c>
      <c r="E54" s="45">
        <f t="shared" si="19"/>
        <v>0</v>
      </c>
      <c r="F54" s="45">
        <f t="shared" si="19"/>
        <v>0</v>
      </c>
      <c r="G54" s="176">
        <f t="shared" si="19"/>
        <v>0</v>
      </c>
      <c r="H54" s="138">
        <f t="shared" si="19"/>
        <v>0</v>
      </c>
      <c r="I54" s="138">
        <f t="shared" si="19"/>
        <v>0</v>
      </c>
      <c r="J54" s="178"/>
      <c r="K54" s="138">
        <f t="shared" si="5"/>
        <v>0</v>
      </c>
      <c r="L54" s="175">
        <f t="shared" si="6"/>
        <v>0</v>
      </c>
      <c r="M54" s="174"/>
      <c r="N54" s="45">
        <f t="shared" ref="N54:O54" si="20">SUM(N55:N59)</f>
        <v>0</v>
      </c>
      <c r="O54" s="176">
        <f t="shared" si="20"/>
        <v>0</v>
      </c>
      <c r="P54" s="138">
        <f>SUM(P55:P59)</f>
        <v>0</v>
      </c>
      <c r="Q54" s="138">
        <f>SUM(Q55:Q59)</f>
        <v>0</v>
      </c>
      <c r="R54" s="138"/>
      <c r="S54" s="138">
        <f t="shared" si="7"/>
        <v>0</v>
      </c>
      <c r="T54" s="175">
        <f t="shared" si="8"/>
        <v>0</v>
      </c>
      <c r="U54" s="174"/>
      <c r="V54" s="148"/>
    </row>
    <row r="55" spans="2:22" hidden="1" outlineLevel="1" x14ac:dyDescent="0.35">
      <c r="B55" s="46" t="s">
        <v>38</v>
      </c>
      <c r="C55" s="531">
        <f>'Detailed BTA'!C57</f>
        <v>0</v>
      </c>
      <c r="D55" s="531">
        <f>'Detailed BTA'!D57</f>
        <v>0</v>
      </c>
      <c r="E55" s="531">
        <f>'Detailed BTA'!E57</f>
        <v>0</v>
      </c>
      <c r="F55" s="531">
        <f>'Detailed BTA'!F57</f>
        <v>0</v>
      </c>
      <c r="G55" s="532">
        <f>'Detailed BTA'!G57</f>
        <v>0</v>
      </c>
      <c r="H55" s="492">
        <f>'Detailed BTA'!H57</f>
        <v>0</v>
      </c>
      <c r="I55" s="492">
        <f>'Detailed BTA'!I57</f>
        <v>0</v>
      </c>
      <c r="J55" s="178"/>
      <c r="K55" s="492">
        <f t="shared" si="5"/>
        <v>0</v>
      </c>
      <c r="L55" s="177">
        <f t="shared" si="6"/>
        <v>0</v>
      </c>
      <c r="M55" s="174"/>
      <c r="N55" s="531">
        <f>'Detailed BTA'!N57</f>
        <v>0</v>
      </c>
      <c r="O55" s="532">
        <f>'Detailed BTA'!O57</f>
        <v>0</v>
      </c>
      <c r="P55" s="492">
        <f>'Detailed BTA'!P57</f>
        <v>0</v>
      </c>
      <c r="Q55" s="492">
        <f>'Detailed BTA'!Q57</f>
        <v>0</v>
      </c>
      <c r="R55" s="492"/>
      <c r="S55" s="492">
        <f t="shared" si="7"/>
        <v>0</v>
      </c>
      <c r="T55" s="175">
        <f t="shared" si="8"/>
        <v>0</v>
      </c>
      <c r="U55" s="494"/>
      <c r="V55" s="148"/>
    </row>
    <row r="56" spans="2:22" hidden="1" outlineLevel="1" x14ac:dyDescent="0.35">
      <c r="B56" s="46" t="s">
        <v>39</v>
      </c>
      <c r="C56" s="531">
        <f>'Detailed BTA'!C58</f>
        <v>0</v>
      </c>
      <c r="D56" s="531">
        <f>'Detailed BTA'!D58</f>
        <v>0</v>
      </c>
      <c r="E56" s="531">
        <f>'Detailed BTA'!E58</f>
        <v>0</v>
      </c>
      <c r="F56" s="531">
        <f>'Detailed BTA'!F58</f>
        <v>0</v>
      </c>
      <c r="G56" s="532">
        <f>'Detailed BTA'!G58</f>
        <v>0</v>
      </c>
      <c r="H56" s="492">
        <f>'Detailed BTA'!H58</f>
        <v>0</v>
      </c>
      <c r="I56" s="492">
        <f>'Detailed BTA'!I58</f>
        <v>0</v>
      </c>
      <c r="J56" s="178"/>
      <c r="K56" s="492">
        <f t="shared" si="5"/>
        <v>0</v>
      </c>
      <c r="L56" s="177">
        <f t="shared" si="6"/>
        <v>0</v>
      </c>
      <c r="M56" s="174"/>
      <c r="N56" s="531">
        <f>'Detailed BTA'!N58</f>
        <v>0</v>
      </c>
      <c r="O56" s="532">
        <f>'Detailed BTA'!O58</f>
        <v>0</v>
      </c>
      <c r="P56" s="492">
        <f>'Detailed BTA'!P58</f>
        <v>0</v>
      </c>
      <c r="Q56" s="492">
        <f>'Detailed BTA'!Q58</f>
        <v>0</v>
      </c>
      <c r="R56" s="492"/>
      <c r="S56" s="492">
        <f t="shared" si="7"/>
        <v>0</v>
      </c>
      <c r="T56" s="175">
        <f t="shared" si="8"/>
        <v>0</v>
      </c>
      <c r="U56" s="494"/>
      <c r="V56" s="148"/>
    </row>
    <row r="57" spans="2:22" hidden="1" outlineLevel="1" x14ac:dyDescent="0.35">
      <c r="B57" s="46" t="s">
        <v>40</v>
      </c>
      <c r="C57" s="531">
        <f>'Detailed BTA'!C59</f>
        <v>0</v>
      </c>
      <c r="D57" s="531">
        <f>'Detailed BTA'!D59</f>
        <v>0</v>
      </c>
      <c r="E57" s="531">
        <f>'Detailed BTA'!E59</f>
        <v>0</v>
      </c>
      <c r="F57" s="531">
        <f>'Detailed BTA'!F59</f>
        <v>0</v>
      </c>
      <c r="G57" s="532">
        <f>'Detailed BTA'!G59</f>
        <v>0</v>
      </c>
      <c r="H57" s="492">
        <f>'Detailed BTA'!H59</f>
        <v>0</v>
      </c>
      <c r="I57" s="492">
        <f>'Detailed BTA'!I59</f>
        <v>0</v>
      </c>
      <c r="J57" s="178"/>
      <c r="K57" s="492">
        <f t="shared" si="5"/>
        <v>0</v>
      </c>
      <c r="L57" s="177">
        <f t="shared" si="6"/>
        <v>0</v>
      </c>
      <c r="M57" s="174"/>
      <c r="N57" s="531">
        <f>'Detailed BTA'!N59</f>
        <v>0</v>
      </c>
      <c r="O57" s="532">
        <f>'Detailed BTA'!O59</f>
        <v>0</v>
      </c>
      <c r="P57" s="492">
        <f>'Detailed BTA'!P59</f>
        <v>0</v>
      </c>
      <c r="Q57" s="492">
        <f>'Detailed BTA'!Q59</f>
        <v>0</v>
      </c>
      <c r="R57" s="492"/>
      <c r="S57" s="492">
        <f t="shared" si="7"/>
        <v>0</v>
      </c>
      <c r="T57" s="175">
        <f t="shared" si="8"/>
        <v>0</v>
      </c>
      <c r="U57" s="494"/>
      <c r="V57" s="148"/>
    </row>
    <row r="58" spans="2:22" hidden="1" outlineLevel="1" x14ac:dyDescent="0.35">
      <c r="B58" s="46" t="s">
        <v>41</v>
      </c>
      <c r="C58" s="531">
        <f>'Detailed BTA'!C60</f>
        <v>0</v>
      </c>
      <c r="D58" s="531">
        <f>'Detailed BTA'!D60</f>
        <v>0</v>
      </c>
      <c r="E58" s="531">
        <f>'Detailed BTA'!E60</f>
        <v>0</v>
      </c>
      <c r="F58" s="531">
        <f>'Detailed BTA'!F60</f>
        <v>0</v>
      </c>
      <c r="G58" s="532">
        <f>'Detailed BTA'!G60</f>
        <v>0</v>
      </c>
      <c r="H58" s="492">
        <f>'Detailed BTA'!H60</f>
        <v>0</v>
      </c>
      <c r="I58" s="492">
        <f>'Detailed BTA'!I60</f>
        <v>0</v>
      </c>
      <c r="J58" s="178"/>
      <c r="K58" s="492">
        <f t="shared" si="5"/>
        <v>0</v>
      </c>
      <c r="L58" s="177">
        <f t="shared" si="6"/>
        <v>0</v>
      </c>
      <c r="M58" s="174"/>
      <c r="N58" s="531">
        <f>'Detailed BTA'!N60</f>
        <v>0</v>
      </c>
      <c r="O58" s="532">
        <f>'Detailed BTA'!O60</f>
        <v>0</v>
      </c>
      <c r="P58" s="492">
        <f>'Detailed BTA'!P60</f>
        <v>0</v>
      </c>
      <c r="Q58" s="492">
        <f>'Detailed BTA'!Q60</f>
        <v>0</v>
      </c>
      <c r="R58" s="492"/>
      <c r="S58" s="492">
        <f t="shared" si="7"/>
        <v>0</v>
      </c>
      <c r="T58" s="175">
        <f t="shared" si="8"/>
        <v>0</v>
      </c>
      <c r="U58" s="494"/>
      <c r="V58" s="148"/>
    </row>
    <row r="59" spans="2:22" hidden="1" outlineLevel="1" x14ac:dyDescent="0.35">
      <c r="B59" s="46" t="s">
        <v>42</v>
      </c>
      <c r="C59" s="531">
        <f>'Detailed BTA'!C61</f>
        <v>0</v>
      </c>
      <c r="D59" s="531">
        <f>'Detailed BTA'!D61</f>
        <v>0</v>
      </c>
      <c r="E59" s="531">
        <f>'Detailed BTA'!E61</f>
        <v>0</v>
      </c>
      <c r="F59" s="531">
        <f>'Detailed BTA'!F61</f>
        <v>0</v>
      </c>
      <c r="G59" s="532">
        <f>'Detailed BTA'!G61</f>
        <v>0</v>
      </c>
      <c r="H59" s="492">
        <f>'Detailed BTA'!H61</f>
        <v>0</v>
      </c>
      <c r="I59" s="492">
        <f>'Detailed BTA'!I61</f>
        <v>0</v>
      </c>
      <c r="J59" s="178"/>
      <c r="K59" s="492">
        <f t="shared" si="5"/>
        <v>0</v>
      </c>
      <c r="L59" s="177">
        <f t="shared" si="6"/>
        <v>0</v>
      </c>
      <c r="M59" s="174"/>
      <c r="N59" s="531">
        <f>'Detailed BTA'!N61</f>
        <v>0</v>
      </c>
      <c r="O59" s="532">
        <f>'Detailed BTA'!O61</f>
        <v>0</v>
      </c>
      <c r="P59" s="492">
        <f>'Detailed BTA'!P61</f>
        <v>0</v>
      </c>
      <c r="Q59" s="492">
        <f>'Detailed BTA'!Q61</f>
        <v>0</v>
      </c>
      <c r="R59" s="492"/>
      <c r="S59" s="492">
        <f t="shared" si="7"/>
        <v>0</v>
      </c>
      <c r="T59" s="175">
        <f t="shared" si="8"/>
        <v>0</v>
      </c>
      <c r="U59" s="494"/>
      <c r="V59" s="148"/>
    </row>
    <row r="60" spans="2:22" collapsed="1" x14ac:dyDescent="0.35">
      <c r="B60" s="32" t="s">
        <v>43</v>
      </c>
      <c r="C60" s="45">
        <f>'Detailed BTA'!C62</f>
        <v>0</v>
      </c>
      <c r="D60" s="45">
        <f>'Detailed BTA'!D62</f>
        <v>0</v>
      </c>
      <c r="E60" s="45">
        <f>'Detailed BTA'!E62</f>
        <v>0</v>
      </c>
      <c r="F60" s="45">
        <f>'Detailed BTA'!F62</f>
        <v>0</v>
      </c>
      <c r="G60" s="176">
        <f>'Detailed BTA'!G62</f>
        <v>0</v>
      </c>
      <c r="H60" s="138">
        <f>'Detailed BTA'!H62</f>
        <v>0</v>
      </c>
      <c r="I60" s="138">
        <f>'Detailed BTA'!I62</f>
        <v>0</v>
      </c>
      <c r="J60" s="178"/>
      <c r="K60" s="138">
        <f t="shared" si="5"/>
        <v>0</v>
      </c>
      <c r="L60" s="175">
        <f t="shared" si="6"/>
        <v>0</v>
      </c>
      <c r="M60" s="174"/>
      <c r="N60" s="45">
        <f>'Detailed BTA'!N62</f>
        <v>0</v>
      </c>
      <c r="O60" s="176">
        <f>'Detailed BTA'!O62</f>
        <v>0</v>
      </c>
      <c r="P60" s="138">
        <f>'Detailed BTA'!P62</f>
        <v>0</v>
      </c>
      <c r="Q60" s="138">
        <f>'Detailed BTA'!Q62</f>
        <v>0</v>
      </c>
      <c r="R60" s="138"/>
      <c r="S60" s="138">
        <f t="shared" si="7"/>
        <v>0</v>
      </c>
      <c r="T60" s="175">
        <f t="shared" si="8"/>
        <v>0</v>
      </c>
      <c r="U60" s="174"/>
      <c r="V60" s="148"/>
    </row>
    <row r="61" spans="2:22" x14ac:dyDescent="0.35">
      <c r="B61" s="32" t="s">
        <v>44</v>
      </c>
      <c r="C61" s="478">
        <f>'Detailed BTA'!C63+'Detailed BTA'!C100+'Detailed BTA'!C134+'Detailed BTA'!C169</f>
        <v>0</v>
      </c>
      <c r="D61" s="478">
        <f>'Detailed BTA'!D63+'Detailed BTA'!D100+'Detailed BTA'!D134+'Detailed BTA'!D169</f>
        <v>0</v>
      </c>
      <c r="E61" s="478">
        <f>'Detailed BTA'!E63+'Detailed BTA'!E100+'Detailed BTA'!E134+'Detailed BTA'!E169</f>
        <v>0</v>
      </c>
      <c r="F61" s="478">
        <f>'Detailed BTA'!F63+'Detailed BTA'!F100+'Detailed BTA'!F134+'Detailed BTA'!F169</f>
        <v>0</v>
      </c>
      <c r="G61" s="479">
        <f>'Detailed BTA'!G63+'Detailed BTA'!G100+'Detailed BTA'!G134+'Detailed BTA'!G169</f>
        <v>0</v>
      </c>
      <c r="H61" s="179">
        <f>'Detailed BTA'!H63+'Detailed BTA'!H100+'Detailed BTA'!H134+'Detailed BTA'!H169</f>
        <v>0</v>
      </c>
      <c r="I61" s="179">
        <f>'Detailed BTA'!I63+'Detailed BTA'!I100+'Detailed BTA'!I134+'Detailed BTA'!I169</f>
        <v>0</v>
      </c>
      <c r="J61" s="178"/>
      <c r="K61" s="179">
        <f t="shared" si="5"/>
        <v>0</v>
      </c>
      <c r="L61" s="175">
        <f t="shared" si="6"/>
        <v>0</v>
      </c>
      <c r="M61" s="174"/>
      <c r="N61" s="478">
        <f>'Detailed BTA'!N63+'Detailed BTA'!N100+'Detailed BTA'!N134+'Detailed BTA'!N169</f>
        <v>0</v>
      </c>
      <c r="O61" s="479">
        <f>'Detailed BTA'!O63+'Detailed BTA'!O100+'Detailed BTA'!O134+'Detailed BTA'!O169</f>
        <v>0</v>
      </c>
      <c r="P61" s="179">
        <f>'Detailed BTA'!P63+'Detailed BTA'!P100+'Detailed BTA'!P134+'Detailed BTA'!P169</f>
        <v>0</v>
      </c>
      <c r="Q61" s="179">
        <f>'Detailed BTA'!Q63+'Detailed BTA'!Q100+'Detailed BTA'!Q134+'Detailed BTA'!Q169</f>
        <v>0</v>
      </c>
      <c r="R61" s="138"/>
      <c r="S61" s="179">
        <f t="shared" si="7"/>
        <v>0</v>
      </c>
      <c r="T61" s="175">
        <f t="shared" si="8"/>
        <v>0</v>
      </c>
      <c r="U61" s="174"/>
      <c r="V61" s="148"/>
    </row>
    <row r="62" spans="2:22" x14ac:dyDescent="0.35">
      <c r="B62" s="32" t="s">
        <v>45</v>
      </c>
      <c r="C62" s="478">
        <f>'Detailed BTA'!C64+'Detailed BTA'!C101+'Detailed BTA'!C135+'Detailed BTA'!C170</f>
        <v>0</v>
      </c>
      <c r="D62" s="478">
        <f>'Detailed BTA'!D64+'Detailed BTA'!D101+'Detailed BTA'!D135+'Detailed BTA'!D170</f>
        <v>0</v>
      </c>
      <c r="E62" s="478">
        <f>'Detailed BTA'!E64+'Detailed BTA'!E101+'Detailed BTA'!E135+'Detailed BTA'!E170</f>
        <v>0</v>
      </c>
      <c r="F62" s="478">
        <f>'Detailed BTA'!F64+'Detailed BTA'!F101+'Detailed BTA'!F135+'Detailed BTA'!F170</f>
        <v>0</v>
      </c>
      <c r="G62" s="479">
        <f>'Detailed BTA'!G64+'Detailed BTA'!G101+'Detailed BTA'!G135+'Detailed BTA'!G170</f>
        <v>0</v>
      </c>
      <c r="H62" s="179">
        <f>'Detailed BTA'!H64+'Detailed BTA'!H101+'Detailed BTA'!H135+'Detailed BTA'!H170</f>
        <v>0</v>
      </c>
      <c r="I62" s="179">
        <f>'Detailed BTA'!I64+'Detailed BTA'!I101+'Detailed BTA'!I135+'Detailed BTA'!I170</f>
        <v>0</v>
      </c>
      <c r="J62" s="178"/>
      <c r="K62" s="179">
        <f t="shared" si="5"/>
        <v>0</v>
      </c>
      <c r="L62" s="175">
        <f t="shared" si="6"/>
        <v>0</v>
      </c>
      <c r="M62" s="174"/>
      <c r="N62" s="478">
        <f>'Detailed BTA'!N64+'Detailed BTA'!N101+'Detailed BTA'!N135+'Detailed BTA'!N170</f>
        <v>0</v>
      </c>
      <c r="O62" s="479">
        <f>'Detailed BTA'!O64+'Detailed BTA'!O101+'Detailed BTA'!O135+'Detailed BTA'!O170</f>
        <v>0</v>
      </c>
      <c r="P62" s="179">
        <f>'Detailed BTA'!P64+'Detailed BTA'!P101+'Detailed BTA'!P135+'Detailed BTA'!P170</f>
        <v>0</v>
      </c>
      <c r="Q62" s="179">
        <f>'Detailed BTA'!Q64+'Detailed BTA'!Q101+'Detailed BTA'!Q135+'Detailed BTA'!Q170</f>
        <v>0</v>
      </c>
      <c r="R62" s="138"/>
      <c r="S62" s="179">
        <f t="shared" si="7"/>
        <v>0</v>
      </c>
      <c r="T62" s="175">
        <f t="shared" si="8"/>
        <v>0</v>
      </c>
      <c r="U62" s="174"/>
      <c r="V62" s="148"/>
    </row>
    <row r="63" spans="2:22" x14ac:dyDescent="0.35">
      <c r="B63" s="32" t="s">
        <v>46</v>
      </c>
      <c r="C63" s="45">
        <f>'Detailed BTA'!C99+'Detailed BTA'!C168</f>
        <v>0</v>
      </c>
      <c r="D63" s="45">
        <f>'Detailed BTA'!D99+'Detailed BTA'!D168</f>
        <v>0</v>
      </c>
      <c r="E63" s="45">
        <f>'Detailed BTA'!E99+'Detailed BTA'!E168</f>
        <v>0</v>
      </c>
      <c r="F63" s="45">
        <f>'Detailed BTA'!F99+'Detailed BTA'!F168</f>
        <v>0</v>
      </c>
      <c r="G63" s="176">
        <f>'Detailed BTA'!G99+'Detailed BTA'!G168</f>
        <v>0</v>
      </c>
      <c r="H63" s="138">
        <f>'Detailed BTA'!H99+'Detailed BTA'!H168</f>
        <v>0</v>
      </c>
      <c r="I63" s="138">
        <f>'Detailed BTA'!I99+'Detailed BTA'!I168</f>
        <v>0</v>
      </c>
      <c r="J63" s="178"/>
      <c r="K63" s="138">
        <f t="shared" si="5"/>
        <v>0</v>
      </c>
      <c r="L63" s="175">
        <f t="shared" si="6"/>
        <v>0</v>
      </c>
      <c r="M63" s="174"/>
      <c r="N63" s="45">
        <f>'Detailed BTA'!N99+'Detailed BTA'!N168</f>
        <v>0</v>
      </c>
      <c r="O63" s="176">
        <f>'Detailed BTA'!O99+'Detailed BTA'!O168</f>
        <v>0</v>
      </c>
      <c r="P63" s="138">
        <f>'Detailed BTA'!P99+'Detailed BTA'!P168</f>
        <v>0</v>
      </c>
      <c r="Q63" s="138">
        <f>'Detailed BTA'!Q99+'Detailed BTA'!Q168</f>
        <v>0</v>
      </c>
      <c r="R63" s="138"/>
      <c r="S63" s="138">
        <f t="shared" si="7"/>
        <v>0</v>
      </c>
      <c r="T63" s="175">
        <f t="shared" si="8"/>
        <v>0</v>
      </c>
      <c r="U63" s="174"/>
      <c r="V63" s="148"/>
    </row>
    <row r="64" spans="2:22" x14ac:dyDescent="0.35">
      <c r="B64" s="32" t="s">
        <v>47</v>
      </c>
      <c r="C64" s="45">
        <f t="shared" ref="C64:I64" si="21">SUM(C65:C72)</f>
        <v>0</v>
      </c>
      <c r="D64" s="45">
        <f t="shared" si="21"/>
        <v>0</v>
      </c>
      <c r="E64" s="45">
        <f t="shared" si="21"/>
        <v>0</v>
      </c>
      <c r="F64" s="45">
        <f t="shared" si="21"/>
        <v>0</v>
      </c>
      <c r="G64" s="176">
        <f t="shared" si="21"/>
        <v>0</v>
      </c>
      <c r="H64" s="138">
        <f t="shared" si="21"/>
        <v>0</v>
      </c>
      <c r="I64" s="138">
        <f t="shared" si="21"/>
        <v>0</v>
      </c>
      <c r="J64" s="178"/>
      <c r="K64" s="138">
        <f t="shared" si="5"/>
        <v>0</v>
      </c>
      <c r="L64" s="175">
        <f t="shared" si="6"/>
        <v>0</v>
      </c>
      <c r="M64" s="174"/>
      <c r="N64" s="45">
        <f t="shared" ref="N64:O64" si="22">SUM(N65:N72)</f>
        <v>0</v>
      </c>
      <c r="O64" s="176">
        <f t="shared" si="22"/>
        <v>0</v>
      </c>
      <c r="P64" s="138">
        <f>SUM(P65:P72)</f>
        <v>0</v>
      </c>
      <c r="Q64" s="138">
        <f>SUM(Q65:Q72)</f>
        <v>0</v>
      </c>
      <c r="R64" s="138"/>
      <c r="S64" s="138">
        <f t="shared" si="7"/>
        <v>0</v>
      </c>
      <c r="T64" s="175">
        <f t="shared" si="8"/>
        <v>0</v>
      </c>
      <c r="U64" s="174"/>
      <c r="V64" s="148"/>
    </row>
    <row r="65" spans="2:22" hidden="1" outlineLevel="1" x14ac:dyDescent="0.35">
      <c r="B65" s="46" t="s">
        <v>48</v>
      </c>
      <c r="C65" s="531">
        <f>'Detailed BTA'!C66+'Detailed BTA'!C103+'Detailed BTA'!C137+'Detailed BTA'!C172</f>
        <v>0</v>
      </c>
      <c r="D65" s="531">
        <f>'Detailed BTA'!D66+'Detailed BTA'!D103+'Detailed BTA'!D137+'Detailed BTA'!D172</f>
        <v>0</v>
      </c>
      <c r="E65" s="531">
        <f>'Detailed BTA'!E66+'Detailed BTA'!E103+'Detailed BTA'!E137+'Detailed BTA'!E172</f>
        <v>0</v>
      </c>
      <c r="F65" s="531">
        <f>'Detailed BTA'!F66+'Detailed BTA'!F103+'Detailed BTA'!F137+'Detailed BTA'!F172</f>
        <v>0</v>
      </c>
      <c r="G65" s="532">
        <f>'Detailed BTA'!G66+'Detailed BTA'!G103+'Detailed BTA'!G137+'Detailed BTA'!G172</f>
        <v>0</v>
      </c>
      <c r="H65" s="492">
        <f>'Detailed BTA'!H66+'Detailed BTA'!H103+'Detailed BTA'!H137+'Detailed BTA'!H172</f>
        <v>0</v>
      </c>
      <c r="I65" s="492">
        <f>'Detailed BTA'!I66+'Detailed BTA'!I103+'Detailed BTA'!I137+'Detailed BTA'!I172</f>
        <v>0</v>
      </c>
      <c r="J65" s="178"/>
      <c r="K65" s="492">
        <f t="shared" si="5"/>
        <v>0</v>
      </c>
      <c r="L65" s="177">
        <f t="shared" si="6"/>
        <v>0</v>
      </c>
      <c r="M65" s="174"/>
      <c r="N65" s="531">
        <f>'Detailed BTA'!N66+'Detailed BTA'!N103+'Detailed BTA'!N137+'Detailed BTA'!N172</f>
        <v>0</v>
      </c>
      <c r="O65" s="532">
        <f>'Detailed BTA'!O66+'Detailed BTA'!O103+'Detailed BTA'!O137+'Detailed BTA'!O172</f>
        <v>0</v>
      </c>
      <c r="P65" s="492">
        <f>'Detailed BTA'!P66+'Detailed BTA'!P103+'Detailed BTA'!P137+'Detailed BTA'!P172</f>
        <v>0</v>
      </c>
      <c r="Q65" s="492">
        <f>'Detailed BTA'!Q66+'Detailed BTA'!Q103+'Detailed BTA'!Q137+'Detailed BTA'!Q172</f>
        <v>0</v>
      </c>
      <c r="R65" s="492"/>
      <c r="S65" s="492">
        <f t="shared" si="7"/>
        <v>0</v>
      </c>
      <c r="T65" s="175">
        <f t="shared" si="8"/>
        <v>0</v>
      </c>
      <c r="U65" s="494"/>
      <c r="V65" s="148"/>
    </row>
    <row r="66" spans="2:22" hidden="1" outlineLevel="1" x14ac:dyDescent="0.35">
      <c r="B66" s="46" t="s">
        <v>49</v>
      </c>
      <c r="C66" s="531">
        <f>'Detailed BTA'!C67+'Detailed BTA'!C104+'Detailed BTA'!C138+'Detailed BTA'!C173</f>
        <v>0</v>
      </c>
      <c r="D66" s="531">
        <f>'Detailed BTA'!D67+'Detailed BTA'!D104+'Detailed BTA'!D138+'Detailed BTA'!D173</f>
        <v>0</v>
      </c>
      <c r="E66" s="531">
        <f>'Detailed BTA'!E67+'Detailed BTA'!E104+'Detailed BTA'!E138+'Detailed BTA'!E173</f>
        <v>0</v>
      </c>
      <c r="F66" s="531">
        <f>'Detailed BTA'!F67+'Detailed BTA'!F104+'Detailed BTA'!F138+'Detailed BTA'!F173</f>
        <v>0</v>
      </c>
      <c r="G66" s="532">
        <f>'Detailed BTA'!G67+'Detailed BTA'!G104+'Detailed BTA'!G138+'Detailed BTA'!G173</f>
        <v>0</v>
      </c>
      <c r="H66" s="492">
        <f>'Detailed BTA'!H67+'Detailed BTA'!H104+'Detailed BTA'!H138+'Detailed BTA'!H173</f>
        <v>0</v>
      </c>
      <c r="I66" s="492">
        <f>'Detailed BTA'!I67+'Detailed BTA'!I104+'Detailed BTA'!I138+'Detailed BTA'!I173</f>
        <v>0</v>
      </c>
      <c r="J66" s="178"/>
      <c r="K66" s="492">
        <f t="shared" si="5"/>
        <v>0</v>
      </c>
      <c r="L66" s="177">
        <f t="shared" si="6"/>
        <v>0</v>
      </c>
      <c r="M66" s="174"/>
      <c r="N66" s="531">
        <f>'Detailed BTA'!N67+'Detailed BTA'!N104+'Detailed BTA'!N138+'Detailed BTA'!N173</f>
        <v>0</v>
      </c>
      <c r="O66" s="532">
        <f>'Detailed BTA'!O67+'Detailed BTA'!O104+'Detailed BTA'!O138+'Detailed BTA'!O173</f>
        <v>0</v>
      </c>
      <c r="P66" s="492">
        <f>'Detailed BTA'!P67+'Detailed BTA'!P104+'Detailed BTA'!P138+'Detailed BTA'!P173</f>
        <v>0</v>
      </c>
      <c r="Q66" s="492">
        <f>'Detailed BTA'!Q67+'Detailed BTA'!Q104+'Detailed BTA'!Q138+'Detailed BTA'!Q173</f>
        <v>0</v>
      </c>
      <c r="R66" s="492"/>
      <c r="S66" s="492">
        <f t="shared" si="7"/>
        <v>0</v>
      </c>
      <c r="T66" s="175">
        <f t="shared" si="8"/>
        <v>0</v>
      </c>
      <c r="U66" s="494"/>
      <c r="V66" s="148"/>
    </row>
    <row r="67" spans="2:22" hidden="1" outlineLevel="1" x14ac:dyDescent="0.35">
      <c r="B67" s="46" t="s">
        <v>50</v>
      </c>
      <c r="C67" s="531">
        <f>'Detailed BTA'!C68+'Detailed BTA'!C105+'Detailed BTA'!C139+'Detailed BTA'!C174</f>
        <v>0</v>
      </c>
      <c r="D67" s="531">
        <f>'Detailed BTA'!D68+'Detailed BTA'!D105+'Detailed BTA'!D139+'Detailed BTA'!D174</f>
        <v>0</v>
      </c>
      <c r="E67" s="531">
        <f>'Detailed BTA'!E68+'Detailed BTA'!E105+'Detailed BTA'!E139+'Detailed BTA'!E174</f>
        <v>0</v>
      </c>
      <c r="F67" s="531">
        <f>'Detailed BTA'!F68+'Detailed BTA'!F105+'Detailed BTA'!F139+'Detailed BTA'!F174</f>
        <v>0</v>
      </c>
      <c r="G67" s="532">
        <f>'Detailed BTA'!G68+'Detailed BTA'!G105+'Detailed BTA'!G139+'Detailed BTA'!G174</f>
        <v>0</v>
      </c>
      <c r="H67" s="492">
        <f>'Detailed BTA'!H68+'Detailed BTA'!H105+'Detailed BTA'!H139+'Detailed BTA'!H174</f>
        <v>0</v>
      </c>
      <c r="I67" s="492">
        <f>'Detailed BTA'!I68+'Detailed BTA'!I105+'Detailed BTA'!I139+'Detailed BTA'!I174</f>
        <v>0</v>
      </c>
      <c r="J67" s="178"/>
      <c r="K67" s="492">
        <f t="shared" si="5"/>
        <v>0</v>
      </c>
      <c r="L67" s="177">
        <f t="shared" si="6"/>
        <v>0</v>
      </c>
      <c r="M67" s="174"/>
      <c r="N67" s="531">
        <f>'Detailed BTA'!N68+'Detailed BTA'!N105+'Detailed BTA'!N139+'Detailed BTA'!N174</f>
        <v>0</v>
      </c>
      <c r="O67" s="532">
        <f>'Detailed BTA'!O68+'Detailed BTA'!O105+'Detailed BTA'!O139+'Detailed BTA'!O174</f>
        <v>0</v>
      </c>
      <c r="P67" s="492">
        <f>'Detailed BTA'!P68+'Detailed BTA'!P105+'Detailed BTA'!P139+'Detailed BTA'!P174</f>
        <v>0</v>
      </c>
      <c r="Q67" s="492">
        <f>'Detailed BTA'!Q68+'Detailed BTA'!Q105+'Detailed BTA'!Q139+'Detailed BTA'!Q174</f>
        <v>0</v>
      </c>
      <c r="R67" s="492"/>
      <c r="S67" s="492">
        <f t="shared" si="7"/>
        <v>0</v>
      </c>
      <c r="T67" s="175">
        <f t="shared" si="8"/>
        <v>0</v>
      </c>
      <c r="U67" s="494"/>
      <c r="V67" s="148"/>
    </row>
    <row r="68" spans="2:22" hidden="1" outlineLevel="1" x14ac:dyDescent="0.35">
      <c r="B68" s="46" t="s">
        <v>51</v>
      </c>
      <c r="C68" s="531">
        <f>'Detailed BTA'!C69+'Detailed BTA'!C106+'Detailed BTA'!C140+'Detailed BTA'!C175</f>
        <v>0</v>
      </c>
      <c r="D68" s="531">
        <f>'Detailed BTA'!D69+'Detailed BTA'!D106+'Detailed BTA'!D140+'Detailed BTA'!D175</f>
        <v>0</v>
      </c>
      <c r="E68" s="531">
        <f>'Detailed BTA'!E69+'Detailed BTA'!E106+'Detailed BTA'!E140+'Detailed BTA'!E175</f>
        <v>0</v>
      </c>
      <c r="F68" s="531">
        <f>'Detailed BTA'!F69+'Detailed BTA'!F106+'Detailed BTA'!F140+'Detailed BTA'!F175</f>
        <v>0</v>
      </c>
      <c r="G68" s="532">
        <f>'Detailed BTA'!G69+'Detailed BTA'!G106+'Detailed BTA'!G140+'Detailed BTA'!G175</f>
        <v>0</v>
      </c>
      <c r="H68" s="492">
        <f>'Detailed BTA'!H69+'Detailed BTA'!H106+'Detailed BTA'!H140+'Detailed BTA'!H175</f>
        <v>0</v>
      </c>
      <c r="I68" s="492">
        <f>'Detailed BTA'!I69+'Detailed BTA'!I106+'Detailed BTA'!I140+'Detailed BTA'!I175</f>
        <v>0</v>
      </c>
      <c r="J68" s="138"/>
      <c r="K68" s="492">
        <f t="shared" si="5"/>
        <v>0</v>
      </c>
      <c r="L68" s="177">
        <f t="shared" si="6"/>
        <v>0</v>
      </c>
      <c r="M68" s="174"/>
      <c r="N68" s="531">
        <f>'Detailed BTA'!N69+'Detailed BTA'!N106+'Detailed BTA'!N140+'Detailed BTA'!N175</f>
        <v>0</v>
      </c>
      <c r="O68" s="532">
        <f>'Detailed BTA'!O69+'Detailed BTA'!O106+'Detailed BTA'!O140+'Detailed BTA'!O175</f>
        <v>0</v>
      </c>
      <c r="P68" s="492">
        <f>'Detailed BTA'!P69+'Detailed BTA'!P106+'Detailed BTA'!P140+'Detailed BTA'!P175</f>
        <v>0</v>
      </c>
      <c r="Q68" s="492">
        <f>'Detailed BTA'!Q69+'Detailed BTA'!Q106+'Detailed BTA'!Q140+'Detailed BTA'!Q175</f>
        <v>0</v>
      </c>
      <c r="R68" s="492"/>
      <c r="S68" s="492">
        <f t="shared" si="7"/>
        <v>0</v>
      </c>
      <c r="T68" s="175">
        <f t="shared" si="8"/>
        <v>0</v>
      </c>
      <c r="U68" s="494"/>
      <c r="V68" s="148"/>
    </row>
    <row r="69" spans="2:22" hidden="1" outlineLevel="1" x14ac:dyDescent="0.35">
      <c r="B69" s="46" t="s">
        <v>52</v>
      </c>
      <c r="C69" s="531">
        <f>'Detailed BTA'!C70+'Detailed BTA'!C107+'Detailed BTA'!C141+'Detailed BTA'!C176</f>
        <v>0</v>
      </c>
      <c r="D69" s="531">
        <f>'Detailed BTA'!D70+'Detailed BTA'!D107+'Detailed BTA'!D141+'Detailed BTA'!D176</f>
        <v>0</v>
      </c>
      <c r="E69" s="531">
        <f>'Detailed BTA'!E70+'Detailed BTA'!E107+'Detailed BTA'!E141+'Detailed BTA'!E176</f>
        <v>0</v>
      </c>
      <c r="F69" s="531">
        <f>'Detailed BTA'!F70+'Detailed BTA'!F107+'Detailed BTA'!F141+'Detailed BTA'!F176</f>
        <v>0</v>
      </c>
      <c r="G69" s="532">
        <f>'Detailed BTA'!G70+'Detailed BTA'!G107+'Detailed BTA'!G141+'Detailed BTA'!G176</f>
        <v>0</v>
      </c>
      <c r="H69" s="492">
        <f>'Detailed BTA'!H70+'Detailed BTA'!H107+'Detailed BTA'!H141+'Detailed BTA'!H176</f>
        <v>0</v>
      </c>
      <c r="I69" s="492">
        <f>'Detailed BTA'!I70+'Detailed BTA'!I107+'Detailed BTA'!I141+'Detailed BTA'!I176</f>
        <v>0</v>
      </c>
      <c r="J69" s="138"/>
      <c r="K69" s="492">
        <f t="shared" si="5"/>
        <v>0</v>
      </c>
      <c r="L69" s="177">
        <f t="shared" si="6"/>
        <v>0</v>
      </c>
      <c r="M69" s="174"/>
      <c r="N69" s="531">
        <f>'Detailed BTA'!N70+'Detailed BTA'!N107+'Detailed BTA'!N141+'Detailed BTA'!N176</f>
        <v>0</v>
      </c>
      <c r="O69" s="532">
        <f>'Detailed BTA'!O70+'Detailed BTA'!O107+'Detailed BTA'!O141+'Detailed BTA'!O176</f>
        <v>0</v>
      </c>
      <c r="P69" s="492">
        <f>'Detailed BTA'!P70+'Detailed BTA'!P107+'Detailed BTA'!P141+'Detailed BTA'!P176</f>
        <v>0</v>
      </c>
      <c r="Q69" s="492">
        <f>'Detailed BTA'!Q70+'Detailed BTA'!Q107+'Detailed BTA'!Q141+'Detailed BTA'!Q176</f>
        <v>0</v>
      </c>
      <c r="R69" s="492"/>
      <c r="S69" s="492">
        <f t="shared" si="7"/>
        <v>0</v>
      </c>
      <c r="T69" s="175">
        <f t="shared" si="8"/>
        <v>0</v>
      </c>
      <c r="U69" s="494"/>
      <c r="V69" s="148"/>
    </row>
    <row r="70" spans="2:22" hidden="1" outlineLevel="1" x14ac:dyDescent="0.35">
      <c r="B70" s="46" t="s">
        <v>53</v>
      </c>
      <c r="C70" s="531">
        <f>'Detailed BTA'!C71+'Detailed BTA'!C108+'Detailed BTA'!C142+'Detailed BTA'!C177</f>
        <v>0</v>
      </c>
      <c r="D70" s="531">
        <f>'Detailed BTA'!D71+'Detailed BTA'!D108+'Detailed BTA'!D142+'Detailed BTA'!D177</f>
        <v>0</v>
      </c>
      <c r="E70" s="531">
        <f>'Detailed BTA'!E71+'Detailed BTA'!E108+'Detailed BTA'!E142+'Detailed BTA'!E177</f>
        <v>0</v>
      </c>
      <c r="F70" s="531">
        <f>'Detailed BTA'!F71+'Detailed BTA'!F108+'Detailed BTA'!F142+'Detailed BTA'!F177</f>
        <v>0</v>
      </c>
      <c r="G70" s="532">
        <f>'Detailed BTA'!G71+'Detailed BTA'!G108+'Detailed BTA'!G142+'Detailed BTA'!G177</f>
        <v>0</v>
      </c>
      <c r="H70" s="492">
        <f>'Detailed BTA'!H71+'Detailed BTA'!H108+'Detailed BTA'!H142+'Detailed BTA'!H177</f>
        <v>0</v>
      </c>
      <c r="I70" s="492">
        <f>'Detailed BTA'!I71+'Detailed BTA'!I108+'Detailed BTA'!I142+'Detailed BTA'!I177</f>
        <v>0</v>
      </c>
      <c r="J70" s="138"/>
      <c r="K70" s="492">
        <f t="shared" si="5"/>
        <v>0</v>
      </c>
      <c r="L70" s="177">
        <f t="shared" si="6"/>
        <v>0</v>
      </c>
      <c r="M70" s="174"/>
      <c r="N70" s="531">
        <f>'Detailed BTA'!N71+'Detailed BTA'!N108+'Detailed BTA'!N142+'Detailed BTA'!N177</f>
        <v>0</v>
      </c>
      <c r="O70" s="532">
        <f>'Detailed BTA'!O71+'Detailed BTA'!O108+'Detailed BTA'!O142+'Detailed BTA'!O177</f>
        <v>0</v>
      </c>
      <c r="P70" s="492">
        <f>'Detailed BTA'!P71+'Detailed BTA'!P108+'Detailed BTA'!P142+'Detailed BTA'!P177</f>
        <v>0</v>
      </c>
      <c r="Q70" s="492">
        <f>'Detailed BTA'!Q71+'Detailed BTA'!Q108+'Detailed BTA'!Q142+'Detailed BTA'!Q177</f>
        <v>0</v>
      </c>
      <c r="R70" s="492"/>
      <c r="S70" s="492">
        <f t="shared" si="7"/>
        <v>0</v>
      </c>
      <c r="T70" s="175">
        <f t="shared" si="8"/>
        <v>0</v>
      </c>
      <c r="U70" s="494"/>
      <c r="V70" s="148"/>
    </row>
    <row r="71" spans="2:22" hidden="1" outlineLevel="1" x14ac:dyDescent="0.35">
      <c r="B71" s="46" t="s">
        <v>54</v>
      </c>
      <c r="C71" s="531">
        <f>'Detailed BTA'!C72+'Detailed BTA'!C109+'Detailed BTA'!C143+'Detailed BTA'!C178</f>
        <v>0</v>
      </c>
      <c r="D71" s="531">
        <f>'Detailed BTA'!D72+'Detailed BTA'!D109+'Detailed BTA'!D143+'Detailed BTA'!D178</f>
        <v>0</v>
      </c>
      <c r="E71" s="531">
        <f>'Detailed BTA'!E72+'Detailed BTA'!E109+'Detailed BTA'!E143+'Detailed BTA'!E178</f>
        <v>0</v>
      </c>
      <c r="F71" s="531">
        <f>'Detailed BTA'!F72+'Detailed BTA'!F109+'Detailed BTA'!F143+'Detailed BTA'!F178</f>
        <v>0</v>
      </c>
      <c r="G71" s="532">
        <f>'Detailed BTA'!G72+'Detailed BTA'!G109+'Detailed BTA'!G143+'Detailed BTA'!G178</f>
        <v>0</v>
      </c>
      <c r="H71" s="492">
        <f>'Detailed BTA'!H72+'Detailed BTA'!H109+'Detailed BTA'!H143+'Detailed BTA'!H178</f>
        <v>0</v>
      </c>
      <c r="I71" s="492">
        <f>'Detailed BTA'!I72+'Detailed BTA'!I109+'Detailed BTA'!I143+'Detailed BTA'!I178</f>
        <v>0</v>
      </c>
      <c r="J71" s="138"/>
      <c r="K71" s="492">
        <f t="shared" si="5"/>
        <v>0</v>
      </c>
      <c r="L71" s="177">
        <f t="shared" si="6"/>
        <v>0</v>
      </c>
      <c r="M71" s="174"/>
      <c r="N71" s="531">
        <f>'Detailed BTA'!N72+'Detailed BTA'!N109+'Detailed BTA'!N143+'Detailed BTA'!N178</f>
        <v>0</v>
      </c>
      <c r="O71" s="532">
        <f>'Detailed BTA'!O72+'Detailed BTA'!O109+'Detailed BTA'!O143+'Detailed BTA'!O178</f>
        <v>0</v>
      </c>
      <c r="P71" s="492">
        <f>'Detailed BTA'!P72+'Detailed BTA'!P109+'Detailed BTA'!P143+'Detailed BTA'!P178</f>
        <v>0</v>
      </c>
      <c r="Q71" s="492">
        <f>'Detailed BTA'!Q72+'Detailed BTA'!Q109+'Detailed BTA'!Q143+'Detailed BTA'!Q178</f>
        <v>0</v>
      </c>
      <c r="R71" s="492"/>
      <c r="S71" s="492">
        <f t="shared" si="7"/>
        <v>0</v>
      </c>
      <c r="T71" s="175">
        <f t="shared" si="8"/>
        <v>0</v>
      </c>
      <c r="U71" s="494"/>
      <c r="V71" s="148"/>
    </row>
    <row r="72" spans="2:22" ht="16" hidden="1" outlineLevel="1" x14ac:dyDescent="0.5">
      <c r="B72" s="46" t="s">
        <v>47</v>
      </c>
      <c r="C72" s="533">
        <f>'Detailed BTA'!C73+'Detailed BTA'!C110+'Detailed BTA'!C144+'Detailed BTA'!C179</f>
        <v>0</v>
      </c>
      <c r="D72" s="533">
        <f>'Detailed BTA'!D73+'Detailed BTA'!D110+'Detailed BTA'!D144+'Detailed BTA'!D179</f>
        <v>0</v>
      </c>
      <c r="E72" s="533">
        <f>'Detailed BTA'!E73+'Detailed BTA'!E110+'Detailed BTA'!E144+'Detailed BTA'!E179</f>
        <v>0</v>
      </c>
      <c r="F72" s="533">
        <f>'Detailed BTA'!F73+'Detailed BTA'!F110+'Detailed BTA'!F144+'Detailed BTA'!F179</f>
        <v>0</v>
      </c>
      <c r="G72" s="534">
        <f>'Detailed BTA'!G73+'Detailed BTA'!G110+'Detailed BTA'!G144+'Detailed BTA'!G179</f>
        <v>0</v>
      </c>
      <c r="H72" s="496">
        <f>'Detailed BTA'!H73+'Detailed BTA'!H110+'Detailed BTA'!H144+'Detailed BTA'!H179</f>
        <v>0</v>
      </c>
      <c r="I72" s="496">
        <f>'Detailed BTA'!I73+'Detailed BTA'!I110+'Detailed BTA'!I144+'Detailed BTA'!I179</f>
        <v>0</v>
      </c>
      <c r="J72" s="535"/>
      <c r="K72" s="496">
        <f t="shared" si="5"/>
        <v>0</v>
      </c>
      <c r="L72" s="536">
        <f t="shared" si="6"/>
        <v>0</v>
      </c>
      <c r="M72" s="537"/>
      <c r="N72" s="533">
        <f>'Detailed BTA'!N73+'Detailed BTA'!N110+'Detailed BTA'!N144+'Detailed BTA'!N179</f>
        <v>0</v>
      </c>
      <c r="O72" s="534">
        <f>'Detailed BTA'!O73+'Detailed BTA'!O110+'Detailed BTA'!O144+'Detailed BTA'!O179</f>
        <v>0</v>
      </c>
      <c r="P72" s="496">
        <f>'Detailed BTA'!P73+'Detailed BTA'!P110+'Detailed BTA'!P144+'Detailed BTA'!P179</f>
        <v>0</v>
      </c>
      <c r="Q72" s="496">
        <f>'Detailed BTA'!Q73+'Detailed BTA'!Q110+'Detailed BTA'!Q144+'Detailed BTA'!Q179</f>
        <v>0</v>
      </c>
      <c r="R72" s="496"/>
      <c r="S72" s="496">
        <f t="shared" si="7"/>
        <v>0</v>
      </c>
      <c r="T72" s="538">
        <f t="shared" si="8"/>
        <v>0</v>
      </c>
      <c r="U72" s="498"/>
      <c r="V72" s="148"/>
    </row>
    <row r="73" spans="2:22" collapsed="1" x14ac:dyDescent="0.35">
      <c r="B73" s="31" t="s">
        <v>55</v>
      </c>
      <c r="C73" s="539">
        <f t="shared" ref="C73:I73" si="23">SUM(C64,C63,C62,C61,C60,C54,C33,C34,C35)</f>
        <v>0</v>
      </c>
      <c r="D73" s="539">
        <f t="shared" si="23"/>
        <v>0</v>
      </c>
      <c r="E73" s="539">
        <f t="shared" si="23"/>
        <v>0</v>
      </c>
      <c r="F73" s="539">
        <f t="shared" si="23"/>
        <v>0</v>
      </c>
      <c r="G73" s="540">
        <f t="shared" si="23"/>
        <v>0</v>
      </c>
      <c r="H73" s="418">
        <f t="shared" si="23"/>
        <v>0</v>
      </c>
      <c r="I73" s="418">
        <f t="shared" si="23"/>
        <v>0</v>
      </c>
      <c r="J73" s="399"/>
      <c r="K73" s="418">
        <f t="shared" si="5"/>
        <v>0</v>
      </c>
      <c r="L73" s="500">
        <f t="shared" si="6"/>
        <v>0</v>
      </c>
      <c r="M73" s="499"/>
      <c r="N73" s="539">
        <f t="shared" ref="N73:O73" si="24">SUM(N64,N63,N62,N61,N60,N54,N33,N34,N35)</f>
        <v>0</v>
      </c>
      <c r="O73" s="540">
        <f t="shared" si="24"/>
        <v>0</v>
      </c>
      <c r="P73" s="418">
        <f>SUM(P64,P63,P62,P61,P60,P54,P33,P34,P35)</f>
        <v>0</v>
      </c>
      <c r="Q73" s="418">
        <f>SUM(Q64,Q63,Q62,Q61,Q60,Q54,Q33,Q34,Q35)</f>
        <v>0</v>
      </c>
      <c r="R73" s="418"/>
      <c r="S73" s="418">
        <f t="shared" si="7"/>
        <v>0</v>
      </c>
      <c r="T73" s="500">
        <f t="shared" si="8"/>
        <v>0</v>
      </c>
      <c r="U73" s="499"/>
      <c r="V73" s="148"/>
    </row>
    <row r="74" spans="2:22" x14ac:dyDescent="0.35">
      <c r="B74" s="32"/>
      <c r="C74" s="539"/>
      <c r="D74" s="539"/>
      <c r="E74" s="539"/>
      <c r="F74" s="539"/>
      <c r="G74" s="540"/>
      <c r="H74" s="418"/>
      <c r="I74" s="418"/>
      <c r="J74" s="178"/>
      <c r="K74" s="418"/>
      <c r="L74" s="500"/>
      <c r="M74" s="499"/>
      <c r="N74" s="539"/>
      <c r="O74" s="540"/>
      <c r="P74" s="418"/>
      <c r="Q74" s="418"/>
      <c r="R74" s="418"/>
      <c r="S74" s="418"/>
      <c r="T74" s="500"/>
      <c r="U74" s="499"/>
      <c r="V74" s="148"/>
    </row>
    <row r="75" spans="2:22" x14ac:dyDescent="0.35">
      <c r="B75" s="31" t="s">
        <v>56</v>
      </c>
      <c r="C75" s="539">
        <f t="shared" ref="C75:I75" si="25">C29-C73</f>
        <v>0</v>
      </c>
      <c r="D75" s="539">
        <f t="shared" si="25"/>
        <v>0</v>
      </c>
      <c r="E75" s="539">
        <f t="shared" si="25"/>
        <v>0</v>
      </c>
      <c r="F75" s="539">
        <f t="shared" si="25"/>
        <v>0</v>
      </c>
      <c r="G75" s="540">
        <f t="shared" si="25"/>
        <v>0</v>
      </c>
      <c r="H75" s="418">
        <f t="shared" si="25"/>
        <v>0</v>
      </c>
      <c r="I75" s="418">
        <f t="shared" si="25"/>
        <v>0</v>
      </c>
      <c r="J75" s="178"/>
      <c r="K75" s="418">
        <f>H75-I75</f>
        <v>0</v>
      </c>
      <c r="L75" s="500">
        <f>IFERROR(SIGN(K75)*ABS(K75/I75),0)</f>
        <v>0</v>
      </c>
      <c r="M75" s="499"/>
      <c r="N75" s="539">
        <f t="shared" ref="N75:O75" si="26">N29-N73</f>
        <v>0</v>
      </c>
      <c r="O75" s="540">
        <f t="shared" si="26"/>
        <v>0</v>
      </c>
      <c r="P75" s="418">
        <f>P29-P73</f>
        <v>0</v>
      </c>
      <c r="Q75" s="418">
        <f>Q29-Q73</f>
        <v>0</v>
      </c>
      <c r="R75" s="418"/>
      <c r="S75" s="418">
        <f>P75-Q75</f>
        <v>0</v>
      </c>
      <c r="T75" s="500">
        <f>IFERROR(SIGN(S75)*ABS(S75/Q75),0)</f>
        <v>0</v>
      </c>
      <c r="U75" s="499"/>
      <c r="V75" s="148"/>
    </row>
    <row r="76" spans="2:22" x14ac:dyDescent="0.35">
      <c r="B76" s="29" t="s">
        <v>57</v>
      </c>
      <c r="C76" s="474">
        <f t="shared" ref="C76:I76" si="27">IFERROR(C75/C$29,0)</f>
        <v>0</v>
      </c>
      <c r="D76" s="474">
        <f t="shared" si="27"/>
        <v>0</v>
      </c>
      <c r="E76" s="474">
        <f t="shared" si="27"/>
        <v>0</v>
      </c>
      <c r="F76" s="474">
        <f t="shared" si="27"/>
        <v>0</v>
      </c>
      <c r="G76" s="475">
        <f t="shared" si="27"/>
        <v>0</v>
      </c>
      <c r="H76" s="434">
        <f t="shared" si="27"/>
        <v>0</v>
      </c>
      <c r="I76" s="434">
        <f t="shared" si="27"/>
        <v>0</v>
      </c>
      <c r="J76" s="178"/>
      <c r="K76" s="434">
        <f>I76-H76</f>
        <v>0</v>
      </c>
      <c r="L76" s="434">
        <f>IFERROR(SIGN(K76)*ABS(K76/I76),0)</f>
        <v>0</v>
      </c>
      <c r="M76" s="476"/>
      <c r="N76" s="474">
        <f t="shared" ref="N76:O76" si="28">IFERROR(N75/N$29,0)</f>
        <v>0</v>
      </c>
      <c r="O76" s="475">
        <f t="shared" si="28"/>
        <v>0</v>
      </c>
      <c r="P76" s="434">
        <f>IFERROR(P75/P$29,0)</f>
        <v>0</v>
      </c>
      <c r="Q76" s="434">
        <f>IFERROR(Q75/Q$29,0)</f>
        <v>0</v>
      </c>
      <c r="R76" s="434"/>
      <c r="S76" s="434">
        <f>Q76-P76</f>
        <v>0</v>
      </c>
      <c r="T76" s="434">
        <f>IFERROR(SIGN(S76)*ABS(S76/Q76),0)</f>
        <v>0</v>
      </c>
      <c r="U76" s="476"/>
      <c r="V76" s="148"/>
    </row>
    <row r="77" spans="2:22" x14ac:dyDescent="0.35">
      <c r="B77" s="31" t="s">
        <v>58</v>
      </c>
      <c r="C77" s="539">
        <f t="shared" ref="C77:I77" si="29">C75+SUM(C43)</f>
        <v>0</v>
      </c>
      <c r="D77" s="539">
        <f t="shared" si="29"/>
        <v>0</v>
      </c>
      <c r="E77" s="539">
        <f t="shared" si="29"/>
        <v>0</v>
      </c>
      <c r="F77" s="539">
        <f t="shared" si="29"/>
        <v>0</v>
      </c>
      <c r="G77" s="540">
        <f t="shared" si="29"/>
        <v>0</v>
      </c>
      <c r="H77" s="418">
        <f t="shared" si="29"/>
        <v>0</v>
      </c>
      <c r="I77" s="418">
        <f t="shared" si="29"/>
        <v>0</v>
      </c>
      <c r="J77" s="178"/>
      <c r="K77" s="418">
        <f>H77-I77</f>
        <v>0</v>
      </c>
      <c r="L77" s="500">
        <f>IFERROR(SIGN(K77)*ABS(K77/I77),0)</f>
        <v>0</v>
      </c>
      <c r="M77" s="499"/>
      <c r="N77" s="539">
        <f t="shared" ref="N77:O77" si="30">N75+SUM(N43)</f>
        <v>0</v>
      </c>
      <c r="O77" s="540">
        <f t="shared" si="30"/>
        <v>0</v>
      </c>
      <c r="P77" s="418">
        <f>P75+SUM(P43)</f>
        <v>0</v>
      </c>
      <c r="Q77" s="418">
        <f>Q75+SUM(Q43)</f>
        <v>0</v>
      </c>
      <c r="R77" s="418"/>
      <c r="S77" s="418">
        <f>P77-Q77</f>
        <v>0</v>
      </c>
      <c r="T77" s="500">
        <f>IFERROR(SIGN(S77)*ABS(S77/Q77),0)</f>
        <v>0</v>
      </c>
      <c r="U77" s="499"/>
      <c r="V77" s="148"/>
    </row>
    <row r="78" spans="2:22" x14ac:dyDescent="0.35">
      <c r="B78" s="29" t="s">
        <v>59</v>
      </c>
      <c r="C78" s="474">
        <f t="shared" ref="C78:I78" si="31">IFERROR(C77/C$29,0)</f>
        <v>0</v>
      </c>
      <c r="D78" s="474">
        <f t="shared" si="31"/>
        <v>0</v>
      </c>
      <c r="E78" s="474">
        <f t="shared" si="31"/>
        <v>0</v>
      </c>
      <c r="F78" s="474">
        <f t="shared" si="31"/>
        <v>0</v>
      </c>
      <c r="G78" s="475">
        <f t="shared" si="31"/>
        <v>0</v>
      </c>
      <c r="H78" s="434">
        <f t="shared" si="31"/>
        <v>0</v>
      </c>
      <c r="I78" s="434">
        <f t="shared" si="31"/>
        <v>0</v>
      </c>
      <c r="J78" s="178"/>
      <c r="K78" s="434">
        <f>I78-H78</f>
        <v>0</v>
      </c>
      <c r="L78" s="434">
        <f>IFERROR(SIGN(K78)*ABS(K78/I78),0)</f>
        <v>0</v>
      </c>
      <c r="M78" s="476"/>
      <c r="N78" s="474">
        <f t="shared" ref="N78:O78" si="32">IFERROR(N77/N$29,0)</f>
        <v>0</v>
      </c>
      <c r="O78" s="475">
        <f t="shared" si="32"/>
        <v>0</v>
      </c>
      <c r="P78" s="434">
        <f>IFERROR(P77/P$29,0)</f>
        <v>0</v>
      </c>
      <c r="Q78" s="434">
        <f>IFERROR(Q77/Q$29,0)</f>
        <v>0</v>
      </c>
      <c r="R78" s="434"/>
      <c r="S78" s="434">
        <f>Q78-P78</f>
        <v>0</v>
      </c>
      <c r="T78" s="434">
        <f>IFERROR(SIGN(S78)*ABS(S78/Q78),0)</f>
        <v>0</v>
      </c>
      <c r="U78" s="476"/>
      <c r="V78" s="148"/>
    </row>
    <row r="79" spans="2:22" x14ac:dyDescent="0.35">
      <c r="B79" s="365"/>
      <c r="C79" s="519"/>
      <c r="D79" s="519"/>
      <c r="E79" s="519"/>
      <c r="F79" s="519"/>
      <c r="G79" s="520"/>
      <c r="H79" s="438"/>
      <c r="I79" s="438"/>
      <c r="J79" s="178"/>
      <c r="K79" s="438"/>
      <c r="L79" s="486"/>
      <c r="M79" s="541"/>
      <c r="N79" s="519"/>
      <c r="O79" s="520"/>
      <c r="P79" s="438"/>
      <c r="Q79" s="438"/>
      <c r="R79" s="486"/>
      <c r="S79" s="438"/>
      <c r="T79" s="486"/>
      <c r="U79" s="541"/>
      <c r="V79" s="148"/>
    </row>
    <row r="80" spans="2:22" x14ac:dyDescent="0.35">
      <c r="B80" s="32" t="s">
        <v>60</v>
      </c>
      <c r="C80" s="519">
        <f>'Detailed BTA'!C187</f>
        <v>0</v>
      </c>
      <c r="D80" s="519">
        <f>'Detailed BTA'!D187</f>
        <v>0</v>
      </c>
      <c r="E80" s="519">
        <f>'Detailed BTA'!E187</f>
        <v>0</v>
      </c>
      <c r="F80" s="519">
        <f>'Detailed BTA'!F187</f>
        <v>0</v>
      </c>
      <c r="G80" s="520">
        <f>'Detailed BTA'!G187</f>
        <v>0</v>
      </c>
      <c r="H80" s="438">
        <f>'Detailed BTA'!H187</f>
        <v>0</v>
      </c>
      <c r="I80" s="438">
        <f>'Detailed BTA'!I187</f>
        <v>0</v>
      </c>
      <c r="J80" s="178"/>
      <c r="K80" s="438">
        <f>I80-H80</f>
        <v>0</v>
      </c>
      <c r="L80" s="521">
        <f>IFERROR(SIGN(K80)*ABS(K80/I80),0)</f>
        <v>0</v>
      </c>
      <c r="M80" s="487"/>
      <c r="N80" s="519">
        <f>'Detailed BTA'!N187</f>
        <v>0</v>
      </c>
      <c r="O80" s="520">
        <f>'Detailed BTA'!O187</f>
        <v>0</v>
      </c>
      <c r="P80" s="438">
        <f>'Detailed BTA'!P187</f>
        <v>0</v>
      </c>
      <c r="Q80" s="438">
        <f>'Detailed BTA'!Q187</f>
        <v>0</v>
      </c>
      <c r="R80" s="438"/>
      <c r="S80" s="438">
        <f>Q80-P80</f>
        <v>0</v>
      </c>
      <c r="T80" s="521">
        <f>IFERROR(SIGN(S80)*ABS(S80/Q80),0)</f>
        <v>0</v>
      </c>
      <c r="U80" s="487"/>
      <c r="V80" s="148"/>
    </row>
    <row r="81" spans="2:22" x14ac:dyDescent="0.35">
      <c r="B81" s="32"/>
      <c r="C81" s="519"/>
      <c r="D81" s="519"/>
      <c r="E81" s="519"/>
      <c r="F81" s="519"/>
      <c r="G81" s="520"/>
      <c r="H81" s="438"/>
      <c r="I81" s="438"/>
      <c r="J81" s="178"/>
      <c r="K81" s="438"/>
      <c r="L81" s="521"/>
      <c r="M81" s="487"/>
      <c r="N81" s="519"/>
      <c r="O81" s="520"/>
      <c r="P81" s="438"/>
      <c r="Q81" s="438"/>
      <c r="R81" s="438"/>
      <c r="S81" s="438"/>
      <c r="T81" s="521"/>
      <c r="U81" s="487"/>
      <c r="V81" s="148"/>
    </row>
    <row r="82" spans="2:22" x14ac:dyDescent="0.35">
      <c r="B82" s="31" t="s">
        <v>61</v>
      </c>
      <c r="C82" s="539">
        <f t="shared" ref="C82:I82" si="33">C75-C80</f>
        <v>0</v>
      </c>
      <c r="D82" s="539">
        <f t="shared" si="33"/>
        <v>0</v>
      </c>
      <c r="E82" s="539">
        <f t="shared" si="33"/>
        <v>0</v>
      </c>
      <c r="F82" s="539">
        <f t="shared" si="33"/>
        <v>0</v>
      </c>
      <c r="G82" s="540">
        <f t="shared" si="33"/>
        <v>0</v>
      </c>
      <c r="H82" s="418">
        <f t="shared" si="33"/>
        <v>0</v>
      </c>
      <c r="I82" s="418">
        <f t="shared" si="33"/>
        <v>0</v>
      </c>
      <c r="J82" s="178"/>
      <c r="K82" s="418">
        <f>H82-I82</f>
        <v>0</v>
      </c>
      <c r="L82" s="500">
        <f>IFERROR(SIGN(K82)*ABS(K82/I82),0)</f>
        <v>0</v>
      </c>
      <c r="M82" s="499"/>
      <c r="N82" s="539">
        <f t="shared" ref="N82:O82" si="34">N75-N80</f>
        <v>0</v>
      </c>
      <c r="O82" s="540">
        <f t="shared" si="34"/>
        <v>0</v>
      </c>
      <c r="P82" s="418">
        <f>P75-P80</f>
        <v>0</v>
      </c>
      <c r="Q82" s="418">
        <f>Q75-Q80</f>
        <v>0</v>
      </c>
      <c r="R82" s="418"/>
      <c r="S82" s="418">
        <f>P82-Q82</f>
        <v>0</v>
      </c>
      <c r="T82" s="500">
        <f>IFERROR(SIGN(S82)*ABS(S82/Q82),0)</f>
        <v>0</v>
      </c>
      <c r="U82" s="499"/>
      <c r="V82" s="148"/>
    </row>
    <row r="83" spans="2:22" x14ac:dyDescent="0.35">
      <c r="B83" s="29" t="s">
        <v>62</v>
      </c>
      <c r="C83" s="474">
        <f t="shared" ref="C83:I83" si="35">IFERROR(C82/C$29,0)</f>
        <v>0</v>
      </c>
      <c r="D83" s="474">
        <f t="shared" si="35"/>
        <v>0</v>
      </c>
      <c r="E83" s="474">
        <f t="shared" si="35"/>
        <v>0</v>
      </c>
      <c r="F83" s="474">
        <f t="shared" si="35"/>
        <v>0</v>
      </c>
      <c r="G83" s="475">
        <f t="shared" si="35"/>
        <v>0</v>
      </c>
      <c r="H83" s="434">
        <f t="shared" si="35"/>
        <v>0</v>
      </c>
      <c r="I83" s="434">
        <f t="shared" si="35"/>
        <v>0</v>
      </c>
      <c r="J83" s="178"/>
      <c r="K83" s="434">
        <f>I83-H83</f>
        <v>0</v>
      </c>
      <c r="L83" s="434">
        <f>IFERROR(SIGN(K83)*ABS(K83/I83),0)</f>
        <v>0</v>
      </c>
      <c r="M83" s="476"/>
      <c r="N83" s="474">
        <f t="shared" ref="N83:O83" si="36">IFERROR(N82/N$29,0)</f>
        <v>0</v>
      </c>
      <c r="O83" s="475">
        <f t="shared" si="36"/>
        <v>0</v>
      </c>
      <c r="P83" s="434">
        <f>IFERROR(P82/P$29,0)</f>
        <v>0</v>
      </c>
      <c r="Q83" s="434">
        <f>IFERROR(Q82/Q$29,0)</f>
        <v>0</v>
      </c>
      <c r="R83" s="434"/>
      <c r="S83" s="434">
        <f>Q83-P83</f>
        <v>0</v>
      </c>
      <c r="T83" s="434">
        <f>IFERROR(SIGN(S83)*ABS(S83/Q83),0)</f>
        <v>0</v>
      </c>
      <c r="U83" s="476"/>
      <c r="V83" s="148"/>
    </row>
    <row r="84" spans="2:22" x14ac:dyDescent="0.35">
      <c r="B84" s="32"/>
      <c r="C84" s="519"/>
      <c r="D84" s="519"/>
      <c r="E84" s="519"/>
      <c r="F84" s="519"/>
      <c r="G84" s="520"/>
      <c r="H84" s="438"/>
      <c r="I84" s="438"/>
      <c r="J84" s="178"/>
      <c r="K84" s="438"/>
      <c r="L84" s="521"/>
      <c r="M84" s="487"/>
      <c r="N84" s="519"/>
      <c r="O84" s="520"/>
      <c r="P84" s="438"/>
      <c r="Q84" s="438"/>
      <c r="R84" s="438"/>
      <c r="S84" s="438"/>
      <c r="T84" s="521"/>
      <c r="U84" s="487"/>
      <c r="V84" s="148"/>
    </row>
    <row r="85" spans="2:22" x14ac:dyDescent="0.35">
      <c r="B85" s="32" t="s">
        <v>63</v>
      </c>
      <c r="C85" s="519">
        <f>'Detailed BTA'!C192</f>
        <v>0</v>
      </c>
      <c r="D85" s="519">
        <f>'Detailed BTA'!D192</f>
        <v>0</v>
      </c>
      <c r="E85" s="519">
        <f>'Detailed BTA'!E192</f>
        <v>0</v>
      </c>
      <c r="F85" s="519">
        <f>'Detailed BTA'!F192</f>
        <v>0</v>
      </c>
      <c r="G85" s="520">
        <f>'Detailed BTA'!G192</f>
        <v>0</v>
      </c>
      <c r="H85" s="438">
        <f>'Detailed BTA'!H192</f>
        <v>0</v>
      </c>
      <c r="I85" s="438">
        <f>'Detailed BTA'!I192</f>
        <v>0</v>
      </c>
      <c r="J85" s="178"/>
      <c r="K85" s="438">
        <f>I85-H85</f>
        <v>0</v>
      </c>
      <c r="L85" s="521">
        <f>IFERROR(SIGN(K85)*ABS(K85/I85),0)</f>
        <v>0</v>
      </c>
      <c r="M85" s="487"/>
      <c r="N85" s="519">
        <f>'Detailed BTA'!N192</f>
        <v>0</v>
      </c>
      <c r="O85" s="520">
        <f>'Detailed BTA'!O192</f>
        <v>0</v>
      </c>
      <c r="P85" s="438">
        <f>'Detailed BTA'!P192</f>
        <v>0</v>
      </c>
      <c r="Q85" s="438">
        <f>'Detailed BTA'!Q192</f>
        <v>0</v>
      </c>
      <c r="R85" s="438"/>
      <c r="S85" s="438">
        <f>Q85-P85</f>
        <v>0</v>
      </c>
      <c r="T85" s="521">
        <f>IFERROR(SIGN(S85)*ABS(S85/Q85),0)</f>
        <v>0</v>
      </c>
      <c r="U85" s="487"/>
      <c r="V85" s="148"/>
    </row>
    <row r="86" spans="2:22" x14ac:dyDescent="0.35">
      <c r="B86" s="32" t="s">
        <v>64</v>
      </c>
      <c r="C86" s="45">
        <f>'Detailed BTA'!C193</f>
        <v>0</v>
      </c>
      <c r="D86" s="45">
        <f>'Detailed BTA'!D193</f>
        <v>0</v>
      </c>
      <c r="E86" s="45">
        <f>'Detailed BTA'!E193</f>
        <v>0</v>
      </c>
      <c r="F86" s="45">
        <f>'Detailed BTA'!F193</f>
        <v>0</v>
      </c>
      <c r="G86" s="176">
        <f>'Detailed BTA'!G193</f>
        <v>0</v>
      </c>
      <c r="H86" s="138">
        <f>'Detailed BTA'!H193</f>
        <v>0</v>
      </c>
      <c r="I86" s="138">
        <f>'Detailed BTA'!I193</f>
        <v>0</v>
      </c>
      <c r="J86" s="178"/>
      <c r="K86" s="138">
        <f>I86-H86</f>
        <v>0</v>
      </c>
      <c r="L86" s="175">
        <f>IFERROR(SIGN(K86)*ABS(K86/I86),0)</f>
        <v>0</v>
      </c>
      <c r="M86" s="174"/>
      <c r="N86" s="45">
        <f>'Detailed BTA'!N193</f>
        <v>0</v>
      </c>
      <c r="O86" s="176">
        <f>'Detailed BTA'!O193</f>
        <v>0</v>
      </c>
      <c r="P86" s="138">
        <f>'Detailed BTA'!P193</f>
        <v>0</v>
      </c>
      <c r="Q86" s="138">
        <f>'Detailed BTA'!Q193</f>
        <v>0</v>
      </c>
      <c r="R86" s="138"/>
      <c r="S86" s="138">
        <f>Q86-P86</f>
        <v>0</v>
      </c>
      <c r="T86" s="175">
        <f>IFERROR(SIGN(S86)*ABS(S86/Q86),0)</f>
        <v>0</v>
      </c>
      <c r="U86" s="174"/>
      <c r="V86" s="148"/>
    </row>
    <row r="87" spans="2:22" ht="16" x14ac:dyDescent="0.5">
      <c r="B87" s="32" t="s">
        <v>65</v>
      </c>
      <c r="C87" s="542">
        <f>'Detailed BTA'!C194</f>
        <v>0</v>
      </c>
      <c r="D87" s="542">
        <f>'Detailed BTA'!D194</f>
        <v>0</v>
      </c>
      <c r="E87" s="542">
        <f>'Detailed BTA'!E194</f>
        <v>0</v>
      </c>
      <c r="F87" s="542">
        <f>'Detailed BTA'!F194</f>
        <v>0</v>
      </c>
      <c r="G87" s="543">
        <f>'Detailed BTA'!G194</f>
        <v>0</v>
      </c>
      <c r="H87" s="405">
        <f>'Detailed BTA'!H194</f>
        <v>0</v>
      </c>
      <c r="I87" s="405">
        <f>'Detailed BTA'!I194</f>
        <v>0</v>
      </c>
      <c r="J87" s="178"/>
      <c r="K87" s="405">
        <f>I87-H87</f>
        <v>0</v>
      </c>
      <c r="L87" s="544">
        <f>IFERROR(SIGN(K87)*ABS(K87/I87),0)</f>
        <v>0</v>
      </c>
      <c r="M87" s="491"/>
      <c r="N87" s="542">
        <f>'Detailed BTA'!N194</f>
        <v>0</v>
      </c>
      <c r="O87" s="543">
        <f>'Detailed BTA'!O194</f>
        <v>0</v>
      </c>
      <c r="P87" s="405">
        <f>'Detailed BTA'!P194</f>
        <v>0</v>
      </c>
      <c r="Q87" s="405">
        <f>'Detailed BTA'!Q194</f>
        <v>0</v>
      </c>
      <c r="R87" s="405"/>
      <c r="S87" s="405">
        <f>Q87-P87</f>
        <v>0</v>
      </c>
      <c r="T87" s="544">
        <f>IFERROR(SIGN(S87)*ABS(S87/Q87),0)</f>
        <v>0</v>
      </c>
      <c r="U87" s="491"/>
      <c r="V87" s="148"/>
    </row>
    <row r="88" spans="2:22" x14ac:dyDescent="0.35">
      <c r="B88" s="31" t="s">
        <v>66</v>
      </c>
      <c r="C88" s="539">
        <f t="shared" ref="C88:I88" si="37">SUM(C85:C87)</f>
        <v>0</v>
      </c>
      <c r="D88" s="539">
        <f t="shared" si="37"/>
        <v>0</v>
      </c>
      <c r="E88" s="539">
        <f t="shared" si="37"/>
        <v>0</v>
      </c>
      <c r="F88" s="539">
        <f t="shared" si="37"/>
        <v>0</v>
      </c>
      <c r="G88" s="540">
        <f t="shared" si="37"/>
        <v>0</v>
      </c>
      <c r="H88" s="418">
        <f t="shared" si="37"/>
        <v>0</v>
      </c>
      <c r="I88" s="418">
        <f t="shared" si="37"/>
        <v>0</v>
      </c>
      <c r="J88" s="178"/>
      <c r="K88" s="418">
        <f>I88-H88</f>
        <v>0</v>
      </c>
      <c r="L88" s="500">
        <f>IFERROR(SIGN(K88)*ABS(K88/I88),0)</f>
        <v>0</v>
      </c>
      <c r="M88" s="499"/>
      <c r="N88" s="539">
        <f t="shared" ref="N88:O88" si="38">SUM(N85:N87)</f>
        <v>0</v>
      </c>
      <c r="O88" s="540">
        <f t="shared" si="38"/>
        <v>0</v>
      </c>
      <c r="P88" s="418">
        <f>SUM(P85:P87)</f>
        <v>0</v>
      </c>
      <c r="Q88" s="418">
        <f>SUM(Q85:Q87)</f>
        <v>0</v>
      </c>
      <c r="R88" s="418"/>
      <c r="S88" s="418">
        <f>Q88-P88</f>
        <v>0</v>
      </c>
      <c r="T88" s="500">
        <f>IFERROR(SIGN(S88)*ABS(S88/Q88),0)</f>
        <v>0</v>
      </c>
      <c r="U88" s="499"/>
      <c r="V88" s="148"/>
    </row>
    <row r="89" spans="2:22" x14ac:dyDescent="0.35">
      <c r="B89" s="32"/>
      <c r="C89" s="545"/>
      <c r="D89" s="545"/>
      <c r="E89" s="545"/>
      <c r="F89" s="545"/>
      <c r="G89" s="546"/>
      <c r="H89" s="437"/>
      <c r="I89" s="437"/>
      <c r="J89" s="178"/>
      <c r="K89" s="437"/>
      <c r="L89" s="521"/>
      <c r="M89" s="547"/>
      <c r="N89" s="545"/>
      <c r="O89" s="546"/>
      <c r="P89" s="437"/>
      <c r="Q89" s="437"/>
      <c r="R89" s="437"/>
      <c r="S89" s="437"/>
      <c r="T89" s="521"/>
      <c r="U89" s="547"/>
      <c r="V89" s="148"/>
    </row>
    <row r="90" spans="2:22" x14ac:dyDescent="0.35">
      <c r="B90" s="31" t="s">
        <v>67</v>
      </c>
      <c r="C90" s="539">
        <f t="shared" ref="C90:I90" si="39">C82-C88</f>
        <v>0</v>
      </c>
      <c r="D90" s="539">
        <f t="shared" si="39"/>
        <v>0</v>
      </c>
      <c r="E90" s="539">
        <f t="shared" si="39"/>
        <v>0</v>
      </c>
      <c r="F90" s="539">
        <f t="shared" si="39"/>
        <v>0</v>
      </c>
      <c r="G90" s="540">
        <f t="shared" si="39"/>
        <v>0</v>
      </c>
      <c r="H90" s="418">
        <f t="shared" si="39"/>
        <v>0</v>
      </c>
      <c r="I90" s="418">
        <f t="shared" si="39"/>
        <v>0</v>
      </c>
      <c r="J90" s="178"/>
      <c r="K90" s="418">
        <f>H90-I90</f>
        <v>0</v>
      </c>
      <c r="L90" s="500">
        <f>IFERROR(SIGN(K90)*ABS(K90/I90),0)</f>
        <v>0</v>
      </c>
      <c r="M90" s="499"/>
      <c r="N90" s="539">
        <f t="shared" ref="N90:O90" si="40">N82-N88</f>
        <v>0</v>
      </c>
      <c r="O90" s="540">
        <f t="shared" si="40"/>
        <v>0</v>
      </c>
      <c r="P90" s="418">
        <f>P82-P88</f>
        <v>0</v>
      </c>
      <c r="Q90" s="418">
        <f>Q82-Q88</f>
        <v>0</v>
      </c>
      <c r="R90" s="418"/>
      <c r="S90" s="418">
        <f>P90-Q90</f>
        <v>0</v>
      </c>
      <c r="T90" s="500">
        <f>IFERROR(SIGN(S90)*ABS(S90/Q90),0)</f>
        <v>0</v>
      </c>
      <c r="U90" s="499"/>
      <c r="V90" s="148"/>
    </row>
    <row r="91" spans="2:22" x14ac:dyDescent="0.35">
      <c r="B91" s="32"/>
      <c r="C91" s="545"/>
      <c r="D91" s="545"/>
      <c r="E91" s="545"/>
      <c r="F91" s="545"/>
      <c r="G91" s="546"/>
      <c r="H91" s="437"/>
      <c r="I91" s="437"/>
      <c r="J91" s="178"/>
      <c r="K91" s="437"/>
      <c r="L91" s="521"/>
      <c r="M91" s="547"/>
      <c r="N91" s="545"/>
      <c r="O91" s="546"/>
      <c r="P91" s="437"/>
      <c r="Q91" s="437"/>
      <c r="R91" s="437"/>
      <c r="S91" s="437"/>
      <c r="T91" s="521"/>
      <c r="U91" s="547"/>
      <c r="V91" s="148"/>
    </row>
    <row r="92" spans="2:22" ht="16" x14ac:dyDescent="0.5">
      <c r="B92" s="32" t="s">
        <v>68</v>
      </c>
      <c r="C92" s="548">
        <f>'Detailed BTA'!C199</f>
        <v>0</v>
      </c>
      <c r="D92" s="548">
        <f>'Detailed BTA'!D199</f>
        <v>0</v>
      </c>
      <c r="E92" s="548">
        <f>'Detailed BTA'!E199</f>
        <v>0</v>
      </c>
      <c r="F92" s="548">
        <f>'Detailed BTA'!F199</f>
        <v>0</v>
      </c>
      <c r="G92" s="549">
        <f>'Detailed BTA'!G199</f>
        <v>0</v>
      </c>
      <c r="H92" s="465">
        <f>'Detailed BTA'!H199</f>
        <v>0</v>
      </c>
      <c r="I92" s="465">
        <f>'Detailed BTA'!I199</f>
        <v>0</v>
      </c>
      <c r="J92" s="178"/>
      <c r="K92" s="465">
        <f>I92-H92</f>
        <v>0</v>
      </c>
      <c r="L92" s="550">
        <f>IFERROR(SIGN(K92)*ABS(K92/I92),0)</f>
        <v>0</v>
      </c>
      <c r="M92" s="551"/>
      <c r="N92" s="548">
        <f>'Detailed BTA'!N199</f>
        <v>0</v>
      </c>
      <c r="O92" s="549">
        <f>'Detailed BTA'!O199</f>
        <v>0</v>
      </c>
      <c r="P92" s="465">
        <f>'Detailed BTA'!P199</f>
        <v>0</v>
      </c>
      <c r="Q92" s="465">
        <f>'Detailed BTA'!Q199</f>
        <v>0</v>
      </c>
      <c r="R92" s="465"/>
      <c r="S92" s="465">
        <f>Q92-P92</f>
        <v>0</v>
      </c>
      <c r="T92" s="550">
        <f>IFERROR(SIGN(S92)*ABS(S92/Q92),0)</f>
        <v>0</v>
      </c>
      <c r="U92" s="551"/>
      <c r="V92" s="148"/>
    </row>
    <row r="93" spans="2:22" x14ac:dyDescent="0.35">
      <c r="B93" s="31" t="s">
        <v>69</v>
      </c>
      <c r="C93" s="539">
        <f t="shared" ref="C93:I93" si="41">C90-C92</f>
        <v>0</v>
      </c>
      <c r="D93" s="539">
        <f t="shared" si="41"/>
        <v>0</v>
      </c>
      <c r="E93" s="539">
        <f t="shared" si="41"/>
        <v>0</v>
      </c>
      <c r="F93" s="539">
        <f t="shared" si="41"/>
        <v>0</v>
      </c>
      <c r="G93" s="540">
        <f t="shared" si="41"/>
        <v>0</v>
      </c>
      <c r="H93" s="418">
        <f t="shared" si="41"/>
        <v>0</v>
      </c>
      <c r="I93" s="418">
        <f t="shared" si="41"/>
        <v>0</v>
      </c>
      <c r="J93" s="178"/>
      <c r="K93" s="418">
        <f>H93-I93</f>
        <v>0</v>
      </c>
      <c r="L93" s="500">
        <f>IFERROR(SIGN(K93)*ABS(K93/I93),0)</f>
        <v>0</v>
      </c>
      <c r="M93" s="499"/>
      <c r="N93" s="539">
        <f t="shared" ref="N93:O93" si="42">N90-N92</f>
        <v>0</v>
      </c>
      <c r="O93" s="540">
        <f t="shared" si="42"/>
        <v>0</v>
      </c>
      <c r="P93" s="418">
        <f>P90-P92</f>
        <v>0</v>
      </c>
      <c r="Q93" s="418">
        <f>Q90-Q92</f>
        <v>0</v>
      </c>
      <c r="R93" s="418"/>
      <c r="S93" s="418">
        <f>P93-Q93</f>
        <v>0</v>
      </c>
      <c r="T93" s="500">
        <f>IFERROR(SIGN(S93)*ABS(S93/Q93),0)</f>
        <v>0</v>
      </c>
      <c r="U93" s="499"/>
      <c r="V93" s="148"/>
    </row>
    <row r="94" spans="2:22" x14ac:dyDescent="0.35">
      <c r="B94" s="29" t="s">
        <v>70</v>
      </c>
      <c r="C94" s="474">
        <f t="shared" ref="C94:I94" si="43">IFERROR(C93/C$29,0)</f>
        <v>0</v>
      </c>
      <c r="D94" s="474">
        <f t="shared" si="43"/>
        <v>0</v>
      </c>
      <c r="E94" s="474">
        <f t="shared" si="43"/>
        <v>0</v>
      </c>
      <c r="F94" s="474">
        <f t="shared" si="43"/>
        <v>0</v>
      </c>
      <c r="G94" s="475">
        <f t="shared" si="43"/>
        <v>0</v>
      </c>
      <c r="H94" s="434">
        <f t="shared" si="43"/>
        <v>0</v>
      </c>
      <c r="I94" s="434">
        <f t="shared" si="43"/>
        <v>0</v>
      </c>
      <c r="J94" s="178"/>
      <c r="K94" s="434">
        <f>I94-H94</f>
        <v>0</v>
      </c>
      <c r="L94" s="173">
        <f>IFERROR(SIGN(K94)*ABS(K94/I94),0)</f>
        <v>0</v>
      </c>
      <c r="M94" s="180"/>
      <c r="N94" s="474">
        <f t="shared" ref="N94:O94" si="44">IFERROR(N93/N$29,0)</f>
        <v>0</v>
      </c>
      <c r="O94" s="475">
        <f t="shared" si="44"/>
        <v>0</v>
      </c>
      <c r="P94" s="434">
        <f>IFERROR(P93/P$29,0)</f>
        <v>0</v>
      </c>
      <c r="Q94" s="434">
        <f>IFERROR(Q93/Q$29,0)</f>
        <v>0</v>
      </c>
      <c r="R94" s="434"/>
      <c r="S94" s="434">
        <f>Q94-P94</f>
        <v>0</v>
      </c>
      <c r="T94" s="173">
        <f>IFERROR(SIGN(S94)*ABS(S94/Q94),0)</f>
        <v>0</v>
      </c>
      <c r="U94" s="476"/>
      <c r="V94" s="148"/>
    </row>
    <row r="95" spans="2:22" x14ac:dyDescent="0.35">
      <c r="B95" s="361"/>
      <c r="C95" s="390"/>
      <c r="D95" s="390"/>
      <c r="E95" s="390"/>
      <c r="F95" s="390"/>
      <c r="G95" s="391"/>
      <c r="H95" s="178"/>
      <c r="I95" s="178"/>
      <c r="J95" s="178"/>
      <c r="K95" s="178"/>
      <c r="L95" s="178"/>
      <c r="M95" s="180"/>
      <c r="N95" s="390"/>
      <c r="O95" s="391"/>
      <c r="P95" s="178"/>
      <c r="Q95" s="178"/>
      <c r="R95" s="178"/>
      <c r="S95" s="178"/>
      <c r="T95" s="178"/>
      <c r="U95" s="180"/>
      <c r="V95" s="148"/>
    </row>
    <row r="96" spans="2:22" x14ac:dyDescent="0.35">
      <c r="B96" s="32" t="s">
        <v>71</v>
      </c>
      <c r="C96" s="474">
        <f t="shared" ref="C96:I96" si="45">IFERROR(C92/C90,0)</f>
        <v>0</v>
      </c>
      <c r="D96" s="474">
        <f t="shared" si="45"/>
        <v>0</v>
      </c>
      <c r="E96" s="474">
        <f t="shared" si="45"/>
        <v>0</v>
      </c>
      <c r="F96" s="474">
        <f t="shared" si="45"/>
        <v>0</v>
      </c>
      <c r="G96" s="475">
        <f t="shared" si="45"/>
        <v>0</v>
      </c>
      <c r="H96" s="434">
        <f t="shared" si="45"/>
        <v>0</v>
      </c>
      <c r="I96" s="434">
        <f t="shared" si="45"/>
        <v>0</v>
      </c>
      <c r="J96" s="178"/>
      <c r="K96" s="434">
        <f>I96-H96</f>
        <v>0</v>
      </c>
      <c r="L96" s="434">
        <f>IFERROR(SIGN(K96)*ABS(K96/I96),0)</f>
        <v>0</v>
      </c>
      <c r="M96" s="180"/>
      <c r="N96" s="474">
        <f t="shared" ref="N96:O96" si="46">IFERROR(N92/N90,0)</f>
        <v>0</v>
      </c>
      <c r="O96" s="475">
        <f t="shared" si="46"/>
        <v>0</v>
      </c>
      <c r="P96" s="434">
        <f>IFERROR(P92/P90,0)</f>
        <v>0</v>
      </c>
      <c r="Q96" s="434">
        <f>IFERROR(Q92/Q90,0)</f>
        <v>0</v>
      </c>
      <c r="R96" s="178"/>
      <c r="S96" s="434">
        <f>Q96-P96</f>
        <v>0</v>
      </c>
      <c r="T96" s="434">
        <f>IFERROR(SIGN(S96)*ABS(S96/Q96),0)</f>
        <v>0</v>
      </c>
      <c r="U96" s="180"/>
      <c r="V96" s="148"/>
    </row>
    <row r="97" spans="2:22" x14ac:dyDescent="0.35">
      <c r="B97" s="361"/>
      <c r="C97" s="390"/>
      <c r="D97" s="390"/>
      <c r="E97" s="390"/>
      <c r="F97" s="390"/>
      <c r="G97" s="391"/>
      <c r="H97" s="178"/>
      <c r="I97" s="178"/>
      <c r="J97" s="178"/>
      <c r="K97" s="178"/>
      <c r="L97" s="178"/>
      <c r="M97" s="180"/>
      <c r="N97" s="390"/>
      <c r="O97" s="391"/>
      <c r="P97" s="178"/>
      <c r="Q97" s="178"/>
      <c r="R97" s="178"/>
      <c r="S97" s="178"/>
      <c r="T97" s="178"/>
      <c r="U97" s="180"/>
      <c r="V97" s="148"/>
    </row>
    <row r="98" spans="2:22" x14ac:dyDescent="0.35">
      <c r="B98" s="361" t="s">
        <v>72</v>
      </c>
      <c r="C98" s="478">
        <f>'Detailed BTA'!C205</f>
        <v>0</v>
      </c>
      <c r="D98" s="478">
        <f>'Detailed BTA'!D205</f>
        <v>0</v>
      </c>
      <c r="E98" s="478">
        <f>'Detailed BTA'!E205</f>
        <v>0</v>
      </c>
      <c r="F98" s="478">
        <f>'Detailed BTA'!F205</f>
        <v>0</v>
      </c>
      <c r="G98" s="479">
        <f>'Detailed BTA'!G205</f>
        <v>0</v>
      </c>
      <c r="H98" s="179">
        <f>'Detailed BTA'!H205</f>
        <v>0</v>
      </c>
      <c r="I98" s="179">
        <f>'Detailed BTA'!I205</f>
        <v>0</v>
      </c>
      <c r="J98" s="178"/>
      <c r="K98" s="179">
        <f>I98-H98</f>
        <v>0</v>
      </c>
      <c r="L98" s="434">
        <f>IFERROR(SIGN(K98)*ABS(K98/I98),0)</f>
        <v>0</v>
      </c>
      <c r="M98" s="180"/>
      <c r="N98" s="478">
        <f>'Detailed BTA'!N205</f>
        <v>0</v>
      </c>
      <c r="O98" s="479">
        <f>'Detailed BTA'!O205</f>
        <v>0</v>
      </c>
      <c r="P98" s="179">
        <f>'Detailed BTA'!P205</f>
        <v>0</v>
      </c>
      <c r="Q98" s="179">
        <f>'Detailed BTA'!Q205</f>
        <v>0</v>
      </c>
      <c r="R98" s="179"/>
      <c r="S98" s="179">
        <f>Q98-P98</f>
        <v>0</v>
      </c>
      <c r="T98" s="434">
        <f>IFERROR(SIGN(S98)*ABS(S98/Q98),0)</f>
        <v>0</v>
      </c>
      <c r="U98" s="480"/>
      <c r="V98" s="148"/>
    </row>
    <row r="99" spans="2:22" ht="15" thickBot="1" x14ac:dyDescent="0.4">
      <c r="B99" s="362"/>
      <c r="C99" s="481"/>
      <c r="D99" s="394"/>
      <c r="E99" s="394"/>
      <c r="F99" s="394"/>
      <c r="G99" s="395"/>
      <c r="H99" s="396"/>
      <c r="I99" s="396"/>
      <c r="J99" s="396"/>
      <c r="K99" s="396"/>
      <c r="L99" s="396"/>
      <c r="M99" s="397"/>
      <c r="N99" s="482"/>
      <c r="O99" s="483"/>
      <c r="P99" s="484"/>
      <c r="Q99" s="484"/>
      <c r="R99" s="484"/>
      <c r="S99" s="484"/>
      <c r="T99" s="484"/>
      <c r="U99" s="485"/>
      <c r="V99" s="398"/>
    </row>
  </sheetData>
  <conditionalFormatting sqref="C14:K14 N14:S14 C22:K22 N22:S22 C24:K24 N24:S24 C26:K26 N26:S26 C29:K29 N29:S29 C33:K33 N33:S33 C73:K73 N73:S73 C75:K75 N75:S75 C77:K77 N77:S77 C80:K80 N80:S80 C82:K82 N82:S82 C85:K85 N85:S85 C88:K88 N88:S88 C90:K90 N90:S90 C92:K93 N92:S93">
    <cfRule type="expression" dxfId="83" priority="1">
      <formula>$H$13="INR"</formula>
    </cfRule>
    <cfRule type="expression" dxfId="82" priority="2">
      <formula>$H$13="ILS"</formula>
    </cfRule>
    <cfRule type="expression" dxfId="81" priority="3">
      <formula>$H$13="CHF"</formula>
    </cfRule>
    <cfRule type="expression" dxfId="80" priority="4">
      <formula>$H$13="HKD"</formula>
    </cfRule>
    <cfRule type="expression" dxfId="79" priority="5">
      <formula>$H$13="AUD"</formula>
    </cfRule>
    <cfRule type="expression" dxfId="78" priority="6">
      <formula>$H$13="EUR"</formula>
    </cfRule>
    <cfRule type="expression" dxfId="77" priority="7">
      <formula>$H$13="USD"</formula>
    </cfRule>
    <cfRule type="expression" dxfId="76" priority="8">
      <formula>$H$13="GBP"</formula>
    </cfRule>
  </conditionalFormatting>
  <pageMargins left="0.25" right="0.25" top="0.75" bottom="0.75" header="0.3" footer="0.3"/>
  <pageSetup paperSize="256" scale="67"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DetailedBTA">
    <tabColor theme="4" tint="0.39997558519241921"/>
    <pageSetUpPr fitToPage="1"/>
  </sheetPr>
  <dimension ref="A1:V206"/>
  <sheetViews>
    <sheetView showGridLines="0" topLeftCell="A7" zoomScale="80" zoomScaleNormal="80" workbookViewId="0">
      <pane xSplit="2" ySplit="11" topLeftCell="C18" activePane="bottomRight" state="frozen"/>
      <selection pane="topRight"/>
      <selection pane="bottomLeft"/>
      <selection pane="bottomRight" activeCell="C18" sqref="C18"/>
    </sheetView>
  </sheetViews>
  <sheetFormatPr defaultColWidth="9.1796875" defaultRowHeight="14.5" outlineLevelRow="1" x14ac:dyDescent="0.35"/>
  <cols>
    <col min="1" max="1" width="3.7265625" style="1" customWidth="1"/>
    <col min="2" max="2" width="40.7265625" style="1" customWidth="1"/>
    <col min="3" max="9" width="14.54296875" style="1" customWidth="1"/>
    <col min="10" max="10" width="2.7265625" style="1" customWidth="1"/>
    <col min="11" max="12" width="14.54296875" style="1" customWidth="1"/>
    <col min="13" max="13" width="2.7265625" style="1" customWidth="1"/>
    <col min="14" max="17" width="14.54296875" style="1" customWidth="1"/>
    <col min="18" max="18" width="2.7265625" style="1" customWidth="1"/>
    <col min="19" max="19" width="15.26953125" style="1" customWidth="1"/>
    <col min="20" max="20" width="14.54296875" style="1" customWidth="1"/>
    <col min="21" max="21" width="2.7265625" style="1" customWidth="1"/>
    <col min="22" max="22" width="45.7265625" style="118" customWidth="1" collapsed="1"/>
    <col min="23" max="16384" width="9.1796875" style="1"/>
  </cols>
  <sheetData>
    <row r="1" spans="1:22" hidden="1" outlineLevel="1" x14ac:dyDescent="0.35">
      <c r="B1" s="3" t="str">
        <f>'PT-All'!A1&amp;" - "&amp;'PT-All'!B1</f>
        <v>Company - (All)</v>
      </c>
    </row>
    <row r="2" spans="1:22" hidden="1" outlineLevel="1" x14ac:dyDescent="0.35">
      <c r="B2" s="3" t="str">
        <f>'PT-All'!A2&amp;" - "&amp;'PT-All'!B2</f>
        <v>Team - (All)</v>
      </c>
    </row>
    <row r="3" spans="1:22" hidden="1" outlineLevel="1" x14ac:dyDescent="0.35">
      <c r="B3" s="3" t="str">
        <f>'PT-All'!A3&amp;" - "&amp;'PT-All'!B3</f>
        <v>Location - (All)</v>
      </c>
    </row>
    <row r="4" spans="1:22" hidden="1" outlineLevel="1" x14ac:dyDescent="0.35">
      <c r="B4" s="3" t="str">
        <f>'PT-All'!A4&amp;" - "&amp;'PT-All'!B4</f>
        <v>Department - (All)</v>
      </c>
      <c r="P4" s="170"/>
    </row>
    <row r="5" spans="1:22" hidden="1" outlineLevel="1" x14ac:dyDescent="0.35">
      <c r="B5" s="3" t="str">
        <f>'PT-All'!A5&amp;" - "&amp;'PT-All'!B5</f>
        <v>Division - (All)</v>
      </c>
      <c r="P5" s="169"/>
    </row>
    <row r="6" spans="1:22" hidden="1" outlineLevel="1" x14ac:dyDescent="0.35">
      <c r="B6" s="3" t="str">
        <f>'PT-All'!A6&amp;" - "&amp;'PT-All'!B6</f>
        <v>Product - (All)</v>
      </c>
    </row>
    <row r="7" spans="1:22" ht="15" collapsed="1" thickBot="1" x14ac:dyDescent="0.4"/>
    <row r="8" spans="1:22" ht="22.5" x14ac:dyDescent="0.85">
      <c r="A8"/>
      <c r="B8" s="59" t="str">
        <f>ScenarioRow&amp;" - Detailed BTA"</f>
        <v>Default - Detailed BTA</v>
      </c>
      <c r="C8" s="161"/>
      <c r="D8" s="161"/>
      <c r="E8" s="60"/>
      <c r="F8" s="60"/>
      <c r="G8" s="60"/>
      <c r="H8" s="162"/>
      <c r="I8" s="162"/>
      <c r="J8" s="161"/>
      <c r="K8" s="162"/>
      <c r="L8" s="161"/>
      <c r="M8" s="161"/>
      <c r="N8" s="161"/>
      <c r="O8" s="161"/>
      <c r="P8" s="161"/>
      <c r="Q8" s="161"/>
      <c r="R8" s="161"/>
      <c r="S8" s="162"/>
      <c r="T8" s="161"/>
      <c r="U8" s="161"/>
      <c r="V8" s="160"/>
    </row>
    <row r="9" spans="1:22" ht="17" hidden="1" outlineLevel="1" x14ac:dyDescent="0.6">
      <c r="B9" s="343">
        <v>41275</v>
      </c>
      <c r="C9" s="344"/>
      <c r="D9" s="344"/>
      <c r="E9" s="344"/>
      <c r="F9" s="344"/>
      <c r="G9" s="344"/>
      <c r="H9" s="347"/>
      <c r="I9" s="159"/>
      <c r="J9" s="121"/>
      <c r="K9" s="159"/>
      <c r="L9" s="159"/>
      <c r="M9" s="121"/>
      <c r="N9" s="349">
        <f>4*(VALUE(RIGHT(N11,4))-YEAR(ActualsStartDate))+VALUE(MID(N11,2,1))</f>
        <v>2</v>
      </c>
      <c r="O9" s="349">
        <f>4*(VALUE(RIGHT(O11,4))-YEAR(ActualsStartDate))+VALUE(MID(O11,2,1))</f>
        <v>3</v>
      </c>
      <c r="P9" s="346">
        <f>12*(YEAR(P10)-YEAR(ActualsStartDate))+(MONTH(P10)-MONTH(ActualsStartDate))+1</f>
        <v>10</v>
      </c>
      <c r="Q9" s="346">
        <f>12*(YEAR(Q10)-YEAR($B$10))+(MONTH(Q10)-MONTH($B$10))+1</f>
        <v>10</v>
      </c>
      <c r="R9" s="171"/>
      <c r="S9" s="346">
        <f>12*(YEAR(S10)-YEAR($B$10))+(MONTH(S10)-MONTH($B$10))+1</f>
        <v>11</v>
      </c>
      <c r="T9" s="346">
        <f>12*(YEAR(T10)-YEAR($B$10))+(MONTH(T10)-MONTH($B$10))+1</f>
        <v>12</v>
      </c>
      <c r="U9" s="154"/>
      <c r="V9" s="120"/>
    </row>
    <row r="10" spans="1:22" ht="17" hidden="1" outlineLevel="1" x14ac:dyDescent="0.6">
      <c r="B10" s="343">
        <v>41275</v>
      </c>
      <c r="C10" s="344" t="str">
        <f t="shared" ref="C10:H10" si="0">"Month "&amp;12*(YEAR(C11)-YEAR($B$9))+(MONTH(C11)-MONTH($B$9))+1</f>
        <v>Month 5</v>
      </c>
      <c r="D10" s="344" t="str">
        <f t="shared" si="0"/>
        <v>Month 6</v>
      </c>
      <c r="E10" s="344" t="str">
        <f t="shared" si="0"/>
        <v>Month 7</v>
      </c>
      <c r="F10" s="344" t="str">
        <f t="shared" si="0"/>
        <v>Month 8</v>
      </c>
      <c r="G10" s="344" t="str">
        <f t="shared" si="0"/>
        <v>Month 9</v>
      </c>
      <c r="H10" s="345" t="str">
        <f t="shared" si="0"/>
        <v>Month 10</v>
      </c>
      <c r="I10" s="348" t="str">
        <f>"Month "&amp;12*(YEAR(DriverDate)-YEAR($B$10))+(MONTH(DriverDate)-MONTH($B$10))+1</f>
        <v>Month 10</v>
      </c>
      <c r="J10" s="121"/>
      <c r="K10" s="159"/>
      <c r="L10" s="159"/>
      <c r="M10" s="121"/>
      <c r="N10" s="163">
        <f>EDATE(O10,-3)</f>
        <v>41365</v>
      </c>
      <c r="O10" s="166">
        <f>EDATE(P10,-3)</f>
        <v>41456</v>
      </c>
      <c r="P10" s="159">
        <f>DATE(YEAR(DriverDate),MONTH(DriverDate)-(2-((ROUNDUP(MONTH(DriverDate)/3,0)-MONTH(DriverDate)/3)*6/2)),1)</f>
        <v>41548</v>
      </c>
      <c r="Q10" s="159">
        <f>P10</f>
        <v>41548</v>
      </c>
      <c r="R10"/>
      <c r="S10" s="642">
        <f>EDATE(Q10,1)</f>
        <v>41579</v>
      </c>
      <c r="T10" s="642">
        <f>EDATE(S10,1)</f>
        <v>41609</v>
      </c>
      <c r="U10" s="154"/>
      <c r="V10" s="120"/>
    </row>
    <row r="11" spans="1:22" ht="17" collapsed="1" x14ac:dyDescent="0.6">
      <c r="B11" s="338" t="s">
        <v>1217</v>
      </c>
      <c r="C11" s="10">
        <f>EDATE(D11,-1)</f>
        <v>41395</v>
      </c>
      <c r="D11" s="10">
        <f>EDATE(E11,-1)</f>
        <v>41426</v>
      </c>
      <c r="E11" s="10">
        <f>EDATE(F11,-1)</f>
        <v>41456</v>
      </c>
      <c r="F11" s="10">
        <f>EDATE(G11,-1)</f>
        <v>41487</v>
      </c>
      <c r="G11" s="158">
        <f>EDATE(H11,-1)</f>
        <v>41518</v>
      </c>
      <c r="H11" s="662">
        <v>41548</v>
      </c>
      <c r="I11" s="156"/>
      <c r="J11" s="121"/>
      <c r="K11" s="154" t="s">
        <v>217</v>
      </c>
      <c r="L11" s="154"/>
      <c r="M11" s="124"/>
      <c r="N11" s="164" t="str">
        <f>"Q"&amp;IF(ROUNDUP(MONTH(EDATE(N10,2))/3,0)=MONTH(EDATE(N10,2))/3,MONTH(EDATE(N10,2))/3,"TD")&amp;TEXT(EDATE(N10,2)," yyyy")</f>
        <v>Q2 2013</v>
      </c>
      <c r="O11" s="167" t="str">
        <f>"Q"&amp;IF(ROUNDUP(MONTH(EDATE(O10,2))/3,0)=MONTH(EDATE(O10,2))/3,MONTH(EDATE(O10,2))/3,"TD")&amp;TEXT(EDATE(O10,2)," yyyy")</f>
        <v>Q3 2013</v>
      </c>
      <c r="P11" s="154" t="str">
        <f>IF($T$12,"Q"&amp;ROUNDUP(MONTH(DriverDate)/3,0)&amp;TEXT(DriverDate," yyyy"),"Q"&amp;IF(ROUNDUP(MONTH(DriverDate)/3,0)=MONTH(DriverDate)/3,MONTH(DriverDate)/3,"TD")&amp;TEXT(DriverDate," yyyy"))</f>
        <v>QTD 2013</v>
      </c>
      <c r="Q11" s="154"/>
      <c r="R11" s="155"/>
      <c r="S11" s="154" t="s">
        <v>217</v>
      </c>
      <c r="T11" s="154"/>
      <c r="U11" s="182"/>
      <c r="V11" s="153" t="s">
        <v>216</v>
      </c>
    </row>
    <row r="12" spans="1:22" ht="17" outlineLevel="1" x14ac:dyDescent="0.6">
      <c r="B12" s="338"/>
      <c r="C12" s="632" t="str">
        <f t="shared" ref="C12:F12" si="1">D12</f>
        <v>Live Revenue</v>
      </c>
      <c r="D12" s="632" t="str">
        <f t="shared" si="1"/>
        <v>Live Revenue</v>
      </c>
      <c r="E12" s="632" t="str">
        <f t="shared" si="1"/>
        <v>Live Revenue</v>
      </c>
      <c r="F12" s="632" t="str">
        <f t="shared" si="1"/>
        <v>Live Revenue</v>
      </c>
      <c r="G12" s="633" t="str">
        <f>H12</f>
        <v>Live Revenue</v>
      </c>
      <c r="H12" s="631" t="str">
        <f>I12</f>
        <v>Live Revenue</v>
      </c>
      <c r="I12" s="631" t="s">
        <v>1210</v>
      </c>
      <c r="J12" s="121"/>
      <c r="K12" s="154"/>
      <c r="L12" s="154"/>
      <c r="M12" s="124"/>
      <c r="N12" s="634" t="str">
        <f t="shared" ref="N12:O12" si="2">O12</f>
        <v>Live Revenue</v>
      </c>
      <c r="O12" s="635" t="str">
        <f t="shared" si="2"/>
        <v>Live Revenue</v>
      </c>
      <c r="P12" s="631" t="str">
        <f>Q12</f>
        <v>Live Revenue</v>
      </c>
      <c r="Q12" s="631" t="str">
        <f>I12</f>
        <v>Live Revenue</v>
      </c>
      <c r="R12" s="155"/>
      <c r="S12" s="659" t="s">
        <v>3750</v>
      </c>
      <c r="T12" s="666" t="b">
        <v>0</v>
      </c>
      <c r="U12" s="182"/>
      <c r="V12" s="153"/>
    </row>
    <row r="13" spans="1:22" ht="17" outlineLevel="1" x14ac:dyDescent="0.6">
      <c r="B13" s="338"/>
      <c r="C13" s="632"/>
      <c r="D13" s="632"/>
      <c r="E13" s="632"/>
      <c r="F13" s="632"/>
      <c r="G13" s="633"/>
      <c r="H13" s="631"/>
      <c r="I13" s="631"/>
      <c r="J13" s="121"/>
      <c r="K13" s="154"/>
      <c r="L13" s="154"/>
      <c r="M13" s="124"/>
      <c r="N13" s="658"/>
      <c r="O13" s="633"/>
      <c r="P13" s="664" t="str">
        <f>ActualsScenario</f>
        <v>Actual</v>
      </c>
      <c r="Q13" s="664" t="str">
        <f>DriverScenario</f>
        <v>Forecast</v>
      </c>
      <c r="R13" s="155"/>
      <c r="S13" s="660" t="s">
        <v>3751</v>
      </c>
      <c r="T13" s="667" t="b">
        <f>TRUE</f>
        <v>1</v>
      </c>
      <c r="U13" s="182"/>
      <c r="V13" s="153"/>
    </row>
    <row r="14" spans="1:22" ht="17" outlineLevel="1" x14ac:dyDescent="0.6">
      <c r="B14" s="338"/>
      <c r="C14" s="632"/>
      <c r="D14" s="632"/>
      <c r="E14" s="632"/>
      <c r="F14" s="632"/>
      <c r="G14" s="633"/>
      <c r="H14" s="631"/>
      <c r="I14" s="631"/>
      <c r="J14" s="121"/>
      <c r="K14" s="154"/>
      <c r="L14" s="154"/>
      <c r="M14" s="124"/>
      <c r="N14" s="658"/>
      <c r="O14" s="633"/>
      <c r="P14" s="664" t="str">
        <f>ActualsScenario</f>
        <v>Actual</v>
      </c>
      <c r="Q14" s="664" t="str">
        <f>DriverScenario</f>
        <v>Forecast</v>
      </c>
      <c r="R14" s="155"/>
      <c r="S14" s="660" t="s">
        <v>3752</v>
      </c>
      <c r="T14" s="667" t="b">
        <f>IF(OR($T$12,$S$10&lt;=DriverDate),TRUE,FALSE)</f>
        <v>0</v>
      </c>
      <c r="U14" s="182"/>
      <c r="V14" s="153"/>
    </row>
    <row r="15" spans="1:22" ht="17" outlineLevel="1" x14ac:dyDescent="0.6">
      <c r="B15" s="552" t="str">
        <f>FileGroupName</f>
        <v>Default</v>
      </c>
      <c r="C15" s="10" t="str">
        <f t="shared" ref="C15:F15" si="3">D15</f>
        <v>Actual</v>
      </c>
      <c r="D15" s="10" t="str">
        <f t="shared" si="3"/>
        <v>Actual</v>
      </c>
      <c r="E15" s="10" t="str">
        <f t="shared" si="3"/>
        <v>Actual</v>
      </c>
      <c r="F15" s="10" t="str">
        <f t="shared" si="3"/>
        <v>Actual</v>
      </c>
      <c r="G15" s="158" t="str">
        <f>H15</f>
        <v>Actual</v>
      </c>
      <c r="H15" s="662" t="s">
        <v>212</v>
      </c>
      <c r="I15" s="663" t="s">
        <v>0</v>
      </c>
      <c r="J15" s="121"/>
      <c r="K15" s="154"/>
      <c r="L15" s="154"/>
      <c r="M15" s="124"/>
      <c r="N15" s="10" t="str">
        <f t="shared" ref="N15:O17" si="4">O15</f>
        <v>Actual</v>
      </c>
      <c r="O15" s="152" t="str">
        <f t="shared" si="4"/>
        <v>Actual</v>
      </c>
      <c r="P15" s="665" t="str">
        <f>ActualsScenario</f>
        <v>Actual</v>
      </c>
      <c r="Q15" s="663" t="str">
        <f>DriverScenario</f>
        <v>Forecast</v>
      </c>
      <c r="R15" s="155"/>
      <c r="S15" s="660" t="s">
        <v>3753</v>
      </c>
      <c r="T15" s="667" t="b">
        <f>IF(OR($T$12,$T$10&lt;=DriverDate),TRUE,FALSE)</f>
        <v>0</v>
      </c>
      <c r="U15" s="372"/>
      <c r="V15" s="153"/>
    </row>
    <row r="16" spans="1:22" ht="17" x14ac:dyDescent="0.6">
      <c r="B16" s="62"/>
      <c r="C16" s="10" t="str">
        <f t="shared" ref="C16:F16" si="5">D16</f>
        <v>Actual</v>
      </c>
      <c r="D16" s="10" t="str">
        <f t="shared" si="5"/>
        <v>Actual</v>
      </c>
      <c r="E16" s="10" t="str">
        <f t="shared" si="5"/>
        <v>Actual</v>
      </c>
      <c r="F16" s="10" t="str">
        <f t="shared" si="5"/>
        <v>Actual</v>
      </c>
      <c r="G16" s="152" t="str">
        <f>H16</f>
        <v>Actual</v>
      </c>
      <c r="H16" s="151" t="str">
        <f>H15</f>
        <v>Actual</v>
      </c>
      <c r="I16" s="150" t="s">
        <v>220</v>
      </c>
      <c r="J16" s="121"/>
      <c r="K16" s="149" t="s">
        <v>215</v>
      </c>
      <c r="L16" s="149" t="s">
        <v>214</v>
      </c>
      <c r="M16" s="124"/>
      <c r="N16" s="10" t="str">
        <f t="shared" si="4"/>
        <v>Actual</v>
      </c>
      <c r="O16" s="152" t="str">
        <f t="shared" si="4"/>
        <v>Actual</v>
      </c>
      <c r="P16" s="151" t="str">
        <f>H16</f>
        <v>Actual</v>
      </c>
      <c r="Q16" s="151" t="str">
        <f>I16</f>
        <v>Budget</v>
      </c>
      <c r="R16" s="150"/>
      <c r="S16" s="149" t="s">
        <v>215</v>
      </c>
      <c r="T16" s="149" t="s">
        <v>214</v>
      </c>
      <c r="U16" s="373"/>
      <c r="V16" s="120"/>
    </row>
    <row r="17" spans="2:22" ht="17" x14ac:dyDescent="0.6">
      <c r="B17" s="62"/>
      <c r="C17" s="10" t="str">
        <f>D17</f>
        <v>USD</v>
      </c>
      <c r="D17" s="10" t="str">
        <f>E17</f>
        <v>USD</v>
      </c>
      <c r="E17" s="10" t="str">
        <f>F17</f>
        <v>USD</v>
      </c>
      <c r="F17" s="10" t="str">
        <f>G17</f>
        <v>USD</v>
      </c>
      <c r="G17" s="152" t="str">
        <f>H17</f>
        <v>USD</v>
      </c>
      <c r="H17" s="151" t="s">
        <v>224</v>
      </c>
      <c r="I17" s="151" t="str">
        <f>H17</f>
        <v>USD</v>
      </c>
      <c r="J17" s="121"/>
      <c r="K17" s="149"/>
      <c r="L17" s="149"/>
      <c r="M17" s="124"/>
      <c r="N17" s="10" t="str">
        <f t="shared" si="4"/>
        <v>USD</v>
      </c>
      <c r="O17" s="152" t="str">
        <f t="shared" si="4"/>
        <v>USD</v>
      </c>
      <c r="P17" s="151" t="str">
        <f>H17</f>
        <v>USD</v>
      </c>
      <c r="Q17" s="151" t="str">
        <f>P17</f>
        <v>USD</v>
      </c>
      <c r="R17" s="150"/>
      <c r="S17" s="149"/>
      <c r="T17" s="149"/>
      <c r="U17" s="373"/>
      <c r="V17" s="120"/>
    </row>
    <row r="18" spans="2:22" x14ac:dyDescent="0.35">
      <c r="B18" s="356" t="s">
        <v>1</v>
      </c>
      <c r="C18" s="375">
        <f>IFERROR(GETPIVOTDATA("Sum of "&amp;TEXT(C$10,"mmm-yyyy"),'PT-All'!$A$1,"Scenario",IF(C$15="Forecast",C$12,C$15),"P&amp;L Item",$B18),0)</f>
        <v>0</v>
      </c>
      <c r="D18" s="375">
        <f>IFERROR(GETPIVOTDATA("Sum of "&amp;TEXT(D$10,"mmm-yyyy"),'PT-All'!$A$1,"Scenario",IF(D$15="Forecast",D$12,D$15),"P&amp;L Item",$B18),0)</f>
        <v>0</v>
      </c>
      <c r="E18" s="375">
        <f>IFERROR(GETPIVOTDATA("Sum of "&amp;TEXT(E$10,"mmm-yyyy"),'PT-All'!$A$1,"Scenario",IF(E$15="Forecast",E$12,E$15),"P&amp;L Item",$B18),0)</f>
        <v>0</v>
      </c>
      <c r="F18" s="375">
        <f>IFERROR(GETPIVOTDATA("Sum of "&amp;TEXT(F$10,"mmm-yyyy"),'PT-All'!$A$1,"Scenario",IF(F$15="Forecast",F$12,F$15),"P&amp;L Item",$B18),0)</f>
        <v>0</v>
      </c>
      <c r="G18" s="376">
        <f>IFERROR(GETPIVOTDATA("Sum of "&amp;TEXT(G$10,"mmm-yyyy"),'PT-All'!$A$1,"Scenario",IF(G$15="Forecast",G$12,G$15),"P&amp;L Item",$B18),0)</f>
        <v>0</v>
      </c>
      <c r="H18" s="377">
        <f>IFERROR(GETPIVOTDATA("Sum of "&amp;TEXT(H$10,"mmm-yyyy"),'PT-All'!$A$1,"Scenario",IF(H$15="Forecast",H$12,H$15),"P&amp;L Item",$B18),0)</f>
        <v>0</v>
      </c>
      <c r="I18" s="377">
        <f>IFERROR(GETPIVOTDATA("Sum of "&amp;TEXT(I$10,"mmm-yyyy"),'PT-All'!$A$1,"Scenario",IF(I$15="Forecast",I$12,I$15),"P&amp;L Item",$B18),0)</f>
        <v>0</v>
      </c>
      <c r="J18" s="178"/>
      <c r="K18" s="377">
        <f t="shared" ref="K18:K26" si="6">H18-I18</f>
        <v>0</v>
      </c>
      <c r="L18" s="143">
        <f t="shared" ref="L18:L26" si="7">IFERROR(SIGN(K18)*ABS(K18/I18),0)</f>
        <v>0</v>
      </c>
      <c r="M18" s="180"/>
      <c r="N18" s="375">
        <f>IFERROR(GETPIVOTDATA("Sum of Q"&amp;N$9,'PT-All'!$A$1,"Scenario",IF(N$15="Forecast",N$12,N$15),"P&amp;L Item",$B18),0)</f>
        <v>0</v>
      </c>
      <c r="O18" s="376">
        <f>IFERROR(GETPIVOTDATA("Sum of Q"&amp;O$9,'PT-All'!$A$1,"Scenario",IF(O$15="Forecast",O$12,O$15),"P&amp;L Item",$B18),0)</f>
        <v>0</v>
      </c>
      <c r="P18" s="377">
        <f>IF($T$13,IFERROR(GETPIVOTDATA("Sum of Month "&amp;$Q$9,'PT-All'!$A$1,"Scenario",IF(P$13="Forecast",P$12,P$13),"P&amp;L Item",$B18),0),0)+IF($T$14,IFERROR(GETPIVOTDATA("Sum of Month "&amp;$S$9,'PT-All'!$A$1,"Scenario",IF(P$14="Forecast",P$12,P$14),"P&amp;L Item",$B18),0),0)+IF($T$15,IFERROR(GETPIVOTDATA("Sum of Month "&amp;$T$9,'PT-All'!$A$1,"Scenario",IF(P$15="Forecast",P$12,P$15),"P&amp;L Item",$B18),0),0)</f>
        <v>0</v>
      </c>
      <c r="Q18" s="377">
        <f>IF($T$13,IFERROR(GETPIVOTDATA("Sum of Month "&amp;$Q$9,'PT-All'!$A$1,"Scenario",IF(Q$13="Forecast",Q$12,Q$13),"P&amp;L Item",$B18),0),0)+IF($T$14,IFERROR(GETPIVOTDATA("Sum of Month "&amp;$S$9,'PT-All'!$A$1,"Scenario",IF(Q$14="Forecast",Q$12,Q$14),"P&amp;L Item",$B18),0),0)+IF($T$15,IFERROR(GETPIVOTDATA("Sum of Month "&amp;$T$9,'PT-All'!$A$1,"Scenario",IF(Q$15="Forecast",Q$12,Q$15),"P&amp;L Item",$B18),0),0)</f>
        <v>0</v>
      </c>
      <c r="R18" s="399"/>
      <c r="S18" s="377">
        <f t="shared" ref="S18:S26" si="8">P18-Q18</f>
        <v>0</v>
      </c>
      <c r="T18" s="143">
        <f t="shared" ref="T18:T26" si="9">IFERROR(SIGN(S18)*ABS(S18/Q18),0)</f>
        <v>0</v>
      </c>
      <c r="U18" s="374"/>
      <c r="V18" s="148"/>
    </row>
    <row r="19" spans="2:22" x14ac:dyDescent="0.35">
      <c r="B19" s="356" t="s">
        <v>2</v>
      </c>
      <c r="C19" s="69">
        <f>IFERROR(GETPIVOTDATA("Sum of "&amp;TEXT(C$10,"mmm-yyyy"),'PT-All'!$A$1,"Scenario",IF(C$15="Forecast",C$12,C$15),"P&amp;L Item",$B19),0)</f>
        <v>0</v>
      </c>
      <c r="D19" s="69">
        <f>IFERROR(GETPIVOTDATA("Sum of "&amp;TEXT(D$10,"mmm-yyyy"),'PT-All'!$A$1,"Scenario",IF(D$15="Forecast",D$12,D$15),"P&amp;L Item",$B19),0)</f>
        <v>0</v>
      </c>
      <c r="E19" s="69">
        <f>IFERROR(GETPIVOTDATA("Sum of "&amp;TEXT(E$10,"mmm-yyyy"),'PT-All'!$A$1,"Scenario",IF(E$15="Forecast",E$12,E$15),"P&amp;L Item",$B19),0)</f>
        <v>0</v>
      </c>
      <c r="F19" s="69">
        <f>IFERROR(GETPIVOTDATA("Sum of "&amp;TEXT(F$10,"mmm-yyyy"),'PT-All'!$A$1,"Scenario",IF(F$15="Forecast",F$12,F$15),"P&amp;L Item",$B19),0)</f>
        <v>0</v>
      </c>
      <c r="G19" s="145">
        <f>IFERROR(GETPIVOTDATA("Sum of "&amp;TEXT(G$10,"mmm-yyyy"),'PT-All'!$A$1,"Scenario",IF(G$15="Forecast",G$12,G$15),"P&amp;L Item",$B19),0)</f>
        <v>0</v>
      </c>
      <c r="H19" s="144">
        <f>IFERROR(GETPIVOTDATA("Sum of "&amp;TEXT(H$10,"mmm-yyyy"),'PT-All'!$A$1,"Scenario",IF(H$15="Forecast",H$12,H$15),"P&amp;L Item",$B19),0)</f>
        <v>0</v>
      </c>
      <c r="I19" s="144">
        <f>IFERROR(GETPIVOTDATA("Sum of "&amp;TEXT(I$10,"mmm-yyyy"),'PT-All'!$A$1,"Scenario",IF(I$15="Forecast",I$12,I$15),"P&amp;L Item",$B19),0)</f>
        <v>0</v>
      </c>
      <c r="J19" s="178"/>
      <c r="K19" s="144">
        <f t="shared" si="6"/>
        <v>0</v>
      </c>
      <c r="L19" s="143">
        <f t="shared" si="7"/>
        <v>0</v>
      </c>
      <c r="M19" s="180"/>
      <c r="N19" s="69">
        <f>IFERROR(GETPIVOTDATA("Sum of Q"&amp;N$9,'PT-All'!$A$1,"Scenario",IF(N$15="Forecast",N$12,N$15),"P&amp;L Item",$B19),0)</f>
        <v>0</v>
      </c>
      <c r="O19" s="145">
        <f>IFERROR(GETPIVOTDATA("Sum of Q"&amp;O$9,'PT-All'!$A$1,"Scenario",IF(O$15="Forecast",O$12,O$15),"P&amp;L Item",$B19),0)</f>
        <v>0</v>
      </c>
      <c r="P19" s="144">
        <f>IF($T$13,IFERROR(GETPIVOTDATA("Sum of Month "&amp;$Q$9,'PT-All'!$A$1,"Scenario",IF(P$13="Forecast",P$12,P$13),"P&amp;L Item",$B19),0),0)+IF($T$14,IFERROR(GETPIVOTDATA("Sum of Month "&amp;$S$9,'PT-All'!$A$1,"Scenario",IF(P$14="Forecast",P$12,P$14),"P&amp;L Item",$B19),0),0)+IF($T$15,IFERROR(GETPIVOTDATA("Sum of Month "&amp;$T$9,'PT-All'!$A$1,"Scenario",IF(P$15="Forecast",P$12,P$15),"P&amp;L Item",$B19),0),0)</f>
        <v>0</v>
      </c>
      <c r="Q19" s="144">
        <f>IF($T$13,IFERROR(GETPIVOTDATA("Sum of Month "&amp;$Q$9,'PT-All'!$A$1,"Scenario",IF(Q$13="Forecast",Q$12,Q$13),"P&amp;L Item",$B19),0),0)+IF($T$14,IFERROR(GETPIVOTDATA("Sum of Month "&amp;$S$9,'PT-All'!$A$1,"Scenario",IF(Q$14="Forecast",Q$12,Q$14),"P&amp;L Item",$B19),0),0)+IF($T$15,IFERROR(GETPIVOTDATA("Sum of Month "&amp;$T$9,'PT-All'!$A$1,"Scenario",IF(Q$15="Forecast",Q$12,Q$15),"P&amp;L Item",$B19),0),0)</f>
        <v>0</v>
      </c>
      <c r="R19" s="400"/>
      <c r="S19" s="144">
        <f t="shared" si="8"/>
        <v>0</v>
      </c>
      <c r="T19" s="143">
        <f t="shared" si="9"/>
        <v>0</v>
      </c>
      <c r="U19" s="374"/>
      <c r="V19" s="148"/>
    </row>
    <row r="20" spans="2:22" x14ac:dyDescent="0.35">
      <c r="B20" s="356" t="s">
        <v>3</v>
      </c>
      <c r="C20" s="69">
        <f>IFERROR(GETPIVOTDATA("Sum of "&amp;TEXT(C$10,"mmm-yyyy"),'PT-All'!$A$1,"Scenario",IF(C$15="Forecast",C$12,C$15),"P&amp;L Item",$B20),0)</f>
        <v>0</v>
      </c>
      <c r="D20" s="69">
        <f>IFERROR(GETPIVOTDATA("Sum of "&amp;TEXT(D$10,"mmm-yyyy"),'PT-All'!$A$1,"Scenario",IF(D$15="Forecast",D$12,D$15),"P&amp;L Item",$B20),0)</f>
        <v>0</v>
      </c>
      <c r="E20" s="69">
        <f>IFERROR(GETPIVOTDATA("Sum of "&amp;TEXT(E$10,"mmm-yyyy"),'PT-All'!$A$1,"Scenario",IF(E$15="Forecast",E$12,E$15),"P&amp;L Item",$B20),0)</f>
        <v>0</v>
      </c>
      <c r="F20" s="69">
        <f>IFERROR(GETPIVOTDATA("Sum of "&amp;TEXT(F$10,"mmm-yyyy"),'PT-All'!$A$1,"Scenario",IF(F$15="Forecast",F$12,F$15),"P&amp;L Item",$B20),0)</f>
        <v>0</v>
      </c>
      <c r="G20" s="145">
        <f>IFERROR(GETPIVOTDATA("Sum of "&amp;TEXT(G$10,"mmm-yyyy"),'PT-All'!$A$1,"Scenario",IF(G$15="Forecast",G$12,G$15),"P&amp;L Item",$B20),0)</f>
        <v>0</v>
      </c>
      <c r="H20" s="144">
        <f>IFERROR(GETPIVOTDATA("Sum of "&amp;TEXT(H$10,"mmm-yyyy"),'PT-All'!$A$1,"Scenario",IF(H$15="Forecast",H$12,H$15),"P&amp;L Item",$B20),0)</f>
        <v>0</v>
      </c>
      <c r="I20" s="144">
        <f>IFERROR(GETPIVOTDATA("Sum of "&amp;TEXT(I$10,"mmm-yyyy"),'PT-All'!$A$1,"Scenario",IF(I$15="Forecast",I$12,I$15),"P&amp;L Item",$B20),0)</f>
        <v>0</v>
      </c>
      <c r="J20" s="178"/>
      <c r="K20" s="144">
        <f t="shared" si="6"/>
        <v>0</v>
      </c>
      <c r="L20" s="143">
        <f t="shared" si="7"/>
        <v>0</v>
      </c>
      <c r="M20" s="180"/>
      <c r="N20" s="69">
        <f>IFERROR(GETPIVOTDATA("Sum of Q"&amp;N$9,'PT-All'!$A$1,"Scenario",IF(N$15="Forecast",N$12,N$15),"P&amp;L Item",$B20),0)</f>
        <v>0</v>
      </c>
      <c r="O20" s="145">
        <f>IFERROR(GETPIVOTDATA("Sum of Q"&amp;O$9,'PT-All'!$A$1,"Scenario",IF(O$15="Forecast",O$12,O$15),"P&amp;L Item",$B20),0)</f>
        <v>0</v>
      </c>
      <c r="P20" s="144">
        <f>IF($T$13,IFERROR(GETPIVOTDATA("Sum of Month "&amp;$Q$9,'PT-All'!$A$1,"Scenario",IF(P$13="Forecast",P$12,P$13),"P&amp;L Item",$B20),0),0)+IF($T$14,IFERROR(GETPIVOTDATA("Sum of Month "&amp;$S$9,'PT-All'!$A$1,"Scenario",IF(P$14="Forecast",P$12,P$14),"P&amp;L Item",$B20),0),0)+IF($T$15,IFERROR(GETPIVOTDATA("Sum of Month "&amp;$T$9,'PT-All'!$A$1,"Scenario",IF(P$15="Forecast",P$12,P$15),"P&amp;L Item",$B20),0),0)</f>
        <v>0</v>
      </c>
      <c r="Q20" s="144">
        <f>IF($T$13,IFERROR(GETPIVOTDATA("Sum of Month "&amp;$Q$9,'PT-All'!$A$1,"Scenario",IF(Q$13="Forecast",Q$12,Q$13),"P&amp;L Item",$B20),0),0)+IF($T$14,IFERROR(GETPIVOTDATA("Sum of Month "&amp;$S$9,'PT-All'!$A$1,"Scenario",IF(Q$14="Forecast",Q$12,Q$14),"P&amp;L Item",$B20),0),0)+IF($T$15,IFERROR(GETPIVOTDATA("Sum of Month "&amp;$T$9,'PT-All'!$A$1,"Scenario",IF(Q$15="Forecast",Q$12,Q$15),"P&amp;L Item",$B20),0),0)</f>
        <v>0</v>
      </c>
      <c r="R20" s="400"/>
      <c r="S20" s="144">
        <f t="shared" si="8"/>
        <v>0</v>
      </c>
      <c r="T20" s="143">
        <f t="shared" si="9"/>
        <v>0</v>
      </c>
      <c r="U20" s="374"/>
      <c r="V20" s="148"/>
    </row>
    <row r="21" spans="2:22" x14ac:dyDescent="0.35">
      <c r="B21" s="356" t="s">
        <v>4</v>
      </c>
      <c r="C21" s="69">
        <f>IFERROR(GETPIVOTDATA("Sum of "&amp;TEXT(C$10,"mmm-yyyy"),'PT-All'!$A$1,"Scenario",IF(C$15="Forecast",C$12,C$15),"P&amp;L Item",$B21),0)</f>
        <v>0</v>
      </c>
      <c r="D21" s="69">
        <f>IFERROR(GETPIVOTDATA("Sum of "&amp;TEXT(D$10,"mmm-yyyy"),'PT-All'!$A$1,"Scenario",IF(D$15="Forecast",D$12,D$15),"P&amp;L Item",$B21),0)</f>
        <v>0</v>
      </c>
      <c r="E21" s="69">
        <f>IFERROR(GETPIVOTDATA("Sum of "&amp;TEXT(E$10,"mmm-yyyy"),'PT-All'!$A$1,"Scenario",IF(E$15="Forecast",E$12,E$15),"P&amp;L Item",$B21),0)</f>
        <v>0</v>
      </c>
      <c r="F21" s="69">
        <f>IFERROR(GETPIVOTDATA("Sum of "&amp;TEXT(F$10,"mmm-yyyy"),'PT-All'!$A$1,"Scenario",IF(F$15="Forecast",F$12,F$15),"P&amp;L Item",$B21),0)</f>
        <v>0</v>
      </c>
      <c r="G21" s="145">
        <f>IFERROR(GETPIVOTDATA("Sum of "&amp;TEXT(G$10,"mmm-yyyy"),'PT-All'!$A$1,"Scenario",IF(G$15="Forecast",G$12,G$15),"P&amp;L Item",$B21),0)</f>
        <v>0</v>
      </c>
      <c r="H21" s="144">
        <f>IFERROR(GETPIVOTDATA("Sum of "&amp;TEXT(H$10,"mmm-yyyy"),'PT-All'!$A$1,"Scenario",IF(H$15="Forecast",H$12,H$15),"P&amp;L Item",$B21),0)</f>
        <v>0</v>
      </c>
      <c r="I21" s="144">
        <f>IFERROR(GETPIVOTDATA("Sum of "&amp;TEXT(I$10,"mmm-yyyy"),'PT-All'!$A$1,"Scenario",IF(I$15="Forecast",I$12,I$15),"P&amp;L Item",$B21),0)</f>
        <v>0</v>
      </c>
      <c r="J21" s="178"/>
      <c r="K21" s="144">
        <f t="shared" si="6"/>
        <v>0</v>
      </c>
      <c r="L21" s="143">
        <f t="shared" si="7"/>
        <v>0</v>
      </c>
      <c r="M21" s="180"/>
      <c r="N21" s="69">
        <f>IFERROR(GETPIVOTDATA("Sum of Q"&amp;N$9,'PT-All'!$A$1,"Scenario",IF(N$15="Forecast",N$12,N$15),"P&amp;L Item",$B21),0)</f>
        <v>0</v>
      </c>
      <c r="O21" s="145">
        <f>IFERROR(GETPIVOTDATA("Sum of Q"&amp;O$9,'PT-All'!$A$1,"Scenario",IF(O$15="Forecast",O$12,O$15),"P&amp;L Item",$B21),0)</f>
        <v>0</v>
      </c>
      <c r="P21" s="144">
        <f>IF($T$13,IFERROR(GETPIVOTDATA("Sum of Month "&amp;$Q$9,'PT-All'!$A$1,"Scenario",IF(P$13="Forecast",P$12,P$13),"P&amp;L Item",$B21),0),0)+IF($T$14,IFERROR(GETPIVOTDATA("Sum of Month "&amp;$S$9,'PT-All'!$A$1,"Scenario",IF(P$14="Forecast",P$12,P$14),"P&amp;L Item",$B21),0),0)+IF($T$15,IFERROR(GETPIVOTDATA("Sum of Month "&amp;$T$9,'PT-All'!$A$1,"Scenario",IF(P$15="Forecast",P$12,P$15),"P&amp;L Item",$B21),0),0)</f>
        <v>0</v>
      </c>
      <c r="Q21" s="144">
        <f>IF($T$13,IFERROR(GETPIVOTDATA("Sum of Month "&amp;$Q$9,'PT-All'!$A$1,"Scenario",IF(Q$13="Forecast",Q$12,Q$13),"P&amp;L Item",$B21),0),0)+IF($T$14,IFERROR(GETPIVOTDATA("Sum of Month "&amp;$S$9,'PT-All'!$A$1,"Scenario",IF(Q$14="Forecast",Q$12,Q$14),"P&amp;L Item",$B21),0),0)+IF($T$15,IFERROR(GETPIVOTDATA("Sum of Month "&amp;$T$9,'PT-All'!$A$1,"Scenario",IF(Q$15="Forecast",Q$12,Q$15),"P&amp;L Item",$B21),0),0)</f>
        <v>0</v>
      </c>
      <c r="R21" s="400"/>
      <c r="S21" s="144">
        <f t="shared" si="8"/>
        <v>0</v>
      </c>
      <c r="T21" s="143">
        <f t="shared" si="9"/>
        <v>0</v>
      </c>
      <c r="U21" s="374"/>
      <c r="V21" s="148"/>
    </row>
    <row r="22" spans="2:22" x14ac:dyDescent="0.35">
      <c r="B22" s="356" t="s">
        <v>5</v>
      </c>
      <c r="C22" s="69">
        <f>IFERROR(GETPIVOTDATA("Sum of "&amp;TEXT(C$10,"mmm-yyyy"),'PT-All'!$A$1,"Scenario",IF(C$15="Forecast",C$12,C$15),"P&amp;L Item",$B22),0)</f>
        <v>0</v>
      </c>
      <c r="D22" s="69">
        <f>IFERROR(GETPIVOTDATA("Sum of "&amp;TEXT(D$10,"mmm-yyyy"),'PT-All'!$A$1,"Scenario",IF(D$15="Forecast",D$12,D$15),"P&amp;L Item",$B22),0)</f>
        <v>0</v>
      </c>
      <c r="E22" s="69">
        <f>IFERROR(GETPIVOTDATA("Sum of "&amp;TEXT(E$10,"mmm-yyyy"),'PT-All'!$A$1,"Scenario",IF(E$15="Forecast",E$12,E$15),"P&amp;L Item",$B22),0)</f>
        <v>0</v>
      </c>
      <c r="F22" s="69">
        <f>IFERROR(GETPIVOTDATA("Sum of "&amp;TEXT(F$10,"mmm-yyyy"),'PT-All'!$A$1,"Scenario",IF(F$15="Forecast",F$12,F$15),"P&amp;L Item",$B22),0)</f>
        <v>0</v>
      </c>
      <c r="G22" s="145">
        <f>IFERROR(GETPIVOTDATA("Sum of "&amp;TEXT(G$10,"mmm-yyyy"),'PT-All'!$A$1,"Scenario",IF(G$15="Forecast",G$12,G$15),"P&amp;L Item",$B22),0)</f>
        <v>0</v>
      </c>
      <c r="H22" s="144">
        <f>IFERROR(GETPIVOTDATA("Sum of "&amp;TEXT(H$10,"mmm-yyyy"),'PT-All'!$A$1,"Scenario",IF(H$15="Forecast",H$12,H$15),"P&amp;L Item",$B22),0)</f>
        <v>0</v>
      </c>
      <c r="I22" s="144">
        <f>IFERROR(GETPIVOTDATA("Sum of "&amp;TEXT(I$10,"mmm-yyyy"),'PT-All'!$A$1,"Scenario",IF(I$15="Forecast",I$12,I$15),"P&amp;L Item",$B22),0)</f>
        <v>0</v>
      </c>
      <c r="J22" s="178"/>
      <c r="K22" s="144">
        <f t="shared" si="6"/>
        <v>0</v>
      </c>
      <c r="L22" s="143">
        <f t="shared" si="7"/>
        <v>0</v>
      </c>
      <c r="M22" s="180"/>
      <c r="N22" s="69">
        <f>IFERROR(GETPIVOTDATA("Sum of Q"&amp;N$9,'PT-All'!$A$1,"Scenario",IF(N$15="Forecast",N$12,N$15),"P&amp;L Item",$B22),0)</f>
        <v>0</v>
      </c>
      <c r="O22" s="145">
        <f>IFERROR(GETPIVOTDATA("Sum of Q"&amp;O$9,'PT-All'!$A$1,"Scenario",IF(O$15="Forecast",O$12,O$15),"P&amp;L Item",$B22),0)</f>
        <v>0</v>
      </c>
      <c r="P22" s="144">
        <f>IF($T$13,IFERROR(GETPIVOTDATA("Sum of Month "&amp;$Q$9,'PT-All'!$A$1,"Scenario",IF(P$13="Forecast",P$12,P$13),"P&amp;L Item",$B22),0),0)+IF($T$14,IFERROR(GETPIVOTDATA("Sum of Month "&amp;$S$9,'PT-All'!$A$1,"Scenario",IF(P$14="Forecast",P$12,P$14),"P&amp;L Item",$B22),0),0)+IF($T$15,IFERROR(GETPIVOTDATA("Sum of Month "&amp;$T$9,'PT-All'!$A$1,"Scenario",IF(P$15="Forecast",P$12,P$15),"P&amp;L Item",$B22),0),0)</f>
        <v>0</v>
      </c>
      <c r="Q22" s="144">
        <f>IF($T$13,IFERROR(GETPIVOTDATA("Sum of Month "&amp;$Q$9,'PT-All'!$A$1,"Scenario",IF(Q$13="Forecast",Q$12,Q$13),"P&amp;L Item",$B22),0),0)+IF($T$14,IFERROR(GETPIVOTDATA("Sum of Month "&amp;$S$9,'PT-All'!$A$1,"Scenario",IF(Q$14="Forecast",Q$12,Q$14),"P&amp;L Item",$B22),0),0)+IF($T$15,IFERROR(GETPIVOTDATA("Sum of Month "&amp;$T$9,'PT-All'!$A$1,"Scenario",IF(Q$15="Forecast",Q$12,Q$15),"P&amp;L Item",$B22),0),0)</f>
        <v>0</v>
      </c>
      <c r="R22" s="400"/>
      <c r="S22" s="144">
        <f t="shared" si="8"/>
        <v>0</v>
      </c>
      <c r="T22" s="143">
        <f t="shared" si="9"/>
        <v>0</v>
      </c>
      <c r="U22" s="374"/>
      <c r="V22" s="148"/>
    </row>
    <row r="23" spans="2:22" ht="16" x14ac:dyDescent="0.5">
      <c r="B23" s="356" t="s">
        <v>6</v>
      </c>
      <c r="C23" s="401">
        <f>SUM(C24:C25)</f>
        <v>0</v>
      </c>
      <c r="D23" s="401">
        <f t="shared" ref="D23:I23" si="10">SUM(D24:D25)</f>
        <v>0</v>
      </c>
      <c r="E23" s="401">
        <f t="shared" si="10"/>
        <v>0</v>
      </c>
      <c r="F23" s="401">
        <f t="shared" si="10"/>
        <v>0</v>
      </c>
      <c r="G23" s="402">
        <f t="shared" si="10"/>
        <v>0</v>
      </c>
      <c r="H23" s="403">
        <f t="shared" si="10"/>
        <v>0</v>
      </c>
      <c r="I23" s="403">
        <f t="shared" si="10"/>
        <v>0</v>
      </c>
      <c r="J23" s="178"/>
      <c r="K23" s="403">
        <f t="shared" si="6"/>
        <v>0</v>
      </c>
      <c r="L23" s="404">
        <f t="shared" si="7"/>
        <v>0</v>
      </c>
      <c r="M23" s="180"/>
      <c r="N23" s="401">
        <f>SUM(N24:N25)</f>
        <v>0</v>
      </c>
      <c r="O23" s="402">
        <f t="shared" ref="O23:Q23" si="11">SUM(O24:O25)</f>
        <v>0</v>
      </c>
      <c r="P23" s="403">
        <f t="shared" si="11"/>
        <v>0</v>
      </c>
      <c r="Q23" s="403">
        <f t="shared" si="11"/>
        <v>0</v>
      </c>
      <c r="R23" s="405"/>
      <c r="S23" s="403">
        <f t="shared" si="8"/>
        <v>0</v>
      </c>
      <c r="T23" s="404">
        <f t="shared" si="9"/>
        <v>0</v>
      </c>
      <c r="U23" s="406"/>
      <c r="V23" s="148"/>
    </row>
    <row r="24" spans="2:22" x14ac:dyDescent="0.35">
      <c r="B24" s="64" t="s">
        <v>7</v>
      </c>
      <c r="C24" s="407">
        <f>IFERROR(GETPIVOTDATA("Sum of "&amp;TEXT(C$10,"mmm-yyyy"),'PT-All'!$A$1,"Scenario",IF(C$15="Forecast",C$12,C$15),"P&amp;L Item",$B24),0)</f>
        <v>0</v>
      </c>
      <c r="D24" s="407">
        <f>IFERROR(GETPIVOTDATA("Sum of "&amp;TEXT(D$10,"mmm-yyyy"),'PT-All'!$A$1,"Scenario",IF(D$15="Forecast",D$12,D$15),"P&amp;L Item",$B24),0)</f>
        <v>0</v>
      </c>
      <c r="E24" s="407">
        <f>IFERROR(GETPIVOTDATA("Sum of "&amp;TEXT(E$10,"mmm-yyyy"),'PT-All'!$A$1,"Scenario",IF(E$15="Forecast",E$12,E$15),"P&amp;L Item",$B24),0)</f>
        <v>0</v>
      </c>
      <c r="F24" s="407">
        <f>IFERROR(GETPIVOTDATA("Sum of "&amp;TEXT(F$10,"mmm-yyyy"),'PT-All'!$A$1,"Scenario",IF(F$15="Forecast",F$12,F$15),"P&amp;L Item",$B24),0)</f>
        <v>0</v>
      </c>
      <c r="G24" s="408">
        <f>IFERROR(GETPIVOTDATA("Sum of "&amp;TEXT(G$10,"mmm-yyyy"),'PT-All'!$A$1,"Scenario",IF(G$15="Forecast",G$12,G$15),"P&amp;L Item",$B24),0)</f>
        <v>0</v>
      </c>
      <c r="H24" s="409">
        <f>IFERROR(GETPIVOTDATA("Sum of "&amp;TEXT(H$10,"mmm-yyyy"),'PT-All'!$A$1,"Scenario",IF(H$15="Forecast",H$12,H$15),"P&amp;L Item",$B24),0)</f>
        <v>0</v>
      </c>
      <c r="I24" s="409">
        <f>IFERROR(GETPIVOTDATA("Sum of "&amp;TEXT(I$10,"mmm-yyyy"),'PT-All'!$A$1,"Scenario",IF(I$15="Forecast",I$12,I$15),"P&amp;L Item",$B24),0)</f>
        <v>0</v>
      </c>
      <c r="J24" s="178"/>
      <c r="K24" s="409">
        <f t="shared" si="6"/>
        <v>0</v>
      </c>
      <c r="L24" s="410">
        <f t="shared" si="7"/>
        <v>0</v>
      </c>
      <c r="M24" s="180"/>
      <c r="N24" s="407">
        <f>IFERROR(GETPIVOTDATA("Sum of Q"&amp;N$9,'PT-All'!$A$1,"Scenario",IF(N$15="Forecast",N$12,N$15),"P&amp;L Item",$B24),0)</f>
        <v>0</v>
      </c>
      <c r="O24" s="408">
        <f>IFERROR(GETPIVOTDATA("Sum of Q"&amp;O$9,'PT-All'!$A$1,"Scenario",IF(O$15="Forecast",O$12,O$15),"P&amp;L Item",$B24),0)</f>
        <v>0</v>
      </c>
      <c r="P24" s="409">
        <f>IF($T$13,IFERROR(GETPIVOTDATA("Sum of Month "&amp;$Q$9,'PT-All'!$A$1,"Scenario",IF(P$13="Forecast",P$12,P$13),"P&amp;L Item",$B24),0),0)+IF($T$14,IFERROR(GETPIVOTDATA("Sum of Month "&amp;$S$9,'PT-All'!$A$1,"Scenario",IF(P$14="Forecast",P$12,P$14),"P&amp;L Item",$B24),0),0)+IF($T$15,IFERROR(GETPIVOTDATA("Sum of Month "&amp;$T$9,'PT-All'!$A$1,"Scenario",IF(P$15="Forecast",P$12,P$15),"P&amp;L Item",$B24),0),0)</f>
        <v>0</v>
      </c>
      <c r="Q24" s="409">
        <f>IF($T$13,IFERROR(GETPIVOTDATA("Sum of Month "&amp;$Q$9,'PT-All'!$A$1,"Scenario",IF(Q$13="Forecast",Q$12,Q$13),"P&amp;L Item",$B24),0),0)+IF($T$14,IFERROR(GETPIVOTDATA("Sum of Month "&amp;$S$9,'PT-All'!$A$1,"Scenario",IF(Q$14="Forecast",Q$12,Q$14),"P&amp;L Item",$B24),0),0)+IF($T$15,IFERROR(GETPIVOTDATA("Sum of Month "&amp;$T$9,'PT-All'!$A$1,"Scenario",IF(Q$15="Forecast",Q$12,Q$15),"P&amp;L Item",$B24),0),0)</f>
        <v>0</v>
      </c>
      <c r="R24" s="400"/>
      <c r="S24" s="409">
        <f t="shared" si="8"/>
        <v>0</v>
      </c>
      <c r="T24" s="410">
        <f t="shared" si="9"/>
        <v>0</v>
      </c>
      <c r="U24" s="411"/>
      <c r="V24" s="148"/>
    </row>
    <row r="25" spans="2:22" ht="16" x14ac:dyDescent="0.5">
      <c r="B25" s="64" t="s">
        <v>8</v>
      </c>
      <c r="C25" s="412">
        <f>IFERROR(GETPIVOTDATA("Sum of "&amp;TEXT(C$10,"mmm-yyyy"),'PT-All'!$A$1,"Scenario",IF(C$15="Forecast",C$12,C$15),"P&amp;L Item",$B25),0)</f>
        <v>0</v>
      </c>
      <c r="D25" s="412">
        <f>IFERROR(GETPIVOTDATA("Sum of "&amp;TEXT(D$10,"mmm-yyyy"),'PT-All'!$A$1,"Scenario",IF(D$15="Forecast",D$12,D$15),"P&amp;L Item",$B25),0)</f>
        <v>0</v>
      </c>
      <c r="E25" s="412">
        <f>IFERROR(GETPIVOTDATA("Sum of "&amp;TEXT(E$10,"mmm-yyyy"),'PT-All'!$A$1,"Scenario",IF(E$15="Forecast",E$12,E$15),"P&amp;L Item",$B25),0)</f>
        <v>0</v>
      </c>
      <c r="F25" s="412">
        <f>IFERROR(GETPIVOTDATA("Sum of "&amp;TEXT(F$10,"mmm-yyyy"),'PT-All'!$A$1,"Scenario",IF(F$15="Forecast",F$12,F$15),"P&amp;L Item",$B25),0)</f>
        <v>0</v>
      </c>
      <c r="G25" s="413">
        <f>IFERROR(GETPIVOTDATA("Sum of "&amp;TEXT(G$10,"mmm-yyyy"),'PT-All'!$A$1,"Scenario",IF(G$15="Forecast",G$12,G$15),"P&amp;L Item",$B25),0)</f>
        <v>0</v>
      </c>
      <c r="H25" s="414">
        <f>IFERROR(GETPIVOTDATA("Sum of "&amp;TEXT(H$10,"mmm-yyyy"),'PT-All'!$A$1,"Scenario",IF(H$15="Forecast",H$12,H$15),"P&amp;L Item",$B25),0)</f>
        <v>0</v>
      </c>
      <c r="I25" s="414">
        <f>IFERROR(GETPIVOTDATA("Sum of "&amp;TEXT(I$10,"mmm-yyyy"),'PT-All'!$A$1,"Scenario",IF(I$15="Forecast",I$12,I$15),"P&amp;L Item",$B25),0)</f>
        <v>0</v>
      </c>
      <c r="J25" s="178"/>
      <c r="K25" s="414">
        <f t="shared" si="6"/>
        <v>0</v>
      </c>
      <c r="L25" s="415">
        <f t="shared" si="7"/>
        <v>0</v>
      </c>
      <c r="M25" s="180"/>
      <c r="N25" s="412">
        <f>IFERROR(GETPIVOTDATA("Sum of Q"&amp;N$9,'PT-All'!$A$1,"Scenario",IF(N$15="Forecast",N$12,N$15),"P&amp;L Item",$B25),0)</f>
        <v>0</v>
      </c>
      <c r="O25" s="413">
        <f>IFERROR(GETPIVOTDATA("Sum of Q"&amp;O$9,'PT-All'!$A$1,"Scenario",IF(O$15="Forecast",O$12,O$15),"P&amp;L Item",$B25),0)</f>
        <v>0</v>
      </c>
      <c r="P25" s="414">
        <f>IF($T$13,IFERROR(GETPIVOTDATA("Sum of Month "&amp;$Q$9,'PT-All'!$A$1,"Scenario",IF(P$13="Forecast",P$12,P$13),"P&amp;L Item",$B25),0),0)+IF($T$14,IFERROR(GETPIVOTDATA("Sum of Month "&amp;$S$9,'PT-All'!$A$1,"Scenario",IF(P$14="Forecast",P$12,P$14),"P&amp;L Item",$B25),0),0)+IF($T$15,IFERROR(GETPIVOTDATA("Sum of Month "&amp;$T$9,'PT-All'!$A$1,"Scenario",IF(P$15="Forecast",P$12,P$15),"P&amp;L Item",$B25),0),0)</f>
        <v>0</v>
      </c>
      <c r="Q25" s="414">
        <f>IF($T$13,IFERROR(GETPIVOTDATA("Sum of Month "&amp;$Q$9,'PT-All'!$A$1,"Scenario",IF(Q$13="Forecast",Q$12,Q$13),"P&amp;L Item",$B25),0),0)+IF($T$14,IFERROR(GETPIVOTDATA("Sum of Month "&amp;$S$9,'PT-All'!$A$1,"Scenario",IF(Q$14="Forecast",Q$12,Q$14),"P&amp;L Item",$B25),0),0)+IF($T$15,IFERROR(GETPIVOTDATA("Sum of Month "&amp;$T$9,'PT-All'!$A$1,"Scenario",IF(Q$15="Forecast",Q$12,Q$15),"P&amp;L Item",$B25),0),0)</f>
        <v>0</v>
      </c>
      <c r="R25" s="400"/>
      <c r="S25" s="414">
        <f t="shared" si="8"/>
        <v>0</v>
      </c>
      <c r="T25" s="415">
        <f t="shared" si="9"/>
        <v>0</v>
      </c>
      <c r="U25" s="416"/>
      <c r="V25" s="148"/>
    </row>
    <row r="26" spans="2:22" x14ac:dyDescent="0.35">
      <c r="B26" s="67" t="s">
        <v>9</v>
      </c>
      <c r="C26" s="366">
        <f>SUM(C18:C23)</f>
        <v>0</v>
      </c>
      <c r="D26" s="366">
        <f t="shared" ref="D26:I26" si="12">SUM(D18:D23)</f>
        <v>0</v>
      </c>
      <c r="E26" s="366">
        <f t="shared" si="12"/>
        <v>0</v>
      </c>
      <c r="F26" s="366">
        <f t="shared" si="12"/>
        <v>0</v>
      </c>
      <c r="G26" s="367">
        <f t="shared" si="12"/>
        <v>0</v>
      </c>
      <c r="H26" s="368">
        <f t="shared" si="12"/>
        <v>0</v>
      </c>
      <c r="I26" s="368">
        <f t="shared" si="12"/>
        <v>0</v>
      </c>
      <c r="J26" s="178"/>
      <c r="K26" s="368">
        <f t="shared" si="6"/>
        <v>0</v>
      </c>
      <c r="L26" s="370">
        <f t="shared" si="7"/>
        <v>0</v>
      </c>
      <c r="M26" s="180"/>
      <c r="N26" s="366">
        <f>SUM(N18:N23)</f>
        <v>0</v>
      </c>
      <c r="O26" s="367">
        <f t="shared" ref="O26:Q26" si="13">SUM(O18:O23)</f>
        <v>0</v>
      </c>
      <c r="P26" s="368">
        <f t="shared" si="13"/>
        <v>0</v>
      </c>
      <c r="Q26" s="368">
        <f t="shared" si="13"/>
        <v>0</v>
      </c>
      <c r="R26" s="400"/>
      <c r="S26" s="368">
        <f t="shared" si="8"/>
        <v>0</v>
      </c>
      <c r="T26" s="370">
        <f t="shared" si="9"/>
        <v>0</v>
      </c>
      <c r="U26" s="417"/>
      <c r="V26" s="148"/>
    </row>
    <row r="27" spans="2:22" ht="16" x14ac:dyDescent="0.5">
      <c r="B27" s="67"/>
      <c r="C27" s="366"/>
      <c r="D27" s="366"/>
      <c r="E27" s="366"/>
      <c r="F27" s="366"/>
      <c r="G27" s="367"/>
      <c r="H27" s="368"/>
      <c r="I27" s="368"/>
      <c r="J27" s="178"/>
      <c r="K27" s="368"/>
      <c r="L27" s="370"/>
      <c r="M27" s="180"/>
      <c r="N27" s="366"/>
      <c r="O27" s="367"/>
      <c r="P27" s="368"/>
      <c r="Q27" s="368"/>
      <c r="R27" s="405"/>
      <c r="S27" s="368"/>
      <c r="T27" s="370"/>
      <c r="U27" s="417"/>
      <c r="V27" s="148"/>
    </row>
    <row r="28" spans="2:22" x14ac:dyDescent="0.35">
      <c r="B28" s="67" t="s">
        <v>10</v>
      </c>
      <c r="C28" s="366">
        <f>IFERROR(GETPIVOTDATA("Sum of "&amp;TEXT(C$10,"mmm-yyyy"),'PT-All'!$A$1,"Scenario",IF(C$15="Forecast",C$12,C$15),"P&amp;L Item",$B28),0)</f>
        <v>0</v>
      </c>
      <c r="D28" s="366">
        <f>IFERROR(GETPIVOTDATA("Sum of "&amp;TEXT(D$10,"mmm-yyyy"),'PT-All'!$A$1,"Scenario",IF(D$15="Forecast",D$12,D$15),"P&amp;L Item",$B28),0)</f>
        <v>0</v>
      </c>
      <c r="E28" s="366">
        <f>IFERROR(GETPIVOTDATA("Sum of "&amp;TEXT(E$10,"mmm-yyyy"),'PT-All'!$A$1,"Scenario",IF(E$15="Forecast",E$12,E$15),"P&amp;L Item",$B28),0)</f>
        <v>0</v>
      </c>
      <c r="F28" s="366">
        <f>IFERROR(GETPIVOTDATA("Sum of "&amp;TEXT(F$10,"mmm-yyyy"),'PT-All'!$A$1,"Scenario",IF(F$15="Forecast",F$12,F$15),"P&amp;L Item",$B28),0)</f>
        <v>0</v>
      </c>
      <c r="G28" s="367">
        <f>IFERROR(GETPIVOTDATA("Sum of "&amp;TEXT(G$10,"mmm-yyyy"),'PT-All'!$A$1,"Scenario",IF(G$15="Forecast",G$12,G$15),"P&amp;L Item",$B28),0)</f>
        <v>0</v>
      </c>
      <c r="H28" s="368">
        <f>IFERROR(GETPIVOTDATA("Sum of "&amp;TEXT(H$10,"mmm-yyyy"),'PT-All'!$A$1,"Scenario",IF(H$15="Forecast",H$12,H$15),"P&amp;L Item",$B28),0)</f>
        <v>0</v>
      </c>
      <c r="I28" s="368">
        <f>IFERROR(GETPIVOTDATA("Sum of "&amp;TEXT(I$10,"mmm-yyyy"),'PT-All'!$A$1,"Scenario",IF(I$15="Forecast",I$12,I$15),"P&amp;L Item",$B28),0)</f>
        <v>0</v>
      </c>
      <c r="J28" s="178"/>
      <c r="K28" s="368">
        <f>H28-I28</f>
        <v>0</v>
      </c>
      <c r="L28" s="370">
        <f>IFERROR(SIGN(K28)*ABS(K28/I28),0)</f>
        <v>0</v>
      </c>
      <c r="M28" s="180"/>
      <c r="N28" s="366">
        <f>IFERROR(GETPIVOTDATA("Sum of Q"&amp;N$9,'PT-All'!$A$1,"Scenario",IF(N$15="Forecast",N$12,N$15),"P&amp;L Item",$B28),0)</f>
        <v>0</v>
      </c>
      <c r="O28" s="367">
        <f>IFERROR(GETPIVOTDATA("Sum of Q"&amp;O$9,'PT-All'!$A$1,"Scenario",IF(O$15="Forecast",O$12,O$15),"P&amp;L Item",$B28),0)</f>
        <v>0</v>
      </c>
      <c r="P28" s="368">
        <f>IF($T$13,IFERROR(GETPIVOTDATA("Sum of Month "&amp;$Q$9,'PT-All'!$A$1,"Scenario",IF(P$13="Forecast",P$12,P$13),"P&amp;L Item",$B28),0),0)+IF($T$14,IFERROR(GETPIVOTDATA("Sum of Month "&amp;$S$9,'PT-All'!$A$1,"Scenario",IF(P$14="Forecast",P$12,P$14),"P&amp;L Item",$B28),0),0)+IF($T$15,IFERROR(GETPIVOTDATA("Sum of Month "&amp;$T$9,'PT-All'!$A$1,"Scenario",IF(P$15="Forecast",P$12,P$15),"P&amp;L Item",$B28),0),0)</f>
        <v>0</v>
      </c>
      <c r="Q28" s="368">
        <f>IF($T$13,IFERROR(GETPIVOTDATA("Sum of Month "&amp;$Q$9,'PT-All'!$A$1,"Scenario",IF(Q$13="Forecast",Q$12,Q$13),"P&amp;L Item",$B28),0),0)+IF($T$14,IFERROR(GETPIVOTDATA("Sum of Month "&amp;$S$9,'PT-All'!$A$1,"Scenario",IF(Q$14="Forecast",Q$12,Q$14),"P&amp;L Item",$B28),0),0)+IF($T$15,IFERROR(GETPIVOTDATA("Sum of Month "&amp;$T$9,'PT-All'!$A$1,"Scenario",IF(Q$15="Forecast",Q$12,Q$15),"P&amp;L Item",$B28),0),0)</f>
        <v>0</v>
      </c>
      <c r="R28" s="418"/>
      <c r="S28" s="368">
        <f>P28-Q28</f>
        <v>0</v>
      </c>
      <c r="T28" s="370">
        <f>IFERROR(SIGN(S28)*ABS(S28/Q28),0)</f>
        <v>0</v>
      </c>
      <c r="U28" s="417"/>
      <c r="V28" s="378"/>
    </row>
    <row r="29" spans="2:22" x14ac:dyDescent="0.35">
      <c r="B29" s="357"/>
      <c r="C29" s="379"/>
      <c r="D29" s="379"/>
      <c r="E29" s="379"/>
      <c r="F29" s="379"/>
      <c r="G29" s="380"/>
      <c r="H29" s="381"/>
      <c r="I29" s="381"/>
      <c r="J29" s="178"/>
      <c r="K29" s="381"/>
      <c r="L29" s="382"/>
      <c r="M29" s="180"/>
      <c r="N29" s="379"/>
      <c r="O29" s="380"/>
      <c r="P29" s="381"/>
      <c r="Q29" s="381"/>
      <c r="R29" s="178"/>
      <c r="S29" s="381"/>
      <c r="T29" s="382"/>
      <c r="U29" s="383"/>
      <c r="V29" s="148"/>
    </row>
    <row r="30" spans="2:22" x14ac:dyDescent="0.35">
      <c r="B30" s="67" t="s">
        <v>11</v>
      </c>
      <c r="C30" s="366">
        <f t="shared" ref="C30:I30" si="14">C26+C28</f>
        <v>0</v>
      </c>
      <c r="D30" s="366">
        <f t="shared" si="14"/>
        <v>0</v>
      </c>
      <c r="E30" s="366">
        <f t="shared" si="14"/>
        <v>0</v>
      </c>
      <c r="F30" s="366">
        <f t="shared" si="14"/>
        <v>0</v>
      </c>
      <c r="G30" s="367">
        <f t="shared" si="14"/>
        <v>0</v>
      </c>
      <c r="H30" s="368">
        <f t="shared" si="14"/>
        <v>0</v>
      </c>
      <c r="I30" s="368">
        <f t="shared" si="14"/>
        <v>0</v>
      </c>
      <c r="J30" s="399"/>
      <c r="K30" s="368">
        <f>H30-I30</f>
        <v>0</v>
      </c>
      <c r="L30" s="370">
        <f>IFERROR(SIGN(K30)*ABS(K30/I30),0)</f>
        <v>0</v>
      </c>
      <c r="M30" s="371"/>
      <c r="N30" s="366">
        <f t="shared" ref="N30:O30" si="15">N26+N28</f>
        <v>0</v>
      </c>
      <c r="O30" s="367">
        <f t="shared" si="15"/>
        <v>0</v>
      </c>
      <c r="P30" s="368">
        <f t="shared" ref="P30:Q30" si="16">P26+P28</f>
        <v>0</v>
      </c>
      <c r="Q30" s="368">
        <f t="shared" si="16"/>
        <v>0</v>
      </c>
      <c r="R30" s="399"/>
      <c r="S30" s="368">
        <f>P30-Q30</f>
        <v>0</v>
      </c>
      <c r="T30" s="370">
        <f>IFERROR(SIGN(S30)*ABS(S30/Q30),0)</f>
        <v>0</v>
      </c>
      <c r="U30" s="374"/>
      <c r="V30" s="148"/>
    </row>
    <row r="31" spans="2:22" x14ac:dyDescent="0.35">
      <c r="B31" s="356" t="s">
        <v>12</v>
      </c>
      <c r="C31" s="69">
        <f>IFERROR(GETPIVOTDATA("Sum of "&amp;TEXT(C$10,"mmm-yyyy"),'PT-All'!$A$1,"Scenario",IF(C$15="Forecast",C$12,C$15),"P&amp;L Item",$B31),0)</f>
        <v>0</v>
      </c>
      <c r="D31" s="69">
        <f>IFERROR(GETPIVOTDATA("Sum of "&amp;TEXT(D$10,"mmm-yyyy"),'PT-All'!$A$1,"Scenario",IF(D$15="Forecast",D$12,D$15),"P&amp;L Item",$B31),0)</f>
        <v>0</v>
      </c>
      <c r="E31" s="69">
        <f>IFERROR(GETPIVOTDATA("Sum of "&amp;TEXT(E$10,"mmm-yyyy"),'PT-All'!$A$1,"Scenario",IF(E$15="Forecast",E$12,E$15),"P&amp;L Item",$B31),0)</f>
        <v>0</v>
      </c>
      <c r="F31" s="69">
        <f>IFERROR(GETPIVOTDATA("Sum of "&amp;TEXT(F$10,"mmm-yyyy"),'PT-All'!$A$1,"Scenario",IF(F$15="Forecast",F$12,F$15),"P&amp;L Item",$B31),0)</f>
        <v>0</v>
      </c>
      <c r="G31" s="145">
        <f>IFERROR(GETPIVOTDATA("Sum of "&amp;TEXT(G$10,"mmm-yyyy"),'PT-All'!$A$1,"Scenario",IF(G$15="Forecast",G$12,G$15),"P&amp;L Item",$B31),0)</f>
        <v>0</v>
      </c>
      <c r="H31" s="144">
        <f>IFERROR(GETPIVOTDATA("Sum of "&amp;TEXT(H$10,"mmm-yyyy"),'PT-All'!$A$1,"Scenario",IF(H$15="Forecast",H$12,H$15),"P&amp;L Item",$B31),0)</f>
        <v>0</v>
      </c>
      <c r="I31" s="144">
        <f>IFERROR(GETPIVOTDATA("Sum of "&amp;TEXT(I$10,"mmm-yyyy"),'PT-All'!$A$1,"Scenario",IF(I$15="Forecast",I$12,I$15),"P&amp;L Item",$B31),0)</f>
        <v>0</v>
      </c>
      <c r="J31" s="419"/>
      <c r="K31" s="144">
        <f>I31-H31</f>
        <v>0</v>
      </c>
      <c r="L31" s="143">
        <f>IFERROR(SIGN(K31)*ABS(K31/I31),0)</f>
        <v>0</v>
      </c>
      <c r="M31" s="180"/>
      <c r="N31" s="69">
        <f>IFERROR(GETPIVOTDATA("Sum of Q"&amp;N$9,'PT-All'!$A$1,"Scenario",IF(N$15="Forecast",N$12,N$15),"P&amp;L Item",$B31),0)</f>
        <v>0</v>
      </c>
      <c r="O31" s="145">
        <f>IFERROR(GETPIVOTDATA("Sum of Q"&amp;O$9,'PT-All'!$A$1,"Scenario",IF(O$15="Forecast",O$12,O$15),"P&amp;L Item",$B31),0)</f>
        <v>0</v>
      </c>
      <c r="P31" s="144">
        <f>IF($T$13,IFERROR(GETPIVOTDATA("Sum of Month "&amp;$Q$9,'PT-All'!$A$1,"Scenario",IF(P$13="Forecast",P$12,P$13),"P&amp;L Item",$B31),0),0)+IF($T$14,IFERROR(GETPIVOTDATA("Sum of Month "&amp;$S$9,'PT-All'!$A$1,"Scenario",IF(P$14="Forecast",P$12,P$14),"P&amp;L Item",$B31),0),0)+IF($T$15,IFERROR(GETPIVOTDATA("Sum of Month "&amp;$T$9,'PT-All'!$A$1,"Scenario",IF(P$15="Forecast",P$12,P$15),"P&amp;L Item",$B31),0),0)</f>
        <v>0</v>
      </c>
      <c r="Q31" s="144">
        <f>IF($T$13,IFERROR(GETPIVOTDATA("Sum of Month "&amp;$Q$9,'PT-All'!$A$1,"Scenario",IF(Q$13="Forecast",Q$12,Q$13),"P&amp;L Item",$B31),0),0)+IF($T$14,IFERROR(GETPIVOTDATA("Sum of Month "&amp;$S$9,'PT-All'!$A$1,"Scenario",IF(Q$14="Forecast",Q$12,Q$14),"P&amp;L Item",$B31),0),0)+IF($T$15,IFERROR(GETPIVOTDATA("Sum of Month "&amp;$T$9,'PT-All'!$A$1,"Scenario",IF(Q$15="Forecast",Q$12,Q$15),"P&amp;L Item",$B31),0),0)</f>
        <v>0</v>
      </c>
      <c r="R31" s="419"/>
      <c r="S31" s="144">
        <f>Q31-P31</f>
        <v>0</v>
      </c>
      <c r="T31" s="143">
        <f>IFERROR(SIGN(S31)*ABS(S31/Q31),0)</f>
        <v>0</v>
      </c>
      <c r="U31" s="374"/>
      <c r="V31" s="148"/>
    </row>
    <row r="32" spans="2:22" ht="16" x14ac:dyDescent="0.5">
      <c r="B32" s="356" t="s">
        <v>13</v>
      </c>
      <c r="C32" s="420">
        <f>IFERROR(GETPIVOTDATA("Sum of "&amp;TEXT(C$10,"mmm-yyyy"),'PT-All'!$A$1,"Scenario",IF(C$15="Forecast",C$12,C$15),"P&amp;L Item",$B32),0)</f>
        <v>0</v>
      </c>
      <c r="D32" s="420">
        <f>IFERROR(GETPIVOTDATA("Sum of "&amp;TEXT(D$10,"mmm-yyyy"),'PT-All'!$A$1,"Scenario",IF(D$15="Forecast",D$12,D$15),"P&amp;L Item",$B32),0)</f>
        <v>0</v>
      </c>
      <c r="E32" s="420">
        <f>IFERROR(GETPIVOTDATA("Sum of "&amp;TEXT(E$10,"mmm-yyyy"),'PT-All'!$A$1,"Scenario",IF(E$15="Forecast",E$12,E$15),"P&amp;L Item",$B32),0)</f>
        <v>0</v>
      </c>
      <c r="F32" s="420">
        <f>IFERROR(GETPIVOTDATA("Sum of "&amp;TEXT(F$10,"mmm-yyyy"),'PT-All'!$A$1,"Scenario",IF(F$15="Forecast",F$12,F$15),"P&amp;L Item",$B32),0)</f>
        <v>0</v>
      </c>
      <c r="G32" s="421">
        <f>IFERROR(GETPIVOTDATA("Sum of "&amp;TEXT(G$10,"mmm-yyyy"),'PT-All'!$A$1,"Scenario",IF(G$15="Forecast",G$12,G$15),"P&amp;L Item",$B32),0)</f>
        <v>0</v>
      </c>
      <c r="H32" s="422">
        <f>IFERROR(GETPIVOTDATA("Sum of "&amp;TEXT(H$10,"mmm-yyyy"),'PT-All'!$A$1,"Scenario",IF(H$15="Forecast",H$12,H$15),"P&amp;L Item",$B32),0)</f>
        <v>0</v>
      </c>
      <c r="I32" s="422">
        <f>IFERROR(GETPIVOTDATA("Sum of "&amp;TEXT(I$10,"mmm-yyyy"),'PT-All'!$A$1,"Scenario",IF(I$15="Forecast",I$12,I$15),"P&amp;L Item",$B32),0)</f>
        <v>0</v>
      </c>
      <c r="J32" s="405"/>
      <c r="K32" s="422">
        <f>H32-I32</f>
        <v>0</v>
      </c>
      <c r="L32" s="423">
        <f>IFERROR(SIGN(K32)*ABS(K32/I32),0)</f>
        <v>0</v>
      </c>
      <c r="M32" s="180"/>
      <c r="N32" s="420">
        <f>IFERROR(GETPIVOTDATA("Sum of Q"&amp;N$9,'PT-All'!$A$1,"Scenario",IF(N$15="Forecast",N$12,N$15),"P&amp;L Item",$B32),0)</f>
        <v>0</v>
      </c>
      <c r="O32" s="421">
        <f>IFERROR(GETPIVOTDATA("Sum of Q"&amp;O$9,'PT-All'!$A$1,"Scenario",IF(O$15="Forecast",O$12,O$15),"P&amp;L Item",$B32),0)</f>
        <v>0</v>
      </c>
      <c r="P32" s="422">
        <f>IF($T$13,IFERROR(GETPIVOTDATA("Sum of Month "&amp;$Q$9,'PT-All'!$A$1,"Scenario",IF(P$13="Forecast",P$12,P$13),"P&amp;L Item",$B32),0),0)+IF($T$14,IFERROR(GETPIVOTDATA("Sum of Month "&amp;$S$9,'PT-All'!$A$1,"Scenario",IF(P$14="Forecast",P$12,P$14),"P&amp;L Item",$B32),0),0)+IF($T$15,IFERROR(GETPIVOTDATA("Sum of Month "&amp;$T$9,'PT-All'!$A$1,"Scenario",IF(P$15="Forecast",P$12,P$15),"P&amp;L Item",$B32),0),0)</f>
        <v>0</v>
      </c>
      <c r="Q32" s="422">
        <f>IF($T$13,IFERROR(GETPIVOTDATA("Sum of Month "&amp;$Q$9,'PT-All'!$A$1,"Scenario",IF(Q$13="Forecast",Q$12,Q$13),"P&amp;L Item",$B32),0),0)+IF($T$14,IFERROR(GETPIVOTDATA("Sum of Month "&amp;$S$9,'PT-All'!$A$1,"Scenario",IF(Q$14="Forecast",Q$12,Q$14),"P&amp;L Item",$B32),0),0)+IF($T$15,IFERROR(GETPIVOTDATA("Sum of Month "&amp;$T$9,'PT-All'!$A$1,"Scenario",IF(Q$15="Forecast",Q$12,Q$15),"P&amp;L Item",$B32),0),0)</f>
        <v>0</v>
      </c>
      <c r="R32" s="405"/>
      <c r="S32" s="422">
        <f>P32-Q32</f>
        <v>0</v>
      </c>
      <c r="T32" s="423">
        <f>IFERROR(SIGN(S32)*ABS(S32/Q32),0)</f>
        <v>0</v>
      </c>
      <c r="U32" s="424"/>
      <c r="V32" s="148"/>
    </row>
    <row r="33" spans="2:22" x14ac:dyDescent="0.35">
      <c r="B33" s="71" t="s">
        <v>14</v>
      </c>
      <c r="C33" s="425">
        <f t="shared" ref="C33:I33" si="17">SUM(C30:C32)</f>
        <v>0</v>
      </c>
      <c r="D33" s="425">
        <f t="shared" si="17"/>
        <v>0</v>
      </c>
      <c r="E33" s="425">
        <f t="shared" si="17"/>
        <v>0</v>
      </c>
      <c r="F33" s="425">
        <f t="shared" si="17"/>
        <v>0</v>
      </c>
      <c r="G33" s="426">
        <f t="shared" si="17"/>
        <v>0</v>
      </c>
      <c r="H33" s="427">
        <f t="shared" si="17"/>
        <v>0</v>
      </c>
      <c r="I33" s="427">
        <f t="shared" si="17"/>
        <v>0</v>
      </c>
      <c r="J33" s="428"/>
      <c r="K33" s="427">
        <f>H33-I33</f>
        <v>0</v>
      </c>
      <c r="L33" s="429">
        <f>IFERROR(SIGN(K33)*ABS(K33/I33),0)</f>
        <v>0</v>
      </c>
      <c r="M33" s="384"/>
      <c r="N33" s="425">
        <f t="shared" ref="N33:Q33" si="18">SUM(N30:N32)</f>
        <v>0</v>
      </c>
      <c r="O33" s="426">
        <f t="shared" si="18"/>
        <v>0</v>
      </c>
      <c r="P33" s="427">
        <f t="shared" si="18"/>
        <v>0</v>
      </c>
      <c r="Q33" s="427">
        <f t="shared" si="18"/>
        <v>0</v>
      </c>
      <c r="R33" s="428"/>
      <c r="S33" s="427">
        <f>P33-Q33</f>
        <v>0</v>
      </c>
      <c r="T33" s="429">
        <f>IFERROR(SIGN(S33)*ABS(S33/Q33),0)</f>
        <v>0</v>
      </c>
      <c r="U33" s="430"/>
      <c r="V33" s="385"/>
    </row>
    <row r="34" spans="2:22" x14ac:dyDescent="0.35">
      <c r="B34" s="72" t="s">
        <v>15</v>
      </c>
      <c r="C34" s="431">
        <f t="shared" ref="C34:H34" si="19">IFERROR(C33/B33-1,0)</f>
        <v>0</v>
      </c>
      <c r="D34" s="431">
        <f t="shared" si="19"/>
        <v>0</v>
      </c>
      <c r="E34" s="431">
        <f t="shared" si="19"/>
        <v>0</v>
      </c>
      <c r="F34" s="431">
        <f t="shared" si="19"/>
        <v>0</v>
      </c>
      <c r="G34" s="432">
        <f t="shared" si="19"/>
        <v>0</v>
      </c>
      <c r="H34" s="433">
        <f t="shared" si="19"/>
        <v>0</v>
      </c>
      <c r="I34" s="433">
        <f>IFERROR(I33/G33-1,0)</f>
        <v>0</v>
      </c>
      <c r="J34" s="434"/>
      <c r="K34" s="433">
        <f>H34-I34</f>
        <v>0</v>
      </c>
      <c r="L34" s="435">
        <f>IFERROR(SIGN(K34)*ABS(K34/I34),0)</f>
        <v>0</v>
      </c>
      <c r="M34" s="180"/>
      <c r="N34" s="431">
        <f t="shared" ref="N34:P34" si="20">IFERROR(N33/M33-1,0)</f>
        <v>0</v>
      </c>
      <c r="O34" s="432">
        <f t="shared" si="20"/>
        <v>0</v>
      </c>
      <c r="P34" s="433">
        <f t="shared" si="20"/>
        <v>0</v>
      </c>
      <c r="Q34" s="433">
        <f>IF($T$9="",0,IFERROR(Q33/O33-1,0))</f>
        <v>0</v>
      </c>
      <c r="R34" s="434"/>
      <c r="S34" s="433">
        <f>P34-Q34</f>
        <v>0</v>
      </c>
      <c r="T34" s="435">
        <f>IFERROR(SIGN(S34)*ABS(S34/Q34),0)</f>
        <v>0</v>
      </c>
      <c r="U34" s="436"/>
      <c r="V34" s="148"/>
    </row>
    <row r="35" spans="2:22" x14ac:dyDescent="0.35">
      <c r="B35" s="358"/>
      <c r="C35" s="379"/>
      <c r="D35" s="379"/>
      <c r="E35" s="379"/>
      <c r="F35" s="379"/>
      <c r="G35" s="380"/>
      <c r="H35" s="381"/>
      <c r="I35" s="381"/>
      <c r="J35" s="418"/>
      <c r="K35" s="381"/>
      <c r="L35" s="382"/>
      <c r="M35" s="180"/>
      <c r="N35" s="379"/>
      <c r="O35" s="380"/>
      <c r="P35" s="381"/>
      <c r="Q35" s="381"/>
      <c r="R35" s="418"/>
      <c r="S35" s="381"/>
      <c r="T35" s="382"/>
      <c r="U35" s="383"/>
      <c r="V35" s="148"/>
    </row>
    <row r="36" spans="2:22" x14ac:dyDescent="0.35">
      <c r="B36" s="67" t="s">
        <v>73</v>
      </c>
      <c r="C36" s="375"/>
      <c r="D36" s="375"/>
      <c r="E36" s="375"/>
      <c r="F36" s="375"/>
      <c r="G36" s="376"/>
      <c r="H36" s="377"/>
      <c r="I36" s="377"/>
      <c r="J36" s="437"/>
      <c r="K36" s="377"/>
      <c r="L36" s="143"/>
      <c r="M36" s="180"/>
      <c r="N36" s="375"/>
      <c r="O36" s="376"/>
      <c r="P36" s="377"/>
      <c r="Q36" s="377"/>
      <c r="R36" s="437"/>
      <c r="S36" s="377"/>
      <c r="T36" s="143"/>
      <c r="U36" s="374"/>
      <c r="V36" s="148"/>
    </row>
    <row r="37" spans="2:22" x14ac:dyDescent="0.35">
      <c r="B37" s="74" t="s">
        <v>74</v>
      </c>
      <c r="C37" s="375">
        <f t="shared" ref="C37:I37" si="21">SUM(C38,C46)</f>
        <v>0</v>
      </c>
      <c r="D37" s="375">
        <f t="shared" si="21"/>
        <v>0</v>
      </c>
      <c r="E37" s="375">
        <f t="shared" si="21"/>
        <v>0</v>
      </c>
      <c r="F37" s="375">
        <f t="shared" si="21"/>
        <v>0</v>
      </c>
      <c r="G37" s="376">
        <f t="shared" si="21"/>
        <v>0</v>
      </c>
      <c r="H37" s="377">
        <f t="shared" si="21"/>
        <v>0</v>
      </c>
      <c r="I37" s="377">
        <f t="shared" si="21"/>
        <v>0</v>
      </c>
      <c r="J37" s="438"/>
      <c r="K37" s="377">
        <f t="shared" ref="K37:K74" si="22">I37-H37</f>
        <v>0</v>
      </c>
      <c r="L37" s="143">
        <f t="shared" ref="L37:L74" si="23">IFERROR(SIGN(K37)*ABS(K37/I37),0)</f>
        <v>0</v>
      </c>
      <c r="M37" s="180"/>
      <c r="N37" s="375">
        <f t="shared" ref="N37:Q37" si="24">SUM(N38,N46)</f>
        <v>0</v>
      </c>
      <c r="O37" s="376">
        <f t="shared" si="24"/>
        <v>0</v>
      </c>
      <c r="P37" s="377">
        <f t="shared" si="24"/>
        <v>0</v>
      </c>
      <c r="Q37" s="377">
        <f t="shared" si="24"/>
        <v>0</v>
      </c>
      <c r="R37" s="438"/>
      <c r="S37" s="377">
        <f t="shared" ref="S37:S74" si="25">Q37-P37</f>
        <v>0</v>
      </c>
      <c r="T37" s="143">
        <f t="shared" ref="T37:T74" si="26">IFERROR(SIGN(S37)*ABS(S37/Q37),0)</f>
        <v>0</v>
      </c>
      <c r="U37" s="374"/>
      <c r="V37" s="148"/>
    </row>
    <row r="38" spans="2:22" x14ac:dyDescent="0.35">
      <c r="B38" s="359" t="s">
        <v>75</v>
      </c>
      <c r="C38" s="69">
        <f t="shared" ref="C38:I38" si="27">SUM(C39:C45)</f>
        <v>0</v>
      </c>
      <c r="D38" s="69">
        <f t="shared" si="27"/>
        <v>0</v>
      </c>
      <c r="E38" s="69">
        <f t="shared" si="27"/>
        <v>0</v>
      </c>
      <c r="F38" s="69">
        <f t="shared" si="27"/>
        <v>0</v>
      </c>
      <c r="G38" s="145">
        <f t="shared" si="27"/>
        <v>0</v>
      </c>
      <c r="H38" s="144">
        <f t="shared" si="27"/>
        <v>0</v>
      </c>
      <c r="I38" s="144">
        <f t="shared" si="27"/>
        <v>0</v>
      </c>
      <c r="J38" s="138"/>
      <c r="K38" s="144">
        <f t="shared" si="22"/>
        <v>0</v>
      </c>
      <c r="L38" s="143">
        <f t="shared" si="23"/>
        <v>0</v>
      </c>
      <c r="M38" s="180"/>
      <c r="N38" s="69">
        <f t="shared" ref="N38:Q38" si="28">SUM(N39:N45)</f>
        <v>0</v>
      </c>
      <c r="O38" s="145">
        <f t="shared" si="28"/>
        <v>0</v>
      </c>
      <c r="P38" s="144">
        <f t="shared" si="28"/>
        <v>0</v>
      </c>
      <c r="Q38" s="144">
        <f t="shared" si="28"/>
        <v>0</v>
      </c>
      <c r="R38" s="138"/>
      <c r="S38" s="144">
        <f t="shared" si="25"/>
        <v>0</v>
      </c>
      <c r="T38" s="143">
        <f t="shared" si="26"/>
        <v>0</v>
      </c>
      <c r="U38" s="374"/>
      <c r="V38" s="148"/>
    </row>
    <row r="39" spans="2:22" x14ac:dyDescent="0.35">
      <c r="B39" s="76" t="s">
        <v>76</v>
      </c>
      <c r="C39" s="407">
        <f>IFERROR(GETPIVOTDATA("Sum of "&amp;TEXT(C$10,"mmm-yyyy"),'PT-All'!$A$1,"Scenario",C$15,"P&amp;L Item",$B39),0)</f>
        <v>0</v>
      </c>
      <c r="D39" s="407">
        <f>IFERROR(GETPIVOTDATA("Sum of "&amp;TEXT(D$10,"mmm-yyyy"),'PT-All'!$A$1,"Scenario",D$15,"P&amp;L Item",$B39),0)</f>
        <v>0</v>
      </c>
      <c r="E39" s="407">
        <f>IFERROR(GETPIVOTDATA("Sum of "&amp;TEXT(E$10,"mmm-yyyy"),'PT-All'!$A$1,"Scenario",E$15,"P&amp;L Item",$B39),0)</f>
        <v>0</v>
      </c>
      <c r="F39" s="407">
        <f>IFERROR(GETPIVOTDATA("Sum of "&amp;TEXT(F$10,"mmm-yyyy"),'PT-All'!$A$1,"Scenario",F$15,"P&amp;L Item",$B39),0)</f>
        <v>0</v>
      </c>
      <c r="G39" s="408">
        <f>IFERROR(GETPIVOTDATA("Sum of "&amp;TEXT(G$10,"mmm-yyyy"),'PT-All'!$A$1,"Scenario",G$15,"P&amp;L Item",$B39),0)</f>
        <v>0</v>
      </c>
      <c r="H39" s="409">
        <f>IFERROR(GETPIVOTDATA("Sum of "&amp;TEXT(H$10,"mmm-yyyy"),'PT-All'!$A$1,"Scenario",H$15,"P&amp;L Item",$B39),0)</f>
        <v>0</v>
      </c>
      <c r="I39" s="409">
        <f>IFERROR(GETPIVOTDATA("Sum of "&amp;TEXT(I$10,"mmm-yyyy"),'PT-All'!$A$1,"Scenario",I$15,"P&amp;L Item",$B39),0)</f>
        <v>0</v>
      </c>
      <c r="J39" s="138"/>
      <c r="K39" s="409">
        <f t="shared" si="22"/>
        <v>0</v>
      </c>
      <c r="L39" s="410">
        <f t="shared" si="23"/>
        <v>0</v>
      </c>
      <c r="M39" s="180"/>
      <c r="N39" s="407">
        <f>IFERROR(GETPIVOTDATA("Sum of Q"&amp;N$9,'PT-All'!$A$1,"Scenario",N$15,"P&amp;L Item",$B39),0)</f>
        <v>0</v>
      </c>
      <c r="O39" s="408">
        <f>IFERROR(GETPIVOTDATA("Sum of Q"&amp;O$9,'PT-All'!$A$1,"Scenario",O$15,"P&amp;L Item",$B39),0)</f>
        <v>0</v>
      </c>
      <c r="P39" s="409">
        <f>IF($T$13,IFERROR(GETPIVOTDATA("Sum of Month "&amp;$Q$9,'PT-All'!$A$1,"Scenario",P$13,"P&amp;L Item",$B39),0),0)+IF($T$14,IFERROR(GETPIVOTDATA("Sum of Month "&amp;$S$9,'PT-All'!$A$1,"Scenario",P$14,"P&amp;L Item",$B39),0),0)+IF($T$15,IFERROR(GETPIVOTDATA("Sum of Month "&amp;$T$9,'PT-All'!$A$1,"Scenario",P$15,"P&amp;L Item",$B39),0),0)</f>
        <v>0</v>
      </c>
      <c r="Q39" s="409">
        <f>IF($T$13,IFERROR(GETPIVOTDATA("Sum of Month "&amp;$Q$9,'PT-All'!$A$1,"Scenario",Q$13,"P&amp;L Item",$B39),0),0)+IF($T$14,IFERROR(GETPIVOTDATA("Sum of Month "&amp;$S$9,'PT-All'!$A$1,"Scenario",Q$14,"P&amp;L Item",$B39),0),0)+IF($T$15,IFERROR(GETPIVOTDATA("Sum of Month "&amp;$T$9,'PT-All'!$A$1,"Scenario",Q$15,"P&amp;L Item",$B39),0),0)</f>
        <v>0</v>
      </c>
      <c r="R39" s="138"/>
      <c r="S39" s="409">
        <f t="shared" si="25"/>
        <v>0</v>
      </c>
      <c r="T39" s="410">
        <f t="shared" si="26"/>
        <v>0</v>
      </c>
      <c r="U39" s="411"/>
      <c r="V39" s="148"/>
    </row>
    <row r="40" spans="2:22" x14ac:dyDescent="0.35">
      <c r="B40" s="76" t="s">
        <v>77</v>
      </c>
      <c r="C40" s="407">
        <f>IFERROR(GETPIVOTDATA("Sum of "&amp;TEXT(C$10,"mmm-yyyy"),'PT-All'!$A$1,"Scenario",C$15,"P&amp;L Item",$B40),0)</f>
        <v>0</v>
      </c>
      <c r="D40" s="407">
        <f>IFERROR(GETPIVOTDATA("Sum of "&amp;TEXT(D$10,"mmm-yyyy"),'PT-All'!$A$1,"Scenario",D$15,"P&amp;L Item",$B40),0)</f>
        <v>0</v>
      </c>
      <c r="E40" s="407">
        <f>IFERROR(GETPIVOTDATA("Sum of "&amp;TEXT(E$10,"mmm-yyyy"),'PT-All'!$A$1,"Scenario",E$15,"P&amp;L Item",$B40),0)</f>
        <v>0</v>
      </c>
      <c r="F40" s="407">
        <f>IFERROR(GETPIVOTDATA("Sum of "&amp;TEXT(F$10,"mmm-yyyy"),'PT-All'!$A$1,"Scenario",F$15,"P&amp;L Item",$B40),0)</f>
        <v>0</v>
      </c>
      <c r="G40" s="408">
        <f>IFERROR(GETPIVOTDATA("Sum of "&amp;TEXT(G$10,"mmm-yyyy"),'PT-All'!$A$1,"Scenario",G$15,"P&amp;L Item",$B40),0)</f>
        <v>0</v>
      </c>
      <c r="H40" s="409">
        <f>IFERROR(GETPIVOTDATA("Sum of "&amp;TEXT(H$10,"mmm-yyyy"),'PT-All'!$A$1,"Scenario",H$15,"P&amp;L Item",$B40),0)</f>
        <v>0</v>
      </c>
      <c r="I40" s="409">
        <f>IFERROR(GETPIVOTDATA("Sum of "&amp;TEXT(I$10,"mmm-yyyy"),'PT-All'!$A$1,"Scenario",I$15,"P&amp;L Item",$B40),0)</f>
        <v>0</v>
      </c>
      <c r="J40" s="138"/>
      <c r="K40" s="409">
        <f t="shared" si="22"/>
        <v>0</v>
      </c>
      <c r="L40" s="410">
        <f t="shared" si="23"/>
        <v>0</v>
      </c>
      <c r="M40" s="180"/>
      <c r="N40" s="407">
        <f>IFERROR(GETPIVOTDATA("Sum of Q"&amp;N$9,'PT-All'!$A$1,"Scenario",N$15,"P&amp;L Item",$B40),0)</f>
        <v>0</v>
      </c>
      <c r="O40" s="408">
        <f>IFERROR(GETPIVOTDATA("Sum of Q"&amp;O$9,'PT-All'!$A$1,"Scenario",O$15,"P&amp;L Item",$B40),0)</f>
        <v>0</v>
      </c>
      <c r="P40" s="409">
        <f>IF($T$13,IFERROR(GETPIVOTDATA("Sum of Month "&amp;$Q$9,'PT-All'!$A$1,"Scenario",P$13,"P&amp;L Item",$B40),0),0)+IF($T$14,IFERROR(GETPIVOTDATA("Sum of Month "&amp;$S$9,'PT-All'!$A$1,"Scenario",P$14,"P&amp;L Item",$B40),0),0)+IF($T$15,IFERROR(GETPIVOTDATA("Sum of Month "&amp;$T$9,'PT-All'!$A$1,"Scenario",P$15,"P&amp;L Item",$B40),0),0)</f>
        <v>0</v>
      </c>
      <c r="Q40" s="409">
        <f>IF($T$13,IFERROR(GETPIVOTDATA("Sum of Month "&amp;$Q$9,'PT-All'!$A$1,"Scenario",Q$13,"P&amp;L Item",$B40),0),0)+IF($T$14,IFERROR(GETPIVOTDATA("Sum of Month "&amp;$S$9,'PT-All'!$A$1,"Scenario",Q$14,"P&amp;L Item",$B40),0),0)+IF($T$15,IFERROR(GETPIVOTDATA("Sum of Month "&amp;$T$9,'PT-All'!$A$1,"Scenario",Q$15,"P&amp;L Item",$B40),0),0)</f>
        <v>0</v>
      </c>
      <c r="R40" s="138"/>
      <c r="S40" s="409">
        <f t="shared" si="25"/>
        <v>0</v>
      </c>
      <c r="T40" s="410">
        <f t="shared" si="26"/>
        <v>0</v>
      </c>
      <c r="U40" s="411"/>
      <c r="V40" s="148"/>
    </row>
    <row r="41" spans="2:22" x14ac:dyDescent="0.35">
      <c r="B41" s="76" t="s">
        <v>78</v>
      </c>
      <c r="C41" s="407">
        <f>IFERROR(GETPIVOTDATA("Sum of "&amp;TEXT(C$10,"mmm-yyyy"),'PT-All'!$A$1,"Scenario",C$15,"P&amp;L Item",$B41),0)</f>
        <v>0</v>
      </c>
      <c r="D41" s="407">
        <f>IFERROR(GETPIVOTDATA("Sum of "&amp;TEXT(D$10,"mmm-yyyy"),'PT-All'!$A$1,"Scenario",D$15,"P&amp;L Item",$B41),0)</f>
        <v>0</v>
      </c>
      <c r="E41" s="407">
        <f>IFERROR(GETPIVOTDATA("Sum of "&amp;TEXT(E$10,"mmm-yyyy"),'PT-All'!$A$1,"Scenario",E$15,"P&amp;L Item",$B41),0)</f>
        <v>0</v>
      </c>
      <c r="F41" s="407">
        <f>IFERROR(GETPIVOTDATA("Sum of "&amp;TEXT(F$10,"mmm-yyyy"),'PT-All'!$A$1,"Scenario",F$15,"P&amp;L Item",$B41),0)</f>
        <v>0</v>
      </c>
      <c r="G41" s="408">
        <f>IFERROR(GETPIVOTDATA("Sum of "&amp;TEXT(G$10,"mmm-yyyy"),'PT-All'!$A$1,"Scenario",G$15,"P&amp;L Item",$B41),0)</f>
        <v>0</v>
      </c>
      <c r="H41" s="409">
        <f>IFERROR(GETPIVOTDATA("Sum of "&amp;TEXT(H$10,"mmm-yyyy"),'PT-All'!$A$1,"Scenario",H$15,"P&amp;L Item",$B41),0)</f>
        <v>0</v>
      </c>
      <c r="I41" s="409">
        <f>IFERROR(GETPIVOTDATA("Sum of "&amp;TEXT(I$10,"mmm-yyyy"),'PT-All'!$A$1,"Scenario",I$15,"P&amp;L Item",$B41),0)</f>
        <v>0</v>
      </c>
      <c r="J41" s="138"/>
      <c r="K41" s="409">
        <f t="shared" si="22"/>
        <v>0</v>
      </c>
      <c r="L41" s="410">
        <f t="shared" si="23"/>
        <v>0</v>
      </c>
      <c r="M41" s="180"/>
      <c r="N41" s="407">
        <f>IFERROR(GETPIVOTDATA("Sum of Q"&amp;N$9,'PT-All'!$A$1,"Scenario",N$15,"P&amp;L Item",$B41),0)</f>
        <v>0</v>
      </c>
      <c r="O41" s="408">
        <f>IFERROR(GETPIVOTDATA("Sum of Q"&amp;O$9,'PT-All'!$A$1,"Scenario",O$15,"P&amp;L Item",$B41),0)</f>
        <v>0</v>
      </c>
      <c r="P41" s="409">
        <f>IF($T$13,IFERROR(GETPIVOTDATA("Sum of Month "&amp;$Q$9,'PT-All'!$A$1,"Scenario",P$13,"P&amp;L Item",$B41),0),0)+IF($T$14,IFERROR(GETPIVOTDATA("Sum of Month "&amp;$S$9,'PT-All'!$A$1,"Scenario",P$14,"P&amp;L Item",$B41),0),0)+IF($T$15,IFERROR(GETPIVOTDATA("Sum of Month "&amp;$T$9,'PT-All'!$A$1,"Scenario",P$15,"P&amp;L Item",$B41),0),0)</f>
        <v>0</v>
      </c>
      <c r="Q41" s="409">
        <f>IF($T$13,IFERROR(GETPIVOTDATA("Sum of Month "&amp;$Q$9,'PT-All'!$A$1,"Scenario",Q$13,"P&amp;L Item",$B41),0),0)+IF($T$14,IFERROR(GETPIVOTDATA("Sum of Month "&amp;$S$9,'PT-All'!$A$1,"Scenario",Q$14,"P&amp;L Item",$B41),0),0)+IF($T$15,IFERROR(GETPIVOTDATA("Sum of Month "&amp;$T$9,'PT-All'!$A$1,"Scenario",Q$15,"P&amp;L Item",$B41),0),0)</f>
        <v>0</v>
      </c>
      <c r="R41" s="138"/>
      <c r="S41" s="409">
        <f t="shared" si="25"/>
        <v>0</v>
      </c>
      <c r="T41" s="410">
        <f t="shared" si="26"/>
        <v>0</v>
      </c>
      <c r="U41" s="411"/>
      <c r="V41" s="148"/>
    </row>
    <row r="42" spans="2:22" x14ac:dyDescent="0.35">
      <c r="B42" s="76" t="s">
        <v>79</v>
      </c>
      <c r="C42" s="407">
        <f>IFERROR(GETPIVOTDATA("Sum of "&amp;TEXT(C$10,"mmm-yyyy"),'PT-All'!$A$1,"Scenario",C$15,"P&amp;L Item",$B42),0)</f>
        <v>0</v>
      </c>
      <c r="D42" s="407">
        <f>IFERROR(GETPIVOTDATA("Sum of "&amp;TEXT(D$10,"mmm-yyyy"),'PT-All'!$A$1,"Scenario",D$15,"P&amp;L Item",$B42),0)</f>
        <v>0</v>
      </c>
      <c r="E42" s="407">
        <f>IFERROR(GETPIVOTDATA("Sum of "&amp;TEXT(E$10,"mmm-yyyy"),'PT-All'!$A$1,"Scenario",E$15,"P&amp;L Item",$B42),0)</f>
        <v>0</v>
      </c>
      <c r="F42" s="407">
        <f>IFERROR(GETPIVOTDATA("Sum of "&amp;TEXT(F$10,"mmm-yyyy"),'PT-All'!$A$1,"Scenario",F$15,"P&amp;L Item",$B42),0)</f>
        <v>0</v>
      </c>
      <c r="G42" s="408">
        <f>IFERROR(GETPIVOTDATA("Sum of "&amp;TEXT(G$10,"mmm-yyyy"),'PT-All'!$A$1,"Scenario",G$15,"P&amp;L Item",$B42),0)</f>
        <v>0</v>
      </c>
      <c r="H42" s="409">
        <f>IFERROR(GETPIVOTDATA("Sum of "&amp;TEXT(H$10,"mmm-yyyy"),'PT-All'!$A$1,"Scenario",H$15,"P&amp;L Item",$B42),0)</f>
        <v>0</v>
      </c>
      <c r="I42" s="409">
        <f>IFERROR(GETPIVOTDATA("Sum of "&amp;TEXT(I$10,"mmm-yyyy"),'PT-All'!$A$1,"Scenario",I$15,"P&amp;L Item",$B42),0)</f>
        <v>0</v>
      </c>
      <c r="J42" s="138"/>
      <c r="K42" s="409">
        <f t="shared" si="22"/>
        <v>0</v>
      </c>
      <c r="L42" s="410">
        <f t="shared" si="23"/>
        <v>0</v>
      </c>
      <c r="M42" s="180"/>
      <c r="N42" s="407">
        <f>IFERROR(GETPIVOTDATA("Sum of Q"&amp;N$9,'PT-All'!$A$1,"Scenario",N$15,"P&amp;L Item",$B42),0)</f>
        <v>0</v>
      </c>
      <c r="O42" s="408">
        <f>IFERROR(GETPIVOTDATA("Sum of Q"&amp;O$9,'PT-All'!$A$1,"Scenario",O$15,"P&amp;L Item",$B42),0)</f>
        <v>0</v>
      </c>
      <c r="P42" s="409">
        <f>IF($T$13,IFERROR(GETPIVOTDATA("Sum of Month "&amp;$Q$9,'PT-All'!$A$1,"Scenario",P$13,"P&amp;L Item",$B42),0),0)+IF($T$14,IFERROR(GETPIVOTDATA("Sum of Month "&amp;$S$9,'PT-All'!$A$1,"Scenario",P$14,"P&amp;L Item",$B42),0),0)+IF($T$15,IFERROR(GETPIVOTDATA("Sum of Month "&amp;$T$9,'PT-All'!$A$1,"Scenario",P$15,"P&amp;L Item",$B42),0),0)</f>
        <v>0</v>
      </c>
      <c r="Q42" s="409">
        <f>IF($T$13,IFERROR(GETPIVOTDATA("Sum of Month "&amp;$Q$9,'PT-All'!$A$1,"Scenario",Q$13,"P&amp;L Item",$B42),0),0)+IF($T$14,IFERROR(GETPIVOTDATA("Sum of Month "&amp;$S$9,'PT-All'!$A$1,"Scenario",Q$14,"P&amp;L Item",$B42),0),0)+IF($T$15,IFERROR(GETPIVOTDATA("Sum of Month "&amp;$T$9,'PT-All'!$A$1,"Scenario",Q$15,"P&amp;L Item",$B42),0),0)</f>
        <v>0</v>
      </c>
      <c r="R42" s="138"/>
      <c r="S42" s="409">
        <f t="shared" si="25"/>
        <v>0</v>
      </c>
      <c r="T42" s="410">
        <f t="shared" si="26"/>
        <v>0</v>
      </c>
      <c r="U42" s="411"/>
      <c r="V42" s="148"/>
    </row>
    <row r="43" spans="2:22" x14ac:dyDescent="0.35">
      <c r="B43" s="76" t="s">
        <v>80</v>
      </c>
      <c r="C43" s="407">
        <f>IFERROR(GETPIVOTDATA("Sum of "&amp;TEXT(C$10,"mmm-yyyy"),'PT-All'!$A$1,"Scenario",C$15,"P&amp;L Item",$B43),0)</f>
        <v>0</v>
      </c>
      <c r="D43" s="407">
        <f>IFERROR(GETPIVOTDATA("Sum of "&amp;TEXT(D$10,"mmm-yyyy"),'PT-All'!$A$1,"Scenario",D$15,"P&amp;L Item",$B43),0)</f>
        <v>0</v>
      </c>
      <c r="E43" s="407">
        <f>IFERROR(GETPIVOTDATA("Sum of "&amp;TEXT(E$10,"mmm-yyyy"),'PT-All'!$A$1,"Scenario",E$15,"P&amp;L Item",$B43),0)</f>
        <v>0</v>
      </c>
      <c r="F43" s="407">
        <f>IFERROR(GETPIVOTDATA("Sum of "&amp;TEXT(F$10,"mmm-yyyy"),'PT-All'!$A$1,"Scenario",F$15,"P&amp;L Item",$B43),0)</f>
        <v>0</v>
      </c>
      <c r="G43" s="408">
        <f>IFERROR(GETPIVOTDATA("Sum of "&amp;TEXT(G$10,"mmm-yyyy"),'PT-All'!$A$1,"Scenario",G$15,"P&amp;L Item",$B43),0)</f>
        <v>0</v>
      </c>
      <c r="H43" s="409">
        <f>IFERROR(GETPIVOTDATA("Sum of "&amp;TEXT(H$10,"mmm-yyyy"),'PT-All'!$A$1,"Scenario",H$15,"P&amp;L Item",$B43),0)</f>
        <v>0</v>
      </c>
      <c r="I43" s="409">
        <f>IFERROR(GETPIVOTDATA("Sum of "&amp;TEXT(I$10,"mmm-yyyy"),'PT-All'!$A$1,"Scenario",I$15,"P&amp;L Item",$B43),0)</f>
        <v>0</v>
      </c>
      <c r="J43" s="138"/>
      <c r="K43" s="409">
        <f t="shared" si="22"/>
        <v>0</v>
      </c>
      <c r="L43" s="410">
        <f t="shared" si="23"/>
        <v>0</v>
      </c>
      <c r="M43" s="180"/>
      <c r="N43" s="407">
        <f>IFERROR(GETPIVOTDATA("Sum of Q"&amp;N$9,'PT-All'!$A$1,"Scenario",N$15,"P&amp;L Item",$B43),0)</f>
        <v>0</v>
      </c>
      <c r="O43" s="408">
        <f>IFERROR(GETPIVOTDATA("Sum of Q"&amp;O$9,'PT-All'!$A$1,"Scenario",O$15,"P&amp;L Item",$B43),0)</f>
        <v>0</v>
      </c>
      <c r="P43" s="409">
        <f>IF($T$13,IFERROR(GETPIVOTDATA("Sum of Month "&amp;$Q$9,'PT-All'!$A$1,"Scenario",P$13,"P&amp;L Item",$B43),0),0)+IF($T$14,IFERROR(GETPIVOTDATA("Sum of Month "&amp;$S$9,'PT-All'!$A$1,"Scenario",P$14,"P&amp;L Item",$B43),0),0)+IF($T$15,IFERROR(GETPIVOTDATA("Sum of Month "&amp;$T$9,'PT-All'!$A$1,"Scenario",P$15,"P&amp;L Item",$B43),0),0)</f>
        <v>0</v>
      </c>
      <c r="Q43" s="409">
        <f>IF($T$13,IFERROR(GETPIVOTDATA("Sum of Month "&amp;$Q$9,'PT-All'!$A$1,"Scenario",Q$13,"P&amp;L Item",$B43),0),0)+IF($T$14,IFERROR(GETPIVOTDATA("Sum of Month "&amp;$S$9,'PT-All'!$A$1,"Scenario",Q$14,"P&amp;L Item",$B43),0),0)+IF($T$15,IFERROR(GETPIVOTDATA("Sum of Month "&amp;$T$9,'PT-All'!$A$1,"Scenario",Q$15,"P&amp;L Item",$B43),0),0)</f>
        <v>0</v>
      </c>
      <c r="R43" s="138"/>
      <c r="S43" s="409">
        <f t="shared" si="25"/>
        <v>0</v>
      </c>
      <c r="T43" s="410">
        <f t="shared" si="26"/>
        <v>0</v>
      </c>
      <c r="U43" s="411"/>
      <c r="V43" s="148"/>
    </row>
    <row r="44" spans="2:22" x14ac:dyDescent="0.35">
      <c r="B44" s="76" t="s">
        <v>81</v>
      </c>
      <c r="C44" s="407">
        <f>IFERROR(GETPIVOTDATA("Sum of "&amp;TEXT(C$10,"mmm-yyyy"),'PT-All'!$A$1,"Scenario",C$15,"P&amp;L Item",$B44),0)</f>
        <v>0</v>
      </c>
      <c r="D44" s="407">
        <f>IFERROR(GETPIVOTDATA("Sum of "&amp;TEXT(D$10,"mmm-yyyy"),'PT-All'!$A$1,"Scenario",D$15,"P&amp;L Item",$B44),0)</f>
        <v>0</v>
      </c>
      <c r="E44" s="407">
        <f>IFERROR(GETPIVOTDATA("Sum of "&amp;TEXT(E$10,"mmm-yyyy"),'PT-All'!$A$1,"Scenario",E$15,"P&amp;L Item",$B44),0)</f>
        <v>0</v>
      </c>
      <c r="F44" s="407">
        <f>IFERROR(GETPIVOTDATA("Sum of "&amp;TEXT(F$10,"mmm-yyyy"),'PT-All'!$A$1,"Scenario",F$15,"P&amp;L Item",$B44),0)</f>
        <v>0</v>
      </c>
      <c r="G44" s="408">
        <f>IFERROR(GETPIVOTDATA("Sum of "&amp;TEXT(G$10,"mmm-yyyy"),'PT-All'!$A$1,"Scenario",G$15,"P&amp;L Item",$B44),0)</f>
        <v>0</v>
      </c>
      <c r="H44" s="409">
        <f>IFERROR(GETPIVOTDATA("Sum of "&amp;TEXT(H$10,"mmm-yyyy"),'PT-All'!$A$1,"Scenario",H$15,"P&amp;L Item",$B44),0)</f>
        <v>0</v>
      </c>
      <c r="I44" s="409">
        <f>IFERROR(GETPIVOTDATA("Sum of "&amp;TEXT(I$10,"mmm-yyyy"),'PT-All'!$A$1,"Scenario",I$15,"P&amp;L Item",$B44),0)</f>
        <v>0</v>
      </c>
      <c r="J44" s="138"/>
      <c r="K44" s="409">
        <f t="shared" si="22"/>
        <v>0</v>
      </c>
      <c r="L44" s="410">
        <f t="shared" si="23"/>
        <v>0</v>
      </c>
      <c r="M44" s="180"/>
      <c r="N44" s="407">
        <f>IFERROR(GETPIVOTDATA("Sum of Q"&amp;N$9,'PT-All'!$A$1,"Scenario",N$15,"P&amp;L Item",$B44),0)</f>
        <v>0</v>
      </c>
      <c r="O44" s="408">
        <f>IFERROR(GETPIVOTDATA("Sum of Q"&amp;O$9,'PT-All'!$A$1,"Scenario",O$15,"P&amp;L Item",$B44),0)</f>
        <v>0</v>
      </c>
      <c r="P44" s="409">
        <f>IF($T$13,IFERROR(GETPIVOTDATA("Sum of Month "&amp;$Q$9,'PT-All'!$A$1,"Scenario",P$13,"P&amp;L Item",$B44),0),0)+IF($T$14,IFERROR(GETPIVOTDATA("Sum of Month "&amp;$S$9,'PT-All'!$A$1,"Scenario",P$14,"P&amp;L Item",$B44),0),0)+IF($T$15,IFERROR(GETPIVOTDATA("Sum of Month "&amp;$T$9,'PT-All'!$A$1,"Scenario",P$15,"P&amp;L Item",$B44),0),0)</f>
        <v>0</v>
      </c>
      <c r="Q44" s="409">
        <f>IF($T$13,IFERROR(GETPIVOTDATA("Sum of Month "&amp;$Q$9,'PT-All'!$A$1,"Scenario",Q$13,"P&amp;L Item",$B44),0),0)+IF($T$14,IFERROR(GETPIVOTDATA("Sum of Month "&amp;$S$9,'PT-All'!$A$1,"Scenario",Q$14,"P&amp;L Item",$B44),0),0)+IF($T$15,IFERROR(GETPIVOTDATA("Sum of Month "&amp;$T$9,'PT-All'!$A$1,"Scenario",Q$15,"P&amp;L Item",$B44),0),0)</f>
        <v>0</v>
      </c>
      <c r="R44" s="138"/>
      <c r="S44" s="409">
        <f t="shared" si="25"/>
        <v>0</v>
      </c>
      <c r="T44" s="410">
        <f t="shared" si="26"/>
        <v>0</v>
      </c>
      <c r="U44" s="411"/>
      <c r="V44" s="148"/>
    </row>
    <row r="45" spans="2:22" x14ac:dyDescent="0.35">
      <c r="B45" s="76" t="s">
        <v>82</v>
      </c>
      <c r="C45" s="407">
        <f>IFERROR(GETPIVOTDATA("Sum of "&amp;TEXT(C$10,"mmm-yyyy"),'PT-All'!$A$1,"Scenario",C$15,"P&amp;L Item",$B45),0)</f>
        <v>0</v>
      </c>
      <c r="D45" s="407">
        <f>IFERROR(GETPIVOTDATA("Sum of "&amp;TEXT(D$10,"mmm-yyyy"),'PT-All'!$A$1,"Scenario",D$15,"P&amp;L Item",$B45),0)</f>
        <v>0</v>
      </c>
      <c r="E45" s="407">
        <f>IFERROR(GETPIVOTDATA("Sum of "&amp;TEXT(E$10,"mmm-yyyy"),'PT-All'!$A$1,"Scenario",E$15,"P&amp;L Item",$B45),0)</f>
        <v>0</v>
      </c>
      <c r="F45" s="407">
        <f>IFERROR(GETPIVOTDATA("Sum of "&amp;TEXT(F$10,"mmm-yyyy"),'PT-All'!$A$1,"Scenario",F$15,"P&amp;L Item",$B45),0)</f>
        <v>0</v>
      </c>
      <c r="G45" s="408">
        <f>IFERROR(GETPIVOTDATA("Sum of "&amp;TEXT(G$10,"mmm-yyyy"),'PT-All'!$A$1,"Scenario",G$15,"P&amp;L Item",$B45),0)</f>
        <v>0</v>
      </c>
      <c r="H45" s="409">
        <f>IFERROR(GETPIVOTDATA("Sum of "&amp;TEXT(H$10,"mmm-yyyy"),'PT-All'!$A$1,"Scenario",H$15,"P&amp;L Item",$B45),0)</f>
        <v>0</v>
      </c>
      <c r="I45" s="409">
        <f>IFERROR(GETPIVOTDATA("Sum of "&amp;TEXT(I$10,"mmm-yyyy"),'PT-All'!$A$1,"Scenario",I$15,"P&amp;L Item",$B45),0)</f>
        <v>0</v>
      </c>
      <c r="J45" s="138"/>
      <c r="K45" s="409">
        <f t="shared" si="22"/>
        <v>0</v>
      </c>
      <c r="L45" s="410">
        <f t="shared" si="23"/>
        <v>0</v>
      </c>
      <c r="M45" s="180"/>
      <c r="N45" s="407">
        <f>IFERROR(GETPIVOTDATA("Sum of Q"&amp;N$9,'PT-All'!$A$1,"Scenario",N$15,"P&amp;L Item",$B45),0)</f>
        <v>0</v>
      </c>
      <c r="O45" s="408">
        <f>IFERROR(GETPIVOTDATA("Sum of Q"&amp;O$9,'PT-All'!$A$1,"Scenario",O$15,"P&amp;L Item",$B45),0)</f>
        <v>0</v>
      </c>
      <c r="P45" s="409">
        <f>IF($T$13,IFERROR(GETPIVOTDATA("Sum of Month "&amp;$Q$9,'PT-All'!$A$1,"Scenario",P$13,"P&amp;L Item",$B45),0),0)+IF($T$14,IFERROR(GETPIVOTDATA("Sum of Month "&amp;$S$9,'PT-All'!$A$1,"Scenario",P$14,"P&amp;L Item",$B45),0),0)+IF($T$15,IFERROR(GETPIVOTDATA("Sum of Month "&amp;$T$9,'PT-All'!$A$1,"Scenario",P$15,"P&amp;L Item",$B45),0),0)</f>
        <v>0</v>
      </c>
      <c r="Q45" s="409">
        <f>IF($T$13,IFERROR(GETPIVOTDATA("Sum of Month "&amp;$Q$9,'PT-All'!$A$1,"Scenario",Q$13,"P&amp;L Item",$B45),0),0)+IF($T$14,IFERROR(GETPIVOTDATA("Sum of Month "&amp;$S$9,'PT-All'!$A$1,"Scenario",Q$14,"P&amp;L Item",$B45),0),0)+IF($T$15,IFERROR(GETPIVOTDATA("Sum of Month "&amp;$T$9,'PT-All'!$A$1,"Scenario",Q$15,"P&amp;L Item",$B45),0),0)</f>
        <v>0</v>
      </c>
      <c r="R45" s="138"/>
      <c r="S45" s="409">
        <f t="shared" si="25"/>
        <v>0</v>
      </c>
      <c r="T45" s="410">
        <f t="shared" si="26"/>
        <v>0</v>
      </c>
      <c r="U45" s="411"/>
      <c r="V45" s="148"/>
    </row>
    <row r="46" spans="2:22" x14ac:dyDescent="0.35">
      <c r="B46" s="77" t="s">
        <v>83</v>
      </c>
      <c r="C46" s="439">
        <f t="shared" ref="C46:I46" si="29">SUM(C47,C50)</f>
        <v>0</v>
      </c>
      <c r="D46" s="439">
        <f t="shared" si="29"/>
        <v>0</v>
      </c>
      <c r="E46" s="439">
        <f t="shared" si="29"/>
        <v>0</v>
      </c>
      <c r="F46" s="439">
        <f t="shared" si="29"/>
        <v>0</v>
      </c>
      <c r="G46" s="440">
        <f t="shared" si="29"/>
        <v>0</v>
      </c>
      <c r="H46" s="441">
        <f t="shared" si="29"/>
        <v>0</v>
      </c>
      <c r="I46" s="441">
        <f t="shared" si="29"/>
        <v>0</v>
      </c>
      <c r="J46" s="138"/>
      <c r="K46" s="441">
        <f t="shared" si="22"/>
        <v>0</v>
      </c>
      <c r="L46" s="442">
        <f t="shared" si="23"/>
        <v>0</v>
      </c>
      <c r="M46" s="180"/>
      <c r="N46" s="439">
        <f t="shared" ref="N46:Q46" si="30">SUM(N47,N50)</f>
        <v>0</v>
      </c>
      <c r="O46" s="440">
        <f t="shared" si="30"/>
        <v>0</v>
      </c>
      <c r="P46" s="441">
        <f t="shared" si="30"/>
        <v>0</v>
      </c>
      <c r="Q46" s="441">
        <f t="shared" si="30"/>
        <v>0</v>
      </c>
      <c r="R46" s="138"/>
      <c r="S46" s="441">
        <f t="shared" si="25"/>
        <v>0</v>
      </c>
      <c r="T46" s="442">
        <f t="shared" si="26"/>
        <v>0</v>
      </c>
      <c r="U46" s="443"/>
      <c r="V46" s="148"/>
    </row>
    <row r="47" spans="2:22" x14ac:dyDescent="0.35">
      <c r="B47" s="79" t="s">
        <v>84</v>
      </c>
      <c r="C47" s="439">
        <f t="shared" ref="C47:I47" si="31">SUM(C48:C49)</f>
        <v>0</v>
      </c>
      <c r="D47" s="439">
        <f t="shared" si="31"/>
        <v>0</v>
      </c>
      <c r="E47" s="439">
        <f t="shared" si="31"/>
        <v>0</v>
      </c>
      <c r="F47" s="439">
        <f t="shared" si="31"/>
        <v>0</v>
      </c>
      <c r="G47" s="440">
        <f t="shared" si="31"/>
        <v>0</v>
      </c>
      <c r="H47" s="441">
        <f t="shared" si="31"/>
        <v>0</v>
      </c>
      <c r="I47" s="441">
        <f t="shared" si="31"/>
        <v>0</v>
      </c>
      <c r="J47" s="138"/>
      <c r="K47" s="441">
        <f t="shared" si="22"/>
        <v>0</v>
      </c>
      <c r="L47" s="442">
        <f t="shared" si="23"/>
        <v>0</v>
      </c>
      <c r="M47" s="180"/>
      <c r="N47" s="439">
        <f t="shared" ref="N47:Q47" si="32">SUM(N48:N49)</f>
        <v>0</v>
      </c>
      <c r="O47" s="440">
        <f t="shared" si="32"/>
        <v>0</v>
      </c>
      <c r="P47" s="441">
        <f t="shared" si="32"/>
        <v>0</v>
      </c>
      <c r="Q47" s="441">
        <f t="shared" si="32"/>
        <v>0</v>
      </c>
      <c r="R47" s="138"/>
      <c r="S47" s="441">
        <f t="shared" si="25"/>
        <v>0</v>
      </c>
      <c r="T47" s="442">
        <f t="shared" si="26"/>
        <v>0</v>
      </c>
      <c r="U47" s="443"/>
      <c r="V47" s="148"/>
    </row>
    <row r="48" spans="2:22" x14ac:dyDescent="0.35">
      <c r="B48" s="80" t="s">
        <v>85</v>
      </c>
      <c r="C48" s="407">
        <f>IFERROR(GETPIVOTDATA("Sum of "&amp;TEXT(C$10,"mmm-yyyy"),'PT-All'!$A$1,"Scenario",C$15,"P&amp;L Item",$B48),0)</f>
        <v>0</v>
      </c>
      <c r="D48" s="407">
        <f>IFERROR(GETPIVOTDATA("Sum of "&amp;TEXT(D$10,"mmm-yyyy"),'PT-All'!$A$1,"Scenario",D$15,"P&amp;L Item",$B48),0)</f>
        <v>0</v>
      </c>
      <c r="E48" s="407">
        <f>IFERROR(GETPIVOTDATA("Sum of "&amp;TEXT(E$10,"mmm-yyyy"),'PT-All'!$A$1,"Scenario",E$15,"P&amp;L Item",$B48),0)</f>
        <v>0</v>
      </c>
      <c r="F48" s="407">
        <f>IFERROR(GETPIVOTDATA("Sum of "&amp;TEXT(F$10,"mmm-yyyy"),'PT-All'!$A$1,"Scenario",F$15,"P&amp;L Item",$B48),0)</f>
        <v>0</v>
      </c>
      <c r="G48" s="408">
        <f>IFERROR(GETPIVOTDATA("Sum of "&amp;TEXT(G$10,"mmm-yyyy"),'PT-All'!$A$1,"Scenario",G$15,"P&amp;L Item",$B48),0)</f>
        <v>0</v>
      </c>
      <c r="H48" s="409">
        <f>IFERROR(GETPIVOTDATA("Sum of "&amp;TEXT(H$10,"mmm-yyyy"),'PT-All'!$A$1,"Scenario",H$15,"P&amp;L Item",$B48),0)</f>
        <v>0</v>
      </c>
      <c r="I48" s="409">
        <f>IFERROR(GETPIVOTDATA("Sum of "&amp;TEXT(I$10,"mmm-yyyy"),'PT-All'!$A$1,"Scenario",I$15,"P&amp;L Item",$B48),0)</f>
        <v>0</v>
      </c>
      <c r="J48" s="138"/>
      <c r="K48" s="409">
        <f t="shared" si="22"/>
        <v>0</v>
      </c>
      <c r="L48" s="410">
        <f t="shared" si="23"/>
        <v>0</v>
      </c>
      <c r="M48" s="180"/>
      <c r="N48" s="407">
        <f>IFERROR(GETPIVOTDATA("Sum of Q"&amp;N$9,'PT-All'!$A$1,"Scenario",N$15,"P&amp;L Item",$B48),0)</f>
        <v>0</v>
      </c>
      <c r="O48" s="408">
        <f>IFERROR(GETPIVOTDATA("Sum of Q"&amp;O$9,'PT-All'!$A$1,"Scenario",O$15,"P&amp;L Item",$B48),0)</f>
        <v>0</v>
      </c>
      <c r="P48" s="409">
        <f>IF($T$13,IFERROR(GETPIVOTDATA("Sum of Month "&amp;$Q$9,'PT-All'!$A$1,"Scenario",P$13,"P&amp;L Item",$B48),0),0)+IF($T$14,IFERROR(GETPIVOTDATA("Sum of Month "&amp;$S$9,'PT-All'!$A$1,"Scenario",P$14,"P&amp;L Item",$B48),0),0)+IF($T$15,IFERROR(GETPIVOTDATA("Sum of Month "&amp;$T$9,'PT-All'!$A$1,"Scenario",P$15,"P&amp;L Item",$B48),0),0)</f>
        <v>0</v>
      </c>
      <c r="Q48" s="409">
        <f>IF($T$13,IFERROR(GETPIVOTDATA("Sum of Month "&amp;$Q$9,'PT-All'!$A$1,"Scenario",Q$13,"P&amp;L Item",$B48),0),0)+IF($T$14,IFERROR(GETPIVOTDATA("Sum of Month "&amp;$S$9,'PT-All'!$A$1,"Scenario",Q$14,"P&amp;L Item",$B48),0),0)+IF($T$15,IFERROR(GETPIVOTDATA("Sum of Month "&amp;$T$9,'PT-All'!$A$1,"Scenario",Q$15,"P&amp;L Item",$B48),0),0)</f>
        <v>0</v>
      </c>
      <c r="R48" s="138"/>
      <c r="S48" s="409">
        <f t="shared" si="25"/>
        <v>0</v>
      </c>
      <c r="T48" s="410">
        <f t="shared" si="26"/>
        <v>0</v>
      </c>
      <c r="U48" s="411"/>
      <c r="V48" s="148"/>
    </row>
    <row r="49" spans="2:22" x14ac:dyDescent="0.35">
      <c r="B49" s="80" t="s">
        <v>86</v>
      </c>
      <c r="C49" s="407">
        <f>IFERROR(GETPIVOTDATA("Sum of "&amp;TEXT(C$10,"mmm-yyyy"),'PT-All'!$A$1,"Scenario",C$15,"P&amp;L Item",$B49),0)</f>
        <v>0</v>
      </c>
      <c r="D49" s="407">
        <f>IFERROR(GETPIVOTDATA("Sum of "&amp;TEXT(D$10,"mmm-yyyy"),'PT-All'!$A$1,"Scenario",D$15,"P&amp;L Item",$B49),0)</f>
        <v>0</v>
      </c>
      <c r="E49" s="407">
        <f>IFERROR(GETPIVOTDATA("Sum of "&amp;TEXT(E$10,"mmm-yyyy"),'PT-All'!$A$1,"Scenario",E$15,"P&amp;L Item",$B49),0)</f>
        <v>0</v>
      </c>
      <c r="F49" s="407">
        <f>IFERROR(GETPIVOTDATA("Sum of "&amp;TEXT(F$10,"mmm-yyyy"),'PT-All'!$A$1,"Scenario",F$15,"P&amp;L Item",$B49),0)</f>
        <v>0</v>
      </c>
      <c r="G49" s="408">
        <f>IFERROR(GETPIVOTDATA("Sum of "&amp;TEXT(G$10,"mmm-yyyy"),'PT-All'!$A$1,"Scenario",G$15,"P&amp;L Item",$B49),0)</f>
        <v>0</v>
      </c>
      <c r="H49" s="409">
        <f>IFERROR(GETPIVOTDATA("Sum of "&amp;TEXT(H$10,"mmm-yyyy"),'PT-All'!$A$1,"Scenario",H$15,"P&amp;L Item",$B49),0)</f>
        <v>0</v>
      </c>
      <c r="I49" s="409">
        <f>IFERROR(GETPIVOTDATA("Sum of "&amp;TEXT(I$10,"mmm-yyyy"),'PT-All'!$A$1,"Scenario",I$15,"P&amp;L Item",$B49),0)</f>
        <v>0</v>
      </c>
      <c r="J49" s="138"/>
      <c r="K49" s="409">
        <f t="shared" si="22"/>
        <v>0</v>
      </c>
      <c r="L49" s="410">
        <f t="shared" si="23"/>
        <v>0</v>
      </c>
      <c r="M49" s="180"/>
      <c r="N49" s="407">
        <f>IFERROR(GETPIVOTDATA("Sum of Q"&amp;N$9,'PT-All'!$A$1,"Scenario",N$15,"P&amp;L Item",$B49),0)</f>
        <v>0</v>
      </c>
      <c r="O49" s="408">
        <f>IFERROR(GETPIVOTDATA("Sum of Q"&amp;O$9,'PT-All'!$A$1,"Scenario",O$15,"P&amp;L Item",$B49),0)</f>
        <v>0</v>
      </c>
      <c r="P49" s="409">
        <f>IF($T$13,IFERROR(GETPIVOTDATA("Sum of Month "&amp;$Q$9,'PT-All'!$A$1,"Scenario",P$13,"P&amp;L Item",$B49),0),0)+IF($T$14,IFERROR(GETPIVOTDATA("Sum of Month "&amp;$S$9,'PT-All'!$A$1,"Scenario",P$14,"P&amp;L Item",$B49),0),0)+IF($T$15,IFERROR(GETPIVOTDATA("Sum of Month "&amp;$T$9,'PT-All'!$A$1,"Scenario",P$15,"P&amp;L Item",$B49),0),0)</f>
        <v>0</v>
      </c>
      <c r="Q49" s="409">
        <f>IF($T$13,IFERROR(GETPIVOTDATA("Sum of Month "&amp;$Q$9,'PT-All'!$A$1,"Scenario",Q$13,"P&amp;L Item",$B49),0),0)+IF($T$14,IFERROR(GETPIVOTDATA("Sum of Month "&amp;$S$9,'PT-All'!$A$1,"Scenario",Q$14,"P&amp;L Item",$B49),0),0)+IF($T$15,IFERROR(GETPIVOTDATA("Sum of Month "&amp;$T$9,'PT-All'!$A$1,"Scenario",Q$15,"P&amp;L Item",$B49),0),0)</f>
        <v>0</v>
      </c>
      <c r="R49" s="138"/>
      <c r="S49" s="409">
        <f t="shared" si="25"/>
        <v>0</v>
      </c>
      <c r="T49" s="410">
        <f t="shared" si="26"/>
        <v>0</v>
      </c>
      <c r="U49" s="411"/>
      <c r="V49" s="148"/>
    </row>
    <row r="50" spans="2:22" x14ac:dyDescent="0.35">
      <c r="B50" s="79" t="s">
        <v>87</v>
      </c>
      <c r="C50" s="439">
        <f t="shared" ref="C50:I50" si="33">SUM(C51:C55)</f>
        <v>0</v>
      </c>
      <c r="D50" s="439">
        <f t="shared" si="33"/>
        <v>0</v>
      </c>
      <c r="E50" s="439">
        <f t="shared" si="33"/>
        <v>0</v>
      </c>
      <c r="F50" s="439">
        <f t="shared" si="33"/>
        <v>0</v>
      </c>
      <c r="G50" s="440">
        <f t="shared" si="33"/>
        <v>0</v>
      </c>
      <c r="H50" s="441">
        <f t="shared" si="33"/>
        <v>0</v>
      </c>
      <c r="I50" s="441">
        <f t="shared" si="33"/>
        <v>0</v>
      </c>
      <c r="J50" s="138"/>
      <c r="K50" s="441">
        <f t="shared" si="22"/>
        <v>0</v>
      </c>
      <c r="L50" s="442">
        <f t="shared" si="23"/>
        <v>0</v>
      </c>
      <c r="M50" s="180"/>
      <c r="N50" s="439">
        <f t="shared" ref="N50:Q50" si="34">SUM(N51:N55)</f>
        <v>0</v>
      </c>
      <c r="O50" s="440">
        <f t="shared" si="34"/>
        <v>0</v>
      </c>
      <c r="P50" s="441">
        <f t="shared" si="34"/>
        <v>0</v>
      </c>
      <c r="Q50" s="441">
        <f t="shared" si="34"/>
        <v>0</v>
      </c>
      <c r="R50" s="138"/>
      <c r="S50" s="441">
        <f t="shared" si="25"/>
        <v>0</v>
      </c>
      <c r="T50" s="442">
        <f t="shared" si="26"/>
        <v>0</v>
      </c>
      <c r="U50" s="443"/>
      <c r="V50" s="148"/>
    </row>
    <row r="51" spans="2:22" x14ac:dyDescent="0.35">
      <c r="B51" s="80" t="s">
        <v>88</v>
      </c>
      <c r="C51" s="407">
        <f>IFERROR(GETPIVOTDATA("Sum of "&amp;TEXT(C$10,"mmm-yyyy"),'PT-All'!$A$1,"Scenario",C$15,"P&amp;L Item",$B51),0)</f>
        <v>0</v>
      </c>
      <c r="D51" s="407">
        <f>IFERROR(GETPIVOTDATA("Sum of "&amp;TEXT(D$10,"mmm-yyyy"),'PT-All'!$A$1,"Scenario",D$15,"P&amp;L Item",$B51),0)</f>
        <v>0</v>
      </c>
      <c r="E51" s="407">
        <f>IFERROR(GETPIVOTDATA("Sum of "&amp;TEXT(E$10,"mmm-yyyy"),'PT-All'!$A$1,"Scenario",E$15,"P&amp;L Item",$B51),0)</f>
        <v>0</v>
      </c>
      <c r="F51" s="407">
        <f>IFERROR(GETPIVOTDATA("Sum of "&amp;TEXT(F$10,"mmm-yyyy"),'PT-All'!$A$1,"Scenario",F$15,"P&amp;L Item",$B51),0)</f>
        <v>0</v>
      </c>
      <c r="G51" s="408">
        <f>IFERROR(GETPIVOTDATA("Sum of "&amp;TEXT(G$10,"mmm-yyyy"),'PT-All'!$A$1,"Scenario",G$15,"P&amp;L Item",$B51),0)</f>
        <v>0</v>
      </c>
      <c r="H51" s="409">
        <f>IFERROR(GETPIVOTDATA("Sum of "&amp;TEXT(H$10,"mmm-yyyy"),'PT-All'!$A$1,"Scenario",H$15,"P&amp;L Item",$B51),0)</f>
        <v>0</v>
      </c>
      <c r="I51" s="409">
        <f>IFERROR(GETPIVOTDATA("Sum of "&amp;TEXT(I$10,"mmm-yyyy"),'PT-All'!$A$1,"Scenario",I$15,"P&amp;L Item",$B51),0)</f>
        <v>0</v>
      </c>
      <c r="J51" s="138"/>
      <c r="K51" s="409">
        <f t="shared" si="22"/>
        <v>0</v>
      </c>
      <c r="L51" s="410">
        <f t="shared" si="23"/>
        <v>0</v>
      </c>
      <c r="M51" s="180"/>
      <c r="N51" s="407">
        <f>IFERROR(GETPIVOTDATA("Sum of Q"&amp;N$9,'PT-All'!$A$1,"Scenario",N$15,"P&amp;L Item",$B51),0)</f>
        <v>0</v>
      </c>
      <c r="O51" s="408">
        <f>IFERROR(GETPIVOTDATA("Sum of Q"&amp;O$9,'PT-All'!$A$1,"Scenario",O$15,"P&amp;L Item",$B51),0)</f>
        <v>0</v>
      </c>
      <c r="P51" s="409">
        <f>IF($T$13,IFERROR(GETPIVOTDATA("Sum of Month "&amp;$Q$9,'PT-All'!$A$1,"Scenario",P$13,"P&amp;L Item",$B51),0),0)+IF($T$14,IFERROR(GETPIVOTDATA("Sum of Month "&amp;$S$9,'PT-All'!$A$1,"Scenario",P$14,"P&amp;L Item",$B51),0),0)+IF($T$15,IFERROR(GETPIVOTDATA("Sum of Month "&amp;$T$9,'PT-All'!$A$1,"Scenario",P$15,"P&amp;L Item",$B51),0),0)</f>
        <v>0</v>
      </c>
      <c r="Q51" s="409">
        <f>IF($T$13,IFERROR(GETPIVOTDATA("Sum of Month "&amp;$Q$9,'PT-All'!$A$1,"Scenario",Q$13,"P&amp;L Item",$B51),0),0)+IF($T$14,IFERROR(GETPIVOTDATA("Sum of Month "&amp;$S$9,'PT-All'!$A$1,"Scenario",Q$14,"P&amp;L Item",$B51),0),0)+IF($T$15,IFERROR(GETPIVOTDATA("Sum of Month "&amp;$T$9,'PT-All'!$A$1,"Scenario",Q$15,"P&amp;L Item",$B51),0),0)</f>
        <v>0</v>
      </c>
      <c r="R51" s="138"/>
      <c r="S51" s="409">
        <f t="shared" si="25"/>
        <v>0</v>
      </c>
      <c r="T51" s="410">
        <f t="shared" si="26"/>
        <v>0</v>
      </c>
      <c r="U51" s="411"/>
      <c r="V51" s="148"/>
    </row>
    <row r="52" spans="2:22" x14ac:dyDescent="0.35">
      <c r="B52" s="80" t="s">
        <v>89</v>
      </c>
      <c r="C52" s="407">
        <f>IFERROR(GETPIVOTDATA("Sum of "&amp;TEXT(C$10,"mmm-yyyy"),'PT-All'!$A$1,"Scenario",C$15,"P&amp;L Item",$B52),0)</f>
        <v>0</v>
      </c>
      <c r="D52" s="407">
        <f>IFERROR(GETPIVOTDATA("Sum of "&amp;TEXT(D$10,"mmm-yyyy"),'PT-All'!$A$1,"Scenario",D$15,"P&amp;L Item",$B52),0)</f>
        <v>0</v>
      </c>
      <c r="E52" s="407">
        <f>IFERROR(GETPIVOTDATA("Sum of "&amp;TEXT(E$10,"mmm-yyyy"),'PT-All'!$A$1,"Scenario",E$15,"P&amp;L Item",$B52),0)</f>
        <v>0</v>
      </c>
      <c r="F52" s="407">
        <f>IFERROR(GETPIVOTDATA("Sum of "&amp;TEXT(F$10,"mmm-yyyy"),'PT-All'!$A$1,"Scenario",F$15,"P&amp;L Item",$B52),0)</f>
        <v>0</v>
      </c>
      <c r="G52" s="408">
        <f>IFERROR(GETPIVOTDATA("Sum of "&amp;TEXT(G$10,"mmm-yyyy"),'PT-All'!$A$1,"Scenario",G$15,"P&amp;L Item",$B52),0)</f>
        <v>0</v>
      </c>
      <c r="H52" s="409">
        <f>IFERROR(GETPIVOTDATA("Sum of "&amp;TEXT(H$10,"mmm-yyyy"),'PT-All'!$A$1,"Scenario",H$15,"P&amp;L Item",$B52),0)</f>
        <v>0</v>
      </c>
      <c r="I52" s="409">
        <f>IFERROR(GETPIVOTDATA("Sum of "&amp;TEXT(I$10,"mmm-yyyy"),'PT-All'!$A$1,"Scenario",I$15,"P&amp;L Item",$B52),0)</f>
        <v>0</v>
      </c>
      <c r="J52" s="138"/>
      <c r="K52" s="409">
        <f t="shared" si="22"/>
        <v>0</v>
      </c>
      <c r="L52" s="410">
        <f t="shared" si="23"/>
        <v>0</v>
      </c>
      <c r="M52" s="180"/>
      <c r="N52" s="407">
        <f>IFERROR(GETPIVOTDATA("Sum of Q"&amp;N$9,'PT-All'!$A$1,"Scenario",N$15,"P&amp;L Item",$B52),0)</f>
        <v>0</v>
      </c>
      <c r="O52" s="408">
        <f>IFERROR(GETPIVOTDATA("Sum of Q"&amp;O$9,'PT-All'!$A$1,"Scenario",O$15,"P&amp;L Item",$B52),0)</f>
        <v>0</v>
      </c>
      <c r="P52" s="409">
        <f>IF($T$13,IFERROR(GETPIVOTDATA("Sum of Month "&amp;$Q$9,'PT-All'!$A$1,"Scenario",P$13,"P&amp;L Item",$B52),0),0)+IF($T$14,IFERROR(GETPIVOTDATA("Sum of Month "&amp;$S$9,'PT-All'!$A$1,"Scenario",P$14,"P&amp;L Item",$B52),0),0)+IF($T$15,IFERROR(GETPIVOTDATA("Sum of Month "&amp;$T$9,'PT-All'!$A$1,"Scenario",P$15,"P&amp;L Item",$B52),0),0)</f>
        <v>0</v>
      </c>
      <c r="Q52" s="409">
        <f>IF($T$13,IFERROR(GETPIVOTDATA("Sum of Month "&amp;$Q$9,'PT-All'!$A$1,"Scenario",Q$13,"P&amp;L Item",$B52),0),0)+IF($T$14,IFERROR(GETPIVOTDATA("Sum of Month "&amp;$S$9,'PT-All'!$A$1,"Scenario",Q$14,"P&amp;L Item",$B52),0),0)+IF($T$15,IFERROR(GETPIVOTDATA("Sum of Month "&amp;$T$9,'PT-All'!$A$1,"Scenario",Q$15,"P&amp;L Item",$B52),0),0)</f>
        <v>0</v>
      </c>
      <c r="R52" s="138"/>
      <c r="S52" s="409">
        <f t="shared" si="25"/>
        <v>0</v>
      </c>
      <c r="T52" s="410">
        <f t="shared" si="26"/>
        <v>0</v>
      </c>
      <c r="U52" s="411"/>
      <c r="V52" s="148"/>
    </row>
    <row r="53" spans="2:22" x14ac:dyDescent="0.35">
      <c r="B53" s="80" t="s">
        <v>90</v>
      </c>
      <c r="C53" s="407">
        <f>IFERROR(GETPIVOTDATA("Sum of "&amp;TEXT(C$10,"mmm-yyyy"),'PT-All'!$A$1,"Scenario",C$15,"P&amp;L Item",$B53),0)</f>
        <v>0</v>
      </c>
      <c r="D53" s="407">
        <f>IFERROR(GETPIVOTDATA("Sum of "&amp;TEXT(D$10,"mmm-yyyy"),'PT-All'!$A$1,"Scenario",D$15,"P&amp;L Item",$B53),0)</f>
        <v>0</v>
      </c>
      <c r="E53" s="407">
        <f>IFERROR(GETPIVOTDATA("Sum of "&amp;TEXT(E$10,"mmm-yyyy"),'PT-All'!$A$1,"Scenario",E$15,"P&amp;L Item",$B53),0)</f>
        <v>0</v>
      </c>
      <c r="F53" s="407">
        <f>IFERROR(GETPIVOTDATA("Sum of "&amp;TEXT(F$10,"mmm-yyyy"),'PT-All'!$A$1,"Scenario",F$15,"P&amp;L Item",$B53),0)</f>
        <v>0</v>
      </c>
      <c r="G53" s="408">
        <f>IFERROR(GETPIVOTDATA("Sum of "&amp;TEXT(G$10,"mmm-yyyy"),'PT-All'!$A$1,"Scenario",G$15,"P&amp;L Item",$B53),0)</f>
        <v>0</v>
      </c>
      <c r="H53" s="409">
        <f>IFERROR(GETPIVOTDATA("Sum of "&amp;TEXT(H$10,"mmm-yyyy"),'PT-All'!$A$1,"Scenario",H$15,"P&amp;L Item",$B53),0)</f>
        <v>0</v>
      </c>
      <c r="I53" s="409">
        <f>IFERROR(GETPIVOTDATA("Sum of "&amp;TEXT(I$10,"mmm-yyyy"),'PT-All'!$A$1,"Scenario",I$15,"P&amp;L Item",$B53),0)</f>
        <v>0</v>
      </c>
      <c r="J53" s="138"/>
      <c r="K53" s="409">
        <f t="shared" si="22"/>
        <v>0</v>
      </c>
      <c r="L53" s="410">
        <f t="shared" si="23"/>
        <v>0</v>
      </c>
      <c r="M53" s="180"/>
      <c r="N53" s="407">
        <f>IFERROR(GETPIVOTDATA("Sum of Q"&amp;N$9,'PT-All'!$A$1,"Scenario",N$15,"P&amp;L Item",$B53),0)</f>
        <v>0</v>
      </c>
      <c r="O53" s="408">
        <f>IFERROR(GETPIVOTDATA("Sum of Q"&amp;O$9,'PT-All'!$A$1,"Scenario",O$15,"P&amp;L Item",$B53),0)</f>
        <v>0</v>
      </c>
      <c r="P53" s="409">
        <f>IF($T$13,IFERROR(GETPIVOTDATA("Sum of Month "&amp;$Q$9,'PT-All'!$A$1,"Scenario",P$13,"P&amp;L Item",$B53),0),0)+IF($T$14,IFERROR(GETPIVOTDATA("Sum of Month "&amp;$S$9,'PT-All'!$A$1,"Scenario",P$14,"P&amp;L Item",$B53),0),0)+IF($T$15,IFERROR(GETPIVOTDATA("Sum of Month "&amp;$T$9,'PT-All'!$A$1,"Scenario",P$15,"P&amp;L Item",$B53),0),0)</f>
        <v>0</v>
      </c>
      <c r="Q53" s="409">
        <f>IF($T$13,IFERROR(GETPIVOTDATA("Sum of Month "&amp;$Q$9,'PT-All'!$A$1,"Scenario",Q$13,"P&amp;L Item",$B53),0),0)+IF($T$14,IFERROR(GETPIVOTDATA("Sum of Month "&amp;$S$9,'PT-All'!$A$1,"Scenario",Q$14,"P&amp;L Item",$B53),0),0)+IF($T$15,IFERROR(GETPIVOTDATA("Sum of Month "&amp;$T$9,'PT-All'!$A$1,"Scenario",Q$15,"P&amp;L Item",$B53),0),0)</f>
        <v>0</v>
      </c>
      <c r="R53" s="138"/>
      <c r="S53" s="409">
        <f t="shared" si="25"/>
        <v>0</v>
      </c>
      <c r="T53" s="410">
        <f t="shared" si="26"/>
        <v>0</v>
      </c>
      <c r="U53" s="411"/>
      <c r="V53" s="148"/>
    </row>
    <row r="54" spans="2:22" x14ac:dyDescent="0.35">
      <c r="B54" s="80" t="s">
        <v>91</v>
      </c>
      <c r="C54" s="407">
        <f>IFERROR(GETPIVOTDATA("Sum of "&amp;TEXT(C$10,"mmm-yyyy"),'PT-All'!$A$1,"Scenario",C$15,"P&amp;L Item",$B54),0)</f>
        <v>0</v>
      </c>
      <c r="D54" s="407">
        <f>IFERROR(GETPIVOTDATA("Sum of "&amp;TEXT(D$10,"mmm-yyyy"),'PT-All'!$A$1,"Scenario",D$15,"P&amp;L Item",$B54),0)</f>
        <v>0</v>
      </c>
      <c r="E54" s="407">
        <f>IFERROR(GETPIVOTDATA("Sum of "&amp;TEXT(E$10,"mmm-yyyy"),'PT-All'!$A$1,"Scenario",E$15,"P&amp;L Item",$B54),0)</f>
        <v>0</v>
      </c>
      <c r="F54" s="407">
        <f>IFERROR(GETPIVOTDATA("Sum of "&amp;TEXT(F$10,"mmm-yyyy"),'PT-All'!$A$1,"Scenario",F$15,"P&amp;L Item",$B54),0)</f>
        <v>0</v>
      </c>
      <c r="G54" s="408">
        <f>IFERROR(GETPIVOTDATA("Sum of "&amp;TEXT(G$10,"mmm-yyyy"),'PT-All'!$A$1,"Scenario",G$15,"P&amp;L Item",$B54),0)</f>
        <v>0</v>
      </c>
      <c r="H54" s="409">
        <f>IFERROR(GETPIVOTDATA("Sum of "&amp;TEXT(H$10,"mmm-yyyy"),'PT-All'!$A$1,"Scenario",H$15,"P&amp;L Item",$B54),0)</f>
        <v>0</v>
      </c>
      <c r="I54" s="409">
        <f>IFERROR(GETPIVOTDATA("Sum of "&amp;TEXT(I$10,"mmm-yyyy"),'PT-All'!$A$1,"Scenario",I$15,"P&amp;L Item",$B54),0)</f>
        <v>0</v>
      </c>
      <c r="J54" s="138"/>
      <c r="K54" s="409">
        <f t="shared" si="22"/>
        <v>0</v>
      </c>
      <c r="L54" s="410">
        <f t="shared" si="23"/>
        <v>0</v>
      </c>
      <c r="M54" s="180"/>
      <c r="N54" s="407">
        <f>IFERROR(GETPIVOTDATA("Sum of Q"&amp;N$9,'PT-All'!$A$1,"Scenario",N$15,"P&amp;L Item",$B54),0)</f>
        <v>0</v>
      </c>
      <c r="O54" s="408">
        <f>IFERROR(GETPIVOTDATA("Sum of Q"&amp;O$9,'PT-All'!$A$1,"Scenario",O$15,"P&amp;L Item",$B54),0)</f>
        <v>0</v>
      </c>
      <c r="P54" s="409">
        <f>IF($T$13,IFERROR(GETPIVOTDATA("Sum of Month "&amp;$Q$9,'PT-All'!$A$1,"Scenario",P$13,"P&amp;L Item",$B54),0),0)+IF($T$14,IFERROR(GETPIVOTDATA("Sum of Month "&amp;$S$9,'PT-All'!$A$1,"Scenario",P$14,"P&amp;L Item",$B54),0),0)+IF($T$15,IFERROR(GETPIVOTDATA("Sum of Month "&amp;$T$9,'PT-All'!$A$1,"Scenario",P$15,"P&amp;L Item",$B54),0),0)</f>
        <v>0</v>
      </c>
      <c r="Q54" s="409">
        <f>IF($T$13,IFERROR(GETPIVOTDATA("Sum of Month "&amp;$Q$9,'PT-All'!$A$1,"Scenario",Q$13,"P&amp;L Item",$B54),0),0)+IF($T$14,IFERROR(GETPIVOTDATA("Sum of Month "&amp;$S$9,'PT-All'!$A$1,"Scenario",Q$14,"P&amp;L Item",$B54),0),0)+IF($T$15,IFERROR(GETPIVOTDATA("Sum of Month "&amp;$T$9,'PT-All'!$A$1,"Scenario",Q$15,"P&amp;L Item",$B54),0),0)</f>
        <v>0</v>
      </c>
      <c r="R54" s="138"/>
      <c r="S54" s="409">
        <f t="shared" si="25"/>
        <v>0</v>
      </c>
      <c r="T54" s="410">
        <f t="shared" si="26"/>
        <v>0</v>
      </c>
      <c r="U54" s="411"/>
      <c r="V54" s="148"/>
    </row>
    <row r="55" spans="2:22" x14ac:dyDescent="0.35">
      <c r="B55" s="80" t="s">
        <v>92</v>
      </c>
      <c r="C55" s="407">
        <f>IFERROR(GETPIVOTDATA("Sum of "&amp;TEXT(C$10,"mmm-yyyy"),'PT-All'!$A$1,"Scenario",C$15,"P&amp;L Item",$B55),0)</f>
        <v>0</v>
      </c>
      <c r="D55" s="407">
        <f>IFERROR(GETPIVOTDATA("Sum of "&amp;TEXT(D$10,"mmm-yyyy"),'PT-All'!$A$1,"Scenario",D$15,"P&amp;L Item",$B55),0)</f>
        <v>0</v>
      </c>
      <c r="E55" s="407">
        <f>IFERROR(GETPIVOTDATA("Sum of "&amp;TEXT(E$10,"mmm-yyyy"),'PT-All'!$A$1,"Scenario",E$15,"P&amp;L Item",$B55),0)</f>
        <v>0</v>
      </c>
      <c r="F55" s="407">
        <f>IFERROR(GETPIVOTDATA("Sum of "&amp;TEXT(F$10,"mmm-yyyy"),'PT-All'!$A$1,"Scenario",F$15,"P&amp;L Item",$B55),0)</f>
        <v>0</v>
      </c>
      <c r="G55" s="408">
        <f>IFERROR(GETPIVOTDATA("Sum of "&amp;TEXT(G$10,"mmm-yyyy"),'PT-All'!$A$1,"Scenario",G$15,"P&amp;L Item",$B55),0)</f>
        <v>0</v>
      </c>
      <c r="H55" s="409">
        <f>IFERROR(GETPIVOTDATA("Sum of "&amp;TEXT(H$10,"mmm-yyyy"),'PT-All'!$A$1,"Scenario",H$15,"P&amp;L Item",$B55),0)</f>
        <v>0</v>
      </c>
      <c r="I55" s="409">
        <f>IFERROR(GETPIVOTDATA("Sum of "&amp;TEXT(I$10,"mmm-yyyy"),'PT-All'!$A$1,"Scenario",I$15,"P&amp;L Item",$B55),0)</f>
        <v>0</v>
      </c>
      <c r="J55" s="138"/>
      <c r="K55" s="409">
        <f t="shared" si="22"/>
        <v>0</v>
      </c>
      <c r="L55" s="410">
        <f t="shared" si="23"/>
        <v>0</v>
      </c>
      <c r="M55" s="180"/>
      <c r="N55" s="407">
        <f>IFERROR(GETPIVOTDATA("Sum of Q"&amp;N$9,'PT-All'!$A$1,"Scenario",N$15,"P&amp;L Item",$B55),0)</f>
        <v>0</v>
      </c>
      <c r="O55" s="408">
        <f>IFERROR(GETPIVOTDATA("Sum of Q"&amp;O$9,'PT-All'!$A$1,"Scenario",O$15,"P&amp;L Item",$B55),0)</f>
        <v>0</v>
      </c>
      <c r="P55" s="409">
        <f>IF($T$13,IFERROR(GETPIVOTDATA("Sum of Month "&amp;$Q$9,'PT-All'!$A$1,"Scenario",P$13,"P&amp;L Item",$B55),0),0)+IF($T$14,IFERROR(GETPIVOTDATA("Sum of Month "&amp;$S$9,'PT-All'!$A$1,"Scenario",P$14,"P&amp;L Item",$B55),0),0)+IF($T$15,IFERROR(GETPIVOTDATA("Sum of Month "&amp;$T$9,'PT-All'!$A$1,"Scenario",P$15,"P&amp;L Item",$B55),0),0)</f>
        <v>0</v>
      </c>
      <c r="Q55" s="409">
        <f>IF($T$13,IFERROR(GETPIVOTDATA("Sum of Month "&amp;$Q$9,'PT-All'!$A$1,"Scenario",Q$13,"P&amp;L Item",$B55),0),0)+IF($T$14,IFERROR(GETPIVOTDATA("Sum of Month "&amp;$S$9,'PT-All'!$A$1,"Scenario",Q$14,"P&amp;L Item",$B55),0),0)+IF($T$15,IFERROR(GETPIVOTDATA("Sum of Month "&amp;$T$9,'PT-All'!$A$1,"Scenario",Q$15,"P&amp;L Item",$B55),0),0)</f>
        <v>0</v>
      </c>
      <c r="R55" s="138"/>
      <c r="S55" s="409">
        <f t="shared" si="25"/>
        <v>0</v>
      </c>
      <c r="T55" s="410">
        <f t="shared" si="26"/>
        <v>0</v>
      </c>
      <c r="U55" s="411"/>
      <c r="V55" s="148"/>
    </row>
    <row r="56" spans="2:22" x14ac:dyDescent="0.35">
      <c r="B56" s="81" t="s">
        <v>37</v>
      </c>
      <c r="C56" s="439">
        <f t="shared" ref="C56:I56" si="35">SUM(C57:C61)</f>
        <v>0</v>
      </c>
      <c r="D56" s="439">
        <f t="shared" si="35"/>
        <v>0</v>
      </c>
      <c r="E56" s="439">
        <f t="shared" si="35"/>
        <v>0</v>
      </c>
      <c r="F56" s="439">
        <f t="shared" si="35"/>
        <v>0</v>
      </c>
      <c r="G56" s="440">
        <f t="shared" si="35"/>
        <v>0</v>
      </c>
      <c r="H56" s="441">
        <f t="shared" si="35"/>
        <v>0</v>
      </c>
      <c r="I56" s="441">
        <f t="shared" si="35"/>
        <v>0</v>
      </c>
      <c r="J56" s="138"/>
      <c r="K56" s="441">
        <f t="shared" si="22"/>
        <v>0</v>
      </c>
      <c r="L56" s="442">
        <f t="shared" si="23"/>
        <v>0</v>
      </c>
      <c r="M56" s="180"/>
      <c r="N56" s="439">
        <f t="shared" ref="N56:Q56" si="36">SUM(N57:N61)</f>
        <v>0</v>
      </c>
      <c r="O56" s="440">
        <f t="shared" si="36"/>
        <v>0</v>
      </c>
      <c r="P56" s="441">
        <f t="shared" si="36"/>
        <v>0</v>
      </c>
      <c r="Q56" s="441">
        <f t="shared" si="36"/>
        <v>0</v>
      </c>
      <c r="R56" s="138"/>
      <c r="S56" s="441">
        <f t="shared" si="25"/>
        <v>0</v>
      </c>
      <c r="T56" s="442">
        <f t="shared" si="26"/>
        <v>0</v>
      </c>
      <c r="U56" s="443"/>
      <c r="V56" s="148"/>
    </row>
    <row r="57" spans="2:22" x14ac:dyDescent="0.35">
      <c r="B57" s="64" t="s">
        <v>38</v>
      </c>
      <c r="C57" s="407">
        <f>IFERROR(GETPIVOTDATA("Sum of "&amp;TEXT(C$10,"mmm-yyyy"),'PT-All'!$A$1,"Scenario",C$15,"P&amp;L Item",$B57),0)</f>
        <v>0</v>
      </c>
      <c r="D57" s="407">
        <f>IFERROR(GETPIVOTDATA("Sum of "&amp;TEXT(D$10,"mmm-yyyy"),'PT-All'!$A$1,"Scenario",D$15,"P&amp;L Item",$B57),0)</f>
        <v>0</v>
      </c>
      <c r="E57" s="407">
        <f>IFERROR(GETPIVOTDATA("Sum of "&amp;TEXT(E$10,"mmm-yyyy"),'PT-All'!$A$1,"Scenario",E$15,"P&amp;L Item",$B57),0)</f>
        <v>0</v>
      </c>
      <c r="F57" s="407">
        <f>IFERROR(GETPIVOTDATA("Sum of "&amp;TEXT(F$10,"mmm-yyyy"),'PT-All'!$A$1,"Scenario",F$15,"P&amp;L Item",$B57),0)</f>
        <v>0</v>
      </c>
      <c r="G57" s="408">
        <f>IFERROR(GETPIVOTDATA("Sum of "&amp;TEXT(G$10,"mmm-yyyy"),'PT-All'!$A$1,"Scenario",G$15,"P&amp;L Item",$B57),0)</f>
        <v>0</v>
      </c>
      <c r="H57" s="409">
        <f>IFERROR(GETPIVOTDATA("Sum of "&amp;TEXT(H$10,"mmm-yyyy"),'PT-All'!$A$1,"Scenario",H$15,"P&amp;L Item",$B57),0)</f>
        <v>0</v>
      </c>
      <c r="I57" s="409">
        <f>IFERROR(GETPIVOTDATA("Sum of "&amp;TEXT(I$10,"mmm-yyyy"),'PT-All'!$A$1,"Scenario",I$15,"P&amp;L Item",$B57),0)</f>
        <v>0</v>
      </c>
      <c r="J57" s="138"/>
      <c r="K57" s="409">
        <f t="shared" si="22"/>
        <v>0</v>
      </c>
      <c r="L57" s="410">
        <f t="shared" si="23"/>
        <v>0</v>
      </c>
      <c r="M57" s="180"/>
      <c r="N57" s="407">
        <f>IFERROR(GETPIVOTDATA("Sum of Q"&amp;N$9,'PT-All'!$A$1,"Scenario",N$15,"P&amp;L Item",$B57),0)</f>
        <v>0</v>
      </c>
      <c r="O57" s="408">
        <f>IFERROR(GETPIVOTDATA("Sum of Q"&amp;O$9,'PT-All'!$A$1,"Scenario",O$15,"P&amp;L Item",$B57),0)</f>
        <v>0</v>
      </c>
      <c r="P57" s="409">
        <f>IF($T$13,IFERROR(GETPIVOTDATA("Sum of Month "&amp;$Q$9,'PT-All'!$A$1,"Scenario",P$13,"P&amp;L Item",$B57),0),0)+IF($T$14,IFERROR(GETPIVOTDATA("Sum of Month "&amp;$S$9,'PT-All'!$A$1,"Scenario",P$14,"P&amp;L Item",$B57),0),0)+IF($T$15,IFERROR(GETPIVOTDATA("Sum of Month "&amp;$T$9,'PT-All'!$A$1,"Scenario",P$15,"P&amp;L Item",$B57),0),0)</f>
        <v>0</v>
      </c>
      <c r="Q57" s="409">
        <f>IF($T$13,IFERROR(GETPIVOTDATA("Sum of Month "&amp;$Q$9,'PT-All'!$A$1,"Scenario",Q$13,"P&amp;L Item",$B57),0),0)+IF($T$14,IFERROR(GETPIVOTDATA("Sum of Month "&amp;$S$9,'PT-All'!$A$1,"Scenario",Q$14,"P&amp;L Item",$B57),0),0)+IF($T$15,IFERROR(GETPIVOTDATA("Sum of Month "&amp;$T$9,'PT-All'!$A$1,"Scenario",Q$15,"P&amp;L Item",$B57),0),0)</f>
        <v>0</v>
      </c>
      <c r="R57" s="138"/>
      <c r="S57" s="409">
        <f t="shared" si="25"/>
        <v>0</v>
      </c>
      <c r="T57" s="410">
        <f t="shared" si="26"/>
        <v>0</v>
      </c>
      <c r="U57" s="411"/>
      <c r="V57" s="148"/>
    </row>
    <row r="58" spans="2:22" x14ac:dyDescent="0.35">
      <c r="B58" s="64" t="s">
        <v>39</v>
      </c>
      <c r="C58" s="407">
        <f>IFERROR(GETPIVOTDATA("Sum of "&amp;TEXT(C$10,"mmm-yyyy"),'PT-All'!$A$1,"Scenario",C$15,"P&amp;L Item",$B58),0)</f>
        <v>0</v>
      </c>
      <c r="D58" s="407">
        <f>IFERROR(GETPIVOTDATA("Sum of "&amp;TEXT(D$10,"mmm-yyyy"),'PT-All'!$A$1,"Scenario",D$15,"P&amp;L Item",$B58),0)</f>
        <v>0</v>
      </c>
      <c r="E58" s="407">
        <f>IFERROR(GETPIVOTDATA("Sum of "&amp;TEXT(E$10,"mmm-yyyy"),'PT-All'!$A$1,"Scenario",E$15,"P&amp;L Item",$B58),0)</f>
        <v>0</v>
      </c>
      <c r="F58" s="407">
        <f>IFERROR(GETPIVOTDATA("Sum of "&amp;TEXT(F$10,"mmm-yyyy"),'PT-All'!$A$1,"Scenario",F$15,"P&amp;L Item",$B58),0)</f>
        <v>0</v>
      </c>
      <c r="G58" s="408">
        <f>IFERROR(GETPIVOTDATA("Sum of "&amp;TEXT(G$10,"mmm-yyyy"),'PT-All'!$A$1,"Scenario",G$15,"P&amp;L Item",$B58),0)</f>
        <v>0</v>
      </c>
      <c r="H58" s="409">
        <f>IFERROR(GETPIVOTDATA("Sum of "&amp;TEXT(H$10,"mmm-yyyy"),'PT-All'!$A$1,"Scenario",H$15,"P&amp;L Item",$B58),0)</f>
        <v>0</v>
      </c>
      <c r="I58" s="409">
        <f>IFERROR(GETPIVOTDATA("Sum of "&amp;TEXT(I$10,"mmm-yyyy"),'PT-All'!$A$1,"Scenario",I$15,"P&amp;L Item",$B58),0)</f>
        <v>0</v>
      </c>
      <c r="J58" s="138"/>
      <c r="K58" s="409">
        <f t="shared" si="22"/>
        <v>0</v>
      </c>
      <c r="L58" s="410">
        <f t="shared" si="23"/>
        <v>0</v>
      </c>
      <c r="M58" s="180"/>
      <c r="N58" s="407">
        <f>IFERROR(GETPIVOTDATA("Sum of Q"&amp;N$9,'PT-All'!$A$1,"Scenario",N$15,"P&amp;L Item",$B58),0)</f>
        <v>0</v>
      </c>
      <c r="O58" s="408">
        <f>IFERROR(GETPIVOTDATA("Sum of Q"&amp;O$9,'PT-All'!$A$1,"Scenario",O$15,"P&amp;L Item",$B58),0)</f>
        <v>0</v>
      </c>
      <c r="P58" s="409">
        <f>IF($T$13,IFERROR(GETPIVOTDATA("Sum of Month "&amp;$Q$9,'PT-All'!$A$1,"Scenario",P$13,"P&amp;L Item",$B58),0),0)+IF($T$14,IFERROR(GETPIVOTDATA("Sum of Month "&amp;$S$9,'PT-All'!$A$1,"Scenario",P$14,"P&amp;L Item",$B58),0),0)+IF($T$15,IFERROR(GETPIVOTDATA("Sum of Month "&amp;$T$9,'PT-All'!$A$1,"Scenario",P$15,"P&amp;L Item",$B58),0),0)</f>
        <v>0</v>
      </c>
      <c r="Q58" s="409">
        <f>IF($T$13,IFERROR(GETPIVOTDATA("Sum of Month "&amp;$Q$9,'PT-All'!$A$1,"Scenario",Q$13,"P&amp;L Item",$B58),0),0)+IF($T$14,IFERROR(GETPIVOTDATA("Sum of Month "&amp;$S$9,'PT-All'!$A$1,"Scenario",Q$14,"P&amp;L Item",$B58),0),0)+IF($T$15,IFERROR(GETPIVOTDATA("Sum of Month "&amp;$T$9,'PT-All'!$A$1,"Scenario",Q$15,"P&amp;L Item",$B58),0),0)</f>
        <v>0</v>
      </c>
      <c r="R58" s="138"/>
      <c r="S58" s="409">
        <f t="shared" si="25"/>
        <v>0</v>
      </c>
      <c r="T58" s="410">
        <f t="shared" si="26"/>
        <v>0</v>
      </c>
      <c r="U58" s="411"/>
      <c r="V58" s="148"/>
    </row>
    <row r="59" spans="2:22" x14ac:dyDescent="0.35">
      <c r="B59" s="64" t="s">
        <v>40</v>
      </c>
      <c r="C59" s="407">
        <f>IFERROR(GETPIVOTDATA("Sum of "&amp;TEXT(C$10,"mmm-yyyy"),'PT-All'!$A$1,"Scenario",C$15,"P&amp;L Item",$B59),0)</f>
        <v>0</v>
      </c>
      <c r="D59" s="407">
        <f>IFERROR(GETPIVOTDATA("Sum of "&amp;TEXT(D$10,"mmm-yyyy"),'PT-All'!$A$1,"Scenario",D$15,"P&amp;L Item",$B59),0)</f>
        <v>0</v>
      </c>
      <c r="E59" s="407">
        <f>IFERROR(GETPIVOTDATA("Sum of "&amp;TEXT(E$10,"mmm-yyyy"),'PT-All'!$A$1,"Scenario",E$15,"P&amp;L Item",$B59),0)</f>
        <v>0</v>
      </c>
      <c r="F59" s="407">
        <f>IFERROR(GETPIVOTDATA("Sum of "&amp;TEXT(F$10,"mmm-yyyy"),'PT-All'!$A$1,"Scenario",F$15,"P&amp;L Item",$B59),0)</f>
        <v>0</v>
      </c>
      <c r="G59" s="408">
        <f>IFERROR(GETPIVOTDATA("Sum of "&amp;TEXT(G$10,"mmm-yyyy"),'PT-All'!$A$1,"Scenario",G$15,"P&amp;L Item",$B59),0)</f>
        <v>0</v>
      </c>
      <c r="H59" s="409">
        <f>IFERROR(GETPIVOTDATA("Sum of "&amp;TEXT(H$10,"mmm-yyyy"),'PT-All'!$A$1,"Scenario",H$15,"P&amp;L Item",$B59),0)</f>
        <v>0</v>
      </c>
      <c r="I59" s="409">
        <f>IFERROR(GETPIVOTDATA("Sum of "&amp;TEXT(I$10,"mmm-yyyy"),'PT-All'!$A$1,"Scenario",I$15,"P&amp;L Item",$B59),0)</f>
        <v>0</v>
      </c>
      <c r="J59" s="138"/>
      <c r="K59" s="409">
        <f t="shared" si="22"/>
        <v>0</v>
      </c>
      <c r="L59" s="410">
        <f t="shared" si="23"/>
        <v>0</v>
      </c>
      <c r="M59" s="180"/>
      <c r="N59" s="407">
        <f>IFERROR(GETPIVOTDATA("Sum of Q"&amp;N$9,'PT-All'!$A$1,"Scenario",N$15,"P&amp;L Item",$B59),0)</f>
        <v>0</v>
      </c>
      <c r="O59" s="408">
        <f>IFERROR(GETPIVOTDATA("Sum of Q"&amp;O$9,'PT-All'!$A$1,"Scenario",O$15,"P&amp;L Item",$B59),0)</f>
        <v>0</v>
      </c>
      <c r="P59" s="409">
        <f>IF($T$13,IFERROR(GETPIVOTDATA("Sum of Month "&amp;$Q$9,'PT-All'!$A$1,"Scenario",P$13,"P&amp;L Item",$B59),0),0)+IF($T$14,IFERROR(GETPIVOTDATA("Sum of Month "&amp;$S$9,'PT-All'!$A$1,"Scenario",P$14,"P&amp;L Item",$B59),0),0)+IF($T$15,IFERROR(GETPIVOTDATA("Sum of Month "&amp;$T$9,'PT-All'!$A$1,"Scenario",P$15,"P&amp;L Item",$B59),0),0)</f>
        <v>0</v>
      </c>
      <c r="Q59" s="409">
        <f>IF($T$13,IFERROR(GETPIVOTDATA("Sum of Month "&amp;$Q$9,'PT-All'!$A$1,"Scenario",Q$13,"P&amp;L Item",$B59),0),0)+IF($T$14,IFERROR(GETPIVOTDATA("Sum of Month "&amp;$S$9,'PT-All'!$A$1,"Scenario",Q$14,"P&amp;L Item",$B59),0),0)+IF($T$15,IFERROR(GETPIVOTDATA("Sum of Month "&amp;$T$9,'PT-All'!$A$1,"Scenario",Q$15,"P&amp;L Item",$B59),0),0)</f>
        <v>0</v>
      </c>
      <c r="R59" s="138"/>
      <c r="S59" s="409">
        <f t="shared" si="25"/>
        <v>0</v>
      </c>
      <c r="T59" s="410">
        <f t="shared" si="26"/>
        <v>0</v>
      </c>
      <c r="U59" s="411"/>
      <c r="V59" s="148"/>
    </row>
    <row r="60" spans="2:22" x14ac:dyDescent="0.35">
      <c r="B60" s="64" t="s">
        <v>41</v>
      </c>
      <c r="C60" s="407">
        <f>IFERROR(GETPIVOTDATA("Sum of "&amp;TEXT(C$10,"mmm-yyyy"),'PT-All'!$A$1,"Scenario",C$15,"P&amp;L Item",$B60),0)</f>
        <v>0</v>
      </c>
      <c r="D60" s="407">
        <f>IFERROR(GETPIVOTDATA("Sum of "&amp;TEXT(D$10,"mmm-yyyy"),'PT-All'!$A$1,"Scenario",D$15,"P&amp;L Item",$B60),0)</f>
        <v>0</v>
      </c>
      <c r="E60" s="407">
        <f>IFERROR(GETPIVOTDATA("Sum of "&amp;TEXT(E$10,"mmm-yyyy"),'PT-All'!$A$1,"Scenario",E$15,"P&amp;L Item",$B60),0)</f>
        <v>0</v>
      </c>
      <c r="F60" s="407">
        <f>IFERROR(GETPIVOTDATA("Sum of "&amp;TEXT(F$10,"mmm-yyyy"),'PT-All'!$A$1,"Scenario",F$15,"P&amp;L Item",$B60),0)</f>
        <v>0</v>
      </c>
      <c r="G60" s="408">
        <f>IFERROR(GETPIVOTDATA("Sum of "&amp;TEXT(G$10,"mmm-yyyy"),'PT-All'!$A$1,"Scenario",G$15,"P&amp;L Item",$B60),0)</f>
        <v>0</v>
      </c>
      <c r="H60" s="409">
        <f>IFERROR(GETPIVOTDATA("Sum of "&amp;TEXT(H$10,"mmm-yyyy"),'PT-All'!$A$1,"Scenario",H$15,"P&amp;L Item",$B60),0)</f>
        <v>0</v>
      </c>
      <c r="I60" s="409">
        <f>IFERROR(GETPIVOTDATA("Sum of "&amp;TEXT(I$10,"mmm-yyyy"),'PT-All'!$A$1,"Scenario",I$15,"P&amp;L Item",$B60),0)</f>
        <v>0</v>
      </c>
      <c r="J60" s="138"/>
      <c r="K60" s="409">
        <f t="shared" si="22"/>
        <v>0</v>
      </c>
      <c r="L60" s="410">
        <f t="shared" si="23"/>
        <v>0</v>
      </c>
      <c r="M60" s="180"/>
      <c r="N60" s="407">
        <f>IFERROR(GETPIVOTDATA("Sum of Q"&amp;N$9,'PT-All'!$A$1,"Scenario",N$15,"P&amp;L Item",$B60),0)</f>
        <v>0</v>
      </c>
      <c r="O60" s="408">
        <f>IFERROR(GETPIVOTDATA("Sum of Q"&amp;O$9,'PT-All'!$A$1,"Scenario",O$15,"P&amp;L Item",$B60),0)</f>
        <v>0</v>
      </c>
      <c r="P60" s="409">
        <f>IF($T$13,IFERROR(GETPIVOTDATA("Sum of Month "&amp;$Q$9,'PT-All'!$A$1,"Scenario",P$13,"P&amp;L Item",$B60),0),0)+IF($T$14,IFERROR(GETPIVOTDATA("Sum of Month "&amp;$S$9,'PT-All'!$A$1,"Scenario",P$14,"P&amp;L Item",$B60),0),0)+IF($T$15,IFERROR(GETPIVOTDATA("Sum of Month "&amp;$T$9,'PT-All'!$A$1,"Scenario",P$15,"P&amp;L Item",$B60),0),0)</f>
        <v>0</v>
      </c>
      <c r="Q60" s="409">
        <f>IF($T$13,IFERROR(GETPIVOTDATA("Sum of Month "&amp;$Q$9,'PT-All'!$A$1,"Scenario",Q$13,"P&amp;L Item",$B60),0),0)+IF($T$14,IFERROR(GETPIVOTDATA("Sum of Month "&amp;$S$9,'PT-All'!$A$1,"Scenario",Q$14,"P&amp;L Item",$B60),0),0)+IF($T$15,IFERROR(GETPIVOTDATA("Sum of Month "&amp;$T$9,'PT-All'!$A$1,"Scenario",Q$15,"P&amp;L Item",$B60),0),0)</f>
        <v>0</v>
      </c>
      <c r="R60" s="138"/>
      <c r="S60" s="409">
        <f t="shared" si="25"/>
        <v>0</v>
      </c>
      <c r="T60" s="410">
        <f t="shared" si="26"/>
        <v>0</v>
      </c>
      <c r="U60" s="411"/>
      <c r="V60" s="148"/>
    </row>
    <row r="61" spans="2:22" x14ac:dyDescent="0.35">
      <c r="B61" s="64" t="s">
        <v>42</v>
      </c>
      <c r="C61" s="407">
        <f>IFERROR(GETPIVOTDATA("Sum of "&amp;TEXT(C$10,"mmm-yyyy"),'PT-All'!$A$1,"Scenario",C$15,"P&amp;L Item",$B61),0)</f>
        <v>0</v>
      </c>
      <c r="D61" s="407">
        <f>IFERROR(GETPIVOTDATA("Sum of "&amp;TEXT(D$10,"mmm-yyyy"),'PT-All'!$A$1,"Scenario",D$15,"P&amp;L Item",$B61),0)</f>
        <v>0</v>
      </c>
      <c r="E61" s="407">
        <f>IFERROR(GETPIVOTDATA("Sum of "&amp;TEXT(E$10,"mmm-yyyy"),'PT-All'!$A$1,"Scenario",E$15,"P&amp;L Item",$B61),0)</f>
        <v>0</v>
      </c>
      <c r="F61" s="407">
        <f>IFERROR(GETPIVOTDATA("Sum of "&amp;TEXT(F$10,"mmm-yyyy"),'PT-All'!$A$1,"Scenario",F$15,"P&amp;L Item",$B61),0)</f>
        <v>0</v>
      </c>
      <c r="G61" s="408">
        <f>IFERROR(GETPIVOTDATA("Sum of "&amp;TEXT(G$10,"mmm-yyyy"),'PT-All'!$A$1,"Scenario",G$15,"P&amp;L Item",$B61),0)</f>
        <v>0</v>
      </c>
      <c r="H61" s="409">
        <f>IFERROR(GETPIVOTDATA("Sum of "&amp;TEXT(H$10,"mmm-yyyy"),'PT-All'!$A$1,"Scenario",H$15,"P&amp;L Item",$B61),0)</f>
        <v>0</v>
      </c>
      <c r="I61" s="409">
        <f>IFERROR(GETPIVOTDATA("Sum of "&amp;TEXT(I$10,"mmm-yyyy"),'PT-All'!$A$1,"Scenario",I$15,"P&amp;L Item",$B61),0)</f>
        <v>0</v>
      </c>
      <c r="J61" s="138"/>
      <c r="K61" s="409">
        <f t="shared" si="22"/>
        <v>0</v>
      </c>
      <c r="L61" s="410">
        <f t="shared" si="23"/>
        <v>0</v>
      </c>
      <c r="M61" s="180"/>
      <c r="N61" s="407">
        <f>IFERROR(GETPIVOTDATA("Sum of Q"&amp;N$9,'PT-All'!$A$1,"Scenario",N$15,"P&amp;L Item",$B61),0)</f>
        <v>0</v>
      </c>
      <c r="O61" s="408">
        <f>IFERROR(GETPIVOTDATA("Sum of Q"&amp;O$9,'PT-All'!$A$1,"Scenario",O$15,"P&amp;L Item",$B61),0)</f>
        <v>0</v>
      </c>
      <c r="P61" s="409">
        <f>IF($T$13,IFERROR(GETPIVOTDATA("Sum of Month "&amp;$Q$9,'PT-All'!$A$1,"Scenario",P$13,"P&amp;L Item",$B61),0),0)+IF($T$14,IFERROR(GETPIVOTDATA("Sum of Month "&amp;$S$9,'PT-All'!$A$1,"Scenario",P$14,"P&amp;L Item",$B61),0),0)+IF($T$15,IFERROR(GETPIVOTDATA("Sum of Month "&amp;$T$9,'PT-All'!$A$1,"Scenario",P$15,"P&amp;L Item",$B61),0),0)</f>
        <v>0</v>
      </c>
      <c r="Q61" s="409">
        <f>IF($T$13,IFERROR(GETPIVOTDATA("Sum of Month "&amp;$Q$9,'PT-All'!$A$1,"Scenario",Q$13,"P&amp;L Item",$B61),0),0)+IF($T$14,IFERROR(GETPIVOTDATA("Sum of Month "&amp;$S$9,'PT-All'!$A$1,"Scenario",Q$14,"P&amp;L Item",$B61),0),0)+IF($T$15,IFERROR(GETPIVOTDATA("Sum of Month "&amp;$T$9,'PT-All'!$A$1,"Scenario",Q$15,"P&amp;L Item",$B61),0),0)</f>
        <v>0</v>
      </c>
      <c r="R61" s="138"/>
      <c r="S61" s="409">
        <f t="shared" si="25"/>
        <v>0</v>
      </c>
      <c r="T61" s="410">
        <f t="shared" si="26"/>
        <v>0</v>
      </c>
      <c r="U61" s="411"/>
      <c r="V61" s="148"/>
    </row>
    <row r="62" spans="2:22" x14ac:dyDescent="0.35">
      <c r="B62" s="81" t="s">
        <v>43</v>
      </c>
      <c r="C62" s="439">
        <f>IFERROR(GETPIVOTDATA("Sum of "&amp;TEXT(C$10,"mmm-yyyy"),'PT-All'!$A$1,"Scenario",C$15,"P&amp;L Item",$B62),0)</f>
        <v>0</v>
      </c>
      <c r="D62" s="439">
        <f>IFERROR(GETPIVOTDATA("Sum of "&amp;TEXT(D$10,"mmm-yyyy"),'PT-All'!$A$1,"Scenario",D$15,"P&amp;L Item",$B62),0)</f>
        <v>0</v>
      </c>
      <c r="E62" s="439">
        <f>IFERROR(GETPIVOTDATA("Sum of "&amp;TEXT(E$10,"mmm-yyyy"),'PT-All'!$A$1,"Scenario",E$15,"P&amp;L Item",$B62),0)</f>
        <v>0</v>
      </c>
      <c r="F62" s="439">
        <f>IFERROR(GETPIVOTDATA("Sum of "&amp;TEXT(F$10,"mmm-yyyy"),'PT-All'!$A$1,"Scenario",F$15,"P&amp;L Item",$B62),0)</f>
        <v>0</v>
      </c>
      <c r="G62" s="440">
        <f>IFERROR(GETPIVOTDATA("Sum of "&amp;TEXT(G$10,"mmm-yyyy"),'PT-All'!$A$1,"Scenario",G$15,"P&amp;L Item",$B62),0)</f>
        <v>0</v>
      </c>
      <c r="H62" s="441">
        <f>IFERROR(GETPIVOTDATA("Sum of "&amp;TEXT(H$10,"mmm-yyyy"),'PT-All'!$A$1,"Scenario",H$15,"P&amp;L Item",$B62),0)</f>
        <v>0</v>
      </c>
      <c r="I62" s="441">
        <f>IFERROR(GETPIVOTDATA("Sum of "&amp;TEXT(I$10,"mmm-yyyy"),'PT-All'!$A$1,"Scenario",I$15,"P&amp;L Item",$B62),0)</f>
        <v>0</v>
      </c>
      <c r="J62" s="138"/>
      <c r="K62" s="441">
        <f t="shared" si="22"/>
        <v>0</v>
      </c>
      <c r="L62" s="442">
        <f t="shared" si="23"/>
        <v>0</v>
      </c>
      <c r="M62" s="180"/>
      <c r="N62" s="439">
        <f>IFERROR(GETPIVOTDATA("Sum of Q"&amp;N$9,'PT-All'!$A$1,"Scenario",N$15,"P&amp;L Item",$B62),0)</f>
        <v>0</v>
      </c>
      <c r="O62" s="440">
        <f>IFERROR(GETPIVOTDATA("Sum of Q"&amp;O$9,'PT-All'!$A$1,"Scenario",O$15,"P&amp;L Item",$B62),0)</f>
        <v>0</v>
      </c>
      <c r="P62" s="441">
        <f>IF($T$13,IFERROR(GETPIVOTDATA("Sum of Month "&amp;$Q$9,'PT-All'!$A$1,"Scenario",P$13,"P&amp;L Item",$B62),0),0)+IF($T$14,IFERROR(GETPIVOTDATA("Sum of Month "&amp;$S$9,'PT-All'!$A$1,"Scenario",P$14,"P&amp;L Item",$B62),0),0)+IF($T$15,IFERROR(GETPIVOTDATA("Sum of Month "&amp;$T$9,'PT-All'!$A$1,"Scenario",P$15,"P&amp;L Item",$B62),0),0)</f>
        <v>0</v>
      </c>
      <c r="Q62" s="441">
        <f>IF($T$13,IFERROR(GETPIVOTDATA("Sum of Month "&amp;$Q$9,'PT-All'!$A$1,"Scenario",Q$13,"P&amp;L Item",$B62),0),0)+IF($T$14,IFERROR(GETPIVOTDATA("Sum of Month "&amp;$S$9,'PT-All'!$A$1,"Scenario",Q$14,"P&amp;L Item",$B62),0),0)+IF($T$15,IFERROR(GETPIVOTDATA("Sum of Month "&amp;$T$9,'PT-All'!$A$1,"Scenario",Q$15,"P&amp;L Item",$B62),0),0)</f>
        <v>0</v>
      </c>
      <c r="R62" s="138"/>
      <c r="S62" s="441">
        <f t="shared" si="25"/>
        <v>0</v>
      </c>
      <c r="T62" s="442">
        <f t="shared" si="26"/>
        <v>0</v>
      </c>
      <c r="U62" s="443"/>
      <c r="V62" s="148"/>
    </row>
    <row r="63" spans="2:22" x14ac:dyDescent="0.35">
      <c r="B63" s="81" t="s">
        <v>93</v>
      </c>
      <c r="C63" s="439">
        <f>IFERROR(GETPIVOTDATA("Sum of "&amp;TEXT(C$10,"mmm-yyyy"),'PT-All'!$A$1,"Scenario",C$15,"P&amp;L Item",$B63),0)</f>
        <v>0</v>
      </c>
      <c r="D63" s="439">
        <f>IFERROR(GETPIVOTDATA("Sum of "&amp;TEXT(D$10,"mmm-yyyy"),'PT-All'!$A$1,"Scenario",D$15,"P&amp;L Item",$B63),0)</f>
        <v>0</v>
      </c>
      <c r="E63" s="439">
        <f>IFERROR(GETPIVOTDATA("Sum of "&amp;TEXT(E$10,"mmm-yyyy"),'PT-All'!$A$1,"Scenario",E$15,"P&amp;L Item",$B63),0)</f>
        <v>0</v>
      </c>
      <c r="F63" s="439">
        <f>IFERROR(GETPIVOTDATA("Sum of "&amp;TEXT(F$10,"mmm-yyyy"),'PT-All'!$A$1,"Scenario",F$15,"P&amp;L Item",$B63),0)</f>
        <v>0</v>
      </c>
      <c r="G63" s="440">
        <f>IFERROR(GETPIVOTDATA("Sum of "&amp;TEXT(G$10,"mmm-yyyy"),'PT-All'!$A$1,"Scenario",G$15,"P&amp;L Item",$B63),0)</f>
        <v>0</v>
      </c>
      <c r="H63" s="441">
        <f>IFERROR(GETPIVOTDATA("Sum of "&amp;TEXT(H$10,"mmm-yyyy"),'PT-All'!$A$1,"Scenario",H$15,"P&amp;L Item",$B63),0)</f>
        <v>0</v>
      </c>
      <c r="I63" s="441">
        <f>IFERROR(GETPIVOTDATA("Sum of "&amp;TEXT(I$10,"mmm-yyyy"),'PT-All'!$A$1,"Scenario",I$15,"P&amp;L Item",$B63),0)</f>
        <v>0</v>
      </c>
      <c r="J63" s="138"/>
      <c r="K63" s="441">
        <f t="shared" si="22"/>
        <v>0</v>
      </c>
      <c r="L63" s="442">
        <f t="shared" si="23"/>
        <v>0</v>
      </c>
      <c r="M63" s="180"/>
      <c r="N63" s="439">
        <f>IFERROR(GETPIVOTDATA("Sum of Q"&amp;N$9,'PT-All'!$A$1,"Scenario",N$15,"P&amp;L Item",$B63),0)</f>
        <v>0</v>
      </c>
      <c r="O63" s="440">
        <f>IFERROR(GETPIVOTDATA("Sum of Q"&amp;O$9,'PT-All'!$A$1,"Scenario",O$15,"P&amp;L Item",$B63),0)</f>
        <v>0</v>
      </c>
      <c r="P63" s="441">
        <f>IF($T$13,IFERROR(GETPIVOTDATA("Sum of Month "&amp;$Q$9,'PT-All'!$A$1,"Scenario",P$13,"P&amp;L Item",$B63),0),0)+IF($T$14,IFERROR(GETPIVOTDATA("Sum of Month "&amp;$S$9,'PT-All'!$A$1,"Scenario",P$14,"P&amp;L Item",$B63),0),0)+IF($T$15,IFERROR(GETPIVOTDATA("Sum of Month "&amp;$T$9,'PT-All'!$A$1,"Scenario",P$15,"P&amp;L Item",$B63),0),0)</f>
        <v>0</v>
      </c>
      <c r="Q63" s="441">
        <f>IF($T$13,IFERROR(GETPIVOTDATA("Sum of Month "&amp;$Q$9,'PT-All'!$A$1,"Scenario",Q$13,"P&amp;L Item",$B63),0),0)+IF($T$14,IFERROR(GETPIVOTDATA("Sum of Month "&amp;$S$9,'PT-All'!$A$1,"Scenario",Q$14,"P&amp;L Item",$B63),0),0)+IF($T$15,IFERROR(GETPIVOTDATA("Sum of Month "&amp;$T$9,'PT-All'!$A$1,"Scenario",Q$15,"P&amp;L Item",$B63),0),0)</f>
        <v>0</v>
      </c>
      <c r="R63" s="138"/>
      <c r="S63" s="441">
        <f t="shared" si="25"/>
        <v>0</v>
      </c>
      <c r="T63" s="442">
        <f t="shared" si="26"/>
        <v>0</v>
      </c>
      <c r="U63" s="443"/>
      <c r="V63" s="148"/>
    </row>
    <row r="64" spans="2:22" x14ac:dyDescent="0.35">
      <c r="B64" s="356" t="s">
        <v>94</v>
      </c>
      <c r="C64" s="439">
        <f>IFERROR(GETPIVOTDATA("Sum of "&amp;TEXT(C$10,"mmm-yyyy"),'PT-All'!$A$1,"Scenario",C$15,"P&amp;L Item",$B64),0)</f>
        <v>0</v>
      </c>
      <c r="D64" s="439">
        <f>IFERROR(GETPIVOTDATA("Sum of "&amp;TEXT(D$10,"mmm-yyyy"),'PT-All'!$A$1,"Scenario",D$15,"P&amp;L Item",$B64),0)</f>
        <v>0</v>
      </c>
      <c r="E64" s="439">
        <f>IFERROR(GETPIVOTDATA("Sum of "&amp;TEXT(E$10,"mmm-yyyy"),'PT-All'!$A$1,"Scenario",E$15,"P&amp;L Item",$B64),0)</f>
        <v>0</v>
      </c>
      <c r="F64" s="439">
        <f>IFERROR(GETPIVOTDATA("Sum of "&amp;TEXT(F$10,"mmm-yyyy"),'PT-All'!$A$1,"Scenario",F$15,"P&amp;L Item",$B64),0)</f>
        <v>0</v>
      </c>
      <c r="G64" s="440">
        <f>IFERROR(GETPIVOTDATA("Sum of "&amp;TEXT(G$10,"mmm-yyyy"),'PT-All'!$A$1,"Scenario",G$15,"P&amp;L Item",$B64),0)</f>
        <v>0</v>
      </c>
      <c r="H64" s="441">
        <f>IFERROR(GETPIVOTDATA("Sum of "&amp;TEXT(H$10,"mmm-yyyy"),'PT-All'!$A$1,"Scenario",H$15,"P&amp;L Item",$B64),0)</f>
        <v>0</v>
      </c>
      <c r="I64" s="441">
        <f>IFERROR(GETPIVOTDATA("Sum of "&amp;TEXT(I$10,"mmm-yyyy"),'PT-All'!$A$1,"Scenario",I$15,"P&amp;L Item",$B64),0)</f>
        <v>0</v>
      </c>
      <c r="J64" s="138"/>
      <c r="K64" s="441">
        <f t="shared" si="22"/>
        <v>0</v>
      </c>
      <c r="L64" s="442">
        <f t="shared" si="23"/>
        <v>0</v>
      </c>
      <c r="M64" s="180"/>
      <c r="N64" s="439">
        <f>IFERROR(GETPIVOTDATA("Sum of Q"&amp;N$9,'PT-All'!$A$1,"Scenario",N$15,"P&amp;L Item",$B64),0)</f>
        <v>0</v>
      </c>
      <c r="O64" s="440">
        <f>IFERROR(GETPIVOTDATA("Sum of Q"&amp;O$9,'PT-All'!$A$1,"Scenario",O$15,"P&amp;L Item",$B64),0)</f>
        <v>0</v>
      </c>
      <c r="P64" s="441">
        <f>IF($T$13,IFERROR(GETPIVOTDATA("Sum of Month "&amp;$Q$9,'PT-All'!$A$1,"Scenario",P$13,"P&amp;L Item",$B64),0),0)+IF($T$14,IFERROR(GETPIVOTDATA("Sum of Month "&amp;$S$9,'PT-All'!$A$1,"Scenario",P$14,"P&amp;L Item",$B64),0),0)+IF($T$15,IFERROR(GETPIVOTDATA("Sum of Month "&amp;$T$9,'PT-All'!$A$1,"Scenario",P$15,"P&amp;L Item",$B64),0),0)</f>
        <v>0</v>
      </c>
      <c r="Q64" s="441">
        <f>IF($T$13,IFERROR(GETPIVOTDATA("Sum of Month "&amp;$Q$9,'PT-All'!$A$1,"Scenario",Q$13,"P&amp;L Item",$B64),0),0)+IF($T$14,IFERROR(GETPIVOTDATA("Sum of Month "&amp;$S$9,'PT-All'!$A$1,"Scenario",Q$14,"P&amp;L Item",$B64),0),0)+IF($T$15,IFERROR(GETPIVOTDATA("Sum of Month "&amp;$T$9,'PT-All'!$A$1,"Scenario",Q$15,"P&amp;L Item",$B64),0),0)</f>
        <v>0</v>
      </c>
      <c r="R64" s="138"/>
      <c r="S64" s="441">
        <f t="shared" si="25"/>
        <v>0</v>
      </c>
      <c r="T64" s="442">
        <f t="shared" si="26"/>
        <v>0</v>
      </c>
      <c r="U64" s="443"/>
      <c r="V64" s="148"/>
    </row>
    <row r="65" spans="2:22" ht="16" x14ac:dyDescent="0.5">
      <c r="B65" s="82" t="s">
        <v>95</v>
      </c>
      <c r="C65" s="444">
        <f t="shared" ref="C65:I65" si="37">SUM(C66:C73)</f>
        <v>0</v>
      </c>
      <c r="D65" s="444">
        <f t="shared" si="37"/>
        <v>0</v>
      </c>
      <c r="E65" s="444">
        <f t="shared" si="37"/>
        <v>0</v>
      </c>
      <c r="F65" s="444">
        <f t="shared" si="37"/>
        <v>0</v>
      </c>
      <c r="G65" s="445">
        <f t="shared" si="37"/>
        <v>0</v>
      </c>
      <c r="H65" s="446">
        <f t="shared" si="37"/>
        <v>0</v>
      </c>
      <c r="I65" s="446">
        <f t="shared" si="37"/>
        <v>0</v>
      </c>
      <c r="J65" s="447"/>
      <c r="K65" s="446">
        <f t="shared" si="22"/>
        <v>0</v>
      </c>
      <c r="L65" s="448">
        <f t="shared" si="23"/>
        <v>0</v>
      </c>
      <c r="M65" s="386"/>
      <c r="N65" s="444">
        <f t="shared" ref="N65:Q65" si="38">SUM(N66:N73)</f>
        <v>0</v>
      </c>
      <c r="O65" s="445">
        <f t="shared" si="38"/>
        <v>0</v>
      </c>
      <c r="P65" s="446">
        <f t="shared" si="38"/>
        <v>0</v>
      </c>
      <c r="Q65" s="446">
        <f t="shared" si="38"/>
        <v>0</v>
      </c>
      <c r="R65" s="447"/>
      <c r="S65" s="446">
        <f t="shared" si="25"/>
        <v>0</v>
      </c>
      <c r="T65" s="448">
        <f t="shared" si="26"/>
        <v>0</v>
      </c>
      <c r="U65" s="449"/>
      <c r="V65" s="387"/>
    </row>
    <row r="66" spans="2:22" x14ac:dyDescent="0.35">
      <c r="B66" s="64" t="s">
        <v>96</v>
      </c>
      <c r="C66" s="407">
        <f>IFERROR(GETPIVOTDATA("Sum of "&amp;TEXT(C$10,"mmm-yyyy"),'PT-All'!$A$1,"Scenario",C$15,"P&amp;L Item",$B66),0)</f>
        <v>0</v>
      </c>
      <c r="D66" s="407">
        <f>IFERROR(GETPIVOTDATA("Sum of "&amp;TEXT(D$10,"mmm-yyyy"),'PT-All'!$A$1,"Scenario",D$15,"P&amp;L Item",$B66),0)</f>
        <v>0</v>
      </c>
      <c r="E66" s="407">
        <f>IFERROR(GETPIVOTDATA("Sum of "&amp;TEXT(E$10,"mmm-yyyy"),'PT-All'!$A$1,"Scenario",E$15,"P&amp;L Item",$B66),0)</f>
        <v>0</v>
      </c>
      <c r="F66" s="407">
        <f>IFERROR(GETPIVOTDATA("Sum of "&amp;TEXT(F$10,"mmm-yyyy"),'PT-All'!$A$1,"Scenario",F$15,"P&amp;L Item",$B66),0)</f>
        <v>0</v>
      </c>
      <c r="G66" s="408">
        <f>IFERROR(GETPIVOTDATA("Sum of "&amp;TEXT(G$10,"mmm-yyyy"),'PT-All'!$A$1,"Scenario",G$15,"P&amp;L Item",$B66),0)</f>
        <v>0</v>
      </c>
      <c r="H66" s="409">
        <f>IFERROR(GETPIVOTDATA("Sum of "&amp;TEXT(H$10,"mmm-yyyy"),'PT-All'!$A$1,"Scenario",H$15,"P&amp;L Item",$B66),0)</f>
        <v>0</v>
      </c>
      <c r="I66" s="409">
        <f>IFERROR(GETPIVOTDATA("Sum of "&amp;TEXT(I$10,"mmm-yyyy"),'PT-All'!$A$1,"Scenario",I$15,"P&amp;L Item",$B66),0)</f>
        <v>0</v>
      </c>
      <c r="J66" s="138"/>
      <c r="K66" s="409">
        <f t="shared" si="22"/>
        <v>0</v>
      </c>
      <c r="L66" s="410">
        <f t="shared" si="23"/>
        <v>0</v>
      </c>
      <c r="M66" s="180"/>
      <c r="N66" s="407">
        <f>IFERROR(GETPIVOTDATA("Sum of Q"&amp;N$9,'PT-All'!$A$1,"Scenario",N$15,"P&amp;L Item",$B66),0)</f>
        <v>0</v>
      </c>
      <c r="O66" s="408">
        <f>IFERROR(GETPIVOTDATA("Sum of Q"&amp;O$9,'PT-All'!$A$1,"Scenario",O$15,"P&amp;L Item",$B66),0)</f>
        <v>0</v>
      </c>
      <c r="P66" s="409">
        <f>IF($T$13,IFERROR(GETPIVOTDATA("Sum of Month "&amp;$Q$9,'PT-All'!$A$1,"Scenario",P$13,"P&amp;L Item",$B66),0),0)+IF($T$14,IFERROR(GETPIVOTDATA("Sum of Month "&amp;$S$9,'PT-All'!$A$1,"Scenario",P$14,"P&amp;L Item",$B66),0),0)+IF($T$15,IFERROR(GETPIVOTDATA("Sum of Month "&amp;$T$9,'PT-All'!$A$1,"Scenario",P$15,"P&amp;L Item",$B66),0),0)</f>
        <v>0</v>
      </c>
      <c r="Q66" s="409">
        <f>IF($T$13,IFERROR(GETPIVOTDATA("Sum of Month "&amp;$Q$9,'PT-All'!$A$1,"Scenario",Q$13,"P&amp;L Item",$B66),0),0)+IF($T$14,IFERROR(GETPIVOTDATA("Sum of Month "&amp;$S$9,'PT-All'!$A$1,"Scenario",Q$14,"P&amp;L Item",$B66),0),0)+IF($T$15,IFERROR(GETPIVOTDATA("Sum of Month "&amp;$T$9,'PT-All'!$A$1,"Scenario",Q$15,"P&amp;L Item",$B66),0),0)</f>
        <v>0</v>
      </c>
      <c r="R66" s="138"/>
      <c r="S66" s="409">
        <f t="shared" si="25"/>
        <v>0</v>
      </c>
      <c r="T66" s="410">
        <f t="shared" si="26"/>
        <v>0</v>
      </c>
      <c r="U66" s="411"/>
      <c r="V66" s="148"/>
    </row>
    <row r="67" spans="2:22" x14ac:dyDescent="0.35">
      <c r="B67" s="64" t="s">
        <v>97</v>
      </c>
      <c r="C67" s="407">
        <f>IFERROR(GETPIVOTDATA("Sum of "&amp;TEXT(C$10,"mmm-yyyy"),'PT-All'!$A$1,"Scenario",C$15,"P&amp;L Item",$B67),0)</f>
        <v>0</v>
      </c>
      <c r="D67" s="407">
        <f>IFERROR(GETPIVOTDATA("Sum of "&amp;TEXT(D$10,"mmm-yyyy"),'PT-All'!$A$1,"Scenario",D$15,"P&amp;L Item",$B67),0)</f>
        <v>0</v>
      </c>
      <c r="E67" s="407">
        <f>IFERROR(GETPIVOTDATA("Sum of "&amp;TEXT(E$10,"mmm-yyyy"),'PT-All'!$A$1,"Scenario",E$15,"P&amp;L Item",$B67),0)</f>
        <v>0</v>
      </c>
      <c r="F67" s="407">
        <f>IFERROR(GETPIVOTDATA("Sum of "&amp;TEXT(F$10,"mmm-yyyy"),'PT-All'!$A$1,"Scenario",F$15,"P&amp;L Item",$B67),0)</f>
        <v>0</v>
      </c>
      <c r="G67" s="408">
        <f>IFERROR(GETPIVOTDATA("Sum of "&amp;TEXT(G$10,"mmm-yyyy"),'PT-All'!$A$1,"Scenario",G$15,"P&amp;L Item",$B67),0)</f>
        <v>0</v>
      </c>
      <c r="H67" s="409">
        <f>IFERROR(GETPIVOTDATA("Sum of "&amp;TEXT(H$10,"mmm-yyyy"),'PT-All'!$A$1,"Scenario",H$15,"P&amp;L Item",$B67),0)</f>
        <v>0</v>
      </c>
      <c r="I67" s="409">
        <f>IFERROR(GETPIVOTDATA("Sum of "&amp;TEXT(I$10,"mmm-yyyy"),'PT-All'!$A$1,"Scenario",I$15,"P&amp;L Item",$B67),0)</f>
        <v>0</v>
      </c>
      <c r="J67" s="138"/>
      <c r="K67" s="409">
        <f t="shared" si="22"/>
        <v>0</v>
      </c>
      <c r="L67" s="410">
        <f t="shared" si="23"/>
        <v>0</v>
      </c>
      <c r="M67" s="180"/>
      <c r="N67" s="407">
        <f>IFERROR(GETPIVOTDATA("Sum of Q"&amp;N$9,'PT-All'!$A$1,"Scenario",N$15,"P&amp;L Item",$B67),0)</f>
        <v>0</v>
      </c>
      <c r="O67" s="408">
        <f>IFERROR(GETPIVOTDATA("Sum of Q"&amp;O$9,'PT-All'!$A$1,"Scenario",O$15,"P&amp;L Item",$B67),0)</f>
        <v>0</v>
      </c>
      <c r="P67" s="409">
        <f>IF($T$13,IFERROR(GETPIVOTDATA("Sum of Month "&amp;$Q$9,'PT-All'!$A$1,"Scenario",P$13,"P&amp;L Item",$B67),0),0)+IF($T$14,IFERROR(GETPIVOTDATA("Sum of Month "&amp;$S$9,'PT-All'!$A$1,"Scenario",P$14,"P&amp;L Item",$B67),0),0)+IF($T$15,IFERROR(GETPIVOTDATA("Sum of Month "&amp;$T$9,'PT-All'!$A$1,"Scenario",P$15,"P&amp;L Item",$B67),0),0)</f>
        <v>0</v>
      </c>
      <c r="Q67" s="409">
        <f>IF($T$13,IFERROR(GETPIVOTDATA("Sum of Month "&amp;$Q$9,'PT-All'!$A$1,"Scenario",Q$13,"P&amp;L Item",$B67),0),0)+IF($T$14,IFERROR(GETPIVOTDATA("Sum of Month "&amp;$S$9,'PT-All'!$A$1,"Scenario",Q$14,"P&amp;L Item",$B67),0),0)+IF($T$15,IFERROR(GETPIVOTDATA("Sum of Month "&amp;$T$9,'PT-All'!$A$1,"Scenario",Q$15,"P&amp;L Item",$B67),0),0)</f>
        <v>0</v>
      </c>
      <c r="R67" s="138"/>
      <c r="S67" s="409">
        <f t="shared" si="25"/>
        <v>0</v>
      </c>
      <c r="T67" s="410">
        <f t="shared" si="26"/>
        <v>0</v>
      </c>
      <c r="U67" s="411"/>
      <c r="V67" s="148"/>
    </row>
    <row r="68" spans="2:22" ht="16" x14ac:dyDescent="0.5">
      <c r="B68" s="64" t="s">
        <v>98</v>
      </c>
      <c r="C68" s="407">
        <f>IFERROR(GETPIVOTDATA("Sum of "&amp;TEXT(C$10,"mmm-yyyy"),'PT-All'!$A$1,"Scenario",C$15,"P&amp;L Item",$B68),0)</f>
        <v>0</v>
      </c>
      <c r="D68" s="407">
        <f>IFERROR(GETPIVOTDATA("Sum of "&amp;TEXT(D$10,"mmm-yyyy"),'PT-All'!$A$1,"Scenario",D$15,"P&amp;L Item",$B68),0)</f>
        <v>0</v>
      </c>
      <c r="E68" s="407">
        <f>IFERROR(GETPIVOTDATA("Sum of "&amp;TEXT(E$10,"mmm-yyyy"),'PT-All'!$A$1,"Scenario",E$15,"P&amp;L Item",$B68),0)</f>
        <v>0</v>
      </c>
      <c r="F68" s="407">
        <f>IFERROR(GETPIVOTDATA("Sum of "&amp;TEXT(F$10,"mmm-yyyy"),'PT-All'!$A$1,"Scenario",F$15,"P&amp;L Item",$B68),0)</f>
        <v>0</v>
      </c>
      <c r="G68" s="408">
        <f>IFERROR(GETPIVOTDATA("Sum of "&amp;TEXT(G$10,"mmm-yyyy"),'PT-All'!$A$1,"Scenario",G$15,"P&amp;L Item",$B68),0)</f>
        <v>0</v>
      </c>
      <c r="H68" s="409">
        <f>IFERROR(GETPIVOTDATA("Sum of "&amp;TEXT(H$10,"mmm-yyyy"),'PT-All'!$A$1,"Scenario",H$15,"P&amp;L Item",$B68),0)</f>
        <v>0</v>
      </c>
      <c r="I68" s="409">
        <f>IFERROR(GETPIVOTDATA("Sum of "&amp;TEXT(I$10,"mmm-yyyy"),'PT-All'!$A$1,"Scenario",I$15,"P&amp;L Item",$B68),0)</f>
        <v>0</v>
      </c>
      <c r="J68" s="405"/>
      <c r="K68" s="409">
        <f t="shared" si="22"/>
        <v>0</v>
      </c>
      <c r="L68" s="410">
        <f t="shared" si="23"/>
        <v>0</v>
      </c>
      <c r="M68" s="180"/>
      <c r="N68" s="407">
        <f>IFERROR(GETPIVOTDATA("Sum of Q"&amp;N$9,'PT-All'!$A$1,"Scenario",N$15,"P&amp;L Item",$B68),0)</f>
        <v>0</v>
      </c>
      <c r="O68" s="408">
        <f>IFERROR(GETPIVOTDATA("Sum of Q"&amp;O$9,'PT-All'!$A$1,"Scenario",O$15,"P&amp;L Item",$B68),0)</f>
        <v>0</v>
      </c>
      <c r="P68" s="409">
        <f>IF($T$13,IFERROR(GETPIVOTDATA("Sum of Month "&amp;$Q$9,'PT-All'!$A$1,"Scenario",P$13,"P&amp;L Item",$B68),0),0)+IF($T$14,IFERROR(GETPIVOTDATA("Sum of Month "&amp;$S$9,'PT-All'!$A$1,"Scenario",P$14,"P&amp;L Item",$B68),0),0)+IF($T$15,IFERROR(GETPIVOTDATA("Sum of Month "&amp;$T$9,'PT-All'!$A$1,"Scenario",P$15,"P&amp;L Item",$B68),0),0)</f>
        <v>0</v>
      </c>
      <c r="Q68" s="409">
        <f>IF($T$13,IFERROR(GETPIVOTDATA("Sum of Month "&amp;$Q$9,'PT-All'!$A$1,"Scenario",Q$13,"P&amp;L Item",$B68),0),0)+IF($T$14,IFERROR(GETPIVOTDATA("Sum of Month "&amp;$S$9,'PT-All'!$A$1,"Scenario",Q$14,"P&amp;L Item",$B68),0),0)+IF($T$15,IFERROR(GETPIVOTDATA("Sum of Month "&amp;$T$9,'PT-All'!$A$1,"Scenario",Q$15,"P&amp;L Item",$B68),0),0)</f>
        <v>0</v>
      </c>
      <c r="R68" s="405"/>
      <c r="S68" s="409">
        <f t="shared" si="25"/>
        <v>0</v>
      </c>
      <c r="T68" s="410">
        <f t="shared" si="26"/>
        <v>0</v>
      </c>
      <c r="U68" s="411"/>
      <c r="V68" s="148"/>
    </row>
    <row r="69" spans="2:22" x14ac:dyDescent="0.35">
      <c r="B69" s="64" t="s">
        <v>99</v>
      </c>
      <c r="C69" s="407">
        <f>IFERROR(GETPIVOTDATA("Sum of "&amp;TEXT(C$10,"mmm-yyyy"),'PT-All'!$A$1,"Scenario",C$15,"P&amp;L Item",$B69),0)</f>
        <v>0</v>
      </c>
      <c r="D69" s="407">
        <f>IFERROR(GETPIVOTDATA("Sum of "&amp;TEXT(D$10,"mmm-yyyy"),'PT-All'!$A$1,"Scenario",D$15,"P&amp;L Item",$B69),0)</f>
        <v>0</v>
      </c>
      <c r="E69" s="407">
        <f>IFERROR(GETPIVOTDATA("Sum of "&amp;TEXT(E$10,"mmm-yyyy"),'PT-All'!$A$1,"Scenario",E$15,"P&amp;L Item",$B69),0)</f>
        <v>0</v>
      </c>
      <c r="F69" s="407">
        <f>IFERROR(GETPIVOTDATA("Sum of "&amp;TEXT(F$10,"mmm-yyyy"),'PT-All'!$A$1,"Scenario",F$15,"P&amp;L Item",$B69),0)</f>
        <v>0</v>
      </c>
      <c r="G69" s="408">
        <f>IFERROR(GETPIVOTDATA("Sum of "&amp;TEXT(G$10,"mmm-yyyy"),'PT-All'!$A$1,"Scenario",G$15,"P&amp;L Item",$B69),0)</f>
        <v>0</v>
      </c>
      <c r="H69" s="409">
        <f>IFERROR(GETPIVOTDATA("Sum of "&amp;TEXT(H$10,"mmm-yyyy"),'PT-All'!$A$1,"Scenario",H$15,"P&amp;L Item",$B69),0)</f>
        <v>0</v>
      </c>
      <c r="I69" s="409">
        <f>IFERROR(GETPIVOTDATA("Sum of "&amp;TEXT(I$10,"mmm-yyyy"),'PT-All'!$A$1,"Scenario",I$15,"P&amp;L Item",$B69),0)</f>
        <v>0</v>
      </c>
      <c r="J69" s="418"/>
      <c r="K69" s="409">
        <f t="shared" si="22"/>
        <v>0</v>
      </c>
      <c r="L69" s="410">
        <f t="shared" si="23"/>
        <v>0</v>
      </c>
      <c r="M69" s="180"/>
      <c r="N69" s="407">
        <f>IFERROR(GETPIVOTDATA("Sum of Q"&amp;N$9,'PT-All'!$A$1,"Scenario",N$15,"P&amp;L Item",$B69),0)</f>
        <v>0</v>
      </c>
      <c r="O69" s="408">
        <f>IFERROR(GETPIVOTDATA("Sum of Q"&amp;O$9,'PT-All'!$A$1,"Scenario",O$15,"P&amp;L Item",$B69),0)</f>
        <v>0</v>
      </c>
      <c r="P69" s="409">
        <f>IF($T$13,IFERROR(GETPIVOTDATA("Sum of Month "&amp;$Q$9,'PT-All'!$A$1,"Scenario",P$13,"P&amp;L Item",$B69),0),0)+IF($T$14,IFERROR(GETPIVOTDATA("Sum of Month "&amp;$S$9,'PT-All'!$A$1,"Scenario",P$14,"P&amp;L Item",$B69),0),0)+IF($T$15,IFERROR(GETPIVOTDATA("Sum of Month "&amp;$T$9,'PT-All'!$A$1,"Scenario",P$15,"P&amp;L Item",$B69),0),0)</f>
        <v>0</v>
      </c>
      <c r="Q69" s="409">
        <f>IF($T$13,IFERROR(GETPIVOTDATA("Sum of Month "&amp;$Q$9,'PT-All'!$A$1,"Scenario",Q$13,"P&amp;L Item",$B69),0),0)+IF($T$14,IFERROR(GETPIVOTDATA("Sum of Month "&amp;$S$9,'PT-All'!$A$1,"Scenario",Q$14,"P&amp;L Item",$B69),0),0)+IF($T$15,IFERROR(GETPIVOTDATA("Sum of Month "&amp;$T$9,'PT-All'!$A$1,"Scenario",Q$15,"P&amp;L Item",$B69),0),0)</f>
        <v>0</v>
      </c>
      <c r="R69" s="418"/>
      <c r="S69" s="409">
        <f t="shared" si="25"/>
        <v>0</v>
      </c>
      <c r="T69" s="410">
        <f t="shared" si="26"/>
        <v>0</v>
      </c>
      <c r="U69" s="411"/>
      <c r="V69" s="148"/>
    </row>
    <row r="70" spans="2:22" x14ac:dyDescent="0.35">
      <c r="B70" s="64" t="s">
        <v>100</v>
      </c>
      <c r="C70" s="407">
        <f>IFERROR(GETPIVOTDATA("Sum of "&amp;TEXT(C$10,"mmm-yyyy"),'PT-All'!$A$1,"Scenario",C$15,"P&amp;L Item",$B70),0)</f>
        <v>0</v>
      </c>
      <c r="D70" s="407">
        <f>IFERROR(GETPIVOTDATA("Sum of "&amp;TEXT(D$10,"mmm-yyyy"),'PT-All'!$A$1,"Scenario",D$15,"P&amp;L Item",$B70),0)</f>
        <v>0</v>
      </c>
      <c r="E70" s="407">
        <f>IFERROR(GETPIVOTDATA("Sum of "&amp;TEXT(E$10,"mmm-yyyy"),'PT-All'!$A$1,"Scenario",E$15,"P&amp;L Item",$B70),0)</f>
        <v>0</v>
      </c>
      <c r="F70" s="407">
        <f>IFERROR(GETPIVOTDATA("Sum of "&amp;TEXT(F$10,"mmm-yyyy"),'PT-All'!$A$1,"Scenario",F$15,"P&amp;L Item",$B70),0)</f>
        <v>0</v>
      </c>
      <c r="G70" s="408">
        <f>IFERROR(GETPIVOTDATA("Sum of "&amp;TEXT(G$10,"mmm-yyyy"),'PT-All'!$A$1,"Scenario",G$15,"P&amp;L Item",$B70),0)</f>
        <v>0</v>
      </c>
      <c r="H70" s="409">
        <f>IFERROR(GETPIVOTDATA("Sum of "&amp;TEXT(H$10,"mmm-yyyy"),'PT-All'!$A$1,"Scenario",H$15,"P&amp;L Item",$B70),0)</f>
        <v>0</v>
      </c>
      <c r="I70" s="409">
        <f>IFERROR(GETPIVOTDATA("Sum of "&amp;TEXT(I$10,"mmm-yyyy"),'PT-All'!$A$1,"Scenario",I$15,"P&amp;L Item",$B70),0)</f>
        <v>0</v>
      </c>
      <c r="J70" s="438"/>
      <c r="K70" s="409">
        <f t="shared" si="22"/>
        <v>0</v>
      </c>
      <c r="L70" s="410">
        <f t="shared" si="23"/>
        <v>0</v>
      </c>
      <c r="M70" s="180"/>
      <c r="N70" s="407">
        <f>IFERROR(GETPIVOTDATA("Sum of Q"&amp;N$9,'PT-All'!$A$1,"Scenario",N$15,"P&amp;L Item",$B70),0)</f>
        <v>0</v>
      </c>
      <c r="O70" s="408">
        <f>IFERROR(GETPIVOTDATA("Sum of Q"&amp;O$9,'PT-All'!$A$1,"Scenario",O$15,"P&amp;L Item",$B70),0)</f>
        <v>0</v>
      </c>
      <c r="P70" s="409">
        <f>IF($T$13,IFERROR(GETPIVOTDATA("Sum of Month "&amp;$Q$9,'PT-All'!$A$1,"Scenario",P$13,"P&amp;L Item",$B70),0),0)+IF($T$14,IFERROR(GETPIVOTDATA("Sum of Month "&amp;$S$9,'PT-All'!$A$1,"Scenario",P$14,"P&amp;L Item",$B70),0),0)+IF($T$15,IFERROR(GETPIVOTDATA("Sum of Month "&amp;$T$9,'PT-All'!$A$1,"Scenario",P$15,"P&amp;L Item",$B70),0),0)</f>
        <v>0</v>
      </c>
      <c r="Q70" s="409">
        <f>IF($T$13,IFERROR(GETPIVOTDATA("Sum of Month "&amp;$Q$9,'PT-All'!$A$1,"Scenario",Q$13,"P&amp;L Item",$B70),0),0)+IF($T$14,IFERROR(GETPIVOTDATA("Sum of Month "&amp;$S$9,'PT-All'!$A$1,"Scenario",Q$14,"P&amp;L Item",$B70),0),0)+IF($T$15,IFERROR(GETPIVOTDATA("Sum of Month "&amp;$T$9,'PT-All'!$A$1,"Scenario",Q$15,"P&amp;L Item",$B70),0),0)</f>
        <v>0</v>
      </c>
      <c r="R70" s="437"/>
      <c r="S70" s="409">
        <f t="shared" si="25"/>
        <v>0</v>
      </c>
      <c r="T70" s="410">
        <f t="shared" si="26"/>
        <v>0</v>
      </c>
      <c r="U70" s="411"/>
      <c r="V70" s="148"/>
    </row>
    <row r="71" spans="2:22" x14ac:dyDescent="0.35">
      <c r="B71" s="64" t="s">
        <v>101</v>
      </c>
      <c r="C71" s="407">
        <f>IFERROR(GETPIVOTDATA("Sum of "&amp;TEXT(C$10,"mmm-yyyy"),'PT-All'!$A$1,"Scenario",C$15,"P&amp;L Item",$B71),0)</f>
        <v>0</v>
      </c>
      <c r="D71" s="407">
        <f>IFERROR(GETPIVOTDATA("Sum of "&amp;TEXT(D$10,"mmm-yyyy"),'PT-All'!$A$1,"Scenario",D$15,"P&amp;L Item",$B71),0)</f>
        <v>0</v>
      </c>
      <c r="E71" s="407">
        <f>IFERROR(GETPIVOTDATA("Sum of "&amp;TEXT(E$10,"mmm-yyyy"),'PT-All'!$A$1,"Scenario",E$15,"P&amp;L Item",$B71),0)</f>
        <v>0</v>
      </c>
      <c r="F71" s="407">
        <f>IFERROR(GETPIVOTDATA("Sum of "&amp;TEXT(F$10,"mmm-yyyy"),'PT-All'!$A$1,"Scenario",F$15,"P&amp;L Item",$B71),0)</f>
        <v>0</v>
      </c>
      <c r="G71" s="408">
        <f>IFERROR(GETPIVOTDATA("Sum of "&amp;TEXT(G$10,"mmm-yyyy"),'PT-All'!$A$1,"Scenario",G$15,"P&amp;L Item",$B71),0)</f>
        <v>0</v>
      </c>
      <c r="H71" s="409">
        <f>IFERROR(GETPIVOTDATA("Sum of "&amp;TEXT(H$10,"mmm-yyyy"),'PT-All'!$A$1,"Scenario",H$15,"P&amp;L Item",$B71),0)</f>
        <v>0</v>
      </c>
      <c r="I71" s="409">
        <f>IFERROR(GETPIVOTDATA("Sum of "&amp;TEXT(I$10,"mmm-yyyy"),'PT-All'!$A$1,"Scenario",I$15,"P&amp;L Item",$B71),0)</f>
        <v>0</v>
      </c>
      <c r="J71" s="418"/>
      <c r="K71" s="409">
        <f t="shared" si="22"/>
        <v>0</v>
      </c>
      <c r="L71" s="410">
        <f t="shared" si="23"/>
        <v>0</v>
      </c>
      <c r="M71" s="371"/>
      <c r="N71" s="407">
        <f>IFERROR(GETPIVOTDATA("Sum of Q"&amp;N$9,'PT-All'!$A$1,"Scenario",N$15,"P&amp;L Item",$B71),0)</f>
        <v>0</v>
      </c>
      <c r="O71" s="408">
        <f>IFERROR(GETPIVOTDATA("Sum of Q"&amp;O$9,'PT-All'!$A$1,"Scenario",O$15,"P&amp;L Item",$B71),0)</f>
        <v>0</v>
      </c>
      <c r="P71" s="409">
        <f>IF($T$13,IFERROR(GETPIVOTDATA("Sum of Month "&amp;$Q$9,'PT-All'!$A$1,"Scenario",P$13,"P&amp;L Item",$B71),0),0)+IF($T$14,IFERROR(GETPIVOTDATA("Sum of Month "&amp;$S$9,'PT-All'!$A$1,"Scenario",P$14,"P&amp;L Item",$B71),0),0)+IF($T$15,IFERROR(GETPIVOTDATA("Sum of Month "&amp;$T$9,'PT-All'!$A$1,"Scenario",P$15,"P&amp;L Item",$B71),0),0)</f>
        <v>0</v>
      </c>
      <c r="Q71" s="409">
        <f>IF($T$13,IFERROR(GETPIVOTDATA("Sum of Month "&amp;$Q$9,'PT-All'!$A$1,"Scenario",Q$13,"P&amp;L Item",$B71),0),0)+IF($T$14,IFERROR(GETPIVOTDATA("Sum of Month "&amp;$S$9,'PT-All'!$A$1,"Scenario",Q$14,"P&amp;L Item",$B71),0),0)+IF($T$15,IFERROR(GETPIVOTDATA("Sum of Month "&amp;$T$9,'PT-All'!$A$1,"Scenario",Q$15,"P&amp;L Item",$B71),0),0)</f>
        <v>0</v>
      </c>
      <c r="R71" s="418"/>
      <c r="S71" s="409">
        <f t="shared" si="25"/>
        <v>0</v>
      </c>
      <c r="T71" s="410">
        <f t="shared" si="26"/>
        <v>0</v>
      </c>
      <c r="U71" s="411"/>
      <c r="V71" s="148"/>
    </row>
    <row r="72" spans="2:22" x14ac:dyDescent="0.35">
      <c r="B72" s="64" t="s">
        <v>102</v>
      </c>
      <c r="C72" s="407">
        <f>IFERROR(GETPIVOTDATA("Sum of "&amp;TEXT(C$10,"mmm-yyyy"),'PT-All'!$A$1,"Scenario",C$15,"P&amp;L Item",$B72),0)</f>
        <v>0</v>
      </c>
      <c r="D72" s="407">
        <f>IFERROR(GETPIVOTDATA("Sum of "&amp;TEXT(D$10,"mmm-yyyy"),'PT-All'!$A$1,"Scenario",D$15,"P&amp;L Item",$B72),0)</f>
        <v>0</v>
      </c>
      <c r="E72" s="407">
        <f>IFERROR(GETPIVOTDATA("Sum of "&amp;TEXT(E$10,"mmm-yyyy"),'PT-All'!$A$1,"Scenario",E$15,"P&amp;L Item",$B72),0)</f>
        <v>0</v>
      </c>
      <c r="F72" s="407">
        <f>IFERROR(GETPIVOTDATA("Sum of "&amp;TEXT(F$10,"mmm-yyyy"),'PT-All'!$A$1,"Scenario",F$15,"P&amp;L Item",$B72),0)</f>
        <v>0</v>
      </c>
      <c r="G72" s="408">
        <f>IFERROR(GETPIVOTDATA("Sum of "&amp;TEXT(G$10,"mmm-yyyy"),'PT-All'!$A$1,"Scenario",G$15,"P&amp;L Item",$B72),0)</f>
        <v>0</v>
      </c>
      <c r="H72" s="409">
        <f>IFERROR(GETPIVOTDATA("Sum of "&amp;TEXT(H$10,"mmm-yyyy"),'PT-All'!$A$1,"Scenario",H$15,"P&amp;L Item",$B72),0)</f>
        <v>0</v>
      </c>
      <c r="I72" s="409">
        <f>IFERROR(GETPIVOTDATA("Sum of "&amp;TEXT(I$10,"mmm-yyyy"),'PT-All'!$A$1,"Scenario",I$15,"P&amp;L Item",$B72),0)</f>
        <v>0</v>
      </c>
      <c r="J72" s="434"/>
      <c r="K72" s="409">
        <f t="shared" si="22"/>
        <v>0</v>
      </c>
      <c r="L72" s="410">
        <f t="shared" si="23"/>
        <v>0</v>
      </c>
      <c r="M72" s="180"/>
      <c r="N72" s="407">
        <f>IFERROR(GETPIVOTDATA("Sum of Q"&amp;N$9,'PT-All'!$A$1,"Scenario",N$15,"P&amp;L Item",$B72),0)</f>
        <v>0</v>
      </c>
      <c r="O72" s="408">
        <f>IFERROR(GETPIVOTDATA("Sum of Q"&amp;O$9,'PT-All'!$A$1,"Scenario",O$15,"P&amp;L Item",$B72),0)</f>
        <v>0</v>
      </c>
      <c r="P72" s="409">
        <f>IF($T$13,IFERROR(GETPIVOTDATA("Sum of Month "&amp;$Q$9,'PT-All'!$A$1,"Scenario",P$13,"P&amp;L Item",$B72),0),0)+IF($T$14,IFERROR(GETPIVOTDATA("Sum of Month "&amp;$S$9,'PT-All'!$A$1,"Scenario",P$14,"P&amp;L Item",$B72),0),0)+IF($T$15,IFERROR(GETPIVOTDATA("Sum of Month "&amp;$T$9,'PT-All'!$A$1,"Scenario",P$15,"P&amp;L Item",$B72),0),0)</f>
        <v>0</v>
      </c>
      <c r="Q72" s="409">
        <f>IF($T$13,IFERROR(GETPIVOTDATA("Sum of Month "&amp;$Q$9,'PT-All'!$A$1,"Scenario",Q$13,"P&amp;L Item",$B72),0),0)+IF($T$14,IFERROR(GETPIVOTDATA("Sum of Month "&amp;$S$9,'PT-All'!$A$1,"Scenario",Q$14,"P&amp;L Item",$B72),0),0)+IF($T$15,IFERROR(GETPIVOTDATA("Sum of Month "&amp;$T$9,'PT-All'!$A$1,"Scenario",Q$15,"P&amp;L Item",$B72),0),0)</f>
        <v>0</v>
      </c>
      <c r="R72" s="434"/>
      <c r="S72" s="409">
        <f t="shared" si="25"/>
        <v>0</v>
      </c>
      <c r="T72" s="410">
        <f t="shared" si="26"/>
        <v>0</v>
      </c>
      <c r="U72" s="411"/>
      <c r="V72" s="148"/>
    </row>
    <row r="73" spans="2:22" ht="16" x14ac:dyDescent="0.5">
      <c r="B73" s="64" t="s">
        <v>103</v>
      </c>
      <c r="C73" s="412">
        <f>IFERROR(GETPIVOTDATA("Sum of "&amp;TEXT(C$10,"mmm-yyyy"),'PT-All'!$A$1,"Scenario",C$15,"P&amp;L Item",$B73),0)</f>
        <v>0</v>
      </c>
      <c r="D73" s="412">
        <f>IFERROR(GETPIVOTDATA("Sum of "&amp;TEXT(D$10,"mmm-yyyy"),'PT-All'!$A$1,"Scenario",D$15,"P&amp;L Item",$B73),0)</f>
        <v>0</v>
      </c>
      <c r="E73" s="412">
        <f>IFERROR(GETPIVOTDATA("Sum of "&amp;TEXT(E$10,"mmm-yyyy"),'PT-All'!$A$1,"Scenario",E$15,"P&amp;L Item",$B73),0)</f>
        <v>0</v>
      </c>
      <c r="F73" s="412">
        <f>IFERROR(GETPIVOTDATA("Sum of "&amp;TEXT(F$10,"mmm-yyyy"),'PT-All'!$A$1,"Scenario",F$15,"P&amp;L Item",$B73),0)</f>
        <v>0</v>
      </c>
      <c r="G73" s="413">
        <f>IFERROR(GETPIVOTDATA("Sum of "&amp;TEXT(G$10,"mmm-yyyy"),'PT-All'!$A$1,"Scenario",G$15,"P&amp;L Item",$B73),0)</f>
        <v>0</v>
      </c>
      <c r="H73" s="414">
        <f>IFERROR(GETPIVOTDATA("Sum of "&amp;TEXT(H$10,"mmm-yyyy"),'PT-All'!$A$1,"Scenario",H$15,"P&amp;L Item",$B73),0)</f>
        <v>0</v>
      </c>
      <c r="I73" s="414">
        <f>IFERROR(GETPIVOTDATA("Sum of "&amp;TEXT(I$10,"mmm-yyyy"),'PT-All'!$A$1,"Scenario",I$15,"P&amp;L Item",$B73),0)</f>
        <v>0</v>
      </c>
      <c r="J73" s="434"/>
      <c r="K73" s="414">
        <f t="shared" si="22"/>
        <v>0</v>
      </c>
      <c r="L73" s="415">
        <f t="shared" si="23"/>
        <v>0</v>
      </c>
      <c r="M73" s="180"/>
      <c r="N73" s="412">
        <f>IFERROR(GETPIVOTDATA("Sum of Q"&amp;N$9,'PT-All'!$A$1,"Scenario",N$15,"P&amp;L Item",$B73),0)</f>
        <v>0</v>
      </c>
      <c r="O73" s="413">
        <f>IFERROR(GETPIVOTDATA("Sum of Q"&amp;O$9,'PT-All'!$A$1,"Scenario",O$15,"P&amp;L Item",$B73),0)</f>
        <v>0</v>
      </c>
      <c r="P73" s="414">
        <f>IF($T$13,IFERROR(GETPIVOTDATA("Sum of Month "&amp;$Q$9,'PT-All'!$A$1,"Scenario",P$13,"P&amp;L Item",$B73),0),0)+IF($T$14,IFERROR(GETPIVOTDATA("Sum of Month "&amp;$S$9,'PT-All'!$A$1,"Scenario",P$14,"P&amp;L Item",$B73),0),0)+IF($T$15,IFERROR(GETPIVOTDATA("Sum of Month "&amp;$T$9,'PT-All'!$A$1,"Scenario",P$15,"P&amp;L Item",$B73),0),0)</f>
        <v>0</v>
      </c>
      <c r="Q73" s="414">
        <f>IF($T$13,IFERROR(GETPIVOTDATA("Sum of Month "&amp;$Q$9,'PT-All'!$A$1,"Scenario",Q$13,"P&amp;L Item",$B73),0),0)+IF($T$14,IFERROR(GETPIVOTDATA("Sum of Month "&amp;$S$9,'PT-All'!$A$1,"Scenario",Q$14,"P&amp;L Item",$B73),0),0)+IF($T$15,IFERROR(GETPIVOTDATA("Sum of Month "&amp;$T$9,'PT-All'!$A$1,"Scenario",Q$15,"P&amp;L Item",$B73),0),0)</f>
        <v>0</v>
      </c>
      <c r="R73" s="434"/>
      <c r="S73" s="414">
        <f t="shared" si="25"/>
        <v>0</v>
      </c>
      <c r="T73" s="415">
        <f t="shared" si="26"/>
        <v>0</v>
      </c>
      <c r="U73" s="416"/>
      <c r="V73" s="148"/>
    </row>
    <row r="74" spans="2:22" x14ac:dyDescent="0.35">
      <c r="B74" s="84" t="s">
        <v>104</v>
      </c>
      <c r="C74" s="425">
        <f t="shared" ref="C74:I74" si="39">SUM(C62:C65,C56,C37)</f>
        <v>0</v>
      </c>
      <c r="D74" s="425">
        <f t="shared" si="39"/>
        <v>0</v>
      </c>
      <c r="E74" s="425">
        <f t="shared" si="39"/>
        <v>0</v>
      </c>
      <c r="F74" s="425">
        <f t="shared" si="39"/>
        <v>0</v>
      </c>
      <c r="G74" s="426">
        <f t="shared" si="39"/>
        <v>0</v>
      </c>
      <c r="H74" s="427">
        <f t="shared" si="39"/>
        <v>0</v>
      </c>
      <c r="I74" s="427">
        <f t="shared" si="39"/>
        <v>0</v>
      </c>
      <c r="J74" s="450"/>
      <c r="K74" s="427">
        <f t="shared" si="22"/>
        <v>0</v>
      </c>
      <c r="L74" s="429">
        <f t="shared" si="23"/>
        <v>0</v>
      </c>
      <c r="M74" s="384"/>
      <c r="N74" s="425">
        <f t="shared" ref="N74:O74" si="40">SUM(N62:N65,N56,N37)</f>
        <v>0</v>
      </c>
      <c r="O74" s="426">
        <f t="shared" si="40"/>
        <v>0</v>
      </c>
      <c r="P74" s="427">
        <f t="shared" ref="P74:Q74" si="41">SUM(P62:P65,P56,P37)</f>
        <v>0</v>
      </c>
      <c r="Q74" s="427">
        <f t="shared" si="41"/>
        <v>0</v>
      </c>
      <c r="R74" s="450"/>
      <c r="S74" s="427">
        <f t="shared" si="25"/>
        <v>0</v>
      </c>
      <c r="T74" s="429">
        <f t="shared" si="26"/>
        <v>0</v>
      </c>
      <c r="U74" s="430"/>
      <c r="V74" s="385"/>
    </row>
    <row r="75" spans="2:22" x14ac:dyDescent="0.35">
      <c r="B75" s="358"/>
      <c r="C75" s="379"/>
      <c r="D75" s="379"/>
      <c r="E75" s="379"/>
      <c r="F75" s="379"/>
      <c r="G75" s="380"/>
      <c r="H75" s="381"/>
      <c r="I75" s="381"/>
      <c r="J75" s="434"/>
      <c r="K75" s="381"/>
      <c r="L75" s="382"/>
      <c r="M75" s="180"/>
      <c r="N75" s="379"/>
      <c r="O75" s="380"/>
      <c r="P75" s="381"/>
      <c r="Q75" s="381"/>
      <c r="R75" s="434"/>
      <c r="S75" s="381"/>
      <c r="T75" s="382"/>
      <c r="U75" s="383"/>
      <c r="V75" s="148"/>
    </row>
    <row r="76" spans="2:22" x14ac:dyDescent="0.35">
      <c r="B76" s="67" t="s">
        <v>105</v>
      </c>
      <c r="C76" s="366">
        <f t="shared" ref="C76:I76" si="42">C33-C74</f>
        <v>0</v>
      </c>
      <c r="D76" s="366">
        <f t="shared" si="42"/>
        <v>0</v>
      </c>
      <c r="E76" s="366">
        <f t="shared" si="42"/>
        <v>0</v>
      </c>
      <c r="F76" s="366">
        <f t="shared" si="42"/>
        <v>0</v>
      </c>
      <c r="G76" s="367">
        <f t="shared" si="42"/>
        <v>0</v>
      </c>
      <c r="H76" s="368">
        <f t="shared" si="42"/>
        <v>0</v>
      </c>
      <c r="I76" s="368">
        <f t="shared" si="42"/>
        <v>0</v>
      </c>
      <c r="J76" s="434"/>
      <c r="K76" s="368">
        <f>H76-I76</f>
        <v>0</v>
      </c>
      <c r="L76" s="370">
        <f>IFERROR(SIGN(K76)*ABS(K76/I76),0)</f>
        <v>0</v>
      </c>
      <c r="M76" s="180"/>
      <c r="N76" s="366">
        <f t="shared" ref="N76:O76" si="43">N33-N74</f>
        <v>0</v>
      </c>
      <c r="O76" s="367">
        <f t="shared" si="43"/>
        <v>0</v>
      </c>
      <c r="P76" s="368">
        <f t="shared" ref="P76:Q76" si="44">P33-P74</f>
        <v>0</v>
      </c>
      <c r="Q76" s="368">
        <f t="shared" si="44"/>
        <v>0</v>
      </c>
      <c r="R76" s="434"/>
      <c r="S76" s="368">
        <f>P76-Q76</f>
        <v>0</v>
      </c>
      <c r="T76" s="370">
        <f>IFERROR(SIGN(S76)*ABS(S76/Q76),0)</f>
        <v>0</v>
      </c>
      <c r="U76" s="417"/>
      <c r="V76" s="148"/>
    </row>
    <row r="77" spans="2:22" x14ac:dyDescent="0.35">
      <c r="B77" s="72" t="s">
        <v>106</v>
      </c>
      <c r="C77" s="431">
        <f t="shared" ref="C77:I77" si="45">IFERROR(C76/C$33,0)</f>
        <v>0</v>
      </c>
      <c r="D77" s="431">
        <f t="shared" si="45"/>
        <v>0</v>
      </c>
      <c r="E77" s="431">
        <f t="shared" si="45"/>
        <v>0</v>
      </c>
      <c r="F77" s="431">
        <f t="shared" si="45"/>
        <v>0</v>
      </c>
      <c r="G77" s="432">
        <f t="shared" si="45"/>
        <v>0</v>
      </c>
      <c r="H77" s="433">
        <f t="shared" si="45"/>
        <v>0</v>
      </c>
      <c r="I77" s="433">
        <f t="shared" si="45"/>
        <v>0</v>
      </c>
      <c r="J77" s="434"/>
      <c r="K77" s="433">
        <f>H77-I77</f>
        <v>0</v>
      </c>
      <c r="L77" s="435">
        <f>IFERROR(SIGN(K77)*ABS(K77/I77),0)</f>
        <v>0</v>
      </c>
      <c r="M77" s="180"/>
      <c r="N77" s="431">
        <f t="shared" ref="N77:Q77" si="46">IFERROR(N76/N$33,0)</f>
        <v>0</v>
      </c>
      <c r="O77" s="432">
        <f t="shared" si="46"/>
        <v>0</v>
      </c>
      <c r="P77" s="433">
        <f t="shared" si="46"/>
        <v>0</v>
      </c>
      <c r="Q77" s="433">
        <f t="shared" si="46"/>
        <v>0</v>
      </c>
      <c r="R77" s="434"/>
      <c r="S77" s="433">
        <f>P77-Q77</f>
        <v>0</v>
      </c>
      <c r="T77" s="435">
        <f>IFERROR(SIGN(S77)*ABS(S77/Q77),0)</f>
        <v>0</v>
      </c>
      <c r="U77" s="436"/>
      <c r="V77" s="148"/>
    </row>
    <row r="78" spans="2:22" x14ac:dyDescent="0.35">
      <c r="B78" s="72"/>
      <c r="C78" s="431"/>
      <c r="D78" s="431"/>
      <c r="E78" s="431"/>
      <c r="F78" s="431"/>
      <c r="G78" s="432"/>
      <c r="H78" s="433"/>
      <c r="I78" s="433"/>
      <c r="J78" s="434"/>
      <c r="K78" s="433"/>
      <c r="L78" s="435"/>
      <c r="M78" s="180"/>
      <c r="N78" s="431"/>
      <c r="O78" s="432"/>
      <c r="P78" s="433"/>
      <c r="Q78" s="433"/>
      <c r="R78" s="434"/>
      <c r="S78" s="433"/>
      <c r="T78" s="435"/>
      <c r="U78" s="436"/>
      <c r="V78" s="148"/>
    </row>
    <row r="79" spans="2:22" x14ac:dyDescent="0.35">
      <c r="B79" s="67" t="s">
        <v>107</v>
      </c>
      <c r="C79" s="431"/>
      <c r="D79" s="431"/>
      <c r="E79" s="431"/>
      <c r="F79" s="431"/>
      <c r="G79" s="432"/>
      <c r="H79" s="433"/>
      <c r="I79" s="433"/>
      <c r="J79" s="434"/>
      <c r="K79" s="433"/>
      <c r="L79" s="435"/>
      <c r="M79" s="180"/>
      <c r="N79" s="431"/>
      <c r="O79" s="432"/>
      <c r="P79" s="433"/>
      <c r="Q79" s="433"/>
      <c r="R79" s="434"/>
      <c r="S79" s="433"/>
      <c r="T79" s="435"/>
      <c r="U79" s="436"/>
      <c r="V79" s="148"/>
    </row>
    <row r="80" spans="2:22" x14ac:dyDescent="0.35">
      <c r="B80" s="74" t="s">
        <v>108</v>
      </c>
      <c r="C80" s="69">
        <f t="shared" ref="C80:I80" si="47">SUM(C81,C89)</f>
        <v>0</v>
      </c>
      <c r="D80" s="69">
        <f t="shared" si="47"/>
        <v>0</v>
      </c>
      <c r="E80" s="69">
        <f t="shared" si="47"/>
        <v>0</v>
      </c>
      <c r="F80" s="69">
        <f t="shared" si="47"/>
        <v>0</v>
      </c>
      <c r="G80" s="145">
        <f t="shared" si="47"/>
        <v>0</v>
      </c>
      <c r="H80" s="144">
        <f t="shared" si="47"/>
        <v>0</v>
      </c>
      <c r="I80" s="144">
        <f t="shared" si="47"/>
        <v>0</v>
      </c>
      <c r="J80" s="434"/>
      <c r="K80" s="144">
        <f t="shared" ref="K80:K111" si="48">I80-H80</f>
        <v>0</v>
      </c>
      <c r="L80" s="143">
        <f t="shared" ref="L80:L111" si="49">IFERROR(SIGN(K80)*ABS(K80/I80),0)</f>
        <v>0</v>
      </c>
      <c r="M80" s="180"/>
      <c r="N80" s="69">
        <f t="shared" ref="N80:Q80" si="50">SUM(N81,N89)</f>
        <v>0</v>
      </c>
      <c r="O80" s="145">
        <f t="shared" si="50"/>
        <v>0</v>
      </c>
      <c r="P80" s="144">
        <f t="shared" si="50"/>
        <v>0</v>
      </c>
      <c r="Q80" s="144">
        <f t="shared" si="50"/>
        <v>0</v>
      </c>
      <c r="R80" s="434"/>
      <c r="S80" s="144">
        <f t="shared" ref="S80:S111" si="51">Q80-P80</f>
        <v>0</v>
      </c>
      <c r="T80" s="143">
        <f t="shared" ref="T80:T111" si="52">IFERROR(SIGN(S80)*ABS(S80/Q80),0)</f>
        <v>0</v>
      </c>
      <c r="U80" s="374"/>
      <c r="V80" s="148"/>
    </row>
    <row r="81" spans="2:22" x14ac:dyDescent="0.35">
      <c r="B81" s="359" t="s">
        <v>109</v>
      </c>
      <c r="C81" s="69">
        <f t="shared" ref="C81:I81" si="53">SUM(C82:C88)</f>
        <v>0</v>
      </c>
      <c r="D81" s="69">
        <f t="shared" si="53"/>
        <v>0</v>
      </c>
      <c r="E81" s="69">
        <f t="shared" si="53"/>
        <v>0</v>
      </c>
      <c r="F81" s="69">
        <f t="shared" si="53"/>
        <v>0</v>
      </c>
      <c r="G81" s="145">
        <f t="shared" si="53"/>
        <v>0</v>
      </c>
      <c r="H81" s="144">
        <f t="shared" si="53"/>
        <v>0</v>
      </c>
      <c r="I81" s="144">
        <f t="shared" si="53"/>
        <v>0</v>
      </c>
      <c r="J81" s="434"/>
      <c r="K81" s="144">
        <f t="shared" si="48"/>
        <v>0</v>
      </c>
      <c r="L81" s="143">
        <f t="shared" si="49"/>
        <v>0</v>
      </c>
      <c r="M81" s="180"/>
      <c r="N81" s="69">
        <f t="shared" ref="N81:Q81" si="54">SUM(N82:N88)</f>
        <v>0</v>
      </c>
      <c r="O81" s="145">
        <f t="shared" si="54"/>
        <v>0</v>
      </c>
      <c r="P81" s="144">
        <f t="shared" si="54"/>
        <v>0</v>
      </c>
      <c r="Q81" s="144">
        <f t="shared" si="54"/>
        <v>0</v>
      </c>
      <c r="R81" s="434"/>
      <c r="S81" s="144">
        <f t="shared" si="51"/>
        <v>0</v>
      </c>
      <c r="T81" s="143">
        <f t="shared" si="52"/>
        <v>0</v>
      </c>
      <c r="U81" s="374"/>
      <c r="V81" s="148"/>
    </row>
    <row r="82" spans="2:22" x14ac:dyDescent="0.35">
      <c r="B82" s="76" t="s">
        <v>110</v>
      </c>
      <c r="C82" s="407">
        <f>IFERROR(GETPIVOTDATA("Sum of "&amp;TEXT(C$10,"mmm-yyyy"),'PT-All'!$A$1,"Scenario",C$15,"P&amp;L Item",$B82),0)</f>
        <v>0</v>
      </c>
      <c r="D82" s="407">
        <f>IFERROR(GETPIVOTDATA("Sum of "&amp;TEXT(D$10,"mmm-yyyy"),'PT-All'!$A$1,"Scenario",D$15,"P&amp;L Item",$B82),0)</f>
        <v>0</v>
      </c>
      <c r="E82" s="407">
        <f>IFERROR(GETPIVOTDATA("Sum of "&amp;TEXT(E$10,"mmm-yyyy"),'PT-All'!$A$1,"Scenario",E$15,"P&amp;L Item",$B82),0)</f>
        <v>0</v>
      </c>
      <c r="F82" s="407">
        <f>IFERROR(GETPIVOTDATA("Sum of "&amp;TEXT(F$10,"mmm-yyyy"),'PT-All'!$A$1,"Scenario",F$15,"P&amp;L Item",$B82),0)</f>
        <v>0</v>
      </c>
      <c r="G82" s="408">
        <f>IFERROR(GETPIVOTDATA("Sum of "&amp;TEXT(G$10,"mmm-yyyy"),'PT-All'!$A$1,"Scenario",G$15,"P&amp;L Item",$B82),0)</f>
        <v>0</v>
      </c>
      <c r="H82" s="409">
        <f>IFERROR(GETPIVOTDATA("Sum of "&amp;TEXT(H$10,"mmm-yyyy"),'PT-All'!$A$1,"Scenario",H$15,"P&amp;L Item",$B82),0)</f>
        <v>0</v>
      </c>
      <c r="I82" s="409">
        <f>IFERROR(GETPIVOTDATA("Sum of "&amp;TEXT(I$10,"mmm-yyyy"),'PT-All'!$A$1,"Scenario",I$15,"P&amp;L Item",$B82),0)</f>
        <v>0</v>
      </c>
      <c r="J82" s="434"/>
      <c r="K82" s="409">
        <f t="shared" si="48"/>
        <v>0</v>
      </c>
      <c r="L82" s="410">
        <f t="shared" si="49"/>
        <v>0</v>
      </c>
      <c r="M82" s="180"/>
      <c r="N82" s="407">
        <f>IFERROR(GETPIVOTDATA("Sum of Q"&amp;N$9,'PT-All'!$A$1,"Scenario",N$15,"P&amp;L Item",$B82),0)</f>
        <v>0</v>
      </c>
      <c r="O82" s="408">
        <f>IFERROR(GETPIVOTDATA("Sum of Q"&amp;O$9,'PT-All'!$A$1,"Scenario",O$15,"P&amp;L Item",$B82),0)</f>
        <v>0</v>
      </c>
      <c r="P82" s="409">
        <f>IF($T$13,IFERROR(GETPIVOTDATA("Sum of Month "&amp;$Q$9,'PT-All'!$A$1,"Scenario",P$13,"P&amp;L Item",$B82),0),0)+IF($T$14,IFERROR(GETPIVOTDATA("Sum of Month "&amp;$S$9,'PT-All'!$A$1,"Scenario",P$14,"P&amp;L Item",$B82),0),0)+IF($T$15,IFERROR(GETPIVOTDATA("Sum of Month "&amp;$T$9,'PT-All'!$A$1,"Scenario",P$15,"P&amp;L Item",$B82),0),0)</f>
        <v>0</v>
      </c>
      <c r="Q82" s="409">
        <f>IF($T$13,IFERROR(GETPIVOTDATA("Sum of Month "&amp;$Q$9,'PT-All'!$A$1,"Scenario",Q$13,"P&amp;L Item",$B82),0),0)+IF($T$14,IFERROR(GETPIVOTDATA("Sum of Month "&amp;$S$9,'PT-All'!$A$1,"Scenario",Q$14,"P&amp;L Item",$B82),0),0)+IF($T$15,IFERROR(GETPIVOTDATA("Sum of Month "&amp;$T$9,'PT-All'!$A$1,"Scenario",Q$15,"P&amp;L Item",$B82),0),0)</f>
        <v>0</v>
      </c>
      <c r="R82" s="434"/>
      <c r="S82" s="409">
        <f t="shared" si="51"/>
        <v>0</v>
      </c>
      <c r="T82" s="410">
        <f t="shared" si="52"/>
        <v>0</v>
      </c>
      <c r="U82" s="411"/>
      <c r="V82" s="148"/>
    </row>
    <row r="83" spans="2:22" x14ac:dyDescent="0.35">
      <c r="B83" s="76" t="s">
        <v>111</v>
      </c>
      <c r="C83" s="407">
        <f>IFERROR(GETPIVOTDATA("Sum of "&amp;TEXT(C$10,"mmm-yyyy"),'PT-All'!$A$1,"Scenario",C$15,"P&amp;L Item",$B83),0)</f>
        <v>0</v>
      </c>
      <c r="D83" s="407">
        <f>IFERROR(GETPIVOTDATA("Sum of "&amp;TEXT(D$10,"mmm-yyyy"),'PT-All'!$A$1,"Scenario",D$15,"P&amp;L Item",$B83),0)</f>
        <v>0</v>
      </c>
      <c r="E83" s="407">
        <f>IFERROR(GETPIVOTDATA("Sum of "&amp;TEXT(E$10,"mmm-yyyy"),'PT-All'!$A$1,"Scenario",E$15,"P&amp;L Item",$B83),0)</f>
        <v>0</v>
      </c>
      <c r="F83" s="407">
        <f>IFERROR(GETPIVOTDATA("Sum of "&amp;TEXT(F$10,"mmm-yyyy"),'PT-All'!$A$1,"Scenario",F$15,"P&amp;L Item",$B83),0)</f>
        <v>0</v>
      </c>
      <c r="G83" s="408">
        <f>IFERROR(GETPIVOTDATA("Sum of "&amp;TEXT(G$10,"mmm-yyyy"),'PT-All'!$A$1,"Scenario",G$15,"P&amp;L Item",$B83),0)</f>
        <v>0</v>
      </c>
      <c r="H83" s="409">
        <f>IFERROR(GETPIVOTDATA("Sum of "&amp;TEXT(H$10,"mmm-yyyy"),'PT-All'!$A$1,"Scenario",H$15,"P&amp;L Item",$B83),0)</f>
        <v>0</v>
      </c>
      <c r="I83" s="409">
        <f>IFERROR(GETPIVOTDATA("Sum of "&amp;TEXT(I$10,"mmm-yyyy"),'PT-All'!$A$1,"Scenario",I$15,"P&amp;L Item",$B83),0)</f>
        <v>0</v>
      </c>
      <c r="J83" s="434"/>
      <c r="K83" s="409">
        <f t="shared" si="48"/>
        <v>0</v>
      </c>
      <c r="L83" s="410">
        <f t="shared" si="49"/>
        <v>0</v>
      </c>
      <c r="M83" s="180"/>
      <c r="N83" s="407">
        <f>IFERROR(GETPIVOTDATA("Sum of Q"&amp;N$9,'PT-All'!$A$1,"Scenario",N$15,"P&amp;L Item",$B83),0)</f>
        <v>0</v>
      </c>
      <c r="O83" s="408">
        <f>IFERROR(GETPIVOTDATA("Sum of Q"&amp;O$9,'PT-All'!$A$1,"Scenario",O$15,"P&amp;L Item",$B83),0)</f>
        <v>0</v>
      </c>
      <c r="P83" s="409">
        <f>IF($T$13,IFERROR(GETPIVOTDATA("Sum of Month "&amp;$Q$9,'PT-All'!$A$1,"Scenario",P$13,"P&amp;L Item",$B83),0),0)+IF($T$14,IFERROR(GETPIVOTDATA("Sum of Month "&amp;$S$9,'PT-All'!$A$1,"Scenario",P$14,"P&amp;L Item",$B83),0),0)+IF($T$15,IFERROR(GETPIVOTDATA("Sum of Month "&amp;$T$9,'PT-All'!$A$1,"Scenario",P$15,"P&amp;L Item",$B83),0),0)</f>
        <v>0</v>
      </c>
      <c r="Q83" s="409">
        <f>IF($T$13,IFERROR(GETPIVOTDATA("Sum of Month "&amp;$Q$9,'PT-All'!$A$1,"Scenario",Q$13,"P&amp;L Item",$B83),0),0)+IF($T$14,IFERROR(GETPIVOTDATA("Sum of Month "&amp;$S$9,'PT-All'!$A$1,"Scenario",Q$14,"P&amp;L Item",$B83),0),0)+IF($T$15,IFERROR(GETPIVOTDATA("Sum of Month "&amp;$T$9,'PT-All'!$A$1,"Scenario",Q$15,"P&amp;L Item",$B83),0),0)</f>
        <v>0</v>
      </c>
      <c r="R83" s="434"/>
      <c r="S83" s="409">
        <f t="shared" si="51"/>
        <v>0</v>
      </c>
      <c r="T83" s="410">
        <f t="shared" si="52"/>
        <v>0</v>
      </c>
      <c r="U83" s="411"/>
      <c r="V83" s="148"/>
    </row>
    <row r="84" spans="2:22" x14ac:dyDescent="0.35">
      <c r="B84" s="76" t="s">
        <v>112</v>
      </c>
      <c r="C84" s="407">
        <f>IFERROR(GETPIVOTDATA("Sum of "&amp;TEXT(C$10,"mmm-yyyy"),'PT-All'!$A$1,"Scenario",C$15,"P&amp;L Item",$B84),0)</f>
        <v>0</v>
      </c>
      <c r="D84" s="407">
        <f>IFERROR(GETPIVOTDATA("Sum of "&amp;TEXT(D$10,"mmm-yyyy"),'PT-All'!$A$1,"Scenario",D$15,"P&amp;L Item",$B84),0)</f>
        <v>0</v>
      </c>
      <c r="E84" s="407">
        <f>IFERROR(GETPIVOTDATA("Sum of "&amp;TEXT(E$10,"mmm-yyyy"),'PT-All'!$A$1,"Scenario",E$15,"P&amp;L Item",$B84),0)</f>
        <v>0</v>
      </c>
      <c r="F84" s="407">
        <f>IFERROR(GETPIVOTDATA("Sum of "&amp;TEXT(F$10,"mmm-yyyy"),'PT-All'!$A$1,"Scenario",F$15,"P&amp;L Item",$B84),0)</f>
        <v>0</v>
      </c>
      <c r="G84" s="408">
        <f>IFERROR(GETPIVOTDATA("Sum of "&amp;TEXT(G$10,"mmm-yyyy"),'PT-All'!$A$1,"Scenario",G$15,"P&amp;L Item",$B84),0)</f>
        <v>0</v>
      </c>
      <c r="H84" s="409">
        <f>IFERROR(GETPIVOTDATA("Sum of "&amp;TEXT(H$10,"mmm-yyyy"),'PT-All'!$A$1,"Scenario",H$15,"P&amp;L Item",$B84),0)</f>
        <v>0</v>
      </c>
      <c r="I84" s="409">
        <f>IFERROR(GETPIVOTDATA("Sum of "&amp;TEXT(I$10,"mmm-yyyy"),'PT-All'!$A$1,"Scenario",I$15,"P&amp;L Item",$B84),0)</f>
        <v>0</v>
      </c>
      <c r="J84" s="434"/>
      <c r="K84" s="409">
        <f t="shared" si="48"/>
        <v>0</v>
      </c>
      <c r="L84" s="410">
        <f t="shared" si="49"/>
        <v>0</v>
      </c>
      <c r="M84" s="180"/>
      <c r="N84" s="407">
        <f>IFERROR(GETPIVOTDATA("Sum of Q"&amp;N$9,'PT-All'!$A$1,"Scenario",N$15,"P&amp;L Item",$B84),0)</f>
        <v>0</v>
      </c>
      <c r="O84" s="408">
        <f>IFERROR(GETPIVOTDATA("Sum of Q"&amp;O$9,'PT-All'!$A$1,"Scenario",O$15,"P&amp;L Item",$B84),0)</f>
        <v>0</v>
      </c>
      <c r="P84" s="409">
        <f>IF($T$13,IFERROR(GETPIVOTDATA("Sum of Month "&amp;$Q$9,'PT-All'!$A$1,"Scenario",P$13,"P&amp;L Item",$B84),0),0)+IF($T$14,IFERROR(GETPIVOTDATA("Sum of Month "&amp;$S$9,'PT-All'!$A$1,"Scenario",P$14,"P&amp;L Item",$B84),0),0)+IF($T$15,IFERROR(GETPIVOTDATA("Sum of Month "&amp;$T$9,'PT-All'!$A$1,"Scenario",P$15,"P&amp;L Item",$B84),0),0)</f>
        <v>0</v>
      </c>
      <c r="Q84" s="409">
        <f>IF($T$13,IFERROR(GETPIVOTDATA("Sum of Month "&amp;$Q$9,'PT-All'!$A$1,"Scenario",Q$13,"P&amp;L Item",$B84),0),0)+IF($T$14,IFERROR(GETPIVOTDATA("Sum of Month "&amp;$S$9,'PT-All'!$A$1,"Scenario",Q$14,"P&amp;L Item",$B84),0),0)+IF($T$15,IFERROR(GETPIVOTDATA("Sum of Month "&amp;$T$9,'PT-All'!$A$1,"Scenario",Q$15,"P&amp;L Item",$B84),0),0)</f>
        <v>0</v>
      </c>
      <c r="R84" s="434"/>
      <c r="S84" s="409">
        <f t="shared" si="51"/>
        <v>0</v>
      </c>
      <c r="T84" s="410">
        <f t="shared" si="52"/>
        <v>0</v>
      </c>
      <c r="U84" s="411"/>
      <c r="V84" s="148"/>
    </row>
    <row r="85" spans="2:22" x14ac:dyDescent="0.35">
      <c r="B85" s="76" t="s">
        <v>113</v>
      </c>
      <c r="C85" s="407">
        <f>IFERROR(GETPIVOTDATA("Sum of "&amp;TEXT(C$10,"mmm-yyyy"),'PT-All'!$A$1,"Scenario",C$15,"P&amp;L Item",$B85),0)</f>
        <v>0</v>
      </c>
      <c r="D85" s="407">
        <f>IFERROR(GETPIVOTDATA("Sum of "&amp;TEXT(D$10,"mmm-yyyy"),'PT-All'!$A$1,"Scenario",D$15,"P&amp;L Item",$B85),0)</f>
        <v>0</v>
      </c>
      <c r="E85" s="407">
        <f>IFERROR(GETPIVOTDATA("Sum of "&amp;TEXT(E$10,"mmm-yyyy"),'PT-All'!$A$1,"Scenario",E$15,"P&amp;L Item",$B85),0)</f>
        <v>0</v>
      </c>
      <c r="F85" s="407">
        <f>IFERROR(GETPIVOTDATA("Sum of "&amp;TEXT(F$10,"mmm-yyyy"),'PT-All'!$A$1,"Scenario",F$15,"P&amp;L Item",$B85),0)</f>
        <v>0</v>
      </c>
      <c r="G85" s="408">
        <f>IFERROR(GETPIVOTDATA("Sum of "&amp;TEXT(G$10,"mmm-yyyy"),'PT-All'!$A$1,"Scenario",G$15,"P&amp;L Item",$B85),0)</f>
        <v>0</v>
      </c>
      <c r="H85" s="409">
        <f>IFERROR(GETPIVOTDATA("Sum of "&amp;TEXT(H$10,"mmm-yyyy"),'PT-All'!$A$1,"Scenario",H$15,"P&amp;L Item",$B85),0)</f>
        <v>0</v>
      </c>
      <c r="I85" s="409">
        <f>IFERROR(GETPIVOTDATA("Sum of "&amp;TEXT(I$10,"mmm-yyyy"),'PT-All'!$A$1,"Scenario",I$15,"P&amp;L Item",$B85),0)</f>
        <v>0</v>
      </c>
      <c r="J85" s="434"/>
      <c r="K85" s="409">
        <f t="shared" si="48"/>
        <v>0</v>
      </c>
      <c r="L85" s="410">
        <f t="shared" si="49"/>
        <v>0</v>
      </c>
      <c r="M85" s="180"/>
      <c r="N85" s="407">
        <f>IFERROR(GETPIVOTDATA("Sum of Q"&amp;N$9,'PT-All'!$A$1,"Scenario",N$15,"P&amp;L Item",$B85),0)</f>
        <v>0</v>
      </c>
      <c r="O85" s="408">
        <f>IFERROR(GETPIVOTDATA("Sum of Q"&amp;O$9,'PT-All'!$A$1,"Scenario",O$15,"P&amp;L Item",$B85),0)</f>
        <v>0</v>
      </c>
      <c r="P85" s="409">
        <f>IF($T$13,IFERROR(GETPIVOTDATA("Sum of Month "&amp;$Q$9,'PT-All'!$A$1,"Scenario",P$13,"P&amp;L Item",$B85),0),0)+IF($T$14,IFERROR(GETPIVOTDATA("Sum of Month "&amp;$S$9,'PT-All'!$A$1,"Scenario",P$14,"P&amp;L Item",$B85),0),0)+IF($T$15,IFERROR(GETPIVOTDATA("Sum of Month "&amp;$T$9,'PT-All'!$A$1,"Scenario",P$15,"P&amp;L Item",$B85),0),0)</f>
        <v>0</v>
      </c>
      <c r="Q85" s="409">
        <f>IF($T$13,IFERROR(GETPIVOTDATA("Sum of Month "&amp;$Q$9,'PT-All'!$A$1,"Scenario",Q$13,"P&amp;L Item",$B85),0),0)+IF($T$14,IFERROR(GETPIVOTDATA("Sum of Month "&amp;$S$9,'PT-All'!$A$1,"Scenario",Q$14,"P&amp;L Item",$B85),0),0)+IF($T$15,IFERROR(GETPIVOTDATA("Sum of Month "&amp;$T$9,'PT-All'!$A$1,"Scenario",Q$15,"P&amp;L Item",$B85),0),0)</f>
        <v>0</v>
      </c>
      <c r="R85" s="434"/>
      <c r="S85" s="409">
        <f t="shared" si="51"/>
        <v>0</v>
      </c>
      <c r="T85" s="410">
        <f t="shared" si="52"/>
        <v>0</v>
      </c>
      <c r="U85" s="411"/>
      <c r="V85" s="148"/>
    </row>
    <row r="86" spans="2:22" x14ac:dyDescent="0.35">
      <c r="B86" s="76" t="s">
        <v>114</v>
      </c>
      <c r="C86" s="407">
        <f>IFERROR(GETPIVOTDATA("Sum of "&amp;TEXT(C$10,"mmm-yyyy"),'PT-All'!$A$1,"Scenario",C$15,"P&amp;L Item",$B86),0)</f>
        <v>0</v>
      </c>
      <c r="D86" s="407">
        <f>IFERROR(GETPIVOTDATA("Sum of "&amp;TEXT(D$10,"mmm-yyyy"),'PT-All'!$A$1,"Scenario",D$15,"P&amp;L Item",$B86),0)</f>
        <v>0</v>
      </c>
      <c r="E86" s="407">
        <f>IFERROR(GETPIVOTDATA("Sum of "&amp;TEXT(E$10,"mmm-yyyy"),'PT-All'!$A$1,"Scenario",E$15,"P&amp;L Item",$B86),0)</f>
        <v>0</v>
      </c>
      <c r="F86" s="407">
        <f>IFERROR(GETPIVOTDATA("Sum of "&amp;TEXT(F$10,"mmm-yyyy"),'PT-All'!$A$1,"Scenario",F$15,"P&amp;L Item",$B86),0)</f>
        <v>0</v>
      </c>
      <c r="G86" s="408">
        <f>IFERROR(GETPIVOTDATA("Sum of "&amp;TEXT(G$10,"mmm-yyyy"),'PT-All'!$A$1,"Scenario",G$15,"P&amp;L Item",$B86),0)</f>
        <v>0</v>
      </c>
      <c r="H86" s="409">
        <f>IFERROR(GETPIVOTDATA("Sum of "&amp;TEXT(H$10,"mmm-yyyy"),'PT-All'!$A$1,"Scenario",H$15,"P&amp;L Item",$B86),0)</f>
        <v>0</v>
      </c>
      <c r="I86" s="409">
        <f>IFERROR(GETPIVOTDATA("Sum of "&amp;TEXT(I$10,"mmm-yyyy"),'PT-All'!$A$1,"Scenario",I$15,"P&amp;L Item",$B86),0)</f>
        <v>0</v>
      </c>
      <c r="J86" s="434"/>
      <c r="K86" s="409">
        <f t="shared" si="48"/>
        <v>0</v>
      </c>
      <c r="L86" s="410">
        <f t="shared" si="49"/>
        <v>0</v>
      </c>
      <c r="M86" s="180"/>
      <c r="N86" s="407">
        <f>IFERROR(GETPIVOTDATA("Sum of Q"&amp;N$9,'PT-All'!$A$1,"Scenario",N$15,"P&amp;L Item",$B86),0)</f>
        <v>0</v>
      </c>
      <c r="O86" s="408">
        <f>IFERROR(GETPIVOTDATA("Sum of Q"&amp;O$9,'PT-All'!$A$1,"Scenario",O$15,"P&amp;L Item",$B86),0)</f>
        <v>0</v>
      </c>
      <c r="P86" s="409">
        <f>IF($T$13,IFERROR(GETPIVOTDATA("Sum of Month "&amp;$Q$9,'PT-All'!$A$1,"Scenario",P$13,"P&amp;L Item",$B86),0),0)+IF($T$14,IFERROR(GETPIVOTDATA("Sum of Month "&amp;$S$9,'PT-All'!$A$1,"Scenario",P$14,"P&amp;L Item",$B86),0),0)+IF($T$15,IFERROR(GETPIVOTDATA("Sum of Month "&amp;$T$9,'PT-All'!$A$1,"Scenario",P$15,"P&amp;L Item",$B86),0),0)</f>
        <v>0</v>
      </c>
      <c r="Q86" s="409">
        <f>IF($T$13,IFERROR(GETPIVOTDATA("Sum of Month "&amp;$Q$9,'PT-All'!$A$1,"Scenario",Q$13,"P&amp;L Item",$B86),0),0)+IF($T$14,IFERROR(GETPIVOTDATA("Sum of Month "&amp;$S$9,'PT-All'!$A$1,"Scenario",Q$14,"P&amp;L Item",$B86),0),0)+IF($T$15,IFERROR(GETPIVOTDATA("Sum of Month "&amp;$T$9,'PT-All'!$A$1,"Scenario",Q$15,"P&amp;L Item",$B86),0),0)</f>
        <v>0</v>
      </c>
      <c r="R86" s="434"/>
      <c r="S86" s="409">
        <f t="shared" si="51"/>
        <v>0</v>
      </c>
      <c r="T86" s="410">
        <f t="shared" si="52"/>
        <v>0</v>
      </c>
      <c r="U86" s="411"/>
      <c r="V86" s="148"/>
    </row>
    <row r="87" spans="2:22" x14ac:dyDescent="0.35">
      <c r="B87" s="76" t="s">
        <v>115</v>
      </c>
      <c r="C87" s="407">
        <f>IFERROR(GETPIVOTDATA("Sum of "&amp;TEXT(C$10,"mmm-yyyy"),'PT-All'!$A$1,"Scenario",C$15,"P&amp;L Item",$B87),0)</f>
        <v>0</v>
      </c>
      <c r="D87" s="407">
        <f>IFERROR(GETPIVOTDATA("Sum of "&amp;TEXT(D$10,"mmm-yyyy"),'PT-All'!$A$1,"Scenario",D$15,"P&amp;L Item",$B87),0)</f>
        <v>0</v>
      </c>
      <c r="E87" s="407">
        <f>IFERROR(GETPIVOTDATA("Sum of "&amp;TEXT(E$10,"mmm-yyyy"),'PT-All'!$A$1,"Scenario",E$15,"P&amp;L Item",$B87),0)</f>
        <v>0</v>
      </c>
      <c r="F87" s="407">
        <f>IFERROR(GETPIVOTDATA("Sum of "&amp;TEXT(F$10,"mmm-yyyy"),'PT-All'!$A$1,"Scenario",F$15,"P&amp;L Item",$B87),0)</f>
        <v>0</v>
      </c>
      <c r="G87" s="408">
        <f>IFERROR(GETPIVOTDATA("Sum of "&amp;TEXT(G$10,"mmm-yyyy"),'PT-All'!$A$1,"Scenario",G$15,"P&amp;L Item",$B87),0)</f>
        <v>0</v>
      </c>
      <c r="H87" s="409">
        <f>IFERROR(GETPIVOTDATA("Sum of "&amp;TEXT(H$10,"mmm-yyyy"),'PT-All'!$A$1,"Scenario",H$15,"P&amp;L Item",$B87),0)</f>
        <v>0</v>
      </c>
      <c r="I87" s="409">
        <f>IFERROR(GETPIVOTDATA("Sum of "&amp;TEXT(I$10,"mmm-yyyy"),'PT-All'!$A$1,"Scenario",I$15,"P&amp;L Item",$B87),0)</f>
        <v>0</v>
      </c>
      <c r="J87" s="434"/>
      <c r="K87" s="409">
        <f t="shared" si="48"/>
        <v>0</v>
      </c>
      <c r="L87" s="410">
        <f t="shared" si="49"/>
        <v>0</v>
      </c>
      <c r="M87" s="180"/>
      <c r="N87" s="407">
        <f>IFERROR(GETPIVOTDATA("Sum of Q"&amp;N$9,'PT-All'!$A$1,"Scenario",N$15,"P&amp;L Item",$B87),0)</f>
        <v>0</v>
      </c>
      <c r="O87" s="408">
        <f>IFERROR(GETPIVOTDATA("Sum of Q"&amp;O$9,'PT-All'!$A$1,"Scenario",O$15,"P&amp;L Item",$B87),0)</f>
        <v>0</v>
      </c>
      <c r="P87" s="409">
        <f>IF($T$13,IFERROR(GETPIVOTDATA("Sum of Month "&amp;$Q$9,'PT-All'!$A$1,"Scenario",P$13,"P&amp;L Item",$B87),0),0)+IF($T$14,IFERROR(GETPIVOTDATA("Sum of Month "&amp;$S$9,'PT-All'!$A$1,"Scenario",P$14,"P&amp;L Item",$B87),0),0)+IF($T$15,IFERROR(GETPIVOTDATA("Sum of Month "&amp;$T$9,'PT-All'!$A$1,"Scenario",P$15,"P&amp;L Item",$B87),0),0)</f>
        <v>0</v>
      </c>
      <c r="Q87" s="409">
        <f>IF($T$13,IFERROR(GETPIVOTDATA("Sum of Month "&amp;$Q$9,'PT-All'!$A$1,"Scenario",Q$13,"P&amp;L Item",$B87),0),0)+IF($T$14,IFERROR(GETPIVOTDATA("Sum of Month "&amp;$S$9,'PT-All'!$A$1,"Scenario",Q$14,"P&amp;L Item",$B87),0),0)+IF($T$15,IFERROR(GETPIVOTDATA("Sum of Month "&amp;$T$9,'PT-All'!$A$1,"Scenario",Q$15,"P&amp;L Item",$B87),0),0)</f>
        <v>0</v>
      </c>
      <c r="R87" s="434"/>
      <c r="S87" s="409">
        <f t="shared" si="51"/>
        <v>0</v>
      </c>
      <c r="T87" s="410">
        <f t="shared" si="52"/>
        <v>0</v>
      </c>
      <c r="U87" s="411"/>
      <c r="V87" s="148"/>
    </row>
    <row r="88" spans="2:22" x14ac:dyDescent="0.35">
      <c r="B88" s="76" t="s">
        <v>116</v>
      </c>
      <c r="C88" s="407">
        <f>IFERROR(GETPIVOTDATA("Sum of "&amp;TEXT(C$10,"mmm-yyyy"),'PT-All'!$A$1,"Scenario",C$15,"P&amp;L Item",$B88),0)</f>
        <v>0</v>
      </c>
      <c r="D88" s="407">
        <f>IFERROR(GETPIVOTDATA("Sum of "&amp;TEXT(D$10,"mmm-yyyy"),'PT-All'!$A$1,"Scenario",D$15,"P&amp;L Item",$B88),0)</f>
        <v>0</v>
      </c>
      <c r="E88" s="407">
        <f>IFERROR(GETPIVOTDATA("Sum of "&amp;TEXT(E$10,"mmm-yyyy"),'PT-All'!$A$1,"Scenario",E$15,"P&amp;L Item",$B88),0)</f>
        <v>0</v>
      </c>
      <c r="F88" s="407">
        <f>IFERROR(GETPIVOTDATA("Sum of "&amp;TEXT(F$10,"mmm-yyyy"),'PT-All'!$A$1,"Scenario",F$15,"P&amp;L Item",$B88),0)</f>
        <v>0</v>
      </c>
      <c r="G88" s="408">
        <f>IFERROR(GETPIVOTDATA("Sum of "&amp;TEXT(G$10,"mmm-yyyy"),'PT-All'!$A$1,"Scenario",G$15,"P&amp;L Item",$B88),0)</f>
        <v>0</v>
      </c>
      <c r="H88" s="409">
        <f>IFERROR(GETPIVOTDATA("Sum of "&amp;TEXT(H$10,"mmm-yyyy"),'PT-All'!$A$1,"Scenario",H$15,"P&amp;L Item",$B88),0)</f>
        <v>0</v>
      </c>
      <c r="I88" s="409">
        <f>IFERROR(GETPIVOTDATA("Sum of "&amp;TEXT(I$10,"mmm-yyyy"),'PT-All'!$A$1,"Scenario",I$15,"P&amp;L Item",$B88),0)</f>
        <v>0</v>
      </c>
      <c r="J88" s="434"/>
      <c r="K88" s="409">
        <f t="shared" si="48"/>
        <v>0</v>
      </c>
      <c r="L88" s="410">
        <f t="shared" si="49"/>
        <v>0</v>
      </c>
      <c r="M88" s="180"/>
      <c r="N88" s="407">
        <f>IFERROR(GETPIVOTDATA("Sum of Q"&amp;N$9,'PT-All'!$A$1,"Scenario",N$15,"P&amp;L Item",$B88),0)</f>
        <v>0</v>
      </c>
      <c r="O88" s="408">
        <f>IFERROR(GETPIVOTDATA("Sum of Q"&amp;O$9,'PT-All'!$A$1,"Scenario",O$15,"P&amp;L Item",$B88),0)</f>
        <v>0</v>
      </c>
      <c r="P88" s="409">
        <f>IF($T$13,IFERROR(GETPIVOTDATA("Sum of Month "&amp;$Q$9,'PT-All'!$A$1,"Scenario",P$13,"P&amp;L Item",$B88),0),0)+IF($T$14,IFERROR(GETPIVOTDATA("Sum of Month "&amp;$S$9,'PT-All'!$A$1,"Scenario",P$14,"P&amp;L Item",$B88),0),0)+IF($T$15,IFERROR(GETPIVOTDATA("Sum of Month "&amp;$T$9,'PT-All'!$A$1,"Scenario",P$15,"P&amp;L Item",$B88),0),0)</f>
        <v>0</v>
      </c>
      <c r="Q88" s="409">
        <f>IF($T$13,IFERROR(GETPIVOTDATA("Sum of Month "&amp;$Q$9,'PT-All'!$A$1,"Scenario",Q$13,"P&amp;L Item",$B88),0),0)+IF($T$14,IFERROR(GETPIVOTDATA("Sum of Month "&amp;$S$9,'PT-All'!$A$1,"Scenario",Q$14,"P&amp;L Item",$B88),0),0)+IF($T$15,IFERROR(GETPIVOTDATA("Sum of Month "&amp;$T$9,'PT-All'!$A$1,"Scenario",Q$15,"P&amp;L Item",$B88),0),0)</f>
        <v>0</v>
      </c>
      <c r="R88" s="434"/>
      <c r="S88" s="409">
        <f t="shared" si="51"/>
        <v>0</v>
      </c>
      <c r="T88" s="410">
        <f t="shared" si="52"/>
        <v>0</v>
      </c>
      <c r="U88" s="411"/>
      <c r="V88" s="148"/>
    </row>
    <row r="89" spans="2:22" x14ac:dyDescent="0.35">
      <c r="B89" s="77" t="s">
        <v>117</v>
      </c>
      <c r="C89" s="439">
        <f t="shared" ref="C89:I89" si="55">SUM(C90,C93)</f>
        <v>0</v>
      </c>
      <c r="D89" s="439">
        <f t="shared" si="55"/>
        <v>0</v>
      </c>
      <c r="E89" s="439">
        <f t="shared" si="55"/>
        <v>0</v>
      </c>
      <c r="F89" s="439">
        <f t="shared" si="55"/>
        <v>0</v>
      </c>
      <c r="G89" s="440">
        <f t="shared" si="55"/>
        <v>0</v>
      </c>
      <c r="H89" s="441">
        <f t="shared" si="55"/>
        <v>0</v>
      </c>
      <c r="I89" s="441">
        <f t="shared" si="55"/>
        <v>0</v>
      </c>
      <c r="J89" s="434"/>
      <c r="K89" s="441">
        <f t="shared" si="48"/>
        <v>0</v>
      </c>
      <c r="L89" s="442">
        <f t="shared" si="49"/>
        <v>0</v>
      </c>
      <c r="M89" s="180"/>
      <c r="N89" s="439">
        <f t="shared" ref="N89:Q89" si="56">SUM(N90,N93)</f>
        <v>0</v>
      </c>
      <c r="O89" s="440">
        <f t="shared" si="56"/>
        <v>0</v>
      </c>
      <c r="P89" s="441">
        <f t="shared" si="56"/>
        <v>0</v>
      </c>
      <c r="Q89" s="441">
        <f t="shared" si="56"/>
        <v>0</v>
      </c>
      <c r="R89" s="434"/>
      <c r="S89" s="441">
        <f t="shared" si="51"/>
        <v>0</v>
      </c>
      <c r="T89" s="442">
        <f t="shared" si="52"/>
        <v>0</v>
      </c>
      <c r="U89" s="443"/>
      <c r="V89" s="148"/>
    </row>
    <row r="90" spans="2:22" x14ac:dyDescent="0.35">
      <c r="B90" s="79" t="s">
        <v>118</v>
      </c>
      <c r="C90" s="69">
        <f t="shared" ref="C90:I90" si="57">SUM(C91:C92)</f>
        <v>0</v>
      </c>
      <c r="D90" s="69">
        <f t="shared" si="57"/>
        <v>0</v>
      </c>
      <c r="E90" s="69">
        <f t="shared" si="57"/>
        <v>0</v>
      </c>
      <c r="F90" s="69">
        <f t="shared" si="57"/>
        <v>0</v>
      </c>
      <c r="G90" s="145">
        <f t="shared" si="57"/>
        <v>0</v>
      </c>
      <c r="H90" s="144">
        <f t="shared" si="57"/>
        <v>0</v>
      </c>
      <c r="I90" s="144">
        <f t="shared" si="57"/>
        <v>0</v>
      </c>
      <c r="J90" s="434"/>
      <c r="K90" s="144">
        <f t="shared" si="48"/>
        <v>0</v>
      </c>
      <c r="L90" s="143">
        <f t="shared" si="49"/>
        <v>0</v>
      </c>
      <c r="M90" s="180"/>
      <c r="N90" s="69">
        <f t="shared" ref="N90:Q90" si="58">SUM(N91:N92)</f>
        <v>0</v>
      </c>
      <c r="O90" s="145">
        <f t="shared" si="58"/>
        <v>0</v>
      </c>
      <c r="P90" s="144">
        <f t="shared" si="58"/>
        <v>0</v>
      </c>
      <c r="Q90" s="144">
        <f t="shared" si="58"/>
        <v>0</v>
      </c>
      <c r="R90" s="434"/>
      <c r="S90" s="144">
        <f t="shared" si="51"/>
        <v>0</v>
      </c>
      <c r="T90" s="143">
        <f t="shared" si="52"/>
        <v>0</v>
      </c>
      <c r="U90" s="374"/>
      <c r="V90" s="148"/>
    </row>
    <row r="91" spans="2:22" x14ac:dyDescent="0.35">
      <c r="B91" s="80" t="s">
        <v>119</v>
      </c>
      <c r="C91" s="407">
        <f>IFERROR(GETPIVOTDATA("Sum of "&amp;TEXT(C$10,"mmm-yyyy"),'PT-All'!$A$1,"Scenario",C$15,"P&amp;L Item",$B91),0)</f>
        <v>0</v>
      </c>
      <c r="D91" s="407">
        <f>IFERROR(GETPIVOTDATA("Sum of "&amp;TEXT(D$10,"mmm-yyyy"),'PT-All'!$A$1,"Scenario",D$15,"P&amp;L Item",$B91),0)</f>
        <v>0</v>
      </c>
      <c r="E91" s="407">
        <f>IFERROR(GETPIVOTDATA("Sum of "&amp;TEXT(E$10,"mmm-yyyy"),'PT-All'!$A$1,"Scenario",E$15,"P&amp;L Item",$B91),0)</f>
        <v>0</v>
      </c>
      <c r="F91" s="407">
        <f>IFERROR(GETPIVOTDATA("Sum of "&amp;TEXT(F$10,"mmm-yyyy"),'PT-All'!$A$1,"Scenario",F$15,"P&amp;L Item",$B91),0)</f>
        <v>0</v>
      </c>
      <c r="G91" s="408">
        <f>IFERROR(GETPIVOTDATA("Sum of "&amp;TEXT(G$10,"mmm-yyyy"),'PT-All'!$A$1,"Scenario",G$15,"P&amp;L Item",$B91),0)</f>
        <v>0</v>
      </c>
      <c r="H91" s="409">
        <f>IFERROR(GETPIVOTDATA("Sum of "&amp;TEXT(H$10,"mmm-yyyy"),'PT-All'!$A$1,"Scenario",H$15,"P&amp;L Item",$B91),0)</f>
        <v>0</v>
      </c>
      <c r="I91" s="409">
        <f>IFERROR(GETPIVOTDATA("Sum of "&amp;TEXT(I$10,"mmm-yyyy"),'PT-All'!$A$1,"Scenario",I$15,"P&amp;L Item",$B91),0)</f>
        <v>0</v>
      </c>
      <c r="J91" s="434"/>
      <c r="K91" s="409">
        <f t="shared" si="48"/>
        <v>0</v>
      </c>
      <c r="L91" s="410">
        <f t="shared" si="49"/>
        <v>0</v>
      </c>
      <c r="M91" s="180"/>
      <c r="N91" s="407">
        <f>IFERROR(GETPIVOTDATA("Sum of Q"&amp;N$9,'PT-All'!$A$1,"Scenario",N$15,"P&amp;L Item",$B91),0)</f>
        <v>0</v>
      </c>
      <c r="O91" s="408">
        <f>IFERROR(GETPIVOTDATA("Sum of Q"&amp;O$9,'PT-All'!$A$1,"Scenario",O$15,"P&amp;L Item",$B91),0)</f>
        <v>0</v>
      </c>
      <c r="P91" s="409">
        <f>IF($T$13,IFERROR(GETPIVOTDATA("Sum of Month "&amp;$Q$9,'PT-All'!$A$1,"Scenario",P$13,"P&amp;L Item",$B91),0),0)+IF($T$14,IFERROR(GETPIVOTDATA("Sum of Month "&amp;$S$9,'PT-All'!$A$1,"Scenario",P$14,"P&amp;L Item",$B91),0),0)+IF($T$15,IFERROR(GETPIVOTDATA("Sum of Month "&amp;$T$9,'PT-All'!$A$1,"Scenario",P$15,"P&amp;L Item",$B91),0),0)</f>
        <v>0</v>
      </c>
      <c r="Q91" s="409">
        <f>IF($T$13,IFERROR(GETPIVOTDATA("Sum of Month "&amp;$Q$9,'PT-All'!$A$1,"Scenario",Q$13,"P&amp;L Item",$B91),0),0)+IF($T$14,IFERROR(GETPIVOTDATA("Sum of Month "&amp;$S$9,'PT-All'!$A$1,"Scenario",Q$14,"P&amp;L Item",$B91),0),0)+IF($T$15,IFERROR(GETPIVOTDATA("Sum of Month "&amp;$T$9,'PT-All'!$A$1,"Scenario",Q$15,"P&amp;L Item",$B91),0),0)</f>
        <v>0</v>
      </c>
      <c r="R91" s="434"/>
      <c r="S91" s="409">
        <f t="shared" si="51"/>
        <v>0</v>
      </c>
      <c r="T91" s="410">
        <f t="shared" si="52"/>
        <v>0</v>
      </c>
      <c r="U91" s="411"/>
      <c r="V91" s="148"/>
    </row>
    <row r="92" spans="2:22" x14ac:dyDescent="0.35">
      <c r="B92" s="80" t="s">
        <v>120</v>
      </c>
      <c r="C92" s="407">
        <f>IFERROR(GETPIVOTDATA("Sum of "&amp;TEXT(C$10,"mmm-yyyy"),'PT-All'!$A$1,"Scenario",C$15,"P&amp;L Item",$B92),0)</f>
        <v>0</v>
      </c>
      <c r="D92" s="407">
        <f>IFERROR(GETPIVOTDATA("Sum of "&amp;TEXT(D$10,"mmm-yyyy"),'PT-All'!$A$1,"Scenario",D$15,"P&amp;L Item",$B92),0)</f>
        <v>0</v>
      </c>
      <c r="E92" s="407">
        <f>IFERROR(GETPIVOTDATA("Sum of "&amp;TEXT(E$10,"mmm-yyyy"),'PT-All'!$A$1,"Scenario",E$15,"P&amp;L Item",$B92),0)</f>
        <v>0</v>
      </c>
      <c r="F92" s="407">
        <f>IFERROR(GETPIVOTDATA("Sum of "&amp;TEXT(F$10,"mmm-yyyy"),'PT-All'!$A$1,"Scenario",F$15,"P&amp;L Item",$B92),0)</f>
        <v>0</v>
      </c>
      <c r="G92" s="408">
        <f>IFERROR(GETPIVOTDATA("Sum of "&amp;TEXT(G$10,"mmm-yyyy"),'PT-All'!$A$1,"Scenario",G$15,"P&amp;L Item",$B92),0)</f>
        <v>0</v>
      </c>
      <c r="H92" s="409">
        <f>IFERROR(GETPIVOTDATA("Sum of "&amp;TEXT(H$10,"mmm-yyyy"),'PT-All'!$A$1,"Scenario",H$15,"P&amp;L Item",$B92),0)</f>
        <v>0</v>
      </c>
      <c r="I92" s="409">
        <f>IFERROR(GETPIVOTDATA("Sum of "&amp;TEXT(I$10,"mmm-yyyy"),'PT-All'!$A$1,"Scenario",I$15,"P&amp;L Item",$B92),0)</f>
        <v>0</v>
      </c>
      <c r="J92" s="434"/>
      <c r="K92" s="409">
        <f t="shared" si="48"/>
        <v>0</v>
      </c>
      <c r="L92" s="410">
        <f t="shared" si="49"/>
        <v>0</v>
      </c>
      <c r="M92" s="180"/>
      <c r="N92" s="407">
        <f>IFERROR(GETPIVOTDATA("Sum of Q"&amp;N$9,'PT-All'!$A$1,"Scenario",N$15,"P&amp;L Item",$B92),0)</f>
        <v>0</v>
      </c>
      <c r="O92" s="408">
        <f>IFERROR(GETPIVOTDATA("Sum of Q"&amp;O$9,'PT-All'!$A$1,"Scenario",O$15,"P&amp;L Item",$B92),0)</f>
        <v>0</v>
      </c>
      <c r="P92" s="409">
        <f>IF($T$13,IFERROR(GETPIVOTDATA("Sum of Month "&amp;$Q$9,'PT-All'!$A$1,"Scenario",P$13,"P&amp;L Item",$B92),0),0)+IF($T$14,IFERROR(GETPIVOTDATA("Sum of Month "&amp;$S$9,'PT-All'!$A$1,"Scenario",P$14,"P&amp;L Item",$B92),0),0)+IF($T$15,IFERROR(GETPIVOTDATA("Sum of Month "&amp;$T$9,'PT-All'!$A$1,"Scenario",P$15,"P&amp;L Item",$B92),0),0)</f>
        <v>0</v>
      </c>
      <c r="Q92" s="409">
        <f>IF($T$13,IFERROR(GETPIVOTDATA("Sum of Month "&amp;$Q$9,'PT-All'!$A$1,"Scenario",Q$13,"P&amp;L Item",$B92),0),0)+IF($T$14,IFERROR(GETPIVOTDATA("Sum of Month "&amp;$S$9,'PT-All'!$A$1,"Scenario",Q$14,"P&amp;L Item",$B92),0),0)+IF($T$15,IFERROR(GETPIVOTDATA("Sum of Month "&amp;$T$9,'PT-All'!$A$1,"Scenario",Q$15,"P&amp;L Item",$B92),0),0)</f>
        <v>0</v>
      </c>
      <c r="R92" s="434"/>
      <c r="S92" s="409">
        <f t="shared" si="51"/>
        <v>0</v>
      </c>
      <c r="T92" s="410">
        <f t="shared" si="52"/>
        <v>0</v>
      </c>
      <c r="U92" s="411"/>
      <c r="V92" s="148"/>
    </row>
    <row r="93" spans="2:22" x14ac:dyDescent="0.35">
      <c r="B93" s="79" t="s">
        <v>121</v>
      </c>
      <c r="C93" s="69">
        <f t="shared" ref="C93:I93" si="59">SUM(C94:C98)</f>
        <v>0</v>
      </c>
      <c r="D93" s="69">
        <f t="shared" si="59"/>
        <v>0</v>
      </c>
      <c r="E93" s="69">
        <f t="shared" si="59"/>
        <v>0</v>
      </c>
      <c r="F93" s="69">
        <f t="shared" si="59"/>
        <v>0</v>
      </c>
      <c r="G93" s="145">
        <f t="shared" si="59"/>
        <v>0</v>
      </c>
      <c r="H93" s="144">
        <f t="shared" si="59"/>
        <v>0</v>
      </c>
      <c r="I93" s="144">
        <f t="shared" si="59"/>
        <v>0</v>
      </c>
      <c r="J93" s="434"/>
      <c r="K93" s="144">
        <f t="shared" si="48"/>
        <v>0</v>
      </c>
      <c r="L93" s="143">
        <f t="shared" si="49"/>
        <v>0</v>
      </c>
      <c r="M93" s="180"/>
      <c r="N93" s="69">
        <f t="shared" ref="N93:Q93" si="60">SUM(N94:N98)</f>
        <v>0</v>
      </c>
      <c r="O93" s="145">
        <f t="shared" si="60"/>
        <v>0</v>
      </c>
      <c r="P93" s="144">
        <f t="shared" si="60"/>
        <v>0</v>
      </c>
      <c r="Q93" s="144">
        <f t="shared" si="60"/>
        <v>0</v>
      </c>
      <c r="R93" s="434"/>
      <c r="S93" s="144">
        <f t="shared" si="51"/>
        <v>0</v>
      </c>
      <c r="T93" s="143">
        <f t="shared" si="52"/>
        <v>0</v>
      </c>
      <c r="U93" s="374"/>
      <c r="V93" s="148"/>
    </row>
    <row r="94" spans="2:22" x14ac:dyDescent="0.35">
      <c r="B94" s="80" t="s">
        <v>122</v>
      </c>
      <c r="C94" s="407">
        <f>IFERROR(GETPIVOTDATA("Sum of "&amp;TEXT(C$10,"mmm-yyyy"),'PT-All'!$A$1,"Scenario",C$15,"P&amp;L Item",$B94),0)</f>
        <v>0</v>
      </c>
      <c r="D94" s="407">
        <f>IFERROR(GETPIVOTDATA("Sum of "&amp;TEXT(D$10,"mmm-yyyy"),'PT-All'!$A$1,"Scenario",D$15,"P&amp;L Item",$B94),0)</f>
        <v>0</v>
      </c>
      <c r="E94" s="407">
        <f>IFERROR(GETPIVOTDATA("Sum of "&amp;TEXT(E$10,"mmm-yyyy"),'PT-All'!$A$1,"Scenario",E$15,"P&amp;L Item",$B94),0)</f>
        <v>0</v>
      </c>
      <c r="F94" s="407">
        <f>IFERROR(GETPIVOTDATA("Sum of "&amp;TEXT(F$10,"mmm-yyyy"),'PT-All'!$A$1,"Scenario",F$15,"P&amp;L Item",$B94),0)</f>
        <v>0</v>
      </c>
      <c r="G94" s="408">
        <f>IFERROR(GETPIVOTDATA("Sum of "&amp;TEXT(G$10,"mmm-yyyy"),'PT-All'!$A$1,"Scenario",G$15,"P&amp;L Item",$B94),0)</f>
        <v>0</v>
      </c>
      <c r="H94" s="409">
        <f>IFERROR(GETPIVOTDATA("Sum of "&amp;TEXT(H$10,"mmm-yyyy"),'PT-All'!$A$1,"Scenario",H$15,"P&amp;L Item",$B94),0)</f>
        <v>0</v>
      </c>
      <c r="I94" s="409">
        <f>IFERROR(GETPIVOTDATA("Sum of "&amp;TEXT(I$10,"mmm-yyyy"),'PT-All'!$A$1,"Scenario",I$15,"P&amp;L Item",$B94),0)</f>
        <v>0</v>
      </c>
      <c r="J94" s="434"/>
      <c r="K94" s="409">
        <f t="shared" si="48"/>
        <v>0</v>
      </c>
      <c r="L94" s="410">
        <f t="shared" si="49"/>
        <v>0</v>
      </c>
      <c r="M94" s="180"/>
      <c r="N94" s="407">
        <f>IFERROR(GETPIVOTDATA("Sum of Q"&amp;N$9,'PT-All'!$A$1,"Scenario",N$15,"P&amp;L Item",$B94),0)</f>
        <v>0</v>
      </c>
      <c r="O94" s="408">
        <f>IFERROR(GETPIVOTDATA("Sum of Q"&amp;O$9,'PT-All'!$A$1,"Scenario",O$15,"P&amp;L Item",$B94),0)</f>
        <v>0</v>
      </c>
      <c r="P94" s="409">
        <f>IF($T$13,IFERROR(GETPIVOTDATA("Sum of Month "&amp;$Q$9,'PT-All'!$A$1,"Scenario",P$13,"P&amp;L Item",$B94),0),0)+IF($T$14,IFERROR(GETPIVOTDATA("Sum of Month "&amp;$S$9,'PT-All'!$A$1,"Scenario",P$14,"P&amp;L Item",$B94),0),0)+IF($T$15,IFERROR(GETPIVOTDATA("Sum of Month "&amp;$T$9,'PT-All'!$A$1,"Scenario",P$15,"P&amp;L Item",$B94),0),0)</f>
        <v>0</v>
      </c>
      <c r="Q94" s="409">
        <f>IF($T$13,IFERROR(GETPIVOTDATA("Sum of Month "&amp;$Q$9,'PT-All'!$A$1,"Scenario",Q$13,"P&amp;L Item",$B94),0),0)+IF($T$14,IFERROR(GETPIVOTDATA("Sum of Month "&amp;$S$9,'PT-All'!$A$1,"Scenario",Q$14,"P&amp;L Item",$B94),0),0)+IF($T$15,IFERROR(GETPIVOTDATA("Sum of Month "&amp;$T$9,'PT-All'!$A$1,"Scenario",Q$15,"P&amp;L Item",$B94),0),0)</f>
        <v>0</v>
      </c>
      <c r="R94" s="434"/>
      <c r="S94" s="409">
        <f t="shared" si="51"/>
        <v>0</v>
      </c>
      <c r="T94" s="410">
        <f t="shared" si="52"/>
        <v>0</v>
      </c>
      <c r="U94" s="411"/>
      <c r="V94" s="148"/>
    </row>
    <row r="95" spans="2:22" x14ac:dyDescent="0.35">
      <c r="B95" s="80" t="s">
        <v>123</v>
      </c>
      <c r="C95" s="407">
        <f>IFERROR(GETPIVOTDATA("Sum of "&amp;TEXT(C$10,"mmm-yyyy"),'PT-All'!$A$1,"Scenario",C$15,"P&amp;L Item",$B95),0)</f>
        <v>0</v>
      </c>
      <c r="D95" s="407">
        <f>IFERROR(GETPIVOTDATA("Sum of "&amp;TEXT(D$10,"mmm-yyyy"),'PT-All'!$A$1,"Scenario",D$15,"P&amp;L Item",$B95),0)</f>
        <v>0</v>
      </c>
      <c r="E95" s="407">
        <f>IFERROR(GETPIVOTDATA("Sum of "&amp;TEXT(E$10,"mmm-yyyy"),'PT-All'!$A$1,"Scenario",E$15,"P&amp;L Item",$B95),0)</f>
        <v>0</v>
      </c>
      <c r="F95" s="407">
        <f>IFERROR(GETPIVOTDATA("Sum of "&amp;TEXT(F$10,"mmm-yyyy"),'PT-All'!$A$1,"Scenario",F$15,"P&amp;L Item",$B95),0)</f>
        <v>0</v>
      </c>
      <c r="G95" s="408">
        <f>IFERROR(GETPIVOTDATA("Sum of "&amp;TEXT(G$10,"mmm-yyyy"),'PT-All'!$A$1,"Scenario",G$15,"P&amp;L Item",$B95),0)</f>
        <v>0</v>
      </c>
      <c r="H95" s="409">
        <f>IFERROR(GETPIVOTDATA("Sum of "&amp;TEXT(H$10,"mmm-yyyy"),'PT-All'!$A$1,"Scenario",H$15,"P&amp;L Item",$B95),0)</f>
        <v>0</v>
      </c>
      <c r="I95" s="409">
        <f>IFERROR(GETPIVOTDATA("Sum of "&amp;TEXT(I$10,"mmm-yyyy"),'PT-All'!$A$1,"Scenario",I$15,"P&amp;L Item",$B95),0)</f>
        <v>0</v>
      </c>
      <c r="J95" s="434"/>
      <c r="K95" s="409">
        <f t="shared" si="48"/>
        <v>0</v>
      </c>
      <c r="L95" s="410">
        <f t="shared" si="49"/>
        <v>0</v>
      </c>
      <c r="M95" s="180"/>
      <c r="N95" s="407">
        <f>IFERROR(GETPIVOTDATA("Sum of Q"&amp;N$9,'PT-All'!$A$1,"Scenario",N$15,"P&amp;L Item",$B95),0)</f>
        <v>0</v>
      </c>
      <c r="O95" s="408">
        <f>IFERROR(GETPIVOTDATA("Sum of Q"&amp;O$9,'PT-All'!$A$1,"Scenario",O$15,"P&amp;L Item",$B95),0)</f>
        <v>0</v>
      </c>
      <c r="P95" s="409">
        <f>IF($T$13,IFERROR(GETPIVOTDATA("Sum of Month "&amp;$Q$9,'PT-All'!$A$1,"Scenario",P$13,"P&amp;L Item",$B95),0),0)+IF($T$14,IFERROR(GETPIVOTDATA("Sum of Month "&amp;$S$9,'PT-All'!$A$1,"Scenario",P$14,"P&amp;L Item",$B95),0),0)+IF($T$15,IFERROR(GETPIVOTDATA("Sum of Month "&amp;$T$9,'PT-All'!$A$1,"Scenario",P$15,"P&amp;L Item",$B95),0),0)</f>
        <v>0</v>
      </c>
      <c r="Q95" s="409">
        <f>IF($T$13,IFERROR(GETPIVOTDATA("Sum of Month "&amp;$Q$9,'PT-All'!$A$1,"Scenario",Q$13,"P&amp;L Item",$B95),0),0)+IF($T$14,IFERROR(GETPIVOTDATA("Sum of Month "&amp;$S$9,'PT-All'!$A$1,"Scenario",Q$14,"P&amp;L Item",$B95),0),0)+IF($T$15,IFERROR(GETPIVOTDATA("Sum of Month "&amp;$T$9,'PT-All'!$A$1,"Scenario",Q$15,"P&amp;L Item",$B95),0),0)</f>
        <v>0</v>
      </c>
      <c r="R95" s="434"/>
      <c r="S95" s="409">
        <f t="shared" si="51"/>
        <v>0</v>
      </c>
      <c r="T95" s="410">
        <f t="shared" si="52"/>
        <v>0</v>
      </c>
      <c r="U95" s="411"/>
      <c r="V95" s="148"/>
    </row>
    <row r="96" spans="2:22" x14ac:dyDescent="0.35">
      <c r="B96" s="80" t="s">
        <v>124</v>
      </c>
      <c r="C96" s="407">
        <f>IFERROR(GETPIVOTDATA("Sum of "&amp;TEXT(C$10,"mmm-yyyy"),'PT-All'!$A$1,"Scenario",C$15,"P&amp;L Item",$B96),0)</f>
        <v>0</v>
      </c>
      <c r="D96" s="407">
        <f>IFERROR(GETPIVOTDATA("Sum of "&amp;TEXT(D$10,"mmm-yyyy"),'PT-All'!$A$1,"Scenario",D$15,"P&amp;L Item",$B96),0)</f>
        <v>0</v>
      </c>
      <c r="E96" s="407">
        <f>IFERROR(GETPIVOTDATA("Sum of "&amp;TEXT(E$10,"mmm-yyyy"),'PT-All'!$A$1,"Scenario",E$15,"P&amp;L Item",$B96),0)</f>
        <v>0</v>
      </c>
      <c r="F96" s="407">
        <f>IFERROR(GETPIVOTDATA("Sum of "&amp;TEXT(F$10,"mmm-yyyy"),'PT-All'!$A$1,"Scenario",F$15,"P&amp;L Item",$B96),0)</f>
        <v>0</v>
      </c>
      <c r="G96" s="408">
        <f>IFERROR(GETPIVOTDATA("Sum of "&amp;TEXT(G$10,"mmm-yyyy"),'PT-All'!$A$1,"Scenario",G$15,"P&amp;L Item",$B96),0)</f>
        <v>0</v>
      </c>
      <c r="H96" s="409">
        <f>IFERROR(GETPIVOTDATA("Sum of "&amp;TEXT(H$10,"mmm-yyyy"),'PT-All'!$A$1,"Scenario",H$15,"P&amp;L Item",$B96),0)</f>
        <v>0</v>
      </c>
      <c r="I96" s="409">
        <f>IFERROR(GETPIVOTDATA("Sum of "&amp;TEXT(I$10,"mmm-yyyy"),'PT-All'!$A$1,"Scenario",I$15,"P&amp;L Item",$B96),0)</f>
        <v>0</v>
      </c>
      <c r="J96" s="434"/>
      <c r="K96" s="409">
        <f t="shared" si="48"/>
        <v>0</v>
      </c>
      <c r="L96" s="410">
        <f t="shared" si="49"/>
        <v>0</v>
      </c>
      <c r="M96" s="180"/>
      <c r="N96" s="407">
        <f>IFERROR(GETPIVOTDATA("Sum of Q"&amp;N$9,'PT-All'!$A$1,"Scenario",N$15,"P&amp;L Item",$B96),0)</f>
        <v>0</v>
      </c>
      <c r="O96" s="408">
        <f>IFERROR(GETPIVOTDATA("Sum of Q"&amp;O$9,'PT-All'!$A$1,"Scenario",O$15,"P&amp;L Item",$B96),0)</f>
        <v>0</v>
      </c>
      <c r="P96" s="409">
        <f>IF($T$13,IFERROR(GETPIVOTDATA("Sum of Month "&amp;$Q$9,'PT-All'!$A$1,"Scenario",P$13,"P&amp;L Item",$B96),0),0)+IF($T$14,IFERROR(GETPIVOTDATA("Sum of Month "&amp;$S$9,'PT-All'!$A$1,"Scenario",P$14,"P&amp;L Item",$B96),0),0)+IF($T$15,IFERROR(GETPIVOTDATA("Sum of Month "&amp;$T$9,'PT-All'!$A$1,"Scenario",P$15,"P&amp;L Item",$B96),0),0)</f>
        <v>0</v>
      </c>
      <c r="Q96" s="409">
        <f>IF($T$13,IFERROR(GETPIVOTDATA("Sum of Month "&amp;$Q$9,'PT-All'!$A$1,"Scenario",Q$13,"P&amp;L Item",$B96),0),0)+IF($T$14,IFERROR(GETPIVOTDATA("Sum of Month "&amp;$S$9,'PT-All'!$A$1,"Scenario",Q$14,"P&amp;L Item",$B96),0),0)+IF($T$15,IFERROR(GETPIVOTDATA("Sum of Month "&amp;$T$9,'PT-All'!$A$1,"Scenario",Q$15,"P&amp;L Item",$B96),0),0)</f>
        <v>0</v>
      </c>
      <c r="R96" s="434"/>
      <c r="S96" s="409">
        <f t="shared" si="51"/>
        <v>0</v>
      </c>
      <c r="T96" s="410">
        <f t="shared" si="52"/>
        <v>0</v>
      </c>
      <c r="U96" s="411"/>
      <c r="V96" s="148"/>
    </row>
    <row r="97" spans="2:22" x14ac:dyDescent="0.35">
      <c r="B97" s="80" t="s">
        <v>125</v>
      </c>
      <c r="C97" s="407">
        <f>IFERROR(GETPIVOTDATA("Sum of "&amp;TEXT(C$10,"mmm-yyyy"),'PT-All'!$A$1,"Scenario",C$15,"P&amp;L Item",$B97),0)</f>
        <v>0</v>
      </c>
      <c r="D97" s="407">
        <f>IFERROR(GETPIVOTDATA("Sum of "&amp;TEXT(D$10,"mmm-yyyy"),'PT-All'!$A$1,"Scenario",D$15,"P&amp;L Item",$B97),0)</f>
        <v>0</v>
      </c>
      <c r="E97" s="407">
        <f>IFERROR(GETPIVOTDATA("Sum of "&amp;TEXT(E$10,"mmm-yyyy"),'PT-All'!$A$1,"Scenario",E$15,"P&amp;L Item",$B97),0)</f>
        <v>0</v>
      </c>
      <c r="F97" s="407">
        <f>IFERROR(GETPIVOTDATA("Sum of "&amp;TEXT(F$10,"mmm-yyyy"),'PT-All'!$A$1,"Scenario",F$15,"P&amp;L Item",$B97),0)</f>
        <v>0</v>
      </c>
      <c r="G97" s="408">
        <f>IFERROR(GETPIVOTDATA("Sum of "&amp;TEXT(G$10,"mmm-yyyy"),'PT-All'!$A$1,"Scenario",G$15,"P&amp;L Item",$B97),0)</f>
        <v>0</v>
      </c>
      <c r="H97" s="409">
        <f>IFERROR(GETPIVOTDATA("Sum of "&amp;TEXT(H$10,"mmm-yyyy"),'PT-All'!$A$1,"Scenario",H$15,"P&amp;L Item",$B97),0)</f>
        <v>0</v>
      </c>
      <c r="I97" s="409">
        <f>IFERROR(GETPIVOTDATA("Sum of "&amp;TEXT(I$10,"mmm-yyyy"),'PT-All'!$A$1,"Scenario",I$15,"P&amp;L Item",$B97),0)</f>
        <v>0</v>
      </c>
      <c r="J97" s="434"/>
      <c r="K97" s="409">
        <f t="shared" si="48"/>
        <v>0</v>
      </c>
      <c r="L97" s="410">
        <f t="shared" si="49"/>
        <v>0</v>
      </c>
      <c r="M97" s="180"/>
      <c r="N97" s="407">
        <f>IFERROR(GETPIVOTDATA("Sum of Q"&amp;N$9,'PT-All'!$A$1,"Scenario",N$15,"P&amp;L Item",$B97),0)</f>
        <v>0</v>
      </c>
      <c r="O97" s="408">
        <f>IFERROR(GETPIVOTDATA("Sum of Q"&amp;O$9,'PT-All'!$A$1,"Scenario",O$15,"P&amp;L Item",$B97),0)</f>
        <v>0</v>
      </c>
      <c r="P97" s="409">
        <f>IF($T$13,IFERROR(GETPIVOTDATA("Sum of Month "&amp;$Q$9,'PT-All'!$A$1,"Scenario",P$13,"P&amp;L Item",$B97),0),0)+IF($T$14,IFERROR(GETPIVOTDATA("Sum of Month "&amp;$S$9,'PT-All'!$A$1,"Scenario",P$14,"P&amp;L Item",$B97),0),0)+IF($T$15,IFERROR(GETPIVOTDATA("Sum of Month "&amp;$T$9,'PT-All'!$A$1,"Scenario",P$15,"P&amp;L Item",$B97),0),0)</f>
        <v>0</v>
      </c>
      <c r="Q97" s="409">
        <f>IF($T$13,IFERROR(GETPIVOTDATA("Sum of Month "&amp;$Q$9,'PT-All'!$A$1,"Scenario",Q$13,"P&amp;L Item",$B97),0),0)+IF($T$14,IFERROR(GETPIVOTDATA("Sum of Month "&amp;$S$9,'PT-All'!$A$1,"Scenario",Q$14,"P&amp;L Item",$B97),0),0)+IF($T$15,IFERROR(GETPIVOTDATA("Sum of Month "&amp;$T$9,'PT-All'!$A$1,"Scenario",Q$15,"P&amp;L Item",$B97),0),0)</f>
        <v>0</v>
      </c>
      <c r="R97" s="434"/>
      <c r="S97" s="409">
        <f t="shared" si="51"/>
        <v>0</v>
      </c>
      <c r="T97" s="410">
        <f t="shared" si="52"/>
        <v>0</v>
      </c>
      <c r="U97" s="411"/>
      <c r="V97" s="148"/>
    </row>
    <row r="98" spans="2:22" x14ac:dyDescent="0.35">
      <c r="B98" s="80" t="s">
        <v>126</v>
      </c>
      <c r="C98" s="407">
        <f>IFERROR(GETPIVOTDATA("Sum of "&amp;TEXT(C$10,"mmm-yyyy"),'PT-All'!$A$1,"Scenario",C$15,"P&amp;L Item",$B98),0)</f>
        <v>0</v>
      </c>
      <c r="D98" s="407">
        <f>IFERROR(GETPIVOTDATA("Sum of "&amp;TEXT(D$10,"mmm-yyyy"),'PT-All'!$A$1,"Scenario",D$15,"P&amp;L Item",$B98),0)</f>
        <v>0</v>
      </c>
      <c r="E98" s="407">
        <f>IFERROR(GETPIVOTDATA("Sum of "&amp;TEXT(E$10,"mmm-yyyy"),'PT-All'!$A$1,"Scenario",E$15,"P&amp;L Item",$B98),0)</f>
        <v>0</v>
      </c>
      <c r="F98" s="407">
        <f>IFERROR(GETPIVOTDATA("Sum of "&amp;TEXT(F$10,"mmm-yyyy"),'PT-All'!$A$1,"Scenario",F$15,"P&amp;L Item",$B98),0)</f>
        <v>0</v>
      </c>
      <c r="G98" s="408">
        <f>IFERROR(GETPIVOTDATA("Sum of "&amp;TEXT(G$10,"mmm-yyyy"),'PT-All'!$A$1,"Scenario",G$15,"P&amp;L Item",$B98),0)</f>
        <v>0</v>
      </c>
      <c r="H98" s="409">
        <f>IFERROR(GETPIVOTDATA("Sum of "&amp;TEXT(H$10,"mmm-yyyy"),'PT-All'!$A$1,"Scenario",H$15,"P&amp;L Item",$B98),0)</f>
        <v>0</v>
      </c>
      <c r="I98" s="409">
        <f>IFERROR(GETPIVOTDATA("Sum of "&amp;TEXT(I$10,"mmm-yyyy"),'PT-All'!$A$1,"Scenario",I$15,"P&amp;L Item",$B98),0)</f>
        <v>0</v>
      </c>
      <c r="J98" s="434"/>
      <c r="K98" s="409">
        <f t="shared" si="48"/>
        <v>0</v>
      </c>
      <c r="L98" s="410">
        <f t="shared" si="49"/>
        <v>0</v>
      </c>
      <c r="M98" s="180"/>
      <c r="N98" s="407">
        <f>IFERROR(GETPIVOTDATA("Sum of Q"&amp;N$9,'PT-All'!$A$1,"Scenario",N$15,"P&amp;L Item",$B98),0)</f>
        <v>0</v>
      </c>
      <c r="O98" s="408">
        <f>IFERROR(GETPIVOTDATA("Sum of Q"&amp;O$9,'PT-All'!$A$1,"Scenario",O$15,"P&amp;L Item",$B98),0)</f>
        <v>0</v>
      </c>
      <c r="P98" s="409">
        <f>IF($T$13,IFERROR(GETPIVOTDATA("Sum of Month "&amp;$Q$9,'PT-All'!$A$1,"Scenario",P$13,"P&amp;L Item",$B98),0),0)+IF($T$14,IFERROR(GETPIVOTDATA("Sum of Month "&amp;$S$9,'PT-All'!$A$1,"Scenario",P$14,"P&amp;L Item",$B98),0),0)+IF($T$15,IFERROR(GETPIVOTDATA("Sum of Month "&amp;$T$9,'PT-All'!$A$1,"Scenario",P$15,"P&amp;L Item",$B98),0),0)</f>
        <v>0</v>
      </c>
      <c r="Q98" s="409">
        <f>IF($T$13,IFERROR(GETPIVOTDATA("Sum of Month "&amp;$Q$9,'PT-All'!$A$1,"Scenario",Q$13,"P&amp;L Item",$B98),0),0)+IF($T$14,IFERROR(GETPIVOTDATA("Sum of Month "&amp;$S$9,'PT-All'!$A$1,"Scenario",Q$14,"P&amp;L Item",$B98),0),0)+IF($T$15,IFERROR(GETPIVOTDATA("Sum of Month "&amp;$T$9,'PT-All'!$A$1,"Scenario",Q$15,"P&amp;L Item",$B98),0),0)</f>
        <v>0</v>
      </c>
      <c r="R98" s="434"/>
      <c r="S98" s="409">
        <f t="shared" si="51"/>
        <v>0</v>
      </c>
      <c r="T98" s="410">
        <f t="shared" si="52"/>
        <v>0</v>
      </c>
      <c r="U98" s="411"/>
      <c r="V98" s="148"/>
    </row>
    <row r="99" spans="2:22" x14ac:dyDescent="0.35">
      <c r="B99" s="356" t="s">
        <v>127</v>
      </c>
      <c r="C99" s="69">
        <f>IFERROR(GETPIVOTDATA("Sum of "&amp;TEXT(C$10,"mmm-yyyy"),'PT-All'!$A$1,"Scenario",C$15,"P&amp;L Item",$B99),0)</f>
        <v>0</v>
      </c>
      <c r="D99" s="69">
        <f>IFERROR(GETPIVOTDATA("Sum of "&amp;TEXT(D$10,"mmm-yyyy"),'PT-All'!$A$1,"Scenario",D$15,"P&amp;L Item",$B99),0)</f>
        <v>0</v>
      </c>
      <c r="E99" s="69">
        <f>IFERROR(GETPIVOTDATA("Sum of "&amp;TEXT(E$10,"mmm-yyyy"),'PT-All'!$A$1,"Scenario",E$15,"P&amp;L Item",$B99),0)</f>
        <v>0</v>
      </c>
      <c r="F99" s="69">
        <f>IFERROR(GETPIVOTDATA("Sum of "&amp;TEXT(F$10,"mmm-yyyy"),'PT-All'!$A$1,"Scenario",F$15,"P&amp;L Item",$B99),0)</f>
        <v>0</v>
      </c>
      <c r="G99" s="145">
        <f>IFERROR(GETPIVOTDATA("Sum of "&amp;TEXT(G$10,"mmm-yyyy"),'PT-All'!$A$1,"Scenario",G$15,"P&amp;L Item",$B99),0)</f>
        <v>0</v>
      </c>
      <c r="H99" s="144">
        <f>IFERROR(GETPIVOTDATA("Sum of "&amp;TEXT(H$10,"mmm-yyyy"),'PT-All'!$A$1,"Scenario",H$15,"P&amp;L Item",$B99),0)</f>
        <v>0</v>
      </c>
      <c r="I99" s="144">
        <f>IFERROR(GETPIVOTDATA("Sum of "&amp;TEXT(I$10,"mmm-yyyy"),'PT-All'!$A$1,"Scenario",I$15,"P&amp;L Item",$B99),0)</f>
        <v>0</v>
      </c>
      <c r="J99" s="434"/>
      <c r="K99" s="144">
        <f t="shared" si="48"/>
        <v>0</v>
      </c>
      <c r="L99" s="143">
        <f t="shared" si="49"/>
        <v>0</v>
      </c>
      <c r="M99" s="180"/>
      <c r="N99" s="69">
        <f>IFERROR(GETPIVOTDATA("Sum of Q"&amp;N$9,'PT-All'!$A$1,"Scenario",N$15,"P&amp;L Item",$B99),0)</f>
        <v>0</v>
      </c>
      <c r="O99" s="145">
        <f>IFERROR(GETPIVOTDATA("Sum of Q"&amp;O$9,'PT-All'!$A$1,"Scenario",O$15,"P&amp;L Item",$B99),0)</f>
        <v>0</v>
      </c>
      <c r="P99" s="144">
        <f>IF($T$13,IFERROR(GETPIVOTDATA("Sum of Month "&amp;$Q$9,'PT-All'!$A$1,"Scenario",P$13,"P&amp;L Item",$B99),0),0)+IF($T$14,IFERROR(GETPIVOTDATA("Sum of Month "&amp;$S$9,'PT-All'!$A$1,"Scenario",P$14,"P&amp;L Item",$B99),0),0)+IF($T$15,IFERROR(GETPIVOTDATA("Sum of Month "&amp;$T$9,'PT-All'!$A$1,"Scenario",P$15,"P&amp;L Item",$B99),0),0)</f>
        <v>0</v>
      </c>
      <c r="Q99" s="144">
        <f>IF($T$13,IFERROR(GETPIVOTDATA("Sum of Month "&amp;$Q$9,'PT-All'!$A$1,"Scenario",Q$13,"P&amp;L Item",$B99),0),0)+IF($T$14,IFERROR(GETPIVOTDATA("Sum of Month "&amp;$S$9,'PT-All'!$A$1,"Scenario",Q$14,"P&amp;L Item",$B99),0),0)+IF($T$15,IFERROR(GETPIVOTDATA("Sum of Month "&amp;$T$9,'PT-All'!$A$1,"Scenario",Q$15,"P&amp;L Item",$B99),0),0)</f>
        <v>0</v>
      </c>
      <c r="R99" s="434"/>
      <c r="S99" s="144">
        <f t="shared" si="51"/>
        <v>0</v>
      </c>
      <c r="T99" s="143">
        <f t="shared" si="52"/>
        <v>0</v>
      </c>
      <c r="U99" s="374"/>
      <c r="V99" s="148"/>
    </row>
    <row r="100" spans="2:22" x14ac:dyDescent="0.35">
      <c r="B100" s="356" t="s">
        <v>128</v>
      </c>
      <c r="C100" s="69">
        <f>IFERROR(GETPIVOTDATA("Sum of "&amp;TEXT(C$10,"mmm-yyyy"),'PT-All'!$A$1,"Scenario",C$15,"P&amp;L Item",$B100),0)</f>
        <v>0</v>
      </c>
      <c r="D100" s="69">
        <f>IFERROR(GETPIVOTDATA("Sum of "&amp;TEXT(D$10,"mmm-yyyy"),'PT-All'!$A$1,"Scenario",D$15,"P&amp;L Item",$B100),0)</f>
        <v>0</v>
      </c>
      <c r="E100" s="69">
        <f>IFERROR(GETPIVOTDATA("Sum of "&amp;TEXT(E$10,"mmm-yyyy"),'PT-All'!$A$1,"Scenario",E$15,"P&amp;L Item",$B100),0)</f>
        <v>0</v>
      </c>
      <c r="F100" s="69">
        <f>IFERROR(GETPIVOTDATA("Sum of "&amp;TEXT(F$10,"mmm-yyyy"),'PT-All'!$A$1,"Scenario",F$15,"P&amp;L Item",$B100),0)</f>
        <v>0</v>
      </c>
      <c r="G100" s="145">
        <f>IFERROR(GETPIVOTDATA("Sum of "&amp;TEXT(G$10,"mmm-yyyy"),'PT-All'!$A$1,"Scenario",G$15,"P&amp;L Item",$B100),0)</f>
        <v>0</v>
      </c>
      <c r="H100" s="144">
        <f>IFERROR(GETPIVOTDATA("Sum of "&amp;TEXT(H$10,"mmm-yyyy"),'PT-All'!$A$1,"Scenario",H$15,"P&amp;L Item",$B100),0)</f>
        <v>0</v>
      </c>
      <c r="I100" s="144">
        <f>IFERROR(GETPIVOTDATA("Sum of "&amp;TEXT(I$10,"mmm-yyyy"),'PT-All'!$A$1,"Scenario",I$15,"P&amp;L Item",$B100),0)</f>
        <v>0</v>
      </c>
      <c r="J100" s="434"/>
      <c r="K100" s="144">
        <f t="shared" si="48"/>
        <v>0</v>
      </c>
      <c r="L100" s="143">
        <f t="shared" si="49"/>
        <v>0</v>
      </c>
      <c r="M100" s="180"/>
      <c r="N100" s="69">
        <f>IFERROR(GETPIVOTDATA("Sum of Q"&amp;N$9,'PT-All'!$A$1,"Scenario",N$15,"P&amp;L Item",$B100),0)</f>
        <v>0</v>
      </c>
      <c r="O100" s="145">
        <f>IFERROR(GETPIVOTDATA("Sum of Q"&amp;O$9,'PT-All'!$A$1,"Scenario",O$15,"P&amp;L Item",$B100),0)</f>
        <v>0</v>
      </c>
      <c r="P100" s="144">
        <f>IF($T$13,IFERROR(GETPIVOTDATA("Sum of Month "&amp;$Q$9,'PT-All'!$A$1,"Scenario",P$13,"P&amp;L Item",$B100),0),0)+IF($T$14,IFERROR(GETPIVOTDATA("Sum of Month "&amp;$S$9,'PT-All'!$A$1,"Scenario",P$14,"P&amp;L Item",$B100),0),0)+IF($T$15,IFERROR(GETPIVOTDATA("Sum of Month "&amp;$T$9,'PT-All'!$A$1,"Scenario",P$15,"P&amp;L Item",$B100),0),0)</f>
        <v>0</v>
      </c>
      <c r="Q100" s="144">
        <f>IF($T$13,IFERROR(GETPIVOTDATA("Sum of Month "&amp;$Q$9,'PT-All'!$A$1,"Scenario",Q$13,"P&amp;L Item",$B100),0),0)+IF($T$14,IFERROR(GETPIVOTDATA("Sum of Month "&amp;$S$9,'PT-All'!$A$1,"Scenario",Q$14,"P&amp;L Item",$B100),0),0)+IF($T$15,IFERROR(GETPIVOTDATA("Sum of Month "&amp;$T$9,'PT-All'!$A$1,"Scenario",Q$15,"P&amp;L Item",$B100),0),0)</f>
        <v>0</v>
      </c>
      <c r="R100" s="434"/>
      <c r="S100" s="144">
        <f t="shared" si="51"/>
        <v>0</v>
      </c>
      <c r="T100" s="143">
        <f t="shared" si="52"/>
        <v>0</v>
      </c>
      <c r="U100" s="374"/>
      <c r="V100" s="148"/>
    </row>
    <row r="101" spans="2:22" x14ac:dyDescent="0.35">
      <c r="B101" s="356" t="s">
        <v>129</v>
      </c>
      <c r="C101" s="69">
        <f>IFERROR(GETPIVOTDATA("Sum of "&amp;TEXT(C$10,"mmm-yyyy"),'PT-All'!$A$1,"Scenario",C$15,"P&amp;L Item",$B101),0)</f>
        <v>0</v>
      </c>
      <c r="D101" s="69">
        <f>IFERROR(GETPIVOTDATA("Sum of "&amp;TEXT(D$10,"mmm-yyyy"),'PT-All'!$A$1,"Scenario",D$15,"P&amp;L Item",$B101),0)</f>
        <v>0</v>
      </c>
      <c r="E101" s="69">
        <f>IFERROR(GETPIVOTDATA("Sum of "&amp;TEXT(E$10,"mmm-yyyy"),'PT-All'!$A$1,"Scenario",E$15,"P&amp;L Item",$B101),0)</f>
        <v>0</v>
      </c>
      <c r="F101" s="69">
        <f>IFERROR(GETPIVOTDATA("Sum of "&amp;TEXT(F$10,"mmm-yyyy"),'PT-All'!$A$1,"Scenario",F$15,"P&amp;L Item",$B101),0)</f>
        <v>0</v>
      </c>
      <c r="G101" s="145">
        <f>IFERROR(GETPIVOTDATA("Sum of "&amp;TEXT(G$10,"mmm-yyyy"),'PT-All'!$A$1,"Scenario",G$15,"P&amp;L Item",$B101),0)</f>
        <v>0</v>
      </c>
      <c r="H101" s="144">
        <f>IFERROR(GETPIVOTDATA("Sum of "&amp;TEXT(H$10,"mmm-yyyy"),'PT-All'!$A$1,"Scenario",H$15,"P&amp;L Item",$B101),0)</f>
        <v>0</v>
      </c>
      <c r="I101" s="144">
        <f>IFERROR(GETPIVOTDATA("Sum of "&amp;TEXT(I$10,"mmm-yyyy"),'PT-All'!$A$1,"Scenario",I$15,"P&amp;L Item",$B101),0)</f>
        <v>0</v>
      </c>
      <c r="J101" s="434"/>
      <c r="K101" s="144">
        <f t="shared" si="48"/>
        <v>0</v>
      </c>
      <c r="L101" s="143">
        <f t="shared" si="49"/>
        <v>0</v>
      </c>
      <c r="M101" s="180"/>
      <c r="N101" s="69">
        <f>IFERROR(GETPIVOTDATA("Sum of Q"&amp;N$9,'PT-All'!$A$1,"Scenario",N$15,"P&amp;L Item",$B101),0)</f>
        <v>0</v>
      </c>
      <c r="O101" s="145">
        <f>IFERROR(GETPIVOTDATA("Sum of Q"&amp;O$9,'PT-All'!$A$1,"Scenario",O$15,"P&amp;L Item",$B101),0)</f>
        <v>0</v>
      </c>
      <c r="P101" s="144">
        <f>IF($T$13,IFERROR(GETPIVOTDATA("Sum of Month "&amp;$Q$9,'PT-All'!$A$1,"Scenario",P$13,"P&amp;L Item",$B101),0),0)+IF($T$14,IFERROR(GETPIVOTDATA("Sum of Month "&amp;$S$9,'PT-All'!$A$1,"Scenario",P$14,"P&amp;L Item",$B101),0),0)+IF($T$15,IFERROR(GETPIVOTDATA("Sum of Month "&amp;$T$9,'PT-All'!$A$1,"Scenario",P$15,"P&amp;L Item",$B101),0),0)</f>
        <v>0</v>
      </c>
      <c r="Q101" s="144">
        <f>IF($T$13,IFERROR(GETPIVOTDATA("Sum of Month "&amp;$Q$9,'PT-All'!$A$1,"Scenario",Q$13,"P&amp;L Item",$B101),0),0)+IF($T$14,IFERROR(GETPIVOTDATA("Sum of Month "&amp;$S$9,'PT-All'!$A$1,"Scenario",Q$14,"P&amp;L Item",$B101),0),0)+IF($T$15,IFERROR(GETPIVOTDATA("Sum of Month "&amp;$T$9,'PT-All'!$A$1,"Scenario",Q$15,"P&amp;L Item",$B101),0),0)</f>
        <v>0</v>
      </c>
      <c r="R101" s="434"/>
      <c r="S101" s="144">
        <f t="shared" si="51"/>
        <v>0</v>
      </c>
      <c r="T101" s="143">
        <f t="shared" si="52"/>
        <v>0</v>
      </c>
      <c r="U101" s="374"/>
      <c r="V101" s="148"/>
    </row>
    <row r="102" spans="2:22" ht="16" x14ac:dyDescent="0.5">
      <c r="B102" s="360" t="s">
        <v>130</v>
      </c>
      <c r="C102" s="451">
        <f t="shared" ref="C102:I102" si="61">SUM(C103:C110)</f>
        <v>0</v>
      </c>
      <c r="D102" s="451">
        <f t="shared" si="61"/>
        <v>0</v>
      </c>
      <c r="E102" s="451">
        <f t="shared" si="61"/>
        <v>0</v>
      </c>
      <c r="F102" s="451">
        <f t="shared" si="61"/>
        <v>0</v>
      </c>
      <c r="G102" s="452">
        <f t="shared" si="61"/>
        <v>0</v>
      </c>
      <c r="H102" s="453">
        <f t="shared" si="61"/>
        <v>0</v>
      </c>
      <c r="I102" s="453">
        <f t="shared" si="61"/>
        <v>0</v>
      </c>
      <c r="J102" s="454"/>
      <c r="K102" s="453">
        <f t="shared" si="48"/>
        <v>0</v>
      </c>
      <c r="L102" s="455">
        <f t="shared" si="49"/>
        <v>0</v>
      </c>
      <c r="M102" s="386"/>
      <c r="N102" s="451">
        <f t="shared" ref="N102:Q102" si="62">SUM(N103:N110)</f>
        <v>0</v>
      </c>
      <c r="O102" s="452">
        <f t="shared" si="62"/>
        <v>0</v>
      </c>
      <c r="P102" s="453">
        <f t="shared" si="62"/>
        <v>0</v>
      </c>
      <c r="Q102" s="453">
        <f t="shared" si="62"/>
        <v>0</v>
      </c>
      <c r="R102" s="454"/>
      <c r="S102" s="453">
        <f t="shared" si="51"/>
        <v>0</v>
      </c>
      <c r="T102" s="455">
        <f t="shared" si="52"/>
        <v>0</v>
      </c>
      <c r="U102" s="456"/>
      <c r="V102" s="387"/>
    </row>
    <row r="103" spans="2:22" x14ac:dyDescent="0.35">
      <c r="B103" s="64" t="s">
        <v>131</v>
      </c>
      <c r="C103" s="407">
        <f>IFERROR(GETPIVOTDATA("Sum of "&amp;TEXT(C$10,"mmm-yyyy"),'PT-All'!$A$1,"Scenario",C$15,"P&amp;L Item",$B103),0)</f>
        <v>0</v>
      </c>
      <c r="D103" s="407">
        <f>IFERROR(GETPIVOTDATA("Sum of "&amp;TEXT(D$10,"mmm-yyyy"),'PT-All'!$A$1,"Scenario",D$15,"P&amp;L Item",$B103),0)</f>
        <v>0</v>
      </c>
      <c r="E103" s="407">
        <f>IFERROR(GETPIVOTDATA("Sum of "&amp;TEXT(E$10,"mmm-yyyy"),'PT-All'!$A$1,"Scenario",E$15,"P&amp;L Item",$B103),0)</f>
        <v>0</v>
      </c>
      <c r="F103" s="407">
        <f>IFERROR(GETPIVOTDATA("Sum of "&amp;TEXT(F$10,"mmm-yyyy"),'PT-All'!$A$1,"Scenario",F$15,"P&amp;L Item",$B103),0)</f>
        <v>0</v>
      </c>
      <c r="G103" s="408">
        <f>IFERROR(GETPIVOTDATA("Sum of "&amp;TEXT(G$10,"mmm-yyyy"),'PT-All'!$A$1,"Scenario",G$15,"P&amp;L Item",$B103),0)</f>
        <v>0</v>
      </c>
      <c r="H103" s="409">
        <f>IFERROR(GETPIVOTDATA("Sum of "&amp;TEXT(H$10,"mmm-yyyy"),'PT-All'!$A$1,"Scenario",H$15,"P&amp;L Item",$B103),0)</f>
        <v>0</v>
      </c>
      <c r="I103" s="409">
        <f>IFERROR(GETPIVOTDATA("Sum of "&amp;TEXT(I$10,"mmm-yyyy"),'PT-All'!$A$1,"Scenario",I$15,"P&amp;L Item",$B103),0)</f>
        <v>0</v>
      </c>
      <c r="J103" s="434"/>
      <c r="K103" s="409">
        <f t="shared" si="48"/>
        <v>0</v>
      </c>
      <c r="L103" s="410">
        <f t="shared" si="49"/>
        <v>0</v>
      </c>
      <c r="M103" s="180"/>
      <c r="N103" s="407">
        <f>IFERROR(GETPIVOTDATA("Sum of Q"&amp;N$9,'PT-All'!$A$1,"Scenario",N$15,"P&amp;L Item",$B103),0)</f>
        <v>0</v>
      </c>
      <c r="O103" s="408">
        <f>IFERROR(GETPIVOTDATA("Sum of Q"&amp;O$9,'PT-All'!$A$1,"Scenario",O$15,"P&amp;L Item",$B103),0)</f>
        <v>0</v>
      </c>
      <c r="P103" s="409">
        <f>IF($T$13,IFERROR(GETPIVOTDATA("Sum of Month "&amp;$Q$9,'PT-All'!$A$1,"Scenario",P$13,"P&amp;L Item",$B103),0),0)+IF($T$14,IFERROR(GETPIVOTDATA("Sum of Month "&amp;$S$9,'PT-All'!$A$1,"Scenario",P$14,"P&amp;L Item",$B103),0),0)+IF($T$15,IFERROR(GETPIVOTDATA("Sum of Month "&amp;$T$9,'PT-All'!$A$1,"Scenario",P$15,"P&amp;L Item",$B103),0),0)</f>
        <v>0</v>
      </c>
      <c r="Q103" s="409">
        <f>IF($T$13,IFERROR(GETPIVOTDATA("Sum of Month "&amp;$Q$9,'PT-All'!$A$1,"Scenario",Q$13,"P&amp;L Item",$B103),0),0)+IF($T$14,IFERROR(GETPIVOTDATA("Sum of Month "&amp;$S$9,'PT-All'!$A$1,"Scenario",Q$14,"P&amp;L Item",$B103),0),0)+IF($T$15,IFERROR(GETPIVOTDATA("Sum of Month "&amp;$T$9,'PT-All'!$A$1,"Scenario",Q$15,"P&amp;L Item",$B103),0),0)</f>
        <v>0</v>
      </c>
      <c r="R103" s="434"/>
      <c r="S103" s="409">
        <f t="shared" si="51"/>
        <v>0</v>
      </c>
      <c r="T103" s="410">
        <f t="shared" si="52"/>
        <v>0</v>
      </c>
      <c r="U103" s="411"/>
      <c r="V103" s="148"/>
    </row>
    <row r="104" spans="2:22" x14ac:dyDescent="0.35">
      <c r="B104" s="64" t="s">
        <v>132</v>
      </c>
      <c r="C104" s="407">
        <f>IFERROR(GETPIVOTDATA("Sum of "&amp;TEXT(C$10,"mmm-yyyy"),'PT-All'!$A$1,"Scenario",C$15,"P&amp;L Item",$B104),0)</f>
        <v>0</v>
      </c>
      <c r="D104" s="407">
        <f>IFERROR(GETPIVOTDATA("Sum of "&amp;TEXT(D$10,"mmm-yyyy"),'PT-All'!$A$1,"Scenario",D$15,"P&amp;L Item",$B104),0)</f>
        <v>0</v>
      </c>
      <c r="E104" s="407">
        <f>IFERROR(GETPIVOTDATA("Sum of "&amp;TEXT(E$10,"mmm-yyyy"),'PT-All'!$A$1,"Scenario",E$15,"P&amp;L Item",$B104),0)</f>
        <v>0</v>
      </c>
      <c r="F104" s="407">
        <f>IFERROR(GETPIVOTDATA("Sum of "&amp;TEXT(F$10,"mmm-yyyy"),'PT-All'!$A$1,"Scenario",F$15,"P&amp;L Item",$B104),0)</f>
        <v>0</v>
      </c>
      <c r="G104" s="408">
        <f>IFERROR(GETPIVOTDATA("Sum of "&amp;TEXT(G$10,"mmm-yyyy"),'PT-All'!$A$1,"Scenario",G$15,"P&amp;L Item",$B104),0)</f>
        <v>0</v>
      </c>
      <c r="H104" s="409">
        <f>IFERROR(GETPIVOTDATA("Sum of "&amp;TEXT(H$10,"mmm-yyyy"),'PT-All'!$A$1,"Scenario",H$15,"P&amp;L Item",$B104),0)</f>
        <v>0</v>
      </c>
      <c r="I104" s="409">
        <f>IFERROR(GETPIVOTDATA("Sum of "&amp;TEXT(I$10,"mmm-yyyy"),'PT-All'!$A$1,"Scenario",I$15,"P&amp;L Item",$B104),0)</f>
        <v>0</v>
      </c>
      <c r="J104" s="434"/>
      <c r="K104" s="409">
        <f t="shared" si="48"/>
        <v>0</v>
      </c>
      <c r="L104" s="410">
        <f t="shared" si="49"/>
        <v>0</v>
      </c>
      <c r="M104" s="180"/>
      <c r="N104" s="407">
        <f>IFERROR(GETPIVOTDATA("Sum of Q"&amp;N$9,'PT-All'!$A$1,"Scenario",N$15,"P&amp;L Item",$B104),0)</f>
        <v>0</v>
      </c>
      <c r="O104" s="408">
        <f>IFERROR(GETPIVOTDATA("Sum of Q"&amp;O$9,'PT-All'!$A$1,"Scenario",O$15,"P&amp;L Item",$B104),0)</f>
        <v>0</v>
      </c>
      <c r="P104" s="409">
        <f>IF($T$13,IFERROR(GETPIVOTDATA("Sum of Month "&amp;$Q$9,'PT-All'!$A$1,"Scenario",P$13,"P&amp;L Item",$B104),0),0)+IF($T$14,IFERROR(GETPIVOTDATA("Sum of Month "&amp;$S$9,'PT-All'!$A$1,"Scenario",P$14,"P&amp;L Item",$B104),0),0)+IF($T$15,IFERROR(GETPIVOTDATA("Sum of Month "&amp;$T$9,'PT-All'!$A$1,"Scenario",P$15,"P&amp;L Item",$B104),0),0)</f>
        <v>0</v>
      </c>
      <c r="Q104" s="409">
        <f>IF($T$13,IFERROR(GETPIVOTDATA("Sum of Month "&amp;$Q$9,'PT-All'!$A$1,"Scenario",Q$13,"P&amp;L Item",$B104),0),0)+IF($T$14,IFERROR(GETPIVOTDATA("Sum of Month "&amp;$S$9,'PT-All'!$A$1,"Scenario",Q$14,"P&amp;L Item",$B104),0),0)+IF($T$15,IFERROR(GETPIVOTDATA("Sum of Month "&amp;$T$9,'PT-All'!$A$1,"Scenario",Q$15,"P&amp;L Item",$B104),0),0)</f>
        <v>0</v>
      </c>
      <c r="R104" s="434"/>
      <c r="S104" s="409">
        <f t="shared" si="51"/>
        <v>0</v>
      </c>
      <c r="T104" s="410">
        <f t="shared" si="52"/>
        <v>0</v>
      </c>
      <c r="U104" s="411"/>
      <c r="V104" s="148"/>
    </row>
    <row r="105" spans="2:22" x14ac:dyDescent="0.35">
      <c r="B105" s="64" t="s">
        <v>133</v>
      </c>
      <c r="C105" s="407">
        <f>IFERROR(GETPIVOTDATA("Sum of "&amp;TEXT(C$10,"mmm-yyyy"),'PT-All'!$A$1,"Scenario",C$15,"P&amp;L Item",$B105),0)</f>
        <v>0</v>
      </c>
      <c r="D105" s="407">
        <f>IFERROR(GETPIVOTDATA("Sum of "&amp;TEXT(D$10,"mmm-yyyy"),'PT-All'!$A$1,"Scenario",D$15,"P&amp;L Item",$B105),0)</f>
        <v>0</v>
      </c>
      <c r="E105" s="407">
        <f>IFERROR(GETPIVOTDATA("Sum of "&amp;TEXT(E$10,"mmm-yyyy"),'PT-All'!$A$1,"Scenario",E$15,"P&amp;L Item",$B105),0)</f>
        <v>0</v>
      </c>
      <c r="F105" s="407">
        <f>IFERROR(GETPIVOTDATA("Sum of "&amp;TEXT(F$10,"mmm-yyyy"),'PT-All'!$A$1,"Scenario",F$15,"P&amp;L Item",$B105),0)</f>
        <v>0</v>
      </c>
      <c r="G105" s="408">
        <f>IFERROR(GETPIVOTDATA("Sum of "&amp;TEXT(G$10,"mmm-yyyy"),'PT-All'!$A$1,"Scenario",G$15,"P&amp;L Item",$B105),0)</f>
        <v>0</v>
      </c>
      <c r="H105" s="409">
        <f>IFERROR(GETPIVOTDATA("Sum of "&amp;TEXT(H$10,"mmm-yyyy"),'PT-All'!$A$1,"Scenario",H$15,"P&amp;L Item",$B105),0)</f>
        <v>0</v>
      </c>
      <c r="I105" s="409">
        <f>IFERROR(GETPIVOTDATA("Sum of "&amp;TEXT(I$10,"mmm-yyyy"),'PT-All'!$A$1,"Scenario",I$15,"P&amp;L Item",$B105),0)</f>
        <v>0</v>
      </c>
      <c r="J105" s="434"/>
      <c r="K105" s="409">
        <f t="shared" si="48"/>
        <v>0</v>
      </c>
      <c r="L105" s="410">
        <f t="shared" si="49"/>
        <v>0</v>
      </c>
      <c r="M105" s="180"/>
      <c r="N105" s="407">
        <f>IFERROR(GETPIVOTDATA("Sum of Q"&amp;N$9,'PT-All'!$A$1,"Scenario",N$15,"P&amp;L Item",$B105),0)</f>
        <v>0</v>
      </c>
      <c r="O105" s="408">
        <f>IFERROR(GETPIVOTDATA("Sum of Q"&amp;O$9,'PT-All'!$A$1,"Scenario",O$15,"P&amp;L Item",$B105),0)</f>
        <v>0</v>
      </c>
      <c r="P105" s="409">
        <f>IF($T$13,IFERROR(GETPIVOTDATA("Sum of Month "&amp;$Q$9,'PT-All'!$A$1,"Scenario",P$13,"P&amp;L Item",$B105),0),0)+IF($T$14,IFERROR(GETPIVOTDATA("Sum of Month "&amp;$S$9,'PT-All'!$A$1,"Scenario",P$14,"P&amp;L Item",$B105),0),0)+IF($T$15,IFERROR(GETPIVOTDATA("Sum of Month "&amp;$T$9,'PT-All'!$A$1,"Scenario",P$15,"P&amp;L Item",$B105),0),0)</f>
        <v>0</v>
      </c>
      <c r="Q105" s="409">
        <f>IF($T$13,IFERROR(GETPIVOTDATA("Sum of Month "&amp;$Q$9,'PT-All'!$A$1,"Scenario",Q$13,"P&amp;L Item",$B105),0),0)+IF($T$14,IFERROR(GETPIVOTDATA("Sum of Month "&amp;$S$9,'PT-All'!$A$1,"Scenario",Q$14,"P&amp;L Item",$B105),0),0)+IF($T$15,IFERROR(GETPIVOTDATA("Sum of Month "&amp;$T$9,'PT-All'!$A$1,"Scenario",Q$15,"P&amp;L Item",$B105),0),0)</f>
        <v>0</v>
      </c>
      <c r="R105" s="434"/>
      <c r="S105" s="409">
        <f t="shared" si="51"/>
        <v>0</v>
      </c>
      <c r="T105" s="410">
        <f t="shared" si="52"/>
        <v>0</v>
      </c>
      <c r="U105" s="411"/>
      <c r="V105" s="148"/>
    </row>
    <row r="106" spans="2:22" x14ac:dyDescent="0.35">
      <c r="B106" s="64" t="s">
        <v>134</v>
      </c>
      <c r="C106" s="407">
        <f>IFERROR(GETPIVOTDATA("Sum of "&amp;TEXT(C$10,"mmm-yyyy"),'PT-All'!$A$1,"Scenario",C$15,"P&amp;L Item",$B106),0)</f>
        <v>0</v>
      </c>
      <c r="D106" s="407">
        <f>IFERROR(GETPIVOTDATA("Sum of "&amp;TEXT(D$10,"mmm-yyyy"),'PT-All'!$A$1,"Scenario",D$15,"P&amp;L Item",$B106),0)</f>
        <v>0</v>
      </c>
      <c r="E106" s="407">
        <f>IFERROR(GETPIVOTDATA("Sum of "&amp;TEXT(E$10,"mmm-yyyy"),'PT-All'!$A$1,"Scenario",E$15,"P&amp;L Item",$B106),0)</f>
        <v>0</v>
      </c>
      <c r="F106" s="407">
        <f>IFERROR(GETPIVOTDATA("Sum of "&amp;TEXT(F$10,"mmm-yyyy"),'PT-All'!$A$1,"Scenario",F$15,"P&amp;L Item",$B106),0)</f>
        <v>0</v>
      </c>
      <c r="G106" s="408">
        <f>IFERROR(GETPIVOTDATA("Sum of "&amp;TEXT(G$10,"mmm-yyyy"),'PT-All'!$A$1,"Scenario",G$15,"P&amp;L Item",$B106),0)</f>
        <v>0</v>
      </c>
      <c r="H106" s="409">
        <f>IFERROR(GETPIVOTDATA("Sum of "&amp;TEXT(H$10,"mmm-yyyy"),'PT-All'!$A$1,"Scenario",H$15,"P&amp;L Item",$B106),0)</f>
        <v>0</v>
      </c>
      <c r="I106" s="409">
        <f>IFERROR(GETPIVOTDATA("Sum of "&amp;TEXT(I$10,"mmm-yyyy"),'PT-All'!$A$1,"Scenario",I$15,"P&amp;L Item",$B106),0)</f>
        <v>0</v>
      </c>
      <c r="J106" s="434"/>
      <c r="K106" s="409">
        <f t="shared" si="48"/>
        <v>0</v>
      </c>
      <c r="L106" s="410">
        <f t="shared" si="49"/>
        <v>0</v>
      </c>
      <c r="M106" s="180"/>
      <c r="N106" s="407">
        <f>IFERROR(GETPIVOTDATA("Sum of Q"&amp;N$9,'PT-All'!$A$1,"Scenario",N$15,"P&amp;L Item",$B106),0)</f>
        <v>0</v>
      </c>
      <c r="O106" s="408">
        <f>IFERROR(GETPIVOTDATA("Sum of Q"&amp;O$9,'PT-All'!$A$1,"Scenario",O$15,"P&amp;L Item",$B106),0)</f>
        <v>0</v>
      </c>
      <c r="P106" s="409">
        <f>IF($T$13,IFERROR(GETPIVOTDATA("Sum of Month "&amp;$Q$9,'PT-All'!$A$1,"Scenario",P$13,"P&amp;L Item",$B106),0),0)+IF($T$14,IFERROR(GETPIVOTDATA("Sum of Month "&amp;$S$9,'PT-All'!$A$1,"Scenario",P$14,"P&amp;L Item",$B106),0),0)+IF($T$15,IFERROR(GETPIVOTDATA("Sum of Month "&amp;$T$9,'PT-All'!$A$1,"Scenario",P$15,"P&amp;L Item",$B106),0),0)</f>
        <v>0</v>
      </c>
      <c r="Q106" s="409">
        <f>IF($T$13,IFERROR(GETPIVOTDATA("Sum of Month "&amp;$Q$9,'PT-All'!$A$1,"Scenario",Q$13,"P&amp;L Item",$B106),0),0)+IF($T$14,IFERROR(GETPIVOTDATA("Sum of Month "&amp;$S$9,'PT-All'!$A$1,"Scenario",Q$14,"P&amp;L Item",$B106),0),0)+IF($T$15,IFERROR(GETPIVOTDATA("Sum of Month "&amp;$T$9,'PT-All'!$A$1,"Scenario",Q$15,"P&amp;L Item",$B106),0),0)</f>
        <v>0</v>
      </c>
      <c r="R106" s="434"/>
      <c r="S106" s="409">
        <f t="shared" si="51"/>
        <v>0</v>
      </c>
      <c r="T106" s="410">
        <f t="shared" si="52"/>
        <v>0</v>
      </c>
      <c r="U106" s="411"/>
      <c r="V106" s="148"/>
    </row>
    <row r="107" spans="2:22" x14ac:dyDescent="0.35">
      <c r="B107" s="64" t="s">
        <v>135</v>
      </c>
      <c r="C107" s="407">
        <f>IFERROR(GETPIVOTDATA("Sum of "&amp;TEXT(C$10,"mmm-yyyy"),'PT-All'!$A$1,"Scenario",C$15,"P&amp;L Item",$B107),0)</f>
        <v>0</v>
      </c>
      <c r="D107" s="407">
        <f>IFERROR(GETPIVOTDATA("Sum of "&amp;TEXT(D$10,"mmm-yyyy"),'PT-All'!$A$1,"Scenario",D$15,"P&amp;L Item",$B107),0)</f>
        <v>0</v>
      </c>
      <c r="E107" s="407">
        <f>IFERROR(GETPIVOTDATA("Sum of "&amp;TEXT(E$10,"mmm-yyyy"),'PT-All'!$A$1,"Scenario",E$15,"P&amp;L Item",$B107),0)</f>
        <v>0</v>
      </c>
      <c r="F107" s="407">
        <f>IFERROR(GETPIVOTDATA("Sum of "&amp;TEXT(F$10,"mmm-yyyy"),'PT-All'!$A$1,"Scenario",F$15,"P&amp;L Item",$B107),0)</f>
        <v>0</v>
      </c>
      <c r="G107" s="408">
        <f>IFERROR(GETPIVOTDATA("Sum of "&amp;TEXT(G$10,"mmm-yyyy"),'PT-All'!$A$1,"Scenario",G$15,"P&amp;L Item",$B107),0)</f>
        <v>0</v>
      </c>
      <c r="H107" s="409">
        <f>IFERROR(GETPIVOTDATA("Sum of "&amp;TEXT(H$10,"mmm-yyyy"),'PT-All'!$A$1,"Scenario",H$15,"P&amp;L Item",$B107),0)</f>
        <v>0</v>
      </c>
      <c r="I107" s="409">
        <f>IFERROR(GETPIVOTDATA("Sum of "&amp;TEXT(I$10,"mmm-yyyy"),'PT-All'!$A$1,"Scenario",I$15,"P&amp;L Item",$B107),0)</f>
        <v>0</v>
      </c>
      <c r="J107" s="437"/>
      <c r="K107" s="409">
        <f t="shared" si="48"/>
        <v>0</v>
      </c>
      <c r="L107" s="410">
        <f t="shared" si="49"/>
        <v>0</v>
      </c>
      <c r="M107" s="180"/>
      <c r="N107" s="407">
        <f>IFERROR(GETPIVOTDATA("Sum of Q"&amp;N$9,'PT-All'!$A$1,"Scenario",N$15,"P&amp;L Item",$B107),0)</f>
        <v>0</v>
      </c>
      <c r="O107" s="408">
        <f>IFERROR(GETPIVOTDATA("Sum of Q"&amp;O$9,'PT-All'!$A$1,"Scenario",O$15,"P&amp;L Item",$B107),0)</f>
        <v>0</v>
      </c>
      <c r="P107" s="409">
        <f>IF($T$13,IFERROR(GETPIVOTDATA("Sum of Month "&amp;$Q$9,'PT-All'!$A$1,"Scenario",P$13,"P&amp;L Item",$B107),0),0)+IF($T$14,IFERROR(GETPIVOTDATA("Sum of Month "&amp;$S$9,'PT-All'!$A$1,"Scenario",P$14,"P&amp;L Item",$B107),0),0)+IF($T$15,IFERROR(GETPIVOTDATA("Sum of Month "&amp;$T$9,'PT-All'!$A$1,"Scenario",P$15,"P&amp;L Item",$B107),0),0)</f>
        <v>0</v>
      </c>
      <c r="Q107" s="409">
        <f>IF($T$13,IFERROR(GETPIVOTDATA("Sum of Month "&amp;$Q$9,'PT-All'!$A$1,"Scenario",Q$13,"P&amp;L Item",$B107),0),0)+IF($T$14,IFERROR(GETPIVOTDATA("Sum of Month "&amp;$S$9,'PT-All'!$A$1,"Scenario",Q$14,"P&amp;L Item",$B107),0),0)+IF($T$15,IFERROR(GETPIVOTDATA("Sum of Month "&amp;$T$9,'PT-All'!$A$1,"Scenario",Q$15,"P&amp;L Item",$B107),0),0)</f>
        <v>0</v>
      </c>
      <c r="R107" s="437"/>
      <c r="S107" s="409">
        <f t="shared" si="51"/>
        <v>0</v>
      </c>
      <c r="T107" s="410">
        <f t="shared" si="52"/>
        <v>0</v>
      </c>
      <c r="U107" s="411"/>
      <c r="V107" s="148"/>
    </row>
    <row r="108" spans="2:22" x14ac:dyDescent="0.35">
      <c r="B108" s="64" t="s">
        <v>136</v>
      </c>
      <c r="C108" s="407">
        <f>IFERROR(GETPIVOTDATA("Sum of "&amp;TEXT(C$10,"mmm-yyyy"),'PT-All'!$A$1,"Scenario",C$15,"P&amp;L Item",$B108),0)</f>
        <v>0</v>
      </c>
      <c r="D108" s="407">
        <f>IFERROR(GETPIVOTDATA("Sum of "&amp;TEXT(D$10,"mmm-yyyy"),'PT-All'!$A$1,"Scenario",D$15,"P&amp;L Item",$B108),0)</f>
        <v>0</v>
      </c>
      <c r="E108" s="407">
        <f>IFERROR(GETPIVOTDATA("Sum of "&amp;TEXT(E$10,"mmm-yyyy"),'PT-All'!$A$1,"Scenario",E$15,"P&amp;L Item",$B108),0)</f>
        <v>0</v>
      </c>
      <c r="F108" s="407">
        <f>IFERROR(GETPIVOTDATA("Sum of "&amp;TEXT(F$10,"mmm-yyyy"),'PT-All'!$A$1,"Scenario",F$15,"P&amp;L Item",$B108),0)</f>
        <v>0</v>
      </c>
      <c r="G108" s="408">
        <f>IFERROR(GETPIVOTDATA("Sum of "&amp;TEXT(G$10,"mmm-yyyy"),'PT-All'!$A$1,"Scenario",G$15,"P&amp;L Item",$B108),0)</f>
        <v>0</v>
      </c>
      <c r="H108" s="409">
        <f>IFERROR(GETPIVOTDATA("Sum of "&amp;TEXT(H$10,"mmm-yyyy"),'PT-All'!$A$1,"Scenario",H$15,"P&amp;L Item",$B108),0)</f>
        <v>0</v>
      </c>
      <c r="I108" s="409">
        <f>IFERROR(GETPIVOTDATA("Sum of "&amp;TEXT(I$10,"mmm-yyyy"),'PT-All'!$A$1,"Scenario",I$15,"P&amp;L Item",$B108),0)</f>
        <v>0</v>
      </c>
      <c r="J108" s="437"/>
      <c r="K108" s="409">
        <f t="shared" si="48"/>
        <v>0</v>
      </c>
      <c r="L108" s="410">
        <f t="shared" si="49"/>
        <v>0</v>
      </c>
      <c r="M108" s="180"/>
      <c r="N108" s="407">
        <f>IFERROR(GETPIVOTDATA("Sum of Q"&amp;N$9,'PT-All'!$A$1,"Scenario",N$15,"P&amp;L Item",$B108),0)</f>
        <v>0</v>
      </c>
      <c r="O108" s="408">
        <f>IFERROR(GETPIVOTDATA("Sum of Q"&amp;O$9,'PT-All'!$A$1,"Scenario",O$15,"P&amp;L Item",$B108),0)</f>
        <v>0</v>
      </c>
      <c r="P108" s="409">
        <f>IF($T$13,IFERROR(GETPIVOTDATA("Sum of Month "&amp;$Q$9,'PT-All'!$A$1,"Scenario",P$13,"P&amp;L Item",$B108),0),0)+IF($T$14,IFERROR(GETPIVOTDATA("Sum of Month "&amp;$S$9,'PT-All'!$A$1,"Scenario",P$14,"P&amp;L Item",$B108),0),0)+IF($T$15,IFERROR(GETPIVOTDATA("Sum of Month "&amp;$T$9,'PT-All'!$A$1,"Scenario",P$15,"P&amp;L Item",$B108),0),0)</f>
        <v>0</v>
      </c>
      <c r="Q108" s="409">
        <f>IF($T$13,IFERROR(GETPIVOTDATA("Sum of Month "&amp;$Q$9,'PT-All'!$A$1,"Scenario",Q$13,"P&amp;L Item",$B108),0),0)+IF($T$14,IFERROR(GETPIVOTDATA("Sum of Month "&amp;$S$9,'PT-All'!$A$1,"Scenario",Q$14,"P&amp;L Item",$B108),0),0)+IF($T$15,IFERROR(GETPIVOTDATA("Sum of Month "&amp;$T$9,'PT-All'!$A$1,"Scenario",Q$15,"P&amp;L Item",$B108),0),0)</f>
        <v>0</v>
      </c>
      <c r="R108" s="437"/>
      <c r="S108" s="409">
        <f t="shared" si="51"/>
        <v>0</v>
      </c>
      <c r="T108" s="410">
        <f t="shared" si="52"/>
        <v>0</v>
      </c>
      <c r="U108" s="411"/>
      <c r="V108" s="148"/>
    </row>
    <row r="109" spans="2:22" x14ac:dyDescent="0.35">
      <c r="B109" s="64" t="s">
        <v>137</v>
      </c>
      <c r="C109" s="407">
        <f>IFERROR(GETPIVOTDATA("Sum of "&amp;TEXT(C$10,"mmm-yyyy"),'PT-All'!$A$1,"Scenario",C$15,"P&amp;L Item",$B109),0)</f>
        <v>0</v>
      </c>
      <c r="D109" s="407">
        <f>IFERROR(GETPIVOTDATA("Sum of "&amp;TEXT(D$10,"mmm-yyyy"),'PT-All'!$A$1,"Scenario",D$15,"P&amp;L Item",$B109),0)</f>
        <v>0</v>
      </c>
      <c r="E109" s="407">
        <f>IFERROR(GETPIVOTDATA("Sum of "&amp;TEXT(E$10,"mmm-yyyy"),'PT-All'!$A$1,"Scenario",E$15,"P&amp;L Item",$B109),0)</f>
        <v>0</v>
      </c>
      <c r="F109" s="407">
        <f>IFERROR(GETPIVOTDATA("Sum of "&amp;TEXT(F$10,"mmm-yyyy"),'PT-All'!$A$1,"Scenario",F$15,"P&amp;L Item",$B109),0)</f>
        <v>0</v>
      </c>
      <c r="G109" s="408">
        <f>IFERROR(GETPIVOTDATA("Sum of "&amp;TEXT(G$10,"mmm-yyyy"),'PT-All'!$A$1,"Scenario",G$15,"P&amp;L Item",$B109),0)</f>
        <v>0</v>
      </c>
      <c r="H109" s="409">
        <f>IFERROR(GETPIVOTDATA("Sum of "&amp;TEXT(H$10,"mmm-yyyy"),'PT-All'!$A$1,"Scenario",H$15,"P&amp;L Item",$B109),0)</f>
        <v>0</v>
      </c>
      <c r="I109" s="409">
        <f>IFERROR(GETPIVOTDATA("Sum of "&amp;TEXT(I$10,"mmm-yyyy"),'PT-All'!$A$1,"Scenario",I$15,"P&amp;L Item",$B109),0)</f>
        <v>0</v>
      </c>
      <c r="J109" s="457"/>
      <c r="K109" s="409">
        <f t="shared" si="48"/>
        <v>0</v>
      </c>
      <c r="L109" s="410">
        <f t="shared" si="49"/>
        <v>0</v>
      </c>
      <c r="M109" s="180"/>
      <c r="N109" s="407">
        <f>IFERROR(GETPIVOTDATA("Sum of Q"&amp;N$9,'PT-All'!$A$1,"Scenario",N$15,"P&amp;L Item",$B109),0)</f>
        <v>0</v>
      </c>
      <c r="O109" s="408">
        <f>IFERROR(GETPIVOTDATA("Sum of Q"&amp;O$9,'PT-All'!$A$1,"Scenario",O$15,"P&amp;L Item",$B109),0)</f>
        <v>0</v>
      </c>
      <c r="P109" s="409">
        <f>IF($T$13,IFERROR(GETPIVOTDATA("Sum of Month "&amp;$Q$9,'PT-All'!$A$1,"Scenario",P$13,"P&amp;L Item",$B109),0),0)+IF($T$14,IFERROR(GETPIVOTDATA("Sum of Month "&amp;$S$9,'PT-All'!$A$1,"Scenario",P$14,"P&amp;L Item",$B109),0),0)+IF($T$15,IFERROR(GETPIVOTDATA("Sum of Month "&amp;$T$9,'PT-All'!$A$1,"Scenario",P$15,"P&amp;L Item",$B109),0),0)</f>
        <v>0</v>
      </c>
      <c r="Q109" s="409">
        <f>IF($T$13,IFERROR(GETPIVOTDATA("Sum of Month "&amp;$Q$9,'PT-All'!$A$1,"Scenario",Q$13,"P&amp;L Item",$B109),0),0)+IF($T$14,IFERROR(GETPIVOTDATA("Sum of Month "&amp;$S$9,'PT-All'!$A$1,"Scenario",Q$14,"P&amp;L Item",$B109),0),0)+IF($T$15,IFERROR(GETPIVOTDATA("Sum of Month "&amp;$T$9,'PT-All'!$A$1,"Scenario",Q$15,"P&amp;L Item",$B109),0),0)</f>
        <v>0</v>
      </c>
      <c r="R109" s="457"/>
      <c r="S109" s="409">
        <f t="shared" si="51"/>
        <v>0</v>
      </c>
      <c r="T109" s="410">
        <f t="shared" si="52"/>
        <v>0</v>
      </c>
      <c r="U109" s="411"/>
      <c r="V109" s="148"/>
    </row>
    <row r="110" spans="2:22" ht="16" x14ac:dyDescent="0.5">
      <c r="B110" s="64" t="s">
        <v>138</v>
      </c>
      <c r="C110" s="412">
        <f>IFERROR(GETPIVOTDATA("Sum of "&amp;TEXT(C$10,"mmm-yyyy"),'PT-All'!$A$1,"Scenario",C$15,"P&amp;L Item",$B110),0)</f>
        <v>0</v>
      </c>
      <c r="D110" s="412">
        <f>IFERROR(GETPIVOTDATA("Sum of "&amp;TEXT(D$10,"mmm-yyyy"),'PT-All'!$A$1,"Scenario",D$15,"P&amp;L Item",$B110),0)</f>
        <v>0</v>
      </c>
      <c r="E110" s="412">
        <f>IFERROR(GETPIVOTDATA("Sum of "&amp;TEXT(E$10,"mmm-yyyy"),'PT-All'!$A$1,"Scenario",E$15,"P&amp;L Item",$B110),0)</f>
        <v>0</v>
      </c>
      <c r="F110" s="412">
        <f>IFERROR(GETPIVOTDATA("Sum of "&amp;TEXT(F$10,"mmm-yyyy"),'PT-All'!$A$1,"Scenario",F$15,"P&amp;L Item",$B110),0)</f>
        <v>0</v>
      </c>
      <c r="G110" s="413">
        <f>IFERROR(GETPIVOTDATA("Sum of "&amp;TEXT(G$10,"mmm-yyyy"),'PT-All'!$A$1,"Scenario",G$15,"P&amp;L Item",$B110),0)</f>
        <v>0</v>
      </c>
      <c r="H110" s="414">
        <f>IFERROR(GETPIVOTDATA("Sum of "&amp;TEXT(H$10,"mmm-yyyy"),'PT-All'!$A$1,"Scenario",H$15,"P&amp;L Item",$B110),0)</f>
        <v>0</v>
      </c>
      <c r="I110" s="414">
        <f>IFERROR(GETPIVOTDATA("Sum of "&amp;TEXT(I$10,"mmm-yyyy"),'PT-All'!$A$1,"Scenario",I$15,"P&amp;L Item",$B110),0)</f>
        <v>0</v>
      </c>
      <c r="J110" s="138"/>
      <c r="K110" s="414">
        <f t="shared" si="48"/>
        <v>0</v>
      </c>
      <c r="L110" s="415">
        <f t="shared" si="49"/>
        <v>0</v>
      </c>
      <c r="M110" s="180"/>
      <c r="N110" s="412">
        <f>IFERROR(GETPIVOTDATA("Sum of Q"&amp;N$9,'PT-All'!$A$1,"Scenario",N$15,"P&amp;L Item",$B110),0)</f>
        <v>0</v>
      </c>
      <c r="O110" s="413">
        <f>IFERROR(GETPIVOTDATA("Sum of Q"&amp;O$9,'PT-All'!$A$1,"Scenario",O$15,"P&amp;L Item",$B110),0)</f>
        <v>0</v>
      </c>
      <c r="P110" s="414">
        <f>IF($T$13,IFERROR(GETPIVOTDATA("Sum of Month "&amp;$Q$9,'PT-All'!$A$1,"Scenario",P$13,"P&amp;L Item",$B110),0),0)+IF($T$14,IFERROR(GETPIVOTDATA("Sum of Month "&amp;$S$9,'PT-All'!$A$1,"Scenario",P$14,"P&amp;L Item",$B110),0),0)+IF($T$15,IFERROR(GETPIVOTDATA("Sum of Month "&amp;$T$9,'PT-All'!$A$1,"Scenario",P$15,"P&amp;L Item",$B110),0),0)</f>
        <v>0</v>
      </c>
      <c r="Q110" s="414">
        <f>IF($T$13,IFERROR(GETPIVOTDATA("Sum of Month "&amp;$Q$9,'PT-All'!$A$1,"Scenario",Q$13,"P&amp;L Item",$B110),0),0)+IF($T$14,IFERROR(GETPIVOTDATA("Sum of Month "&amp;$S$9,'PT-All'!$A$1,"Scenario",Q$14,"P&amp;L Item",$B110),0),0)+IF($T$15,IFERROR(GETPIVOTDATA("Sum of Month "&amp;$T$9,'PT-All'!$A$1,"Scenario",Q$15,"P&amp;L Item",$B110),0),0)</f>
        <v>0</v>
      </c>
      <c r="R110" s="138"/>
      <c r="S110" s="414">
        <f t="shared" si="51"/>
        <v>0</v>
      </c>
      <c r="T110" s="415">
        <f t="shared" si="52"/>
        <v>0</v>
      </c>
      <c r="U110" s="416"/>
      <c r="V110" s="148"/>
    </row>
    <row r="111" spans="2:22" x14ac:dyDescent="0.35">
      <c r="B111" s="84" t="s">
        <v>139</v>
      </c>
      <c r="C111" s="425">
        <f t="shared" ref="C111:I111" si="63">SUM(C99:C102,C80)</f>
        <v>0</v>
      </c>
      <c r="D111" s="425">
        <f t="shared" si="63"/>
        <v>0</v>
      </c>
      <c r="E111" s="425">
        <f t="shared" si="63"/>
        <v>0</v>
      </c>
      <c r="F111" s="425">
        <f t="shared" si="63"/>
        <v>0</v>
      </c>
      <c r="G111" s="426">
        <f t="shared" si="63"/>
        <v>0</v>
      </c>
      <c r="H111" s="427">
        <f t="shared" si="63"/>
        <v>0</v>
      </c>
      <c r="I111" s="427">
        <f t="shared" si="63"/>
        <v>0</v>
      </c>
      <c r="J111" s="135"/>
      <c r="K111" s="427">
        <f t="shared" si="48"/>
        <v>0</v>
      </c>
      <c r="L111" s="429">
        <f t="shared" si="49"/>
        <v>0</v>
      </c>
      <c r="M111" s="384"/>
      <c r="N111" s="425">
        <f t="shared" ref="N111:O111" si="64">SUM(N99:N102,N80)</f>
        <v>0</v>
      </c>
      <c r="O111" s="426">
        <f t="shared" si="64"/>
        <v>0</v>
      </c>
      <c r="P111" s="427">
        <f t="shared" ref="P111:Q111" si="65">SUM(P99:P102,P80)</f>
        <v>0</v>
      </c>
      <c r="Q111" s="427">
        <f t="shared" si="65"/>
        <v>0</v>
      </c>
      <c r="R111" s="135"/>
      <c r="S111" s="427">
        <f t="shared" si="51"/>
        <v>0</v>
      </c>
      <c r="T111" s="429">
        <f t="shared" si="52"/>
        <v>0</v>
      </c>
      <c r="U111" s="430"/>
      <c r="V111" s="385"/>
    </row>
    <row r="112" spans="2:22" x14ac:dyDescent="0.35">
      <c r="B112" s="358"/>
      <c r="C112" s="379"/>
      <c r="D112" s="379"/>
      <c r="E112" s="379"/>
      <c r="F112" s="379"/>
      <c r="G112" s="380"/>
      <c r="H112" s="381"/>
      <c r="I112" s="381"/>
      <c r="J112" s="138"/>
      <c r="K112" s="381"/>
      <c r="L112" s="382"/>
      <c r="M112" s="180"/>
      <c r="N112" s="379"/>
      <c r="O112" s="380"/>
      <c r="P112" s="381"/>
      <c r="Q112" s="381"/>
      <c r="R112" s="138"/>
      <c r="S112" s="381"/>
      <c r="T112" s="382"/>
      <c r="U112" s="383"/>
      <c r="V112" s="148"/>
    </row>
    <row r="113" spans="2:22" x14ac:dyDescent="0.35">
      <c r="B113" s="67" t="s">
        <v>140</v>
      </c>
      <c r="C113" s="375"/>
      <c r="D113" s="375"/>
      <c r="E113" s="375"/>
      <c r="F113" s="375"/>
      <c r="G113" s="376"/>
      <c r="H113" s="377"/>
      <c r="I113" s="377"/>
      <c r="J113" s="138"/>
      <c r="K113" s="377"/>
      <c r="L113" s="143"/>
      <c r="M113" s="180"/>
      <c r="N113" s="375"/>
      <c r="O113" s="376"/>
      <c r="P113" s="377"/>
      <c r="Q113" s="377"/>
      <c r="R113" s="138"/>
      <c r="S113" s="377"/>
      <c r="T113" s="143"/>
      <c r="U113" s="374"/>
      <c r="V113" s="148"/>
    </row>
    <row r="114" spans="2:22" x14ac:dyDescent="0.35">
      <c r="B114" s="81" t="s">
        <v>18</v>
      </c>
      <c r="C114" s="375">
        <f>IFERROR(GETPIVOTDATA("Sum of "&amp;TEXT(C$10,"mmm-yyyy"),'PT-All'!$A$1,"Scenario",C$15,"P&amp;L Item",$B114),0)</f>
        <v>0</v>
      </c>
      <c r="D114" s="375">
        <f>IFERROR(GETPIVOTDATA("Sum of "&amp;TEXT(D$10,"mmm-yyyy"),'PT-All'!$A$1,"Scenario",D$15,"P&amp;L Item",$B114),0)</f>
        <v>0</v>
      </c>
      <c r="E114" s="375">
        <f>IFERROR(GETPIVOTDATA("Sum of "&amp;TEXT(E$10,"mmm-yyyy"),'PT-All'!$A$1,"Scenario",E$15,"P&amp;L Item",$B114),0)</f>
        <v>0</v>
      </c>
      <c r="F114" s="375">
        <f>IFERROR(GETPIVOTDATA("Sum of "&amp;TEXT(F$10,"mmm-yyyy"),'PT-All'!$A$1,"Scenario",F$15,"P&amp;L Item",$B114),0)</f>
        <v>0</v>
      </c>
      <c r="G114" s="376">
        <f>IFERROR(GETPIVOTDATA("Sum of "&amp;TEXT(G$10,"mmm-yyyy"),'PT-All'!$A$1,"Scenario",G$15,"P&amp;L Item",$B114),0)</f>
        <v>0</v>
      </c>
      <c r="H114" s="377">
        <f>IFERROR(GETPIVOTDATA("Sum of "&amp;TEXT(H$10,"mmm-yyyy"),'PT-All'!$A$1,"Scenario",H$15,"P&amp;L Item",$B114),0)</f>
        <v>0</v>
      </c>
      <c r="I114" s="377">
        <f>IFERROR(GETPIVOTDATA("Sum of "&amp;TEXT(I$10,"mmm-yyyy"),'PT-All'!$A$1,"Scenario",I$15,"P&amp;L Item",$B114),0)</f>
        <v>0</v>
      </c>
      <c r="J114" s="138"/>
      <c r="K114" s="377">
        <f t="shared" ref="K114:K145" si="66">I114-H114</f>
        <v>0</v>
      </c>
      <c r="L114" s="143">
        <f t="shared" ref="L114:L145" si="67">IFERROR(SIGN(K114)*ABS(K114/I114),0)</f>
        <v>0</v>
      </c>
      <c r="M114" s="180"/>
      <c r="N114" s="375">
        <f>IFERROR(GETPIVOTDATA("Sum of Q"&amp;N$9,'PT-All'!$A$1,"Scenario",N$15,"P&amp;L Item",$B114),0)</f>
        <v>0</v>
      </c>
      <c r="O114" s="376">
        <f>IFERROR(GETPIVOTDATA("Sum of Q"&amp;O$9,'PT-All'!$A$1,"Scenario",O$15,"P&amp;L Item",$B114),0)</f>
        <v>0</v>
      </c>
      <c r="P114" s="377">
        <f>IF($T$13,IFERROR(GETPIVOTDATA("Sum of Month "&amp;$Q$9,'PT-All'!$A$1,"Scenario",P$13,"P&amp;L Item",$B114),0),0)+IF($T$14,IFERROR(GETPIVOTDATA("Sum of Month "&amp;$S$9,'PT-All'!$A$1,"Scenario",P$14,"P&amp;L Item",$B114),0),0)+IF($T$15,IFERROR(GETPIVOTDATA("Sum of Month "&amp;$T$9,'PT-All'!$A$1,"Scenario",P$15,"P&amp;L Item",$B114),0),0)</f>
        <v>0</v>
      </c>
      <c r="Q114" s="377">
        <f>IF($T$13,IFERROR(GETPIVOTDATA("Sum of Month "&amp;$Q$9,'PT-All'!$A$1,"Scenario",Q$13,"P&amp;L Item",$B114),0),0)+IF($T$14,IFERROR(GETPIVOTDATA("Sum of Month "&amp;$S$9,'PT-All'!$A$1,"Scenario",Q$14,"P&amp;L Item",$B114),0),0)+IF($T$15,IFERROR(GETPIVOTDATA("Sum of Month "&amp;$T$9,'PT-All'!$A$1,"Scenario",Q$15,"P&amp;L Item",$B114),0),0)</f>
        <v>0</v>
      </c>
      <c r="R114" s="138"/>
      <c r="S114" s="377">
        <f t="shared" ref="S114:S145" si="68">Q114-P114</f>
        <v>0</v>
      </c>
      <c r="T114" s="143">
        <f t="shared" ref="T114:T145" si="69">IFERROR(SIGN(S114)*ABS(S114/Q114),0)</f>
        <v>0</v>
      </c>
      <c r="U114" s="374"/>
      <c r="V114" s="148"/>
    </row>
    <row r="115" spans="2:22" x14ac:dyDescent="0.35">
      <c r="B115" s="74" t="s">
        <v>141</v>
      </c>
      <c r="C115" s="69">
        <f t="shared" ref="C115:I115" si="70">SUM(C116,C124)</f>
        <v>0</v>
      </c>
      <c r="D115" s="69">
        <f t="shared" si="70"/>
        <v>0</v>
      </c>
      <c r="E115" s="69">
        <f t="shared" si="70"/>
        <v>0</v>
      </c>
      <c r="F115" s="69">
        <f t="shared" si="70"/>
        <v>0</v>
      </c>
      <c r="G115" s="145">
        <f t="shared" si="70"/>
        <v>0</v>
      </c>
      <c r="H115" s="144">
        <f t="shared" si="70"/>
        <v>0</v>
      </c>
      <c r="I115" s="144">
        <f t="shared" si="70"/>
        <v>0</v>
      </c>
      <c r="J115" s="138"/>
      <c r="K115" s="144">
        <f t="shared" si="66"/>
        <v>0</v>
      </c>
      <c r="L115" s="143">
        <f t="shared" si="67"/>
        <v>0</v>
      </c>
      <c r="M115" s="180"/>
      <c r="N115" s="69">
        <f t="shared" ref="N115:Q115" si="71">SUM(N116,N124)</f>
        <v>0</v>
      </c>
      <c r="O115" s="145">
        <f t="shared" si="71"/>
        <v>0</v>
      </c>
      <c r="P115" s="144">
        <f t="shared" si="71"/>
        <v>0</v>
      </c>
      <c r="Q115" s="144">
        <f t="shared" si="71"/>
        <v>0</v>
      </c>
      <c r="R115" s="138"/>
      <c r="S115" s="144">
        <f t="shared" si="68"/>
        <v>0</v>
      </c>
      <c r="T115" s="143">
        <f t="shared" si="69"/>
        <v>0</v>
      </c>
      <c r="U115" s="374"/>
      <c r="V115" s="148"/>
    </row>
    <row r="116" spans="2:22" x14ac:dyDescent="0.35">
      <c r="B116" s="359" t="s">
        <v>142</v>
      </c>
      <c r="C116" s="69">
        <f t="shared" ref="C116:I116" si="72">SUM(C117:C123)</f>
        <v>0</v>
      </c>
      <c r="D116" s="69">
        <f t="shared" si="72"/>
        <v>0</v>
      </c>
      <c r="E116" s="69">
        <f t="shared" si="72"/>
        <v>0</v>
      </c>
      <c r="F116" s="69">
        <f t="shared" si="72"/>
        <v>0</v>
      </c>
      <c r="G116" s="145">
        <f t="shared" si="72"/>
        <v>0</v>
      </c>
      <c r="H116" s="144">
        <f t="shared" si="72"/>
        <v>0</v>
      </c>
      <c r="I116" s="144">
        <f t="shared" si="72"/>
        <v>0</v>
      </c>
      <c r="J116" s="138"/>
      <c r="K116" s="144">
        <f t="shared" si="66"/>
        <v>0</v>
      </c>
      <c r="L116" s="143">
        <f t="shared" si="67"/>
        <v>0</v>
      </c>
      <c r="M116" s="180"/>
      <c r="N116" s="69">
        <f t="shared" ref="N116:Q116" si="73">SUM(N117:N123)</f>
        <v>0</v>
      </c>
      <c r="O116" s="145">
        <f t="shared" si="73"/>
        <v>0</v>
      </c>
      <c r="P116" s="144">
        <f t="shared" si="73"/>
        <v>0</v>
      </c>
      <c r="Q116" s="144">
        <f t="shared" si="73"/>
        <v>0</v>
      </c>
      <c r="R116" s="138"/>
      <c r="S116" s="144">
        <f t="shared" si="68"/>
        <v>0</v>
      </c>
      <c r="T116" s="143">
        <f t="shared" si="69"/>
        <v>0</v>
      </c>
      <c r="U116" s="374"/>
      <c r="V116" s="148"/>
    </row>
    <row r="117" spans="2:22" x14ac:dyDescent="0.35">
      <c r="B117" s="76" t="s">
        <v>143</v>
      </c>
      <c r="C117" s="407">
        <f>IFERROR(GETPIVOTDATA("Sum of "&amp;TEXT(C$10,"mmm-yyyy"),'PT-All'!$A$1,"Scenario",C$15,"P&amp;L Item",$B117),0)</f>
        <v>0</v>
      </c>
      <c r="D117" s="407">
        <f>IFERROR(GETPIVOTDATA("Sum of "&amp;TEXT(D$10,"mmm-yyyy"),'PT-All'!$A$1,"Scenario",D$15,"P&amp;L Item",$B117),0)</f>
        <v>0</v>
      </c>
      <c r="E117" s="407">
        <f>IFERROR(GETPIVOTDATA("Sum of "&amp;TEXT(E$10,"mmm-yyyy"),'PT-All'!$A$1,"Scenario",E$15,"P&amp;L Item",$B117),0)</f>
        <v>0</v>
      </c>
      <c r="F117" s="407">
        <f>IFERROR(GETPIVOTDATA("Sum of "&amp;TEXT(F$10,"mmm-yyyy"),'PT-All'!$A$1,"Scenario",F$15,"P&amp;L Item",$B117),0)</f>
        <v>0</v>
      </c>
      <c r="G117" s="408">
        <f>IFERROR(GETPIVOTDATA("Sum of "&amp;TEXT(G$10,"mmm-yyyy"),'PT-All'!$A$1,"Scenario",G$15,"P&amp;L Item",$B117),0)</f>
        <v>0</v>
      </c>
      <c r="H117" s="409">
        <f>IFERROR(GETPIVOTDATA("Sum of "&amp;TEXT(H$10,"mmm-yyyy"),'PT-All'!$A$1,"Scenario",H$15,"P&amp;L Item",$B117),0)</f>
        <v>0</v>
      </c>
      <c r="I117" s="409">
        <f>IFERROR(GETPIVOTDATA("Sum of "&amp;TEXT(I$10,"mmm-yyyy"),'PT-All'!$A$1,"Scenario",I$15,"P&amp;L Item",$B117),0)</f>
        <v>0</v>
      </c>
      <c r="J117" s="138"/>
      <c r="K117" s="409">
        <f t="shared" si="66"/>
        <v>0</v>
      </c>
      <c r="L117" s="410">
        <f t="shared" si="67"/>
        <v>0</v>
      </c>
      <c r="M117" s="180"/>
      <c r="N117" s="407">
        <f>IFERROR(GETPIVOTDATA("Sum of Q"&amp;N$9,'PT-All'!$A$1,"Scenario",N$15,"P&amp;L Item",$B117),0)</f>
        <v>0</v>
      </c>
      <c r="O117" s="408">
        <f>IFERROR(GETPIVOTDATA("Sum of Q"&amp;O$9,'PT-All'!$A$1,"Scenario",O$15,"P&amp;L Item",$B117),0)</f>
        <v>0</v>
      </c>
      <c r="P117" s="409">
        <f>IF($T$13,IFERROR(GETPIVOTDATA("Sum of Month "&amp;$Q$9,'PT-All'!$A$1,"Scenario",P$13,"P&amp;L Item",$B117),0),0)+IF($T$14,IFERROR(GETPIVOTDATA("Sum of Month "&amp;$S$9,'PT-All'!$A$1,"Scenario",P$14,"P&amp;L Item",$B117),0),0)+IF($T$15,IFERROR(GETPIVOTDATA("Sum of Month "&amp;$T$9,'PT-All'!$A$1,"Scenario",P$15,"P&amp;L Item",$B117),0),0)</f>
        <v>0</v>
      </c>
      <c r="Q117" s="409">
        <f>IF($T$13,IFERROR(GETPIVOTDATA("Sum of Month "&amp;$Q$9,'PT-All'!$A$1,"Scenario",Q$13,"P&amp;L Item",$B117),0),0)+IF($T$14,IFERROR(GETPIVOTDATA("Sum of Month "&amp;$S$9,'PT-All'!$A$1,"Scenario",Q$14,"P&amp;L Item",$B117),0),0)+IF($T$15,IFERROR(GETPIVOTDATA("Sum of Month "&amp;$T$9,'PT-All'!$A$1,"Scenario",Q$15,"P&amp;L Item",$B117),0),0)</f>
        <v>0</v>
      </c>
      <c r="R117" s="138"/>
      <c r="S117" s="409">
        <f t="shared" si="68"/>
        <v>0</v>
      </c>
      <c r="T117" s="410">
        <f t="shared" si="69"/>
        <v>0</v>
      </c>
      <c r="U117" s="411"/>
      <c r="V117" s="148"/>
    </row>
    <row r="118" spans="2:22" x14ac:dyDescent="0.35">
      <c r="B118" s="76" t="s">
        <v>144</v>
      </c>
      <c r="C118" s="407">
        <f>IFERROR(GETPIVOTDATA("Sum of "&amp;TEXT(C$10,"mmm-yyyy"),'PT-All'!$A$1,"Scenario",C$15,"P&amp;L Item",$B118),0)</f>
        <v>0</v>
      </c>
      <c r="D118" s="407">
        <f>IFERROR(GETPIVOTDATA("Sum of "&amp;TEXT(D$10,"mmm-yyyy"),'PT-All'!$A$1,"Scenario",D$15,"P&amp;L Item",$B118),0)</f>
        <v>0</v>
      </c>
      <c r="E118" s="407">
        <f>IFERROR(GETPIVOTDATA("Sum of "&amp;TEXT(E$10,"mmm-yyyy"),'PT-All'!$A$1,"Scenario",E$15,"P&amp;L Item",$B118),0)</f>
        <v>0</v>
      </c>
      <c r="F118" s="407">
        <f>IFERROR(GETPIVOTDATA("Sum of "&amp;TEXT(F$10,"mmm-yyyy"),'PT-All'!$A$1,"Scenario",F$15,"P&amp;L Item",$B118),0)</f>
        <v>0</v>
      </c>
      <c r="G118" s="408">
        <f>IFERROR(GETPIVOTDATA("Sum of "&amp;TEXT(G$10,"mmm-yyyy"),'PT-All'!$A$1,"Scenario",G$15,"P&amp;L Item",$B118),0)</f>
        <v>0</v>
      </c>
      <c r="H118" s="409">
        <f>IFERROR(GETPIVOTDATA("Sum of "&amp;TEXT(H$10,"mmm-yyyy"),'PT-All'!$A$1,"Scenario",H$15,"P&amp;L Item",$B118),0)</f>
        <v>0</v>
      </c>
      <c r="I118" s="409">
        <f>IFERROR(GETPIVOTDATA("Sum of "&amp;TEXT(I$10,"mmm-yyyy"),'PT-All'!$A$1,"Scenario",I$15,"P&amp;L Item",$B118),0)</f>
        <v>0</v>
      </c>
      <c r="J118" s="138"/>
      <c r="K118" s="409">
        <f t="shared" si="66"/>
        <v>0</v>
      </c>
      <c r="L118" s="410">
        <f t="shared" si="67"/>
        <v>0</v>
      </c>
      <c r="M118" s="180"/>
      <c r="N118" s="407">
        <f>IFERROR(GETPIVOTDATA("Sum of Q"&amp;N$9,'PT-All'!$A$1,"Scenario",N$15,"P&amp;L Item",$B118),0)</f>
        <v>0</v>
      </c>
      <c r="O118" s="408">
        <f>IFERROR(GETPIVOTDATA("Sum of Q"&amp;O$9,'PT-All'!$A$1,"Scenario",O$15,"P&amp;L Item",$B118),0)</f>
        <v>0</v>
      </c>
      <c r="P118" s="409">
        <f>IF($T$13,IFERROR(GETPIVOTDATA("Sum of Month "&amp;$Q$9,'PT-All'!$A$1,"Scenario",P$13,"P&amp;L Item",$B118),0),0)+IF($T$14,IFERROR(GETPIVOTDATA("Sum of Month "&amp;$S$9,'PT-All'!$A$1,"Scenario",P$14,"P&amp;L Item",$B118),0),0)+IF($T$15,IFERROR(GETPIVOTDATA("Sum of Month "&amp;$T$9,'PT-All'!$A$1,"Scenario",P$15,"P&amp;L Item",$B118),0),0)</f>
        <v>0</v>
      </c>
      <c r="Q118" s="409">
        <f>IF($T$13,IFERROR(GETPIVOTDATA("Sum of Month "&amp;$Q$9,'PT-All'!$A$1,"Scenario",Q$13,"P&amp;L Item",$B118),0),0)+IF($T$14,IFERROR(GETPIVOTDATA("Sum of Month "&amp;$S$9,'PT-All'!$A$1,"Scenario",Q$14,"P&amp;L Item",$B118),0),0)+IF($T$15,IFERROR(GETPIVOTDATA("Sum of Month "&amp;$T$9,'PT-All'!$A$1,"Scenario",Q$15,"P&amp;L Item",$B118),0),0)</f>
        <v>0</v>
      </c>
      <c r="R118" s="138"/>
      <c r="S118" s="409">
        <f t="shared" si="68"/>
        <v>0</v>
      </c>
      <c r="T118" s="410">
        <f t="shared" si="69"/>
        <v>0</v>
      </c>
      <c r="U118" s="411"/>
      <c r="V118" s="148"/>
    </row>
    <row r="119" spans="2:22" x14ac:dyDescent="0.35">
      <c r="B119" s="76" t="s">
        <v>145</v>
      </c>
      <c r="C119" s="407">
        <f>IFERROR(GETPIVOTDATA("Sum of "&amp;TEXT(C$10,"mmm-yyyy"),'PT-All'!$A$1,"Scenario",C$15,"P&amp;L Item",$B119),0)</f>
        <v>0</v>
      </c>
      <c r="D119" s="407">
        <f>IFERROR(GETPIVOTDATA("Sum of "&amp;TEXT(D$10,"mmm-yyyy"),'PT-All'!$A$1,"Scenario",D$15,"P&amp;L Item",$B119),0)</f>
        <v>0</v>
      </c>
      <c r="E119" s="407">
        <f>IFERROR(GETPIVOTDATA("Sum of "&amp;TEXT(E$10,"mmm-yyyy"),'PT-All'!$A$1,"Scenario",E$15,"P&amp;L Item",$B119),0)</f>
        <v>0</v>
      </c>
      <c r="F119" s="407">
        <f>IFERROR(GETPIVOTDATA("Sum of "&amp;TEXT(F$10,"mmm-yyyy"),'PT-All'!$A$1,"Scenario",F$15,"P&amp;L Item",$B119),0)</f>
        <v>0</v>
      </c>
      <c r="G119" s="408">
        <f>IFERROR(GETPIVOTDATA("Sum of "&amp;TEXT(G$10,"mmm-yyyy"),'PT-All'!$A$1,"Scenario",G$15,"P&amp;L Item",$B119),0)</f>
        <v>0</v>
      </c>
      <c r="H119" s="409">
        <f>IFERROR(GETPIVOTDATA("Sum of "&amp;TEXT(H$10,"mmm-yyyy"),'PT-All'!$A$1,"Scenario",H$15,"P&amp;L Item",$B119),0)</f>
        <v>0</v>
      </c>
      <c r="I119" s="409">
        <f>IFERROR(GETPIVOTDATA("Sum of "&amp;TEXT(I$10,"mmm-yyyy"),'PT-All'!$A$1,"Scenario",I$15,"P&amp;L Item",$B119),0)</f>
        <v>0</v>
      </c>
      <c r="J119" s="138"/>
      <c r="K119" s="409">
        <f t="shared" si="66"/>
        <v>0</v>
      </c>
      <c r="L119" s="410">
        <f t="shared" si="67"/>
        <v>0</v>
      </c>
      <c r="M119" s="180"/>
      <c r="N119" s="407">
        <f>IFERROR(GETPIVOTDATA("Sum of Q"&amp;N$9,'PT-All'!$A$1,"Scenario",N$15,"P&amp;L Item",$B119),0)</f>
        <v>0</v>
      </c>
      <c r="O119" s="408">
        <f>IFERROR(GETPIVOTDATA("Sum of Q"&amp;O$9,'PT-All'!$A$1,"Scenario",O$15,"P&amp;L Item",$B119),0)</f>
        <v>0</v>
      </c>
      <c r="P119" s="409">
        <f>IF($T$13,IFERROR(GETPIVOTDATA("Sum of Month "&amp;$Q$9,'PT-All'!$A$1,"Scenario",P$13,"P&amp;L Item",$B119),0),0)+IF($T$14,IFERROR(GETPIVOTDATA("Sum of Month "&amp;$S$9,'PT-All'!$A$1,"Scenario",P$14,"P&amp;L Item",$B119),0),0)+IF($T$15,IFERROR(GETPIVOTDATA("Sum of Month "&amp;$T$9,'PT-All'!$A$1,"Scenario",P$15,"P&amp;L Item",$B119),0),0)</f>
        <v>0</v>
      </c>
      <c r="Q119" s="409">
        <f>IF($T$13,IFERROR(GETPIVOTDATA("Sum of Month "&amp;$Q$9,'PT-All'!$A$1,"Scenario",Q$13,"P&amp;L Item",$B119),0),0)+IF($T$14,IFERROR(GETPIVOTDATA("Sum of Month "&amp;$S$9,'PT-All'!$A$1,"Scenario",Q$14,"P&amp;L Item",$B119),0),0)+IF($T$15,IFERROR(GETPIVOTDATA("Sum of Month "&amp;$T$9,'PT-All'!$A$1,"Scenario",Q$15,"P&amp;L Item",$B119),0),0)</f>
        <v>0</v>
      </c>
      <c r="R119" s="138"/>
      <c r="S119" s="409">
        <f t="shared" si="68"/>
        <v>0</v>
      </c>
      <c r="T119" s="410">
        <f t="shared" si="69"/>
        <v>0</v>
      </c>
      <c r="U119" s="411"/>
      <c r="V119" s="148"/>
    </row>
    <row r="120" spans="2:22" x14ac:dyDescent="0.35">
      <c r="B120" s="76" t="s">
        <v>146</v>
      </c>
      <c r="C120" s="407">
        <f>IFERROR(GETPIVOTDATA("Sum of "&amp;TEXT(C$10,"mmm-yyyy"),'PT-All'!$A$1,"Scenario",C$15,"P&amp;L Item",$B120),0)</f>
        <v>0</v>
      </c>
      <c r="D120" s="407">
        <f>IFERROR(GETPIVOTDATA("Sum of "&amp;TEXT(D$10,"mmm-yyyy"),'PT-All'!$A$1,"Scenario",D$15,"P&amp;L Item",$B120),0)</f>
        <v>0</v>
      </c>
      <c r="E120" s="407">
        <f>IFERROR(GETPIVOTDATA("Sum of "&amp;TEXT(E$10,"mmm-yyyy"),'PT-All'!$A$1,"Scenario",E$15,"P&amp;L Item",$B120),0)</f>
        <v>0</v>
      </c>
      <c r="F120" s="407">
        <f>IFERROR(GETPIVOTDATA("Sum of "&amp;TEXT(F$10,"mmm-yyyy"),'PT-All'!$A$1,"Scenario",F$15,"P&amp;L Item",$B120),0)</f>
        <v>0</v>
      </c>
      <c r="G120" s="408">
        <f>IFERROR(GETPIVOTDATA("Sum of "&amp;TEXT(G$10,"mmm-yyyy"),'PT-All'!$A$1,"Scenario",G$15,"P&amp;L Item",$B120),0)</f>
        <v>0</v>
      </c>
      <c r="H120" s="409">
        <f>IFERROR(GETPIVOTDATA("Sum of "&amp;TEXT(H$10,"mmm-yyyy"),'PT-All'!$A$1,"Scenario",H$15,"P&amp;L Item",$B120),0)</f>
        <v>0</v>
      </c>
      <c r="I120" s="409">
        <f>IFERROR(GETPIVOTDATA("Sum of "&amp;TEXT(I$10,"mmm-yyyy"),'PT-All'!$A$1,"Scenario",I$15,"P&amp;L Item",$B120),0)</f>
        <v>0</v>
      </c>
      <c r="J120" s="138"/>
      <c r="K120" s="409">
        <f t="shared" si="66"/>
        <v>0</v>
      </c>
      <c r="L120" s="410">
        <f t="shared" si="67"/>
        <v>0</v>
      </c>
      <c r="M120" s="180"/>
      <c r="N120" s="407">
        <f>IFERROR(GETPIVOTDATA("Sum of Q"&amp;N$9,'PT-All'!$A$1,"Scenario",N$15,"P&amp;L Item",$B120),0)</f>
        <v>0</v>
      </c>
      <c r="O120" s="408">
        <f>IFERROR(GETPIVOTDATA("Sum of Q"&amp;O$9,'PT-All'!$A$1,"Scenario",O$15,"P&amp;L Item",$B120),0)</f>
        <v>0</v>
      </c>
      <c r="P120" s="409">
        <f>IF($T$13,IFERROR(GETPIVOTDATA("Sum of Month "&amp;$Q$9,'PT-All'!$A$1,"Scenario",P$13,"P&amp;L Item",$B120),0),0)+IF($T$14,IFERROR(GETPIVOTDATA("Sum of Month "&amp;$S$9,'PT-All'!$A$1,"Scenario",P$14,"P&amp;L Item",$B120),0),0)+IF($T$15,IFERROR(GETPIVOTDATA("Sum of Month "&amp;$T$9,'PT-All'!$A$1,"Scenario",P$15,"P&amp;L Item",$B120),0),0)</f>
        <v>0</v>
      </c>
      <c r="Q120" s="409">
        <f>IF($T$13,IFERROR(GETPIVOTDATA("Sum of Month "&amp;$Q$9,'PT-All'!$A$1,"Scenario",Q$13,"P&amp;L Item",$B120),0),0)+IF($T$14,IFERROR(GETPIVOTDATA("Sum of Month "&amp;$S$9,'PT-All'!$A$1,"Scenario",Q$14,"P&amp;L Item",$B120),0),0)+IF($T$15,IFERROR(GETPIVOTDATA("Sum of Month "&amp;$T$9,'PT-All'!$A$1,"Scenario",Q$15,"P&amp;L Item",$B120),0),0)</f>
        <v>0</v>
      </c>
      <c r="R120" s="138"/>
      <c r="S120" s="409">
        <f t="shared" si="68"/>
        <v>0</v>
      </c>
      <c r="T120" s="410">
        <f t="shared" si="69"/>
        <v>0</v>
      </c>
      <c r="U120" s="411"/>
      <c r="V120" s="148"/>
    </row>
    <row r="121" spans="2:22" x14ac:dyDescent="0.35">
      <c r="B121" s="76" t="s">
        <v>147</v>
      </c>
      <c r="C121" s="407">
        <f>IFERROR(GETPIVOTDATA("Sum of "&amp;TEXT(C$10,"mmm-yyyy"),'PT-All'!$A$1,"Scenario",C$15,"P&amp;L Item",$B121),0)</f>
        <v>0</v>
      </c>
      <c r="D121" s="407">
        <f>IFERROR(GETPIVOTDATA("Sum of "&amp;TEXT(D$10,"mmm-yyyy"),'PT-All'!$A$1,"Scenario",D$15,"P&amp;L Item",$B121),0)</f>
        <v>0</v>
      </c>
      <c r="E121" s="407">
        <f>IFERROR(GETPIVOTDATA("Sum of "&amp;TEXT(E$10,"mmm-yyyy"),'PT-All'!$A$1,"Scenario",E$15,"P&amp;L Item",$B121),0)</f>
        <v>0</v>
      </c>
      <c r="F121" s="407">
        <f>IFERROR(GETPIVOTDATA("Sum of "&amp;TEXT(F$10,"mmm-yyyy"),'PT-All'!$A$1,"Scenario",F$15,"P&amp;L Item",$B121),0)</f>
        <v>0</v>
      </c>
      <c r="G121" s="408">
        <f>IFERROR(GETPIVOTDATA("Sum of "&amp;TEXT(G$10,"mmm-yyyy"),'PT-All'!$A$1,"Scenario",G$15,"P&amp;L Item",$B121),0)</f>
        <v>0</v>
      </c>
      <c r="H121" s="409">
        <f>IFERROR(GETPIVOTDATA("Sum of "&amp;TEXT(H$10,"mmm-yyyy"),'PT-All'!$A$1,"Scenario",H$15,"P&amp;L Item",$B121),0)</f>
        <v>0</v>
      </c>
      <c r="I121" s="409">
        <f>IFERROR(GETPIVOTDATA("Sum of "&amp;TEXT(I$10,"mmm-yyyy"),'PT-All'!$A$1,"Scenario",I$15,"P&amp;L Item",$B121),0)</f>
        <v>0</v>
      </c>
      <c r="J121" s="138"/>
      <c r="K121" s="409">
        <f t="shared" si="66"/>
        <v>0</v>
      </c>
      <c r="L121" s="410">
        <f t="shared" si="67"/>
        <v>0</v>
      </c>
      <c r="M121" s="180"/>
      <c r="N121" s="407">
        <f>IFERROR(GETPIVOTDATA("Sum of Q"&amp;N$9,'PT-All'!$A$1,"Scenario",N$15,"P&amp;L Item",$B121),0)</f>
        <v>0</v>
      </c>
      <c r="O121" s="408">
        <f>IFERROR(GETPIVOTDATA("Sum of Q"&amp;O$9,'PT-All'!$A$1,"Scenario",O$15,"P&amp;L Item",$B121),0)</f>
        <v>0</v>
      </c>
      <c r="P121" s="409">
        <f>IF($T$13,IFERROR(GETPIVOTDATA("Sum of Month "&amp;$Q$9,'PT-All'!$A$1,"Scenario",P$13,"P&amp;L Item",$B121),0),0)+IF($T$14,IFERROR(GETPIVOTDATA("Sum of Month "&amp;$S$9,'PT-All'!$A$1,"Scenario",P$14,"P&amp;L Item",$B121),0),0)+IF($T$15,IFERROR(GETPIVOTDATA("Sum of Month "&amp;$T$9,'PT-All'!$A$1,"Scenario",P$15,"P&amp;L Item",$B121),0),0)</f>
        <v>0</v>
      </c>
      <c r="Q121" s="409">
        <f>IF($T$13,IFERROR(GETPIVOTDATA("Sum of Month "&amp;$Q$9,'PT-All'!$A$1,"Scenario",Q$13,"P&amp;L Item",$B121),0),0)+IF($T$14,IFERROR(GETPIVOTDATA("Sum of Month "&amp;$S$9,'PT-All'!$A$1,"Scenario",Q$14,"P&amp;L Item",$B121),0),0)+IF($T$15,IFERROR(GETPIVOTDATA("Sum of Month "&amp;$T$9,'PT-All'!$A$1,"Scenario",Q$15,"P&amp;L Item",$B121),0),0)</f>
        <v>0</v>
      </c>
      <c r="R121" s="138"/>
      <c r="S121" s="409">
        <f t="shared" si="68"/>
        <v>0</v>
      </c>
      <c r="T121" s="410">
        <f t="shared" si="69"/>
        <v>0</v>
      </c>
      <c r="U121" s="411"/>
      <c r="V121" s="148"/>
    </row>
    <row r="122" spans="2:22" x14ac:dyDescent="0.35">
      <c r="B122" s="76" t="s">
        <v>148</v>
      </c>
      <c r="C122" s="407">
        <f>IFERROR(GETPIVOTDATA("Sum of "&amp;TEXT(C$10,"mmm-yyyy"),'PT-All'!$A$1,"Scenario",C$15,"P&amp;L Item",$B122),0)</f>
        <v>0</v>
      </c>
      <c r="D122" s="407">
        <f>IFERROR(GETPIVOTDATA("Sum of "&amp;TEXT(D$10,"mmm-yyyy"),'PT-All'!$A$1,"Scenario",D$15,"P&amp;L Item",$B122),0)</f>
        <v>0</v>
      </c>
      <c r="E122" s="407">
        <f>IFERROR(GETPIVOTDATA("Sum of "&amp;TEXT(E$10,"mmm-yyyy"),'PT-All'!$A$1,"Scenario",E$15,"P&amp;L Item",$B122),0)</f>
        <v>0</v>
      </c>
      <c r="F122" s="407">
        <f>IFERROR(GETPIVOTDATA("Sum of "&amp;TEXT(F$10,"mmm-yyyy"),'PT-All'!$A$1,"Scenario",F$15,"P&amp;L Item",$B122),0)</f>
        <v>0</v>
      </c>
      <c r="G122" s="408">
        <f>IFERROR(GETPIVOTDATA("Sum of "&amp;TEXT(G$10,"mmm-yyyy"),'PT-All'!$A$1,"Scenario",G$15,"P&amp;L Item",$B122),0)</f>
        <v>0</v>
      </c>
      <c r="H122" s="409">
        <f>IFERROR(GETPIVOTDATA("Sum of "&amp;TEXT(H$10,"mmm-yyyy"),'PT-All'!$A$1,"Scenario",H$15,"P&amp;L Item",$B122),0)</f>
        <v>0</v>
      </c>
      <c r="I122" s="409">
        <f>IFERROR(GETPIVOTDATA("Sum of "&amp;TEXT(I$10,"mmm-yyyy"),'PT-All'!$A$1,"Scenario",I$15,"P&amp;L Item",$B122),0)</f>
        <v>0</v>
      </c>
      <c r="J122" s="138"/>
      <c r="K122" s="409">
        <f t="shared" si="66"/>
        <v>0</v>
      </c>
      <c r="L122" s="410">
        <f t="shared" si="67"/>
        <v>0</v>
      </c>
      <c r="M122" s="180"/>
      <c r="N122" s="407">
        <f>IFERROR(GETPIVOTDATA("Sum of Q"&amp;N$9,'PT-All'!$A$1,"Scenario",N$15,"P&amp;L Item",$B122),0)</f>
        <v>0</v>
      </c>
      <c r="O122" s="408">
        <f>IFERROR(GETPIVOTDATA("Sum of Q"&amp;O$9,'PT-All'!$A$1,"Scenario",O$15,"P&amp;L Item",$B122),0)</f>
        <v>0</v>
      </c>
      <c r="P122" s="409">
        <f>IF($T$13,IFERROR(GETPIVOTDATA("Sum of Month "&amp;$Q$9,'PT-All'!$A$1,"Scenario",P$13,"P&amp;L Item",$B122),0),0)+IF($T$14,IFERROR(GETPIVOTDATA("Sum of Month "&amp;$S$9,'PT-All'!$A$1,"Scenario",P$14,"P&amp;L Item",$B122),0),0)+IF($T$15,IFERROR(GETPIVOTDATA("Sum of Month "&amp;$T$9,'PT-All'!$A$1,"Scenario",P$15,"P&amp;L Item",$B122),0),0)</f>
        <v>0</v>
      </c>
      <c r="Q122" s="409">
        <f>IF($T$13,IFERROR(GETPIVOTDATA("Sum of Month "&amp;$Q$9,'PT-All'!$A$1,"Scenario",Q$13,"P&amp;L Item",$B122),0),0)+IF($T$14,IFERROR(GETPIVOTDATA("Sum of Month "&amp;$S$9,'PT-All'!$A$1,"Scenario",Q$14,"P&amp;L Item",$B122),0),0)+IF($T$15,IFERROR(GETPIVOTDATA("Sum of Month "&amp;$T$9,'PT-All'!$A$1,"Scenario",Q$15,"P&amp;L Item",$B122),0),0)</f>
        <v>0</v>
      </c>
      <c r="R122" s="138"/>
      <c r="S122" s="409">
        <f t="shared" si="68"/>
        <v>0</v>
      </c>
      <c r="T122" s="410">
        <f t="shared" si="69"/>
        <v>0</v>
      </c>
      <c r="U122" s="411"/>
      <c r="V122" s="148"/>
    </row>
    <row r="123" spans="2:22" x14ac:dyDescent="0.35">
      <c r="B123" s="76" t="s">
        <v>149</v>
      </c>
      <c r="C123" s="407">
        <f>IFERROR(GETPIVOTDATA("Sum of "&amp;TEXT(C$10,"mmm-yyyy"),'PT-All'!$A$1,"Scenario",C$15,"P&amp;L Item",$B123),0)</f>
        <v>0</v>
      </c>
      <c r="D123" s="407">
        <f>IFERROR(GETPIVOTDATA("Sum of "&amp;TEXT(D$10,"mmm-yyyy"),'PT-All'!$A$1,"Scenario",D$15,"P&amp;L Item",$B123),0)</f>
        <v>0</v>
      </c>
      <c r="E123" s="407">
        <f>IFERROR(GETPIVOTDATA("Sum of "&amp;TEXT(E$10,"mmm-yyyy"),'PT-All'!$A$1,"Scenario",E$15,"P&amp;L Item",$B123),0)</f>
        <v>0</v>
      </c>
      <c r="F123" s="407">
        <f>IFERROR(GETPIVOTDATA("Sum of "&amp;TEXT(F$10,"mmm-yyyy"),'PT-All'!$A$1,"Scenario",F$15,"P&amp;L Item",$B123),0)</f>
        <v>0</v>
      </c>
      <c r="G123" s="408">
        <f>IFERROR(GETPIVOTDATA("Sum of "&amp;TEXT(G$10,"mmm-yyyy"),'PT-All'!$A$1,"Scenario",G$15,"P&amp;L Item",$B123),0)</f>
        <v>0</v>
      </c>
      <c r="H123" s="409">
        <f>IFERROR(GETPIVOTDATA("Sum of "&amp;TEXT(H$10,"mmm-yyyy"),'PT-All'!$A$1,"Scenario",H$15,"P&amp;L Item",$B123),0)</f>
        <v>0</v>
      </c>
      <c r="I123" s="409">
        <f>IFERROR(GETPIVOTDATA("Sum of "&amp;TEXT(I$10,"mmm-yyyy"),'PT-All'!$A$1,"Scenario",I$15,"P&amp;L Item",$B123),0)</f>
        <v>0</v>
      </c>
      <c r="J123" s="138"/>
      <c r="K123" s="409">
        <f t="shared" si="66"/>
        <v>0</v>
      </c>
      <c r="L123" s="410">
        <f t="shared" si="67"/>
        <v>0</v>
      </c>
      <c r="M123" s="180"/>
      <c r="N123" s="407">
        <f>IFERROR(GETPIVOTDATA("Sum of Q"&amp;N$9,'PT-All'!$A$1,"Scenario",N$15,"P&amp;L Item",$B123),0)</f>
        <v>0</v>
      </c>
      <c r="O123" s="408">
        <f>IFERROR(GETPIVOTDATA("Sum of Q"&amp;O$9,'PT-All'!$A$1,"Scenario",O$15,"P&amp;L Item",$B123),0)</f>
        <v>0</v>
      </c>
      <c r="P123" s="409">
        <f>IF($T$13,IFERROR(GETPIVOTDATA("Sum of Month "&amp;$Q$9,'PT-All'!$A$1,"Scenario",P$13,"P&amp;L Item",$B123),0),0)+IF($T$14,IFERROR(GETPIVOTDATA("Sum of Month "&amp;$S$9,'PT-All'!$A$1,"Scenario",P$14,"P&amp;L Item",$B123),0),0)+IF($T$15,IFERROR(GETPIVOTDATA("Sum of Month "&amp;$T$9,'PT-All'!$A$1,"Scenario",P$15,"P&amp;L Item",$B123),0),0)</f>
        <v>0</v>
      </c>
      <c r="Q123" s="409">
        <f>IF($T$13,IFERROR(GETPIVOTDATA("Sum of Month "&amp;$Q$9,'PT-All'!$A$1,"Scenario",Q$13,"P&amp;L Item",$B123),0),0)+IF($T$14,IFERROR(GETPIVOTDATA("Sum of Month "&amp;$S$9,'PT-All'!$A$1,"Scenario",Q$14,"P&amp;L Item",$B123),0),0)+IF($T$15,IFERROR(GETPIVOTDATA("Sum of Month "&amp;$T$9,'PT-All'!$A$1,"Scenario",Q$15,"P&amp;L Item",$B123),0),0)</f>
        <v>0</v>
      </c>
      <c r="R123" s="138"/>
      <c r="S123" s="409">
        <f t="shared" si="68"/>
        <v>0</v>
      </c>
      <c r="T123" s="410">
        <f t="shared" si="69"/>
        <v>0</v>
      </c>
      <c r="U123" s="411"/>
      <c r="V123" s="148"/>
    </row>
    <row r="124" spans="2:22" x14ac:dyDescent="0.35">
      <c r="B124" s="77" t="s">
        <v>150</v>
      </c>
      <c r="C124" s="439">
        <f t="shared" ref="C124:I124" si="74">SUM(C125,C128)</f>
        <v>0</v>
      </c>
      <c r="D124" s="439">
        <f t="shared" si="74"/>
        <v>0</v>
      </c>
      <c r="E124" s="439">
        <f t="shared" si="74"/>
        <v>0</v>
      </c>
      <c r="F124" s="439">
        <f t="shared" si="74"/>
        <v>0</v>
      </c>
      <c r="G124" s="440">
        <f t="shared" si="74"/>
        <v>0</v>
      </c>
      <c r="H124" s="441">
        <f t="shared" si="74"/>
        <v>0</v>
      </c>
      <c r="I124" s="441">
        <f t="shared" si="74"/>
        <v>0</v>
      </c>
      <c r="J124" s="138"/>
      <c r="K124" s="441">
        <f t="shared" si="66"/>
        <v>0</v>
      </c>
      <c r="L124" s="442">
        <f t="shared" si="67"/>
        <v>0</v>
      </c>
      <c r="M124" s="180"/>
      <c r="N124" s="439">
        <f t="shared" ref="N124:Q124" si="75">SUM(N125,N128)</f>
        <v>0</v>
      </c>
      <c r="O124" s="440">
        <f t="shared" si="75"/>
        <v>0</v>
      </c>
      <c r="P124" s="441">
        <f t="shared" si="75"/>
        <v>0</v>
      </c>
      <c r="Q124" s="441">
        <f t="shared" si="75"/>
        <v>0</v>
      </c>
      <c r="R124" s="138"/>
      <c r="S124" s="441">
        <f t="shared" si="68"/>
        <v>0</v>
      </c>
      <c r="T124" s="442">
        <f t="shared" si="69"/>
        <v>0</v>
      </c>
      <c r="U124" s="443"/>
      <c r="V124" s="148"/>
    </row>
    <row r="125" spans="2:22" x14ac:dyDescent="0.35">
      <c r="B125" s="79" t="s">
        <v>151</v>
      </c>
      <c r="C125" s="69">
        <f t="shared" ref="C125:I125" si="76">SUM(C126:C127)</f>
        <v>0</v>
      </c>
      <c r="D125" s="69">
        <f t="shared" si="76"/>
        <v>0</v>
      </c>
      <c r="E125" s="69">
        <f t="shared" si="76"/>
        <v>0</v>
      </c>
      <c r="F125" s="69">
        <f t="shared" si="76"/>
        <v>0</v>
      </c>
      <c r="G125" s="145">
        <f t="shared" si="76"/>
        <v>0</v>
      </c>
      <c r="H125" s="144">
        <f t="shared" si="76"/>
        <v>0</v>
      </c>
      <c r="I125" s="144">
        <f t="shared" si="76"/>
        <v>0</v>
      </c>
      <c r="J125" s="138"/>
      <c r="K125" s="144">
        <f t="shared" si="66"/>
        <v>0</v>
      </c>
      <c r="L125" s="143">
        <f t="shared" si="67"/>
        <v>0</v>
      </c>
      <c r="M125" s="180"/>
      <c r="N125" s="69">
        <f t="shared" ref="N125:Q125" si="77">SUM(N126:N127)</f>
        <v>0</v>
      </c>
      <c r="O125" s="145">
        <f t="shared" si="77"/>
        <v>0</v>
      </c>
      <c r="P125" s="144">
        <f t="shared" si="77"/>
        <v>0</v>
      </c>
      <c r="Q125" s="144">
        <f t="shared" si="77"/>
        <v>0</v>
      </c>
      <c r="R125" s="138"/>
      <c r="S125" s="144">
        <f t="shared" si="68"/>
        <v>0</v>
      </c>
      <c r="T125" s="143">
        <f t="shared" si="69"/>
        <v>0</v>
      </c>
      <c r="U125" s="374"/>
      <c r="V125" s="148"/>
    </row>
    <row r="126" spans="2:22" x14ac:dyDescent="0.35">
      <c r="B126" s="80" t="s">
        <v>152</v>
      </c>
      <c r="C126" s="407">
        <f>IFERROR(GETPIVOTDATA("Sum of "&amp;TEXT(C$10,"mmm-yyyy"),'PT-All'!$A$1,"Scenario",C$15,"P&amp;L Item",$B126),0)</f>
        <v>0</v>
      </c>
      <c r="D126" s="407">
        <f>IFERROR(GETPIVOTDATA("Sum of "&amp;TEXT(D$10,"mmm-yyyy"),'PT-All'!$A$1,"Scenario",D$15,"P&amp;L Item",$B126),0)</f>
        <v>0</v>
      </c>
      <c r="E126" s="407">
        <f>IFERROR(GETPIVOTDATA("Sum of "&amp;TEXT(E$10,"mmm-yyyy"),'PT-All'!$A$1,"Scenario",E$15,"P&amp;L Item",$B126),0)</f>
        <v>0</v>
      </c>
      <c r="F126" s="407">
        <f>IFERROR(GETPIVOTDATA("Sum of "&amp;TEXT(F$10,"mmm-yyyy"),'PT-All'!$A$1,"Scenario",F$15,"P&amp;L Item",$B126),0)</f>
        <v>0</v>
      </c>
      <c r="G126" s="408">
        <f>IFERROR(GETPIVOTDATA("Sum of "&amp;TEXT(G$10,"mmm-yyyy"),'PT-All'!$A$1,"Scenario",G$15,"P&amp;L Item",$B126),0)</f>
        <v>0</v>
      </c>
      <c r="H126" s="409">
        <f>IFERROR(GETPIVOTDATA("Sum of "&amp;TEXT(H$10,"mmm-yyyy"),'PT-All'!$A$1,"Scenario",H$15,"P&amp;L Item",$B126),0)</f>
        <v>0</v>
      </c>
      <c r="I126" s="409">
        <f>IFERROR(GETPIVOTDATA("Sum of "&amp;TEXT(I$10,"mmm-yyyy"),'PT-All'!$A$1,"Scenario",I$15,"P&amp;L Item",$B126),0)</f>
        <v>0</v>
      </c>
      <c r="J126" s="138"/>
      <c r="K126" s="409">
        <f t="shared" si="66"/>
        <v>0</v>
      </c>
      <c r="L126" s="410">
        <f t="shared" si="67"/>
        <v>0</v>
      </c>
      <c r="M126" s="180"/>
      <c r="N126" s="407">
        <f>IFERROR(GETPIVOTDATA("Sum of Q"&amp;N$9,'PT-All'!$A$1,"Scenario",N$15,"P&amp;L Item",$B126),0)</f>
        <v>0</v>
      </c>
      <c r="O126" s="408">
        <f>IFERROR(GETPIVOTDATA("Sum of Q"&amp;O$9,'PT-All'!$A$1,"Scenario",O$15,"P&amp;L Item",$B126),0)</f>
        <v>0</v>
      </c>
      <c r="P126" s="409">
        <f>IF($T$13,IFERROR(GETPIVOTDATA("Sum of Month "&amp;$Q$9,'PT-All'!$A$1,"Scenario",P$13,"P&amp;L Item",$B126),0),0)+IF($T$14,IFERROR(GETPIVOTDATA("Sum of Month "&amp;$S$9,'PT-All'!$A$1,"Scenario",P$14,"P&amp;L Item",$B126),0),0)+IF($T$15,IFERROR(GETPIVOTDATA("Sum of Month "&amp;$T$9,'PT-All'!$A$1,"Scenario",P$15,"P&amp;L Item",$B126),0),0)</f>
        <v>0</v>
      </c>
      <c r="Q126" s="409">
        <f>IF($T$13,IFERROR(GETPIVOTDATA("Sum of Month "&amp;$Q$9,'PT-All'!$A$1,"Scenario",Q$13,"P&amp;L Item",$B126),0),0)+IF($T$14,IFERROR(GETPIVOTDATA("Sum of Month "&amp;$S$9,'PT-All'!$A$1,"Scenario",Q$14,"P&amp;L Item",$B126),0),0)+IF($T$15,IFERROR(GETPIVOTDATA("Sum of Month "&amp;$T$9,'PT-All'!$A$1,"Scenario",Q$15,"P&amp;L Item",$B126),0),0)</f>
        <v>0</v>
      </c>
      <c r="R126" s="138"/>
      <c r="S126" s="409">
        <f t="shared" si="68"/>
        <v>0</v>
      </c>
      <c r="T126" s="410">
        <f t="shared" si="69"/>
        <v>0</v>
      </c>
      <c r="U126" s="411"/>
      <c r="V126" s="148"/>
    </row>
    <row r="127" spans="2:22" x14ac:dyDescent="0.35">
      <c r="B127" s="80" t="s">
        <v>153</v>
      </c>
      <c r="C127" s="407">
        <f>IFERROR(GETPIVOTDATA("Sum of "&amp;TEXT(C$10,"mmm-yyyy"),'PT-All'!$A$1,"Scenario",C$15,"P&amp;L Item",$B127),0)</f>
        <v>0</v>
      </c>
      <c r="D127" s="407">
        <f>IFERROR(GETPIVOTDATA("Sum of "&amp;TEXT(D$10,"mmm-yyyy"),'PT-All'!$A$1,"Scenario",D$15,"P&amp;L Item",$B127),0)</f>
        <v>0</v>
      </c>
      <c r="E127" s="407">
        <f>IFERROR(GETPIVOTDATA("Sum of "&amp;TEXT(E$10,"mmm-yyyy"),'PT-All'!$A$1,"Scenario",E$15,"P&amp;L Item",$B127),0)</f>
        <v>0</v>
      </c>
      <c r="F127" s="407">
        <f>IFERROR(GETPIVOTDATA("Sum of "&amp;TEXT(F$10,"mmm-yyyy"),'PT-All'!$A$1,"Scenario",F$15,"P&amp;L Item",$B127),0)</f>
        <v>0</v>
      </c>
      <c r="G127" s="408">
        <f>IFERROR(GETPIVOTDATA("Sum of "&amp;TEXT(G$10,"mmm-yyyy"),'PT-All'!$A$1,"Scenario",G$15,"P&amp;L Item",$B127),0)</f>
        <v>0</v>
      </c>
      <c r="H127" s="409">
        <f>IFERROR(GETPIVOTDATA("Sum of "&amp;TEXT(H$10,"mmm-yyyy"),'PT-All'!$A$1,"Scenario",H$15,"P&amp;L Item",$B127),0)</f>
        <v>0</v>
      </c>
      <c r="I127" s="409">
        <f>IFERROR(GETPIVOTDATA("Sum of "&amp;TEXT(I$10,"mmm-yyyy"),'PT-All'!$A$1,"Scenario",I$15,"P&amp;L Item",$B127),0)</f>
        <v>0</v>
      </c>
      <c r="J127" s="138"/>
      <c r="K127" s="409">
        <f t="shared" si="66"/>
        <v>0</v>
      </c>
      <c r="L127" s="410">
        <f t="shared" si="67"/>
        <v>0</v>
      </c>
      <c r="M127" s="180"/>
      <c r="N127" s="407">
        <f>IFERROR(GETPIVOTDATA("Sum of Q"&amp;N$9,'PT-All'!$A$1,"Scenario",N$15,"P&amp;L Item",$B127),0)</f>
        <v>0</v>
      </c>
      <c r="O127" s="408">
        <f>IFERROR(GETPIVOTDATA("Sum of Q"&amp;O$9,'PT-All'!$A$1,"Scenario",O$15,"P&amp;L Item",$B127),0)</f>
        <v>0</v>
      </c>
      <c r="P127" s="409">
        <f>IF($T$13,IFERROR(GETPIVOTDATA("Sum of Month "&amp;$Q$9,'PT-All'!$A$1,"Scenario",P$13,"P&amp;L Item",$B127),0),0)+IF($T$14,IFERROR(GETPIVOTDATA("Sum of Month "&amp;$S$9,'PT-All'!$A$1,"Scenario",P$14,"P&amp;L Item",$B127),0),0)+IF($T$15,IFERROR(GETPIVOTDATA("Sum of Month "&amp;$T$9,'PT-All'!$A$1,"Scenario",P$15,"P&amp;L Item",$B127),0),0)</f>
        <v>0</v>
      </c>
      <c r="Q127" s="409">
        <f>IF($T$13,IFERROR(GETPIVOTDATA("Sum of Month "&amp;$Q$9,'PT-All'!$A$1,"Scenario",Q$13,"P&amp;L Item",$B127),0),0)+IF($T$14,IFERROR(GETPIVOTDATA("Sum of Month "&amp;$S$9,'PT-All'!$A$1,"Scenario",Q$14,"P&amp;L Item",$B127),0),0)+IF($T$15,IFERROR(GETPIVOTDATA("Sum of Month "&amp;$T$9,'PT-All'!$A$1,"Scenario",Q$15,"P&amp;L Item",$B127),0),0)</f>
        <v>0</v>
      </c>
      <c r="R127" s="138"/>
      <c r="S127" s="409">
        <f t="shared" si="68"/>
        <v>0</v>
      </c>
      <c r="T127" s="410">
        <f t="shared" si="69"/>
        <v>0</v>
      </c>
      <c r="U127" s="411"/>
      <c r="V127" s="148"/>
    </row>
    <row r="128" spans="2:22" x14ac:dyDescent="0.35">
      <c r="B128" s="79" t="s">
        <v>154</v>
      </c>
      <c r="C128" s="69">
        <f t="shared" ref="C128:I128" si="78">SUM(C129:C133)</f>
        <v>0</v>
      </c>
      <c r="D128" s="69">
        <f t="shared" si="78"/>
        <v>0</v>
      </c>
      <c r="E128" s="69">
        <f t="shared" si="78"/>
        <v>0</v>
      </c>
      <c r="F128" s="69">
        <f t="shared" si="78"/>
        <v>0</v>
      </c>
      <c r="G128" s="145">
        <f t="shared" si="78"/>
        <v>0</v>
      </c>
      <c r="H128" s="144">
        <f t="shared" si="78"/>
        <v>0</v>
      </c>
      <c r="I128" s="144">
        <f t="shared" si="78"/>
        <v>0</v>
      </c>
      <c r="J128" s="138"/>
      <c r="K128" s="144">
        <f t="shared" si="66"/>
        <v>0</v>
      </c>
      <c r="L128" s="143">
        <f t="shared" si="67"/>
        <v>0</v>
      </c>
      <c r="M128" s="180"/>
      <c r="N128" s="69">
        <f t="shared" ref="N128:Q128" si="79">SUM(N129:N133)</f>
        <v>0</v>
      </c>
      <c r="O128" s="145">
        <f t="shared" si="79"/>
        <v>0</v>
      </c>
      <c r="P128" s="144">
        <f t="shared" si="79"/>
        <v>0</v>
      </c>
      <c r="Q128" s="144">
        <f t="shared" si="79"/>
        <v>0</v>
      </c>
      <c r="R128" s="138"/>
      <c r="S128" s="144">
        <f t="shared" si="68"/>
        <v>0</v>
      </c>
      <c r="T128" s="143">
        <f t="shared" si="69"/>
        <v>0</v>
      </c>
      <c r="U128" s="374"/>
      <c r="V128" s="148"/>
    </row>
    <row r="129" spans="2:22" x14ac:dyDescent="0.35">
      <c r="B129" s="80" t="s">
        <v>155</v>
      </c>
      <c r="C129" s="407">
        <f>IFERROR(GETPIVOTDATA("Sum of "&amp;TEXT(C$10,"mmm-yyyy"),'PT-All'!$A$1,"Scenario",C$15,"P&amp;L Item",$B129),0)</f>
        <v>0</v>
      </c>
      <c r="D129" s="407">
        <f>IFERROR(GETPIVOTDATA("Sum of "&amp;TEXT(D$10,"mmm-yyyy"),'PT-All'!$A$1,"Scenario",D$15,"P&amp;L Item",$B129),0)</f>
        <v>0</v>
      </c>
      <c r="E129" s="407">
        <f>IFERROR(GETPIVOTDATA("Sum of "&amp;TEXT(E$10,"mmm-yyyy"),'PT-All'!$A$1,"Scenario",E$15,"P&amp;L Item",$B129),0)</f>
        <v>0</v>
      </c>
      <c r="F129" s="407">
        <f>IFERROR(GETPIVOTDATA("Sum of "&amp;TEXT(F$10,"mmm-yyyy"),'PT-All'!$A$1,"Scenario",F$15,"P&amp;L Item",$B129),0)</f>
        <v>0</v>
      </c>
      <c r="G129" s="408">
        <f>IFERROR(GETPIVOTDATA("Sum of "&amp;TEXT(G$10,"mmm-yyyy"),'PT-All'!$A$1,"Scenario",G$15,"P&amp;L Item",$B129),0)</f>
        <v>0</v>
      </c>
      <c r="H129" s="409">
        <f>IFERROR(GETPIVOTDATA("Sum of "&amp;TEXT(H$10,"mmm-yyyy"),'PT-All'!$A$1,"Scenario",H$15,"P&amp;L Item",$B129),0)</f>
        <v>0</v>
      </c>
      <c r="I129" s="409">
        <f>IFERROR(GETPIVOTDATA("Sum of "&amp;TEXT(I$10,"mmm-yyyy"),'PT-All'!$A$1,"Scenario",I$15,"P&amp;L Item",$B129),0)</f>
        <v>0</v>
      </c>
      <c r="J129" s="138"/>
      <c r="K129" s="409">
        <f t="shared" si="66"/>
        <v>0</v>
      </c>
      <c r="L129" s="410">
        <f t="shared" si="67"/>
        <v>0</v>
      </c>
      <c r="M129" s="180"/>
      <c r="N129" s="407">
        <f>IFERROR(GETPIVOTDATA("Sum of Q"&amp;N$9,'PT-All'!$A$1,"Scenario",N$15,"P&amp;L Item",$B129),0)</f>
        <v>0</v>
      </c>
      <c r="O129" s="408">
        <f>IFERROR(GETPIVOTDATA("Sum of Q"&amp;O$9,'PT-All'!$A$1,"Scenario",O$15,"P&amp;L Item",$B129),0)</f>
        <v>0</v>
      </c>
      <c r="P129" s="409">
        <f>IF($T$13,IFERROR(GETPIVOTDATA("Sum of Month "&amp;$Q$9,'PT-All'!$A$1,"Scenario",P$13,"P&amp;L Item",$B129),0),0)+IF($T$14,IFERROR(GETPIVOTDATA("Sum of Month "&amp;$S$9,'PT-All'!$A$1,"Scenario",P$14,"P&amp;L Item",$B129),0),0)+IF($T$15,IFERROR(GETPIVOTDATA("Sum of Month "&amp;$T$9,'PT-All'!$A$1,"Scenario",P$15,"P&amp;L Item",$B129),0),0)</f>
        <v>0</v>
      </c>
      <c r="Q129" s="409">
        <f>IF($T$13,IFERROR(GETPIVOTDATA("Sum of Month "&amp;$Q$9,'PT-All'!$A$1,"Scenario",Q$13,"P&amp;L Item",$B129),0),0)+IF($T$14,IFERROR(GETPIVOTDATA("Sum of Month "&amp;$S$9,'PT-All'!$A$1,"Scenario",Q$14,"P&amp;L Item",$B129),0),0)+IF($T$15,IFERROR(GETPIVOTDATA("Sum of Month "&amp;$T$9,'PT-All'!$A$1,"Scenario",Q$15,"P&amp;L Item",$B129),0),0)</f>
        <v>0</v>
      </c>
      <c r="R129" s="138"/>
      <c r="S129" s="409">
        <f t="shared" si="68"/>
        <v>0</v>
      </c>
      <c r="T129" s="410">
        <f t="shared" si="69"/>
        <v>0</v>
      </c>
      <c r="U129" s="411"/>
      <c r="V129" s="148"/>
    </row>
    <row r="130" spans="2:22" x14ac:dyDescent="0.35">
      <c r="B130" s="80" t="s">
        <v>156</v>
      </c>
      <c r="C130" s="407">
        <f>IFERROR(GETPIVOTDATA("Sum of "&amp;TEXT(C$10,"mmm-yyyy"),'PT-All'!$A$1,"Scenario",C$15,"P&amp;L Item",$B130),0)</f>
        <v>0</v>
      </c>
      <c r="D130" s="407">
        <f>IFERROR(GETPIVOTDATA("Sum of "&amp;TEXT(D$10,"mmm-yyyy"),'PT-All'!$A$1,"Scenario",D$15,"P&amp;L Item",$B130),0)</f>
        <v>0</v>
      </c>
      <c r="E130" s="407">
        <f>IFERROR(GETPIVOTDATA("Sum of "&amp;TEXT(E$10,"mmm-yyyy"),'PT-All'!$A$1,"Scenario",E$15,"P&amp;L Item",$B130),0)</f>
        <v>0</v>
      </c>
      <c r="F130" s="407">
        <f>IFERROR(GETPIVOTDATA("Sum of "&amp;TEXT(F$10,"mmm-yyyy"),'PT-All'!$A$1,"Scenario",F$15,"P&amp;L Item",$B130),0)</f>
        <v>0</v>
      </c>
      <c r="G130" s="408">
        <f>IFERROR(GETPIVOTDATA("Sum of "&amp;TEXT(G$10,"mmm-yyyy"),'PT-All'!$A$1,"Scenario",G$15,"P&amp;L Item",$B130),0)</f>
        <v>0</v>
      </c>
      <c r="H130" s="409">
        <f>IFERROR(GETPIVOTDATA("Sum of "&amp;TEXT(H$10,"mmm-yyyy"),'PT-All'!$A$1,"Scenario",H$15,"P&amp;L Item",$B130),0)</f>
        <v>0</v>
      </c>
      <c r="I130" s="409">
        <f>IFERROR(GETPIVOTDATA("Sum of "&amp;TEXT(I$10,"mmm-yyyy"),'PT-All'!$A$1,"Scenario",I$15,"P&amp;L Item",$B130),0)</f>
        <v>0</v>
      </c>
      <c r="J130" s="138"/>
      <c r="K130" s="409">
        <f t="shared" si="66"/>
        <v>0</v>
      </c>
      <c r="L130" s="410">
        <f t="shared" si="67"/>
        <v>0</v>
      </c>
      <c r="M130" s="180"/>
      <c r="N130" s="407">
        <f>IFERROR(GETPIVOTDATA("Sum of Q"&amp;N$9,'PT-All'!$A$1,"Scenario",N$15,"P&amp;L Item",$B130),0)</f>
        <v>0</v>
      </c>
      <c r="O130" s="408">
        <f>IFERROR(GETPIVOTDATA("Sum of Q"&amp;O$9,'PT-All'!$A$1,"Scenario",O$15,"P&amp;L Item",$B130),0)</f>
        <v>0</v>
      </c>
      <c r="P130" s="409">
        <f>IF($T$13,IFERROR(GETPIVOTDATA("Sum of Month "&amp;$Q$9,'PT-All'!$A$1,"Scenario",P$13,"P&amp;L Item",$B130),0),0)+IF($T$14,IFERROR(GETPIVOTDATA("Sum of Month "&amp;$S$9,'PT-All'!$A$1,"Scenario",P$14,"P&amp;L Item",$B130),0),0)+IF($T$15,IFERROR(GETPIVOTDATA("Sum of Month "&amp;$T$9,'PT-All'!$A$1,"Scenario",P$15,"P&amp;L Item",$B130),0),0)</f>
        <v>0</v>
      </c>
      <c r="Q130" s="409">
        <f>IF($T$13,IFERROR(GETPIVOTDATA("Sum of Month "&amp;$Q$9,'PT-All'!$A$1,"Scenario",Q$13,"P&amp;L Item",$B130),0),0)+IF($T$14,IFERROR(GETPIVOTDATA("Sum of Month "&amp;$S$9,'PT-All'!$A$1,"Scenario",Q$14,"P&amp;L Item",$B130),0),0)+IF($T$15,IFERROR(GETPIVOTDATA("Sum of Month "&amp;$T$9,'PT-All'!$A$1,"Scenario",Q$15,"P&amp;L Item",$B130),0),0)</f>
        <v>0</v>
      </c>
      <c r="R130" s="138"/>
      <c r="S130" s="409">
        <f t="shared" si="68"/>
        <v>0</v>
      </c>
      <c r="T130" s="410">
        <f t="shared" si="69"/>
        <v>0</v>
      </c>
      <c r="U130" s="411"/>
      <c r="V130" s="148"/>
    </row>
    <row r="131" spans="2:22" ht="16" x14ac:dyDescent="0.5">
      <c r="B131" s="80" t="s">
        <v>157</v>
      </c>
      <c r="C131" s="407">
        <f>IFERROR(GETPIVOTDATA("Sum of "&amp;TEXT(C$10,"mmm-yyyy"),'PT-All'!$A$1,"Scenario",C$15,"P&amp;L Item",$B131),0)</f>
        <v>0</v>
      </c>
      <c r="D131" s="407">
        <f>IFERROR(GETPIVOTDATA("Sum of "&amp;TEXT(D$10,"mmm-yyyy"),'PT-All'!$A$1,"Scenario",D$15,"P&amp;L Item",$B131),0)</f>
        <v>0</v>
      </c>
      <c r="E131" s="407">
        <f>IFERROR(GETPIVOTDATA("Sum of "&amp;TEXT(E$10,"mmm-yyyy"),'PT-All'!$A$1,"Scenario",E$15,"P&amp;L Item",$B131),0)</f>
        <v>0</v>
      </c>
      <c r="F131" s="407">
        <f>IFERROR(GETPIVOTDATA("Sum of "&amp;TEXT(F$10,"mmm-yyyy"),'PT-All'!$A$1,"Scenario",F$15,"P&amp;L Item",$B131),0)</f>
        <v>0</v>
      </c>
      <c r="G131" s="408">
        <f>IFERROR(GETPIVOTDATA("Sum of "&amp;TEXT(G$10,"mmm-yyyy"),'PT-All'!$A$1,"Scenario",G$15,"P&amp;L Item",$B131),0)</f>
        <v>0</v>
      </c>
      <c r="H131" s="409">
        <f>IFERROR(GETPIVOTDATA("Sum of "&amp;TEXT(H$10,"mmm-yyyy"),'PT-All'!$A$1,"Scenario",H$15,"P&amp;L Item",$B131),0)</f>
        <v>0</v>
      </c>
      <c r="I131" s="409">
        <f>IFERROR(GETPIVOTDATA("Sum of "&amp;TEXT(I$10,"mmm-yyyy"),'PT-All'!$A$1,"Scenario",I$15,"P&amp;L Item",$B131),0)</f>
        <v>0</v>
      </c>
      <c r="J131" s="405"/>
      <c r="K131" s="409">
        <f t="shared" si="66"/>
        <v>0</v>
      </c>
      <c r="L131" s="410">
        <f t="shared" si="67"/>
        <v>0</v>
      </c>
      <c r="M131" s="180"/>
      <c r="N131" s="407">
        <f>IFERROR(GETPIVOTDATA("Sum of Q"&amp;N$9,'PT-All'!$A$1,"Scenario",N$15,"P&amp;L Item",$B131),0)</f>
        <v>0</v>
      </c>
      <c r="O131" s="408">
        <f>IFERROR(GETPIVOTDATA("Sum of Q"&amp;O$9,'PT-All'!$A$1,"Scenario",O$15,"P&amp;L Item",$B131),0)</f>
        <v>0</v>
      </c>
      <c r="P131" s="409">
        <f>IF($T$13,IFERROR(GETPIVOTDATA("Sum of Month "&amp;$Q$9,'PT-All'!$A$1,"Scenario",P$13,"P&amp;L Item",$B131),0),0)+IF($T$14,IFERROR(GETPIVOTDATA("Sum of Month "&amp;$S$9,'PT-All'!$A$1,"Scenario",P$14,"P&amp;L Item",$B131),0),0)+IF($T$15,IFERROR(GETPIVOTDATA("Sum of Month "&amp;$T$9,'PT-All'!$A$1,"Scenario",P$15,"P&amp;L Item",$B131),0),0)</f>
        <v>0</v>
      </c>
      <c r="Q131" s="409">
        <f>IF($T$13,IFERROR(GETPIVOTDATA("Sum of Month "&amp;$Q$9,'PT-All'!$A$1,"Scenario",Q$13,"P&amp;L Item",$B131),0),0)+IF($T$14,IFERROR(GETPIVOTDATA("Sum of Month "&amp;$S$9,'PT-All'!$A$1,"Scenario",Q$14,"P&amp;L Item",$B131),0),0)+IF($T$15,IFERROR(GETPIVOTDATA("Sum of Month "&amp;$T$9,'PT-All'!$A$1,"Scenario",Q$15,"P&amp;L Item",$B131),0),0)</f>
        <v>0</v>
      </c>
      <c r="R131" s="405"/>
      <c r="S131" s="409">
        <f t="shared" si="68"/>
        <v>0</v>
      </c>
      <c r="T131" s="410">
        <f t="shared" si="69"/>
        <v>0</v>
      </c>
      <c r="U131" s="411"/>
      <c r="V131" s="148"/>
    </row>
    <row r="132" spans="2:22" x14ac:dyDescent="0.35">
      <c r="B132" s="80" t="s">
        <v>158</v>
      </c>
      <c r="C132" s="407">
        <f>IFERROR(GETPIVOTDATA("Sum of "&amp;TEXT(C$10,"mmm-yyyy"),'PT-All'!$A$1,"Scenario",C$15,"P&amp;L Item",$B132),0)</f>
        <v>0</v>
      </c>
      <c r="D132" s="407">
        <f>IFERROR(GETPIVOTDATA("Sum of "&amp;TEXT(D$10,"mmm-yyyy"),'PT-All'!$A$1,"Scenario",D$15,"P&amp;L Item",$B132),0)</f>
        <v>0</v>
      </c>
      <c r="E132" s="407">
        <f>IFERROR(GETPIVOTDATA("Sum of "&amp;TEXT(E$10,"mmm-yyyy"),'PT-All'!$A$1,"Scenario",E$15,"P&amp;L Item",$B132),0)</f>
        <v>0</v>
      </c>
      <c r="F132" s="407">
        <f>IFERROR(GETPIVOTDATA("Sum of "&amp;TEXT(F$10,"mmm-yyyy"),'PT-All'!$A$1,"Scenario",F$15,"P&amp;L Item",$B132),0)</f>
        <v>0</v>
      </c>
      <c r="G132" s="408">
        <f>IFERROR(GETPIVOTDATA("Sum of "&amp;TEXT(G$10,"mmm-yyyy"),'PT-All'!$A$1,"Scenario",G$15,"P&amp;L Item",$B132),0)</f>
        <v>0</v>
      </c>
      <c r="H132" s="409">
        <f>IFERROR(GETPIVOTDATA("Sum of "&amp;TEXT(H$10,"mmm-yyyy"),'PT-All'!$A$1,"Scenario",H$15,"P&amp;L Item",$B132),0)</f>
        <v>0</v>
      </c>
      <c r="I132" s="409">
        <f>IFERROR(GETPIVOTDATA("Sum of "&amp;TEXT(I$10,"mmm-yyyy"),'PT-All'!$A$1,"Scenario",I$15,"P&amp;L Item",$B132),0)</f>
        <v>0</v>
      </c>
      <c r="J132" s="458"/>
      <c r="K132" s="409">
        <f t="shared" si="66"/>
        <v>0</v>
      </c>
      <c r="L132" s="410">
        <f t="shared" si="67"/>
        <v>0</v>
      </c>
      <c r="M132" s="371"/>
      <c r="N132" s="407">
        <f>IFERROR(GETPIVOTDATA("Sum of Q"&amp;N$9,'PT-All'!$A$1,"Scenario",N$15,"P&amp;L Item",$B132),0)</f>
        <v>0</v>
      </c>
      <c r="O132" s="408">
        <f>IFERROR(GETPIVOTDATA("Sum of Q"&amp;O$9,'PT-All'!$A$1,"Scenario",O$15,"P&amp;L Item",$B132),0)</f>
        <v>0</v>
      </c>
      <c r="P132" s="409">
        <f>IF($T$13,IFERROR(GETPIVOTDATA("Sum of Month "&amp;$Q$9,'PT-All'!$A$1,"Scenario",P$13,"P&amp;L Item",$B132),0),0)+IF($T$14,IFERROR(GETPIVOTDATA("Sum of Month "&amp;$S$9,'PT-All'!$A$1,"Scenario",P$14,"P&amp;L Item",$B132),0),0)+IF($T$15,IFERROR(GETPIVOTDATA("Sum of Month "&amp;$T$9,'PT-All'!$A$1,"Scenario",P$15,"P&amp;L Item",$B132),0),0)</f>
        <v>0</v>
      </c>
      <c r="Q132" s="409">
        <f>IF($T$13,IFERROR(GETPIVOTDATA("Sum of Month "&amp;$Q$9,'PT-All'!$A$1,"Scenario",Q$13,"P&amp;L Item",$B132),0),0)+IF($T$14,IFERROR(GETPIVOTDATA("Sum of Month "&amp;$S$9,'PT-All'!$A$1,"Scenario",Q$14,"P&amp;L Item",$B132),0),0)+IF($T$15,IFERROR(GETPIVOTDATA("Sum of Month "&amp;$T$9,'PT-All'!$A$1,"Scenario",Q$15,"P&amp;L Item",$B132),0),0)</f>
        <v>0</v>
      </c>
      <c r="R132" s="458"/>
      <c r="S132" s="409">
        <f t="shared" si="68"/>
        <v>0</v>
      </c>
      <c r="T132" s="410">
        <f t="shared" si="69"/>
        <v>0</v>
      </c>
      <c r="U132" s="411"/>
      <c r="V132" s="148"/>
    </row>
    <row r="133" spans="2:22" x14ac:dyDescent="0.35">
      <c r="B133" s="80" t="s">
        <v>159</v>
      </c>
      <c r="C133" s="407">
        <f>IFERROR(GETPIVOTDATA("Sum of "&amp;TEXT(C$10,"mmm-yyyy"),'PT-All'!$A$1,"Scenario",C$15,"P&amp;L Item",$B133),0)</f>
        <v>0</v>
      </c>
      <c r="D133" s="407">
        <f>IFERROR(GETPIVOTDATA("Sum of "&amp;TEXT(D$10,"mmm-yyyy"),'PT-All'!$A$1,"Scenario",D$15,"P&amp;L Item",$B133),0)</f>
        <v>0</v>
      </c>
      <c r="E133" s="407">
        <f>IFERROR(GETPIVOTDATA("Sum of "&amp;TEXT(E$10,"mmm-yyyy"),'PT-All'!$A$1,"Scenario",E$15,"P&amp;L Item",$B133),0)</f>
        <v>0</v>
      </c>
      <c r="F133" s="407">
        <f>IFERROR(GETPIVOTDATA("Sum of "&amp;TEXT(F$10,"mmm-yyyy"),'PT-All'!$A$1,"Scenario",F$15,"P&amp;L Item",$B133),0)</f>
        <v>0</v>
      </c>
      <c r="G133" s="408">
        <f>IFERROR(GETPIVOTDATA("Sum of "&amp;TEXT(G$10,"mmm-yyyy"),'PT-All'!$A$1,"Scenario",G$15,"P&amp;L Item",$B133),0)</f>
        <v>0</v>
      </c>
      <c r="H133" s="409">
        <f>IFERROR(GETPIVOTDATA("Sum of "&amp;TEXT(H$10,"mmm-yyyy"),'PT-All'!$A$1,"Scenario",H$15,"P&amp;L Item",$B133),0)</f>
        <v>0</v>
      </c>
      <c r="I133" s="409">
        <f>IFERROR(GETPIVOTDATA("Sum of "&amp;TEXT(I$10,"mmm-yyyy"),'PT-All'!$A$1,"Scenario",I$15,"P&amp;L Item",$B133),0)</f>
        <v>0</v>
      </c>
      <c r="J133" s="438"/>
      <c r="K133" s="409">
        <f t="shared" si="66"/>
        <v>0</v>
      </c>
      <c r="L133" s="410">
        <f t="shared" si="67"/>
        <v>0</v>
      </c>
      <c r="M133" s="180"/>
      <c r="N133" s="407">
        <f>IFERROR(GETPIVOTDATA("Sum of Q"&amp;N$9,'PT-All'!$A$1,"Scenario",N$15,"P&amp;L Item",$B133),0)</f>
        <v>0</v>
      </c>
      <c r="O133" s="408">
        <f>IFERROR(GETPIVOTDATA("Sum of Q"&amp;O$9,'PT-All'!$A$1,"Scenario",O$15,"P&amp;L Item",$B133),0)</f>
        <v>0</v>
      </c>
      <c r="P133" s="409">
        <f>IF($T$13,IFERROR(GETPIVOTDATA("Sum of Month "&amp;$Q$9,'PT-All'!$A$1,"Scenario",P$13,"P&amp;L Item",$B133),0),0)+IF($T$14,IFERROR(GETPIVOTDATA("Sum of Month "&amp;$S$9,'PT-All'!$A$1,"Scenario",P$14,"P&amp;L Item",$B133),0),0)+IF($T$15,IFERROR(GETPIVOTDATA("Sum of Month "&amp;$T$9,'PT-All'!$A$1,"Scenario",P$15,"P&amp;L Item",$B133),0),0)</f>
        <v>0</v>
      </c>
      <c r="Q133" s="409">
        <f>IF($T$13,IFERROR(GETPIVOTDATA("Sum of Month "&amp;$Q$9,'PT-All'!$A$1,"Scenario",Q$13,"P&amp;L Item",$B133),0),0)+IF($T$14,IFERROR(GETPIVOTDATA("Sum of Month "&amp;$S$9,'PT-All'!$A$1,"Scenario",Q$14,"P&amp;L Item",$B133),0),0)+IF($T$15,IFERROR(GETPIVOTDATA("Sum of Month "&amp;$T$9,'PT-All'!$A$1,"Scenario",Q$15,"P&amp;L Item",$B133),0),0)</f>
        <v>0</v>
      </c>
      <c r="R133" s="438"/>
      <c r="S133" s="409">
        <f t="shared" si="68"/>
        <v>0</v>
      </c>
      <c r="T133" s="410">
        <f t="shared" si="69"/>
        <v>0</v>
      </c>
      <c r="U133" s="411"/>
      <c r="V133" s="148"/>
    </row>
    <row r="134" spans="2:22" x14ac:dyDescent="0.35">
      <c r="B134" s="356" t="s">
        <v>160</v>
      </c>
      <c r="C134" s="69">
        <f>IFERROR(GETPIVOTDATA("Sum of "&amp;TEXT(C$10,"mmm-yyyy"),'PT-All'!$A$1,"Scenario",C$15,"P&amp;L Item",$B134),0)</f>
        <v>0</v>
      </c>
      <c r="D134" s="69">
        <f>IFERROR(GETPIVOTDATA("Sum of "&amp;TEXT(D$10,"mmm-yyyy"),'PT-All'!$A$1,"Scenario",D$15,"P&amp;L Item",$B134),0)</f>
        <v>0</v>
      </c>
      <c r="E134" s="69">
        <f>IFERROR(GETPIVOTDATA("Sum of "&amp;TEXT(E$10,"mmm-yyyy"),'PT-All'!$A$1,"Scenario",E$15,"P&amp;L Item",$B134),0)</f>
        <v>0</v>
      </c>
      <c r="F134" s="69">
        <f>IFERROR(GETPIVOTDATA("Sum of "&amp;TEXT(F$10,"mmm-yyyy"),'PT-All'!$A$1,"Scenario",F$15,"P&amp;L Item",$B134),0)</f>
        <v>0</v>
      </c>
      <c r="G134" s="145">
        <f>IFERROR(GETPIVOTDATA("Sum of "&amp;TEXT(G$10,"mmm-yyyy"),'PT-All'!$A$1,"Scenario",G$15,"P&amp;L Item",$B134),0)</f>
        <v>0</v>
      </c>
      <c r="H134" s="144">
        <f>IFERROR(GETPIVOTDATA("Sum of "&amp;TEXT(H$10,"mmm-yyyy"),'PT-All'!$A$1,"Scenario",H$15,"P&amp;L Item",$B134),0)</f>
        <v>0</v>
      </c>
      <c r="I134" s="144">
        <f>IFERROR(GETPIVOTDATA("Sum of "&amp;TEXT(I$10,"mmm-yyyy"),'PT-All'!$A$1,"Scenario",I$15,"P&amp;L Item",$B134),0)</f>
        <v>0</v>
      </c>
      <c r="J134" s="438"/>
      <c r="K134" s="144">
        <f t="shared" si="66"/>
        <v>0</v>
      </c>
      <c r="L134" s="143">
        <f t="shared" si="67"/>
        <v>0</v>
      </c>
      <c r="M134" s="180"/>
      <c r="N134" s="69">
        <f>IFERROR(GETPIVOTDATA("Sum of Q"&amp;N$9,'PT-All'!$A$1,"Scenario",N$15,"P&amp;L Item",$B134),0)</f>
        <v>0</v>
      </c>
      <c r="O134" s="145">
        <f>IFERROR(GETPIVOTDATA("Sum of Q"&amp;O$9,'PT-All'!$A$1,"Scenario",O$15,"P&amp;L Item",$B134),0)</f>
        <v>0</v>
      </c>
      <c r="P134" s="144">
        <f>IF($T$13,IFERROR(GETPIVOTDATA("Sum of Month "&amp;$Q$9,'PT-All'!$A$1,"Scenario",P$13,"P&amp;L Item",$B134),0),0)+IF($T$14,IFERROR(GETPIVOTDATA("Sum of Month "&amp;$S$9,'PT-All'!$A$1,"Scenario",P$14,"P&amp;L Item",$B134),0),0)+IF($T$15,IFERROR(GETPIVOTDATA("Sum of Month "&amp;$T$9,'PT-All'!$A$1,"Scenario",P$15,"P&amp;L Item",$B134),0),0)</f>
        <v>0</v>
      </c>
      <c r="Q134" s="144">
        <f>IF($T$13,IFERROR(GETPIVOTDATA("Sum of Month "&amp;$Q$9,'PT-All'!$A$1,"Scenario",Q$13,"P&amp;L Item",$B134),0),0)+IF($T$14,IFERROR(GETPIVOTDATA("Sum of Month "&amp;$S$9,'PT-All'!$A$1,"Scenario",Q$14,"P&amp;L Item",$B134),0),0)+IF($T$15,IFERROR(GETPIVOTDATA("Sum of Month "&amp;$T$9,'PT-All'!$A$1,"Scenario",Q$15,"P&amp;L Item",$B134),0),0)</f>
        <v>0</v>
      </c>
      <c r="R134" s="438"/>
      <c r="S134" s="144">
        <f t="shared" si="68"/>
        <v>0</v>
      </c>
      <c r="T134" s="143">
        <f t="shared" si="69"/>
        <v>0</v>
      </c>
      <c r="U134" s="374"/>
      <c r="V134" s="148"/>
    </row>
    <row r="135" spans="2:22" x14ac:dyDescent="0.35">
      <c r="B135" s="356" t="s">
        <v>161</v>
      </c>
      <c r="C135" s="69">
        <f>IFERROR(GETPIVOTDATA("Sum of "&amp;TEXT(C$10,"mmm-yyyy"),'PT-All'!$A$1,"Scenario",C$15,"P&amp;L Item",$B135),0)</f>
        <v>0</v>
      </c>
      <c r="D135" s="69">
        <f>IFERROR(GETPIVOTDATA("Sum of "&amp;TEXT(D$10,"mmm-yyyy"),'PT-All'!$A$1,"Scenario",D$15,"P&amp;L Item",$B135),0)</f>
        <v>0</v>
      </c>
      <c r="E135" s="69">
        <f>IFERROR(GETPIVOTDATA("Sum of "&amp;TEXT(E$10,"mmm-yyyy"),'PT-All'!$A$1,"Scenario",E$15,"P&amp;L Item",$B135),0)</f>
        <v>0</v>
      </c>
      <c r="F135" s="69">
        <f>IFERROR(GETPIVOTDATA("Sum of "&amp;TEXT(F$10,"mmm-yyyy"),'PT-All'!$A$1,"Scenario",F$15,"P&amp;L Item",$B135),0)</f>
        <v>0</v>
      </c>
      <c r="G135" s="145">
        <f>IFERROR(GETPIVOTDATA("Sum of "&amp;TEXT(G$10,"mmm-yyyy"),'PT-All'!$A$1,"Scenario",G$15,"P&amp;L Item",$B135),0)</f>
        <v>0</v>
      </c>
      <c r="H135" s="144">
        <f>IFERROR(GETPIVOTDATA("Sum of "&amp;TEXT(H$10,"mmm-yyyy"),'PT-All'!$A$1,"Scenario",H$15,"P&amp;L Item",$B135),0)</f>
        <v>0</v>
      </c>
      <c r="I135" s="144">
        <f>IFERROR(GETPIVOTDATA("Sum of "&amp;TEXT(I$10,"mmm-yyyy"),'PT-All'!$A$1,"Scenario",I$15,"P&amp;L Item",$B135),0)</f>
        <v>0</v>
      </c>
      <c r="J135" s="438"/>
      <c r="K135" s="144">
        <f t="shared" si="66"/>
        <v>0</v>
      </c>
      <c r="L135" s="143">
        <f t="shared" si="67"/>
        <v>0</v>
      </c>
      <c r="M135" s="180"/>
      <c r="N135" s="69">
        <f>IFERROR(GETPIVOTDATA("Sum of Q"&amp;N$9,'PT-All'!$A$1,"Scenario",N$15,"P&amp;L Item",$B135),0)</f>
        <v>0</v>
      </c>
      <c r="O135" s="145">
        <f>IFERROR(GETPIVOTDATA("Sum of Q"&amp;O$9,'PT-All'!$A$1,"Scenario",O$15,"P&amp;L Item",$B135),0)</f>
        <v>0</v>
      </c>
      <c r="P135" s="144">
        <f>IF($T$13,IFERROR(GETPIVOTDATA("Sum of Month "&amp;$Q$9,'PT-All'!$A$1,"Scenario",P$13,"P&amp;L Item",$B135),0),0)+IF($T$14,IFERROR(GETPIVOTDATA("Sum of Month "&amp;$S$9,'PT-All'!$A$1,"Scenario",P$14,"P&amp;L Item",$B135),0),0)+IF($T$15,IFERROR(GETPIVOTDATA("Sum of Month "&amp;$T$9,'PT-All'!$A$1,"Scenario",P$15,"P&amp;L Item",$B135),0),0)</f>
        <v>0</v>
      </c>
      <c r="Q135" s="144">
        <f>IF($T$13,IFERROR(GETPIVOTDATA("Sum of Month "&amp;$Q$9,'PT-All'!$A$1,"Scenario",Q$13,"P&amp;L Item",$B135),0),0)+IF($T$14,IFERROR(GETPIVOTDATA("Sum of Month "&amp;$S$9,'PT-All'!$A$1,"Scenario",Q$14,"P&amp;L Item",$B135),0),0)+IF($T$15,IFERROR(GETPIVOTDATA("Sum of Month "&amp;$T$9,'PT-All'!$A$1,"Scenario",Q$15,"P&amp;L Item",$B135),0),0)</f>
        <v>0</v>
      </c>
      <c r="R135" s="438"/>
      <c r="S135" s="144">
        <f t="shared" si="68"/>
        <v>0</v>
      </c>
      <c r="T135" s="143">
        <f t="shared" si="69"/>
        <v>0</v>
      </c>
      <c r="U135" s="374"/>
      <c r="V135" s="148"/>
    </row>
    <row r="136" spans="2:22" ht="16" x14ac:dyDescent="0.5">
      <c r="B136" s="360" t="s">
        <v>162</v>
      </c>
      <c r="C136" s="451">
        <f t="shared" ref="C136:I136" si="80">SUM(C137:C144)</f>
        <v>0</v>
      </c>
      <c r="D136" s="451">
        <f t="shared" si="80"/>
        <v>0</v>
      </c>
      <c r="E136" s="451">
        <f t="shared" si="80"/>
        <v>0</v>
      </c>
      <c r="F136" s="451">
        <f t="shared" si="80"/>
        <v>0</v>
      </c>
      <c r="G136" s="452">
        <f t="shared" si="80"/>
        <v>0</v>
      </c>
      <c r="H136" s="453">
        <f t="shared" si="80"/>
        <v>0</v>
      </c>
      <c r="I136" s="453">
        <f t="shared" si="80"/>
        <v>0</v>
      </c>
      <c r="J136" s="141"/>
      <c r="K136" s="453">
        <f t="shared" si="66"/>
        <v>0</v>
      </c>
      <c r="L136" s="455">
        <f t="shared" si="67"/>
        <v>0</v>
      </c>
      <c r="M136" s="386"/>
      <c r="N136" s="451">
        <f t="shared" ref="N136:Q136" si="81">SUM(N137:N144)</f>
        <v>0</v>
      </c>
      <c r="O136" s="452">
        <f t="shared" si="81"/>
        <v>0</v>
      </c>
      <c r="P136" s="453">
        <f t="shared" si="81"/>
        <v>0</v>
      </c>
      <c r="Q136" s="453">
        <f t="shared" si="81"/>
        <v>0</v>
      </c>
      <c r="R136" s="141"/>
      <c r="S136" s="453">
        <f t="shared" si="68"/>
        <v>0</v>
      </c>
      <c r="T136" s="455">
        <f t="shared" si="69"/>
        <v>0</v>
      </c>
      <c r="U136" s="456"/>
      <c r="V136" s="387"/>
    </row>
    <row r="137" spans="2:22" x14ac:dyDescent="0.35">
      <c r="B137" s="64" t="s">
        <v>163</v>
      </c>
      <c r="C137" s="407">
        <f>IFERROR(GETPIVOTDATA("Sum of "&amp;TEXT(C$10,"mmm-yyyy"),'PT-All'!$A$1,"Scenario",C$15,"P&amp;L Item",$B137),0)</f>
        <v>0</v>
      </c>
      <c r="D137" s="407">
        <f>IFERROR(GETPIVOTDATA("Sum of "&amp;TEXT(D$10,"mmm-yyyy"),'PT-All'!$A$1,"Scenario",D$15,"P&amp;L Item",$B137),0)</f>
        <v>0</v>
      </c>
      <c r="E137" s="407">
        <f>IFERROR(GETPIVOTDATA("Sum of "&amp;TEXT(E$10,"mmm-yyyy"),'PT-All'!$A$1,"Scenario",E$15,"P&amp;L Item",$B137),0)</f>
        <v>0</v>
      </c>
      <c r="F137" s="407">
        <f>IFERROR(GETPIVOTDATA("Sum of "&amp;TEXT(F$10,"mmm-yyyy"),'PT-All'!$A$1,"Scenario",F$15,"P&amp;L Item",$B137),0)</f>
        <v>0</v>
      </c>
      <c r="G137" s="408">
        <f>IFERROR(GETPIVOTDATA("Sum of "&amp;TEXT(G$10,"mmm-yyyy"),'PT-All'!$A$1,"Scenario",G$15,"P&amp;L Item",$B137),0)</f>
        <v>0</v>
      </c>
      <c r="H137" s="409">
        <f>IFERROR(GETPIVOTDATA("Sum of "&amp;TEXT(H$10,"mmm-yyyy"),'PT-All'!$A$1,"Scenario",H$15,"P&amp;L Item",$B137),0)</f>
        <v>0</v>
      </c>
      <c r="I137" s="409">
        <f>IFERROR(GETPIVOTDATA("Sum of "&amp;TEXT(I$10,"mmm-yyyy"),'PT-All'!$A$1,"Scenario",I$15,"P&amp;L Item",$B137),0)</f>
        <v>0</v>
      </c>
      <c r="J137" s="138"/>
      <c r="K137" s="409">
        <f t="shared" si="66"/>
        <v>0</v>
      </c>
      <c r="L137" s="410">
        <f t="shared" si="67"/>
        <v>0</v>
      </c>
      <c r="M137" s="180"/>
      <c r="N137" s="407">
        <f>IFERROR(GETPIVOTDATA("Sum of Q"&amp;N$9,'PT-All'!$A$1,"Scenario",N$15,"P&amp;L Item",$B137),0)</f>
        <v>0</v>
      </c>
      <c r="O137" s="408">
        <f>IFERROR(GETPIVOTDATA("Sum of Q"&amp;O$9,'PT-All'!$A$1,"Scenario",O$15,"P&amp;L Item",$B137),0)</f>
        <v>0</v>
      </c>
      <c r="P137" s="409">
        <f>IF($T$13,IFERROR(GETPIVOTDATA("Sum of Month "&amp;$Q$9,'PT-All'!$A$1,"Scenario",P$13,"P&amp;L Item",$B137),0),0)+IF($T$14,IFERROR(GETPIVOTDATA("Sum of Month "&amp;$S$9,'PT-All'!$A$1,"Scenario",P$14,"P&amp;L Item",$B137),0),0)+IF($T$15,IFERROR(GETPIVOTDATA("Sum of Month "&amp;$T$9,'PT-All'!$A$1,"Scenario",P$15,"P&amp;L Item",$B137),0),0)</f>
        <v>0</v>
      </c>
      <c r="Q137" s="409">
        <f>IF($T$13,IFERROR(GETPIVOTDATA("Sum of Month "&amp;$Q$9,'PT-All'!$A$1,"Scenario",Q$13,"P&amp;L Item",$B137),0),0)+IF($T$14,IFERROR(GETPIVOTDATA("Sum of Month "&amp;$S$9,'PT-All'!$A$1,"Scenario",Q$14,"P&amp;L Item",$B137),0),0)+IF($T$15,IFERROR(GETPIVOTDATA("Sum of Month "&amp;$T$9,'PT-All'!$A$1,"Scenario",Q$15,"P&amp;L Item",$B137),0),0)</f>
        <v>0</v>
      </c>
      <c r="R137" s="138"/>
      <c r="S137" s="409">
        <f t="shared" si="68"/>
        <v>0</v>
      </c>
      <c r="T137" s="410">
        <f t="shared" si="69"/>
        <v>0</v>
      </c>
      <c r="U137" s="411"/>
      <c r="V137" s="148"/>
    </row>
    <row r="138" spans="2:22" x14ac:dyDescent="0.35">
      <c r="B138" s="64" t="s">
        <v>164</v>
      </c>
      <c r="C138" s="407">
        <f>IFERROR(GETPIVOTDATA("Sum of "&amp;TEXT(C$10,"mmm-yyyy"),'PT-All'!$A$1,"Scenario",C$15,"P&amp;L Item",$B138),0)</f>
        <v>0</v>
      </c>
      <c r="D138" s="407">
        <f>IFERROR(GETPIVOTDATA("Sum of "&amp;TEXT(D$10,"mmm-yyyy"),'PT-All'!$A$1,"Scenario",D$15,"P&amp;L Item",$B138),0)</f>
        <v>0</v>
      </c>
      <c r="E138" s="407">
        <f>IFERROR(GETPIVOTDATA("Sum of "&amp;TEXT(E$10,"mmm-yyyy"),'PT-All'!$A$1,"Scenario",E$15,"P&amp;L Item",$B138),0)</f>
        <v>0</v>
      </c>
      <c r="F138" s="407">
        <f>IFERROR(GETPIVOTDATA("Sum of "&amp;TEXT(F$10,"mmm-yyyy"),'PT-All'!$A$1,"Scenario",F$15,"P&amp;L Item",$B138),0)</f>
        <v>0</v>
      </c>
      <c r="G138" s="408">
        <f>IFERROR(GETPIVOTDATA("Sum of "&amp;TEXT(G$10,"mmm-yyyy"),'PT-All'!$A$1,"Scenario",G$15,"P&amp;L Item",$B138),0)</f>
        <v>0</v>
      </c>
      <c r="H138" s="409">
        <f>IFERROR(GETPIVOTDATA("Sum of "&amp;TEXT(H$10,"mmm-yyyy"),'PT-All'!$A$1,"Scenario",H$15,"P&amp;L Item",$B138),0)</f>
        <v>0</v>
      </c>
      <c r="I138" s="409">
        <f>IFERROR(GETPIVOTDATA("Sum of "&amp;TEXT(I$10,"mmm-yyyy"),'PT-All'!$A$1,"Scenario",I$15,"P&amp;L Item",$B138),0)</f>
        <v>0</v>
      </c>
      <c r="J138" s="138"/>
      <c r="K138" s="409">
        <f t="shared" si="66"/>
        <v>0</v>
      </c>
      <c r="L138" s="410">
        <f t="shared" si="67"/>
        <v>0</v>
      </c>
      <c r="M138" s="180"/>
      <c r="N138" s="407">
        <f>IFERROR(GETPIVOTDATA("Sum of Q"&amp;N$9,'PT-All'!$A$1,"Scenario",N$15,"P&amp;L Item",$B138),0)</f>
        <v>0</v>
      </c>
      <c r="O138" s="408">
        <f>IFERROR(GETPIVOTDATA("Sum of Q"&amp;O$9,'PT-All'!$A$1,"Scenario",O$15,"P&amp;L Item",$B138),0)</f>
        <v>0</v>
      </c>
      <c r="P138" s="409">
        <f>IF($T$13,IFERROR(GETPIVOTDATA("Sum of Month "&amp;$Q$9,'PT-All'!$A$1,"Scenario",P$13,"P&amp;L Item",$B138),0),0)+IF($T$14,IFERROR(GETPIVOTDATA("Sum of Month "&amp;$S$9,'PT-All'!$A$1,"Scenario",P$14,"P&amp;L Item",$B138),0),0)+IF($T$15,IFERROR(GETPIVOTDATA("Sum of Month "&amp;$T$9,'PT-All'!$A$1,"Scenario",P$15,"P&amp;L Item",$B138),0),0)</f>
        <v>0</v>
      </c>
      <c r="Q138" s="409">
        <f>IF($T$13,IFERROR(GETPIVOTDATA("Sum of Month "&amp;$Q$9,'PT-All'!$A$1,"Scenario",Q$13,"P&amp;L Item",$B138),0),0)+IF($T$14,IFERROR(GETPIVOTDATA("Sum of Month "&amp;$S$9,'PT-All'!$A$1,"Scenario",Q$14,"P&amp;L Item",$B138),0),0)+IF($T$15,IFERROR(GETPIVOTDATA("Sum of Month "&amp;$T$9,'PT-All'!$A$1,"Scenario",Q$15,"P&amp;L Item",$B138),0),0)</f>
        <v>0</v>
      </c>
      <c r="R138" s="138"/>
      <c r="S138" s="409">
        <f t="shared" si="68"/>
        <v>0</v>
      </c>
      <c r="T138" s="410">
        <f t="shared" si="69"/>
        <v>0</v>
      </c>
      <c r="U138" s="411"/>
      <c r="V138" s="148"/>
    </row>
    <row r="139" spans="2:22" x14ac:dyDescent="0.35">
      <c r="B139" s="64" t="s">
        <v>165</v>
      </c>
      <c r="C139" s="407">
        <f>IFERROR(GETPIVOTDATA("Sum of "&amp;TEXT(C$10,"mmm-yyyy"),'PT-All'!$A$1,"Scenario",C$15,"P&amp;L Item",$B139),0)</f>
        <v>0</v>
      </c>
      <c r="D139" s="407">
        <f>IFERROR(GETPIVOTDATA("Sum of "&amp;TEXT(D$10,"mmm-yyyy"),'PT-All'!$A$1,"Scenario",D$15,"P&amp;L Item",$B139),0)</f>
        <v>0</v>
      </c>
      <c r="E139" s="407">
        <f>IFERROR(GETPIVOTDATA("Sum of "&amp;TEXT(E$10,"mmm-yyyy"),'PT-All'!$A$1,"Scenario",E$15,"P&amp;L Item",$B139),0)</f>
        <v>0</v>
      </c>
      <c r="F139" s="407">
        <f>IFERROR(GETPIVOTDATA("Sum of "&amp;TEXT(F$10,"mmm-yyyy"),'PT-All'!$A$1,"Scenario",F$15,"P&amp;L Item",$B139),0)</f>
        <v>0</v>
      </c>
      <c r="G139" s="408">
        <f>IFERROR(GETPIVOTDATA("Sum of "&amp;TEXT(G$10,"mmm-yyyy"),'PT-All'!$A$1,"Scenario",G$15,"P&amp;L Item",$B139),0)</f>
        <v>0</v>
      </c>
      <c r="H139" s="409">
        <f>IFERROR(GETPIVOTDATA("Sum of "&amp;TEXT(H$10,"mmm-yyyy"),'PT-All'!$A$1,"Scenario",H$15,"P&amp;L Item",$B139),0)</f>
        <v>0</v>
      </c>
      <c r="I139" s="409">
        <f>IFERROR(GETPIVOTDATA("Sum of "&amp;TEXT(I$10,"mmm-yyyy"),'PT-All'!$A$1,"Scenario",I$15,"P&amp;L Item",$B139),0)</f>
        <v>0</v>
      </c>
      <c r="J139" s="138"/>
      <c r="K139" s="409">
        <f t="shared" si="66"/>
        <v>0</v>
      </c>
      <c r="L139" s="410">
        <f t="shared" si="67"/>
        <v>0</v>
      </c>
      <c r="M139" s="180"/>
      <c r="N139" s="407">
        <f>IFERROR(GETPIVOTDATA("Sum of Q"&amp;N$9,'PT-All'!$A$1,"Scenario",N$15,"P&amp;L Item",$B139),0)</f>
        <v>0</v>
      </c>
      <c r="O139" s="408">
        <f>IFERROR(GETPIVOTDATA("Sum of Q"&amp;O$9,'PT-All'!$A$1,"Scenario",O$15,"P&amp;L Item",$B139),0)</f>
        <v>0</v>
      </c>
      <c r="P139" s="409">
        <f>IF($T$13,IFERROR(GETPIVOTDATA("Sum of Month "&amp;$Q$9,'PT-All'!$A$1,"Scenario",P$13,"P&amp;L Item",$B139),0),0)+IF($T$14,IFERROR(GETPIVOTDATA("Sum of Month "&amp;$S$9,'PT-All'!$A$1,"Scenario",P$14,"P&amp;L Item",$B139),0),0)+IF($T$15,IFERROR(GETPIVOTDATA("Sum of Month "&amp;$T$9,'PT-All'!$A$1,"Scenario",P$15,"P&amp;L Item",$B139),0),0)</f>
        <v>0</v>
      </c>
      <c r="Q139" s="409">
        <f>IF($T$13,IFERROR(GETPIVOTDATA("Sum of Month "&amp;$Q$9,'PT-All'!$A$1,"Scenario",Q$13,"P&amp;L Item",$B139),0),0)+IF($T$14,IFERROR(GETPIVOTDATA("Sum of Month "&amp;$S$9,'PT-All'!$A$1,"Scenario",Q$14,"P&amp;L Item",$B139),0),0)+IF($T$15,IFERROR(GETPIVOTDATA("Sum of Month "&amp;$T$9,'PT-All'!$A$1,"Scenario",Q$15,"P&amp;L Item",$B139),0),0)</f>
        <v>0</v>
      </c>
      <c r="R139" s="138"/>
      <c r="S139" s="409">
        <f t="shared" si="68"/>
        <v>0</v>
      </c>
      <c r="T139" s="410">
        <f t="shared" si="69"/>
        <v>0</v>
      </c>
      <c r="U139" s="411"/>
      <c r="V139" s="148"/>
    </row>
    <row r="140" spans="2:22" x14ac:dyDescent="0.35">
      <c r="B140" s="64" t="s">
        <v>166</v>
      </c>
      <c r="C140" s="407">
        <f>IFERROR(GETPIVOTDATA("Sum of "&amp;TEXT(C$10,"mmm-yyyy"),'PT-All'!$A$1,"Scenario",C$15,"P&amp;L Item",$B140),0)</f>
        <v>0</v>
      </c>
      <c r="D140" s="407">
        <f>IFERROR(GETPIVOTDATA("Sum of "&amp;TEXT(D$10,"mmm-yyyy"),'PT-All'!$A$1,"Scenario",D$15,"P&amp;L Item",$B140),0)</f>
        <v>0</v>
      </c>
      <c r="E140" s="407">
        <f>IFERROR(GETPIVOTDATA("Sum of "&amp;TEXT(E$10,"mmm-yyyy"),'PT-All'!$A$1,"Scenario",E$15,"P&amp;L Item",$B140),0)</f>
        <v>0</v>
      </c>
      <c r="F140" s="407">
        <f>IFERROR(GETPIVOTDATA("Sum of "&amp;TEXT(F$10,"mmm-yyyy"),'PT-All'!$A$1,"Scenario",F$15,"P&amp;L Item",$B140),0)</f>
        <v>0</v>
      </c>
      <c r="G140" s="408">
        <f>IFERROR(GETPIVOTDATA("Sum of "&amp;TEXT(G$10,"mmm-yyyy"),'PT-All'!$A$1,"Scenario",G$15,"P&amp;L Item",$B140),0)</f>
        <v>0</v>
      </c>
      <c r="H140" s="409">
        <f>IFERROR(GETPIVOTDATA("Sum of "&amp;TEXT(H$10,"mmm-yyyy"),'PT-All'!$A$1,"Scenario",H$15,"P&amp;L Item",$B140),0)</f>
        <v>0</v>
      </c>
      <c r="I140" s="409">
        <f>IFERROR(GETPIVOTDATA("Sum of "&amp;TEXT(I$10,"mmm-yyyy"),'PT-All'!$A$1,"Scenario",I$15,"P&amp;L Item",$B140),0)</f>
        <v>0</v>
      </c>
      <c r="J140" s="138"/>
      <c r="K140" s="409">
        <f t="shared" si="66"/>
        <v>0</v>
      </c>
      <c r="L140" s="410">
        <f t="shared" si="67"/>
        <v>0</v>
      </c>
      <c r="M140" s="180"/>
      <c r="N140" s="407">
        <f>IFERROR(GETPIVOTDATA("Sum of Q"&amp;N$9,'PT-All'!$A$1,"Scenario",N$15,"P&amp;L Item",$B140),0)</f>
        <v>0</v>
      </c>
      <c r="O140" s="408">
        <f>IFERROR(GETPIVOTDATA("Sum of Q"&amp;O$9,'PT-All'!$A$1,"Scenario",O$15,"P&amp;L Item",$B140),0)</f>
        <v>0</v>
      </c>
      <c r="P140" s="409">
        <f>IF($T$13,IFERROR(GETPIVOTDATA("Sum of Month "&amp;$Q$9,'PT-All'!$A$1,"Scenario",P$13,"P&amp;L Item",$B140),0),0)+IF($T$14,IFERROR(GETPIVOTDATA("Sum of Month "&amp;$S$9,'PT-All'!$A$1,"Scenario",P$14,"P&amp;L Item",$B140),0),0)+IF($T$15,IFERROR(GETPIVOTDATA("Sum of Month "&amp;$T$9,'PT-All'!$A$1,"Scenario",P$15,"P&amp;L Item",$B140),0),0)</f>
        <v>0</v>
      </c>
      <c r="Q140" s="409">
        <f>IF($T$13,IFERROR(GETPIVOTDATA("Sum of Month "&amp;$Q$9,'PT-All'!$A$1,"Scenario",Q$13,"P&amp;L Item",$B140),0),0)+IF($T$14,IFERROR(GETPIVOTDATA("Sum of Month "&amp;$S$9,'PT-All'!$A$1,"Scenario",Q$14,"P&amp;L Item",$B140),0),0)+IF($T$15,IFERROR(GETPIVOTDATA("Sum of Month "&amp;$T$9,'PT-All'!$A$1,"Scenario",Q$15,"P&amp;L Item",$B140),0),0)</f>
        <v>0</v>
      </c>
      <c r="R140" s="138"/>
      <c r="S140" s="409">
        <f t="shared" si="68"/>
        <v>0</v>
      </c>
      <c r="T140" s="410">
        <f t="shared" si="69"/>
        <v>0</v>
      </c>
      <c r="U140" s="411"/>
      <c r="V140" s="148"/>
    </row>
    <row r="141" spans="2:22" x14ac:dyDescent="0.35">
      <c r="B141" s="64" t="s">
        <v>167</v>
      </c>
      <c r="C141" s="407">
        <f>IFERROR(GETPIVOTDATA("Sum of "&amp;TEXT(C$10,"mmm-yyyy"),'PT-All'!$A$1,"Scenario",C$15,"P&amp;L Item",$B141),0)</f>
        <v>0</v>
      </c>
      <c r="D141" s="407">
        <f>IFERROR(GETPIVOTDATA("Sum of "&amp;TEXT(D$10,"mmm-yyyy"),'PT-All'!$A$1,"Scenario",D$15,"P&amp;L Item",$B141),0)</f>
        <v>0</v>
      </c>
      <c r="E141" s="407">
        <f>IFERROR(GETPIVOTDATA("Sum of "&amp;TEXT(E$10,"mmm-yyyy"),'PT-All'!$A$1,"Scenario",E$15,"P&amp;L Item",$B141),0)</f>
        <v>0</v>
      </c>
      <c r="F141" s="407">
        <f>IFERROR(GETPIVOTDATA("Sum of "&amp;TEXT(F$10,"mmm-yyyy"),'PT-All'!$A$1,"Scenario",F$15,"P&amp;L Item",$B141),0)</f>
        <v>0</v>
      </c>
      <c r="G141" s="408">
        <f>IFERROR(GETPIVOTDATA("Sum of "&amp;TEXT(G$10,"mmm-yyyy"),'PT-All'!$A$1,"Scenario",G$15,"P&amp;L Item",$B141),0)</f>
        <v>0</v>
      </c>
      <c r="H141" s="409">
        <f>IFERROR(GETPIVOTDATA("Sum of "&amp;TEXT(H$10,"mmm-yyyy"),'PT-All'!$A$1,"Scenario",H$15,"P&amp;L Item",$B141),0)</f>
        <v>0</v>
      </c>
      <c r="I141" s="409">
        <f>IFERROR(GETPIVOTDATA("Sum of "&amp;TEXT(I$10,"mmm-yyyy"),'PT-All'!$A$1,"Scenario",I$15,"P&amp;L Item",$B141),0)</f>
        <v>0</v>
      </c>
      <c r="J141" s="138"/>
      <c r="K141" s="409">
        <f t="shared" si="66"/>
        <v>0</v>
      </c>
      <c r="L141" s="410">
        <f t="shared" si="67"/>
        <v>0</v>
      </c>
      <c r="M141" s="180"/>
      <c r="N141" s="407">
        <f>IFERROR(GETPIVOTDATA("Sum of Q"&amp;N$9,'PT-All'!$A$1,"Scenario",N$15,"P&amp;L Item",$B141),0)</f>
        <v>0</v>
      </c>
      <c r="O141" s="408">
        <f>IFERROR(GETPIVOTDATA("Sum of Q"&amp;O$9,'PT-All'!$A$1,"Scenario",O$15,"P&amp;L Item",$B141),0)</f>
        <v>0</v>
      </c>
      <c r="P141" s="409">
        <f>IF($T$13,IFERROR(GETPIVOTDATA("Sum of Month "&amp;$Q$9,'PT-All'!$A$1,"Scenario",P$13,"P&amp;L Item",$B141),0),0)+IF($T$14,IFERROR(GETPIVOTDATA("Sum of Month "&amp;$S$9,'PT-All'!$A$1,"Scenario",P$14,"P&amp;L Item",$B141),0),0)+IF($T$15,IFERROR(GETPIVOTDATA("Sum of Month "&amp;$T$9,'PT-All'!$A$1,"Scenario",P$15,"P&amp;L Item",$B141),0),0)</f>
        <v>0</v>
      </c>
      <c r="Q141" s="409">
        <f>IF($T$13,IFERROR(GETPIVOTDATA("Sum of Month "&amp;$Q$9,'PT-All'!$A$1,"Scenario",Q$13,"P&amp;L Item",$B141),0),0)+IF($T$14,IFERROR(GETPIVOTDATA("Sum of Month "&amp;$S$9,'PT-All'!$A$1,"Scenario",Q$14,"P&amp;L Item",$B141),0),0)+IF($T$15,IFERROR(GETPIVOTDATA("Sum of Month "&amp;$T$9,'PT-All'!$A$1,"Scenario",Q$15,"P&amp;L Item",$B141),0),0)</f>
        <v>0</v>
      </c>
      <c r="R141" s="138"/>
      <c r="S141" s="409">
        <f t="shared" si="68"/>
        <v>0</v>
      </c>
      <c r="T141" s="410">
        <f t="shared" si="69"/>
        <v>0</v>
      </c>
      <c r="U141" s="411"/>
      <c r="V141" s="148"/>
    </row>
    <row r="142" spans="2:22" x14ac:dyDescent="0.35">
      <c r="B142" s="64" t="s">
        <v>168</v>
      </c>
      <c r="C142" s="407">
        <f>IFERROR(GETPIVOTDATA("Sum of "&amp;TEXT(C$10,"mmm-yyyy"),'PT-All'!$A$1,"Scenario",C$15,"P&amp;L Item",$B142),0)</f>
        <v>0</v>
      </c>
      <c r="D142" s="407">
        <f>IFERROR(GETPIVOTDATA("Sum of "&amp;TEXT(D$10,"mmm-yyyy"),'PT-All'!$A$1,"Scenario",D$15,"P&amp;L Item",$B142),0)</f>
        <v>0</v>
      </c>
      <c r="E142" s="407">
        <f>IFERROR(GETPIVOTDATA("Sum of "&amp;TEXT(E$10,"mmm-yyyy"),'PT-All'!$A$1,"Scenario",E$15,"P&amp;L Item",$B142),0)</f>
        <v>0</v>
      </c>
      <c r="F142" s="407">
        <f>IFERROR(GETPIVOTDATA("Sum of "&amp;TEXT(F$10,"mmm-yyyy"),'PT-All'!$A$1,"Scenario",F$15,"P&amp;L Item",$B142),0)</f>
        <v>0</v>
      </c>
      <c r="G142" s="408">
        <f>IFERROR(GETPIVOTDATA("Sum of "&amp;TEXT(G$10,"mmm-yyyy"),'PT-All'!$A$1,"Scenario",G$15,"P&amp;L Item",$B142),0)</f>
        <v>0</v>
      </c>
      <c r="H142" s="409">
        <f>IFERROR(GETPIVOTDATA("Sum of "&amp;TEXT(H$10,"mmm-yyyy"),'PT-All'!$A$1,"Scenario",H$15,"P&amp;L Item",$B142),0)</f>
        <v>0</v>
      </c>
      <c r="I142" s="409">
        <f>IFERROR(GETPIVOTDATA("Sum of "&amp;TEXT(I$10,"mmm-yyyy"),'PT-All'!$A$1,"Scenario",I$15,"P&amp;L Item",$B142),0)</f>
        <v>0</v>
      </c>
      <c r="J142" s="138"/>
      <c r="K142" s="409">
        <f t="shared" si="66"/>
        <v>0</v>
      </c>
      <c r="L142" s="410">
        <f t="shared" si="67"/>
        <v>0</v>
      </c>
      <c r="M142" s="180"/>
      <c r="N142" s="407">
        <f>IFERROR(GETPIVOTDATA("Sum of Q"&amp;N$9,'PT-All'!$A$1,"Scenario",N$15,"P&amp;L Item",$B142),0)</f>
        <v>0</v>
      </c>
      <c r="O142" s="408">
        <f>IFERROR(GETPIVOTDATA("Sum of Q"&amp;O$9,'PT-All'!$A$1,"Scenario",O$15,"P&amp;L Item",$B142),0)</f>
        <v>0</v>
      </c>
      <c r="P142" s="409">
        <f>IF($T$13,IFERROR(GETPIVOTDATA("Sum of Month "&amp;$Q$9,'PT-All'!$A$1,"Scenario",P$13,"P&amp;L Item",$B142),0),0)+IF($T$14,IFERROR(GETPIVOTDATA("Sum of Month "&amp;$S$9,'PT-All'!$A$1,"Scenario",P$14,"P&amp;L Item",$B142),0),0)+IF($T$15,IFERROR(GETPIVOTDATA("Sum of Month "&amp;$T$9,'PT-All'!$A$1,"Scenario",P$15,"P&amp;L Item",$B142),0),0)</f>
        <v>0</v>
      </c>
      <c r="Q142" s="409">
        <f>IF($T$13,IFERROR(GETPIVOTDATA("Sum of Month "&amp;$Q$9,'PT-All'!$A$1,"Scenario",Q$13,"P&amp;L Item",$B142),0),0)+IF($T$14,IFERROR(GETPIVOTDATA("Sum of Month "&amp;$S$9,'PT-All'!$A$1,"Scenario",Q$14,"P&amp;L Item",$B142),0),0)+IF($T$15,IFERROR(GETPIVOTDATA("Sum of Month "&amp;$T$9,'PT-All'!$A$1,"Scenario",Q$15,"P&amp;L Item",$B142),0),0)</f>
        <v>0</v>
      </c>
      <c r="R142" s="138"/>
      <c r="S142" s="409">
        <f t="shared" si="68"/>
        <v>0</v>
      </c>
      <c r="T142" s="410">
        <f t="shared" si="69"/>
        <v>0</v>
      </c>
      <c r="U142" s="411"/>
      <c r="V142" s="148"/>
    </row>
    <row r="143" spans="2:22" x14ac:dyDescent="0.35">
      <c r="B143" s="64" t="s">
        <v>169</v>
      </c>
      <c r="C143" s="407">
        <f>IFERROR(GETPIVOTDATA("Sum of "&amp;TEXT(C$10,"mmm-yyyy"),'PT-All'!$A$1,"Scenario",C$15,"P&amp;L Item",$B143),0)</f>
        <v>0</v>
      </c>
      <c r="D143" s="407">
        <f>IFERROR(GETPIVOTDATA("Sum of "&amp;TEXT(D$10,"mmm-yyyy"),'PT-All'!$A$1,"Scenario",D$15,"P&amp;L Item",$B143),0)</f>
        <v>0</v>
      </c>
      <c r="E143" s="407">
        <f>IFERROR(GETPIVOTDATA("Sum of "&amp;TEXT(E$10,"mmm-yyyy"),'PT-All'!$A$1,"Scenario",E$15,"P&amp;L Item",$B143),0)</f>
        <v>0</v>
      </c>
      <c r="F143" s="407">
        <f>IFERROR(GETPIVOTDATA("Sum of "&amp;TEXT(F$10,"mmm-yyyy"),'PT-All'!$A$1,"Scenario",F$15,"P&amp;L Item",$B143),0)</f>
        <v>0</v>
      </c>
      <c r="G143" s="408">
        <f>IFERROR(GETPIVOTDATA("Sum of "&amp;TEXT(G$10,"mmm-yyyy"),'PT-All'!$A$1,"Scenario",G$15,"P&amp;L Item",$B143),0)</f>
        <v>0</v>
      </c>
      <c r="H143" s="409">
        <f>IFERROR(GETPIVOTDATA("Sum of "&amp;TEXT(H$10,"mmm-yyyy"),'PT-All'!$A$1,"Scenario",H$15,"P&amp;L Item",$B143),0)</f>
        <v>0</v>
      </c>
      <c r="I143" s="409">
        <f>IFERROR(GETPIVOTDATA("Sum of "&amp;TEXT(I$10,"mmm-yyyy"),'PT-All'!$A$1,"Scenario",I$15,"P&amp;L Item",$B143),0)</f>
        <v>0</v>
      </c>
      <c r="J143" s="138"/>
      <c r="K143" s="409">
        <f t="shared" si="66"/>
        <v>0</v>
      </c>
      <c r="L143" s="410">
        <f t="shared" si="67"/>
        <v>0</v>
      </c>
      <c r="M143" s="180"/>
      <c r="N143" s="407">
        <f>IFERROR(GETPIVOTDATA("Sum of Q"&amp;N$9,'PT-All'!$A$1,"Scenario",N$15,"P&amp;L Item",$B143),0)</f>
        <v>0</v>
      </c>
      <c r="O143" s="408">
        <f>IFERROR(GETPIVOTDATA("Sum of Q"&amp;O$9,'PT-All'!$A$1,"Scenario",O$15,"P&amp;L Item",$B143),0)</f>
        <v>0</v>
      </c>
      <c r="P143" s="409">
        <f>IF($T$13,IFERROR(GETPIVOTDATA("Sum of Month "&amp;$Q$9,'PT-All'!$A$1,"Scenario",P$13,"P&amp;L Item",$B143),0),0)+IF($T$14,IFERROR(GETPIVOTDATA("Sum of Month "&amp;$S$9,'PT-All'!$A$1,"Scenario",P$14,"P&amp;L Item",$B143),0),0)+IF($T$15,IFERROR(GETPIVOTDATA("Sum of Month "&amp;$T$9,'PT-All'!$A$1,"Scenario",P$15,"P&amp;L Item",$B143),0),0)</f>
        <v>0</v>
      </c>
      <c r="Q143" s="409">
        <f>IF($T$13,IFERROR(GETPIVOTDATA("Sum of Month "&amp;$Q$9,'PT-All'!$A$1,"Scenario",Q$13,"P&amp;L Item",$B143),0),0)+IF($T$14,IFERROR(GETPIVOTDATA("Sum of Month "&amp;$S$9,'PT-All'!$A$1,"Scenario",Q$14,"P&amp;L Item",$B143),0),0)+IF($T$15,IFERROR(GETPIVOTDATA("Sum of Month "&amp;$T$9,'PT-All'!$A$1,"Scenario",Q$15,"P&amp;L Item",$B143),0),0)</f>
        <v>0</v>
      </c>
      <c r="R143" s="138"/>
      <c r="S143" s="409">
        <f t="shared" si="68"/>
        <v>0</v>
      </c>
      <c r="T143" s="410">
        <f t="shared" si="69"/>
        <v>0</v>
      </c>
      <c r="U143" s="411"/>
      <c r="V143" s="148"/>
    </row>
    <row r="144" spans="2:22" ht="16" x14ac:dyDescent="0.5">
      <c r="B144" s="64" t="s">
        <v>170</v>
      </c>
      <c r="C144" s="412">
        <f>IFERROR(GETPIVOTDATA("Sum of "&amp;TEXT(C$10,"mmm-yyyy"),'PT-All'!$A$1,"Scenario",C$15,"P&amp;L Item",$B144),0)</f>
        <v>0</v>
      </c>
      <c r="D144" s="412">
        <f>IFERROR(GETPIVOTDATA("Sum of "&amp;TEXT(D$10,"mmm-yyyy"),'PT-All'!$A$1,"Scenario",D$15,"P&amp;L Item",$B144),0)</f>
        <v>0</v>
      </c>
      <c r="E144" s="412">
        <f>IFERROR(GETPIVOTDATA("Sum of "&amp;TEXT(E$10,"mmm-yyyy"),'PT-All'!$A$1,"Scenario",E$15,"P&amp;L Item",$B144),0)</f>
        <v>0</v>
      </c>
      <c r="F144" s="412">
        <f>IFERROR(GETPIVOTDATA("Sum of "&amp;TEXT(F$10,"mmm-yyyy"),'PT-All'!$A$1,"Scenario",F$15,"P&amp;L Item",$B144),0)</f>
        <v>0</v>
      </c>
      <c r="G144" s="413">
        <f>IFERROR(GETPIVOTDATA("Sum of "&amp;TEXT(G$10,"mmm-yyyy"),'PT-All'!$A$1,"Scenario",G$15,"P&amp;L Item",$B144),0)</f>
        <v>0</v>
      </c>
      <c r="H144" s="414">
        <f>IFERROR(GETPIVOTDATA("Sum of "&amp;TEXT(H$10,"mmm-yyyy"),'PT-All'!$A$1,"Scenario",H$15,"P&amp;L Item",$B144),0)</f>
        <v>0</v>
      </c>
      <c r="I144" s="414">
        <f>IFERROR(GETPIVOTDATA("Sum of "&amp;TEXT(I$10,"mmm-yyyy"),'PT-All'!$A$1,"Scenario",I$15,"P&amp;L Item",$B144),0)</f>
        <v>0</v>
      </c>
      <c r="J144" s="138"/>
      <c r="K144" s="414">
        <f t="shared" si="66"/>
        <v>0</v>
      </c>
      <c r="L144" s="415">
        <f t="shared" si="67"/>
        <v>0</v>
      </c>
      <c r="M144" s="180"/>
      <c r="N144" s="412">
        <f>IFERROR(GETPIVOTDATA("Sum of Q"&amp;N$9,'PT-All'!$A$1,"Scenario",N$15,"P&amp;L Item",$B144),0)</f>
        <v>0</v>
      </c>
      <c r="O144" s="413">
        <f>IFERROR(GETPIVOTDATA("Sum of Q"&amp;O$9,'PT-All'!$A$1,"Scenario",O$15,"P&amp;L Item",$B144),0)</f>
        <v>0</v>
      </c>
      <c r="P144" s="414">
        <f>IF($T$13,IFERROR(GETPIVOTDATA("Sum of Month "&amp;$Q$9,'PT-All'!$A$1,"Scenario",P$13,"P&amp;L Item",$B144),0),0)+IF($T$14,IFERROR(GETPIVOTDATA("Sum of Month "&amp;$S$9,'PT-All'!$A$1,"Scenario",P$14,"P&amp;L Item",$B144),0),0)+IF($T$15,IFERROR(GETPIVOTDATA("Sum of Month "&amp;$T$9,'PT-All'!$A$1,"Scenario",P$15,"P&amp;L Item",$B144),0),0)</f>
        <v>0</v>
      </c>
      <c r="Q144" s="414">
        <f>IF($T$13,IFERROR(GETPIVOTDATA("Sum of Month "&amp;$Q$9,'PT-All'!$A$1,"Scenario",Q$13,"P&amp;L Item",$B144),0),0)+IF($T$14,IFERROR(GETPIVOTDATA("Sum of Month "&amp;$S$9,'PT-All'!$A$1,"Scenario",Q$14,"P&amp;L Item",$B144),0),0)+IF($T$15,IFERROR(GETPIVOTDATA("Sum of Month "&amp;$T$9,'PT-All'!$A$1,"Scenario",Q$15,"P&amp;L Item",$B144),0),0)</f>
        <v>0</v>
      </c>
      <c r="R144" s="138"/>
      <c r="S144" s="414">
        <f t="shared" si="68"/>
        <v>0</v>
      </c>
      <c r="T144" s="415">
        <f t="shared" si="69"/>
        <v>0</v>
      </c>
      <c r="U144" s="416"/>
      <c r="V144" s="148"/>
    </row>
    <row r="145" spans="2:22" x14ac:dyDescent="0.35">
      <c r="B145" s="84" t="s">
        <v>171</v>
      </c>
      <c r="C145" s="425">
        <f t="shared" ref="C145:I145" si="82">SUM(C134:C136,C114:C115)</f>
        <v>0</v>
      </c>
      <c r="D145" s="425">
        <f t="shared" si="82"/>
        <v>0</v>
      </c>
      <c r="E145" s="425">
        <f t="shared" si="82"/>
        <v>0</v>
      </c>
      <c r="F145" s="425">
        <f t="shared" si="82"/>
        <v>0</v>
      </c>
      <c r="G145" s="426">
        <f t="shared" si="82"/>
        <v>0</v>
      </c>
      <c r="H145" s="427">
        <f t="shared" si="82"/>
        <v>0</v>
      </c>
      <c r="I145" s="427">
        <f t="shared" si="82"/>
        <v>0</v>
      </c>
      <c r="J145" s="135"/>
      <c r="K145" s="427">
        <f t="shared" si="66"/>
        <v>0</v>
      </c>
      <c r="L145" s="429">
        <f t="shared" si="67"/>
        <v>0</v>
      </c>
      <c r="M145" s="384"/>
      <c r="N145" s="425">
        <f t="shared" ref="N145:O145" si="83">SUM(N134:N136,N114:N115)</f>
        <v>0</v>
      </c>
      <c r="O145" s="426">
        <f t="shared" si="83"/>
        <v>0</v>
      </c>
      <c r="P145" s="427">
        <f t="shared" ref="P145:Q145" si="84">SUM(P134:P136,P114:P115)</f>
        <v>0</v>
      </c>
      <c r="Q145" s="427">
        <f t="shared" si="84"/>
        <v>0</v>
      </c>
      <c r="R145" s="135"/>
      <c r="S145" s="427">
        <f t="shared" si="68"/>
        <v>0</v>
      </c>
      <c r="T145" s="429">
        <f t="shared" si="69"/>
        <v>0</v>
      </c>
      <c r="U145" s="430"/>
      <c r="V145" s="385"/>
    </row>
    <row r="146" spans="2:22" x14ac:dyDescent="0.35">
      <c r="B146" s="87"/>
      <c r="C146" s="379"/>
      <c r="D146" s="379"/>
      <c r="E146" s="379"/>
      <c r="F146" s="379"/>
      <c r="G146" s="380"/>
      <c r="H146" s="381"/>
      <c r="I146" s="381"/>
      <c r="J146" s="138"/>
      <c r="K146" s="381"/>
      <c r="L146" s="382"/>
      <c r="M146" s="180"/>
      <c r="N146" s="379"/>
      <c r="O146" s="380"/>
      <c r="P146" s="381"/>
      <c r="Q146" s="381"/>
      <c r="R146" s="138"/>
      <c r="S146" s="381"/>
      <c r="T146" s="382"/>
      <c r="U146" s="383"/>
      <c r="V146" s="148"/>
    </row>
    <row r="147" spans="2:22" x14ac:dyDescent="0.35">
      <c r="B147" s="67" t="s">
        <v>172</v>
      </c>
      <c r="C147" s="375"/>
      <c r="D147" s="375"/>
      <c r="E147" s="375"/>
      <c r="F147" s="375"/>
      <c r="G147" s="376"/>
      <c r="H147" s="377"/>
      <c r="I147" s="377"/>
      <c r="J147" s="138"/>
      <c r="K147" s="377"/>
      <c r="L147" s="143"/>
      <c r="M147" s="180"/>
      <c r="N147" s="375"/>
      <c r="O147" s="376"/>
      <c r="P147" s="377"/>
      <c r="Q147" s="377"/>
      <c r="R147" s="138"/>
      <c r="S147" s="377"/>
      <c r="T147" s="143"/>
      <c r="U147" s="374"/>
      <c r="V147" s="148"/>
    </row>
    <row r="148" spans="2:22" x14ac:dyDescent="0.35">
      <c r="B148" s="356" t="s">
        <v>17</v>
      </c>
      <c r="C148" s="375">
        <f>IFERROR(GETPIVOTDATA("Sum of "&amp;TEXT(C$10,"mmm-yyyy"),'PT-All'!$A$1,"Scenario",C$15,"P&amp;L Item",$B148),0)</f>
        <v>0</v>
      </c>
      <c r="D148" s="375">
        <f>IFERROR(GETPIVOTDATA("Sum of "&amp;TEXT(D$10,"mmm-yyyy"),'PT-All'!$A$1,"Scenario",D$15,"P&amp;L Item",$B148),0)</f>
        <v>0</v>
      </c>
      <c r="E148" s="375">
        <f>IFERROR(GETPIVOTDATA("Sum of "&amp;TEXT(E$10,"mmm-yyyy"),'PT-All'!$A$1,"Scenario",E$15,"P&amp;L Item",$B148),0)</f>
        <v>0</v>
      </c>
      <c r="F148" s="375">
        <f>IFERROR(GETPIVOTDATA("Sum of "&amp;TEXT(F$10,"mmm-yyyy"),'PT-All'!$A$1,"Scenario",F$15,"P&amp;L Item",$B148),0)</f>
        <v>0</v>
      </c>
      <c r="G148" s="376">
        <f>IFERROR(GETPIVOTDATA("Sum of "&amp;TEXT(G$10,"mmm-yyyy"),'PT-All'!$A$1,"Scenario",G$15,"P&amp;L Item",$B148),0)</f>
        <v>0</v>
      </c>
      <c r="H148" s="377">
        <f>IFERROR(GETPIVOTDATA("Sum of "&amp;TEXT(H$10,"mmm-yyyy"),'PT-All'!$A$1,"Scenario",H$15,"P&amp;L Item",$B148),0)</f>
        <v>0</v>
      </c>
      <c r="I148" s="377">
        <f>IFERROR(GETPIVOTDATA("Sum of "&amp;TEXT(I$10,"mmm-yyyy"),'PT-All'!$A$1,"Scenario",I$15,"P&amp;L Item",$B148),0)</f>
        <v>0</v>
      </c>
      <c r="J148" s="138"/>
      <c r="K148" s="377">
        <f t="shared" ref="K148:K180" si="85">I148-H148</f>
        <v>0</v>
      </c>
      <c r="L148" s="143">
        <f t="shared" ref="L148:L180" si="86">IFERROR(SIGN(K148)*ABS(K148/I148),0)</f>
        <v>0</v>
      </c>
      <c r="M148" s="180"/>
      <c r="N148" s="375">
        <f>IFERROR(GETPIVOTDATA("Sum of Q"&amp;N$9,'PT-All'!$A$1,"Scenario",N$15,"P&amp;L Item",$B148),0)</f>
        <v>0</v>
      </c>
      <c r="O148" s="376">
        <f>IFERROR(GETPIVOTDATA("Sum of Q"&amp;O$9,'PT-All'!$A$1,"Scenario",O$15,"P&amp;L Item",$B148),0)</f>
        <v>0</v>
      </c>
      <c r="P148" s="377">
        <f>IF($T$13,IFERROR(GETPIVOTDATA("Sum of Month "&amp;$Q$9,'PT-All'!$A$1,"Scenario",P$13,"P&amp;L Item",$B148),0),0)+IF($T$14,IFERROR(GETPIVOTDATA("Sum of Month "&amp;$S$9,'PT-All'!$A$1,"Scenario",P$14,"P&amp;L Item",$B148),0),0)+IF($T$15,IFERROR(GETPIVOTDATA("Sum of Month "&amp;$T$9,'PT-All'!$A$1,"Scenario",P$15,"P&amp;L Item",$B148),0),0)</f>
        <v>0</v>
      </c>
      <c r="Q148" s="377">
        <f>IF($T$13,IFERROR(GETPIVOTDATA("Sum of Month "&amp;$Q$9,'PT-All'!$A$1,"Scenario",Q$13,"P&amp;L Item",$B148),0),0)+IF($T$14,IFERROR(GETPIVOTDATA("Sum of Month "&amp;$S$9,'PT-All'!$A$1,"Scenario",Q$14,"P&amp;L Item",$B148),0),0)+IF($T$15,IFERROR(GETPIVOTDATA("Sum of Month "&amp;$T$9,'PT-All'!$A$1,"Scenario",Q$15,"P&amp;L Item",$B148),0),0)</f>
        <v>0</v>
      </c>
      <c r="R148" s="138"/>
      <c r="S148" s="377">
        <f t="shared" ref="S148:S180" si="87">Q148-P148</f>
        <v>0</v>
      </c>
      <c r="T148" s="143">
        <f t="shared" ref="T148:T180" si="88">IFERROR(SIGN(S148)*ABS(S148/Q148),0)</f>
        <v>0</v>
      </c>
      <c r="U148" s="374"/>
      <c r="V148" s="148"/>
    </row>
    <row r="149" spans="2:22" x14ac:dyDescent="0.35">
      <c r="B149" s="74" t="s">
        <v>173</v>
      </c>
      <c r="C149" s="69">
        <f t="shared" ref="C149:I149" si="89">SUM(C150,C158)</f>
        <v>0</v>
      </c>
      <c r="D149" s="69">
        <f t="shared" si="89"/>
        <v>0</v>
      </c>
      <c r="E149" s="69">
        <f t="shared" si="89"/>
        <v>0</v>
      </c>
      <c r="F149" s="69">
        <f t="shared" si="89"/>
        <v>0</v>
      </c>
      <c r="G149" s="145">
        <f t="shared" si="89"/>
        <v>0</v>
      </c>
      <c r="H149" s="144">
        <f t="shared" si="89"/>
        <v>0</v>
      </c>
      <c r="I149" s="144">
        <f t="shared" si="89"/>
        <v>0</v>
      </c>
      <c r="J149" s="138"/>
      <c r="K149" s="144">
        <f t="shared" si="85"/>
        <v>0</v>
      </c>
      <c r="L149" s="143">
        <f t="shared" si="86"/>
        <v>0</v>
      </c>
      <c r="M149" s="180"/>
      <c r="N149" s="69">
        <f t="shared" ref="N149:Q149" si="90">SUM(N150,N158)</f>
        <v>0</v>
      </c>
      <c r="O149" s="145">
        <f t="shared" si="90"/>
        <v>0</v>
      </c>
      <c r="P149" s="144">
        <f t="shared" si="90"/>
        <v>0</v>
      </c>
      <c r="Q149" s="144">
        <f t="shared" si="90"/>
        <v>0</v>
      </c>
      <c r="R149" s="138"/>
      <c r="S149" s="144">
        <f t="shared" si="87"/>
        <v>0</v>
      </c>
      <c r="T149" s="143">
        <f t="shared" si="88"/>
        <v>0</v>
      </c>
      <c r="U149" s="374"/>
      <c r="V149" s="148"/>
    </row>
    <row r="150" spans="2:22" x14ac:dyDescent="0.35">
      <c r="B150" s="359" t="s">
        <v>174</v>
      </c>
      <c r="C150" s="69">
        <f t="shared" ref="C150:I150" si="91">SUM(C151:C157)</f>
        <v>0</v>
      </c>
      <c r="D150" s="69">
        <f t="shared" si="91"/>
        <v>0</v>
      </c>
      <c r="E150" s="69">
        <f t="shared" si="91"/>
        <v>0</v>
      </c>
      <c r="F150" s="69">
        <f t="shared" si="91"/>
        <v>0</v>
      </c>
      <c r="G150" s="145">
        <f t="shared" si="91"/>
        <v>0</v>
      </c>
      <c r="H150" s="144">
        <f t="shared" si="91"/>
        <v>0</v>
      </c>
      <c r="I150" s="144">
        <f t="shared" si="91"/>
        <v>0</v>
      </c>
      <c r="J150" s="138"/>
      <c r="K150" s="144">
        <f t="shared" si="85"/>
        <v>0</v>
      </c>
      <c r="L150" s="143">
        <f t="shared" si="86"/>
        <v>0</v>
      </c>
      <c r="M150" s="180"/>
      <c r="N150" s="69">
        <f t="shared" ref="N150:Q150" si="92">SUM(N151:N157)</f>
        <v>0</v>
      </c>
      <c r="O150" s="145">
        <f t="shared" si="92"/>
        <v>0</v>
      </c>
      <c r="P150" s="144">
        <f t="shared" si="92"/>
        <v>0</v>
      </c>
      <c r="Q150" s="144">
        <f t="shared" si="92"/>
        <v>0</v>
      </c>
      <c r="R150" s="138"/>
      <c r="S150" s="144">
        <f t="shared" si="87"/>
        <v>0</v>
      </c>
      <c r="T150" s="143">
        <f t="shared" si="88"/>
        <v>0</v>
      </c>
      <c r="U150" s="374"/>
      <c r="V150" s="148"/>
    </row>
    <row r="151" spans="2:22" x14ac:dyDescent="0.35">
      <c r="B151" s="76" t="s">
        <v>175</v>
      </c>
      <c r="C151" s="407">
        <f>IFERROR(GETPIVOTDATA("Sum of "&amp;TEXT(C$10,"mmm-yyyy"),'PT-All'!$A$1,"Scenario",C$15,"P&amp;L Item",$B151),0)</f>
        <v>0</v>
      </c>
      <c r="D151" s="407">
        <f>IFERROR(GETPIVOTDATA("Sum of "&amp;TEXT(D$10,"mmm-yyyy"),'PT-All'!$A$1,"Scenario",D$15,"P&amp;L Item",$B151),0)</f>
        <v>0</v>
      </c>
      <c r="E151" s="407">
        <f>IFERROR(GETPIVOTDATA("Sum of "&amp;TEXT(E$10,"mmm-yyyy"),'PT-All'!$A$1,"Scenario",E$15,"P&amp;L Item",$B151),0)</f>
        <v>0</v>
      </c>
      <c r="F151" s="407">
        <f>IFERROR(GETPIVOTDATA("Sum of "&amp;TEXT(F$10,"mmm-yyyy"),'PT-All'!$A$1,"Scenario",F$15,"P&amp;L Item",$B151),0)</f>
        <v>0</v>
      </c>
      <c r="G151" s="408">
        <f>IFERROR(GETPIVOTDATA("Sum of "&amp;TEXT(G$10,"mmm-yyyy"),'PT-All'!$A$1,"Scenario",G$15,"P&amp;L Item",$B151),0)</f>
        <v>0</v>
      </c>
      <c r="H151" s="409">
        <f>IFERROR(GETPIVOTDATA("Sum of "&amp;TEXT(H$10,"mmm-yyyy"),'PT-All'!$A$1,"Scenario",H$15,"P&amp;L Item",$B151),0)</f>
        <v>0</v>
      </c>
      <c r="I151" s="409">
        <f>IFERROR(GETPIVOTDATA("Sum of "&amp;TEXT(I$10,"mmm-yyyy"),'PT-All'!$A$1,"Scenario",I$15,"P&amp;L Item",$B151),0)</f>
        <v>0</v>
      </c>
      <c r="J151" s="138"/>
      <c r="K151" s="409">
        <f t="shared" si="85"/>
        <v>0</v>
      </c>
      <c r="L151" s="410">
        <f t="shared" si="86"/>
        <v>0</v>
      </c>
      <c r="M151" s="180"/>
      <c r="N151" s="407">
        <f>IFERROR(GETPIVOTDATA("Sum of Q"&amp;N$9,'PT-All'!$A$1,"Scenario",N$15,"P&amp;L Item",$B151),0)</f>
        <v>0</v>
      </c>
      <c r="O151" s="408">
        <f>IFERROR(GETPIVOTDATA("Sum of Q"&amp;O$9,'PT-All'!$A$1,"Scenario",O$15,"P&amp;L Item",$B151),0)</f>
        <v>0</v>
      </c>
      <c r="P151" s="409">
        <f>IF($T$13,IFERROR(GETPIVOTDATA("Sum of Month "&amp;$Q$9,'PT-All'!$A$1,"Scenario",P$13,"P&amp;L Item",$B151),0),0)+IF($T$14,IFERROR(GETPIVOTDATA("Sum of Month "&amp;$S$9,'PT-All'!$A$1,"Scenario",P$14,"P&amp;L Item",$B151),0),0)+IF($T$15,IFERROR(GETPIVOTDATA("Sum of Month "&amp;$T$9,'PT-All'!$A$1,"Scenario",P$15,"P&amp;L Item",$B151),0),0)</f>
        <v>0</v>
      </c>
      <c r="Q151" s="409">
        <f>IF($T$13,IFERROR(GETPIVOTDATA("Sum of Month "&amp;$Q$9,'PT-All'!$A$1,"Scenario",Q$13,"P&amp;L Item",$B151),0),0)+IF($T$14,IFERROR(GETPIVOTDATA("Sum of Month "&amp;$S$9,'PT-All'!$A$1,"Scenario",Q$14,"P&amp;L Item",$B151),0),0)+IF($T$15,IFERROR(GETPIVOTDATA("Sum of Month "&amp;$T$9,'PT-All'!$A$1,"Scenario",Q$15,"P&amp;L Item",$B151),0),0)</f>
        <v>0</v>
      </c>
      <c r="R151" s="138"/>
      <c r="S151" s="409">
        <f t="shared" si="87"/>
        <v>0</v>
      </c>
      <c r="T151" s="410">
        <f t="shared" si="88"/>
        <v>0</v>
      </c>
      <c r="U151" s="411"/>
      <c r="V151" s="148"/>
    </row>
    <row r="152" spans="2:22" x14ac:dyDescent="0.35">
      <c r="B152" s="76" t="s">
        <v>176</v>
      </c>
      <c r="C152" s="407">
        <f>IFERROR(GETPIVOTDATA("Sum of "&amp;TEXT(C$10,"mmm-yyyy"),'PT-All'!$A$1,"Scenario",C$15,"P&amp;L Item",$B152),0)</f>
        <v>0</v>
      </c>
      <c r="D152" s="407">
        <f>IFERROR(GETPIVOTDATA("Sum of "&amp;TEXT(D$10,"mmm-yyyy"),'PT-All'!$A$1,"Scenario",D$15,"P&amp;L Item",$B152),0)</f>
        <v>0</v>
      </c>
      <c r="E152" s="407">
        <f>IFERROR(GETPIVOTDATA("Sum of "&amp;TEXT(E$10,"mmm-yyyy"),'PT-All'!$A$1,"Scenario",E$15,"P&amp;L Item",$B152),0)</f>
        <v>0</v>
      </c>
      <c r="F152" s="407">
        <f>IFERROR(GETPIVOTDATA("Sum of "&amp;TEXT(F$10,"mmm-yyyy"),'PT-All'!$A$1,"Scenario",F$15,"P&amp;L Item",$B152),0)</f>
        <v>0</v>
      </c>
      <c r="G152" s="408">
        <f>IFERROR(GETPIVOTDATA("Sum of "&amp;TEXT(G$10,"mmm-yyyy"),'PT-All'!$A$1,"Scenario",G$15,"P&amp;L Item",$B152),0)</f>
        <v>0</v>
      </c>
      <c r="H152" s="409">
        <f>IFERROR(GETPIVOTDATA("Sum of "&amp;TEXT(H$10,"mmm-yyyy"),'PT-All'!$A$1,"Scenario",H$15,"P&amp;L Item",$B152),0)</f>
        <v>0</v>
      </c>
      <c r="I152" s="409">
        <f>IFERROR(GETPIVOTDATA("Sum of "&amp;TEXT(I$10,"mmm-yyyy"),'PT-All'!$A$1,"Scenario",I$15,"P&amp;L Item",$B152),0)</f>
        <v>0</v>
      </c>
      <c r="J152" s="138"/>
      <c r="K152" s="409">
        <f t="shared" si="85"/>
        <v>0</v>
      </c>
      <c r="L152" s="410">
        <f t="shared" si="86"/>
        <v>0</v>
      </c>
      <c r="M152" s="180"/>
      <c r="N152" s="407">
        <f>IFERROR(GETPIVOTDATA("Sum of Q"&amp;N$9,'PT-All'!$A$1,"Scenario",N$15,"P&amp;L Item",$B152),0)</f>
        <v>0</v>
      </c>
      <c r="O152" s="408">
        <f>IFERROR(GETPIVOTDATA("Sum of Q"&amp;O$9,'PT-All'!$A$1,"Scenario",O$15,"P&amp;L Item",$B152),0)</f>
        <v>0</v>
      </c>
      <c r="P152" s="409">
        <f>IF($T$13,IFERROR(GETPIVOTDATA("Sum of Month "&amp;$Q$9,'PT-All'!$A$1,"Scenario",P$13,"P&amp;L Item",$B152),0),0)+IF($T$14,IFERROR(GETPIVOTDATA("Sum of Month "&amp;$S$9,'PT-All'!$A$1,"Scenario",P$14,"P&amp;L Item",$B152),0),0)+IF($T$15,IFERROR(GETPIVOTDATA("Sum of Month "&amp;$T$9,'PT-All'!$A$1,"Scenario",P$15,"P&amp;L Item",$B152),0),0)</f>
        <v>0</v>
      </c>
      <c r="Q152" s="409">
        <f>IF($T$13,IFERROR(GETPIVOTDATA("Sum of Month "&amp;$Q$9,'PT-All'!$A$1,"Scenario",Q$13,"P&amp;L Item",$B152),0),0)+IF($T$14,IFERROR(GETPIVOTDATA("Sum of Month "&amp;$S$9,'PT-All'!$A$1,"Scenario",Q$14,"P&amp;L Item",$B152),0),0)+IF($T$15,IFERROR(GETPIVOTDATA("Sum of Month "&amp;$T$9,'PT-All'!$A$1,"Scenario",Q$15,"P&amp;L Item",$B152),0),0)</f>
        <v>0</v>
      </c>
      <c r="R152" s="138"/>
      <c r="S152" s="409">
        <f t="shared" si="87"/>
        <v>0</v>
      </c>
      <c r="T152" s="410">
        <f t="shared" si="88"/>
        <v>0</v>
      </c>
      <c r="U152" s="411"/>
      <c r="V152" s="148"/>
    </row>
    <row r="153" spans="2:22" x14ac:dyDescent="0.35">
      <c r="B153" s="76" t="s">
        <v>177</v>
      </c>
      <c r="C153" s="407">
        <f>IFERROR(GETPIVOTDATA("Sum of "&amp;TEXT(C$10,"mmm-yyyy"),'PT-All'!$A$1,"Scenario",C$15,"P&amp;L Item",$B153),0)</f>
        <v>0</v>
      </c>
      <c r="D153" s="407">
        <f>IFERROR(GETPIVOTDATA("Sum of "&amp;TEXT(D$10,"mmm-yyyy"),'PT-All'!$A$1,"Scenario",D$15,"P&amp;L Item",$B153),0)</f>
        <v>0</v>
      </c>
      <c r="E153" s="407">
        <f>IFERROR(GETPIVOTDATA("Sum of "&amp;TEXT(E$10,"mmm-yyyy"),'PT-All'!$A$1,"Scenario",E$15,"P&amp;L Item",$B153),0)</f>
        <v>0</v>
      </c>
      <c r="F153" s="407">
        <f>IFERROR(GETPIVOTDATA("Sum of "&amp;TEXT(F$10,"mmm-yyyy"),'PT-All'!$A$1,"Scenario",F$15,"P&amp;L Item",$B153),0)</f>
        <v>0</v>
      </c>
      <c r="G153" s="408">
        <f>IFERROR(GETPIVOTDATA("Sum of "&amp;TEXT(G$10,"mmm-yyyy"),'PT-All'!$A$1,"Scenario",G$15,"P&amp;L Item",$B153),0)</f>
        <v>0</v>
      </c>
      <c r="H153" s="409">
        <f>IFERROR(GETPIVOTDATA("Sum of "&amp;TEXT(H$10,"mmm-yyyy"),'PT-All'!$A$1,"Scenario",H$15,"P&amp;L Item",$B153),0)</f>
        <v>0</v>
      </c>
      <c r="I153" s="409">
        <f>IFERROR(GETPIVOTDATA("Sum of "&amp;TEXT(I$10,"mmm-yyyy"),'PT-All'!$A$1,"Scenario",I$15,"P&amp;L Item",$B153),0)</f>
        <v>0</v>
      </c>
      <c r="J153" s="138"/>
      <c r="K153" s="409">
        <f t="shared" si="85"/>
        <v>0</v>
      </c>
      <c r="L153" s="410">
        <f t="shared" si="86"/>
        <v>0</v>
      </c>
      <c r="M153" s="180"/>
      <c r="N153" s="407">
        <f>IFERROR(GETPIVOTDATA("Sum of Q"&amp;N$9,'PT-All'!$A$1,"Scenario",N$15,"P&amp;L Item",$B153),0)</f>
        <v>0</v>
      </c>
      <c r="O153" s="408">
        <f>IFERROR(GETPIVOTDATA("Sum of Q"&amp;O$9,'PT-All'!$A$1,"Scenario",O$15,"P&amp;L Item",$B153),0)</f>
        <v>0</v>
      </c>
      <c r="P153" s="409">
        <f>IF($T$13,IFERROR(GETPIVOTDATA("Sum of Month "&amp;$Q$9,'PT-All'!$A$1,"Scenario",P$13,"P&amp;L Item",$B153),0),0)+IF($T$14,IFERROR(GETPIVOTDATA("Sum of Month "&amp;$S$9,'PT-All'!$A$1,"Scenario",P$14,"P&amp;L Item",$B153),0),0)+IF($T$15,IFERROR(GETPIVOTDATA("Sum of Month "&amp;$T$9,'PT-All'!$A$1,"Scenario",P$15,"P&amp;L Item",$B153),0),0)</f>
        <v>0</v>
      </c>
      <c r="Q153" s="409">
        <f>IF($T$13,IFERROR(GETPIVOTDATA("Sum of Month "&amp;$Q$9,'PT-All'!$A$1,"Scenario",Q$13,"P&amp;L Item",$B153),0),0)+IF($T$14,IFERROR(GETPIVOTDATA("Sum of Month "&amp;$S$9,'PT-All'!$A$1,"Scenario",Q$14,"P&amp;L Item",$B153),0),0)+IF($T$15,IFERROR(GETPIVOTDATA("Sum of Month "&amp;$T$9,'PT-All'!$A$1,"Scenario",Q$15,"P&amp;L Item",$B153),0),0)</f>
        <v>0</v>
      </c>
      <c r="R153" s="138"/>
      <c r="S153" s="409">
        <f t="shared" si="87"/>
        <v>0</v>
      </c>
      <c r="T153" s="410">
        <f t="shared" si="88"/>
        <v>0</v>
      </c>
      <c r="U153" s="411"/>
      <c r="V153" s="148"/>
    </row>
    <row r="154" spans="2:22" x14ac:dyDescent="0.35">
      <c r="B154" s="76" t="s">
        <v>178</v>
      </c>
      <c r="C154" s="407">
        <f>IFERROR(GETPIVOTDATA("Sum of "&amp;TEXT(C$10,"mmm-yyyy"),'PT-All'!$A$1,"Scenario",C$15,"P&amp;L Item",$B154),0)</f>
        <v>0</v>
      </c>
      <c r="D154" s="407">
        <f>IFERROR(GETPIVOTDATA("Sum of "&amp;TEXT(D$10,"mmm-yyyy"),'PT-All'!$A$1,"Scenario",D$15,"P&amp;L Item",$B154),0)</f>
        <v>0</v>
      </c>
      <c r="E154" s="407">
        <f>IFERROR(GETPIVOTDATA("Sum of "&amp;TEXT(E$10,"mmm-yyyy"),'PT-All'!$A$1,"Scenario",E$15,"P&amp;L Item",$B154),0)</f>
        <v>0</v>
      </c>
      <c r="F154" s="407">
        <f>IFERROR(GETPIVOTDATA("Sum of "&amp;TEXT(F$10,"mmm-yyyy"),'PT-All'!$A$1,"Scenario",F$15,"P&amp;L Item",$B154),0)</f>
        <v>0</v>
      </c>
      <c r="G154" s="408">
        <f>IFERROR(GETPIVOTDATA("Sum of "&amp;TEXT(G$10,"mmm-yyyy"),'PT-All'!$A$1,"Scenario",G$15,"P&amp;L Item",$B154),0)</f>
        <v>0</v>
      </c>
      <c r="H154" s="409">
        <f>IFERROR(GETPIVOTDATA("Sum of "&amp;TEXT(H$10,"mmm-yyyy"),'PT-All'!$A$1,"Scenario",H$15,"P&amp;L Item",$B154),0)</f>
        <v>0</v>
      </c>
      <c r="I154" s="409">
        <f>IFERROR(GETPIVOTDATA("Sum of "&amp;TEXT(I$10,"mmm-yyyy"),'PT-All'!$A$1,"Scenario",I$15,"P&amp;L Item",$B154),0)</f>
        <v>0</v>
      </c>
      <c r="J154" s="138"/>
      <c r="K154" s="409">
        <f t="shared" si="85"/>
        <v>0</v>
      </c>
      <c r="L154" s="410">
        <f t="shared" si="86"/>
        <v>0</v>
      </c>
      <c r="M154" s="180"/>
      <c r="N154" s="407">
        <f>IFERROR(GETPIVOTDATA("Sum of Q"&amp;N$9,'PT-All'!$A$1,"Scenario",N$15,"P&amp;L Item",$B154),0)</f>
        <v>0</v>
      </c>
      <c r="O154" s="408">
        <f>IFERROR(GETPIVOTDATA("Sum of Q"&amp;O$9,'PT-All'!$A$1,"Scenario",O$15,"P&amp;L Item",$B154),0)</f>
        <v>0</v>
      </c>
      <c r="P154" s="409">
        <f>IF($T$13,IFERROR(GETPIVOTDATA("Sum of Month "&amp;$Q$9,'PT-All'!$A$1,"Scenario",P$13,"P&amp;L Item",$B154),0),0)+IF($T$14,IFERROR(GETPIVOTDATA("Sum of Month "&amp;$S$9,'PT-All'!$A$1,"Scenario",P$14,"P&amp;L Item",$B154),0),0)+IF($T$15,IFERROR(GETPIVOTDATA("Sum of Month "&amp;$T$9,'PT-All'!$A$1,"Scenario",P$15,"P&amp;L Item",$B154),0),0)</f>
        <v>0</v>
      </c>
      <c r="Q154" s="409">
        <f>IF($T$13,IFERROR(GETPIVOTDATA("Sum of Month "&amp;$Q$9,'PT-All'!$A$1,"Scenario",Q$13,"P&amp;L Item",$B154),0),0)+IF($T$14,IFERROR(GETPIVOTDATA("Sum of Month "&amp;$S$9,'PT-All'!$A$1,"Scenario",Q$14,"P&amp;L Item",$B154),0),0)+IF($T$15,IFERROR(GETPIVOTDATA("Sum of Month "&amp;$T$9,'PT-All'!$A$1,"Scenario",Q$15,"P&amp;L Item",$B154),0),0)</f>
        <v>0</v>
      </c>
      <c r="R154" s="138"/>
      <c r="S154" s="409">
        <f t="shared" si="87"/>
        <v>0</v>
      </c>
      <c r="T154" s="410">
        <f t="shared" si="88"/>
        <v>0</v>
      </c>
      <c r="U154" s="411"/>
      <c r="V154" s="148"/>
    </row>
    <row r="155" spans="2:22" x14ac:dyDescent="0.35">
      <c r="B155" s="76" t="s">
        <v>179</v>
      </c>
      <c r="C155" s="407">
        <f>IFERROR(GETPIVOTDATA("Sum of "&amp;TEXT(C$10,"mmm-yyyy"),'PT-All'!$A$1,"Scenario",C$15,"P&amp;L Item",$B155),0)</f>
        <v>0</v>
      </c>
      <c r="D155" s="407">
        <f>IFERROR(GETPIVOTDATA("Sum of "&amp;TEXT(D$10,"mmm-yyyy"),'PT-All'!$A$1,"Scenario",D$15,"P&amp;L Item",$B155),0)</f>
        <v>0</v>
      </c>
      <c r="E155" s="407">
        <f>IFERROR(GETPIVOTDATA("Sum of "&amp;TEXT(E$10,"mmm-yyyy"),'PT-All'!$A$1,"Scenario",E$15,"P&amp;L Item",$B155),0)</f>
        <v>0</v>
      </c>
      <c r="F155" s="407">
        <f>IFERROR(GETPIVOTDATA("Sum of "&amp;TEXT(F$10,"mmm-yyyy"),'PT-All'!$A$1,"Scenario",F$15,"P&amp;L Item",$B155),0)</f>
        <v>0</v>
      </c>
      <c r="G155" s="408">
        <f>IFERROR(GETPIVOTDATA("Sum of "&amp;TEXT(G$10,"mmm-yyyy"),'PT-All'!$A$1,"Scenario",G$15,"P&amp;L Item",$B155),0)</f>
        <v>0</v>
      </c>
      <c r="H155" s="409">
        <f>IFERROR(GETPIVOTDATA("Sum of "&amp;TEXT(H$10,"mmm-yyyy"),'PT-All'!$A$1,"Scenario",H$15,"P&amp;L Item",$B155),0)</f>
        <v>0</v>
      </c>
      <c r="I155" s="409">
        <f>IFERROR(GETPIVOTDATA("Sum of "&amp;TEXT(I$10,"mmm-yyyy"),'PT-All'!$A$1,"Scenario",I$15,"P&amp;L Item",$B155),0)</f>
        <v>0</v>
      </c>
      <c r="J155" s="138"/>
      <c r="K155" s="409">
        <f t="shared" si="85"/>
        <v>0</v>
      </c>
      <c r="L155" s="410">
        <f t="shared" si="86"/>
        <v>0</v>
      </c>
      <c r="M155" s="180"/>
      <c r="N155" s="407">
        <f>IFERROR(GETPIVOTDATA("Sum of Q"&amp;N$9,'PT-All'!$A$1,"Scenario",N$15,"P&amp;L Item",$B155),0)</f>
        <v>0</v>
      </c>
      <c r="O155" s="408">
        <f>IFERROR(GETPIVOTDATA("Sum of Q"&amp;O$9,'PT-All'!$A$1,"Scenario",O$15,"P&amp;L Item",$B155),0)</f>
        <v>0</v>
      </c>
      <c r="P155" s="409">
        <f>IF($T$13,IFERROR(GETPIVOTDATA("Sum of Month "&amp;$Q$9,'PT-All'!$A$1,"Scenario",P$13,"P&amp;L Item",$B155),0),0)+IF($T$14,IFERROR(GETPIVOTDATA("Sum of Month "&amp;$S$9,'PT-All'!$A$1,"Scenario",P$14,"P&amp;L Item",$B155),0),0)+IF($T$15,IFERROR(GETPIVOTDATA("Sum of Month "&amp;$T$9,'PT-All'!$A$1,"Scenario",P$15,"P&amp;L Item",$B155),0),0)</f>
        <v>0</v>
      </c>
      <c r="Q155" s="409">
        <f>IF($T$13,IFERROR(GETPIVOTDATA("Sum of Month "&amp;$Q$9,'PT-All'!$A$1,"Scenario",Q$13,"P&amp;L Item",$B155),0),0)+IF($T$14,IFERROR(GETPIVOTDATA("Sum of Month "&amp;$S$9,'PT-All'!$A$1,"Scenario",Q$14,"P&amp;L Item",$B155),0),0)+IF($T$15,IFERROR(GETPIVOTDATA("Sum of Month "&amp;$T$9,'PT-All'!$A$1,"Scenario",Q$15,"P&amp;L Item",$B155),0),0)</f>
        <v>0</v>
      </c>
      <c r="R155" s="138"/>
      <c r="S155" s="409">
        <f t="shared" si="87"/>
        <v>0</v>
      </c>
      <c r="T155" s="410">
        <f t="shared" si="88"/>
        <v>0</v>
      </c>
      <c r="U155" s="411"/>
      <c r="V155" s="148"/>
    </row>
    <row r="156" spans="2:22" x14ac:dyDescent="0.35">
      <c r="B156" s="76" t="s">
        <v>180</v>
      </c>
      <c r="C156" s="407">
        <f>IFERROR(GETPIVOTDATA("Sum of "&amp;TEXT(C$10,"mmm-yyyy"),'PT-All'!$A$1,"Scenario",C$15,"P&amp;L Item",$B156),0)</f>
        <v>0</v>
      </c>
      <c r="D156" s="407">
        <f>IFERROR(GETPIVOTDATA("Sum of "&amp;TEXT(D$10,"mmm-yyyy"),'PT-All'!$A$1,"Scenario",D$15,"P&amp;L Item",$B156),0)</f>
        <v>0</v>
      </c>
      <c r="E156" s="407">
        <f>IFERROR(GETPIVOTDATA("Sum of "&amp;TEXT(E$10,"mmm-yyyy"),'PT-All'!$A$1,"Scenario",E$15,"P&amp;L Item",$B156),0)</f>
        <v>0</v>
      </c>
      <c r="F156" s="407">
        <f>IFERROR(GETPIVOTDATA("Sum of "&amp;TEXT(F$10,"mmm-yyyy"),'PT-All'!$A$1,"Scenario",F$15,"P&amp;L Item",$B156),0)</f>
        <v>0</v>
      </c>
      <c r="G156" s="408">
        <f>IFERROR(GETPIVOTDATA("Sum of "&amp;TEXT(G$10,"mmm-yyyy"),'PT-All'!$A$1,"Scenario",G$15,"P&amp;L Item",$B156),0)</f>
        <v>0</v>
      </c>
      <c r="H156" s="409">
        <f>IFERROR(GETPIVOTDATA("Sum of "&amp;TEXT(H$10,"mmm-yyyy"),'PT-All'!$A$1,"Scenario",H$15,"P&amp;L Item",$B156),0)</f>
        <v>0</v>
      </c>
      <c r="I156" s="409">
        <f>IFERROR(GETPIVOTDATA("Sum of "&amp;TEXT(I$10,"mmm-yyyy"),'PT-All'!$A$1,"Scenario",I$15,"P&amp;L Item",$B156),0)</f>
        <v>0</v>
      </c>
      <c r="J156" s="138"/>
      <c r="K156" s="409">
        <f t="shared" si="85"/>
        <v>0</v>
      </c>
      <c r="L156" s="410">
        <f t="shared" si="86"/>
        <v>0</v>
      </c>
      <c r="M156" s="180"/>
      <c r="N156" s="407">
        <f>IFERROR(GETPIVOTDATA("Sum of Q"&amp;N$9,'PT-All'!$A$1,"Scenario",N$15,"P&amp;L Item",$B156),0)</f>
        <v>0</v>
      </c>
      <c r="O156" s="408">
        <f>IFERROR(GETPIVOTDATA("Sum of Q"&amp;O$9,'PT-All'!$A$1,"Scenario",O$15,"P&amp;L Item",$B156),0)</f>
        <v>0</v>
      </c>
      <c r="P156" s="409">
        <f>IF($T$13,IFERROR(GETPIVOTDATA("Sum of Month "&amp;$Q$9,'PT-All'!$A$1,"Scenario",P$13,"P&amp;L Item",$B156),0),0)+IF($T$14,IFERROR(GETPIVOTDATA("Sum of Month "&amp;$S$9,'PT-All'!$A$1,"Scenario",P$14,"P&amp;L Item",$B156),0),0)+IF($T$15,IFERROR(GETPIVOTDATA("Sum of Month "&amp;$T$9,'PT-All'!$A$1,"Scenario",P$15,"P&amp;L Item",$B156),0),0)</f>
        <v>0</v>
      </c>
      <c r="Q156" s="409">
        <f>IF($T$13,IFERROR(GETPIVOTDATA("Sum of Month "&amp;$Q$9,'PT-All'!$A$1,"Scenario",Q$13,"P&amp;L Item",$B156),0),0)+IF($T$14,IFERROR(GETPIVOTDATA("Sum of Month "&amp;$S$9,'PT-All'!$A$1,"Scenario",Q$14,"P&amp;L Item",$B156),0),0)+IF($T$15,IFERROR(GETPIVOTDATA("Sum of Month "&amp;$T$9,'PT-All'!$A$1,"Scenario",Q$15,"P&amp;L Item",$B156),0),0)</f>
        <v>0</v>
      </c>
      <c r="R156" s="138"/>
      <c r="S156" s="409">
        <f t="shared" si="87"/>
        <v>0</v>
      </c>
      <c r="T156" s="410">
        <f t="shared" si="88"/>
        <v>0</v>
      </c>
      <c r="U156" s="411"/>
      <c r="V156" s="148"/>
    </row>
    <row r="157" spans="2:22" x14ac:dyDescent="0.35">
      <c r="B157" s="76" t="s">
        <v>181</v>
      </c>
      <c r="C157" s="407">
        <f>IFERROR(GETPIVOTDATA("Sum of "&amp;TEXT(C$10,"mmm-yyyy"),'PT-All'!$A$1,"Scenario",C$15,"P&amp;L Item",$B157),0)</f>
        <v>0</v>
      </c>
      <c r="D157" s="407">
        <f>IFERROR(GETPIVOTDATA("Sum of "&amp;TEXT(D$10,"mmm-yyyy"),'PT-All'!$A$1,"Scenario",D$15,"P&amp;L Item",$B157),0)</f>
        <v>0</v>
      </c>
      <c r="E157" s="407">
        <f>IFERROR(GETPIVOTDATA("Sum of "&amp;TEXT(E$10,"mmm-yyyy"),'PT-All'!$A$1,"Scenario",E$15,"P&amp;L Item",$B157),0)</f>
        <v>0</v>
      </c>
      <c r="F157" s="407">
        <f>IFERROR(GETPIVOTDATA("Sum of "&amp;TEXT(F$10,"mmm-yyyy"),'PT-All'!$A$1,"Scenario",F$15,"P&amp;L Item",$B157),0)</f>
        <v>0</v>
      </c>
      <c r="G157" s="408">
        <f>IFERROR(GETPIVOTDATA("Sum of "&amp;TEXT(G$10,"mmm-yyyy"),'PT-All'!$A$1,"Scenario",G$15,"P&amp;L Item",$B157),0)</f>
        <v>0</v>
      </c>
      <c r="H157" s="409">
        <f>IFERROR(GETPIVOTDATA("Sum of "&amp;TEXT(H$10,"mmm-yyyy"),'PT-All'!$A$1,"Scenario",H$15,"P&amp;L Item",$B157),0)</f>
        <v>0</v>
      </c>
      <c r="I157" s="409">
        <f>IFERROR(GETPIVOTDATA("Sum of "&amp;TEXT(I$10,"mmm-yyyy"),'PT-All'!$A$1,"Scenario",I$15,"P&amp;L Item",$B157),0)</f>
        <v>0</v>
      </c>
      <c r="J157" s="138"/>
      <c r="K157" s="409">
        <f t="shared" si="85"/>
        <v>0</v>
      </c>
      <c r="L157" s="410">
        <f t="shared" si="86"/>
        <v>0</v>
      </c>
      <c r="M157" s="180"/>
      <c r="N157" s="407">
        <f>IFERROR(GETPIVOTDATA("Sum of Q"&amp;N$9,'PT-All'!$A$1,"Scenario",N$15,"P&amp;L Item",$B157),0)</f>
        <v>0</v>
      </c>
      <c r="O157" s="408">
        <f>IFERROR(GETPIVOTDATA("Sum of Q"&amp;O$9,'PT-All'!$A$1,"Scenario",O$15,"P&amp;L Item",$B157),0)</f>
        <v>0</v>
      </c>
      <c r="P157" s="409">
        <f>IF($T$13,IFERROR(GETPIVOTDATA("Sum of Month "&amp;$Q$9,'PT-All'!$A$1,"Scenario",P$13,"P&amp;L Item",$B157),0),0)+IF($T$14,IFERROR(GETPIVOTDATA("Sum of Month "&amp;$S$9,'PT-All'!$A$1,"Scenario",P$14,"P&amp;L Item",$B157),0),0)+IF($T$15,IFERROR(GETPIVOTDATA("Sum of Month "&amp;$T$9,'PT-All'!$A$1,"Scenario",P$15,"P&amp;L Item",$B157),0),0)</f>
        <v>0</v>
      </c>
      <c r="Q157" s="409">
        <f>IF($T$13,IFERROR(GETPIVOTDATA("Sum of Month "&amp;$Q$9,'PT-All'!$A$1,"Scenario",Q$13,"P&amp;L Item",$B157),0),0)+IF($T$14,IFERROR(GETPIVOTDATA("Sum of Month "&amp;$S$9,'PT-All'!$A$1,"Scenario",Q$14,"P&amp;L Item",$B157),0),0)+IF($T$15,IFERROR(GETPIVOTDATA("Sum of Month "&amp;$T$9,'PT-All'!$A$1,"Scenario",Q$15,"P&amp;L Item",$B157),0),0)</f>
        <v>0</v>
      </c>
      <c r="R157" s="138"/>
      <c r="S157" s="409">
        <f t="shared" si="87"/>
        <v>0</v>
      </c>
      <c r="T157" s="410">
        <f t="shared" si="88"/>
        <v>0</v>
      </c>
      <c r="U157" s="411"/>
      <c r="V157" s="148"/>
    </row>
    <row r="158" spans="2:22" ht="16" x14ac:dyDescent="0.5">
      <c r="B158" s="77" t="s">
        <v>182</v>
      </c>
      <c r="C158" s="439">
        <f t="shared" ref="C158:I158" si="93">SUM(C159,C162)</f>
        <v>0</v>
      </c>
      <c r="D158" s="439">
        <f t="shared" si="93"/>
        <v>0</v>
      </c>
      <c r="E158" s="439">
        <f t="shared" si="93"/>
        <v>0</v>
      </c>
      <c r="F158" s="439">
        <f t="shared" si="93"/>
        <v>0</v>
      </c>
      <c r="G158" s="440">
        <f t="shared" si="93"/>
        <v>0</v>
      </c>
      <c r="H158" s="441">
        <f t="shared" si="93"/>
        <v>0</v>
      </c>
      <c r="I158" s="441">
        <f t="shared" si="93"/>
        <v>0</v>
      </c>
      <c r="J158" s="405"/>
      <c r="K158" s="441">
        <f t="shared" si="85"/>
        <v>0</v>
      </c>
      <c r="L158" s="442">
        <f t="shared" si="86"/>
        <v>0</v>
      </c>
      <c r="M158" s="180"/>
      <c r="N158" s="439">
        <f t="shared" ref="N158:Q158" si="94">SUM(N159,N162)</f>
        <v>0</v>
      </c>
      <c r="O158" s="440">
        <f t="shared" si="94"/>
        <v>0</v>
      </c>
      <c r="P158" s="441">
        <f t="shared" si="94"/>
        <v>0</v>
      </c>
      <c r="Q158" s="441">
        <f t="shared" si="94"/>
        <v>0</v>
      </c>
      <c r="R158" s="405"/>
      <c r="S158" s="441">
        <f t="shared" si="87"/>
        <v>0</v>
      </c>
      <c r="T158" s="442">
        <f t="shared" si="88"/>
        <v>0</v>
      </c>
      <c r="U158" s="443"/>
      <c r="V158" s="148"/>
    </row>
    <row r="159" spans="2:22" x14ac:dyDescent="0.35">
      <c r="B159" s="79" t="s">
        <v>183</v>
      </c>
      <c r="C159" s="69">
        <f t="shared" ref="C159:I159" si="95">SUM(C160:C161)</f>
        <v>0</v>
      </c>
      <c r="D159" s="69">
        <f t="shared" si="95"/>
        <v>0</v>
      </c>
      <c r="E159" s="69">
        <f t="shared" si="95"/>
        <v>0</v>
      </c>
      <c r="F159" s="69">
        <f t="shared" si="95"/>
        <v>0</v>
      </c>
      <c r="G159" s="145">
        <f t="shared" si="95"/>
        <v>0</v>
      </c>
      <c r="H159" s="144">
        <f t="shared" si="95"/>
        <v>0</v>
      </c>
      <c r="I159" s="144">
        <f t="shared" si="95"/>
        <v>0</v>
      </c>
      <c r="J159" s="138"/>
      <c r="K159" s="144">
        <f t="shared" si="85"/>
        <v>0</v>
      </c>
      <c r="L159" s="143">
        <f t="shared" si="86"/>
        <v>0</v>
      </c>
      <c r="M159" s="180"/>
      <c r="N159" s="69">
        <f t="shared" ref="N159:Q159" si="96">SUM(N160:N161)</f>
        <v>0</v>
      </c>
      <c r="O159" s="145">
        <f t="shared" si="96"/>
        <v>0</v>
      </c>
      <c r="P159" s="144">
        <f t="shared" si="96"/>
        <v>0</v>
      </c>
      <c r="Q159" s="144">
        <f t="shared" si="96"/>
        <v>0</v>
      </c>
      <c r="R159" s="138"/>
      <c r="S159" s="144">
        <f t="shared" si="87"/>
        <v>0</v>
      </c>
      <c r="T159" s="143">
        <f t="shared" si="88"/>
        <v>0</v>
      </c>
      <c r="U159" s="374"/>
      <c r="V159" s="148"/>
    </row>
    <row r="160" spans="2:22" x14ac:dyDescent="0.35">
      <c r="B160" s="80" t="s">
        <v>184</v>
      </c>
      <c r="C160" s="407">
        <f>IFERROR(GETPIVOTDATA("Sum of "&amp;TEXT(C$10,"mmm-yyyy"),'PT-All'!$A$1,"Scenario",C$15,"P&amp;L Item",$B160),0)</f>
        <v>0</v>
      </c>
      <c r="D160" s="407">
        <f>IFERROR(GETPIVOTDATA("Sum of "&amp;TEXT(D$10,"mmm-yyyy"),'PT-All'!$A$1,"Scenario",D$15,"P&amp;L Item",$B160),0)</f>
        <v>0</v>
      </c>
      <c r="E160" s="407">
        <f>IFERROR(GETPIVOTDATA("Sum of "&amp;TEXT(E$10,"mmm-yyyy"),'PT-All'!$A$1,"Scenario",E$15,"P&amp;L Item",$B160),0)</f>
        <v>0</v>
      </c>
      <c r="F160" s="407">
        <f>IFERROR(GETPIVOTDATA("Sum of "&amp;TEXT(F$10,"mmm-yyyy"),'PT-All'!$A$1,"Scenario",F$15,"P&amp;L Item",$B160),0)</f>
        <v>0</v>
      </c>
      <c r="G160" s="408">
        <f>IFERROR(GETPIVOTDATA("Sum of "&amp;TEXT(G$10,"mmm-yyyy"),'PT-All'!$A$1,"Scenario",G$15,"P&amp;L Item",$B160),0)</f>
        <v>0</v>
      </c>
      <c r="H160" s="409">
        <f>IFERROR(GETPIVOTDATA("Sum of "&amp;TEXT(H$10,"mmm-yyyy"),'PT-All'!$A$1,"Scenario",H$15,"P&amp;L Item",$B160),0)</f>
        <v>0</v>
      </c>
      <c r="I160" s="409">
        <f>IFERROR(GETPIVOTDATA("Sum of "&amp;TEXT(I$10,"mmm-yyyy"),'PT-All'!$A$1,"Scenario",I$15,"P&amp;L Item",$B160),0)</f>
        <v>0</v>
      </c>
      <c r="J160" s="138"/>
      <c r="K160" s="409">
        <f t="shared" si="85"/>
        <v>0</v>
      </c>
      <c r="L160" s="410">
        <f t="shared" si="86"/>
        <v>0</v>
      </c>
      <c r="M160" s="180"/>
      <c r="N160" s="407">
        <f>IFERROR(GETPIVOTDATA("Sum of Q"&amp;N$9,'PT-All'!$A$1,"Scenario",N$15,"P&amp;L Item",$B160),0)</f>
        <v>0</v>
      </c>
      <c r="O160" s="408">
        <f>IFERROR(GETPIVOTDATA("Sum of Q"&amp;O$9,'PT-All'!$A$1,"Scenario",O$15,"P&amp;L Item",$B160),0)</f>
        <v>0</v>
      </c>
      <c r="P160" s="409">
        <f>IF($T$13,IFERROR(GETPIVOTDATA("Sum of Month "&amp;$Q$9,'PT-All'!$A$1,"Scenario",P$13,"P&amp;L Item",$B160),0),0)+IF($T$14,IFERROR(GETPIVOTDATA("Sum of Month "&amp;$S$9,'PT-All'!$A$1,"Scenario",P$14,"P&amp;L Item",$B160),0),0)+IF($T$15,IFERROR(GETPIVOTDATA("Sum of Month "&amp;$T$9,'PT-All'!$A$1,"Scenario",P$15,"P&amp;L Item",$B160),0),0)</f>
        <v>0</v>
      </c>
      <c r="Q160" s="409">
        <f>IF($T$13,IFERROR(GETPIVOTDATA("Sum of Month "&amp;$Q$9,'PT-All'!$A$1,"Scenario",Q$13,"P&amp;L Item",$B160),0),0)+IF($T$14,IFERROR(GETPIVOTDATA("Sum of Month "&amp;$S$9,'PT-All'!$A$1,"Scenario",Q$14,"P&amp;L Item",$B160),0),0)+IF($T$15,IFERROR(GETPIVOTDATA("Sum of Month "&amp;$T$9,'PT-All'!$A$1,"Scenario",Q$15,"P&amp;L Item",$B160),0),0)</f>
        <v>0</v>
      </c>
      <c r="R160" s="138"/>
      <c r="S160" s="409">
        <f t="shared" si="87"/>
        <v>0</v>
      </c>
      <c r="T160" s="410">
        <f t="shared" si="88"/>
        <v>0</v>
      </c>
      <c r="U160" s="411"/>
      <c r="V160" s="148"/>
    </row>
    <row r="161" spans="2:22" x14ac:dyDescent="0.35">
      <c r="B161" s="80" t="s">
        <v>185</v>
      </c>
      <c r="C161" s="407">
        <f>IFERROR(GETPIVOTDATA("Sum of "&amp;TEXT(C$10,"mmm-yyyy"),'PT-All'!$A$1,"Scenario",C$15,"P&amp;L Item",$B161),0)</f>
        <v>0</v>
      </c>
      <c r="D161" s="407">
        <f>IFERROR(GETPIVOTDATA("Sum of "&amp;TEXT(D$10,"mmm-yyyy"),'PT-All'!$A$1,"Scenario",D$15,"P&amp;L Item",$B161),0)</f>
        <v>0</v>
      </c>
      <c r="E161" s="407">
        <f>IFERROR(GETPIVOTDATA("Sum of "&amp;TEXT(E$10,"mmm-yyyy"),'PT-All'!$A$1,"Scenario",E$15,"P&amp;L Item",$B161),0)</f>
        <v>0</v>
      </c>
      <c r="F161" s="407">
        <f>IFERROR(GETPIVOTDATA("Sum of "&amp;TEXT(F$10,"mmm-yyyy"),'PT-All'!$A$1,"Scenario",F$15,"P&amp;L Item",$B161),0)</f>
        <v>0</v>
      </c>
      <c r="G161" s="408">
        <f>IFERROR(GETPIVOTDATA("Sum of "&amp;TEXT(G$10,"mmm-yyyy"),'PT-All'!$A$1,"Scenario",G$15,"P&amp;L Item",$B161),0)</f>
        <v>0</v>
      </c>
      <c r="H161" s="409">
        <f>IFERROR(GETPIVOTDATA("Sum of "&amp;TEXT(H$10,"mmm-yyyy"),'PT-All'!$A$1,"Scenario",H$15,"P&amp;L Item",$B161),0)</f>
        <v>0</v>
      </c>
      <c r="I161" s="409">
        <f>IFERROR(GETPIVOTDATA("Sum of "&amp;TEXT(I$10,"mmm-yyyy"),'PT-All'!$A$1,"Scenario",I$15,"P&amp;L Item",$B161),0)</f>
        <v>0</v>
      </c>
      <c r="J161" s="138"/>
      <c r="K161" s="409">
        <f t="shared" si="85"/>
        <v>0</v>
      </c>
      <c r="L161" s="410">
        <f t="shared" si="86"/>
        <v>0</v>
      </c>
      <c r="M161" s="180"/>
      <c r="N161" s="407">
        <f>IFERROR(GETPIVOTDATA("Sum of Q"&amp;N$9,'PT-All'!$A$1,"Scenario",N$15,"P&amp;L Item",$B161),0)</f>
        <v>0</v>
      </c>
      <c r="O161" s="408">
        <f>IFERROR(GETPIVOTDATA("Sum of Q"&amp;O$9,'PT-All'!$A$1,"Scenario",O$15,"P&amp;L Item",$B161),0)</f>
        <v>0</v>
      </c>
      <c r="P161" s="409">
        <f>IF($T$13,IFERROR(GETPIVOTDATA("Sum of Month "&amp;$Q$9,'PT-All'!$A$1,"Scenario",P$13,"P&amp;L Item",$B161),0),0)+IF($T$14,IFERROR(GETPIVOTDATA("Sum of Month "&amp;$S$9,'PT-All'!$A$1,"Scenario",P$14,"P&amp;L Item",$B161),0),0)+IF($T$15,IFERROR(GETPIVOTDATA("Sum of Month "&amp;$T$9,'PT-All'!$A$1,"Scenario",P$15,"P&amp;L Item",$B161),0),0)</f>
        <v>0</v>
      </c>
      <c r="Q161" s="409">
        <f>IF($T$13,IFERROR(GETPIVOTDATA("Sum of Month "&amp;$Q$9,'PT-All'!$A$1,"Scenario",Q$13,"P&amp;L Item",$B161),0),0)+IF($T$14,IFERROR(GETPIVOTDATA("Sum of Month "&amp;$S$9,'PT-All'!$A$1,"Scenario",Q$14,"P&amp;L Item",$B161),0),0)+IF($T$15,IFERROR(GETPIVOTDATA("Sum of Month "&amp;$T$9,'PT-All'!$A$1,"Scenario",Q$15,"P&amp;L Item",$B161),0),0)</f>
        <v>0</v>
      </c>
      <c r="R161" s="138"/>
      <c r="S161" s="409">
        <f t="shared" si="87"/>
        <v>0</v>
      </c>
      <c r="T161" s="410">
        <f t="shared" si="88"/>
        <v>0</v>
      </c>
      <c r="U161" s="411"/>
      <c r="V161" s="148"/>
    </row>
    <row r="162" spans="2:22" x14ac:dyDescent="0.35">
      <c r="B162" s="79" t="s">
        <v>186</v>
      </c>
      <c r="C162" s="69">
        <f t="shared" ref="C162:I162" si="97">SUM(C163:C167)</f>
        <v>0</v>
      </c>
      <c r="D162" s="69">
        <f t="shared" si="97"/>
        <v>0</v>
      </c>
      <c r="E162" s="69">
        <f t="shared" si="97"/>
        <v>0</v>
      </c>
      <c r="F162" s="69">
        <f t="shared" si="97"/>
        <v>0</v>
      </c>
      <c r="G162" s="145">
        <f t="shared" si="97"/>
        <v>0</v>
      </c>
      <c r="H162" s="144">
        <f t="shared" si="97"/>
        <v>0</v>
      </c>
      <c r="I162" s="144">
        <f t="shared" si="97"/>
        <v>0</v>
      </c>
      <c r="J162" s="138"/>
      <c r="K162" s="144">
        <f t="shared" si="85"/>
        <v>0</v>
      </c>
      <c r="L162" s="143">
        <f t="shared" si="86"/>
        <v>0</v>
      </c>
      <c r="M162" s="180"/>
      <c r="N162" s="69">
        <f t="shared" ref="N162:Q162" si="98">SUM(N163:N167)</f>
        <v>0</v>
      </c>
      <c r="O162" s="145">
        <f t="shared" si="98"/>
        <v>0</v>
      </c>
      <c r="P162" s="144">
        <f t="shared" si="98"/>
        <v>0</v>
      </c>
      <c r="Q162" s="144">
        <f t="shared" si="98"/>
        <v>0</v>
      </c>
      <c r="R162" s="138"/>
      <c r="S162" s="144">
        <f t="shared" si="87"/>
        <v>0</v>
      </c>
      <c r="T162" s="143">
        <f t="shared" si="88"/>
        <v>0</v>
      </c>
      <c r="U162" s="374"/>
      <c r="V162" s="148"/>
    </row>
    <row r="163" spans="2:22" x14ac:dyDescent="0.35">
      <c r="B163" s="80" t="s">
        <v>187</v>
      </c>
      <c r="C163" s="407">
        <f>IFERROR(GETPIVOTDATA("Sum of "&amp;TEXT(C$10,"mmm-yyyy"),'PT-All'!$A$1,"Scenario",C$15,"P&amp;L Item",$B163),0)</f>
        <v>0</v>
      </c>
      <c r="D163" s="407">
        <f>IFERROR(GETPIVOTDATA("Sum of "&amp;TEXT(D$10,"mmm-yyyy"),'PT-All'!$A$1,"Scenario",D$15,"P&amp;L Item",$B163),0)</f>
        <v>0</v>
      </c>
      <c r="E163" s="407">
        <f>IFERROR(GETPIVOTDATA("Sum of "&amp;TEXT(E$10,"mmm-yyyy"),'PT-All'!$A$1,"Scenario",E$15,"P&amp;L Item",$B163),0)</f>
        <v>0</v>
      </c>
      <c r="F163" s="407">
        <f>IFERROR(GETPIVOTDATA("Sum of "&amp;TEXT(F$10,"mmm-yyyy"),'PT-All'!$A$1,"Scenario",F$15,"P&amp;L Item",$B163),0)</f>
        <v>0</v>
      </c>
      <c r="G163" s="408">
        <f>IFERROR(GETPIVOTDATA("Sum of "&amp;TEXT(G$10,"mmm-yyyy"),'PT-All'!$A$1,"Scenario",G$15,"P&amp;L Item",$B163),0)</f>
        <v>0</v>
      </c>
      <c r="H163" s="409">
        <f>IFERROR(GETPIVOTDATA("Sum of "&amp;TEXT(H$10,"mmm-yyyy"),'PT-All'!$A$1,"Scenario",H$15,"P&amp;L Item",$B163),0)</f>
        <v>0</v>
      </c>
      <c r="I163" s="409">
        <f>IFERROR(GETPIVOTDATA("Sum of "&amp;TEXT(I$10,"mmm-yyyy"),'PT-All'!$A$1,"Scenario",I$15,"P&amp;L Item",$B163),0)</f>
        <v>0</v>
      </c>
      <c r="J163" s="138"/>
      <c r="K163" s="409">
        <f t="shared" si="85"/>
        <v>0</v>
      </c>
      <c r="L163" s="410">
        <f t="shared" si="86"/>
        <v>0</v>
      </c>
      <c r="M163" s="180"/>
      <c r="N163" s="407">
        <f>IFERROR(GETPIVOTDATA("Sum of Q"&amp;N$9,'PT-All'!$A$1,"Scenario",N$15,"P&amp;L Item",$B163),0)</f>
        <v>0</v>
      </c>
      <c r="O163" s="408">
        <f>IFERROR(GETPIVOTDATA("Sum of Q"&amp;O$9,'PT-All'!$A$1,"Scenario",O$15,"P&amp;L Item",$B163),0)</f>
        <v>0</v>
      </c>
      <c r="P163" s="409">
        <f>IF($T$13,IFERROR(GETPIVOTDATA("Sum of Month "&amp;$Q$9,'PT-All'!$A$1,"Scenario",P$13,"P&amp;L Item",$B163),0),0)+IF($T$14,IFERROR(GETPIVOTDATA("Sum of Month "&amp;$S$9,'PT-All'!$A$1,"Scenario",P$14,"P&amp;L Item",$B163),0),0)+IF($T$15,IFERROR(GETPIVOTDATA("Sum of Month "&amp;$T$9,'PT-All'!$A$1,"Scenario",P$15,"P&amp;L Item",$B163),0),0)</f>
        <v>0</v>
      </c>
      <c r="Q163" s="409">
        <f>IF($T$13,IFERROR(GETPIVOTDATA("Sum of Month "&amp;$Q$9,'PT-All'!$A$1,"Scenario",Q$13,"P&amp;L Item",$B163),0),0)+IF($T$14,IFERROR(GETPIVOTDATA("Sum of Month "&amp;$S$9,'PT-All'!$A$1,"Scenario",Q$14,"P&amp;L Item",$B163),0),0)+IF($T$15,IFERROR(GETPIVOTDATA("Sum of Month "&amp;$T$9,'PT-All'!$A$1,"Scenario",Q$15,"P&amp;L Item",$B163),0),0)</f>
        <v>0</v>
      </c>
      <c r="R163" s="138"/>
      <c r="S163" s="409">
        <f t="shared" si="87"/>
        <v>0</v>
      </c>
      <c r="T163" s="410">
        <f t="shared" si="88"/>
        <v>0</v>
      </c>
      <c r="U163" s="411"/>
      <c r="V163" s="148"/>
    </row>
    <row r="164" spans="2:22" x14ac:dyDescent="0.35">
      <c r="B164" s="80" t="s">
        <v>188</v>
      </c>
      <c r="C164" s="407">
        <f>IFERROR(GETPIVOTDATA("Sum of "&amp;TEXT(C$10,"mmm-yyyy"),'PT-All'!$A$1,"Scenario",C$15,"P&amp;L Item",$B164),0)</f>
        <v>0</v>
      </c>
      <c r="D164" s="407">
        <f>IFERROR(GETPIVOTDATA("Sum of "&amp;TEXT(D$10,"mmm-yyyy"),'PT-All'!$A$1,"Scenario",D$15,"P&amp;L Item",$B164),0)</f>
        <v>0</v>
      </c>
      <c r="E164" s="407">
        <f>IFERROR(GETPIVOTDATA("Sum of "&amp;TEXT(E$10,"mmm-yyyy"),'PT-All'!$A$1,"Scenario",E$15,"P&amp;L Item",$B164),0)</f>
        <v>0</v>
      </c>
      <c r="F164" s="407">
        <f>IFERROR(GETPIVOTDATA("Sum of "&amp;TEXT(F$10,"mmm-yyyy"),'PT-All'!$A$1,"Scenario",F$15,"P&amp;L Item",$B164),0)</f>
        <v>0</v>
      </c>
      <c r="G164" s="408">
        <f>IFERROR(GETPIVOTDATA("Sum of "&amp;TEXT(G$10,"mmm-yyyy"),'PT-All'!$A$1,"Scenario",G$15,"P&amp;L Item",$B164),0)</f>
        <v>0</v>
      </c>
      <c r="H164" s="409">
        <f>IFERROR(GETPIVOTDATA("Sum of "&amp;TEXT(H$10,"mmm-yyyy"),'PT-All'!$A$1,"Scenario",H$15,"P&amp;L Item",$B164),0)</f>
        <v>0</v>
      </c>
      <c r="I164" s="409">
        <f>IFERROR(GETPIVOTDATA("Sum of "&amp;TEXT(I$10,"mmm-yyyy"),'PT-All'!$A$1,"Scenario",I$15,"P&amp;L Item",$B164),0)</f>
        <v>0</v>
      </c>
      <c r="J164" s="138"/>
      <c r="K164" s="409">
        <f t="shared" si="85"/>
        <v>0</v>
      </c>
      <c r="L164" s="410">
        <f t="shared" si="86"/>
        <v>0</v>
      </c>
      <c r="M164" s="180"/>
      <c r="N164" s="407">
        <f>IFERROR(GETPIVOTDATA("Sum of Q"&amp;N$9,'PT-All'!$A$1,"Scenario",N$15,"P&amp;L Item",$B164),0)</f>
        <v>0</v>
      </c>
      <c r="O164" s="408">
        <f>IFERROR(GETPIVOTDATA("Sum of Q"&amp;O$9,'PT-All'!$A$1,"Scenario",O$15,"P&amp;L Item",$B164),0)</f>
        <v>0</v>
      </c>
      <c r="P164" s="409">
        <f>IF($T$13,IFERROR(GETPIVOTDATA("Sum of Month "&amp;$Q$9,'PT-All'!$A$1,"Scenario",P$13,"P&amp;L Item",$B164),0),0)+IF($T$14,IFERROR(GETPIVOTDATA("Sum of Month "&amp;$S$9,'PT-All'!$A$1,"Scenario",P$14,"P&amp;L Item",$B164),0),0)+IF($T$15,IFERROR(GETPIVOTDATA("Sum of Month "&amp;$T$9,'PT-All'!$A$1,"Scenario",P$15,"P&amp;L Item",$B164),0),0)</f>
        <v>0</v>
      </c>
      <c r="Q164" s="409">
        <f>IF($T$13,IFERROR(GETPIVOTDATA("Sum of Month "&amp;$Q$9,'PT-All'!$A$1,"Scenario",Q$13,"P&amp;L Item",$B164),0),0)+IF($T$14,IFERROR(GETPIVOTDATA("Sum of Month "&amp;$S$9,'PT-All'!$A$1,"Scenario",Q$14,"P&amp;L Item",$B164),0),0)+IF($T$15,IFERROR(GETPIVOTDATA("Sum of Month "&amp;$T$9,'PT-All'!$A$1,"Scenario",Q$15,"P&amp;L Item",$B164),0),0)</f>
        <v>0</v>
      </c>
      <c r="R164" s="138"/>
      <c r="S164" s="409">
        <f t="shared" si="87"/>
        <v>0</v>
      </c>
      <c r="T164" s="410">
        <f t="shared" si="88"/>
        <v>0</v>
      </c>
      <c r="U164" s="411"/>
      <c r="V164" s="148"/>
    </row>
    <row r="165" spans="2:22" x14ac:dyDescent="0.35">
      <c r="B165" s="80" t="s">
        <v>189</v>
      </c>
      <c r="C165" s="407">
        <f>IFERROR(GETPIVOTDATA("Sum of "&amp;TEXT(C$10,"mmm-yyyy"),'PT-All'!$A$1,"Scenario",C$15,"P&amp;L Item",$B165),0)</f>
        <v>0</v>
      </c>
      <c r="D165" s="407">
        <f>IFERROR(GETPIVOTDATA("Sum of "&amp;TEXT(D$10,"mmm-yyyy"),'PT-All'!$A$1,"Scenario",D$15,"P&amp;L Item",$B165),0)</f>
        <v>0</v>
      </c>
      <c r="E165" s="407">
        <f>IFERROR(GETPIVOTDATA("Sum of "&amp;TEXT(E$10,"mmm-yyyy"),'PT-All'!$A$1,"Scenario",E$15,"P&amp;L Item",$B165),0)</f>
        <v>0</v>
      </c>
      <c r="F165" s="407">
        <f>IFERROR(GETPIVOTDATA("Sum of "&amp;TEXT(F$10,"mmm-yyyy"),'PT-All'!$A$1,"Scenario",F$15,"P&amp;L Item",$B165),0)</f>
        <v>0</v>
      </c>
      <c r="G165" s="408">
        <f>IFERROR(GETPIVOTDATA("Sum of "&amp;TEXT(G$10,"mmm-yyyy"),'PT-All'!$A$1,"Scenario",G$15,"P&amp;L Item",$B165),0)</f>
        <v>0</v>
      </c>
      <c r="H165" s="409">
        <f>IFERROR(GETPIVOTDATA("Sum of "&amp;TEXT(H$10,"mmm-yyyy"),'PT-All'!$A$1,"Scenario",H$15,"P&amp;L Item",$B165),0)</f>
        <v>0</v>
      </c>
      <c r="I165" s="409">
        <f>IFERROR(GETPIVOTDATA("Sum of "&amp;TEXT(I$10,"mmm-yyyy"),'PT-All'!$A$1,"Scenario",I$15,"P&amp;L Item",$B165),0)</f>
        <v>0</v>
      </c>
      <c r="J165" s="138"/>
      <c r="K165" s="409">
        <f t="shared" si="85"/>
        <v>0</v>
      </c>
      <c r="L165" s="410">
        <f t="shared" si="86"/>
        <v>0</v>
      </c>
      <c r="M165" s="180"/>
      <c r="N165" s="407">
        <f>IFERROR(GETPIVOTDATA("Sum of Q"&amp;N$9,'PT-All'!$A$1,"Scenario",N$15,"P&amp;L Item",$B165),0)</f>
        <v>0</v>
      </c>
      <c r="O165" s="408">
        <f>IFERROR(GETPIVOTDATA("Sum of Q"&amp;O$9,'PT-All'!$A$1,"Scenario",O$15,"P&amp;L Item",$B165),0)</f>
        <v>0</v>
      </c>
      <c r="P165" s="409">
        <f>IF($T$13,IFERROR(GETPIVOTDATA("Sum of Month "&amp;$Q$9,'PT-All'!$A$1,"Scenario",P$13,"P&amp;L Item",$B165),0),0)+IF($T$14,IFERROR(GETPIVOTDATA("Sum of Month "&amp;$S$9,'PT-All'!$A$1,"Scenario",P$14,"P&amp;L Item",$B165),0),0)+IF($T$15,IFERROR(GETPIVOTDATA("Sum of Month "&amp;$T$9,'PT-All'!$A$1,"Scenario",P$15,"P&amp;L Item",$B165),0),0)</f>
        <v>0</v>
      </c>
      <c r="Q165" s="409">
        <f>IF($T$13,IFERROR(GETPIVOTDATA("Sum of Month "&amp;$Q$9,'PT-All'!$A$1,"Scenario",Q$13,"P&amp;L Item",$B165),0),0)+IF($T$14,IFERROR(GETPIVOTDATA("Sum of Month "&amp;$S$9,'PT-All'!$A$1,"Scenario",Q$14,"P&amp;L Item",$B165),0),0)+IF($T$15,IFERROR(GETPIVOTDATA("Sum of Month "&amp;$T$9,'PT-All'!$A$1,"Scenario",Q$15,"P&amp;L Item",$B165),0),0)</f>
        <v>0</v>
      </c>
      <c r="R165" s="138"/>
      <c r="S165" s="409">
        <f t="shared" si="87"/>
        <v>0</v>
      </c>
      <c r="T165" s="410">
        <f t="shared" si="88"/>
        <v>0</v>
      </c>
      <c r="U165" s="411"/>
      <c r="V165" s="148"/>
    </row>
    <row r="166" spans="2:22" ht="16" x14ac:dyDescent="0.5">
      <c r="B166" s="80" t="s">
        <v>190</v>
      </c>
      <c r="C166" s="407">
        <f>IFERROR(GETPIVOTDATA("Sum of "&amp;TEXT(C$10,"mmm-yyyy"),'PT-All'!$A$1,"Scenario",C$15,"P&amp;L Item",$B166),0)</f>
        <v>0</v>
      </c>
      <c r="D166" s="407">
        <f>IFERROR(GETPIVOTDATA("Sum of "&amp;TEXT(D$10,"mmm-yyyy"),'PT-All'!$A$1,"Scenario",D$15,"P&amp;L Item",$B166),0)</f>
        <v>0</v>
      </c>
      <c r="E166" s="407">
        <f>IFERROR(GETPIVOTDATA("Sum of "&amp;TEXT(E$10,"mmm-yyyy"),'PT-All'!$A$1,"Scenario",E$15,"P&amp;L Item",$B166),0)</f>
        <v>0</v>
      </c>
      <c r="F166" s="407">
        <f>IFERROR(GETPIVOTDATA("Sum of "&amp;TEXT(F$10,"mmm-yyyy"),'PT-All'!$A$1,"Scenario",F$15,"P&amp;L Item",$B166),0)</f>
        <v>0</v>
      </c>
      <c r="G166" s="408">
        <f>IFERROR(GETPIVOTDATA("Sum of "&amp;TEXT(G$10,"mmm-yyyy"),'PT-All'!$A$1,"Scenario",G$15,"P&amp;L Item",$B166),0)</f>
        <v>0</v>
      </c>
      <c r="H166" s="409">
        <f>IFERROR(GETPIVOTDATA("Sum of "&amp;TEXT(H$10,"mmm-yyyy"),'PT-All'!$A$1,"Scenario",H$15,"P&amp;L Item",$B166),0)</f>
        <v>0</v>
      </c>
      <c r="I166" s="409">
        <f>IFERROR(GETPIVOTDATA("Sum of "&amp;TEXT(I$10,"mmm-yyyy"),'PT-All'!$A$1,"Scenario",I$15,"P&amp;L Item",$B166),0)</f>
        <v>0</v>
      </c>
      <c r="J166" s="459"/>
      <c r="K166" s="409">
        <f t="shared" si="85"/>
        <v>0</v>
      </c>
      <c r="L166" s="410">
        <f t="shared" si="86"/>
        <v>0</v>
      </c>
      <c r="M166" s="180"/>
      <c r="N166" s="407">
        <f>IFERROR(GETPIVOTDATA("Sum of Q"&amp;N$9,'PT-All'!$A$1,"Scenario",N$15,"P&amp;L Item",$B166),0)</f>
        <v>0</v>
      </c>
      <c r="O166" s="408">
        <f>IFERROR(GETPIVOTDATA("Sum of Q"&amp;O$9,'PT-All'!$A$1,"Scenario",O$15,"P&amp;L Item",$B166),0)</f>
        <v>0</v>
      </c>
      <c r="P166" s="409">
        <f>IF($T$13,IFERROR(GETPIVOTDATA("Sum of Month "&amp;$Q$9,'PT-All'!$A$1,"Scenario",P$13,"P&amp;L Item",$B166),0),0)+IF($T$14,IFERROR(GETPIVOTDATA("Sum of Month "&amp;$S$9,'PT-All'!$A$1,"Scenario",P$14,"P&amp;L Item",$B166),0),0)+IF($T$15,IFERROR(GETPIVOTDATA("Sum of Month "&amp;$T$9,'PT-All'!$A$1,"Scenario",P$15,"P&amp;L Item",$B166),0),0)</f>
        <v>0</v>
      </c>
      <c r="Q166" s="409">
        <f>IF($T$13,IFERROR(GETPIVOTDATA("Sum of Month "&amp;$Q$9,'PT-All'!$A$1,"Scenario",Q$13,"P&amp;L Item",$B166),0),0)+IF($T$14,IFERROR(GETPIVOTDATA("Sum of Month "&amp;$S$9,'PT-All'!$A$1,"Scenario",Q$14,"P&amp;L Item",$B166),0),0)+IF($T$15,IFERROR(GETPIVOTDATA("Sum of Month "&amp;$T$9,'PT-All'!$A$1,"Scenario",Q$15,"P&amp;L Item",$B166),0),0)</f>
        <v>0</v>
      </c>
      <c r="R166" s="459"/>
      <c r="S166" s="409">
        <f t="shared" si="87"/>
        <v>0</v>
      </c>
      <c r="T166" s="410">
        <f t="shared" si="88"/>
        <v>0</v>
      </c>
      <c r="U166" s="411"/>
      <c r="V166" s="148"/>
    </row>
    <row r="167" spans="2:22" x14ac:dyDescent="0.35">
      <c r="B167" s="80" t="s">
        <v>191</v>
      </c>
      <c r="C167" s="407">
        <f>IFERROR(GETPIVOTDATA("Sum of "&amp;TEXT(C$10,"mmm-yyyy"),'PT-All'!$A$1,"Scenario",C$15,"P&amp;L Item",$B167),0)</f>
        <v>0</v>
      </c>
      <c r="D167" s="407">
        <f>IFERROR(GETPIVOTDATA("Sum of "&amp;TEXT(D$10,"mmm-yyyy"),'PT-All'!$A$1,"Scenario",D$15,"P&amp;L Item",$B167),0)</f>
        <v>0</v>
      </c>
      <c r="E167" s="407">
        <f>IFERROR(GETPIVOTDATA("Sum of "&amp;TEXT(E$10,"mmm-yyyy"),'PT-All'!$A$1,"Scenario",E$15,"P&amp;L Item",$B167),0)</f>
        <v>0</v>
      </c>
      <c r="F167" s="407">
        <f>IFERROR(GETPIVOTDATA("Sum of "&amp;TEXT(F$10,"mmm-yyyy"),'PT-All'!$A$1,"Scenario",F$15,"P&amp;L Item",$B167),0)</f>
        <v>0</v>
      </c>
      <c r="G167" s="408">
        <f>IFERROR(GETPIVOTDATA("Sum of "&amp;TEXT(G$10,"mmm-yyyy"),'PT-All'!$A$1,"Scenario",G$15,"P&amp;L Item",$B167),0)</f>
        <v>0</v>
      </c>
      <c r="H167" s="409">
        <f>IFERROR(GETPIVOTDATA("Sum of "&amp;TEXT(H$10,"mmm-yyyy"),'PT-All'!$A$1,"Scenario",H$15,"P&amp;L Item",$B167),0)</f>
        <v>0</v>
      </c>
      <c r="I167" s="409">
        <f>IFERROR(GETPIVOTDATA("Sum of "&amp;TEXT(I$10,"mmm-yyyy"),'PT-All'!$A$1,"Scenario",I$15,"P&amp;L Item",$B167),0)</f>
        <v>0</v>
      </c>
      <c r="J167" s="418"/>
      <c r="K167" s="409">
        <f t="shared" si="85"/>
        <v>0</v>
      </c>
      <c r="L167" s="410">
        <f t="shared" si="86"/>
        <v>0</v>
      </c>
      <c r="M167" s="180"/>
      <c r="N167" s="407">
        <f>IFERROR(GETPIVOTDATA("Sum of Q"&amp;N$9,'PT-All'!$A$1,"Scenario",N$15,"P&amp;L Item",$B167),0)</f>
        <v>0</v>
      </c>
      <c r="O167" s="408">
        <f>IFERROR(GETPIVOTDATA("Sum of Q"&amp;O$9,'PT-All'!$A$1,"Scenario",O$15,"P&amp;L Item",$B167),0)</f>
        <v>0</v>
      </c>
      <c r="P167" s="409">
        <f>IF($T$13,IFERROR(GETPIVOTDATA("Sum of Month "&amp;$Q$9,'PT-All'!$A$1,"Scenario",P$13,"P&amp;L Item",$B167),0),0)+IF($T$14,IFERROR(GETPIVOTDATA("Sum of Month "&amp;$S$9,'PT-All'!$A$1,"Scenario",P$14,"P&amp;L Item",$B167),0),0)+IF($T$15,IFERROR(GETPIVOTDATA("Sum of Month "&amp;$T$9,'PT-All'!$A$1,"Scenario",P$15,"P&amp;L Item",$B167),0),0)</f>
        <v>0</v>
      </c>
      <c r="Q167" s="409">
        <f>IF($T$13,IFERROR(GETPIVOTDATA("Sum of Month "&amp;$Q$9,'PT-All'!$A$1,"Scenario",Q$13,"P&amp;L Item",$B167),0),0)+IF($T$14,IFERROR(GETPIVOTDATA("Sum of Month "&amp;$S$9,'PT-All'!$A$1,"Scenario",Q$14,"P&amp;L Item",$B167),0),0)+IF($T$15,IFERROR(GETPIVOTDATA("Sum of Month "&amp;$T$9,'PT-All'!$A$1,"Scenario",Q$15,"P&amp;L Item",$B167),0),0)</f>
        <v>0</v>
      </c>
      <c r="R167" s="418"/>
      <c r="S167" s="409">
        <f t="shared" si="87"/>
        <v>0</v>
      </c>
      <c r="T167" s="410">
        <f t="shared" si="88"/>
        <v>0</v>
      </c>
      <c r="U167" s="411"/>
      <c r="V167" s="148"/>
    </row>
    <row r="168" spans="2:22" x14ac:dyDescent="0.35">
      <c r="B168" s="356" t="s">
        <v>192</v>
      </c>
      <c r="C168" s="69">
        <f>IFERROR(GETPIVOTDATA("Sum of "&amp;TEXT(C$10,"mmm-yyyy"),'PT-All'!$A$1,"Scenario",C$15,"P&amp;L Item",$B168),0)</f>
        <v>0</v>
      </c>
      <c r="D168" s="69">
        <f>IFERROR(GETPIVOTDATA("Sum of "&amp;TEXT(D$10,"mmm-yyyy"),'PT-All'!$A$1,"Scenario",D$15,"P&amp;L Item",$B168),0)</f>
        <v>0</v>
      </c>
      <c r="E168" s="69">
        <f>IFERROR(GETPIVOTDATA("Sum of "&amp;TEXT(E$10,"mmm-yyyy"),'PT-All'!$A$1,"Scenario",E$15,"P&amp;L Item",$B168),0)</f>
        <v>0</v>
      </c>
      <c r="F168" s="69">
        <f>IFERROR(GETPIVOTDATA("Sum of "&amp;TEXT(F$10,"mmm-yyyy"),'PT-All'!$A$1,"Scenario",F$15,"P&amp;L Item",$B168),0)</f>
        <v>0</v>
      </c>
      <c r="G168" s="145">
        <f>IFERROR(GETPIVOTDATA("Sum of "&amp;TEXT(G$10,"mmm-yyyy"),'PT-All'!$A$1,"Scenario",G$15,"P&amp;L Item",$B168),0)</f>
        <v>0</v>
      </c>
      <c r="H168" s="144">
        <f>IFERROR(GETPIVOTDATA("Sum of "&amp;TEXT(H$10,"mmm-yyyy"),'PT-All'!$A$1,"Scenario",H$15,"P&amp;L Item",$B168),0)</f>
        <v>0</v>
      </c>
      <c r="I168" s="144">
        <f>IFERROR(GETPIVOTDATA("Sum of "&amp;TEXT(I$10,"mmm-yyyy"),'PT-All'!$A$1,"Scenario",I$15,"P&amp;L Item",$B168),0)</f>
        <v>0</v>
      </c>
      <c r="J168" s="418"/>
      <c r="K168" s="144">
        <f t="shared" si="85"/>
        <v>0</v>
      </c>
      <c r="L168" s="143">
        <f t="shared" si="86"/>
        <v>0</v>
      </c>
      <c r="M168" s="180"/>
      <c r="N168" s="69">
        <f>IFERROR(GETPIVOTDATA("Sum of Q"&amp;N$9,'PT-All'!$A$1,"Scenario",N$15,"P&amp;L Item",$B168),0)</f>
        <v>0</v>
      </c>
      <c r="O168" s="145">
        <f>IFERROR(GETPIVOTDATA("Sum of Q"&amp;O$9,'PT-All'!$A$1,"Scenario",O$15,"P&amp;L Item",$B168),0)</f>
        <v>0</v>
      </c>
      <c r="P168" s="144">
        <f>IF($T$13,IFERROR(GETPIVOTDATA("Sum of Month "&amp;$Q$9,'PT-All'!$A$1,"Scenario",P$13,"P&amp;L Item",$B168),0),0)+IF($T$14,IFERROR(GETPIVOTDATA("Sum of Month "&amp;$S$9,'PT-All'!$A$1,"Scenario",P$14,"P&amp;L Item",$B168),0),0)+IF($T$15,IFERROR(GETPIVOTDATA("Sum of Month "&amp;$T$9,'PT-All'!$A$1,"Scenario",P$15,"P&amp;L Item",$B168),0),0)</f>
        <v>0</v>
      </c>
      <c r="Q168" s="144">
        <f>IF($T$13,IFERROR(GETPIVOTDATA("Sum of Month "&amp;$Q$9,'PT-All'!$A$1,"Scenario",Q$13,"P&amp;L Item",$B168),0),0)+IF($T$14,IFERROR(GETPIVOTDATA("Sum of Month "&amp;$S$9,'PT-All'!$A$1,"Scenario",Q$14,"P&amp;L Item",$B168),0),0)+IF($T$15,IFERROR(GETPIVOTDATA("Sum of Month "&amp;$T$9,'PT-All'!$A$1,"Scenario",Q$15,"P&amp;L Item",$B168),0),0)</f>
        <v>0</v>
      </c>
      <c r="R168" s="418"/>
      <c r="S168" s="144">
        <f t="shared" si="87"/>
        <v>0</v>
      </c>
      <c r="T168" s="143">
        <f t="shared" si="88"/>
        <v>0</v>
      </c>
      <c r="U168" s="374"/>
      <c r="V168" s="148"/>
    </row>
    <row r="169" spans="2:22" x14ac:dyDescent="0.35">
      <c r="B169" s="356" t="s">
        <v>193</v>
      </c>
      <c r="C169" s="69">
        <f>IFERROR(GETPIVOTDATA("Sum of "&amp;TEXT(C$10,"mmm-yyyy"),'PT-All'!$A$1,"Scenario",C$15,"P&amp;L Item",$B169),0)</f>
        <v>0</v>
      </c>
      <c r="D169" s="69">
        <f>IFERROR(GETPIVOTDATA("Sum of "&amp;TEXT(D$10,"mmm-yyyy"),'PT-All'!$A$1,"Scenario",D$15,"P&amp;L Item",$B169),0)</f>
        <v>0</v>
      </c>
      <c r="E169" s="69">
        <f>IFERROR(GETPIVOTDATA("Sum of "&amp;TEXT(E$10,"mmm-yyyy"),'PT-All'!$A$1,"Scenario",E$15,"P&amp;L Item",$B169),0)</f>
        <v>0</v>
      </c>
      <c r="F169" s="69">
        <f>IFERROR(GETPIVOTDATA("Sum of "&amp;TEXT(F$10,"mmm-yyyy"),'PT-All'!$A$1,"Scenario",F$15,"P&amp;L Item",$B169),0)</f>
        <v>0</v>
      </c>
      <c r="G169" s="145">
        <f>IFERROR(GETPIVOTDATA("Sum of "&amp;TEXT(G$10,"mmm-yyyy"),'PT-All'!$A$1,"Scenario",G$15,"P&amp;L Item",$B169),0)</f>
        <v>0</v>
      </c>
      <c r="H169" s="144">
        <f>IFERROR(GETPIVOTDATA("Sum of "&amp;TEXT(H$10,"mmm-yyyy"),'PT-All'!$A$1,"Scenario",H$15,"P&amp;L Item",$B169),0)</f>
        <v>0</v>
      </c>
      <c r="I169" s="144">
        <f>IFERROR(GETPIVOTDATA("Sum of "&amp;TEXT(I$10,"mmm-yyyy"),'PT-All'!$A$1,"Scenario",I$15,"P&amp;L Item",$B169),0)</f>
        <v>0</v>
      </c>
      <c r="J169" s="418"/>
      <c r="K169" s="144">
        <f t="shared" si="85"/>
        <v>0</v>
      </c>
      <c r="L169" s="143">
        <f t="shared" si="86"/>
        <v>0</v>
      </c>
      <c r="M169" s="180"/>
      <c r="N169" s="69">
        <f>IFERROR(GETPIVOTDATA("Sum of Q"&amp;N$9,'PT-All'!$A$1,"Scenario",N$15,"P&amp;L Item",$B169),0)</f>
        <v>0</v>
      </c>
      <c r="O169" s="145">
        <f>IFERROR(GETPIVOTDATA("Sum of Q"&amp;O$9,'PT-All'!$A$1,"Scenario",O$15,"P&amp;L Item",$B169),0)</f>
        <v>0</v>
      </c>
      <c r="P169" s="144">
        <f>IF($T$13,IFERROR(GETPIVOTDATA("Sum of Month "&amp;$Q$9,'PT-All'!$A$1,"Scenario",P$13,"P&amp;L Item",$B169),0),0)+IF($T$14,IFERROR(GETPIVOTDATA("Sum of Month "&amp;$S$9,'PT-All'!$A$1,"Scenario",P$14,"P&amp;L Item",$B169),0),0)+IF($T$15,IFERROR(GETPIVOTDATA("Sum of Month "&amp;$T$9,'PT-All'!$A$1,"Scenario",P$15,"P&amp;L Item",$B169),0),0)</f>
        <v>0</v>
      </c>
      <c r="Q169" s="144">
        <f>IF($T$13,IFERROR(GETPIVOTDATA("Sum of Month "&amp;$Q$9,'PT-All'!$A$1,"Scenario",Q$13,"P&amp;L Item",$B169),0),0)+IF($T$14,IFERROR(GETPIVOTDATA("Sum of Month "&amp;$S$9,'PT-All'!$A$1,"Scenario",Q$14,"P&amp;L Item",$B169),0),0)+IF($T$15,IFERROR(GETPIVOTDATA("Sum of Month "&amp;$T$9,'PT-All'!$A$1,"Scenario",Q$15,"P&amp;L Item",$B169),0),0)</f>
        <v>0</v>
      </c>
      <c r="R169" s="418"/>
      <c r="S169" s="144">
        <f t="shared" si="87"/>
        <v>0</v>
      </c>
      <c r="T169" s="143">
        <f t="shared" si="88"/>
        <v>0</v>
      </c>
      <c r="U169" s="374"/>
      <c r="V169" s="148"/>
    </row>
    <row r="170" spans="2:22" x14ac:dyDescent="0.35">
      <c r="B170" s="356" t="s">
        <v>194</v>
      </c>
      <c r="C170" s="69">
        <f>IFERROR(GETPIVOTDATA("Sum of "&amp;TEXT(C$10,"mmm-yyyy"),'PT-All'!$A$1,"Scenario",C$15,"P&amp;L Item",$B170),0)</f>
        <v>0</v>
      </c>
      <c r="D170" s="69">
        <f>IFERROR(GETPIVOTDATA("Sum of "&amp;TEXT(D$10,"mmm-yyyy"),'PT-All'!$A$1,"Scenario",D$15,"P&amp;L Item",$B170),0)</f>
        <v>0</v>
      </c>
      <c r="E170" s="69">
        <f>IFERROR(GETPIVOTDATA("Sum of "&amp;TEXT(E$10,"mmm-yyyy"),'PT-All'!$A$1,"Scenario",E$15,"P&amp;L Item",$B170),0)</f>
        <v>0</v>
      </c>
      <c r="F170" s="69">
        <f>IFERROR(GETPIVOTDATA("Sum of "&amp;TEXT(F$10,"mmm-yyyy"),'PT-All'!$A$1,"Scenario",F$15,"P&amp;L Item",$B170),0)</f>
        <v>0</v>
      </c>
      <c r="G170" s="145">
        <f>IFERROR(GETPIVOTDATA("Sum of "&amp;TEXT(G$10,"mmm-yyyy"),'PT-All'!$A$1,"Scenario",G$15,"P&amp;L Item",$B170),0)</f>
        <v>0</v>
      </c>
      <c r="H170" s="144">
        <f>IFERROR(GETPIVOTDATA("Sum of "&amp;TEXT(H$10,"mmm-yyyy"),'PT-All'!$A$1,"Scenario",H$15,"P&amp;L Item",$B170),0)</f>
        <v>0</v>
      </c>
      <c r="I170" s="144">
        <f>IFERROR(GETPIVOTDATA("Sum of "&amp;TEXT(I$10,"mmm-yyyy"),'PT-All'!$A$1,"Scenario",I$15,"P&amp;L Item",$B170),0)</f>
        <v>0</v>
      </c>
      <c r="J170" s="434"/>
      <c r="K170" s="144">
        <f t="shared" si="85"/>
        <v>0</v>
      </c>
      <c r="L170" s="143">
        <f t="shared" si="86"/>
        <v>0</v>
      </c>
      <c r="M170" s="180"/>
      <c r="N170" s="69">
        <f>IFERROR(GETPIVOTDATA("Sum of Q"&amp;N$9,'PT-All'!$A$1,"Scenario",N$15,"P&amp;L Item",$B170),0)</f>
        <v>0</v>
      </c>
      <c r="O170" s="145">
        <f>IFERROR(GETPIVOTDATA("Sum of Q"&amp;O$9,'PT-All'!$A$1,"Scenario",O$15,"P&amp;L Item",$B170),0)</f>
        <v>0</v>
      </c>
      <c r="P170" s="144">
        <f>IF($T$13,IFERROR(GETPIVOTDATA("Sum of Month "&amp;$Q$9,'PT-All'!$A$1,"Scenario",P$13,"P&amp;L Item",$B170),0),0)+IF($T$14,IFERROR(GETPIVOTDATA("Sum of Month "&amp;$S$9,'PT-All'!$A$1,"Scenario",P$14,"P&amp;L Item",$B170),0),0)+IF($T$15,IFERROR(GETPIVOTDATA("Sum of Month "&amp;$T$9,'PT-All'!$A$1,"Scenario",P$15,"P&amp;L Item",$B170),0),0)</f>
        <v>0</v>
      </c>
      <c r="Q170" s="144">
        <f>IF($T$13,IFERROR(GETPIVOTDATA("Sum of Month "&amp;$Q$9,'PT-All'!$A$1,"Scenario",Q$13,"P&amp;L Item",$B170),0),0)+IF($T$14,IFERROR(GETPIVOTDATA("Sum of Month "&amp;$S$9,'PT-All'!$A$1,"Scenario",Q$14,"P&amp;L Item",$B170),0),0)+IF($T$15,IFERROR(GETPIVOTDATA("Sum of Month "&amp;$T$9,'PT-All'!$A$1,"Scenario",Q$15,"P&amp;L Item",$B170),0),0)</f>
        <v>0</v>
      </c>
      <c r="R170" s="434"/>
      <c r="S170" s="144">
        <f t="shared" si="87"/>
        <v>0</v>
      </c>
      <c r="T170" s="143">
        <f t="shared" si="88"/>
        <v>0</v>
      </c>
      <c r="U170" s="374"/>
      <c r="V170" s="148"/>
    </row>
    <row r="171" spans="2:22" ht="16" x14ac:dyDescent="0.5">
      <c r="B171" s="360" t="s">
        <v>195</v>
      </c>
      <c r="C171" s="451">
        <f t="shared" ref="C171:I171" si="99">SUM(C172:C179)</f>
        <v>0</v>
      </c>
      <c r="D171" s="451">
        <f t="shared" si="99"/>
        <v>0</v>
      </c>
      <c r="E171" s="451">
        <f t="shared" si="99"/>
        <v>0</v>
      </c>
      <c r="F171" s="451">
        <f t="shared" si="99"/>
        <v>0</v>
      </c>
      <c r="G171" s="452">
        <f t="shared" si="99"/>
        <v>0</v>
      </c>
      <c r="H171" s="453">
        <f t="shared" si="99"/>
        <v>0</v>
      </c>
      <c r="I171" s="453">
        <f t="shared" si="99"/>
        <v>0</v>
      </c>
      <c r="J171" s="460"/>
      <c r="K171" s="453">
        <f t="shared" si="85"/>
        <v>0</v>
      </c>
      <c r="L171" s="455">
        <f t="shared" si="86"/>
        <v>0</v>
      </c>
      <c r="M171" s="386"/>
      <c r="N171" s="451">
        <f t="shared" ref="N171:Q171" si="100">SUM(N172:N179)</f>
        <v>0</v>
      </c>
      <c r="O171" s="452">
        <f t="shared" si="100"/>
        <v>0</v>
      </c>
      <c r="P171" s="453">
        <f t="shared" si="100"/>
        <v>0</v>
      </c>
      <c r="Q171" s="453">
        <f t="shared" si="100"/>
        <v>0</v>
      </c>
      <c r="R171" s="460"/>
      <c r="S171" s="453">
        <f t="shared" si="87"/>
        <v>0</v>
      </c>
      <c r="T171" s="455">
        <f t="shared" si="88"/>
        <v>0</v>
      </c>
      <c r="U171" s="456"/>
      <c r="V171" s="387"/>
    </row>
    <row r="172" spans="2:22" x14ac:dyDescent="0.35">
      <c r="B172" s="64" t="s">
        <v>196</v>
      </c>
      <c r="C172" s="407">
        <f>IFERROR(GETPIVOTDATA("Sum of "&amp;TEXT(C$10,"mmm-yyyy"),'PT-All'!$A$1,"Scenario",C$15,"P&amp;L Item",$B172),0)</f>
        <v>0</v>
      </c>
      <c r="D172" s="407">
        <f>IFERROR(GETPIVOTDATA("Sum of "&amp;TEXT(D$10,"mmm-yyyy"),'PT-All'!$A$1,"Scenario",D$15,"P&amp;L Item",$B172),0)</f>
        <v>0</v>
      </c>
      <c r="E172" s="407">
        <f>IFERROR(GETPIVOTDATA("Sum of "&amp;TEXT(E$10,"mmm-yyyy"),'PT-All'!$A$1,"Scenario",E$15,"P&amp;L Item",$B172),0)</f>
        <v>0</v>
      </c>
      <c r="F172" s="407">
        <f>IFERROR(GETPIVOTDATA("Sum of "&amp;TEXT(F$10,"mmm-yyyy"),'PT-All'!$A$1,"Scenario",F$15,"P&amp;L Item",$B172),0)</f>
        <v>0</v>
      </c>
      <c r="G172" s="408">
        <f>IFERROR(GETPIVOTDATA("Sum of "&amp;TEXT(G$10,"mmm-yyyy"),'PT-All'!$A$1,"Scenario",G$15,"P&amp;L Item",$B172),0)</f>
        <v>0</v>
      </c>
      <c r="H172" s="409">
        <f>IFERROR(GETPIVOTDATA("Sum of "&amp;TEXT(H$10,"mmm-yyyy"),'PT-All'!$A$1,"Scenario",H$15,"P&amp;L Item",$B172),0)</f>
        <v>0</v>
      </c>
      <c r="I172" s="409">
        <f>IFERROR(GETPIVOTDATA("Sum of "&amp;TEXT(I$10,"mmm-yyyy"),'PT-All'!$A$1,"Scenario",I$15,"P&amp;L Item",$B172),0)</f>
        <v>0</v>
      </c>
      <c r="J172" s="434"/>
      <c r="K172" s="409">
        <f t="shared" si="85"/>
        <v>0</v>
      </c>
      <c r="L172" s="410">
        <f t="shared" si="86"/>
        <v>0</v>
      </c>
      <c r="M172" s="180"/>
      <c r="N172" s="407">
        <f>IFERROR(GETPIVOTDATA("Sum of Q"&amp;N$9,'PT-All'!$A$1,"Scenario",N$15,"P&amp;L Item",$B172),0)</f>
        <v>0</v>
      </c>
      <c r="O172" s="408">
        <f>IFERROR(GETPIVOTDATA("Sum of Q"&amp;O$9,'PT-All'!$A$1,"Scenario",O$15,"P&amp;L Item",$B172),0)</f>
        <v>0</v>
      </c>
      <c r="P172" s="409">
        <f>IF($T$13,IFERROR(GETPIVOTDATA("Sum of Month "&amp;$Q$9,'PT-All'!$A$1,"Scenario",P$13,"P&amp;L Item",$B172),0),0)+IF($T$14,IFERROR(GETPIVOTDATA("Sum of Month "&amp;$S$9,'PT-All'!$A$1,"Scenario",P$14,"P&amp;L Item",$B172),0),0)+IF($T$15,IFERROR(GETPIVOTDATA("Sum of Month "&amp;$T$9,'PT-All'!$A$1,"Scenario",P$15,"P&amp;L Item",$B172),0),0)</f>
        <v>0</v>
      </c>
      <c r="Q172" s="409">
        <f>IF($T$13,IFERROR(GETPIVOTDATA("Sum of Month "&amp;$Q$9,'PT-All'!$A$1,"Scenario",Q$13,"P&amp;L Item",$B172),0),0)+IF($T$14,IFERROR(GETPIVOTDATA("Sum of Month "&amp;$S$9,'PT-All'!$A$1,"Scenario",Q$14,"P&amp;L Item",$B172),0),0)+IF($T$15,IFERROR(GETPIVOTDATA("Sum of Month "&amp;$T$9,'PT-All'!$A$1,"Scenario",Q$15,"P&amp;L Item",$B172),0),0)</f>
        <v>0</v>
      </c>
      <c r="R172" s="434"/>
      <c r="S172" s="409">
        <f t="shared" si="87"/>
        <v>0</v>
      </c>
      <c r="T172" s="410">
        <f t="shared" si="88"/>
        <v>0</v>
      </c>
      <c r="U172" s="411"/>
      <c r="V172" s="148"/>
    </row>
    <row r="173" spans="2:22" x14ac:dyDescent="0.35">
      <c r="B173" s="64" t="s">
        <v>197</v>
      </c>
      <c r="C173" s="407">
        <f>IFERROR(GETPIVOTDATA("Sum of "&amp;TEXT(C$10,"mmm-yyyy"),'PT-All'!$A$1,"Scenario",C$15,"P&amp;L Item",$B173),0)</f>
        <v>0</v>
      </c>
      <c r="D173" s="407">
        <f>IFERROR(GETPIVOTDATA("Sum of "&amp;TEXT(D$10,"mmm-yyyy"),'PT-All'!$A$1,"Scenario",D$15,"P&amp;L Item",$B173),0)</f>
        <v>0</v>
      </c>
      <c r="E173" s="407">
        <f>IFERROR(GETPIVOTDATA("Sum of "&amp;TEXT(E$10,"mmm-yyyy"),'PT-All'!$A$1,"Scenario",E$15,"P&amp;L Item",$B173),0)</f>
        <v>0</v>
      </c>
      <c r="F173" s="407">
        <f>IFERROR(GETPIVOTDATA("Sum of "&amp;TEXT(F$10,"mmm-yyyy"),'PT-All'!$A$1,"Scenario",F$15,"P&amp;L Item",$B173),0)</f>
        <v>0</v>
      </c>
      <c r="G173" s="408">
        <f>IFERROR(GETPIVOTDATA("Sum of "&amp;TEXT(G$10,"mmm-yyyy"),'PT-All'!$A$1,"Scenario",G$15,"P&amp;L Item",$B173),0)</f>
        <v>0</v>
      </c>
      <c r="H173" s="409">
        <f>IFERROR(GETPIVOTDATA("Sum of "&amp;TEXT(H$10,"mmm-yyyy"),'PT-All'!$A$1,"Scenario",H$15,"P&amp;L Item",$B173),0)</f>
        <v>0</v>
      </c>
      <c r="I173" s="409">
        <f>IFERROR(GETPIVOTDATA("Sum of "&amp;TEXT(I$10,"mmm-yyyy"),'PT-All'!$A$1,"Scenario",I$15,"P&amp;L Item",$B173),0)</f>
        <v>0</v>
      </c>
      <c r="J173" s="178"/>
      <c r="K173" s="409">
        <f t="shared" si="85"/>
        <v>0</v>
      </c>
      <c r="L173" s="410">
        <f t="shared" si="86"/>
        <v>0</v>
      </c>
      <c r="M173" s="180"/>
      <c r="N173" s="407">
        <f>IFERROR(GETPIVOTDATA("Sum of Q"&amp;N$9,'PT-All'!$A$1,"Scenario",N$15,"P&amp;L Item",$B173),0)</f>
        <v>0</v>
      </c>
      <c r="O173" s="408">
        <f>IFERROR(GETPIVOTDATA("Sum of Q"&amp;O$9,'PT-All'!$A$1,"Scenario",O$15,"P&amp;L Item",$B173),0)</f>
        <v>0</v>
      </c>
      <c r="P173" s="409">
        <f>IF($T$13,IFERROR(GETPIVOTDATA("Sum of Month "&amp;$Q$9,'PT-All'!$A$1,"Scenario",P$13,"P&amp;L Item",$B173),0),0)+IF($T$14,IFERROR(GETPIVOTDATA("Sum of Month "&amp;$S$9,'PT-All'!$A$1,"Scenario",P$14,"P&amp;L Item",$B173),0),0)+IF($T$15,IFERROR(GETPIVOTDATA("Sum of Month "&amp;$T$9,'PT-All'!$A$1,"Scenario",P$15,"P&amp;L Item",$B173),0),0)</f>
        <v>0</v>
      </c>
      <c r="Q173" s="409">
        <f>IF($T$13,IFERROR(GETPIVOTDATA("Sum of Month "&amp;$Q$9,'PT-All'!$A$1,"Scenario",Q$13,"P&amp;L Item",$B173),0),0)+IF($T$14,IFERROR(GETPIVOTDATA("Sum of Month "&amp;$S$9,'PT-All'!$A$1,"Scenario",Q$14,"P&amp;L Item",$B173),0),0)+IF($T$15,IFERROR(GETPIVOTDATA("Sum of Month "&amp;$T$9,'PT-All'!$A$1,"Scenario",Q$15,"P&amp;L Item",$B173),0),0)</f>
        <v>0</v>
      </c>
      <c r="R173" s="438"/>
      <c r="S173" s="409">
        <f t="shared" si="87"/>
        <v>0</v>
      </c>
      <c r="T173" s="410">
        <f t="shared" si="88"/>
        <v>0</v>
      </c>
      <c r="U173" s="411"/>
      <c r="V173" s="148"/>
    </row>
    <row r="174" spans="2:22" x14ac:dyDescent="0.35">
      <c r="B174" s="64" t="s">
        <v>198</v>
      </c>
      <c r="C174" s="407">
        <f>IFERROR(GETPIVOTDATA("Sum of "&amp;TEXT(C$10,"mmm-yyyy"),'PT-All'!$A$1,"Scenario",C$15,"P&amp;L Item",$B174),0)</f>
        <v>0</v>
      </c>
      <c r="D174" s="407">
        <f>IFERROR(GETPIVOTDATA("Sum of "&amp;TEXT(D$10,"mmm-yyyy"),'PT-All'!$A$1,"Scenario",D$15,"P&amp;L Item",$B174),0)</f>
        <v>0</v>
      </c>
      <c r="E174" s="407">
        <f>IFERROR(GETPIVOTDATA("Sum of "&amp;TEXT(E$10,"mmm-yyyy"),'PT-All'!$A$1,"Scenario",E$15,"P&amp;L Item",$B174),0)</f>
        <v>0</v>
      </c>
      <c r="F174" s="407">
        <f>IFERROR(GETPIVOTDATA("Sum of "&amp;TEXT(F$10,"mmm-yyyy"),'PT-All'!$A$1,"Scenario",F$15,"P&amp;L Item",$B174),0)</f>
        <v>0</v>
      </c>
      <c r="G174" s="408">
        <f>IFERROR(GETPIVOTDATA("Sum of "&amp;TEXT(G$10,"mmm-yyyy"),'PT-All'!$A$1,"Scenario",G$15,"P&amp;L Item",$B174),0)</f>
        <v>0</v>
      </c>
      <c r="H174" s="409">
        <f>IFERROR(GETPIVOTDATA("Sum of "&amp;TEXT(H$10,"mmm-yyyy"),'PT-All'!$A$1,"Scenario",H$15,"P&amp;L Item",$B174),0)</f>
        <v>0</v>
      </c>
      <c r="I174" s="409">
        <f>IFERROR(GETPIVOTDATA("Sum of "&amp;TEXT(I$10,"mmm-yyyy"),'PT-All'!$A$1,"Scenario",I$15,"P&amp;L Item",$B174),0)</f>
        <v>0</v>
      </c>
      <c r="J174" s="178"/>
      <c r="K174" s="409">
        <f t="shared" si="85"/>
        <v>0</v>
      </c>
      <c r="L174" s="410">
        <f t="shared" si="86"/>
        <v>0</v>
      </c>
      <c r="M174" s="180"/>
      <c r="N174" s="407">
        <f>IFERROR(GETPIVOTDATA("Sum of Q"&amp;N$9,'PT-All'!$A$1,"Scenario",N$15,"P&amp;L Item",$B174),0)</f>
        <v>0</v>
      </c>
      <c r="O174" s="408">
        <f>IFERROR(GETPIVOTDATA("Sum of Q"&amp;O$9,'PT-All'!$A$1,"Scenario",O$15,"P&amp;L Item",$B174),0)</f>
        <v>0</v>
      </c>
      <c r="P174" s="409">
        <f>IF($T$13,IFERROR(GETPIVOTDATA("Sum of Month "&amp;$Q$9,'PT-All'!$A$1,"Scenario",P$13,"P&amp;L Item",$B174),0),0)+IF($T$14,IFERROR(GETPIVOTDATA("Sum of Month "&amp;$S$9,'PT-All'!$A$1,"Scenario",P$14,"P&amp;L Item",$B174),0),0)+IF($T$15,IFERROR(GETPIVOTDATA("Sum of Month "&amp;$T$9,'PT-All'!$A$1,"Scenario",P$15,"P&amp;L Item",$B174),0),0)</f>
        <v>0</v>
      </c>
      <c r="Q174" s="409">
        <f>IF($T$13,IFERROR(GETPIVOTDATA("Sum of Month "&amp;$Q$9,'PT-All'!$A$1,"Scenario",Q$13,"P&amp;L Item",$B174),0),0)+IF($T$14,IFERROR(GETPIVOTDATA("Sum of Month "&amp;$S$9,'PT-All'!$A$1,"Scenario",Q$14,"P&amp;L Item",$B174),0),0)+IF($T$15,IFERROR(GETPIVOTDATA("Sum of Month "&amp;$T$9,'PT-All'!$A$1,"Scenario",Q$15,"P&amp;L Item",$B174),0),0)</f>
        <v>0</v>
      </c>
      <c r="R174" s="138"/>
      <c r="S174" s="409">
        <f t="shared" si="87"/>
        <v>0</v>
      </c>
      <c r="T174" s="410">
        <f t="shared" si="88"/>
        <v>0</v>
      </c>
      <c r="U174" s="411"/>
      <c r="V174" s="148"/>
    </row>
    <row r="175" spans="2:22" x14ac:dyDescent="0.35">
      <c r="B175" s="64" t="s">
        <v>199</v>
      </c>
      <c r="C175" s="407">
        <f>IFERROR(GETPIVOTDATA("Sum of "&amp;TEXT(C$10,"mmm-yyyy"),'PT-All'!$A$1,"Scenario",C$15,"P&amp;L Item",$B175),0)</f>
        <v>0</v>
      </c>
      <c r="D175" s="407">
        <f>IFERROR(GETPIVOTDATA("Sum of "&amp;TEXT(D$10,"mmm-yyyy"),'PT-All'!$A$1,"Scenario",D$15,"P&amp;L Item",$B175),0)</f>
        <v>0</v>
      </c>
      <c r="E175" s="407">
        <f>IFERROR(GETPIVOTDATA("Sum of "&amp;TEXT(E$10,"mmm-yyyy"),'PT-All'!$A$1,"Scenario",E$15,"P&amp;L Item",$B175),0)</f>
        <v>0</v>
      </c>
      <c r="F175" s="407">
        <f>IFERROR(GETPIVOTDATA("Sum of "&amp;TEXT(F$10,"mmm-yyyy"),'PT-All'!$A$1,"Scenario",F$15,"P&amp;L Item",$B175),0)</f>
        <v>0</v>
      </c>
      <c r="G175" s="408">
        <f>IFERROR(GETPIVOTDATA("Sum of "&amp;TEXT(G$10,"mmm-yyyy"),'PT-All'!$A$1,"Scenario",G$15,"P&amp;L Item",$B175),0)</f>
        <v>0</v>
      </c>
      <c r="H175" s="409">
        <f>IFERROR(GETPIVOTDATA("Sum of "&amp;TEXT(H$10,"mmm-yyyy"),'PT-All'!$A$1,"Scenario",H$15,"P&amp;L Item",$B175),0)</f>
        <v>0</v>
      </c>
      <c r="I175" s="409">
        <f>IFERROR(GETPIVOTDATA("Sum of "&amp;TEXT(I$10,"mmm-yyyy"),'PT-All'!$A$1,"Scenario",I$15,"P&amp;L Item",$B175),0)</f>
        <v>0</v>
      </c>
      <c r="J175" s="178"/>
      <c r="K175" s="409">
        <f t="shared" si="85"/>
        <v>0</v>
      </c>
      <c r="L175" s="410">
        <f t="shared" si="86"/>
        <v>0</v>
      </c>
      <c r="M175" s="180"/>
      <c r="N175" s="407">
        <f>IFERROR(GETPIVOTDATA("Sum of Q"&amp;N$9,'PT-All'!$A$1,"Scenario",N$15,"P&amp;L Item",$B175),0)</f>
        <v>0</v>
      </c>
      <c r="O175" s="408">
        <f>IFERROR(GETPIVOTDATA("Sum of Q"&amp;O$9,'PT-All'!$A$1,"Scenario",O$15,"P&amp;L Item",$B175),0)</f>
        <v>0</v>
      </c>
      <c r="P175" s="409">
        <f>IF($T$13,IFERROR(GETPIVOTDATA("Sum of Month "&amp;$Q$9,'PT-All'!$A$1,"Scenario",P$13,"P&amp;L Item",$B175),0),0)+IF($T$14,IFERROR(GETPIVOTDATA("Sum of Month "&amp;$S$9,'PT-All'!$A$1,"Scenario",P$14,"P&amp;L Item",$B175),0),0)+IF($T$15,IFERROR(GETPIVOTDATA("Sum of Month "&amp;$T$9,'PT-All'!$A$1,"Scenario",P$15,"P&amp;L Item",$B175),0),0)</f>
        <v>0</v>
      </c>
      <c r="Q175" s="409">
        <f>IF($T$13,IFERROR(GETPIVOTDATA("Sum of Month "&amp;$Q$9,'PT-All'!$A$1,"Scenario",Q$13,"P&amp;L Item",$B175),0),0)+IF($T$14,IFERROR(GETPIVOTDATA("Sum of Month "&amp;$S$9,'PT-All'!$A$1,"Scenario",Q$14,"P&amp;L Item",$B175),0),0)+IF($T$15,IFERROR(GETPIVOTDATA("Sum of Month "&amp;$T$9,'PT-All'!$A$1,"Scenario",Q$15,"P&amp;L Item",$B175),0),0)</f>
        <v>0</v>
      </c>
      <c r="R175" s="438"/>
      <c r="S175" s="409">
        <f t="shared" si="87"/>
        <v>0</v>
      </c>
      <c r="T175" s="410">
        <f t="shared" si="88"/>
        <v>0</v>
      </c>
      <c r="U175" s="411"/>
      <c r="V175" s="148"/>
    </row>
    <row r="176" spans="2:22" x14ac:dyDescent="0.35">
      <c r="B176" s="64" t="s">
        <v>200</v>
      </c>
      <c r="C176" s="407">
        <f>IFERROR(GETPIVOTDATA("Sum of "&amp;TEXT(C$10,"mmm-yyyy"),'PT-All'!$A$1,"Scenario",C$15,"P&amp;L Item",$B176),0)</f>
        <v>0</v>
      </c>
      <c r="D176" s="407">
        <f>IFERROR(GETPIVOTDATA("Sum of "&amp;TEXT(D$10,"mmm-yyyy"),'PT-All'!$A$1,"Scenario",D$15,"P&amp;L Item",$B176),0)</f>
        <v>0</v>
      </c>
      <c r="E176" s="407">
        <f>IFERROR(GETPIVOTDATA("Sum of "&amp;TEXT(E$10,"mmm-yyyy"),'PT-All'!$A$1,"Scenario",E$15,"P&amp;L Item",$B176),0)</f>
        <v>0</v>
      </c>
      <c r="F176" s="407">
        <f>IFERROR(GETPIVOTDATA("Sum of "&amp;TEXT(F$10,"mmm-yyyy"),'PT-All'!$A$1,"Scenario",F$15,"P&amp;L Item",$B176),0)</f>
        <v>0</v>
      </c>
      <c r="G176" s="408">
        <f>IFERROR(GETPIVOTDATA("Sum of "&amp;TEXT(G$10,"mmm-yyyy"),'PT-All'!$A$1,"Scenario",G$15,"P&amp;L Item",$B176),0)</f>
        <v>0</v>
      </c>
      <c r="H176" s="409">
        <f>IFERROR(GETPIVOTDATA("Sum of "&amp;TEXT(H$10,"mmm-yyyy"),'PT-All'!$A$1,"Scenario",H$15,"P&amp;L Item",$B176),0)</f>
        <v>0</v>
      </c>
      <c r="I176" s="409">
        <f>IFERROR(GETPIVOTDATA("Sum of "&amp;TEXT(I$10,"mmm-yyyy"),'PT-All'!$A$1,"Scenario",I$15,"P&amp;L Item",$B176),0)</f>
        <v>0</v>
      </c>
      <c r="J176" s="178"/>
      <c r="K176" s="409">
        <f t="shared" si="85"/>
        <v>0</v>
      </c>
      <c r="L176" s="410">
        <f t="shared" si="86"/>
        <v>0</v>
      </c>
      <c r="M176" s="180"/>
      <c r="N176" s="407">
        <f>IFERROR(GETPIVOTDATA("Sum of Q"&amp;N$9,'PT-All'!$A$1,"Scenario",N$15,"P&amp;L Item",$B176),0)</f>
        <v>0</v>
      </c>
      <c r="O176" s="408">
        <f>IFERROR(GETPIVOTDATA("Sum of Q"&amp;O$9,'PT-All'!$A$1,"Scenario",O$15,"P&amp;L Item",$B176),0)</f>
        <v>0</v>
      </c>
      <c r="P176" s="409">
        <f>IF($T$13,IFERROR(GETPIVOTDATA("Sum of Month "&amp;$Q$9,'PT-All'!$A$1,"Scenario",P$13,"P&amp;L Item",$B176),0),0)+IF($T$14,IFERROR(GETPIVOTDATA("Sum of Month "&amp;$S$9,'PT-All'!$A$1,"Scenario",P$14,"P&amp;L Item",$B176),0),0)+IF($T$15,IFERROR(GETPIVOTDATA("Sum of Month "&amp;$T$9,'PT-All'!$A$1,"Scenario",P$15,"P&amp;L Item",$B176),0),0)</f>
        <v>0</v>
      </c>
      <c r="Q176" s="409">
        <f>IF($T$13,IFERROR(GETPIVOTDATA("Sum of Month "&amp;$Q$9,'PT-All'!$A$1,"Scenario",Q$13,"P&amp;L Item",$B176),0),0)+IF($T$14,IFERROR(GETPIVOTDATA("Sum of Month "&amp;$S$9,'PT-All'!$A$1,"Scenario",Q$14,"P&amp;L Item",$B176),0),0)+IF($T$15,IFERROR(GETPIVOTDATA("Sum of Month "&amp;$T$9,'PT-All'!$A$1,"Scenario",Q$15,"P&amp;L Item",$B176),0),0)</f>
        <v>0</v>
      </c>
      <c r="R176" s="418"/>
      <c r="S176" s="409">
        <f t="shared" si="87"/>
        <v>0</v>
      </c>
      <c r="T176" s="410">
        <f t="shared" si="88"/>
        <v>0</v>
      </c>
      <c r="U176" s="411"/>
      <c r="V176" s="148"/>
    </row>
    <row r="177" spans="2:22" x14ac:dyDescent="0.35">
      <c r="B177" s="64" t="s">
        <v>201</v>
      </c>
      <c r="C177" s="407">
        <f>IFERROR(GETPIVOTDATA("Sum of "&amp;TEXT(C$10,"mmm-yyyy"),'PT-All'!$A$1,"Scenario",C$15,"P&amp;L Item",$B177),0)</f>
        <v>0</v>
      </c>
      <c r="D177" s="407">
        <f>IFERROR(GETPIVOTDATA("Sum of "&amp;TEXT(D$10,"mmm-yyyy"),'PT-All'!$A$1,"Scenario",D$15,"P&amp;L Item",$B177),0)</f>
        <v>0</v>
      </c>
      <c r="E177" s="407">
        <f>IFERROR(GETPIVOTDATA("Sum of "&amp;TEXT(E$10,"mmm-yyyy"),'PT-All'!$A$1,"Scenario",E$15,"P&amp;L Item",$B177),0)</f>
        <v>0</v>
      </c>
      <c r="F177" s="407">
        <f>IFERROR(GETPIVOTDATA("Sum of "&amp;TEXT(F$10,"mmm-yyyy"),'PT-All'!$A$1,"Scenario",F$15,"P&amp;L Item",$B177),0)</f>
        <v>0</v>
      </c>
      <c r="G177" s="408">
        <f>IFERROR(GETPIVOTDATA("Sum of "&amp;TEXT(G$10,"mmm-yyyy"),'PT-All'!$A$1,"Scenario",G$15,"P&amp;L Item",$B177),0)</f>
        <v>0</v>
      </c>
      <c r="H177" s="409">
        <f>IFERROR(GETPIVOTDATA("Sum of "&amp;TEXT(H$10,"mmm-yyyy"),'PT-All'!$A$1,"Scenario",H$15,"P&amp;L Item",$B177),0)</f>
        <v>0</v>
      </c>
      <c r="I177" s="409">
        <f>IFERROR(GETPIVOTDATA("Sum of "&amp;TEXT(I$10,"mmm-yyyy"),'PT-All'!$A$1,"Scenario",I$15,"P&amp;L Item",$B177),0)</f>
        <v>0</v>
      </c>
      <c r="J177" s="178"/>
      <c r="K177" s="409">
        <f t="shared" si="85"/>
        <v>0</v>
      </c>
      <c r="L177" s="410">
        <f t="shared" si="86"/>
        <v>0</v>
      </c>
      <c r="M177" s="180"/>
      <c r="N177" s="407">
        <f>IFERROR(GETPIVOTDATA("Sum of Q"&amp;N$9,'PT-All'!$A$1,"Scenario",N$15,"P&amp;L Item",$B177),0)</f>
        <v>0</v>
      </c>
      <c r="O177" s="408">
        <f>IFERROR(GETPIVOTDATA("Sum of Q"&amp;O$9,'PT-All'!$A$1,"Scenario",O$15,"P&amp;L Item",$B177),0)</f>
        <v>0</v>
      </c>
      <c r="P177" s="409">
        <f>IF($T$13,IFERROR(GETPIVOTDATA("Sum of Month "&amp;$Q$9,'PT-All'!$A$1,"Scenario",P$13,"P&amp;L Item",$B177),0),0)+IF($T$14,IFERROR(GETPIVOTDATA("Sum of Month "&amp;$S$9,'PT-All'!$A$1,"Scenario",P$14,"P&amp;L Item",$B177),0),0)+IF($T$15,IFERROR(GETPIVOTDATA("Sum of Month "&amp;$T$9,'PT-All'!$A$1,"Scenario",P$15,"P&amp;L Item",$B177),0),0)</f>
        <v>0</v>
      </c>
      <c r="Q177" s="409">
        <f>IF($T$13,IFERROR(GETPIVOTDATA("Sum of Month "&amp;$Q$9,'PT-All'!$A$1,"Scenario",Q$13,"P&amp;L Item",$B177),0),0)+IF($T$14,IFERROR(GETPIVOTDATA("Sum of Month "&amp;$S$9,'PT-All'!$A$1,"Scenario",Q$14,"P&amp;L Item",$B177),0),0)+IF($T$15,IFERROR(GETPIVOTDATA("Sum of Month "&amp;$T$9,'PT-All'!$A$1,"Scenario",Q$15,"P&amp;L Item",$B177),0),0)</f>
        <v>0</v>
      </c>
      <c r="R177" s="434"/>
      <c r="S177" s="409">
        <f t="shared" si="87"/>
        <v>0</v>
      </c>
      <c r="T177" s="410">
        <f t="shared" si="88"/>
        <v>0</v>
      </c>
      <c r="U177" s="411"/>
      <c r="V177" s="148"/>
    </row>
    <row r="178" spans="2:22" x14ac:dyDescent="0.35">
      <c r="B178" s="64" t="s">
        <v>202</v>
      </c>
      <c r="C178" s="407">
        <f>IFERROR(GETPIVOTDATA("Sum of "&amp;TEXT(C$10,"mmm-yyyy"),'PT-All'!$A$1,"Scenario",C$15,"P&amp;L Item",$B178),0)</f>
        <v>0</v>
      </c>
      <c r="D178" s="407">
        <f>IFERROR(GETPIVOTDATA("Sum of "&amp;TEXT(D$10,"mmm-yyyy"),'PT-All'!$A$1,"Scenario",D$15,"P&amp;L Item",$B178),0)</f>
        <v>0</v>
      </c>
      <c r="E178" s="407">
        <f>IFERROR(GETPIVOTDATA("Sum of "&amp;TEXT(E$10,"mmm-yyyy"),'PT-All'!$A$1,"Scenario",E$15,"P&amp;L Item",$B178),0)</f>
        <v>0</v>
      </c>
      <c r="F178" s="407">
        <f>IFERROR(GETPIVOTDATA("Sum of "&amp;TEXT(F$10,"mmm-yyyy"),'PT-All'!$A$1,"Scenario",F$15,"P&amp;L Item",$B178),0)</f>
        <v>0</v>
      </c>
      <c r="G178" s="408">
        <f>IFERROR(GETPIVOTDATA("Sum of "&amp;TEXT(G$10,"mmm-yyyy"),'PT-All'!$A$1,"Scenario",G$15,"P&amp;L Item",$B178),0)</f>
        <v>0</v>
      </c>
      <c r="H178" s="409">
        <f>IFERROR(GETPIVOTDATA("Sum of "&amp;TEXT(H$10,"mmm-yyyy"),'PT-All'!$A$1,"Scenario",H$15,"P&amp;L Item",$B178),0)</f>
        <v>0</v>
      </c>
      <c r="I178" s="409">
        <f>IFERROR(GETPIVOTDATA("Sum of "&amp;TEXT(I$10,"mmm-yyyy"),'PT-All'!$A$1,"Scenario",I$15,"P&amp;L Item",$B178),0)</f>
        <v>0</v>
      </c>
      <c r="J178" s="178"/>
      <c r="K178" s="409">
        <f t="shared" si="85"/>
        <v>0</v>
      </c>
      <c r="L178" s="410">
        <f t="shared" si="86"/>
        <v>0</v>
      </c>
      <c r="M178" s="180"/>
      <c r="N178" s="407">
        <f>IFERROR(GETPIVOTDATA("Sum of Q"&amp;N$9,'PT-All'!$A$1,"Scenario",N$15,"P&amp;L Item",$B178),0)</f>
        <v>0</v>
      </c>
      <c r="O178" s="408">
        <f>IFERROR(GETPIVOTDATA("Sum of Q"&amp;O$9,'PT-All'!$A$1,"Scenario",O$15,"P&amp;L Item",$B178),0)</f>
        <v>0</v>
      </c>
      <c r="P178" s="409">
        <f>IF($T$13,IFERROR(GETPIVOTDATA("Sum of Month "&amp;$Q$9,'PT-All'!$A$1,"Scenario",P$13,"P&amp;L Item",$B178),0),0)+IF($T$14,IFERROR(GETPIVOTDATA("Sum of Month "&amp;$S$9,'PT-All'!$A$1,"Scenario",P$14,"P&amp;L Item",$B178),0),0)+IF($T$15,IFERROR(GETPIVOTDATA("Sum of Month "&amp;$T$9,'PT-All'!$A$1,"Scenario",P$15,"P&amp;L Item",$B178),0),0)</f>
        <v>0</v>
      </c>
      <c r="Q178" s="409">
        <f>IF($T$13,IFERROR(GETPIVOTDATA("Sum of Month "&amp;$Q$9,'PT-All'!$A$1,"Scenario",Q$13,"P&amp;L Item",$B178),0),0)+IF($T$14,IFERROR(GETPIVOTDATA("Sum of Month "&amp;$S$9,'PT-All'!$A$1,"Scenario",Q$14,"P&amp;L Item",$B178),0),0)+IF($T$15,IFERROR(GETPIVOTDATA("Sum of Month "&amp;$T$9,'PT-All'!$A$1,"Scenario",Q$15,"P&amp;L Item",$B178),0),0)</f>
        <v>0</v>
      </c>
      <c r="R178" s="438"/>
      <c r="S178" s="409">
        <f t="shared" si="87"/>
        <v>0</v>
      </c>
      <c r="T178" s="410">
        <f t="shared" si="88"/>
        <v>0</v>
      </c>
      <c r="U178" s="411"/>
      <c r="V178" s="148"/>
    </row>
    <row r="179" spans="2:22" ht="16" x14ac:dyDescent="0.5">
      <c r="B179" s="64" t="s">
        <v>203</v>
      </c>
      <c r="C179" s="412">
        <f>IFERROR(GETPIVOTDATA("Sum of "&amp;TEXT(C$10,"mmm-yyyy"),'PT-All'!$A$1,"Scenario",C$15,"P&amp;L Item",$B179),0)</f>
        <v>0</v>
      </c>
      <c r="D179" s="412">
        <f>IFERROR(GETPIVOTDATA("Sum of "&amp;TEXT(D$10,"mmm-yyyy"),'PT-All'!$A$1,"Scenario",D$15,"P&amp;L Item",$B179),0)</f>
        <v>0</v>
      </c>
      <c r="E179" s="412">
        <f>IFERROR(GETPIVOTDATA("Sum of "&amp;TEXT(E$10,"mmm-yyyy"),'PT-All'!$A$1,"Scenario",E$15,"P&amp;L Item",$B179),0)</f>
        <v>0</v>
      </c>
      <c r="F179" s="412">
        <f>IFERROR(GETPIVOTDATA("Sum of "&amp;TEXT(F$10,"mmm-yyyy"),'PT-All'!$A$1,"Scenario",F$15,"P&amp;L Item",$B179),0)</f>
        <v>0</v>
      </c>
      <c r="G179" s="413">
        <f>IFERROR(GETPIVOTDATA("Sum of "&amp;TEXT(G$10,"mmm-yyyy"),'PT-All'!$A$1,"Scenario",G$15,"P&amp;L Item",$B179),0)</f>
        <v>0</v>
      </c>
      <c r="H179" s="414">
        <f>IFERROR(GETPIVOTDATA("Sum of "&amp;TEXT(H$10,"mmm-yyyy"),'PT-All'!$A$1,"Scenario",H$15,"P&amp;L Item",$B179),0)</f>
        <v>0</v>
      </c>
      <c r="I179" s="414">
        <f>IFERROR(GETPIVOTDATA("Sum of "&amp;TEXT(I$10,"mmm-yyyy"),'PT-All'!$A$1,"Scenario",I$15,"P&amp;L Item",$B179),0)</f>
        <v>0</v>
      </c>
      <c r="J179" s="178"/>
      <c r="K179" s="414">
        <f t="shared" si="85"/>
        <v>0</v>
      </c>
      <c r="L179" s="415">
        <f t="shared" si="86"/>
        <v>0</v>
      </c>
      <c r="M179" s="180"/>
      <c r="N179" s="412">
        <f>IFERROR(GETPIVOTDATA("Sum of Q"&amp;N$9,'PT-All'!$A$1,"Scenario",N$15,"P&amp;L Item",$B179),0)</f>
        <v>0</v>
      </c>
      <c r="O179" s="413">
        <f>IFERROR(GETPIVOTDATA("Sum of Q"&amp;O$9,'PT-All'!$A$1,"Scenario",O$15,"P&amp;L Item",$B179),0)</f>
        <v>0</v>
      </c>
      <c r="P179" s="414">
        <f>IF($T$13,IFERROR(GETPIVOTDATA("Sum of Month "&amp;$Q$9,'PT-All'!$A$1,"Scenario",P$13,"P&amp;L Item",$B179),0),0)+IF($T$14,IFERROR(GETPIVOTDATA("Sum of Month "&amp;$S$9,'PT-All'!$A$1,"Scenario",P$14,"P&amp;L Item",$B179),0),0)+IF($T$15,IFERROR(GETPIVOTDATA("Sum of Month "&amp;$T$9,'PT-All'!$A$1,"Scenario",P$15,"P&amp;L Item",$B179),0),0)</f>
        <v>0</v>
      </c>
      <c r="Q179" s="414">
        <f>IF($T$13,IFERROR(GETPIVOTDATA("Sum of Month "&amp;$Q$9,'PT-All'!$A$1,"Scenario",Q$13,"P&amp;L Item",$B179),0),0)+IF($T$14,IFERROR(GETPIVOTDATA("Sum of Month "&amp;$S$9,'PT-All'!$A$1,"Scenario",Q$14,"P&amp;L Item",$B179),0),0)+IF($T$15,IFERROR(GETPIVOTDATA("Sum of Month "&amp;$T$9,'PT-All'!$A$1,"Scenario",Q$15,"P&amp;L Item",$B179),0),0)</f>
        <v>0</v>
      </c>
      <c r="R179" s="438"/>
      <c r="S179" s="414">
        <f t="shared" si="87"/>
        <v>0</v>
      </c>
      <c r="T179" s="415">
        <f t="shared" si="88"/>
        <v>0</v>
      </c>
      <c r="U179" s="416"/>
      <c r="V179" s="148"/>
    </row>
    <row r="180" spans="2:22" x14ac:dyDescent="0.35">
      <c r="B180" s="84" t="s">
        <v>204</v>
      </c>
      <c r="C180" s="425">
        <f t="shared" ref="C180:I180" si="101">SUM(C168:C171,C148:C149)</f>
        <v>0</v>
      </c>
      <c r="D180" s="425">
        <f t="shared" si="101"/>
        <v>0</v>
      </c>
      <c r="E180" s="425">
        <f t="shared" si="101"/>
        <v>0</v>
      </c>
      <c r="F180" s="425">
        <f t="shared" si="101"/>
        <v>0</v>
      </c>
      <c r="G180" s="426">
        <f t="shared" si="101"/>
        <v>0</v>
      </c>
      <c r="H180" s="427">
        <f t="shared" si="101"/>
        <v>0</v>
      </c>
      <c r="I180" s="427">
        <f t="shared" si="101"/>
        <v>0</v>
      </c>
      <c r="J180" s="388"/>
      <c r="K180" s="427">
        <f t="shared" si="85"/>
        <v>0</v>
      </c>
      <c r="L180" s="429">
        <f t="shared" si="86"/>
        <v>0</v>
      </c>
      <c r="M180" s="384"/>
      <c r="N180" s="425">
        <f t="shared" ref="N180:O180" si="102">SUM(N168:N171,N148:N149)</f>
        <v>0</v>
      </c>
      <c r="O180" s="426">
        <f t="shared" si="102"/>
        <v>0</v>
      </c>
      <c r="P180" s="427">
        <f t="shared" ref="P180:Q180" si="103">SUM(P168:P171,P148:P149)</f>
        <v>0</v>
      </c>
      <c r="Q180" s="427">
        <f t="shared" si="103"/>
        <v>0</v>
      </c>
      <c r="R180" s="135"/>
      <c r="S180" s="427">
        <f t="shared" si="87"/>
        <v>0</v>
      </c>
      <c r="T180" s="429">
        <f t="shared" si="88"/>
        <v>0</v>
      </c>
      <c r="U180" s="430"/>
      <c r="V180" s="385"/>
    </row>
    <row r="181" spans="2:22" ht="16" x14ac:dyDescent="0.5">
      <c r="B181" s="358"/>
      <c r="C181" s="379"/>
      <c r="D181" s="379"/>
      <c r="E181" s="379"/>
      <c r="F181" s="379"/>
      <c r="G181" s="380"/>
      <c r="H181" s="381"/>
      <c r="I181" s="381"/>
      <c r="J181" s="178"/>
      <c r="K181" s="381"/>
      <c r="L181" s="382"/>
      <c r="M181" s="180"/>
      <c r="N181" s="379"/>
      <c r="O181" s="380"/>
      <c r="P181" s="381"/>
      <c r="Q181" s="381"/>
      <c r="R181" s="405"/>
      <c r="S181" s="381"/>
      <c r="T181" s="382"/>
      <c r="U181" s="383"/>
      <c r="V181" s="148"/>
    </row>
    <row r="182" spans="2:22" x14ac:dyDescent="0.35">
      <c r="B182" s="67" t="s">
        <v>56</v>
      </c>
      <c r="C182" s="366">
        <f t="shared" ref="C182:I182" si="104">C76-C111-C145-C180</f>
        <v>0</v>
      </c>
      <c r="D182" s="366">
        <f t="shared" si="104"/>
        <v>0</v>
      </c>
      <c r="E182" s="366">
        <f t="shared" si="104"/>
        <v>0</v>
      </c>
      <c r="F182" s="366">
        <f t="shared" si="104"/>
        <v>0</v>
      </c>
      <c r="G182" s="367">
        <f t="shared" si="104"/>
        <v>0</v>
      </c>
      <c r="H182" s="368">
        <f t="shared" si="104"/>
        <v>0</v>
      </c>
      <c r="I182" s="368">
        <f t="shared" si="104"/>
        <v>0</v>
      </c>
      <c r="J182" s="461"/>
      <c r="K182" s="368">
        <f>H182-I182</f>
        <v>0</v>
      </c>
      <c r="L182" s="370">
        <f>IFERROR(SIGN(K182)*ABS(K182/I182),0)</f>
        <v>0</v>
      </c>
      <c r="M182" s="180"/>
      <c r="N182" s="366">
        <f t="shared" ref="N182:O182" si="105">N76-N111-N145-N180</f>
        <v>0</v>
      </c>
      <c r="O182" s="367">
        <f t="shared" si="105"/>
        <v>0</v>
      </c>
      <c r="P182" s="368">
        <f t="shared" ref="P182:Q182" si="106">P76-P111-P145-P180</f>
        <v>0</v>
      </c>
      <c r="Q182" s="368">
        <f t="shared" si="106"/>
        <v>0</v>
      </c>
      <c r="R182" s="418"/>
      <c r="S182" s="368">
        <f>P182-Q182</f>
        <v>0</v>
      </c>
      <c r="T182" s="370">
        <f>IFERROR(SIGN(S182)*ABS(S182/Q182),0)</f>
        <v>0</v>
      </c>
      <c r="U182" s="417"/>
      <c r="V182" s="148"/>
    </row>
    <row r="183" spans="2:22" x14ac:dyDescent="0.35">
      <c r="B183" s="72" t="s">
        <v>57</v>
      </c>
      <c r="C183" s="431">
        <f t="shared" ref="C183:I183" si="107">IFERROR(C182/C$33,0)</f>
        <v>0</v>
      </c>
      <c r="D183" s="431">
        <f t="shared" si="107"/>
        <v>0</v>
      </c>
      <c r="E183" s="431">
        <f t="shared" si="107"/>
        <v>0</v>
      </c>
      <c r="F183" s="431">
        <f t="shared" si="107"/>
        <v>0</v>
      </c>
      <c r="G183" s="432">
        <f t="shared" si="107"/>
        <v>0</v>
      </c>
      <c r="H183" s="433">
        <f t="shared" si="107"/>
        <v>0</v>
      </c>
      <c r="I183" s="433">
        <f t="shared" si="107"/>
        <v>0</v>
      </c>
      <c r="J183" s="178"/>
      <c r="K183" s="433">
        <f>H183-I183</f>
        <v>0</v>
      </c>
      <c r="L183" s="435">
        <f>IFERROR(SIGN(K183)*ABS(K183/I183),0)</f>
        <v>0</v>
      </c>
      <c r="M183" s="180"/>
      <c r="N183" s="431">
        <f t="shared" ref="N183:Q183" si="108">IFERROR(N182/N$33,0)</f>
        <v>0</v>
      </c>
      <c r="O183" s="432">
        <f t="shared" si="108"/>
        <v>0</v>
      </c>
      <c r="P183" s="433">
        <f t="shared" si="108"/>
        <v>0</v>
      </c>
      <c r="Q183" s="433">
        <f t="shared" si="108"/>
        <v>0</v>
      </c>
      <c r="R183" s="437"/>
      <c r="S183" s="433">
        <f>P183-Q183</f>
        <v>0</v>
      </c>
      <c r="T183" s="435">
        <f>IFERROR(SIGN(S183)*ABS(S183/Q183),0)</f>
        <v>0</v>
      </c>
      <c r="U183" s="436"/>
      <c r="V183" s="148"/>
    </row>
    <row r="184" spans="2:22" x14ac:dyDescent="0.35">
      <c r="B184" s="67" t="s">
        <v>58</v>
      </c>
      <c r="C184" s="462">
        <f t="shared" ref="C184:I184" si="109">C182+SUM(C157,C123,C88,C45)</f>
        <v>0</v>
      </c>
      <c r="D184" s="462">
        <f t="shared" si="109"/>
        <v>0</v>
      </c>
      <c r="E184" s="462">
        <f t="shared" si="109"/>
        <v>0</v>
      </c>
      <c r="F184" s="462">
        <f t="shared" si="109"/>
        <v>0</v>
      </c>
      <c r="G184" s="463">
        <f t="shared" si="109"/>
        <v>0</v>
      </c>
      <c r="H184" s="464">
        <f t="shared" si="109"/>
        <v>0</v>
      </c>
      <c r="I184" s="464">
        <f t="shared" si="109"/>
        <v>0</v>
      </c>
      <c r="J184" s="178"/>
      <c r="K184" s="368">
        <f>H184-I184</f>
        <v>0</v>
      </c>
      <c r="L184" s="370">
        <f>IFERROR(SIGN(K184)*ABS(K184/I184),0)</f>
        <v>0</v>
      </c>
      <c r="M184" s="180"/>
      <c r="N184" s="366">
        <f t="shared" ref="N184:O184" si="110">N182+SUM(N157,N123,N88,N45)</f>
        <v>0</v>
      </c>
      <c r="O184" s="367">
        <f t="shared" si="110"/>
        <v>0</v>
      </c>
      <c r="P184" s="368">
        <f t="shared" ref="P184:Q184" si="111">P182+SUM(P157,P123,P88,P45)</f>
        <v>0</v>
      </c>
      <c r="Q184" s="368">
        <f t="shared" si="111"/>
        <v>0</v>
      </c>
      <c r="R184" s="418"/>
      <c r="S184" s="368">
        <f>P184-Q184</f>
        <v>0</v>
      </c>
      <c r="T184" s="370">
        <f>IFERROR(SIGN(S184)*ABS(S184/Q184),0)</f>
        <v>0</v>
      </c>
      <c r="U184" s="417"/>
      <c r="V184" s="148"/>
    </row>
    <row r="185" spans="2:22" x14ac:dyDescent="0.35">
      <c r="B185" s="72" t="s">
        <v>59</v>
      </c>
      <c r="C185" s="431">
        <f t="shared" ref="C185:I185" si="112">IFERROR(C184/C$33,0)</f>
        <v>0</v>
      </c>
      <c r="D185" s="431">
        <f t="shared" si="112"/>
        <v>0</v>
      </c>
      <c r="E185" s="431">
        <f t="shared" si="112"/>
        <v>0</v>
      </c>
      <c r="F185" s="431">
        <f t="shared" si="112"/>
        <v>0</v>
      </c>
      <c r="G185" s="432">
        <f t="shared" si="112"/>
        <v>0</v>
      </c>
      <c r="H185" s="433">
        <f t="shared" si="112"/>
        <v>0</v>
      </c>
      <c r="I185" s="433">
        <f t="shared" si="112"/>
        <v>0</v>
      </c>
      <c r="J185" s="178"/>
      <c r="K185" s="433">
        <f>H185-I185</f>
        <v>0</v>
      </c>
      <c r="L185" s="435">
        <f>IFERROR(SIGN(K185)*ABS(K185/I185),0)</f>
        <v>0</v>
      </c>
      <c r="M185" s="180"/>
      <c r="N185" s="431">
        <f t="shared" ref="N185:Q185" si="113">IFERROR(N184/N$33,0)</f>
        <v>0</v>
      </c>
      <c r="O185" s="432">
        <f t="shared" si="113"/>
        <v>0</v>
      </c>
      <c r="P185" s="433">
        <f t="shared" si="113"/>
        <v>0</v>
      </c>
      <c r="Q185" s="433">
        <f t="shared" si="113"/>
        <v>0</v>
      </c>
      <c r="R185" s="437"/>
      <c r="S185" s="433">
        <f>P185-Q185</f>
        <v>0</v>
      </c>
      <c r="T185" s="435">
        <f>IFERROR(SIGN(S185)*ABS(S185/Q185),0)</f>
        <v>0</v>
      </c>
      <c r="U185" s="436"/>
      <c r="V185" s="148"/>
    </row>
    <row r="186" spans="2:22" ht="16" x14ac:dyDescent="0.5">
      <c r="B186" s="358"/>
      <c r="C186" s="379"/>
      <c r="D186" s="379"/>
      <c r="E186" s="379"/>
      <c r="F186" s="379"/>
      <c r="G186" s="380"/>
      <c r="H186" s="381"/>
      <c r="I186" s="381"/>
      <c r="J186" s="178"/>
      <c r="K186" s="381"/>
      <c r="L186" s="382"/>
      <c r="M186" s="180"/>
      <c r="N186" s="379"/>
      <c r="O186" s="380"/>
      <c r="P186" s="381"/>
      <c r="Q186" s="381"/>
      <c r="R186" s="465"/>
      <c r="S186" s="381"/>
      <c r="T186" s="382"/>
      <c r="U186" s="383"/>
      <c r="V186" s="148"/>
    </row>
    <row r="187" spans="2:22" x14ac:dyDescent="0.35">
      <c r="B187" s="356" t="s">
        <v>60</v>
      </c>
      <c r="C187" s="375">
        <f>IFERROR(GETPIVOTDATA("Sum of "&amp;TEXT(C$10,"mmm-yyyy"),'PT-All'!$A$1,"Scenario",C$15,"P&amp;L Item",$B187),0)</f>
        <v>0</v>
      </c>
      <c r="D187" s="375">
        <f>IFERROR(GETPIVOTDATA("Sum of "&amp;TEXT(D$10,"mmm-yyyy"),'PT-All'!$A$1,"Scenario",D$15,"P&amp;L Item",$B187),0)</f>
        <v>0</v>
      </c>
      <c r="E187" s="375">
        <f>IFERROR(GETPIVOTDATA("Sum of "&amp;TEXT(E$10,"mmm-yyyy"),'PT-All'!$A$1,"Scenario",E$15,"P&amp;L Item",$B187),0)</f>
        <v>0</v>
      </c>
      <c r="F187" s="375">
        <f>IFERROR(GETPIVOTDATA("Sum of "&amp;TEXT(F$10,"mmm-yyyy"),'PT-All'!$A$1,"Scenario",F$15,"P&amp;L Item",$B187),0)</f>
        <v>0</v>
      </c>
      <c r="G187" s="376">
        <f>IFERROR(GETPIVOTDATA("Sum of "&amp;TEXT(G$10,"mmm-yyyy"),'PT-All'!$A$1,"Scenario",G$15,"P&amp;L Item",$B187),0)</f>
        <v>0</v>
      </c>
      <c r="H187" s="377">
        <f>IFERROR(GETPIVOTDATA("Sum of "&amp;TEXT(H$10,"mmm-yyyy"),'PT-All'!$A$1,"Scenario",H$15,"P&amp;L Item",$B187),0)</f>
        <v>0</v>
      </c>
      <c r="I187" s="377">
        <f>IFERROR(GETPIVOTDATA("Sum of "&amp;TEXT(I$10,"mmm-yyyy"),'PT-All'!$A$1,"Scenario",I$15,"P&amp;L Item",$B187),0)</f>
        <v>0</v>
      </c>
      <c r="J187" s="178"/>
      <c r="K187" s="377">
        <f>I187-H187</f>
        <v>0</v>
      </c>
      <c r="L187" s="143">
        <f>IFERROR(SIGN(K187)*ABS(K187/I187),0)</f>
        <v>0</v>
      </c>
      <c r="M187" s="180"/>
      <c r="N187" s="375">
        <f>IFERROR(GETPIVOTDATA("Sum of Q"&amp;N$9,'PT-All'!$A$1,"Scenario",N$15,"P&amp;L Item",$B187),0)</f>
        <v>0</v>
      </c>
      <c r="O187" s="376">
        <f>IFERROR(GETPIVOTDATA("Sum of Q"&amp;O$9,'PT-All'!$A$1,"Scenario",O$15,"P&amp;L Item",$B187),0)</f>
        <v>0</v>
      </c>
      <c r="P187" s="377">
        <f>IF($T$13,IFERROR(GETPIVOTDATA("Sum of Month "&amp;$Q$9,'PT-All'!$A$1,"Scenario",P$13,"P&amp;L Item",$B187),0),0)+IF($T$14,IFERROR(GETPIVOTDATA("Sum of Month "&amp;$S$9,'PT-All'!$A$1,"Scenario",P$14,"P&amp;L Item",$B187),0),0)+IF($T$15,IFERROR(GETPIVOTDATA("Sum of Month "&amp;$T$9,'PT-All'!$A$1,"Scenario",P$15,"P&amp;L Item",$B187),0),0)</f>
        <v>0</v>
      </c>
      <c r="Q187" s="377">
        <f>IF($T$13,IFERROR(GETPIVOTDATA("Sum of Month "&amp;$Q$9,'PT-All'!$A$1,"Scenario",Q$13,"P&amp;L Item",$B187),0),0)+IF($T$14,IFERROR(GETPIVOTDATA("Sum of Month "&amp;$S$9,'PT-All'!$A$1,"Scenario",Q$14,"P&amp;L Item",$B187),0),0)+IF($T$15,IFERROR(GETPIVOTDATA("Sum of Month "&amp;$T$9,'PT-All'!$A$1,"Scenario",Q$15,"P&amp;L Item",$B187),0),0)</f>
        <v>0</v>
      </c>
      <c r="R187" s="418"/>
      <c r="S187" s="377">
        <f>Q187-P187</f>
        <v>0</v>
      </c>
      <c r="T187" s="143">
        <f>IFERROR(SIGN(S187)*ABS(S187/Q187),0)</f>
        <v>0</v>
      </c>
      <c r="U187" s="374"/>
      <c r="V187" s="148"/>
    </row>
    <row r="188" spans="2:22" x14ac:dyDescent="0.35">
      <c r="B188" s="358"/>
      <c r="C188" s="379"/>
      <c r="D188" s="379"/>
      <c r="E188" s="379"/>
      <c r="F188" s="379"/>
      <c r="G188" s="380"/>
      <c r="H188" s="381"/>
      <c r="I188" s="381"/>
      <c r="J188" s="178"/>
      <c r="K188" s="381"/>
      <c r="L188" s="382"/>
      <c r="M188" s="180"/>
      <c r="N188" s="379"/>
      <c r="O188" s="380"/>
      <c r="P188" s="381"/>
      <c r="Q188" s="381"/>
      <c r="R188" s="434"/>
      <c r="S188" s="381"/>
      <c r="T188" s="382"/>
      <c r="U188" s="383"/>
      <c r="V188" s="148"/>
    </row>
    <row r="189" spans="2:22" x14ac:dyDescent="0.35">
      <c r="B189" s="67" t="s">
        <v>61</v>
      </c>
      <c r="C189" s="366">
        <f t="shared" ref="C189:I189" si="114">C182-C187</f>
        <v>0</v>
      </c>
      <c r="D189" s="366">
        <f t="shared" si="114"/>
        <v>0</v>
      </c>
      <c r="E189" s="366">
        <f t="shared" si="114"/>
        <v>0</v>
      </c>
      <c r="F189" s="366">
        <f t="shared" si="114"/>
        <v>0</v>
      </c>
      <c r="G189" s="367">
        <f t="shared" si="114"/>
        <v>0</v>
      </c>
      <c r="H189" s="368">
        <f t="shared" si="114"/>
        <v>0</v>
      </c>
      <c r="I189" s="368">
        <f t="shared" si="114"/>
        <v>0</v>
      </c>
      <c r="J189" s="178"/>
      <c r="K189" s="368">
        <f>H189-I189</f>
        <v>0</v>
      </c>
      <c r="L189" s="370">
        <f>IFERROR(SIGN(K189)*ABS(K189/I189),0)</f>
        <v>0</v>
      </c>
      <c r="M189" s="180"/>
      <c r="N189" s="366">
        <f t="shared" ref="N189:O189" si="115">N182-N187</f>
        <v>0</v>
      </c>
      <c r="O189" s="367">
        <f t="shared" si="115"/>
        <v>0</v>
      </c>
      <c r="P189" s="368">
        <f t="shared" ref="P189:Q189" si="116">P182-P187</f>
        <v>0</v>
      </c>
      <c r="Q189" s="368">
        <f t="shared" si="116"/>
        <v>0</v>
      </c>
      <c r="R189" s="178"/>
      <c r="S189" s="368">
        <f>P189-Q189</f>
        <v>0</v>
      </c>
      <c r="T189" s="370">
        <f>IFERROR(SIGN(S189)*ABS(S189/Q189),0)</f>
        <v>0</v>
      </c>
      <c r="U189" s="417"/>
      <c r="V189" s="148"/>
    </row>
    <row r="190" spans="2:22" x14ac:dyDescent="0.35">
      <c r="B190" s="72" t="s">
        <v>62</v>
      </c>
      <c r="C190" s="431">
        <f t="shared" ref="C190:I190" si="117">IFERROR(C189/C$33,0)</f>
        <v>0</v>
      </c>
      <c r="D190" s="431">
        <f t="shared" si="117"/>
        <v>0</v>
      </c>
      <c r="E190" s="431">
        <f t="shared" si="117"/>
        <v>0</v>
      </c>
      <c r="F190" s="431">
        <f t="shared" si="117"/>
        <v>0</v>
      </c>
      <c r="G190" s="432">
        <f t="shared" si="117"/>
        <v>0</v>
      </c>
      <c r="H190" s="433">
        <f t="shared" si="117"/>
        <v>0</v>
      </c>
      <c r="I190" s="433">
        <f t="shared" si="117"/>
        <v>0</v>
      </c>
      <c r="J190" s="178"/>
      <c r="K190" s="433">
        <f>H190-I190</f>
        <v>0</v>
      </c>
      <c r="L190" s="435">
        <f>IFERROR(SIGN(K190)*ABS(K190/I190),0)</f>
        <v>0</v>
      </c>
      <c r="M190" s="180"/>
      <c r="N190" s="431">
        <f t="shared" ref="N190:Q190" si="118">IFERROR(N189/N$33,0)</f>
        <v>0</v>
      </c>
      <c r="O190" s="432">
        <f t="shared" si="118"/>
        <v>0</v>
      </c>
      <c r="P190" s="433">
        <f t="shared" si="118"/>
        <v>0</v>
      </c>
      <c r="Q190" s="433">
        <f t="shared" si="118"/>
        <v>0</v>
      </c>
      <c r="R190" s="389"/>
      <c r="S190" s="433">
        <f>P190-Q190</f>
        <v>0</v>
      </c>
      <c r="T190" s="435">
        <f>IFERROR(SIGN(S190)*ABS(S190/Q190),0)</f>
        <v>0</v>
      </c>
      <c r="U190" s="436"/>
      <c r="V190" s="148"/>
    </row>
    <row r="191" spans="2:22" x14ac:dyDescent="0.35">
      <c r="B191" s="358"/>
      <c r="C191" s="379"/>
      <c r="D191" s="379"/>
      <c r="E191" s="379"/>
      <c r="F191" s="379"/>
      <c r="G191" s="380"/>
      <c r="H191" s="381"/>
      <c r="I191" s="381"/>
      <c r="J191" s="178"/>
      <c r="K191" s="381"/>
      <c r="L191" s="382"/>
      <c r="M191" s="180"/>
      <c r="N191" s="379"/>
      <c r="O191" s="380"/>
      <c r="P191" s="381"/>
      <c r="Q191" s="381"/>
      <c r="R191" s="178"/>
      <c r="S191" s="381"/>
      <c r="T191" s="382"/>
      <c r="U191" s="383"/>
      <c r="V191" s="148"/>
    </row>
    <row r="192" spans="2:22" x14ac:dyDescent="0.35">
      <c r="B192" s="356" t="s">
        <v>63</v>
      </c>
      <c r="C192" s="375">
        <f>IFERROR(GETPIVOTDATA("Sum of "&amp;TEXT(C$10,"mmm-yyyy"),'PT-All'!$A$1,"Scenario",C$15,"P&amp;L Item",$B192),0)</f>
        <v>0</v>
      </c>
      <c r="D192" s="375">
        <f>IFERROR(GETPIVOTDATA("Sum of "&amp;TEXT(D$10,"mmm-yyyy"),'PT-All'!$A$1,"Scenario",D$15,"P&amp;L Item",$B192),0)</f>
        <v>0</v>
      </c>
      <c r="E192" s="375">
        <f>IFERROR(GETPIVOTDATA("Sum of "&amp;TEXT(E$10,"mmm-yyyy"),'PT-All'!$A$1,"Scenario",E$15,"P&amp;L Item",$B192),0)</f>
        <v>0</v>
      </c>
      <c r="F192" s="375">
        <f>IFERROR(GETPIVOTDATA("Sum of "&amp;TEXT(F$10,"mmm-yyyy"),'PT-All'!$A$1,"Scenario",F$15,"P&amp;L Item",$B192),0)</f>
        <v>0</v>
      </c>
      <c r="G192" s="376">
        <f>IFERROR(GETPIVOTDATA("Sum of "&amp;TEXT(G$10,"mmm-yyyy"),'PT-All'!$A$1,"Scenario",G$15,"P&amp;L Item",$B192),0)</f>
        <v>0</v>
      </c>
      <c r="H192" s="377">
        <f>IFERROR(GETPIVOTDATA("Sum of "&amp;TEXT(H$10,"mmm-yyyy"),'PT-All'!$A$1,"Scenario",H$15,"P&amp;L Item",$B192),0)</f>
        <v>0</v>
      </c>
      <c r="I192" s="377">
        <f>IFERROR(GETPIVOTDATA("Sum of "&amp;TEXT(I$10,"mmm-yyyy"),'PT-All'!$A$1,"Scenario",I$15,"P&amp;L Item",$B192),0)</f>
        <v>0</v>
      </c>
      <c r="J192" s="178"/>
      <c r="K192" s="377">
        <f>I192-H192</f>
        <v>0</v>
      </c>
      <c r="L192" s="143">
        <f>IFERROR(SIGN(K192)*ABS(K192/I192),0)</f>
        <v>0</v>
      </c>
      <c r="M192" s="180"/>
      <c r="N192" s="375">
        <f>IFERROR(GETPIVOTDATA("Sum of Q"&amp;N$9,'PT-All'!$A$1,"Scenario",N$15,"P&amp;L Item",$B192),0)</f>
        <v>0</v>
      </c>
      <c r="O192" s="376">
        <f>IFERROR(GETPIVOTDATA("Sum of Q"&amp;O$9,'PT-All'!$A$1,"Scenario",O$15,"P&amp;L Item",$B192),0)</f>
        <v>0</v>
      </c>
      <c r="P192" s="377">
        <f>IF($T$13,IFERROR(GETPIVOTDATA("Sum of Month "&amp;$Q$9,'PT-All'!$A$1,"Scenario",P$13,"P&amp;L Item",$B192),0),0)+IF($T$14,IFERROR(GETPIVOTDATA("Sum of Month "&amp;$S$9,'PT-All'!$A$1,"Scenario",P$14,"P&amp;L Item",$B192),0),0)+IF($T$15,IFERROR(GETPIVOTDATA("Sum of Month "&amp;$T$9,'PT-All'!$A$1,"Scenario",P$15,"P&amp;L Item",$B192),0),0)</f>
        <v>0</v>
      </c>
      <c r="Q192" s="377">
        <f>IF($T$13,IFERROR(GETPIVOTDATA("Sum of Month "&amp;$Q$9,'PT-All'!$A$1,"Scenario",Q$13,"P&amp;L Item",$B192),0),0)+IF($T$14,IFERROR(GETPIVOTDATA("Sum of Month "&amp;$S$9,'PT-All'!$A$1,"Scenario",Q$14,"P&amp;L Item",$B192),0),0)+IF($T$15,IFERROR(GETPIVOTDATA("Sum of Month "&amp;$T$9,'PT-All'!$A$1,"Scenario",Q$15,"P&amp;L Item",$B192),0),0)</f>
        <v>0</v>
      </c>
      <c r="R192" s="178"/>
      <c r="S192" s="377">
        <f>Q192-P192</f>
        <v>0</v>
      </c>
      <c r="T192" s="143">
        <f>IFERROR(SIGN(S192)*ABS(S192/Q192),0)</f>
        <v>0</v>
      </c>
      <c r="U192" s="374"/>
      <c r="V192" s="148"/>
    </row>
    <row r="193" spans="2:22" x14ac:dyDescent="0.35">
      <c r="B193" s="356" t="s">
        <v>64</v>
      </c>
      <c r="C193" s="69">
        <f>IFERROR(GETPIVOTDATA("Sum of "&amp;TEXT(C$10,"mmm-yyyy"),'PT-All'!$A$1,"Scenario",C$15,"P&amp;L Item",$B193),0)</f>
        <v>0</v>
      </c>
      <c r="D193" s="69">
        <f>IFERROR(GETPIVOTDATA("Sum of "&amp;TEXT(D$10,"mmm-yyyy"),'PT-All'!$A$1,"Scenario",D$15,"P&amp;L Item",$B193),0)</f>
        <v>0</v>
      </c>
      <c r="E193" s="69">
        <f>IFERROR(GETPIVOTDATA("Sum of "&amp;TEXT(E$10,"mmm-yyyy"),'PT-All'!$A$1,"Scenario",E$15,"P&amp;L Item",$B193),0)</f>
        <v>0</v>
      </c>
      <c r="F193" s="69">
        <f>IFERROR(GETPIVOTDATA("Sum of "&amp;TEXT(F$10,"mmm-yyyy"),'PT-All'!$A$1,"Scenario",F$15,"P&amp;L Item",$B193),0)</f>
        <v>0</v>
      </c>
      <c r="G193" s="145">
        <f>IFERROR(GETPIVOTDATA("Sum of "&amp;TEXT(G$10,"mmm-yyyy"),'PT-All'!$A$1,"Scenario",G$15,"P&amp;L Item",$B193),0)</f>
        <v>0</v>
      </c>
      <c r="H193" s="144">
        <f>IFERROR(GETPIVOTDATA("Sum of "&amp;TEXT(H$10,"mmm-yyyy"),'PT-All'!$A$1,"Scenario",H$15,"P&amp;L Item",$B193),0)</f>
        <v>0</v>
      </c>
      <c r="I193" s="144">
        <f>IFERROR(GETPIVOTDATA("Sum of "&amp;TEXT(I$10,"mmm-yyyy"),'PT-All'!$A$1,"Scenario",I$15,"P&amp;L Item",$B193),0)</f>
        <v>0</v>
      </c>
      <c r="J193" s="178"/>
      <c r="K193" s="144">
        <f>I193-H193</f>
        <v>0</v>
      </c>
      <c r="L193" s="143">
        <f>IFERROR(SIGN(K193)*ABS(K193/I193),0)</f>
        <v>0</v>
      </c>
      <c r="M193" s="180"/>
      <c r="N193" s="69">
        <f>IFERROR(GETPIVOTDATA("Sum of Q"&amp;N$9,'PT-All'!$A$1,"Scenario",N$15,"P&amp;L Item",$B193),0)</f>
        <v>0</v>
      </c>
      <c r="O193" s="145">
        <f>IFERROR(GETPIVOTDATA("Sum of Q"&amp;O$9,'PT-All'!$A$1,"Scenario",O$15,"P&amp;L Item",$B193),0)</f>
        <v>0</v>
      </c>
      <c r="P193" s="144">
        <f>IF($T$13,IFERROR(GETPIVOTDATA("Sum of Month "&amp;$Q$9,'PT-All'!$A$1,"Scenario",P$13,"P&amp;L Item",$B193),0),0)+IF($T$14,IFERROR(GETPIVOTDATA("Sum of Month "&amp;$S$9,'PT-All'!$A$1,"Scenario",P$14,"P&amp;L Item",$B193),0),0)+IF($T$15,IFERROR(GETPIVOTDATA("Sum of Month "&amp;$T$9,'PT-All'!$A$1,"Scenario",P$15,"P&amp;L Item",$B193),0),0)</f>
        <v>0</v>
      </c>
      <c r="Q193" s="144">
        <f>IF($T$13,IFERROR(GETPIVOTDATA("Sum of Month "&amp;$Q$9,'PT-All'!$A$1,"Scenario",Q$13,"P&amp;L Item",$B193),0),0)+IF($T$14,IFERROR(GETPIVOTDATA("Sum of Month "&amp;$S$9,'PT-All'!$A$1,"Scenario",Q$14,"P&amp;L Item",$B193),0),0)+IF($T$15,IFERROR(GETPIVOTDATA("Sum of Month "&amp;$T$9,'PT-All'!$A$1,"Scenario",Q$15,"P&amp;L Item",$B193),0),0)</f>
        <v>0</v>
      </c>
      <c r="R193" s="178"/>
      <c r="S193" s="144">
        <f>Q193-P193</f>
        <v>0</v>
      </c>
      <c r="T193" s="143">
        <f>IFERROR(SIGN(S193)*ABS(S193/Q193),0)</f>
        <v>0</v>
      </c>
      <c r="U193" s="374"/>
      <c r="V193" s="148"/>
    </row>
    <row r="194" spans="2:22" ht="16" x14ac:dyDescent="0.5">
      <c r="B194" s="356" t="s">
        <v>65</v>
      </c>
      <c r="C194" s="420">
        <f>IFERROR(GETPIVOTDATA("Sum of "&amp;TEXT(C$10,"mmm-yyyy"),'PT-All'!$A$1,"Scenario",C$15,"P&amp;L Item",$B194),0)</f>
        <v>0</v>
      </c>
      <c r="D194" s="420">
        <f>IFERROR(GETPIVOTDATA("Sum of "&amp;TEXT(D$10,"mmm-yyyy"),'PT-All'!$A$1,"Scenario",D$15,"P&amp;L Item",$B194),0)</f>
        <v>0</v>
      </c>
      <c r="E194" s="420">
        <f>IFERROR(GETPIVOTDATA("Sum of "&amp;TEXT(E$10,"mmm-yyyy"),'PT-All'!$A$1,"Scenario",E$15,"P&amp;L Item",$B194),0)</f>
        <v>0</v>
      </c>
      <c r="F194" s="420">
        <f>IFERROR(GETPIVOTDATA("Sum of "&amp;TEXT(F$10,"mmm-yyyy"),'PT-All'!$A$1,"Scenario",F$15,"P&amp;L Item",$B194),0)</f>
        <v>0</v>
      </c>
      <c r="G194" s="421">
        <f>IFERROR(GETPIVOTDATA("Sum of "&amp;TEXT(G$10,"mmm-yyyy"),'PT-All'!$A$1,"Scenario",G$15,"P&amp;L Item",$B194),0)</f>
        <v>0</v>
      </c>
      <c r="H194" s="422">
        <f>IFERROR(GETPIVOTDATA("Sum of "&amp;TEXT(H$10,"mmm-yyyy"),'PT-All'!$A$1,"Scenario",H$15,"P&amp;L Item",$B194),0)</f>
        <v>0</v>
      </c>
      <c r="I194" s="422">
        <f>IFERROR(GETPIVOTDATA("Sum of "&amp;TEXT(I$10,"mmm-yyyy"),'PT-All'!$A$1,"Scenario",I$15,"P&amp;L Item",$B194),0)</f>
        <v>0</v>
      </c>
      <c r="J194" s="178"/>
      <c r="K194" s="422">
        <f>I194-H194</f>
        <v>0</v>
      </c>
      <c r="L194" s="423">
        <f>IFERROR(SIGN(K194)*ABS(K194/I194),0)</f>
        <v>0</v>
      </c>
      <c r="M194" s="180"/>
      <c r="N194" s="420">
        <f>IFERROR(GETPIVOTDATA("Sum of Q"&amp;N$9,'PT-All'!$A$1,"Scenario",N$15,"P&amp;L Item",$B194),0)</f>
        <v>0</v>
      </c>
      <c r="O194" s="421">
        <f>IFERROR(GETPIVOTDATA("Sum of Q"&amp;O$9,'PT-All'!$A$1,"Scenario",O$15,"P&amp;L Item",$B194),0)</f>
        <v>0</v>
      </c>
      <c r="P194" s="422">
        <f>IF($T$13,IFERROR(GETPIVOTDATA("Sum of Month "&amp;$Q$9,'PT-All'!$A$1,"Scenario",P$13,"P&amp;L Item",$B194),0),0)+IF($T$14,IFERROR(GETPIVOTDATA("Sum of Month "&amp;$S$9,'PT-All'!$A$1,"Scenario",P$14,"P&amp;L Item",$B194),0),0)+IF($T$15,IFERROR(GETPIVOTDATA("Sum of Month "&amp;$T$9,'PT-All'!$A$1,"Scenario",P$15,"P&amp;L Item",$B194),0),0)</f>
        <v>0</v>
      </c>
      <c r="Q194" s="422">
        <f>IF($T$13,IFERROR(GETPIVOTDATA("Sum of Month "&amp;$Q$9,'PT-All'!$A$1,"Scenario",Q$13,"P&amp;L Item",$B194),0),0)+IF($T$14,IFERROR(GETPIVOTDATA("Sum of Month "&amp;$S$9,'PT-All'!$A$1,"Scenario",Q$14,"P&amp;L Item",$B194),0),0)+IF($T$15,IFERROR(GETPIVOTDATA("Sum of Month "&amp;$T$9,'PT-All'!$A$1,"Scenario",Q$15,"P&amp;L Item",$B194),0),0)</f>
        <v>0</v>
      </c>
      <c r="R194" s="178"/>
      <c r="S194" s="422">
        <f>Q194-P194</f>
        <v>0</v>
      </c>
      <c r="T194" s="423">
        <f>IFERROR(SIGN(S194)*ABS(S194/Q194),0)</f>
        <v>0</v>
      </c>
      <c r="U194" s="424"/>
      <c r="V194" s="148"/>
    </row>
    <row r="195" spans="2:22" x14ac:dyDescent="0.35">
      <c r="B195" s="67" t="s">
        <v>66</v>
      </c>
      <c r="C195" s="366">
        <f t="shared" ref="C195:I195" si="119">SUM(C192:C194)</f>
        <v>0</v>
      </c>
      <c r="D195" s="366">
        <f t="shared" si="119"/>
        <v>0</v>
      </c>
      <c r="E195" s="366">
        <f t="shared" si="119"/>
        <v>0</v>
      </c>
      <c r="F195" s="366">
        <f t="shared" si="119"/>
        <v>0</v>
      </c>
      <c r="G195" s="367">
        <f t="shared" si="119"/>
        <v>0</v>
      </c>
      <c r="H195" s="368">
        <f t="shared" si="119"/>
        <v>0</v>
      </c>
      <c r="I195" s="368">
        <f t="shared" si="119"/>
        <v>0</v>
      </c>
      <c r="J195" s="178"/>
      <c r="K195" s="368">
        <f>I195-H195</f>
        <v>0</v>
      </c>
      <c r="L195" s="370">
        <f>IFERROR(SIGN(K195)*ABS(K195/I195),0)</f>
        <v>0</v>
      </c>
      <c r="M195" s="180"/>
      <c r="N195" s="366">
        <f t="shared" ref="N195:Q195" si="120">SUM(N192:N194)</f>
        <v>0</v>
      </c>
      <c r="O195" s="367">
        <f t="shared" si="120"/>
        <v>0</v>
      </c>
      <c r="P195" s="368">
        <f t="shared" si="120"/>
        <v>0</v>
      </c>
      <c r="Q195" s="368">
        <f t="shared" si="120"/>
        <v>0</v>
      </c>
      <c r="R195" s="178"/>
      <c r="S195" s="368">
        <f>Q195-P195</f>
        <v>0</v>
      </c>
      <c r="T195" s="370">
        <f>IFERROR(SIGN(S195)*ABS(S195/Q195),0)</f>
        <v>0</v>
      </c>
      <c r="U195" s="417"/>
      <c r="V195" s="148"/>
    </row>
    <row r="196" spans="2:22" x14ac:dyDescent="0.35">
      <c r="B196" s="358"/>
      <c r="C196" s="379"/>
      <c r="D196" s="379"/>
      <c r="E196" s="379"/>
      <c r="F196" s="379"/>
      <c r="G196" s="380"/>
      <c r="H196" s="381"/>
      <c r="I196" s="381"/>
      <c r="J196" s="178"/>
      <c r="K196" s="381"/>
      <c r="L196" s="382"/>
      <c r="M196" s="180"/>
      <c r="N196" s="379"/>
      <c r="O196" s="380"/>
      <c r="P196" s="381"/>
      <c r="Q196" s="381"/>
      <c r="R196" s="178"/>
      <c r="S196" s="381"/>
      <c r="T196" s="382"/>
      <c r="U196" s="383"/>
      <c r="V196" s="148"/>
    </row>
    <row r="197" spans="2:22" x14ac:dyDescent="0.35">
      <c r="B197" s="67" t="s">
        <v>67</v>
      </c>
      <c r="C197" s="366">
        <f t="shared" ref="C197:I197" si="121">C189-C195</f>
        <v>0</v>
      </c>
      <c r="D197" s="366">
        <f t="shared" si="121"/>
        <v>0</v>
      </c>
      <c r="E197" s="366">
        <f t="shared" si="121"/>
        <v>0</v>
      </c>
      <c r="F197" s="366">
        <f t="shared" si="121"/>
        <v>0</v>
      </c>
      <c r="G197" s="367">
        <f t="shared" si="121"/>
        <v>0</v>
      </c>
      <c r="H197" s="368">
        <f t="shared" si="121"/>
        <v>0</v>
      </c>
      <c r="I197" s="368">
        <f t="shared" si="121"/>
        <v>0</v>
      </c>
      <c r="J197" s="178"/>
      <c r="K197" s="368">
        <f>H197-I197</f>
        <v>0</v>
      </c>
      <c r="L197" s="370">
        <f>IFERROR(SIGN(K197)*ABS(K197/I197),0)</f>
        <v>0</v>
      </c>
      <c r="M197" s="180"/>
      <c r="N197" s="366">
        <f t="shared" ref="N197:O197" si="122">N189-N195</f>
        <v>0</v>
      </c>
      <c r="O197" s="367">
        <f t="shared" si="122"/>
        <v>0</v>
      </c>
      <c r="P197" s="368">
        <f t="shared" ref="P197:Q197" si="123">P189-P195</f>
        <v>0</v>
      </c>
      <c r="Q197" s="368">
        <f t="shared" si="123"/>
        <v>0</v>
      </c>
      <c r="R197" s="178"/>
      <c r="S197" s="368">
        <f>P197-Q197</f>
        <v>0</v>
      </c>
      <c r="T197" s="370">
        <f>IFERROR(SIGN(S197)*ABS(S197/Q197),0)</f>
        <v>0</v>
      </c>
      <c r="U197" s="417"/>
      <c r="V197" s="148"/>
    </row>
    <row r="198" spans="2:22" x14ac:dyDescent="0.35">
      <c r="B198" s="358"/>
      <c r="C198" s="379"/>
      <c r="D198" s="379"/>
      <c r="E198" s="379"/>
      <c r="F198" s="379"/>
      <c r="G198" s="380"/>
      <c r="H198" s="381"/>
      <c r="I198" s="381"/>
      <c r="J198" s="178"/>
      <c r="K198" s="381"/>
      <c r="L198" s="382"/>
      <c r="M198" s="180"/>
      <c r="N198" s="379"/>
      <c r="O198" s="380"/>
      <c r="P198" s="381"/>
      <c r="Q198" s="381"/>
      <c r="R198" s="178"/>
      <c r="S198" s="381"/>
      <c r="T198" s="382"/>
      <c r="U198" s="383"/>
      <c r="V198" s="148"/>
    </row>
    <row r="199" spans="2:22" ht="16" x14ac:dyDescent="0.5">
      <c r="B199" s="356" t="s">
        <v>68</v>
      </c>
      <c r="C199" s="466">
        <f>IFERROR(GETPIVOTDATA("Sum of "&amp;TEXT(C$10,"mmm-yyyy"),'PT-All'!$A$1,"Scenario",C$15,"P&amp;L Item",$B199),0)</f>
        <v>0</v>
      </c>
      <c r="D199" s="466">
        <f>IFERROR(GETPIVOTDATA("Sum of "&amp;TEXT(D$10,"mmm-yyyy"),'PT-All'!$A$1,"Scenario",D$15,"P&amp;L Item",$B199),0)</f>
        <v>0</v>
      </c>
      <c r="E199" s="466">
        <f>IFERROR(GETPIVOTDATA("Sum of "&amp;TEXT(E$10,"mmm-yyyy"),'PT-All'!$A$1,"Scenario",E$15,"P&amp;L Item",$B199),0)</f>
        <v>0</v>
      </c>
      <c r="F199" s="466">
        <f>IFERROR(GETPIVOTDATA("Sum of "&amp;TEXT(F$10,"mmm-yyyy"),'PT-All'!$A$1,"Scenario",F$15,"P&amp;L Item",$B199),0)</f>
        <v>0</v>
      </c>
      <c r="G199" s="467">
        <f>IFERROR(GETPIVOTDATA("Sum of "&amp;TEXT(G$10,"mmm-yyyy"),'PT-All'!$A$1,"Scenario",G$15,"P&amp;L Item",$B199),0)</f>
        <v>0</v>
      </c>
      <c r="H199" s="468">
        <f>IFERROR(GETPIVOTDATA("Sum of "&amp;TEXT(H$10,"mmm-yyyy"),'PT-All'!$A$1,"Scenario",H$15,"P&amp;L Item",$B199),0)</f>
        <v>0</v>
      </c>
      <c r="I199" s="468">
        <f>IFERROR(GETPIVOTDATA("Sum of "&amp;TEXT(I$10,"mmm-yyyy"),'PT-All'!$A$1,"Scenario",I$15,"P&amp;L Item",$B199),0)</f>
        <v>0</v>
      </c>
      <c r="J199" s="178"/>
      <c r="K199" s="468">
        <f>I199-H199</f>
        <v>0</v>
      </c>
      <c r="L199" s="423">
        <f>IFERROR(SIGN(K199)*ABS(K199/I199),0)</f>
        <v>0</v>
      </c>
      <c r="M199" s="180"/>
      <c r="N199" s="466">
        <f>IFERROR(GETPIVOTDATA("Sum of Q"&amp;N$9,'PT-All'!$A$1,"Scenario",N$15,"P&amp;L Item",$B199),0)</f>
        <v>0</v>
      </c>
      <c r="O199" s="467">
        <f>IFERROR(GETPIVOTDATA("Sum of Q"&amp;O$9,'PT-All'!$A$1,"Scenario",O$15,"P&amp;L Item",$B199),0)</f>
        <v>0</v>
      </c>
      <c r="P199" s="468">
        <f>IF($T$13,IFERROR(GETPIVOTDATA("Sum of Month "&amp;$Q$9,'PT-All'!$A$1,"Scenario",P$13,"P&amp;L Item",$B199),0),0)+IF($T$14,IFERROR(GETPIVOTDATA("Sum of Month "&amp;$S$9,'PT-All'!$A$1,"Scenario",P$14,"P&amp;L Item",$B199),0),0)+IF($T$15,IFERROR(GETPIVOTDATA("Sum of Month "&amp;$T$9,'PT-All'!$A$1,"Scenario",P$15,"P&amp;L Item",$B199),0),0)</f>
        <v>0</v>
      </c>
      <c r="Q199" s="468">
        <f>IF($T$13,IFERROR(GETPIVOTDATA("Sum of Month "&amp;$Q$9,'PT-All'!$A$1,"Scenario",Q$13,"P&amp;L Item",$B199),0),0)+IF($T$14,IFERROR(GETPIVOTDATA("Sum of Month "&amp;$S$9,'PT-All'!$A$1,"Scenario",Q$14,"P&amp;L Item",$B199),0),0)+IF($T$15,IFERROR(GETPIVOTDATA("Sum of Month "&amp;$T$9,'PT-All'!$A$1,"Scenario",Q$15,"P&amp;L Item",$B199),0),0)</f>
        <v>0</v>
      </c>
      <c r="R199" s="178"/>
      <c r="S199" s="468">
        <f>Q199-P199</f>
        <v>0</v>
      </c>
      <c r="T199" s="423">
        <f>IFERROR(SIGN(S199)*ABS(S199/Q199),0)</f>
        <v>0</v>
      </c>
      <c r="U199" s="424"/>
      <c r="V199" s="148"/>
    </row>
    <row r="200" spans="2:22" x14ac:dyDescent="0.35">
      <c r="B200" s="67" t="s">
        <v>69</v>
      </c>
      <c r="C200" s="366">
        <f t="shared" ref="C200:I200" si="124">C197-C199</f>
        <v>0</v>
      </c>
      <c r="D200" s="366">
        <f t="shared" si="124"/>
        <v>0</v>
      </c>
      <c r="E200" s="366">
        <f t="shared" si="124"/>
        <v>0</v>
      </c>
      <c r="F200" s="366">
        <f t="shared" si="124"/>
        <v>0</v>
      </c>
      <c r="G200" s="367">
        <f t="shared" si="124"/>
        <v>0</v>
      </c>
      <c r="H200" s="368">
        <f t="shared" si="124"/>
        <v>0</v>
      </c>
      <c r="I200" s="368">
        <f t="shared" si="124"/>
        <v>0</v>
      </c>
      <c r="J200" s="178"/>
      <c r="K200" s="368">
        <f>H200-I200</f>
        <v>0</v>
      </c>
      <c r="L200" s="370">
        <f>IFERROR(SIGN(K200)*ABS(K200/I200),0)</f>
        <v>0</v>
      </c>
      <c r="M200" s="180"/>
      <c r="N200" s="366">
        <f t="shared" ref="N200:Q200" si="125">N197-N199</f>
        <v>0</v>
      </c>
      <c r="O200" s="367">
        <f t="shared" si="125"/>
        <v>0</v>
      </c>
      <c r="P200" s="368">
        <f t="shared" si="125"/>
        <v>0</v>
      </c>
      <c r="Q200" s="368">
        <f t="shared" si="125"/>
        <v>0</v>
      </c>
      <c r="R200" s="178"/>
      <c r="S200" s="368">
        <f>P200-Q200</f>
        <v>0</v>
      </c>
      <c r="T200" s="370">
        <f>IFERROR(SIGN(S200)*ABS(S200/Q200),0)</f>
        <v>0</v>
      </c>
      <c r="U200" s="417"/>
      <c r="V200" s="148"/>
    </row>
    <row r="201" spans="2:22" x14ac:dyDescent="0.35">
      <c r="B201" s="72" t="s">
        <v>70</v>
      </c>
      <c r="C201" s="431">
        <f t="shared" ref="C201:I201" si="126">IFERROR(C200/C$33,0)</f>
        <v>0</v>
      </c>
      <c r="D201" s="431">
        <f t="shared" si="126"/>
        <v>0</v>
      </c>
      <c r="E201" s="431">
        <f t="shared" si="126"/>
        <v>0</v>
      </c>
      <c r="F201" s="431">
        <f t="shared" si="126"/>
        <v>0</v>
      </c>
      <c r="G201" s="432">
        <f t="shared" si="126"/>
        <v>0</v>
      </c>
      <c r="H201" s="433">
        <f t="shared" si="126"/>
        <v>0</v>
      </c>
      <c r="I201" s="433">
        <f t="shared" si="126"/>
        <v>0</v>
      </c>
      <c r="J201" s="178"/>
      <c r="K201" s="433">
        <f>H201-I201</f>
        <v>0</v>
      </c>
      <c r="L201" s="435">
        <f>IFERROR(SIGN(K201)*ABS(K201/I201),0)</f>
        <v>0</v>
      </c>
      <c r="M201" s="180"/>
      <c r="N201" s="431">
        <f t="shared" ref="N201:Q201" si="127">IFERROR(N200/N$33,0)</f>
        <v>0</v>
      </c>
      <c r="O201" s="432">
        <f t="shared" si="127"/>
        <v>0</v>
      </c>
      <c r="P201" s="433">
        <f t="shared" si="127"/>
        <v>0</v>
      </c>
      <c r="Q201" s="433">
        <f t="shared" si="127"/>
        <v>0</v>
      </c>
      <c r="R201" s="178"/>
      <c r="S201" s="433">
        <f>P201-Q201</f>
        <v>0</v>
      </c>
      <c r="T201" s="435">
        <f>IFERROR(SIGN(S201)*ABS(S201/Q201),0)</f>
        <v>0</v>
      </c>
      <c r="U201" s="436"/>
      <c r="V201" s="148"/>
    </row>
    <row r="202" spans="2:22" x14ac:dyDescent="0.35">
      <c r="B202" s="72"/>
      <c r="C202" s="469"/>
      <c r="D202" s="469"/>
      <c r="E202" s="469"/>
      <c r="F202" s="469"/>
      <c r="G202" s="470"/>
      <c r="H202" s="471"/>
      <c r="I202" s="471"/>
      <c r="J202" s="178"/>
      <c r="K202" s="471"/>
      <c r="L202" s="472"/>
      <c r="M202" s="180"/>
      <c r="N202" s="469"/>
      <c r="O202" s="470"/>
      <c r="P202" s="471"/>
      <c r="Q202" s="471"/>
      <c r="R202" s="178"/>
      <c r="S202" s="471"/>
      <c r="T202" s="472"/>
      <c r="U202" s="473"/>
      <c r="V202" s="148"/>
    </row>
    <row r="203" spans="2:22" x14ac:dyDescent="0.35">
      <c r="B203" s="32" t="s">
        <v>71</v>
      </c>
      <c r="C203" s="474">
        <f>IFERROR(C199/C197,0)</f>
        <v>0</v>
      </c>
      <c r="D203" s="474">
        <f t="shared" ref="D203:I203" si="128">IFERROR(D199/D197,0)</f>
        <v>0</v>
      </c>
      <c r="E203" s="474">
        <f t="shared" si="128"/>
        <v>0</v>
      </c>
      <c r="F203" s="474">
        <f t="shared" si="128"/>
        <v>0</v>
      </c>
      <c r="G203" s="475">
        <f t="shared" si="128"/>
        <v>0</v>
      </c>
      <c r="H203" s="434">
        <f t="shared" si="128"/>
        <v>0</v>
      </c>
      <c r="I203" s="434">
        <f t="shared" si="128"/>
        <v>0</v>
      </c>
      <c r="J203" s="178"/>
      <c r="K203" s="434">
        <f>I203-H203</f>
        <v>0</v>
      </c>
      <c r="L203" s="434">
        <f>IFERROR(SIGN(K203)*ABS(K203/I203),0)</f>
        <v>0</v>
      </c>
      <c r="M203" s="180"/>
      <c r="N203" s="474">
        <f t="shared" ref="N203:Q203" si="129">IFERROR(N199/N197,0)</f>
        <v>0</v>
      </c>
      <c r="O203" s="475">
        <f t="shared" si="129"/>
        <v>0</v>
      </c>
      <c r="P203" s="434">
        <f t="shared" si="129"/>
        <v>0</v>
      </c>
      <c r="Q203" s="434">
        <f t="shared" si="129"/>
        <v>0</v>
      </c>
      <c r="R203" s="178"/>
      <c r="S203" s="434">
        <f>Q203-P203</f>
        <v>0</v>
      </c>
      <c r="T203" s="434">
        <f>IFERROR(SIGN(S203)*ABS(S203/Q203),0)</f>
        <v>0</v>
      </c>
      <c r="U203" s="476"/>
      <c r="V203" s="148"/>
    </row>
    <row r="204" spans="2:22" x14ac:dyDescent="0.35">
      <c r="B204" s="361"/>
      <c r="C204" s="390"/>
      <c r="D204" s="390"/>
      <c r="E204" s="390"/>
      <c r="F204" s="390"/>
      <c r="G204" s="391"/>
      <c r="H204" s="178"/>
      <c r="I204" s="178"/>
      <c r="J204" s="178"/>
      <c r="K204" s="178"/>
      <c r="L204" s="178"/>
      <c r="M204" s="180"/>
      <c r="N204" s="390"/>
      <c r="O204" s="391"/>
      <c r="P204" s="178"/>
      <c r="Q204" s="178"/>
      <c r="R204" s="178"/>
      <c r="S204" s="178"/>
      <c r="T204" s="178"/>
      <c r="U204" s="180"/>
      <c r="V204" s="148"/>
    </row>
    <row r="205" spans="2:22" x14ac:dyDescent="0.35">
      <c r="B205" s="361" t="s">
        <v>72</v>
      </c>
      <c r="C205" s="392">
        <f>IFERROR(GETPIVOTDATA("Sum of "&amp;TEXT(C$10,"mmm-yyyy"),'PT-All'!$A$1,"Scenario",C$15,"P&amp;L Item",$B205),0)</f>
        <v>0</v>
      </c>
      <c r="D205" s="392">
        <f>IFERROR(GETPIVOTDATA("Sum of "&amp;TEXT(D$10,"mmm-yyyy"),'PT-All'!$A$1,"Scenario",D$15,"P&amp;L Item",$B205),0)</f>
        <v>0</v>
      </c>
      <c r="E205" s="392">
        <f>IFERROR(GETPIVOTDATA("Sum of "&amp;TEXT(E$10,"mmm-yyyy"),'PT-All'!$A$1,"Scenario",E$15,"P&amp;L Item",$B205),0)</f>
        <v>0</v>
      </c>
      <c r="F205" s="392">
        <f>IFERROR(GETPIVOTDATA("Sum of "&amp;TEXT(F$10,"mmm-yyyy"),'PT-All'!$A$1,"Scenario",F$15,"P&amp;L Item",$B205),0)</f>
        <v>0</v>
      </c>
      <c r="G205" s="393">
        <f>IFERROR(GETPIVOTDATA("Sum of "&amp;TEXT(G$10,"mmm-yyyy"),'PT-All'!$A$1,"Scenario",G$15,"P&amp;L Item",$B205),0)</f>
        <v>0</v>
      </c>
      <c r="H205" s="389">
        <f>IFERROR(GETPIVOTDATA("Sum of "&amp;TEXT(H$10,"mmm-yyyy"),'PT-All'!$A$1,"Scenario",H$15,"P&amp;L Item",$B205),0)</f>
        <v>0</v>
      </c>
      <c r="I205" s="389">
        <f>IFERROR(GETPIVOTDATA("Sum of "&amp;TEXT(I$10,"mmm-yyyy"),'PT-All'!$A$1,"Scenario",I$15,"P&amp;L Item",$B205),0)</f>
        <v>0</v>
      </c>
      <c r="J205" s="178"/>
      <c r="K205" s="179">
        <f>I205-H205</f>
        <v>0</v>
      </c>
      <c r="L205" s="178"/>
      <c r="M205" s="180"/>
      <c r="N205" s="392">
        <f>IFERROR(GETPIVOTDATA("Sum of Month "&amp;N$9*3,'PT-All'!$A$1,"Scenario",N$15,"P&amp;L Item",$B205),0)</f>
        <v>0</v>
      </c>
      <c r="O205" s="393">
        <f>IFERROR(GETPIVOTDATA("Sum of Month "&amp;O$9*3,'PT-All'!$A$1,"Scenario",O$15,"P&amp;L Item",$B205),0)</f>
        <v>0</v>
      </c>
      <c r="P205" s="389">
        <f>IF($T$12,IFERROR(GETPIVOTDATA("Sum of Month "&amp;$T$9,'PT-All'!$A$1,"Scenario",P$15,"P&amp;L Item",$B205),0),$H$205)</f>
        <v>0</v>
      </c>
      <c r="Q205" s="389">
        <f>IF($T$12,IFERROR(GETPIVOTDATA("Sum of Month "&amp;$T$9,'PT-All'!$A$1,"Scenario",Q$15,"P&amp;L Item",$B205),0),$H$205)</f>
        <v>0</v>
      </c>
      <c r="R205" s="178"/>
      <c r="S205" s="179">
        <f>Q205-P205</f>
        <v>0</v>
      </c>
      <c r="T205" s="434">
        <f>IFERROR(SIGN(S205)*ABS(S205/Q205),0)</f>
        <v>0</v>
      </c>
      <c r="U205" s="180"/>
      <c r="V205" s="148"/>
    </row>
    <row r="206" spans="2:22" ht="15" thickBot="1" x14ac:dyDescent="0.4">
      <c r="B206" s="362"/>
      <c r="C206" s="394"/>
      <c r="D206" s="394"/>
      <c r="E206" s="394"/>
      <c r="F206" s="394"/>
      <c r="G206" s="395"/>
      <c r="H206" s="396"/>
      <c r="I206" s="396"/>
      <c r="J206" s="396"/>
      <c r="K206" s="396"/>
      <c r="L206" s="396"/>
      <c r="M206" s="397"/>
      <c r="N206" s="394"/>
      <c r="O206" s="395"/>
      <c r="P206" s="396"/>
      <c r="Q206" s="396"/>
      <c r="R206" s="396"/>
      <c r="S206" s="396"/>
      <c r="T206" s="396"/>
      <c r="U206" s="397"/>
      <c r="V206" s="398"/>
    </row>
  </sheetData>
  <conditionalFormatting sqref="C18:K18 N18:S18 C26:K26 N26:S26 C28:K28 N28:S28 C30:K30 N30:S30 C33:K33 N33:S33 C37:K37 N37:S37 C74:K74 N74:S74 C76:K76 N76:S76 C111:K111 N111:S111 C114:K114 N114:S114 C145:K145 N145:S145 C148:K148 N148:S148 C180:K180 N180:S180 C182:K182 N182:S182 C184:K184 N184:S184 C187:K187 N187:S187 C189:K189 N189:S189 C192:K192 N192:S192 C195:K195 N195:S195 C197:K197 N197:S197 C199:K200 N199:S200">
    <cfRule type="expression" dxfId="75" priority="1">
      <formula>CurrencyDriver="INR"</formula>
    </cfRule>
    <cfRule type="expression" dxfId="74" priority="2">
      <formula>CurrencyDriver="ILS"</formula>
    </cfRule>
    <cfRule type="expression" dxfId="73" priority="3">
      <formula>CurrencyDriver="CHF"</formula>
    </cfRule>
    <cfRule type="expression" dxfId="72" priority="4">
      <formula>CurrencyDriver="HKD"</formula>
    </cfRule>
    <cfRule type="expression" dxfId="71" priority="5">
      <formula>CurrencyDriver="AUD"</formula>
    </cfRule>
    <cfRule type="expression" dxfId="70" priority="6">
      <formula>CurrencyDriver="EUR"</formula>
    </cfRule>
    <cfRule type="expression" dxfId="69" priority="7">
      <formula>CurrencyDriver="USD"</formula>
    </cfRule>
    <cfRule type="expression" dxfId="68" priority="8">
      <formula>CurrencyDriver="GBP"</formula>
    </cfRule>
  </conditionalFormatting>
  <dataValidations count="1">
    <dataValidation type="list" allowBlank="1" showInputMessage="1" showErrorMessage="1" sqref="T12">
      <formula1>"TRUE,FALSE"</formula1>
    </dataValidation>
  </dataValidations>
  <pageMargins left="0.25" right="0.25" top="0.75" bottom="0.75" header="0.3" footer="0.3"/>
  <pageSetup paperSize="256" scale="67" fitToHeight="0"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ivot">
    <tabColor theme="4" tint="-0.249977111117893"/>
  </sheetPr>
  <dimension ref="A1:AZ20"/>
  <sheetViews>
    <sheetView showGridLines="0" workbookViewId="0"/>
  </sheetViews>
  <sheetFormatPr defaultRowHeight="14.5" x14ac:dyDescent="0.35"/>
  <cols>
    <col min="1" max="1" width="17.54296875" bestFit="1" customWidth="1"/>
    <col min="2" max="2" width="15.26953125" bestFit="1" customWidth="1"/>
    <col min="3" max="10" width="14.453125" bestFit="1" customWidth="1"/>
    <col min="11" max="37" width="15.453125" bestFit="1" customWidth="1"/>
    <col min="38" max="46" width="9.453125" bestFit="1" customWidth="1"/>
    <col min="47" max="49" width="10.453125" bestFit="1" customWidth="1"/>
    <col min="50" max="52" width="10" bestFit="1" customWidth="1"/>
    <col min="53" max="61" width="20.1796875" bestFit="1" customWidth="1"/>
    <col min="62" max="88" width="21.1796875" bestFit="1" customWidth="1"/>
    <col min="89" max="97" width="15" bestFit="1" customWidth="1"/>
    <col min="98" max="100" width="16" bestFit="1" customWidth="1"/>
    <col min="101" max="103" width="15.7265625" bestFit="1" customWidth="1"/>
    <col min="104" max="112" width="15.1796875" bestFit="1" customWidth="1"/>
    <col min="113" max="139" width="16.1796875" bestFit="1" customWidth="1"/>
    <col min="140" max="148" width="10" bestFit="1" customWidth="1"/>
    <col min="149" max="151" width="11" bestFit="1" customWidth="1"/>
    <col min="152" max="154" width="10.7265625" bestFit="1" customWidth="1"/>
  </cols>
  <sheetData>
    <row r="1" spans="1:2" x14ac:dyDescent="0.35">
      <c r="A1" s="92" t="s">
        <v>218</v>
      </c>
      <c r="B1" t="s">
        <v>205</v>
      </c>
    </row>
    <row r="2" spans="1:2" x14ac:dyDescent="0.35">
      <c r="A2" s="92" t="s">
        <v>206</v>
      </c>
      <c r="B2" t="s">
        <v>205</v>
      </c>
    </row>
    <row r="3" spans="1:2" x14ac:dyDescent="0.35">
      <c r="A3" s="92" t="s">
        <v>207</v>
      </c>
      <c r="B3" t="s">
        <v>205</v>
      </c>
    </row>
    <row r="4" spans="1:2" x14ac:dyDescent="0.35">
      <c r="A4" s="92" t="s">
        <v>208</v>
      </c>
      <c r="B4" t="s">
        <v>205</v>
      </c>
    </row>
    <row r="5" spans="1:2" x14ac:dyDescent="0.35">
      <c r="A5" s="92" t="s">
        <v>219</v>
      </c>
      <c r="B5" t="s">
        <v>205</v>
      </c>
    </row>
    <row r="6" spans="1:2" x14ac:dyDescent="0.35">
      <c r="A6" s="92" t="s">
        <v>209</v>
      </c>
      <c r="B6" t="s">
        <v>205</v>
      </c>
    </row>
    <row r="7" spans="1:2" x14ac:dyDescent="0.35">
      <c r="A7" s="92" t="s">
        <v>1148</v>
      </c>
      <c r="B7" t="s">
        <v>205</v>
      </c>
    </row>
    <row r="8" spans="1:2" x14ac:dyDescent="0.35">
      <c r="A8" s="92" t="s">
        <v>1215</v>
      </c>
      <c r="B8" t="s">
        <v>205</v>
      </c>
    </row>
    <row r="9" spans="1:2" x14ac:dyDescent="0.35">
      <c r="A9" s="92" t="s">
        <v>2605</v>
      </c>
      <c r="B9" t="s">
        <v>205</v>
      </c>
    </row>
    <row r="10" spans="1:2" x14ac:dyDescent="0.35">
      <c r="A10" s="92" t="s">
        <v>3393</v>
      </c>
      <c r="B10" t="s">
        <v>205</v>
      </c>
    </row>
    <row r="11" spans="1:2" x14ac:dyDescent="0.35">
      <c r="A11" s="92" t="s">
        <v>3746</v>
      </c>
      <c r="B11" t="s">
        <v>205</v>
      </c>
    </row>
    <row r="12" spans="1:2" x14ac:dyDescent="0.35">
      <c r="A12" s="92" t="s">
        <v>3747</v>
      </c>
      <c r="B12" t="s">
        <v>205</v>
      </c>
    </row>
    <row r="13" spans="1:2" x14ac:dyDescent="0.35">
      <c r="A13" s="92" t="s">
        <v>3748</v>
      </c>
      <c r="B13" t="s">
        <v>205</v>
      </c>
    </row>
    <row r="14" spans="1:2" x14ac:dyDescent="0.35">
      <c r="A14" s="92" t="s">
        <v>3749</v>
      </c>
      <c r="B14" t="s">
        <v>205</v>
      </c>
    </row>
    <row r="16" spans="1:2" x14ac:dyDescent="0.35">
      <c r="B16" s="92" t="s">
        <v>213</v>
      </c>
    </row>
    <row r="17" spans="1:52" x14ac:dyDescent="0.35">
      <c r="B17" t="s">
        <v>1302</v>
      </c>
    </row>
    <row r="18" spans="1:52" x14ac:dyDescent="0.35">
      <c r="A18" s="92" t="s">
        <v>210</v>
      </c>
      <c r="B18" t="s">
        <v>1220</v>
      </c>
      <c r="C18" t="s">
        <v>1222</v>
      </c>
      <c r="D18" t="s">
        <v>1223</v>
      </c>
      <c r="E18" t="s">
        <v>1224</v>
      </c>
      <c r="F18" t="s">
        <v>1225</v>
      </c>
      <c r="G18" t="s">
        <v>1226</v>
      </c>
      <c r="H18" t="s">
        <v>1227</v>
      </c>
      <c r="I18" t="s">
        <v>1228</v>
      </c>
      <c r="J18" t="s">
        <v>1229</v>
      </c>
      <c r="K18" t="s">
        <v>1221</v>
      </c>
      <c r="L18" t="s">
        <v>1230</v>
      </c>
      <c r="M18" t="s">
        <v>1231</v>
      </c>
      <c r="N18" t="s">
        <v>1232</v>
      </c>
      <c r="O18" t="s">
        <v>1233</v>
      </c>
      <c r="P18" t="s">
        <v>1234</v>
      </c>
      <c r="Q18" t="s">
        <v>1235</v>
      </c>
      <c r="R18" t="s">
        <v>1236</v>
      </c>
      <c r="S18" t="s">
        <v>1237</v>
      </c>
      <c r="T18" t="s">
        <v>1238</v>
      </c>
      <c r="U18" t="s">
        <v>1239</v>
      </c>
      <c r="V18" t="s">
        <v>1240</v>
      </c>
      <c r="W18" t="s">
        <v>1241</v>
      </c>
      <c r="X18" t="s">
        <v>1242</v>
      </c>
      <c r="Y18" t="s">
        <v>1243</v>
      </c>
      <c r="Z18" t="s">
        <v>1244</v>
      </c>
      <c r="AA18" t="s">
        <v>1245</v>
      </c>
      <c r="AB18" t="s">
        <v>1246</v>
      </c>
      <c r="AC18" t="s">
        <v>1247</v>
      </c>
      <c r="AD18" t="s">
        <v>1248</v>
      </c>
      <c r="AE18" t="s">
        <v>1249</v>
      </c>
      <c r="AF18" t="s">
        <v>1250</v>
      </c>
      <c r="AG18" t="s">
        <v>1251</v>
      </c>
      <c r="AH18" t="s">
        <v>1252</v>
      </c>
      <c r="AI18" t="s">
        <v>1253</v>
      </c>
      <c r="AJ18" t="s">
        <v>1254</v>
      </c>
      <c r="AK18" t="s">
        <v>1255</v>
      </c>
      <c r="AL18" t="s">
        <v>1256</v>
      </c>
      <c r="AM18" t="s">
        <v>1257</v>
      </c>
      <c r="AN18" t="s">
        <v>1258</v>
      </c>
      <c r="AO18" t="s">
        <v>1259</v>
      </c>
      <c r="AP18" t="s">
        <v>1260</v>
      </c>
      <c r="AQ18" t="s">
        <v>1261</v>
      </c>
      <c r="AR18" t="s">
        <v>1262</v>
      </c>
      <c r="AS18" t="s">
        <v>1263</v>
      </c>
      <c r="AT18" t="s">
        <v>1264</v>
      </c>
      <c r="AU18" t="s">
        <v>1265</v>
      </c>
      <c r="AV18" t="s">
        <v>1266</v>
      </c>
      <c r="AW18" t="s">
        <v>1267</v>
      </c>
      <c r="AX18" t="s">
        <v>1268</v>
      </c>
      <c r="AY18" t="s">
        <v>1269</v>
      </c>
      <c r="AZ18" t="s">
        <v>1270</v>
      </c>
    </row>
    <row r="19" spans="1:52" x14ac:dyDescent="0.35">
      <c r="A19" s="90" t="s">
        <v>1302</v>
      </c>
      <c r="B19" s="91"/>
      <c r="C19" s="91"/>
      <c r="D19" s="91"/>
      <c r="E19" s="91"/>
      <c r="F19" s="91"/>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v>0</v>
      </c>
      <c r="AM19" s="91">
        <v>0</v>
      </c>
      <c r="AN19" s="91">
        <v>0</v>
      </c>
      <c r="AO19" s="91">
        <v>0</v>
      </c>
      <c r="AP19" s="91">
        <v>0</v>
      </c>
      <c r="AQ19" s="91">
        <v>0</v>
      </c>
      <c r="AR19" s="91">
        <v>0</v>
      </c>
      <c r="AS19" s="91">
        <v>0</v>
      </c>
      <c r="AT19" s="91">
        <v>0</v>
      </c>
      <c r="AU19" s="91">
        <v>0</v>
      </c>
      <c r="AV19" s="91">
        <v>0</v>
      </c>
      <c r="AW19" s="91">
        <v>0</v>
      </c>
      <c r="AX19" s="91">
        <v>0</v>
      </c>
      <c r="AY19" s="91">
        <v>0</v>
      </c>
      <c r="AZ19" s="91">
        <v>0</v>
      </c>
    </row>
    <row r="20" spans="1:52" x14ac:dyDescent="0.35">
      <c r="A20" s="90" t="s">
        <v>211</v>
      </c>
      <c r="B20" s="91"/>
      <c r="C20" s="91"/>
      <c r="D20" s="91"/>
      <c r="E20" s="91"/>
      <c r="F20" s="91"/>
      <c r="G20" s="91"/>
      <c r="H20" s="91"/>
      <c r="I20" s="91"/>
      <c r="J20" s="91"/>
      <c r="K20" s="91"/>
      <c r="L20" s="91"/>
      <c r="M20" s="91"/>
      <c r="N20" s="91"/>
      <c r="O20" s="91"/>
      <c r="P20" s="91"/>
      <c r="Q20" s="91"/>
      <c r="R20" s="91"/>
      <c r="S20" s="91"/>
      <c r="T20" s="91"/>
      <c r="U20" s="91"/>
      <c r="V20" s="91"/>
      <c r="W20" s="91"/>
      <c r="X20" s="91"/>
      <c r="Y20" s="91"/>
      <c r="Z20" s="91"/>
      <c r="AA20" s="91"/>
      <c r="AB20" s="91"/>
      <c r="AC20" s="91"/>
      <c r="AD20" s="91"/>
      <c r="AE20" s="91"/>
      <c r="AF20" s="91"/>
      <c r="AG20" s="91"/>
      <c r="AH20" s="91"/>
      <c r="AI20" s="91"/>
      <c r="AJ20" s="91"/>
      <c r="AK20" s="91"/>
      <c r="AL20" s="91">
        <v>0</v>
      </c>
      <c r="AM20" s="91">
        <v>0</v>
      </c>
      <c r="AN20" s="91">
        <v>0</v>
      </c>
      <c r="AO20" s="91">
        <v>0</v>
      </c>
      <c r="AP20" s="91">
        <v>0</v>
      </c>
      <c r="AQ20" s="91">
        <v>0</v>
      </c>
      <c r="AR20" s="91">
        <v>0</v>
      </c>
      <c r="AS20" s="91">
        <v>0</v>
      </c>
      <c r="AT20" s="91">
        <v>0</v>
      </c>
      <c r="AU20" s="91">
        <v>0</v>
      </c>
      <c r="AV20" s="91">
        <v>0</v>
      </c>
      <c r="AW20" s="91">
        <v>0</v>
      </c>
      <c r="AX20" s="91">
        <v>0</v>
      </c>
      <c r="AY20" s="91">
        <v>0</v>
      </c>
      <c r="AZ20" s="91">
        <v>0</v>
      </c>
    </row>
  </sheetData>
  <sheetProtection algorithmName="SHA-512" hashValue="US3lkH+PBPz6mr3Y7TzFynq3dVQa8iZJE+RSIchZJityk7/dyn2VVHTp5i5ZHXTr8WKxars0VYfRURvKNiUT4A==" saltValue="wtr2XeGVd6XT8ALPbmkgwQ==" spinCount="100000" sheet="1" objects="1" scenarios="1" pivotTables="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LocalPL">
    <tabColor theme="3" tint="0.39994506668294322"/>
  </sheetPr>
  <dimension ref="B1:BC201"/>
  <sheetViews>
    <sheetView showGridLines="0" zoomScale="85" zoomScaleNormal="85" workbookViewId="0">
      <pane xSplit="2" ySplit="12" topLeftCell="C13" activePane="bottomRight" state="frozen"/>
      <selection pane="topRight"/>
      <selection pane="bottomLeft"/>
      <selection pane="bottomRight" activeCell="C13" sqref="C13"/>
    </sheetView>
  </sheetViews>
  <sheetFormatPr defaultColWidth="9.1796875" defaultRowHeight="14.5" outlineLevelRow="1" x14ac:dyDescent="0.35"/>
  <cols>
    <col min="1" max="1" width="2.7265625" style="1" customWidth="1"/>
    <col min="2" max="2" width="40.7265625" style="1" customWidth="1"/>
    <col min="3" max="3" width="14.54296875" style="1" customWidth="1"/>
    <col min="4" max="25" width="14.54296875" style="1" customWidth="1" collapsed="1"/>
    <col min="26" max="37" width="14.54296875" style="1" customWidth="1"/>
    <col min="38" max="38" width="14.54296875" style="1" customWidth="1" collapsed="1"/>
    <col min="39" max="39" width="3.7265625" style="1" customWidth="1"/>
    <col min="40" max="46" width="14.54296875" style="1" customWidth="1" collapsed="1"/>
    <col min="47" max="50" width="14.54296875" style="1" customWidth="1"/>
    <col min="51" max="51" width="14.54296875" style="1" customWidth="1" collapsed="1"/>
    <col min="52" max="52" width="3.7265625" style="1" customWidth="1"/>
    <col min="53" max="53" width="14.54296875" style="1" customWidth="1" collapsed="1"/>
    <col min="54" max="54" width="14.54296875" style="1" customWidth="1"/>
    <col min="55" max="55" width="14.54296875" style="1" customWidth="1" collapsed="1"/>
    <col min="56" max="16384" width="9.1796875" style="1"/>
  </cols>
  <sheetData>
    <row r="1" spans="2:55" hidden="1" outlineLevel="1" x14ac:dyDescent="0.35">
      <c r="B1" s="3" t="str">
        <f>'PT-All'!A1&amp;" - "&amp;'PT-All'!B1</f>
        <v>Company - (All)</v>
      </c>
    </row>
    <row r="2" spans="2:55" hidden="1" outlineLevel="1" x14ac:dyDescent="0.35">
      <c r="B2" s="3" t="str">
        <f>'PT-All'!A2&amp;" - "&amp;'PT-All'!B2</f>
        <v>Team - (All)</v>
      </c>
    </row>
    <row r="3" spans="2:55" hidden="1" outlineLevel="1" x14ac:dyDescent="0.35">
      <c r="B3" s="3" t="str">
        <f>'PT-All'!A3&amp;" - "&amp;'PT-All'!B3</f>
        <v>Location - (All)</v>
      </c>
    </row>
    <row r="4" spans="2:55" hidden="1" outlineLevel="1" x14ac:dyDescent="0.35">
      <c r="B4" s="3" t="str">
        <f>'PT-All'!A4&amp;" - "&amp;'PT-All'!B4</f>
        <v>Department - (All)</v>
      </c>
    </row>
    <row r="5" spans="2:55" hidden="1" outlineLevel="1" x14ac:dyDescent="0.35">
      <c r="B5" s="3" t="str">
        <f>'PT-All'!A5&amp;" - "&amp;'PT-All'!B5</f>
        <v>Division - (All)</v>
      </c>
    </row>
    <row r="6" spans="2:55" hidden="1" outlineLevel="1" x14ac:dyDescent="0.35">
      <c r="B6" s="3" t="str">
        <f>'PT-All'!A6&amp;" - "&amp;'PT-All'!B6</f>
        <v>Product - (All)</v>
      </c>
    </row>
    <row r="7" spans="2:55" ht="15" collapsed="1" thickBot="1" x14ac:dyDescent="0.4"/>
    <row r="8" spans="2:55" ht="22.5" x14ac:dyDescent="0.85">
      <c r="B8" s="59" t="str">
        <f>FileGroupName&amp;" - Local P&amp;L"</f>
        <v>Default - Local P&amp;L</v>
      </c>
      <c r="C8" s="60"/>
      <c r="D8" s="60"/>
      <c r="E8" s="60"/>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281"/>
      <c r="AN8" s="282"/>
      <c r="AO8" s="60"/>
      <c r="AP8" s="60"/>
      <c r="AQ8" s="60"/>
      <c r="AR8" s="60"/>
      <c r="AS8" s="60"/>
      <c r="AT8" s="60"/>
      <c r="AU8" s="60"/>
      <c r="AV8" s="60"/>
      <c r="AW8" s="60"/>
      <c r="AX8" s="60"/>
      <c r="AY8" s="281"/>
      <c r="BA8" s="282"/>
      <c r="BB8" s="60"/>
      <c r="BC8" s="281"/>
    </row>
    <row r="9" spans="2:55" ht="17" hidden="1" outlineLevel="1" x14ac:dyDescent="0.6">
      <c r="B9" s="248">
        <f>INDEX(ActualsTable[Local Currency],1)</f>
        <v>0</v>
      </c>
      <c r="C9" s="287"/>
      <c r="D9" s="287"/>
      <c r="E9" s="287"/>
      <c r="F9" s="287"/>
      <c r="G9" s="287"/>
      <c r="H9" s="287"/>
      <c r="I9" s="287"/>
      <c r="J9" s="287"/>
      <c r="K9" s="287"/>
      <c r="L9" s="287"/>
      <c r="M9" s="287"/>
      <c r="N9" s="287"/>
      <c r="O9" s="287"/>
      <c r="P9" s="287"/>
      <c r="Q9" s="287"/>
      <c r="R9" s="287"/>
      <c r="S9" s="287"/>
      <c r="T9" s="287"/>
      <c r="U9" s="287"/>
      <c r="V9" s="287"/>
      <c r="W9" s="287"/>
      <c r="X9" s="287"/>
      <c r="Y9" s="287"/>
      <c r="Z9" s="287"/>
      <c r="AA9" s="287"/>
      <c r="AB9" s="287"/>
      <c r="AC9" s="287"/>
      <c r="AD9" s="287"/>
      <c r="AE9" s="287"/>
      <c r="AF9" s="287"/>
      <c r="AG9" s="287"/>
      <c r="AH9" s="287"/>
      <c r="AI9" s="287"/>
      <c r="AJ9" s="287"/>
      <c r="AK9" s="287"/>
      <c r="AL9" s="288"/>
      <c r="AN9" s="310">
        <v>0</v>
      </c>
      <c r="AO9" s="311">
        <f t="shared" ref="AO9:AT9" si="0">AN9+1</f>
        <v>1</v>
      </c>
      <c r="AP9" s="311">
        <f t="shared" si="0"/>
        <v>2</v>
      </c>
      <c r="AQ9" s="311">
        <f t="shared" si="0"/>
        <v>3</v>
      </c>
      <c r="AR9" s="311">
        <f t="shared" si="0"/>
        <v>4</v>
      </c>
      <c r="AS9" s="311">
        <f t="shared" si="0"/>
        <v>5</v>
      </c>
      <c r="AT9" s="311">
        <f t="shared" si="0"/>
        <v>6</v>
      </c>
      <c r="AU9" s="311">
        <f t="shared" ref="AU9" si="1">AT9+1</f>
        <v>7</v>
      </c>
      <c r="AV9" s="311">
        <f t="shared" ref="AV9" si="2">AU9+1</f>
        <v>8</v>
      </c>
      <c r="AW9" s="311">
        <f t="shared" ref="AW9" si="3">AV9+1</f>
        <v>9</v>
      </c>
      <c r="AX9" s="311">
        <f t="shared" ref="AX9" si="4">AW9+1</f>
        <v>10</v>
      </c>
      <c r="AY9" s="312">
        <f t="shared" ref="AY9" si="5">AX9+1</f>
        <v>11</v>
      </c>
      <c r="BA9" s="310">
        <v>0</v>
      </c>
      <c r="BB9" s="311">
        <f>BA9+1</f>
        <v>1</v>
      </c>
      <c r="BC9" s="312">
        <f>BB9+1</f>
        <v>2</v>
      </c>
    </row>
    <row r="10" spans="2:55" ht="17" collapsed="1" x14ac:dyDescent="0.6">
      <c r="B10" s="248"/>
      <c r="C10" s="151">
        <f>ForecastStartDate[start_date]</f>
        <v>41275</v>
      </c>
      <c r="D10" s="151">
        <f>EDATE(C10,1)</f>
        <v>41306</v>
      </c>
      <c r="E10" s="151">
        <f t="shared" ref="E10" si="6">EDATE(D10,1)</f>
        <v>41334</v>
      </c>
      <c r="F10" s="151">
        <f t="shared" ref="F10" si="7">EDATE(E10,1)</f>
        <v>41365</v>
      </c>
      <c r="G10" s="151">
        <f t="shared" ref="G10" si="8">EDATE(F10,1)</f>
        <v>41395</v>
      </c>
      <c r="H10" s="151">
        <f t="shared" ref="H10" si="9">EDATE(G10,1)</f>
        <v>41426</v>
      </c>
      <c r="I10" s="151">
        <f t="shared" ref="I10" si="10">EDATE(H10,1)</f>
        <v>41456</v>
      </c>
      <c r="J10" s="151">
        <f t="shared" ref="J10" si="11">EDATE(I10,1)</f>
        <v>41487</v>
      </c>
      <c r="K10" s="151">
        <f t="shared" ref="K10" si="12">EDATE(J10,1)</f>
        <v>41518</v>
      </c>
      <c r="L10" s="151">
        <f t="shared" ref="L10" si="13">EDATE(K10,1)</f>
        <v>41548</v>
      </c>
      <c r="M10" s="151">
        <f t="shared" ref="M10" si="14">EDATE(L10,1)</f>
        <v>41579</v>
      </c>
      <c r="N10" s="151">
        <f t="shared" ref="N10" si="15">EDATE(M10,1)</f>
        <v>41609</v>
      </c>
      <c r="O10" s="151">
        <f t="shared" ref="O10" si="16">EDATE(N10,1)</f>
        <v>41640</v>
      </c>
      <c r="P10" s="151">
        <f t="shared" ref="P10" si="17">EDATE(O10,1)</f>
        <v>41671</v>
      </c>
      <c r="Q10" s="151">
        <f t="shared" ref="Q10" si="18">EDATE(P10,1)</f>
        <v>41699</v>
      </c>
      <c r="R10" s="151">
        <f t="shared" ref="R10" si="19">EDATE(Q10,1)</f>
        <v>41730</v>
      </c>
      <c r="S10" s="151">
        <f t="shared" ref="S10" si="20">EDATE(R10,1)</f>
        <v>41760</v>
      </c>
      <c r="T10" s="151">
        <f t="shared" ref="T10" si="21">EDATE(S10,1)</f>
        <v>41791</v>
      </c>
      <c r="U10" s="151">
        <f t="shared" ref="U10" si="22">EDATE(T10,1)</f>
        <v>41821</v>
      </c>
      <c r="V10" s="151">
        <f t="shared" ref="V10" si="23">EDATE(U10,1)</f>
        <v>41852</v>
      </c>
      <c r="W10" s="151">
        <f t="shared" ref="W10" si="24">EDATE(V10,1)</f>
        <v>41883</v>
      </c>
      <c r="X10" s="151">
        <f t="shared" ref="X10" si="25">EDATE(W10,1)</f>
        <v>41913</v>
      </c>
      <c r="Y10" s="151">
        <f t="shared" ref="Y10" si="26">EDATE(X10,1)</f>
        <v>41944</v>
      </c>
      <c r="Z10" s="151">
        <f t="shared" ref="Z10" si="27">EDATE(Y10,1)</f>
        <v>41974</v>
      </c>
      <c r="AA10" s="151">
        <f t="shared" ref="AA10" si="28">EDATE(Z10,1)</f>
        <v>42005</v>
      </c>
      <c r="AB10" s="151">
        <f t="shared" ref="AB10" si="29">EDATE(AA10,1)</f>
        <v>42036</v>
      </c>
      <c r="AC10" s="151">
        <f t="shared" ref="AC10" si="30">EDATE(AB10,1)</f>
        <v>42064</v>
      </c>
      <c r="AD10" s="151">
        <f t="shared" ref="AD10" si="31">EDATE(AC10,1)</f>
        <v>42095</v>
      </c>
      <c r="AE10" s="151">
        <f t="shared" ref="AE10" si="32">EDATE(AD10,1)</f>
        <v>42125</v>
      </c>
      <c r="AF10" s="151">
        <f t="shared" ref="AF10" si="33">EDATE(AE10,1)</f>
        <v>42156</v>
      </c>
      <c r="AG10" s="151">
        <f t="shared" ref="AG10" si="34">EDATE(AF10,1)</f>
        <v>42186</v>
      </c>
      <c r="AH10" s="151">
        <f t="shared" ref="AH10" si="35">EDATE(AG10,1)</f>
        <v>42217</v>
      </c>
      <c r="AI10" s="151">
        <f t="shared" ref="AI10" si="36">EDATE(AH10,1)</f>
        <v>42248</v>
      </c>
      <c r="AJ10" s="151">
        <f t="shared" ref="AJ10" si="37">EDATE(AI10,1)</f>
        <v>42278</v>
      </c>
      <c r="AK10" s="151">
        <f t="shared" ref="AK10" si="38">EDATE(AJ10,1)</f>
        <v>42309</v>
      </c>
      <c r="AL10" s="289">
        <f t="shared" ref="AL10" si="39">EDATE(AK10,1)</f>
        <v>42339</v>
      </c>
      <c r="AN10" s="313" t="str">
        <f t="shared" ref="AN10:AY10" si="40">"Q"&amp;(1+(AN9-4*ROUNDDOWN(AN$9/4,0)))&amp;" "&amp;(ROUNDDOWN(AN$9/4,0)+YEAR($C$10))</f>
        <v>Q1 2013</v>
      </c>
      <c r="AO10" s="155" t="str">
        <f t="shared" si="40"/>
        <v>Q2 2013</v>
      </c>
      <c r="AP10" s="155" t="str">
        <f t="shared" si="40"/>
        <v>Q3 2013</v>
      </c>
      <c r="AQ10" s="155" t="str">
        <f t="shared" si="40"/>
        <v>Q4 2013</v>
      </c>
      <c r="AR10" s="155" t="str">
        <f t="shared" si="40"/>
        <v>Q1 2014</v>
      </c>
      <c r="AS10" s="155" t="str">
        <f t="shared" si="40"/>
        <v>Q2 2014</v>
      </c>
      <c r="AT10" s="155" t="str">
        <f t="shared" si="40"/>
        <v>Q3 2014</v>
      </c>
      <c r="AU10" s="155" t="str">
        <f t="shared" si="40"/>
        <v>Q4 2014</v>
      </c>
      <c r="AV10" s="155" t="str">
        <f t="shared" si="40"/>
        <v>Q1 2015</v>
      </c>
      <c r="AW10" s="155" t="str">
        <f t="shared" si="40"/>
        <v>Q2 2015</v>
      </c>
      <c r="AX10" s="155" t="str">
        <f t="shared" si="40"/>
        <v>Q3 2015</v>
      </c>
      <c r="AY10" s="314" t="str">
        <f t="shared" si="40"/>
        <v>Q4 2015</v>
      </c>
      <c r="BA10" s="315" t="str">
        <f>"FY "&amp;YEAR($C$10)+BA9</f>
        <v>FY 2013</v>
      </c>
      <c r="BB10" s="151" t="str">
        <f>"FY "&amp;YEAR($C$10)+BB9</f>
        <v>FY 2014</v>
      </c>
      <c r="BC10" s="289" t="str">
        <f>"FY "&amp;YEAR($C$10)+BC9</f>
        <v>FY 2015</v>
      </c>
    </row>
    <row r="11" spans="2:55" ht="17" x14ac:dyDescent="0.6">
      <c r="B11" s="249"/>
      <c r="C11" s="568" t="s">
        <v>1210</v>
      </c>
      <c r="D11" s="568" t="s">
        <v>1210</v>
      </c>
      <c r="E11" s="568" t="s">
        <v>1210</v>
      </c>
      <c r="F11" s="568" t="s">
        <v>1210</v>
      </c>
      <c r="G11" s="568" t="s">
        <v>1210</v>
      </c>
      <c r="H11" s="568" t="s">
        <v>1210</v>
      </c>
      <c r="I11" s="568" t="s">
        <v>1210</v>
      </c>
      <c r="J11" s="568" t="s">
        <v>1210</v>
      </c>
      <c r="K11" s="568" t="s">
        <v>1210</v>
      </c>
      <c r="L11" s="568" t="s">
        <v>1210</v>
      </c>
      <c r="M11" s="568" t="s">
        <v>1210</v>
      </c>
      <c r="N11" s="568" t="s">
        <v>1210</v>
      </c>
      <c r="O11" s="568" t="s">
        <v>1210</v>
      </c>
      <c r="P11" s="568" t="s">
        <v>1210</v>
      </c>
      <c r="Q11" s="568" t="s">
        <v>1210</v>
      </c>
      <c r="R11" s="568" t="s">
        <v>1210</v>
      </c>
      <c r="S11" s="568" t="s">
        <v>1210</v>
      </c>
      <c r="T11" s="568" t="s">
        <v>1210</v>
      </c>
      <c r="U11" s="568" t="s">
        <v>1210</v>
      </c>
      <c r="V11" s="568" t="s">
        <v>1210</v>
      </c>
      <c r="W11" s="568" t="s">
        <v>1210</v>
      </c>
      <c r="X11" s="568" t="s">
        <v>1210</v>
      </c>
      <c r="Y11" s="568" t="s">
        <v>1210</v>
      </c>
      <c r="Z11" s="568" t="s">
        <v>1210</v>
      </c>
      <c r="AA11" s="568" t="s">
        <v>1210</v>
      </c>
      <c r="AB11" s="568" t="s">
        <v>1210</v>
      </c>
      <c r="AC11" s="568" t="s">
        <v>1210</v>
      </c>
      <c r="AD11" s="568" t="s">
        <v>1210</v>
      </c>
      <c r="AE11" s="568" t="s">
        <v>1210</v>
      </c>
      <c r="AF11" s="568" t="s">
        <v>1210</v>
      </c>
      <c r="AG11" s="568" t="s">
        <v>1210</v>
      </c>
      <c r="AH11" s="568" t="s">
        <v>1210</v>
      </c>
      <c r="AI11" s="568" t="s">
        <v>1210</v>
      </c>
      <c r="AJ11" s="568" t="s">
        <v>1210</v>
      </c>
      <c r="AK11" s="568" t="s">
        <v>1210</v>
      </c>
      <c r="AL11" s="569" t="s">
        <v>1210</v>
      </c>
      <c r="AN11" s="62"/>
      <c r="AO11" s="121"/>
      <c r="AP11" s="121"/>
      <c r="AQ11" s="121"/>
      <c r="AR11" s="121"/>
      <c r="AS11" s="121"/>
      <c r="AT11" s="121"/>
      <c r="AU11" s="121"/>
      <c r="AV11" s="121"/>
      <c r="AW11" s="121"/>
      <c r="AX11" s="121"/>
      <c r="AY11" s="146"/>
      <c r="BA11" s="62"/>
      <c r="BB11" s="121"/>
      <c r="BC11" s="146"/>
    </row>
    <row r="12" spans="2:55" ht="17" x14ac:dyDescent="0.6">
      <c r="B12" s="567" t="s">
        <v>1213</v>
      </c>
      <c r="C12" s="568" t="s">
        <v>0</v>
      </c>
      <c r="D12" s="568" t="s">
        <v>0</v>
      </c>
      <c r="E12" s="568" t="s">
        <v>0</v>
      </c>
      <c r="F12" s="568" t="s">
        <v>0</v>
      </c>
      <c r="G12" s="568" t="s">
        <v>0</v>
      </c>
      <c r="H12" s="568" t="s">
        <v>0</v>
      </c>
      <c r="I12" s="568" t="s">
        <v>0</v>
      </c>
      <c r="J12" s="568" t="s">
        <v>0</v>
      </c>
      <c r="K12" s="568" t="s">
        <v>0</v>
      </c>
      <c r="L12" s="568" t="s">
        <v>0</v>
      </c>
      <c r="M12" s="568" t="s">
        <v>0</v>
      </c>
      <c r="N12" s="568" t="s">
        <v>0</v>
      </c>
      <c r="O12" s="568" t="s">
        <v>0</v>
      </c>
      <c r="P12" s="568" t="s">
        <v>0</v>
      </c>
      <c r="Q12" s="568" t="s">
        <v>0</v>
      </c>
      <c r="R12" s="568" t="s">
        <v>0</v>
      </c>
      <c r="S12" s="568" t="s">
        <v>0</v>
      </c>
      <c r="T12" s="568" t="s">
        <v>0</v>
      </c>
      <c r="U12" s="568" t="s">
        <v>0</v>
      </c>
      <c r="V12" s="568" t="s">
        <v>0</v>
      </c>
      <c r="W12" s="568" t="s">
        <v>0</v>
      </c>
      <c r="X12" s="568" t="s">
        <v>0</v>
      </c>
      <c r="Y12" s="568" t="s">
        <v>0</v>
      </c>
      <c r="Z12" s="568" t="s">
        <v>0</v>
      </c>
      <c r="AA12" s="568" t="s">
        <v>0</v>
      </c>
      <c r="AB12" s="568" t="s">
        <v>0</v>
      </c>
      <c r="AC12" s="568" t="s">
        <v>0</v>
      </c>
      <c r="AD12" s="568" t="s">
        <v>0</v>
      </c>
      <c r="AE12" s="568" t="s">
        <v>0</v>
      </c>
      <c r="AF12" s="568" t="s">
        <v>0</v>
      </c>
      <c r="AG12" s="568" t="s">
        <v>0</v>
      </c>
      <c r="AH12" s="568" t="s">
        <v>0</v>
      </c>
      <c r="AI12" s="568" t="s">
        <v>0</v>
      </c>
      <c r="AJ12" s="568" t="s">
        <v>0</v>
      </c>
      <c r="AK12" s="568" t="s">
        <v>0</v>
      </c>
      <c r="AL12" s="569" t="s">
        <v>0</v>
      </c>
      <c r="AN12" s="570" t="s">
        <v>221</v>
      </c>
      <c r="AO12" s="568" t="s">
        <v>221</v>
      </c>
      <c r="AP12" s="568" t="s">
        <v>221</v>
      </c>
      <c r="AQ12" s="568" t="s">
        <v>221</v>
      </c>
      <c r="AR12" s="568" t="s">
        <v>221</v>
      </c>
      <c r="AS12" s="568" t="s">
        <v>221</v>
      </c>
      <c r="AT12" s="568" t="s">
        <v>221</v>
      </c>
      <c r="AU12" s="568" t="s">
        <v>221</v>
      </c>
      <c r="AV12" s="568" t="s">
        <v>221</v>
      </c>
      <c r="AW12" s="568" t="s">
        <v>221</v>
      </c>
      <c r="AX12" s="568" t="s">
        <v>221</v>
      </c>
      <c r="AY12" s="569" t="s">
        <v>221</v>
      </c>
      <c r="BA12" s="570" t="s">
        <v>221</v>
      </c>
      <c r="BB12" s="568" t="s">
        <v>221</v>
      </c>
      <c r="BC12" s="569" t="s">
        <v>221</v>
      </c>
    </row>
    <row r="13" spans="2:55" x14ac:dyDescent="0.35">
      <c r="B13" s="63" t="s">
        <v>1</v>
      </c>
      <c r="C13" s="132">
        <f>IF(C$12="Actual",SUMIFS(ActualsTable[Month 1],ActualsTable[Revenue Item2],$B13),SUMIFS(Revenue!M$7:M$57,Revenue!$L$7:$L$57,$B13,Revenue!$B$7:$B$57,C$11))</f>
        <v>0</v>
      </c>
      <c r="D13" s="132">
        <f>IF(D$12="Actual",SUMIFS(ActualsTable[Month 2],ActualsTable[Revenue Item2],$B13),SUMIFS(Revenue!N$7:N$57,Revenue!$L$7:$L$57,$B13,Revenue!$B$7:$B$57,D$11))</f>
        <v>0</v>
      </c>
      <c r="E13" s="132">
        <f>IF(E$12="Actual",SUMIFS(ActualsTable[Month 3],ActualsTable[Revenue Item2],$B13),SUMIFS(Revenue!O$7:O$57,Revenue!$L$7:$L$57,$B13,Revenue!$B$7:$B$57,E$11))</f>
        <v>0</v>
      </c>
      <c r="F13" s="132">
        <f>IF(F$12="Actual",SUMIFS(ActualsTable[Month 4],ActualsTable[Revenue Item2],$B13),SUMIFS(Revenue!P$7:P$57,Revenue!$L$7:$L$57,$B13,Revenue!$B$7:$B$57,F$11))</f>
        <v>0</v>
      </c>
      <c r="G13" s="132">
        <f>IF(G$12="Actual",SUMIFS(ActualsTable[Month 5],ActualsTable[Revenue Item2],$B13),SUMIFS(Revenue!Q$7:Q$57,Revenue!$L$7:$L$57,$B13,Revenue!$B$7:$B$57,G$11))</f>
        <v>0</v>
      </c>
      <c r="H13" s="132">
        <f>IF(H$12="Actual",SUMIFS(ActualsTable[Month 6],ActualsTable[Revenue Item2],$B13),SUMIFS(Revenue!R$7:R$57,Revenue!$L$7:$L$57,$B13,Revenue!$B$7:$B$57,H$11))</f>
        <v>0</v>
      </c>
      <c r="I13" s="132">
        <f>IF(I$12="Actual",SUMIFS(ActualsTable[Month 7],ActualsTable[Revenue Item2],$B13),SUMIFS(Revenue!S$7:S$57,Revenue!$L$7:$L$57,$B13,Revenue!$B$7:$B$57,I$11))</f>
        <v>0</v>
      </c>
      <c r="J13" s="132">
        <f>IF(J$12="Actual",SUMIFS(ActualsTable[Month 8],ActualsTable[Revenue Item2],$B13),SUMIFS(Revenue!T$7:T$57,Revenue!$L$7:$L$57,$B13,Revenue!$B$7:$B$57,J$11))</f>
        <v>0</v>
      </c>
      <c r="K13" s="132">
        <f>IF(K$12="Actual",SUMIFS(ActualsTable[Month 9],ActualsTable[Revenue Item2],$B13),SUMIFS(Revenue!U$7:U$57,Revenue!$L$7:$L$57,$B13,Revenue!$B$7:$B$57,K$11))</f>
        <v>0</v>
      </c>
      <c r="L13" s="132">
        <f>IF(L$12="Actual",SUMIFS(ActualsTable[Month 10],ActualsTable[Revenue Item2],$B13),SUMIFS(Revenue!V$7:V$57,Revenue!$L$7:$L$57,$B13,Revenue!$B$7:$B$57,L$11))</f>
        <v>0</v>
      </c>
      <c r="M13" s="132">
        <f>IF(M$12="Actual",SUMIFS(ActualsTable[Month 11],ActualsTable[Revenue Item2],$B13),SUMIFS(Revenue!W$7:W$57,Revenue!$L$7:$L$57,$B13,Revenue!$B$7:$B$57,M$11))</f>
        <v>0</v>
      </c>
      <c r="N13" s="132">
        <f>IF(N$12="Actual",SUMIFS(ActualsTable[Month 12],ActualsTable[Revenue Item2],$B13),SUMIFS(Revenue!X$7:X$57,Revenue!$L$7:$L$57,$B13,Revenue!$B$7:$B$57,N$11))</f>
        <v>0</v>
      </c>
      <c r="O13" s="132">
        <f>IF(O$12="Actual",SUMIFS(ActualsTable[Month 13],ActualsTable[Revenue Item2],$B13),SUMIFS(Revenue!Y$7:Y$57,Revenue!$L$7:$L$57,$B13,Revenue!$B$7:$B$57,O$11))</f>
        <v>0</v>
      </c>
      <c r="P13" s="132">
        <f>IF(P$12="Actual",SUMIFS(ActualsTable[Month 14],ActualsTable[Revenue Item2],$B13),SUMIFS(Revenue!Z$7:Z$57,Revenue!$L$7:$L$57,$B13,Revenue!$B$7:$B$57,P$11))</f>
        <v>0</v>
      </c>
      <c r="Q13" s="132">
        <f>IF(Q$12="Actual",SUMIFS(ActualsTable[Month 15],ActualsTable[Revenue Item2],$B13),SUMIFS(Revenue!AA$7:AA$57,Revenue!$L$7:$L$57,$B13,Revenue!$B$7:$B$57,Q$11))</f>
        <v>0</v>
      </c>
      <c r="R13" s="132">
        <f>IF(R$12="Actual",SUMIFS(ActualsTable[Month 16],ActualsTable[Revenue Item2],$B13),SUMIFS(Revenue!AB$7:AB$57,Revenue!$L$7:$L$57,$B13,Revenue!$B$7:$B$57,R$11))</f>
        <v>0</v>
      </c>
      <c r="S13" s="132">
        <f>IF(S$12="Actual",SUMIFS(ActualsTable[Month 17],ActualsTable[Revenue Item2],$B13),SUMIFS(Revenue!AC$7:AC$57,Revenue!$L$7:$L$57,$B13,Revenue!$B$7:$B$57,S$11))</f>
        <v>0</v>
      </c>
      <c r="T13" s="132">
        <f>IF(T$12="Actual",SUMIFS(ActualsTable[Month 18],ActualsTable[Revenue Item2],$B13),SUMIFS(Revenue!AD$7:AD$57,Revenue!$L$7:$L$57,$B13,Revenue!$B$7:$B$57,T$11))</f>
        <v>0</v>
      </c>
      <c r="U13" s="132">
        <f>IF(U$12="Actual",SUMIFS(ActualsTable[Month 19],ActualsTable[Revenue Item2],$B13),SUMIFS(Revenue!AE$7:AE$57,Revenue!$L$7:$L$57,$B13,Revenue!$B$7:$B$57,U$11))</f>
        <v>0</v>
      </c>
      <c r="V13" s="132">
        <f>IF(V$12="Actual",SUMIFS(ActualsTable[Month 20],ActualsTable[Revenue Item2],$B13),SUMIFS(Revenue!AF$7:AF$57,Revenue!$L$7:$L$57,$B13,Revenue!$B$7:$B$57,V$11))</f>
        <v>0</v>
      </c>
      <c r="W13" s="132">
        <f>IF(W$12="Actual",SUMIFS(ActualsTable[Month 21],ActualsTable[Revenue Item2],$B13),SUMIFS(Revenue!AG$7:AG$57,Revenue!$L$7:$L$57,$B13,Revenue!$B$7:$B$57,W$11))</f>
        <v>0</v>
      </c>
      <c r="X13" s="132">
        <f>IF(X$12="Actual",SUMIFS(ActualsTable[Month 22],ActualsTable[Revenue Item2],$B13),SUMIFS(Revenue!AH$7:AH$57,Revenue!$L$7:$L$57,$B13,Revenue!$B$7:$B$57,X$11))</f>
        <v>0</v>
      </c>
      <c r="Y13" s="132">
        <f>IF(Y$12="Actual",SUMIFS(ActualsTable[Month 23],ActualsTable[Revenue Item2],$B13),SUMIFS(Revenue!AI$7:AI$57,Revenue!$L$7:$L$57,$B13,Revenue!$B$7:$B$57,Y$11))</f>
        <v>0</v>
      </c>
      <c r="Z13" s="132">
        <f>IF(Z$12="Actual",SUMIFS(ActualsTable[Month 24],ActualsTable[Revenue Item2],$B13),SUMIFS(Revenue!AJ$7:AJ$57,Revenue!$L$7:$L$57,$B13,Revenue!$B$7:$B$57,Z$11))</f>
        <v>0</v>
      </c>
      <c r="AA13" s="132">
        <f>IF(AA$12="Actual",SUMIFS(ActualsTable[Month 25],ActualsTable[Revenue Item2],$B13),SUMIFS(Revenue!AK$7:AK$57,Revenue!$L$7:$L$57,$B13,Revenue!$B$7:$B$57,AA$11))</f>
        <v>0</v>
      </c>
      <c r="AB13" s="132">
        <f>IF(AB$12="Actual",SUMIFS(ActualsTable[Month 26],ActualsTable[Revenue Item2],$B13),SUMIFS(Revenue!AL$7:AL$57,Revenue!$L$7:$L$57,$B13,Revenue!$B$7:$B$57,AB$11))</f>
        <v>0</v>
      </c>
      <c r="AC13" s="132">
        <f>IF(AC$12="Actual",SUMIFS(ActualsTable[Month 27],ActualsTable[Revenue Item2],$B13),SUMIFS(Revenue!AM$7:AM$57,Revenue!$L$7:$L$57,$B13,Revenue!$B$7:$B$57,AC$11))</f>
        <v>0</v>
      </c>
      <c r="AD13" s="132">
        <f>IF(AD$12="Actual",SUMIFS(ActualsTable[Month 28],ActualsTable[Revenue Item2],$B13),SUMIFS(Revenue!AN$7:AN$57,Revenue!$L$7:$L$57,$B13,Revenue!$B$7:$B$57,AD$11))</f>
        <v>0</v>
      </c>
      <c r="AE13" s="132">
        <f>IF(AE$12="Actual",SUMIFS(ActualsTable[Month 29],ActualsTable[Revenue Item2],$B13),SUMIFS(Revenue!AO$7:AO$57,Revenue!$L$7:$L$57,$B13,Revenue!$B$7:$B$57,AE$11))</f>
        <v>0</v>
      </c>
      <c r="AF13" s="132">
        <f>IF(AF$12="Actual",SUMIFS(ActualsTable[Month 30],ActualsTable[Revenue Item2],$B13),SUMIFS(Revenue!AP$7:AP$57,Revenue!$L$7:$L$57,$B13,Revenue!$B$7:$B$57,AF$11))</f>
        <v>0</v>
      </c>
      <c r="AG13" s="132">
        <f>IF(AG$12="Actual",SUMIFS(ActualsTable[Month 31],ActualsTable[Revenue Item2],$B13),SUMIFS(Revenue!AQ$7:AQ$57,Revenue!$L$7:$L$57,$B13,Revenue!$B$7:$B$57,AG$11))</f>
        <v>0</v>
      </c>
      <c r="AH13" s="132">
        <f>IF(AH$12="Actual",SUMIFS(ActualsTable[Month 32],ActualsTable[Revenue Item2],$B13),SUMIFS(Revenue!AR$7:AR$57,Revenue!$L$7:$L$57,$B13,Revenue!$B$7:$B$57,AH$11))</f>
        <v>0</v>
      </c>
      <c r="AI13" s="132">
        <f>IF(AI$12="Actual",SUMIFS(ActualsTable[Month 33],ActualsTable[Revenue Item2],$B13),SUMIFS(Revenue!AS$7:AS$57,Revenue!$L$7:$L$57,$B13,Revenue!$B$7:$B$57,AI$11))</f>
        <v>0</v>
      </c>
      <c r="AJ13" s="132">
        <f>IF(AJ$12="Actual",SUMIFS(ActualsTable[Month 34],ActualsTable[Revenue Item2],$B13),SUMIFS(Revenue!AT$7:AT$57,Revenue!$L$7:$L$57,$B13,Revenue!$B$7:$B$57,AJ$11))</f>
        <v>0</v>
      </c>
      <c r="AK13" s="132">
        <f>IF(AK$12="Actual",SUMIFS(ActualsTable[Month 35],ActualsTable[Revenue Item2],$B13),SUMIFS(Revenue!AU$7:AU$57,Revenue!$L$7:$L$57,$B13,Revenue!$B$7:$B$57,AK$11))</f>
        <v>0</v>
      </c>
      <c r="AL13" s="290">
        <f>IF(AL$12="Actual",SUMIFS(ActualsTable[Month 36],ActualsTable[Revenue Item2],$B13),SUMIFS(Revenue!AV$7:AV$57,Revenue!$L$7:$L$57,$B13,Revenue!$B$7:$B$57,AL$11))</f>
        <v>0</v>
      </c>
      <c r="AN13" s="316">
        <f t="shared" ref="AN13:AY17" ca="1" si="41">SUM(OFFSET($B13,0,3*AN$9+1,1,3))</f>
        <v>0</v>
      </c>
      <c r="AO13" s="132">
        <f t="shared" ca="1" si="41"/>
        <v>0</v>
      </c>
      <c r="AP13" s="132">
        <f t="shared" ca="1" si="41"/>
        <v>0</v>
      </c>
      <c r="AQ13" s="132">
        <f t="shared" ca="1" si="41"/>
        <v>0</v>
      </c>
      <c r="AR13" s="132">
        <f t="shared" ca="1" si="41"/>
        <v>0</v>
      </c>
      <c r="AS13" s="132">
        <f t="shared" ca="1" si="41"/>
        <v>0</v>
      </c>
      <c r="AT13" s="132">
        <f t="shared" ca="1" si="41"/>
        <v>0</v>
      </c>
      <c r="AU13" s="132">
        <f t="shared" ca="1" si="41"/>
        <v>0</v>
      </c>
      <c r="AV13" s="132">
        <f t="shared" ca="1" si="41"/>
        <v>0</v>
      </c>
      <c r="AW13" s="132">
        <f t="shared" ca="1" si="41"/>
        <v>0</v>
      </c>
      <c r="AX13" s="132">
        <f t="shared" ca="1" si="41"/>
        <v>0</v>
      </c>
      <c r="AY13" s="290">
        <f t="shared" ca="1" si="41"/>
        <v>0</v>
      </c>
      <c r="BA13" s="316">
        <f t="shared" ref="BA13:BC17" ca="1" si="42">SUM(OFFSET($B13,0,12*BA$9+1,1,12))</f>
        <v>0</v>
      </c>
      <c r="BB13" s="132">
        <f t="shared" ca="1" si="42"/>
        <v>0</v>
      </c>
      <c r="BC13" s="290">
        <f t="shared" ca="1" si="42"/>
        <v>0</v>
      </c>
    </row>
    <row r="14" spans="2:55" x14ac:dyDescent="0.35">
      <c r="B14" s="63" t="s">
        <v>2</v>
      </c>
      <c r="C14" s="131">
        <f>IF(C$12="Actual",SUMIFS(ActualsTable[Month 1],ActualsTable[Revenue Item2],$B14),SUMIFS(Revenue!M$7:M$57,Revenue!$L$7:$L$57,$B14,Revenue!$B$7:$B$57,C$11))</f>
        <v>0</v>
      </c>
      <c r="D14" s="131">
        <f>IF(D$12="Actual",SUMIFS(ActualsTable[Month 2],ActualsTable[Revenue Item2],$B14),SUMIFS(Revenue!N$7:N$57,Revenue!$L$7:$L$57,$B14,Revenue!$B$7:$B$57,D$11))</f>
        <v>0</v>
      </c>
      <c r="E14" s="131">
        <f>IF(E$12="Actual",SUMIFS(ActualsTable[Month 3],ActualsTable[Revenue Item2],$B14),SUMIFS(Revenue!O$7:O$57,Revenue!$L$7:$L$57,$B14,Revenue!$B$7:$B$57,E$11))</f>
        <v>0</v>
      </c>
      <c r="F14" s="131">
        <f>IF(F$12="Actual",SUMIFS(ActualsTable[Month 4],ActualsTable[Revenue Item2],$B14),SUMIFS(Revenue!P$7:P$57,Revenue!$L$7:$L$57,$B14,Revenue!$B$7:$B$57,F$11))</f>
        <v>0</v>
      </c>
      <c r="G14" s="131">
        <f>IF(G$12="Actual",SUMIFS(ActualsTable[Month 5],ActualsTable[Revenue Item2],$B14),SUMIFS(Revenue!Q$7:Q$57,Revenue!$L$7:$L$57,$B14,Revenue!$B$7:$B$57,G$11))</f>
        <v>0</v>
      </c>
      <c r="H14" s="131">
        <f>IF(H$12="Actual",SUMIFS(ActualsTable[Month 6],ActualsTable[Revenue Item2],$B14),SUMIFS(Revenue!R$7:R$57,Revenue!$L$7:$L$57,$B14,Revenue!$B$7:$B$57,H$11))</f>
        <v>0</v>
      </c>
      <c r="I14" s="131">
        <f>IF(I$12="Actual",SUMIFS(ActualsTable[Month 7],ActualsTable[Revenue Item2],$B14),SUMIFS(Revenue!S$7:S$57,Revenue!$L$7:$L$57,$B14,Revenue!$B$7:$B$57,I$11))</f>
        <v>0</v>
      </c>
      <c r="J14" s="131">
        <f>IF(J$12="Actual",SUMIFS(ActualsTable[Month 8],ActualsTable[Revenue Item2],$B14),SUMIFS(Revenue!T$7:T$57,Revenue!$L$7:$L$57,$B14,Revenue!$B$7:$B$57,J$11))</f>
        <v>0</v>
      </c>
      <c r="K14" s="131">
        <f>IF(K$12="Actual",SUMIFS(ActualsTable[Month 9],ActualsTable[Revenue Item2],$B14),SUMIFS(Revenue!U$7:U$57,Revenue!$L$7:$L$57,$B14,Revenue!$B$7:$B$57,K$11))</f>
        <v>0</v>
      </c>
      <c r="L14" s="131">
        <f>IF(L$12="Actual",SUMIFS(ActualsTable[Month 10],ActualsTable[Revenue Item2],$B14),SUMIFS(Revenue!V$7:V$57,Revenue!$L$7:$L$57,$B14,Revenue!$B$7:$B$57,L$11))</f>
        <v>0</v>
      </c>
      <c r="M14" s="131">
        <f>IF(M$12="Actual",SUMIFS(ActualsTable[Month 11],ActualsTable[Revenue Item2],$B14),SUMIFS(Revenue!W$7:W$57,Revenue!$L$7:$L$57,$B14,Revenue!$B$7:$B$57,M$11))</f>
        <v>0</v>
      </c>
      <c r="N14" s="131">
        <f>IF(N$12="Actual",SUMIFS(ActualsTable[Month 12],ActualsTable[Revenue Item2],$B14),SUMIFS(Revenue!X$7:X$57,Revenue!$L$7:$L$57,$B14,Revenue!$B$7:$B$57,N$11))</f>
        <v>0</v>
      </c>
      <c r="O14" s="131">
        <f>IF(O$12="Actual",SUMIFS(ActualsTable[Month 13],ActualsTable[Revenue Item2],$B14),SUMIFS(Revenue!Y$7:Y$57,Revenue!$L$7:$L$57,$B14,Revenue!$B$7:$B$57,O$11))</f>
        <v>0</v>
      </c>
      <c r="P14" s="131">
        <f>IF(P$12="Actual",SUMIFS(ActualsTable[Month 14],ActualsTable[Revenue Item2],$B14),SUMIFS(Revenue!Z$7:Z$57,Revenue!$L$7:$L$57,$B14,Revenue!$B$7:$B$57,P$11))</f>
        <v>0</v>
      </c>
      <c r="Q14" s="131">
        <f>IF(Q$12="Actual",SUMIFS(ActualsTable[Month 15],ActualsTable[Revenue Item2],$B14),SUMIFS(Revenue!AA$7:AA$57,Revenue!$L$7:$L$57,$B14,Revenue!$B$7:$B$57,Q$11))</f>
        <v>0</v>
      </c>
      <c r="R14" s="131">
        <f>IF(R$12="Actual",SUMIFS(ActualsTable[Month 16],ActualsTable[Revenue Item2],$B14),SUMIFS(Revenue!AB$7:AB$57,Revenue!$L$7:$L$57,$B14,Revenue!$B$7:$B$57,R$11))</f>
        <v>0</v>
      </c>
      <c r="S14" s="131">
        <f>IF(S$12="Actual",SUMIFS(ActualsTable[Month 17],ActualsTable[Revenue Item2],$B14),SUMIFS(Revenue!AC$7:AC$57,Revenue!$L$7:$L$57,$B14,Revenue!$B$7:$B$57,S$11))</f>
        <v>0</v>
      </c>
      <c r="T14" s="131">
        <f>IF(T$12="Actual",SUMIFS(ActualsTable[Month 18],ActualsTable[Revenue Item2],$B14),SUMIFS(Revenue!AD$7:AD$57,Revenue!$L$7:$L$57,$B14,Revenue!$B$7:$B$57,T$11))</f>
        <v>0</v>
      </c>
      <c r="U14" s="131">
        <f>IF(U$12="Actual",SUMIFS(ActualsTable[Month 19],ActualsTable[Revenue Item2],$B14),SUMIFS(Revenue!AE$7:AE$57,Revenue!$L$7:$L$57,$B14,Revenue!$B$7:$B$57,U$11))</f>
        <v>0</v>
      </c>
      <c r="V14" s="131">
        <f>IF(V$12="Actual",SUMIFS(ActualsTable[Month 20],ActualsTable[Revenue Item2],$B14),SUMIFS(Revenue!AF$7:AF$57,Revenue!$L$7:$L$57,$B14,Revenue!$B$7:$B$57,V$11))</f>
        <v>0</v>
      </c>
      <c r="W14" s="131">
        <f>IF(W$12="Actual",SUMIFS(ActualsTable[Month 21],ActualsTable[Revenue Item2],$B14),SUMIFS(Revenue!AG$7:AG$57,Revenue!$L$7:$L$57,$B14,Revenue!$B$7:$B$57,W$11))</f>
        <v>0</v>
      </c>
      <c r="X14" s="131">
        <f>IF(X$12="Actual",SUMIFS(ActualsTable[Month 22],ActualsTable[Revenue Item2],$B14),SUMIFS(Revenue!AH$7:AH$57,Revenue!$L$7:$L$57,$B14,Revenue!$B$7:$B$57,X$11))</f>
        <v>0</v>
      </c>
      <c r="Y14" s="131">
        <f>IF(Y$12="Actual",SUMIFS(ActualsTable[Month 23],ActualsTable[Revenue Item2],$B14),SUMIFS(Revenue!AI$7:AI$57,Revenue!$L$7:$L$57,$B14,Revenue!$B$7:$B$57,Y$11))</f>
        <v>0</v>
      </c>
      <c r="Z14" s="131">
        <f>IF(Z$12="Actual",SUMIFS(ActualsTable[Month 24],ActualsTable[Revenue Item2],$B14),SUMIFS(Revenue!AJ$7:AJ$57,Revenue!$L$7:$L$57,$B14,Revenue!$B$7:$B$57,Z$11))</f>
        <v>0</v>
      </c>
      <c r="AA14" s="131">
        <f>IF(AA$12="Actual",SUMIFS(ActualsTable[Month 25],ActualsTable[Revenue Item2],$B14),SUMIFS(Revenue!AK$7:AK$57,Revenue!$L$7:$L$57,$B14,Revenue!$B$7:$B$57,AA$11))</f>
        <v>0</v>
      </c>
      <c r="AB14" s="131">
        <f>IF(AB$12="Actual",SUMIFS(ActualsTable[Month 26],ActualsTable[Revenue Item2],$B14),SUMIFS(Revenue!AL$7:AL$57,Revenue!$L$7:$L$57,$B14,Revenue!$B$7:$B$57,AB$11))</f>
        <v>0</v>
      </c>
      <c r="AC14" s="131">
        <f>IF(AC$12="Actual",SUMIFS(ActualsTable[Month 27],ActualsTable[Revenue Item2],$B14),SUMIFS(Revenue!AM$7:AM$57,Revenue!$L$7:$L$57,$B14,Revenue!$B$7:$B$57,AC$11))</f>
        <v>0</v>
      </c>
      <c r="AD14" s="131">
        <f>IF(AD$12="Actual",SUMIFS(ActualsTable[Month 28],ActualsTable[Revenue Item2],$B14),SUMIFS(Revenue!AN$7:AN$57,Revenue!$L$7:$L$57,$B14,Revenue!$B$7:$B$57,AD$11))</f>
        <v>0</v>
      </c>
      <c r="AE14" s="131">
        <f>IF(AE$12="Actual",SUMIFS(ActualsTable[Month 29],ActualsTable[Revenue Item2],$B14),SUMIFS(Revenue!AO$7:AO$57,Revenue!$L$7:$L$57,$B14,Revenue!$B$7:$B$57,AE$11))</f>
        <v>0</v>
      </c>
      <c r="AF14" s="131">
        <f>IF(AF$12="Actual",SUMIFS(ActualsTable[Month 30],ActualsTable[Revenue Item2],$B14),SUMIFS(Revenue!AP$7:AP$57,Revenue!$L$7:$L$57,$B14,Revenue!$B$7:$B$57,AF$11))</f>
        <v>0</v>
      </c>
      <c r="AG14" s="131">
        <f>IF(AG$12="Actual",SUMIFS(ActualsTable[Month 31],ActualsTable[Revenue Item2],$B14),SUMIFS(Revenue!AQ$7:AQ$57,Revenue!$L$7:$L$57,$B14,Revenue!$B$7:$B$57,AG$11))</f>
        <v>0</v>
      </c>
      <c r="AH14" s="131">
        <f>IF(AH$12="Actual",SUMIFS(ActualsTable[Month 32],ActualsTable[Revenue Item2],$B14),SUMIFS(Revenue!AR$7:AR$57,Revenue!$L$7:$L$57,$B14,Revenue!$B$7:$B$57,AH$11))</f>
        <v>0</v>
      </c>
      <c r="AI14" s="131">
        <f>IF(AI$12="Actual",SUMIFS(ActualsTable[Month 33],ActualsTable[Revenue Item2],$B14),SUMIFS(Revenue!AS$7:AS$57,Revenue!$L$7:$L$57,$B14,Revenue!$B$7:$B$57,AI$11))</f>
        <v>0</v>
      </c>
      <c r="AJ14" s="131">
        <f>IF(AJ$12="Actual",SUMIFS(ActualsTable[Month 34],ActualsTable[Revenue Item2],$B14),SUMIFS(Revenue!AT$7:AT$57,Revenue!$L$7:$L$57,$B14,Revenue!$B$7:$B$57,AJ$11))</f>
        <v>0</v>
      </c>
      <c r="AK14" s="131">
        <f>IF(AK$12="Actual",SUMIFS(ActualsTable[Month 35],ActualsTable[Revenue Item2],$B14),SUMIFS(Revenue!AU$7:AU$57,Revenue!$L$7:$L$57,$B14,Revenue!$B$7:$B$57,AK$11))</f>
        <v>0</v>
      </c>
      <c r="AL14" s="291">
        <f>IF(AL$12="Actual",SUMIFS(ActualsTable[Month 36],ActualsTable[Revenue Item2],$B14),SUMIFS(Revenue!AV$7:AV$57,Revenue!$L$7:$L$57,$B14,Revenue!$B$7:$B$57,AL$11))</f>
        <v>0</v>
      </c>
      <c r="AN14" s="317">
        <f t="shared" ca="1" si="41"/>
        <v>0</v>
      </c>
      <c r="AO14" s="131">
        <f t="shared" ca="1" si="41"/>
        <v>0</v>
      </c>
      <c r="AP14" s="131">
        <f t="shared" ca="1" si="41"/>
        <v>0</v>
      </c>
      <c r="AQ14" s="131">
        <f t="shared" ca="1" si="41"/>
        <v>0</v>
      </c>
      <c r="AR14" s="131">
        <f t="shared" ca="1" si="41"/>
        <v>0</v>
      </c>
      <c r="AS14" s="131">
        <f t="shared" ca="1" si="41"/>
        <v>0</v>
      </c>
      <c r="AT14" s="131">
        <f t="shared" ca="1" si="41"/>
        <v>0</v>
      </c>
      <c r="AU14" s="131">
        <f t="shared" ca="1" si="41"/>
        <v>0</v>
      </c>
      <c r="AV14" s="131">
        <f t="shared" ca="1" si="41"/>
        <v>0</v>
      </c>
      <c r="AW14" s="131">
        <f t="shared" ca="1" si="41"/>
        <v>0</v>
      </c>
      <c r="AX14" s="131">
        <f t="shared" ca="1" si="41"/>
        <v>0</v>
      </c>
      <c r="AY14" s="291">
        <f t="shared" ca="1" si="41"/>
        <v>0</v>
      </c>
      <c r="BA14" s="317">
        <f t="shared" ca="1" si="42"/>
        <v>0</v>
      </c>
      <c r="BB14" s="131">
        <f t="shared" ca="1" si="42"/>
        <v>0</v>
      </c>
      <c r="BC14" s="291">
        <f t="shared" ca="1" si="42"/>
        <v>0</v>
      </c>
    </row>
    <row r="15" spans="2:55" x14ac:dyDescent="0.35">
      <c r="B15" s="63" t="s">
        <v>3</v>
      </c>
      <c r="C15" s="131">
        <f>IF(C$12="Actual",SUMIFS(ActualsTable[Month 1],ActualsTable[Revenue Item2],$B15),SUMIFS(Revenue!M$7:M$57,Revenue!$L$7:$L$57,$B15,Revenue!$B$7:$B$57,C$11))</f>
        <v>0</v>
      </c>
      <c r="D15" s="131">
        <f>IF(D$12="Actual",SUMIFS(ActualsTable[Month 2],ActualsTable[Revenue Item2],$B15),SUMIFS(Revenue!N$7:N$57,Revenue!$L$7:$L$57,$B15,Revenue!$B$7:$B$57,D$11))</f>
        <v>0</v>
      </c>
      <c r="E15" s="131">
        <f>IF(E$12="Actual",SUMIFS(ActualsTable[Month 3],ActualsTable[Revenue Item2],$B15),SUMIFS(Revenue!O$7:O$57,Revenue!$L$7:$L$57,$B15,Revenue!$B$7:$B$57,E$11))</f>
        <v>0</v>
      </c>
      <c r="F15" s="131">
        <f>IF(F$12="Actual",SUMIFS(ActualsTable[Month 4],ActualsTable[Revenue Item2],$B15),SUMIFS(Revenue!P$7:P$57,Revenue!$L$7:$L$57,$B15,Revenue!$B$7:$B$57,F$11))</f>
        <v>0</v>
      </c>
      <c r="G15" s="131">
        <f>IF(G$12="Actual",SUMIFS(ActualsTable[Month 5],ActualsTable[Revenue Item2],$B15),SUMIFS(Revenue!Q$7:Q$57,Revenue!$L$7:$L$57,$B15,Revenue!$B$7:$B$57,G$11))</f>
        <v>0</v>
      </c>
      <c r="H15" s="131">
        <f>IF(H$12="Actual",SUMIFS(ActualsTable[Month 6],ActualsTable[Revenue Item2],$B15),SUMIFS(Revenue!R$7:R$57,Revenue!$L$7:$L$57,$B15,Revenue!$B$7:$B$57,H$11))</f>
        <v>0</v>
      </c>
      <c r="I15" s="131">
        <f>IF(I$12="Actual",SUMIFS(ActualsTable[Month 7],ActualsTable[Revenue Item2],$B15),SUMIFS(Revenue!S$7:S$57,Revenue!$L$7:$L$57,$B15,Revenue!$B$7:$B$57,I$11))</f>
        <v>0</v>
      </c>
      <c r="J15" s="131">
        <f>IF(J$12="Actual",SUMIFS(ActualsTable[Month 8],ActualsTable[Revenue Item2],$B15),SUMIFS(Revenue!T$7:T$57,Revenue!$L$7:$L$57,$B15,Revenue!$B$7:$B$57,J$11))</f>
        <v>0</v>
      </c>
      <c r="K15" s="131">
        <f>IF(K$12="Actual",SUMIFS(ActualsTable[Month 9],ActualsTable[Revenue Item2],$B15),SUMIFS(Revenue!U$7:U$57,Revenue!$L$7:$L$57,$B15,Revenue!$B$7:$B$57,K$11))</f>
        <v>0</v>
      </c>
      <c r="L15" s="131">
        <f>IF(L$12="Actual",SUMIFS(ActualsTable[Month 10],ActualsTable[Revenue Item2],$B15),SUMIFS(Revenue!V$7:V$57,Revenue!$L$7:$L$57,$B15,Revenue!$B$7:$B$57,L$11))</f>
        <v>0</v>
      </c>
      <c r="M15" s="131">
        <f>IF(M$12="Actual",SUMIFS(ActualsTable[Month 11],ActualsTable[Revenue Item2],$B15),SUMIFS(Revenue!W$7:W$57,Revenue!$L$7:$L$57,$B15,Revenue!$B$7:$B$57,M$11))</f>
        <v>0</v>
      </c>
      <c r="N15" s="131">
        <f>IF(N$12="Actual",SUMIFS(ActualsTable[Month 12],ActualsTable[Revenue Item2],$B15),SUMIFS(Revenue!X$7:X$57,Revenue!$L$7:$L$57,$B15,Revenue!$B$7:$B$57,N$11))</f>
        <v>0</v>
      </c>
      <c r="O15" s="131">
        <f>IF(O$12="Actual",SUMIFS(ActualsTable[Month 13],ActualsTable[Revenue Item2],$B15),SUMIFS(Revenue!Y$7:Y$57,Revenue!$L$7:$L$57,$B15,Revenue!$B$7:$B$57,O$11))</f>
        <v>0</v>
      </c>
      <c r="P15" s="131">
        <f>IF(P$12="Actual",SUMIFS(ActualsTable[Month 14],ActualsTable[Revenue Item2],$B15),SUMIFS(Revenue!Z$7:Z$57,Revenue!$L$7:$L$57,$B15,Revenue!$B$7:$B$57,P$11))</f>
        <v>0</v>
      </c>
      <c r="Q15" s="131">
        <f>IF(Q$12="Actual",SUMIFS(ActualsTable[Month 15],ActualsTable[Revenue Item2],$B15),SUMIFS(Revenue!AA$7:AA$57,Revenue!$L$7:$L$57,$B15,Revenue!$B$7:$B$57,Q$11))</f>
        <v>0</v>
      </c>
      <c r="R15" s="131">
        <f>IF(R$12="Actual",SUMIFS(ActualsTable[Month 16],ActualsTable[Revenue Item2],$B15),SUMIFS(Revenue!AB$7:AB$57,Revenue!$L$7:$L$57,$B15,Revenue!$B$7:$B$57,R$11))</f>
        <v>0</v>
      </c>
      <c r="S15" s="131">
        <f>IF(S$12="Actual",SUMIFS(ActualsTable[Month 17],ActualsTable[Revenue Item2],$B15),SUMIFS(Revenue!AC$7:AC$57,Revenue!$L$7:$L$57,$B15,Revenue!$B$7:$B$57,S$11))</f>
        <v>0</v>
      </c>
      <c r="T15" s="131">
        <f>IF(T$12="Actual",SUMIFS(ActualsTable[Month 18],ActualsTable[Revenue Item2],$B15),SUMIFS(Revenue!AD$7:AD$57,Revenue!$L$7:$L$57,$B15,Revenue!$B$7:$B$57,T$11))</f>
        <v>0</v>
      </c>
      <c r="U15" s="131">
        <f>IF(U$12="Actual",SUMIFS(ActualsTable[Month 19],ActualsTable[Revenue Item2],$B15),SUMIFS(Revenue!AE$7:AE$57,Revenue!$L$7:$L$57,$B15,Revenue!$B$7:$B$57,U$11))</f>
        <v>0</v>
      </c>
      <c r="V15" s="131">
        <f>IF(V$12="Actual",SUMIFS(ActualsTable[Month 20],ActualsTable[Revenue Item2],$B15),SUMIFS(Revenue!AF$7:AF$57,Revenue!$L$7:$L$57,$B15,Revenue!$B$7:$B$57,V$11))</f>
        <v>0</v>
      </c>
      <c r="W15" s="131">
        <f>IF(W$12="Actual",SUMIFS(ActualsTable[Month 21],ActualsTable[Revenue Item2],$B15),SUMIFS(Revenue!AG$7:AG$57,Revenue!$L$7:$L$57,$B15,Revenue!$B$7:$B$57,W$11))</f>
        <v>0</v>
      </c>
      <c r="X15" s="131">
        <f>IF(X$12="Actual",SUMIFS(ActualsTable[Month 22],ActualsTable[Revenue Item2],$B15),SUMIFS(Revenue!AH$7:AH$57,Revenue!$L$7:$L$57,$B15,Revenue!$B$7:$B$57,X$11))</f>
        <v>0</v>
      </c>
      <c r="Y15" s="131">
        <f>IF(Y$12="Actual",SUMIFS(ActualsTable[Month 23],ActualsTable[Revenue Item2],$B15),SUMIFS(Revenue!AI$7:AI$57,Revenue!$L$7:$L$57,$B15,Revenue!$B$7:$B$57,Y$11))</f>
        <v>0</v>
      </c>
      <c r="Z15" s="131">
        <f>IF(Z$12="Actual",SUMIFS(ActualsTable[Month 24],ActualsTable[Revenue Item2],$B15),SUMIFS(Revenue!AJ$7:AJ$57,Revenue!$L$7:$L$57,$B15,Revenue!$B$7:$B$57,Z$11))</f>
        <v>0</v>
      </c>
      <c r="AA15" s="131">
        <f>IF(AA$12="Actual",SUMIFS(ActualsTable[Month 25],ActualsTable[Revenue Item2],$B15),SUMIFS(Revenue!AK$7:AK$57,Revenue!$L$7:$L$57,$B15,Revenue!$B$7:$B$57,AA$11))</f>
        <v>0</v>
      </c>
      <c r="AB15" s="131">
        <f>IF(AB$12="Actual",SUMIFS(ActualsTable[Month 26],ActualsTable[Revenue Item2],$B15),SUMIFS(Revenue!AL$7:AL$57,Revenue!$L$7:$L$57,$B15,Revenue!$B$7:$B$57,AB$11))</f>
        <v>0</v>
      </c>
      <c r="AC15" s="131">
        <f>IF(AC$12="Actual",SUMIFS(ActualsTable[Month 27],ActualsTable[Revenue Item2],$B15),SUMIFS(Revenue!AM$7:AM$57,Revenue!$L$7:$L$57,$B15,Revenue!$B$7:$B$57,AC$11))</f>
        <v>0</v>
      </c>
      <c r="AD15" s="131">
        <f>IF(AD$12="Actual",SUMIFS(ActualsTable[Month 28],ActualsTable[Revenue Item2],$B15),SUMIFS(Revenue!AN$7:AN$57,Revenue!$L$7:$L$57,$B15,Revenue!$B$7:$B$57,AD$11))</f>
        <v>0</v>
      </c>
      <c r="AE15" s="131">
        <f>IF(AE$12="Actual",SUMIFS(ActualsTable[Month 29],ActualsTable[Revenue Item2],$B15),SUMIFS(Revenue!AO$7:AO$57,Revenue!$L$7:$L$57,$B15,Revenue!$B$7:$B$57,AE$11))</f>
        <v>0</v>
      </c>
      <c r="AF15" s="131">
        <f>IF(AF$12="Actual",SUMIFS(ActualsTable[Month 30],ActualsTable[Revenue Item2],$B15),SUMIFS(Revenue!AP$7:AP$57,Revenue!$L$7:$L$57,$B15,Revenue!$B$7:$B$57,AF$11))</f>
        <v>0</v>
      </c>
      <c r="AG15" s="131">
        <f>IF(AG$12="Actual",SUMIFS(ActualsTable[Month 31],ActualsTable[Revenue Item2],$B15),SUMIFS(Revenue!AQ$7:AQ$57,Revenue!$L$7:$L$57,$B15,Revenue!$B$7:$B$57,AG$11))</f>
        <v>0</v>
      </c>
      <c r="AH15" s="131">
        <f>IF(AH$12="Actual",SUMIFS(ActualsTable[Month 32],ActualsTable[Revenue Item2],$B15),SUMIFS(Revenue!AR$7:AR$57,Revenue!$L$7:$L$57,$B15,Revenue!$B$7:$B$57,AH$11))</f>
        <v>0</v>
      </c>
      <c r="AI15" s="131">
        <f>IF(AI$12="Actual",SUMIFS(ActualsTable[Month 33],ActualsTable[Revenue Item2],$B15),SUMIFS(Revenue!AS$7:AS$57,Revenue!$L$7:$L$57,$B15,Revenue!$B$7:$B$57,AI$11))</f>
        <v>0</v>
      </c>
      <c r="AJ15" s="131">
        <f>IF(AJ$12="Actual",SUMIFS(ActualsTable[Month 34],ActualsTable[Revenue Item2],$B15),SUMIFS(Revenue!AT$7:AT$57,Revenue!$L$7:$L$57,$B15,Revenue!$B$7:$B$57,AJ$11))</f>
        <v>0</v>
      </c>
      <c r="AK15" s="131">
        <f>IF(AK$12="Actual",SUMIFS(ActualsTable[Month 35],ActualsTable[Revenue Item2],$B15),SUMIFS(Revenue!AU$7:AU$57,Revenue!$L$7:$L$57,$B15,Revenue!$B$7:$B$57,AK$11))</f>
        <v>0</v>
      </c>
      <c r="AL15" s="291">
        <f>IF(AL$12="Actual",SUMIFS(ActualsTable[Month 36],ActualsTable[Revenue Item2],$B15),SUMIFS(Revenue!AV$7:AV$57,Revenue!$L$7:$L$57,$B15,Revenue!$B$7:$B$57,AL$11))</f>
        <v>0</v>
      </c>
      <c r="AN15" s="317">
        <f t="shared" ca="1" si="41"/>
        <v>0</v>
      </c>
      <c r="AO15" s="131">
        <f t="shared" ca="1" si="41"/>
        <v>0</v>
      </c>
      <c r="AP15" s="131">
        <f t="shared" ca="1" si="41"/>
        <v>0</v>
      </c>
      <c r="AQ15" s="131">
        <f t="shared" ca="1" si="41"/>
        <v>0</v>
      </c>
      <c r="AR15" s="131">
        <f t="shared" ca="1" si="41"/>
        <v>0</v>
      </c>
      <c r="AS15" s="131">
        <f t="shared" ca="1" si="41"/>
        <v>0</v>
      </c>
      <c r="AT15" s="131">
        <f t="shared" ca="1" si="41"/>
        <v>0</v>
      </c>
      <c r="AU15" s="131">
        <f t="shared" ca="1" si="41"/>
        <v>0</v>
      </c>
      <c r="AV15" s="131">
        <f t="shared" ca="1" si="41"/>
        <v>0</v>
      </c>
      <c r="AW15" s="131">
        <f t="shared" ca="1" si="41"/>
        <v>0</v>
      </c>
      <c r="AX15" s="131">
        <f t="shared" ca="1" si="41"/>
        <v>0</v>
      </c>
      <c r="AY15" s="291">
        <f t="shared" ca="1" si="41"/>
        <v>0</v>
      </c>
      <c r="BA15" s="317">
        <f t="shared" ca="1" si="42"/>
        <v>0</v>
      </c>
      <c r="BB15" s="131">
        <f t="shared" ca="1" si="42"/>
        <v>0</v>
      </c>
      <c r="BC15" s="291">
        <f t="shared" ca="1" si="42"/>
        <v>0</v>
      </c>
    </row>
    <row r="16" spans="2:55" x14ac:dyDescent="0.35">
      <c r="B16" s="63" t="s">
        <v>4</v>
      </c>
      <c r="C16" s="131">
        <f>IF(C$12="Actual",SUMIFS(ActualsTable[Month 1],ActualsTable[Revenue Item2],$B16),SUMIFS(Revenue!M$7:M$57,Revenue!$L$7:$L$57,$B16,Revenue!$B$7:$B$57,C$11))</f>
        <v>0</v>
      </c>
      <c r="D16" s="131">
        <f>IF(D$12="Actual",SUMIFS(ActualsTable[Month 2],ActualsTable[Revenue Item2],$B16),SUMIFS(Revenue!N$7:N$57,Revenue!$L$7:$L$57,$B16,Revenue!$B$7:$B$57,D$11))</f>
        <v>0</v>
      </c>
      <c r="E16" s="131">
        <f>IF(E$12="Actual",SUMIFS(ActualsTable[Month 3],ActualsTable[Revenue Item2],$B16),SUMIFS(Revenue!O$7:O$57,Revenue!$L$7:$L$57,$B16,Revenue!$B$7:$B$57,E$11))</f>
        <v>0</v>
      </c>
      <c r="F16" s="131">
        <f>IF(F$12="Actual",SUMIFS(ActualsTable[Month 4],ActualsTable[Revenue Item2],$B16),SUMIFS(Revenue!P$7:P$57,Revenue!$L$7:$L$57,$B16,Revenue!$B$7:$B$57,F$11))</f>
        <v>0</v>
      </c>
      <c r="G16" s="131">
        <f>IF(G$12="Actual",SUMIFS(ActualsTable[Month 5],ActualsTable[Revenue Item2],$B16),SUMIFS(Revenue!Q$7:Q$57,Revenue!$L$7:$L$57,$B16,Revenue!$B$7:$B$57,G$11))</f>
        <v>0</v>
      </c>
      <c r="H16" s="131">
        <f>IF(H$12="Actual",SUMIFS(ActualsTable[Month 6],ActualsTable[Revenue Item2],$B16),SUMIFS(Revenue!R$7:R$57,Revenue!$L$7:$L$57,$B16,Revenue!$B$7:$B$57,H$11))</f>
        <v>0</v>
      </c>
      <c r="I16" s="131">
        <f>IF(I$12="Actual",SUMIFS(ActualsTable[Month 7],ActualsTable[Revenue Item2],$B16),SUMIFS(Revenue!S$7:S$57,Revenue!$L$7:$L$57,$B16,Revenue!$B$7:$B$57,I$11))</f>
        <v>0</v>
      </c>
      <c r="J16" s="131">
        <f>IF(J$12="Actual",SUMIFS(ActualsTable[Month 8],ActualsTable[Revenue Item2],$B16),SUMIFS(Revenue!T$7:T$57,Revenue!$L$7:$L$57,$B16,Revenue!$B$7:$B$57,J$11))</f>
        <v>0</v>
      </c>
      <c r="K16" s="131">
        <f>IF(K$12="Actual",SUMIFS(ActualsTable[Month 9],ActualsTable[Revenue Item2],$B16),SUMIFS(Revenue!U$7:U$57,Revenue!$L$7:$L$57,$B16,Revenue!$B$7:$B$57,K$11))</f>
        <v>0</v>
      </c>
      <c r="L16" s="131">
        <f>IF(L$12="Actual",SUMIFS(ActualsTable[Month 10],ActualsTable[Revenue Item2],$B16),SUMIFS(Revenue!V$7:V$57,Revenue!$L$7:$L$57,$B16,Revenue!$B$7:$B$57,L$11))</f>
        <v>0</v>
      </c>
      <c r="M16" s="131">
        <f>IF(M$12="Actual",SUMIFS(ActualsTable[Month 11],ActualsTable[Revenue Item2],$B16),SUMIFS(Revenue!W$7:W$57,Revenue!$L$7:$L$57,$B16,Revenue!$B$7:$B$57,M$11))</f>
        <v>0</v>
      </c>
      <c r="N16" s="131">
        <f>IF(N$12="Actual",SUMIFS(ActualsTable[Month 12],ActualsTable[Revenue Item2],$B16),SUMIFS(Revenue!X$7:X$57,Revenue!$L$7:$L$57,$B16,Revenue!$B$7:$B$57,N$11))</f>
        <v>0</v>
      </c>
      <c r="O16" s="131">
        <f>IF(O$12="Actual",SUMIFS(ActualsTable[Month 13],ActualsTable[Revenue Item2],$B16),SUMIFS(Revenue!Y$7:Y$57,Revenue!$L$7:$L$57,$B16,Revenue!$B$7:$B$57,O$11))</f>
        <v>0</v>
      </c>
      <c r="P16" s="131">
        <f>IF(P$12="Actual",SUMIFS(ActualsTable[Month 14],ActualsTable[Revenue Item2],$B16),SUMIFS(Revenue!Z$7:Z$57,Revenue!$L$7:$L$57,$B16,Revenue!$B$7:$B$57,P$11))</f>
        <v>0</v>
      </c>
      <c r="Q16" s="131">
        <f>IF(Q$12="Actual",SUMIFS(ActualsTable[Month 15],ActualsTable[Revenue Item2],$B16),SUMIFS(Revenue!AA$7:AA$57,Revenue!$L$7:$L$57,$B16,Revenue!$B$7:$B$57,Q$11))</f>
        <v>0</v>
      </c>
      <c r="R16" s="131">
        <f>IF(R$12="Actual",SUMIFS(ActualsTable[Month 16],ActualsTable[Revenue Item2],$B16),SUMIFS(Revenue!AB$7:AB$57,Revenue!$L$7:$L$57,$B16,Revenue!$B$7:$B$57,R$11))</f>
        <v>0</v>
      </c>
      <c r="S16" s="131">
        <f>IF(S$12="Actual",SUMIFS(ActualsTable[Month 17],ActualsTable[Revenue Item2],$B16),SUMIFS(Revenue!AC$7:AC$57,Revenue!$L$7:$L$57,$B16,Revenue!$B$7:$B$57,S$11))</f>
        <v>0</v>
      </c>
      <c r="T16" s="131">
        <f>IF(T$12="Actual",SUMIFS(ActualsTable[Month 18],ActualsTable[Revenue Item2],$B16),SUMIFS(Revenue!AD$7:AD$57,Revenue!$L$7:$L$57,$B16,Revenue!$B$7:$B$57,T$11))</f>
        <v>0</v>
      </c>
      <c r="U16" s="131">
        <f>IF(U$12="Actual",SUMIFS(ActualsTable[Month 19],ActualsTable[Revenue Item2],$B16),SUMIFS(Revenue!AE$7:AE$57,Revenue!$L$7:$L$57,$B16,Revenue!$B$7:$B$57,U$11))</f>
        <v>0</v>
      </c>
      <c r="V16" s="131">
        <f>IF(V$12="Actual",SUMIFS(ActualsTable[Month 20],ActualsTable[Revenue Item2],$B16),SUMIFS(Revenue!AF$7:AF$57,Revenue!$L$7:$L$57,$B16,Revenue!$B$7:$B$57,V$11))</f>
        <v>0</v>
      </c>
      <c r="W16" s="131">
        <f>IF(W$12="Actual",SUMIFS(ActualsTable[Month 21],ActualsTable[Revenue Item2],$B16),SUMIFS(Revenue!AG$7:AG$57,Revenue!$L$7:$L$57,$B16,Revenue!$B$7:$B$57,W$11))</f>
        <v>0</v>
      </c>
      <c r="X16" s="131">
        <f>IF(X$12="Actual",SUMIFS(ActualsTable[Month 22],ActualsTable[Revenue Item2],$B16),SUMIFS(Revenue!AH$7:AH$57,Revenue!$L$7:$L$57,$B16,Revenue!$B$7:$B$57,X$11))</f>
        <v>0</v>
      </c>
      <c r="Y16" s="131">
        <f>IF(Y$12="Actual",SUMIFS(ActualsTable[Month 23],ActualsTable[Revenue Item2],$B16),SUMIFS(Revenue!AI$7:AI$57,Revenue!$L$7:$L$57,$B16,Revenue!$B$7:$B$57,Y$11))</f>
        <v>0</v>
      </c>
      <c r="Z16" s="131">
        <f>IF(Z$12="Actual",SUMIFS(ActualsTable[Month 24],ActualsTable[Revenue Item2],$B16),SUMIFS(Revenue!AJ$7:AJ$57,Revenue!$L$7:$L$57,$B16,Revenue!$B$7:$B$57,Z$11))</f>
        <v>0</v>
      </c>
      <c r="AA16" s="131">
        <f>IF(AA$12="Actual",SUMIFS(ActualsTable[Month 25],ActualsTable[Revenue Item2],$B16),SUMIFS(Revenue!AK$7:AK$57,Revenue!$L$7:$L$57,$B16,Revenue!$B$7:$B$57,AA$11))</f>
        <v>0</v>
      </c>
      <c r="AB16" s="131">
        <f>IF(AB$12="Actual",SUMIFS(ActualsTable[Month 26],ActualsTable[Revenue Item2],$B16),SUMIFS(Revenue!AL$7:AL$57,Revenue!$L$7:$L$57,$B16,Revenue!$B$7:$B$57,AB$11))</f>
        <v>0</v>
      </c>
      <c r="AC16" s="131">
        <f>IF(AC$12="Actual",SUMIFS(ActualsTable[Month 27],ActualsTable[Revenue Item2],$B16),SUMIFS(Revenue!AM$7:AM$57,Revenue!$L$7:$L$57,$B16,Revenue!$B$7:$B$57,AC$11))</f>
        <v>0</v>
      </c>
      <c r="AD16" s="131">
        <f>IF(AD$12="Actual",SUMIFS(ActualsTable[Month 28],ActualsTable[Revenue Item2],$B16),SUMIFS(Revenue!AN$7:AN$57,Revenue!$L$7:$L$57,$B16,Revenue!$B$7:$B$57,AD$11))</f>
        <v>0</v>
      </c>
      <c r="AE16" s="131">
        <f>IF(AE$12="Actual",SUMIFS(ActualsTable[Month 29],ActualsTable[Revenue Item2],$B16),SUMIFS(Revenue!AO$7:AO$57,Revenue!$L$7:$L$57,$B16,Revenue!$B$7:$B$57,AE$11))</f>
        <v>0</v>
      </c>
      <c r="AF16" s="131">
        <f>IF(AF$12="Actual",SUMIFS(ActualsTable[Month 30],ActualsTable[Revenue Item2],$B16),SUMIFS(Revenue!AP$7:AP$57,Revenue!$L$7:$L$57,$B16,Revenue!$B$7:$B$57,AF$11))</f>
        <v>0</v>
      </c>
      <c r="AG16" s="131">
        <f>IF(AG$12="Actual",SUMIFS(ActualsTable[Month 31],ActualsTable[Revenue Item2],$B16),SUMIFS(Revenue!AQ$7:AQ$57,Revenue!$L$7:$L$57,$B16,Revenue!$B$7:$B$57,AG$11))</f>
        <v>0</v>
      </c>
      <c r="AH16" s="131">
        <f>IF(AH$12="Actual",SUMIFS(ActualsTable[Month 32],ActualsTable[Revenue Item2],$B16),SUMIFS(Revenue!AR$7:AR$57,Revenue!$L$7:$L$57,$B16,Revenue!$B$7:$B$57,AH$11))</f>
        <v>0</v>
      </c>
      <c r="AI16" s="131">
        <f>IF(AI$12="Actual",SUMIFS(ActualsTable[Month 33],ActualsTable[Revenue Item2],$B16),SUMIFS(Revenue!AS$7:AS$57,Revenue!$L$7:$L$57,$B16,Revenue!$B$7:$B$57,AI$11))</f>
        <v>0</v>
      </c>
      <c r="AJ16" s="131">
        <f>IF(AJ$12="Actual",SUMIFS(ActualsTable[Month 34],ActualsTable[Revenue Item2],$B16),SUMIFS(Revenue!AT$7:AT$57,Revenue!$L$7:$L$57,$B16,Revenue!$B$7:$B$57,AJ$11))</f>
        <v>0</v>
      </c>
      <c r="AK16" s="131">
        <f>IF(AK$12="Actual",SUMIFS(ActualsTable[Month 35],ActualsTable[Revenue Item2],$B16),SUMIFS(Revenue!AU$7:AU$57,Revenue!$L$7:$L$57,$B16,Revenue!$B$7:$B$57,AK$11))</f>
        <v>0</v>
      </c>
      <c r="AL16" s="291">
        <f>IF(AL$12="Actual",SUMIFS(ActualsTable[Month 36],ActualsTable[Revenue Item2],$B16),SUMIFS(Revenue!AV$7:AV$57,Revenue!$L$7:$L$57,$B16,Revenue!$B$7:$B$57,AL$11))</f>
        <v>0</v>
      </c>
      <c r="AN16" s="317">
        <f t="shared" ca="1" si="41"/>
        <v>0</v>
      </c>
      <c r="AO16" s="131">
        <f t="shared" ca="1" si="41"/>
        <v>0</v>
      </c>
      <c r="AP16" s="131">
        <f t="shared" ca="1" si="41"/>
        <v>0</v>
      </c>
      <c r="AQ16" s="131">
        <f t="shared" ca="1" si="41"/>
        <v>0</v>
      </c>
      <c r="AR16" s="131">
        <f t="shared" ca="1" si="41"/>
        <v>0</v>
      </c>
      <c r="AS16" s="131">
        <f t="shared" ca="1" si="41"/>
        <v>0</v>
      </c>
      <c r="AT16" s="131">
        <f t="shared" ca="1" si="41"/>
        <v>0</v>
      </c>
      <c r="AU16" s="131">
        <f t="shared" ca="1" si="41"/>
        <v>0</v>
      </c>
      <c r="AV16" s="131">
        <f t="shared" ca="1" si="41"/>
        <v>0</v>
      </c>
      <c r="AW16" s="131">
        <f t="shared" ca="1" si="41"/>
        <v>0</v>
      </c>
      <c r="AX16" s="131">
        <f t="shared" ca="1" si="41"/>
        <v>0</v>
      </c>
      <c r="AY16" s="291">
        <f t="shared" ca="1" si="41"/>
        <v>0</v>
      </c>
      <c r="BA16" s="317">
        <f t="shared" ca="1" si="42"/>
        <v>0</v>
      </c>
      <c r="BB16" s="131">
        <f t="shared" ca="1" si="42"/>
        <v>0</v>
      </c>
      <c r="BC16" s="291">
        <f t="shared" ca="1" si="42"/>
        <v>0</v>
      </c>
    </row>
    <row r="17" spans="2:55" x14ac:dyDescent="0.35">
      <c r="B17" s="63" t="s">
        <v>5</v>
      </c>
      <c r="C17" s="131">
        <f>IF(C$12="Actual",SUMIFS(ActualsTable[Month 1],ActualsTable[Revenue Item2],$B17),SUMIFS(Revenue!M$7:M$57,Revenue!$L$7:$L$57,$B17,Revenue!$B$7:$B$57,C$11))</f>
        <v>0</v>
      </c>
      <c r="D17" s="131">
        <f>IF(D$12="Actual",SUMIFS(ActualsTable[Month 2],ActualsTable[Revenue Item2],$B17),SUMIFS(Revenue!N$7:N$57,Revenue!$L$7:$L$57,$B17,Revenue!$B$7:$B$57,D$11))</f>
        <v>0</v>
      </c>
      <c r="E17" s="131">
        <f>IF(E$12="Actual",SUMIFS(ActualsTable[Month 3],ActualsTable[Revenue Item2],$B17),SUMIFS(Revenue!O$7:O$57,Revenue!$L$7:$L$57,$B17,Revenue!$B$7:$B$57,E$11))</f>
        <v>0</v>
      </c>
      <c r="F17" s="131">
        <f>IF(F$12="Actual",SUMIFS(ActualsTable[Month 4],ActualsTable[Revenue Item2],$B17),SUMIFS(Revenue!P$7:P$57,Revenue!$L$7:$L$57,$B17,Revenue!$B$7:$B$57,F$11))</f>
        <v>0</v>
      </c>
      <c r="G17" s="131">
        <f>IF(G$12="Actual",SUMIFS(ActualsTable[Month 5],ActualsTable[Revenue Item2],$B17),SUMIFS(Revenue!Q$7:Q$57,Revenue!$L$7:$L$57,$B17,Revenue!$B$7:$B$57,G$11))</f>
        <v>0</v>
      </c>
      <c r="H17" s="131">
        <f>IF(H$12="Actual",SUMIFS(ActualsTable[Month 6],ActualsTable[Revenue Item2],$B17),SUMIFS(Revenue!R$7:R$57,Revenue!$L$7:$L$57,$B17,Revenue!$B$7:$B$57,H$11))</f>
        <v>0</v>
      </c>
      <c r="I17" s="131">
        <f>IF(I$12="Actual",SUMIFS(ActualsTable[Month 7],ActualsTable[Revenue Item2],$B17),SUMIFS(Revenue!S$7:S$57,Revenue!$L$7:$L$57,$B17,Revenue!$B$7:$B$57,I$11))</f>
        <v>0</v>
      </c>
      <c r="J17" s="131">
        <f>IF(J$12="Actual",SUMIFS(ActualsTable[Month 8],ActualsTable[Revenue Item2],$B17),SUMIFS(Revenue!T$7:T$57,Revenue!$L$7:$L$57,$B17,Revenue!$B$7:$B$57,J$11))</f>
        <v>0</v>
      </c>
      <c r="K17" s="131">
        <f>IF(K$12="Actual",SUMIFS(ActualsTable[Month 9],ActualsTable[Revenue Item2],$B17),SUMIFS(Revenue!U$7:U$57,Revenue!$L$7:$L$57,$B17,Revenue!$B$7:$B$57,K$11))</f>
        <v>0</v>
      </c>
      <c r="L17" s="131">
        <f>IF(L$12="Actual",SUMIFS(ActualsTable[Month 10],ActualsTable[Revenue Item2],$B17),SUMIFS(Revenue!V$7:V$57,Revenue!$L$7:$L$57,$B17,Revenue!$B$7:$B$57,L$11))</f>
        <v>0</v>
      </c>
      <c r="M17" s="131">
        <f>IF(M$12="Actual",SUMIFS(ActualsTable[Month 11],ActualsTable[Revenue Item2],$B17),SUMIFS(Revenue!W$7:W$57,Revenue!$L$7:$L$57,$B17,Revenue!$B$7:$B$57,M$11))</f>
        <v>0</v>
      </c>
      <c r="N17" s="131">
        <f>IF(N$12="Actual",SUMIFS(ActualsTable[Month 12],ActualsTable[Revenue Item2],$B17),SUMIFS(Revenue!X$7:X$57,Revenue!$L$7:$L$57,$B17,Revenue!$B$7:$B$57,N$11))</f>
        <v>0</v>
      </c>
      <c r="O17" s="131">
        <f>IF(O$12="Actual",SUMIFS(ActualsTable[Month 13],ActualsTable[Revenue Item2],$B17),SUMIFS(Revenue!Y$7:Y$57,Revenue!$L$7:$L$57,$B17,Revenue!$B$7:$B$57,O$11))</f>
        <v>0</v>
      </c>
      <c r="P17" s="131">
        <f>IF(P$12="Actual",SUMIFS(ActualsTable[Month 14],ActualsTable[Revenue Item2],$B17),SUMIFS(Revenue!Z$7:Z$57,Revenue!$L$7:$L$57,$B17,Revenue!$B$7:$B$57,P$11))</f>
        <v>0</v>
      </c>
      <c r="Q17" s="131">
        <f>IF(Q$12="Actual",SUMIFS(ActualsTable[Month 15],ActualsTable[Revenue Item2],$B17),SUMIFS(Revenue!AA$7:AA$57,Revenue!$L$7:$L$57,$B17,Revenue!$B$7:$B$57,Q$11))</f>
        <v>0</v>
      </c>
      <c r="R17" s="131">
        <f>IF(R$12="Actual",SUMIFS(ActualsTable[Month 16],ActualsTable[Revenue Item2],$B17),SUMIFS(Revenue!AB$7:AB$57,Revenue!$L$7:$L$57,$B17,Revenue!$B$7:$B$57,R$11))</f>
        <v>0</v>
      </c>
      <c r="S17" s="131">
        <f>IF(S$12="Actual",SUMIFS(ActualsTable[Month 17],ActualsTable[Revenue Item2],$B17),SUMIFS(Revenue!AC$7:AC$57,Revenue!$L$7:$L$57,$B17,Revenue!$B$7:$B$57,S$11))</f>
        <v>0</v>
      </c>
      <c r="T17" s="131">
        <f>IF(T$12="Actual",SUMIFS(ActualsTable[Month 18],ActualsTable[Revenue Item2],$B17),SUMIFS(Revenue!AD$7:AD$57,Revenue!$L$7:$L$57,$B17,Revenue!$B$7:$B$57,T$11))</f>
        <v>0</v>
      </c>
      <c r="U17" s="131">
        <f>IF(U$12="Actual",SUMIFS(ActualsTable[Month 19],ActualsTable[Revenue Item2],$B17),SUMIFS(Revenue!AE$7:AE$57,Revenue!$L$7:$L$57,$B17,Revenue!$B$7:$B$57,U$11))</f>
        <v>0</v>
      </c>
      <c r="V17" s="131">
        <f>IF(V$12="Actual",SUMIFS(ActualsTable[Month 20],ActualsTable[Revenue Item2],$B17),SUMIFS(Revenue!AF$7:AF$57,Revenue!$L$7:$L$57,$B17,Revenue!$B$7:$B$57,V$11))</f>
        <v>0</v>
      </c>
      <c r="W17" s="131">
        <f>IF(W$12="Actual",SUMIFS(ActualsTable[Month 21],ActualsTable[Revenue Item2],$B17),SUMIFS(Revenue!AG$7:AG$57,Revenue!$L$7:$L$57,$B17,Revenue!$B$7:$B$57,W$11))</f>
        <v>0</v>
      </c>
      <c r="X17" s="131">
        <f>IF(X$12="Actual",SUMIFS(ActualsTable[Month 22],ActualsTable[Revenue Item2],$B17),SUMIFS(Revenue!AH$7:AH$57,Revenue!$L$7:$L$57,$B17,Revenue!$B$7:$B$57,X$11))</f>
        <v>0</v>
      </c>
      <c r="Y17" s="131">
        <f>IF(Y$12="Actual",SUMIFS(ActualsTable[Month 23],ActualsTable[Revenue Item2],$B17),SUMIFS(Revenue!AI$7:AI$57,Revenue!$L$7:$L$57,$B17,Revenue!$B$7:$B$57,Y$11))</f>
        <v>0</v>
      </c>
      <c r="Z17" s="131">
        <f>IF(Z$12="Actual",SUMIFS(ActualsTable[Month 24],ActualsTable[Revenue Item2],$B17),SUMIFS(Revenue!AJ$7:AJ$57,Revenue!$L$7:$L$57,$B17,Revenue!$B$7:$B$57,Z$11))</f>
        <v>0</v>
      </c>
      <c r="AA17" s="131">
        <f>IF(AA$12="Actual",SUMIFS(ActualsTable[Month 25],ActualsTable[Revenue Item2],$B17),SUMIFS(Revenue!AK$7:AK$57,Revenue!$L$7:$L$57,$B17,Revenue!$B$7:$B$57,AA$11))</f>
        <v>0</v>
      </c>
      <c r="AB17" s="131">
        <f>IF(AB$12="Actual",SUMIFS(ActualsTable[Month 26],ActualsTable[Revenue Item2],$B17),SUMIFS(Revenue!AL$7:AL$57,Revenue!$L$7:$L$57,$B17,Revenue!$B$7:$B$57,AB$11))</f>
        <v>0</v>
      </c>
      <c r="AC17" s="131">
        <f>IF(AC$12="Actual",SUMIFS(ActualsTable[Month 27],ActualsTable[Revenue Item2],$B17),SUMIFS(Revenue!AM$7:AM$57,Revenue!$L$7:$L$57,$B17,Revenue!$B$7:$B$57,AC$11))</f>
        <v>0</v>
      </c>
      <c r="AD17" s="131">
        <f>IF(AD$12="Actual",SUMIFS(ActualsTable[Month 28],ActualsTable[Revenue Item2],$B17),SUMIFS(Revenue!AN$7:AN$57,Revenue!$L$7:$L$57,$B17,Revenue!$B$7:$B$57,AD$11))</f>
        <v>0</v>
      </c>
      <c r="AE17" s="131">
        <f>IF(AE$12="Actual",SUMIFS(ActualsTable[Month 29],ActualsTable[Revenue Item2],$B17),SUMIFS(Revenue!AO$7:AO$57,Revenue!$L$7:$L$57,$B17,Revenue!$B$7:$B$57,AE$11))</f>
        <v>0</v>
      </c>
      <c r="AF17" s="131">
        <f>IF(AF$12="Actual",SUMIFS(ActualsTable[Month 30],ActualsTable[Revenue Item2],$B17),SUMIFS(Revenue!AP$7:AP$57,Revenue!$L$7:$L$57,$B17,Revenue!$B$7:$B$57,AF$11))</f>
        <v>0</v>
      </c>
      <c r="AG17" s="131">
        <f>IF(AG$12="Actual",SUMIFS(ActualsTable[Month 31],ActualsTable[Revenue Item2],$B17),SUMIFS(Revenue!AQ$7:AQ$57,Revenue!$L$7:$L$57,$B17,Revenue!$B$7:$B$57,AG$11))</f>
        <v>0</v>
      </c>
      <c r="AH17" s="131">
        <f>IF(AH$12="Actual",SUMIFS(ActualsTable[Month 32],ActualsTable[Revenue Item2],$B17),SUMIFS(Revenue!AR$7:AR$57,Revenue!$L$7:$L$57,$B17,Revenue!$B$7:$B$57,AH$11))</f>
        <v>0</v>
      </c>
      <c r="AI17" s="131">
        <f>IF(AI$12="Actual",SUMIFS(ActualsTable[Month 33],ActualsTable[Revenue Item2],$B17),SUMIFS(Revenue!AS$7:AS$57,Revenue!$L$7:$L$57,$B17,Revenue!$B$7:$B$57,AI$11))</f>
        <v>0</v>
      </c>
      <c r="AJ17" s="131">
        <f>IF(AJ$12="Actual",SUMIFS(ActualsTable[Month 34],ActualsTable[Revenue Item2],$B17),SUMIFS(Revenue!AT$7:AT$57,Revenue!$L$7:$L$57,$B17,Revenue!$B$7:$B$57,AJ$11))</f>
        <v>0</v>
      </c>
      <c r="AK17" s="131">
        <f>IF(AK$12="Actual",SUMIFS(ActualsTable[Month 35],ActualsTable[Revenue Item2],$B17),SUMIFS(Revenue!AU$7:AU$57,Revenue!$L$7:$L$57,$B17,Revenue!$B$7:$B$57,AK$11))</f>
        <v>0</v>
      </c>
      <c r="AL17" s="291">
        <f>IF(AL$12="Actual",SUMIFS(ActualsTable[Month 36],ActualsTable[Revenue Item2],$B17),SUMIFS(Revenue!AV$7:AV$57,Revenue!$L$7:$L$57,$B17,Revenue!$B$7:$B$57,AL$11))</f>
        <v>0</v>
      </c>
      <c r="AN17" s="317">
        <f t="shared" ca="1" si="41"/>
        <v>0</v>
      </c>
      <c r="AO17" s="131">
        <f t="shared" ca="1" si="41"/>
        <v>0</v>
      </c>
      <c r="AP17" s="131">
        <f t="shared" ca="1" si="41"/>
        <v>0</v>
      </c>
      <c r="AQ17" s="131">
        <f t="shared" ca="1" si="41"/>
        <v>0</v>
      </c>
      <c r="AR17" s="131">
        <f t="shared" ca="1" si="41"/>
        <v>0</v>
      </c>
      <c r="AS17" s="131">
        <f t="shared" ca="1" si="41"/>
        <v>0</v>
      </c>
      <c r="AT17" s="131">
        <f t="shared" ca="1" si="41"/>
        <v>0</v>
      </c>
      <c r="AU17" s="131">
        <f t="shared" ca="1" si="41"/>
        <v>0</v>
      </c>
      <c r="AV17" s="131">
        <f t="shared" ca="1" si="41"/>
        <v>0</v>
      </c>
      <c r="AW17" s="131">
        <f t="shared" ca="1" si="41"/>
        <v>0</v>
      </c>
      <c r="AX17" s="131">
        <f t="shared" ca="1" si="41"/>
        <v>0</v>
      </c>
      <c r="AY17" s="291">
        <f t="shared" ca="1" si="41"/>
        <v>0</v>
      </c>
      <c r="BA17" s="317">
        <f t="shared" ca="1" si="42"/>
        <v>0</v>
      </c>
      <c r="BB17" s="131">
        <f t="shared" ca="1" si="42"/>
        <v>0</v>
      </c>
      <c r="BC17" s="291">
        <f t="shared" ca="1" si="42"/>
        <v>0</v>
      </c>
    </row>
    <row r="18" spans="2:55" ht="17" x14ac:dyDescent="0.6">
      <c r="B18" s="63" t="s">
        <v>6</v>
      </c>
      <c r="C18" s="147">
        <f t="shared" ref="C18:AN18" si="43">SUM(C19:C20)</f>
        <v>0</v>
      </c>
      <c r="D18" s="147">
        <f t="shared" ref="D18:AL18" si="44">SUM(D19:D20)</f>
        <v>0</v>
      </c>
      <c r="E18" s="147">
        <f t="shared" si="44"/>
        <v>0</v>
      </c>
      <c r="F18" s="147">
        <f t="shared" si="44"/>
        <v>0</v>
      </c>
      <c r="G18" s="147">
        <f t="shared" si="44"/>
        <v>0</v>
      </c>
      <c r="H18" s="147">
        <f t="shared" si="44"/>
        <v>0</v>
      </c>
      <c r="I18" s="147">
        <f t="shared" si="44"/>
        <v>0</v>
      </c>
      <c r="J18" s="147">
        <f t="shared" si="44"/>
        <v>0</v>
      </c>
      <c r="K18" s="147">
        <f t="shared" si="44"/>
        <v>0</v>
      </c>
      <c r="L18" s="147">
        <f t="shared" si="44"/>
        <v>0</v>
      </c>
      <c r="M18" s="147">
        <f t="shared" si="44"/>
        <v>0</v>
      </c>
      <c r="N18" s="147">
        <f t="shared" si="44"/>
        <v>0</v>
      </c>
      <c r="O18" s="147">
        <f t="shared" si="44"/>
        <v>0</v>
      </c>
      <c r="P18" s="147">
        <f t="shared" si="44"/>
        <v>0</v>
      </c>
      <c r="Q18" s="147">
        <f t="shared" si="44"/>
        <v>0</v>
      </c>
      <c r="R18" s="147">
        <f t="shared" si="44"/>
        <v>0</v>
      </c>
      <c r="S18" s="147">
        <f t="shared" si="44"/>
        <v>0</v>
      </c>
      <c r="T18" s="147">
        <f t="shared" si="44"/>
        <v>0</v>
      </c>
      <c r="U18" s="147">
        <f t="shared" si="44"/>
        <v>0</v>
      </c>
      <c r="V18" s="147">
        <f t="shared" si="44"/>
        <v>0</v>
      </c>
      <c r="W18" s="147">
        <f t="shared" si="44"/>
        <v>0</v>
      </c>
      <c r="X18" s="147">
        <f t="shared" si="44"/>
        <v>0</v>
      </c>
      <c r="Y18" s="147">
        <f t="shared" si="44"/>
        <v>0</v>
      </c>
      <c r="Z18" s="147">
        <f t="shared" si="44"/>
        <v>0</v>
      </c>
      <c r="AA18" s="147">
        <f t="shared" si="44"/>
        <v>0</v>
      </c>
      <c r="AB18" s="147">
        <f t="shared" si="44"/>
        <v>0</v>
      </c>
      <c r="AC18" s="147">
        <f t="shared" si="44"/>
        <v>0</v>
      </c>
      <c r="AD18" s="147">
        <f t="shared" si="44"/>
        <v>0</v>
      </c>
      <c r="AE18" s="147">
        <f t="shared" si="44"/>
        <v>0</v>
      </c>
      <c r="AF18" s="147">
        <f t="shared" si="44"/>
        <v>0</v>
      </c>
      <c r="AG18" s="147">
        <f t="shared" si="44"/>
        <v>0</v>
      </c>
      <c r="AH18" s="147">
        <f t="shared" si="44"/>
        <v>0</v>
      </c>
      <c r="AI18" s="147">
        <f t="shared" si="44"/>
        <v>0</v>
      </c>
      <c r="AJ18" s="147">
        <f t="shared" si="44"/>
        <v>0</v>
      </c>
      <c r="AK18" s="147">
        <f t="shared" si="44"/>
        <v>0</v>
      </c>
      <c r="AL18" s="292">
        <f t="shared" si="44"/>
        <v>0</v>
      </c>
      <c r="AN18" s="318">
        <f t="shared" ca="1" si="43"/>
        <v>0</v>
      </c>
      <c r="AO18" s="147">
        <f t="shared" ref="AO18:AT18" ca="1" si="45">SUM(AO19:AO20)</f>
        <v>0</v>
      </c>
      <c r="AP18" s="147">
        <f t="shared" ca="1" si="45"/>
        <v>0</v>
      </c>
      <c r="AQ18" s="147">
        <f t="shared" ca="1" si="45"/>
        <v>0</v>
      </c>
      <c r="AR18" s="147">
        <f t="shared" ca="1" si="45"/>
        <v>0</v>
      </c>
      <c r="AS18" s="147">
        <f t="shared" ca="1" si="45"/>
        <v>0</v>
      </c>
      <c r="AT18" s="147">
        <f t="shared" ca="1" si="45"/>
        <v>0</v>
      </c>
      <c r="AU18" s="147">
        <f t="shared" ref="AU18:AY18" ca="1" si="46">SUM(AU19:AU20)</f>
        <v>0</v>
      </c>
      <c r="AV18" s="147">
        <f t="shared" ca="1" si="46"/>
        <v>0</v>
      </c>
      <c r="AW18" s="147">
        <f t="shared" ca="1" si="46"/>
        <v>0</v>
      </c>
      <c r="AX18" s="147">
        <f t="shared" ca="1" si="46"/>
        <v>0</v>
      </c>
      <c r="AY18" s="292">
        <f t="shared" ca="1" si="46"/>
        <v>0</v>
      </c>
      <c r="BA18" s="318">
        <f t="shared" ref="BA18" ca="1" si="47">SUM(BA19:BA20)</f>
        <v>0</v>
      </c>
      <c r="BB18" s="147">
        <f t="shared" ref="BB18:BC18" ca="1" si="48">SUM(BB19:BB20)</f>
        <v>0</v>
      </c>
      <c r="BC18" s="292">
        <f t="shared" ca="1" si="48"/>
        <v>0</v>
      </c>
    </row>
    <row r="19" spans="2:55" x14ac:dyDescent="0.35">
      <c r="B19" s="64" t="s">
        <v>7</v>
      </c>
      <c r="C19" s="137">
        <f>IF(C$12="Actual",SUMIFS(ActualsTable[Month 1],ActualsTable[Revenue Item2],$B19),SUMIFS(Revenue!M$7:M$57,Revenue!$L$7:$L$57,$B19,Revenue!$B$7:$B$57,C$11))</f>
        <v>0</v>
      </c>
      <c r="D19" s="137">
        <f>IF(D$12="Actual",SUMIFS(ActualsTable[Month 2],ActualsTable[Revenue Item2],$B19),SUMIFS(Revenue!N$7:N$57,Revenue!$L$7:$L$57,$B19,Revenue!$B$7:$B$57,D$11))</f>
        <v>0</v>
      </c>
      <c r="E19" s="137">
        <f>IF(E$12="Actual",SUMIFS(ActualsTable[Month 3],ActualsTable[Revenue Item2],$B19),SUMIFS(Revenue!O$7:O$57,Revenue!$L$7:$L$57,$B19,Revenue!$B$7:$B$57,E$11))</f>
        <v>0</v>
      </c>
      <c r="F19" s="137">
        <f>IF(F$12="Actual",SUMIFS(ActualsTable[Month 4],ActualsTable[Revenue Item2],$B19),SUMIFS(Revenue!P$7:P$57,Revenue!$L$7:$L$57,$B19,Revenue!$B$7:$B$57,F$11))</f>
        <v>0</v>
      </c>
      <c r="G19" s="137">
        <f>IF(G$12="Actual",SUMIFS(ActualsTable[Month 5],ActualsTable[Revenue Item2],$B19),SUMIFS(Revenue!Q$7:Q$57,Revenue!$L$7:$L$57,$B19,Revenue!$B$7:$B$57,G$11))</f>
        <v>0</v>
      </c>
      <c r="H19" s="137">
        <f>IF(H$12="Actual",SUMIFS(ActualsTable[Month 6],ActualsTable[Revenue Item2],$B19),SUMIFS(Revenue!R$7:R$57,Revenue!$L$7:$L$57,$B19,Revenue!$B$7:$B$57,H$11))</f>
        <v>0</v>
      </c>
      <c r="I19" s="137">
        <f>IF(I$12="Actual",SUMIFS(ActualsTable[Month 7],ActualsTable[Revenue Item2],$B19),SUMIFS(Revenue!S$7:S$57,Revenue!$L$7:$L$57,$B19,Revenue!$B$7:$B$57,I$11))</f>
        <v>0</v>
      </c>
      <c r="J19" s="137">
        <f>IF(J$12="Actual",SUMIFS(ActualsTable[Month 8],ActualsTable[Revenue Item2],$B19),SUMIFS(Revenue!T$7:T$57,Revenue!$L$7:$L$57,$B19,Revenue!$B$7:$B$57,J$11))</f>
        <v>0</v>
      </c>
      <c r="K19" s="137">
        <f>IF(K$12="Actual",SUMIFS(ActualsTable[Month 9],ActualsTable[Revenue Item2],$B19),SUMIFS(Revenue!U$7:U$57,Revenue!$L$7:$L$57,$B19,Revenue!$B$7:$B$57,K$11))</f>
        <v>0</v>
      </c>
      <c r="L19" s="137">
        <f>IF(L$12="Actual",SUMIFS(ActualsTable[Month 10],ActualsTable[Revenue Item2],$B19),SUMIFS(Revenue!V$7:V$57,Revenue!$L$7:$L$57,$B19,Revenue!$B$7:$B$57,L$11))</f>
        <v>0</v>
      </c>
      <c r="M19" s="137">
        <f>IF(M$12="Actual",SUMIFS(ActualsTable[Month 11],ActualsTable[Revenue Item2],$B19),SUMIFS(Revenue!W$7:W$57,Revenue!$L$7:$L$57,$B19,Revenue!$B$7:$B$57,M$11))</f>
        <v>0</v>
      </c>
      <c r="N19" s="137">
        <f>IF(N$12="Actual",SUMIFS(ActualsTable[Month 12],ActualsTable[Revenue Item2],$B19),SUMIFS(Revenue!X$7:X$57,Revenue!$L$7:$L$57,$B19,Revenue!$B$7:$B$57,N$11))</f>
        <v>0</v>
      </c>
      <c r="O19" s="137">
        <f>IF(O$12="Actual",SUMIFS(ActualsTable[Month 13],ActualsTable[Revenue Item2],$B19),SUMIFS(Revenue!Y$7:Y$57,Revenue!$L$7:$L$57,$B19,Revenue!$B$7:$B$57,O$11))</f>
        <v>0</v>
      </c>
      <c r="P19" s="137">
        <f>IF(P$12="Actual",SUMIFS(ActualsTable[Month 14],ActualsTable[Revenue Item2],$B19),SUMIFS(Revenue!Z$7:Z$57,Revenue!$L$7:$L$57,$B19,Revenue!$B$7:$B$57,P$11))</f>
        <v>0</v>
      </c>
      <c r="Q19" s="137">
        <f>IF(Q$12="Actual",SUMIFS(ActualsTable[Month 15],ActualsTable[Revenue Item2],$B19),SUMIFS(Revenue!AA$7:AA$57,Revenue!$L$7:$L$57,$B19,Revenue!$B$7:$B$57,Q$11))</f>
        <v>0</v>
      </c>
      <c r="R19" s="137">
        <f>IF(R$12="Actual",SUMIFS(ActualsTable[Month 16],ActualsTable[Revenue Item2],$B19),SUMIFS(Revenue!AB$7:AB$57,Revenue!$L$7:$L$57,$B19,Revenue!$B$7:$B$57,R$11))</f>
        <v>0</v>
      </c>
      <c r="S19" s="137">
        <f>IF(S$12="Actual",SUMIFS(ActualsTable[Month 17],ActualsTable[Revenue Item2],$B19),SUMIFS(Revenue!AC$7:AC$57,Revenue!$L$7:$L$57,$B19,Revenue!$B$7:$B$57,S$11))</f>
        <v>0</v>
      </c>
      <c r="T19" s="137">
        <f>IF(T$12="Actual",SUMIFS(ActualsTable[Month 18],ActualsTable[Revenue Item2],$B19),SUMIFS(Revenue!AD$7:AD$57,Revenue!$L$7:$L$57,$B19,Revenue!$B$7:$B$57,T$11))</f>
        <v>0</v>
      </c>
      <c r="U19" s="137">
        <f>IF(U$12="Actual",SUMIFS(ActualsTable[Month 19],ActualsTable[Revenue Item2],$B19),SUMIFS(Revenue!AE$7:AE$57,Revenue!$L$7:$L$57,$B19,Revenue!$B$7:$B$57,U$11))</f>
        <v>0</v>
      </c>
      <c r="V19" s="137">
        <f>IF(V$12="Actual",SUMIFS(ActualsTable[Month 20],ActualsTable[Revenue Item2],$B19),SUMIFS(Revenue!AF$7:AF$57,Revenue!$L$7:$L$57,$B19,Revenue!$B$7:$B$57,V$11))</f>
        <v>0</v>
      </c>
      <c r="W19" s="137">
        <f>IF(W$12="Actual",SUMIFS(ActualsTable[Month 21],ActualsTable[Revenue Item2],$B19),SUMIFS(Revenue!AG$7:AG$57,Revenue!$L$7:$L$57,$B19,Revenue!$B$7:$B$57,W$11))</f>
        <v>0</v>
      </c>
      <c r="X19" s="137">
        <f>IF(X$12="Actual",SUMIFS(ActualsTable[Month 22],ActualsTable[Revenue Item2],$B19),SUMIFS(Revenue!AH$7:AH$57,Revenue!$L$7:$L$57,$B19,Revenue!$B$7:$B$57,X$11))</f>
        <v>0</v>
      </c>
      <c r="Y19" s="137">
        <f>IF(Y$12="Actual",SUMIFS(ActualsTable[Month 23],ActualsTable[Revenue Item2],$B19),SUMIFS(Revenue!AI$7:AI$57,Revenue!$L$7:$L$57,$B19,Revenue!$B$7:$B$57,Y$11))</f>
        <v>0</v>
      </c>
      <c r="Z19" s="137">
        <f>IF(Z$12="Actual",SUMIFS(ActualsTable[Month 24],ActualsTable[Revenue Item2],$B19),SUMIFS(Revenue!AJ$7:AJ$57,Revenue!$L$7:$L$57,$B19,Revenue!$B$7:$B$57,Z$11))</f>
        <v>0</v>
      </c>
      <c r="AA19" s="137">
        <f>IF(AA$12="Actual",SUMIFS(ActualsTable[Month 25],ActualsTable[Revenue Item2],$B19),SUMIFS(Revenue!AK$7:AK$57,Revenue!$L$7:$L$57,$B19,Revenue!$B$7:$B$57,AA$11))</f>
        <v>0</v>
      </c>
      <c r="AB19" s="137">
        <f>IF(AB$12="Actual",SUMIFS(ActualsTable[Month 26],ActualsTable[Revenue Item2],$B19),SUMIFS(Revenue!AL$7:AL$57,Revenue!$L$7:$L$57,$B19,Revenue!$B$7:$B$57,AB$11))</f>
        <v>0</v>
      </c>
      <c r="AC19" s="137">
        <f>IF(AC$12="Actual",SUMIFS(ActualsTable[Month 27],ActualsTable[Revenue Item2],$B19),SUMIFS(Revenue!AM$7:AM$57,Revenue!$L$7:$L$57,$B19,Revenue!$B$7:$B$57,AC$11))</f>
        <v>0</v>
      </c>
      <c r="AD19" s="137">
        <f>IF(AD$12="Actual",SUMIFS(ActualsTable[Month 28],ActualsTable[Revenue Item2],$B19),SUMIFS(Revenue!AN$7:AN$57,Revenue!$L$7:$L$57,$B19,Revenue!$B$7:$B$57,AD$11))</f>
        <v>0</v>
      </c>
      <c r="AE19" s="137">
        <f>IF(AE$12="Actual",SUMIFS(ActualsTable[Month 29],ActualsTable[Revenue Item2],$B19),SUMIFS(Revenue!AO$7:AO$57,Revenue!$L$7:$L$57,$B19,Revenue!$B$7:$B$57,AE$11))</f>
        <v>0</v>
      </c>
      <c r="AF19" s="137">
        <f>IF(AF$12="Actual",SUMIFS(ActualsTable[Month 30],ActualsTable[Revenue Item2],$B19),SUMIFS(Revenue!AP$7:AP$57,Revenue!$L$7:$L$57,$B19,Revenue!$B$7:$B$57,AF$11))</f>
        <v>0</v>
      </c>
      <c r="AG19" s="137">
        <f>IF(AG$12="Actual",SUMIFS(ActualsTable[Month 31],ActualsTable[Revenue Item2],$B19),SUMIFS(Revenue!AQ$7:AQ$57,Revenue!$L$7:$L$57,$B19,Revenue!$B$7:$B$57,AG$11))</f>
        <v>0</v>
      </c>
      <c r="AH19" s="137">
        <f>IF(AH$12="Actual",SUMIFS(ActualsTable[Month 32],ActualsTable[Revenue Item2],$B19),SUMIFS(Revenue!AR$7:AR$57,Revenue!$L$7:$L$57,$B19,Revenue!$B$7:$B$57,AH$11))</f>
        <v>0</v>
      </c>
      <c r="AI19" s="137">
        <f>IF(AI$12="Actual",SUMIFS(ActualsTable[Month 33],ActualsTable[Revenue Item2],$B19),SUMIFS(Revenue!AS$7:AS$57,Revenue!$L$7:$L$57,$B19,Revenue!$B$7:$B$57,AI$11))</f>
        <v>0</v>
      </c>
      <c r="AJ19" s="137">
        <f>IF(AJ$12="Actual",SUMIFS(ActualsTable[Month 34],ActualsTable[Revenue Item2],$B19),SUMIFS(Revenue!AT$7:AT$57,Revenue!$L$7:$L$57,$B19,Revenue!$B$7:$B$57,AJ$11))</f>
        <v>0</v>
      </c>
      <c r="AK19" s="137">
        <f>IF(AK$12="Actual",SUMIFS(ActualsTable[Month 35],ActualsTable[Revenue Item2],$B19),SUMIFS(Revenue!AU$7:AU$57,Revenue!$L$7:$L$57,$B19,Revenue!$B$7:$B$57,AK$11))</f>
        <v>0</v>
      </c>
      <c r="AL19" s="293">
        <f>IF(AL$12="Actual",SUMIFS(ActualsTable[Month 36],ActualsTable[Revenue Item2],$B19),SUMIFS(Revenue!AV$7:AV$57,Revenue!$L$7:$L$57,$B19,Revenue!$B$7:$B$57,AL$11))</f>
        <v>0</v>
      </c>
      <c r="AN19" s="319">
        <f t="shared" ref="AN19:AY20" ca="1" si="49">SUM(OFFSET($B19,0,3*AN$9+1,1,3))</f>
        <v>0</v>
      </c>
      <c r="AO19" s="137">
        <f t="shared" ca="1" si="49"/>
        <v>0</v>
      </c>
      <c r="AP19" s="137">
        <f t="shared" ca="1" si="49"/>
        <v>0</v>
      </c>
      <c r="AQ19" s="137">
        <f t="shared" ca="1" si="49"/>
        <v>0</v>
      </c>
      <c r="AR19" s="137">
        <f t="shared" ca="1" si="49"/>
        <v>0</v>
      </c>
      <c r="AS19" s="137">
        <f t="shared" ca="1" si="49"/>
        <v>0</v>
      </c>
      <c r="AT19" s="137">
        <f t="shared" ca="1" si="49"/>
        <v>0</v>
      </c>
      <c r="AU19" s="137">
        <f t="shared" ca="1" si="49"/>
        <v>0</v>
      </c>
      <c r="AV19" s="137">
        <f t="shared" ca="1" si="49"/>
        <v>0</v>
      </c>
      <c r="AW19" s="137">
        <f t="shared" ca="1" si="49"/>
        <v>0</v>
      </c>
      <c r="AX19" s="137">
        <f t="shared" ca="1" si="49"/>
        <v>0</v>
      </c>
      <c r="AY19" s="293">
        <f t="shared" ca="1" si="49"/>
        <v>0</v>
      </c>
      <c r="BA19" s="319">
        <f t="shared" ref="BA19:BC20" ca="1" si="50">SUM(OFFSET($B19,0,12*BA$9+1,1,12))</f>
        <v>0</v>
      </c>
      <c r="BB19" s="137">
        <f t="shared" ca="1" si="50"/>
        <v>0</v>
      </c>
      <c r="BC19" s="293">
        <f t="shared" ca="1" si="50"/>
        <v>0</v>
      </c>
    </row>
    <row r="20" spans="2:55" ht="15" x14ac:dyDescent="0.4">
      <c r="B20" s="64" t="s">
        <v>8</v>
      </c>
      <c r="C20" s="136">
        <f>IF(C$12="Actual",SUMIFS(ActualsTable[Month 1],ActualsTable[Revenue Item2],$B20),SUMIFS(Revenue!M$7:M$57,Revenue!$L$7:$L$57,$B20,Revenue!$B$7:$B$57,C$11))</f>
        <v>0</v>
      </c>
      <c r="D20" s="136">
        <f>IF(D$12="Actual",SUMIFS(ActualsTable[Month 2],ActualsTable[Revenue Item2],$B20),SUMIFS(Revenue!N$7:N$57,Revenue!$L$7:$L$57,$B20,Revenue!$B$7:$B$57,D$11))</f>
        <v>0</v>
      </c>
      <c r="E20" s="136">
        <f>IF(E$12="Actual",SUMIFS(ActualsTable[Month 3],ActualsTable[Revenue Item2],$B20),SUMIFS(Revenue!O$7:O$57,Revenue!$L$7:$L$57,$B20,Revenue!$B$7:$B$57,E$11))</f>
        <v>0</v>
      </c>
      <c r="F20" s="136">
        <f>IF(F$12="Actual",SUMIFS(ActualsTable[Month 4],ActualsTable[Revenue Item2],$B20),SUMIFS(Revenue!P$7:P$57,Revenue!$L$7:$L$57,$B20,Revenue!$B$7:$B$57,F$11))</f>
        <v>0</v>
      </c>
      <c r="G20" s="136">
        <f>IF(G$12="Actual",SUMIFS(ActualsTable[Month 5],ActualsTable[Revenue Item2],$B20),SUMIFS(Revenue!Q$7:Q$57,Revenue!$L$7:$L$57,$B20,Revenue!$B$7:$B$57,G$11))</f>
        <v>0</v>
      </c>
      <c r="H20" s="136">
        <f>IF(H$12="Actual",SUMIFS(ActualsTable[Month 6],ActualsTable[Revenue Item2],$B20),SUMIFS(Revenue!R$7:R$57,Revenue!$L$7:$L$57,$B20,Revenue!$B$7:$B$57,H$11))</f>
        <v>0</v>
      </c>
      <c r="I20" s="136">
        <f>IF(I$12="Actual",SUMIFS(ActualsTable[Month 7],ActualsTable[Revenue Item2],$B20),SUMIFS(Revenue!S$7:S$57,Revenue!$L$7:$L$57,$B20,Revenue!$B$7:$B$57,I$11))</f>
        <v>0</v>
      </c>
      <c r="J20" s="136">
        <f>IF(J$12="Actual",SUMIFS(ActualsTable[Month 8],ActualsTable[Revenue Item2],$B20),SUMIFS(Revenue!T$7:T$57,Revenue!$L$7:$L$57,$B20,Revenue!$B$7:$B$57,J$11))</f>
        <v>0</v>
      </c>
      <c r="K20" s="136">
        <f>IF(K$12="Actual",SUMIFS(ActualsTable[Month 9],ActualsTable[Revenue Item2],$B20),SUMIFS(Revenue!U$7:U$57,Revenue!$L$7:$L$57,$B20,Revenue!$B$7:$B$57,K$11))</f>
        <v>0</v>
      </c>
      <c r="L20" s="136">
        <f>IF(L$12="Actual",SUMIFS(ActualsTable[Month 10],ActualsTable[Revenue Item2],$B20),SUMIFS(Revenue!V$7:V$57,Revenue!$L$7:$L$57,$B20,Revenue!$B$7:$B$57,L$11))</f>
        <v>0</v>
      </c>
      <c r="M20" s="136">
        <f>IF(M$12="Actual",SUMIFS(ActualsTable[Month 11],ActualsTable[Revenue Item2],$B20),SUMIFS(Revenue!W$7:W$57,Revenue!$L$7:$L$57,$B20,Revenue!$B$7:$B$57,M$11))</f>
        <v>0</v>
      </c>
      <c r="N20" s="136">
        <f>IF(N$12="Actual",SUMIFS(ActualsTable[Month 12],ActualsTable[Revenue Item2],$B20),SUMIFS(Revenue!X$7:X$57,Revenue!$L$7:$L$57,$B20,Revenue!$B$7:$B$57,N$11))</f>
        <v>0</v>
      </c>
      <c r="O20" s="136">
        <f>IF(O$12="Actual",SUMIFS(ActualsTable[Month 13],ActualsTable[Revenue Item2],$B20),SUMIFS(Revenue!Y$7:Y$57,Revenue!$L$7:$L$57,$B20,Revenue!$B$7:$B$57,O$11))</f>
        <v>0</v>
      </c>
      <c r="P20" s="136">
        <f>IF(P$12="Actual",SUMIFS(ActualsTable[Month 14],ActualsTable[Revenue Item2],$B20),SUMIFS(Revenue!Z$7:Z$57,Revenue!$L$7:$L$57,$B20,Revenue!$B$7:$B$57,P$11))</f>
        <v>0</v>
      </c>
      <c r="Q20" s="136">
        <f>IF(Q$12="Actual",SUMIFS(ActualsTable[Month 15],ActualsTable[Revenue Item2],$B20),SUMIFS(Revenue!AA$7:AA$57,Revenue!$L$7:$L$57,$B20,Revenue!$B$7:$B$57,Q$11))</f>
        <v>0</v>
      </c>
      <c r="R20" s="136">
        <f>IF(R$12="Actual",SUMIFS(ActualsTable[Month 16],ActualsTable[Revenue Item2],$B20),SUMIFS(Revenue!AB$7:AB$57,Revenue!$L$7:$L$57,$B20,Revenue!$B$7:$B$57,R$11))</f>
        <v>0</v>
      </c>
      <c r="S20" s="136">
        <f>IF(S$12="Actual",SUMIFS(ActualsTable[Month 17],ActualsTable[Revenue Item2],$B20),SUMIFS(Revenue!AC$7:AC$57,Revenue!$L$7:$L$57,$B20,Revenue!$B$7:$B$57,S$11))</f>
        <v>0</v>
      </c>
      <c r="T20" s="136">
        <f>IF(T$12="Actual",SUMIFS(ActualsTable[Month 18],ActualsTable[Revenue Item2],$B20),SUMIFS(Revenue!AD$7:AD$57,Revenue!$L$7:$L$57,$B20,Revenue!$B$7:$B$57,T$11))</f>
        <v>0</v>
      </c>
      <c r="U20" s="136">
        <f>IF(U$12="Actual",SUMIFS(ActualsTable[Month 19],ActualsTable[Revenue Item2],$B20),SUMIFS(Revenue!AE$7:AE$57,Revenue!$L$7:$L$57,$B20,Revenue!$B$7:$B$57,U$11))</f>
        <v>0</v>
      </c>
      <c r="V20" s="136">
        <f>IF(V$12="Actual",SUMIFS(ActualsTable[Month 20],ActualsTable[Revenue Item2],$B20),SUMIFS(Revenue!AF$7:AF$57,Revenue!$L$7:$L$57,$B20,Revenue!$B$7:$B$57,V$11))</f>
        <v>0</v>
      </c>
      <c r="W20" s="136">
        <f>IF(W$12="Actual",SUMIFS(ActualsTable[Month 21],ActualsTable[Revenue Item2],$B20),SUMIFS(Revenue!AG$7:AG$57,Revenue!$L$7:$L$57,$B20,Revenue!$B$7:$B$57,W$11))</f>
        <v>0</v>
      </c>
      <c r="X20" s="136">
        <f>IF(X$12="Actual",SUMIFS(ActualsTable[Month 22],ActualsTable[Revenue Item2],$B20),SUMIFS(Revenue!AH$7:AH$57,Revenue!$L$7:$L$57,$B20,Revenue!$B$7:$B$57,X$11))</f>
        <v>0</v>
      </c>
      <c r="Y20" s="136">
        <f>IF(Y$12="Actual",SUMIFS(ActualsTable[Month 23],ActualsTable[Revenue Item2],$B20),SUMIFS(Revenue!AI$7:AI$57,Revenue!$L$7:$L$57,$B20,Revenue!$B$7:$B$57,Y$11))</f>
        <v>0</v>
      </c>
      <c r="Z20" s="136">
        <f>IF(Z$12="Actual",SUMIFS(ActualsTable[Month 24],ActualsTable[Revenue Item2],$B20),SUMIFS(Revenue!AJ$7:AJ$57,Revenue!$L$7:$L$57,$B20,Revenue!$B$7:$B$57,Z$11))</f>
        <v>0</v>
      </c>
      <c r="AA20" s="136">
        <f>IF(AA$12="Actual",SUMIFS(ActualsTable[Month 25],ActualsTable[Revenue Item2],$B20),SUMIFS(Revenue!AK$7:AK$57,Revenue!$L$7:$L$57,$B20,Revenue!$B$7:$B$57,AA$11))</f>
        <v>0</v>
      </c>
      <c r="AB20" s="136">
        <f>IF(AB$12="Actual",SUMIFS(ActualsTable[Month 26],ActualsTable[Revenue Item2],$B20),SUMIFS(Revenue!AL$7:AL$57,Revenue!$L$7:$L$57,$B20,Revenue!$B$7:$B$57,AB$11))</f>
        <v>0</v>
      </c>
      <c r="AC20" s="136">
        <f>IF(AC$12="Actual",SUMIFS(ActualsTable[Month 27],ActualsTable[Revenue Item2],$B20),SUMIFS(Revenue!AM$7:AM$57,Revenue!$L$7:$L$57,$B20,Revenue!$B$7:$B$57,AC$11))</f>
        <v>0</v>
      </c>
      <c r="AD20" s="136">
        <f>IF(AD$12="Actual",SUMIFS(ActualsTable[Month 28],ActualsTable[Revenue Item2],$B20),SUMIFS(Revenue!AN$7:AN$57,Revenue!$L$7:$L$57,$B20,Revenue!$B$7:$B$57,AD$11))</f>
        <v>0</v>
      </c>
      <c r="AE20" s="136">
        <f>IF(AE$12="Actual",SUMIFS(ActualsTable[Month 29],ActualsTable[Revenue Item2],$B20),SUMIFS(Revenue!AO$7:AO$57,Revenue!$L$7:$L$57,$B20,Revenue!$B$7:$B$57,AE$11))</f>
        <v>0</v>
      </c>
      <c r="AF20" s="136">
        <f>IF(AF$12="Actual",SUMIFS(ActualsTable[Month 30],ActualsTable[Revenue Item2],$B20),SUMIFS(Revenue!AP$7:AP$57,Revenue!$L$7:$L$57,$B20,Revenue!$B$7:$B$57,AF$11))</f>
        <v>0</v>
      </c>
      <c r="AG20" s="136">
        <f>IF(AG$12="Actual",SUMIFS(ActualsTable[Month 31],ActualsTable[Revenue Item2],$B20),SUMIFS(Revenue!AQ$7:AQ$57,Revenue!$L$7:$L$57,$B20,Revenue!$B$7:$B$57,AG$11))</f>
        <v>0</v>
      </c>
      <c r="AH20" s="136">
        <f>IF(AH$12="Actual",SUMIFS(ActualsTable[Month 32],ActualsTable[Revenue Item2],$B20),SUMIFS(Revenue!AR$7:AR$57,Revenue!$L$7:$L$57,$B20,Revenue!$B$7:$B$57,AH$11))</f>
        <v>0</v>
      </c>
      <c r="AI20" s="136">
        <f>IF(AI$12="Actual",SUMIFS(ActualsTable[Month 33],ActualsTable[Revenue Item2],$B20),SUMIFS(Revenue!AS$7:AS$57,Revenue!$L$7:$L$57,$B20,Revenue!$B$7:$B$57,AI$11))</f>
        <v>0</v>
      </c>
      <c r="AJ20" s="136">
        <f>IF(AJ$12="Actual",SUMIFS(ActualsTable[Month 34],ActualsTable[Revenue Item2],$B20),SUMIFS(Revenue!AT$7:AT$57,Revenue!$L$7:$L$57,$B20,Revenue!$B$7:$B$57,AJ$11))</f>
        <v>0</v>
      </c>
      <c r="AK20" s="136">
        <f>IF(AK$12="Actual",SUMIFS(ActualsTable[Month 35],ActualsTable[Revenue Item2],$B20),SUMIFS(Revenue!AU$7:AU$57,Revenue!$L$7:$L$57,$B20,Revenue!$B$7:$B$57,AK$11))</f>
        <v>0</v>
      </c>
      <c r="AL20" s="294">
        <f>IF(AL$12="Actual",SUMIFS(ActualsTable[Month 36],ActualsTable[Revenue Item2],$B20),SUMIFS(Revenue!AV$7:AV$57,Revenue!$L$7:$L$57,$B20,Revenue!$B$7:$B$57,AL$11))</f>
        <v>0</v>
      </c>
      <c r="AN20" s="320">
        <f t="shared" ca="1" si="49"/>
        <v>0</v>
      </c>
      <c r="AO20" s="136">
        <f t="shared" ca="1" si="49"/>
        <v>0</v>
      </c>
      <c r="AP20" s="136">
        <f t="shared" ca="1" si="49"/>
        <v>0</v>
      </c>
      <c r="AQ20" s="136">
        <f t="shared" ca="1" si="49"/>
        <v>0</v>
      </c>
      <c r="AR20" s="136">
        <f t="shared" ca="1" si="49"/>
        <v>0</v>
      </c>
      <c r="AS20" s="136">
        <f t="shared" ca="1" si="49"/>
        <v>0</v>
      </c>
      <c r="AT20" s="136">
        <f t="shared" ca="1" si="49"/>
        <v>0</v>
      </c>
      <c r="AU20" s="136">
        <f t="shared" ca="1" si="49"/>
        <v>0</v>
      </c>
      <c r="AV20" s="136">
        <f t="shared" ca="1" si="49"/>
        <v>0</v>
      </c>
      <c r="AW20" s="136">
        <f t="shared" ca="1" si="49"/>
        <v>0</v>
      </c>
      <c r="AX20" s="136">
        <f t="shared" ca="1" si="49"/>
        <v>0</v>
      </c>
      <c r="AY20" s="294">
        <f t="shared" ca="1" si="49"/>
        <v>0</v>
      </c>
      <c r="BA20" s="320">
        <f t="shared" ca="1" si="50"/>
        <v>0</v>
      </c>
      <c r="BB20" s="136">
        <f t="shared" ca="1" si="50"/>
        <v>0</v>
      </c>
      <c r="BC20" s="294">
        <f t="shared" ca="1" si="50"/>
        <v>0</v>
      </c>
    </row>
    <row r="21" spans="2:55" x14ac:dyDescent="0.35">
      <c r="B21" s="67" t="s">
        <v>9</v>
      </c>
      <c r="C21" s="127">
        <f t="shared" ref="C21" si="51">SUM(C13:C18)</f>
        <v>0</v>
      </c>
      <c r="D21" s="127">
        <f t="shared" ref="D21:AL21" si="52">SUM(D13:D18)</f>
        <v>0</v>
      </c>
      <c r="E21" s="127">
        <f t="shared" si="52"/>
        <v>0</v>
      </c>
      <c r="F21" s="127">
        <f t="shared" si="52"/>
        <v>0</v>
      </c>
      <c r="G21" s="127">
        <f t="shared" si="52"/>
        <v>0</v>
      </c>
      <c r="H21" s="127">
        <f t="shared" si="52"/>
        <v>0</v>
      </c>
      <c r="I21" s="127">
        <f t="shared" si="52"/>
        <v>0</v>
      </c>
      <c r="J21" s="127">
        <f t="shared" si="52"/>
        <v>0</v>
      </c>
      <c r="K21" s="127">
        <f t="shared" si="52"/>
        <v>0</v>
      </c>
      <c r="L21" s="127">
        <f t="shared" si="52"/>
        <v>0</v>
      </c>
      <c r="M21" s="127">
        <f t="shared" si="52"/>
        <v>0</v>
      </c>
      <c r="N21" s="127">
        <f t="shared" si="52"/>
        <v>0</v>
      </c>
      <c r="O21" s="127">
        <f t="shared" si="52"/>
        <v>0</v>
      </c>
      <c r="P21" s="127">
        <f t="shared" si="52"/>
        <v>0</v>
      </c>
      <c r="Q21" s="127">
        <f t="shared" si="52"/>
        <v>0</v>
      </c>
      <c r="R21" s="127">
        <f t="shared" si="52"/>
        <v>0</v>
      </c>
      <c r="S21" s="127">
        <f t="shared" si="52"/>
        <v>0</v>
      </c>
      <c r="T21" s="127">
        <f t="shared" si="52"/>
        <v>0</v>
      </c>
      <c r="U21" s="127">
        <f t="shared" si="52"/>
        <v>0</v>
      </c>
      <c r="V21" s="127">
        <f t="shared" si="52"/>
        <v>0</v>
      </c>
      <c r="W21" s="127">
        <f t="shared" si="52"/>
        <v>0</v>
      </c>
      <c r="X21" s="127">
        <f t="shared" si="52"/>
        <v>0</v>
      </c>
      <c r="Y21" s="127">
        <f t="shared" si="52"/>
        <v>0</v>
      </c>
      <c r="Z21" s="127">
        <f t="shared" si="52"/>
        <v>0</v>
      </c>
      <c r="AA21" s="127">
        <f t="shared" si="52"/>
        <v>0</v>
      </c>
      <c r="AB21" s="127">
        <f t="shared" si="52"/>
        <v>0</v>
      </c>
      <c r="AC21" s="127">
        <f t="shared" si="52"/>
        <v>0</v>
      </c>
      <c r="AD21" s="127">
        <f t="shared" si="52"/>
        <v>0</v>
      </c>
      <c r="AE21" s="127">
        <f t="shared" si="52"/>
        <v>0</v>
      </c>
      <c r="AF21" s="127">
        <f t="shared" si="52"/>
        <v>0</v>
      </c>
      <c r="AG21" s="127">
        <f t="shared" si="52"/>
        <v>0</v>
      </c>
      <c r="AH21" s="127">
        <f t="shared" si="52"/>
        <v>0</v>
      </c>
      <c r="AI21" s="127">
        <f t="shared" si="52"/>
        <v>0</v>
      </c>
      <c r="AJ21" s="127">
        <f t="shared" si="52"/>
        <v>0</v>
      </c>
      <c r="AK21" s="127">
        <f t="shared" si="52"/>
        <v>0</v>
      </c>
      <c r="AL21" s="295">
        <f t="shared" si="52"/>
        <v>0</v>
      </c>
      <c r="AN21" s="321">
        <f t="shared" ref="AN21:AT21" ca="1" si="53">SUM(AN13:AN18)</f>
        <v>0</v>
      </c>
      <c r="AO21" s="127">
        <f t="shared" ca="1" si="53"/>
        <v>0</v>
      </c>
      <c r="AP21" s="127">
        <f t="shared" ca="1" si="53"/>
        <v>0</v>
      </c>
      <c r="AQ21" s="127">
        <f t="shared" ca="1" si="53"/>
        <v>0</v>
      </c>
      <c r="AR21" s="127">
        <f t="shared" ca="1" si="53"/>
        <v>0</v>
      </c>
      <c r="AS21" s="127">
        <f t="shared" ca="1" si="53"/>
        <v>0</v>
      </c>
      <c r="AT21" s="127">
        <f t="shared" ca="1" si="53"/>
        <v>0</v>
      </c>
      <c r="AU21" s="127">
        <f t="shared" ref="AU21:AY21" ca="1" si="54">SUM(AU13:AU18)</f>
        <v>0</v>
      </c>
      <c r="AV21" s="127">
        <f t="shared" ca="1" si="54"/>
        <v>0</v>
      </c>
      <c r="AW21" s="127">
        <f t="shared" ca="1" si="54"/>
        <v>0</v>
      </c>
      <c r="AX21" s="127">
        <f t="shared" ca="1" si="54"/>
        <v>0</v>
      </c>
      <c r="AY21" s="295">
        <f t="shared" ca="1" si="54"/>
        <v>0</v>
      </c>
      <c r="BA21" s="321">
        <f t="shared" ref="BA21" ca="1" si="55">SUM(BA13:BA18)</f>
        <v>0</v>
      </c>
      <c r="BB21" s="127">
        <f t="shared" ref="BB21:BC21" ca="1" si="56">SUM(BB13:BB18)</f>
        <v>0</v>
      </c>
      <c r="BC21" s="295">
        <f t="shared" ca="1" si="56"/>
        <v>0</v>
      </c>
    </row>
    <row r="22" spans="2:55" x14ac:dyDescent="0.35">
      <c r="B22" s="67"/>
      <c r="C22" s="127"/>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295"/>
      <c r="AN22" s="321"/>
      <c r="AO22" s="127"/>
      <c r="AP22" s="127"/>
      <c r="AQ22" s="127"/>
      <c r="AR22" s="127"/>
      <c r="AS22" s="127"/>
      <c r="AT22" s="127"/>
      <c r="AU22" s="127"/>
      <c r="AV22" s="127"/>
      <c r="AW22" s="127"/>
      <c r="AX22" s="127"/>
      <c r="AY22" s="295"/>
      <c r="BA22" s="321"/>
      <c r="BB22" s="127"/>
      <c r="BC22" s="295"/>
    </row>
    <row r="23" spans="2:55" x14ac:dyDescent="0.35">
      <c r="B23" s="67" t="s">
        <v>10</v>
      </c>
      <c r="C23" s="127">
        <f>IF(C$12="Actual",SUMIFS(ActualsTable[Month 1],ActualsTable[Revenue Item2],$B23),SUMIFS(Revenue!M$7:M$57,Revenue!$L$7:$L$57,$B23,Revenue!$B$7:$B$57,C$11))</f>
        <v>0</v>
      </c>
      <c r="D23" s="127">
        <f>IF(D$12="Actual",SUMIFS(ActualsTable[Month 2],ActualsTable[Revenue Item2],$B23),SUMIFS(Revenue!N$7:N$57,Revenue!$L$7:$L$57,$B23,Revenue!$B$7:$B$57,D$11))</f>
        <v>0</v>
      </c>
      <c r="E23" s="127">
        <f>IF(E$12="Actual",SUMIFS(ActualsTable[Month 3],ActualsTable[Revenue Item2],$B23),SUMIFS(Revenue!O$7:O$57,Revenue!$L$7:$L$57,$B23,Revenue!$B$7:$B$57,E$11))</f>
        <v>0</v>
      </c>
      <c r="F23" s="127">
        <f>IF(F$12="Actual",SUMIFS(ActualsTable[Month 4],ActualsTable[Revenue Item2],$B23),SUMIFS(Revenue!P$7:P$57,Revenue!$L$7:$L$57,$B23,Revenue!$B$7:$B$57,F$11))</f>
        <v>0</v>
      </c>
      <c r="G23" s="127">
        <f>IF(G$12="Actual",SUMIFS(ActualsTable[Month 5],ActualsTable[Revenue Item2],$B23),SUMIFS(Revenue!Q$7:Q$57,Revenue!$L$7:$L$57,$B23,Revenue!$B$7:$B$57,G$11))</f>
        <v>0</v>
      </c>
      <c r="H23" s="127">
        <f>IF(H$12="Actual",SUMIFS(ActualsTable[Month 6],ActualsTable[Revenue Item2],$B23),SUMIFS(Revenue!R$7:R$57,Revenue!$L$7:$L$57,$B23,Revenue!$B$7:$B$57,H$11))</f>
        <v>0</v>
      </c>
      <c r="I23" s="127">
        <f>IF(I$12="Actual",SUMIFS(ActualsTable[Month 7],ActualsTable[Revenue Item2],$B23),SUMIFS(Revenue!S$7:S$57,Revenue!$L$7:$L$57,$B23,Revenue!$B$7:$B$57,I$11))</f>
        <v>0</v>
      </c>
      <c r="J23" s="127">
        <f>IF(J$12="Actual",SUMIFS(ActualsTable[Month 8],ActualsTable[Revenue Item2],$B23),SUMIFS(Revenue!T$7:T$57,Revenue!$L$7:$L$57,$B23,Revenue!$B$7:$B$57,J$11))</f>
        <v>0</v>
      </c>
      <c r="K23" s="127">
        <f>IF(K$12="Actual",SUMIFS(ActualsTable[Month 9],ActualsTable[Revenue Item2],$B23),SUMIFS(Revenue!U$7:U$57,Revenue!$L$7:$L$57,$B23,Revenue!$B$7:$B$57,K$11))</f>
        <v>0</v>
      </c>
      <c r="L23" s="127">
        <f>IF(L$12="Actual",SUMIFS(ActualsTable[Month 10],ActualsTable[Revenue Item2],$B23),SUMIFS(Revenue!V$7:V$57,Revenue!$L$7:$L$57,$B23,Revenue!$B$7:$B$57,L$11))</f>
        <v>0</v>
      </c>
      <c r="M23" s="127">
        <f>IF(M$12="Actual",SUMIFS(ActualsTable[Month 11],ActualsTable[Revenue Item2],$B23),SUMIFS(Revenue!W$7:W$57,Revenue!$L$7:$L$57,$B23,Revenue!$B$7:$B$57,M$11))</f>
        <v>0</v>
      </c>
      <c r="N23" s="127">
        <f>IF(N$12="Actual",SUMIFS(ActualsTable[Month 12],ActualsTable[Revenue Item2],$B23),SUMIFS(Revenue!X$7:X$57,Revenue!$L$7:$L$57,$B23,Revenue!$B$7:$B$57,N$11))</f>
        <v>0</v>
      </c>
      <c r="O23" s="127">
        <f>IF(O$12="Actual",SUMIFS(ActualsTable[Month 13],ActualsTable[Revenue Item2],$B23),SUMIFS(Revenue!Y$7:Y$57,Revenue!$L$7:$L$57,$B23,Revenue!$B$7:$B$57,O$11))</f>
        <v>0</v>
      </c>
      <c r="P23" s="127">
        <f>IF(P$12="Actual",SUMIFS(ActualsTable[Month 14],ActualsTable[Revenue Item2],$B23),SUMIFS(Revenue!Z$7:Z$57,Revenue!$L$7:$L$57,$B23,Revenue!$B$7:$B$57,P$11))</f>
        <v>0</v>
      </c>
      <c r="Q23" s="127">
        <f>IF(Q$12="Actual",SUMIFS(ActualsTable[Month 15],ActualsTable[Revenue Item2],$B23),SUMIFS(Revenue!AA$7:AA$57,Revenue!$L$7:$L$57,$B23,Revenue!$B$7:$B$57,Q$11))</f>
        <v>0</v>
      </c>
      <c r="R23" s="127">
        <f>IF(R$12="Actual",SUMIFS(ActualsTable[Month 16],ActualsTable[Revenue Item2],$B23),SUMIFS(Revenue!AB$7:AB$57,Revenue!$L$7:$L$57,$B23,Revenue!$B$7:$B$57,R$11))</f>
        <v>0</v>
      </c>
      <c r="S23" s="127">
        <f>IF(S$12="Actual",SUMIFS(ActualsTable[Month 17],ActualsTable[Revenue Item2],$B23),SUMIFS(Revenue!AC$7:AC$57,Revenue!$L$7:$L$57,$B23,Revenue!$B$7:$B$57,S$11))</f>
        <v>0</v>
      </c>
      <c r="T23" s="127">
        <f>IF(T$12="Actual",SUMIFS(ActualsTable[Month 18],ActualsTable[Revenue Item2],$B23),SUMIFS(Revenue!AD$7:AD$57,Revenue!$L$7:$L$57,$B23,Revenue!$B$7:$B$57,T$11))</f>
        <v>0</v>
      </c>
      <c r="U23" s="127">
        <f>IF(U$12="Actual",SUMIFS(ActualsTable[Month 19],ActualsTable[Revenue Item2],$B23),SUMIFS(Revenue!AE$7:AE$57,Revenue!$L$7:$L$57,$B23,Revenue!$B$7:$B$57,U$11))</f>
        <v>0</v>
      </c>
      <c r="V23" s="127">
        <f>IF(V$12="Actual",SUMIFS(ActualsTable[Month 20],ActualsTable[Revenue Item2],$B23),SUMIFS(Revenue!AF$7:AF$57,Revenue!$L$7:$L$57,$B23,Revenue!$B$7:$B$57,V$11))</f>
        <v>0</v>
      </c>
      <c r="W23" s="127">
        <f>IF(W$12="Actual",SUMIFS(ActualsTable[Month 21],ActualsTable[Revenue Item2],$B23),SUMIFS(Revenue!AG$7:AG$57,Revenue!$L$7:$L$57,$B23,Revenue!$B$7:$B$57,W$11))</f>
        <v>0</v>
      </c>
      <c r="X23" s="127">
        <f>IF(X$12="Actual",SUMIFS(ActualsTable[Month 22],ActualsTable[Revenue Item2],$B23),SUMIFS(Revenue!AH$7:AH$57,Revenue!$L$7:$L$57,$B23,Revenue!$B$7:$B$57,X$11))</f>
        <v>0</v>
      </c>
      <c r="Y23" s="127">
        <f>IF(Y$12="Actual",SUMIFS(ActualsTable[Month 23],ActualsTable[Revenue Item2],$B23),SUMIFS(Revenue!AI$7:AI$57,Revenue!$L$7:$L$57,$B23,Revenue!$B$7:$B$57,Y$11))</f>
        <v>0</v>
      </c>
      <c r="Z23" s="127">
        <f>IF(Z$12="Actual",SUMIFS(ActualsTable[Month 24],ActualsTable[Revenue Item2],$B23),SUMIFS(Revenue!AJ$7:AJ$57,Revenue!$L$7:$L$57,$B23,Revenue!$B$7:$B$57,Z$11))</f>
        <v>0</v>
      </c>
      <c r="AA23" s="127">
        <f>IF(AA$12="Actual",SUMIFS(ActualsTable[Month 25],ActualsTable[Revenue Item2],$B23),SUMIFS(Revenue!AK$7:AK$57,Revenue!$L$7:$L$57,$B23,Revenue!$B$7:$B$57,AA$11))</f>
        <v>0</v>
      </c>
      <c r="AB23" s="127">
        <f>IF(AB$12="Actual",SUMIFS(ActualsTable[Month 26],ActualsTable[Revenue Item2],$B23),SUMIFS(Revenue!AL$7:AL$57,Revenue!$L$7:$L$57,$B23,Revenue!$B$7:$B$57,AB$11))</f>
        <v>0</v>
      </c>
      <c r="AC23" s="127">
        <f>IF(AC$12="Actual",SUMIFS(ActualsTable[Month 27],ActualsTable[Revenue Item2],$B23),SUMIFS(Revenue!AM$7:AM$57,Revenue!$L$7:$L$57,$B23,Revenue!$B$7:$B$57,AC$11))</f>
        <v>0</v>
      </c>
      <c r="AD23" s="127">
        <f>IF(AD$12="Actual",SUMIFS(ActualsTable[Month 28],ActualsTable[Revenue Item2],$B23),SUMIFS(Revenue!AN$7:AN$57,Revenue!$L$7:$L$57,$B23,Revenue!$B$7:$B$57,AD$11))</f>
        <v>0</v>
      </c>
      <c r="AE23" s="127">
        <f>IF(AE$12="Actual",SUMIFS(ActualsTable[Month 29],ActualsTable[Revenue Item2],$B23),SUMIFS(Revenue!AO$7:AO$57,Revenue!$L$7:$L$57,$B23,Revenue!$B$7:$B$57,AE$11))</f>
        <v>0</v>
      </c>
      <c r="AF23" s="127">
        <f>IF(AF$12="Actual",SUMIFS(ActualsTable[Month 30],ActualsTable[Revenue Item2],$B23),SUMIFS(Revenue!AP$7:AP$57,Revenue!$L$7:$L$57,$B23,Revenue!$B$7:$B$57,AF$11))</f>
        <v>0</v>
      </c>
      <c r="AG23" s="127">
        <f>IF(AG$12="Actual",SUMIFS(ActualsTable[Month 31],ActualsTable[Revenue Item2],$B23),SUMIFS(Revenue!AQ$7:AQ$57,Revenue!$L$7:$L$57,$B23,Revenue!$B$7:$B$57,AG$11))</f>
        <v>0</v>
      </c>
      <c r="AH23" s="127">
        <f>IF(AH$12="Actual",SUMIFS(ActualsTable[Month 32],ActualsTable[Revenue Item2],$B23),SUMIFS(Revenue!AR$7:AR$57,Revenue!$L$7:$L$57,$B23,Revenue!$B$7:$B$57,AH$11))</f>
        <v>0</v>
      </c>
      <c r="AI23" s="127">
        <f>IF(AI$12="Actual",SUMIFS(ActualsTable[Month 33],ActualsTable[Revenue Item2],$B23),SUMIFS(Revenue!AS$7:AS$57,Revenue!$L$7:$L$57,$B23,Revenue!$B$7:$B$57,AI$11))</f>
        <v>0</v>
      </c>
      <c r="AJ23" s="127">
        <f>IF(AJ$12="Actual",SUMIFS(ActualsTable[Month 34],ActualsTable[Revenue Item2],$B23),SUMIFS(Revenue!AT$7:AT$57,Revenue!$L$7:$L$57,$B23,Revenue!$B$7:$B$57,AJ$11))</f>
        <v>0</v>
      </c>
      <c r="AK23" s="127">
        <f>IF(AK$12="Actual",SUMIFS(ActualsTable[Month 35],ActualsTable[Revenue Item2],$B23),SUMIFS(Revenue!AU$7:AU$57,Revenue!$L$7:$L$57,$B23,Revenue!$B$7:$B$57,AK$11))</f>
        <v>0</v>
      </c>
      <c r="AL23" s="295">
        <f>IF(AL$12="Actual",SUMIFS(ActualsTable[Month 36],ActualsTable[Revenue Item2],$B23),SUMIFS(Revenue!AV$7:AV$57,Revenue!$L$7:$L$57,$B23,Revenue!$B$7:$B$57,AL$11))</f>
        <v>0</v>
      </c>
      <c r="AN23" s="321">
        <f t="shared" ref="AN23:AY23" ca="1" si="57">SUM(OFFSET($B23,0,3*AN$9+1,1,3))</f>
        <v>0</v>
      </c>
      <c r="AO23" s="127">
        <f t="shared" ca="1" si="57"/>
        <v>0</v>
      </c>
      <c r="AP23" s="127">
        <f t="shared" ca="1" si="57"/>
        <v>0</v>
      </c>
      <c r="AQ23" s="127">
        <f t="shared" ca="1" si="57"/>
        <v>0</v>
      </c>
      <c r="AR23" s="127">
        <f t="shared" ca="1" si="57"/>
        <v>0</v>
      </c>
      <c r="AS23" s="127">
        <f t="shared" ca="1" si="57"/>
        <v>0</v>
      </c>
      <c r="AT23" s="127">
        <f t="shared" ca="1" si="57"/>
        <v>0</v>
      </c>
      <c r="AU23" s="127">
        <f t="shared" ca="1" si="57"/>
        <v>0</v>
      </c>
      <c r="AV23" s="127">
        <f t="shared" ca="1" si="57"/>
        <v>0</v>
      </c>
      <c r="AW23" s="127">
        <f t="shared" ca="1" si="57"/>
        <v>0</v>
      </c>
      <c r="AX23" s="127">
        <f t="shared" ca="1" si="57"/>
        <v>0</v>
      </c>
      <c r="AY23" s="295">
        <f t="shared" ca="1" si="57"/>
        <v>0</v>
      </c>
      <c r="BA23" s="321">
        <f ca="1">SUM(OFFSET($B23,0,12*BA$9+1,1,12))</f>
        <v>0</v>
      </c>
      <c r="BB23" s="127">
        <f ca="1">SUM(OFFSET($B23,0,12*BB$9+1,1,12))</f>
        <v>0</v>
      </c>
      <c r="BC23" s="295">
        <f ca="1">SUM(OFFSET($B23,0,12*BC$9+1,1,12))</f>
        <v>0</v>
      </c>
    </row>
    <row r="24" spans="2:55" x14ac:dyDescent="0.35">
      <c r="B24" s="68"/>
      <c r="C24" s="129"/>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129"/>
      <c r="AB24" s="129"/>
      <c r="AC24" s="129"/>
      <c r="AD24" s="129"/>
      <c r="AE24" s="129"/>
      <c r="AF24" s="129"/>
      <c r="AG24" s="129"/>
      <c r="AH24" s="129"/>
      <c r="AI24" s="129"/>
      <c r="AJ24" s="129"/>
      <c r="AK24" s="129"/>
      <c r="AL24" s="296"/>
      <c r="AN24" s="322"/>
      <c r="AO24" s="129"/>
      <c r="AP24" s="129"/>
      <c r="AQ24" s="129"/>
      <c r="AR24" s="129"/>
      <c r="AS24" s="129"/>
      <c r="AT24" s="129"/>
      <c r="AU24" s="129"/>
      <c r="AV24" s="129"/>
      <c r="AW24" s="129"/>
      <c r="AX24" s="129"/>
      <c r="AY24" s="296"/>
      <c r="BA24" s="322"/>
      <c r="BB24" s="129"/>
      <c r="BC24" s="296"/>
    </row>
    <row r="25" spans="2:55" x14ac:dyDescent="0.35">
      <c r="B25" s="63" t="s">
        <v>11</v>
      </c>
      <c r="C25" s="132">
        <f>C21+C23</f>
        <v>0</v>
      </c>
      <c r="D25" s="132">
        <f t="shared" ref="D25:AL25" si="58">D21+D23</f>
        <v>0</v>
      </c>
      <c r="E25" s="132">
        <f t="shared" si="58"/>
        <v>0</v>
      </c>
      <c r="F25" s="132">
        <f t="shared" si="58"/>
        <v>0</v>
      </c>
      <c r="G25" s="132">
        <f t="shared" si="58"/>
        <v>0</v>
      </c>
      <c r="H25" s="132">
        <f t="shared" si="58"/>
        <v>0</v>
      </c>
      <c r="I25" s="132">
        <f t="shared" si="58"/>
        <v>0</v>
      </c>
      <c r="J25" s="132">
        <f t="shared" si="58"/>
        <v>0</v>
      </c>
      <c r="K25" s="132">
        <f t="shared" si="58"/>
        <v>0</v>
      </c>
      <c r="L25" s="132">
        <f t="shared" si="58"/>
        <v>0</v>
      </c>
      <c r="M25" s="132">
        <f t="shared" si="58"/>
        <v>0</v>
      </c>
      <c r="N25" s="132">
        <f t="shared" si="58"/>
        <v>0</v>
      </c>
      <c r="O25" s="132">
        <f t="shared" si="58"/>
        <v>0</v>
      </c>
      <c r="P25" s="132">
        <f t="shared" si="58"/>
        <v>0</v>
      </c>
      <c r="Q25" s="132">
        <f t="shared" si="58"/>
        <v>0</v>
      </c>
      <c r="R25" s="132">
        <f t="shared" si="58"/>
        <v>0</v>
      </c>
      <c r="S25" s="132">
        <f t="shared" si="58"/>
        <v>0</v>
      </c>
      <c r="T25" s="132">
        <f t="shared" si="58"/>
        <v>0</v>
      </c>
      <c r="U25" s="132">
        <f t="shared" si="58"/>
        <v>0</v>
      </c>
      <c r="V25" s="132">
        <f t="shared" si="58"/>
        <v>0</v>
      </c>
      <c r="W25" s="132">
        <f t="shared" si="58"/>
        <v>0</v>
      </c>
      <c r="X25" s="132">
        <f t="shared" si="58"/>
        <v>0</v>
      </c>
      <c r="Y25" s="132">
        <f t="shared" si="58"/>
        <v>0</v>
      </c>
      <c r="Z25" s="132">
        <f t="shared" si="58"/>
        <v>0</v>
      </c>
      <c r="AA25" s="132">
        <f t="shared" si="58"/>
        <v>0</v>
      </c>
      <c r="AB25" s="132">
        <f t="shared" si="58"/>
        <v>0</v>
      </c>
      <c r="AC25" s="132">
        <f t="shared" si="58"/>
        <v>0</v>
      </c>
      <c r="AD25" s="132">
        <f t="shared" si="58"/>
        <v>0</v>
      </c>
      <c r="AE25" s="132">
        <f t="shared" si="58"/>
        <v>0</v>
      </c>
      <c r="AF25" s="132">
        <f t="shared" si="58"/>
        <v>0</v>
      </c>
      <c r="AG25" s="132">
        <f t="shared" si="58"/>
        <v>0</v>
      </c>
      <c r="AH25" s="132">
        <f t="shared" si="58"/>
        <v>0</v>
      </c>
      <c r="AI25" s="132">
        <f t="shared" si="58"/>
        <v>0</v>
      </c>
      <c r="AJ25" s="132">
        <f t="shared" si="58"/>
        <v>0</v>
      </c>
      <c r="AK25" s="132">
        <f t="shared" si="58"/>
        <v>0</v>
      </c>
      <c r="AL25" s="290">
        <f t="shared" si="58"/>
        <v>0</v>
      </c>
      <c r="AN25" s="316">
        <f t="shared" ref="AN25:BA25" ca="1" si="59">AN21+AN23</f>
        <v>0</v>
      </c>
      <c r="AO25" s="132">
        <f t="shared" ca="1" si="59"/>
        <v>0</v>
      </c>
      <c r="AP25" s="132">
        <f t="shared" ca="1" si="59"/>
        <v>0</v>
      </c>
      <c r="AQ25" s="132">
        <f t="shared" ca="1" si="59"/>
        <v>0</v>
      </c>
      <c r="AR25" s="132">
        <f t="shared" ca="1" si="59"/>
        <v>0</v>
      </c>
      <c r="AS25" s="132">
        <f t="shared" ca="1" si="59"/>
        <v>0</v>
      </c>
      <c r="AT25" s="132">
        <f t="shared" ca="1" si="59"/>
        <v>0</v>
      </c>
      <c r="AU25" s="132">
        <f t="shared" ref="AU25:AY25" ca="1" si="60">AU21+AU23</f>
        <v>0</v>
      </c>
      <c r="AV25" s="132">
        <f t="shared" ca="1" si="60"/>
        <v>0</v>
      </c>
      <c r="AW25" s="132">
        <f t="shared" ca="1" si="60"/>
        <v>0</v>
      </c>
      <c r="AX25" s="132">
        <f t="shared" ca="1" si="60"/>
        <v>0</v>
      </c>
      <c r="AY25" s="290">
        <f t="shared" ca="1" si="60"/>
        <v>0</v>
      </c>
      <c r="BA25" s="316">
        <f t="shared" ca="1" si="59"/>
        <v>0</v>
      </c>
      <c r="BB25" s="132">
        <f t="shared" ref="BB25:BC25" ca="1" si="61">BB21+BB23</f>
        <v>0</v>
      </c>
      <c r="BC25" s="290">
        <f t="shared" ca="1" si="61"/>
        <v>0</v>
      </c>
    </row>
    <row r="26" spans="2:55" x14ac:dyDescent="0.35">
      <c r="B26" s="63" t="s">
        <v>12</v>
      </c>
      <c r="C26" s="144">
        <f>IF(C$12="Actual",SUMIFS(ActualsTable[Month 1],ActualsTable[Revenue Item2],$B26),SUMIFS(Revenue!M$7:M$57,Revenue!$I$7:$I$57,$B26,Revenue!$B$7:$B$57,C$11))</f>
        <v>0</v>
      </c>
      <c r="D26" s="144">
        <f>IF(D$12="Actual",SUMIFS(ActualsTable[Month 2],ActualsTable[Revenue Item2],$B26),SUMIFS(Revenue!N$7:N$57,Revenue!$I$7:$I$57,$B26,Revenue!$B$7:$B$57,D$11))</f>
        <v>0</v>
      </c>
      <c r="E26" s="144">
        <f>IF(E$12="Actual",SUMIFS(ActualsTable[Month 3],ActualsTable[Revenue Item2],$B26),SUMIFS(Revenue!O$7:O$57,Revenue!$I$7:$I$57,$B26,Revenue!$B$7:$B$57,E$11))</f>
        <v>0</v>
      </c>
      <c r="F26" s="144">
        <f>IF(F$12="Actual",SUMIFS(ActualsTable[Month 4],ActualsTable[Revenue Item2],$B26),SUMIFS(Revenue!P$7:P$57,Revenue!$I$7:$I$57,$B26,Revenue!$B$7:$B$57,F$11))</f>
        <v>0</v>
      </c>
      <c r="G26" s="144">
        <f>IF(G$12="Actual",SUMIFS(ActualsTable[Month 5],ActualsTable[Revenue Item2],$B26),SUMIFS(Revenue!Q$7:Q$57,Revenue!$I$7:$I$57,$B26,Revenue!$B$7:$B$57,G$11))</f>
        <v>0</v>
      </c>
      <c r="H26" s="144">
        <f>IF(H$12="Actual",SUMIFS(ActualsTable[Month 6],ActualsTable[Revenue Item2],$B26),SUMIFS(Revenue!R$7:R$57,Revenue!$I$7:$I$57,$B26,Revenue!$B$7:$B$57,H$11))</f>
        <v>0</v>
      </c>
      <c r="I26" s="144">
        <f>IF(I$12="Actual",SUMIFS(ActualsTable[Month 7],ActualsTable[Revenue Item2],$B26),SUMIFS(Revenue!S$7:S$57,Revenue!$I$7:$I$57,$B26,Revenue!$B$7:$B$57,I$11))</f>
        <v>0</v>
      </c>
      <c r="J26" s="144">
        <f>IF(J$12="Actual",SUMIFS(ActualsTable[Month 8],ActualsTable[Revenue Item2],$B26),SUMIFS(Revenue!T$7:T$57,Revenue!$I$7:$I$57,$B26,Revenue!$B$7:$B$57,J$11))</f>
        <v>0</v>
      </c>
      <c r="K26" s="144">
        <f>IF(K$12="Actual",SUMIFS(ActualsTable[Month 9],ActualsTable[Revenue Item2],$B26),SUMIFS(Revenue!U$7:U$57,Revenue!$I$7:$I$57,$B26,Revenue!$B$7:$B$57,K$11))</f>
        <v>0</v>
      </c>
      <c r="L26" s="144">
        <f>IF(L$12="Actual",SUMIFS(ActualsTable[Month 10],ActualsTable[Revenue Item2],$B26),SUMIFS(Revenue!V$7:V$57,Revenue!$I$7:$I$57,$B26,Revenue!$B$7:$B$57,L$11))</f>
        <v>0</v>
      </c>
      <c r="M26" s="144">
        <f>IF(M$12="Actual",SUMIFS(ActualsTable[Month 11],ActualsTable[Revenue Item2],$B26),SUMIFS(Revenue!W$7:W$57,Revenue!$I$7:$I$57,$B26,Revenue!$B$7:$B$57,M$11))</f>
        <v>0</v>
      </c>
      <c r="N26" s="144">
        <f>IF(N$12="Actual",SUMIFS(ActualsTable[Month 12],ActualsTable[Revenue Item2],$B26),SUMIFS(Revenue!X$7:X$57,Revenue!$I$7:$I$57,$B26,Revenue!$B$7:$B$57,N$11))</f>
        <v>0</v>
      </c>
      <c r="O26" s="144">
        <f>IF(O$12="Actual",SUMIFS(ActualsTable[Month 13],ActualsTable[Revenue Item2],$B26),SUMIFS(Revenue!Y$7:Y$57,Revenue!$I$7:$I$57,$B26,Revenue!$B$7:$B$57,O$11))</f>
        <v>0</v>
      </c>
      <c r="P26" s="144">
        <f>IF(P$12="Actual",SUMIFS(ActualsTable[Month 14],ActualsTable[Revenue Item2],$B26),SUMIFS(Revenue!Z$7:Z$57,Revenue!$I$7:$I$57,$B26,Revenue!$B$7:$B$57,P$11))</f>
        <v>0</v>
      </c>
      <c r="Q26" s="144">
        <f>IF(Q$12="Actual",SUMIFS(ActualsTable[Month 15],ActualsTable[Revenue Item2],$B26),SUMIFS(Revenue!AA$7:AA$57,Revenue!$I$7:$I$57,$B26,Revenue!$B$7:$B$57,Q$11))</f>
        <v>0</v>
      </c>
      <c r="R26" s="144">
        <f>IF(R$12="Actual",SUMIFS(ActualsTable[Month 16],ActualsTable[Revenue Item2],$B26),SUMIFS(Revenue!AB$7:AB$57,Revenue!$I$7:$I$57,$B26,Revenue!$B$7:$B$57,R$11))</f>
        <v>0</v>
      </c>
      <c r="S26" s="144">
        <f>IF(S$12="Actual",SUMIFS(ActualsTable[Month 17],ActualsTable[Revenue Item2],$B26),SUMIFS(Revenue!AC$7:AC$57,Revenue!$I$7:$I$57,$B26,Revenue!$B$7:$B$57,S$11))</f>
        <v>0</v>
      </c>
      <c r="T26" s="144">
        <f>IF(T$12="Actual",SUMIFS(ActualsTable[Month 18],ActualsTable[Revenue Item2],$B26),SUMIFS(Revenue!AD$7:AD$57,Revenue!$I$7:$I$57,$B26,Revenue!$B$7:$B$57,T$11))</f>
        <v>0</v>
      </c>
      <c r="U26" s="144">
        <f>IF(U$12="Actual",SUMIFS(ActualsTable[Month 19],ActualsTable[Revenue Item2],$B26),SUMIFS(Revenue!AE$7:AE$57,Revenue!$I$7:$I$57,$B26,Revenue!$B$7:$B$57,U$11))</f>
        <v>0</v>
      </c>
      <c r="V26" s="144">
        <f>IF(V$12="Actual",SUMIFS(ActualsTable[Month 20],ActualsTable[Revenue Item2],$B26),SUMIFS(Revenue!AF$7:AF$57,Revenue!$I$7:$I$57,$B26,Revenue!$B$7:$B$57,V$11))</f>
        <v>0</v>
      </c>
      <c r="W26" s="144">
        <f>IF(W$12="Actual",SUMIFS(ActualsTable[Month 21],ActualsTable[Revenue Item2],$B26),SUMIFS(Revenue!AG$7:AG$57,Revenue!$I$7:$I$57,$B26,Revenue!$B$7:$B$57,W$11))</f>
        <v>0</v>
      </c>
      <c r="X26" s="144">
        <f>IF(X$12="Actual",SUMIFS(ActualsTable[Month 22],ActualsTable[Revenue Item2],$B26),SUMIFS(Revenue!AH$7:AH$57,Revenue!$I$7:$I$57,$B26,Revenue!$B$7:$B$57,X$11))</f>
        <v>0</v>
      </c>
      <c r="Y26" s="144">
        <f>IF(Y$12="Actual",SUMIFS(ActualsTable[Month 23],ActualsTable[Revenue Item2],$B26),SUMIFS(Revenue!AI$7:AI$57,Revenue!$I$7:$I$57,$B26,Revenue!$B$7:$B$57,Y$11))</f>
        <v>0</v>
      </c>
      <c r="Z26" s="144">
        <f>IF(Z$12="Actual",SUMIFS(ActualsTable[Month 24],ActualsTable[Revenue Item2],$B26),SUMIFS(Revenue!AJ$7:AJ$57,Revenue!$I$7:$I$57,$B26,Revenue!$B$7:$B$57,Z$11))</f>
        <v>0</v>
      </c>
      <c r="AA26" s="144">
        <f>IF(AA$12="Actual",SUMIFS(ActualsTable[Month 25],ActualsTable[Revenue Item2],$B26),SUMIFS(Revenue!AK$7:AK$57,Revenue!$I$7:$I$57,$B26,Revenue!$B$7:$B$57,AA$11))</f>
        <v>0</v>
      </c>
      <c r="AB26" s="144">
        <f>IF(AB$12="Actual",SUMIFS(ActualsTable[Month 26],ActualsTable[Revenue Item2],$B26),SUMIFS(Revenue!AL$7:AL$57,Revenue!$I$7:$I$57,$B26,Revenue!$B$7:$B$57,AB$11))</f>
        <v>0</v>
      </c>
      <c r="AC26" s="144">
        <f>IF(AC$12="Actual",SUMIFS(ActualsTable[Month 27],ActualsTable[Revenue Item2],$B26),SUMIFS(Revenue!AM$7:AM$57,Revenue!$I$7:$I$57,$B26,Revenue!$B$7:$B$57,AC$11))</f>
        <v>0</v>
      </c>
      <c r="AD26" s="144">
        <f>IF(AD$12="Actual",SUMIFS(ActualsTable[Month 28],ActualsTable[Revenue Item2],$B26),SUMIFS(Revenue!AN$7:AN$57,Revenue!$I$7:$I$57,$B26,Revenue!$B$7:$B$57,AD$11))</f>
        <v>0</v>
      </c>
      <c r="AE26" s="144">
        <f>IF(AE$12="Actual",SUMIFS(ActualsTable[Month 29],ActualsTable[Revenue Item2],$B26),SUMIFS(Revenue!AO$7:AO$57,Revenue!$I$7:$I$57,$B26,Revenue!$B$7:$B$57,AE$11))</f>
        <v>0</v>
      </c>
      <c r="AF26" s="144">
        <f>IF(AF$12="Actual",SUMIFS(ActualsTable[Month 30],ActualsTable[Revenue Item2],$B26),SUMIFS(Revenue!AP$7:AP$57,Revenue!$I$7:$I$57,$B26,Revenue!$B$7:$B$57,AF$11))</f>
        <v>0</v>
      </c>
      <c r="AG26" s="144">
        <f>IF(AG$12="Actual",SUMIFS(ActualsTable[Month 31],ActualsTable[Revenue Item2],$B26),SUMIFS(Revenue!AQ$7:AQ$57,Revenue!$I$7:$I$57,$B26,Revenue!$B$7:$B$57,AG$11))</f>
        <v>0</v>
      </c>
      <c r="AH26" s="144">
        <f>IF(AH$12="Actual",SUMIFS(ActualsTable[Month 32],ActualsTable[Revenue Item2],$B26),SUMIFS(Revenue!AR$7:AR$57,Revenue!$I$7:$I$57,$B26,Revenue!$B$7:$B$57,AH$11))</f>
        <v>0</v>
      </c>
      <c r="AI26" s="144">
        <f>IF(AI$12="Actual",SUMIFS(ActualsTable[Month 33],ActualsTable[Revenue Item2],$B26),SUMIFS(Revenue!AS$7:AS$57,Revenue!$I$7:$I$57,$B26,Revenue!$B$7:$B$57,AI$11))</f>
        <v>0</v>
      </c>
      <c r="AJ26" s="144">
        <f>IF(AJ$12="Actual",SUMIFS(ActualsTable[Month 34],ActualsTable[Revenue Item2],$B26),SUMIFS(Revenue!AT$7:AT$57,Revenue!$I$7:$I$57,$B26,Revenue!$B$7:$B$57,AJ$11))</f>
        <v>0</v>
      </c>
      <c r="AK26" s="144">
        <f>IF(AK$12="Actual",SUMIFS(ActualsTable[Month 35],ActualsTable[Revenue Item2],$B26),SUMIFS(Revenue!AU$7:AU$57,Revenue!$I$7:$I$57,$B26,Revenue!$B$7:$B$57,AK$11))</f>
        <v>0</v>
      </c>
      <c r="AL26" s="297">
        <f>IF(AL$12="Actual",SUMIFS(ActualsTable[Month 36],ActualsTable[Revenue Item2],$B26),SUMIFS(Revenue!AV$7:AV$57,Revenue!$I$7:$I$57,$B26,Revenue!$B$7:$B$57,AL$11))</f>
        <v>0</v>
      </c>
      <c r="AN26" s="323">
        <f t="shared" ref="AN26:AY27" ca="1" si="62">SUM(OFFSET($B26,0,3*AN$9+1,1,3))</f>
        <v>0</v>
      </c>
      <c r="AO26" s="144">
        <f t="shared" ca="1" si="62"/>
        <v>0</v>
      </c>
      <c r="AP26" s="144">
        <f t="shared" ca="1" si="62"/>
        <v>0</v>
      </c>
      <c r="AQ26" s="144">
        <f t="shared" ca="1" si="62"/>
        <v>0</v>
      </c>
      <c r="AR26" s="144">
        <f t="shared" ca="1" si="62"/>
        <v>0</v>
      </c>
      <c r="AS26" s="144">
        <f t="shared" ca="1" si="62"/>
        <v>0</v>
      </c>
      <c r="AT26" s="144">
        <f t="shared" ca="1" si="62"/>
        <v>0</v>
      </c>
      <c r="AU26" s="144">
        <f t="shared" ca="1" si="62"/>
        <v>0</v>
      </c>
      <c r="AV26" s="144">
        <f t="shared" ca="1" si="62"/>
        <v>0</v>
      </c>
      <c r="AW26" s="144">
        <f t="shared" ca="1" si="62"/>
        <v>0</v>
      </c>
      <c r="AX26" s="144">
        <f t="shared" ca="1" si="62"/>
        <v>0</v>
      </c>
      <c r="AY26" s="297">
        <f t="shared" ca="1" si="62"/>
        <v>0</v>
      </c>
      <c r="BA26" s="323">
        <f t="shared" ref="BA26:BC27" ca="1" si="63">SUM(OFFSET($B26,0,12*BA$9+1,1,12))</f>
        <v>0</v>
      </c>
      <c r="BB26" s="144">
        <f t="shared" ca="1" si="63"/>
        <v>0</v>
      </c>
      <c r="BC26" s="297">
        <f t="shared" ca="1" si="63"/>
        <v>0</v>
      </c>
    </row>
    <row r="27" spans="2:55" ht="15" x14ac:dyDescent="0.4">
      <c r="B27" s="63" t="s">
        <v>13</v>
      </c>
      <c r="C27" s="130">
        <f>IF(C$12="Actual",SUMIFS(ActualsTable[Month 1],ActualsTable[Revenue Item2],$B27),SUMIFS(Revenue!M$7:M$57,Revenue!$I$7:$I$57,$B27,Revenue!$B$7:$B$57,C$11))</f>
        <v>0</v>
      </c>
      <c r="D27" s="130">
        <f>IF(D$12="Actual",SUMIFS(ActualsTable[Month 2],ActualsTable[Revenue Item2],$B27),SUMIFS(Revenue!N$7:N$57,Revenue!$I$7:$I$57,$B27,Revenue!$B$7:$B$57,D$11))</f>
        <v>0</v>
      </c>
      <c r="E27" s="130">
        <f>IF(E$12="Actual",SUMIFS(ActualsTable[Month 3],ActualsTable[Revenue Item2],$B27),SUMIFS(Revenue!O$7:O$57,Revenue!$I$7:$I$57,$B27,Revenue!$B$7:$B$57,E$11))</f>
        <v>0</v>
      </c>
      <c r="F27" s="130">
        <f>IF(F$12="Actual",SUMIFS(ActualsTable[Month 4],ActualsTable[Revenue Item2],$B27),SUMIFS(Revenue!P$7:P$57,Revenue!$I$7:$I$57,$B27,Revenue!$B$7:$B$57,F$11))</f>
        <v>0</v>
      </c>
      <c r="G27" s="130">
        <f>IF(G$12="Actual",SUMIFS(ActualsTable[Month 5],ActualsTable[Revenue Item2],$B27),SUMIFS(Revenue!Q$7:Q$57,Revenue!$I$7:$I$57,$B27,Revenue!$B$7:$B$57,G$11))</f>
        <v>0</v>
      </c>
      <c r="H27" s="130">
        <f>IF(H$12="Actual",SUMIFS(ActualsTable[Month 6],ActualsTable[Revenue Item2],$B27),SUMIFS(Revenue!R$7:R$57,Revenue!$I$7:$I$57,$B27,Revenue!$B$7:$B$57,H$11))</f>
        <v>0</v>
      </c>
      <c r="I27" s="130">
        <f>IF(I$12="Actual",SUMIFS(ActualsTable[Month 7],ActualsTable[Revenue Item2],$B27),SUMIFS(Revenue!S$7:S$57,Revenue!$I$7:$I$57,$B27,Revenue!$B$7:$B$57,I$11))</f>
        <v>0</v>
      </c>
      <c r="J27" s="130">
        <f>IF(J$12="Actual",SUMIFS(ActualsTable[Month 8],ActualsTable[Revenue Item2],$B27),SUMIFS(Revenue!T$7:T$57,Revenue!$I$7:$I$57,$B27,Revenue!$B$7:$B$57,J$11))</f>
        <v>0</v>
      </c>
      <c r="K27" s="130">
        <f>IF(K$12="Actual",SUMIFS(ActualsTable[Month 9],ActualsTable[Revenue Item2],$B27),SUMIFS(Revenue!U$7:U$57,Revenue!$I$7:$I$57,$B27,Revenue!$B$7:$B$57,K$11))</f>
        <v>0</v>
      </c>
      <c r="L27" s="130">
        <f>IF(L$12="Actual",SUMIFS(ActualsTable[Month 10],ActualsTable[Revenue Item2],$B27),SUMIFS(Revenue!V$7:V$57,Revenue!$I$7:$I$57,$B27,Revenue!$B$7:$B$57,L$11))</f>
        <v>0</v>
      </c>
      <c r="M27" s="130">
        <f>IF(M$12="Actual",SUMIFS(ActualsTable[Month 11],ActualsTable[Revenue Item2],$B27),SUMIFS(Revenue!W$7:W$57,Revenue!$I$7:$I$57,$B27,Revenue!$B$7:$B$57,M$11))</f>
        <v>0</v>
      </c>
      <c r="N27" s="130">
        <f>IF(N$12="Actual",SUMIFS(ActualsTable[Month 12],ActualsTable[Revenue Item2],$B27),SUMIFS(Revenue!X$7:X$57,Revenue!$I$7:$I$57,$B27,Revenue!$B$7:$B$57,N$11))</f>
        <v>0</v>
      </c>
      <c r="O27" s="130">
        <f>IF(O$12="Actual",SUMIFS(ActualsTable[Month 13],ActualsTable[Revenue Item2],$B27),SUMIFS(Revenue!Y$7:Y$57,Revenue!$I$7:$I$57,$B27,Revenue!$B$7:$B$57,O$11))</f>
        <v>0</v>
      </c>
      <c r="P27" s="130">
        <f>IF(P$12="Actual",SUMIFS(ActualsTable[Month 14],ActualsTable[Revenue Item2],$B27),SUMIFS(Revenue!Z$7:Z$57,Revenue!$I$7:$I$57,$B27,Revenue!$B$7:$B$57,P$11))</f>
        <v>0</v>
      </c>
      <c r="Q27" s="130">
        <f>IF(Q$12="Actual",SUMIFS(ActualsTable[Month 15],ActualsTable[Revenue Item2],$B27),SUMIFS(Revenue!AA$7:AA$57,Revenue!$I$7:$I$57,$B27,Revenue!$B$7:$B$57,Q$11))</f>
        <v>0</v>
      </c>
      <c r="R27" s="130">
        <f>IF(R$12="Actual",SUMIFS(ActualsTable[Month 16],ActualsTable[Revenue Item2],$B27),SUMIFS(Revenue!AB$7:AB$57,Revenue!$I$7:$I$57,$B27,Revenue!$B$7:$B$57,R$11))</f>
        <v>0</v>
      </c>
      <c r="S27" s="130">
        <f>IF(S$12="Actual",SUMIFS(ActualsTable[Month 17],ActualsTable[Revenue Item2],$B27),SUMIFS(Revenue!AC$7:AC$57,Revenue!$I$7:$I$57,$B27,Revenue!$B$7:$B$57,S$11))</f>
        <v>0</v>
      </c>
      <c r="T27" s="130">
        <f>IF(T$12="Actual",SUMIFS(ActualsTable[Month 18],ActualsTable[Revenue Item2],$B27),SUMIFS(Revenue!AD$7:AD$57,Revenue!$I$7:$I$57,$B27,Revenue!$B$7:$B$57,T$11))</f>
        <v>0</v>
      </c>
      <c r="U27" s="130">
        <f>IF(U$12="Actual",SUMIFS(ActualsTable[Month 19],ActualsTable[Revenue Item2],$B27),SUMIFS(Revenue!AE$7:AE$57,Revenue!$I$7:$I$57,$B27,Revenue!$B$7:$B$57,U$11))</f>
        <v>0</v>
      </c>
      <c r="V27" s="130">
        <f>IF(V$12="Actual",SUMIFS(ActualsTable[Month 20],ActualsTable[Revenue Item2],$B27),SUMIFS(Revenue!AF$7:AF$57,Revenue!$I$7:$I$57,$B27,Revenue!$B$7:$B$57,V$11))</f>
        <v>0</v>
      </c>
      <c r="W27" s="130">
        <f>IF(W$12="Actual",SUMIFS(ActualsTable[Month 21],ActualsTable[Revenue Item2],$B27),SUMIFS(Revenue!AG$7:AG$57,Revenue!$I$7:$I$57,$B27,Revenue!$B$7:$B$57,W$11))</f>
        <v>0</v>
      </c>
      <c r="X27" s="130">
        <f>IF(X$12="Actual",SUMIFS(ActualsTable[Month 22],ActualsTable[Revenue Item2],$B27),SUMIFS(Revenue!AH$7:AH$57,Revenue!$I$7:$I$57,$B27,Revenue!$B$7:$B$57,X$11))</f>
        <v>0</v>
      </c>
      <c r="Y27" s="130">
        <f>IF(Y$12="Actual",SUMIFS(ActualsTable[Month 23],ActualsTable[Revenue Item2],$B27),SUMIFS(Revenue!AI$7:AI$57,Revenue!$I$7:$I$57,$B27,Revenue!$B$7:$B$57,Y$11))</f>
        <v>0</v>
      </c>
      <c r="Z27" s="130">
        <f>IF(Z$12="Actual",SUMIFS(ActualsTable[Month 24],ActualsTable[Revenue Item2],$B27),SUMIFS(Revenue!AJ$7:AJ$57,Revenue!$I$7:$I$57,$B27,Revenue!$B$7:$B$57,Z$11))</f>
        <v>0</v>
      </c>
      <c r="AA27" s="130">
        <f>IF(AA$12="Actual",SUMIFS(ActualsTable[Month 25],ActualsTable[Revenue Item2],$B27),SUMIFS(Revenue!AK$7:AK$57,Revenue!$I$7:$I$57,$B27,Revenue!$B$7:$B$57,AA$11))</f>
        <v>0</v>
      </c>
      <c r="AB27" s="130">
        <f>IF(AB$12="Actual",SUMIFS(ActualsTable[Month 26],ActualsTable[Revenue Item2],$B27),SUMIFS(Revenue!AL$7:AL$57,Revenue!$I$7:$I$57,$B27,Revenue!$B$7:$B$57,AB$11))</f>
        <v>0</v>
      </c>
      <c r="AC27" s="130">
        <f>IF(AC$12="Actual",SUMIFS(ActualsTable[Month 27],ActualsTable[Revenue Item2],$B27),SUMIFS(Revenue!AM$7:AM$57,Revenue!$I$7:$I$57,$B27,Revenue!$B$7:$B$57,AC$11))</f>
        <v>0</v>
      </c>
      <c r="AD27" s="130">
        <f>IF(AD$12="Actual",SUMIFS(ActualsTable[Month 28],ActualsTable[Revenue Item2],$B27),SUMIFS(Revenue!AN$7:AN$57,Revenue!$I$7:$I$57,$B27,Revenue!$B$7:$B$57,AD$11))</f>
        <v>0</v>
      </c>
      <c r="AE27" s="130">
        <f>IF(AE$12="Actual",SUMIFS(ActualsTable[Month 29],ActualsTable[Revenue Item2],$B27),SUMIFS(Revenue!AO$7:AO$57,Revenue!$I$7:$I$57,$B27,Revenue!$B$7:$B$57,AE$11))</f>
        <v>0</v>
      </c>
      <c r="AF27" s="130">
        <f>IF(AF$12="Actual",SUMIFS(ActualsTable[Month 30],ActualsTable[Revenue Item2],$B27),SUMIFS(Revenue!AP$7:AP$57,Revenue!$I$7:$I$57,$B27,Revenue!$B$7:$B$57,AF$11))</f>
        <v>0</v>
      </c>
      <c r="AG27" s="130">
        <f>IF(AG$12="Actual",SUMIFS(ActualsTable[Month 31],ActualsTable[Revenue Item2],$B27),SUMIFS(Revenue!AQ$7:AQ$57,Revenue!$I$7:$I$57,$B27,Revenue!$B$7:$B$57,AG$11))</f>
        <v>0</v>
      </c>
      <c r="AH27" s="130">
        <f>IF(AH$12="Actual",SUMIFS(ActualsTable[Month 32],ActualsTable[Revenue Item2],$B27),SUMIFS(Revenue!AR$7:AR$57,Revenue!$I$7:$I$57,$B27,Revenue!$B$7:$B$57,AH$11))</f>
        <v>0</v>
      </c>
      <c r="AI27" s="130">
        <f>IF(AI$12="Actual",SUMIFS(ActualsTable[Month 33],ActualsTable[Revenue Item2],$B27),SUMIFS(Revenue!AS$7:AS$57,Revenue!$I$7:$I$57,$B27,Revenue!$B$7:$B$57,AI$11))</f>
        <v>0</v>
      </c>
      <c r="AJ27" s="130">
        <f>IF(AJ$12="Actual",SUMIFS(ActualsTable[Month 34],ActualsTable[Revenue Item2],$B27),SUMIFS(Revenue!AT$7:AT$57,Revenue!$I$7:$I$57,$B27,Revenue!$B$7:$B$57,AJ$11))</f>
        <v>0</v>
      </c>
      <c r="AK27" s="130">
        <f>IF(AK$12="Actual",SUMIFS(ActualsTable[Month 35],ActualsTable[Revenue Item2],$B27),SUMIFS(Revenue!AU$7:AU$57,Revenue!$I$7:$I$57,$B27,Revenue!$B$7:$B$57,AK$11))</f>
        <v>0</v>
      </c>
      <c r="AL27" s="298">
        <f>IF(AL$12="Actual",SUMIFS(ActualsTable[Month 36],ActualsTable[Revenue Item2],$B27),SUMIFS(Revenue!AV$7:AV$57,Revenue!$I$7:$I$57,$B27,Revenue!$B$7:$B$57,AL$11))</f>
        <v>0</v>
      </c>
      <c r="AN27" s="324">
        <f t="shared" ca="1" si="62"/>
        <v>0</v>
      </c>
      <c r="AO27" s="130">
        <f t="shared" ca="1" si="62"/>
        <v>0</v>
      </c>
      <c r="AP27" s="130">
        <f t="shared" ca="1" si="62"/>
        <v>0</v>
      </c>
      <c r="AQ27" s="130">
        <f t="shared" ca="1" si="62"/>
        <v>0</v>
      </c>
      <c r="AR27" s="130">
        <f t="shared" ca="1" si="62"/>
        <v>0</v>
      </c>
      <c r="AS27" s="130">
        <f t="shared" ca="1" si="62"/>
        <v>0</v>
      </c>
      <c r="AT27" s="130">
        <f t="shared" ca="1" si="62"/>
        <v>0</v>
      </c>
      <c r="AU27" s="130">
        <f t="shared" ca="1" si="62"/>
        <v>0</v>
      </c>
      <c r="AV27" s="130">
        <f t="shared" ca="1" si="62"/>
        <v>0</v>
      </c>
      <c r="AW27" s="130">
        <f t="shared" ca="1" si="62"/>
        <v>0</v>
      </c>
      <c r="AX27" s="130">
        <f t="shared" ca="1" si="62"/>
        <v>0</v>
      </c>
      <c r="AY27" s="298">
        <f t="shared" ca="1" si="62"/>
        <v>0</v>
      </c>
      <c r="BA27" s="324">
        <f t="shared" ca="1" si="63"/>
        <v>0</v>
      </c>
      <c r="BB27" s="130">
        <f t="shared" ca="1" si="63"/>
        <v>0</v>
      </c>
      <c r="BC27" s="298">
        <f t="shared" ca="1" si="63"/>
        <v>0</v>
      </c>
    </row>
    <row r="28" spans="2:55" x14ac:dyDescent="0.35">
      <c r="B28" s="71" t="s">
        <v>14</v>
      </c>
      <c r="C28" s="134">
        <f>IF(AND(C$11="Inputs Tab",C$12="Forecast"),Inputs!D$9,SUM(C25:C27))</f>
        <v>0</v>
      </c>
      <c r="D28" s="134">
        <f>IF(AND(D$11="Inputs Tab",D$12="Forecast"),Inputs!E$9,SUM(D25:D27))</f>
        <v>0</v>
      </c>
      <c r="E28" s="134">
        <f>IF(AND(E$11="Inputs Tab",E$12="Forecast"),Inputs!F$9,SUM(E25:E27))</f>
        <v>0</v>
      </c>
      <c r="F28" s="134">
        <f>IF(AND(F$11="Inputs Tab",F$12="Forecast"),Inputs!G$9,SUM(F25:F27))</f>
        <v>0</v>
      </c>
      <c r="G28" s="134">
        <f>IF(AND(G$11="Inputs Tab",G$12="Forecast"),Inputs!H$9,SUM(G25:G27))</f>
        <v>0</v>
      </c>
      <c r="H28" s="134">
        <f>IF(AND(H$11="Inputs Tab",H$12="Forecast"),Inputs!I$9,SUM(H25:H27))</f>
        <v>0</v>
      </c>
      <c r="I28" s="134">
        <f>IF(AND(I$11="Inputs Tab",I$12="Forecast"),Inputs!J$9,SUM(I25:I27))</f>
        <v>0</v>
      </c>
      <c r="J28" s="134">
        <f>IF(AND(J$11="Inputs Tab",J$12="Forecast"),Inputs!K$9,SUM(J25:J27))</f>
        <v>0</v>
      </c>
      <c r="K28" s="134">
        <f>IF(AND(K$11="Inputs Tab",K$12="Forecast"),Inputs!L$9,SUM(K25:K27))</f>
        <v>0</v>
      </c>
      <c r="L28" s="134">
        <f>IF(AND(L$11="Inputs Tab",L$12="Forecast"),Inputs!M$9,SUM(L25:L27))</f>
        <v>0</v>
      </c>
      <c r="M28" s="134">
        <f>IF(AND(M$11="Inputs Tab",M$12="Forecast"),Inputs!N$9,SUM(M25:M27))</f>
        <v>0</v>
      </c>
      <c r="N28" s="134">
        <f>IF(AND(N$11="Inputs Tab",N$12="Forecast"),Inputs!O$9,SUM(N25:N27))</f>
        <v>0</v>
      </c>
      <c r="O28" s="134">
        <f>IF(AND(O$11="Inputs Tab",O$12="Forecast"),Inputs!P$9,SUM(O25:O27))</f>
        <v>0</v>
      </c>
      <c r="P28" s="134">
        <f>IF(AND(P$11="Inputs Tab",P$12="Forecast"),Inputs!Q$9,SUM(P25:P27))</f>
        <v>0</v>
      </c>
      <c r="Q28" s="134">
        <f>IF(AND(Q$11="Inputs Tab",Q$12="Forecast"),Inputs!R$9,SUM(Q25:Q27))</f>
        <v>0</v>
      </c>
      <c r="R28" s="134">
        <f>IF(AND(R$11="Inputs Tab",R$12="Forecast"),Inputs!S$9,SUM(R25:R27))</f>
        <v>0</v>
      </c>
      <c r="S28" s="134">
        <f>IF(AND(S$11="Inputs Tab",S$12="Forecast"),Inputs!T$9,SUM(S25:S27))</f>
        <v>0</v>
      </c>
      <c r="T28" s="134">
        <f>IF(AND(T$11="Inputs Tab",T$12="Forecast"),Inputs!U$9,SUM(T25:T27))</f>
        <v>0</v>
      </c>
      <c r="U28" s="134">
        <f>IF(AND(U$11="Inputs Tab",U$12="Forecast"),Inputs!V$9,SUM(U25:U27))</f>
        <v>0</v>
      </c>
      <c r="V28" s="134">
        <f>IF(AND(V$11="Inputs Tab",V$12="Forecast"),Inputs!W$9,SUM(V25:V27))</f>
        <v>0</v>
      </c>
      <c r="W28" s="134">
        <f>IF(AND(W$11="Inputs Tab",W$12="Forecast"),Inputs!X$9,SUM(W25:W27))</f>
        <v>0</v>
      </c>
      <c r="X28" s="134">
        <f>IF(AND(X$11="Inputs Tab",X$12="Forecast"),Inputs!Y$9,SUM(X25:X27))</f>
        <v>0</v>
      </c>
      <c r="Y28" s="134">
        <f>IF(AND(Y$11="Inputs Tab",Y$12="Forecast"),Inputs!Z$9,SUM(Y25:Y27))</f>
        <v>0</v>
      </c>
      <c r="Z28" s="134">
        <f>IF(AND(Z$11="Inputs Tab",Z$12="Forecast"),Inputs!AA$9,SUM(Z25:Z27))</f>
        <v>0</v>
      </c>
      <c r="AA28" s="134">
        <f>IF(AND(AA$11="Inputs Tab",AA$12="Forecast"),Inputs!AB$9,SUM(AA25:AA27))</f>
        <v>0</v>
      </c>
      <c r="AB28" s="134">
        <f>IF(AND(AB$11="Inputs Tab",AB$12="Forecast"),Inputs!AC$9,SUM(AB25:AB27))</f>
        <v>0</v>
      </c>
      <c r="AC28" s="134">
        <f>IF(AND(AC$11="Inputs Tab",AC$12="Forecast"),Inputs!AD$9,SUM(AC25:AC27))</f>
        <v>0</v>
      </c>
      <c r="AD28" s="134">
        <f>IF(AND(AD$11="Inputs Tab",AD$12="Forecast"),Inputs!AE$9,SUM(AD25:AD27))</f>
        <v>0</v>
      </c>
      <c r="AE28" s="134">
        <f>IF(AND(AE$11="Inputs Tab",AE$12="Forecast"),Inputs!AF$9,SUM(AE25:AE27))</f>
        <v>0</v>
      </c>
      <c r="AF28" s="134">
        <f>IF(AND(AF$11="Inputs Tab",AF$12="Forecast"),Inputs!AG$9,SUM(AF25:AF27))</f>
        <v>0</v>
      </c>
      <c r="AG28" s="134">
        <f>IF(AND(AG$11="Inputs Tab",AG$12="Forecast"),Inputs!AH$9,SUM(AG25:AG27))</f>
        <v>0</v>
      </c>
      <c r="AH28" s="134">
        <f>IF(AND(AH$11="Inputs Tab",AH$12="Forecast"),Inputs!AI$9,SUM(AH25:AH27))</f>
        <v>0</v>
      </c>
      <c r="AI28" s="134">
        <f>IF(AND(AI$11="Inputs Tab",AI$12="Forecast"),Inputs!AJ$9,SUM(AI25:AI27))</f>
        <v>0</v>
      </c>
      <c r="AJ28" s="134">
        <f>IF(AND(AJ$11="Inputs Tab",AJ$12="Forecast"),Inputs!AK$9,SUM(AJ25:AJ27))</f>
        <v>0</v>
      </c>
      <c r="AK28" s="134">
        <f>IF(AND(AK$11="Inputs Tab",AK$12="Forecast"),Inputs!AL$9,SUM(AK25:AK27))</f>
        <v>0</v>
      </c>
      <c r="AL28" s="299">
        <f>IF(AND(AL$11="Inputs Tab",AL$12="Forecast"),Inputs!AM$9,SUM(AL25:AL27))</f>
        <v>0</v>
      </c>
      <c r="AN28" s="325">
        <f t="shared" ref="AN28:AT28" ca="1" si="64">SUM(AN25:AN27)</f>
        <v>0</v>
      </c>
      <c r="AO28" s="134">
        <f t="shared" ca="1" si="64"/>
        <v>0</v>
      </c>
      <c r="AP28" s="134">
        <f t="shared" ca="1" si="64"/>
        <v>0</v>
      </c>
      <c r="AQ28" s="134">
        <f t="shared" ca="1" si="64"/>
        <v>0</v>
      </c>
      <c r="AR28" s="134">
        <f t="shared" ca="1" si="64"/>
        <v>0</v>
      </c>
      <c r="AS28" s="134">
        <f t="shared" ca="1" si="64"/>
        <v>0</v>
      </c>
      <c r="AT28" s="134">
        <f t="shared" ca="1" si="64"/>
        <v>0</v>
      </c>
      <c r="AU28" s="134">
        <f t="shared" ref="AU28:AY28" ca="1" si="65">SUM(AU25:AU27)</f>
        <v>0</v>
      </c>
      <c r="AV28" s="134">
        <f t="shared" ca="1" si="65"/>
        <v>0</v>
      </c>
      <c r="AW28" s="134">
        <f t="shared" ca="1" si="65"/>
        <v>0</v>
      </c>
      <c r="AX28" s="134">
        <f t="shared" ca="1" si="65"/>
        <v>0</v>
      </c>
      <c r="AY28" s="299">
        <f t="shared" ca="1" si="65"/>
        <v>0</v>
      </c>
      <c r="BA28" s="325">
        <f t="shared" ref="BA28" ca="1" si="66">SUM(BA25:BA27)</f>
        <v>0</v>
      </c>
      <c r="BB28" s="134">
        <f t="shared" ref="BB28:BC28" ca="1" si="67">SUM(BB25:BB27)</f>
        <v>0</v>
      </c>
      <c r="BC28" s="299">
        <f t="shared" ca="1" si="67"/>
        <v>0</v>
      </c>
    </row>
    <row r="29" spans="2:55" x14ac:dyDescent="0.35">
      <c r="B29" s="72" t="s">
        <v>15</v>
      </c>
      <c r="C29" s="126">
        <f>IFERROR(C28/B28-1,0)</f>
        <v>0</v>
      </c>
      <c r="D29" s="126">
        <f t="shared" ref="D29:AL29" si="68">IFERROR(D28/C28-1,0)</f>
        <v>0</v>
      </c>
      <c r="E29" s="126">
        <f t="shared" si="68"/>
        <v>0</v>
      </c>
      <c r="F29" s="126">
        <f t="shared" si="68"/>
        <v>0</v>
      </c>
      <c r="G29" s="126">
        <f t="shared" si="68"/>
        <v>0</v>
      </c>
      <c r="H29" s="126">
        <f t="shared" si="68"/>
        <v>0</v>
      </c>
      <c r="I29" s="126">
        <f t="shared" si="68"/>
        <v>0</v>
      </c>
      <c r="J29" s="126">
        <f t="shared" si="68"/>
        <v>0</v>
      </c>
      <c r="K29" s="126">
        <f t="shared" si="68"/>
        <v>0</v>
      </c>
      <c r="L29" s="126">
        <f t="shared" si="68"/>
        <v>0</v>
      </c>
      <c r="M29" s="126">
        <f t="shared" si="68"/>
        <v>0</v>
      </c>
      <c r="N29" s="126">
        <f t="shared" si="68"/>
        <v>0</v>
      </c>
      <c r="O29" s="126">
        <f t="shared" si="68"/>
        <v>0</v>
      </c>
      <c r="P29" s="126">
        <f t="shared" si="68"/>
        <v>0</v>
      </c>
      <c r="Q29" s="126">
        <f t="shared" si="68"/>
        <v>0</v>
      </c>
      <c r="R29" s="126">
        <f t="shared" si="68"/>
        <v>0</v>
      </c>
      <c r="S29" s="126">
        <f t="shared" si="68"/>
        <v>0</v>
      </c>
      <c r="T29" s="126">
        <f t="shared" si="68"/>
        <v>0</v>
      </c>
      <c r="U29" s="126">
        <f t="shared" si="68"/>
        <v>0</v>
      </c>
      <c r="V29" s="126">
        <f t="shared" si="68"/>
        <v>0</v>
      </c>
      <c r="W29" s="126">
        <f t="shared" si="68"/>
        <v>0</v>
      </c>
      <c r="X29" s="126">
        <f t="shared" si="68"/>
        <v>0</v>
      </c>
      <c r="Y29" s="126">
        <f t="shared" si="68"/>
        <v>0</v>
      </c>
      <c r="Z29" s="126">
        <f t="shared" si="68"/>
        <v>0</v>
      </c>
      <c r="AA29" s="126">
        <f t="shared" si="68"/>
        <v>0</v>
      </c>
      <c r="AB29" s="126">
        <f t="shared" si="68"/>
        <v>0</v>
      </c>
      <c r="AC29" s="126">
        <f t="shared" si="68"/>
        <v>0</v>
      </c>
      <c r="AD29" s="126">
        <f t="shared" si="68"/>
        <v>0</v>
      </c>
      <c r="AE29" s="126">
        <f t="shared" si="68"/>
        <v>0</v>
      </c>
      <c r="AF29" s="126">
        <f t="shared" si="68"/>
        <v>0</v>
      </c>
      <c r="AG29" s="126">
        <f t="shared" si="68"/>
        <v>0</v>
      </c>
      <c r="AH29" s="126">
        <f t="shared" si="68"/>
        <v>0</v>
      </c>
      <c r="AI29" s="126">
        <f t="shared" si="68"/>
        <v>0</v>
      </c>
      <c r="AJ29" s="126">
        <f t="shared" si="68"/>
        <v>0</v>
      </c>
      <c r="AK29" s="126">
        <f t="shared" si="68"/>
        <v>0</v>
      </c>
      <c r="AL29" s="300">
        <f t="shared" si="68"/>
        <v>0</v>
      </c>
      <c r="AN29" s="326">
        <f t="shared" ref="AN29:AT29" ca="1" si="69">IFERROR(AN28/AM28-1,0)</f>
        <v>0</v>
      </c>
      <c r="AO29" s="126">
        <f t="shared" ca="1" si="69"/>
        <v>0</v>
      </c>
      <c r="AP29" s="126">
        <f t="shared" ca="1" si="69"/>
        <v>0</v>
      </c>
      <c r="AQ29" s="126">
        <f t="shared" ca="1" si="69"/>
        <v>0</v>
      </c>
      <c r="AR29" s="126">
        <f t="shared" ca="1" si="69"/>
        <v>0</v>
      </c>
      <c r="AS29" s="126">
        <f t="shared" ca="1" si="69"/>
        <v>0</v>
      </c>
      <c r="AT29" s="126">
        <f t="shared" ca="1" si="69"/>
        <v>0</v>
      </c>
      <c r="AU29" s="126">
        <f t="shared" ref="AU29" ca="1" si="70">IFERROR(AU28/AT28-1,0)</f>
        <v>0</v>
      </c>
      <c r="AV29" s="126">
        <f t="shared" ref="AV29" ca="1" si="71">IFERROR(AV28/AU28-1,0)</f>
        <v>0</v>
      </c>
      <c r="AW29" s="126">
        <f t="shared" ref="AW29" ca="1" si="72">IFERROR(AW28/AV28-1,0)</f>
        <v>0</v>
      </c>
      <c r="AX29" s="126">
        <f t="shared" ref="AX29" ca="1" si="73">IFERROR(AX28/AW28-1,0)</f>
        <v>0</v>
      </c>
      <c r="AY29" s="300">
        <f t="shared" ref="AY29" ca="1" si="74">IFERROR(AY28/AX28-1,0)</f>
        <v>0</v>
      </c>
      <c r="BA29" s="326">
        <f t="shared" ref="BA29" ca="1" si="75">IFERROR(BA28/AZ28-1,0)</f>
        <v>0</v>
      </c>
      <c r="BB29" s="126">
        <f t="shared" ref="BB29" ca="1" si="76">IFERROR(BB28/BA28-1,0)</f>
        <v>0</v>
      </c>
      <c r="BC29" s="300">
        <f t="shared" ref="BC29" ca="1" si="77">IFERROR(BC28/BB28-1,0)</f>
        <v>0</v>
      </c>
    </row>
    <row r="30" spans="2:55" x14ac:dyDescent="0.35">
      <c r="B30" s="73"/>
      <c r="C30" s="129"/>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296"/>
      <c r="AN30" s="322"/>
      <c r="AO30" s="129"/>
      <c r="AP30" s="129"/>
      <c r="AQ30" s="129"/>
      <c r="AR30" s="129"/>
      <c r="AS30" s="129"/>
      <c r="AT30" s="129"/>
      <c r="AU30" s="129"/>
      <c r="AV30" s="129"/>
      <c r="AW30" s="129"/>
      <c r="AX30" s="129"/>
      <c r="AY30" s="296"/>
      <c r="BA30" s="322"/>
      <c r="BB30" s="129"/>
      <c r="BC30" s="296"/>
    </row>
    <row r="31" spans="2:55" x14ac:dyDescent="0.35">
      <c r="B31" s="67" t="s">
        <v>73</v>
      </c>
      <c r="C31" s="132"/>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c r="AB31" s="132"/>
      <c r="AC31" s="132"/>
      <c r="AD31" s="132"/>
      <c r="AE31" s="132"/>
      <c r="AF31" s="132"/>
      <c r="AG31" s="132"/>
      <c r="AH31" s="132"/>
      <c r="AI31" s="132"/>
      <c r="AJ31" s="132"/>
      <c r="AK31" s="132"/>
      <c r="AL31" s="290"/>
      <c r="AN31" s="316"/>
      <c r="AO31" s="132"/>
      <c r="AP31" s="132"/>
      <c r="AQ31" s="132"/>
      <c r="AR31" s="132"/>
      <c r="AS31" s="132"/>
      <c r="AT31" s="132"/>
      <c r="AU31" s="132"/>
      <c r="AV31" s="132"/>
      <c r="AW31" s="132"/>
      <c r="AX31" s="132"/>
      <c r="AY31" s="290"/>
      <c r="BA31" s="316"/>
      <c r="BB31" s="132"/>
      <c r="BC31" s="290"/>
    </row>
    <row r="32" spans="2:55" x14ac:dyDescent="0.35">
      <c r="B32" s="74" t="s">
        <v>74</v>
      </c>
      <c r="C32" s="132">
        <f t="shared" ref="C32:AT32" si="78">SUM(C33,C41)</f>
        <v>0</v>
      </c>
      <c r="D32" s="132">
        <f t="shared" ref="D32:AL32" si="79">SUM(D33,D41)</f>
        <v>0</v>
      </c>
      <c r="E32" s="132">
        <f t="shared" si="79"/>
        <v>0</v>
      </c>
      <c r="F32" s="132">
        <f t="shared" si="79"/>
        <v>0</v>
      </c>
      <c r="G32" s="132">
        <f t="shared" si="79"/>
        <v>0</v>
      </c>
      <c r="H32" s="132">
        <f t="shared" si="79"/>
        <v>0</v>
      </c>
      <c r="I32" s="132">
        <f t="shared" si="79"/>
        <v>0</v>
      </c>
      <c r="J32" s="132">
        <f t="shared" si="79"/>
        <v>0</v>
      </c>
      <c r="K32" s="132">
        <f t="shared" si="79"/>
        <v>0</v>
      </c>
      <c r="L32" s="132">
        <f t="shared" si="79"/>
        <v>0</v>
      </c>
      <c r="M32" s="132">
        <f t="shared" si="79"/>
        <v>0</v>
      </c>
      <c r="N32" s="132">
        <f t="shared" si="79"/>
        <v>0</v>
      </c>
      <c r="O32" s="132">
        <f t="shared" si="79"/>
        <v>0</v>
      </c>
      <c r="P32" s="132">
        <f t="shared" si="79"/>
        <v>0</v>
      </c>
      <c r="Q32" s="132">
        <f t="shared" si="79"/>
        <v>0</v>
      </c>
      <c r="R32" s="132">
        <f t="shared" si="79"/>
        <v>0</v>
      </c>
      <c r="S32" s="132">
        <f t="shared" si="79"/>
        <v>0</v>
      </c>
      <c r="T32" s="132">
        <f t="shared" si="79"/>
        <v>0</v>
      </c>
      <c r="U32" s="132">
        <f t="shared" si="79"/>
        <v>0</v>
      </c>
      <c r="V32" s="132">
        <f t="shared" si="79"/>
        <v>0</v>
      </c>
      <c r="W32" s="132">
        <f t="shared" si="79"/>
        <v>0</v>
      </c>
      <c r="X32" s="132">
        <f t="shared" si="79"/>
        <v>0</v>
      </c>
      <c r="Y32" s="132">
        <f t="shared" si="79"/>
        <v>0</v>
      </c>
      <c r="Z32" s="132">
        <f t="shared" si="79"/>
        <v>0</v>
      </c>
      <c r="AA32" s="132">
        <f t="shared" si="79"/>
        <v>0</v>
      </c>
      <c r="AB32" s="132">
        <f t="shared" si="79"/>
        <v>0</v>
      </c>
      <c r="AC32" s="132">
        <f t="shared" si="79"/>
        <v>0</v>
      </c>
      <c r="AD32" s="132">
        <f t="shared" si="79"/>
        <v>0</v>
      </c>
      <c r="AE32" s="132">
        <f t="shared" si="79"/>
        <v>0</v>
      </c>
      <c r="AF32" s="132">
        <f t="shared" si="79"/>
        <v>0</v>
      </c>
      <c r="AG32" s="132">
        <f t="shared" si="79"/>
        <v>0</v>
      </c>
      <c r="AH32" s="132">
        <f t="shared" si="79"/>
        <v>0</v>
      </c>
      <c r="AI32" s="132">
        <f t="shared" si="79"/>
        <v>0</v>
      </c>
      <c r="AJ32" s="132">
        <f t="shared" si="79"/>
        <v>0</v>
      </c>
      <c r="AK32" s="132">
        <f t="shared" si="79"/>
        <v>0</v>
      </c>
      <c r="AL32" s="290">
        <f t="shared" si="79"/>
        <v>0</v>
      </c>
      <c r="AN32" s="316">
        <f t="shared" ca="1" si="78"/>
        <v>0</v>
      </c>
      <c r="AO32" s="132">
        <f t="shared" ca="1" si="78"/>
        <v>0</v>
      </c>
      <c r="AP32" s="132">
        <f t="shared" ca="1" si="78"/>
        <v>0</v>
      </c>
      <c r="AQ32" s="132">
        <f t="shared" ca="1" si="78"/>
        <v>0</v>
      </c>
      <c r="AR32" s="132">
        <f t="shared" ca="1" si="78"/>
        <v>0</v>
      </c>
      <c r="AS32" s="132">
        <f t="shared" ca="1" si="78"/>
        <v>0</v>
      </c>
      <c r="AT32" s="132">
        <f t="shared" ca="1" si="78"/>
        <v>0</v>
      </c>
      <c r="AU32" s="132">
        <f t="shared" ref="AU32:AY32" ca="1" si="80">SUM(AU33,AU41)</f>
        <v>0</v>
      </c>
      <c r="AV32" s="132">
        <f t="shared" ca="1" si="80"/>
        <v>0</v>
      </c>
      <c r="AW32" s="132">
        <f t="shared" ca="1" si="80"/>
        <v>0</v>
      </c>
      <c r="AX32" s="132">
        <f t="shared" ca="1" si="80"/>
        <v>0</v>
      </c>
      <c r="AY32" s="290">
        <f t="shared" ca="1" si="80"/>
        <v>0</v>
      </c>
      <c r="BA32" s="316">
        <f t="shared" ref="BA32" ca="1" si="81">SUM(BA33,BA41)</f>
        <v>0</v>
      </c>
      <c r="BB32" s="132">
        <f t="shared" ref="BB32:BC32" ca="1" si="82">SUM(BB33,BB41)</f>
        <v>0</v>
      </c>
      <c r="BC32" s="290">
        <f t="shared" ca="1" si="82"/>
        <v>0</v>
      </c>
    </row>
    <row r="33" spans="2:55" x14ac:dyDescent="0.35">
      <c r="B33" s="75" t="s">
        <v>75</v>
      </c>
      <c r="C33" s="131">
        <f t="shared" ref="C33:AN33" si="83">SUM(C34:C40)</f>
        <v>0</v>
      </c>
      <c r="D33" s="131">
        <f t="shared" ref="D33:AL33" si="84">SUM(D34:D40)</f>
        <v>0</v>
      </c>
      <c r="E33" s="131">
        <f t="shared" si="84"/>
        <v>0</v>
      </c>
      <c r="F33" s="131">
        <f t="shared" si="84"/>
        <v>0</v>
      </c>
      <c r="G33" s="131">
        <f t="shared" si="84"/>
        <v>0</v>
      </c>
      <c r="H33" s="131">
        <f t="shared" si="84"/>
        <v>0</v>
      </c>
      <c r="I33" s="131">
        <f t="shared" si="84"/>
        <v>0</v>
      </c>
      <c r="J33" s="131">
        <f t="shared" si="84"/>
        <v>0</v>
      </c>
      <c r="K33" s="131">
        <f t="shared" si="84"/>
        <v>0</v>
      </c>
      <c r="L33" s="131">
        <f t="shared" si="84"/>
        <v>0</v>
      </c>
      <c r="M33" s="131">
        <f t="shared" si="84"/>
        <v>0</v>
      </c>
      <c r="N33" s="131">
        <f t="shared" si="84"/>
        <v>0</v>
      </c>
      <c r="O33" s="131">
        <f t="shared" si="84"/>
        <v>0</v>
      </c>
      <c r="P33" s="131">
        <f t="shared" si="84"/>
        <v>0</v>
      </c>
      <c r="Q33" s="131">
        <f t="shared" si="84"/>
        <v>0</v>
      </c>
      <c r="R33" s="131">
        <f t="shared" si="84"/>
        <v>0</v>
      </c>
      <c r="S33" s="131">
        <f t="shared" si="84"/>
        <v>0</v>
      </c>
      <c r="T33" s="131">
        <f t="shared" si="84"/>
        <v>0</v>
      </c>
      <c r="U33" s="131">
        <f t="shared" si="84"/>
        <v>0</v>
      </c>
      <c r="V33" s="131">
        <f t="shared" si="84"/>
        <v>0</v>
      </c>
      <c r="W33" s="131">
        <f t="shared" si="84"/>
        <v>0</v>
      </c>
      <c r="X33" s="131">
        <f t="shared" si="84"/>
        <v>0</v>
      </c>
      <c r="Y33" s="131">
        <f t="shared" si="84"/>
        <v>0</v>
      </c>
      <c r="Z33" s="131">
        <f t="shared" si="84"/>
        <v>0</v>
      </c>
      <c r="AA33" s="131">
        <f t="shared" si="84"/>
        <v>0</v>
      </c>
      <c r="AB33" s="131">
        <f t="shared" si="84"/>
        <v>0</v>
      </c>
      <c r="AC33" s="131">
        <f t="shared" si="84"/>
        <v>0</v>
      </c>
      <c r="AD33" s="131">
        <f t="shared" si="84"/>
        <v>0</v>
      </c>
      <c r="AE33" s="131">
        <f t="shared" si="84"/>
        <v>0</v>
      </c>
      <c r="AF33" s="131">
        <f t="shared" si="84"/>
        <v>0</v>
      </c>
      <c r="AG33" s="131">
        <f t="shared" si="84"/>
        <v>0</v>
      </c>
      <c r="AH33" s="131">
        <f t="shared" si="84"/>
        <v>0</v>
      </c>
      <c r="AI33" s="131">
        <f t="shared" si="84"/>
        <v>0</v>
      </c>
      <c r="AJ33" s="131">
        <f t="shared" si="84"/>
        <v>0</v>
      </c>
      <c r="AK33" s="131">
        <f t="shared" si="84"/>
        <v>0</v>
      </c>
      <c r="AL33" s="291">
        <f t="shared" si="84"/>
        <v>0</v>
      </c>
      <c r="AN33" s="317">
        <f t="shared" ca="1" si="83"/>
        <v>0</v>
      </c>
      <c r="AO33" s="131">
        <f t="shared" ref="AO33:AT33" ca="1" si="85">SUM(AO34:AO40)</f>
        <v>0</v>
      </c>
      <c r="AP33" s="131">
        <f t="shared" ca="1" si="85"/>
        <v>0</v>
      </c>
      <c r="AQ33" s="131">
        <f t="shared" ca="1" si="85"/>
        <v>0</v>
      </c>
      <c r="AR33" s="131">
        <f t="shared" ca="1" si="85"/>
        <v>0</v>
      </c>
      <c r="AS33" s="131">
        <f t="shared" ca="1" si="85"/>
        <v>0</v>
      </c>
      <c r="AT33" s="131">
        <f t="shared" ca="1" si="85"/>
        <v>0</v>
      </c>
      <c r="AU33" s="131">
        <f t="shared" ref="AU33:AY33" ca="1" si="86">SUM(AU34:AU40)</f>
        <v>0</v>
      </c>
      <c r="AV33" s="131">
        <f t="shared" ca="1" si="86"/>
        <v>0</v>
      </c>
      <c r="AW33" s="131">
        <f t="shared" ca="1" si="86"/>
        <v>0</v>
      </c>
      <c r="AX33" s="131">
        <f t="shared" ca="1" si="86"/>
        <v>0</v>
      </c>
      <c r="AY33" s="291">
        <f t="shared" ca="1" si="86"/>
        <v>0</v>
      </c>
      <c r="BA33" s="317">
        <f t="shared" ref="BA33" ca="1" si="87">SUM(BA34:BA40)</f>
        <v>0</v>
      </c>
      <c r="BB33" s="131">
        <f t="shared" ref="BB33:BC33" ca="1" si="88">SUM(BB34:BB40)</f>
        <v>0</v>
      </c>
      <c r="BC33" s="291">
        <f t="shared" ca="1" si="88"/>
        <v>0</v>
      </c>
    </row>
    <row r="34" spans="2:55" x14ac:dyDescent="0.35">
      <c r="B34" s="76" t="s">
        <v>76</v>
      </c>
      <c r="C34" s="137">
        <f>IF(C$12="Actual",SUMIFS(ActualsTable[Month 1],ActualsTable[Expense Item2],$B34),SUMIFS(Expenses!BB$8:BB$69,Expenses!$O$8:$O$69,$B34)+SUMIFS(Headcount!L$395:L$1442,Headcount!$J$395:$J$1442,$B34))</f>
        <v>0</v>
      </c>
      <c r="D34" s="137">
        <f>IF(D$12="Actual",SUMIFS(ActualsTable[Month 2],ActualsTable[Expense Item2],$B34),SUMIFS(Expenses!BC$8:BC$69,Expenses!$O$8:$O$69,$B34)+SUMIFS(Headcount!M$395:M$1442,Headcount!$J$395:$J$1442,$B34))</f>
        <v>0</v>
      </c>
      <c r="E34" s="137">
        <f>IF(E$12="Actual",SUMIFS(ActualsTable[Month 3],ActualsTable[Expense Item2],$B34),SUMIFS(Expenses!BD$8:BD$69,Expenses!$O$8:$O$69,$B34)+SUMIFS(Headcount!N$395:N$1442,Headcount!$J$395:$J$1442,$B34))</f>
        <v>0</v>
      </c>
      <c r="F34" s="137">
        <f>IF(F$12="Actual",SUMIFS(ActualsTable[Month 4],ActualsTable[Expense Item2],$B34),SUMIFS(Expenses!BE$8:BE$69,Expenses!$O$8:$O$69,$B34)+SUMIFS(Headcount!O$395:O$1442,Headcount!$J$395:$J$1442,$B34))</f>
        <v>0</v>
      </c>
      <c r="G34" s="137">
        <f>IF(G$12="Actual",SUMIFS(ActualsTable[Month 5],ActualsTable[Expense Item2],$B34),SUMIFS(Expenses!BF$8:BF$69,Expenses!$O$8:$O$69,$B34)+SUMIFS(Headcount!P$395:P$1442,Headcount!$J$395:$J$1442,$B34))</f>
        <v>0</v>
      </c>
      <c r="H34" s="137">
        <f>IF(H$12="Actual",SUMIFS(ActualsTable[Month 6],ActualsTable[Expense Item2],$B34),SUMIFS(Expenses!BG$8:BG$69,Expenses!$O$8:$O$69,$B34)+SUMIFS(Headcount!Q$395:Q$1442,Headcount!$J$395:$J$1442,$B34))</f>
        <v>0</v>
      </c>
      <c r="I34" s="137">
        <f>IF(I$12="Actual",SUMIFS(ActualsTable[Month 7],ActualsTable[Expense Item2],$B34),SUMIFS(Expenses!BH$8:BH$69,Expenses!$O$8:$O$69,$B34)+SUMIFS(Headcount!R$395:R$1442,Headcount!$J$395:$J$1442,$B34))</f>
        <v>0</v>
      </c>
      <c r="J34" s="137">
        <f>IF(J$12="Actual",SUMIFS(ActualsTable[Month 8],ActualsTable[Expense Item2],$B34),SUMIFS(Expenses!BI$8:BI$69,Expenses!$O$8:$O$69,$B34)+SUMIFS(Headcount!S$395:S$1442,Headcount!$J$395:$J$1442,$B34))</f>
        <v>0</v>
      </c>
      <c r="K34" s="137">
        <f>IF(K$12="Actual",SUMIFS(ActualsTable[Month 9],ActualsTable[Expense Item2],$B34),SUMIFS(Expenses!BJ$8:BJ$69,Expenses!$O$8:$O$69,$B34)+SUMIFS(Headcount!T$395:T$1442,Headcount!$J$395:$J$1442,$B34))</f>
        <v>0</v>
      </c>
      <c r="L34" s="137">
        <f>IF(L$12="Actual",SUMIFS(ActualsTable[Month 10],ActualsTable[Expense Item2],$B34),SUMIFS(Expenses!BK$8:BK$69,Expenses!$O$8:$O$69,$B34)+SUMIFS(Headcount!U$395:U$1442,Headcount!$J$395:$J$1442,$B34))</f>
        <v>0</v>
      </c>
      <c r="M34" s="137">
        <f>IF(M$12="Actual",SUMIFS(ActualsTable[Month 11],ActualsTable[Expense Item2],$B34),SUMIFS(Expenses!BL$8:BL$69,Expenses!$O$8:$O$69,$B34)+SUMIFS(Headcount!V$395:V$1442,Headcount!$J$395:$J$1442,$B34))</f>
        <v>0</v>
      </c>
      <c r="N34" s="137">
        <f>IF(N$12="Actual",SUMIFS(ActualsTable[Month 12],ActualsTable[Expense Item2],$B34),SUMIFS(Expenses!BM$8:BM$69,Expenses!$O$8:$O$69,$B34)+SUMIFS(Headcount!W$395:W$1442,Headcount!$J$395:$J$1442,$B34))</f>
        <v>0</v>
      </c>
      <c r="O34" s="137">
        <f>IF(O$12="Actual",SUMIFS(ActualsTable[Month 13],ActualsTable[Expense Item2],$B34),SUMIFS(Expenses!BN$8:BN$69,Expenses!$O$8:$O$69,$B34)+SUMIFS(Headcount!X$395:X$1442,Headcount!$J$395:$J$1442,$B34))</f>
        <v>0</v>
      </c>
      <c r="P34" s="137">
        <f>IF(P$12="Actual",SUMIFS(ActualsTable[Month 14],ActualsTable[Expense Item2],$B34),SUMIFS(Expenses!BO$8:BO$69,Expenses!$O$8:$O$69,$B34)+SUMIFS(Headcount!Y$395:Y$1442,Headcount!$J$395:$J$1442,$B34))</f>
        <v>0</v>
      </c>
      <c r="Q34" s="137">
        <f>IF(Q$12="Actual",SUMIFS(ActualsTable[Month 15],ActualsTable[Expense Item2],$B34),SUMIFS(Expenses!BP$8:BP$69,Expenses!$O$8:$O$69,$B34)+SUMIFS(Headcount!Z$395:Z$1442,Headcount!$J$395:$J$1442,$B34))</f>
        <v>0</v>
      </c>
      <c r="R34" s="137">
        <f>IF(R$12="Actual",SUMIFS(ActualsTable[Month 16],ActualsTable[Expense Item2],$B34),SUMIFS(Expenses!BQ$8:BQ$69,Expenses!$O$8:$O$69,$B34)+SUMIFS(Headcount!AA$395:AA$1442,Headcount!$J$395:$J$1442,$B34))</f>
        <v>0</v>
      </c>
      <c r="S34" s="137">
        <f>IF(S$12="Actual",SUMIFS(ActualsTable[Month 17],ActualsTable[Expense Item2],$B34),SUMIFS(Expenses!BR$8:BR$69,Expenses!$O$8:$O$69,$B34)+SUMIFS(Headcount!AB$395:AB$1442,Headcount!$J$395:$J$1442,$B34))</f>
        <v>0</v>
      </c>
      <c r="T34" s="137">
        <f>IF(T$12="Actual",SUMIFS(ActualsTable[Month 18],ActualsTable[Expense Item2],$B34),SUMIFS(Expenses!BS$8:BS$69,Expenses!$O$8:$O$69,$B34)+SUMIFS(Headcount!AC$395:AC$1442,Headcount!$J$395:$J$1442,$B34))</f>
        <v>0</v>
      </c>
      <c r="U34" s="137">
        <f>IF(U$12="Actual",SUMIFS(ActualsTable[Month 19],ActualsTable[Expense Item2],$B34),SUMIFS(Expenses!BT$8:BT$69,Expenses!$O$8:$O$69,$B34)+SUMIFS(Headcount!AD$395:AD$1442,Headcount!$J$395:$J$1442,$B34))</f>
        <v>0</v>
      </c>
      <c r="V34" s="137">
        <f>IF(V$12="Actual",SUMIFS(ActualsTable[Month 20],ActualsTable[Expense Item2],$B34),SUMIFS(Expenses!BU$8:BU$69,Expenses!$O$8:$O$69,$B34)+SUMIFS(Headcount!AE$395:AE$1442,Headcount!$J$395:$J$1442,$B34))</f>
        <v>0</v>
      </c>
      <c r="W34" s="137">
        <f>IF(W$12="Actual",SUMIFS(ActualsTable[Month 21],ActualsTable[Expense Item2],$B34),SUMIFS(Expenses!BV$8:BV$69,Expenses!$O$8:$O$69,$B34)+SUMIFS(Headcount!AF$395:AF$1442,Headcount!$J$395:$J$1442,$B34))</f>
        <v>0</v>
      </c>
      <c r="X34" s="137">
        <f>IF(X$12="Actual",SUMIFS(ActualsTable[Month 22],ActualsTable[Expense Item2],$B34),SUMIFS(Expenses!BW$8:BW$69,Expenses!$O$8:$O$69,$B34)+SUMIFS(Headcount!AG$395:AG$1442,Headcount!$J$395:$J$1442,$B34))</f>
        <v>0</v>
      </c>
      <c r="Y34" s="137">
        <f>IF(Y$12="Actual",SUMIFS(ActualsTable[Month 23],ActualsTable[Expense Item2],$B34),SUMIFS(Expenses!BX$8:BX$69,Expenses!$O$8:$O$69,$B34)+SUMIFS(Headcount!AH$395:AH$1442,Headcount!$J$395:$J$1442,$B34))</f>
        <v>0</v>
      </c>
      <c r="Z34" s="137">
        <f>IF(Z$12="Actual",SUMIFS(ActualsTable[Month 24],ActualsTable[Expense Item2],$B34),SUMIFS(Expenses!BY$8:BY$69,Expenses!$O$8:$O$69,$B34)+SUMIFS(Headcount!AI$395:AI$1442,Headcount!$J$395:$J$1442,$B34))</f>
        <v>0</v>
      </c>
      <c r="AA34" s="137">
        <f>IF(AA$12="Actual",SUMIFS(ActualsTable[Month 25],ActualsTable[Expense Item2],$B34),SUMIFS(Expenses!BZ$8:BZ$69,Expenses!$O$8:$O$69,$B34)+SUMIFS(Headcount!AJ$395:AJ$1442,Headcount!$J$395:$J$1442,$B34))</f>
        <v>0</v>
      </c>
      <c r="AB34" s="137">
        <f>IF(AB$12="Actual",SUMIFS(ActualsTable[Month 26],ActualsTable[Expense Item2],$B34),SUMIFS(Expenses!CA$8:CA$69,Expenses!$O$8:$O$69,$B34)+SUMIFS(Headcount!AK$395:AK$1442,Headcount!$J$395:$J$1442,$B34))</f>
        <v>0</v>
      </c>
      <c r="AC34" s="137">
        <f>IF(AC$12="Actual",SUMIFS(ActualsTable[Month 27],ActualsTable[Expense Item2],$B34),SUMIFS(Expenses!CB$8:CB$69,Expenses!$O$8:$O$69,$B34)+SUMIFS(Headcount!AL$395:AL$1442,Headcount!$J$395:$J$1442,$B34))</f>
        <v>0</v>
      </c>
      <c r="AD34" s="137">
        <f>IF(AD$12="Actual",SUMIFS(ActualsTable[Month 28],ActualsTable[Expense Item2],$B34),SUMIFS(Expenses!CC$8:CC$69,Expenses!$O$8:$O$69,$B34)+SUMIFS(Headcount!AM$395:AM$1442,Headcount!$J$395:$J$1442,$B34))</f>
        <v>0</v>
      </c>
      <c r="AE34" s="137">
        <f>IF(AE$12="Actual",SUMIFS(ActualsTable[Month 29],ActualsTable[Expense Item2],$B34),SUMIFS(Expenses!CD$8:CD$69,Expenses!$O$8:$O$69,$B34)+SUMIFS(Headcount!AN$395:AN$1442,Headcount!$J$395:$J$1442,$B34))</f>
        <v>0</v>
      </c>
      <c r="AF34" s="137">
        <f>IF(AF$12="Actual",SUMIFS(ActualsTable[Month 30],ActualsTable[Expense Item2],$B34),SUMIFS(Expenses!CE$8:CE$69,Expenses!$O$8:$O$69,$B34)+SUMIFS(Headcount!AO$395:AO$1442,Headcount!$J$395:$J$1442,$B34))</f>
        <v>0</v>
      </c>
      <c r="AG34" s="137">
        <f>IF(AG$12="Actual",SUMIFS(ActualsTable[Month 31],ActualsTable[Expense Item2],$B34),SUMIFS(Expenses!CF$8:CF$69,Expenses!$O$8:$O$69,$B34)+SUMIFS(Headcount!AP$395:AP$1442,Headcount!$J$395:$J$1442,$B34))</f>
        <v>0</v>
      </c>
      <c r="AH34" s="137">
        <f>IF(AH$12="Actual",SUMIFS(ActualsTable[Month 32],ActualsTable[Expense Item2],$B34),SUMIFS(Expenses!CG$8:CG$69,Expenses!$O$8:$O$69,$B34)+SUMIFS(Headcount!AQ$395:AQ$1442,Headcount!$J$395:$J$1442,$B34))</f>
        <v>0</v>
      </c>
      <c r="AI34" s="137">
        <f>IF(AI$12="Actual",SUMIFS(ActualsTable[Month 33],ActualsTable[Expense Item2],$B34),SUMIFS(Expenses!CH$8:CH$69,Expenses!$O$8:$O$69,$B34)+SUMIFS(Headcount!AR$395:AR$1442,Headcount!$J$395:$J$1442,$B34))</f>
        <v>0</v>
      </c>
      <c r="AJ34" s="137">
        <f>IF(AJ$12="Actual",SUMIFS(ActualsTable[Month 34],ActualsTable[Expense Item2],$B34),SUMIFS(Expenses!CI$8:CI$69,Expenses!$O$8:$O$69,$B34)+SUMIFS(Headcount!AS$395:AS$1442,Headcount!$J$395:$J$1442,$B34))</f>
        <v>0</v>
      </c>
      <c r="AK34" s="137">
        <f>IF(AK$12="Actual",SUMIFS(ActualsTable[Month 35],ActualsTable[Expense Item2],$B34),SUMIFS(Expenses!CJ$8:CJ$69,Expenses!$O$8:$O$69,$B34)+SUMIFS(Headcount!AT$395:AT$1442,Headcount!$J$395:$J$1442,$B34))</f>
        <v>0</v>
      </c>
      <c r="AL34" s="293">
        <f>IF(AL$12="Actual",SUMIFS(ActualsTable[Month 36],ActualsTable[Expense Item2],$B34),SUMIFS(Expenses!CK$8:CK$69,Expenses!$O$8:$O$69,$B34)+SUMIFS(Headcount!AU$395:AU$1442,Headcount!$J$395:$J$1442,$B34))</f>
        <v>0</v>
      </c>
      <c r="AN34" s="319">
        <f t="shared" ref="AN34:AY40" ca="1" si="89">SUM(OFFSET($B34,0,3*AN$9+1,1,3))</f>
        <v>0</v>
      </c>
      <c r="AO34" s="137">
        <f t="shared" ca="1" si="89"/>
        <v>0</v>
      </c>
      <c r="AP34" s="137">
        <f t="shared" ca="1" si="89"/>
        <v>0</v>
      </c>
      <c r="AQ34" s="137">
        <f t="shared" ca="1" si="89"/>
        <v>0</v>
      </c>
      <c r="AR34" s="137">
        <f t="shared" ca="1" si="89"/>
        <v>0</v>
      </c>
      <c r="AS34" s="137">
        <f t="shared" ca="1" si="89"/>
        <v>0</v>
      </c>
      <c r="AT34" s="137">
        <f t="shared" ca="1" si="89"/>
        <v>0</v>
      </c>
      <c r="AU34" s="137">
        <f t="shared" ca="1" si="89"/>
        <v>0</v>
      </c>
      <c r="AV34" s="137">
        <f t="shared" ca="1" si="89"/>
        <v>0</v>
      </c>
      <c r="AW34" s="137">
        <f t="shared" ca="1" si="89"/>
        <v>0</v>
      </c>
      <c r="AX34" s="137">
        <f t="shared" ca="1" si="89"/>
        <v>0</v>
      </c>
      <c r="AY34" s="293">
        <f t="shared" ca="1" si="89"/>
        <v>0</v>
      </c>
      <c r="BA34" s="319">
        <f t="shared" ref="BA34:BC40" ca="1" si="90">SUM(OFFSET($B34,0,12*BA$9+1,1,12))</f>
        <v>0</v>
      </c>
      <c r="BB34" s="137">
        <f t="shared" ca="1" si="90"/>
        <v>0</v>
      </c>
      <c r="BC34" s="293">
        <f t="shared" ca="1" si="90"/>
        <v>0</v>
      </c>
    </row>
    <row r="35" spans="2:55" x14ac:dyDescent="0.35">
      <c r="B35" s="76" t="s">
        <v>77</v>
      </c>
      <c r="C35" s="137">
        <f>IF(C$12="Actual",SUMIFS(ActualsTable[Month 1],ActualsTable[Expense Item2],$B35),SUMIFS(Expenses!BB$8:BB$69,Expenses!$O$8:$O$69,$B35)+SUMIFS(Headcount!L$395:L$1442,Headcount!$J$395:$J$1442,$B35))</f>
        <v>0</v>
      </c>
      <c r="D35" s="137">
        <f>IF(D$12="Actual",SUMIFS(ActualsTable[Month 2],ActualsTable[Expense Item2],$B35),SUMIFS(Expenses!BC$8:BC$69,Expenses!$O$8:$O$69,$B35)+SUMIFS(Headcount!M$395:M$1442,Headcount!$J$395:$J$1442,$B35))</f>
        <v>0</v>
      </c>
      <c r="E35" s="137">
        <f>IF(E$12="Actual",SUMIFS(ActualsTable[Month 3],ActualsTable[Expense Item2],$B35),SUMIFS(Expenses!BD$8:BD$69,Expenses!$O$8:$O$69,$B35)+SUMIFS(Headcount!N$395:N$1442,Headcount!$J$395:$J$1442,$B35))</f>
        <v>0</v>
      </c>
      <c r="F35" s="137">
        <f>IF(F$12="Actual",SUMIFS(ActualsTable[Month 4],ActualsTable[Expense Item2],$B35),SUMIFS(Expenses!BE$8:BE$69,Expenses!$O$8:$O$69,$B35)+SUMIFS(Headcount!O$395:O$1442,Headcount!$J$395:$J$1442,$B35))</f>
        <v>0</v>
      </c>
      <c r="G35" s="137">
        <f>IF(G$12="Actual",SUMIFS(ActualsTable[Month 5],ActualsTable[Expense Item2],$B35),SUMIFS(Expenses!BF$8:BF$69,Expenses!$O$8:$O$69,$B35)+SUMIFS(Headcount!P$395:P$1442,Headcount!$J$395:$J$1442,$B35))</f>
        <v>0</v>
      </c>
      <c r="H35" s="137">
        <f>IF(H$12="Actual",SUMIFS(ActualsTable[Month 6],ActualsTable[Expense Item2],$B35),SUMIFS(Expenses!BG$8:BG$69,Expenses!$O$8:$O$69,$B35)+SUMIFS(Headcount!Q$395:Q$1442,Headcount!$J$395:$J$1442,$B35))</f>
        <v>0</v>
      </c>
      <c r="I35" s="137">
        <f>IF(I$12="Actual",SUMIFS(ActualsTable[Month 7],ActualsTable[Expense Item2],$B35),SUMIFS(Expenses!BH$8:BH$69,Expenses!$O$8:$O$69,$B35)+SUMIFS(Headcount!R$395:R$1442,Headcount!$J$395:$J$1442,$B35))</f>
        <v>0</v>
      </c>
      <c r="J35" s="137">
        <f>IF(J$12="Actual",SUMIFS(ActualsTable[Month 8],ActualsTable[Expense Item2],$B35),SUMIFS(Expenses!BI$8:BI$69,Expenses!$O$8:$O$69,$B35)+SUMIFS(Headcount!S$395:S$1442,Headcount!$J$395:$J$1442,$B35))</f>
        <v>0</v>
      </c>
      <c r="K35" s="137">
        <f>IF(K$12="Actual",SUMIFS(ActualsTable[Month 9],ActualsTable[Expense Item2],$B35),SUMIFS(Expenses!BJ$8:BJ$69,Expenses!$O$8:$O$69,$B35)+SUMIFS(Headcount!T$395:T$1442,Headcount!$J$395:$J$1442,$B35))</f>
        <v>0</v>
      </c>
      <c r="L35" s="137">
        <f>IF(L$12="Actual",SUMIFS(ActualsTable[Month 10],ActualsTable[Expense Item2],$B35),SUMIFS(Expenses!BK$8:BK$69,Expenses!$O$8:$O$69,$B35)+SUMIFS(Headcount!U$395:U$1442,Headcount!$J$395:$J$1442,$B35))</f>
        <v>0</v>
      </c>
      <c r="M35" s="137">
        <f>IF(M$12="Actual",SUMIFS(ActualsTable[Month 11],ActualsTable[Expense Item2],$B35),SUMIFS(Expenses!BL$8:BL$69,Expenses!$O$8:$O$69,$B35)+SUMIFS(Headcount!V$395:V$1442,Headcount!$J$395:$J$1442,$B35))</f>
        <v>0</v>
      </c>
      <c r="N35" s="137">
        <f>IF(N$12="Actual",SUMIFS(ActualsTable[Month 12],ActualsTable[Expense Item2],$B35),SUMIFS(Expenses!BM$8:BM$69,Expenses!$O$8:$O$69,$B35)+SUMIFS(Headcount!W$395:W$1442,Headcount!$J$395:$J$1442,$B35))</f>
        <v>0</v>
      </c>
      <c r="O35" s="137">
        <f>IF(O$12="Actual",SUMIFS(ActualsTable[Month 13],ActualsTable[Expense Item2],$B35),SUMIFS(Expenses!BN$8:BN$69,Expenses!$O$8:$O$69,$B35)+SUMIFS(Headcount!X$395:X$1442,Headcount!$J$395:$J$1442,$B35))</f>
        <v>0</v>
      </c>
      <c r="P35" s="137">
        <f>IF(P$12="Actual",SUMIFS(ActualsTable[Month 14],ActualsTable[Expense Item2],$B35),SUMIFS(Expenses!BO$8:BO$69,Expenses!$O$8:$O$69,$B35)+SUMIFS(Headcount!Y$395:Y$1442,Headcount!$J$395:$J$1442,$B35))</f>
        <v>0</v>
      </c>
      <c r="Q35" s="137">
        <f>IF(Q$12="Actual",SUMIFS(ActualsTable[Month 15],ActualsTable[Expense Item2],$B35),SUMIFS(Expenses!BP$8:BP$69,Expenses!$O$8:$O$69,$B35)+SUMIFS(Headcount!Z$395:Z$1442,Headcount!$J$395:$J$1442,$B35))</f>
        <v>0</v>
      </c>
      <c r="R35" s="137">
        <f>IF(R$12="Actual",SUMIFS(ActualsTable[Month 16],ActualsTable[Expense Item2],$B35),SUMIFS(Expenses!BQ$8:BQ$69,Expenses!$O$8:$O$69,$B35)+SUMIFS(Headcount!AA$395:AA$1442,Headcount!$J$395:$J$1442,$B35))</f>
        <v>0</v>
      </c>
      <c r="S35" s="137">
        <f>IF(S$12="Actual",SUMIFS(ActualsTable[Month 17],ActualsTable[Expense Item2],$B35),SUMIFS(Expenses!BR$8:BR$69,Expenses!$O$8:$O$69,$B35)+SUMIFS(Headcount!AB$395:AB$1442,Headcount!$J$395:$J$1442,$B35))</f>
        <v>0</v>
      </c>
      <c r="T35" s="137">
        <f>IF(T$12="Actual",SUMIFS(ActualsTable[Month 18],ActualsTable[Expense Item2],$B35),SUMIFS(Expenses!BS$8:BS$69,Expenses!$O$8:$O$69,$B35)+SUMIFS(Headcount!AC$395:AC$1442,Headcount!$J$395:$J$1442,$B35))</f>
        <v>0</v>
      </c>
      <c r="U35" s="137">
        <f>IF(U$12="Actual",SUMIFS(ActualsTable[Month 19],ActualsTable[Expense Item2],$B35),SUMIFS(Expenses!BT$8:BT$69,Expenses!$O$8:$O$69,$B35)+SUMIFS(Headcount!AD$395:AD$1442,Headcount!$J$395:$J$1442,$B35))</f>
        <v>0</v>
      </c>
      <c r="V35" s="137">
        <f>IF(V$12="Actual",SUMIFS(ActualsTable[Month 20],ActualsTable[Expense Item2],$B35),SUMIFS(Expenses!BU$8:BU$69,Expenses!$O$8:$O$69,$B35)+SUMIFS(Headcount!AE$395:AE$1442,Headcount!$J$395:$J$1442,$B35))</f>
        <v>0</v>
      </c>
      <c r="W35" s="137">
        <f>IF(W$12="Actual",SUMIFS(ActualsTable[Month 21],ActualsTable[Expense Item2],$B35),SUMIFS(Expenses!BV$8:BV$69,Expenses!$O$8:$O$69,$B35)+SUMIFS(Headcount!AF$395:AF$1442,Headcount!$J$395:$J$1442,$B35))</f>
        <v>0</v>
      </c>
      <c r="X35" s="137">
        <f>IF(X$12="Actual",SUMIFS(ActualsTable[Month 22],ActualsTable[Expense Item2],$B35),SUMIFS(Expenses!BW$8:BW$69,Expenses!$O$8:$O$69,$B35)+SUMIFS(Headcount!AG$395:AG$1442,Headcount!$J$395:$J$1442,$B35))</f>
        <v>0</v>
      </c>
      <c r="Y35" s="137">
        <f>IF(Y$12="Actual",SUMIFS(ActualsTable[Month 23],ActualsTable[Expense Item2],$B35),SUMIFS(Expenses!BX$8:BX$69,Expenses!$O$8:$O$69,$B35)+SUMIFS(Headcount!AH$395:AH$1442,Headcount!$J$395:$J$1442,$B35))</f>
        <v>0</v>
      </c>
      <c r="Z35" s="137">
        <f>IF(Z$12="Actual",SUMIFS(ActualsTable[Month 24],ActualsTable[Expense Item2],$B35),SUMIFS(Expenses!BY$8:BY$69,Expenses!$O$8:$O$69,$B35)+SUMIFS(Headcount!AI$395:AI$1442,Headcount!$J$395:$J$1442,$B35))</f>
        <v>0</v>
      </c>
      <c r="AA35" s="137">
        <f>IF(AA$12="Actual",SUMIFS(ActualsTable[Month 25],ActualsTable[Expense Item2],$B35),SUMIFS(Expenses!BZ$8:BZ$69,Expenses!$O$8:$O$69,$B35)+SUMIFS(Headcount!AJ$395:AJ$1442,Headcount!$J$395:$J$1442,$B35))</f>
        <v>0</v>
      </c>
      <c r="AB35" s="137">
        <f>IF(AB$12="Actual",SUMIFS(ActualsTable[Month 26],ActualsTable[Expense Item2],$B35),SUMIFS(Expenses!CA$8:CA$69,Expenses!$O$8:$O$69,$B35)+SUMIFS(Headcount!AK$395:AK$1442,Headcount!$J$395:$J$1442,$B35))</f>
        <v>0</v>
      </c>
      <c r="AC35" s="137">
        <f>IF(AC$12="Actual",SUMIFS(ActualsTable[Month 27],ActualsTable[Expense Item2],$B35),SUMIFS(Expenses!CB$8:CB$69,Expenses!$O$8:$O$69,$B35)+SUMIFS(Headcount!AL$395:AL$1442,Headcount!$J$395:$J$1442,$B35))</f>
        <v>0</v>
      </c>
      <c r="AD35" s="137">
        <f>IF(AD$12="Actual",SUMIFS(ActualsTable[Month 28],ActualsTable[Expense Item2],$B35),SUMIFS(Expenses!CC$8:CC$69,Expenses!$O$8:$O$69,$B35)+SUMIFS(Headcount!AM$395:AM$1442,Headcount!$J$395:$J$1442,$B35))</f>
        <v>0</v>
      </c>
      <c r="AE35" s="137">
        <f>IF(AE$12="Actual",SUMIFS(ActualsTable[Month 29],ActualsTable[Expense Item2],$B35),SUMIFS(Expenses!CD$8:CD$69,Expenses!$O$8:$O$69,$B35)+SUMIFS(Headcount!AN$395:AN$1442,Headcount!$J$395:$J$1442,$B35))</f>
        <v>0</v>
      </c>
      <c r="AF35" s="137">
        <f>IF(AF$12="Actual",SUMIFS(ActualsTable[Month 30],ActualsTable[Expense Item2],$B35),SUMIFS(Expenses!CE$8:CE$69,Expenses!$O$8:$O$69,$B35)+SUMIFS(Headcount!AO$395:AO$1442,Headcount!$J$395:$J$1442,$B35))</f>
        <v>0</v>
      </c>
      <c r="AG35" s="137">
        <f>IF(AG$12="Actual",SUMIFS(ActualsTable[Month 31],ActualsTable[Expense Item2],$B35),SUMIFS(Expenses!CF$8:CF$69,Expenses!$O$8:$O$69,$B35)+SUMIFS(Headcount!AP$395:AP$1442,Headcount!$J$395:$J$1442,$B35))</f>
        <v>0</v>
      </c>
      <c r="AH35" s="137">
        <f>IF(AH$12="Actual",SUMIFS(ActualsTable[Month 32],ActualsTable[Expense Item2],$B35),SUMIFS(Expenses!CG$8:CG$69,Expenses!$O$8:$O$69,$B35)+SUMIFS(Headcount!AQ$395:AQ$1442,Headcount!$J$395:$J$1442,$B35))</f>
        <v>0</v>
      </c>
      <c r="AI35" s="137">
        <f>IF(AI$12="Actual",SUMIFS(ActualsTable[Month 33],ActualsTable[Expense Item2],$B35),SUMIFS(Expenses!CH$8:CH$69,Expenses!$O$8:$O$69,$B35)+SUMIFS(Headcount!AR$395:AR$1442,Headcount!$J$395:$J$1442,$B35))</f>
        <v>0</v>
      </c>
      <c r="AJ35" s="137">
        <f>IF(AJ$12="Actual",SUMIFS(ActualsTable[Month 34],ActualsTable[Expense Item2],$B35),SUMIFS(Expenses!CI$8:CI$69,Expenses!$O$8:$O$69,$B35)+SUMIFS(Headcount!AS$395:AS$1442,Headcount!$J$395:$J$1442,$B35))</f>
        <v>0</v>
      </c>
      <c r="AK35" s="137">
        <f>IF(AK$12="Actual",SUMIFS(ActualsTable[Month 35],ActualsTable[Expense Item2],$B35),SUMIFS(Expenses!CJ$8:CJ$69,Expenses!$O$8:$O$69,$B35)+SUMIFS(Headcount!AT$395:AT$1442,Headcount!$J$395:$J$1442,$B35))</f>
        <v>0</v>
      </c>
      <c r="AL35" s="293">
        <f>IF(AL$12="Actual",SUMIFS(ActualsTable[Month 36],ActualsTable[Expense Item2],$B35),SUMIFS(Expenses!CK$8:CK$69,Expenses!$O$8:$O$69,$B35)+SUMIFS(Headcount!AU$395:AU$1442,Headcount!$J$395:$J$1442,$B35))</f>
        <v>0</v>
      </c>
      <c r="AN35" s="319">
        <f t="shared" ca="1" si="89"/>
        <v>0</v>
      </c>
      <c r="AO35" s="137">
        <f t="shared" ca="1" si="89"/>
        <v>0</v>
      </c>
      <c r="AP35" s="137">
        <f t="shared" ca="1" si="89"/>
        <v>0</v>
      </c>
      <c r="AQ35" s="137">
        <f t="shared" ca="1" si="89"/>
        <v>0</v>
      </c>
      <c r="AR35" s="137">
        <f t="shared" ca="1" si="89"/>
        <v>0</v>
      </c>
      <c r="AS35" s="137">
        <f t="shared" ca="1" si="89"/>
        <v>0</v>
      </c>
      <c r="AT35" s="137">
        <f t="shared" ca="1" si="89"/>
        <v>0</v>
      </c>
      <c r="AU35" s="137">
        <f t="shared" ca="1" si="89"/>
        <v>0</v>
      </c>
      <c r="AV35" s="137">
        <f t="shared" ca="1" si="89"/>
        <v>0</v>
      </c>
      <c r="AW35" s="137">
        <f t="shared" ca="1" si="89"/>
        <v>0</v>
      </c>
      <c r="AX35" s="137">
        <f t="shared" ca="1" si="89"/>
        <v>0</v>
      </c>
      <c r="AY35" s="293">
        <f t="shared" ca="1" si="89"/>
        <v>0</v>
      </c>
      <c r="BA35" s="319">
        <f t="shared" ca="1" si="90"/>
        <v>0</v>
      </c>
      <c r="BB35" s="137">
        <f t="shared" ca="1" si="90"/>
        <v>0</v>
      </c>
      <c r="BC35" s="293">
        <f t="shared" ca="1" si="90"/>
        <v>0</v>
      </c>
    </row>
    <row r="36" spans="2:55" x14ac:dyDescent="0.35">
      <c r="B36" s="76" t="s">
        <v>78</v>
      </c>
      <c r="C36" s="137">
        <f>IF(C$12="Actual",SUMIFS(ActualsTable[Month 1],ActualsTable[Expense Item2],$B36),SUMIFS(Expenses!BB$8:BB$69,Expenses!$O$8:$O$69,$B36)+SUMIFS(Headcount!L$395:L$1442,Headcount!$J$395:$J$1442,$B36))</f>
        <v>0</v>
      </c>
      <c r="D36" s="137">
        <f>IF(D$12="Actual",SUMIFS(ActualsTable[Month 2],ActualsTable[Expense Item2],$B36),SUMIFS(Expenses!BC$8:BC$69,Expenses!$O$8:$O$69,$B36)+SUMIFS(Headcount!M$395:M$1442,Headcount!$J$395:$J$1442,$B36))</f>
        <v>0</v>
      </c>
      <c r="E36" s="137">
        <f>IF(E$12="Actual",SUMIFS(ActualsTable[Month 3],ActualsTable[Expense Item2],$B36),SUMIFS(Expenses!BD$8:BD$69,Expenses!$O$8:$O$69,$B36)+SUMIFS(Headcount!N$395:N$1442,Headcount!$J$395:$J$1442,$B36))</f>
        <v>0</v>
      </c>
      <c r="F36" s="137">
        <f>IF(F$12="Actual",SUMIFS(ActualsTable[Month 4],ActualsTable[Expense Item2],$B36),SUMIFS(Expenses!BE$8:BE$69,Expenses!$O$8:$O$69,$B36)+SUMIFS(Headcount!O$395:O$1442,Headcount!$J$395:$J$1442,$B36))</f>
        <v>0</v>
      </c>
      <c r="G36" s="137">
        <f>IF(G$12="Actual",SUMIFS(ActualsTable[Month 5],ActualsTable[Expense Item2],$B36),SUMIFS(Expenses!BF$8:BF$69,Expenses!$O$8:$O$69,$B36)+SUMIFS(Headcount!P$395:P$1442,Headcount!$J$395:$J$1442,$B36))</f>
        <v>0</v>
      </c>
      <c r="H36" s="137">
        <f>IF(H$12="Actual",SUMIFS(ActualsTable[Month 6],ActualsTable[Expense Item2],$B36),SUMIFS(Expenses!BG$8:BG$69,Expenses!$O$8:$O$69,$B36)+SUMIFS(Headcount!Q$395:Q$1442,Headcount!$J$395:$J$1442,$B36))</f>
        <v>0</v>
      </c>
      <c r="I36" s="137">
        <f>IF(I$12="Actual",SUMIFS(ActualsTable[Month 7],ActualsTable[Expense Item2],$B36),SUMIFS(Expenses!BH$8:BH$69,Expenses!$O$8:$O$69,$B36)+SUMIFS(Headcount!R$395:R$1442,Headcount!$J$395:$J$1442,$B36))</f>
        <v>0</v>
      </c>
      <c r="J36" s="137">
        <f>IF(J$12="Actual",SUMIFS(ActualsTable[Month 8],ActualsTable[Expense Item2],$B36),SUMIFS(Expenses!BI$8:BI$69,Expenses!$O$8:$O$69,$B36)+SUMIFS(Headcount!S$395:S$1442,Headcount!$J$395:$J$1442,$B36))</f>
        <v>0</v>
      </c>
      <c r="K36" s="137">
        <f>IF(K$12="Actual",SUMIFS(ActualsTable[Month 9],ActualsTable[Expense Item2],$B36),SUMIFS(Expenses!BJ$8:BJ$69,Expenses!$O$8:$O$69,$B36)+SUMIFS(Headcount!T$395:T$1442,Headcount!$J$395:$J$1442,$B36))</f>
        <v>0</v>
      </c>
      <c r="L36" s="137">
        <f>IF(L$12="Actual",SUMIFS(ActualsTable[Month 10],ActualsTable[Expense Item2],$B36),SUMIFS(Expenses!BK$8:BK$69,Expenses!$O$8:$O$69,$B36)+SUMIFS(Headcount!U$395:U$1442,Headcount!$J$395:$J$1442,$B36))</f>
        <v>0</v>
      </c>
      <c r="M36" s="137">
        <f>IF(M$12="Actual",SUMIFS(ActualsTable[Month 11],ActualsTable[Expense Item2],$B36),SUMIFS(Expenses!BL$8:BL$69,Expenses!$O$8:$O$69,$B36)+SUMIFS(Headcount!V$395:V$1442,Headcount!$J$395:$J$1442,$B36))</f>
        <v>0</v>
      </c>
      <c r="N36" s="137">
        <f>IF(N$12="Actual",SUMIFS(ActualsTable[Month 12],ActualsTable[Expense Item2],$B36),SUMIFS(Expenses!BM$8:BM$69,Expenses!$O$8:$O$69,$B36)+SUMIFS(Headcount!W$395:W$1442,Headcount!$J$395:$J$1442,$B36))</f>
        <v>0</v>
      </c>
      <c r="O36" s="137">
        <f>IF(O$12="Actual",SUMIFS(ActualsTable[Month 13],ActualsTable[Expense Item2],$B36),SUMIFS(Expenses!BN$8:BN$69,Expenses!$O$8:$O$69,$B36)+SUMIFS(Headcount!X$395:X$1442,Headcount!$J$395:$J$1442,$B36))</f>
        <v>0</v>
      </c>
      <c r="P36" s="137">
        <f>IF(P$12="Actual",SUMIFS(ActualsTable[Month 14],ActualsTable[Expense Item2],$B36),SUMIFS(Expenses!BO$8:BO$69,Expenses!$O$8:$O$69,$B36)+SUMIFS(Headcount!Y$395:Y$1442,Headcount!$J$395:$J$1442,$B36))</f>
        <v>0</v>
      </c>
      <c r="Q36" s="137">
        <f>IF(Q$12="Actual",SUMIFS(ActualsTable[Month 15],ActualsTable[Expense Item2],$B36),SUMIFS(Expenses!BP$8:BP$69,Expenses!$O$8:$O$69,$B36)+SUMIFS(Headcount!Z$395:Z$1442,Headcount!$J$395:$J$1442,$B36))</f>
        <v>0</v>
      </c>
      <c r="R36" s="137">
        <f>IF(R$12="Actual",SUMIFS(ActualsTable[Month 16],ActualsTable[Expense Item2],$B36),SUMIFS(Expenses!BQ$8:BQ$69,Expenses!$O$8:$O$69,$B36)+SUMIFS(Headcount!AA$395:AA$1442,Headcount!$J$395:$J$1442,$B36))</f>
        <v>0</v>
      </c>
      <c r="S36" s="137">
        <f>IF(S$12="Actual",SUMIFS(ActualsTable[Month 17],ActualsTable[Expense Item2],$B36),SUMIFS(Expenses!BR$8:BR$69,Expenses!$O$8:$O$69,$B36)+SUMIFS(Headcount!AB$395:AB$1442,Headcount!$J$395:$J$1442,$B36))</f>
        <v>0</v>
      </c>
      <c r="T36" s="137">
        <f>IF(T$12="Actual",SUMIFS(ActualsTable[Month 18],ActualsTable[Expense Item2],$B36),SUMIFS(Expenses!BS$8:BS$69,Expenses!$O$8:$O$69,$B36)+SUMIFS(Headcount!AC$395:AC$1442,Headcount!$J$395:$J$1442,$B36))</f>
        <v>0</v>
      </c>
      <c r="U36" s="137">
        <f>IF(U$12="Actual",SUMIFS(ActualsTable[Month 19],ActualsTable[Expense Item2],$B36),SUMIFS(Expenses!BT$8:BT$69,Expenses!$O$8:$O$69,$B36)+SUMIFS(Headcount!AD$395:AD$1442,Headcount!$J$395:$J$1442,$B36))</f>
        <v>0</v>
      </c>
      <c r="V36" s="137">
        <f>IF(V$12="Actual",SUMIFS(ActualsTable[Month 20],ActualsTable[Expense Item2],$B36),SUMIFS(Expenses!BU$8:BU$69,Expenses!$O$8:$O$69,$B36)+SUMIFS(Headcount!AE$395:AE$1442,Headcount!$J$395:$J$1442,$B36))</f>
        <v>0</v>
      </c>
      <c r="W36" s="137">
        <f>IF(W$12="Actual",SUMIFS(ActualsTable[Month 21],ActualsTable[Expense Item2],$B36),SUMIFS(Expenses!BV$8:BV$69,Expenses!$O$8:$O$69,$B36)+SUMIFS(Headcount!AF$395:AF$1442,Headcount!$J$395:$J$1442,$B36))</f>
        <v>0</v>
      </c>
      <c r="X36" s="137">
        <f>IF(X$12="Actual",SUMIFS(ActualsTable[Month 22],ActualsTable[Expense Item2],$B36),SUMIFS(Expenses!BW$8:BW$69,Expenses!$O$8:$O$69,$B36)+SUMIFS(Headcount!AG$395:AG$1442,Headcount!$J$395:$J$1442,$B36))</f>
        <v>0</v>
      </c>
      <c r="Y36" s="137">
        <f>IF(Y$12="Actual",SUMIFS(ActualsTable[Month 23],ActualsTable[Expense Item2],$B36),SUMIFS(Expenses!BX$8:BX$69,Expenses!$O$8:$O$69,$B36)+SUMIFS(Headcount!AH$395:AH$1442,Headcount!$J$395:$J$1442,$B36))</f>
        <v>0</v>
      </c>
      <c r="Z36" s="137">
        <f>IF(Z$12="Actual",SUMIFS(ActualsTable[Month 24],ActualsTable[Expense Item2],$B36),SUMIFS(Expenses!BY$8:BY$69,Expenses!$O$8:$O$69,$B36)+SUMIFS(Headcount!AI$395:AI$1442,Headcount!$J$395:$J$1442,$B36))</f>
        <v>0</v>
      </c>
      <c r="AA36" s="137">
        <f>IF(AA$12="Actual",SUMIFS(ActualsTable[Month 25],ActualsTable[Expense Item2],$B36),SUMIFS(Expenses!BZ$8:BZ$69,Expenses!$O$8:$O$69,$B36)+SUMIFS(Headcount!AJ$395:AJ$1442,Headcount!$J$395:$J$1442,$B36))</f>
        <v>0</v>
      </c>
      <c r="AB36" s="137">
        <f>IF(AB$12="Actual",SUMIFS(ActualsTable[Month 26],ActualsTable[Expense Item2],$B36),SUMIFS(Expenses!CA$8:CA$69,Expenses!$O$8:$O$69,$B36)+SUMIFS(Headcount!AK$395:AK$1442,Headcount!$J$395:$J$1442,$B36))</f>
        <v>0</v>
      </c>
      <c r="AC36" s="137">
        <f>IF(AC$12="Actual",SUMIFS(ActualsTable[Month 27],ActualsTable[Expense Item2],$B36),SUMIFS(Expenses!CB$8:CB$69,Expenses!$O$8:$O$69,$B36)+SUMIFS(Headcount!AL$395:AL$1442,Headcount!$J$395:$J$1442,$B36))</f>
        <v>0</v>
      </c>
      <c r="AD36" s="137">
        <f>IF(AD$12="Actual",SUMIFS(ActualsTable[Month 28],ActualsTable[Expense Item2],$B36),SUMIFS(Expenses!CC$8:CC$69,Expenses!$O$8:$O$69,$B36)+SUMIFS(Headcount!AM$395:AM$1442,Headcount!$J$395:$J$1442,$B36))</f>
        <v>0</v>
      </c>
      <c r="AE36" s="137">
        <f>IF(AE$12="Actual",SUMIFS(ActualsTable[Month 29],ActualsTable[Expense Item2],$B36),SUMIFS(Expenses!CD$8:CD$69,Expenses!$O$8:$O$69,$B36)+SUMIFS(Headcount!AN$395:AN$1442,Headcount!$J$395:$J$1442,$B36))</f>
        <v>0</v>
      </c>
      <c r="AF36" s="137">
        <f>IF(AF$12="Actual",SUMIFS(ActualsTable[Month 30],ActualsTable[Expense Item2],$B36),SUMIFS(Expenses!CE$8:CE$69,Expenses!$O$8:$O$69,$B36)+SUMIFS(Headcount!AO$395:AO$1442,Headcount!$J$395:$J$1442,$B36))</f>
        <v>0</v>
      </c>
      <c r="AG36" s="137">
        <f>IF(AG$12="Actual",SUMIFS(ActualsTable[Month 31],ActualsTable[Expense Item2],$B36),SUMIFS(Expenses!CF$8:CF$69,Expenses!$O$8:$O$69,$B36)+SUMIFS(Headcount!AP$395:AP$1442,Headcount!$J$395:$J$1442,$B36))</f>
        <v>0</v>
      </c>
      <c r="AH36" s="137">
        <f>IF(AH$12="Actual",SUMIFS(ActualsTable[Month 32],ActualsTable[Expense Item2],$B36),SUMIFS(Expenses!CG$8:CG$69,Expenses!$O$8:$O$69,$B36)+SUMIFS(Headcount!AQ$395:AQ$1442,Headcount!$J$395:$J$1442,$B36))</f>
        <v>0</v>
      </c>
      <c r="AI36" s="137">
        <f>IF(AI$12="Actual",SUMIFS(ActualsTable[Month 33],ActualsTable[Expense Item2],$B36),SUMIFS(Expenses!CH$8:CH$69,Expenses!$O$8:$O$69,$B36)+SUMIFS(Headcount!AR$395:AR$1442,Headcount!$J$395:$J$1442,$B36))</f>
        <v>0</v>
      </c>
      <c r="AJ36" s="137">
        <f>IF(AJ$12="Actual",SUMIFS(ActualsTable[Month 34],ActualsTable[Expense Item2],$B36),SUMIFS(Expenses!CI$8:CI$69,Expenses!$O$8:$O$69,$B36)+SUMIFS(Headcount!AS$395:AS$1442,Headcount!$J$395:$J$1442,$B36))</f>
        <v>0</v>
      </c>
      <c r="AK36" s="137">
        <f>IF(AK$12="Actual",SUMIFS(ActualsTable[Month 35],ActualsTable[Expense Item2],$B36),SUMIFS(Expenses!CJ$8:CJ$69,Expenses!$O$8:$O$69,$B36)+SUMIFS(Headcount!AT$395:AT$1442,Headcount!$J$395:$J$1442,$B36))</f>
        <v>0</v>
      </c>
      <c r="AL36" s="293">
        <f>IF(AL$12="Actual",SUMIFS(ActualsTable[Month 36],ActualsTable[Expense Item2],$B36),SUMIFS(Expenses!CK$8:CK$69,Expenses!$O$8:$O$69,$B36)+SUMIFS(Headcount!AU$395:AU$1442,Headcount!$J$395:$J$1442,$B36))</f>
        <v>0</v>
      </c>
      <c r="AN36" s="319">
        <f t="shared" ca="1" si="89"/>
        <v>0</v>
      </c>
      <c r="AO36" s="137">
        <f t="shared" ca="1" si="89"/>
        <v>0</v>
      </c>
      <c r="AP36" s="137">
        <f t="shared" ca="1" si="89"/>
        <v>0</v>
      </c>
      <c r="AQ36" s="137">
        <f t="shared" ca="1" si="89"/>
        <v>0</v>
      </c>
      <c r="AR36" s="137">
        <f t="shared" ca="1" si="89"/>
        <v>0</v>
      </c>
      <c r="AS36" s="137">
        <f t="shared" ca="1" si="89"/>
        <v>0</v>
      </c>
      <c r="AT36" s="137">
        <f t="shared" ca="1" si="89"/>
        <v>0</v>
      </c>
      <c r="AU36" s="137">
        <f t="shared" ca="1" si="89"/>
        <v>0</v>
      </c>
      <c r="AV36" s="137">
        <f t="shared" ca="1" si="89"/>
        <v>0</v>
      </c>
      <c r="AW36" s="137">
        <f t="shared" ca="1" si="89"/>
        <v>0</v>
      </c>
      <c r="AX36" s="137">
        <f t="shared" ca="1" si="89"/>
        <v>0</v>
      </c>
      <c r="AY36" s="293">
        <f t="shared" ca="1" si="89"/>
        <v>0</v>
      </c>
      <c r="BA36" s="319">
        <f t="shared" ca="1" si="90"/>
        <v>0</v>
      </c>
      <c r="BB36" s="137">
        <f t="shared" ca="1" si="90"/>
        <v>0</v>
      </c>
      <c r="BC36" s="293">
        <f t="shared" ca="1" si="90"/>
        <v>0</v>
      </c>
    </row>
    <row r="37" spans="2:55" x14ac:dyDescent="0.35">
      <c r="B37" s="76" t="s">
        <v>79</v>
      </c>
      <c r="C37" s="137">
        <f>IF(C$12="Actual",SUMIFS(ActualsTable[Month 1],ActualsTable[Expense Item2],$B37),SUMIFS(Expenses!BB$8:BB$69,Expenses!$O$8:$O$69,$B37)+SUMIFS(Headcount!L$395:L$1442,Headcount!$J$395:$J$1442,$B37))</f>
        <v>0</v>
      </c>
      <c r="D37" s="137">
        <f>IF(D$12="Actual",SUMIFS(ActualsTable[Month 2],ActualsTable[Expense Item2],$B37),SUMIFS(Expenses!BC$8:BC$69,Expenses!$O$8:$O$69,$B37)+SUMIFS(Headcount!M$395:M$1442,Headcount!$J$395:$J$1442,$B37))</f>
        <v>0</v>
      </c>
      <c r="E37" s="137">
        <f>IF(E$12="Actual",SUMIFS(ActualsTable[Month 3],ActualsTable[Expense Item2],$B37),SUMIFS(Expenses!BD$8:BD$69,Expenses!$O$8:$O$69,$B37)+SUMIFS(Headcount!N$395:N$1442,Headcount!$J$395:$J$1442,$B37))</f>
        <v>0</v>
      </c>
      <c r="F37" s="137">
        <f>IF(F$12="Actual",SUMIFS(ActualsTable[Month 4],ActualsTable[Expense Item2],$B37),SUMIFS(Expenses!BE$8:BE$69,Expenses!$O$8:$O$69,$B37)+SUMIFS(Headcount!O$395:O$1442,Headcount!$J$395:$J$1442,$B37))</f>
        <v>0</v>
      </c>
      <c r="G37" s="137">
        <f>IF(G$12="Actual",SUMIFS(ActualsTable[Month 5],ActualsTable[Expense Item2],$B37),SUMIFS(Expenses!BF$8:BF$69,Expenses!$O$8:$O$69,$B37)+SUMIFS(Headcount!P$395:P$1442,Headcount!$J$395:$J$1442,$B37))</f>
        <v>0</v>
      </c>
      <c r="H37" s="137">
        <f>IF(H$12="Actual",SUMIFS(ActualsTable[Month 6],ActualsTable[Expense Item2],$B37),SUMIFS(Expenses!BG$8:BG$69,Expenses!$O$8:$O$69,$B37)+SUMIFS(Headcount!Q$395:Q$1442,Headcount!$J$395:$J$1442,$B37))</f>
        <v>0</v>
      </c>
      <c r="I37" s="137">
        <f>IF(I$12="Actual",SUMIFS(ActualsTable[Month 7],ActualsTable[Expense Item2],$B37),SUMIFS(Expenses!BH$8:BH$69,Expenses!$O$8:$O$69,$B37)+SUMIFS(Headcount!R$395:R$1442,Headcount!$J$395:$J$1442,$B37))</f>
        <v>0</v>
      </c>
      <c r="J37" s="137">
        <f>IF(J$12="Actual",SUMIFS(ActualsTable[Month 8],ActualsTable[Expense Item2],$B37),SUMIFS(Expenses!BI$8:BI$69,Expenses!$O$8:$O$69,$B37)+SUMIFS(Headcount!S$395:S$1442,Headcount!$J$395:$J$1442,$B37))</f>
        <v>0</v>
      </c>
      <c r="K37" s="137">
        <f>IF(K$12="Actual",SUMIFS(ActualsTable[Month 9],ActualsTable[Expense Item2],$B37),SUMIFS(Expenses!BJ$8:BJ$69,Expenses!$O$8:$O$69,$B37)+SUMIFS(Headcount!T$395:T$1442,Headcount!$J$395:$J$1442,$B37))</f>
        <v>0</v>
      </c>
      <c r="L37" s="137">
        <f>IF(L$12="Actual",SUMIFS(ActualsTable[Month 10],ActualsTable[Expense Item2],$B37),SUMIFS(Expenses!BK$8:BK$69,Expenses!$O$8:$O$69,$B37)+SUMIFS(Headcount!U$395:U$1442,Headcount!$J$395:$J$1442,$B37))</f>
        <v>0</v>
      </c>
      <c r="M37" s="137">
        <f>IF(M$12="Actual",SUMIFS(ActualsTable[Month 11],ActualsTable[Expense Item2],$B37),SUMIFS(Expenses!BL$8:BL$69,Expenses!$O$8:$O$69,$B37)+SUMIFS(Headcount!V$395:V$1442,Headcount!$J$395:$J$1442,$B37))</f>
        <v>0</v>
      </c>
      <c r="N37" s="137">
        <f>IF(N$12="Actual",SUMIFS(ActualsTable[Month 12],ActualsTable[Expense Item2],$B37),SUMIFS(Expenses!BM$8:BM$69,Expenses!$O$8:$O$69,$B37)+SUMIFS(Headcount!W$395:W$1442,Headcount!$J$395:$J$1442,$B37))</f>
        <v>0</v>
      </c>
      <c r="O37" s="137">
        <f>IF(O$12="Actual",SUMIFS(ActualsTable[Month 13],ActualsTable[Expense Item2],$B37),SUMIFS(Expenses!BN$8:BN$69,Expenses!$O$8:$O$69,$B37)+SUMIFS(Headcount!X$395:X$1442,Headcount!$J$395:$J$1442,$B37))</f>
        <v>0</v>
      </c>
      <c r="P37" s="137">
        <f>IF(P$12="Actual",SUMIFS(ActualsTable[Month 14],ActualsTable[Expense Item2],$B37),SUMIFS(Expenses!BO$8:BO$69,Expenses!$O$8:$O$69,$B37)+SUMIFS(Headcount!Y$395:Y$1442,Headcount!$J$395:$J$1442,$B37))</f>
        <v>0</v>
      </c>
      <c r="Q37" s="137">
        <f>IF(Q$12="Actual",SUMIFS(ActualsTable[Month 15],ActualsTable[Expense Item2],$B37),SUMIFS(Expenses!BP$8:BP$69,Expenses!$O$8:$O$69,$B37)+SUMIFS(Headcount!Z$395:Z$1442,Headcount!$J$395:$J$1442,$B37))</f>
        <v>0</v>
      </c>
      <c r="R37" s="137">
        <f>IF(R$12="Actual",SUMIFS(ActualsTable[Month 16],ActualsTable[Expense Item2],$B37),SUMIFS(Expenses!BQ$8:BQ$69,Expenses!$O$8:$O$69,$B37)+SUMIFS(Headcount!AA$395:AA$1442,Headcount!$J$395:$J$1442,$B37))</f>
        <v>0</v>
      </c>
      <c r="S37" s="137">
        <f>IF(S$12="Actual",SUMIFS(ActualsTable[Month 17],ActualsTable[Expense Item2],$B37),SUMIFS(Expenses!BR$8:BR$69,Expenses!$O$8:$O$69,$B37)+SUMIFS(Headcount!AB$395:AB$1442,Headcount!$J$395:$J$1442,$B37))</f>
        <v>0</v>
      </c>
      <c r="T37" s="137">
        <f>IF(T$12="Actual",SUMIFS(ActualsTable[Month 18],ActualsTable[Expense Item2],$B37),SUMIFS(Expenses!BS$8:BS$69,Expenses!$O$8:$O$69,$B37)+SUMIFS(Headcount!AC$395:AC$1442,Headcount!$J$395:$J$1442,$B37))</f>
        <v>0</v>
      </c>
      <c r="U37" s="137">
        <f>IF(U$12="Actual",SUMIFS(ActualsTable[Month 19],ActualsTable[Expense Item2],$B37),SUMIFS(Expenses!BT$8:BT$69,Expenses!$O$8:$O$69,$B37)+SUMIFS(Headcount!AD$395:AD$1442,Headcount!$J$395:$J$1442,$B37))</f>
        <v>0</v>
      </c>
      <c r="V37" s="137">
        <f>IF(V$12="Actual",SUMIFS(ActualsTable[Month 20],ActualsTable[Expense Item2],$B37),SUMIFS(Expenses!BU$8:BU$69,Expenses!$O$8:$O$69,$B37)+SUMIFS(Headcount!AE$395:AE$1442,Headcount!$J$395:$J$1442,$B37))</f>
        <v>0</v>
      </c>
      <c r="W37" s="137">
        <f>IF(W$12="Actual",SUMIFS(ActualsTable[Month 21],ActualsTable[Expense Item2],$B37),SUMIFS(Expenses!BV$8:BV$69,Expenses!$O$8:$O$69,$B37)+SUMIFS(Headcount!AF$395:AF$1442,Headcount!$J$395:$J$1442,$B37))</f>
        <v>0</v>
      </c>
      <c r="X37" s="137">
        <f>IF(X$12="Actual",SUMIFS(ActualsTable[Month 22],ActualsTable[Expense Item2],$B37),SUMIFS(Expenses!BW$8:BW$69,Expenses!$O$8:$O$69,$B37)+SUMIFS(Headcount!AG$395:AG$1442,Headcount!$J$395:$J$1442,$B37))</f>
        <v>0</v>
      </c>
      <c r="Y37" s="137">
        <f>IF(Y$12="Actual",SUMIFS(ActualsTable[Month 23],ActualsTable[Expense Item2],$B37),SUMIFS(Expenses!BX$8:BX$69,Expenses!$O$8:$O$69,$B37)+SUMIFS(Headcount!AH$395:AH$1442,Headcount!$J$395:$J$1442,$B37))</f>
        <v>0</v>
      </c>
      <c r="Z37" s="137">
        <f>IF(Z$12="Actual",SUMIFS(ActualsTable[Month 24],ActualsTable[Expense Item2],$B37),SUMIFS(Expenses!BY$8:BY$69,Expenses!$O$8:$O$69,$B37)+SUMIFS(Headcount!AI$395:AI$1442,Headcount!$J$395:$J$1442,$B37))</f>
        <v>0</v>
      </c>
      <c r="AA37" s="137">
        <f>IF(AA$12="Actual",SUMIFS(ActualsTable[Month 25],ActualsTable[Expense Item2],$B37),SUMIFS(Expenses!BZ$8:BZ$69,Expenses!$O$8:$O$69,$B37)+SUMIFS(Headcount!AJ$395:AJ$1442,Headcount!$J$395:$J$1442,$B37))</f>
        <v>0</v>
      </c>
      <c r="AB37" s="137">
        <f>IF(AB$12="Actual",SUMIFS(ActualsTable[Month 26],ActualsTable[Expense Item2],$B37),SUMIFS(Expenses!CA$8:CA$69,Expenses!$O$8:$O$69,$B37)+SUMIFS(Headcount!AK$395:AK$1442,Headcount!$J$395:$J$1442,$B37))</f>
        <v>0</v>
      </c>
      <c r="AC37" s="137">
        <f>IF(AC$12="Actual",SUMIFS(ActualsTable[Month 27],ActualsTable[Expense Item2],$B37),SUMIFS(Expenses!CB$8:CB$69,Expenses!$O$8:$O$69,$B37)+SUMIFS(Headcount!AL$395:AL$1442,Headcount!$J$395:$J$1442,$B37))</f>
        <v>0</v>
      </c>
      <c r="AD37" s="137">
        <f>IF(AD$12="Actual",SUMIFS(ActualsTable[Month 28],ActualsTable[Expense Item2],$B37),SUMIFS(Expenses!CC$8:CC$69,Expenses!$O$8:$O$69,$B37)+SUMIFS(Headcount!AM$395:AM$1442,Headcount!$J$395:$J$1442,$B37))</f>
        <v>0</v>
      </c>
      <c r="AE37" s="137">
        <f>IF(AE$12="Actual",SUMIFS(ActualsTable[Month 29],ActualsTable[Expense Item2],$B37),SUMIFS(Expenses!CD$8:CD$69,Expenses!$O$8:$O$69,$B37)+SUMIFS(Headcount!AN$395:AN$1442,Headcount!$J$395:$J$1442,$B37))</f>
        <v>0</v>
      </c>
      <c r="AF37" s="137">
        <f>IF(AF$12="Actual",SUMIFS(ActualsTable[Month 30],ActualsTable[Expense Item2],$B37),SUMIFS(Expenses!CE$8:CE$69,Expenses!$O$8:$O$69,$B37)+SUMIFS(Headcount!AO$395:AO$1442,Headcount!$J$395:$J$1442,$B37))</f>
        <v>0</v>
      </c>
      <c r="AG37" s="137">
        <f>IF(AG$12="Actual",SUMIFS(ActualsTable[Month 31],ActualsTable[Expense Item2],$B37),SUMIFS(Expenses!CF$8:CF$69,Expenses!$O$8:$O$69,$B37)+SUMIFS(Headcount!AP$395:AP$1442,Headcount!$J$395:$J$1442,$B37))</f>
        <v>0</v>
      </c>
      <c r="AH37" s="137">
        <f>IF(AH$12="Actual",SUMIFS(ActualsTable[Month 32],ActualsTable[Expense Item2],$B37),SUMIFS(Expenses!CG$8:CG$69,Expenses!$O$8:$O$69,$B37)+SUMIFS(Headcount!AQ$395:AQ$1442,Headcount!$J$395:$J$1442,$B37))</f>
        <v>0</v>
      </c>
      <c r="AI37" s="137">
        <f>IF(AI$12="Actual",SUMIFS(ActualsTable[Month 33],ActualsTable[Expense Item2],$B37),SUMIFS(Expenses!CH$8:CH$69,Expenses!$O$8:$O$69,$B37)+SUMIFS(Headcount!AR$395:AR$1442,Headcount!$J$395:$J$1442,$B37))</f>
        <v>0</v>
      </c>
      <c r="AJ37" s="137">
        <f>IF(AJ$12="Actual",SUMIFS(ActualsTable[Month 34],ActualsTable[Expense Item2],$B37),SUMIFS(Expenses!CI$8:CI$69,Expenses!$O$8:$O$69,$B37)+SUMIFS(Headcount!AS$395:AS$1442,Headcount!$J$395:$J$1442,$B37))</f>
        <v>0</v>
      </c>
      <c r="AK37" s="137">
        <f>IF(AK$12="Actual",SUMIFS(ActualsTable[Month 35],ActualsTable[Expense Item2],$B37),SUMIFS(Expenses!CJ$8:CJ$69,Expenses!$O$8:$O$69,$B37)+SUMIFS(Headcount!AT$395:AT$1442,Headcount!$J$395:$J$1442,$B37))</f>
        <v>0</v>
      </c>
      <c r="AL37" s="293">
        <f>IF(AL$12="Actual",SUMIFS(ActualsTable[Month 36],ActualsTable[Expense Item2],$B37),SUMIFS(Expenses!CK$8:CK$69,Expenses!$O$8:$O$69,$B37)+SUMIFS(Headcount!AU$395:AU$1442,Headcount!$J$395:$J$1442,$B37))</f>
        <v>0</v>
      </c>
      <c r="AN37" s="319">
        <f t="shared" ca="1" si="89"/>
        <v>0</v>
      </c>
      <c r="AO37" s="137">
        <f t="shared" ca="1" si="89"/>
        <v>0</v>
      </c>
      <c r="AP37" s="137">
        <f t="shared" ca="1" si="89"/>
        <v>0</v>
      </c>
      <c r="AQ37" s="137">
        <f t="shared" ca="1" si="89"/>
        <v>0</v>
      </c>
      <c r="AR37" s="137">
        <f t="shared" ca="1" si="89"/>
        <v>0</v>
      </c>
      <c r="AS37" s="137">
        <f t="shared" ca="1" si="89"/>
        <v>0</v>
      </c>
      <c r="AT37" s="137">
        <f t="shared" ca="1" si="89"/>
        <v>0</v>
      </c>
      <c r="AU37" s="137">
        <f t="shared" ca="1" si="89"/>
        <v>0</v>
      </c>
      <c r="AV37" s="137">
        <f t="shared" ca="1" si="89"/>
        <v>0</v>
      </c>
      <c r="AW37" s="137">
        <f t="shared" ca="1" si="89"/>
        <v>0</v>
      </c>
      <c r="AX37" s="137">
        <f t="shared" ca="1" si="89"/>
        <v>0</v>
      </c>
      <c r="AY37" s="293">
        <f t="shared" ca="1" si="89"/>
        <v>0</v>
      </c>
      <c r="BA37" s="319">
        <f t="shared" ca="1" si="90"/>
        <v>0</v>
      </c>
      <c r="BB37" s="137">
        <f t="shared" ca="1" si="90"/>
        <v>0</v>
      </c>
      <c r="BC37" s="293">
        <f t="shared" ca="1" si="90"/>
        <v>0</v>
      </c>
    </row>
    <row r="38" spans="2:55" x14ac:dyDescent="0.35">
      <c r="B38" s="76" t="s">
        <v>80</v>
      </c>
      <c r="C38" s="137">
        <f>IF(C$12="Actual",SUMIFS(ActualsTable[Month 1],ActualsTable[Expense Item2],$B38),SUMIFS(Expenses!BB$8:BB$69,Expenses!$O$8:$O$69,$B38)+SUMIFS(Headcount!L$395:L$1442,Headcount!$J$395:$J$1442,$B38))</f>
        <v>0</v>
      </c>
      <c r="D38" s="137">
        <f>IF(D$12="Actual",SUMIFS(ActualsTable[Month 2],ActualsTable[Expense Item2],$B38),SUMIFS(Expenses!BC$8:BC$69,Expenses!$O$8:$O$69,$B38)+SUMIFS(Headcount!M$395:M$1442,Headcount!$J$395:$J$1442,$B38))</f>
        <v>0</v>
      </c>
      <c r="E38" s="137">
        <f>IF(E$12="Actual",SUMIFS(ActualsTable[Month 3],ActualsTable[Expense Item2],$B38),SUMIFS(Expenses!BD$8:BD$69,Expenses!$O$8:$O$69,$B38)+SUMIFS(Headcount!N$395:N$1442,Headcount!$J$395:$J$1442,$B38))</f>
        <v>0</v>
      </c>
      <c r="F38" s="137">
        <f>IF(F$12="Actual",SUMIFS(ActualsTable[Month 4],ActualsTable[Expense Item2],$B38),SUMIFS(Expenses!BE$8:BE$69,Expenses!$O$8:$O$69,$B38)+SUMIFS(Headcount!O$395:O$1442,Headcount!$J$395:$J$1442,$B38))</f>
        <v>0</v>
      </c>
      <c r="G38" s="137">
        <f>IF(G$12="Actual",SUMIFS(ActualsTable[Month 5],ActualsTable[Expense Item2],$B38),SUMIFS(Expenses!BF$8:BF$69,Expenses!$O$8:$O$69,$B38)+SUMIFS(Headcount!P$395:P$1442,Headcount!$J$395:$J$1442,$B38))</f>
        <v>0</v>
      </c>
      <c r="H38" s="137">
        <f>IF(H$12="Actual",SUMIFS(ActualsTable[Month 6],ActualsTable[Expense Item2],$B38),SUMIFS(Expenses!BG$8:BG$69,Expenses!$O$8:$O$69,$B38)+SUMIFS(Headcount!Q$395:Q$1442,Headcount!$J$395:$J$1442,$B38))</f>
        <v>0</v>
      </c>
      <c r="I38" s="137">
        <f>IF(I$12="Actual",SUMIFS(ActualsTable[Month 7],ActualsTable[Expense Item2],$B38),SUMIFS(Expenses!BH$8:BH$69,Expenses!$O$8:$O$69,$B38)+SUMIFS(Headcount!R$395:R$1442,Headcount!$J$395:$J$1442,$B38))</f>
        <v>0</v>
      </c>
      <c r="J38" s="137">
        <f>IF(J$12="Actual",SUMIFS(ActualsTable[Month 8],ActualsTable[Expense Item2],$B38),SUMIFS(Expenses!BI$8:BI$69,Expenses!$O$8:$O$69,$B38)+SUMIFS(Headcount!S$395:S$1442,Headcount!$J$395:$J$1442,$B38))</f>
        <v>0</v>
      </c>
      <c r="K38" s="137">
        <f>IF(K$12="Actual",SUMIFS(ActualsTable[Month 9],ActualsTable[Expense Item2],$B38),SUMIFS(Expenses!BJ$8:BJ$69,Expenses!$O$8:$O$69,$B38)+SUMIFS(Headcount!T$395:T$1442,Headcount!$J$395:$J$1442,$B38))</f>
        <v>0</v>
      </c>
      <c r="L38" s="137">
        <f>IF(L$12="Actual",SUMIFS(ActualsTable[Month 10],ActualsTable[Expense Item2],$B38),SUMIFS(Expenses!BK$8:BK$69,Expenses!$O$8:$O$69,$B38)+SUMIFS(Headcount!U$395:U$1442,Headcount!$J$395:$J$1442,$B38))</f>
        <v>0</v>
      </c>
      <c r="M38" s="137">
        <f>IF(M$12="Actual",SUMIFS(ActualsTable[Month 11],ActualsTable[Expense Item2],$B38),SUMIFS(Expenses!BL$8:BL$69,Expenses!$O$8:$O$69,$B38)+SUMIFS(Headcount!V$395:V$1442,Headcount!$J$395:$J$1442,$B38))</f>
        <v>0</v>
      </c>
      <c r="N38" s="137">
        <f>IF(N$12="Actual",SUMIFS(ActualsTable[Month 12],ActualsTable[Expense Item2],$B38),SUMIFS(Expenses!BM$8:BM$69,Expenses!$O$8:$O$69,$B38)+SUMIFS(Headcount!W$395:W$1442,Headcount!$J$395:$J$1442,$B38))</f>
        <v>0</v>
      </c>
      <c r="O38" s="137">
        <f>IF(O$12="Actual",SUMIFS(ActualsTable[Month 13],ActualsTable[Expense Item2],$B38),SUMIFS(Expenses!BN$8:BN$69,Expenses!$O$8:$O$69,$B38)+SUMIFS(Headcount!X$395:X$1442,Headcount!$J$395:$J$1442,$B38))</f>
        <v>0</v>
      </c>
      <c r="P38" s="137">
        <f>IF(P$12="Actual",SUMIFS(ActualsTable[Month 14],ActualsTable[Expense Item2],$B38),SUMIFS(Expenses!BO$8:BO$69,Expenses!$O$8:$O$69,$B38)+SUMIFS(Headcount!Y$395:Y$1442,Headcount!$J$395:$J$1442,$B38))</f>
        <v>0</v>
      </c>
      <c r="Q38" s="137">
        <f>IF(Q$12="Actual",SUMIFS(ActualsTable[Month 15],ActualsTable[Expense Item2],$B38),SUMIFS(Expenses!BP$8:BP$69,Expenses!$O$8:$O$69,$B38)+SUMIFS(Headcount!Z$395:Z$1442,Headcount!$J$395:$J$1442,$B38))</f>
        <v>0</v>
      </c>
      <c r="R38" s="137">
        <f>IF(R$12="Actual",SUMIFS(ActualsTable[Month 16],ActualsTable[Expense Item2],$B38),SUMIFS(Expenses!BQ$8:BQ$69,Expenses!$O$8:$O$69,$B38)+SUMIFS(Headcount!AA$395:AA$1442,Headcount!$J$395:$J$1442,$B38))</f>
        <v>0</v>
      </c>
      <c r="S38" s="137">
        <f>IF(S$12="Actual",SUMIFS(ActualsTable[Month 17],ActualsTable[Expense Item2],$B38),SUMIFS(Expenses!BR$8:BR$69,Expenses!$O$8:$O$69,$B38)+SUMIFS(Headcount!AB$395:AB$1442,Headcount!$J$395:$J$1442,$B38))</f>
        <v>0</v>
      </c>
      <c r="T38" s="137">
        <f>IF(T$12="Actual",SUMIFS(ActualsTable[Month 18],ActualsTable[Expense Item2],$B38),SUMIFS(Expenses!BS$8:BS$69,Expenses!$O$8:$O$69,$B38)+SUMIFS(Headcount!AC$395:AC$1442,Headcount!$J$395:$J$1442,$B38))</f>
        <v>0</v>
      </c>
      <c r="U38" s="137">
        <f>IF(U$12="Actual",SUMIFS(ActualsTable[Month 19],ActualsTable[Expense Item2],$B38),SUMIFS(Expenses!BT$8:BT$69,Expenses!$O$8:$O$69,$B38)+SUMIFS(Headcount!AD$395:AD$1442,Headcount!$J$395:$J$1442,$B38))</f>
        <v>0</v>
      </c>
      <c r="V38" s="137">
        <f>IF(V$12="Actual",SUMIFS(ActualsTable[Month 20],ActualsTable[Expense Item2],$B38),SUMIFS(Expenses!BU$8:BU$69,Expenses!$O$8:$O$69,$B38)+SUMIFS(Headcount!AE$395:AE$1442,Headcount!$J$395:$J$1442,$B38))</f>
        <v>0</v>
      </c>
      <c r="W38" s="137">
        <f>IF(W$12="Actual",SUMIFS(ActualsTable[Month 21],ActualsTable[Expense Item2],$B38),SUMIFS(Expenses!BV$8:BV$69,Expenses!$O$8:$O$69,$B38)+SUMIFS(Headcount!AF$395:AF$1442,Headcount!$J$395:$J$1442,$B38))</f>
        <v>0</v>
      </c>
      <c r="X38" s="137">
        <f>IF(X$12="Actual",SUMIFS(ActualsTable[Month 22],ActualsTable[Expense Item2],$B38),SUMIFS(Expenses!BW$8:BW$69,Expenses!$O$8:$O$69,$B38)+SUMIFS(Headcount!AG$395:AG$1442,Headcount!$J$395:$J$1442,$B38))</f>
        <v>0</v>
      </c>
      <c r="Y38" s="137">
        <f>IF(Y$12="Actual",SUMIFS(ActualsTable[Month 23],ActualsTable[Expense Item2],$B38),SUMIFS(Expenses!BX$8:BX$69,Expenses!$O$8:$O$69,$B38)+SUMIFS(Headcount!AH$395:AH$1442,Headcount!$J$395:$J$1442,$B38))</f>
        <v>0</v>
      </c>
      <c r="Z38" s="137">
        <f>IF(Z$12="Actual",SUMIFS(ActualsTable[Month 24],ActualsTable[Expense Item2],$B38),SUMIFS(Expenses!BY$8:BY$69,Expenses!$O$8:$O$69,$B38)+SUMIFS(Headcount!AI$395:AI$1442,Headcount!$J$395:$J$1442,$B38))</f>
        <v>0</v>
      </c>
      <c r="AA38" s="137">
        <f>IF(AA$12="Actual",SUMIFS(ActualsTable[Month 25],ActualsTable[Expense Item2],$B38),SUMIFS(Expenses!BZ$8:BZ$69,Expenses!$O$8:$O$69,$B38)+SUMIFS(Headcount!AJ$395:AJ$1442,Headcount!$J$395:$J$1442,$B38))</f>
        <v>0</v>
      </c>
      <c r="AB38" s="137">
        <f>IF(AB$12="Actual",SUMIFS(ActualsTable[Month 26],ActualsTable[Expense Item2],$B38),SUMIFS(Expenses!CA$8:CA$69,Expenses!$O$8:$O$69,$B38)+SUMIFS(Headcount!AK$395:AK$1442,Headcount!$J$395:$J$1442,$B38))</f>
        <v>0</v>
      </c>
      <c r="AC38" s="137">
        <f>IF(AC$12="Actual",SUMIFS(ActualsTable[Month 27],ActualsTable[Expense Item2],$B38),SUMIFS(Expenses!CB$8:CB$69,Expenses!$O$8:$O$69,$B38)+SUMIFS(Headcount!AL$395:AL$1442,Headcount!$J$395:$J$1442,$B38))</f>
        <v>0</v>
      </c>
      <c r="AD38" s="137">
        <f>IF(AD$12="Actual",SUMIFS(ActualsTable[Month 28],ActualsTable[Expense Item2],$B38),SUMIFS(Expenses!CC$8:CC$69,Expenses!$O$8:$O$69,$B38)+SUMIFS(Headcount!AM$395:AM$1442,Headcount!$J$395:$J$1442,$B38))</f>
        <v>0</v>
      </c>
      <c r="AE38" s="137">
        <f>IF(AE$12="Actual",SUMIFS(ActualsTable[Month 29],ActualsTable[Expense Item2],$B38),SUMIFS(Expenses!CD$8:CD$69,Expenses!$O$8:$O$69,$B38)+SUMIFS(Headcount!AN$395:AN$1442,Headcount!$J$395:$J$1442,$B38))</f>
        <v>0</v>
      </c>
      <c r="AF38" s="137">
        <f>IF(AF$12="Actual",SUMIFS(ActualsTable[Month 30],ActualsTable[Expense Item2],$B38),SUMIFS(Expenses!CE$8:CE$69,Expenses!$O$8:$O$69,$B38)+SUMIFS(Headcount!AO$395:AO$1442,Headcount!$J$395:$J$1442,$B38))</f>
        <v>0</v>
      </c>
      <c r="AG38" s="137">
        <f>IF(AG$12="Actual",SUMIFS(ActualsTable[Month 31],ActualsTable[Expense Item2],$B38),SUMIFS(Expenses!CF$8:CF$69,Expenses!$O$8:$O$69,$B38)+SUMIFS(Headcount!AP$395:AP$1442,Headcount!$J$395:$J$1442,$B38))</f>
        <v>0</v>
      </c>
      <c r="AH38" s="137">
        <f>IF(AH$12="Actual",SUMIFS(ActualsTable[Month 32],ActualsTable[Expense Item2],$B38),SUMIFS(Expenses!CG$8:CG$69,Expenses!$O$8:$O$69,$B38)+SUMIFS(Headcount!AQ$395:AQ$1442,Headcount!$J$395:$J$1442,$B38))</f>
        <v>0</v>
      </c>
      <c r="AI38" s="137">
        <f>IF(AI$12="Actual",SUMIFS(ActualsTable[Month 33],ActualsTable[Expense Item2],$B38),SUMIFS(Expenses!CH$8:CH$69,Expenses!$O$8:$O$69,$B38)+SUMIFS(Headcount!AR$395:AR$1442,Headcount!$J$395:$J$1442,$B38))</f>
        <v>0</v>
      </c>
      <c r="AJ38" s="137">
        <f>IF(AJ$12="Actual",SUMIFS(ActualsTable[Month 34],ActualsTable[Expense Item2],$B38),SUMIFS(Expenses!CI$8:CI$69,Expenses!$O$8:$O$69,$B38)+SUMIFS(Headcount!AS$395:AS$1442,Headcount!$J$395:$J$1442,$B38))</f>
        <v>0</v>
      </c>
      <c r="AK38" s="137">
        <f>IF(AK$12="Actual",SUMIFS(ActualsTable[Month 35],ActualsTable[Expense Item2],$B38),SUMIFS(Expenses!CJ$8:CJ$69,Expenses!$O$8:$O$69,$B38)+SUMIFS(Headcount!AT$395:AT$1442,Headcount!$J$395:$J$1442,$B38))</f>
        <v>0</v>
      </c>
      <c r="AL38" s="293">
        <f>IF(AL$12="Actual",SUMIFS(ActualsTable[Month 36],ActualsTable[Expense Item2],$B38),SUMIFS(Expenses!CK$8:CK$69,Expenses!$O$8:$O$69,$B38)+SUMIFS(Headcount!AU$395:AU$1442,Headcount!$J$395:$J$1442,$B38))</f>
        <v>0</v>
      </c>
      <c r="AN38" s="319">
        <f t="shared" ca="1" si="89"/>
        <v>0</v>
      </c>
      <c r="AO38" s="137">
        <f t="shared" ca="1" si="89"/>
        <v>0</v>
      </c>
      <c r="AP38" s="137">
        <f t="shared" ca="1" si="89"/>
        <v>0</v>
      </c>
      <c r="AQ38" s="137">
        <f t="shared" ca="1" si="89"/>
        <v>0</v>
      </c>
      <c r="AR38" s="137">
        <f t="shared" ca="1" si="89"/>
        <v>0</v>
      </c>
      <c r="AS38" s="137">
        <f t="shared" ca="1" si="89"/>
        <v>0</v>
      </c>
      <c r="AT38" s="137">
        <f t="shared" ca="1" si="89"/>
        <v>0</v>
      </c>
      <c r="AU38" s="137">
        <f t="shared" ca="1" si="89"/>
        <v>0</v>
      </c>
      <c r="AV38" s="137">
        <f t="shared" ca="1" si="89"/>
        <v>0</v>
      </c>
      <c r="AW38" s="137">
        <f t="shared" ca="1" si="89"/>
        <v>0</v>
      </c>
      <c r="AX38" s="137">
        <f t="shared" ca="1" si="89"/>
        <v>0</v>
      </c>
      <c r="AY38" s="293">
        <f t="shared" ca="1" si="89"/>
        <v>0</v>
      </c>
      <c r="BA38" s="319">
        <f t="shared" ca="1" si="90"/>
        <v>0</v>
      </c>
      <c r="BB38" s="137">
        <f t="shared" ca="1" si="90"/>
        <v>0</v>
      </c>
      <c r="BC38" s="293">
        <f t="shared" ca="1" si="90"/>
        <v>0</v>
      </c>
    </row>
    <row r="39" spans="2:55" x14ac:dyDescent="0.35">
      <c r="B39" s="76" t="s">
        <v>81</v>
      </c>
      <c r="C39" s="137">
        <f>IF(C$12="Actual",SUMIFS(ActualsTable[Month 1],ActualsTable[Expense Item2],$B39),SUMIFS(Expenses!BB$8:BB$69,Expenses!$O$8:$O$69,$B39)+SUMIFS(Headcount!L$395:L$1442,Headcount!$J$395:$J$1442,$B39))</f>
        <v>0</v>
      </c>
      <c r="D39" s="137">
        <f>IF(D$12="Actual",SUMIFS(ActualsTable[Month 2],ActualsTable[Expense Item2],$B39),SUMIFS(Expenses!BC$8:BC$69,Expenses!$O$8:$O$69,$B39)+SUMIFS(Headcount!M$395:M$1442,Headcount!$J$395:$J$1442,$B39))</f>
        <v>0</v>
      </c>
      <c r="E39" s="137">
        <f>IF(E$12="Actual",SUMIFS(ActualsTable[Month 3],ActualsTable[Expense Item2],$B39),SUMIFS(Expenses!BD$8:BD$69,Expenses!$O$8:$O$69,$B39)+SUMIFS(Headcount!N$395:N$1442,Headcount!$J$395:$J$1442,$B39))</f>
        <v>0</v>
      </c>
      <c r="F39" s="137">
        <f>IF(F$12="Actual",SUMIFS(ActualsTable[Month 4],ActualsTable[Expense Item2],$B39),SUMIFS(Expenses!BE$8:BE$69,Expenses!$O$8:$O$69,$B39)+SUMIFS(Headcount!O$395:O$1442,Headcount!$J$395:$J$1442,$B39))</f>
        <v>0</v>
      </c>
      <c r="G39" s="137">
        <f>IF(G$12="Actual",SUMIFS(ActualsTable[Month 5],ActualsTable[Expense Item2],$B39),SUMIFS(Expenses!BF$8:BF$69,Expenses!$O$8:$O$69,$B39)+SUMIFS(Headcount!P$395:P$1442,Headcount!$J$395:$J$1442,$B39))</f>
        <v>0</v>
      </c>
      <c r="H39" s="137">
        <f>IF(H$12="Actual",SUMIFS(ActualsTable[Month 6],ActualsTable[Expense Item2],$B39),SUMIFS(Expenses!BG$8:BG$69,Expenses!$O$8:$O$69,$B39)+SUMIFS(Headcount!Q$395:Q$1442,Headcount!$J$395:$J$1442,$B39))</f>
        <v>0</v>
      </c>
      <c r="I39" s="137">
        <f>IF(I$12="Actual",SUMIFS(ActualsTable[Month 7],ActualsTable[Expense Item2],$B39),SUMIFS(Expenses!BH$8:BH$69,Expenses!$O$8:$O$69,$B39)+SUMIFS(Headcount!R$395:R$1442,Headcount!$J$395:$J$1442,$B39))</f>
        <v>0</v>
      </c>
      <c r="J39" s="137">
        <f>IF(J$12="Actual",SUMIFS(ActualsTable[Month 8],ActualsTable[Expense Item2],$B39),SUMIFS(Expenses!BI$8:BI$69,Expenses!$O$8:$O$69,$B39)+SUMIFS(Headcount!S$395:S$1442,Headcount!$J$395:$J$1442,$B39))</f>
        <v>0</v>
      </c>
      <c r="K39" s="137">
        <f>IF(K$12="Actual",SUMIFS(ActualsTable[Month 9],ActualsTable[Expense Item2],$B39),SUMIFS(Expenses!BJ$8:BJ$69,Expenses!$O$8:$O$69,$B39)+SUMIFS(Headcount!T$395:T$1442,Headcount!$J$395:$J$1442,$B39))</f>
        <v>0</v>
      </c>
      <c r="L39" s="137">
        <f>IF(L$12="Actual",SUMIFS(ActualsTable[Month 10],ActualsTable[Expense Item2],$B39),SUMIFS(Expenses!BK$8:BK$69,Expenses!$O$8:$O$69,$B39)+SUMIFS(Headcount!U$395:U$1442,Headcount!$J$395:$J$1442,$B39))</f>
        <v>0</v>
      </c>
      <c r="M39" s="137">
        <f>IF(M$12="Actual",SUMIFS(ActualsTable[Month 11],ActualsTable[Expense Item2],$B39),SUMIFS(Expenses!BL$8:BL$69,Expenses!$O$8:$O$69,$B39)+SUMIFS(Headcount!V$395:V$1442,Headcount!$J$395:$J$1442,$B39))</f>
        <v>0</v>
      </c>
      <c r="N39" s="137">
        <f>IF(N$12="Actual",SUMIFS(ActualsTable[Month 12],ActualsTable[Expense Item2],$B39),SUMIFS(Expenses!BM$8:BM$69,Expenses!$O$8:$O$69,$B39)+SUMIFS(Headcount!W$395:W$1442,Headcount!$J$395:$J$1442,$B39))</f>
        <v>0</v>
      </c>
      <c r="O39" s="137">
        <f>IF(O$12="Actual",SUMIFS(ActualsTable[Month 13],ActualsTable[Expense Item2],$B39),SUMIFS(Expenses!BN$8:BN$69,Expenses!$O$8:$O$69,$B39)+SUMIFS(Headcount!X$395:X$1442,Headcount!$J$395:$J$1442,$B39))</f>
        <v>0</v>
      </c>
      <c r="P39" s="137">
        <f>IF(P$12="Actual",SUMIFS(ActualsTable[Month 14],ActualsTable[Expense Item2],$B39),SUMIFS(Expenses!BO$8:BO$69,Expenses!$O$8:$O$69,$B39)+SUMIFS(Headcount!Y$395:Y$1442,Headcount!$J$395:$J$1442,$B39))</f>
        <v>0</v>
      </c>
      <c r="Q39" s="137">
        <f>IF(Q$12="Actual",SUMIFS(ActualsTable[Month 15],ActualsTable[Expense Item2],$B39),SUMIFS(Expenses!BP$8:BP$69,Expenses!$O$8:$O$69,$B39)+SUMIFS(Headcount!Z$395:Z$1442,Headcount!$J$395:$J$1442,$B39))</f>
        <v>0</v>
      </c>
      <c r="R39" s="137">
        <f>IF(R$12="Actual",SUMIFS(ActualsTable[Month 16],ActualsTable[Expense Item2],$B39),SUMIFS(Expenses!BQ$8:BQ$69,Expenses!$O$8:$O$69,$B39)+SUMIFS(Headcount!AA$395:AA$1442,Headcount!$J$395:$J$1442,$B39))</f>
        <v>0</v>
      </c>
      <c r="S39" s="137">
        <f>IF(S$12="Actual",SUMIFS(ActualsTable[Month 17],ActualsTable[Expense Item2],$B39),SUMIFS(Expenses!BR$8:BR$69,Expenses!$O$8:$O$69,$B39)+SUMIFS(Headcount!AB$395:AB$1442,Headcount!$J$395:$J$1442,$B39))</f>
        <v>0</v>
      </c>
      <c r="T39" s="137">
        <f>IF(T$12="Actual",SUMIFS(ActualsTable[Month 18],ActualsTable[Expense Item2],$B39),SUMIFS(Expenses!BS$8:BS$69,Expenses!$O$8:$O$69,$B39)+SUMIFS(Headcount!AC$395:AC$1442,Headcount!$J$395:$J$1442,$B39))</f>
        <v>0</v>
      </c>
      <c r="U39" s="137">
        <f>IF(U$12="Actual",SUMIFS(ActualsTable[Month 19],ActualsTable[Expense Item2],$B39),SUMIFS(Expenses!BT$8:BT$69,Expenses!$O$8:$O$69,$B39)+SUMIFS(Headcount!AD$395:AD$1442,Headcount!$J$395:$J$1442,$B39))</f>
        <v>0</v>
      </c>
      <c r="V39" s="137">
        <f>IF(V$12="Actual",SUMIFS(ActualsTable[Month 20],ActualsTable[Expense Item2],$B39),SUMIFS(Expenses!BU$8:BU$69,Expenses!$O$8:$O$69,$B39)+SUMIFS(Headcount!AE$395:AE$1442,Headcount!$J$395:$J$1442,$B39))</f>
        <v>0</v>
      </c>
      <c r="W39" s="137">
        <f>IF(W$12="Actual",SUMIFS(ActualsTable[Month 21],ActualsTable[Expense Item2],$B39),SUMIFS(Expenses!BV$8:BV$69,Expenses!$O$8:$O$69,$B39)+SUMIFS(Headcount!AF$395:AF$1442,Headcount!$J$395:$J$1442,$B39))</f>
        <v>0</v>
      </c>
      <c r="X39" s="137">
        <f>IF(X$12="Actual",SUMIFS(ActualsTable[Month 22],ActualsTable[Expense Item2],$B39),SUMIFS(Expenses!BW$8:BW$69,Expenses!$O$8:$O$69,$B39)+SUMIFS(Headcount!AG$395:AG$1442,Headcount!$J$395:$J$1442,$B39))</f>
        <v>0</v>
      </c>
      <c r="Y39" s="137">
        <f>IF(Y$12="Actual",SUMIFS(ActualsTable[Month 23],ActualsTable[Expense Item2],$B39),SUMIFS(Expenses!BX$8:BX$69,Expenses!$O$8:$O$69,$B39)+SUMIFS(Headcount!AH$395:AH$1442,Headcount!$J$395:$J$1442,$B39))</f>
        <v>0</v>
      </c>
      <c r="Z39" s="137">
        <f>IF(Z$12="Actual",SUMIFS(ActualsTable[Month 24],ActualsTable[Expense Item2],$B39),SUMIFS(Expenses!BY$8:BY$69,Expenses!$O$8:$O$69,$B39)+SUMIFS(Headcount!AI$395:AI$1442,Headcount!$J$395:$J$1442,$B39))</f>
        <v>0</v>
      </c>
      <c r="AA39" s="137">
        <f>IF(AA$12="Actual",SUMIFS(ActualsTable[Month 25],ActualsTable[Expense Item2],$B39),SUMIFS(Expenses!BZ$8:BZ$69,Expenses!$O$8:$O$69,$B39)+SUMIFS(Headcount!AJ$395:AJ$1442,Headcount!$J$395:$J$1442,$B39))</f>
        <v>0</v>
      </c>
      <c r="AB39" s="137">
        <f>IF(AB$12="Actual",SUMIFS(ActualsTable[Month 26],ActualsTable[Expense Item2],$B39),SUMIFS(Expenses!CA$8:CA$69,Expenses!$O$8:$O$69,$B39)+SUMIFS(Headcount!AK$395:AK$1442,Headcount!$J$395:$J$1442,$B39))</f>
        <v>0</v>
      </c>
      <c r="AC39" s="137">
        <f>IF(AC$12="Actual",SUMIFS(ActualsTable[Month 27],ActualsTable[Expense Item2],$B39),SUMIFS(Expenses!CB$8:CB$69,Expenses!$O$8:$O$69,$B39)+SUMIFS(Headcount!AL$395:AL$1442,Headcount!$J$395:$J$1442,$B39))</f>
        <v>0</v>
      </c>
      <c r="AD39" s="137">
        <f>IF(AD$12="Actual",SUMIFS(ActualsTable[Month 28],ActualsTable[Expense Item2],$B39),SUMIFS(Expenses!CC$8:CC$69,Expenses!$O$8:$O$69,$B39)+SUMIFS(Headcount!AM$395:AM$1442,Headcount!$J$395:$J$1442,$B39))</f>
        <v>0</v>
      </c>
      <c r="AE39" s="137">
        <f>IF(AE$12="Actual",SUMIFS(ActualsTable[Month 29],ActualsTable[Expense Item2],$B39),SUMIFS(Expenses!CD$8:CD$69,Expenses!$O$8:$O$69,$B39)+SUMIFS(Headcount!AN$395:AN$1442,Headcount!$J$395:$J$1442,$B39))</f>
        <v>0</v>
      </c>
      <c r="AF39" s="137">
        <f>IF(AF$12="Actual",SUMIFS(ActualsTable[Month 30],ActualsTable[Expense Item2],$B39),SUMIFS(Expenses!CE$8:CE$69,Expenses!$O$8:$O$69,$B39)+SUMIFS(Headcount!AO$395:AO$1442,Headcount!$J$395:$J$1442,$B39))</f>
        <v>0</v>
      </c>
      <c r="AG39" s="137">
        <f>IF(AG$12="Actual",SUMIFS(ActualsTable[Month 31],ActualsTable[Expense Item2],$B39),SUMIFS(Expenses!CF$8:CF$69,Expenses!$O$8:$O$69,$B39)+SUMIFS(Headcount!AP$395:AP$1442,Headcount!$J$395:$J$1442,$B39))</f>
        <v>0</v>
      </c>
      <c r="AH39" s="137">
        <f>IF(AH$12="Actual",SUMIFS(ActualsTable[Month 32],ActualsTable[Expense Item2],$B39),SUMIFS(Expenses!CG$8:CG$69,Expenses!$O$8:$O$69,$B39)+SUMIFS(Headcount!AQ$395:AQ$1442,Headcount!$J$395:$J$1442,$B39))</f>
        <v>0</v>
      </c>
      <c r="AI39" s="137">
        <f>IF(AI$12="Actual",SUMIFS(ActualsTable[Month 33],ActualsTable[Expense Item2],$B39),SUMIFS(Expenses!CH$8:CH$69,Expenses!$O$8:$O$69,$B39)+SUMIFS(Headcount!AR$395:AR$1442,Headcount!$J$395:$J$1442,$B39))</f>
        <v>0</v>
      </c>
      <c r="AJ39" s="137">
        <f>IF(AJ$12="Actual",SUMIFS(ActualsTable[Month 34],ActualsTable[Expense Item2],$B39),SUMIFS(Expenses!CI$8:CI$69,Expenses!$O$8:$O$69,$B39)+SUMIFS(Headcount!AS$395:AS$1442,Headcount!$J$395:$J$1442,$B39))</f>
        <v>0</v>
      </c>
      <c r="AK39" s="137">
        <f>IF(AK$12="Actual",SUMIFS(ActualsTable[Month 35],ActualsTable[Expense Item2],$B39),SUMIFS(Expenses!CJ$8:CJ$69,Expenses!$O$8:$O$69,$B39)+SUMIFS(Headcount!AT$395:AT$1442,Headcount!$J$395:$J$1442,$B39))</f>
        <v>0</v>
      </c>
      <c r="AL39" s="293">
        <f>IF(AL$12="Actual",SUMIFS(ActualsTable[Month 36],ActualsTable[Expense Item2],$B39),SUMIFS(Expenses!CK$8:CK$69,Expenses!$O$8:$O$69,$B39)+SUMIFS(Headcount!AU$395:AU$1442,Headcount!$J$395:$J$1442,$B39))</f>
        <v>0</v>
      </c>
      <c r="AN39" s="319">
        <f t="shared" ca="1" si="89"/>
        <v>0</v>
      </c>
      <c r="AO39" s="137">
        <f t="shared" ca="1" si="89"/>
        <v>0</v>
      </c>
      <c r="AP39" s="137">
        <f t="shared" ca="1" si="89"/>
        <v>0</v>
      </c>
      <c r="AQ39" s="137">
        <f t="shared" ca="1" si="89"/>
        <v>0</v>
      </c>
      <c r="AR39" s="137">
        <f t="shared" ca="1" si="89"/>
        <v>0</v>
      </c>
      <c r="AS39" s="137">
        <f t="shared" ca="1" si="89"/>
        <v>0</v>
      </c>
      <c r="AT39" s="137">
        <f t="shared" ca="1" si="89"/>
        <v>0</v>
      </c>
      <c r="AU39" s="137">
        <f t="shared" ca="1" si="89"/>
        <v>0</v>
      </c>
      <c r="AV39" s="137">
        <f t="shared" ca="1" si="89"/>
        <v>0</v>
      </c>
      <c r="AW39" s="137">
        <f t="shared" ca="1" si="89"/>
        <v>0</v>
      </c>
      <c r="AX39" s="137">
        <f t="shared" ca="1" si="89"/>
        <v>0</v>
      </c>
      <c r="AY39" s="293">
        <f t="shared" ca="1" si="89"/>
        <v>0</v>
      </c>
      <c r="BA39" s="319">
        <f t="shared" ca="1" si="90"/>
        <v>0</v>
      </c>
      <c r="BB39" s="137">
        <f t="shared" ca="1" si="90"/>
        <v>0</v>
      </c>
      <c r="BC39" s="293">
        <f t="shared" ca="1" si="90"/>
        <v>0</v>
      </c>
    </row>
    <row r="40" spans="2:55" x14ac:dyDescent="0.35">
      <c r="B40" s="76" t="s">
        <v>82</v>
      </c>
      <c r="C40" s="137">
        <f>IF(C$12="Actual",SUMIFS(ActualsTable[Month 1],ActualsTable[Expense Item2],$B40),SUMIFS(Expenses!BB$8:BB$69,Expenses!$O$8:$O$69,$B40)+SUMIFS(Headcount!L$395:L$1442,Headcount!$J$395:$J$1442,$B40))</f>
        <v>0</v>
      </c>
      <c r="D40" s="137">
        <f>IF(D$12="Actual",SUMIFS(ActualsTable[Month 2],ActualsTable[Expense Item2],$B40),SUMIFS(Expenses!BC$8:BC$69,Expenses!$O$8:$O$69,$B40)+SUMIFS(Headcount!M$395:M$1442,Headcount!$J$395:$J$1442,$B40))</f>
        <v>0</v>
      </c>
      <c r="E40" s="137">
        <f>IF(E$12="Actual",SUMIFS(ActualsTable[Month 3],ActualsTable[Expense Item2],$B40),SUMIFS(Expenses!BD$8:BD$69,Expenses!$O$8:$O$69,$B40)+SUMIFS(Headcount!N$395:N$1442,Headcount!$J$395:$J$1442,$B40))</f>
        <v>0</v>
      </c>
      <c r="F40" s="137">
        <f>IF(F$12="Actual",SUMIFS(ActualsTable[Month 4],ActualsTable[Expense Item2],$B40),SUMIFS(Expenses!BE$8:BE$69,Expenses!$O$8:$O$69,$B40)+SUMIFS(Headcount!O$395:O$1442,Headcount!$J$395:$J$1442,$B40))</f>
        <v>0</v>
      </c>
      <c r="G40" s="137">
        <f>IF(G$12="Actual",SUMIFS(ActualsTable[Month 5],ActualsTable[Expense Item2],$B40),SUMIFS(Expenses!BF$8:BF$69,Expenses!$O$8:$O$69,$B40)+SUMIFS(Headcount!P$395:P$1442,Headcount!$J$395:$J$1442,$B40))</f>
        <v>0</v>
      </c>
      <c r="H40" s="137">
        <f>IF(H$12="Actual",SUMIFS(ActualsTable[Month 6],ActualsTable[Expense Item2],$B40),SUMIFS(Expenses!BG$8:BG$69,Expenses!$O$8:$O$69,$B40)+SUMIFS(Headcount!Q$395:Q$1442,Headcount!$J$395:$J$1442,$B40))</f>
        <v>0</v>
      </c>
      <c r="I40" s="137">
        <f>IF(I$12="Actual",SUMIFS(ActualsTable[Month 7],ActualsTable[Expense Item2],$B40),SUMIFS(Expenses!BH$8:BH$69,Expenses!$O$8:$O$69,$B40)+SUMIFS(Headcount!R$395:R$1442,Headcount!$J$395:$J$1442,$B40))</f>
        <v>0</v>
      </c>
      <c r="J40" s="137">
        <f>IF(J$12="Actual",SUMIFS(ActualsTable[Month 8],ActualsTable[Expense Item2],$B40),SUMIFS(Expenses!BI$8:BI$69,Expenses!$O$8:$O$69,$B40)+SUMIFS(Headcount!S$395:S$1442,Headcount!$J$395:$J$1442,$B40))</f>
        <v>0</v>
      </c>
      <c r="K40" s="137">
        <f>IF(K$12="Actual",SUMIFS(ActualsTable[Month 9],ActualsTable[Expense Item2],$B40),SUMIFS(Expenses!BJ$8:BJ$69,Expenses!$O$8:$O$69,$B40)+SUMIFS(Headcount!T$395:T$1442,Headcount!$J$395:$J$1442,$B40))</f>
        <v>0</v>
      </c>
      <c r="L40" s="137">
        <f>IF(L$12="Actual",SUMIFS(ActualsTable[Month 10],ActualsTable[Expense Item2],$B40),SUMIFS(Expenses!BK$8:BK$69,Expenses!$O$8:$O$69,$B40)+SUMIFS(Headcount!U$395:U$1442,Headcount!$J$395:$J$1442,$B40))</f>
        <v>0</v>
      </c>
      <c r="M40" s="137">
        <f>IF(M$12="Actual",SUMIFS(ActualsTable[Month 11],ActualsTable[Expense Item2],$B40),SUMIFS(Expenses!BL$8:BL$69,Expenses!$O$8:$O$69,$B40)+SUMIFS(Headcount!V$395:V$1442,Headcount!$J$395:$J$1442,$B40))</f>
        <v>0</v>
      </c>
      <c r="N40" s="137">
        <f>IF(N$12="Actual",SUMIFS(ActualsTable[Month 12],ActualsTable[Expense Item2],$B40),SUMIFS(Expenses!BM$8:BM$69,Expenses!$O$8:$O$69,$B40)+SUMIFS(Headcount!W$395:W$1442,Headcount!$J$395:$J$1442,$B40))</f>
        <v>0</v>
      </c>
      <c r="O40" s="137">
        <f>IF(O$12="Actual",SUMIFS(ActualsTable[Month 13],ActualsTable[Expense Item2],$B40),SUMIFS(Expenses!BN$8:BN$69,Expenses!$O$8:$O$69,$B40)+SUMIFS(Headcount!X$395:X$1442,Headcount!$J$395:$J$1442,$B40))</f>
        <v>0</v>
      </c>
      <c r="P40" s="137">
        <f>IF(P$12="Actual",SUMIFS(ActualsTable[Month 14],ActualsTable[Expense Item2],$B40),SUMIFS(Expenses!BO$8:BO$69,Expenses!$O$8:$O$69,$B40)+SUMIFS(Headcount!Y$395:Y$1442,Headcount!$J$395:$J$1442,$B40))</f>
        <v>0</v>
      </c>
      <c r="Q40" s="137">
        <f>IF(Q$12="Actual",SUMIFS(ActualsTable[Month 15],ActualsTable[Expense Item2],$B40),SUMIFS(Expenses!BP$8:BP$69,Expenses!$O$8:$O$69,$B40)+SUMIFS(Headcount!Z$395:Z$1442,Headcount!$J$395:$J$1442,$B40))</f>
        <v>0</v>
      </c>
      <c r="R40" s="137">
        <f>IF(R$12="Actual",SUMIFS(ActualsTable[Month 16],ActualsTable[Expense Item2],$B40),SUMIFS(Expenses!BQ$8:BQ$69,Expenses!$O$8:$O$69,$B40)+SUMIFS(Headcount!AA$395:AA$1442,Headcount!$J$395:$J$1442,$B40))</f>
        <v>0</v>
      </c>
      <c r="S40" s="137">
        <f>IF(S$12="Actual",SUMIFS(ActualsTable[Month 17],ActualsTable[Expense Item2],$B40),SUMIFS(Expenses!BR$8:BR$69,Expenses!$O$8:$O$69,$B40)+SUMIFS(Headcount!AB$395:AB$1442,Headcount!$J$395:$J$1442,$B40))</f>
        <v>0</v>
      </c>
      <c r="T40" s="137">
        <f>IF(T$12="Actual",SUMIFS(ActualsTable[Month 18],ActualsTable[Expense Item2],$B40),SUMIFS(Expenses!BS$8:BS$69,Expenses!$O$8:$O$69,$B40)+SUMIFS(Headcount!AC$395:AC$1442,Headcount!$J$395:$J$1442,$B40))</f>
        <v>0</v>
      </c>
      <c r="U40" s="137">
        <f>IF(U$12="Actual",SUMIFS(ActualsTable[Month 19],ActualsTable[Expense Item2],$B40),SUMIFS(Expenses!BT$8:BT$69,Expenses!$O$8:$O$69,$B40)+SUMIFS(Headcount!AD$395:AD$1442,Headcount!$J$395:$J$1442,$B40))</f>
        <v>0</v>
      </c>
      <c r="V40" s="137">
        <f>IF(V$12="Actual",SUMIFS(ActualsTable[Month 20],ActualsTable[Expense Item2],$B40),SUMIFS(Expenses!BU$8:BU$69,Expenses!$O$8:$O$69,$B40)+SUMIFS(Headcount!AE$395:AE$1442,Headcount!$J$395:$J$1442,$B40))</f>
        <v>0</v>
      </c>
      <c r="W40" s="137">
        <f>IF(W$12="Actual",SUMIFS(ActualsTable[Month 21],ActualsTable[Expense Item2],$B40),SUMIFS(Expenses!BV$8:BV$69,Expenses!$O$8:$O$69,$B40)+SUMIFS(Headcount!AF$395:AF$1442,Headcount!$J$395:$J$1442,$B40))</f>
        <v>0</v>
      </c>
      <c r="X40" s="137">
        <f>IF(X$12="Actual",SUMIFS(ActualsTable[Month 22],ActualsTable[Expense Item2],$B40),SUMIFS(Expenses!BW$8:BW$69,Expenses!$O$8:$O$69,$B40)+SUMIFS(Headcount!AG$395:AG$1442,Headcount!$J$395:$J$1442,$B40))</f>
        <v>0</v>
      </c>
      <c r="Y40" s="137">
        <f>IF(Y$12="Actual",SUMIFS(ActualsTable[Month 23],ActualsTable[Expense Item2],$B40),SUMIFS(Expenses!BX$8:BX$69,Expenses!$O$8:$O$69,$B40)+SUMIFS(Headcount!AH$395:AH$1442,Headcount!$J$395:$J$1442,$B40))</f>
        <v>0</v>
      </c>
      <c r="Z40" s="137">
        <f>IF(Z$12="Actual",SUMIFS(ActualsTable[Month 24],ActualsTable[Expense Item2],$B40),SUMIFS(Expenses!BY$8:BY$69,Expenses!$O$8:$O$69,$B40)+SUMIFS(Headcount!AI$395:AI$1442,Headcount!$J$395:$J$1442,$B40))</f>
        <v>0</v>
      </c>
      <c r="AA40" s="137">
        <f>IF(AA$12="Actual",SUMIFS(ActualsTable[Month 25],ActualsTable[Expense Item2],$B40),SUMIFS(Expenses!BZ$8:BZ$69,Expenses!$O$8:$O$69,$B40)+SUMIFS(Headcount!AJ$395:AJ$1442,Headcount!$J$395:$J$1442,$B40))</f>
        <v>0</v>
      </c>
      <c r="AB40" s="137">
        <f>IF(AB$12="Actual",SUMIFS(ActualsTable[Month 26],ActualsTable[Expense Item2],$B40),SUMIFS(Expenses!CA$8:CA$69,Expenses!$O$8:$O$69,$B40)+SUMIFS(Headcount!AK$395:AK$1442,Headcount!$J$395:$J$1442,$B40))</f>
        <v>0</v>
      </c>
      <c r="AC40" s="137">
        <f>IF(AC$12="Actual",SUMIFS(ActualsTable[Month 27],ActualsTable[Expense Item2],$B40),SUMIFS(Expenses!CB$8:CB$69,Expenses!$O$8:$O$69,$B40)+SUMIFS(Headcount!AL$395:AL$1442,Headcount!$J$395:$J$1442,$B40))</f>
        <v>0</v>
      </c>
      <c r="AD40" s="137">
        <f>IF(AD$12="Actual",SUMIFS(ActualsTable[Month 28],ActualsTable[Expense Item2],$B40),SUMIFS(Expenses!CC$8:CC$69,Expenses!$O$8:$O$69,$B40)+SUMIFS(Headcount!AM$395:AM$1442,Headcount!$J$395:$J$1442,$B40))</f>
        <v>0</v>
      </c>
      <c r="AE40" s="137">
        <f>IF(AE$12="Actual",SUMIFS(ActualsTable[Month 29],ActualsTable[Expense Item2],$B40),SUMIFS(Expenses!CD$8:CD$69,Expenses!$O$8:$O$69,$B40)+SUMIFS(Headcount!AN$395:AN$1442,Headcount!$J$395:$J$1442,$B40))</f>
        <v>0</v>
      </c>
      <c r="AF40" s="137">
        <f>IF(AF$12="Actual",SUMIFS(ActualsTable[Month 30],ActualsTable[Expense Item2],$B40),SUMIFS(Expenses!CE$8:CE$69,Expenses!$O$8:$O$69,$B40)+SUMIFS(Headcount!AO$395:AO$1442,Headcount!$J$395:$J$1442,$B40))</f>
        <v>0</v>
      </c>
      <c r="AG40" s="137">
        <f>IF(AG$12="Actual",SUMIFS(ActualsTable[Month 31],ActualsTable[Expense Item2],$B40),SUMIFS(Expenses!CF$8:CF$69,Expenses!$O$8:$O$69,$B40)+SUMIFS(Headcount!AP$395:AP$1442,Headcount!$J$395:$J$1442,$B40))</f>
        <v>0</v>
      </c>
      <c r="AH40" s="137">
        <f>IF(AH$12="Actual",SUMIFS(ActualsTable[Month 32],ActualsTable[Expense Item2],$B40),SUMIFS(Expenses!CG$8:CG$69,Expenses!$O$8:$O$69,$B40)+SUMIFS(Headcount!AQ$395:AQ$1442,Headcount!$J$395:$J$1442,$B40))</f>
        <v>0</v>
      </c>
      <c r="AI40" s="137">
        <f>IF(AI$12="Actual",SUMIFS(ActualsTable[Month 33],ActualsTable[Expense Item2],$B40),SUMIFS(Expenses!CH$8:CH$69,Expenses!$O$8:$O$69,$B40)+SUMIFS(Headcount!AR$395:AR$1442,Headcount!$J$395:$J$1442,$B40))</f>
        <v>0</v>
      </c>
      <c r="AJ40" s="137">
        <f>IF(AJ$12="Actual",SUMIFS(ActualsTable[Month 34],ActualsTable[Expense Item2],$B40),SUMIFS(Expenses!CI$8:CI$69,Expenses!$O$8:$O$69,$B40)+SUMIFS(Headcount!AS$395:AS$1442,Headcount!$J$395:$J$1442,$B40))</f>
        <v>0</v>
      </c>
      <c r="AK40" s="137">
        <f>IF(AK$12="Actual",SUMIFS(ActualsTable[Month 35],ActualsTable[Expense Item2],$B40),SUMIFS(Expenses!CJ$8:CJ$69,Expenses!$O$8:$O$69,$B40)+SUMIFS(Headcount!AT$395:AT$1442,Headcount!$J$395:$J$1442,$B40))</f>
        <v>0</v>
      </c>
      <c r="AL40" s="293">
        <f>IF(AL$12="Actual",SUMIFS(ActualsTable[Month 36],ActualsTable[Expense Item2],$B40),SUMIFS(Expenses!CK$8:CK$69,Expenses!$O$8:$O$69,$B40)+SUMIFS(Headcount!AU$395:AU$1442,Headcount!$J$395:$J$1442,$B40))</f>
        <v>0</v>
      </c>
      <c r="AN40" s="319">
        <f t="shared" ca="1" si="89"/>
        <v>0</v>
      </c>
      <c r="AO40" s="137">
        <f t="shared" ca="1" si="89"/>
        <v>0</v>
      </c>
      <c r="AP40" s="137">
        <f t="shared" ca="1" si="89"/>
        <v>0</v>
      </c>
      <c r="AQ40" s="137">
        <f t="shared" ca="1" si="89"/>
        <v>0</v>
      </c>
      <c r="AR40" s="137">
        <f t="shared" ca="1" si="89"/>
        <v>0</v>
      </c>
      <c r="AS40" s="137">
        <f t="shared" ca="1" si="89"/>
        <v>0</v>
      </c>
      <c r="AT40" s="137">
        <f t="shared" ca="1" si="89"/>
        <v>0</v>
      </c>
      <c r="AU40" s="137">
        <f t="shared" ca="1" si="89"/>
        <v>0</v>
      </c>
      <c r="AV40" s="137">
        <f t="shared" ca="1" si="89"/>
        <v>0</v>
      </c>
      <c r="AW40" s="137">
        <f t="shared" ca="1" si="89"/>
        <v>0</v>
      </c>
      <c r="AX40" s="137">
        <f t="shared" ca="1" si="89"/>
        <v>0</v>
      </c>
      <c r="AY40" s="293">
        <f t="shared" ca="1" si="89"/>
        <v>0</v>
      </c>
      <c r="BA40" s="319">
        <f t="shared" ca="1" si="90"/>
        <v>0</v>
      </c>
      <c r="BB40" s="137">
        <f t="shared" ca="1" si="90"/>
        <v>0</v>
      </c>
      <c r="BC40" s="293">
        <f t="shared" ca="1" si="90"/>
        <v>0</v>
      </c>
    </row>
    <row r="41" spans="2:55" x14ac:dyDescent="0.35">
      <c r="B41" s="77" t="s">
        <v>83</v>
      </c>
      <c r="C41" s="140">
        <f t="shared" ref="C41:AT41" si="91">SUM(C42,C45)</f>
        <v>0</v>
      </c>
      <c r="D41" s="140">
        <f t="shared" ref="D41:AL41" si="92">SUM(D42,D45)</f>
        <v>0</v>
      </c>
      <c r="E41" s="140">
        <f t="shared" si="92"/>
        <v>0</v>
      </c>
      <c r="F41" s="140">
        <f t="shared" si="92"/>
        <v>0</v>
      </c>
      <c r="G41" s="140">
        <f t="shared" si="92"/>
        <v>0</v>
      </c>
      <c r="H41" s="140">
        <f t="shared" si="92"/>
        <v>0</v>
      </c>
      <c r="I41" s="140">
        <f t="shared" si="92"/>
        <v>0</v>
      </c>
      <c r="J41" s="140">
        <f t="shared" si="92"/>
        <v>0</v>
      </c>
      <c r="K41" s="140">
        <f t="shared" si="92"/>
        <v>0</v>
      </c>
      <c r="L41" s="140">
        <f t="shared" si="92"/>
        <v>0</v>
      </c>
      <c r="M41" s="140">
        <f t="shared" si="92"/>
        <v>0</v>
      </c>
      <c r="N41" s="140">
        <f t="shared" si="92"/>
        <v>0</v>
      </c>
      <c r="O41" s="140">
        <f t="shared" si="92"/>
        <v>0</v>
      </c>
      <c r="P41" s="140">
        <f t="shared" si="92"/>
        <v>0</v>
      </c>
      <c r="Q41" s="140">
        <f t="shared" si="92"/>
        <v>0</v>
      </c>
      <c r="R41" s="140">
        <f t="shared" si="92"/>
        <v>0</v>
      </c>
      <c r="S41" s="140">
        <f t="shared" si="92"/>
        <v>0</v>
      </c>
      <c r="T41" s="140">
        <f t="shared" si="92"/>
        <v>0</v>
      </c>
      <c r="U41" s="140">
        <f t="shared" si="92"/>
        <v>0</v>
      </c>
      <c r="V41" s="140">
        <f t="shared" si="92"/>
        <v>0</v>
      </c>
      <c r="W41" s="140">
        <f t="shared" si="92"/>
        <v>0</v>
      </c>
      <c r="X41" s="140">
        <f t="shared" si="92"/>
        <v>0</v>
      </c>
      <c r="Y41" s="140">
        <f t="shared" si="92"/>
        <v>0</v>
      </c>
      <c r="Z41" s="140">
        <f t="shared" si="92"/>
        <v>0</v>
      </c>
      <c r="AA41" s="140">
        <f t="shared" si="92"/>
        <v>0</v>
      </c>
      <c r="AB41" s="140">
        <f t="shared" si="92"/>
        <v>0</v>
      </c>
      <c r="AC41" s="140">
        <f t="shared" si="92"/>
        <v>0</v>
      </c>
      <c r="AD41" s="140">
        <f t="shared" si="92"/>
        <v>0</v>
      </c>
      <c r="AE41" s="140">
        <f t="shared" si="92"/>
        <v>0</v>
      </c>
      <c r="AF41" s="140">
        <f t="shared" si="92"/>
        <v>0</v>
      </c>
      <c r="AG41" s="140">
        <f t="shared" si="92"/>
        <v>0</v>
      </c>
      <c r="AH41" s="140">
        <f t="shared" si="92"/>
        <v>0</v>
      </c>
      <c r="AI41" s="140">
        <f t="shared" si="92"/>
        <v>0</v>
      </c>
      <c r="AJ41" s="140">
        <f t="shared" si="92"/>
        <v>0</v>
      </c>
      <c r="AK41" s="140">
        <f t="shared" si="92"/>
        <v>0</v>
      </c>
      <c r="AL41" s="301">
        <f t="shared" si="92"/>
        <v>0</v>
      </c>
      <c r="AN41" s="327">
        <f t="shared" ca="1" si="91"/>
        <v>0</v>
      </c>
      <c r="AO41" s="140">
        <f t="shared" ca="1" si="91"/>
        <v>0</v>
      </c>
      <c r="AP41" s="140">
        <f t="shared" ca="1" si="91"/>
        <v>0</v>
      </c>
      <c r="AQ41" s="140">
        <f t="shared" ca="1" si="91"/>
        <v>0</v>
      </c>
      <c r="AR41" s="140">
        <f t="shared" ca="1" si="91"/>
        <v>0</v>
      </c>
      <c r="AS41" s="140">
        <f t="shared" ca="1" si="91"/>
        <v>0</v>
      </c>
      <c r="AT41" s="140">
        <f t="shared" ca="1" si="91"/>
        <v>0</v>
      </c>
      <c r="AU41" s="140">
        <f t="shared" ref="AU41:AY41" ca="1" si="93">SUM(AU42,AU45)</f>
        <v>0</v>
      </c>
      <c r="AV41" s="140">
        <f t="shared" ca="1" si="93"/>
        <v>0</v>
      </c>
      <c r="AW41" s="140">
        <f t="shared" ca="1" si="93"/>
        <v>0</v>
      </c>
      <c r="AX41" s="140">
        <f t="shared" ca="1" si="93"/>
        <v>0</v>
      </c>
      <c r="AY41" s="301">
        <f t="shared" ca="1" si="93"/>
        <v>0</v>
      </c>
      <c r="BA41" s="327">
        <f t="shared" ref="BA41" ca="1" si="94">SUM(BA42,BA45)</f>
        <v>0</v>
      </c>
      <c r="BB41" s="140">
        <f t="shared" ref="BB41:BC41" ca="1" si="95">SUM(BB42,BB45)</f>
        <v>0</v>
      </c>
      <c r="BC41" s="301">
        <f t="shared" ca="1" si="95"/>
        <v>0</v>
      </c>
    </row>
    <row r="42" spans="2:55" x14ac:dyDescent="0.35">
      <c r="B42" s="79" t="s">
        <v>84</v>
      </c>
      <c r="C42" s="140">
        <f t="shared" ref="C42:AN42" si="96">SUM(C43:C44)</f>
        <v>0</v>
      </c>
      <c r="D42" s="140">
        <f t="shared" ref="D42:AL42" si="97">SUM(D43:D44)</f>
        <v>0</v>
      </c>
      <c r="E42" s="140">
        <f t="shared" si="97"/>
        <v>0</v>
      </c>
      <c r="F42" s="140">
        <f t="shared" si="97"/>
        <v>0</v>
      </c>
      <c r="G42" s="140">
        <f t="shared" si="97"/>
        <v>0</v>
      </c>
      <c r="H42" s="140">
        <f t="shared" si="97"/>
        <v>0</v>
      </c>
      <c r="I42" s="140">
        <f t="shared" si="97"/>
        <v>0</v>
      </c>
      <c r="J42" s="140">
        <f t="shared" si="97"/>
        <v>0</v>
      </c>
      <c r="K42" s="140">
        <f t="shared" si="97"/>
        <v>0</v>
      </c>
      <c r="L42" s="140">
        <f t="shared" si="97"/>
        <v>0</v>
      </c>
      <c r="M42" s="140">
        <f t="shared" si="97"/>
        <v>0</v>
      </c>
      <c r="N42" s="140">
        <f t="shared" si="97"/>
        <v>0</v>
      </c>
      <c r="O42" s="140">
        <f t="shared" si="97"/>
        <v>0</v>
      </c>
      <c r="P42" s="140">
        <f t="shared" si="97"/>
        <v>0</v>
      </c>
      <c r="Q42" s="140">
        <f t="shared" si="97"/>
        <v>0</v>
      </c>
      <c r="R42" s="140">
        <f t="shared" si="97"/>
        <v>0</v>
      </c>
      <c r="S42" s="140">
        <f t="shared" si="97"/>
        <v>0</v>
      </c>
      <c r="T42" s="140">
        <f t="shared" si="97"/>
        <v>0</v>
      </c>
      <c r="U42" s="140">
        <f t="shared" si="97"/>
        <v>0</v>
      </c>
      <c r="V42" s="140">
        <f t="shared" si="97"/>
        <v>0</v>
      </c>
      <c r="W42" s="140">
        <f t="shared" si="97"/>
        <v>0</v>
      </c>
      <c r="X42" s="140">
        <f t="shared" si="97"/>
        <v>0</v>
      </c>
      <c r="Y42" s="140">
        <f t="shared" si="97"/>
        <v>0</v>
      </c>
      <c r="Z42" s="140">
        <f t="shared" si="97"/>
        <v>0</v>
      </c>
      <c r="AA42" s="140">
        <f t="shared" si="97"/>
        <v>0</v>
      </c>
      <c r="AB42" s="140">
        <f t="shared" si="97"/>
        <v>0</v>
      </c>
      <c r="AC42" s="140">
        <f t="shared" si="97"/>
        <v>0</v>
      </c>
      <c r="AD42" s="140">
        <f t="shared" si="97"/>
        <v>0</v>
      </c>
      <c r="AE42" s="140">
        <f t="shared" si="97"/>
        <v>0</v>
      </c>
      <c r="AF42" s="140">
        <f t="shared" si="97"/>
        <v>0</v>
      </c>
      <c r="AG42" s="140">
        <f t="shared" si="97"/>
        <v>0</v>
      </c>
      <c r="AH42" s="140">
        <f t="shared" si="97"/>
        <v>0</v>
      </c>
      <c r="AI42" s="140">
        <f t="shared" si="97"/>
        <v>0</v>
      </c>
      <c r="AJ42" s="140">
        <f t="shared" si="97"/>
        <v>0</v>
      </c>
      <c r="AK42" s="140">
        <f t="shared" si="97"/>
        <v>0</v>
      </c>
      <c r="AL42" s="301">
        <f t="shared" si="97"/>
        <v>0</v>
      </c>
      <c r="AN42" s="327">
        <f t="shared" ca="1" si="96"/>
        <v>0</v>
      </c>
      <c r="AO42" s="140">
        <f t="shared" ref="AO42:AT42" ca="1" si="98">SUM(AO43:AO44)</f>
        <v>0</v>
      </c>
      <c r="AP42" s="140">
        <f t="shared" ca="1" si="98"/>
        <v>0</v>
      </c>
      <c r="AQ42" s="140">
        <f t="shared" ca="1" si="98"/>
        <v>0</v>
      </c>
      <c r="AR42" s="140">
        <f t="shared" ca="1" si="98"/>
        <v>0</v>
      </c>
      <c r="AS42" s="140">
        <f t="shared" ca="1" si="98"/>
        <v>0</v>
      </c>
      <c r="AT42" s="140">
        <f t="shared" ca="1" si="98"/>
        <v>0</v>
      </c>
      <c r="AU42" s="140">
        <f t="shared" ref="AU42:AY42" ca="1" si="99">SUM(AU43:AU44)</f>
        <v>0</v>
      </c>
      <c r="AV42" s="140">
        <f t="shared" ca="1" si="99"/>
        <v>0</v>
      </c>
      <c r="AW42" s="140">
        <f t="shared" ca="1" si="99"/>
        <v>0</v>
      </c>
      <c r="AX42" s="140">
        <f t="shared" ca="1" si="99"/>
        <v>0</v>
      </c>
      <c r="AY42" s="301">
        <f t="shared" ca="1" si="99"/>
        <v>0</v>
      </c>
      <c r="BA42" s="327">
        <f t="shared" ref="BA42" ca="1" si="100">SUM(BA43:BA44)</f>
        <v>0</v>
      </c>
      <c r="BB42" s="140">
        <f t="shared" ref="BB42:BC42" ca="1" si="101">SUM(BB43:BB44)</f>
        <v>0</v>
      </c>
      <c r="BC42" s="301">
        <f t="shared" ca="1" si="101"/>
        <v>0</v>
      </c>
    </row>
    <row r="43" spans="2:55" x14ac:dyDescent="0.35">
      <c r="B43" s="80" t="s">
        <v>85</v>
      </c>
      <c r="C43" s="137">
        <f>IF(C$12="Actual",SUMIFS(ActualsTable[Month 1],ActualsTable[Expense Item2],$B43),SUMIFS(Expenses!BB$8:BB$69,Expenses!$O$8:$O$69,$B43)+SUMIFS(Headcount!L$395:L$1442,Headcount!$J$395:$J$1442,$B43))</f>
        <v>0</v>
      </c>
      <c r="D43" s="137">
        <f>IF(D$12="Actual",SUMIFS(ActualsTable[Month 2],ActualsTable[Expense Item2],$B43),SUMIFS(Expenses!BC$8:BC$69,Expenses!$O$8:$O$69,$B43)+SUMIFS(Headcount!M$395:M$1442,Headcount!$J$395:$J$1442,$B43))</f>
        <v>0</v>
      </c>
      <c r="E43" s="137">
        <f>IF(E$12="Actual",SUMIFS(ActualsTable[Month 3],ActualsTable[Expense Item2],$B43),SUMIFS(Expenses!BD$8:BD$69,Expenses!$O$8:$O$69,$B43)+SUMIFS(Headcount!N$395:N$1442,Headcount!$J$395:$J$1442,$B43))</f>
        <v>0</v>
      </c>
      <c r="F43" s="137">
        <f>IF(F$12="Actual",SUMIFS(ActualsTable[Month 4],ActualsTable[Expense Item2],$B43),SUMIFS(Expenses!BE$8:BE$69,Expenses!$O$8:$O$69,$B43)+SUMIFS(Headcount!O$395:O$1442,Headcount!$J$395:$J$1442,$B43))</f>
        <v>0</v>
      </c>
      <c r="G43" s="137">
        <f>IF(G$12="Actual",SUMIFS(ActualsTable[Month 5],ActualsTable[Expense Item2],$B43),SUMIFS(Expenses!BF$8:BF$69,Expenses!$O$8:$O$69,$B43)+SUMIFS(Headcount!P$395:P$1442,Headcount!$J$395:$J$1442,$B43))</f>
        <v>0</v>
      </c>
      <c r="H43" s="137">
        <f>IF(H$12="Actual",SUMIFS(ActualsTable[Month 6],ActualsTable[Expense Item2],$B43),SUMIFS(Expenses!BG$8:BG$69,Expenses!$O$8:$O$69,$B43)+SUMIFS(Headcount!Q$395:Q$1442,Headcount!$J$395:$J$1442,$B43))</f>
        <v>0</v>
      </c>
      <c r="I43" s="137">
        <f>IF(I$12="Actual",SUMIFS(ActualsTable[Month 7],ActualsTable[Expense Item2],$B43),SUMIFS(Expenses!BH$8:BH$69,Expenses!$O$8:$O$69,$B43)+SUMIFS(Headcount!R$395:R$1442,Headcount!$J$395:$J$1442,$B43))</f>
        <v>0</v>
      </c>
      <c r="J43" s="137">
        <f>IF(J$12="Actual",SUMIFS(ActualsTable[Month 8],ActualsTable[Expense Item2],$B43),SUMIFS(Expenses!BI$8:BI$69,Expenses!$O$8:$O$69,$B43)+SUMIFS(Headcount!S$395:S$1442,Headcount!$J$395:$J$1442,$B43))</f>
        <v>0</v>
      </c>
      <c r="K43" s="137">
        <f>IF(K$12="Actual",SUMIFS(ActualsTable[Month 9],ActualsTable[Expense Item2],$B43),SUMIFS(Expenses!BJ$8:BJ$69,Expenses!$O$8:$O$69,$B43)+SUMIFS(Headcount!T$395:T$1442,Headcount!$J$395:$J$1442,$B43))</f>
        <v>0</v>
      </c>
      <c r="L43" s="137">
        <f>IF(L$12="Actual",SUMIFS(ActualsTable[Month 10],ActualsTable[Expense Item2],$B43),SUMIFS(Expenses!BK$8:BK$69,Expenses!$O$8:$O$69,$B43)+SUMIFS(Headcount!U$395:U$1442,Headcount!$J$395:$J$1442,$B43))</f>
        <v>0</v>
      </c>
      <c r="M43" s="137">
        <f>IF(M$12="Actual",SUMIFS(ActualsTable[Month 11],ActualsTable[Expense Item2],$B43),SUMIFS(Expenses!BL$8:BL$69,Expenses!$O$8:$O$69,$B43)+SUMIFS(Headcount!V$395:V$1442,Headcount!$J$395:$J$1442,$B43))</f>
        <v>0</v>
      </c>
      <c r="N43" s="137">
        <f>IF(N$12="Actual",SUMIFS(ActualsTable[Month 12],ActualsTable[Expense Item2],$B43),SUMIFS(Expenses!BM$8:BM$69,Expenses!$O$8:$O$69,$B43)+SUMIFS(Headcount!W$395:W$1442,Headcount!$J$395:$J$1442,$B43))</f>
        <v>0</v>
      </c>
      <c r="O43" s="137">
        <f>IF(O$12="Actual",SUMIFS(ActualsTable[Month 13],ActualsTable[Expense Item2],$B43),SUMIFS(Expenses!BN$8:BN$69,Expenses!$O$8:$O$69,$B43)+SUMIFS(Headcount!X$395:X$1442,Headcount!$J$395:$J$1442,$B43))</f>
        <v>0</v>
      </c>
      <c r="P43" s="137">
        <f>IF(P$12="Actual",SUMIFS(ActualsTable[Month 14],ActualsTable[Expense Item2],$B43),SUMIFS(Expenses!BO$8:BO$69,Expenses!$O$8:$O$69,$B43)+SUMIFS(Headcount!Y$395:Y$1442,Headcount!$J$395:$J$1442,$B43))</f>
        <v>0</v>
      </c>
      <c r="Q43" s="137">
        <f>IF(Q$12="Actual",SUMIFS(ActualsTable[Month 15],ActualsTable[Expense Item2],$B43),SUMIFS(Expenses!BP$8:BP$69,Expenses!$O$8:$O$69,$B43)+SUMIFS(Headcount!Z$395:Z$1442,Headcount!$J$395:$J$1442,$B43))</f>
        <v>0</v>
      </c>
      <c r="R43" s="137">
        <f>IF(R$12="Actual",SUMIFS(ActualsTable[Month 16],ActualsTable[Expense Item2],$B43),SUMIFS(Expenses!BQ$8:BQ$69,Expenses!$O$8:$O$69,$B43)+SUMIFS(Headcount!AA$395:AA$1442,Headcount!$J$395:$J$1442,$B43))</f>
        <v>0</v>
      </c>
      <c r="S43" s="137">
        <f>IF(S$12="Actual",SUMIFS(ActualsTable[Month 17],ActualsTable[Expense Item2],$B43),SUMIFS(Expenses!BR$8:BR$69,Expenses!$O$8:$O$69,$B43)+SUMIFS(Headcount!AB$395:AB$1442,Headcount!$J$395:$J$1442,$B43))</f>
        <v>0</v>
      </c>
      <c r="T43" s="137">
        <f>IF(T$12="Actual",SUMIFS(ActualsTable[Month 18],ActualsTable[Expense Item2],$B43),SUMIFS(Expenses!BS$8:BS$69,Expenses!$O$8:$O$69,$B43)+SUMIFS(Headcount!AC$395:AC$1442,Headcount!$J$395:$J$1442,$B43))</f>
        <v>0</v>
      </c>
      <c r="U43" s="137">
        <f>IF(U$12="Actual",SUMIFS(ActualsTable[Month 19],ActualsTable[Expense Item2],$B43),SUMIFS(Expenses!BT$8:BT$69,Expenses!$O$8:$O$69,$B43)+SUMIFS(Headcount!AD$395:AD$1442,Headcount!$J$395:$J$1442,$B43))</f>
        <v>0</v>
      </c>
      <c r="V43" s="137">
        <f>IF(V$12="Actual",SUMIFS(ActualsTable[Month 20],ActualsTable[Expense Item2],$B43),SUMIFS(Expenses!BU$8:BU$69,Expenses!$O$8:$O$69,$B43)+SUMIFS(Headcount!AE$395:AE$1442,Headcount!$J$395:$J$1442,$B43))</f>
        <v>0</v>
      </c>
      <c r="W43" s="137">
        <f>IF(W$12="Actual",SUMIFS(ActualsTable[Month 21],ActualsTable[Expense Item2],$B43),SUMIFS(Expenses!BV$8:BV$69,Expenses!$O$8:$O$69,$B43)+SUMIFS(Headcount!AF$395:AF$1442,Headcount!$J$395:$J$1442,$B43))</f>
        <v>0</v>
      </c>
      <c r="X43" s="137">
        <f>IF(X$12="Actual",SUMIFS(ActualsTable[Month 22],ActualsTable[Expense Item2],$B43),SUMIFS(Expenses!BW$8:BW$69,Expenses!$O$8:$O$69,$B43)+SUMIFS(Headcount!AG$395:AG$1442,Headcount!$J$395:$J$1442,$B43))</f>
        <v>0</v>
      </c>
      <c r="Y43" s="137">
        <f>IF(Y$12="Actual",SUMIFS(ActualsTable[Month 23],ActualsTable[Expense Item2],$B43),SUMIFS(Expenses!BX$8:BX$69,Expenses!$O$8:$O$69,$B43)+SUMIFS(Headcount!AH$395:AH$1442,Headcount!$J$395:$J$1442,$B43))</f>
        <v>0</v>
      </c>
      <c r="Z43" s="137">
        <f>IF(Z$12="Actual",SUMIFS(ActualsTable[Month 24],ActualsTable[Expense Item2],$B43),SUMIFS(Expenses!BY$8:BY$69,Expenses!$O$8:$O$69,$B43)+SUMIFS(Headcount!AI$395:AI$1442,Headcount!$J$395:$J$1442,$B43))</f>
        <v>0</v>
      </c>
      <c r="AA43" s="137">
        <f>IF(AA$12="Actual",SUMIFS(ActualsTable[Month 25],ActualsTable[Expense Item2],$B43),SUMIFS(Expenses!BZ$8:BZ$69,Expenses!$O$8:$O$69,$B43)+SUMIFS(Headcount!AJ$395:AJ$1442,Headcount!$J$395:$J$1442,$B43))</f>
        <v>0</v>
      </c>
      <c r="AB43" s="137">
        <f>IF(AB$12="Actual",SUMIFS(ActualsTable[Month 26],ActualsTable[Expense Item2],$B43),SUMIFS(Expenses!CA$8:CA$69,Expenses!$O$8:$O$69,$B43)+SUMIFS(Headcount!AK$395:AK$1442,Headcount!$J$395:$J$1442,$B43))</f>
        <v>0</v>
      </c>
      <c r="AC43" s="137">
        <f>IF(AC$12="Actual",SUMIFS(ActualsTable[Month 27],ActualsTable[Expense Item2],$B43),SUMIFS(Expenses!CB$8:CB$69,Expenses!$O$8:$O$69,$B43)+SUMIFS(Headcount!AL$395:AL$1442,Headcount!$J$395:$J$1442,$B43))</f>
        <v>0</v>
      </c>
      <c r="AD43" s="137">
        <f>IF(AD$12="Actual",SUMIFS(ActualsTable[Month 28],ActualsTable[Expense Item2],$B43),SUMIFS(Expenses!CC$8:CC$69,Expenses!$O$8:$O$69,$B43)+SUMIFS(Headcount!AM$395:AM$1442,Headcount!$J$395:$J$1442,$B43))</f>
        <v>0</v>
      </c>
      <c r="AE43" s="137">
        <f>IF(AE$12="Actual",SUMIFS(ActualsTable[Month 29],ActualsTable[Expense Item2],$B43),SUMIFS(Expenses!CD$8:CD$69,Expenses!$O$8:$O$69,$B43)+SUMIFS(Headcount!AN$395:AN$1442,Headcount!$J$395:$J$1442,$B43))</f>
        <v>0</v>
      </c>
      <c r="AF43" s="137">
        <f>IF(AF$12="Actual",SUMIFS(ActualsTable[Month 30],ActualsTable[Expense Item2],$B43),SUMIFS(Expenses!CE$8:CE$69,Expenses!$O$8:$O$69,$B43)+SUMIFS(Headcount!AO$395:AO$1442,Headcount!$J$395:$J$1442,$B43))</f>
        <v>0</v>
      </c>
      <c r="AG43" s="137">
        <f>IF(AG$12="Actual",SUMIFS(ActualsTable[Month 31],ActualsTable[Expense Item2],$B43),SUMIFS(Expenses!CF$8:CF$69,Expenses!$O$8:$O$69,$B43)+SUMIFS(Headcount!AP$395:AP$1442,Headcount!$J$395:$J$1442,$B43))</f>
        <v>0</v>
      </c>
      <c r="AH43" s="137">
        <f>IF(AH$12="Actual",SUMIFS(ActualsTable[Month 32],ActualsTable[Expense Item2],$B43),SUMIFS(Expenses!CG$8:CG$69,Expenses!$O$8:$O$69,$B43)+SUMIFS(Headcount!AQ$395:AQ$1442,Headcount!$J$395:$J$1442,$B43))</f>
        <v>0</v>
      </c>
      <c r="AI43" s="137">
        <f>IF(AI$12="Actual",SUMIFS(ActualsTable[Month 33],ActualsTable[Expense Item2],$B43),SUMIFS(Expenses!CH$8:CH$69,Expenses!$O$8:$O$69,$B43)+SUMIFS(Headcount!AR$395:AR$1442,Headcount!$J$395:$J$1442,$B43))</f>
        <v>0</v>
      </c>
      <c r="AJ43" s="137">
        <f>IF(AJ$12="Actual",SUMIFS(ActualsTable[Month 34],ActualsTable[Expense Item2],$B43),SUMIFS(Expenses!CI$8:CI$69,Expenses!$O$8:$O$69,$B43)+SUMIFS(Headcount!AS$395:AS$1442,Headcount!$J$395:$J$1442,$B43))</f>
        <v>0</v>
      </c>
      <c r="AK43" s="137">
        <f>IF(AK$12="Actual",SUMIFS(ActualsTable[Month 35],ActualsTable[Expense Item2],$B43),SUMIFS(Expenses!CJ$8:CJ$69,Expenses!$O$8:$O$69,$B43)+SUMIFS(Headcount!AT$395:AT$1442,Headcount!$J$395:$J$1442,$B43))</f>
        <v>0</v>
      </c>
      <c r="AL43" s="293">
        <f>IF(AL$12="Actual",SUMIFS(ActualsTable[Month 36],ActualsTable[Expense Item2],$B43),SUMIFS(Expenses!CK$8:CK$69,Expenses!$O$8:$O$69,$B43)+SUMIFS(Headcount!AU$395:AU$1442,Headcount!$J$395:$J$1442,$B43))</f>
        <v>0</v>
      </c>
      <c r="AN43" s="319">
        <f t="shared" ref="AN43:AY44" ca="1" si="102">SUM(OFFSET($B43,0,3*AN$9+1,1,3))</f>
        <v>0</v>
      </c>
      <c r="AO43" s="137">
        <f t="shared" ca="1" si="102"/>
        <v>0</v>
      </c>
      <c r="AP43" s="137">
        <f t="shared" ca="1" si="102"/>
        <v>0</v>
      </c>
      <c r="AQ43" s="137">
        <f t="shared" ca="1" si="102"/>
        <v>0</v>
      </c>
      <c r="AR43" s="137">
        <f t="shared" ca="1" si="102"/>
        <v>0</v>
      </c>
      <c r="AS43" s="137">
        <f t="shared" ca="1" si="102"/>
        <v>0</v>
      </c>
      <c r="AT43" s="137">
        <f t="shared" ca="1" si="102"/>
        <v>0</v>
      </c>
      <c r="AU43" s="137">
        <f t="shared" ca="1" si="102"/>
        <v>0</v>
      </c>
      <c r="AV43" s="137">
        <f t="shared" ca="1" si="102"/>
        <v>0</v>
      </c>
      <c r="AW43" s="137">
        <f t="shared" ca="1" si="102"/>
        <v>0</v>
      </c>
      <c r="AX43" s="137">
        <f t="shared" ca="1" si="102"/>
        <v>0</v>
      </c>
      <c r="AY43" s="293">
        <f t="shared" ca="1" si="102"/>
        <v>0</v>
      </c>
      <c r="BA43" s="319">
        <f t="shared" ref="BA43:BC44" ca="1" si="103">SUM(OFFSET($B43,0,12*BA$9+1,1,12))</f>
        <v>0</v>
      </c>
      <c r="BB43" s="137">
        <f t="shared" ca="1" si="103"/>
        <v>0</v>
      </c>
      <c r="BC43" s="293">
        <f t="shared" ca="1" si="103"/>
        <v>0</v>
      </c>
    </row>
    <row r="44" spans="2:55" x14ac:dyDescent="0.35">
      <c r="B44" s="80" t="s">
        <v>86</v>
      </c>
      <c r="C44" s="137">
        <f>IF(C$12="Actual",SUMIFS(ActualsTable[Month 1],ActualsTable[Expense Item2],$B44),SUMIFS(Expenses!BB$8:BB$69,Expenses!$O$8:$O$69,$B44)+SUMIFS(Headcount!L$395:L$1442,Headcount!$J$395:$J$1442,$B44))</f>
        <v>0</v>
      </c>
      <c r="D44" s="137">
        <f>IF(D$12="Actual",SUMIFS(ActualsTable[Month 2],ActualsTable[Expense Item2],$B44),SUMIFS(Expenses!BC$8:BC$69,Expenses!$O$8:$O$69,$B44)+SUMIFS(Headcount!M$395:M$1442,Headcount!$J$395:$J$1442,$B44))</f>
        <v>0</v>
      </c>
      <c r="E44" s="137">
        <f>IF(E$12="Actual",SUMIFS(ActualsTable[Month 3],ActualsTable[Expense Item2],$B44),SUMIFS(Expenses!BD$8:BD$69,Expenses!$O$8:$O$69,$B44)+SUMIFS(Headcount!N$395:N$1442,Headcount!$J$395:$J$1442,$B44))</f>
        <v>0</v>
      </c>
      <c r="F44" s="137">
        <f>IF(F$12="Actual",SUMIFS(ActualsTable[Month 4],ActualsTable[Expense Item2],$B44),SUMIFS(Expenses!BE$8:BE$69,Expenses!$O$8:$O$69,$B44)+SUMIFS(Headcount!O$395:O$1442,Headcount!$J$395:$J$1442,$B44))</f>
        <v>0</v>
      </c>
      <c r="G44" s="137">
        <f>IF(G$12="Actual",SUMIFS(ActualsTable[Month 5],ActualsTable[Expense Item2],$B44),SUMIFS(Expenses!BF$8:BF$69,Expenses!$O$8:$O$69,$B44)+SUMIFS(Headcount!P$395:P$1442,Headcount!$J$395:$J$1442,$B44))</f>
        <v>0</v>
      </c>
      <c r="H44" s="137">
        <f>IF(H$12="Actual",SUMIFS(ActualsTable[Month 6],ActualsTable[Expense Item2],$B44),SUMIFS(Expenses!BG$8:BG$69,Expenses!$O$8:$O$69,$B44)+SUMIFS(Headcount!Q$395:Q$1442,Headcount!$J$395:$J$1442,$B44))</f>
        <v>0</v>
      </c>
      <c r="I44" s="137">
        <f>IF(I$12="Actual",SUMIFS(ActualsTable[Month 7],ActualsTable[Expense Item2],$B44),SUMIFS(Expenses!BH$8:BH$69,Expenses!$O$8:$O$69,$B44)+SUMIFS(Headcount!R$395:R$1442,Headcount!$J$395:$J$1442,$B44))</f>
        <v>0</v>
      </c>
      <c r="J44" s="137">
        <f>IF(J$12="Actual",SUMIFS(ActualsTable[Month 8],ActualsTable[Expense Item2],$B44),SUMIFS(Expenses!BI$8:BI$69,Expenses!$O$8:$O$69,$B44)+SUMIFS(Headcount!S$395:S$1442,Headcount!$J$395:$J$1442,$B44))</f>
        <v>0</v>
      </c>
      <c r="K44" s="137">
        <f>IF(K$12="Actual",SUMIFS(ActualsTable[Month 9],ActualsTable[Expense Item2],$B44),SUMIFS(Expenses!BJ$8:BJ$69,Expenses!$O$8:$O$69,$B44)+SUMIFS(Headcount!T$395:T$1442,Headcount!$J$395:$J$1442,$B44))</f>
        <v>0</v>
      </c>
      <c r="L44" s="137">
        <f>IF(L$12="Actual",SUMIFS(ActualsTable[Month 10],ActualsTable[Expense Item2],$B44),SUMIFS(Expenses!BK$8:BK$69,Expenses!$O$8:$O$69,$B44)+SUMIFS(Headcount!U$395:U$1442,Headcount!$J$395:$J$1442,$B44))</f>
        <v>0</v>
      </c>
      <c r="M44" s="137">
        <f>IF(M$12="Actual",SUMIFS(ActualsTable[Month 11],ActualsTable[Expense Item2],$B44),SUMIFS(Expenses!BL$8:BL$69,Expenses!$O$8:$O$69,$B44)+SUMIFS(Headcount!V$395:V$1442,Headcount!$J$395:$J$1442,$B44))</f>
        <v>0</v>
      </c>
      <c r="N44" s="137">
        <f>IF(N$12="Actual",SUMIFS(ActualsTable[Month 12],ActualsTable[Expense Item2],$B44),SUMIFS(Expenses!BM$8:BM$69,Expenses!$O$8:$O$69,$B44)+SUMIFS(Headcount!W$395:W$1442,Headcount!$J$395:$J$1442,$B44))</f>
        <v>0</v>
      </c>
      <c r="O44" s="137">
        <f>IF(O$12="Actual",SUMIFS(ActualsTable[Month 13],ActualsTable[Expense Item2],$B44),SUMIFS(Expenses!BN$8:BN$69,Expenses!$O$8:$O$69,$B44)+SUMIFS(Headcount!X$395:X$1442,Headcount!$J$395:$J$1442,$B44))</f>
        <v>0</v>
      </c>
      <c r="P44" s="137">
        <f>IF(P$12="Actual",SUMIFS(ActualsTable[Month 14],ActualsTable[Expense Item2],$B44),SUMIFS(Expenses!BO$8:BO$69,Expenses!$O$8:$O$69,$B44)+SUMIFS(Headcount!Y$395:Y$1442,Headcount!$J$395:$J$1442,$B44))</f>
        <v>0</v>
      </c>
      <c r="Q44" s="137">
        <f>IF(Q$12="Actual",SUMIFS(ActualsTable[Month 15],ActualsTable[Expense Item2],$B44),SUMIFS(Expenses!BP$8:BP$69,Expenses!$O$8:$O$69,$B44)+SUMIFS(Headcount!Z$395:Z$1442,Headcount!$J$395:$J$1442,$B44))</f>
        <v>0</v>
      </c>
      <c r="R44" s="137">
        <f>IF(R$12="Actual",SUMIFS(ActualsTable[Month 16],ActualsTable[Expense Item2],$B44),SUMIFS(Expenses!BQ$8:BQ$69,Expenses!$O$8:$O$69,$B44)+SUMIFS(Headcount!AA$395:AA$1442,Headcount!$J$395:$J$1442,$B44))</f>
        <v>0</v>
      </c>
      <c r="S44" s="137">
        <f>IF(S$12="Actual",SUMIFS(ActualsTable[Month 17],ActualsTable[Expense Item2],$B44),SUMIFS(Expenses!BR$8:BR$69,Expenses!$O$8:$O$69,$B44)+SUMIFS(Headcount!AB$395:AB$1442,Headcount!$J$395:$J$1442,$B44))</f>
        <v>0</v>
      </c>
      <c r="T44" s="137">
        <f>IF(T$12="Actual",SUMIFS(ActualsTable[Month 18],ActualsTable[Expense Item2],$B44),SUMIFS(Expenses!BS$8:BS$69,Expenses!$O$8:$O$69,$B44)+SUMIFS(Headcount!AC$395:AC$1442,Headcount!$J$395:$J$1442,$B44))</f>
        <v>0</v>
      </c>
      <c r="U44" s="137">
        <f>IF(U$12="Actual",SUMIFS(ActualsTable[Month 19],ActualsTable[Expense Item2],$B44),SUMIFS(Expenses!BT$8:BT$69,Expenses!$O$8:$O$69,$B44)+SUMIFS(Headcount!AD$395:AD$1442,Headcount!$J$395:$J$1442,$B44))</f>
        <v>0</v>
      </c>
      <c r="V44" s="137">
        <f>IF(V$12="Actual",SUMIFS(ActualsTable[Month 20],ActualsTable[Expense Item2],$B44),SUMIFS(Expenses!BU$8:BU$69,Expenses!$O$8:$O$69,$B44)+SUMIFS(Headcount!AE$395:AE$1442,Headcount!$J$395:$J$1442,$B44))</f>
        <v>0</v>
      </c>
      <c r="W44" s="137">
        <f>IF(W$12="Actual",SUMIFS(ActualsTable[Month 21],ActualsTable[Expense Item2],$B44),SUMIFS(Expenses!BV$8:BV$69,Expenses!$O$8:$O$69,$B44)+SUMIFS(Headcount!AF$395:AF$1442,Headcount!$J$395:$J$1442,$B44))</f>
        <v>0</v>
      </c>
      <c r="X44" s="137">
        <f>IF(X$12="Actual",SUMIFS(ActualsTable[Month 22],ActualsTable[Expense Item2],$B44),SUMIFS(Expenses!BW$8:BW$69,Expenses!$O$8:$O$69,$B44)+SUMIFS(Headcount!AG$395:AG$1442,Headcount!$J$395:$J$1442,$B44))</f>
        <v>0</v>
      </c>
      <c r="Y44" s="137">
        <f>IF(Y$12="Actual",SUMIFS(ActualsTable[Month 23],ActualsTable[Expense Item2],$B44),SUMIFS(Expenses!BX$8:BX$69,Expenses!$O$8:$O$69,$B44)+SUMIFS(Headcount!AH$395:AH$1442,Headcount!$J$395:$J$1442,$B44))</f>
        <v>0</v>
      </c>
      <c r="Z44" s="137">
        <f>IF(Z$12="Actual",SUMIFS(ActualsTable[Month 24],ActualsTable[Expense Item2],$B44),SUMIFS(Expenses!BY$8:BY$69,Expenses!$O$8:$O$69,$B44)+SUMIFS(Headcount!AI$395:AI$1442,Headcount!$J$395:$J$1442,$B44))</f>
        <v>0</v>
      </c>
      <c r="AA44" s="137">
        <f>IF(AA$12="Actual",SUMIFS(ActualsTable[Month 25],ActualsTable[Expense Item2],$B44),SUMIFS(Expenses!BZ$8:BZ$69,Expenses!$O$8:$O$69,$B44)+SUMIFS(Headcount!AJ$395:AJ$1442,Headcount!$J$395:$J$1442,$B44))</f>
        <v>0</v>
      </c>
      <c r="AB44" s="137">
        <f>IF(AB$12="Actual",SUMIFS(ActualsTable[Month 26],ActualsTable[Expense Item2],$B44),SUMIFS(Expenses!CA$8:CA$69,Expenses!$O$8:$O$69,$B44)+SUMIFS(Headcount!AK$395:AK$1442,Headcount!$J$395:$J$1442,$B44))</f>
        <v>0</v>
      </c>
      <c r="AC44" s="137">
        <f>IF(AC$12="Actual",SUMIFS(ActualsTable[Month 27],ActualsTable[Expense Item2],$B44),SUMIFS(Expenses!CB$8:CB$69,Expenses!$O$8:$O$69,$B44)+SUMIFS(Headcount!AL$395:AL$1442,Headcount!$J$395:$J$1442,$B44))</f>
        <v>0</v>
      </c>
      <c r="AD44" s="137">
        <f>IF(AD$12="Actual",SUMIFS(ActualsTable[Month 28],ActualsTable[Expense Item2],$B44),SUMIFS(Expenses!CC$8:CC$69,Expenses!$O$8:$O$69,$B44)+SUMIFS(Headcount!AM$395:AM$1442,Headcount!$J$395:$J$1442,$B44))</f>
        <v>0</v>
      </c>
      <c r="AE44" s="137">
        <f>IF(AE$12="Actual",SUMIFS(ActualsTable[Month 29],ActualsTable[Expense Item2],$B44),SUMIFS(Expenses!CD$8:CD$69,Expenses!$O$8:$O$69,$B44)+SUMIFS(Headcount!AN$395:AN$1442,Headcount!$J$395:$J$1442,$B44))</f>
        <v>0</v>
      </c>
      <c r="AF44" s="137">
        <f>IF(AF$12="Actual",SUMIFS(ActualsTable[Month 30],ActualsTable[Expense Item2],$B44),SUMIFS(Expenses!CE$8:CE$69,Expenses!$O$8:$O$69,$B44)+SUMIFS(Headcount!AO$395:AO$1442,Headcount!$J$395:$J$1442,$B44))</f>
        <v>0</v>
      </c>
      <c r="AG44" s="137">
        <f>IF(AG$12="Actual",SUMIFS(ActualsTable[Month 31],ActualsTable[Expense Item2],$B44),SUMIFS(Expenses!CF$8:CF$69,Expenses!$O$8:$O$69,$B44)+SUMIFS(Headcount!AP$395:AP$1442,Headcount!$J$395:$J$1442,$B44))</f>
        <v>0</v>
      </c>
      <c r="AH44" s="137">
        <f>IF(AH$12="Actual",SUMIFS(ActualsTable[Month 32],ActualsTable[Expense Item2],$B44),SUMIFS(Expenses!CG$8:CG$69,Expenses!$O$8:$O$69,$B44)+SUMIFS(Headcount!AQ$395:AQ$1442,Headcount!$J$395:$J$1442,$B44))</f>
        <v>0</v>
      </c>
      <c r="AI44" s="137">
        <f>IF(AI$12="Actual",SUMIFS(ActualsTable[Month 33],ActualsTable[Expense Item2],$B44),SUMIFS(Expenses!CH$8:CH$69,Expenses!$O$8:$O$69,$B44)+SUMIFS(Headcount!AR$395:AR$1442,Headcount!$J$395:$J$1442,$B44))</f>
        <v>0</v>
      </c>
      <c r="AJ44" s="137">
        <f>IF(AJ$12="Actual",SUMIFS(ActualsTable[Month 34],ActualsTable[Expense Item2],$B44),SUMIFS(Expenses!CI$8:CI$69,Expenses!$O$8:$O$69,$B44)+SUMIFS(Headcount!AS$395:AS$1442,Headcount!$J$395:$J$1442,$B44))</f>
        <v>0</v>
      </c>
      <c r="AK44" s="137">
        <f>IF(AK$12="Actual",SUMIFS(ActualsTable[Month 35],ActualsTable[Expense Item2],$B44),SUMIFS(Expenses!CJ$8:CJ$69,Expenses!$O$8:$O$69,$B44)+SUMIFS(Headcount!AT$395:AT$1442,Headcount!$J$395:$J$1442,$B44))</f>
        <v>0</v>
      </c>
      <c r="AL44" s="293">
        <f>IF(AL$12="Actual",SUMIFS(ActualsTable[Month 36],ActualsTable[Expense Item2],$B44),SUMIFS(Expenses!CK$8:CK$69,Expenses!$O$8:$O$69,$B44)+SUMIFS(Headcount!AU$395:AU$1442,Headcount!$J$395:$J$1442,$B44))</f>
        <v>0</v>
      </c>
      <c r="AN44" s="319">
        <f t="shared" ca="1" si="102"/>
        <v>0</v>
      </c>
      <c r="AO44" s="137">
        <f t="shared" ca="1" si="102"/>
        <v>0</v>
      </c>
      <c r="AP44" s="137">
        <f t="shared" ca="1" si="102"/>
        <v>0</v>
      </c>
      <c r="AQ44" s="137">
        <f t="shared" ca="1" si="102"/>
        <v>0</v>
      </c>
      <c r="AR44" s="137">
        <f t="shared" ca="1" si="102"/>
        <v>0</v>
      </c>
      <c r="AS44" s="137">
        <f t="shared" ca="1" si="102"/>
        <v>0</v>
      </c>
      <c r="AT44" s="137">
        <f t="shared" ca="1" si="102"/>
        <v>0</v>
      </c>
      <c r="AU44" s="137">
        <f t="shared" ca="1" si="102"/>
        <v>0</v>
      </c>
      <c r="AV44" s="137">
        <f t="shared" ca="1" si="102"/>
        <v>0</v>
      </c>
      <c r="AW44" s="137">
        <f t="shared" ca="1" si="102"/>
        <v>0</v>
      </c>
      <c r="AX44" s="137">
        <f t="shared" ca="1" si="102"/>
        <v>0</v>
      </c>
      <c r="AY44" s="293">
        <f t="shared" ca="1" si="102"/>
        <v>0</v>
      </c>
      <c r="BA44" s="319">
        <f t="shared" ca="1" si="103"/>
        <v>0</v>
      </c>
      <c r="BB44" s="137">
        <f t="shared" ca="1" si="103"/>
        <v>0</v>
      </c>
      <c r="BC44" s="293">
        <f t="shared" ca="1" si="103"/>
        <v>0</v>
      </c>
    </row>
    <row r="45" spans="2:55" x14ac:dyDescent="0.35">
      <c r="B45" s="79" t="s">
        <v>87</v>
      </c>
      <c r="C45" s="140">
        <f t="shared" ref="C45:AN45" si="104">SUM(C46:C50)</f>
        <v>0</v>
      </c>
      <c r="D45" s="140">
        <f t="shared" ref="D45:AL45" si="105">SUM(D46:D50)</f>
        <v>0</v>
      </c>
      <c r="E45" s="140">
        <f t="shared" si="105"/>
        <v>0</v>
      </c>
      <c r="F45" s="140">
        <f t="shared" si="105"/>
        <v>0</v>
      </c>
      <c r="G45" s="140">
        <f t="shared" si="105"/>
        <v>0</v>
      </c>
      <c r="H45" s="140">
        <f t="shared" si="105"/>
        <v>0</v>
      </c>
      <c r="I45" s="140">
        <f t="shared" si="105"/>
        <v>0</v>
      </c>
      <c r="J45" s="140">
        <f t="shared" si="105"/>
        <v>0</v>
      </c>
      <c r="K45" s="140">
        <f t="shared" si="105"/>
        <v>0</v>
      </c>
      <c r="L45" s="140">
        <f t="shared" si="105"/>
        <v>0</v>
      </c>
      <c r="M45" s="140">
        <f t="shared" si="105"/>
        <v>0</v>
      </c>
      <c r="N45" s="140">
        <f t="shared" si="105"/>
        <v>0</v>
      </c>
      <c r="O45" s="140">
        <f t="shared" si="105"/>
        <v>0</v>
      </c>
      <c r="P45" s="140">
        <f t="shared" si="105"/>
        <v>0</v>
      </c>
      <c r="Q45" s="140">
        <f t="shared" si="105"/>
        <v>0</v>
      </c>
      <c r="R45" s="140">
        <f t="shared" si="105"/>
        <v>0</v>
      </c>
      <c r="S45" s="140">
        <f t="shared" si="105"/>
        <v>0</v>
      </c>
      <c r="T45" s="140">
        <f t="shared" si="105"/>
        <v>0</v>
      </c>
      <c r="U45" s="140">
        <f t="shared" si="105"/>
        <v>0</v>
      </c>
      <c r="V45" s="140">
        <f t="shared" si="105"/>
        <v>0</v>
      </c>
      <c r="W45" s="140">
        <f t="shared" si="105"/>
        <v>0</v>
      </c>
      <c r="X45" s="140">
        <f t="shared" si="105"/>
        <v>0</v>
      </c>
      <c r="Y45" s="140">
        <f t="shared" si="105"/>
        <v>0</v>
      </c>
      <c r="Z45" s="140">
        <f t="shared" si="105"/>
        <v>0</v>
      </c>
      <c r="AA45" s="140">
        <f t="shared" si="105"/>
        <v>0</v>
      </c>
      <c r="AB45" s="140">
        <f t="shared" si="105"/>
        <v>0</v>
      </c>
      <c r="AC45" s="140">
        <f t="shared" si="105"/>
        <v>0</v>
      </c>
      <c r="AD45" s="140">
        <f t="shared" si="105"/>
        <v>0</v>
      </c>
      <c r="AE45" s="140">
        <f t="shared" si="105"/>
        <v>0</v>
      </c>
      <c r="AF45" s="140">
        <f t="shared" si="105"/>
        <v>0</v>
      </c>
      <c r="AG45" s="140">
        <f t="shared" si="105"/>
        <v>0</v>
      </c>
      <c r="AH45" s="140">
        <f t="shared" si="105"/>
        <v>0</v>
      </c>
      <c r="AI45" s="140">
        <f t="shared" si="105"/>
        <v>0</v>
      </c>
      <c r="AJ45" s="140">
        <f t="shared" si="105"/>
        <v>0</v>
      </c>
      <c r="AK45" s="140">
        <f t="shared" si="105"/>
        <v>0</v>
      </c>
      <c r="AL45" s="301">
        <f t="shared" si="105"/>
        <v>0</v>
      </c>
      <c r="AN45" s="327">
        <f t="shared" ca="1" si="104"/>
        <v>0</v>
      </c>
      <c r="AO45" s="140">
        <f t="shared" ref="AO45:AT45" ca="1" si="106">SUM(AO46:AO50)</f>
        <v>0</v>
      </c>
      <c r="AP45" s="140">
        <f t="shared" ca="1" si="106"/>
        <v>0</v>
      </c>
      <c r="AQ45" s="140">
        <f t="shared" ca="1" si="106"/>
        <v>0</v>
      </c>
      <c r="AR45" s="140">
        <f t="shared" ca="1" si="106"/>
        <v>0</v>
      </c>
      <c r="AS45" s="140">
        <f t="shared" ca="1" si="106"/>
        <v>0</v>
      </c>
      <c r="AT45" s="140">
        <f t="shared" ca="1" si="106"/>
        <v>0</v>
      </c>
      <c r="AU45" s="140">
        <f t="shared" ref="AU45:AY45" ca="1" si="107">SUM(AU46:AU50)</f>
        <v>0</v>
      </c>
      <c r="AV45" s="140">
        <f t="shared" ca="1" si="107"/>
        <v>0</v>
      </c>
      <c r="AW45" s="140">
        <f t="shared" ca="1" si="107"/>
        <v>0</v>
      </c>
      <c r="AX45" s="140">
        <f t="shared" ca="1" si="107"/>
        <v>0</v>
      </c>
      <c r="AY45" s="301">
        <f t="shared" ca="1" si="107"/>
        <v>0</v>
      </c>
      <c r="BA45" s="327">
        <f t="shared" ref="BA45" ca="1" si="108">SUM(BA46:BA50)</f>
        <v>0</v>
      </c>
      <c r="BB45" s="140">
        <f t="shared" ref="BB45:BC45" ca="1" si="109">SUM(BB46:BB50)</f>
        <v>0</v>
      </c>
      <c r="BC45" s="301">
        <f t="shared" ca="1" si="109"/>
        <v>0</v>
      </c>
    </row>
    <row r="46" spans="2:55" x14ac:dyDescent="0.35">
      <c r="B46" s="80" t="s">
        <v>88</v>
      </c>
      <c r="C46" s="137">
        <f>IF(C$12="Actual",SUMIFS(ActualsTable[Month 1],ActualsTable[Expense Item2],$B46),SUMIFS(Expenses!BB$8:BB$69,Expenses!$O$8:$O$69,$B46)+SUMIFS(Headcount!L$395:L$1442,Headcount!$J$395:$J$1442,$B46))</f>
        <v>0</v>
      </c>
      <c r="D46" s="137">
        <f>IF(D$12="Actual",SUMIFS(ActualsTable[Month 2],ActualsTable[Expense Item2],$B46),SUMIFS(Expenses!BC$8:BC$69,Expenses!$O$8:$O$69,$B46)+SUMIFS(Headcount!M$395:M$1442,Headcount!$J$395:$J$1442,$B46))</f>
        <v>0</v>
      </c>
      <c r="E46" s="137">
        <f>IF(E$12="Actual",SUMIFS(ActualsTable[Month 3],ActualsTable[Expense Item2],$B46),SUMIFS(Expenses!BD$8:BD$69,Expenses!$O$8:$O$69,$B46)+SUMIFS(Headcount!N$395:N$1442,Headcount!$J$395:$J$1442,$B46))</f>
        <v>0</v>
      </c>
      <c r="F46" s="137">
        <f>IF(F$12="Actual",SUMIFS(ActualsTable[Month 4],ActualsTable[Expense Item2],$B46),SUMIFS(Expenses!BE$8:BE$69,Expenses!$O$8:$O$69,$B46)+SUMIFS(Headcount!O$395:O$1442,Headcount!$J$395:$J$1442,$B46))</f>
        <v>0</v>
      </c>
      <c r="G46" s="137">
        <f>IF(G$12="Actual",SUMIFS(ActualsTable[Month 5],ActualsTable[Expense Item2],$B46),SUMIFS(Expenses!BF$8:BF$69,Expenses!$O$8:$O$69,$B46)+SUMIFS(Headcount!P$395:P$1442,Headcount!$J$395:$J$1442,$B46))</f>
        <v>0</v>
      </c>
      <c r="H46" s="137">
        <f>IF(H$12="Actual",SUMIFS(ActualsTable[Month 6],ActualsTable[Expense Item2],$B46),SUMIFS(Expenses!BG$8:BG$69,Expenses!$O$8:$O$69,$B46)+SUMIFS(Headcount!Q$395:Q$1442,Headcount!$J$395:$J$1442,$B46))</f>
        <v>0</v>
      </c>
      <c r="I46" s="137">
        <f>IF(I$12="Actual",SUMIFS(ActualsTable[Month 7],ActualsTable[Expense Item2],$B46),SUMIFS(Expenses!BH$8:BH$69,Expenses!$O$8:$O$69,$B46)+SUMIFS(Headcount!R$395:R$1442,Headcount!$J$395:$J$1442,$B46))</f>
        <v>0</v>
      </c>
      <c r="J46" s="137">
        <f>IF(J$12="Actual",SUMIFS(ActualsTable[Month 8],ActualsTable[Expense Item2],$B46),SUMIFS(Expenses!BI$8:BI$69,Expenses!$O$8:$O$69,$B46)+SUMIFS(Headcount!S$395:S$1442,Headcount!$J$395:$J$1442,$B46))</f>
        <v>0</v>
      </c>
      <c r="K46" s="137">
        <f>IF(K$12="Actual",SUMIFS(ActualsTable[Month 9],ActualsTable[Expense Item2],$B46),SUMIFS(Expenses!BJ$8:BJ$69,Expenses!$O$8:$O$69,$B46)+SUMIFS(Headcount!T$395:T$1442,Headcount!$J$395:$J$1442,$B46))</f>
        <v>0</v>
      </c>
      <c r="L46" s="137">
        <f>IF(L$12="Actual",SUMIFS(ActualsTable[Month 10],ActualsTable[Expense Item2],$B46),SUMIFS(Expenses!BK$8:BK$69,Expenses!$O$8:$O$69,$B46)+SUMIFS(Headcount!U$395:U$1442,Headcount!$J$395:$J$1442,$B46))</f>
        <v>0</v>
      </c>
      <c r="M46" s="137">
        <f>IF(M$12="Actual",SUMIFS(ActualsTable[Month 11],ActualsTable[Expense Item2],$B46),SUMIFS(Expenses!BL$8:BL$69,Expenses!$O$8:$O$69,$B46)+SUMIFS(Headcount!V$395:V$1442,Headcount!$J$395:$J$1442,$B46))</f>
        <v>0</v>
      </c>
      <c r="N46" s="137">
        <f>IF(N$12="Actual",SUMIFS(ActualsTable[Month 12],ActualsTable[Expense Item2],$B46),SUMIFS(Expenses!BM$8:BM$69,Expenses!$O$8:$O$69,$B46)+SUMIFS(Headcount!W$395:W$1442,Headcount!$J$395:$J$1442,$B46))</f>
        <v>0</v>
      </c>
      <c r="O46" s="137">
        <f>IF(O$12="Actual",SUMIFS(ActualsTable[Month 13],ActualsTable[Expense Item2],$B46),SUMIFS(Expenses!BN$8:BN$69,Expenses!$O$8:$O$69,$B46)+SUMIFS(Headcount!X$395:X$1442,Headcount!$J$395:$J$1442,$B46))</f>
        <v>0</v>
      </c>
      <c r="P46" s="137">
        <f>IF(P$12="Actual",SUMIFS(ActualsTable[Month 14],ActualsTable[Expense Item2],$B46),SUMIFS(Expenses!BO$8:BO$69,Expenses!$O$8:$O$69,$B46)+SUMIFS(Headcount!Y$395:Y$1442,Headcount!$J$395:$J$1442,$B46))</f>
        <v>0</v>
      </c>
      <c r="Q46" s="137">
        <f>IF(Q$12="Actual",SUMIFS(ActualsTable[Month 15],ActualsTable[Expense Item2],$B46),SUMIFS(Expenses!BP$8:BP$69,Expenses!$O$8:$O$69,$B46)+SUMIFS(Headcount!Z$395:Z$1442,Headcount!$J$395:$J$1442,$B46))</f>
        <v>0</v>
      </c>
      <c r="R46" s="137">
        <f>IF(R$12="Actual",SUMIFS(ActualsTable[Month 16],ActualsTable[Expense Item2],$B46),SUMIFS(Expenses!BQ$8:BQ$69,Expenses!$O$8:$O$69,$B46)+SUMIFS(Headcount!AA$395:AA$1442,Headcount!$J$395:$J$1442,$B46))</f>
        <v>0</v>
      </c>
      <c r="S46" s="137">
        <f>IF(S$12="Actual",SUMIFS(ActualsTable[Month 17],ActualsTable[Expense Item2],$B46),SUMIFS(Expenses!BR$8:BR$69,Expenses!$O$8:$O$69,$B46)+SUMIFS(Headcount!AB$395:AB$1442,Headcount!$J$395:$J$1442,$B46))</f>
        <v>0</v>
      </c>
      <c r="T46" s="137">
        <f>IF(T$12="Actual",SUMIFS(ActualsTable[Month 18],ActualsTable[Expense Item2],$B46),SUMIFS(Expenses!BS$8:BS$69,Expenses!$O$8:$O$69,$B46)+SUMIFS(Headcount!AC$395:AC$1442,Headcount!$J$395:$J$1442,$B46))</f>
        <v>0</v>
      </c>
      <c r="U46" s="137">
        <f>IF(U$12="Actual",SUMIFS(ActualsTable[Month 19],ActualsTable[Expense Item2],$B46),SUMIFS(Expenses!BT$8:BT$69,Expenses!$O$8:$O$69,$B46)+SUMIFS(Headcount!AD$395:AD$1442,Headcount!$J$395:$J$1442,$B46))</f>
        <v>0</v>
      </c>
      <c r="V46" s="137">
        <f>IF(V$12="Actual",SUMIFS(ActualsTable[Month 20],ActualsTable[Expense Item2],$B46),SUMIFS(Expenses!BU$8:BU$69,Expenses!$O$8:$O$69,$B46)+SUMIFS(Headcount!AE$395:AE$1442,Headcount!$J$395:$J$1442,$B46))</f>
        <v>0</v>
      </c>
      <c r="W46" s="137">
        <f>IF(W$12="Actual",SUMIFS(ActualsTable[Month 21],ActualsTable[Expense Item2],$B46),SUMIFS(Expenses!BV$8:BV$69,Expenses!$O$8:$O$69,$B46)+SUMIFS(Headcount!AF$395:AF$1442,Headcount!$J$395:$J$1442,$B46))</f>
        <v>0</v>
      </c>
      <c r="X46" s="137">
        <f>IF(X$12="Actual",SUMIFS(ActualsTable[Month 22],ActualsTable[Expense Item2],$B46),SUMIFS(Expenses!BW$8:BW$69,Expenses!$O$8:$O$69,$B46)+SUMIFS(Headcount!AG$395:AG$1442,Headcount!$J$395:$J$1442,$B46))</f>
        <v>0</v>
      </c>
      <c r="Y46" s="137">
        <f>IF(Y$12="Actual",SUMIFS(ActualsTable[Month 23],ActualsTable[Expense Item2],$B46),SUMIFS(Expenses!BX$8:BX$69,Expenses!$O$8:$O$69,$B46)+SUMIFS(Headcount!AH$395:AH$1442,Headcount!$J$395:$J$1442,$B46))</f>
        <v>0</v>
      </c>
      <c r="Z46" s="137">
        <f>IF(Z$12="Actual",SUMIFS(ActualsTable[Month 24],ActualsTable[Expense Item2],$B46),SUMIFS(Expenses!BY$8:BY$69,Expenses!$O$8:$O$69,$B46)+SUMIFS(Headcount!AI$395:AI$1442,Headcount!$J$395:$J$1442,$B46))</f>
        <v>0</v>
      </c>
      <c r="AA46" s="137">
        <f>IF(AA$12="Actual",SUMIFS(ActualsTable[Month 25],ActualsTable[Expense Item2],$B46),SUMIFS(Expenses!BZ$8:BZ$69,Expenses!$O$8:$O$69,$B46)+SUMIFS(Headcount!AJ$395:AJ$1442,Headcount!$J$395:$J$1442,$B46))</f>
        <v>0</v>
      </c>
      <c r="AB46" s="137">
        <f>IF(AB$12="Actual",SUMIFS(ActualsTable[Month 26],ActualsTable[Expense Item2],$B46),SUMIFS(Expenses!CA$8:CA$69,Expenses!$O$8:$O$69,$B46)+SUMIFS(Headcount!AK$395:AK$1442,Headcount!$J$395:$J$1442,$B46))</f>
        <v>0</v>
      </c>
      <c r="AC46" s="137">
        <f>IF(AC$12="Actual",SUMIFS(ActualsTable[Month 27],ActualsTable[Expense Item2],$B46),SUMIFS(Expenses!CB$8:CB$69,Expenses!$O$8:$O$69,$B46)+SUMIFS(Headcount!AL$395:AL$1442,Headcount!$J$395:$J$1442,$B46))</f>
        <v>0</v>
      </c>
      <c r="AD46" s="137">
        <f>IF(AD$12="Actual",SUMIFS(ActualsTable[Month 28],ActualsTable[Expense Item2],$B46),SUMIFS(Expenses!CC$8:CC$69,Expenses!$O$8:$O$69,$B46)+SUMIFS(Headcount!AM$395:AM$1442,Headcount!$J$395:$J$1442,$B46))</f>
        <v>0</v>
      </c>
      <c r="AE46" s="137">
        <f>IF(AE$12="Actual",SUMIFS(ActualsTable[Month 29],ActualsTable[Expense Item2],$B46),SUMIFS(Expenses!CD$8:CD$69,Expenses!$O$8:$O$69,$B46)+SUMIFS(Headcount!AN$395:AN$1442,Headcount!$J$395:$J$1442,$B46))</f>
        <v>0</v>
      </c>
      <c r="AF46" s="137">
        <f>IF(AF$12="Actual",SUMIFS(ActualsTable[Month 30],ActualsTable[Expense Item2],$B46),SUMIFS(Expenses!CE$8:CE$69,Expenses!$O$8:$O$69,$B46)+SUMIFS(Headcount!AO$395:AO$1442,Headcount!$J$395:$J$1442,$B46))</f>
        <v>0</v>
      </c>
      <c r="AG46" s="137">
        <f>IF(AG$12="Actual",SUMIFS(ActualsTable[Month 31],ActualsTable[Expense Item2],$B46),SUMIFS(Expenses!CF$8:CF$69,Expenses!$O$8:$O$69,$B46)+SUMIFS(Headcount!AP$395:AP$1442,Headcount!$J$395:$J$1442,$B46))</f>
        <v>0</v>
      </c>
      <c r="AH46" s="137">
        <f>IF(AH$12="Actual",SUMIFS(ActualsTable[Month 32],ActualsTable[Expense Item2],$B46),SUMIFS(Expenses!CG$8:CG$69,Expenses!$O$8:$O$69,$B46)+SUMIFS(Headcount!AQ$395:AQ$1442,Headcount!$J$395:$J$1442,$B46))</f>
        <v>0</v>
      </c>
      <c r="AI46" s="137">
        <f>IF(AI$12="Actual",SUMIFS(ActualsTable[Month 33],ActualsTable[Expense Item2],$B46),SUMIFS(Expenses!CH$8:CH$69,Expenses!$O$8:$O$69,$B46)+SUMIFS(Headcount!AR$395:AR$1442,Headcount!$J$395:$J$1442,$B46))</f>
        <v>0</v>
      </c>
      <c r="AJ46" s="137">
        <f>IF(AJ$12="Actual",SUMIFS(ActualsTable[Month 34],ActualsTable[Expense Item2],$B46),SUMIFS(Expenses!CI$8:CI$69,Expenses!$O$8:$O$69,$B46)+SUMIFS(Headcount!AS$395:AS$1442,Headcount!$J$395:$J$1442,$B46))</f>
        <v>0</v>
      </c>
      <c r="AK46" s="137">
        <f>IF(AK$12="Actual",SUMIFS(ActualsTable[Month 35],ActualsTable[Expense Item2],$B46),SUMIFS(Expenses!CJ$8:CJ$69,Expenses!$O$8:$O$69,$B46)+SUMIFS(Headcount!AT$395:AT$1442,Headcount!$J$395:$J$1442,$B46))</f>
        <v>0</v>
      </c>
      <c r="AL46" s="293">
        <f>IF(AL$12="Actual",SUMIFS(ActualsTable[Month 36],ActualsTable[Expense Item2],$B46),SUMIFS(Expenses!CK$8:CK$69,Expenses!$O$8:$O$69,$B46)+SUMIFS(Headcount!AU$395:AU$1442,Headcount!$J$395:$J$1442,$B46))</f>
        <v>0</v>
      </c>
      <c r="AN46" s="319">
        <f t="shared" ref="AN46:AY50" ca="1" si="110">SUM(OFFSET($B46,0,3*AN$9+1,1,3))</f>
        <v>0</v>
      </c>
      <c r="AO46" s="137">
        <f t="shared" ca="1" si="110"/>
        <v>0</v>
      </c>
      <c r="AP46" s="137">
        <f t="shared" ca="1" si="110"/>
        <v>0</v>
      </c>
      <c r="AQ46" s="137">
        <f t="shared" ca="1" si="110"/>
        <v>0</v>
      </c>
      <c r="AR46" s="137">
        <f t="shared" ca="1" si="110"/>
        <v>0</v>
      </c>
      <c r="AS46" s="137">
        <f t="shared" ca="1" si="110"/>
        <v>0</v>
      </c>
      <c r="AT46" s="137">
        <f t="shared" ca="1" si="110"/>
        <v>0</v>
      </c>
      <c r="AU46" s="137">
        <f t="shared" ca="1" si="110"/>
        <v>0</v>
      </c>
      <c r="AV46" s="137">
        <f t="shared" ca="1" si="110"/>
        <v>0</v>
      </c>
      <c r="AW46" s="137">
        <f t="shared" ca="1" si="110"/>
        <v>0</v>
      </c>
      <c r="AX46" s="137">
        <f t="shared" ca="1" si="110"/>
        <v>0</v>
      </c>
      <c r="AY46" s="293">
        <f t="shared" ca="1" si="110"/>
        <v>0</v>
      </c>
      <c r="BA46" s="319">
        <f t="shared" ref="BA46:BC50" ca="1" si="111">SUM(OFFSET($B46,0,12*BA$9+1,1,12))</f>
        <v>0</v>
      </c>
      <c r="BB46" s="137">
        <f t="shared" ca="1" si="111"/>
        <v>0</v>
      </c>
      <c r="BC46" s="293">
        <f t="shared" ca="1" si="111"/>
        <v>0</v>
      </c>
    </row>
    <row r="47" spans="2:55" x14ac:dyDescent="0.35">
      <c r="B47" s="80" t="s">
        <v>89</v>
      </c>
      <c r="C47" s="137">
        <f>IF(C$12="Actual",SUMIFS(ActualsTable[Month 1],ActualsTable[Expense Item2],$B47),SUMIFS(Expenses!BB$8:BB$69,Expenses!$O$8:$O$69,$B47)+SUMIFS(Headcount!L$395:L$1442,Headcount!$J$395:$J$1442,$B47))</f>
        <v>0</v>
      </c>
      <c r="D47" s="137">
        <f>IF(D$12="Actual",SUMIFS(ActualsTable[Month 2],ActualsTable[Expense Item2],$B47),SUMIFS(Expenses!BC$8:BC$69,Expenses!$O$8:$O$69,$B47)+SUMIFS(Headcount!M$395:M$1442,Headcount!$J$395:$J$1442,$B47))</f>
        <v>0</v>
      </c>
      <c r="E47" s="137">
        <f>IF(E$12="Actual",SUMIFS(ActualsTable[Month 3],ActualsTable[Expense Item2],$B47),SUMIFS(Expenses!BD$8:BD$69,Expenses!$O$8:$O$69,$B47)+SUMIFS(Headcount!N$395:N$1442,Headcount!$J$395:$J$1442,$B47))</f>
        <v>0</v>
      </c>
      <c r="F47" s="137">
        <f>IF(F$12="Actual",SUMIFS(ActualsTable[Month 4],ActualsTable[Expense Item2],$B47),SUMIFS(Expenses!BE$8:BE$69,Expenses!$O$8:$O$69,$B47)+SUMIFS(Headcount!O$395:O$1442,Headcount!$J$395:$J$1442,$B47))</f>
        <v>0</v>
      </c>
      <c r="G47" s="137">
        <f>IF(G$12="Actual",SUMIFS(ActualsTable[Month 5],ActualsTable[Expense Item2],$B47),SUMIFS(Expenses!BF$8:BF$69,Expenses!$O$8:$O$69,$B47)+SUMIFS(Headcount!P$395:P$1442,Headcount!$J$395:$J$1442,$B47))</f>
        <v>0</v>
      </c>
      <c r="H47" s="137">
        <f>IF(H$12="Actual",SUMIFS(ActualsTable[Month 6],ActualsTable[Expense Item2],$B47),SUMIFS(Expenses!BG$8:BG$69,Expenses!$O$8:$O$69,$B47)+SUMIFS(Headcount!Q$395:Q$1442,Headcount!$J$395:$J$1442,$B47))</f>
        <v>0</v>
      </c>
      <c r="I47" s="137">
        <f>IF(I$12="Actual",SUMIFS(ActualsTable[Month 7],ActualsTable[Expense Item2],$B47),SUMIFS(Expenses!BH$8:BH$69,Expenses!$O$8:$O$69,$B47)+SUMIFS(Headcount!R$395:R$1442,Headcount!$J$395:$J$1442,$B47))</f>
        <v>0</v>
      </c>
      <c r="J47" s="137">
        <f>IF(J$12="Actual",SUMIFS(ActualsTable[Month 8],ActualsTable[Expense Item2],$B47),SUMIFS(Expenses!BI$8:BI$69,Expenses!$O$8:$O$69,$B47)+SUMIFS(Headcount!S$395:S$1442,Headcount!$J$395:$J$1442,$B47))</f>
        <v>0</v>
      </c>
      <c r="K47" s="137">
        <f>IF(K$12="Actual",SUMIFS(ActualsTable[Month 9],ActualsTable[Expense Item2],$B47),SUMIFS(Expenses!BJ$8:BJ$69,Expenses!$O$8:$O$69,$B47)+SUMIFS(Headcount!T$395:T$1442,Headcount!$J$395:$J$1442,$B47))</f>
        <v>0</v>
      </c>
      <c r="L47" s="137">
        <f>IF(L$12="Actual",SUMIFS(ActualsTable[Month 10],ActualsTable[Expense Item2],$B47),SUMIFS(Expenses!BK$8:BK$69,Expenses!$O$8:$O$69,$B47)+SUMIFS(Headcount!U$395:U$1442,Headcount!$J$395:$J$1442,$B47))</f>
        <v>0</v>
      </c>
      <c r="M47" s="137">
        <f>IF(M$12="Actual",SUMIFS(ActualsTable[Month 11],ActualsTable[Expense Item2],$B47),SUMIFS(Expenses!BL$8:BL$69,Expenses!$O$8:$O$69,$B47)+SUMIFS(Headcount!V$395:V$1442,Headcount!$J$395:$J$1442,$B47))</f>
        <v>0</v>
      </c>
      <c r="N47" s="137">
        <f>IF(N$12="Actual",SUMIFS(ActualsTable[Month 12],ActualsTable[Expense Item2],$B47),SUMIFS(Expenses!BM$8:BM$69,Expenses!$O$8:$O$69,$B47)+SUMIFS(Headcount!W$395:W$1442,Headcount!$J$395:$J$1442,$B47))</f>
        <v>0</v>
      </c>
      <c r="O47" s="137">
        <f>IF(O$12="Actual",SUMIFS(ActualsTable[Month 13],ActualsTable[Expense Item2],$B47),SUMIFS(Expenses!BN$8:BN$69,Expenses!$O$8:$O$69,$B47)+SUMIFS(Headcount!X$395:X$1442,Headcount!$J$395:$J$1442,$B47))</f>
        <v>0</v>
      </c>
      <c r="P47" s="137">
        <f>IF(P$12="Actual",SUMIFS(ActualsTable[Month 14],ActualsTable[Expense Item2],$B47),SUMIFS(Expenses!BO$8:BO$69,Expenses!$O$8:$O$69,$B47)+SUMIFS(Headcount!Y$395:Y$1442,Headcount!$J$395:$J$1442,$B47))</f>
        <v>0</v>
      </c>
      <c r="Q47" s="137">
        <f>IF(Q$12="Actual",SUMIFS(ActualsTable[Month 15],ActualsTable[Expense Item2],$B47),SUMIFS(Expenses!BP$8:BP$69,Expenses!$O$8:$O$69,$B47)+SUMIFS(Headcount!Z$395:Z$1442,Headcount!$J$395:$J$1442,$B47))</f>
        <v>0</v>
      </c>
      <c r="R47" s="137">
        <f>IF(R$12="Actual",SUMIFS(ActualsTable[Month 16],ActualsTable[Expense Item2],$B47),SUMIFS(Expenses!BQ$8:BQ$69,Expenses!$O$8:$O$69,$B47)+SUMIFS(Headcount!AA$395:AA$1442,Headcount!$J$395:$J$1442,$B47))</f>
        <v>0</v>
      </c>
      <c r="S47" s="137">
        <f>IF(S$12="Actual",SUMIFS(ActualsTable[Month 17],ActualsTable[Expense Item2],$B47),SUMIFS(Expenses!BR$8:BR$69,Expenses!$O$8:$O$69,$B47)+SUMIFS(Headcount!AB$395:AB$1442,Headcount!$J$395:$J$1442,$B47))</f>
        <v>0</v>
      </c>
      <c r="T47" s="137">
        <f>IF(T$12="Actual",SUMIFS(ActualsTable[Month 18],ActualsTable[Expense Item2],$B47),SUMIFS(Expenses!BS$8:BS$69,Expenses!$O$8:$O$69,$B47)+SUMIFS(Headcount!AC$395:AC$1442,Headcount!$J$395:$J$1442,$B47))</f>
        <v>0</v>
      </c>
      <c r="U47" s="137">
        <f>IF(U$12="Actual",SUMIFS(ActualsTable[Month 19],ActualsTable[Expense Item2],$B47),SUMIFS(Expenses!BT$8:BT$69,Expenses!$O$8:$O$69,$B47)+SUMIFS(Headcount!AD$395:AD$1442,Headcount!$J$395:$J$1442,$B47))</f>
        <v>0</v>
      </c>
      <c r="V47" s="137">
        <f>IF(V$12="Actual",SUMIFS(ActualsTable[Month 20],ActualsTable[Expense Item2],$B47),SUMIFS(Expenses!BU$8:BU$69,Expenses!$O$8:$O$69,$B47)+SUMIFS(Headcount!AE$395:AE$1442,Headcount!$J$395:$J$1442,$B47))</f>
        <v>0</v>
      </c>
      <c r="W47" s="137">
        <f>IF(W$12="Actual",SUMIFS(ActualsTable[Month 21],ActualsTable[Expense Item2],$B47),SUMIFS(Expenses!BV$8:BV$69,Expenses!$O$8:$O$69,$B47)+SUMIFS(Headcount!AF$395:AF$1442,Headcount!$J$395:$J$1442,$B47))</f>
        <v>0</v>
      </c>
      <c r="X47" s="137">
        <f>IF(X$12="Actual",SUMIFS(ActualsTable[Month 22],ActualsTable[Expense Item2],$B47),SUMIFS(Expenses!BW$8:BW$69,Expenses!$O$8:$O$69,$B47)+SUMIFS(Headcount!AG$395:AG$1442,Headcount!$J$395:$J$1442,$B47))</f>
        <v>0</v>
      </c>
      <c r="Y47" s="137">
        <f>IF(Y$12="Actual",SUMIFS(ActualsTable[Month 23],ActualsTable[Expense Item2],$B47),SUMIFS(Expenses!BX$8:BX$69,Expenses!$O$8:$O$69,$B47)+SUMIFS(Headcount!AH$395:AH$1442,Headcount!$J$395:$J$1442,$B47))</f>
        <v>0</v>
      </c>
      <c r="Z47" s="137">
        <f>IF(Z$12="Actual",SUMIFS(ActualsTable[Month 24],ActualsTable[Expense Item2],$B47),SUMIFS(Expenses!BY$8:BY$69,Expenses!$O$8:$O$69,$B47)+SUMIFS(Headcount!AI$395:AI$1442,Headcount!$J$395:$J$1442,$B47))</f>
        <v>0</v>
      </c>
      <c r="AA47" s="137">
        <f>IF(AA$12="Actual",SUMIFS(ActualsTable[Month 25],ActualsTable[Expense Item2],$B47),SUMIFS(Expenses!BZ$8:BZ$69,Expenses!$O$8:$O$69,$B47)+SUMIFS(Headcount!AJ$395:AJ$1442,Headcount!$J$395:$J$1442,$B47))</f>
        <v>0</v>
      </c>
      <c r="AB47" s="137">
        <f>IF(AB$12="Actual",SUMIFS(ActualsTable[Month 26],ActualsTable[Expense Item2],$B47),SUMIFS(Expenses!CA$8:CA$69,Expenses!$O$8:$O$69,$B47)+SUMIFS(Headcount!AK$395:AK$1442,Headcount!$J$395:$J$1442,$B47))</f>
        <v>0</v>
      </c>
      <c r="AC47" s="137">
        <f>IF(AC$12="Actual",SUMIFS(ActualsTable[Month 27],ActualsTable[Expense Item2],$B47),SUMIFS(Expenses!CB$8:CB$69,Expenses!$O$8:$O$69,$B47)+SUMIFS(Headcount!AL$395:AL$1442,Headcount!$J$395:$J$1442,$B47))</f>
        <v>0</v>
      </c>
      <c r="AD47" s="137">
        <f>IF(AD$12="Actual",SUMIFS(ActualsTable[Month 28],ActualsTable[Expense Item2],$B47),SUMIFS(Expenses!CC$8:CC$69,Expenses!$O$8:$O$69,$B47)+SUMIFS(Headcount!AM$395:AM$1442,Headcount!$J$395:$J$1442,$B47))</f>
        <v>0</v>
      </c>
      <c r="AE47" s="137">
        <f>IF(AE$12="Actual",SUMIFS(ActualsTable[Month 29],ActualsTable[Expense Item2],$B47),SUMIFS(Expenses!CD$8:CD$69,Expenses!$O$8:$O$69,$B47)+SUMIFS(Headcount!AN$395:AN$1442,Headcount!$J$395:$J$1442,$B47))</f>
        <v>0</v>
      </c>
      <c r="AF47" s="137">
        <f>IF(AF$12="Actual",SUMIFS(ActualsTable[Month 30],ActualsTable[Expense Item2],$B47),SUMIFS(Expenses!CE$8:CE$69,Expenses!$O$8:$O$69,$B47)+SUMIFS(Headcount!AO$395:AO$1442,Headcount!$J$395:$J$1442,$B47))</f>
        <v>0</v>
      </c>
      <c r="AG47" s="137">
        <f>IF(AG$12="Actual",SUMIFS(ActualsTable[Month 31],ActualsTable[Expense Item2],$B47),SUMIFS(Expenses!CF$8:CF$69,Expenses!$O$8:$O$69,$B47)+SUMIFS(Headcount!AP$395:AP$1442,Headcount!$J$395:$J$1442,$B47))</f>
        <v>0</v>
      </c>
      <c r="AH47" s="137">
        <f>IF(AH$12="Actual",SUMIFS(ActualsTable[Month 32],ActualsTable[Expense Item2],$B47),SUMIFS(Expenses!CG$8:CG$69,Expenses!$O$8:$O$69,$B47)+SUMIFS(Headcount!AQ$395:AQ$1442,Headcount!$J$395:$J$1442,$B47))</f>
        <v>0</v>
      </c>
      <c r="AI47" s="137">
        <f>IF(AI$12="Actual",SUMIFS(ActualsTable[Month 33],ActualsTable[Expense Item2],$B47),SUMIFS(Expenses!CH$8:CH$69,Expenses!$O$8:$O$69,$B47)+SUMIFS(Headcount!AR$395:AR$1442,Headcount!$J$395:$J$1442,$B47))</f>
        <v>0</v>
      </c>
      <c r="AJ47" s="137">
        <f>IF(AJ$12="Actual",SUMIFS(ActualsTable[Month 34],ActualsTable[Expense Item2],$B47),SUMIFS(Expenses!CI$8:CI$69,Expenses!$O$8:$O$69,$B47)+SUMIFS(Headcount!AS$395:AS$1442,Headcount!$J$395:$J$1442,$B47))</f>
        <v>0</v>
      </c>
      <c r="AK47" s="137">
        <f>IF(AK$12="Actual",SUMIFS(ActualsTable[Month 35],ActualsTable[Expense Item2],$B47),SUMIFS(Expenses!CJ$8:CJ$69,Expenses!$O$8:$O$69,$B47)+SUMIFS(Headcount!AT$395:AT$1442,Headcount!$J$395:$J$1442,$B47))</f>
        <v>0</v>
      </c>
      <c r="AL47" s="293">
        <f>IF(AL$12="Actual",SUMIFS(ActualsTable[Month 36],ActualsTable[Expense Item2],$B47),SUMIFS(Expenses!CK$8:CK$69,Expenses!$O$8:$O$69,$B47)+SUMIFS(Headcount!AU$395:AU$1442,Headcount!$J$395:$J$1442,$B47))</f>
        <v>0</v>
      </c>
      <c r="AN47" s="319">
        <f t="shared" ca="1" si="110"/>
        <v>0</v>
      </c>
      <c r="AO47" s="137">
        <f t="shared" ca="1" si="110"/>
        <v>0</v>
      </c>
      <c r="AP47" s="137">
        <f t="shared" ca="1" si="110"/>
        <v>0</v>
      </c>
      <c r="AQ47" s="137">
        <f t="shared" ca="1" si="110"/>
        <v>0</v>
      </c>
      <c r="AR47" s="137">
        <f t="shared" ca="1" si="110"/>
        <v>0</v>
      </c>
      <c r="AS47" s="137">
        <f t="shared" ca="1" si="110"/>
        <v>0</v>
      </c>
      <c r="AT47" s="137">
        <f t="shared" ca="1" si="110"/>
        <v>0</v>
      </c>
      <c r="AU47" s="137">
        <f t="shared" ca="1" si="110"/>
        <v>0</v>
      </c>
      <c r="AV47" s="137">
        <f t="shared" ca="1" si="110"/>
        <v>0</v>
      </c>
      <c r="AW47" s="137">
        <f t="shared" ca="1" si="110"/>
        <v>0</v>
      </c>
      <c r="AX47" s="137">
        <f t="shared" ca="1" si="110"/>
        <v>0</v>
      </c>
      <c r="AY47" s="293">
        <f t="shared" ca="1" si="110"/>
        <v>0</v>
      </c>
      <c r="BA47" s="319">
        <f t="shared" ca="1" si="111"/>
        <v>0</v>
      </c>
      <c r="BB47" s="137">
        <f t="shared" ca="1" si="111"/>
        <v>0</v>
      </c>
      <c r="BC47" s="293">
        <f t="shared" ca="1" si="111"/>
        <v>0</v>
      </c>
    </row>
    <row r="48" spans="2:55" x14ac:dyDescent="0.35">
      <c r="B48" s="80" t="s">
        <v>90</v>
      </c>
      <c r="C48" s="137">
        <f>IF(C$12="Actual",SUMIFS(ActualsTable[Month 1],ActualsTable[Expense Item2],$B48),SUMIFS(Expenses!BB$8:BB$69,Expenses!$O$8:$O$69,$B48)+SUMIFS(Headcount!L$395:L$1442,Headcount!$J$395:$J$1442,$B48))</f>
        <v>0</v>
      </c>
      <c r="D48" s="137">
        <f>IF(D$12="Actual",SUMIFS(ActualsTable[Month 2],ActualsTable[Expense Item2],$B48),SUMIFS(Expenses!BC$8:BC$69,Expenses!$O$8:$O$69,$B48)+SUMIFS(Headcount!M$395:M$1442,Headcount!$J$395:$J$1442,$B48))</f>
        <v>0</v>
      </c>
      <c r="E48" s="137">
        <f>IF(E$12="Actual",SUMIFS(ActualsTable[Month 3],ActualsTable[Expense Item2],$B48),SUMIFS(Expenses!BD$8:BD$69,Expenses!$O$8:$O$69,$B48)+SUMIFS(Headcount!N$395:N$1442,Headcount!$J$395:$J$1442,$B48))</f>
        <v>0</v>
      </c>
      <c r="F48" s="137">
        <f>IF(F$12="Actual",SUMIFS(ActualsTable[Month 4],ActualsTable[Expense Item2],$B48),SUMIFS(Expenses!BE$8:BE$69,Expenses!$O$8:$O$69,$B48)+SUMIFS(Headcount!O$395:O$1442,Headcount!$J$395:$J$1442,$B48))</f>
        <v>0</v>
      </c>
      <c r="G48" s="137">
        <f>IF(G$12="Actual",SUMIFS(ActualsTable[Month 5],ActualsTable[Expense Item2],$B48),SUMIFS(Expenses!BF$8:BF$69,Expenses!$O$8:$O$69,$B48)+SUMIFS(Headcount!P$395:P$1442,Headcount!$J$395:$J$1442,$B48))</f>
        <v>0</v>
      </c>
      <c r="H48" s="137">
        <f>IF(H$12="Actual",SUMIFS(ActualsTable[Month 6],ActualsTable[Expense Item2],$B48),SUMIFS(Expenses!BG$8:BG$69,Expenses!$O$8:$O$69,$B48)+SUMIFS(Headcount!Q$395:Q$1442,Headcount!$J$395:$J$1442,$B48))</f>
        <v>0</v>
      </c>
      <c r="I48" s="137">
        <f>IF(I$12="Actual",SUMIFS(ActualsTable[Month 7],ActualsTable[Expense Item2],$B48),SUMIFS(Expenses!BH$8:BH$69,Expenses!$O$8:$O$69,$B48)+SUMIFS(Headcount!R$395:R$1442,Headcount!$J$395:$J$1442,$B48))</f>
        <v>0</v>
      </c>
      <c r="J48" s="137">
        <f>IF(J$12="Actual",SUMIFS(ActualsTable[Month 8],ActualsTable[Expense Item2],$B48),SUMIFS(Expenses!BI$8:BI$69,Expenses!$O$8:$O$69,$B48)+SUMIFS(Headcount!S$395:S$1442,Headcount!$J$395:$J$1442,$B48))</f>
        <v>0</v>
      </c>
      <c r="K48" s="137">
        <f>IF(K$12="Actual",SUMIFS(ActualsTable[Month 9],ActualsTable[Expense Item2],$B48),SUMIFS(Expenses!BJ$8:BJ$69,Expenses!$O$8:$O$69,$B48)+SUMIFS(Headcount!T$395:T$1442,Headcount!$J$395:$J$1442,$B48))</f>
        <v>0</v>
      </c>
      <c r="L48" s="137">
        <f>IF(L$12="Actual",SUMIFS(ActualsTable[Month 10],ActualsTable[Expense Item2],$B48),SUMIFS(Expenses!BK$8:BK$69,Expenses!$O$8:$O$69,$B48)+SUMIFS(Headcount!U$395:U$1442,Headcount!$J$395:$J$1442,$B48))</f>
        <v>0</v>
      </c>
      <c r="M48" s="137">
        <f>IF(M$12="Actual",SUMIFS(ActualsTable[Month 11],ActualsTable[Expense Item2],$B48),SUMIFS(Expenses!BL$8:BL$69,Expenses!$O$8:$O$69,$B48)+SUMIFS(Headcount!V$395:V$1442,Headcount!$J$395:$J$1442,$B48))</f>
        <v>0</v>
      </c>
      <c r="N48" s="137">
        <f>IF(N$12="Actual",SUMIFS(ActualsTable[Month 12],ActualsTable[Expense Item2],$B48),SUMIFS(Expenses!BM$8:BM$69,Expenses!$O$8:$O$69,$B48)+SUMIFS(Headcount!W$395:W$1442,Headcount!$J$395:$J$1442,$B48))</f>
        <v>0</v>
      </c>
      <c r="O48" s="137">
        <f>IF(O$12="Actual",SUMIFS(ActualsTable[Month 13],ActualsTable[Expense Item2],$B48),SUMIFS(Expenses!BN$8:BN$69,Expenses!$O$8:$O$69,$B48)+SUMIFS(Headcount!X$395:X$1442,Headcount!$J$395:$J$1442,$B48))</f>
        <v>0</v>
      </c>
      <c r="P48" s="137">
        <f>IF(P$12="Actual",SUMIFS(ActualsTable[Month 14],ActualsTable[Expense Item2],$B48),SUMIFS(Expenses!BO$8:BO$69,Expenses!$O$8:$O$69,$B48)+SUMIFS(Headcount!Y$395:Y$1442,Headcount!$J$395:$J$1442,$B48))</f>
        <v>0</v>
      </c>
      <c r="Q48" s="137">
        <f>IF(Q$12="Actual",SUMIFS(ActualsTable[Month 15],ActualsTable[Expense Item2],$B48),SUMIFS(Expenses!BP$8:BP$69,Expenses!$O$8:$O$69,$B48)+SUMIFS(Headcount!Z$395:Z$1442,Headcount!$J$395:$J$1442,$B48))</f>
        <v>0</v>
      </c>
      <c r="R48" s="137">
        <f>IF(R$12="Actual",SUMIFS(ActualsTable[Month 16],ActualsTable[Expense Item2],$B48),SUMIFS(Expenses!BQ$8:BQ$69,Expenses!$O$8:$O$69,$B48)+SUMIFS(Headcount!AA$395:AA$1442,Headcount!$J$395:$J$1442,$B48))</f>
        <v>0</v>
      </c>
      <c r="S48" s="137">
        <f>IF(S$12="Actual",SUMIFS(ActualsTable[Month 17],ActualsTable[Expense Item2],$B48),SUMIFS(Expenses!BR$8:BR$69,Expenses!$O$8:$O$69,$B48)+SUMIFS(Headcount!AB$395:AB$1442,Headcount!$J$395:$J$1442,$B48))</f>
        <v>0</v>
      </c>
      <c r="T48" s="137">
        <f>IF(T$12="Actual",SUMIFS(ActualsTable[Month 18],ActualsTable[Expense Item2],$B48),SUMIFS(Expenses!BS$8:BS$69,Expenses!$O$8:$O$69,$B48)+SUMIFS(Headcount!AC$395:AC$1442,Headcount!$J$395:$J$1442,$B48))</f>
        <v>0</v>
      </c>
      <c r="U48" s="137">
        <f>IF(U$12="Actual",SUMIFS(ActualsTable[Month 19],ActualsTable[Expense Item2],$B48),SUMIFS(Expenses!BT$8:BT$69,Expenses!$O$8:$O$69,$B48)+SUMIFS(Headcount!AD$395:AD$1442,Headcount!$J$395:$J$1442,$B48))</f>
        <v>0</v>
      </c>
      <c r="V48" s="137">
        <f>IF(V$12="Actual",SUMIFS(ActualsTable[Month 20],ActualsTable[Expense Item2],$B48),SUMIFS(Expenses!BU$8:BU$69,Expenses!$O$8:$O$69,$B48)+SUMIFS(Headcount!AE$395:AE$1442,Headcount!$J$395:$J$1442,$B48))</f>
        <v>0</v>
      </c>
      <c r="W48" s="137">
        <f>IF(W$12="Actual",SUMIFS(ActualsTable[Month 21],ActualsTable[Expense Item2],$B48),SUMIFS(Expenses!BV$8:BV$69,Expenses!$O$8:$O$69,$B48)+SUMIFS(Headcount!AF$395:AF$1442,Headcount!$J$395:$J$1442,$B48))</f>
        <v>0</v>
      </c>
      <c r="X48" s="137">
        <f>IF(X$12="Actual",SUMIFS(ActualsTable[Month 22],ActualsTable[Expense Item2],$B48),SUMIFS(Expenses!BW$8:BW$69,Expenses!$O$8:$O$69,$B48)+SUMIFS(Headcount!AG$395:AG$1442,Headcount!$J$395:$J$1442,$B48))</f>
        <v>0</v>
      </c>
      <c r="Y48" s="137">
        <f>IF(Y$12="Actual",SUMIFS(ActualsTable[Month 23],ActualsTable[Expense Item2],$B48),SUMIFS(Expenses!BX$8:BX$69,Expenses!$O$8:$O$69,$B48)+SUMIFS(Headcount!AH$395:AH$1442,Headcount!$J$395:$J$1442,$B48))</f>
        <v>0</v>
      </c>
      <c r="Z48" s="137">
        <f>IF(Z$12="Actual",SUMIFS(ActualsTable[Month 24],ActualsTable[Expense Item2],$B48),SUMIFS(Expenses!BY$8:BY$69,Expenses!$O$8:$O$69,$B48)+SUMIFS(Headcount!AI$395:AI$1442,Headcount!$J$395:$J$1442,$B48))</f>
        <v>0</v>
      </c>
      <c r="AA48" s="137">
        <f>IF(AA$12="Actual",SUMIFS(ActualsTable[Month 25],ActualsTable[Expense Item2],$B48),SUMIFS(Expenses!BZ$8:BZ$69,Expenses!$O$8:$O$69,$B48)+SUMIFS(Headcount!AJ$395:AJ$1442,Headcount!$J$395:$J$1442,$B48))</f>
        <v>0</v>
      </c>
      <c r="AB48" s="137">
        <f>IF(AB$12="Actual",SUMIFS(ActualsTable[Month 26],ActualsTable[Expense Item2],$B48),SUMIFS(Expenses!CA$8:CA$69,Expenses!$O$8:$O$69,$B48)+SUMIFS(Headcount!AK$395:AK$1442,Headcount!$J$395:$J$1442,$B48))</f>
        <v>0</v>
      </c>
      <c r="AC48" s="137">
        <f>IF(AC$12="Actual",SUMIFS(ActualsTable[Month 27],ActualsTable[Expense Item2],$B48),SUMIFS(Expenses!CB$8:CB$69,Expenses!$O$8:$O$69,$B48)+SUMIFS(Headcount!AL$395:AL$1442,Headcount!$J$395:$J$1442,$B48))</f>
        <v>0</v>
      </c>
      <c r="AD48" s="137">
        <f>IF(AD$12="Actual",SUMIFS(ActualsTable[Month 28],ActualsTable[Expense Item2],$B48),SUMIFS(Expenses!CC$8:CC$69,Expenses!$O$8:$O$69,$B48)+SUMIFS(Headcount!AM$395:AM$1442,Headcount!$J$395:$J$1442,$B48))</f>
        <v>0</v>
      </c>
      <c r="AE48" s="137">
        <f>IF(AE$12="Actual",SUMIFS(ActualsTable[Month 29],ActualsTable[Expense Item2],$B48),SUMIFS(Expenses!CD$8:CD$69,Expenses!$O$8:$O$69,$B48)+SUMIFS(Headcount!AN$395:AN$1442,Headcount!$J$395:$J$1442,$B48))</f>
        <v>0</v>
      </c>
      <c r="AF48" s="137">
        <f>IF(AF$12="Actual",SUMIFS(ActualsTable[Month 30],ActualsTable[Expense Item2],$B48),SUMIFS(Expenses!CE$8:CE$69,Expenses!$O$8:$O$69,$B48)+SUMIFS(Headcount!AO$395:AO$1442,Headcount!$J$395:$J$1442,$B48))</f>
        <v>0</v>
      </c>
      <c r="AG48" s="137">
        <f>IF(AG$12="Actual",SUMIFS(ActualsTable[Month 31],ActualsTable[Expense Item2],$B48),SUMIFS(Expenses!CF$8:CF$69,Expenses!$O$8:$O$69,$B48)+SUMIFS(Headcount!AP$395:AP$1442,Headcount!$J$395:$J$1442,$B48))</f>
        <v>0</v>
      </c>
      <c r="AH48" s="137">
        <f>IF(AH$12="Actual",SUMIFS(ActualsTable[Month 32],ActualsTable[Expense Item2],$B48),SUMIFS(Expenses!CG$8:CG$69,Expenses!$O$8:$O$69,$B48)+SUMIFS(Headcount!AQ$395:AQ$1442,Headcount!$J$395:$J$1442,$B48))</f>
        <v>0</v>
      </c>
      <c r="AI48" s="137">
        <f>IF(AI$12="Actual",SUMIFS(ActualsTable[Month 33],ActualsTable[Expense Item2],$B48),SUMIFS(Expenses!CH$8:CH$69,Expenses!$O$8:$O$69,$B48)+SUMIFS(Headcount!AR$395:AR$1442,Headcount!$J$395:$J$1442,$B48))</f>
        <v>0</v>
      </c>
      <c r="AJ48" s="137">
        <f>IF(AJ$12="Actual",SUMIFS(ActualsTable[Month 34],ActualsTable[Expense Item2],$B48),SUMIFS(Expenses!CI$8:CI$69,Expenses!$O$8:$O$69,$B48)+SUMIFS(Headcount!AS$395:AS$1442,Headcount!$J$395:$J$1442,$B48))</f>
        <v>0</v>
      </c>
      <c r="AK48" s="137">
        <f>IF(AK$12="Actual",SUMIFS(ActualsTable[Month 35],ActualsTable[Expense Item2],$B48),SUMIFS(Expenses!CJ$8:CJ$69,Expenses!$O$8:$O$69,$B48)+SUMIFS(Headcount!AT$395:AT$1442,Headcount!$J$395:$J$1442,$B48))</f>
        <v>0</v>
      </c>
      <c r="AL48" s="293">
        <f>IF(AL$12="Actual",SUMIFS(ActualsTable[Month 36],ActualsTable[Expense Item2],$B48),SUMIFS(Expenses!CK$8:CK$69,Expenses!$O$8:$O$69,$B48)+SUMIFS(Headcount!AU$395:AU$1442,Headcount!$J$395:$J$1442,$B48))</f>
        <v>0</v>
      </c>
      <c r="AN48" s="319">
        <f t="shared" ca="1" si="110"/>
        <v>0</v>
      </c>
      <c r="AO48" s="137">
        <f t="shared" ca="1" si="110"/>
        <v>0</v>
      </c>
      <c r="AP48" s="137">
        <f t="shared" ca="1" si="110"/>
        <v>0</v>
      </c>
      <c r="AQ48" s="137">
        <f t="shared" ca="1" si="110"/>
        <v>0</v>
      </c>
      <c r="AR48" s="137">
        <f t="shared" ca="1" si="110"/>
        <v>0</v>
      </c>
      <c r="AS48" s="137">
        <f t="shared" ca="1" si="110"/>
        <v>0</v>
      </c>
      <c r="AT48" s="137">
        <f t="shared" ca="1" si="110"/>
        <v>0</v>
      </c>
      <c r="AU48" s="137">
        <f t="shared" ca="1" si="110"/>
        <v>0</v>
      </c>
      <c r="AV48" s="137">
        <f t="shared" ca="1" si="110"/>
        <v>0</v>
      </c>
      <c r="AW48" s="137">
        <f t="shared" ca="1" si="110"/>
        <v>0</v>
      </c>
      <c r="AX48" s="137">
        <f t="shared" ca="1" si="110"/>
        <v>0</v>
      </c>
      <c r="AY48" s="293">
        <f t="shared" ca="1" si="110"/>
        <v>0</v>
      </c>
      <c r="BA48" s="319">
        <f t="shared" ca="1" si="111"/>
        <v>0</v>
      </c>
      <c r="BB48" s="137">
        <f t="shared" ca="1" si="111"/>
        <v>0</v>
      </c>
      <c r="BC48" s="293">
        <f t="shared" ca="1" si="111"/>
        <v>0</v>
      </c>
    </row>
    <row r="49" spans="2:55" x14ac:dyDescent="0.35">
      <c r="B49" s="80" t="s">
        <v>91</v>
      </c>
      <c r="C49" s="137">
        <f>IF(C$12="Actual",SUMIFS(ActualsTable[Month 1],ActualsTable[Expense Item2],$B49),SUMIFS(Expenses!BB$8:BB$69,Expenses!$O$8:$O$69,$B49)+SUMIFS(Headcount!L$395:L$1442,Headcount!$J$395:$J$1442,$B49))</f>
        <v>0</v>
      </c>
      <c r="D49" s="137">
        <f>IF(D$12="Actual",SUMIFS(ActualsTable[Month 2],ActualsTable[Expense Item2],$B49),SUMIFS(Expenses!BC$8:BC$69,Expenses!$O$8:$O$69,$B49)+SUMIFS(Headcount!M$395:M$1442,Headcount!$J$395:$J$1442,$B49))</f>
        <v>0</v>
      </c>
      <c r="E49" s="137">
        <f>IF(E$12="Actual",SUMIFS(ActualsTable[Month 3],ActualsTable[Expense Item2],$B49),SUMIFS(Expenses!BD$8:BD$69,Expenses!$O$8:$O$69,$B49)+SUMIFS(Headcount!N$395:N$1442,Headcount!$J$395:$J$1442,$B49))</f>
        <v>0</v>
      </c>
      <c r="F49" s="137">
        <f>IF(F$12="Actual",SUMIFS(ActualsTable[Month 4],ActualsTable[Expense Item2],$B49),SUMIFS(Expenses!BE$8:BE$69,Expenses!$O$8:$O$69,$B49)+SUMIFS(Headcount!O$395:O$1442,Headcount!$J$395:$J$1442,$B49))</f>
        <v>0</v>
      </c>
      <c r="G49" s="137">
        <f>IF(G$12="Actual",SUMIFS(ActualsTable[Month 5],ActualsTable[Expense Item2],$B49),SUMIFS(Expenses!BF$8:BF$69,Expenses!$O$8:$O$69,$B49)+SUMIFS(Headcount!P$395:P$1442,Headcount!$J$395:$J$1442,$B49))</f>
        <v>0</v>
      </c>
      <c r="H49" s="137">
        <f>IF(H$12="Actual",SUMIFS(ActualsTable[Month 6],ActualsTable[Expense Item2],$B49),SUMIFS(Expenses!BG$8:BG$69,Expenses!$O$8:$O$69,$B49)+SUMIFS(Headcount!Q$395:Q$1442,Headcount!$J$395:$J$1442,$B49))</f>
        <v>0</v>
      </c>
      <c r="I49" s="137">
        <f>IF(I$12="Actual",SUMIFS(ActualsTable[Month 7],ActualsTable[Expense Item2],$B49),SUMIFS(Expenses!BH$8:BH$69,Expenses!$O$8:$O$69,$B49)+SUMIFS(Headcount!R$395:R$1442,Headcount!$J$395:$J$1442,$B49))</f>
        <v>0</v>
      </c>
      <c r="J49" s="137">
        <f>IF(J$12="Actual",SUMIFS(ActualsTable[Month 8],ActualsTable[Expense Item2],$B49),SUMIFS(Expenses!BI$8:BI$69,Expenses!$O$8:$O$69,$B49)+SUMIFS(Headcount!S$395:S$1442,Headcount!$J$395:$J$1442,$B49))</f>
        <v>0</v>
      </c>
      <c r="K49" s="137">
        <f>IF(K$12="Actual",SUMIFS(ActualsTable[Month 9],ActualsTable[Expense Item2],$B49),SUMIFS(Expenses!BJ$8:BJ$69,Expenses!$O$8:$O$69,$B49)+SUMIFS(Headcount!T$395:T$1442,Headcount!$J$395:$J$1442,$B49))</f>
        <v>0</v>
      </c>
      <c r="L49" s="137">
        <f>IF(L$12="Actual",SUMIFS(ActualsTable[Month 10],ActualsTable[Expense Item2],$B49),SUMIFS(Expenses!BK$8:BK$69,Expenses!$O$8:$O$69,$B49)+SUMIFS(Headcount!U$395:U$1442,Headcount!$J$395:$J$1442,$B49))</f>
        <v>0</v>
      </c>
      <c r="M49" s="137">
        <f>IF(M$12="Actual",SUMIFS(ActualsTable[Month 11],ActualsTable[Expense Item2],$B49),SUMIFS(Expenses!BL$8:BL$69,Expenses!$O$8:$O$69,$B49)+SUMIFS(Headcount!V$395:V$1442,Headcount!$J$395:$J$1442,$B49))</f>
        <v>0</v>
      </c>
      <c r="N49" s="137">
        <f>IF(N$12="Actual",SUMIFS(ActualsTable[Month 12],ActualsTable[Expense Item2],$B49),SUMIFS(Expenses!BM$8:BM$69,Expenses!$O$8:$O$69,$B49)+SUMIFS(Headcount!W$395:W$1442,Headcount!$J$395:$J$1442,$B49))</f>
        <v>0</v>
      </c>
      <c r="O49" s="137">
        <f>IF(O$12="Actual",SUMIFS(ActualsTable[Month 13],ActualsTable[Expense Item2],$B49),SUMIFS(Expenses!BN$8:BN$69,Expenses!$O$8:$O$69,$B49)+SUMIFS(Headcount!X$395:X$1442,Headcount!$J$395:$J$1442,$B49))</f>
        <v>0</v>
      </c>
      <c r="P49" s="137">
        <f>IF(P$12="Actual",SUMIFS(ActualsTable[Month 14],ActualsTable[Expense Item2],$B49),SUMIFS(Expenses!BO$8:BO$69,Expenses!$O$8:$O$69,$B49)+SUMIFS(Headcount!Y$395:Y$1442,Headcount!$J$395:$J$1442,$B49))</f>
        <v>0</v>
      </c>
      <c r="Q49" s="137">
        <f>IF(Q$12="Actual",SUMIFS(ActualsTable[Month 15],ActualsTable[Expense Item2],$B49),SUMIFS(Expenses!BP$8:BP$69,Expenses!$O$8:$O$69,$B49)+SUMIFS(Headcount!Z$395:Z$1442,Headcount!$J$395:$J$1442,$B49))</f>
        <v>0</v>
      </c>
      <c r="R49" s="137">
        <f>IF(R$12="Actual",SUMIFS(ActualsTable[Month 16],ActualsTable[Expense Item2],$B49),SUMIFS(Expenses!BQ$8:BQ$69,Expenses!$O$8:$O$69,$B49)+SUMIFS(Headcount!AA$395:AA$1442,Headcount!$J$395:$J$1442,$B49))</f>
        <v>0</v>
      </c>
      <c r="S49" s="137">
        <f>IF(S$12="Actual",SUMIFS(ActualsTable[Month 17],ActualsTable[Expense Item2],$B49),SUMIFS(Expenses!BR$8:BR$69,Expenses!$O$8:$O$69,$B49)+SUMIFS(Headcount!AB$395:AB$1442,Headcount!$J$395:$J$1442,$B49))</f>
        <v>0</v>
      </c>
      <c r="T49" s="137">
        <f>IF(T$12="Actual",SUMIFS(ActualsTable[Month 18],ActualsTable[Expense Item2],$B49),SUMIFS(Expenses!BS$8:BS$69,Expenses!$O$8:$O$69,$B49)+SUMIFS(Headcount!AC$395:AC$1442,Headcount!$J$395:$J$1442,$B49))</f>
        <v>0</v>
      </c>
      <c r="U49" s="137">
        <f>IF(U$12="Actual",SUMIFS(ActualsTable[Month 19],ActualsTable[Expense Item2],$B49),SUMIFS(Expenses!BT$8:BT$69,Expenses!$O$8:$O$69,$B49)+SUMIFS(Headcount!AD$395:AD$1442,Headcount!$J$395:$J$1442,$B49))</f>
        <v>0</v>
      </c>
      <c r="V49" s="137">
        <f>IF(V$12="Actual",SUMIFS(ActualsTable[Month 20],ActualsTable[Expense Item2],$B49),SUMIFS(Expenses!BU$8:BU$69,Expenses!$O$8:$O$69,$B49)+SUMIFS(Headcount!AE$395:AE$1442,Headcount!$J$395:$J$1442,$B49))</f>
        <v>0</v>
      </c>
      <c r="W49" s="137">
        <f>IF(W$12="Actual",SUMIFS(ActualsTable[Month 21],ActualsTable[Expense Item2],$B49),SUMIFS(Expenses!BV$8:BV$69,Expenses!$O$8:$O$69,$B49)+SUMIFS(Headcount!AF$395:AF$1442,Headcount!$J$395:$J$1442,$B49))</f>
        <v>0</v>
      </c>
      <c r="X49" s="137">
        <f>IF(X$12="Actual",SUMIFS(ActualsTable[Month 22],ActualsTable[Expense Item2],$B49),SUMIFS(Expenses!BW$8:BW$69,Expenses!$O$8:$O$69,$B49)+SUMIFS(Headcount!AG$395:AG$1442,Headcount!$J$395:$J$1442,$B49))</f>
        <v>0</v>
      </c>
      <c r="Y49" s="137">
        <f>IF(Y$12="Actual",SUMIFS(ActualsTable[Month 23],ActualsTable[Expense Item2],$B49),SUMIFS(Expenses!BX$8:BX$69,Expenses!$O$8:$O$69,$B49)+SUMIFS(Headcount!AH$395:AH$1442,Headcount!$J$395:$J$1442,$B49))</f>
        <v>0</v>
      </c>
      <c r="Z49" s="137">
        <f>IF(Z$12="Actual",SUMIFS(ActualsTable[Month 24],ActualsTable[Expense Item2],$B49),SUMIFS(Expenses!BY$8:BY$69,Expenses!$O$8:$O$69,$B49)+SUMIFS(Headcount!AI$395:AI$1442,Headcount!$J$395:$J$1442,$B49))</f>
        <v>0</v>
      </c>
      <c r="AA49" s="137">
        <f>IF(AA$12="Actual",SUMIFS(ActualsTable[Month 25],ActualsTable[Expense Item2],$B49),SUMIFS(Expenses!BZ$8:BZ$69,Expenses!$O$8:$O$69,$B49)+SUMIFS(Headcount!AJ$395:AJ$1442,Headcount!$J$395:$J$1442,$B49))</f>
        <v>0</v>
      </c>
      <c r="AB49" s="137">
        <f>IF(AB$12="Actual",SUMIFS(ActualsTable[Month 26],ActualsTable[Expense Item2],$B49),SUMIFS(Expenses!CA$8:CA$69,Expenses!$O$8:$O$69,$B49)+SUMIFS(Headcount!AK$395:AK$1442,Headcount!$J$395:$J$1442,$B49))</f>
        <v>0</v>
      </c>
      <c r="AC49" s="137">
        <f>IF(AC$12="Actual",SUMIFS(ActualsTable[Month 27],ActualsTable[Expense Item2],$B49),SUMIFS(Expenses!CB$8:CB$69,Expenses!$O$8:$O$69,$B49)+SUMIFS(Headcount!AL$395:AL$1442,Headcount!$J$395:$J$1442,$B49))</f>
        <v>0</v>
      </c>
      <c r="AD49" s="137">
        <f>IF(AD$12="Actual",SUMIFS(ActualsTable[Month 28],ActualsTable[Expense Item2],$B49),SUMIFS(Expenses!CC$8:CC$69,Expenses!$O$8:$O$69,$B49)+SUMIFS(Headcount!AM$395:AM$1442,Headcount!$J$395:$J$1442,$B49))</f>
        <v>0</v>
      </c>
      <c r="AE49" s="137">
        <f>IF(AE$12="Actual",SUMIFS(ActualsTable[Month 29],ActualsTable[Expense Item2],$B49),SUMIFS(Expenses!CD$8:CD$69,Expenses!$O$8:$O$69,$B49)+SUMIFS(Headcount!AN$395:AN$1442,Headcount!$J$395:$J$1442,$B49))</f>
        <v>0</v>
      </c>
      <c r="AF49" s="137">
        <f>IF(AF$12="Actual",SUMIFS(ActualsTable[Month 30],ActualsTable[Expense Item2],$B49),SUMIFS(Expenses!CE$8:CE$69,Expenses!$O$8:$O$69,$B49)+SUMIFS(Headcount!AO$395:AO$1442,Headcount!$J$395:$J$1442,$B49))</f>
        <v>0</v>
      </c>
      <c r="AG49" s="137">
        <f>IF(AG$12="Actual",SUMIFS(ActualsTable[Month 31],ActualsTable[Expense Item2],$B49),SUMIFS(Expenses!CF$8:CF$69,Expenses!$O$8:$O$69,$B49)+SUMIFS(Headcount!AP$395:AP$1442,Headcount!$J$395:$J$1442,$B49))</f>
        <v>0</v>
      </c>
      <c r="AH49" s="137">
        <f>IF(AH$12="Actual",SUMIFS(ActualsTable[Month 32],ActualsTable[Expense Item2],$B49),SUMIFS(Expenses!CG$8:CG$69,Expenses!$O$8:$O$69,$B49)+SUMIFS(Headcount!AQ$395:AQ$1442,Headcount!$J$395:$J$1442,$B49))</f>
        <v>0</v>
      </c>
      <c r="AI49" s="137">
        <f>IF(AI$12="Actual",SUMIFS(ActualsTable[Month 33],ActualsTable[Expense Item2],$B49),SUMIFS(Expenses!CH$8:CH$69,Expenses!$O$8:$O$69,$B49)+SUMIFS(Headcount!AR$395:AR$1442,Headcount!$J$395:$J$1442,$B49))</f>
        <v>0</v>
      </c>
      <c r="AJ49" s="137">
        <f>IF(AJ$12="Actual",SUMIFS(ActualsTable[Month 34],ActualsTable[Expense Item2],$B49),SUMIFS(Expenses!CI$8:CI$69,Expenses!$O$8:$O$69,$B49)+SUMIFS(Headcount!AS$395:AS$1442,Headcount!$J$395:$J$1442,$B49))</f>
        <v>0</v>
      </c>
      <c r="AK49" s="137">
        <f>IF(AK$12="Actual",SUMIFS(ActualsTable[Month 35],ActualsTable[Expense Item2],$B49),SUMIFS(Expenses!CJ$8:CJ$69,Expenses!$O$8:$O$69,$B49)+SUMIFS(Headcount!AT$395:AT$1442,Headcount!$J$395:$J$1442,$B49))</f>
        <v>0</v>
      </c>
      <c r="AL49" s="293">
        <f>IF(AL$12="Actual",SUMIFS(ActualsTable[Month 36],ActualsTable[Expense Item2],$B49),SUMIFS(Expenses!CK$8:CK$69,Expenses!$O$8:$O$69,$B49)+SUMIFS(Headcount!AU$395:AU$1442,Headcount!$J$395:$J$1442,$B49))</f>
        <v>0</v>
      </c>
      <c r="AN49" s="319">
        <f t="shared" ca="1" si="110"/>
        <v>0</v>
      </c>
      <c r="AO49" s="137">
        <f t="shared" ca="1" si="110"/>
        <v>0</v>
      </c>
      <c r="AP49" s="137">
        <f t="shared" ca="1" si="110"/>
        <v>0</v>
      </c>
      <c r="AQ49" s="137">
        <f t="shared" ca="1" si="110"/>
        <v>0</v>
      </c>
      <c r="AR49" s="137">
        <f t="shared" ca="1" si="110"/>
        <v>0</v>
      </c>
      <c r="AS49" s="137">
        <f t="shared" ca="1" si="110"/>
        <v>0</v>
      </c>
      <c r="AT49" s="137">
        <f t="shared" ca="1" si="110"/>
        <v>0</v>
      </c>
      <c r="AU49" s="137">
        <f t="shared" ca="1" si="110"/>
        <v>0</v>
      </c>
      <c r="AV49" s="137">
        <f t="shared" ca="1" si="110"/>
        <v>0</v>
      </c>
      <c r="AW49" s="137">
        <f t="shared" ca="1" si="110"/>
        <v>0</v>
      </c>
      <c r="AX49" s="137">
        <f t="shared" ca="1" si="110"/>
        <v>0</v>
      </c>
      <c r="AY49" s="293">
        <f t="shared" ca="1" si="110"/>
        <v>0</v>
      </c>
      <c r="BA49" s="319">
        <f t="shared" ca="1" si="111"/>
        <v>0</v>
      </c>
      <c r="BB49" s="137">
        <f t="shared" ca="1" si="111"/>
        <v>0</v>
      </c>
      <c r="BC49" s="293">
        <f t="shared" ca="1" si="111"/>
        <v>0</v>
      </c>
    </row>
    <row r="50" spans="2:55" x14ac:dyDescent="0.35">
      <c r="B50" s="80" t="s">
        <v>92</v>
      </c>
      <c r="C50" s="137">
        <f>IF(C$12="Actual",SUMIFS(ActualsTable[Month 1],ActualsTable[Expense Item2],$B50),SUMIFS(Expenses!BB$8:BB$69,Expenses!$O$8:$O$69,$B50)+SUMIFS(Headcount!L$395:L$1442,Headcount!$J$395:$J$1442,$B50))</f>
        <v>0</v>
      </c>
      <c r="D50" s="137">
        <f>IF(D$12="Actual",SUMIFS(ActualsTable[Month 2],ActualsTable[Expense Item2],$B50),SUMIFS(Expenses!BC$8:BC$69,Expenses!$O$8:$O$69,$B50)+SUMIFS(Headcount!M$395:M$1442,Headcount!$J$395:$J$1442,$B50))</f>
        <v>0</v>
      </c>
      <c r="E50" s="137">
        <f>IF(E$12="Actual",SUMIFS(ActualsTable[Month 3],ActualsTable[Expense Item2],$B50),SUMIFS(Expenses!BD$8:BD$69,Expenses!$O$8:$O$69,$B50)+SUMIFS(Headcount!N$395:N$1442,Headcount!$J$395:$J$1442,$B50))</f>
        <v>0</v>
      </c>
      <c r="F50" s="137">
        <f>IF(F$12="Actual",SUMIFS(ActualsTable[Month 4],ActualsTable[Expense Item2],$B50),SUMIFS(Expenses!BE$8:BE$69,Expenses!$O$8:$O$69,$B50)+SUMIFS(Headcount!O$395:O$1442,Headcount!$J$395:$J$1442,$B50))</f>
        <v>0</v>
      </c>
      <c r="G50" s="137">
        <f>IF(G$12="Actual",SUMIFS(ActualsTable[Month 5],ActualsTable[Expense Item2],$B50),SUMIFS(Expenses!BF$8:BF$69,Expenses!$O$8:$O$69,$B50)+SUMIFS(Headcount!P$395:P$1442,Headcount!$J$395:$J$1442,$B50))</f>
        <v>0</v>
      </c>
      <c r="H50" s="137">
        <f>IF(H$12="Actual",SUMIFS(ActualsTable[Month 6],ActualsTable[Expense Item2],$B50),SUMIFS(Expenses!BG$8:BG$69,Expenses!$O$8:$O$69,$B50)+SUMIFS(Headcount!Q$395:Q$1442,Headcount!$J$395:$J$1442,$B50))</f>
        <v>0</v>
      </c>
      <c r="I50" s="137">
        <f>IF(I$12="Actual",SUMIFS(ActualsTable[Month 7],ActualsTable[Expense Item2],$B50),SUMIFS(Expenses!BH$8:BH$69,Expenses!$O$8:$O$69,$B50)+SUMIFS(Headcount!R$395:R$1442,Headcount!$J$395:$J$1442,$B50))</f>
        <v>0</v>
      </c>
      <c r="J50" s="137">
        <f>IF(J$12="Actual",SUMIFS(ActualsTable[Month 8],ActualsTable[Expense Item2],$B50),SUMIFS(Expenses!BI$8:BI$69,Expenses!$O$8:$O$69,$B50)+SUMIFS(Headcount!S$395:S$1442,Headcount!$J$395:$J$1442,$B50))</f>
        <v>0</v>
      </c>
      <c r="K50" s="137">
        <f>IF(K$12="Actual",SUMIFS(ActualsTable[Month 9],ActualsTable[Expense Item2],$B50),SUMIFS(Expenses!BJ$8:BJ$69,Expenses!$O$8:$O$69,$B50)+SUMIFS(Headcount!T$395:T$1442,Headcount!$J$395:$J$1442,$B50))</f>
        <v>0</v>
      </c>
      <c r="L50" s="137">
        <f>IF(L$12="Actual",SUMIFS(ActualsTable[Month 10],ActualsTable[Expense Item2],$B50),SUMIFS(Expenses!BK$8:BK$69,Expenses!$O$8:$O$69,$B50)+SUMIFS(Headcount!U$395:U$1442,Headcount!$J$395:$J$1442,$B50))</f>
        <v>0</v>
      </c>
      <c r="M50" s="137">
        <f>IF(M$12="Actual",SUMIFS(ActualsTable[Month 11],ActualsTable[Expense Item2],$B50),SUMIFS(Expenses!BL$8:BL$69,Expenses!$O$8:$O$69,$B50)+SUMIFS(Headcount!V$395:V$1442,Headcount!$J$395:$J$1442,$B50))</f>
        <v>0</v>
      </c>
      <c r="N50" s="137">
        <f>IF(N$12="Actual",SUMIFS(ActualsTable[Month 12],ActualsTable[Expense Item2],$B50),SUMIFS(Expenses!BM$8:BM$69,Expenses!$O$8:$O$69,$B50)+SUMIFS(Headcount!W$395:W$1442,Headcount!$J$395:$J$1442,$B50))</f>
        <v>0</v>
      </c>
      <c r="O50" s="137">
        <f>IF(O$12="Actual",SUMIFS(ActualsTable[Month 13],ActualsTable[Expense Item2],$B50),SUMIFS(Expenses!BN$8:BN$69,Expenses!$O$8:$O$69,$B50)+SUMIFS(Headcount!X$395:X$1442,Headcount!$J$395:$J$1442,$B50))</f>
        <v>0</v>
      </c>
      <c r="P50" s="137">
        <f>IF(P$12="Actual",SUMIFS(ActualsTable[Month 14],ActualsTable[Expense Item2],$B50),SUMIFS(Expenses!BO$8:BO$69,Expenses!$O$8:$O$69,$B50)+SUMIFS(Headcount!Y$395:Y$1442,Headcount!$J$395:$J$1442,$B50))</f>
        <v>0</v>
      </c>
      <c r="Q50" s="137">
        <f>IF(Q$12="Actual",SUMIFS(ActualsTable[Month 15],ActualsTable[Expense Item2],$B50),SUMIFS(Expenses!BP$8:BP$69,Expenses!$O$8:$O$69,$B50)+SUMIFS(Headcount!Z$395:Z$1442,Headcount!$J$395:$J$1442,$B50))</f>
        <v>0</v>
      </c>
      <c r="R50" s="137">
        <f>IF(R$12="Actual",SUMIFS(ActualsTable[Month 16],ActualsTable[Expense Item2],$B50),SUMIFS(Expenses!BQ$8:BQ$69,Expenses!$O$8:$O$69,$B50)+SUMIFS(Headcount!AA$395:AA$1442,Headcount!$J$395:$J$1442,$B50))</f>
        <v>0</v>
      </c>
      <c r="S50" s="137">
        <f>IF(S$12="Actual",SUMIFS(ActualsTable[Month 17],ActualsTable[Expense Item2],$B50),SUMIFS(Expenses!BR$8:BR$69,Expenses!$O$8:$O$69,$B50)+SUMIFS(Headcount!AB$395:AB$1442,Headcount!$J$395:$J$1442,$B50))</f>
        <v>0</v>
      </c>
      <c r="T50" s="137">
        <f>IF(T$12="Actual",SUMIFS(ActualsTable[Month 18],ActualsTable[Expense Item2],$B50),SUMIFS(Expenses!BS$8:BS$69,Expenses!$O$8:$O$69,$B50)+SUMIFS(Headcount!AC$395:AC$1442,Headcount!$J$395:$J$1442,$B50))</f>
        <v>0</v>
      </c>
      <c r="U50" s="137">
        <f>IF(U$12="Actual",SUMIFS(ActualsTable[Month 19],ActualsTable[Expense Item2],$B50),SUMIFS(Expenses!BT$8:BT$69,Expenses!$O$8:$O$69,$B50)+SUMIFS(Headcount!AD$395:AD$1442,Headcount!$J$395:$J$1442,$B50))</f>
        <v>0</v>
      </c>
      <c r="V50" s="137">
        <f>IF(V$12="Actual",SUMIFS(ActualsTable[Month 20],ActualsTable[Expense Item2],$B50),SUMIFS(Expenses!BU$8:BU$69,Expenses!$O$8:$O$69,$B50)+SUMIFS(Headcount!AE$395:AE$1442,Headcount!$J$395:$J$1442,$B50))</f>
        <v>0</v>
      </c>
      <c r="W50" s="137">
        <f>IF(W$12="Actual",SUMIFS(ActualsTable[Month 21],ActualsTable[Expense Item2],$B50),SUMIFS(Expenses!BV$8:BV$69,Expenses!$O$8:$O$69,$B50)+SUMIFS(Headcount!AF$395:AF$1442,Headcount!$J$395:$J$1442,$B50))</f>
        <v>0</v>
      </c>
      <c r="X50" s="137">
        <f>IF(X$12="Actual",SUMIFS(ActualsTable[Month 22],ActualsTable[Expense Item2],$B50),SUMIFS(Expenses!BW$8:BW$69,Expenses!$O$8:$O$69,$B50)+SUMIFS(Headcount!AG$395:AG$1442,Headcount!$J$395:$J$1442,$B50))</f>
        <v>0</v>
      </c>
      <c r="Y50" s="137">
        <f>IF(Y$12="Actual",SUMIFS(ActualsTable[Month 23],ActualsTable[Expense Item2],$B50),SUMIFS(Expenses!BX$8:BX$69,Expenses!$O$8:$O$69,$B50)+SUMIFS(Headcount!AH$395:AH$1442,Headcount!$J$395:$J$1442,$B50))</f>
        <v>0</v>
      </c>
      <c r="Z50" s="137">
        <f>IF(Z$12="Actual",SUMIFS(ActualsTable[Month 24],ActualsTable[Expense Item2],$B50),SUMIFS(Expenses!BY$8:BY$69,Expenses!$O$8:$O$69,$B50)+SUMIFS(Headcount!AI$395:AI$1442,Headcount!$J$395:$J$1442,$B50))</f>
        <v>0</v>
      </c>
      <c r="AA50" s="137">
        <f>IF(AA$12="Actual",SUMIFS(ActualsTable[Month 25],ActualsTable[Expense Item2],$B50),SUMIFS(Expenses!BZ$8:BZ$69,Expenses!$O$8:$O$69,$B50)+SUMIFS(Headcount!AJ$395:AJ$1442,Headcount!$J$395:$J$1442,$B50))</f>
        <v>0</v>
      </c>
      <c r="AB50" s="137">
        <f>IF(AB$12="Actual",SUMIFS(ActualsTable[Month 26],ActualsTable[Expense Item2],$B50),SUMIFS(Expenses!CA$8:CA$69,Expenses!$O$8:$O$69,$B50)+SUMIFS(Headcount!AK$395:AK$1442,Headcount!$J$395:$J$1442,$B50))</f>
        <v>0</v>
      </c>
      <c r="AC50" s="137">
        <f>IF(AC$12="Actual",SUMIFS(ActualsTable[Month 27],ActualsTable[Expense Item2],$B50),SUMIFS(Expenses!CB$8:CB$69,Expenses!$O$8:$O$69,$B50)+SUMIFS(Headcount!AL$395:AL$1442,Headcount!$J$395:$J$1442,$B50))</f>
        <v>0</v>
      </c>
      <c r="AD50" s="137">
        <f>IF(AD$12="Actual",SUMIFS(ActualsTable[Month 28],ActualsTable[Expense Item2],$B50),SUMIFS(Expenses!CC$8:CC$69,Expenses!$O$8:$O$69,$B50)+SUMIFS(Headcount!AM$395:AM$1442,Headcount!$J$395:$J$1442,$B50))</f>
        <v>0</v>
      </c>
      <c r="AE50" s="137">
        <f>IF(AE$12="Actual",SUMIFS(ActualsTable[Month 29],ActualsTable[Expense Item2],$B50),SUMIFS(Expenses!CD$8:CD$69,Expenses!$O$8:$O$69,$B50)+SUMIFS(Headcount!AN$395:AN$1442,Headcount!$J$395:$J$1442,$B50))</f>
        <v>0</v>
      </c>
      <c r="AF50" s="137">
        <f>IF(AF$12="Actual",SUMIFS(ActualsTable[Month 30],ActualsTable[Expense Item2],$B50),SUMIFS(Expenses!CE$8:CE$69,Expenses!$O$8:$O$69,$B50)+SUMIFS(Headcount!AO$395:AO$1442,Headcount!$J$395:$J$1442,$B50))</f>
        <v>0</v>
      </c>
      <c r="AG50" s="137">
        <f>IF(AG$12="Actual",SUMIFS(ActualsTable[Month 31],ActualsTable[Expense Item2],$B50),SUMIFS(Expenses!CF$8:CF$69,Expenses!$O$8:$O$69,$B50)+SUMIFS(Headcount!AP$395:AP$1442,Headcount!$J$395:$J$1442,$B50))</f>
        <v>0</v>
      </c>
      <c r="AH50" s="137">
        <f>IF(AH$12="Actual",SUMIFS(ActualsTable[Month 32],ActualsTable[Expense Item2],$B50),SUMIFS(Expenses!CG$8:CG$69,Expenses!$O$8:$O$69,$B50)+SUMIFS(Headcount!AQ$395:AQ$1442,Headcount!$J$395:$J$1442,$B50))</f>
        <v>0</v>
      </c>
      <c r="AI50" s="137">
        <f>IF(AI$12="Actual",SUMIFS(ActualsTable[Month 33],ActualsTable[Expense Item2],$B50),SUMIFS(Expenses!CH$8:CH$69,Expenses!$O$8:$O$69,$B50)+SUMIFS(Headcount!AR$395:AR$1442,Headcount!$J$395:$J$1442,$B50))</f>
        <v>0</v>
      </c>
      <c r="AJ50" s="137">
        <f>IF(AJ$12="Actual",SUMIFS(ActualsTable[Month 34],ActualsTable[Expense Item2],$B50),SUMIFS(Expenses!CI$8:CI$69,Expenses!$O$8:$O$69,$B50)+SUMIFS(Headcount!AS$395:AS$1442,Headcount!$J$395:$J$1442,$B50))</f>
        <v>0</v>
      </c>
      <c r="AK50" s="137">
        <f>IF(AK$12="Actual",SUMIFS(ActualsTable[Month 35],ActualsTable[Expense Item2],$B50),SUMIFS(Expenses!CJ$8:CJ$69,Expenses!$O$8:$O$69,$B50)+SUMIFS(Headcount!AT$395:AT$1442,Headcount!$J$395:$J$1442,$B50))</f>
        <v>0</v>
      </c>
      <c r="AL50" s="293">
        <f>IF(AL$12="Actual",SUMIFS(ActualsTable[Month 36],ActualsTable[Expense Item2],$B50),SUMIFS(Expenses!CK$8:CK$69,Expenses!$O$8:$O$69,$B50)+SUMIFS(Headcount!AU$395:AU$1442,Headcount!$J$395:$J$1442,$B50))</f>
        <v>0</v>
      </c>
      <c r="AN50" s="319">
        <f t="shared" ca="1" si="110"/>
        <v>0</v>
      </c>
      <c r="AO50" s="137">
        <f t="shared" ca="1" si="110"/>
        <v>0</v>
      </c>
      <c r="AP50" s="137">
        <f t="shared" ca="1" si="110"/>
        <v>0</v>
      </c>
      <c r="AQ50" s="137">
        <f t="shared" ca="1" si="110"/>
        <v>0</v>
      </c>
      <c r="AR50" s="137">
        <f t="shared" ca="1" si="110"/>
        <v>0</v>
      </c>
      <c r="AS50" s="137">
        <f t="shared" ca="1" si="110"/>
        <v>0</v>
      </c>
      <c r="AT50" s="137">
        <f t="shared" ca="1" si="110"/>
        <v>0</v>
      </c>
      <c r="AU50" s="137">
        <f t="shared" ca="1" si="110"/>
        <v>0</v>
      </c>
      <c r="AV50" s="137">
        <f t="shared" ca="1" si="110"/>
        <v>0</v>
      </c>
      <c r="AW50" s="137">
        <f t="shared" ca="1" si="110"/>
        <v>0</v>
      </c>
      <c r="AX50" s="137">
        <f t="shared" ca="1" si="110"/>
        <v>0</v>
      </c>
      <c r="AY50" s="293">
        <f t="shared" ca="1" si="110"/>
        <v>0</v>
      </c>
      <c r="BA50" s="319">
        <f t="shared" ca="1" si="111"/>
        <v>0</v>
      </c>
      <c r="BB50" s="137">
        <f t="shared" ca="1" si="111"/>
        <v>0</v>
      </c>
      <c r="BC50" s="293">
        <f t="shared" ca="1" si="111"/>
        <v>0</v>
      </c>
    </row>
    <row r="51" spans="2:55" x14ac:dyDescent="0.35">
      <c r="B51" s="81" t="s">
        <v>37</v>
      </c>
      <c r="C51" s="140">
        <f t="shared" ref="C51:AN51" si="112">SUM(C52:C56)</f>
        <v>0</v>
      </c>
      <c r="D51" s="140">
        <f t="shared" ref="D51:AL51" si="113">SUM(D52:D56)</f>
        <v>0</v>
      </c>
      <c r="E51" s="140">
        <f t="shared" si="113"/>
        <v>0</v>
      </c>
      <c r="F51" s="140">
        <f t="shared" si="113"/>
        <v>0</v>
      </c>
      <c r="G51" s="140">
        <f t="shared" si="113"/>
        <v>0</v>
      </c>
      <c r="H51" s="140">
        <f t="shared" si="113"/>
        <v>0</v>
      </c>
      <c r="I51" s="140">
        <f t="shared" si="113"/>
        <v>0</v>
      </c>
      <c r="J51" s="140">
        <f t="shared" si="113"/>
        <v>0</v>
      </c>
      <c r="K51" s="140">
        <f t="shared" si="113"/>
        <v>0</v>
      </c>
      <c r="L51" s="140">
        <f t="shared" si="113"/>
        <v>0</v>
      </c>
      <c r="M51" s="140">
        <f t="shared" si="113"/>
        <v>0</v>
      </c>
      <c r="N51" s="140">
        <f t="shared" si="113"/>
        <v>0</v>
      </c>
      <c r="O51" s="140">
        <f t="shared" si="113"/>
        <v>0</v>
      </c>
      <c r="P51" s="140">
        <f t="shared" si="113"/>
        <v>0</v>
      </c>
      <c r="Q51" s="140">
        <f t="shared" si="113"/>
        <v>0</v>
      </c>
      <c r="R51" s="140">
        <f t="shared" si="113"/>
        <v>0</v>
      </c>
      <c r="S51" s="140">
        <f t="shared" si="113"/>
        <v>0</v>
      </c>
      <c r="T51" s="140">
        <f t="shared" si="113"/>
        <v>0</v>
      </c>
      <c r="U51" s="140">
        <f t="shared" si="113"/>
        <v>0</v>
      </c>
      <c r="V51" s="140">
        <f t="shared" si="113"/>
        <v>0</v>
      </c>
      <c r="W51" s="140">
        <f t="shared" si="113"/>
        <v>0</v>
      </c>
      <c r="X51" s="140">
        <f t="shared" si="113"/>
        <v>0</v>
      </c>
      <c r="Y51" s="140">
        <f t="shared" si="113"/>
        <v>0</v>
      </c>
      <c r="Z51" s="140">
        <f t="shared" si="113"/>
        <v>0</v>
      </c>
      <c r="AA51" s="140">
        <f t="shared" si="113"/>
        <v>0</v>
      </c>
      <c r="AB51" s="140">
        <f t="shared" si="113"/>
        <v>0</v>
      </c>
      <c r="AC51" s="140">
        <f t="shared" si="113"/>
        <v>0</v>
      </c>
      <c r="AD51" s="140">
        <f t="shared" si="113"/>
        <v>0</v>
      </c>
      <c r="AE51" s="140">
        <f t="shared" si="113"/>
        <v>0</v>
      </c>
      <c r="AF51" s="140">
        <f t="shared" si="113"/>
        <v>0</v>
      </c>
      <c r="AG51" s="140">
        <f t="shared" si="113"/>
        <v>0</v>
      </c>
      <c r="AH51" s="140">
        <f t="shared" si="113"/>
        <v>0</v>
      </c>
      <c r="AI51" s="140">
        <f t="shared" si="113"/>
        <v>0</v>
      </c>
      <c r="AJ51" s="140">
        <f t="shared" si="113"/>
        <v>0</v>
      </c>
      <c r="AK51" s="140">
        <f t="shared" si="113"/>
        <v>0</v>
      </c>
      <c r="AL51" s="301">
        <f t="shared" si="113"/>
        <v>0</v>
      </c>
      <c r="AN51" s="327">
        <f t="shared" ca="1" si="112"/>
        <v>0</v>
      </c>
      <c r="AO51" s="140">
        <f t="shared" ref="AO51:AT51" ca="1" si="114">SUM(AO52:AO56)</f>
        <v>0</v>
      </c>
      <c r="AP51" s="140">
        <f t="shared" ca="1" si="114"/>
        <v>0</v>
      </c>
      <c r="AQ51" s="140">
        <f t="shared" ca="1" si="114"/>
        <v>0</v>
      </c>
      <c r="AR51" s="140">
        <f t="shared" ca="1" si="114"/>
        <v>0</v>
      </c>
      <c r="AS51" s="140">
        <f t="shared" ca="1" si="114"/>
        <v>0</v>
      </c>
      <c r="AT51" s="140">
        <f t="shared" ca="1" si="114"/>
        <v>0</v>
      </c>
      <c r="AU51" s="140">
        <f t="shared" ref="AU51:AY51" ca="1" si="115">SUM(AU52:AU56)</f>
        <v>0</v>
      </c>
      <c r="AV51" s="140">
        <f t="shared" ca="1" si="115"/>
        <v>0</v>
      </c>
      <c r="AW51" s="140">
        <f t="shared" ca="1" si="115"/>
        <v>0</v>
      </c>
      <c r="AX51" s="140">
        <f t="shared" ca="1" si="115"/>
        <v>0</v>
      </c>
      <c r="AY51" s="301">
        <f t="shared" ca="1" si="115"/>
        <v>0</v>
      </c>
      <c r="BA51" s="327">
        <f t="shared" ref="BA51" ca="1" si="116">SUM(BA52:BA56)</f>
        <v>0</v>
      </c>
      <c r="BB51" s="140">
        <f t="shared" ref="BB51:BC51" ca="1" si="117">SUM(BB52:BB56)</f>
        <v>0</v>
      </c>
      <c r="BC51" s="301">
        <f t="shared" ca="1" si="117"/>
        <v>0</v>
      </c>
    </row>
    <row r="52" spans="2:55" x14ac:dyDescent="0.35">
      <c r="B52" s="64" t="s">
        <v>38</v>
      </c>
      <c r="C52" s="137">
        <f>IF(C$12="Actual",SUMIFS(ActualsTable[Month 1],ActualsTable[Expense Item2],$B52),SUMIFS(Expenses!BB$8:BB$69,Expenses!$O$8:$O$69,$B52)+SUMIFS(Headcount!L$395:L$1442,Headcount!$J$395:$J$1442,$B52))</f>
        <v>0</v>
      </c>
      <c r="D52" s="137">
        <f>IF(D$12="Actual",SUMIFS(ActualsTable[Month 2],ActualsTable[Expense Item2],$B52),SUMIFS(Expenses!BC$8:BC$69,Expenses!$O$8:$O$69,$B52)+SUMIFS(Headcount!M$395:M$1442,Headcount!$J$395:$J$1442,$B52))</f>
        <v>0</v>
      </c>
      <c r="E52" s="137">
        <f>IF(E$12="Actual",SUMIFS(ActualsTable[Month 3],ActualsTable[Expense Item2],$B52),SUMIFS(Expenses!BD$8:BD$69,Expenses!$O$8:$O$69,$B52)+SUMIFS(Headcount!N$395:N$1442,Headcount!$J$395:$J$1442,$B52))</f>
        <v>0</v>
      </c>
      <c r="F52" s="137">
        <f>IF(F$12="Actual",SUMIFS(ActualsTable[Month 4],ActualsTable[Expense Item2],$B52),SUMIFS(Expenses!BE$8:BE$69,Expenses!$O$8:$O$69,$B52)+SUMIFS(Headcount!O$395:O$1442,Headcount!$J$395:$J$1442,$B52))</f>
        <v>0</v>
      </c>
      <c r="G52" s="137">
        <f>IF(G$12="Actual",SUMIFS(ActualsTable[Month 5],ActualsTable[Expense Item2],$B52),SUMIFS(Expenses!BF$8:BF$69,Expenses!$O$8:$O$69,$B52)+SUMIFS(Headcount!P$395:P$1442,Headcount!$J$395:$J$1442,$B52))</f>
        <v>0</v>
      </c>
      <c r="H52" s="137">
        <f>IF(H$12="Actual",SUMIFS(ActualsTable[Month 6],ActualsTable[Expense Item2],$B52),SUMIFS(Expenses!BG$8:BG$69,Expenses!$O$8:$O$69,$B52)+SUMIFS(Headcount!Q$395:Q$1442,Headcount!$J$395:$J$1442,$B52))</f>
        <v>0</v>
      </c>
      <c r="I52" s="137">
        <f>IF(I$12="Actual",SUMIFS(ActualsTable[Month 7],ActualsTable[Expense Item2],$B52),SUMIFS(Expenses!BH$8:BH$69,Expenses!$O$8:$O$69,$B52)+SUMIFS(Headcount!R$395:R$1442,Headcount!$J$395:$J$1442,$B52))</f>
        <v>0</v>
      </c>
      <c r="J52" s="137">
        <f>IF(J$12="Actual",SUMIFS(ActualsTable[Month 8],ActualsTable[Expense Item2],$B52),SUMIFS(Expenses!BI$8:BI$69,Expenses!$O$8:$O$69,$B52)+SUMIFS(Headcount!S$395:S$1442,Headcount!$J$395:$J$1442,$B52))</f>
        <v>0</v>
      </c>
      <c r="K52" s="137">
        <f>IF(K$12="Actual",SUMIFS(ActualsTable[Month 9],ActualsTable[Expense Item2],$B52),SUMIFS(Expenses!BJ$8:BJ$69,Expenses!$O$8:$O$69,$B52)+SUMIFS(Headcount!T$395:T$1442,Headcount!$J$395:$J$1442,$B52))</f>
        <v>0</v>
      </c>
      <c r="L52" s="137">
        <f>IF(L$12="Actual",SUMIFS(ActualsTable[Month 10],ActualsTable[Expense Item2],$B52),SUMIFS(Expenses!BK$8:BK$69,Expenses!$O$8:$O$69,$B52)+SUMIFS(Headcount!U$395:U$1442,Headcount!$J$395:$J$1442,$B52))</f>
        <v>0</v>
      </c>
      <c r="M52" s="137">
        <f>IF(M$12="Actual",SUMIFS(ActualsTable[Month 11],ActualsTable[Expense Item2],$B52),SUMIFS(Expenses!BL$8:BL$69,Expenses!$O$8:$O$69,$B52)+SUMIFS(Headcount!V$395:V$1442,Headcount!$J$395:$J$1442,$B52))</f>
        <v>0</v>
      </c>
      <c r="N52" s="137">
        <f>IF(N$12="Actual",SUMIFS(ActualsTable[Month 12],ActualsTable[Expense Item2],$B52),SUMIFS(Expenses!BM$8:BM$69,Expenses!$O$8:$O$69,$B52)+SUMIFS(Headcount!W$395:W$1442,Headcount!$J$395:$J$1442,$B52))</f>
        <v>0</v>
      </c>
      <c r="O52" s="137">
        <f>IF(O$12="Actual",SUMIFS(ActualsTable[Month 13],ActualsTable[Expense Item2],$B52),SUMIFS(Expenses!BN$8:BN$69,Expenses!$O$8:$O$69,$B52)+SUMIFS(Headcount!X$395:X$1442,Headcount!$J$395:$J$1442,$B52))</f>
        <v>0</v>
      </c>
      <c r="P52" s="137">
        <f>IF(P$12="Actual",SUMIFS(ActualsTable[Month 14],ActualsTable[Expense Item2],$B52),SUMIFS(Expenses!BO$8:BO$69,Expenses!$O$8:$O$69,$B52)+SUMIFS(Headcount!Y$395:Y$1442,Headcount!$J$395:$J$1442,$B52))</f>
        <v>0</v>
      </c>
      <c r="Q52" s="137">
        <f>IF(Q$12="Actual",SUMIFS(ActualsTable[Month 15],ActualsTable[Expense Item2],$B52),SUMIFS(Expenses!BP$8:BP$69,Expenses!$O$8:$O$69,$B52)+SUMIFS(Headcount!Z$395:Z$1442,Headcount!$J$395:$J$1442,$B52))</f>
        <v>0</v>
      </c>
      <c r="R52" s="137">
        <f>IF(R$12="Actual",SUMIFS(ActualsTable[Month 16],ActualsTable[Expense Item2],$B52),SUMIFS(Expenses!BQ$8:BQ$69,Expenses!$O$8:$O$69,$B52)+SUMIFS(Headcount!AA$395:AA$1442,Headcount!$J$395:$J$1442,$B52))</f>
        <v>0</v>
      </c>
      <c r="S52" s="137">
        <f>IF(S$12="Actual",SUMIFS(ActualsTable[Month 17],ActualsTable[Expense Item2],$B52),SUMIFS(Expenses!BR$8:BR$69,Expenses!$O$8:$O$69,$B52)+SUMIFS(Headcount!AB$395:AB$1442,Headcount!$J$395:$J$1442,$B52))</f>
        <v>0</v>
      </c>
      <c r="T52" s="137">
        <f>IF(T$12="Actual",SUMIFS(ActualsTable[Month 18],ActualsTable[Expense Item2],$B52),SUMIFS(Expenses!BS$8:BS$69,Expenses!$O$8:$O$69,$B52)+SUMIFS(Headcount!AC$395:AC$1442,Headcount!$J$395:$J$1442,$B52))</f>
        <v>0</v>
      </c>
      <c r="U52" s="137">
        <f>IF(U$12="Actual",SUMIFS(ActualsTable[Month 19],ActualsTable[Expense Item2],$B52),SUMIFS(Expenses!BT$8:BT$69,Expenses!$O$8:$O$69,$B52)+SUMIFS(Headcount!AD$395:AD$1442,Headcount!$J$395:$J$1442,$B52))</f>
        <v>0</v>
      </c>
      <c r="V52" s="137">
        <f>IF(V$12="Actual",SUMIFS(ActualsTable[Month 20],ActualsTable[Expense Item2],$B52),SUMIFS(Expenses!BU$8:BU$69,Expenses!$O$8:$O$69,$B52)+SUMIFS(Headcount!AE$395:AE$1442,Headcount!$J$395:$J$1442,$B52))</f>
        <v>0</v>
      </c>
      <c r="W52" s="137">
        <f>IF(W$12="Actual",SUMIFS(ActualsTable[Month 21],ActualsTable[Expense Item2],$B52),SUMIFS(Expenses!BV$8:BV$69,Expenses!$O$8:$O$69,$B52)+SUMIFS(Headcount!AF$395:AF$1442,Headcount!$J$395:$J$1442,$B52))</f>
        <v>0</v>
      </c>
      <c r="X52" s="137">
        <f>IF(X$12="Actual",SUMIFS(ActualsTable[Month 22],ActualsTable[Expense Item2],$B52),SUMIFS(Expenses!BW$8:BW$69,Expenses!$O$8:$O$69,$B52)+SUMIFS(Headcount!AG$395:AG$1442,Headcount!$J$395:$J$1442,$B52))</f>
        <v>0</v>
      </c>
      <c r="Y52" s="137">
        <f>IF(Y$12="Actual",SUMIFS(ActualsTable[Month 23],ActualsTable[Expense Item2],$B52),SUMIFS(Expenses!BX$8:BX$69,Expenses!$O$8:$O$69,$B52)+SUMIFS(Headcount!AH$395:AH$1442,Headcount!$J$395:$J$1442,$B52))</f>
        <v>0</v>
      </c>
      <c r="Z52" s="137">
        <f>IF(Z$12="Actual",SUMIFS(ActualsTable[Month 24],ActualsTable[Expense Item2],$B52),SUMIFS(Expenses!BY$8:BY$69,Expenses!$O$8:$O$69,$B52)+SUMIFS(Headcount!AI$395:AI$1442,Headcount!$J$395:$J$1442,$B52))</f>
        <v>0</v>
      </c>
      <c r="AA52" s="137">
        <f>IF(AA$12="Actual",SUMIFS(ActualsTable[Month 25],ActualsTable[Expense Item2],$B52),SUMIFS(Expenses!BZ$8:BZ$69,Expenses!$O$8:$O$69,$B52)+SUMIFS(Headcount!AJ$395:AJ$1442,Headcount!$J$395:$J$1442,$B52))</f>
        <v>0</v>
      </c>
      <c r="AB52" s="137">
        <f>IF(AB$12="Actual",SUMIFS(ActualsTable[Month 26],ActualsTable[Expense Item2],$B52),SUMIFS(Expenses!CA$8:CA$69,Expenses!$O$8:$O$69,$B52)+SUMIFS(Headcount!AK$395:AK$1442,Headcount!$J$395:$J$1442,$B52))</f>
        <v>0</v>
      </c>
      <c r="AC52" s="137">
        <f>IF(AC$12="Actual",SUMIFS(ActualsTable[Month 27],ActualsTable[Expense Item2],$B52),SUMIFS(Expenses!CB$8:CB$69,Expenses!$O$8:$O$69,$B52)+SUMIFS(Headcount!AL$395:AL$1442,Headcount!$J$395:$J$1442,$B52))</f>
        <v>0</v>
      </c>
      <c r="AD52" s="137">
        <f>IF(AD$12="Actual",SUMIFS(ActualsTable[Month 28],ActualsTable[Expense Item2],$B52),SUMIFS(Expenses!CC$8:CC$69,Expenses!$O$8:$O$69,$B52)+SUMIFS(Headcount!AM$395:AM$1442,Headcount!$J$395:$J$1442,$B52))</f>
        <v>0</v>
      </c>
      <c r="AE52" s="137">
        <f>IF(AE$12="Actual",SUMIFS(ActualsTable[Month 29],ActualsTable[Expense Item2],$B52),SUMIFS(Expenses!CD$8:CD$69,Expenses!$O$8:$O$69,$B52)+SUMIFS(Headcount!AN$395:AN$1442,Headcount!$J$395:$J$1442,$B52))</f>
        <v>0</v>
      </c>
      <c r="AF52" s="137">
        <f>IF(AF$12="Actual",SUMIFS(ActualsTable[Month 30],ActualsTable[Expense Item2],$B52),SUMIFS(Expenses!CE$8:CE$69,Expenses!$O$8:$O$69,$B52)+SUMIFS(Headcount!AO$395:AO$1442,Headcount!$J$395:$J$1442,$B52))</f>
        <v>0</v>
      </c>
      <c r="AG52" s="137">
        <f>IF(AG$12="Actual",SUMIFS(ActualsTable[Month 31],ActualsTable[Expense Item2],$B52),SUMIFS(Expenses!CF$8:CF$69,Expenses!$O$8:$O$69,$B52)+SUMIFS(Headcount!AP$395:AP$1442,Headcount!$J$395:$J$1442,$B52))</f>
        <v>0</v>
      </c>
      <c r="AH52" s="137">
        <f>IF(AH$12="Actual",SUMIFS(ActualsTable[Month 32],ActualsTable[Expense Item2],$B52),SUMIFS(Expenses!CG$8:CG$69,Expenses!$O$8:$O$69,$B52)+SUMIFS(Headcount!AQ$395:AQ$1442,Headcount!$J$395:$J$1442,$B52))</f>
        <v>0</v>
      </c>
      <c r="AI52" s="137">
        <f>IF(AI$12="Actual",SUMIFS(ActualsTable[Month 33],ActualsTable[Expense Item2],$B52),SUMIFS(Expenses!CH$8:CH$69,Expenses!$O$8:$O$69,$B52)+SUMIFS(Headcount!AR$395:AR$1442,Headcount!$J$395:$J$1442,$B52))</f>
        <v>0</v>
      </c>
      <c r="AJ52" s="137">
        <f>IF(AJ$12="Actual",SUMIFS(ActualsTable[Month 34],ActualsTable[Expense Item2],$B52),SUMIFS(Expenses!CI$8:CI$69,Expenses!$O$8:$O$69,$B52)+SUMIFS(Headcount!AS$395:AS$1442,Headcount!$J$395:$J$1442,$B52))</f>
        <v>0</v>
      </c>
      <c r="AK52" s="137">
        <f>IF(AK$12="Actual",SUMIFS(ActualsTable[Month 35],ActualsTable[Expense Item2],$B52),SUMIFS(Expenses!CJ$8:CJ$69,Expenses!$O$8:$O$69,$B52)+SUMIFS(Headcount!AT$395:AT$1442,Headcount!$J$395:$J$1442,$B52))</f>
        <v>0</v>
      </c>
      <c r="AL52" s="293">
        <f>IF(AL$12="Actual",SUMIFS(ActualsTable[Month 36],ActualsTable[Expense Item2],$B52),SUMIFS(Expenses!CK$8:CK$69,Expenses!$O$8:$O$69,$B52)+SUMIFS(Headcount!AU$395:AU$1442,Headcount!$J$395:$J$1442,$B52))</f>
        <v>0</v>
      </c>
      <c r="AN52" s="319">
        <f t="shared" ref="AN52:AY59" ca="1" si="118">SUM(OFFSET($B52,0,3*AN$9+1,1,3))</f>
        <v>0</v>
      </c>
      <c r="AO52" s="137">
        <f t="shared" ca="1" si="118"/>
        <v>0</v>
      </c>
      <c r="AP52" s="137">
        <f t="shared" ca="1" si="118"/>
        <v>0</v>
      </c>
      <c r="AQ52" s="137">
        <f t="shared" ca="1" si="118"/>
        <v>0</v>
      </c>
      <c r="AR52" s="137">
        <f t="shared" ca="1" si="118"/>
        <v>0</v>
      </c>
      <c r="AS52" s="137">
        <f t="shared" ca="1" si="118"/>
        <v>0</v>
      </c>
      <c r="AT52" s="137">
        <f t="shared" ca="1" si="118"/>
        <v>0</v>
      </c>
      <c r="AU52" s="137">
        <f t="shared" ca="1" si="118"/>
        <v>0</v>
      </c>
      <c r="AV52" s="137">
        <f t="shared" ca="1" si="118"/>
        <v>0</v>
      </c>
      <c r="AW52" s="137">
        <f t="shared" ca="1" si="118"/>
        <v>0</v>
      </c>
      <c r="AX52" s="137">
        <f t="shared" ca="1" si="118"/>
        <v>0</v>
      </c>
      <c r="AY52" s="293">
        <f t="shared" ca="1" si="118"/>
        <v>0</v>
      </c>
      <c r="BA52" s="319">
        <f t="shared" ref="BA52:BC59" ca="1" si="119">SUM(OFFSET($B52,0,12*BA$9+1,1,12))</f>
        <v>0</v>
      </c>
      <c r="BB52" s="137">
        <f t="shared" ca="1" si="119"/>
        <v>0</v>
      </c>
      <c r="BC52" s="293">
        <f t="shared" ca="1" si="119"/>
        <v>0</v>
      </c>
    </row>
    <row r="53" spans="2:55" x14ac:dyDescent="0.35">
      <c r="B53" s="64" t="s">
        <v>39</v>
      </c>
      <c r="C53" s="137">
        <f>IF(C$12="Actual",SUMIFS(ActualsTable[Month 1],ActualsTable[Expense Item2],$B53),SUMIFS(Expenses!BB$8:BB$69,Expenses!$O$8:$O$69,$B53)+SUMIFS(Headcount!L$395:L$1442,Headcount!$J$395:$J$1442,$B53))</f>
        <v>0</v>
      </c>
      <c r="D53" s="137">
        <f>IF(D$12="Actual",SUMIFS(ActualsTable[Month 2],ActualsTable[Expense Item2],$B53),SUMIFS(Expenses!BC$8:BC$69,Expenses!$O$8:$O$69,$B53)+SUMIFS(Headcount!M$395:M$1442,Headcount!$J$395:$J$1442,$B53))</f>
        <v>0</v>
      </c>
      <c r="E53" s="137">
        <f>IF(E$12="Actual",SUMIFS(ActualsTable[Month 3],ActualsTable[Expense Item2],$B53),SUMIFS(Expenses!BD$8:BD$69,Expenses!$O$8:$O$69,$B53)+SUMIFS(Headcount!N$395:N$1442,Headcount!$J$395:$J$1442,$B53))</f>
        <v>0</v>
      </c>
      <c r="F53" s="137">
        <f>IF(F$12="Actual",SUMIFS(ActualsTable[Month 4],ActualsTable[Expense Item2],$B53),SUMIFS(Expenses!BE$8:BE$69,Expenses!$O$8:$O$69,$B53)+SUMIFS(Headcount!O$395:O$1442,Headcount!$J$395:$J$1442,$B53))</f>
        <v>0</v>
      </c>
      <c r="G53" s="137">
        <f>IF(G$12="Actual",SUMIFS(ActualsTable[Month 5],ActualsTable[Expense Item2],$B53),SUMIFS(Expenses!BF$8:BF$69,Expenses!$O$8:$O$69,$B53)+SUMIFS(Headcount!P$395:P$1442,Headcount!$J$395:$J$1442,$B53))</f>
        <v>0</v>
      </c>
      <c r="H53" s="137">
        <f>IF(H$12="Actual",SUMIFS(ActualsTable[Month 6],ActualsTable[Expense Item2],$B53),SUMIFS(Expenses!BG$8:BG$69,Expenses!$O$8:$O$69,$B53)+SUMIFS(Headcount!Q$395:Q$1442,Headcount!$J$395:$J$1442,$B53))</f>
        <v>0</v>
      </c>
      <c r="I53" s="137">
        <f>IF(I$12="Actual",SUMIFS(ActualsTable[Month 7],ActualsTable[Expense Item2],$B53),SUMIFS(Expenses!BH$8:BH$69,Expenses!$O$8:$O$69,$B53)+SUMIFS(Headcount!R$395:R$1442,Headcount!$J$395:$J$1442,$B53))</f>
        <v>0</v>
      </c>
      <c r="J53" s="137">
        <f>IF(J$12="Actual",SUMIFS(ActualsTable[Month 8],ActualsTable[Expense Item2],$B53),SUMIFS(Expenses!BI$8:BI$69,Expenses!$O$8:$O$69,$B53)+SUMIFS(Headcount!S$395:S$1442,Headcount!$J$395:$J$1442,$B53))</f>
        <v>0</v>
      </c>
      <c r="K53" s="137">
        <f>IF(K$12="Actual",SUMIFS(ActualsTable[Month 9],ActualsTable[Expense Item2],$B53),SUMIFS(Expenses!BJ$8:BJ$69,Expenses!$O$8:$O$69,$B53)+SUMIFS(Headcount!T$395:T$1442,Headcount!$J$395:$J$1442,$B53))</f>
        <v>0</v>
      </c>
      <c r="L53" s="137">
        <f>IF(L$12="Actual",SUMIFS(ActualsTable[Month 10],ActualsTable[Expense Item2],$B53),SUMIFS(Expenses!BK$8:BK$69,Expenses!$O$8:$O$69,$B53)+SUMIFS(Headcount!U$395:U$1442,Headcount!$J$395:$J$1442,$B53))</f>
        <v>0</v>
      </c>
      <c r="M53" s="137">
        <f>IF(M$12="Actual",SUMIFS(ActualsTable[Month 11],ActualsTable[Expense Item2],$B53),SUMIFS(Expenses!BL$8:BL$69,Expenses!$O$8:$O$69,$B53)+SUMIFS(Headcount!V$395:V$1442,Headcount!$J$395:$J$1442,$B53))</f>
        <v>0</v>
      </c>
      <c r="N53" s="137">
        <f>IF(N$12="Actual",SUMIFS(ActualsTable[Month 12],ActualsTable[Expense Item2],$B53),SUMIFS(Expenses!BM$8:BM$69,Expenses!$O$8:$O$69,$B53)+SUMIFS(Headcount!W$395:W$1442,Headcount!$J$395:$J$1442,$B53))</f>
        <v>0</v>
      </c>
      <c r="O53" s="137">
        <f>IF(O$12="Actual",SUMIFS(ActualsTable[Month 13],ActualsTable[Expense Item2],$B53),SUMIFS(Expenses!BN$8:BN$69,Expenses!$O$8:$O$69,$B53)+SUMIFS(Headcount!X$395:X$1442,Headcount!$J$395:$J$1442,$B53))</f>
        <v>0</v>
      </c>
      <c r="P53" s="137">
        <f>IF(P$12="Actual",SUMIFS(ActualsTable[Month 14],ActualsTable[Expense Item2],$B53),SUMIFS(Expenses!BO$8:BO$69,Expenses!$O$8:$O$69,$B53)+SUMIFS(Headcount!Y$395:Y$1442,Headcount!$J$395:$J$1442,$B53))</f>
        <v>0</v>
      </c>
      <c r="Q53" s="137">
        <f>IF(Q$12="Actual",SUMIFS(ActualsTable[Month 15],ActualsTable[Expense Item2],$B53),SUMIFS(Expenses!BP$8:BP$69,Expenses!$O$8:$O$69,$B53)+SUMIFS(Headcount!Z$395:Z$1442,Headcount!$J$395:$J$1442,$B53))</f>
        <v>0</v>
      </c>
      <c r="R53" s="137">
        <f>IF(R$12="Actual",SUMIFS(ActualsTable[Month 16],ActualsTable[Expense Item2],$B53),SUMIFS(Expenses!BQ$8:BQ$69,Expenses!$O$8:$O$69,$B53)+SUMIFS(Headcount!AA$395:AA$1442,Headcount!$J$395:$J$1442,$B53))</f>
        <v>0</v>
      </c>
      <c r="S53" s="137">
        <f>IF(S$12="Actual",SUMIFS(ActualsTable[Month 17],ActualsTable[Expense Item2],$B53),SUMIFS(Expenses!BR$8:BR$69,Expenses!$O$8:$O$69,$B53)+SUMIFS(Headcount!AB$395:AB$1442,Headcount!$J$395:$J$1442,$B53))</f>
        <v>0</v>
      </c>
      <c r="T53" s="137">
        <f>IF(T$12="Actual",SUMIFS(ActualsTable[Month 18],ActualsTable[Expense Item2],$B53),SUMIFS(Expenses!BS$8:BS$69,Expenses!$O$8:$O$69,$B53)+SUMIFS(Headcount!AC$395:AC$1442,Headcount!$J$395:$J$1442,$B53))</f>
        <v>0</v>
      </c>
      <c r="U53" s="137">
        <f>IF(U$12="Actual",SUMIFS(ActualsTable[Month 19],ActualsTable[Expense Item2],$B53),SUMIFS(Expenses!BT$8:BT$69,Expenses!$O$8:$O$69,$B53)+SUMIFS(Headcount!AD$395:AD$1442,Headcount!$J$395:$J$1442,$B53))</f>
        <v>0</v>
      </c>
      <c r="V53" s="137">
        <f>IF(V$12="Actual",SUMIFS(ActualsTable[Month 20],ActualsTable[Expense Item2],$B53),SUMIFS(Expenses!BU$8:BU$69,Expenses!$O$8:$O$69,$B53)+SUMIFS(Headcount!AE$395:AE$1442,Headcount!$J$395:$J$1442,$B53))</f>
        <v>0</v>
      </c>
      <c r="W53" s="137">
        <f>IF(W$12="Actual",SUMIFS(ActualsTable[Month 21],ActualsTable[Expense Item2],$B53),SUMIFS(Expenses!BV$8:BV$69,Expenses!$O$8:$O$69,$B53)+SUMIFS(Headcount!AF$395:AF$1442,Headcount!$J$395:$J$1442,$B53))</f>
        <v>0</v>
      </c>
      <c r="X53" s="137">
        <f>IF(X$12="Actual",SUMIFS(ActualsTable[Month 22],ActualsTable[Expense Item2],$B53),SUMIFS(Expenses!BW$8:BW$69,Expenses!$O$8:$O$69,$B53)+SUMIFS(Headcount!AG$395:AG$1442,Headcount!$J$395:$J$1442,$B53))</f>
        <v>0</v>
      </c>
      <c r="Y53" s="137">
        <f>IF(Y$12="Actual",SUMIFS(ActualsTable[Month 23],ActualsTable[Expense Item2],$B53),SUMIFS(Expenses!BX$8:BX$69,Expenses!$O$8:$O$69,$B53)+SUMIFS(Headcount!AH$395:AH$1442,Headcount!$J$395:$J$1442,$B53))</f>
        <v>0</v>
      </c>
      <c r="Z53" s="137">
        <f>IF(Z$12="Actual",SUMIFS(ActualsTable[Month 24],ActualsTable[Expense Item2],$B53),SUMIFS(Expenses!BY$8:BY$69,Expenses!$O$8:$O$69,$B53)+SUMIFS(Headcount!AI$395:AI$1442,Headcount!$J$395:$J$1442,$B53))</f>
        <v>0</v>
      </c>
      <c r="AA53" s="137">
        <f>IF(AA$12="Actual",SUMIFS(ActualsTable[Month 25],ActualsTable[Expense Item2],$B53),SUMIFS(Expenses!BZ$8:BZ$69,Expenses!$O$8:$O$69,$B53)+SUMIFS(Headcount!AJ$395:AJ$1442,Headcount!$J$395:$J$1442,$B53))</f>
        <v>0</v>
      </c>
      <c r="AB53" s="137">
        <f>IF(AB$12="Actual",SUMIFS(ActualsTable[Month 26],ActualsTable[Expense Item2],$B53),SUMIFS(Expenses!CA$8:CA$69,Expenses!$O$8:$O$69,$B53)+SUMIFS(Headcount!AK$395:AK$1442,Headcount!$J$395:$J$1442,$B53))</f>
        <v>0</v>
      </c>
      <c r="AC53" s="137">
        <f>IF(AC$12="Actual",SUMIFS(ActualsTable[Month 27],ActualsTable[Expense Item2],$B53),SUMIFS(Expenses!CB$8:CB$69,Expenses!$O$8:$O$69,$B53)+SUMIFS(Headcount!AL$395:AL$1442,Headcount!$J$395:$J$1442,$B53))</f>
        <v>0</v>
      </c>
      <c r="AD53" s="137">
        <f>IF(AD$12="Actual",SUMIFS(ActualsTable[Month 28],ActualsTable[Expense Item2],$B53),SUMIFS(Expenses!CC$8:CC$69,Expenses!$O$8:$O$69,$B53)+SUMIFS(Headcount!AM$395:AM$1442,Headcount!$J$395:$J$1442,$B53))</f>
        <v>0</v>
      </c>
      <c r="AE53" s="137">
        <f>IF(AE$12="Actual",SUMIFS(ActualsTable[Month 29],ActualsTable[Expense Item2],$B53),SUMIFS(Expenses!CD$8:CD$69,Expenses!$O$8:$O$69,$B53)+SUMIFS(Headcount!AN$395:AN$1442,Headcount!$J$395:$J$1442,$B53))</f>
        <v>0</v>
      </c>
      <c r="AF53" s="137">
        <f>IF(AF$12="Actual",SUMIFS(ActualsTable[Month 30],ActualsTable[Expense Item2],$B53),SUMIFS(Expenses!CE$8:CE$69,Expenses!$O$8:$O$69,$B53)+SUMIFS(Headcount!AO$395:AO$1442,Headcount!$J$395:$J$1442,$B53))</f>
        <v>0</v>
      </c>
      <c r="AG53" s="137">
        <f>IF(AG$12="Actual",SUMIFS(ActualsTable[Month 31],ActualsTable[Expense Item2],$B53),SUMIFS(Expenses!CF$8:CF$69,Expenses!$O$8:$O$69,$B53)+SUMIFS(Headcount!AP$395:AP$1442,Headcount!$J$395:$J$1442,$B53))</f>
        <v>0</v>
      </c>
      <c r="AH53" s="137">
        <f>IF(AH$12="Actual",SUMIFS(ActualsTable[Month 32],ActualsTable[Expense Item2],$B53),SUMIFS(Expenses!CG$8:CG$69,Expenses!$O$8:$O$69,$B53)+SUMIFS(Headcount!AQ$395:AQ$1442,Headcount!$J$395:$J$1442,$B53))</f>
        <v>0</v>
      </c>
      <c r="AI53" s="137">
        <f>IF(AI$12="Actual",SUMIFS(ActualsTable[Month 33],ActualsTable[Expense Item2],$B53),SUMIFS(Expenses!CH$8:CH$69,Expenses!$O$8:$O$69,$B53)+SUMIFS(Headcount!AR$395:AR$1442,Headcount!$J$395:$J$1442,$B53))</f>
        <v>0</v>
      </c>
      <c r="AJ53" s="137">
        <f>IF(AJ$12="Actual",SUMIFS(ActualsTable[Month 34],ActualsTable[Expense Item2],$B53),SUMIFS(Expenses!CI$8:CI$69,Expenses!$O$8:$O$69,$B53)+SUMIFS(Headcount!AS$395:AS$1442,Headcount!$J$395:$J$1442,$B53))</f>
        <v>0</v>
      </c>
      <c r="AK53" s="137">
        <f>IF(AK$12="Actual",SUMIFS(ActualsTable[Month 35],ActualsTable[Expense Item2],$B53),SUMIFS(Expenses!CJ$8:CJ$69,Expenses!$O$8:$O$69,$B53)+SUMIFS(Headcount!AT$395:AT$1442,Headcount!$J$395:$J$1442,$B53))</f>
        <v>0</v>
      </c>
      <c r="AL53" s="293">
        <f>IF(AL$12="Actual",SUMIFS(ActualsTable[Month 36],ActualsTable[Expense Item2],$B53),SUMIFS(Expenses!CK$8:CK$69,Expenses!$O$8:$O$69,$B53)+SUMIFS(Headcount!AU$395:AU$1442,Headcount!$J$395:$J$1442,$B53))</f>
        <v>0</v>
      </c>
      <c r="AN53" s="319">
        <f t="shared" ca="1" si="118"/>
        <v>0</v>
      </c>
      <c r="AO53" s="137">
        <f t="shared" ca="1" si="118"/>
        <v>0</v>
      </c>
      <c r="AP53" s="137">
        <f t="shared" ca="1" si="118"/>
        <v>0</v>
      </c>
      <c r="AQ53" s="137">
        <f t="shared" ca="1" si="118"/>
        <v>0</v>
      </c>
      <c r="AR53" s="137">
        <f t="shared" ca="1" si="118"/>
        <v>0</v>
      </c>
      <c r="AS53" s="137">
        <f t="shared" ca="1" si="118"/>
        <v>0</v>
      </c>
      <c r="AT53" s="137">
        <f t="shared" ca="1" si="118"/>
        <v>0</v>
      </c>
      <c r="AU53" s="137">
        <f t="shared" ca="1" si="118"/>
        <v>0</v>
      </c>
      <c r="AV53" s="137">
        <f t="shared" ca="1" si="118"/>
        <v>0</v>
      </c>
      <c r="AW53" s="137">
        <f t="shared" ca="1" si="118"/>
        <v>0</v>
      </c>
      <c r="AX53" s="137">
        <f t="shared" ca="1" si="118"/>
        <v>0</v>
      </c>
      <c r="AY53" s="293">
        <f t="shared" ca="1" si="118"/>
        <v>0</v>
      </c>
      <c r="BA53" s="319">
        <f t="shared" ca="1" si="119"/>
        <v>0</v>
      </c>
      <c r="BB53" s="137">
        <f t="shared" ca="1" si="119"/>
        <v>0</v>
      </c>
      <c r="BC53" s="293">
        <f t="shared" ca="1" si="119"/>
        <v>0</v>
      </c>
    </row>
    <row r="54" spans="2:55" x14ac:dyDescent="0.35">
      <c r="B54" s="64" t="s">
        <v>40</v>
      </c>
      <c r="C54" s="137">
        <f>IF(C$12="Actual",SUMIFS(ActualsTable[Month 1],ActualsTable[Expense Item2],$B54),SUMIFS(Expenses!BB$8:BB$69,Expenses!$O$8:$O$69,$B54)+SUMIFS(Headcount!L$395:L$1442,Headcount!$J$395:$J$1442,$B54))</f>
        <v>0</v>
      </c>
      <c r="D54" s="137">
        <f>IF(D$12="Actual",SUMIFS(ActualsTable[Month 2],ActualsTable[Expense Item2],$B54),SUMIFS(Expenses!BC$8:BC$69,Expenses!$O$8:$O$69,$B54)+SUMIFS(Headcount!M$395:M$1442,Headcount!$J$395:$J$1442,$B54))</f>
        <v>0</v>
      </c>
      <c r="E54" s="137">
        <f>IF(E$12="Actual",SUMIFS(ActualsTable[Month 3],ActualsTable[Expense Item2],$B54),SUMIFS(Expenses!BD$8:BD$69,Expenses!$O$8:$O$69,$B54)+SUMIFS(Headcount!N$395:N$1442,Headcount!$J$395:$J$1442,$B54))</f>
        <v>0</v>
      </c>
      <c r="F54" s="137">
        <f>IF(F$12="Actual",SUMIFS(ActualsTable[Month 4],ActualsTable[Expense Item2],$B54),SUMIFS(Expenses!BE$8:BE$69,Expenses!$O$8:$O$69,$B54)+SUMIFS(Headcount!O$395:O$1442,Headcount!$J$395:$J$1442,$B54))</f>
        <v>0</v>
      </c>
      <c r="G54" s="137">
        <f>IF(G$12="Actual",SUMIFS(ActualsTable[Month 5],ActualsTable[Expense Item2],$B54),SUMIFS(Expenses!BF$8:BF$69,Expenses!$O$8:$O$69,$B54)+SUMIFS(Headcount!P$395:P$1442,Headcount!$J$395:$J$1442,$B54))</f>
        <v>0</v>
      </c>
      <c r="H54" s="137">
        <f>IF(H$12="Actual",SUMIFS(ActualsTable[Month 6],ActualsTable[Expense Item2],$B54),SUMIFS(Expenses!BG$8:BG$69,Expenses!$O$8:$O$69,$B54)+SUMIFS(Headcount!Q$395:Q$1442,Headcount!$J$395:$J$1442,$B54))</f>
        <v>0</v>
      </c>
      <c r="I54" s="137">
        <f>IF(I$12="Actual",SUMIFS(ActualsTable[Month 7],ActualsTable[Expense Item2],$B54),SUMIFS(Expenses!BH$8:BH$69,Expenses!$O$8:$O$69,$B54)+SUMIFS(Headcount!R$395:R$1442,Headcount!$J$395:$J$1442,$B54))</f>
        <v>0</v>
      </c>
      <c r="J54" s="137">
        <f>IF(J$12="Actual",SUMIFS(ActualsTable[Month 8],ActualsTable[Expense Item2],$B54),SUMIFS(Expenses!BI$8:BI$69,Expenses!$O$8:$O$69,$B54)+SUMIFS(Headcount!S$395:S$1442,Headcount!$J$395:$J$1442,$B54))</f>
        <v>0</v>
      </c>
      <c r="K54" s="137">
        <f>IF(K$12="Actual",SUMIFS(ActualsTable[Month 9],ActualsTable[Expense Item2],$B54),SUMIFS(Expenses!BJ$8:BJ$69,Expenses!$O$8:$O$69,$B54)+SUMIFS(Headcount!T$395:T$1442,Headcount!$J$395:$J$1442,$B54))</f>
        <v>0</v>
      </c>
      <c r="L54" s="137">
        <f>IF(L$12="Actual",SUMIFS(ActualsTable[Month 10],ActualsTable[Expense Item2],$B54),SUMIFS(Expenses!BK$8:BK$69,Expenses!$O$8:$O$69,$B54)+SUMIFS(Headcount!U$395:U$1442,Headcount!$J$395:$J$1442,$B54))</f>
        <v>0</v>
      </c>
      <c r="M54" s="137">
        <f>IF(M$12="Actual",SUMIFS(ActualsTable[Month 11],ActualsTable[Expense Item2],$B54),SUMIFS(Expenses!BL$8:BL$69,Expenses!$O$8:$O$69,$B54)+SUMIFS(Headcount!V$395:V$1442,Headcount!$J$395:$J$1442,$B54))</f>
        <v>0</v>
      </c>
      <c r="N54" s="137">
        <f>IF(N$12="Actual",SUMIFS(ActualsTable[Month 12],ActualsTable[Expense Item2],$B54),SUMIFS(Expenses!BM$8:BM$69,Expenses!$O$8:$O$69,$B54)+SUMIFS(Headcount!W$395:W$1442,Headcount!$J$395:$J$1442,$B54))</f>
        <v>0</v>
      </c>
      <c r="O54" s="137">
        <f>IF(O$12="Actual",SUMIFS(ActualsTable[Month 13],ActualsTable[Expense Item2],$B54),SUMIFS(Expenses!BN$8:BN$69,Expenses!$O$8:$O$69,$B54)+SUMIFS(Headcount!X$395:X$1442,Headcount!$J$395:$J$1442,$B54))</f>
        <v>0</v>
      </c>
      <c r="P54" s="137">
        <f>IF(P$12="Actual",SUMIFS(ActualsTable[Month 14],ActualsTable[Expense Item2],$B54),SUMIFS(Expenses!BO$8:BO$69,Expenses!$O$8:$O$69,$B54)+SUMIFS(Headcount!Y$395:Y$1442,Headcount!$J$395:$J$1442,$B54))</f>
        <v>0</v>
      </c>
      <c r="Q54" s="137">
        <f>IF(Q$12="Actual",SUMIFS(ActualsTable[Month 15],ActualsTable[Expense Item2],$B54),SUMIFS(Expenses!BP$8:BP$69,Expenses!$O$8:$O$69,$B54)+SUMIFS(Headcount!Z$395:Z$1442,Headcount!$J$395:$J$1442,$B54))</f>
        <v>0</v>
      </c>
      <c r="R54" s="137">
        <f>IF(R$12="Actual",SUMIFS(ActualsTable[Month 16],ActualsTable[Expense Item2],$B54),SUMIFS(Expenses!BQ$8:BQ$69,Expenses!$O$8:$O$69,$B54)+SUMIFS(Headcount!AA$395:AA$1442,Headcount!$J$395:$J$1442,$B54))</f>
        <v>0</v>
      </c>
      <c r="S54" s="137">
        <f>IF(S$12="Actual",SUMIFS(ActualsTable[Month 17],ActualsTable[Expense Item2],$B54),SUMIFS(Expenses!BR$8:BR$69,Expenses!$O$8:$O$69,$B54)+SUMIFS(Headcount!AB$395:AB$1442,Headcount!$J$395:$J$1442,$B54))</f>
        <v>0</v>
      </c>
      <c r="T54" s="137">
        <f>IF(T$12="Actual",SUMIFS(ActualsTable[Month 18],ActualsTable[Expense Item2],$B54),SUMIFS(Expenses!BS$8:BS$69,Expenses!$O$8:$O$69,$B54)+SUMIFS(Headcount!AC$395:AC$1442,Headcount!$J$395:$J$1442,$B54))</f>
        <v>0</v>
      </c>
      <c r="U54" s="137">
        <f>IF(U$12="Actual",SUMIFS(ActualsTable[Month 19],ActualsTable[Expense Item2],$B54),SUMIFS(Expenses!BT$8:BT$69,Expenses!$O$8:$O$69,$B54)+SUMIFS(Headcount!AD$395:AD$1442,Headcount!$J$395:$J$1442,$B54))</f>
        <v>0</v>
      </c>
      <c r="V54" s="137">
        <f>IF(V$12="Actual",SUMIFS(ActualsTable[Month 20],ActualsTable[Expense Item2],$B54),SUMIFS(Expenses!BU$8:BU$69,Expenses!$O$8:$O$69,$B54)+SUMIFS(Headcount!AE$395:AE$1442,Headcount!$J$395:$J$1442,$B54))</f>
        <v>0</v>
      </c>
      <c r="W54" s="137">
        <f>IF(W$12="Actual",SUMIFS(ActualsTable[Month 21],ActualsTable[Expense Item2],$B54),SUMIFS(Expenses!BV$8:BV$69,Expenses!$O$8:$O$69,$B54)+SUMIFS(Headcount!AF$395:AF$1442,Headcount!$J$395:$J$1442,$B54))</f>
        <v>0</v>
      </c>
      <c r="X54" s="137">
        <f>IF(X$12="Actual",SUMIFS(ActualsTable[Month 22],ActualsTable[Expense Item2],$B54),SUMIFS(Expenses!BW$8:BW$69,Expenses!$O$8:$O$69,$B54)+SUMIFS(Headcount!AG$395:AG$1442,Headcount!$J$395:$J$1442,$B54))</f>
        <v>0</v>
      </c>
      <c r="Y54" s="137">
        <f>IF(Y$12="Actual",SUMIFS(ActualsTable[Month 23],ActualsTable[Expense Item2],$B54),SUMIFS(Expenses!BX$8:BX$69,Expenses!$O$8:$O$69,$B54)+SUMIFS(Headcount!AH$395:AH$1442,Headcount!$J$395:$J$1442,$B54))</f>
        <v>0</v>
      </c>
      <c r="Z54" s="137">
        <f>IF(Z$12="Actual",SUMIFS(ActualsTable[Month 24],ActualsTable[Expense Item2],$B54),SUMIFS(Expenses!BY$8:BY$69,Expenses!$O$8:$O$69,$B54)+SUMIFS(Headcount!AI$395:AI$1442,Headcount!$J$395:$J$1442,$B54))</f>
        <v>0</v>
      </c>
      <c r="AA54" s="137">
        <f>IF(AA$12="Actual",SUMIFS(ActualsTable[Month 25],ActualsTable[Expense Item2],$B54),SUMIFS(Expenses!BZ$8:BZ$69,Expenses!$O$8:$O$69,$B54)+SUMIFS(Headcount!AJ$395:AJ$1442,Headcount!$J$395:$J$1442,$B54))</f>
        <v>0</v>
      </c>
      <c r="AB54" s="137">
        <f>IF(AB$12="Actual",SUMIFS(ActualsTable[Month 26],ActualsTable[Expense Item2],$B54),SUMIFS(Expenses!CA$8:CA$69,Expenses!$O$8:$O$69,$B54)+SUMIFS(Headcount!AK$395:AK$1442,Headcount!$J$395:$J$1442,$B54))</f>
        <v>0</v>
      </c>
      <c r="AC54" s="137">
        <f>IF(AC$12="Actual",SUMIFS(ActualsTable[Month 27],ActualsTable[Expense Item2],$B54),SUMIFS(Expenses!CB$8:CB$69,Expenses!$O$8:$O$69,$B54)+SUMIFS(Headcount!AL$395:AL$1442,Headcount!$J$395:$J$1442,$B54))</f>
        <v>0</v>
      </c>
      <c r="AD54" s="137">
        <f>IF(AD$12="Actual",SUMIFS(ActualsTable[Month 28],ActualsTable[Expense Item2],$B54),SUMIFS(Expenses!CC$8:CC$69,Expenses!$O$8:$O$69,$B54)+SUMIFS(Headcount!AM$395:AM$1442,Headcount!$J$395:$J$1442,$B54))</f>
        <v>0</v>
      </c>
      <c r="AE54" s="137">
        <f>IF(AE$12="Actual",SUMIFS(ActualsTable[Month 29],ActualsTable[Expense Item2],$B54),SUMIFS(Expenses!CD$8:CD$69,Expenses!$O$8:$O$69,$B54)+SUMIFS(Headcount!AN$395:AN$1442,Headcount!$J$395:$J$1442,$B54))</f>
        <v>0</v>
      </c>
      <c r="AF54" s="137">
        <f>IF(AF$12="Actual",SUMIFS(ActualsTable[Month 30],ActualsTable[Expense Item2],$B54),SUMIFS(Expenses!CE$8:CE$69,Expenses!$O$8:$O$69,$B54)+SUMIFS(Headcount!AO$395:AO$1442,Headcount!$J$395:$J$1442,$B54))</f>
        <v>0</v>
      </c>
      <c r="AG54" s="137">
        <f>IF(AG$12="Actual",SUMIFS(ActualsTable[Month 31],ActualsTable[Expense Item2],$B54),SUMIFS(Expenses!CF$8:CF$69,Expenses!$O$8:$O$69,$B54)+SUMIFS(Headcount!AP$395:AP$1442,Headcount!$J$395:$J$1442,$B54))</f>
        <v>0</v>
      </c>
      <c r="AH54" s="137">
        <f>IF(AH$12="Actual",SUMIFS(ActualsTable[Month 32],ActualsTable[Expense Item2],$B54),SUMIFS(Expenses!CG$8:CG$69,Expenses!$O$8:$O$69,$B54)+SUMIFS(Headcount!AQ$395:AQ$1442,Headcount!$J$395:$J$1442,$B54))</f>
        <v>0</v>
      </c>
      <c r="AI54" s="137">
        <f>IF(AI$12="Actual",SUMIFS(ActualsTable[Month 33],ActualsTable[Expense Item2],$B54),SUMIFS(Expenses!CH$8:CH$69,Expenses!$O$8:$O$69,$B54)+SUMIFS(Headcount!AR$395:AR$1442,Headcount!$J$395:$J$1442,$B54))</f>
        <v>0</v>
      </c>
      <c r="AJ54" s="137">
        <f>IF(AJ$12="Actual",SUMIFS(ActualsTable[Month 34],ActualsTable[Expense Item2],$B54),SUMIFS(Expenses!CI$8:CI$69,Expenses!$O$8:$O$69,$B54)+SUMIFS(Headcount!AS$395:AS$1442,Headcount!$J$395:$J$1442,$B54))</f>
        <v>0</v>
      </c>
      <c r="AK54" s="137">
        <f>IF(AK$12="Actual",SUMIFS(ActualsTable[Month 35],ActualsTable[Expense Item2],$B54),SUMIFS(Expenses!CJ$8:CJ$69,Expenses!$O$8:$O$69,$B54)+SUMIFS(Headcount!AT$395:AT$1442,Headcount!$J$395:$J$1442,$B54))</f>
        <v>0</v>
      </c>
      <c r="AL54" s="293">
        <f>IF(AL$12="Actual",SUMIFS(ActualsTable[Month 36],ActualsTable[Expense Item2],$B54),SUMIFS(Expenses!CK$8:CK$69,Expenses!$O$8:$O$69,$B54)+SUMIFS(Headcount!AU$395:AU$1442,Headcount!$J$395:$J$1442,$B54))</f>
        <v>0</v>
      </c>
      <c r="AN54" s="319">
        <f t="shared" ca="1" si="118"/>
        <v>0</v>
      </c>
      <c r="AO54" s="137">
        <f t="shared" ca="1" si="118"/>
        <v>0</v>
      </c>
      <c r="AP54" s="137">
        <f t="shared" ca="1" si="118"/>
        <v>0</v>
      </c>
      <c r="AQ54" s="137">
        <f t="shared" ca="1" si="118"/>
        <v>0</v>
      </c>
      <c r="AR54" s="137">
        <f t="shared" ca="1" si="118"/>
        <v>0</v>
      </c>
      <c r="AS54" s="137">
        <f t="shared" ca="1" si="118"/>
        <v>0</v>
      </c>
      <c r="AT54" s="137">
        <f t="shared" ca="1" si="118"/>
        <v>0</v>
      </c>
      <c r="AU54" s="137">
        <f t="shared" ca="1" si="118"/>
        <v>0</v>
      </c>
      <c r="AV54" s="137">
        <f t="shared" ca="1" si="118"/>
        <v>0</v>
      </c>
      <c r="AW54" s="137">
        <f t="shared" ca="1" si="118"/>
        <v>0</v>
      </c>
      <c r="AX54" s="137">
        <f t="shared" ca="1" si="118"/>
        <v>0</v>
      </c>
      <c r="AY54" s="293">
        <f t="shared" ca="1" si="118"/>
        <v>0</v>
      </c>
      <c r="BA54" s="319">
        <f t="shared" ca="1" si="119"/>
        <v>0</v>
      </c>
      <c r="BB54" s="137">
        <f t="shared" ca="1" si="119"/>
        <v>0</v>
      </c>
      <c r="BC54" s="293">
        <f t="shared" ca="1" si="119"/>
        <v>0</v>
      </c>
    </row>
    <row r="55" spans="2:55" x14ac:dyDescent="0.35">
      <c r="B55" s="64" t="s">
        <v>41</v>
      </c>
      <c r="C55" s="137">
        <f>IF(C$12="Actual",SUMIFS(ActualsTable[Month 1],ActualsTable[Expense Item2],$B55),SUMIFS(Expenses!BB$8:BB$69,Expenses!$O$8:$O$69,$B55)+SUMIFS(Headcount!L$395:L$1442,Headcount!$J$395:$J$1442,$B55))</f>
        <v>0</v>
      </c>
      <c r="D55" s="137">
        <f>IF(D$12="Actual",SUMIFS(ActualsTable[Month 2],ActualsTable[Expense Item2],$B55),SUMIFS(Expenses!BC$8:BC$69,Expenses!$O$8:$O$69,$B55)+SUMIFS(Headcount!M$395:M$1442,Headcount!$J$395:$J$1442,$B55))</f>
        <v>0</v>
      </c>
      <c r="E55" s="137">
        <f>IF(E$12="Actual",SUMIFS(ActualsTable[Month 3],ActualsTable[Expense Item2],$B55),SUMIFS(Expenses!BD$8:BD$69,Expenses!$O$8:$O$69,$B55)+SUMIFS(Headcount!N$395:N$1442,Headcount!$J$395:$J$1442,$B55))</f>
        <v>0</v>
      </c>
      <c r="F55" s="137">
        <f>IF(F$12="Actual",SUMIFS(ActualsTable[Month 4],ActualsTable[Expense Item2],$B55),SUMIFS(Expenses!BE$8:BE$69,Expenses!$O$8:$O$69,$B55)+SUMIFS(Headcount!O$395:O$1442,Headcount!$J$395:$J$1442,$B55))</f>
        <v>0</v>
      </c>
      <c r="G55" s="137">
        <f>IF(G$12="Actual",SUMIFS(ActualsTable[Month 5],ActualsTable[Expense Item2],$B55),SUMIFS(Expenses!BF$8:BF$69,Expenses!$O$8:$O$69,$B55)+SUMIFS(Headcount!P$395:P$1442,Headcount!$J$395:$J$1442,$B55))</f>
        <v>0</v>
      </c>
      <c r="H55" s="137">
        <f>IF(H$12="Actual",SUMIFS(ActualsTable[Month 6],ActualsTable[Expense Item2],$B55),SUMIFS(Expenses!BG$8:BG$69,Expenses!$O$8:$O$69,$B55)+SUMIFS(Headcount!Q$395:Q$1442,Headcount!$J$395:$J$1442,$B55))</f>
        <v>0</v>
      </c>
      <c r="I55" s="137">
        <f>IF(I$12="Actual",SUMIFS(ActualsTable[Month 7],ActualsTable[Expense Item2],$B55),SUMIFS(Expenses!BH$8:BH$69,Expenses!$O$8:$O$69,$B55)+SUMIFS(Headcount!R$395:R$1442,Headcount!$J$395:$J$1442,$B55))</f>
        <v>0</v>
      </c>
      <c r="J55" s="137">
        <f>IF(J$12="Actual",SUMIFS(ActualsTable[Month 8],ActualsTable[Expense Item2],$B55),SUMIFS(Expenses!BI$8:BI$69,Expenses!$O$8:$O$69,$B55)+SUMIFS(Headcount!S$395:S$1442,Headcount!$J$395:$J$1442,$B55))</f>
        <v>0</v>
      </c>
      <c r="K55" s="137">
        <f>IF(K$12="Actual",SUMIFS(ActualsTable[Month 9],ActualsTable[Expense Item2],$B55),SUMIFS(Expenses!BJ$8:BJ$69,Expenses!$O$8:$O$69,$B55)+SUMIFS(Headcount!T$395:T$1442,Headcount!$J$395:$J$1442,$B55))</f>
        <v>0</v>
      </c>
      <c r="L55" s="137">
        <f>IF(L$12="Actual",SUMIFS(ActualsTable[Month 10],ActualsTable[Expense Item2],$B55),SUMIFS(Expenses!BK$8:BK$69,Expenses!$O$8:$O$69,$B55)+SUMIFS(Headcount!U$395:U$1442,Headcount!$J$395:$J$1442,$B55))</f>
        <v>0</v>
      </c>
      <c r="M55" s="137">
        <f>IF(M$12="Actual",SUMIFS(ActualsTable[Month 11],ActualsTable[Expense Item2],$B55),SUMIFS(Expenses!BL$8:BL$69,Expenses!$O$8:$O$69,$B55)+SUMIFS(Headcount!V$395:V$1442,Headcount!$J$395:$J$1442,$B55))</f>
        <v>0</v>
      </c>
      <c r="N55" s="137">
        <f>IF(N$12="Actual",SUMIFS(ActualsTable[Month 12],ActualsTable[Expense Item2],$B55),SUMIFS(Expenses!BM$8:BM$69,Expenses!$O$8:$O$69,$B55)+SUMIFS(Headcount!W$395:W$1442,Headcount!$J$395:$J$1442,$B55))</f>
        <v>0</v>
      </c>
      <c r="O55" s="137">
        <f>IF(O$12="Actual",SUMIFS(ActualsTable[Month 13],ActualsTable[Expense Item2],$B55),SUMIFS(Expenses!BN$8:BN$69,Expenses!$O$8:$O$69,$B55)+SUMIFS(Headcount!X$395:X$1442,Headcount!$J$395:$J$1442,$B55))</f>
        <v>0</v>
      </c>
      <c r="P55" s="137">
        <f>IF(P$12="Actual",SUMIFS(ActualsTable[Month 14],ActualsTable[Expense Item2],$B55),SUMIFS(Expenses!BO$8:BO$69,Expenses!$O$8:$O$69,$B55)+SUMIFS(Headcount!Y$395:Y$1442,Headcount!$J$395:$J$1442,$B55))</f>
        <v>0</v>
      </c>
      <c r="Q55" s="137">
        <f>IF(Q$12="Actual",SUMIFS(ActualsTable[Month 15],ActualsTable[Expense Item2],$B55),SUMIFS(Expenses!BP$8:BP$69,Expenses!$O$8:$O$69,$B55)+SUMIFS(Headcount!Z$395:Z$1442,Headcount!$J$395:$J$1442,$B55))</f>
        <v>0</v>
      </c>
      <c r="R55" s="137">
        <f>IF(R$12="Actual",SUMIFS(ActualsTable[Month 16],ActualsTable[Expense Item2],$B55),SUMIFS(Expenses!BQ$8:BQ$69,Expenses!$O$8:$O$69,$B55)+SUMIFS(Headcount!AA$395:AA$1442,Headcount!$J$395:$J$1442,$B55))</f>
        <v>0</v>
      </c>
      <c r="S55" s="137">
        <f>IF(S$12="Actual",SUMIFS(ActualsTable[Month 17],ActualsTable[Expense Item2],$B55),SUMIFS(Expenses!BR$8:BR$69,Expenses!$O$8:$O$69,$B55)+SUMIFS(Headcount!AB$395:AB$1442,Headcount!$J$395:$J$1442,$B55))</f>
        <v>0</v>
      </c>
      <c r="T55" s="137">
        <f>IF(T$12="Actual",SUMIFS(ActualsTable[Month 18],ActualsTable[Expense Item2],$B55),SUMIFS(Expenses!BS$8:BS$69,Expenses!$O$8:$O$69,$B55)+SUMIFS(Headcount!AC$395:AC$1442,Headcount!$J$395:$J$1442,$B55))</f>
        <v>0</v>
      </c>
      <c r="U55" s="137">
        <f>IF(U$12="Actual",SUMIFS(ActualsTable[Month 19],ActualsTable[Expense Item2],$B55),SUMIFS(Expenses!BT$8:BT$69,Expenses!$O$8:$O$69,$B55)+SUMIFS(Headcount!AD$395:AD$1442,Headcount!$J$395:$J$1442,$B55))</f>
        <v>0</v>
      </c>
      <c r="V55" s="137">
        <f>IF(V$12="Actual",SUMIFS(ActualsTable[Month 20],ActualsTable[Expense Item2],$B55),SUMIFS(Expenses!BU$8:BU$69,Expenses!$O$8:$O$69,$B55)+SUMIFS(Headcount!AE$395:AE$1442,Headcount!$J$395:$J$1442,$B55))</f>
        <v>0</v>
      </c>
      <c r="W55" s="137">
        <f>IF(W$12="Actual",SUMIFS(ActualsTable[Month 21],ActualsTable[Expense Item2],$B55),SUMIFS(Expenses!BV$8:BV$69,Expenses!$O$8:$O$69,$B55)+SUMIFS(Headcount!AF$395:AF$1442,Headcount!$J$395:$J$1442,$B55))</f>
        <v>0</v>
      </c>
      <c r="X55" s="137">
        <f>IF(X$12="Actual",SUMIFS(ActualsTable[Month 22],ActualsTable[Expense Item2],$B55),SUMIFS(Expenses!BW$8:BW$69,Expenses!$O$8:$O$69,$B55)+SUMIFS(Headcount!AG$395:AG$1442,Headcount!$J$395:$J$1442,$B55))</f>
        <v>0</v>
      </c>
      <c r="Y55" s="137">
        <f>IF(Y$12="Actual",SUMIFS(ActualsTable[Month 23],ActualsTable[Expense Item2],$B55),SUMIFS(Expenses!BX$8:BX$69,Expenses!$O$8:$O$69,$B55)+SUMIFS(Headcount!AH$395:AH$1442,Headcount!$J$395:$J$1442,$B55))</f>
        <v>0</v>
      </c>
      <c r="Z55" s="137">
        <f>IF(Z$12="Actual",SUMIFS(ActualsTable[Month 24],ActualsTable[Expense Item2],$B55),SUMIFS(Expenses!BY$8:BY$69,Expenses!$O$8:$O$69,$B55)+SUMIFS(Headcount!AI$395:AI$1442,Headcount!$J$395:$J$1442,$B55))</f>
        <v>0</v>
      </c>
      <c r="AA55" s="137">
        <f>IF(AA$12="Actual",SUMIFS(ActualsTable[Month 25],ActualsTable[Expense Item2],$B55),SUMIFS(Expenses!BZ$8:BZ$69,Expenses!$O$8:$O$69,$B55)+SUMIFS(Headcount!AJ$395:AJ$1442,Headcount!$J$395:$J$1442,$B55))</f>
        <v>0</v>
      </c>
      <c r="AB55" s="137">
        <f>IF(AB$12="Actual",SUMIFS(ActualsTable[Month 26],ActualsTable[Expense Item2],$B55),SUMIFS(Expenses!CA$8:CA$69,Expenses!$O$8:$O$69,$B55)+SUMIFS(Headcount!AK$395:AK$1442,Headcount!$J$395:$J$1442,$B55))</f>
        <v>0</v>
      </c>
      <c r="AC55" s="137">
        <f>IF(AC$12="Actual",SUMIFS(ActualsTable[Month 27],ActualsTable[Expense Item2],$B55),SUMIFS(Expenses!CB$8:CB$69,Expenses!$O$8:$O$69,$B55)+SUMIFS(Headcount!AL$395:AL$1442,Headcount!$J$395:$J$1442,$B55))</f>
        <v>0</v>
      </c>
      <c r="AD55" s="137">
        <f>IF(AD$12="Actual",SUMIFS(ActualsTable[Month 28],ActualsTable[Expense Item2],$B55),SUMIFS(Expenses!CC$8:CC$69,Expenses!$O$8:$O$69,$B55)+SUMIFS(Headcount!AM$395:AM$1442,Headcount!$J$395:$J$1442,$B55))</f>
        <v>0</v>
      </c>
      <c r="AE55" s="137">
        <f>IF(AE$12="Actual",SUMIFS(ActualsTable[Month 29],ActualsTable[Expense Item2],$B55),SUMIFS(Expenses!CD$8:CD$69,Expenses!$O$8:$O$69,$B55)+SUMIFS(Headcount!AN$395:AN$1442,Headcount!$J$395:$J$1442,$B55))</f>
        <v>0</v>
      </c>
      <c r="AF55" s="137">
        <f>IF(AF$12="Actual",SUMIFS(ActualsTable[Month 30],ActualsTable[Expense Item2],$B55),SUMIFS(Expenses!CE$8:CE$69,Expenses!$O$8:$O$69,$B55)+SUMIFS(Headcount!AO$395:AO$1442,Headcount!$J$395:$J$1442,$B55))</f>
        <v>0</v>
      </c>
      <c r="AG55" s="137">
        <f>IF(AG$12="Actual",SUMIFS(ActualsTable[Month 31],ActualsTable[Expense Item2],$B55),SUMIFS(Expenses!CF$8:CF$69,Expenses!$O$8:$O$69,$B55)+SUMIFS(Headcount!AP$395:AP$1442,Headcount!$J$395:$J$1442,$B55))</f>
        <v>0</v>
      </c>
      <c r="AH55" s="137">
        <f>IF(AH$12="Actual",SUMIFS(ActualsTable[Month 32],ActualsTable[Expense Item2],$B55),SUMIFS(Expenses!CG$8:CG$69,Expenses!$O$8:$O$69,$B55)+SUMIFS(Headcount!AQ$395:AQ$1442,Headcount!$J$395:$J$1442,$B55))</f>
        <v>0</v>
      </c>
      <c r="AI55" s="137">
        <f>IF(AI$12="Actual",SUMIFS(ActualsTable[Month 33],ActualsTable[Expense Item2],$B55),SUMIFS(Expenses!CH$8:CH$69,Expenses!$O$8:$O$69,$B55)+SUMIFS(Headcount!AR$395:AR$1442,Headcount!$J$395:$J$1442,$B55))</f>
        <v>0</v>
      </c>
      <c r="AJ55" s="137">
        <f>IF(AJ$12="Actual",SUMIFS(ActualsTable[Month 34],ActualsTable[Expense Item2],$B55),SUMIFS(Expenses!CI$8:CI$69,Expenses!$O$8:$O$69,$B55)+SUMIFS(Headcount!AS$395:AS$1442,Headcount!$J$395:$J$1442,$B55))</f>
        <v>0</v>
      </c>
      <c r="AK55" s="137">
        <f>IF(AK$12="Actual",SUMIFS(ActualsTable[Month 35],ActualsTable[Expense Item2],$B55),SUMIFS(Expenses!CJ$8:CJ$69,Expenses!$O$8:$O$69,$B55)+SUMIFS(Headcount!AT$395:AT$1442,Headcount!$J$395:$J$1442,$B55))</f>
        <v>0</v>
      </c>
      <c r="AL55" s="293">
        <f>IF(AL$12="Actual",SUMIFS(ActualsTable[Month 36],ActualsTable[Expense Item2],$B55),SUMIFS(Expenses!CK$8:CK$69,Expenses!$O$8:$O$69,$B55)+SUMIFS(Headcount!AU$395:AU$1442,Headcount!$J$395:$J$1442,$B55))</f>
        <v>0</v>
      </c>
      <c r="AN55" s="319">
        <f t="shared" ca="1" si="118"/>
        <v>0</v>
      </c>
      <c r="AO55" s="137">
        <f t="shared" ca="1" si="118"/>
        <v>0</v>
      </c>
      <c r="AP55" s="137">
        <f t="shared" ca="1" si="118"/>
        <v>0</v>
      </c>
      <c r="AQ55" s="137">
        <f t="shared" ca="1" si="118"/>
        <v>0</v>
      </c>
      <c r="AR55" s="137">
        <f t="shared" ca="1" si="118"/>
        <v>0</v>
      </c>
      <c r="AS55" s="137">
        <f t="shared" ca="1" si="118"/>
        <v>0</v>
      </c>
      <c r="AT55" s="137">
        <f t="shared" ca="1" si="118"/>
        <v>0</v>
      </c>
      <c r="AU55" s="137">
        <f t="shared" ca="1" si="118"/>
        <v>0</v>
      </c>
      <c r="AV55" s="137">
        <f t="shared" ca="1" si="118"/>
        <v>0</v>
      </c>
      <c r="AW55" s="137">
        <f t="shared" ca="1" si="118"/>
        <v>0</v>
      </c>
      <c r="AX55" s="137">
        <f t="shared" ca="1" si="118"/>
        <v>0</v>
      </c>
      <c r="AY55" s="293">
        <f t="shared" ca="1" si="118"/>
        <v>0</v>
      </c>
      <c r="BA55" s="319">
        <f t="shared" ca="1" si="119"/>
        <v>0</v>
      </c>
      <c r="BB55" s="137">
        <f t="shared" ca="1" si="119"/>
        <v>0</v>
      </c>
      <c r="BC55" s="293">
        <f t="shared" ca="1" si="119"/>
        <v>0</v>
      </c>
    </row>
    <row r="56" spans="2:55" x14ac:dyDescent="0.35">
      <c r="B56" s="64" t="s">
        <v>42</v>
      </c>
      <c r="C56" s="137">
        <f>IF(C$12="Actual",SUMIFS(ActualsTable[Month 1],ActualsTable[Expense Item2],$B56),SUMIFS(Expenses!BB$8:BB$69,Expenses!$O$8:$O$69,$B56)+SUMIFS(Headcount!L$395:L$1442,Headcount!$J$395:$J$1442,$B56))</f>
        <v>0</v>
      </c>
      <c r="D56" s="137">
        <f>IF(D$12="Actual",SUMIFS(ActualsTable[Month 2],ActualsTable[Expense Item2],$B56),SUMIFS(Expenses!BC$8:BC$69,Expenses!$O$8:$O$69,$B56)+SUMIFS(Headcount!M$395:M$1442,Headcount!$J$395:$J$1442,$B56))</f>
        <v>0</v>
      </c>
      <c r="E56" s="137">
        <f>IF(E$12="Actual",SUMIFS(ActualsTable[Month 3],ActualsTable[Expense Item2],$B56),SUMIFS(Expenses!BD$8:BD$69,Expenses!$O$8:$O$69,$B56)+SUMIFS(Headcount!N$395:N$1442,Headcount!$J$395:$J$1442,$B56))</f>
        <v>0</v>
      </c>
      <c r="F56" s="137">
        <f>IF(F$12="Actual",SUMIFS(ActualsTable[Month 4],ActualsTable[Expense Item2],$B56),SUMIFS(Expenses!BE$8:BE$69,Expenses!$O$8:$O$69,$B56)+SUMIFS(Headcount!O$395:O$1442,Headcount!$J$395:$J$1442,$B56))</f>
        <v>0</v>
      </c>
      <c r="G56" s="137">
        <f>IF(G$12="Actual",SUMIFS(ActualsTable[Month 5],ActualsTable[Expense Item2],$B56),SUMIFS(Expenses!BF$8:BF$69,Expenses!$O$8:$O$69,$B56)+SUMIFS(Headcount!P$395:P$1442,Headcount!$J$395:$J$1442,$B56))</f>
        <v>0</v>
      </c>
      <c r="H56" s="137">
        <f>IF(H$12="Actual",SUMIFS(ActualsTable[Month 6],ActualsTable[Expense Item2],$B56),SUMIFS(Expenses!BG$8:BG$69,Expenses!$O$8:$O$69,$B56)+SUMIFS(Headcount!Q$395:Q$1442,Headcount!$J$395:$J$1442,$B56))</f>
        <v>0</v>
      </c>
      <c r="I56" s="137">
        <f>IF(I$12="Actual",SUMIFS(ActualsTable[Month 7],ActualsTable[Expense Item2],$B56),SUMIFS(Expenses!BH$8:BH$69,Expenses!$O$8:$O$69,$B56)+SUMIFS(Headcount!R$395:R$1442,Headcount!$J$395:$J$1442,$B56))</f>
        <v>0</v>
      </c>
      <c r="J56" s="137">
        <f>IF(J$12="Actual",SUMIFS(ActualsTable[Month 8],ActualsTable[Expense Item2],$B56),SUMIFS(Expenses!BI$8:BI$69,Expenses!$O$8:$O$69,$B56)+SUMIFS(Headcount!S$395:S$1442,Headcount!$J$395:$J$1442,$B56))</f>
        <v>0</v>
      </c>
      <c r="K56" s="137">
        <f>IF(K$12="Actual",SUMIFS(ActualsTable[Month 9],ActualsTable[Expense Item2],$B56),SUMIFS(Expenses!BJ$8:BJ$69,Expenses!$O$8:$O$69,$B56)+SUMIFS(Headcount!T$395:T$1442,Headcount!$J$395:$J$1442,$B56))</f>
        <v>0</v>
      </c>
      <c r="L56" s="137">
        <f>IF(L$12="Actual",SUMIFS(ActualsTable[Month 10],ActualsTable[Expense Item2],$B56),SUMIFS(Expenses!BK$8:BK$69,Expenses!$O$8:$O$69,$B56)+SUMIFS(Headcount!U$395:U$1442,Headcount!$J$395:$J$1442,$B56))</f>
        <v>0</v>
      </c>
      <c r="M56" s="137">
        <f>IF(M$12="Actual",SUMIFS(ActualsTable[Month 11],ActualsTable[Expense Item2],$B56),SUMIFS(Expenses!BL$8:BL$69,Expenses!$O$8:$O$69,$B56)+SUMIFS(Headcount!V$395:V$1442,Headcount!$J$395:$J$1442,$B56))</f>
        <v>0</v>
      </c>
      <c r="N56" s="137">
        <f>IF(N$12="Actual",SUMIFS(ActualsTable[Month 12],ActualsTable[Expense Item2],$B56),SUMIFS(Expenses!BM$8:BM$69,Expenses!$O$8:$O$69,$B56)+SUMIFS(Headcount!W$395:W$1442,Headcount!$J$395:$J$1442,$B56))</f>
        <v>0</v>
      </c>
      <c r="O56" s="137">
        <f>IF(O$12="Actual",SUMIFS(ActualsTable[Month 13],ActualsTable[Expense Item2],$B56),SUMIFS(Expenses!BN$8:BN$69,Expenses!$O$8:$O$69,$B56)+SUMIFS(Headcount!X$395:X$1442,Headcount!$J$395:$J$1442,$B56))</f>
        <v>0</v>
      </c>
      <c r="P56" s="137">
        <f>IF(P$12="Actual",SUMIFS(ActualsTable[Month 14],ActualsTable[Expense Item2],$B56),SUMIFS(Expenses!BO$8:BO$69,Expenses!$O$8:$O$69,$B56)+SUMIFS(Headcount!Y$395:Y$1442,Headcount!$J$395:$J$1442,$B56))</f>
        <v>0</v>
      </c>
      <c r="Q56" s="137">
        <f>IF(Q$12="Actual",SUMIFS(ActualsTable[Month 15],ActualsTable[Expense Item2],$B56),SUMIFS(Expenses!BP$8:BP$69,Expenses!$O$8:$O$69,$B56)+SUMIFS(Headcount!Z$395:Z$1442,Headcount!$J$395:$J$1442,$B56))</f>
        <v>0</v>
      </c>
      <c r="R56" s="137">
        <f>IF(R$12="Actual",SUMIFS(ActualsTable[Month 16],ActualsTable[Expense Item2],$B56),SUMIFS(Expenses!BQ$8:BQ$69,Expenses!$O$8:$O$69,$B56)+SUMIFS(Headcount!AA$395:AA$1442,Headcount!$J$395:$J$1442,$B56))</f>
        <v>0</v>
      </c>
      <c r="S56" s="137">
        <f>IF(S$12="Actual",SUMIFS(ActualsTable[Month 17],ActualsTable[Expense Item2],$B56),SUMIFS(Expenses!BR$8:BR$69,Expenses!$O$8:$O$69,$B56)+SUMIFS(Headcount!AB$395:AB$1442,Headcount!$J$395:$J$1442,$B56))</f>
        <v>0</v>
      </c>
      <c r="T56" s="137">
        <f>IF(T$12="Actual",SUMIFS(ActualsTable[Month 18],ActualsTable[Expense Item2],$B56),SUMIFS(Expenses!BS$8:BS$69,Expenses!$O$8:$O$69,$B56)+SUMIFS(Headcount!AC$395:AC$1442,Headcount!$J$395:$J$1442,$B56))</f>
        <v>0</v>
      </c>
      <c r="U56" s="137">
        <f>IF(U$12="Actual",SUMIFS(ActualsTable[Month 19],ActualsTable[Expense Item2],$B56),SUMIFS(Expenses!BT$8:BT$69,Expenses!$O$8:$O$69,$B56)+SUMIFS(Headcount!AD$395:AD$1442,Headcount!$J$395:$J$1442,$B56))</f>
        <v>0</v>
      </c>
      <c r="V56" s="137">
        <f>IF(V$12="Actual",SUMIFS(ActualsTable[Month 20],ActualsTable[Expense Item2],$B56),SUMIFS(Expenses!BU$8:BU$69,Expenses!$O$8:$O$69,$B56)+SUMIFS(Headcount!AE$395:AE$1442,Headcount!$J$395:$J$1442,$B56))</f>
        <v>0</v>
      </c>
      <c r="W56" s="137">
        <f>IF(W$12="Actual",SUMIFS(ActualsTable[Month 21],ActualsTable[Expense Item2],$B56),SUMIFS(Expenses!BV$8:BV$69,Expenses!$O$8:$O$69,$B56)+SUMIFS(Headcount!AF$395:AF$1442,Headcount!$J$395:$J$1442,$B56))</f>
        <v>0</v>
      </c>
      <c r="X56" s="137">
        <f>IF(X$12="Actual",SUMIFS(ActualsTable[Month 22],ActualsTable[Expense Item2],$B56),SUMIFS(Expenses!BW$8:BW$69,Expenses!$O$8:$O$69,$B56)+SUMIFS(Headcount!AG$395:AG$1442,Headcount!$J$395:$J$1442,$B56))</f>
        <v>0</v>
      </c>
      <c r="Y56" s="137">
        <f>IF(Y$12="Actual",SUMIFS(ActualsTable[Month 23],ActualsTable[Expense Item2],$B56),SUMIFS(Expenses!BX$8:BX$69,Expenses!$O$8:$O$69,$B56)+SUMIFS(Headcount!AH$395:AH$1442,Headcount!$J$395:$J$1442,$B56))</f>
        <v>0</v>
      </c>
      <c r="Z56" s="137">
        <f>IF(Z$12="Actual",SUMIFS(ActualsTable[Month 24],ActualsTable[Expense Item2],$B56),SUMIFS(Expenses!BY$8:BY$69,Expenses!$O$8:$O$69,$B56)+SUMIFS(Headcount!AI$395:AI$1442,Headcount!$J$395:$J$1442,$B56))</f>
        <v>0</v>
      </c>
      <c r="AA56" s="137">
        <f>IF(AA$12="Actual",SUMIFS(ActualsTable[Month 25],ActualsTable[Expense Item2],$B56),SUMIFS(Expenses!BZ$8:BZ$69,Expenses!$O$8:$O$69,$B56)+SUMIFS(Headcount!AJ$395:AJ$1442,Headcount!$J$395:$J$1442,$B56))</f>
        <v>0</v>
      </c>
      <c r="AB56" s="137">
        <f>IF(AB$12="Actual",SUMIFS(ActualsTable[Month 26],ActualsTable[Expense Item2],$B56),SUMIFS(Expenses!CA$8:CA$69,Expenses!$O$8:$O$69,$B56)+SUMIFS(Headcount!AK$395:AK$1442,Headcount!$J$395:$J$1442,$B56))</f>
        <v>0</v>
      </c>
      <c r="AC56" s="137">
        <f>IF(AC$12="Actual",SUMIFS(ActualsTable[Month 27],ActualsTable[Expense Item2],$B56),SUMIFS(Expenses!CB$8:CB$69,Expenses!$O$8:$O$69,$B56)+SUMIFS(Headcount!AL$395:AL$1442,Headcount!$J$395:$J$1442,$B56))</f>
        <v>0</v>
      </c>
      <c r="AD56" s="137">
        <f>IF(AD$12="Actual",SUMIFS(ActualsTable[Month 28],ActualsTable[Expense Item2],$B56),SUMIFS(Expenses!CC$8:CC$69,Expenses!$O$8:$O$69,$B56)+SUMIFS(Headcount!AM$395:AM$1442,Headcount!$J$395:$J$1442,$B56))</f>
        <v>0</v>
      </c>
      <c r="AE56" s="137">
        <f>IF(AE$12="Actual",SUMIFS(ActualsTable[Month 29],ActualsTable[Expense Item2],$B56),SUMIFS(Expenses!CD$8:CD$69,Expenses!$O$8:$O$69,$B56)+SUMIFS(Headcount!AN$395:AN$1442,Headcount!$J$395:$J$1442,$B56))</f>
        <v>0</v>
      </c>
      <c r="AF56" s="137">
        <f>IF(AF$12="Actual",SUMIFS(ActualsTable[Month 30],ActualsTable[Expense Item2],$B56),SUMIFS(Expenses!CE$8:CE$69,Expenses!$O$8:$O$69,$B56)+SUMIFS(Headcount!AO$395:AO$1442,Headcount!$J$395:$J$1442,$B56))</f>
        <v>0</v>
      </c>
      <c r="AG56" s="137">
        <f>IF(AG$12="Actual",SUMIFS(ActualsTable[Month 31],ActualsTable[Expense Item2],$B56),SUMIFS(Expenses!CF$8:CF$69,Expenses!$O$8:$O$69,$B56)+SUMIFS(Headcount!AP$395:AP$1442,Headcount!$J$395:$J$1442,$B56))</f>
        <v>0</v>
      </c>
      <c r="AH56" s="137">
        <f>IF(AH$12="Actual",SUMIFS(ActualsTable[Month 32],ActualsTable[Expense Item2],$B56),SUMIFS(Expenses!CG$8:CG$69,Expenses!$O$8:$O$69,$B56)+SUMIFS(Headcount!AQ$395:AQ$1442,Headcount!$J$395:$J$1442,$B56))</f>
        <v>0</v>
      </c>
      <c r="AI56" s="137">
        <f>IF(AI$12="Actual",SUMIFS(ActualsTable[Month 33],ActualsTable[Expense Item2],$B56),SUMIFS(Expenses!CH$8:CH$69,Expenses!$O$8:$O$69,$B56)+SUMIFS(Headcount!AR$395:AR$1442,Headcount!$J$395:$J$1442,$B56))</f>
        <v>0</v>
      </c>
      <c r="AJ56" s="137">
        <f>IF(AJ$12="Actual",SUMIFS(ActualsTable[Month 34],ActualsTable[Expense Item2],$B56),SUMIFS(Expenses!CI$8:CI$69,Expenses!$O$8:$O$69,$B56)+SUMIFS(Headcount!AS$395:AS$1442,Headcount!$J$395:$J$1442,$B56))</f>
        <v>0</v>
      </c>
      <c r="AK56" s="137">
        <f>IF(AK$12="Actual",SUMIFS(ActualsTable[Month 35],ActualsTable[Expense Item2],$B56),SUMIFS(Expenses!CJ$8:CJ$69,Expenses!$O$8:$O$69,$B56)+SUMIFS(Headcount!AT$395:AT$1442,Headcount!$J$395:$J$1442,$B56))</f>
        <v>0</v>
      </c>
      <c r="AL56" s="293">
        <f>IF(AL$12="Actual",SUMIFS(ActualsTable[Month 36],ActualsTable[Expense Item2],$B56),SUMIFS(Expenses!CK$8:CK$69,Expenses!$O$8:$O$69,$B56)+SUMIFS(Headcount!AU$395:AU$1442,Headcount!$J$395:$J$1442,$B56))</f>
        <v>0</v>
      </c>
      <c r="AN56" s="319">
        <f t="shared" ca="1" si="118"/>
        <v>0</v>
      </c>
      <c r="AO56" s="137">
        <f t="shared" ca="1" si="118"/>
        <v>0</v>
      </c>
      <c r="AP56" s="137">
        <f t="shared" ca="1" si="118"/>
        <v>0</v>
      </c>
      <c r="AQ56" s="137">
        <f t="shared" ca="1" si="118"/>
        <v>0</v>
      </c>
      <c r="AR56" s="137">
        <f t="shared" ca="1" si="118"/>
        <v>0</v>
      </c>
      <c r="AS56" s="137">
        <f t="shared" ca="1" si="118"/>
        <v>0</v>
      </c>
      <c r="AT56" s="137">
        <f t="shared" ca="1" si="118"/>
        <v>0</v>
      </c>
      <c r="AU56" s="137">
        <f t="shared" ca="1" si="118"/>
        <v>0</v>
      </c>
      <c r="AV56" s="137">
        <f t="shared" ca="1" si="118"/>
        <v>0</v>
      </c>
      <c r="AW56" s="137">
        <f t="shared" ca="1" si="118"/>
        <v>0</v>
      </c>
      <c r="AX56" s="137">
        <f t="shared" ca="1" si="118"/>
        <v>0</v>
      </c>
      <c r="AY56" s="293">
        <f t="shared" ca="1" si="118"/>
        <v>0</v>
      </c>
      <c r="BA56" s="319">
        <f t="shared" ca="1" si="119"/>
        <v>0</v>
      </c>
      <c r="BB56" s="137">
        <f t="shared" ca="1" si="119"/>
        <v>0</v>
      </c>
      <c r="BC56" s="293">
        <f t="shared" ca="1" si="119"/>
        <v>0</v>
      </c>
    </row>
    <row r="57" spans="2:55" x14ac:dyDescent="0.35">
      <c r="B57" s="81" t="s">
        <v>43</v>
      </c>
      <c r="C57" s="140">
        <f>IF(C$12="Actual",SUMIFS(ActualsTable[Month 1],ActualsTable[Expense Item2],$B57),SUMIFS(Expenses!BB$8:BB$69,Expenses!$O$8:$O$69,$B57)+SUMIFS(Headcount!L$395:L$1442,Headcount!$J$395:$J$1442,$B57))</f>
        <v>0</v>
      </c>
      <c r="D57" s="140">
        <f>IF(D$12="Actual",SUMIFS(ActualsTable[Month 2],ActualsTable[Expense Item2],$B57),SUMIFS(Expenses!BC$8:BC$69,Expenses!$O$8:$O$69,$B57)+SUMIFS(Headcount!M$395:M$1442,Headcount!$J$395:$J$1442,$B57))</f>
        <v>0</v>
      </c>
      <c r="E57" s="140">
        <f>IF(E$12="Actual",SUMIFS(ActualsTable[Month 3],ActualsTable[Expense Item2],$B57),SUMIFS(Expenses!BD$8:BD$69,Expenses!$O$8:$O$69,$B57)+SUMIFS(Headcount!N$395:N$1442,Headcount!$J$395:$J$1442,$B57))</f>
        <v>0</v>
      </c>
      <c r="F57" s="140">
        <f>IF(F$12="Actual",SUMIFS(ActualsTable[Month 4],ActualsTable[Expense Item2],$B57),SUMIFS(Expenses!BE$8:BE$69,Expenses!$O$8:$O$69,$B57)+SUMIFS(Headcount!O$395:O$1442,Headcount!$J$395:$J$1442,$B57))</f>
        <v>0</v>
      </c>
      <c r="G57" s="140">
        <f>IF(G$12="Actual",SUMIFS(ActualsTable[Month 5],ActualsTable[Expense Item2],$B57),SUMIFS(Expenses!BF$8:BF$69,Expenses!$O$8:$O$69,$B57)+SUMIFS(Headcount!P$395:P$1442,Headcount!$J$395:$J$1442,$B57))</f>
        <v>0</v>
      </c>
      <c r="H57" s="140">
        <f>IF(H$12="Actual",SUMIFS(ActualsTable[Month 6],ActualsTable[Expense Item2],$B57),SUMIFS(Expenses!BG$8:BG$69,Expenses!$O$8:$O$69,$B57)+SUMIFS(Headcount!Q$395:Q$1442,Headcount!$J$395:$J$1442,$B57))</f>
        <v>0</v>
      </c>
      <c r="I57" s="140">
        <f>IF(I$12="Actual",SUMIFS(ActualsTable[Month 7],ActualsTable[Expense Item2],$B57),SUMIFS(Expenses!BH$8:BH$69,Expenses!$O$8:$O$69,$B57)+SUMIFS(Headcount!R$395:R$1442,Headcount!$J$395:$J$1442,$B57))</f>
        <v>0</v>
      </c>
      <c r="J57" s="140">
        <f>IF(J$12="Actual",SUMIFS(ActualsTable[Month 8],ActualsTable[Expense Item2],$B57),SUMIFS(Expenses!BI$8:BI$69,Expenses!$O$8:$O$69,$B57)+SUMIFS(Headcount!S$395:S$1442,Headcount!$J$395:$J$1442,$B57))</f>
        <v>0</v>
      </c>
      <c r="K57" s="140">
        <f>IF(K$12="Actual",SUMIFS(ActualsTable[Month 9],ActualsTable[Expense Item2],$B57),SUMIFS(Expenses!BJ$8:BJ$69,Expenses!$O$8:$O$69,$B57)+SUMIFS(Headcount!T$395:T$1442,Headcount!$J$395:$J$1442,$B57))</f>
        <v>0</v>
      </c>
      <c r="L57" s="140">
        <f>IF(L$12="Actual",SUMIFS(ActualsTable[Month 10],ActualsTable[Expense Item2],$B57),SUMIFS(Expenses!BK$8:BK$69,Expenses!$O$8:$O$69,$B57)+SUMIFS(Headcount!U$395:U$1442,Headcount!$J$395:$J$1442,$B57))</f>
        <v>0</v>
      </c>
      <c r="M57" s="140">
        <f>IF(M$12="Actual",SUMIFS(ActualsTable[Month 11],ActualsTable[Expense Item2],$B57),SUMIFS(Expenses!BL$8:BL$69,Expenses!$O$8:$O$69,$B57)+SUMIFS(Headcount!V$395:V$1442,Headcount!$J$395:$J$1442,$B57))</f>
        <v>0</v>
      </c>
      <c r="N57" s="140">
        <f>IF(N$12="Actual",SUMIFS(ActualsTable[Month 12],ActualsTable[Expense Item2],$B57),SUMIFS(Expenses!BM$8:BM$69,Expenses!$O$8:$O$69,$B57)+SUMIFS(Headcount!W$395:W$1442,Headcount!$J$395:$J$1442,$B57))</f>
        <v>0</v>
      </c>
      <c r="O57" s="140">
        <f>IF(O$12="Actual",SUMIFS(ActualsTable[Month 13],ActualsTable[Expense Item2],$B57),SUMIFS(Expenses!BN$8:BN$69,Expenses!$O$8:$O$69,$B57)+SUMIFS(Headcount!X$395:X$1442,Headcount!$J$395:$J$1442,$B57))</f>
        <v>0</v>
      </c>
      <c r="P57" s="140">
        <f>IF(P$12="Actual",SUMIFS(ActualsTable[Month 14],ActualsTable[Expense Item2],$B57),SUMIFS(Expenses!BO$8:BO$69,Expenses!$O$8:$O$69,$B57)+SUMIFS(Headcount!Y$395:Y$1442,Headcount!$J$395:$J$1442,$B57))</f>
        <v>0</v>
      </c>
      <c r="Q57" s="140">
        <f>IF(Q$12="Actual",SUMIFS(ActualsTable[Month 15],ActualsTable[Expense Item2],$B57),SUMIFS(Expenses!BP$8:BP$69,Expenses!$O$8:$O$69,$B57)+SUMIFS(Headcount!Z$395:Z$1442,Headcount!$J$395:$J$1442,$B57))</f>
        <v>0</v>
      </c>
      <c r="R57" s="140">
        <f>IF(R$12="Actual",SUMIFS(ActualsTable[Month 16],ActualsTable[Expense Item2],$B57),SUMIFS(Expenses!BQ$8:BQ$69,Expenses!$O$8:$O$69,$B57)+SUMIFS(Headcount!AA$395:AA$1442,Headcount!$J$395:$J$1442,$B57))</f>
        <v>0</v>
      </c>
      <c r="S57" s="140">
        <f>IF(S$12="Actual",SUMIFS(ActualsTable[Month 17],ActualsTable[Expense Item2],$B57),SUMIFS(Expenses!BR$8:BR$69,Expenses!$O$8:$O$69,$B57)+SUMIFS(Headcount!AB$395:AB$1442,Headcount!$J$395:$J$1442,$B57))</f>
        <v>0</v>
      </c>
      <c r="T57" s="140">
        <f>IF(T$12="Actual",SUMIFS(ActualsTable[Month 18],ActualsTable[Expense Item2],$B57),SUMIFS(Expenses!BS$8:BS$69,Expenses!$O$8:$O$69,$B57)+SUMIFS(Headcount!AC$395:AC$1442,Headcount!$J$395:$J$1442,$B57))</f>
        <v>0</v>
      </c>
      <c r="U57" s="140">
        <f>IF(U$12="Actual",SUMIFS(ActualsTable[Month 19],ActualsTable[Expense Item2],$B57),SUMIFS(Expenses!BT$8:BT$69,Expenses!$O$8:$O$69,$B57)+SUMIFS(Headcount!AD$395:AD$1442,Headcount!$J$395:$J$1442,$B57))</f>
        <v>0</v>
      </c>
      <c r="V57" s="140">
        <f>IF(V$12="Actual",SUMIFS(ActualsTable[Month 20],ActualsTable[Expense Item2],$B57),SUMIFS(Expenses!BU$8:BU$69,Expenses!$O$8:$O$69,$B57)+SUMIFS(Headcount!AE$395:AE$1442,Headcount!$J$395:$J$1442,$B57))</f>
        <v>0</v>
      </c>
      <c r="W57" s="140">
        <f>IF(W$12="Actual",SUMIFS(ActualsTable[Month 21],ActualsTable[Expense Item2],$B57),SUMIFS(Expenses!BV$8:BV$69,Expenses!$O$8:$O$69,$B57)+SUMIFS(Headcount!AF$395:AF$1442,Headcount!$J$395:$J$1442,$B57))</f>
        <v>0</v>
      </c>
      <c r="X57" s="140">
        <f>IF(X$12="Actual",SUMIFS(ActualsTable[Month 22],ActualsTable[Expense Item2],$B57),SUMIFS(Expenses!BW$8:BW$69,Expenses!$O$8:$O$69,$B57)+SUMIFS(Headcount!AG$395:AG$1442,Headcount!$J$395:$J$1442,$B57))</f>
        <v>0</v>
      </c>
      <c r="Y57" s="140">
        <f>IF(Y$12="Actual",SUMIFS(ActualsTable[Month 23],ActualsTable[Expense Item2],$B57),SUMIFS(Expenses!BX$8:BX$69,Expenses!$O$8:$O$69,$B57)+SUMIFS(Headcount!AH$395:AH$1442,Headcount!$J$395:$J$1442,$B57))</f>
        <v>0</v>
      </c>
      <c r="Z57" s="140">
        <f>IF(Z$12="Actual",SUMIFS(ActualsTable[Month 24],ActualsTable[Expense Item2],$B57),SUMIFS(Expenses!BY$8:BY$69,Expenses!$O$8:$O$69,$B57)+SUMIFS(Headcount!AI$395:AI$1442,Headcount!$J$395:$J$1442,$B57))</f>
        <v>0</v>
      </c>
      <c r="AA57" s="140">
        <f>IF(AA$12="Actual",SUMIFS(ActualsTable[Month 25],ActualsTable[Expense Item2],$B57),SUMIFS(Expenses!BZ$8:BZ$69,Expenses!$O$8:$O$69,$B57)+SUMIFS(Headcount!AJ$395:AJ$1442,Headcount!$J$395:$J$1442,$B57))</f>
        <v>0</v>
      </c>
      <c r="AB57" s="140">
        <f>IF(AB$12="Actual",SUMIFS(ActualsTable[Month 26],ActualsTable[Expense Item2],$B57),SUMIFS(Expenses!CA$8:CA$69,Expenses!$O$8:$O$69,$B57)+SUMIFS(Headcount!AK$395:AK$1442,Headcount!$J$395:$J$1442,$B57))</f>
        <v>0</v>
      </c>
      <c r="AC57" s="140">
        <f>IF(AC$12="Actual",SUMIFS(ActualsTable[Month 27],ActualsTable[Expense Item2],$B57),SUMIFS(Expenses!CB$8:CB$69,Expenses!$O$8:$O$69,$B57)+SUMIFS(Headcount!AL$395:AL$1442,Headcount!$J$395:$J$1442,$B57))</f>
        <v>0</v>
      </c>
      <c r="AD57" s="140">
        <f>IF(AD$12="Actual",SUMIFS(ActualsTable[Month 28],ActualsTable[Expense Item2],$B57),SUMIFS(Expenses!CC$8:CC$69,Expenses!$O$8:$O$69,$B57)+SUMIFS(Headcount!AM$395:AM$1442,Headcount!$J$395:$J$1442,$B57))</f>
        <v>0</v>
      </c>
      <c r="AE57" s="140">
        <f>IF(AE$12="Actual",SUMIFS(ActualsTable[Month 29],ActualsTable[Expense Item2],$B57),SUMIFS(Expenses!CD$8:CD$69,Expenses!$O$8:$O$69,$B57)+SUMIFS(Headcount!AN$395:AN$1442,Headcount!$J$395:$J$1442,$B57))</f>
        <v>0</v>
      </c>
      <c r="AF57" s="140">
        <f>IF(AF$12="Actual",SUMIFS(ActualsTable[Month 30],ActualsTable[Expense Item2],$B57),SUMIFS(Expenses!CE$8:CE$69,Expenses!$O$8:$O$69,$B57)+SUMIFS(Headcount!AO$395:AO$1442,Headcount!$J$395:$J$1442,$B57))</f>
        <v>0</v>
      </c>
      <c r="AG57" s="140">
        <f>IF(AG$12="Actual",SUMIFS(ActualsTable[Month 31],ActualsTable[Expense Item2],$B57),SUMIFS(Expenses!CF$8:CF$69,Expenses!$O$8:$O$69,$B57)+SUMIFS(Headcount!AP$395:AP$1442,Headcount!$J$395:$J$1442,$B57))</f>
        <v>0</v>
      </c>
      <c r="AH57" s="140">
        <f>IF(AH$12="Actual",SUMIFS(ActualsTable[Month 32],ActualsTable[Expense Item2],$B57),SUMIFS(Expenses!CG$8:CG$69,Expenses!$O$8:$O$69,$B57)+SUMIFS(Headcount!AQ$395:AQ$1442,Headcount!$J$395:$J$1442,$B57))</f>
        <v>0</v>
      </c>
      <c r="AI57" s="140">
        <f>IF(AI$12="Actual",SUMIFS(ActualsTable[Month 33],ActualsTable[Expense Item2],$B57),SUMIFS(Expenses!CH$8:CH$69,Expenses!$O$8:$O$69,$B57)+SUMIFS(Headcount!AR$395:AR$1442,Headcount!$J$395:$J$1442,$B57))</f>
        <v>0</v>
      </c>
      <c r="AJ57" s="140">
        <f>IF(AJ$12="Actual",SUMIFS(ActualsTable[Month 34],ActualsTable[Expense Item2],$B57),SUMIFS(Expenses!CI$8:CI$69,Expenses!$O$8:$O$69,$B57)+SUMIFS(Headcount!AS$395:AS$1442,Headcount!$J$395:$J$1442,$B57))</f>
        <v>0</v>
      </c>
      <c r="AK57" s="140">
        <f>IF(AK$12="Actual",SUMIFS(ActualsTable[Month 35],ActualsTable[Expense Item2],$B57),SUMIFS(Expenses!CJ$8:CJ$69,Expenses!$O$8:$O$69,$B57)+SUMIFS(Headcount!AT$395:AT$1442,Headcount!$J$395:$J$1442,$B57))</f>
        <v>0</v>
      </c>
      <c r="AL57" s="301">
        <f>IF(AL$12="Actual",SUMIFS(ActualsTable[Month 36],ActualsTable[Expense Item2],$B57),SUMIFS(Expenses!CK$8:CK$69,Expenses!$O$8:$O$69,$B57)+SUMIFS(Headcount!AU$395:AU$1442,Headcount!$J$395:$J$1442,$B57))</f>
        <v>0</v>
      </c>
      <c r="AN57" s="327">
        <f t="shared" ca="1" si="118"/>
        <v>0</v>
      </c>
      <c r="AO57" s="140">
        <f t="shared" ca="1" si="118"/>
        <v>0</v>
      </c>
      <c r="AP57" s="140">
        <f t="shared" ca="1" si="118"/>
        <v>0</v>
      </c>
      <c r="AQ57" s="140">
        <f t="shared" ca="1" si="118"/>
        <v>0</v>
      </c>
      <c r="AR57" s="140">
        <f t="shared" ca="1" si="118"/>
        <v>0</v>
      </c>
      <c r="AS57" s="140">
        <f t="shared" ca="1" si="118"/>
        <v>0</v>
      </c>
      <c r="AT57" s="140">
        <f t="shared" ca="1" si="118"/>
        <v>0</v>
      </c>
      <c r="AU57" s="140">
        <f t="shared" ca="1" si="118"/>
        <v>0</v>
      </c>
      <c r="AV57" s="140">
        <f t="shared" ca="1" si="118"/>
        <v>0</v>
      </c>
      <c r="AW57" s="140">
        <f t="shared" ca="1" si="118"/>
        <v>0</v>
      </c>
      <c r="AX57" s="140">
        <f t="shared" ca="1" si="118"/>
        <v>0</v>
      </c>
      <c r="AY57" s="301">
        <f t="shared" ca="1" si="118"/>
        <v>0</v>
      </c>
      <c r="BA57" s="327">
        <f t="shared" ca="1" si="119"/>
        <v>0</v>
      </c>
      <c r="BB57" s="140">
        <f t="shared" ca="1" si="119"/>
        <v>0</v>
      </c>
      <c r="BC57" s="301">
        <f t="shared" ca="1" si="119"/>
        <v>0</v>
      </c>
    </row>
    <row r="58" spans="2:55" x14ac:dyDescent="0.35">
      <c r="B58" s="81" t="s">
        <v>93</v>
      </c>
      <c r="C58" s="140">
        <f>IF(C$12="Actual",SUMIFS(ActualsTable[Month 1],ActualsTable[Expense Item2],$B58),SUMIFS(Expenses!BB$8:BB$69,Expenses!$O$8:$O$69,$B58)+SUMIFS(Headcount!L$395:L$1442,Headcount!$J$395:$J$1442,$B58))</f>
        <v>0</v>
      </c>
      <c r="D58" s="140">
        <f>IF(D$12="Actual",SUMIFS(ActualsTable[Month 2],ActualsTable[Expense Item2],$B58),SUMIFS(Expenses!BC$8:BC$69,Expenses!$O$8:$O$69,$B58)+SUMIFS(Headcount!M$395:M$1442,Headcount!$J$395:$J$1442,$B58))</f>
        <v>0</v>
      </c>
      <c r="E58" s="140">
        <f>IF(E$12="Actual",SUMIFS(ActualsTable[Month 3],ActualsTable[Expense Item2],$B58),SUMIFS(Expenses!BD$8:BD$69,Expenses!$O$8:$O$69,$B58)+SUMIFS(Headcount!N$395:N$1442,Headcount!$J$395:$J$1442,$B58))</f>
        <v>0</v>
      </c>
      <c r="F58" s="140">
        <f>IF(F$12="Actual",SUMIFS(ActualsTable[Month 4],ActualsTable[Expense Item2],$B58),SUMIFS(Expenses!BE$8:BE$69,Expenses!$O$8:$O$69,$B58)+SUMIFS(Headcount!O$395:O$1442,Headcount!$J$395:$J$1442,$B58))</f>
        <v>0</v>
      </c>
      <c r="G58" s="140">
        <f>IF(G$12="Actual",SUMIFS(ActualsTable[Month 5],ActualsTable[Expense Item2],$B58),SUMIFS(Expenses!BF$8:BF$69,Expenses!$O$8:$O$69,$B58)+SUMIFS(Headcount!P$395:P$1442,Headcount!$J$395:$J$1442,$B58))</f>
        <v>0</v>
      </c>
      <c r="H58" s="140">
        <f>IF(H$12="Actual",SUMIFS(ActualsTable[Month 6],ActualsTable[Expense Item2],$B58),SUMIFS(Expenses!BG$8:BG$69,Expenses!$O$8:$O$69,$B58)+SUMIFS(Headcount!Q$395:Q$1442,Headcount!$J$395:$J$1442,$B58))</f>
        <v>0</v>
      </c>
      <c r="I58" s="140">
        <f>IF(I$12="Actual",SUMIFS(ActualsTable[Month 7],ActualsTable[Expense Item2],$B58),SUMIFS(Expenses!BH$8:BH$69,Expenses!$O$8:$O$69,$B58)+SUMIFS(Headcount!R$395:R$1442,Headcount!$J$395:$J$1442,$B58))</f>
        <v>0</v>
      </c>
      <c r="J58" s="140">
        <f>IF(J$12="Actual",SUMIFS(ActualsTable[Month 8],ActualsTable[Expense Item2],$B58),SUMIFS(Expenses!BI$8:BI$69,Expenses!$O$8:$O$69,$B58)+SUMIFS(Headcount!S$395:S$1442,Headcount!$J$395:$J$1442,$B58))</f>
        <v>0</v>
      </c>
      <c r="K58" s="140">
        <f>IF(K$12="Actual",SUMIFS(ActualsTable[Month 9],ActualsTable[Expense Item2],$B58),SUMIFS(Expenses!BJ$8:BJ$69,Expenses!$O$8:$O$69,$B58)+SUMIFS(Headcount!T$395:T$1442,Headcount!$J$395:$J$1442,$B58))</f>
        <v>0</v>
      </c>
      <c r="L58" s="140">
        <f>IF(L$12="Actual",SUMIFS(ActualsTable[Month 10],ActualsTable[Expense Item2],$B58),SUMIFS(Expenses!BK$8:BK$69,Expenses!$O$8:$O$69,$B58)+SUMIFS(Headcount!U$395:U$1442,Headcount!$J$395:$J$1442,$B58))</f>
        <v>0</v>
      </c>
      <c r="M58" s="140">
        <f>IF(M$12="Actual",SUMIFS(ActualsTable[Month 11],ActualsTable[Expense Item2],$B58),SUMIFS(Expenses!BL$8:BL$69,Expenses!$O$8:$O$69,$B58)+SUMIFS(Headcount!V$395:V$1442,Headcount!$J$395:$J$1442,$B58))</f>
        <v>0</v>
      </c>
      <c r="N58" s="140">
        <f>IF(N$12="Actual",SUMIFS(ActualsTable[Month 12],ActualsTable[Expense Item2],$B58),SUMIFS(Expenses!BM$8:BM$69,Expenses!$O$8:$O$69,$B58)+SUMIFS(Headcount!W$395:W$1442,Headcount!$J$395:$J$1442,$B58))</f>
        <v>0</v>
      </c>
      <c r="O58" s="140">
        <f>IF(O$12="Actual",SUMIFS(ActualsTable[Month 13],ActualsTable[Expense Item2],$B58),SUMIFS(Expenses!BN$8:BN$69,Expenses!$O$8:$O$69,$B58)+SUMIFS(Headcount!X$395:X$1442,Headcount!$J$395:$J$1442,$B58))</f>
        <v>0</v>
      </c>
      <c r="P58" s="140">
        <f>IF(P$12="Actual",SUMIFS(ActualsTable[Month 14],ActualsTable[Expense Item2],$B58),SUMIFS(Expenses!BO$8:BO$69,Expenses!$O$8:$O$69,$B58)+SUMIFS(Headcount!Y$395:Y$1442,Headcount!$J$395:$J$1442,$B58))</f>
        <v>0</v>
      </c>
      <c r="Q58" s="140">
        <f>IF(Q$12="Actual",SUMIFS(ActualsTable[Month 15],ActualsTable[Expense Item2],$B58),SUMIFS(Expenses!BP$8:BP$69,Expenses!$O$8:$O$69,$B58)+SUMIFS(Headcount!Z$395:Z$1442,Headcount!$J$395:$J$1442,$B58))</f>
        <v>0</v>
      </c>
      <c r="R58" s="140">
        <f>IF(R$12="Actual",SUMIFS(ActualsTable[Month 16],ActualsTable[Expense Item2],$B58),SUMIFS(Expenses!BQ$8:BQ$69,Expenses!$O$8:$O$69,$B58)+SUMIFS(Headcount!AA$395:AA$1442,Headcount!$J$395:$J$1442,$B58))</f>
        <v>0</v>
      </c>
      <c r="S58" s="140">
        <f>IF(S$12="Actual",SUMIFS(ActualsTable[Month 17],ActualsTable[Expense Item2],$B58),SUMIFS(Expenses!BR$8:BR$69,Expenses!$O$8:$O$69,$B58)+SUMIFS(Headcount!AB$395:AB$1442,Headcount!$J$395:$J$1442,$B58))</f>
        <v>0</v>
      </c>
      <c r="T58" s="140">
        <f>IF(T$12="Actual",SUMIFS(ActualsTable[Month 18],ActualsTable[Expense Item2],$B58),SUMIFS(Expenses!BS$8:BS$69,Expenses!$O$8:$O$69,$B58)+SUMIFS(Headcount!AC$395:AC$1442,Headcount!$J$395:$J$1442,$B58))</f>
        <v>0</v>
      </c>
      <c r="U58" s="140">
        <f>IF(U$12="Actual",SUMIFS(ActualsTable[Month 19],ActualsTable[Expense Item2],$B58),SUMIFS(Expenses!BT$8:BT$69,Expenses!$O$8:$O$69,$B58)+SUMIFS(Headcount!AD$395:AD$1442,Headcount!$J$395:$J$1442,$B58))</f>
        <v>0</v>
      </c>
      <c r="V58" s="140">
        <f>IF(V$12="Actual",SUMIFS(ActualsTable[Month 20],ActualsTable[Expense Item2],$B58),SUMIFS(Expenses!BU$8:BU$69,Expenses!$O$8:$O$69,$B58)+SUMIFS(Headcount!AE$395:AE$1442,Headcount!$J$395:$J$1442,$B58))</f>
        <v>0</v>
      </c>
      <c r="W58" s="140">
        <f>IF(W$12="Actual",SUMIFS(ActualsTable[Month 21],ActualsTable[Expense Item2],$B58),SUMIFS(Expenses!BV$8:BV$69,Expenses!$O$8:$O$69,$B58)+SUMIFS(Headcount!AF$395:AF$1442,Headcount!$J$395:$J$1442,$B58))</f>
        <v>0</v>
      </c>
      <c r="X58" s="140">
        <f>IF(X$12="Actual",SUMIFS(ActualsTable[Month 22],ActualsTable[Expense Item2],$B58),SUMIFS(Expenses!BW$8:BW$69,Expenses!$O$8:$O$69,$B58)+SUMIFS(Headcount!AG$395:AG$1442,Headcount!$J$395:$J$1442,$B58))</f>
        <v>0</v>
      </c>
      <c r="Y58" s="140">
        <f>IF(Y$12="Actual",SUMIFS(ActualsTable[Month 23],ActualsTable[Expense Item2],$B58),SUMIFS(Expenses!BX$8:BX$69,Expenses!$O$8:$O$69,$B58)+SUMIFS(Headcount!AH$395:AH$1442,Headcount!$J$395:$J$1442,$B58))</f>
        <v>0</v>
      </c>
      <c r="Z58" s="140">
        <f>IF(Z$12="Actual",SUMIFS(ActualsTable[Month 24],ActualsTable[Expense Item2],$B58),SUMIFS(Expenses!BY$8:BY$69,Expenses!$O$8:$O$69,$B58)+SUMIFS(Headcount!AI$395:AI$1442,Headcount!$J$395:$J$1442,$B58))</f>
        <v>0</v>
      </c>
      <c r="AA58" s="140">
        <f>IF(AA$12="Actual",SUMIFS(ActualsTable[Month 25],ActualsTable[Expense Item2],$B58),SUMIFS(Expenses!BZ$8:BZ$69,Expenses!$O$8:$O$69,$B58)+SUMIFS(Headcount!AJ$395:AJ$1442,Headcount!$J$395:$J$1442,$B58))</f>
        <v>0</v>
      </c>
      <c r="AB58" s="140">
        <f>IF(AB$12="Actual",SUMIFS(ActualsTable[Month 26],ActualsTable[Expense Item2],$B58),SUMIFS(Expenses!CA$8:CA$69,Expenses!$O$8:$O$69,$B58)+SUMIFS(Headcount!AK$395:AK$1442,Headcount!$J$395:$J$1442,$B58))</f>
        <v>0</v>
      </c>
      <c r="AC58" s="140">
        <f>IF(AC$12="Actual",SUMIFS(ActualsTable[Month 27],ActualsTable[Expense Item2],$B58),SUMIFS(Expenses!CB$8:CB$69,Expenses!$O$8:$O$69,$B58)+SUMIFS(Headcount!AL$395:AL$1442,Headcount!$J$395:$J$1442,$B58))</f>
        <v>0</v>
      </c>
      <c r="AD58" s="140">
        <f>IF(AD$12="Actual",SUMIFS(ActualsTable[Month 28],ActualsTable[Expense Item2],$B58),SUMIFS(Expenses!CC$8:CC$69,Expenses!$O$8:$O$69,$B58)+SUMIFS(Headcount!AM$395:AM$1442,Headcount!$J$395:$J$1442,$B58))</f>
        <v>0</v>
      </c>
      <c r="AE58" s="140">
        <f>IF(AE$12="Actual",SUMIFS(ActualsTable[Month 29],ActualsTable[Expense Item2],$B58),SUMIFS(Expenses!CD$8:CD$69,Expenses!$O$8:$O$69,$B58)+SUMIFS(Headcount!AN$395:AN$1442,Headcount!$J$395:$J$1442,$B58))</f>
        <v>0</v>
      </c>
      <c r="AF58" s="140">
        <f>IF(AF$12="Actual",SUMIFS(ActualsTable[Month 30],ActualsTable[Expense Item2],$B58),SUMIFS(Expenses!CE$8:CE$69,Expenses!$O$8:$O$69,$B58)+SUMIFS(Headcount!AO$395:AO$1442,Headcount!$J$395:$J$1442,$B58))</f>
        <v>0</v>
      </c>
      <c r="AG58" s="140">
        <f>IF(AG$12="Actual",SUMIFS(ActualsTable[Month 31],ActualsTable[Expense Item2],$B58),SUMIFS(Expenses!CF$8:CF$69,Expenses!$O$8:$O$69,$B58)+SUMIFS(Headcount!AP$395:AP$1442,Headcount!$J$395:$J$1442,$B58))</f>
        <v>0</v>
      </c>
      <c r="AH58" s="140">
        <f>IF(AH$12="Actual",SUMIFS(ActualsTable[Month 32],ActualsTable[Expense Item2],$B58),SUMIFS(Expenses!CG$8:CG$69,Expenses!$O$8:$O$69,$B58)+SUMIFS(Headcount!AQ$395:AQ$1442,Headcount!$J$395:$J$1442,$B58))</f>
        <v>0</v>
      </c>
      <c r="AI58" s="140">
        <f>IF(AI$12="Actual",SUMIFS(ActualsTable[Month 33],ActualsTable[Expense Item2],$B58),SUMIFS(Expenses!CH$8:CH$69,Expenses!$O$8:$O$69,$B58)+SUMIFS(Headcount!AR$395:AR$1442,Headcount!$J$395:$J$1442,$B58))</f>
        <v>0</v>
      </c>
      <c r="AJ58" s="140">
        <f>IF(AJ$12="Actual",SUMIFS(ActualsTable[Month 34],ActualsTable[Expense Item2],$B58),SUMIFS(Expenses!CI$8:CI$69,Expenses!$O$8:$O$69,$B58)+SUMIFS(Headcount!AS$395:AS$1442,Headcount!$J$395:$J$1442,$B58))</f>
        <v>0</v>
      </c>
      <c r="AK58" s="140">
        <f>IF(AK$12="Actual",SUMIFS(ActualsTable[Month 35],ActualsTable[Expense Item2],$B58),SUMIFS(Expenses!CJ$8:CJ$69,Expenses!$O$8:$O$69,$B58)+SUMIFS(Headcount!AT$395:AT$1442,Headcount!$J$395:$J$1442,$B58))</f>
        <v>0</v>
      </c>
      <c r="AL58" s="301">
        <f>IF(AL$12="Actual",SUMIFS(ActualsTable[Month 36],ActualsTable[Expense Item2],$B58),SUMIFS(Expenses!CK$8:CK$69,Expenses!$O$8:$O$69,$B58)+SUMIFS(Headcount!AU$395:AU$1442,Headcount!$J$395:$J$1442,$B58))</f>
        <v>0</v>
      </c>
      <c r="AN58" s="327">
        <f t="shared" ca="1" si="118"/>
        <v>0</v>
      </c>
      <c r="AO58" s="140">
        <f t="shared" ca="1" si="118"/>
        <v>0</v>
      </c>
      <c r="AP58" s="140">
        <f t="shared" ca="1" si="118"/>
        <v>0</v>
      </c>
      <c r="AQ58" s="140">
        <f t="shared" ca="1" si="118"/>
        <v>0</v>
      </c>
      <c r="AR58" s="140">
        <f t="shared" ca="1" si="118"/>
        <v>0</v>
      </c>
      <c r="AS58" s="140">
        <f t="shared" ca="1" si="118"/>
        <v>0</v>
      </c>
      <c r="AT58" s="140">
        <f t="shared" ca="1" si="118"/>
        <v>0</v>
      </c>
      <c r="AU58" s="140">
        <f t="shared" ca="1" si="118"/>
        <v>0</v>
      </c>
      <c r="AV58" s="140">
        <f t="shared" ca="1" si="118"/>
        <v>0</v>
      </c>
      <c r="AW58" s="140">
        <f t="shared" ca="1" si="118"/>
        <v>0</v>
      </c>
      <c r="AX58" s="140">
        <f t="shared" ca="1" si="118"/>
        <v>0</v>
      </c>
      <c r="AY58" s="301">
        <f t="shared" ca="1" si="118"/>
        <v>0</v>
      </c>
      <c r="BA58" s="327">
        <f t="shared" ca="1" si="119"/>
        <v>0</v>
      </c>
      <c r="BB58" s="140">
        <f t="shared" ca="1" si="119"/>
        <v>0</v>
      </c>
      <c r="BC58" s="301">
        <f t="shared" ca="1" si="119"/>
        <v>0</v>
      </c>
    </row>
    <row r="59" spans="2:55" x14ac:dyDescent="0.35">
      <c r="B59" s="63" t="s">
        <v>94</v>
      </c>
      <c r="C59" s="140">
        <f>IF(C$12="Actual",SUMIFS(ActualsTable[Month 1],ActualsTable[Expense Item2],$B59),SUMIFS(Expenses!BB$8:BB$69,Expenses!$O$8:$O$69,$B59)+SUMIFS(Headcount!L$395:L$1442,Headcount!$J$395:$J$1442,$B59))</f>
        <v>0</v>
      </c>
      <c r="D59" s="140">
        <f>IF(D$12="Actual",SUMIFS(ActualsTable[Month 2],ActualsTable[Expense Item2],$B59),SUMIFS(Expenses!BC$8:BC$69,Expenses!$O$8:$O$69,$B59)+SUMIFS(Headcount!M$395:M$1442,Headcount!$J$395:$J$1442,$B59))</f>
        <v>0</v>
      </c>
      <c r="E59" s="140">
        <f>IF(E$12="Actual",SUMIFS(ActualsTable[Month 3],ActualsTable[Expense Item2],$B59),SUMIFS(Expenses!BD$8:BD$69,Expenses!$O$8:$O$69,$B59)+SUMIFS(Headcount!N$395:N$1442,Headcount!$J$395:$J$1442,$B59))</f>
        <v>0</v>
      </c>
      <c r="F59" s="140">
        <f>IF(F$12="Actual",SUMIFS(ActualsTable[Month 4],ActualsTable[Expense Item2],$B59),SUMIFS(Expenses!BE$8:BE$69,Expenses!$O$8:$O$69,$B59)+SUMIFS(Headcount!O$395:O$1442,Headcount!$J$395:$J$1442,$B59))</f>
        <v>0</v>
      </c>
      <c r="G59" s="140">
        <f>IF(G$12="Actual",SUMIFS(ActualsTable[Month 5],ActualsTable[Expense Item2],$B59),SUMIFS(Expenses!BF$8:BF$69,Expenses!$O$8:$O$69,$B59)+SUMIFS(Headcount!P$395:P$1442,Headcount!$J$395:$J$1442,$B59))</f>
        <v>0</v>
      </c>
      <c r="H59" s="140">
        <f>IF(H$12="Actual",SUMIFS(ActualsTable[Month 6],ActualsTable[Expense Item2],$B59),SUMIFS(Expenses!BG$8:BG$69,Expenses!$O$8:$O$69,$B59)+SUMIFS(Headcount!Q$395:Q$1442,Headcount!$J$395:$J$1442,$B59))</f>
        <v>0</v>
      </c>
      <c r="I59" s="140">
        <f>IF(I$12="Actual",SUMIFS(ActualsTable[Month 7],ActualsTable[Expense Item2],$B59),SUMIFS(Expenses!BH$8:BH$69,Expenses!$O$8:$O$69,$B59)+SUMIFS(Headcount!R$395:R$1442,Headcount!$J$395:$J$1442,$B59))</f>
        <v>0</v>
      </c>
      <c r="J59" s="140">
        <f>IF(J$12="Actual",SUMIFS(ActualsTable[Month 8],ActualsTable[Expense Item2],$B59),SUMIFS(Expenses!BI$8:BI$69,Expenses!$O$8:$O$69,$B59)+SUMIFS(Headcount!S$395:S$1442,Headcount!$J$395:$J$1442,$B59))</f>
        <v>0</v>
      </c>
      <c r="K59" s="140">
        <f>IF(K$12="Actual",SUMIFS(ActualsTable[Month 9],ActualsTable[Expense Item2],$B59),SUMIFS(Expenses!BJ$8:BJ$69,Expenses!$O$8:$O$69,$B59)+SUMIFS(Headcount!T$395:T$1442,Headcount!$J$395:$J$1442,$B59))</f>
        <v>0</v>
      </c>
      <c r="L59" s="140">
        <f>IF(L$12="Actual",SUMIFS(ActualsTable[Month 10],ActualsTable[Expense Item2],$B59),SUMIFS(Expenses!BK$8:BK$69,Expenses!$O$8:$O$69,$B59)+SUMIFS(Headcount!U$395:U$1442,Headcount!$J$395:$J$1442,$B59))</f>
        <v>0</v>
      </c>
      <c r="M59" s="140">
        <f>IF(M$12="Actual",SUMIFS(ActualsTable[Month 11],ActualsTable[Expense Item2],$B59),SUMIFS(Expenses!BL$8:BL$69,Expenses!$O$8:$O$69,$B59)+SUMIFS(Headcount!V$395:V$1442,Headcount!$J$395:$J$1442,$B59))</f>
        <v>0</v>
      </c>
      <c r="N59" s="140">
        <f>IF(N$12="Actual",SUMIFS(ActualsTable[Month 12],ActualsTable[Expense Item2],$B59),SUMIFS(Expenses!BM$8:BM$69,Expenses!$O$8:$O$69,$B59)+SUMIFS(Headcount!W$395:W$1442,Headcount!$J$395:$J$1442,$B59))</f>
        <v>0</v>
      </c>
      <c r="O59" s="140">
        <f>IF(O$12="Actual",SUMIFS(ActualsTable[Month 13],ActualsTable[Expense Item2],$B59),SUMIFS(Expenses!BN$8:BN$69,Expenses!$O$8:$O$69,$B59)+SUMIFS(Headcount!X$395:X$1442,Headcount!$J$395:$J$1442,$B59))</f>
        <v>0</v>
      </c>
      <c r="P59" s="140">
        <f>IF(P$12="Actual",SUMIFS(ActualsTable[Month 14],ActualsTable[Expense Item2],$B59),SUMIFS(Expenses!BO$8:BO$69,Expenses!$O$8:$O$69,$B59)+SUMIFS(Headcount!Y$395:Y$1442,Headcount!$J$395:$J$1442,$B59))</f>
        <v>0</v>
      </c>
      <c r="Q59" s="140">
        <f>IF(Q$12="Actual",SUMIFS(ActualsTable[Month 15],ActualsTable[Expense Item2],$B59),SUMIFS(Expenses!BP$8:BP$69,Expenses!$O$8:$O$69,$B59)+SUMIFS(Headcount!Z$395:Z$1442,Headcount!$J$395:$J$1442,$B59))</f>
        <v>0</v>
      </c>
      <c r="R59" s="140">
        <f>IF(R$12="Actual",SUMIFS(ActualsTable[Month 16],ActualsTable[Expense Item2],$B59),SUMIFS(Expenses!BQ$8:BQ$69,Expenses!$O$8:$O$69,$B59)+SUMIFS(Headcount!AA$395:AA$1442,Headcount!$J$395:$J$1442,$B59))</f>
        <v>0</v>
      </c>
      <c r="S59" s="140">
        <f>IF(S$12="Actual",SUMIFS(ActualsTable[Month 17],ActualsTable[Expense Item2],$B59),SUMIFS(Expenses!BR$8:BR$69,Expenses!$O$8:$O$69,$B59)+SUMIFS(Headcount!AB$395:AB$1442,Headcount!$J$395:$J$1442,$B59))</f>
        <v>0</v>
      </c>
      <c r="T59" s="140">
        <f>IF(T$12="Actual",SUMIFS(ActualsTable[Month 18],ActualsTable[Expense Item2],$B59),SUMIFS(Expenses!BS$8:BS$69,Expenses!$O$8:$O$69,$B59)+SUMIFS(Headcount!AC$395:AC$1442,Headcount!$J$395:$J$1442,$B59))</f>
        <v>0</v>
      </c>
      <c r="U59" s="140">
        <f>IF(U$12="Actual",SUMIFS(ActualsTable[Month 19],ActualsTable[Expense Item2],$B59),SUMIFS(Expenses!BT$8:BT$69,Expenses!$O$8:$O$69,$B59)+SUMIFS(Headcount!AD$395:AD$1442,Headcount!$J$395:$J$1442,$B59))</f>
        <v>0</v>
      </c>
      <c r="V59" s="140">
        <f>IF(V$12="Actual",SUMIFS(ActualsTable[Month 20],ActualsTable[Expense Item2],$B59),SUMIFS(Expenses!BU$8:BU$69,Expenses!$O$8:$O$69,$B59)+SUMIFS(Headcount!AE$395:AE$1442,Headcount!$J$395:$J$1442,$B59))</f>
        <v>0</v>
      </c>
      <c r="W59" s="140">
        <f>IF(W$12="Actual",SUMIFS(ActualsTable[Month 21],ActualsTable[Expense Item2],$B59),SUMIFS(Expenses!BV$8:BV$69,Expenses!$O$8:$O$69,$B59)+SUMIFS(Headcount!AF$395:AF$1442,Headcount!$J$395:$J$1442,$B59))</f>
        <v>0</v>
      </c>
      <c r="X59" s="140">
        <f>IF(X$12="Actual",SUMIFS(ActualsTable[Month 22],ActualsTable[Expense Item2],$B59),SUMIFS(Expenses!BW$8:BW$69,Expenses!$O$8:$O$69,$B59)+SUMIFS(Headcount!AG$395:AG$1442,Headcount!$J$395:$J$1442,$B59))</f>
        <v>0</v>
      </c>
      <c r="Y59" s="140">
        <f>IF(Y$12="Actual",SUMIFS(ActualsTable[Month 23],ActualsTable[Expense Item2],$B59),SUMIFS(Expenses!BX$8:BX$69,Expenses!$O$8:$O$69,$B59)+SUMIFS(Headcount!AH$395:AH$1442,Headcount!$J$395:$J$1442,$B59))</f>
        <v>0</v>
      </c>
      <c r="Z59" s="140">
        <f>IF(Z$12="Actual",SUMIFS(ActualsTable[Month 24],ActualsTable[Expense Item2],$B59),SUMIFS(Expenses!BY$8:BY$69,Expenses!$O$8:$O$69,$B59)+SUMIFS(Headcount!AI$395:AI$1442,Headcount!$J$395:$J$1442,$B59))</f>
        <v>0</v>
      </c>
      <c r="AA59" s="140">
        <f>IF(AA$12="Actual",SUMIFS(ActualsTable[Month 25],ActualsTable[Expense Item2],$B59),SUMIFS(Expenses!BZ$8:BZ$69,Expenses!$O$8:$O$69,$B59)+SUMIFS(Headcount!AJ$395:AJ$1442,Headcount!$J$395:$J$1442,$B59))</f>
        <v>0</v>
      </c>
      <c r="AB59" s="140">
        <f>IF(AB$12="Actual",SUMIFS(ActualsTable[Month 26],ActualsTable[Expense Item2],$B59),SUMIFS(Expenses!CA$8:CA$69,Expenses!$O$8:$O$69,$B59)+SUMIFS(Headcount!AK$395:AK$1442,Headcount!$J$395:$J$1442,$B59))</f>
        <v>0</v>
      </c>
      <c r="AC59" s="140">
        <f>IF(AC$12="Actual",SUMIFS(ActualsTable[Month 27],ActualsTable[Expense Item2],$B59),SUMIFS(Expenses!CB$8:CB$69,Expenses!$O$8:$O$69,$B59)+SUMIFS(Headcount!AL$395:AL$1442,Headcount!$J$395:$J$1442,$B59))</f>
        <v>0</v>
      </c>
      <c r="AD59" s="140">
        <f>IF(AD$12="Actual",SUMIFS(ActualsTable[Month 28],ActualsTable[Expense Item2],$B59),SUMIFS(Expenses!CC$8:CC$69,Expenses!$O$8:$O$69,$B59)+SUMIFS(Headcount!AM$395:AM$1442,Headcount!$J$395:$J$1442,$B59))</f>
        <v>0</v>
      </c>
      <c r="AE59" s="140">
        <f>IF(AE$12="Actual",SUMIFS(ActualsTable[Month 29],ActualsTable[Expense Item2],$B59),SUMIFS(Expenses!CD$8:CD$69,Expenses!$O$8:$O$69,$B59)+SUMIFS(Headcount!AN$395:AN$1442,Headcount!$J$395:$J$1442,$B59))</f>
        <v>0</v>
      </c>
      <c r="AF59" s="140">
        <f>IF(AF$12="Actual",SUMIFS(ActualsTable[Month 30],ActualsTable[Expense Item2],$B59),SUMIFS(Expenses!CE$8:CE$69,Expenses!$O$8:$O$69,$B59)+SUMIFS(Headcount!AO$395:AO$1442,Headcount!$J$395:$J$1442,$B59))</f>
        <v>0</v>
      </c>
      <c r="AG59" s="140">
        <f>IF(AG$12="Actual",SUMIFS(ActualsTable[Month 31],ActualsTable[Expense Item2],$B59),SUMIFS(Expenses!CF$8:CF$69,Expenses!$O$8:$O$69,$B59)+SUMIFS(Headcount!AP$395:AP$1442,Headcount!$J$395:$J$1442,$B59))</f>
        <v>0</v>
      </c>
      <c r="AH59" s="140">
        <f>IF(AH$12="Actual",SUMIFS(ActualsTable[Month 32],ActualsTable[Expense Item2],$B59),SUMIFS(Expenses!CG$8:CG$69,Expenses!$O$8:$O$69,$B59)+SUMIFS(Headcount!AQ$395:AQ$1442,Headcount!$J$395:$J$1442,$B59))</f>
        <v>0</v>
      </c>
      <c r="AI59" s="140">
        <f>IF(AI$12="Actual",SUMIFS(ActualsTable[Month 33],ActualsTable[Expense Item2],$B59),SUMIFS(Expenses!CH$8:CH$69,Expenses!$O$8:$O$69,$B59)+SUMIFS(Headcount!AR$395:AR$1442,Headcount!$J$395:$J$1442,$B59))</f>
        <v>0</v>
      </c>
      <c r="AJ59" s="140">
        <f>IF(AJ$12="Actual",SUMIFS(ActualsTable[Month 34],ActualsTable[Expense Item2],$B59),SUMIFS(Expenses!CI$8:CI$69,Expenses!$O$8:$O$69,$B59)+SUMIFS(Headcount!AS$395:AS$1442,Headcount!$J$395:$J$1442,$B59))</f>
        <v>0</v>
      </c>
      <c r="AK59" s="140">
        <f>IF(AK$12="Actual",SUMIFS(ActualsTable[Month 35],ActualsTable[Expense Item2],$B59),SUMIFS(Expenses!CJ$8:CJ$69,Expenses!$O$8:$O$69,$B59)+SUMIFS(Headcount!AT$395:AT$1442,Headcount!$J$395:$J$1442,$B59))</f>
        <v>0</v>
      </c>
      <c r="AL59" s="301">
        <f>IF(AL$12="Actual",SUMIFS(ActualsTable[Month 36],ActualsTable[Expense Item2],$B59),SUMIFS(Expenses!CK$8:CK$69,Expenses!$O$8:$O$69,$B59)+SUMIFS(Headcount!AU$395:AU$1442,Headcount!$J$395:$J$1442,$B59))</f>
        <v>0</v>
      </c>
      <c r="AN59" s="327">
        <f t="shared" ca="1" si="118"/>
        <v>0</v>
      </c>
      <c r="AO59" s="140">
        <f t="shared" ca="1" si="118"/>
        <v>0</v>
      </c>
      <c r="AP59" s="140">
        <f t="shared" ca="1" si="118"/>
        <v>0</v>
      </c>
      <c r="AQ59" s="140">
        <f t="shared" ca="1" si="118"/>
        <v>0</v>
      </c>
      <c r="AR59" s="140">
        <f t="shared" ca="1" si="118"/>
        <v>0</v>
      </c>
      <c r="AS59" s="140">
        <f t="shared" ca="1" si="118"/>
        <v>0</v>
      </c>
      <c r="AT59" s="140">
        <f t="shared" ca="1" si="118"/>
        <v>0</v>
      </c>
      <c r="AU59" s="140">
        <f t="shared" ca="1" si="118"/>
        <v>0</v>
      </c>
      <c r="AV59" s="140">
        <f t="shared" ca="1" si="118"/>
        <v>0</v>
      </c>
      <c r="AW59" s="140">
        <f t="shared" ca="1" si="118"/>
        <v>0</v>
      </c>
      <c r="AX59" s="140">
        <f t="shared" ca="1" si="118"/>
        <v>0</v>
      </c>
      <c r="AY59" s="301">
        <f t="shared" ca="1" si="118"/>
        <v>0</v>
      </c>
      <c r="BA59" s="327">
        <f t="shared" ca="1" si="119"/>
        <v>0</v>
      </c>
      <c r="BB59" s="140">
        <f t="shared" ca="1" si="119"/>
        <v>0</v>
      </c>
      <c r="BC59" s="301">
        <f t="shared" ca="1" si="119"/>
        <v>0</v>
      </c>
    </row>
    <row r="60" spans="2:55" ht="15" x14ac:dyDescent="0.4">
      <c r="B60" s="82" t="s">
        <v>95</v>
      </c>
      <c r="C60" s="142">
        <f t="shared" ref="C60:AN60" si="120">SUM(C61:C68)</f>
        <v>0</v>
      </c>
      <c r="D60" s="142">
        <f t="shared" ref="D60:AL60" si="121">SUM(D61:D68)</f>
        <v>0</v>
      </c>
      <c r="E60" s="142">
        <f t="shared" si="121"/>
        <v>0</v>
      </c>
      <c r="F60" s="142">
        <f t="shared" si="121"/>
        <v>0</v>
      </c>
      <c r="G60" s="142">
        <f t="shared" si="121"/>
        <v>0</v>
      </c>
      <c r="H60" s="142">
        <f t="shared" si="121"/>
        <v>0</v>
      </c>
      <c r="I60" s="142">
        <f t="shared" si="121"/>
        <v>0</v>
      </c>
      <c r="J60" s="142">
        <f t="shared" si="121"/>
        <v>0</v>
      </c>
      <c r="K60" s="142">
        <f t="shared" si="121"/>
        <v>0</v>
      </c>
      <c r="L60" s="142">
        <f t="shared" si="121"/>
        <v>0</v>
      </c>
      <c r="M60" s="142">
        <f t="shared" si="121"/>
        <v>0</v>
      </c>
      <c r="N60" s="142">
        <f t="shared" si="121"/>
        <v>0</v>
      </c>
      <c r="O60" s="142">
        <f t="shared" si="121"/>
        <v>0</v>
      </c>
      <c r="P60" s="142">
        <f t="shared" si="121"/>
        <v>0</v>
      </c>
      <c r="Q60" s="142">
        <f t="shared" si="121"/>
        <v>0</v>
      </c>
      <c r="R60" s="142">
        <f t="shared" si="121"/>
        <v>0</v>
      </c>
      <c r="S60" s="142">
        <f t="shared" si="121"/>
        <v>0</v>
      </c>
      <c r="T60" s="142">
        <f t="shared" si="121"/>
        <v>0</v>
      </c>
      <c r="U60" s="142">
        <f t="shared" si="121"/>
        <v>0</v>
      </c>
      <c r="V60" s="142">
        <f t="shared" si="121"/>
        <v>0</v>
      </c>
      <c r="W60" s="142">
        <f t="shared" si="121"/>
        <v>0</v>
      </c>
      <c r="X60" s="142">
        <f t="shared" si="121"/>
        <v>0</v>
      </c>
      <c r="Y60" s="142">
        <f t="shared" si="121"/>
        <v>0</v>
      </c>
      <c r="Z60" s="142">
        <f t="shared" si="121"/>
        <v>0</v>
      </c>
      <c r="AA60" s="142">
        <f t="shared" si="121"/>
        <v>0</v>
      </c>
      <c r="AB60" s="142">
        <f t="shared" si="121"/>
        <v>0</v>
      </c>
      <c r="AC60" s="142">
        <f t="shared" si="121"/>
        <v>0</v>
      </c>
      <c r="AD60" s="142">
        <f t="shared" si="121"/>
        <v>0</v>
      </c>
      <c r="AE60" s="142">
        <f t="shared" si="121"/>
        <v>0</v>
      </c>
      <c r="AF60" s="142">
        <f t="shared" si="121"/>
        <v>0</v>
      </c>
      <c r="AG60" s="142">
        <f t="shared" si="121"/>
        <v>0</v>
      </c>
      <c r="AH60" s="142">
        <f t="shared" si="121"/>
        <v>0</v>
      </c>
      <c r="AI60" s="142">
        <f t="shared" si="121"/>
        <v>0</v>
      </c>
      <c r="AJ60" s="142">
        <f t="shared" si="121"/>
        <v>0</v>
      </c>
      <c r="AK60" s="142">
        <f t="shared" si="121"/>
        <v>0</v>
      </c>
      <c r="AL60" s="302">
        <f t="shared" si="121"/>
        <v>0</v>
      </c>
      <c r="AN60" s="328">
        <f t="shared" ca="1" si="120"/>
        <v>0</v>
      </c>
      <c r="AO60" s="142">
        <f t="shared" ref="AO60:AT60" ca="1" si="122">SUM(AO61:AO68)</f>
        <v>0</v>
      </c>
      <c r="AP60" s="142">
        <f t="shared" ca="1" si="122"/>
        <v>0</v>
      </c>
      <c r="AQ60" s="142">
        <f t="shared" ca="1" si="122"/>
        <v>0</v>
      </c>
      <c r="AR60" s="142">
        <f t="shared" ca="1" si="122"/>
        <v>0</v>
      </c>
      <c r="AS60" s="142">
        <f t="shared" ca="1" si="122"/>
        <v>0</v>
      </c>
      <c r="AT60" s="142">
        <f t="shared" ca="1" si="122"/>
        <v>0</v>
      </c>
      <c r="AU60" s="142">
        <f t="shared" ref="AU60:AY60" ca="1" si="123">SUM(AU61:AU68)</f>
        <v>0</v>
      </c>
      <c r="AV60" s="142">
        <f t="shared" ca="1" si="123"/>
        <v>0</v>
      </c>
      <c r="AW60" s="142">
        <f t="shared" ca="1" si="123"/>
        <v>0</v>
      </c>
      <c r="AX60" s="142">
        <f t="shared" ca="1" si="123"/>
        <v>0</v>
      </c>
      <c r="AY60" s="302">
        <f t="shared" ca="1" si="123"/>
        <v>0</v>
      </c>
      <c r="BA60" s="328">
        <f t="shared" ref="BA60" ca="1" si="124">SUM(BA61:BA68)</f>
        <v>0</v>
      </c>
      <c r="BB60" s="142">
        <f t="shared" ref="BB60:BC60" ca="1" si="125">SUM(BB61:BB68)</f>
        <v>0</v>
      </c>
      <c r="BC60" s="302">
        <f t="shared" ca="1" si="125"/>
        <v>0</v>
      </c>
    </row>
    <row r="61" spans="2:55" x14ac:dyDescent="0.35">
      <c r="B61" s="64" t="s">
        <v>96</v>
      </c>
      <c r="C61" s="137">
        <f>IF(C$12="Actual",SUMIFS(ActualsTable[Month 1],ActualsTable[Expense Item2],$B61),SUMIFS(Expenses!BB$8:BB$69,Expenses!$O$8:$O$69,$B61)+SUMIFS(Headcount!L$395:L$1442,Headcount!$J$395:$J$1442,$B61))</f>
        <v>0</v>
      </c>
      <c r="D61" s="137">
        <f>IF(D$12="Actual",SUMIFS(ActualsTable[Month 2],ActualsTable[Expense Item2],$B61),SUMIFS(Expenses!BC$8:BC$69,Expenses!$O$8:$O$69,$B61)+SUMIFS(Headcount!M$395:M$1442,Headcount!$J$395:$J$1442,$B61))</f>
        <v>0</v>
      </c>
      <c r="E61" s="137">
        <f>IF(E$12="Actual",SUMIFS(ActualsTable[Month 3],ActualsTable[Expense Item2],$B61),SUMIFS(Expenses!BD$8:BD$69,Expenses!$O$8:$O$69,$B61)+SUMIFS(Headcount!N$395:N$1442,Headcount!$J$395:$J$1442,$B61))</f>
        <v>0</v>
      </c>
      <c r="F61" s="137">
        <f>IF(F$12="Actual",SUMIFS(ActualsTable[Month 4],ActualsTable[Expense Item2],$B61),SUMIFS(Expenses!BE$8:BE$69,Expenses!$O$8:$O$69,$B61)+SUMIFS(Headcount!O$395:O$1442,Headcount!$J$395:$J$1442,$B61))</f>
        <v>0</v>
      </c>
      <c r="G61" s="137">
        <f>IF(G$12="Actual",SUMIFS(ActualsTable[Month 5],ActualsTable[Expense Item2],$B61),SUMIFS(Expenses!BF$8:BF$69,Expenses!$O$8:$O$69,$B61)+SUMIFS(Headcount!P$395:P$1442,Headcount!$J$395:$J$1442,$B61))</f>
        <v>0</v>
      </c>
      <c r="H61" s="137">
        <f>IF(H$12="Actual",SUMIFS(ActualsTable[Month 6],ActualsTable[Expense Item2],$B61),SUMIFS(Expenses!BG$8:BG$69,Expenses!$O$8:$O$69,$B61)+SUMIFS(Headcount!Q$395:Q$1442,Headcount!$J$395:$J$1442,$B61))</f>
        <v>0</v>
      </c>
      <c r="I61" s="137">
        <f>IF(I$12="Actual",SUMIFS(ActualsTable[Month 7],ActualsTable[Expense Item2],$B61),SUMIFS(Expenses!BH$8:BH$69,Expenses!$O$8:$O$69,$B61)+SUMIFS(Headcount!R$395:R$1442,Headcount!$J$395:$J$1442,$B61))</f>
        <v>0</v>
      </c>
      <c r="J61" s="137">
        <f>IF(J$12="Actual",SUMIFS(ActualsTable[Month 8],ActualsTable[Expense Item2],$B61),SUMIFS(Expenses!BI$8:BI$69,Expenses!$O$8:$O$69,$B61)+SUMIFS(Headcount!S$395:S$1442,Headcount!$J$395:$J$1442,$B61))</f>
        <v>0</v>
      </c>
      <c r="K61" s="137">
        <f>IF(K$12="Actual",SUMIFS(ActualsTable[Month 9],ActualsTable[Expense Item2],$B61),SUMIFS(Expenses!BJ$8:BJ$69,Expenses!$O$8:$O$69,$B61)+SUMIFS(Headcount!T$395:T$1442,Headcount!$J$395:$J$1442,$B61))</f>
        <v>0</v>
      </c>
      <c r="L61" s="137">
        <f>IF(L$12="Actual",SUMIFS(ActualsTable[Month 10],ActualsTable[Expense Item2],$B61),SUMIFS(Expenses!BK$8:BK$69,Expenses!$O$8:$O$69,$B61)+SUMIFS(Headcount!U$395:U$1442,Headcount!$J$395:$J$1442,$B61))</f>
        <v>0</v>
      </c>
      <c r="M61" s="137">
        <f>IF(M$12="Actual",SUMIFS(ActualsTable[Month 11],ActualsTable[Expense Item2],$B61),SUMIFS(Expenses!BL$8:BL$69,Expenses!$O$8:$O$69,$B61)+SUMIFS(Headcount!V$395:V$1442,Headcount!$J$395:$J$1442,$B61))</f>
        <v>0</v>
      </c>
      <c r="N61" s="137">
        <f>IF(N$12="Actual",SUMIFS(ActualsTable[Month 12],ActualsTable[Expense Item2],$B61),SUMIFS(Expenses!BM$8:BM$69,Expenses!$O$8:$O$69,$B61)+SUMIFS(Headcount!W$395:W$1442,Headcount!$J$395:$J$1442,$B61))</f>
        <v>0</v>
      </c>
      <c r="O61" s="137">
        <f>IF(O$12="Actual",SUMIFS(ActualsTable[Month 13],ActualsTable[Expense Item2],$B61),SUMIFS(Expenses!BN$8:BN$69,Expenses!$O$8:$O$69,$B61)+SUMIFS(Headcount!X$395:X$1442,Headcount!$J$395:$J$1442,$B61))</f>
        <v>0</v>
      </c>
      <c r="P61" s="137">
        <f>IF(P$12="Actual",SUMIFS(ActualsTable[Month 14],ActualsTable[Expense Item2],$B61),SUMIFS(Expenses!BO$8:BO$69,Expenses!$O$8:$O$69,$B61)+SUMIFS(Headcount!Y$395:Y$1442,Headcount!$J$395:$J$1442,$B61))</f>
        <v>0</v>
      </c>
      <c r="Q61" s="137">
        <f>IF(Q$12="Actual",SUMIFS(ActualsTable[Month 15],ActualsTable[Expense Item2],$B61),SUMIFS(Expenses!BP$8:BP$69,Expenses!$O$8:$O$69,$B61)+SUMIFS(Headcount!Z$395:Z$1442,Headcount!$J$395:$J$1442,$B61))</f>
        <v>0</v>
      </c>
      <c r="R61" s="137">
        <f>IF(R$12="Actual",SUMIFS(ActualsTable[Month 16],ActualsTable[Expense Item2],$B61),SUMIFS(Expenses!BQ$8:BQ$69,Expenses!$O$8:$O$69,$B61)+SUMIFS(Headcount!AA$395:AA$1442,Headcount!$J$395:$J$1442,$B61))</f>
        <v>0</v>
      </c>
      <c r="S61" s="137">
        <f>IF(S$12="Actual",SUMIFS(ActualsTable[Month 17],ActualsTable[Expense Item2],$B61),SUMIFS(Expenses!BR$8:BR$69,Expenses!$O$8:$O$69,$B61)+SUMIFS(Headcount!AB$395:AB$1442,Headcount!$J$395:$J$1442,$B61))</f>
        <v>0</v>
      </c>
      <c r="T61" s="137">
        <f>IF(T$12="Actual",SUMIFS(ActualsTable[Month 18],ActualsTable[Expense Item2],$B61),SUMIFS(Expenses!BS$8:BS$69,Expenses!$O$8:$O$69,$B61)+SUMIFS(Headcount!AC$395:AC$1442,Headcount!$J$395:$J$1442,$B61))</f>
        <v>0</v>
      </c>
      <c r="U61" s="137">
        <f>IF(U$12="Actual",SUMIFS(ActualsTable[Month 19],ActualsTable[Expense Item2],$B61),SUMIFS(Expenses!BT$8:BT$69,Expenses!$O$8:$O$69,$B61)+SUMIFS(Headcount!AD$395:AD$1442,Headcount!$J$395:$J$1442,$B61))</f>
        <v>0</v>
      </c>
      <c r="V61" s="137">
        <f>IF(V$12="Actual",SUMIFS(ActualsTable[Month 20],ActualsTable[Expense Item2],$B61),SUMIFS(Expenses!BU$8:BU$69,Expenses!$O$8:$O$69,$B61)+SUMIFS(Headcount!AE$395:AE$1442,Headcount!$J$395:$J$1442,$B61))</f>
        <v>0</v>
      </c>
      <c r="W61" s="137">
        <f>IF(W$12="Actual",SUMIFS(ActualsTable[Month 21],ActualsTable[Expense Item2],$B61),SUMIFS(Expenses!BV$8:BV$69,Expenses!$O$8:$O$69,$B61)+SUMIFS(Headcount!AF$395:AF$1442,Headcount!$J$395:$J$1442,$B61))</f>
        <v>0</v>
      </c>
      <c r="X61" s="137">
        <f>IF(X$12="Actual",SUMIFS(ActualsTable[Month 22],ActualsTable[Expense Item2],$B61),SUMIFS(Expenses!BW$8:BW$69,Expenses!$O$8:$O$69,$B61)+SUMIFS(Headcount!AG$395:AG$1442,Headcount!$J$395:$J$1442,$B61))</f>
        <v>0</v>
      </c>
      <c r="Y61" s="137">
        <f>IF(Y$12="Actual",SUMIFS(ActualsTable[Month 23],ActualsTable[Expense Item2],$B61),SUMIFS(Expenses!BX$8:BX$69,Expenses!$O$8:$O$69,$B61)+SUMIFS(Headcount!AH$395:AH$1442,Headcount!$J$395:$J$1442,$B61))</f>
        <v>0</v>
      </c>
      <c r="Z61" s="137">
        <f>IF(Z$12="Actual",SUMIFS(ActualsTable[Month 24],ActualsTable[Expense Item2],$B61),SUMIFS(Expenses!BY$8:BY$69,Expenses!$O$8:$O$69,$B61)+SUMIFS(Headcount!AI$395:AI$1442,Headcount!$J$395:$J$1442,$B61))</f>
        <v>0</v>
      </c>
      <c r="AA61" s="137">
        <f>IF(AA$12="Actual",SUMIFS(ActualsTable[Month 25],ActualsTable[Expense Item2],$B61),SUMIFS(Expenses!BZ$8:BZ$69,Expenses!$O$8:$O$69,$B61)+SUMIFS(Headcount!AJ$395:AJ$1442,Headcount!$J$395:$J$1442,$B61))</f>
        <v>0</v>
      </c>
      <c r="AB61" s="137">
        <f>IF(AB$12="Actual",SUMIFS(ActualsTable[Month 26],ActualsTable[Expense Item2],$B61),SUMIFS(Expenses!CA$8:CA$69,Expenses!$O$8:$O$69,$B61)+SUMIFS(Headcount!AK$395:AK$1442,Headcount!$J$395:$J$1442,$B61))</f>
        <v>0</v>
      </c>
      <c r="AC61" s="137">
        <f>IF(AC$12="Actual",SUMIFS(ActualsTable[Month 27],ActualsTable[Expense Item2],$B61),SUMIFS(Expenses!CB$8:CB$69,Expenses!$O$8:$O$69,$B61)+SUMIFS(Headcount!AL$395:AL$1442,Headcount!$J$395:$J$1442,$B61))</f>
        <v>0</v>
      </c>
      <c r="AD61" s="137">
        <f>IF(AD$12="Actual",SUMIFS(ActualsTable[Month 28],ActualsTable[Expense Item2],$B61),SUMIFS(Expenses!CC$8:CC$69,Expenses!$O$8:$O$69,$B61)+SUMIFS(Headcount!AM$395:AM$1442,Headcount!$J$395:$J$1442,$B61))</f>
        <v>0</v>
      </c>
      <c r="AE61" s="137">
        <f>IF(AE$12="Actual",SUMIFS(ActualsTable[Month 29],ActualsTable[Expense Item2],$B61),SUMIFS(Expenses!CD$8:CD$69,Expenses!$O$8:$O$69,$B61)+SUMIFS(Headcount!AN$395:AN$1442,Headcount!$J$395:$J$1442,$B61))</f>
        <v>0</v>
      </c>
      <c r="AF61" s="137">
        <f>IF(AF$12="Actual",SUMIFS(ActualsTable[Month 30],ActualsTable[Expense Item2],$B61),SUMIFS(Expenses!CE$8:CE$69,Expenses!$O$8:$O$69,$B61)+SUMIFS(Headcount!AO$395:AO$1442,Headcount!$J$395:$J$1442,$B61))</f>
        <v>0</v>
      </c>
      <c r="AG61" s="137">
        <f>IF(AG$12="Actual",SUMIFS(ActualsTable[Month 31],ActualsTable[Expense Item2],$B61),SUMIFS(Expenses!CF$8:CF$69,Expenses!$O$8:$O$69,$B61)+SUMIFS(Headcount!AP$395:AP$1442,Headcount!$J$395:$J$1442,$B61))</f>
        <v>0</v>
      </c>
      <c r="AH61" s="137">
        <f>IF(AH$12="Actual",SUMIFS(ActualsTable[Month 32],ActualsTable[Expense Item2],$B61),SUMIFS(Expenses!CG$8:CG$69,Expenses!$O$8:$O$69,$B61)+SUMIFS(Headcount!AQ$395:AQ$1442,Headcount!$J$395:$J$1442,$B61))</f>
        <v>0</v>
      </c>
      <c r="AI61" s="137">
        <f>IF(AI$12="Actual",SUMIFS(ActualsTable[Month 33],ActualsTable[Expense Item2],$B61),SUMIFS(Expenses!CH$8:CH$69,Expenses!$O$8:$O$69,$B61)+SUMIFS(Headcount!AR$395:AR$1442,Headcount!$J$395:$J$1442,$B61))</f>
        <v>0</v>
      </c>
      <c r="AJ61" s="137">
        <f>IF(AJ$12="Actual",SUMIFS(ActualsTable[Month 34],ActualsTable[Expense Item2],$B61),SUMIFS(Expenses!CI$8:CI$69,Expenses!$O$8:$O$69,$B61)+SUMIFS(Headcount!AS$395:AS$1442,Headcount!$J$395:$J$1442,$B61))</f>
        <v>0</v>
      </c>
      <c r="AK61" s="137">
        <f>IF(AK$12="Actual",SUMIFS(ActualsTable[Month 35],ActualsTable[Expense Item2],$B61),SUMIFS(Expenses!CJ$8:CJ$69,Expenses!$O$8:$O$69,$B61)+SUMIFS(Headcount!AT$395:AT$1442,Headcount!$J$395:$J$1442,$B61))</f>
        <v>0</v>
      </c>
      <c r="AL61" s="293">
        <f>IF(AL$12="Actual",SUMIFS(ActualsTable[Month 36],ActualsTable[Expense Item2],$B61),SUMIFS(Expenses!CK$8:CK$69,Expenses!$O$8:$O$69,$B61)+SUMIFS(Headcount!AU$395:AU$1442,Headcount!$J$395:$J$1442,$B61))</f>
        <v>0</v>
      </c>
      <c r="AN61" s="319">
        <f t="shared" ref="AN61:AY68" ca="1" si="126">SUM(OFFSET($B61,0,3*AN$9+1,1,3))</f>
        <v>0</v>
      </c>
      <c r="AO61" s="137">
        <f t="shared" ca="1" si="126"/>
        <v>0</v>
      </c>
      <c r="AP61" s="137">
        <f t="shared" ca="1" si="126"/>
        <v>0</v>
      </c>
      <c r="AQ61" s="137">
        <f t="shared" ca="1" si="126"/>
        <v>0</v>
      </c>
      <c r="AR61" s="137">
        <f t="shared" ca="1" si="126"/>
        <v>0</v>
      </c>
      <c r="AS61" s="137">
        <f t="shared" ca="1" si="126"/>
        <v>0</v>
      </c>
      <c r="AT61" s="137">
        <f t="shared" ca="1" si="126"/>
        <v>0</v>
      </c>
      <c r="AU61" s="137">
        <f t="shared" ca="1" si="126"/>
        <v>0</v>
      </c>
      <c r="AV61" s="137">
        <f t="shared" ca="1" si="126"/>
        <v>0</v>
      </c>
      <c r="AW61" s="137">
        <f t="shared" ca="1" si="126"/>
        <v>0</v>
      </c>
      <c r="AX61" s="137">
        <f t="shared" ca="1" si="126"/>
        <v>0</v>
      </c>
      <c r="AY61" s="293">
        <f t="shared" ca="1" si="126"/>
        <v>0</v>
      </c>
      <c r="BA61" s="319">
        <f t="shared" ref="BA61:BC68" ca="1" si="127">SUM(OFFSET($B61,0,12*BA$9+1,1,12))</f>
        <v>0</v>
      </c>
      <c r="BB61" s="137">
        <f t="shared" ca="1" si="127"/>
        <v>0</v>
      </c>
      <c r="BC61" s="293">
        <f t="shared" ca="1" si="127"/>
        <v>0</v>
      </c>
    </row>
    <row r="62" spans="2:55" x14ac:dyDescent="0.35">
      <c r="B62" s="64" t="s">
        <v>97</v>
      </c>
      <c r="C62" s="137">
        <f>IF(C$12="Actual",SUMIFS(ActualsTable[Month 1],ActualsTable[Expense Item2],$B62),SUMIFS(Expenses!BB$8:BB$69,Expenses!$O$8:$O$69,$B62)+SUMIFS(Headcount!L$395:L$1442,Headcount!$J$395:$J$1442,$B62))</f>
        <v>0</v>
      </c>
      <c r="D62" s="137">
        <f>IF(D$12="Actual",SUMIFS(ActualsTable[Month 2],ActualsTable[Expense Item2],$B62),SUMIFS(Expenses!BC$8:BC$69,Expenses!$O$8:$O$69,$B62)+SUMIFS(Headcount!M$395:M$1442,Headcount!$J$395:$J$1442,$B62))</f>
        <v>0</v>
      </c>
      <c r="E62" s="137">
        <f>IF(E$12="Actual",SUMIFS(ActualsTable[Month 3],ActualsTable[Expense Item2],$B62),SUMIFS(Expenses!BD$8:BD$69,Expenses!$O$8:$O$69,$B62)+SUMIFS(Headcount!N$395:N$1442,Headcount!$J$395:$J$1442,$B62))</f>
        <v>0</v>
      </c>
      <c r="F62" s="137">
        <f>IF(F$12="Actual",SUMIFS(ActualsTable[Month 4],ActualsTable[Expense Item2],$B62),SUMIFS(Expenses!BE$8:BE$69,Expenses!$O$8:$O$69,$B62)+SUMIFS(Headcount!O$395:O$1442,Headcount!$J$395:$J$1442,$B62))</f>
        <v>0</v>
      </c>
      <c r="G62" s="137">
        <f>IF(G$12="Actual",SUMIFS(ActualsTable[Month 5],ActualsTable[Expense Item2],$B62),SUMIFS(Expenses!BF$8:BF$69,Expenses!$O$8:$O$69,$B62)+SUMIFS(Headcount!P$395:P$1442,Headcount!$J$395:$J$1442,$B62))</f>
        <v>0</v>
      </c>
      <c r="H62" s="137">
        <f>IF(H$12="Actual",SUMIFS(ActualsTable[Month 6],ActualsTable[Expense Item2],$B62),SUMIFS(Expenses!BG$8:BG$69,Expenses!$O$8:$O$69,$B62)+SUMIFS(Headcount!Q$395:Q$1442,Headcount!$J$395:$J$1442,$B62))</f>
        <v>0</v>
      </c>
      <c r="I62" s="137">
        <f>IF(I$12="Actual",SUMIFS(ActualsTable[Month 7],ActualsTable[Expense Item2],$B62),SUMIFS(Expenses!BH$8:BH$69,Expenses!$O$8:$O$69,$B62)+SUMIFS(Headcount!R$395:R$1442,Headcount!$J$395:$J$1442,$B62))</f>
        <v>0</v>
      </c>
      <c r="J62" s="137">
        <f>IF(J$12="Actual",SUMIFS(ActualsTable[Month 8],ActualsTable[Expense Item2],$B62),SUMIFS(Expenses!BI$8:BI$69,Expenses!$O$8:$O$69,$B62)+SUMIFS(Headcount!S$395:S$1442,Headcount!$J$395:$J$1442,$B62))</f>
        <v>0</v>
      </c>
      <c r="K62" s="137">
        <f>IF(K$12="Actual",SUMIFS(ActualsTable[Month 9],ActualsTable[Expense Item2],$B62),SUMIFS(Expenses!BJ$8:BJ$69,Expenses!$O$8:$O$69,$B62)+SUMIFS(Headcount!T$395:T$1442,Headcount!$J$395:$J$1442,$B62))</f>
        <v>0</v>
      </c>
      <c r="L62" s="137">
        <f>IF(L$12="Actual",SUMIFS(ActualsTable[Month 10],ActualsTable[Expense Item2],$B62),SUMIFS(Expenses!BK$8:BK$69,Expenses!$O$8:$O$69,$B62)+SUMIFS(Headcount!U$395:U$1442,Headcount!$J$395:$J$1442,$B62))</f>
        <v>0</v>
      </c>
      <c r="M62" s="137">
        <f>IF(M$12="Actual",SUMIFS(ActualsTable[Month 11],ActualsTable[Expense Item2],$B62),SUMIFS(Expenses!BL$8:BL$69,Expenses!$O$8:$O$69,$B62)+SUMIFS(Headcount!V$395:V$1442,Headcount!$J$395:$J$1442,$B62))</f>
        <v>0</v>
      </c>
      <c r="N62" s="137">
        <f>IF(N$12="Actual",SUMIFS(ActualsTable[Month 12],ActualsTable[Expense Item2],$B62),SUMIFS(Expenses!BM$8:BM$69,Expenses!$O$8:$O$69,$B62)+SUMIFS(Headcount!W$395:W$1442,Headcount!$J$395:$J$1442,$B62))</f>
        <v>0</v>
      </c>
      <c r="O62" s="137">
        <f>IF(O$12="Actual",SUMIFS(ActualsTable[Month 13],ActualsTable[Expense Item2],$B62),SUMIFS(Expenses!BN$8:BN$69,Expenses!$O$8:$O$69,$B62)+SUMIFS(Headcount!X$395:X$1442,Headcount!$J$395:$J$1442,$B62))</f>
        <v>0</v>
      </c>
      <c r="P62" s="137">
        <f>IF(P$12="Actual",SUMIFS(ActualsTable[Month 14],ActualsTable[Expense Item2],$B62),SUMIFS(Expenses!BO$8:BO$69,Expenses!$O$8:$O$69,$B62)+SUMIFS(Headcount!Y$395:Y$1442,Headcount!$J$395:$J$1442,$B62))</f>
        <v>0</v>
      </c>
      <c r="Q62" s="137">
        <f>IF(Q$12="Actual",SUMIFS(ActualsTable[Month 15],ActualsTable[Expense Item2],$B62),SUMIFS(Expenses!BP$8:BP$69,Expenses!$O$8:$O$69,$B62)+SUMIFS(Headcount!Z$395:Z$1442,Headcount!$J$395:$J$1442,$B62))</f>
        <v>0</v>
      </c>
      <c r="R62" s="137">
        <f>IF(R$12="Actual",SUMIFS(ActualsTable[Month 16],ActualsTable[Expense Item2],$B62),SUMIFS(Expenses!BQ$8:BQ$69,Expenses!$O$8:$O$69,$B62)+SUMIFS(Headcount!AA$395:AA$1442,Headcount!$J$395:$J$1442,$B62))</f>
        <v>0</v>
      </c>
      <c r="S62" s="137">
        <f>IF(S$12="Actual",SUMIFS(ActualsTable[Month 17],ActualsTable[Expense Item2],$B62),SUMIFS(Expenses!BR$8:BR$69,Expenses!$O$8:$O$69,$B62)+SUMIFS(Headcount!AB$395:AB$1442,Headcount!$J$395:$J$1442,$B62))</f>
        <v>0</v>
      </c>
      <c r="T62" s="137">
        <f>IF(T$12="Actual",SUMIFS(ActualsTable[Month 18],ActualsTable[Expense Item2],$B62),SUMIFS(Expenses!BS$8:BS$69,Expenses!$O$8:$O$69,$B62)+SUMIFS(Headcount!AC$395:AC$1442,Headcount!$J$395:$J$1442,$B62))</f>
        <v>0</v>
      </c>
      <c r="U62" s="137">
        <f>IF(U$12="Actual",SUMIFS(ActualsTable[Month 19],ActualsTable[Expense Item2],$B62),SUMIFS(Expenses!BT$8:BT$69,Expenses!$O$8:$O$69,$B62)+SUMIFS(Headcount!AD$395:AD$1442,Headcount!$J$395:$J$1442,$B62))</f>
        <v>0</v>
      </c>
      <c r="V62" s="137">
        <f>IF(V$12="Actual",SUMIFS(ActualsTable[Month 20],ActualsTable[Expense Item2],$B62),SUMIFS(Expenses!BU$8:BU$69,Expenses!$O$8:$O$69,$B62)+SUMIFS(Headcount!AE$395:AE$1442,Headcount!$J$395:$J$1442,$B62))</f>
        <v>0</v>
      </c>
      <c r="W62" s="137">
        <f>IF(W$12="Actual",SUMIFS(ActualsTable[Month 21],ActualsTable[Expense Item2],$B62),SUMIFS(Expenses!BV$8:BV$69,Expenses!$O$8:$O$69,$B62)+SUMIFS(Headcount!AF$395:AF$1442,Headcount!$J$395:$J$1442,$B62))</f>
        <v>0</v>
      </c>
      <c r="X62" s="137">
        <f>IF(X$12="Actual",SUMIFS(ActualsTable[Month 22],ActualsTable[Expense Item2],$B62),SUMIFS(Expenses!BW$8:BW$69,Expenses!$O$8:$O$69,$B62)+SUMIFS(Headcount!AG$395:AG$1442,Headcount!$J$395:$J$1442,$B62))</f>
        <v>0</v>
      </c>
      <c r="Y62" s="137">
        <f>IF(Y$12="Actual",SUMIFS(ActualsTable[Month 23],ActualsTable[Expense Item2],$B62),SUMIFS(Expenses!BX$8:BX$69,Expenses!$O$8:$O$69,$B62)+SUMIFS(Headcount!AH$395:AH$1442,Headcount!$J$395:$J$1442,$B62))</f>
        <v>0</v>
      </c>
      <c r="Z62" s="137">
        <f>IF(Z$12="Actual",SUMIFS(ActualsTable[Month 24],ActualsTable[Expense Item2],$B62),SUMIFS(Expenses!BY$8:BY$69,Expenses!$O$8:$O$69,$B62)+SUMIFS(Headcount!AI$395:AI$1442,Headcount!$J$395:$J$1442,$B62))</f>
        <v>0</v>
      </c>
      <c r="AA62" s="137">
        <f>IF(AA$12="Actual",SUMIFS(ActualsTable[Month 25],ActualsTable[Expense Item2],$B62),SUMIFS(Expenses!BZ$8:BZ$69,Expenses!$O$8:$O$69,$B62)+SUMIFS(Headcount!AJ$395:AJ$1442,Headcount!$J$395:$J$1442,$B62))</f>
        <v>0</v>
      </c>
      <c r="AB62" s="137">
        <f>IF(AB$12="Actual",SUMIFS(ActualsTable[Month 26],ActualsTable[Expense Item2],$B62),SUMIFS(Expenses!CA$8:CA$69,Expenses!$O$8:$O$69,$B62)+SUMIFS(Headcount!AK$395:AK$1442,Headcount!$J$395:$J$1442,$B62))</f>
        <v>0</v>
      </c>
      <c r="AC62" s="137">
        <f>IF(AC$12="Actual",SUMIFS(ActualsTable[Month 27],ActualsTable[Expense Item2],$B62),SUMIFS(Expenses!CB$8:CB$69,Expenses!$O$8:$O$69,$B62)+SUMIFS(Headcount!AL$395:AL$1442,Headcount!$J$395:$J$1442,$B62))</f>
        <v>0</v>
      </c>
      <c r="AD62" s="137">
        <f>IF(AD$12="Actual",SUMIFS(ActualsTable[Month 28],ActualsTable[Expense Item2],$B62),SUMIFS(Expenses!CC$8:CC$69,Expenses!$O$8:$O$69,$B62)+SUMIFS(Headcount!AM$395:AM$1442,Headcount!$J$395:$J$1442,$B62))</f>
        <v>0</v>
      </c>
      <c r="AE62" s="137">
        <f>IF(AE$12="Actual",SUMIFS(ActualsTable[Month 29],ActualsTable[Expense Item2],$B62),SUMIFS(Expenses!CD$8:CD$69,Expenses!$O$8:$O$69,$B62)+SUMIFS(Headcount!AN$395:AN$1442,Headcount!$J$395:$J$1442,$B62))</f>
        <v>0</v>
      </c>
      <c r="AF62" s="137">
        <f>IF(AF$12="Actual",SUMIFS(ActualsTable[Month 30],ActualsTable[Expense Item2],$B62),SUMIFS(Expenses!CE$8:CE$69,Expenses!$O$8:$O$69,$B62)+SUMIFS(Headcount!AO$395:AO$1442,Headcount!$J$395:$J$1442,$B62))</f>
        <v>0</v>
      </c>
      <c r="AG62" s="137">
        <f>IF(AG$12="Actual",SUMIFS(ActualsTable[Month 31],ActualsTable[Expense Item2],$B62),SUMIFS(Expenses!CF$8:CF$69,Expenses!$O$8:$O$69,$B62)+SUMIFS(Headcount!AP$395:AP$1442,Headcount!$J$395:$J$1442,$B62))</f>
        <v>0</v>
      </c>
      <c r="AH62" s="137">
        <f>IF(AH$12="Actual",SUMIFS(ActualsTable[Month 32],ActualsTable[Expense Item2],$B62),SUMIFS(Expenses!CG$8:CG$69,Expenses!$O$8:$O$69,$B62)+SUMIFS(Headcount!AQ$395:AQ$1442,Headcount!$J$395:$J$1442,$B62))</f>
        <v>0</v>
      </c>
      <c r="AI62" s="137">
        <f>IF(AI$12="Actual",SUMIFS(ActualsTable[Month 33],ActualsTable[Expense Item2],$B62),SUMIFS(Expenses!CH$8:CH$69,Expenses!$O$8:$O$69,$B62)+SUMIFS(Headcount!AR$395:AR$1442,Headcount!$J$395:$J$1442,$B62))</f>
        <v>0</v>
      </c>
      <c r="AJ62" s="137">
        <f>IF(AJ$12="Actual",SUMIFS(ActualsTable[Month 34],ActualsTable[Expense Item2],$B62),SUMIFS(Expenses!CI$8:CI$69,Expenses!$O$8:$O$69,$B62)+SUMIFS(Headcount!AS$395:AS$1442,Headcount!$J$395:$J$1442,$B62))</f>
        <v>0</v>
      </c>
      <c r="AK62" s="137">
        <f>IF(AK$12="Actual",SUMIFS(ActualsTable[Month 35],ActualsTable[Expense Item2],$B62),SUMIFS(Expenses!CJ$8:CJ$69,Expenses!$O$8:$O$69,$B62)+SUMIFS(Headcount!AT$395:AT$1442,Headcount!$J$395:$J$1442,$B62))</f>
        <v>0</v>
      </c>
      <c r="AL62" s="293">
        <f>IF(AL$12="Actual",SUMIFS(ActualsTable[Month 36],ActualsTable[Expense Item2],$B62),SUMIFS(Expenses!CK$8:CK$69,Expenses!$O$8:$O$69,$B62)+SUMIFS(Headcount!AU$395:AU$1442,Headcount!$J$395:$J$1442,$B62))</f>
        <v>0</v>
      </c>
      <c r="AN62" s="319">
        <f t="shared" ca="1" si="126"/>
        <v>0</v>
      </c>
      <c r="AO62" s="137">
        <f t="shared" ca="1" si="126"/>
        <v>0</v>
      </c>
      <c r="AP62" s="137">
        <f t="shared" ca="1" si="126"/>
        <v>0</v>
      </c>
      <c r="AQ62" s="137">
        <f t="shared" ca="1" si="126"/>
        <v>0</v>
      </c>
      <c r="AR62" s="137">
        <f t="shared" ca="1" si="126"/>
        <v>0</v>
      </c>
      <c r="AS62" s="137">
        <f t="shared" ca="1" si="126"/>
        <v>0</v>
      </c>
      <c r="AT62" s="137">
        <f t="shared" ca="1" si="126"/>
        <v>0</v>
      </c>
      <c r="AU62" s="137">
        <f t="shared" ca="1" si="126"/>
        <v>0</v>
      </c>
      <c r="AV62" s="137">
        <f t="shared" ca="1" si="126"/>
        <v>0</v>
      </c>
      <c r="AW62" s="137">
        <f t="shared" ca="1" si="126"/>
        <v>0</v>
      </c>
      <c r="AX62" s="137">
        <f t="shared" ca="1" si="126"/>
        <v>0</v>
      </c>
      <c r="AY62" s="293">
        <f t="shared" ca="1" si="126"/>
        <v>0</v>
      </c>
      <c r="BA62" s="319">
        <f t="shared" ca="1" si="127"/>
        <v>0</v>
      </c>
      <c r="BB62" s="137">
        <f t="shared" ca="1" si="127"/>
        <v>0</v>
      </c>
      <c r="BC62" s="293">
        <f t="shared" ca="1" si="127"/>
        <v>0</v>
      </c>
    </row>
    <row r="63" spans="2:55" x14ac:dyDescent="0.35">
      <c r="B63" s="64" t="s">
        <v>98</v>
      </c>
      <c r="C63" s="137">
        <f>IF(C$12="Actual",SUMIFS(ActualsTable[Month 1],ActualsTable[Expense Item2],$B63),SUMIFS(Expenses!BB$8:BB$69,Expenses!$O$8:$O$69,$B63)+SUMIFS(Headcount!L$395:L$1442,Headcount!$J$395:$J$1442,$B63))</f>
        <v>0</v>
      </c>
      <c r="D63" s="137">
        <f>IF(D$12="Actual",SUMIFS(ActualsTable[Month 2],ActualsTable[Expense Item2],$B63),SUMIFS(Expenses!BC$8:BC$69,Expenses!$O$8:$O$69,$B63)+SUMIFS(Headcount!M$395:M$1442,Headcount!$J$395:$J$1442,$B63))</f>
        <v>0</v>
      </c>
      <c r="E63" s="137">
        <f>IF(E$12="Actual",SUMIFS(ActualsTable[Month 3],ActualsTable[Expense Item2],$B63),SUMIFS(Expenses!BD$8:BD$69,Expenses!$O$8:$O$69,$B63)+SUMIFS(Headcount!N$395:N$1442,Headcount!$J$395:$J$1442,$B63))</f>
        <v>0</v>
      </c>
      <c r="F63" s="137">
        <f>IF(F$12="Actual",SUMIFS(ActualsTable[Month 4],ActualsTable[Expense Item2],$B63),SUMIFS(Expenses!BE$8:BE$69,Expenses!$O$8:$O$69,$B63)+SUMIFS(Headcount!O$395:O$1442,Headcount!$J$395:$J$1442,$B63))</f>
        <v>0</v>
      </c>
      <c r="G63" s="137">
        <f>IF(G$12="Actual",SUMIFS(ActualsTable[Month 5],ActualsTable[Expense Item2],$B63),SUMIFS(Expenses!BF$8:BF$69,Expenses!$O$8:$O$69,$B63)+SUMIFS(Headcount!P$395:P$1442,Headcount!$J$395:$J$1442,$B63))</f>
        <v>0</v>
      </c>
      <c r="H63" s="137">
        <f>IF(H$12="Actual",SUMIFS(ActualsTable[Month 6],ActualsTable[Expense Item2],$B63),SUMIFS(Expenses!BG$8:BG$69,Expenses!$O$8:$O$69,$B63)+SUMIFS(Headcount!Q$395:Q$1442,Headcount!$J$395:$J$1442,$B63))</f>
        <v>0</v>
      </c>
      <c r="I63" s="137">
        <f>IF(I$12="Actual",SUMIFS(ActualsTable[Month 7],ActualsTable[Expense Item2],$B63),SUMIFS(Expenses!BH$8:BH$69,Expenses!$O$8:$O$69,$B63)+SUMIFS(Headcount!R$395:R$1442,Headcount!$J$395:$J$1442,$B63))</f>
        <v>0</v>
      </c>
      <c r="J63" s="137">
        <f>IF(J$12="Actual",SUMIFS(ActualsTable[Month 8],ActualsTable[Expense Item2],$B63),SUMIFS(Expenses!BI$8:BI$69,Expenses!$O$8:$O$69,$B63)+SUMIFS(Headcount!S$395:S$1442,Headcount!$J$395:$J$1442,$B63))</f>
        <v>0</v>
      </c>
      <c r="K63" s="137">
        <f>IF(K$12="Actual",SUMIFS(ActualsTable[Month 9],ActualsTable[Expense Item2],$B63),SUMIFS(Expenses!BJ$8:BJ$69,Expenses!$O$8:$O$69,$B63)+SUMIFS(Headcount!T$395:T$1442,Headcount!$J$395:$J$1442,$B63))</f>
        <v>0</v>
      </c>
      <c r="L63" s="137">
        <f>IF(L$12="Actual",SUMIFS(ActualsTable[Month 10],ActualsTable[Expense Item2],$B63),SUMIFS(Expenses!BK$8:BK$69,Expenses!$O$8:$O$69,$B63)+SUMIFS(Headcount!U$395:U$1442,Headcount!$J$395:$J$1442,$B63))</f>
        <v>0</v>
      </c>
      <c r="M63" s="137">
        <f>IF(M$12="Actual",SUMIFS(ActualsTable[Month 11],ActualsTable[Expense Item2],$B63),SUMIFS(Expenses!BL$8:BL$69,Expenses!$O$8:$O$69,$B63)+SUMIFS(Headcount!V$395:V$1442,Headcount!$J$395:$J$1442,$B63))</f>
        <v>0</v>
      </c>
      <c r="N63" s="137">
        <f>IF(N$12="Actual",SUMIFS(ActualsTable[Month 12],ActualsTable[Expense Item2],$B63),SUMIFS(Expenses!BM$8:BM$69,Expenses!$O$8:$O$69,$B63)+SUMIFS(Headcount!W$395:W$1442,Headcount!$J$395:$J$1442,$B63))</f>
        <v>0</v>
      </c>
      <c r="O63" s="137">
        <f>IF(O$12="Actual",SUMIFS(ActualsTable[Month 13],ActualsTable[Expense Item2],$B63),SUMIFS(Expenses!BN$8:BN$69,Expenses!$O$8:$O$69,$B63)+SUMIFS(Headcount!X$395:X$1442,Headcount!$J$395:$J$1442,$B63))</f>
        <v>0</v>
      </c>
      <c r="P63" s="137">
        <f>IF(P$12="Actual",SUMIFS(ActualsTable[Month 14],ActualsTable[Expense Item2],$B63),SUMIFS(Expenses!BO$8:BO$69,Expenses!$O$8:$O$69,$B63)+SUMIFS(Headcount!Y$395:Y$1442,Headcount!$J$395:$J$1442,$B63))</f>
        <v>0</v>
      </c>
      <c r="Q63" s="137">
        <f>IF(Q$12="Actual",SUMIFS(ActualsTable[Month 15],ActualsTable[Expense Item2],$B63),SUMIFS(Expenses!BP$8:BP$69,Expenses!$O$8:$O$69,$B63)+SUMIFS(Headcount!Z$395:Z$1442,Headcount!$J$395:$J$1442,$B63))</f>
        <v>0</v>
      </c>
      <c r="R63" s="137">
        <f>IF(R$12="Actual",SUMIFS(ActualsTable[Month 16],ActualsTable[Expense Item2],$B63),SUMIFS(Expenses!BQ$8:BQ$69,Expenses!$O$8:$O$69,$B63)+SUMIFS(Headcount!AA$395:AA$1442,Headcount!$J$395:$J$1442,$B63))</f>
        <v>0</v>
      </c>
      <c r="S63" s="137">
        <f>IF(S$12="Actual",SUMIFS(ActualsTable[Month 17],ActualsTable[Expense Item2],$B63),SUMIFS(Expenses!BR$8:BR$69,Expenses!$O$8:$O$69,$B63)+SUMIFS(Headcount!AB$395:AB$1442,Headcount!$J$395:$J$1442,$B63))</f>
        <v>0</v>
      </c>
      <c r="T63" s="137">
        <f>IF(T$12="Actual",SUMIFS(ActualsTable[Month 18],ActualsTable[Expense Item2],$B63),SUMIFS(Expenses!BS$8:BS$69,Expenses!$O$8:$O$69,$B63)+SUMIFS(Headcount!AC$395:AC$1442,Headcount!$J$395:$J$1442,$B63))</f>
        <v>0</v>
      </c>
      <c r="U63" s="137">
        <f>IF(U$12="Actual",SUMIFS(ActualsTable[Month 19],ActualsTable[Expense Item2],$B63),SUMIFS(Expenses!BT$8:BT$69,Expenses!$O$8:$O$69,$B63)+SUMIFS(Headcount!AD$395:AD$1442,Headcount!$J$395:$J$1442,$B63))</f>
        <v>0</v>
      </c>
      <c r="V63" s="137">
        <f>IF(V$12="Actual",SUMIFS(ActualsTable[Month 20],ActualsTable[Expense Item2],$B63),SUMIFS(Expenses!BU$8:BU$69,Expenses!$O$8:$O$69,$B63)+SUMIFS(Headcount!AE$395:AE$1442,Headcount!$J$395:$J$1442,$B63))</f>
        <v>0</v>
      </c>
      <c r="W63" s="137">
        <f>IF(W$12="Actual",SUMIFS(ActualsTable[Month 21],ActualsTable[Expense Item2],$B63),SUMIFS(Expenses!BV$8:BV$69,Expenses!$O$8:$O$69,$B63)+SUMIFS(Headcount!AF$395:AF$1442,Headcount!$J$395:$J$1442,$B63))</f>
        <v>0</v>
      </c>
      <c r="X63" s="137">
        <f>IF(X$12="Actual",SUMIFS(ActualsTable[Month 22],ActualsTable[Expense Item2],$B63),SUMIFS(Expenses!BW$8:BW$69,Expenses!$O$8:$O$69,$B63)+SUMIFS(Headcount!AG$395:AG$1442,Headcount!$J$395:$J$1442,$B63))</f>
        <v>0</v>
      </c>
      <c r="Y63" s="137">
        <f>IF(Y$12="Actual",SUMIFS(ActualsTable[Month 23],ActualsTable[Expense Item2],$B63),SUMIFS(Expenses!BX$8:BX$69,Expenses!$O$8:$O$69,$B63)+SUMIFS(Headcount!AH$395:AH$1442,Headcount!$J$395:$J$1442,$B63))</f>
        <v>0</v>
      </c>
      <c r="Z63" s="137">
        <f>IF(Z$12="Actual",SUMIFS(ActualsTable[Month 24],ActualsTable[Expense Item2],$B63),SUMIFS(Expenses!BY$8:BY$69,Expenses!$O$8:$O$69,$B63)+SUMIFS(Headcount!AI$395:AI$1442,Headcount!$J$395:$J$1442,$B63))</f>
        <v>0</v>
      </c>
      <c r="AA63" s="137">
        <f>IF(AA$12="Actual",SUMIFS(ActualsTable[Month 25],ActualsTable[Expense Item2],$B63),SUMIFS(Expenses!BZ$8:BZ$69,Expenses!$O$8:$O$69,$B63)+SUMIFS(Headcount!AJ$395:AJ$1442,Headcount!$J$395:$J$1442,$B63))</f>
        <v>0</v>
      </c>
      <c r="AB63" s="137">
        <f>IF(AB$12="Actual",SUMIFS(ActualsTable[Month 26],ActualsTable[Expense Item2],$B63),SUMIFS(Expenses!CA$8:CA$69,Expenses!$O$8:$O$69,$B63)+SUMIFS(Headcount!AK$395:AK$1442,Headcount!$J$395:$J$1442,$B63))</f>
        <v>0</v>
      </c>
      <c r="AC63" s="137">
        <f>IF(AC$12="Actual",SUMIFS(ActualsTable[Month 27],ActualsTable[Expense Item2],$B63),SUMIFS(Expenses!CB$8:CB$69,Expenses!$O$8:$O$69,$B63)+SUMIFS(Headcount!AL$395:AL$1442,Headcount!$J$395:$J$1442,$B63))</f>
        <v>0</v>
      </c>
      <c r="AD63" s="137">
        <f>IF(AD$12="Actual",SUMIFS(ActualsTable[Month 28],ActualsTable[Expense Item2],$B63),SUMIFS(Expenses!CC$8:CC$69,Expenses!$O$8:$O$69,$B63)+SUMIFS(Headcount!AM$395:AM$1442,Headcount!$J$395:$J$1442,$B63))</f>
        <v>0</v>
      </c>
      <c r="AE63" s="137">
        <f>IF(AE$12="Actual",SUMIFS(ActualsTable[Month 29],ActualsTable[Expense Item2],$B63),SUMIFS(Expenses!CD$8:CD$69,Expenses!$O$8:$O$69,$B63)+SUMIFS(Headcount!AN$395:AN$1442,Headcount!$J$395:$J$1442,$B63))</f>
        <v>0</v>
      </c>
      <c r="AF63" s="137">
        <f>IF(AF$12="Actual",SUMIFS(ActualsTable[Month 30],ActualsTable[Expense Item2],$B63),SUMIFS(Expenses!CE$8:CE$69,Expenses!$O$8:$O$69,$B63)+SUMIFS(Headcount!AO$395:AO$1442,Headcount!$J$395:$J$1442,$B63))</f>
        <v>0</v>
      </c>
      <c r="AG63" s="137">
        <f>IF(AG$12="Actual",SUMIFS(ActualsTable[Month 31],ActualsTable[Expense Item2],$B63),SUMIFS(Expenses!CF$8:CF$69,Expenses!$O$8:$O$69,$B63)+SUMIFS(Headcount!AP$395:AP$1442,Headcount!$J$395:$J$1442,$B63))</f>
        <v>0</v>
      </c>
      <c r="AH63" s="137">
        <f>IF(AH$12="Actual",SUMIFS(ActualsTable[Month 32],ActualsTable[Expense Item2],$B63),SUMIFS(Expenses!CG$8:CG$69,Expenses!$O$8:$O$69,$B63)+SUMIFS(Headcount!AQ$395:AQ$1442,Headcount!$J$395:$J$1442,$B63))</f>
        <v>0</v>
      </c>
      <c r="AI63" s="137">
        <f>IF(AI$12="Actual",SUMIFS(ActualsTable[Month 33],ActualsTable[Expense Item2],$B63),SUMIFS(Expenses!CH$8:CH$69,Expenses!$O$8:$O$69,$B63)+SUMIFS(Headcount!AR$395:AR$1442,Headcount!$J$395:$J$1442,$B63))</f>
        <v>0</v>
      </c>
      <c r="AJ63" s="137">
        <f>IF(AJ$12="Actual",SUMIFS(ActualsTable[Month 34],ActualsTable[Expense Item2],$B63),SUMIFS(Expenses!CI$8:CI$69,Expenses!$O$8:$O$69,$B63)+SUMIFS(Headcount!AS$395:AS$1442,Headcount!$J$395:$J$1442,$B63))</f>
        <v>0</v>
      </c>
      <c r="AK63" s="137">
        <f>IF(AK$12="Actual",SUMIFS(ActualsTable[Month 35],ActualsTable[Expense Item2],$B63),SUMIFS(Expenses!CJ$8:CJ$69,Expenses!$O$8:$O$69,$B63)+SUMIFS(Headcount!AT$395:AT$1442,Headcount!$J$395:$J$1442,$B63))</f>
        <v>0</v>
      </c>
      <c r="AL63" s="293">
        <f>IF(AL$12="Actual",SUMIFS(ActualsTable[Month 36],ActualsTable[Expense Item2],$B63),SUMIFS(Expenses!CK$8:CK$69,Expenses!$O$8:$O$69,$B63)+SUMIFS(Headcount!AU$395:AU$1442,Headcount!$J$395:$J$1442,$B63))</f>
        <v>0</v>
      </c>
      <c r="AN63" s="319">
        <f t="shared" ca="1" si="126"/>
        <v>0</v>
      </c>
      <c r="AO63" s="137">
        <f t="shared" ca="1" si="126"/>
        <v>0</v>
      </c>
      <c r="AP63" s="137">
        <f t="shared" ca="1" si="126"/>
        <v>0</v>
      </c>
      <c r="AQ63" s="137">
        <f t="shared" ca="1" si="126"/>
        <v>0</v>
      </c>
      <c r="AR63" s="137">
        <f t="shared" ca="1" si="126"/>
        <v>0</v>
      </c>
      <c r="AS63" s="137">
        <f t="shared" ca="1" si="126"/>
        <v>0</v>
      </c>
      <c r="AT63" s="137">
        <f t="shared" ca="1" si="126"/>
        <v>0</v>
      </c>
      <c r="AU63" s="137">
        <f t="shared" ca="1" si="126"/>
        <v>0</v>
      </c>
      <c r="AV63" s="137">
        <f t="shared" ca="1" si="126"/>
        <v>0</v>
      </c>
      <c r="AW63" s="137">
        <f t="shared" ca="1" si="126"/>
        <v>0</v>
      </c>
      <c r="AX63" s="137">
        <f t="shared" ca="1" si="126"/>
        <v>0</v>
      </c>
      <c r="AY63" s="293">
        <f t="shared" ca="1" si="126"/>
        <v>0</v>
      </c>
      <c r="BA63" s="319">
        <f t="shared" ca="1" si="127"/>
        <v>0</v>
      </c>
      <c r="BB63" s="137">
        <f t="shared" ca="1" si="127"/>
        <v>0</v>
      </c>
      <c r="BC63" s="293">
        <f t="shared" ca="1" si="127"/>
        <v>0</v>
      </c>
    </row>
    <row r="64" spans="2:55" x14ac:dyDescent="0.35">
      <c r="B64" s="64" t="s">
        <v>99</v>
      </c>
      <c r="C64" s="137">
        <f>IF(C$12="Actual",SUMIFS(ActualsTable[Month 1],ActualsTable[Expense Item2],$B64),SUMIFS(Expenses!BB$8:BB$69,Expenses!$O$8:$O$69,$B64)+SUMIFS(Headcount!L$395:L$1442,Headcount!$J$395:$J$1442,$B64))</f>
        <v>0</v>
      </c>
      <c r="D64" s="137">
        <f>IF(D$12="Actual",SUMIFS(ActualsTable[Month 2],ActualsTable[Expense Item2],$B64),SUMIFS(Expenses!BC$8:BC$69,Expenses!$O$8:$O$69,$B64)+SUMIFS(Headcount!M$395:M$1442,Headcount!$J$395:$J$1442,$B64))</f>
        <v>0</v>
      </c>
      <c r="E64" s="137">
        <f>IF(E$12="Actual",SUMIFS(ActualsTable[Month 3],ActualsTable[Expense Item2],$B64),SUMIFS(Expenses!BD$8:BD$69,Expenses!$O$8:$O$69,$B64)+SUMIFS(Headcount!N$395:N$1442,Headcount!$J$395:$J$1442,$B64))</f>
        <v>0</v>
      </c>
      <c r="F64" s="137">
        <f>IF(F$12="Actual",SUMIFS(ActualsTable[Month 4],ActualsTable[Expense Item2],$B64),SUMIFS(Expenses!BE$8:BE$69,Expenses!$O$8:$O$69,$B64)+SUMIFS(Headcount!O$395:O$1442,Headcount!$J$395:$J$1442,$B64))</f>
        <v>0</v>
      </c>
      <c r="G64" s="137">
        <f>IF(G$12="Actual",SUMIFS(ActualsTable[Month 5],ActualsTable[Expense Item2],$B64),SUMIFS(Expenses!BF$8:BF$69,Expenses!$O$8:$O$69,$B64)+SUMIFS(Headcount!P$395:P$1442,Headcount!$J$395:$J$1442,$B64))</f>
        <v>0</v>
      </c>
      <c r="H64" s="137">
        <f>IF(H$12="Actual",SUMIFS(ActualsTable[Month 6],ActualsTable[Expense Item2],$B64),SUMIFS(Expenses!BG$8:BG$69,Expenses!$O$8:$O$69,$B64)+SUMIFS(Headcount!Q$395:Q$1442,Headcount!$J$395:$J$1442,$B64))</f>
        <v>0</v>
      </c>
      <c r="I64" s="137">
        <f>IF(I$12="Actual",SUMIFS(ActualsTable[Month 7],ActualsTable[Expense Item2],$B64),SUMIFS(Expenses!BH$8:BH$69,Expenses!$O$8:$O$69,$B64)+SUMIFS(Headcount!R$395:R$1442,Headcount!$J$395:$J$1442,$B64))</f>
        <v>0</v>
      </c>
      <c r="J64" s="137">
        <f>IF(J$12="Actual",SUMIFS(ActualsTable[Month 8],ActualsTable[Expense Item2],$B64),SUMIFS(Expenses!BI$8:BI$69,Expenses!$O$8:$O$69,$B64)+SUMIFS(Headcount!S$395:S$1442,Headcount!$J$395:$J$1442,$B64))</f>
        <v>0</v>
      </c>
      <c r="K64" s="137">
        <f>IF(K$12="Actual",SUMIFS(ActualsTable[Month 9],ActualsTable[Expense Item2],$B64),SUMIFS(Expenses!BJ$8:BJ$69,Expenses!$O$8:$O$69,$B64)+SUMIFS(Headcount!T$395:T$1442,Headcount!$J$395:$J$1442,$B64))</f>
        <v>0</v>
      </c>
      <c r="L64" s="137">
        <f>IF(L$12="Actual",SUMIFS(ActualsTable[Month 10],ActualsTable[Expense Item2],$B64),SUMIFS(Expenses!BK$8:BK$69,Expenses!$O$8:$O$69,$B64)+SUMIFS(Headcount!U$395:U$1442,Headcount!$J$395:$J$1442,$B64))</f>
        <v>0</v>
      </c>
      <c r="M64" s="137">
        <f>IF(M$12="Actual",SUMIFS(ActualsTable[Month 11],ActualsTable[Expense Item2],$B64),SUMIFS(Expenses!BL$8:BL$69,Expenses!$O$8:$O$69,$B64)+SUMIFS(Headcount!V$395:V$1442,Headcount!$J$395:$J$1442,$B64))</f>
        <v>0</v>
      </c>
      <c r="N64" s="137">
        <f>IF(N$12="Actual",SUMIFS(ActualsTable[Month 12],ActualsTable[Expense Item2],$B64),SUMIFS(Expenses!BM$8:BM$69,Expenses!$O$8:$O$69,$B64)+SUMIFS(Headcount!W$395:W$1442,Headcount!$J$395:$J$1442,$B64))</f>
        <v>0</v>
      </c>
      <c r="O64" s="137">
        <f>IF(O$12="Actual",SUMIFS(ActualsTable[Month 13],ActualsTable[Expense Item2],$B64),SUMIFS(Expenses!BN$8:BN$69,Expenses!$O$8:$O$69,$B64)+SUMIFS(Headcount!X$395:X$1442,Headcount!$J$395:$J$1442,$B64))</f>
        <v>0</v>
      </c>
      <c r="P64" s="137">
        <f>IF(P$12="Actual",SUMIFS(ActualsTable[Month 14],ActualsTable[Expense Item2],$B64),SUMIFS(Expenses!BO$8:BO$69,Expenses!$O$8:$O$69,$B64)+SUMIFS(Headcount!Y$395:Y$1442,Headcount!$J$395:$J$1442,$B64))</f>
        <v>0</v>
      </c>
      <c r="Q64" s="137">
        <f>IF(Q$12="Actual",SUMIFS(ActualsTable[Month 15],ActualsTable[Expense Item2],$B64),SUMIFS(Expenses!BP$8:BP$69,Expenses!$O$8:$O$69,$B64)+SUMIFS(Headcount!Z$395:Z$1442,Headcount!$J$395:$J$1442,$B64))</f>
        <v>0</v>
      </c>
      <c r="R64" s="137">
        <f>IF(R$12="Actual",SUMIFS(ActualsTable[Month 16],ActualsTable[Expense Item2],$B64),SUMIFS(Expenses!BQ$8:BQ$69,Expenses!$O$8:$O$69,$B64)+SUMIFS(Headcount!AA$395:AA$1442,Headcount!$J$395:$J$1442,$B64))</f>
        <v>0</v>
      </c>
      <c r="S64" s="137">
        <f>IF(S$12="Actual",SUMIFS(ActualsTable[Month 17],ActualsTable[Expense Item2],$B64),SUMIFS(Expenses!BR$8:BR$69,Expenses!$O$8:$O$69,$B64)+SUMIFS(Headcount!AB$395:AB$1442,Headcount!$J$395:$J$1442,$B64))</f>
        <v>0</v>
      </c>
      <c r="T64" s="137">
        <f>IF(T$12="Actual",SUMIFS(ActualsTable[Month 18],ActualsTable[Expense Item2],$B64),SUMIFS(Expenses!BS$8:BS$69,Expenses!$O$8:$O$69,$B64)+SUMIFS(Headcount!AC$395:AC$1442,Headcount!$J$395:$J$1442,$B64))</f>
        <v>0</v>
      </c>
      <c r="U64" s="137">
        <f>IF(U$12="Actual",SUMIFS(ActualsTable[Month 19],ActualsTable[Expense Item2],$B64),SUMIFS(Expenses!BT$8:BT$69,Expenses!$O$8:$O$69,$B64)+SUMIFS(Headcount!AD$395:AD$1442,Headcount!$J$395:$J$1442,$B64))</f>
        <v>0</v>
      </c>
      <c r="V64" s="137">
        <f>IF(V$12="Actual",SUMIFS(ActualsTable[Month 20],ActualsTable[Expense Item2],$B64),SUMIFS(Expenses!BU$8:BU$69,Expenses!$O$8:$O$69,$B64)+SUMIFS(Headcount!AE$395:AE$1442,Headcount!$J$395:$J$1442,$B64))</f>
        <v>0</v>
      </c>
      <c r="W64" s="137">
        <f>IF(W$12="Actual",SUMIFS(ActualsTable[Month 21],ActualsTable[Expense Item2],$B64),SUMIFS(Expenses!BV$8:BV$69,Expenses!$O$8:$O$69,$B64)+SUMIFS(Headcount!AF$395:AF$1442,Headcount!$J$395:$J$1442,$B64))</f>
        <v>0</v>
      </c>
      <c r="X64" s="137">
        <f>IF(X$12="Actual",SUMIFS(ActualsTable[Month 22],ActualsTable[Expense Item2],$B64),SUMIFS(Expenses!BW$8:BW$69,Expenses!$O$8:$O$69,$B64)+SUMIFS(Headcount!AG$395:AG$1442,Headcount!$J$395:$J$1442,$B64))</f>
        <v>0</v>
      </c>
      <c r="Y64" s="137">
        <f>IF(Y$12="Actual",SUMIFS(ActualsTable[Month 23],ActualsTable[Expense Item2],$B64),SUMIFS(Expenses!BX$8:BX$69,Expenses!$O$8:$O$69,$B64)+SUMIFS(Headcount!AH$395:AH$1442,Headcount!$J$395:$J$1442,$B64))</f>
        <v>0</v>
      </c>
      <c r="Z64" s="137">
        <f>IF(Z$12="Actual",SUMIFS(ActualsTable[Month 24],ActualsTable[Expense Item2],$B64),SUMIFS(Expenses!BY$8:BY$69,Expenses!$O$8:$O$69,$B64)+SUMIFS(Headcount!AI$395:AI$1442,Headcount!$J$395:$J$1442,$B64))</f>
        <v>0</v>
      </c>
      <c r="AA64" s="137">
        <f>IF(AA$12="Actual",SUMIFS(ActualsTable[Month 25],ActualsTable[Expense Item2],$B64),SUMIFS(Expenses!BZ$8:BZ$69,Expenses!$O$8:$O$69,$B64)+SUMIFS(Headcount!AJ$395:AJ$1442,Headcount!$J$395:$J$1442,$B64))</f>
        <v>0</v>
      </c>
      <c r="AB64" s="137">
        <f>IF(AB$12="Actual",SUMIFS(ActualsTable[Month 26],ActualsTable[Expense Item2],$B64),SUMIFS(Expenses!CA$8:CA$69,Expenses!$O$8:$O$69,$B64)+SUMIFS(Headcount!AK$395:AK$1442,Headcount!$J$395:$J$1442,$B64))</f>
        <v>0</v>
      </c>
      <c r="AC64" s="137">
        <f>IF(AC$12="Actual",SUMIFS(ActualsTable[Month 27],ActualsTable[Expense Item2],$B64),SUMIFS(Expenses!CB$8:CB$69,Expenses!$O$8:$O$69,$B64)+SUMIFS(Headcount!AL$395:AL$1442,Headcount!$J$395:$J$1442,$B64))</f>
        <v>0</v>
      </c>
      <c r="AD64" s="137">
        <f>IF(AD$12="Actual",SUMIFS(ActualsTable[Month 28],ActualsTable[Expense Item2],$B64),SUMIFS(Expenses!CC$8:CC$69,Expenses!$O$8:$O$69,$B64)+SUMIFS(Headcount!AM$395:AM$1442,Headcount!$J$395:$J$1442,$B64))</f>
        <v>0</v>
      </c>
      <c r="AE64" s="137">
        <f>IF(AE$12="Actual",SUMIFS(ActualsTable[Month 29],ActualsTable[Expense Item2],$B64),SUMIFS(Expenses!CD$8:CD$69,Expenses!$O$8:$O$69,$B64)+SUMIFS(Headcount!AN$395:AN$1442,Headcount!$J$395:$J$1442,$B64))</f>
        <v>0</v>
      </c>
      <c r="AF64" s="137">
        <f>IF(AF$12="Actual",SUMIFS(ActualsTable[Month 30],ActualsTable[Expense Item2],$B64),SUMIFS(Expenses!CE$8:CE$69,Expenses!$O$8:$O$69,$B64)+SUMIFS(Headcount!AO$395:AO$1442,Headcount!$J$395:$J$1442,$B64))</f>
        <v>0</v>
      </c>
      <c r="AG64" s="137">
        <f>IF(AG$12="Actual",SUMIFS(ActualsTable[Month 31],ActualsTable[Expense Item2],$B64),SUMIFS(Expenses!CF$8:CF$69,Expenses!$O$8:$O$69,$B64)+SUMIFS(Headcount!AP$395:AP$1442,Headcount!$J$395:$J$1442,$B64))</f>
        <v>0</v>
      </c>
      <c r="AH64" s="137">
        <f>IF(AH$12="Actual",SUMIFS(ActualsTable[Month 32],ActualsTable[Expense Item2],$B64),SUMIFS(Expenses!CG$8:CG$69,Expenses!$O$8:$O$69,$B64)+SUMIFS(Headcount!AQ$395:AQ$1442,Headcount!$J$395:$J$1442,$B64))</f>
        <v>0</v>
      </c>
      <c r="AI64" s="137">
        <f>IF(AI$12="Actual",SUMIFS(ActualsTable[Month 33],ActualsTable[Expense Item2],$B64),SUMIFS(Expenses!CH$8:CH$69,Expenses!$O$8:$O$69,$B64)+SUMIFS(Headcount!AR$395:AR$1442,Headcount!$J$395:$J$1442,$B64))</f>
        <v>0</v>
      </c>
      <c r="AJ64" s="137">
        <f>IF(AJ$12="Actual",SUMIFS(ActualsTable[Month 34],ActualsTable[Expense Item2],$B64),SUMIFS(Expenses!CI$8:CI$69,Expenses!$O$8:$O$69,$B64)+SUMIFS(Headcount!AS$395:AS$1442,Headcount!$J$395:$J$1442,$B64))</f>
        <v>0</v>
      </c>
      <c r="AK64" s="137">
        <f>IF(AK$12="Actual",SUMIFS(ActualsTable[Month 35],ActualsTable[Expense Item2],$B64),SUMIFS(Expenses!CJ$8:CJ$69,Expenses!$O$8:$O$69,$B64)+SUMIFS(Headcount!AT$395:AT$1442,Headcount!$J$395:$J$1442,$B64))</f>
        <v>0</v>
      </c>
      <c r="AL64" s="293">
        <f>IF(AL$12="Actual",SUMIFS(ActualsTable[Month 36],ActualsTable[Expense Item2],$B64),SUMIFS(Expenses!CK$8:CK$69,Expenses!$O$8:$O$69,$B64)+SUMIFS(Headcount!AU$395:AU$1442,Headcount!$J$395:$J$1442,$B64))</f>
        <v>0</v>
      </c>
      <c r="AN64" s="319">
        <f t="shared" ca="1" si="126"/>
        <v>0</v>
      </c>
      <c r="AO64" s="137">
        <f t="shared" ca="1" si="126"/>
        <v>0</v>
      </c>
      <c r="AP64" s="137">
        <f t="shared" ca="1" si="126"/>
        <v>0</v>
      </c>
      <c r="AQ64" s="137">
        <f t="shared" ca="1" si="126"/>
        <v>0</v>
      </c>
      <c r="AR64" s="137">
        <f t="shared" ca="1" si="126"/>
        <v>0</v>
      </c>
      <c r="AS64" s="137">
        <f t="shared" ca="1" si="126"/>
        <v>0</v>
      </c>
      <c r="AT64" s="137">
        <f t="shared" ca="1" si="126"/>
        <v>0</v>
      </c>
      <c r="AU64" s="137">
        <f t="shared" ca="1" si="126"/>
        <v>0</v>
      </c>
      <c r="AV64" s="137">
        <f t="shared" ca="1" si="126"/>
        <v>0</v>
      </c>
      <c r="AW64" s="137">
        <f t="shared" ca="1" si="126"/>
        <v>0</v>
      </c>
      <c r="AX64" s="137">
        <f t="shared" ca="1" si="126"/>
        <v>0</v>
      </c>
      <c r="AY64" s="293">
        <f t="shared" ca="1" si="126"/>
        <v>0</v>
      </c>
      <c r="BA64" s="319">
        <f t="shared" ca="1" si="127"/>
        <v>0</v>
      </c>
      <c r="BB64" s="137">
        <f t="shared" ca="1" si="127"/>
        <v>0</v>
      </c>
      <c r="BC64" s="293">
        <f t="shared" ca="1" si="127"/>
        <v>0</v>
      </c>
    </row>
    <row r="65" spans="2:55" x14ac:dyDescent="0.35">
      <c r="B65" s="64" t="s">
        <v>100</v>
      </c>
      <c r="C65" s="137">
        <f>IF(C$12="Actual",SUMIFS(ActualsTable[Month 1],ActualsTable[Expense Item2],$B65),SUMIFS(Expenses!BB$8:BB$69,Expenses!$O$8:$O$69,$B65)+SUMIFS(Headcount!L$395:L$1442,Headcount!$J$395:$J$1442,$B65))</f>
        <v>0</v>
      </c>
      <c r="D65" s="137">
        <f>IF(D$12="Actual",SUMIFS(ActualsTable[Month 2],ActualsTable[Expense Item2],$B65),SUMIFS(Expenses!BC$8:BC$69,Expenses!$O$8:$O$69,$B65)+SUMIFS(Headcount!M$395:M$1442,Headcount!$J$395:$J$1442,$B65))</f>
        <v>0</v>
      </c>
      <c r="E65" s="137">
        <f>IF(E$12="Actual",SUMIFS(ActualsTable[Month 3],ActualsTable[Expense Item2],$B65),SUMIFS(Expenses!BD$8:BD$69,Expenses!$O$8:$O$69,$B65)+SUMIFS(Headcount!N$395:N$1442,Headcount!$J$395:$J$1442,$B65))</f>
        <v>0</v>
      </c>
      <c r="F65" s="137">
        <f>IF(F$12="Actual",SUMIFS(ActualsTable[Month 4],ActualsTable[Expense Item2],$B65),SUMIFS(Expenses!BE$8:BE$69,Expenses!$O$8:$O$69,$B65)+SUMIFS(Headcount!O$395:O$1442,Headcount!$J$395:$J$1442,$B65))</f>
        <v>0</v>
      </c>
      <c r="G65" s="137">
        <f>IF(G$12="Actual",SUMIFS(ActualsTable[Month 5],ActualsTable[Expense Item2],$B65),SUMIFS(Expenses!BF$8:BF$69,Expenses!$O$8:$O$69,$B65)+SUMIFS(Headcount!P$395:P$1442,Headcount!$J$395:$J$1442,$B65))</f>
        <v>0</v>
      </c>
      <c r="H65" s="137">
        <f>IF(H$12="Actual",SUMIFS(ActualsTable[Month 6],ActualsTable[Expense Item2],$B65),SUMIFS(Expenses!BG$8:BG$69,Expenses!$O$8:$O$69,$B65)+SUMIFS(Headcount!Q$395:Q$1442,Headcount!$J$395:$J$1442,$B65))</f>
        <v>0</v>
      </c>
      <c r="I65" s="137">
        <f>IF(I$12="Actual",SUMIFS(ActualsTable[Month 7],ActualsTable[Expense Item2],$B65),SUMIFS(Expenses!BH$8:BH$69,Expenses!$O$8:$O$69,$B65)+SUMIFS(Headcount!R$395:R$1442,Headcount!$J$395:$J$1442,$B65))</f>
        <v>0</v>
      </c>
      <c r="J65" s="137">
        <f>IF(J$12="Actual",SUMIFS(ActualsTable[Month 8],ActualsTable[Expense Item2],$B65),SUMIFS(Expenses!BI$8:BI$69,Expenses!$O$8:$O$69,$B65)+SUMIFS(Headcount!S$395:S$1442,Headcount!$J$395:$J$1442,$B65))</f>
        <v>0</v>
      </c>
      <c r="K65" s="137">
        <f>IF(K$12="Actual",SUMIFS(ActualsTable[Month 9],ActualsTable[Expense Item2],$B65),SUMIFS(Expenses!BJ$8:BJ$69,Expenses!$O$8:$O$69,$B65)+SUMIFS(Headcount!T$395:T$1442,Headcount!$J$395:$J$1442,$B65))</f>
        <v>0</v>
      </c>
      <c r="L65" s="137">
        <f>IF(L$12="Actual",SUMIFS(ActualsTable[Month 10],ActualsTable[Expense Item2],$B65),SUMIFS(Expenses!BK$8:BK$69,Expenses!$O$8:$O$69,$B65)+SUMIFS(Headcount!U$395:U$1442,Headcount!$J$395:$J$1442,$B65))</f>
        <v>0</v>
      </c>
      <c r="M65" s="137">
        <f>IF(M$12="Actual",SUMIFS(ActualsTable[Month 11],ActualsTable[Expense Item2],$B65),SUMIFS(Expenses!BL$8:BL$69,Expenses!$O$8:$O$69,$B65)+SUMIFS(Headcount!V$395:V$1442,Headcount!$J$395:$J$1442,$B65))</f>
        <v>0</v>
      </c>
      <c r="N65" s="137">
        <f>IF(N$12="Actual",SUMIFS(ActualsTable[Month 12],ActualsTable[Expense Item2],$B65),SUMIFS(Expenses!BM$8:BM$69,Expenses!$O$8:$O$69,$B65)+SUMIFS(Headcount!W$395:W$1442,Headcount!$J$395:$J$1442,$B65))</f>
        <v>0</v>
      </c>
      <c r="O65" s="137">
        <f>IF(O$12="Actual",SUMIFS(ActualsTable[Month 13],ActualsTable[Expense Item2],$B65),SUMIFS(Expenses!BN$8:BN$69,Expenses!$O$8:$O$69,$B65)+SUMIFS(Headcount!X$395:X$1442,Headcount!$J$395:$J$1442,$B65))</f>
        <v>0</v>
      </c>
      <c r="P65" s="137">
        <f>IF(P$12="Actual",SUMIFS(ActualsTable[Month 14],ActualsTable[Expense Item2],$B65),SUMIFS(Expenses!BO$8:BO$69,Expenses!$O$8:$O$69,$B65)+SUMIFS(Headcount!Y$395:Y$1442,Headcount!$J$395:$J$1442,$B65))</f>
        <v>0</v>
      </c>
      <c r="Q65" s="137">
        <f>IF(Q$12="Actual",SUMIFS(ActualsTable[Month 15],ActualsTable[Expense Item2],$B65),SUMIFS(Expenses!BP$8:BP$69,Expenses!$O$8:$O$69,$B65)+SUMIFS(Headcount!Z$395:Z$1442,Headcount!$J$395:$J$1442,$B65))</f>
        <v>0</v>
      </c>
      <c r="R65" s="137">
        <f>IF(R$12="Actual",SUMIFS(ActualsTable[Month 16],ActualsTable[Expense Item2],$B65),SUMIFS(Expenses!BQ$8:BQ$69,Expenses!$O$8:$O$69,$B65)+SUMIFS(Headcount!AA$395:AA$1442,Headcount!$J$395:$J$1442,$B65))</f>
        <v>0</v>
      </c>
      <c r="S65" s="137">
        <f>IF(S$12="Actual",SUMIFS(ActualsTable[Month 17],ActualsTable[Expense Item2],$B65),SUMIFS(Expenses!BR$8:BR$69,Expenses!$O$8:$O$69,$B65)+SUMIFS(Headcount!AB$395:AB$1442,Headcount!$J$395:$J$1442,$B65))</f>
        <v>0</v>
      </c>
      <c r="T65" s="137">
        <f>IF(T$12="Actual",SUMIFS(ActualsTable[Month 18],ActualsTable[Expense Item2],$B65),SUMIFS(Expenses!BS$8:BS$69,Expenses!$O$8:$O$69,$B65)+SUMIFS(Headcount!AC$395:AC$1442,Headcount!$J$395:$J$1442,$B65))</f>
        <v>0</v>
      </c>
      <c r="U65" s="137">
        <f>IF(U$12="Actual",SUMIFS(ActualsTable[Month 19],ActualsTable[Expense Item2],$B65),SUMIFS(Expenses!BT$8:BT$69,Expenses!$O$8:$O$69,$B65)+SUMIFS(Headcount!AD$395:AD$1442,Headcount!$J$395:$J$1442,$B65))</f>
        <v>0</v>
      </c>
      <c r="V65" s="137">
        <f>IF(V$12="Actual",SUMIFS(ActualsTable[Month 20],ActualsTable[Expense Item2],$B65),SUMIFS(Expenses!BU$8:BU$69,Expenses!$O$8:$O$69,$B65)+SUMIFS(Headcount!AE$395:AE$1442,Headcount!$J$395:$J$1442,$B65))</f>
        <v>0</v>
      </c>
      <c r="W65" s="137">
        <f>IF(W$12="Actual",SUMIFS(ActualsTable[Month 21],ActualsTable[Expense Item2],$B65),SUMIFS(Expenses!BV$8:BV$69,Expenses!$O$8:$O$69,$B65)+SUMIFS(Headcount!AF$395:AF$1442,Headcount!$J$395:$J$1442,$B65))</f>
        <v>0</v>
      </c>
      <c r="X65" s="137">
        <f>IF(X$12="Actual",SUMIFS(ActualsTable[Month 22],ActualsTable[Expense Item2],$B65),SUMIFS(Expenses!BW$8:BW$69,Expenses!$O$8:$O$69,$B65)+SUMIFS(Headcount!AG$395:AG$1442,Headcount!$J$395:$J$1442,$B65))</f>
        <v>0</v>
      </c>
      <c r="Y65" s="137">
        <f>IF(Y$12="Actual",SUMIFS(ActualsTable[Month 23],ActualsTable[Expense Item2],$B65),SUMIFS(Expenses!BX$8:BX$69,Expenses!$O$8:$O$69,$B65)+SUMIFS(Headcount!AH$395:AH$1442,Headcount!$J$395:$J$1442,$B65))</f>
        <v>0</v>
      </c>
      <c r="Z65" s="137">
        <f>IF(Z$12="Actual",SUMIFS(ActualsTable[Month 24],ActualsTable[Expense Item2],$B65),SUMIFS(Expenses!BY$8:BY$69,Expenses!$O$8:$O$69,$B65)+SUMIFS(Headcount!AI$395:AI$1442,Headcount!$J$395:$J$1442,$B65))</f>
        <v>0</v>
      </c>
      <c r="AA65" s="137">
        <f>IF(AA$12="Actual",SUMIFS(ActualsTable[Month 25],ActualsTable[Expense Item2],$B65),SUMIFS(Expenses!BZ$8:BZ$69,Expenses!$O$8:$O$69,$B65)+SUMIFS(Headcount!AJ$395:AJ$1442,Headcount!$J$395:$J$1442,$B65))</f>
        <v>0</v>
      </c>
      <c r="AB65" s="137">
        <f>IF(AB$12="Actual",SUMIFS(ActualsTable[Month 26],ActualsTable[Expense Item2],$B65),SUMIFS(Expenses!CA$8:CA$69,Expenses!$O$8:$O$69,$B65)+SUMIFS(Headcount!AK$395:AK$1442,Headcount!$J$395:$J$1442,$B65))</f>
        <v>0</v>
      </c>
      <c r="AC65" s="137">
        <f>IF(AC$12="Actual",SUMIFS(ActualsTable[Month 27],ActualsTable[Expense Item2],$B65),SUMIFS(Expenses!CB$8:CB$69,Expenses!$O$8:$O$69,$B65)+SUMIFS(Headcount!AL$395:AL$1442,Headcount!$J$395:$J$1442,$B65))</f>
        <v>0</v>
      </c>
      <c r="AD65" s="137">
        <f>IF(AD$12="Actual",SUMIFS(ActualsTable[Month 28],ActualsTable[Expense Item2],$B65),SUMIFS(Expenses!CC$8:CC$69,Expenses!$O$8:$O$69,$B65)+SUMIFS(Headcount!AM$395:AM$1442,Headcount!$J$395:$J$1442,$B65))</f>
        <v>0</v>
      </c>
      <c r="AE65" s="137">
        <f>IF(AE$12="Actual",SUMIFS(ActualsTable[Month 29],ActualsTable[Expense Item2],$B65),SUMIFS(Expenses!CD$8:CD$69,Expenses!$O$8:$O$69,$B65)+SUMIFS(Headcount!AN$395:AN$1442,Headcount!$J$395:$J$1442,$B65))</f>
        <v>0</v>
      </c>
      <c r="AF65" s="137">
        <f>IF(AF$12="Actual",SUMIFS(ActualsTable[Month 30],ActualsTable[Expense Item2],$B65),SUMIFS(Expenses!CE$8:CE$69,Expenses!$O$8:$O$69,$B65)+SUMIFS(Headcount!AO$395:AO$1442,Headcount!$J$395:$J$1442,$B65))</f>
        <v>0</v>
      </c>
      <c r="AG65" s="137">
        <f>IF(AG$12="Actual",SUMIFS(ActualsTable[Month 31],ActualsTable[Expense Item2],$B65),SUMIFS(Expenses!CF$8:CF$69,Expenses!$O$8:$O$69,$B65)+SUMIFS(Headcount!AP$395:AP$1442,Headcount!$J$395:$J$1442,$B65))</f>
        <v>0</v>
      </c>
      <c r="AH65" s="137">
        <f>IF(AH$12="Actual",SUMIFS(ActualsTable[Month 32],ActualsTable[Expense Item2],$B65),SUMIFS(Expenses!CG$8:CG$69,Expenses!$O$8:$O$69,$B65)+SUMIFS(Headcount!AQ$395:AQ$1442,Headcount!$J$395:$J$1442,$B65))</f>
        <v>0</v>
      </c>
      <c r="AI65" s="137">
        <f>IF(AI$12="Actual",SUMIFS(ActualsTable[Month 33],ActualsTable[Expense Item2],$B65),SUMIFS(Expenses!CH$8:CH$69,Expenses!$O$8:$O$69,$B65)+SUMIFS(Headcount!AR$395:AR$1442,Headcount!$J$395:$J$1442,$B65))</f>
        <v>0</v>
      </c>
      <c r="AJ65" s="137">
        <f>IF(AJ$12="Actual",SUMIFS(ActualsTable[Month 34],ActualsTable[Expense Item2],$B65),SUMIFS(Expenses!CI$8:CI$69,Expenses!$O$8:$O$69,$B65)+SUMIFS(Headcount!AS$395:AS$1442,Headcount!$J$395:$J$1442,$B65))</f>
        <v>0</v>
      </c>
      <c r="AK65" s="137">
        <f>IF(AK$12="Actual",SUMIFS(ActualsTable[Month 35],ActualsTable[Expense Item2],$B65),SUMIFS(Expenses!CJ$8:CJ$69,Expenses!$O$8:$O$69,$B65)+SUMIFS(Headcount!AT$395:AT$1442,Headcount!$J$395:$J$1442,$B65))</f>
        <v>0</v>
      </c>
      <c r="AL65" s="293">
        <f>IF(AL$12="Actual",SUMIFS(ActualsTable[Month 36],ActualsTable[Expense Item2],$B65),SUMIFS(Expenses!CK$8:CK$69,Expenses!$O$8:$O$69,$B65)+SUMIFS(Headcount!AU$395:AU$1442,Headcount!$J$395:$J$1442,$B65))</f>
        <v>0</v>
      </c>
      <c r="AN65" s="319">
        <f t="shared" ca="1" si="126"/>
        <v>0</v>
      </c>
      <c r="AO65" s="137">
        <f t="shared" ca="1" si="126"/>
        <v>0</v>
      </c>
      <c r="AP65" s="137">
        <f t="shared" ca="1" si="126"/>
        <v>0</v>
      </c>
      <c r="AQ65" s="137">
        <f t="shared" ca="1" si="126"/>
        <v>0</v>
      </c>
      <c r="AR65" s="137">
        <f t="shared" ca="1" si="126"/>
        <v>0</v>
      </c>
      <c r="AS65" s="137">
        <f t="shared" ca="1" si="126"/>
        <v>0</v>
      </c>
      <c r="AT65" s="137">
        <f t="shared" ca="1" si="126"/>
        <v>0</v>
      </c>
      <c r="AU65" s="137">
        <f t="shared" ca="1" si="126"/>
        <v>0</v>
      </c>
      <c r="AV65" s="137">
        <f t="shared" ca="1" si="126"/>
        <v>0</v>
      </c>
      <c r="AW65" s="137">
        <f t="shared" ca="1" si="126"/>
        <v>0</v>
      </c>
      <c r="AX65" s="137">
        <f t="shared" ca="1" si="126"/>
        <v>0</v>
      </c>
      <c r="AY65" s="293">
        <f t="shared" ca="1" si="126"/>
        <v>0</v>
      </c>
      <c r="BA65" s="319">
        <f t="shared" ca="1" si="127"/>
        <v>0</v>
      </c>
      <c r="BB65" s="137">
        <f t="shared" ca="1" si="127"/>
        <v>0</v>
      </c>
      <c r="BC65" s="293">
        <f t="shared" ca="1" si="127"/>
        <v>0</v>
      </c>
    </row>
    <row r="66" spans="2:55" x14ac:dyDescent="0.35">
      <c r="B66" s="64" t="s">
        <v>101</v>
      </c>
      <c r="C66" s="137">
        <f>IF(C$12="Actual",SUMIFS(ActualsTable[Month 1],ActualsTable[Expense Item2],$B66),SUMIFS(Expenses!BB$8:BB$69,Expenses!$O$8:$O$69,$B66)+SUMIFS(Headcount!L$395:L$1442,Headcount!$J$395:$J$1442,$B66))</f>
        <v>0</v>
      </c>
      <c r="D66" s="137">
        <f>IF(D$12="Actual",SUMIFS(ActualsTable[Month 2],ActualsTable[Expense Item2],$B66),SUMIFS(Expenses!BC$8:BC$69,Expenses!$O$8:$O$69,$B66)+SUMIFS(Headcount!M$395:M$1442,Headcount!$J$395:$J$1442,$B66))</f>
        <v>0</v>
      </c>
      <c r="E66" s="137">
        <f>IF(E$12="Actual",SUMIFS(ActualsTable[Month 3],ActualsTable[Expense Item2],$B66),SUMIFS(Expenses!BD$8:BD$69,Expenses!$O$8:$O$69,$B66)+SUMIFS(Headcount!N$395:N$1442,Headcount!$J$395:$J$1442,$B66))</f>
        <v>0</v>
      </c>
      <c r="F66" s="137">
        <f>IF(F$12="Actual",SUMIFS(ActualsTable[Month 4],ActualsTable[Expense Item2],$B66),SUMIFS(Expenses!BE$8:BE$69,Expenses!$O$8:$O$69,$B66)+SUMIFS(Headcount!O$395:O$1442,Headcount!$J$395:$J$1442,$B66))</f>
        <v>0</v>
      </c>
      <c r="G66" s="137">
        <f>IF(G$12="Actual",SUMIFS(ActualsTable[Month 5],ActualsTable[Expense Item2],$B66),SUMIFS(Expenses!BF$8:BF$69,Expenses!$O$8:$O$69,$B66)+SUMIFS(Headcount!P$395:P$1442,Headcount!$J$395:$J$1442,$B66))</f>
        <v>0</v>
      </c>
      <c r="H66" s="137">
        <f>IF(H$12="Actual",SUMIFS(ActualsTable[Month 6],ActualsTable[Expense Item2],$B66),SUMIFS(Expenses!BG$8:BG$69,Expenses!$O$8:$O$69,$B66)+SUMIFS(Headcount!Q$395:Q$1442,Headcount!$J$395:$J$1442,$B66))</f>
        <v>0</v>
      </c>
      <c r="I66" s="137">
        <f>IF(I$12="Actual",SUMIFS(ActualsTable[Month 7],ActualsTable[Expense Item2],$B66),SUMIFS(Expenses!BH$8:BH$69,Expenses!$O$8:$O$69,$B66)+SUMIFS(Headcount!R$395:R$1442,Headcount!$J$395:$J$1442,$B66))</f>
        <v>0</v>
      </c>
      <c r="J66" s="137">
        <f>IF(J$12="Actual",SUMIFS(ActualsTable[Month 8],ActualsTable[Expense Item2],$B66),SUMIFS(Expenses!BI$8:BI$69,Expenses!$O$8:$O$69,$B66)+SUMIFS(Headcount!S$395:S$1442,Headcount!$J$395:$J$1442,$B66))</f>
        <v>0</v>
      </c>
      <c r="K66" s="137">
        <f>IF(K$12="Actual",SUMIFS(ActualsTable[Month 9],ActualsTable[Expense Item2],$B66),SUMIFS(Expenses!BJ$8:BJ$69,Expenses!$O$8:$O$69,$B66)+SUMIFS(Headcount!T$395:T$1442,Headcount!$J$395:$J$1442,$B66))</f>
        <v>0</v>
      </c>
      <c r="L66" s="137">
        <f>IF(L$12="Actual",SUMIFS(ActualsTable[Month 10],ActualsTable[Expense Item2],$B66),SUMIFS(Expenses!BK$8:BK$69,Expenses!$O$8:$O$69,$B66)+SUMIFS(Headcount!U$395:U$1442,Headcount!$J$395:$J$1442,$B66))</f>
        <v>0</v>
      </c>
      <c r="M66" s="137">
        <f>IF(M$12="Actual",SUMIFS(ActualsTable[Month 11],ActualsTable[Expense Item2],$B66),SUMIFS(Expenses!BL$8:BL$69,Expenses!$O$8:$O$69,$B66)+SUMIFS(Headcount!V$395:V$1442,Headcount!$J$395:$J$1442,$B66))</f>
        <v>0</v>
      </c>
      <c r="N66" s="137">
        <f>IF(N$12="Actual",SUMIFS(ActualsTable[Month 12],ActualsTable[Expense Item2],$B66),SUMIFS(Expenses!BM$8:BM$69,Expenses!$O$8:$O$69,$B66)+SUMIFS(Headcount!W$395:W$1442,Headcount!$J$395:$J$1442,$B66))</f>
        <v>0</v>
      </c>
      <c r="O66" s="137">
        <f>IF(O$12="Actual",SUMIFS(ActualsTable[Month 13],ActualsTable[Expense Item2],$B66),SUMIFS(Expenses!BN$8:BN$69,Expenses!$O$8:$O$69,$B66)+SUMIFS(Headcount!X$395:X$1442,Headcount!$J$395:$J$1442,$B66))</f>
        <v>0</v>
      </c>
      <c r="P66" s="137">
        <f>IF(P$12="Actual",SUMIFS(ActualsTable[Month 14],ActualsTable[Expense Item2],$B66),SUMIFS(Expenses!BO$8:BO$69,Expenses!$O$8:$O$69,$B66)+SUMIFS(Headcount!Y$395:Y$1442,Headcount!$J$395:$J$1442,$B66))</f>
        <v>0</v>
      </c>
      <c r="Q66" s="137">
        <f>IF(Q$12="Actual",SUMIFS(ActualsTable[Month 15],ActualsTable[Expense Item2],$B66),SUMIFS(Expenses!BP$8:BP$69,Expenses!$O$8:$O$69,$B66)+SUMIFS(Headcount!Z$395:Z$1442,Headcount!$J$395:$J$1442,$B66))</f>
        <v>0</v>
      </c>
      <c r="R66" s="137">
        <f>IF(R$12="Actual",SUMIFS(ActualsTable[Month 16],ActualsTable[Expense Item2],$B66),SUMIFS(Expenses!BQ$8:BQ$69,Expenses!$O$8:$O$69,$B66)+SUMIFS(Headcount!AA$395:AA$1442,Headcount!$J$395:$J$1442,$B66))</f>
        <v>0</v>
      </c>
      <c r="S66" s="137">
        <f>IF(S$12="Actual",SUMIFS(ActualsTable[Month 17],ActualsTable[Expense Item2],$B66),SUMIFS(Expenses!BR$8:BR$69,Expenses!$O$8:$O$69,$B66)+SUMIFS(Headcount!AB$395:AB$1442,Headcount!$J$395:$J$1442,$B66))</f>
        <v>0</v>
      </c>
      <c r="T66" s="137">
        <f>IF(T$12="Actual",SUMIFS(ActualsTable[Month 18],ActualsTable[Expense Item2],$B66),SUMIFS(Expenses!BS$8:BS$69,Expenses!$O$8:$O$69,$B66)+SUMIFS(Headcount!AC$395:AC$1442,Headcount!$J$395:$J$1442,$B66))</f>
        <v>0</v>
      </c>
      <c r="U66" s="137">
        <f>IF(U$12="Actual",SUMIFS(ActualsTable[Month 19],ActualsTable[Expense Item2],$B66),SUMIFS(Expenses!BT$8:BT$69,Expenses!$O$8:$O$69,$B66)+SUMIFS(Headcount!AD$395:AD$1442,Headcount!$J$395:$J$1442,$B66))</f>
        <v>0</v>
      </c>
      <c r="V66" s="137">
        <f>IF(V$12="Actual",SUMIFS(ActualsTable[Month 20],ActualsTable[Expense Item2],$B66),SUMIFS(Expenses!BU$8:BU$69,Expenses!$O$8:$O$69,$B66)+SUMIFS(Headcount!AE$395:AE$1442,Headcount!$J$395:$J$1442,$B66))</f>
        <v>0</v>
      </c>
      <c r="W66" s="137">
        <f>IF(W$12="Actual",SUMIFS(ActualsTable[Month 21],ActualsTable[Expense Item2],$B66),SUMIFS(Expenses!BV$8:BV$69,Expenses!$O$8:$O$69,$B66)+SUMIFS(Headcount!AF$395:AF$1442,Headcount!$J$395:$J$1442,$B66))</f>
        <v>0</v>
      </c>
      <c r="X66" s="137">
        <f>IF(X$12="Actual",SUMIFS(ActualsTable[Month 22],ActualsTable[Expense Item2],$B66),SUMIFS(Expenses!BW$8:BW$69,Expenses!$O$8:$O$69,$B66)+SUMIFS(Headcount!AG$395:AG$1442,Headcount!$J$395:$J$1442,$B66))</f>
        <v>0</v>
      </c>
      <c r="Y66" s="137">
        <f>IF(Y$12="Actual",SUMIFS(ActualsTable[Month 23],ActualsTable[Expense Item2],$B66),SUMIFS(Expenses!BX$8:BX$69,Expenses!$O$8:$O$69,$B66)+SUMIFS(Headcount!AH$395:AH$1442,Headcount!$J$395:$J$1442,$B66))</f>
        <v>0</v>
      </c>
      <c r="Z66" s="137">
        <f>IF(Z$12="Actual",SUMIFS(ActualsTable[Month 24],ActualsTable[Expense Item2],$B66),SUMIFS(Expenses!BY$8:BY$69,Expenses!$O$8:$O$69,$B66)+SUMIFS(Headcount!AI$395:AI$1442,Headcount!$J$395:$J$1442,$B66))</f>
        <v>0</v>
      </c>
      <c r="AA66" s="137">
        <f>IF(AA$12="Actual",SUMIFS(ActualsTable[Month 25],ActualsTable[Expense Item2],$B66),SUMIFS(Expenses!BZ$8:BZ$69,Expenses!$O$8:$O$69,$B66)+SUMIFS(Headcount!AJ$395:AJ$1442,Headcount!$J$395:$J$1442,$B66))</f>
        <v>0</v>
      </c>
      <c r="AB66" s="137">
        <f>IF(AB$12="Actual",SUMIFS(ActualsTable[Month 26],ActualsTable[Expense Item2],$B66),SUMIFS(Expenses!CA$8:CA$69,Expenses!$O$8:$O$69,$B66)+SUMIFS(Headcount!AK$395:AK$1442,Headcount!$J$395:$J$1442,$B66))</f>
        <v>0</v>
      </c>
      <c r="AC66" s="137">
        <f>IF(AC$12="Actual",SUMIFS(ActualsTable[Month 27],ActualsTable[Expense Item2],$B66),SUMIFS(Expenses!CB$8:CB$69,Expenses!$O$8:$O$69,$B66)+SUMIFS(Headcount!AL$395:AL$1442,Headcount!$J$395:$J$1442,$B66))</f>
        <v>0</v>
      </c>
      <c r="AD66" s="137">
        <f>IF(AD$12="Actual",SUMIFS(ActualsTable[Month 28],ActualsTable[Expense Item2],$B66),SUMIFS(Expenses!CC$8:CC$69,Expenses!$O$8:$O$69,$B66)+SUMIFS(Headcount!AM$395:AM$1442,Headcount!$J$395:$J$1442,$B66))</f>
        <v>0</v>
      </c>
      <c r="AE66" s="137">
        <f>IF(AE$12="Actual",SUMIFS(ActualsTable[Month 29],ActualsTable[Expense Item2],$B66),SUMIFS(Expenses!CD$8:CD$69,Expenses!$O$8:$O$69,$B66)+SUMIFS(Headcount!AN$395:AN$1442,Headcount!$J$395:$J$1442,$B66))</f>
        <v>0</v>
      </c>
      <c r="AF66" s="137">
        <f>IF(AF$12="Actual",SUMIFS(ActualsTable[Month 30],ActualsTable[Expense Item2],$B66),SUMIFS(Expenses!CE$8:CE$69,Expenses!$O$8:$O$69,$B66)+SUMIFS(Headcount!AO$395:AO$1442,Headcount!$J$395:$J$1442,$B66))</f>
        <v>0</v>
      </c>
      <c r="AG66" s="137">
        <f>IF(AG$12="Actual",SUMIFS(ActualsTable[Month 31],ActualsTable[Expense Item2],$B66),SUMIFS(Expenses!CF$8:CF$69,Expenses!$O$8:$O$69,$B66)+SUMIFS(Headcount!AP$395:AP$1442,Headcount!$J$395:$J$1442,$B66))</f>
        <v>0</v>
      </c>
      <c r="AH66" s="137">
        <f>IF(AH$12="Actual",SUMIFS(ActualsTable[Month 32],ActualsTable[Expense Item2],$B66),SUMIFS(Expenses!CG$8:CG$69,Expenses!$O$8:$O$69,$B66)+SUMIFS(Headcount!AQ$395:AQ$1442,Headcount!$J$395:$J$1442,$B66))</f>
        <v>0</v>
      </c>
      <c r="AI66" s="137">
        <f>IF(AI$12="Actual",SUMIFS(ActualsTable[Month 33],ActualsTable[Expense Item2],$B66),SUMIFS(Expenses!CH$8:CH$69,Expenses!$O$8:$O$69,$B66)+SUMIFS(Headcount!AR$395:AR$1442,Headcount!$J$395:$J$1442,$B66))</f>
        <v>0</v>
      </c>
      <c r="AJ66" s="137">
        <f>IF(AJ$12="Actual",SUMIFS(ActualsTable[Month 34],ActualsTable[Expense Item2],$B66),SUMIFS(Expenses!CI$8:CI$69,Expenses!$O$8:$O$69,$B66)+SUMIFS(Headcount!AS$395:AS$1442,Headcount!$J$395:$J$1442,$B66))</f>
        <v>0</v>
      </c>
      <c r="AK66" s="137">
        <f>IF(AK$12="Actual",SUMIFS(ActualsTable[Month 35],ActualsTable[Expense Item2],$B66),SUMIFS(Expenses!CJ$8:CJ$69,Expenses!$O$8:$O$69,$B66)+SUMIFS(Headcount!AT$395:AT$1442,Headcount!$J$395:$J$1442,$B66))</f>
        <v>0</v>
      </c>
      <c r="AL66" s="293">
        <f>IF(AL$12="Actual",SUMIFS(ActualsTable[Month 36],ActualsTable[Expense Item2],$B66),SUMIFS(Expenses!CK$8:CK$69,Expenses!$O$8:$O$69,$B66)+SUMIFS(Headcount!AU$395:AU$1442,Headcount!$J$395:$J$1442,$B66))</f>
        <v>0</v>
      </c>
      <c r="AN66" s="319">
        <f t="shared" ca="1" si="126"/>
        <v>0</v>
      </c>
      <c r="AO66" s="137">
        <f t="shared" ca="1" si="126"/>
        <v>0</v>
      </c>
      <c r="AP66" s="137">
        <f t="shared" ca="1" si="126"/>
        <v>0</v>
      </c>
      <c r="AQ66" s="137">
        <f t="shared" ca="1" si="126"/>
        <v>0</v>
      </c>
      <c r="AR66" s="137">
        <f t="shared" ca="1" si="126"/>
        <v>0</v>
      </c>
      <c r="AS66" s="137">
        <f t="shared" ca="1" si="126"/>
        <v>0</v>
      </c>
      <c r="AT66" s="137">
        <f t="shared" ca="1" si="126"/>
        <v>0</v>
      </c>
      <c r="AU66" s="137">
        <f t="shared" ca="1" si="126"/>
        <v>0</v>
      </c>
      <c r="AV66" s="137">
        <f t="shared" ca="1" si="126"/>
        <v>0</v>
      </c>
      <c r="AW66" s="137">
        <f t="shared" ca="1" si="126"/>
        <v>0</v>
      </c>
      <c r="AX66" s="137">
        <f t="shared" ca="1" si="126"/>
        <v>0</v>
      </c>
      <c r="AY66" s="293">
        <f t="shared" ca="1" si="126"/>
        <v>0</v>
      </c>
      <c r="BA66" s="319">
        <f t="shared" ca="1" si="127"/>
        <v>0</v>
      </c>
      <c r="BB66" s="137">
        <f t="shared" ca="1" si="127"/>
        <v>0</v>
      </c>
      <c r="BC66" s="293">
        <f t="shared" ca="1" si="127"/>
        <v>0</v>
      </c>
    </row>
    <row r="67" spans="2:55" x14ac:dyDescent="0.35">
      <c r="B67" s="64" t="s">
        <v>102</v>
      </c>
      <c r="C67" s="137">
        <f>IF(C$12="Actual",SUMIFS(ActualsTable[Month 1],ActualsTable[Expense Item2],$B67),SUMIFS(Expenses!BB$8:BB$69,Expenses!$O$8:$O$69,$B67)+SUMIFS(Headcount!L$395:L$1442,Headcount!$J$395:$J$1442,$B67))</f>
        <v>0</v>
      </c>
      <c r="D67" s="137">
        <f>IF(D$12="Actual",SUMIFS(ActualsTable[Month 2],ActualsTable[Expense Item2],$B67),SUMIFS(Expenses!BC$8:BC$69,Expenses!$O$8:$O$69,$B67)+SUMIFS(Headcount!M$395:M$1442,Headcount!$J$395:$J$1442,$B67))</f>
        <v>0</v>
      </c>
      <c r="E67" s="137">
        <f>IF(E$12="Actual",SUMIFS(ActualsTable[Month 3],ActualsTable[Expense Item2],$B67),SUMIFS(Expenses!BD$8:BD$69,Expenses!$O$8:$O$69,$B67)+SUMIFS(Headcount!N$395:N$1442,Headcount!$J$395:$J$1442,$B67))</f>
        <v>0</v>
      </c>
      <c r="F67" s="137">
        <f>IF(F$12="Actual",SUMIFS(ActualsTable[Month 4],ActualsTable[Expense Item2],$B67),SUMIFS(Expenses!BE$8:BE$69,Expenses!$O$8:$O$69,$B67)+SUMIFS(Headcount!O$395:O$1442,Headcount!$J$395:$J$1442,$B67))</f>
        <v>0</v>
      </c>
      <c r="G67" s="137">
        <f>IF(G$12="Actual",SUMIFS(ActualsTable[Month 5],ActualsTable[Expense Item2],$B67),SUMIFS(Expenses!BF$8:BF$69,Expenses!$O$8:$O$69,$B67)+SUMIFS(Headcount!P$395:P$1442,Headcount!$J$395:$J$1442,$B67))</f>
        <v>0</v>
      </c>
      <c r="H67" s="137">
        <f>IF(H$12="Actual",SUMIFS(ActualsTable[Month 6],ActualsTable[Expense Item2],$B67),SUMIFS(Expenses!BG$8:BG$69,Expenses!$O$8:$O$69,$B67)+SUMIFS(Headcount!Q$395:Q$1442,Headcount!$J$395:$J$1442,$B67))</f>
        <v>0</v>
      </c>
      <c r="I67" s="137">
        <f>IF(I$12="Actual",SUMIFS(ActualsTable[Month 7],ActualsTable[Expense Item2],$B67),SUMIFS(Expenses!BH$8:BH$69,Expenses!$O$8:$O$69,$B67)+SUMIFS(Headcount!R$395:R$1442,Headcount!$J$395:$J$1442,$B67))</f>
        <v>0</v>
      </c>
      <c r="J67" s="137">
        <f>IF(J$12="Actual",SUMIFS(ActualsTable[Month 8],ActualsTable[Expense Item2],$B67),SUMIFS(Expenses!BI$8:BI$69,Expenses!$O$8:$O$69,$B67)+SUMIFS(Headcount!S$395:S$1442,Headcount!$J$395:$J$1442,$B67))</f>
        <v>0</v>
      </c>
      <c r="K67" s="137">
        <f>IF(K$12="Actual",SUMIFS(ActualsTable[Month 9],ActualsTable[Expense Item2],$B67),SUMIFS(Expenses!BJ$8:BJ$69,Expenses!$O$8:$O$69,$B67)+SUMIFS(Headcount!T$395:T$1442,Headcount!$J$395:$J$1442,$B67))</f>
        <v>0</v>
      </c>
      <c r="L67" s="137">
        <f>IF(L$12="Actual",SUMIFS(ActualsTable[Month 10],ActualsTable[Expense Item2],$B67),SUMIFS(Expenses!BK$8:BK$69,Expenses!$O$8:$O$69,$B67)+SUMIFS(Headcount!U$395:U$1442,Headcount!$J$395:$J$1442,$B67))</f>
        <v>0</v>
      </c>
      <c r="M67" s="137">
        <f>IF(M$12="Actual",SUMIFS(ActualsTable[Month 11],ActualsTable[Expense Item2],$B67),SUMIFS(Expenses!BL$8:BL$69,Expenses!$O$8:$O$69,$B67)+SUMIFS(Headcount!V$395:V$1442,Headcount!$J$395:$J$1442,$B67))</f>
        <v>0</v>
      </c>
      <c r="N67" s="137">
        <f>IF(N$12="Actual",SUMIFS(ActualsTable[Month 12],ActualsTable[Expense Item2],$B67),SUMIFS(Expenses!BM$8:BM$69,Expenses!$O$8:$O$69,$B67)+SUMIFS(Headcount!W$395:W$1442,Headcount!$J$395:$J$1442,$B67))</f>
        <v>0</v>
      </c>
      <c r="O67" s="137">
        <f>IF(O$12="Actual",SUMIFS(ActualsTable[Month 13],ActualsTable[Expense Item2],$B67),SUMIFS(Expenses!BN$8:BN$69,Expenses!$O$8:$O$69,$B67)+SUMIFS(Headcount!X$395:X$1442,Headcount!$J$395:$J$1442,$B67))</f>
        <v>0</v>
      </c>
      <c r="P67" s="137">
        <f>IF(P$12="Actual",SUMIFS(ActualsTable[Month 14],ActualsTable[Expense Item2],$B67),SUMIFS(Expenses!BO$8:BO$69,Expenses!$O$8:$O$69,$B67)+SUMIFS(Headcount!Y$395:Y$1442,Headcount!$J$395:$J$1442,$B67))</f>
        <v>0</v>
      </c>
      <c r="Q67" s="137">
        <f>IF(Q$12="Actual",SUMIFS(ActualsTable[Month 15],ActualsTable[Expense Item2],$B67),SUMIFS(Expenses!BP$8:BP$69,Expenses!$O$8:$O$69,$B67)+SUMIFS(Headcount!Z$395:Z$1442,Headcount!$J$395:$J$1442,$B67))</f>
        <v>0</v>
      </c>
      <c r="R67" s="137">
        <f>IF(R$12="Actual",SUMIFS(ActualsTable[Month 16],ActualsTable[Expense Item2],$B67),SUMIFS(Expenses!BQ$8:BQ$69,Expenses!$O$8:$O$69,$B67)+SUMIFS(Headcount!AA$395:AA$1442,Headcount!$J$395:$J$1442,$B67))</f>
        <v>0</v>
      </c>
      <c r="S67" s="137">
        <f>IF(S$12="Actual",SUMIFS(ActualsTable[Month 17],ActualsTable[Expense Item2],$B67),SUMIFS(Expenses!BR$8:BR$69,Expenses!$O$8:$O$69,$B67)+SUMIFS(Headcount!AB$395:AB$1442,Headcount!$J$395:$J$1442,$B67))</f>
        <v>0</v>
      </c>
      <c r="T67" s="137">
        <f>IF(T$12="Actual",SUMIFS(ActualsTable[Month 18],ActualsTable[Expense Item2],$B67),SUMIFS(Expenses!BS$8:BS$69,Expenses!$O$8:$O$69,$B67)+SUMIFS(Headcount!AC$395:AC$1442,Headcount!$J$395:$J$1442,$B67))</f>
        <v>0</v>
      </c>
      <c r="U67" s="137">
        <f>IF(U$12="Actual",SUMIFS(ActualsTable[Month 19],ActualsTable[Expense Item2],$B67),SUMIFS(Expenses!BT$8:BT$69,Expenses!$O$8:$O$69,$B67)+SUMIFS(Headcount!AD$395:AD$1442,Headcount!$J$395:$J$1442,$B67))</f>
        <v>0</v>
      </c>
      <c r="V67" s="137">
        <f>IF(V$12="Actual",SUMIFS(ActualsTable[Month 20],ActualsTable[Expense Item2],$B67),SUMIFS(Expenses!BU$8:BU$69,Expenses!$O$8:$O$69,$B67)+SUMIFS(Headcount!AE$395:AE$1442,Headcount!$J$395:$J$1442,$B67))</f>
        <v>0</v>
      </c>
      <c r="W67" s="137">
        <f>IF(W$12="Actual",SUMIFS(ActualsTable[Month 21],ActualsTable[Expense Item2],$B67),SUMIFS(Expenses!BV$8:BV$69,Expenses!$O$8:$O$69,$B67)+SUMIFS(Headcount!AF$395:AF$1442,Headcount!$J$395:$J$1442,$B67))</f>
        <v>0</v>
      </c>
      <c r="X67" s="137">
        <f>IF(X$12="Actual",SUMIFS(ActualsTable[Month 22],ActualsTable[Expense Item2],$B67),SUMIFS(Expenses!BW$8:BW$69,Expenses!$O$8:$O$69,$B67)+SUMIFS(Headcount!AG$395:AG$1442,Headcount!$J$395:$J$1442,$B67))</f>
        <v>0</v>
      </c>
      <c r="Y67" s="137">
        <f>IF(Y$12="Actual",SUMIFS(ActualsTable[Month 23],ActualsTable[Expense Item2],$B67),SUMIFS(Expenses!BX$8:BX$69,Expenses!$O$8:$O$69,$B67)+SUMIFS(Headcount!AH$395:AH$1442,Headcount!$J$395:$J$1442,$B67))</f>
        <v>0</v>
      </c>
      <c r="Z67" s="137">
        <f>IF(Z$12="Actual",SUMIFS(ActualsTable[Month 24],ActualsTable[Expense Item2],$B67),SUMIFS(Expenses!BY$8:BY$69,Expenses!$O$8:$O$69,$B67)+SUMIFS(Headcount!AI$395:AI$1442,Headcount!$J$395:$J$1442,$B67))</f>
        <v>0</v>
      </c>
      <c r="AA67" s="137">
        <f>IF(AA$12="Actual",SUMIFS(ActualsTable[Month 25],ActualsTable[Expense Item2],$B67),SUMIFS(Expenses!BZ$8:BZ$69,Expenses!$O$8:$O$69,$B67)+SUMIFS(Headcount!AJ$395:AJ$1442,Headcount!$J$395:$J$1442,$B67))</f>
        <v>0</v>
      </c>
      <c r="AB67" s="137">
        <f>IF(AB$12="Actual",SUMIFS(ActualsTable[Month 26],ActualsTable[Expense Item2],$B67),SUMIFS(Expenses!CA$8:CA$69,Expenses!$O$8:$O$69,$B67)+SUMIFS(Headcount!AK$395:AK$1442,Headcount!$J$395:$J$1442,$B67))</f>
        <v>0</v>
      </c>
      <c r="AC67" s="137">
        <f>IF(AC$12="Actual",SUMIFS(ActualsTable[Month 27],ActualsTable[Expense Item2],$B67),SUMIFS(Expenses!CB$8:CB$69,Expenses!$O$8:$O$69,$B67)+SUMIFS(Headcount!AL$395:AL$1442,Headcount!$J$395:$J$1442,$B67))</f>
        <v>0</v>
      </c>
      <c r="AD67" s="137">
        <f>IF(AD$12="Actual",SUMIFS(ActualsTable[Month 28],ActualsTable[Expense Item2],$B67),SUMIFS(Expenses!CC$8:CC$69,Expenses!$O$8:$O$69,$B67)+SUMIFS(Headcount!AM$395:AM$1442,Headcount!$J$395:$J$1442,$B67))</f>
        <v>0</v>
      </c>
      <c r="AE67" s="137">
        <f>IF(AE$12="Actual",SUMIFS(ActualsTable[Month 29],ActualsTable[Expense Item2],$B67),SUMIFS(Expenses!CD$8:CD$69,Expenses!$O$8:$O$69,$B67)+SUMIFS(Headcount!AN$395:AN$1442,Headcount!$J$395:$J$1442,$B67))</f>
        <v>0</v>
      </c>
      <c r="AF67" s="137">
        <f>IF(AF$12="Actual",SUMIFS(ActualsTable[Month 30],ActualsTable[Expense Item2],$B67),SUMIFS(Expenses!CE$8:CE$69,Expenses!$O$8:$O$69,$B67)+SUMIFS(Headcount!AO$395:AO$1442,Headcount!$J$395:$J$1442,$B67))</f>
        <v>0</v>
      </c>
      <c r="AG67" s="137">
        <f>IF(AG$12="Actual",SUMIFS(ActualsTable[Month 31],ActualsTable[Expense Item2],$B67),SUMIFS(Expenses!CF$8:CF$69,Expenses!$O$8:$O$69,$B67)+SUMIFS(Headcount!AP$395:AP$1442,Headcount!$J$395:$J$1442,$B67))</f>
        <v>0</v>
      </c>
      <c r="AH67" s="137">
        <f>IF(AH$12="Actual",SUMIFS(ActualsTable[Month 32],ActualsTable[Expense Item2],$B67),SUMIFS(Expenses!CG$8:CG$69,Expenses!$O$8:$O$69,$B67)+SUMIFS(Headcount!AQ$395:AQ$1442,Headcount!$J$395:$J$1442,$B67))</f>
        <v>0</v>
      </c>
      <c r="AI67" s="137">
        <f>IF(AI$12="Actual",SUMIFS(ActualsTable[Month 33],ActualsTable[Expense Item2],$B67),SUMIFS(Expenses!CH$8:CH$69,Expenses!$O$8:$O$69,$B67)+SUMIFS(Headcount!AR$395:AR$1442,Headcount!$J$395:$J$1442,$B67))</f>
        <v>0</v>
      </c>
      <c r="AJ67" s="137">
        <f>IF(AJ$12="Actual",SUMIFS(ActualsTable[Month 34],ActualsTable[Expense Item2],$B67),SUMIFS(Expenses!CI$8:CI$69,Expenses!$O$8:$O$69,$B67)+SUMIFS(Headcount!AS$395:AS$1442,Headcount!$J$395:$J$1442,$B67))</f>
        <v>0</v>
      </c>
      <c r="AK67" s="137">
        <f>IF(AK$12="Actual",SUMIFS(ActualsTable[Month 35],ActualsTable[Expense Item2],$B67),SUMIFS(Expenses!CJ$8:CJ$69,Expenses!$O$8:$O$69,$B67)+SUMIFS(Headcount!AT$395:AT$1442,Headcount!$J$395:$J$1442,$B67))</f>
        <v>0</v>
      </c>
      <c r="AL67" s="293">
        <f>IF(AL$12="Actual",SUMIFS(ActualsTable[Month 36],ActualsTable[Expense Item2],$B67),SUMIFS(Expenses!CK$8:CK$69,Expenses!$O$8:$O$69,$B67)+SUMIFS(Headcount!AU$395:AU$1442,Headcount!$J$395:$J$1442,$B67))</f>
        <v>0</v>
      </c>
      <c r="AN67" s="319">
        <f t="shared" ca="1" si="126"/>
        <v>0</v>
      </c>
      <c r="AO67" s="137">
        <f t="shared" ca="1" si="126"/>
        <v>0</v>
      </c>
      <c r="AP67" s="137">
        <f t="shared" ca="1" si="126"/>
        <v>0</v>
      </c>
      <c r="AQ67" s="137">
        <f t="shared" ca="1" si="126"/>
        <v>0</v>
      </c>
      <c r="AR67" s="137">
        <f t="shared" ca="1" si="126"/>
        <v>0</v>
      </c>
      <c r="AS67" s="137">
        <f t="shared" ca="1" si="126"/>
        <v>0</v>
      </c>
      <c r="AT67" s="137">
        <f t="shared" ca="1" si="126"/>
        <v>0</v>
      </c>
      <c r="AU67" s="137">
        <f t="shared" ca="1" si="126"/>
        <v>0</v>
      </c>
      <c r="AV67" s="137">
        <f t="shared" ca="1" si="126"/>
        <v>0</v>
      </c>
      <c r="AW67" s="137">
        <f t="shared" ca="1" si="126"/>
        <v>0</v>
      </c>
      <c r="AX67" s="137">
        <f t="shared" ca="1" si="126"/>
        <v>0</v>
      </c>
      <c r="AY67" s="293">
        <f t="shared" ca="1" si="126"/>
        <v>0</v>
      </c>
      <c r="BA67" s="319">
        <f t="shared" ca="1" si="127"/>
        <v>0</v>
      </c>
      <c r="BB67" s="137">
        <f t="shared" ca="1" si="127"/>
        <v>0</v>
      </c>
      <c r="BC67" s="293">
        <f t="shared" ca="1" si="127"/>
        <v>0</v>
      </c>
    </row>
    <row r="68" spans="2:55" ht="15" x14ac:dyDescent="0.4">
      <c r="B68" s="64" t="s">
        <v>103</v>
      </c>
      <c r="C68" s="136">
        <f>IF(C$12="Actual",SUMIFS(ActualsTable[Month 1],ActualsTable[Expense Item2],$B68),SUMIFS(Expenses!BB$8:BB$69,Expenses!$O$8:$O$69,$B68)+SUMIFS(Headcount!L$395:L$1442,Headcount!$J$395:$J$1442,$B68))</f>
        <v>0</v>
      </c>
      <c r="D68" s="136">
        <f>IF(D$12="Actual",SUMIFS(ActualsTable[Month 2],ActualsTable[Expense Item2],$B68),SUMIFS(Expenses!BC$8:BC$69,Expenses!$O$8:$O$69,$B68)+SUMIFS(Headcount!M$395:M$1442,Headcount!$J$395:$J$1442,$B68))</f>
        <v>0</v>
      </c>
      <c r="E68" s="136">
        <f>IF(E$12="Actual",SUMIFS(ActualsTable[Month 3],ActualsTable[Expense Item2],$B68),SUMIFS(Expenses!BD$8:BD$69,Expenses!$O$8:$O$69,$B68)+SUMIFS(Headcount!N$395:N$1442,Headcount!$J$395:$J$1442,$B68))</f>
        <v>0</v>
      </c>
      <c r="F68" s="136">
        <f>IF(F$12="Actual",SUMIFS(ActualsTable[Month 4],ActualsTable[Expense Item2],$B68),SUMIFS(Expenses!BE$8:BE$69,Expenses!$O$8:$O$69,$B68)+SUMIFS(Headcount!O$395:O$1442,Headcount!$J$395:$J$1442,$B68))</f>
        <v>0</v>
      </c>
      <c r="G68" s="136">
        <f>IF(G$12="Actual",SUMIFS(ActualsTable[Month 5],ActualsTable[Expense Item2],$B68),SUMIFS(Expenses!BF$8:BF$69,Expenses!$O$8:$O$69,$B68)+SUMIFS(Headcount!P$395:P$1442,Headcount!$J$395:$J$1442,$B68))</f>
        <v>0</v>
      </c>
      <c r="H68" s="136">
        <f>IF(H$12="Actual",SUMIFS(ActualsTable[Month 6],ActualsTable[Expense Item2],$B68),SUMIFS(Expenses!BG$8:BG$69,Expenses!$O$8:$O$69,$B68)+SUMIFS(Headcount!Q$395:Q$1442,Headcount!$J$395:$J$1442,$B68))</f>
        <v>0</v>
      </c>
      <c r="I68" s="136">
        <f>IF(I$12="Actual",SUMIFS(ActualsTable[Month 7],ActualsTable[Expense Item2],$B68),SUMIFS(Expenses!BH$8:BH$69,Expenses!$O$8:$O$69,$B68)+SUMIFS(Headcount!R$395:R$1442,Headcount!$J$395:$J$1442,$B68))</f>
        <v>0</v>
      </c>
      <c r="J68" s="136">
        <f>IF(J$12="Actual",SUMIFS(ActualsTable[Month 8],ActualsTable[Expense Item2],$B68),SUMIFS(Expenses!BI$8:BI$69,Expenses!$O$8:$O$69,$B68)+SUMIFS(Headcount!S$395:S$1442,Headcount!$J$395:$J$1442,$B68))</f>
        <v>0</v>
      </c>
      <c r="K68" s="136">
        <f>IF(K$12="Actual",SUMIFS(ActualsTable[Month 9],ActualsTable[Expense Item2],$B68),SUMIFS(Expenses!BJ$8:BJ$69,Expenses!$O$8:$O$69,$B68)+SUMIFS(Headcount!T$395:T$1442,Headcount!$J$395:$J$1442,$B68))</f>
        <v>0</v>
      </c>
      <c r="L68" s="136">
        <f>IF(L$12="Actual",SUMIFS(ActualsTable[Month 10],ActualsTable[Expense Item2],$B68),SUMIFS(Expenses!BK$8:BK$69,Expenses!$O$8:$O$69,$B68)+SUMIFS(Headcount!U$395:U$1442,Headcount!$J$395:$J$1442,$B68))</f>
        <v>0</v>
      </c>
      <c r="M68" s="136">
        <f>IF(M$12="Actual",SUMIFS(ActualsTable[Month 11],ActualsTable[Expense Item2],$B68),SUMIFS(Expenses!BL$8:BL$69,Expenses!$O$8:$O$69,$B68)+SUMIFS(Headcount!V$395:V$1442,Headcount!$J$395:$J$1442,$B68))</f>
        <v>0</v>
      </c>
      <c r="N68" s="136">
        <f>IF(N$12="Actual",SUMIFS(ActualsTable[Month 12],ActualsTable[Expense Item2],$B68),SUMIFS(Expenses!BM$8:BM$69,Expenses!$O$8:$O$69,$B68)+SUMIFS(Headcount!W$395:W$1442,Headcount!$J$395:$J$1442,$B68))</f>
        <v>0</v>
      </c>
      <c r="O68" s="136">
        <f>IF(O$12="Actual",SUMIFS(ActualsTable[Month 13],ActualsTable[Expense Item2],$B68),SUMIFS(Expenses!BN$8:BN$69,Expenses!$O$8:$O$69,$B68)+SUMIFS(Headcount!X$395:X$1442,Headcount!$J$395:$J$1442,$B68))</f>
        <v>0</v>
      </c>
      <c r="P68" s="136">
        <f>IF(P$12="Actual",SUMIFS(ActualsTable[Month 14],ActualsTable[Expense Item2],$B68),SUMIFS(Expenses!BO$8:BO$69,Expenses!$O$8:$O$69,$B68)+SUMIFS(Headcount!Y$395:Y$1442,Headcount!$J$395:$J$1442,$B68))</f>
        <v>0</v>
      </c>
      <c r="Q68" s="136">
        <f>IF(Q$12="Actual",SUMIFS(ActualsTable[Month 15],ActualsTable[Expense Item2],$B68),SUMIFS(Expenses!BP$8:BP$69,Expenses!$O$8:$O$69,$B68)+SUMIFS(Headcount!Z$395:Z$1442,Headcount!$J$395:$J$1442,$B68))</f>
        <v>0</v>
      </c>
      <c r="R68" s="136">
        <f>IF(R$12="Actual",SUMIFS(ActualsTable[Month 16],ActualsTable[Expense Item2],$B68),SUMIFS(Expenses!BQ$8:BQ$69,Expenses!$O$8:$O$69,$B68)+SUMIFS(Headcount!AA$395:AA$1442,Headcount!$J$395:$J$1442,$B68))</f>
        <v>0</v>
      </c>
      <c r="S68" s="136">
        <f>IF(S$12="Actual",SUMIFS(ActualsTable[Month 17],ActualsTable[Expense Item2],$B68),SUMIFS(Expenses!BR$8:BR$69,Expenses!$O$8:$O$69,$B68)+SUMIFS(Headcount!AB$395:AB$1442,Headcount!$J$395:$J$1442,$B68))</f>
        <v>0</v>
      </c>
      <c r="T68" s="136">
        <f>IF(T$12="Actual",SUMIFS(ActualsTable[Month 18],ActualsTable[Expense Item2],$B68),SUMIFS(Expenses!BS$8:BS$69,Expenses!$O$8:$O$69,$B68)+SUMIFS(Headcount!AC$395:AC$1442,Headcount!$J$395:$J$1442,$B68))</f>
        <v>0</v>
      </c>
      <c r="U68" s="136">
        <f>IF(U$12="Actual",SUMIFS(ActualsTable[Month 19],ActualsTable[Expense Item2],$B68),SUMIFS(Expenses!BT$8:BT$69,Expenses!$O$8:$O$69,$B68)+SUMIFS(Headcount!AD$395:AD$1442,Headcount!$J$395:$J$1442,$B68))</f>
        <v>0</v>
      </c>
      <c r="V68" s="136">
        <f>IF(V$12="Actual",SUMIFS(ActualsTable[Month 20],ActualsTable[Expense Item2],$B68),SUMIFS(Expenses!BU$8:BU$69,Expenses!$O$8:$O$69,$B68)+SUMIFS(Headcount!AE$395:AE$1442,Headcount!$J$395:$J$1442,$B68))</f>
        <v>0</v>
      </c>
      <c r="W68" s="136">
        <f>IF(W$12="Actual",SUMIFS(ActualsTable[Month 21],ActualsTable[Expense Item2],$B68),SUMIFS(Expenses!BV$8:BV$69,Expenses!$O$8:$O$69,$B68)+SUMIFS(Headcount!AF$395:AF$1442,Headcount!$J$395:$J$1442,$B68))</f>
        <v>0</v>
      </c>
      <c r="X68" s="136">
        <f>IF(X$12="Actual",SUMIFS(ActualsTable[Month 22],ActualsTable[Expense Item2],$B68),SUMIFS(Expenses!BW$8:BW$69,Expenses!$O$8:$O$69,$B68)+SUMIFS(Headcount!AG$395:AG$1442,Headcount!$J$395:$J$1442,$B68))</f>
        <v>0</v>
      </c>
      <c r="Y68" s="136">
        <f>IF(Y$12="Actual",SUMIFS(ActualsTable[Month 23],ActualsTable[Expense Item2],$B68),SUMIFS(Expenses!BX$8:BX$69,Expenses!$O$8:$O$69,$B68)+SUMIFS(Headcount!AH$395:AH$1442,Headcount!$J$395:$J$1442,$B68))</f>
        <v>0</v>
      </c>
      <c r="Z68" s="136">
        <f>IF(Z$12="Actual",SUMIFS(ActualsTable[Month 24],ActualsTable[Expense Item2],$B68),SUMIFS(Expenses!BY$8:BY$69,Expenses!$O$8:$O$69,$B68)+SUMIFS(Headcount!AI$395:AI$1442,Headcount!$J$395:$J$1442,$B68))</f>
        <v>0</v>
      </c>
      <c r="AA68" s="136">
        <f>IF(AA$12="Actual",SUMIFS(ActualsTable[Month 25],ActualsTable[Expense Item2],$B68),SUMIFS(Expenses!BZ$8:BZ$69,Expenses!$O$8:$O$69,$B68)+SUMIFS(Headcount!AJ$395:AJ$1442,Headcount!$J$395:$J$1442,$B68))</f>
        <v>0</v>
      </c>
      <c r="AB68" s="136">
        <f>IF(AB$12="Actual",SUMIFS(ActualsTable[Month 26],ActualsTable[Expense Item2],$B68),SUMIFS(Expenses!CA$8:CA$69,Expenses!$O$8:$O$69,$B68)+SUMIFS(Headcount!AK$395:AK$1442,Headcount!$J$395:$J$1442,$B68))</f>
        <v>0</v>
      </c>
      <c r="AC68" s="136">
        <f>IF(AC$12="Actual",SUMIFS(ActualsTable[Month 27],ActualsTable[Expense Item2],$B68),SUMIFS(Expenses!CB$8:CB$69,Expenses!$O$8:$O$69,$B68)+SUMIFS(Headcount!AL$395:AL$1442,Headcount!$J$395:$J$1442,$B68))</f>
        <v>0</v>
      </c>
      <c r="AD68" s="136">
        <f>IF(AD$12="Actual",SUMIFS(ActualsTable[Month 28],ActualsTable[Expense Item2],$B68),SUMIFS(Expenses!CC$8:CC$69,Expenses!$O$8:$O$69,$B68)+SUMIFS(Headcount!AM$395:AM$1442,Headcount!$J$395:$J$1442,$B68))</f>
        <v>0</v>
      </c>
      <c r="AE68" s="136">
        <f>IF(AE$12="Actual",SUMIFS(ActualsTable[Month 29],ActualsTable[Expense Item2],$B68),SUMIFS(Expenses!CD$8:CD$69,Expenses!$O$8:$O$69,$B68)+SUMIFS(Headcount!AN$395:AN$1442,Headcount!$J$395:$J$1442,$B68))</f>
        <v>0</v>
      </c>
      <c r="AF68" s="136">
        <f>IF(AF$12="Actual",SUMIFS(ActualsTable[Month 30],ActualsTable[Expense Item2],$B68),SUMIFS(Expenses!CE$8:CE$69,Expenses!$O$8:$O$69,$B68)+SUMIFS(Headcount!AO$395:AO$1442,Headcount!$J$395:$J$1442,$B68))</f>
        <v>0</v>
      </c>
      <c r="AG68" s="136">
        <f>IF(AG$12="Actual",SUMIFS(ActualsTable[Month 31],ActualsTable[Expense Item2],$B68),SUMIFS(Expenses!CF$8:CF$69,Expenses!$O$8:$O$69,$B68)+SUMIFS(Headcount!AP$395:AP$1442,Headcount!$J$395:$J$1442,$B68))</f>
        <v>0</v>
      </c>
      <c r="AH68" s="136">
        <f>IF(AH$12="Actual",SUMIFS(ActualsTable[Month 32],ActualsTable[Expense Item2],$B68),SUMIFS(Expenses!CG$8:CG$69,Expenses!$O$8:$O$69,$B68)+SUMIFS(Headcount!AQ$395:AQ$1442,Headcount!$J$395:$J$1442,$B68))</f>
        <v>0</v>
      </c>
      <c r="AI68" s="136">
        <f>IF(AI$12="Actual",SUMIFS(ActualsTable[Month 33],ActualsTable[Expense Item2],$B68),SUMIFS(Expenses!CH$8:CH$69,Expenses!$O$8:$O$69,$B68)+SUMIFS(Headcount!AR$395:AR$1442,Headcount!$J$395:$J$1442,$B68))</f>
        <v>0</v>
      </c>
      <c r="AJ68" s="136">
        <f>IF(AJ$12="Actual",SUMIFS(ActualsTable[Month 34],ActualsTable[Expense Item2],$B68),SUMIFS(Expenses!CI$8:CI$69,Expenses!$O$8:$O$69,$B68)+SUMIFS(Headcount!AS$395:AS$1442,Headcount!$J$395:$J$1442,$B68))</f>
        <v>0</v>
      </c>
      <c r="AK68" s="136">
        <f>IF(AK$12="Actual",SUMIFS(ActualsTable[Month 35],ActualsTable[Expense Item2],$B68),SUMIFS(Expenses!CJ$8:CJ$69,Expenses!$O$8:$O$69,$B68)+SUMIFS(Headcount!AT$395:AT$1442,Headcount!$J$395:$J$1442,$B68))</f>
        <v>0</v>
      </c>
      <c r="AL68" s="294">
        <f>IF(AL$12="Actual",SUMIFS(ActualsTable[Month 36],ActualsTable[Expense Item2],$B68),SUMIFS(Expenses!CK$8:CK$69,Expenses!$O$8:$O$69,$B68)+SUMIFS(Headcount!AU$395:AU$1442,Headcount!$J$395:$J$1442,$B68))</f>
        <v>0</v>
      </c>
      <c r="AN68" s="320">
        <f t="shared" ca="1" si="126"/>
        <v>0</v>
      </c>
      <c r="AO68" s="136">
        <f t="shared" ca="1" si="126"/>
        <v>0</v>
      </c>
      <c r="AP68" s="136">
        <f t="shared" ca="1" si="126"/>
        <v>0</v>
      </c>
      <c r="AQ68" s="136">
        <f t="shared" ca="1" si="126"/>
        <v>0</v>
      </c>
      <c r="AR68" s="136">
        <f t="shared" ca="1" si="126"/>
        <v>0</v>
      </c>
      <c r="AS68" s="136">
        <f t="shared" ca="1" si="126"/>
        <v>0</v>
      </c>
      <c r="AT68" s="136">
        <f t="shared" ca="1" si="126"/>
        <v>0</v>
      </c>
      <c r="AU68" s="136">
        <f t="shared" ca="1" si="126"/>
        <v>0</v>
      </c>
      <c r="AV68" s="136">
        <f t="shared" ca="1" si="126"/>
        <v>0</v>
      </c>
      <c r="AW68" s="136">
        <f t="shared" ca="1" si="126"/>
        <v>0</v>
      </c>
      <c r="AX68" s="136">
        <f t="shared" ca="1" si="126"/>
        <v>0</v>
      </c>
      <c r="AY68" s="294">
        <f t="shared" ca="1" si="126"/>
        <v>0</v>
      </c>
      <c r="BA68" s="320">
        <f t="shared" ca="1" si="127"/>
        <v>0</v>
      </c>
      <c r="BB68" s="136">
        <f t="shared" ca="1" si="127"/>
        <v>0</v>
      </c>
      <c r="BC68" s="294">
        <f t="shared" ca="1" si="127"/>
        <v>0</v>
      </c>
    </row>
    <row r="69" spans="2:55" x14ac:dyDescent="0.35">
      <c r="B69" s="84" t="s">
        <v>104</v>
      </c>
      <c r="C69" s="134">
        <f t="shared" ref="C69" si="128">SUM(C57:C60,C51,C32)</f>
        <v>0</v>
      </c>
      <c r="D69" s="134">
        <f t="shared" ref="D69:AL69" si="129">SUM(D57:D60,D51,D32)</f>
        <v>0</v>
      </c>
      <c r="E69" s="134">
        <f t="shared" si="129"/>
        <v>0</v>
      </c>
      <c r="F69" s="134">
        <f t="shared" si="129"/>
        <v>0</v>
      </c>
      <c r="G69" s="134">
        <f t="shared" si="129"/>
        <v>0</v>
      </c>
      <c r="H69" s="134">
        <f t="shared" si="129"/>
        <v>0</v>
      </c>
      <c r="I69" s="134">
        <f t="shared" si="129"/>
        <v>0</v>
      </c>
      <c r="J69" s="134">
        <f t="shared" si="129"/>
        <v>0</v>
      </c>
      <c r="K69" s="134">
        <f t="shared" si="129"/>
        <v>0</v>
      </c>
      <c r="L69" s="134">
        <f t="shared" si="129"/>
        <v>0</v>
      </c>
      <c r="M69" s="134">
        <f t="shared" si="129"/>
        <v>0</v>
      </c>
      <c r="N69" s="134">
        <f t="shared" si="129"/>
        <v>0</v>
      </c>
      <c r="O69" s="134">
        <f t="shared" si="129"/>
        <v>0</v>
      </c>
      <c r="P69" s="134">
        <f t="shared" si="129"/>
        <v>0</v>
      </c>
      <c r="Q69" s="134">
        <f t="shared" si="129"/>
        <v>0</v>
      </c>
      <c r="R69" s="134">
        <f t="shared" si="129"/>
        <v>0</v>
      </c>
      <c r="S69" s="134">
        <f t="shared" si="129"/>
        <v>0</v>
      </c>
      <c r="T69" s="134">
        <f t="shared" si="129"/>
        <v>0</v>
      </c>
      <c r="U69" s="134">
        <f t="shared" si="129"/>
        <v>0</v>
      </c>
      <c r="V69" s="134">
        <f t="shared" si="129"/>
        <v>0</v>
      </c>
      <c r="W69" s="134">
        <f t="shared" si="129"/>
        <v>0</v>
      </c>
      <c r="X69" s="134">
        <f t="shared" si="129"/>
        <v>0</v>
      </c>
      <c r="Y69" s="134">
        <f t="shared" si="129"/>
        <v>0</v>
      </c>
      <c r="Z69" s="134">
        <f t="shared" si="129"/>
        <v>0</v>
      </c>
      <c r="AA69" s="134">
        <f t="shared" si="129"/>
        <v>0</v>
      </c>
      <c r="AB69" s="134">
        <f t="shared" si="129"/>
        <v>0</v>
      </c>
      <c r="AC69" s="134">
        <f t="shared" si="129"/>
        <v>0</v>
      </c>
      <c r="AD69" s="134">
        <f t="shared" si="129"/>
        <v>0</v>
      </c>
      <c r="AE69" s="134">
        <f t="shared" si="129"/>
        <v>0</v>
      </c>
      <c r="AF69" s="134">
        <f t="shared" si="129"/>
        <v>0</v>
      </c>
      <c r="AG69" s="134">
        <f t="shared" si="129"/>
        <v>0</v>
      </c>
      <c r="AH69" s="134">
        <f t="shared" si="129"/>
        <v>0</v>
      </c>
      <c r="AI69" s="134">
        <f t="shared" si="129"/>
        <v>0</v>
      </c>
      <c r="AJ69" s="134">
        <f t="shared" si="129"/>
        <v>0</v>
      </c>
      <c r="AK69" s="134">
        <f t="shared" si="129"/>
        <v>0</v>
      </c>
      <c r="AL69" s="299">
        <f t="shared" si="129"/>
        <v>0</v>
      </c>
      <c r="AN69" s="325">
        <f t="shared" ref="AN69:AT69" ca="1" si="130">SUM(AN57:AN60,AN51,AN32)</f>
        <v>0</v>
      </c>
      <c r="AO69" s="134">
        <f t="shared" ca="1" si="130"/>
        <v>0</v>
      </c>
      <c r="AP69" s="134">
        <f t="shared" ca="1" si="130"/>
        <v>0</v>
      </c>
      <c r="AQ69" s="134">
        <f t="shared" ca="1" si="130"/>
        <v>0</v>
      </c>
      <c r="AR69" s="134">
        <f t="shared" ca="1" si="130"/>
        <v>0</v>
      </c>
      <c r="AS69" s="134">
        <f t="shared" ca="1" si="130"/>
        <v>0</v>
      </c>
      <c r="AT69" s="134">
        <f t="shared" ca="1" si="130"/>
        <v>0</v>
      </c>
      <c r="AU69" s="134">
        <f t="shared" ref="AU69:AY69" ca="1" si="131">SUM(AU57:AU60,AU51,AU32)</f>
        <v>0</v>
      </c>
      <c r="AV69" s="134">
        <f t="shared" ca="1" si="131"/>
        <v>0</v>
      </c>
      <c r="AW69" s="134">
        <f t="shared" ca="1" si="131"/>
        <v>0</v>
      </c>
      <c r="AX69" s="134">
        <f t="shared" ca="1" si="131"/>
        <v>0</v>
      </c>
      <c r="AY69" s="299">
        <f t="shared" ca="1" si="131"/>
        <v>0</v>
      </c>
      <c r="BA69" s="325">
        <f t="shared" ref="BA69" ca="1" si="132">SUM(BA57:BA60,BA51,BA32)</f>
        <v>0</v>
      </c>
      <c r="BB69" s="134">
        <f t="shared" ref="BB69:BC69" ca="1" si="133">SUM(BB57:BB60,BB51,BB32)</f>
        <v>0</v>
      </c>
      <c r="BC69" s="299">
        <f t="shared" ca="1" si="133"/>
        <v>0</v>
      </c>
    </row>
    <row r="70" spans="2:55" x14ac:dyDescent="0.35">
      <c r="B70" s="73"/>
      <c r="C70" s="129"/>
      <c r="D70" s="129"/>
      <c r="E70" s="129"/>
      <c r="F70" s="129"/>
      <c r="G70" s="129"/>
      <c r="H70" s="129"/>
      <c r="I70" s="129"/>
      <c r="J70" s="129"/>
      <c r="K70" s="129"/>
      <c r="L70" s="129"/>
      <c r="M70" s="129"/>
      <c r="N70" s="129"/>
      <c r="O70" s="129"/>
      <c r="P70" s="129"/>
      <c r="Q70" s="129"/>
      <c r="R70" s="129"/>
      <c r="S70" s="129"/>
      <c r="T70" s="129"/>
      <c r="U70" s="129"/>
      <c r="V70" s="129"/>
      <c r="W70" s="129"/>
      <c r="X70" s="129"/>
      <c r="Y70" s="129"/>
      <c r="Z70" s="129"/>
      <c r="AA70" s="129"/>
      <c r="AB70" s="129"/>
      <c r="AC70" s="129"/>
      <c r="AD70" s="129"/>
      <c r="AE70" s="129"/>
      <c r="AF70" s="129"/>
      <c r="AG70" s="129"/>
      <c r="AH70" s="129"/>
      <c r="AI70" s="129"/>
      <c r="AJ70" s="129"/>
      <c r="AK70" s="129"/>
      <c r="AL70" s="296"/>
      <c r="AN70" s="322"/>
      <c r="AO70" s="129"/>
      <c r="AP70" s="129"/>
      <c r="AQ70" s="129"/>
      <c r="AR70" s="129"/>
      <c r="AS70" s="129"/>
      <c r="AT70" s="129"/>
      <c r="AU70" s="129"/>
      <c r="AV70" s="129"/>
      <c r="AW70" s="129"/>
      <c r="AX70" s="129"/>
      <c r="AY70" s="296"/>
      <c r="BA70" s="322"/>
      <c r="BB70" s="129"/>
      <c r="BC70" s="296"/>
    </row>
    <row r="71" spans="2:55" x14ac:dyDescent="0.35">
      <c r="B71" s="67" t="s">
        <v>105</v>
      </c>
      <c r="C71" s="127">
        <f t="shared" ref="C71" si="134">C28-C69</f>
        <v>0</v>
      </c>
      <c r="D71" s="127">
        <f t="shared" ref="D71:AL71" si="135">D28-D69</f>
        <v>0</v>
      </c>
      <c r="E71" s="127">
        <f t="shared" si="135"/>
        <v>0</v>
      </c>
      <c r="F71" s="127">
        <f t="shared" si="135"/>
        <v>0</v>
      </c>
      <c r="G71" s="127">
        <f t="shared" si="135"/>
        <v>0</v>
      </c>
      <c r="H71" s="127">
        <f t="shared" si="135"/>
        <v>0</v>
      </c>
      <c r="I71" s="127">
        <f t="shared" si="135"/>
        <v>0</v>
      </c>
      <c r="J71" s="127">
        <f t="shared" si="135"/>
        <v>0</v>
      </c>
      <c r="K71" s="127">
        <f t="shared" si="135"/>
        <v>0</v>
      </c>
      <c r="L71" s="127">
        <f t="shared" si="135"/>
        <v>0</v>
      </c>
      <c r="M71" s="127">
        <f t="shared" si="135"/>
        <v>0</v>
      </c>
      <c r="N71" s="127">
        <f t="shared" si="135"/>
        <v>0</v>
      </c>
      <c r="O71" s="127">
        <f t="shared" si="135"/>
        <v>0</v>
      </c>
      <c r="P71" s="127">
        <f t="shared" si="135"/>
        <v>0</v>
      </c>
      <c r="Q71" s="127">
        <f t="shared" si="135"/>
        <v>0</v>
      </c>
      <c r="R71" s="127">
        <f t="shared" si="135"/>
        <v>0</v>
      </c>
      <c r="S71" s="127">
        <f t="shared" si="135"/>
        <v>0</v>
      </c>
      <c r="T71" s="127">
        <f t="shared" si="135"/>
        <v>0</v>
      </c>
      <c r="U71" s="127">
        <f t="shared" si="135"/>
        <v>0</v>
      </c>
      <c r="V71" s="127">
        <f t="shared" si="135"/>
        <v>0</v>
      </c>
      <c r="W71" s="127">
        <f t="shared" si="135"/>
        <v>0</v>
      </c>
      <c r="X71" s="127">
        <f t="shared" si="135"/>
        <v>0</v>
      </c>
      <c r="Y71" s="127">
        <f t="shared" si="135"/>
        <v>0</v>
      </c>
      <c r="Z71" s="127">
        <f t="shared" si="135"/>
        <v>0</v>
      </c>
      <c r="AA71" s="127">
        <f t="shared" si="135"/>
        <v>0</v>
      </c>
      <c r="AB71" s="127">
        <f t="shared" si="135"/>
        <v>0</v>
      </c>
      <c r="AC71" s="127">
        <f t="shared" si="135"/>
        <v>0</v>
      </c>
      <c r="AD71" s="127">
        <f t="shared" si="135"/>
        <v>0</v>
      </c>
      <c r="AE71" s="127">
        <f t="shared" si="135"/>
        <v>0</v>
      </c>
      <c r="AF71" s="127">
        <f t="shared" si="135"/>
        <v>0</v>
      </c>
      <c r="AG71" s="127">
        <f t="shared" si="135"/>
        <v>0</v>
      </c>
      <c r="AH71" s="127">
        <f t="shared" si="135"/>
        <v>0</v>
      </c>
      <c r="AI71" s="127">
        <f t="shared" si="135"/>
        <v>0</v>
      </c>
      <c r="AJ71" s="127">
        <f t="shared" si="135"/>
        <v>0</v>
      </c>
      <c r="AK71" s="127">
        <f t="shared" si="135"/>
        <v>0</v>
      </c>
      <c r="AL71" s="295">
        <f t="shared" si="135"/>
        <v>0</v>
      </c>
      <c r="AN71" s="321">
        <f t="shared" ref="AN71:AT71" ca="1" si="136">AN28-AN69</f>
        <v>0</v>
      </c>
      <c r="AO71" s="127">
        <f t="shared" ca="1" si="136"/>
        <v>0</v>
      </c>
      <c r="AP71" s="127">
        <f t="shared" ca="1" si="136"/>
        <v>0</v>
      </c>
      <c r="AQ71" s="127">
        <f t="shared" ca="1" si="136"/>
        <v>0</v>
      </c>
      <c r="AR71" s="127">
        <f t="shared" ca="1" si="136"/>
        <v>0</v>
      </c>
      <c r="AS71" s="127">
        <f t="shared" ca="1" si="136"/>
        <v>0</v>
      </c>
      <c r="AT71" s="127">
        <f t="shared" ca="1" si="136"/>
        <v>0</v>
      </c>
      <c r="AU71" s="127">
        <f t="shared" ref="AU71:AY71" ca="1" si="137">AU28-AU69</f>
        <v>0</v>
      </c>
      <c r="AV71" s="127">
        <f t="shared" ca="1" si="137"/>
        <v>0</v>
      </c>
      <c r="AW71" s="127">
        <f t="shared" ca="1" si="137"/>
        <v>0</v>
      </c>
      <c r="AX71" s="127">
        <f t="shared" ca="1" si="137"/>
        <v>0</v>
      </c>
      <c r="AY71" s="295">
        <f t="shared" ca="1" si="137"/>
        <v>0</v>
      </c>
      <c r="BA71" s="321">
        <f t="shared" ref="BA71" ca="1" si="138">BA28-BA69</f>
        <v>0</v>
      </c>
      <c r="BB71" s="127">
        <f t="shared" ref="BB71:BC71" ca="1" si="139">BB28-BB69</f>
        <v>0</v>
      </c>
      <c r="BC71" s="295">
        <f t="shared" ca="1" si="139"/>
        <v>0</v>
      </c>
    </row>
    <row r="72" spans="2:55" x14ac:dyDescent="0.35">
      <c r="B72" s="72" t="s">
        <v>106</v>
      </c>
      <c r="C72" s="126">
        <f t="shared" ref="C72:AT72" si="140">IFERROR(C71/C$28,0)</f>
        <v>0</v>
      </c>
      <c r="D72" s="126">
        <f t="shared" ref="D72:AL72" si="141">IFERROR(D71/D$28,0)</f>
        <v>0</v>
      </c>
      <c r="E72" s="126">
        <f t="shared" si="141"/>
        <v>0</v>
      </c>
      <c r="F72" s="126">
        <f t="shared" si="141"/>
        <v>0</v>
      </c>
      <c r="G72" s="126">
        <f t="shared" si="141"/>
        <v>0</v>
      </c>
      <c r="H72" s="126">
        <f t="shared" si="141"/>
        <v>0</v>
      </c>
      <c r="I72" s="126">
        <f t="shared" si="141"/>
        <v>0</v>
      </c>
      <c r="J72" s="126">
        <f t="shared" si="141"/>
        <v>0</v>
      </c>
      <c r="K72" s="126">
        <f t="shared" si="141"/>
        <v>0</v>
      </c>
      <c r="L72" s="126">
        <f t="shared" si="141"/>
        <v>0</v>
      </c>
      <c r="M72" s="126">
        <f t="shared" si="141"/>
        <v>0</v>
      </c>
      <c r="N72" s="126">
        <f t="shared" si="141"/>
        <v>0</v>
      </c>
      <c r="O72" s="126">
        <f t="shared" si="141"/>
        <v>0</v>
      </c>
      <c r="P72" s="126">
        <f t="shared" si="141"/>
        <v>0</v>
      </c>
      <c r="Q72" s="126">
        <f t="shared" si="141"/>
        <v>0</v>
      </c>
      <c r="R72" s="126">
        <f t="shared" si="141"/>
        <v>0</v>
      </c>
      <c r="S72" s="126">
        <f t="shared" si="141"/>
        <v>0</v>
      </c>
      <c r="T72" s="126">
        <f t="shared" si="141"/>
        <v>0</v>
      </c>
      <c r="U72" s="126">
        <f t="shared" si="141"/>
        <v>0</v>
      </c>
      <c r="V72" s="126">
        <f t="shared" si="141"/>
        <v>0</v>
      </c>
      <c r="W72" s="126">
        <f t="shared" si="141"/>
        <v>0</v>
      </c>
      <c r="X72" s="126">
        <f t="shared" si="141"/>
        <v>0</v>
      </c>
      <c r="Y72" s="126">
        <f t="shared" si="141"/>
        <v>0</v>
      </c>
      <c r="Z72" s="126">
        <f t="shared" si="141"/>
        <v>0</v>
      </c>
      <c r="AA72" s="126">
        <f t="shared" si="141"/>
        <v>0</v>
      </c>
      <c r="AB72" s="126">
        <f t="shared" si="141"/>
        <v>0</v>
      </c>
      <c r="AC72" s="126">
        <f t="shared" si="141"/>
        <v>0</v>
      </c>
      <c r="AD72" s="126">
        <f t="shared" si="141"/>
        <v>0</v>
      </c>
      <c r="AE72" s="126">
        <f t="shared" si="141"/>
        <v>0</v>
      </c>
      <c r="AF72" s="126">
        <f t="shared" si="141"/>
        <v>0</v>
      </c>
      <c r="AG72" s="126">
        <f t="shared" si="141"/>
        <v>0</v>
      </c>
      <c r="AH72" s="126">
        <f t="shared" si="141"/>
        <v>0</v>
      </c>
      <c r="AI72" s="126">
        <f t="shared" si="141"/>
        <v>0</v>
      </c>
      <c r="AJ72" s="126">
        <f t="shared" si="141"/>
        <v>0</v>
      </c>
      <c r="AK72" s="126">
        <f t="shared" si="141"/>
        <v>0</v>
      </c>
      <c r="AL72" s="300">
        <f t="shared" si="141"/>
        <v>0</v>
      </c>
      <c r="AN72" s="326">
        <f t="shared" ca="1" si="140"/>
        <v>0</v>
      </c>
      <c r="AO72" s="126">
        <f t="shared" ca="1" si="140"/>
        <v>0</v>
      </c>
      <c r="AP72" s="126">
        <f t="shared" ca="1" si="140"/>
        <v>0</v>
      </c>
      <c r="AQ72" s="126">
        <f t="shared" ca="1" si="140"/>
        <v>0</v>
      </c>
      <c r="AR72" s="126">
        <f t="shared" ca="1" si="140"/>
        <v>0</v>
      </c>
      <c r="AS72" s="126">
        <f t="shared" ca="1" si="140"/>
        <v>0</v>
      </c>
      <c r="AT72" s="126">
        <f t="shared" ca="1" si="140"/>
        <v>0</v>
      </c>
      <c r="AU72" s="126">
        <f t="shared" ref="AU72:AY72" ca="1" si="142">IFERROR(AU71/AU$28,0)</f>
        <v>0</v>
      </c>
      <c r="AV72" s="126">
        <f t="shared" ca="1" si="142"/>
        <v>0</v>
      </c>
      <c r="AW72" s="126">
        <f t="shared" ca="1" si="142"/>
        <v>0</v>
      </c>
      <c r="AX72" s="126">
        <f t="shared" ca="1" si="142"/>
        <v>0</v>
      </c>
      <c r="AY72" s="300">
        <f t="shared" ca="1" si="142"/>
        <v>0</v>
      </c>
      <c r="BA72" s="326">
        <f t="shared" ref="BA72" ca="1" si="143">IFERROR(BA71/BA$28,0)</f>
        <v>0</v>
      </c>
      <c r="BB72" s="126">
        <f t="shared" ref="BB72:BC72" ca="1" si="144">IFERROR(BB71/BB$28,0)</f>
        <v>0</v>
      </c>
      <c r="BC72" s="300">
        <f t="shared" ca="1" si="144"/>
        <v>0</v>
      </c>
    </row>
    <row r="73" spans="2:55" x14ac:dyDescent="0.35">
      <c r="B73" s="72"/>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300"/>
      <c r="AN73" s="326"/>
      <c r="AO73" s="126"/>
      <c r="AP73" s="126"/>
      <c r="AQ73" s="126"/>
      <c r="AR73" s="126"/>
      <c r="AS73" s="126"/>
      <c r="AT73" s="126"/>
      <c r="AU73" s="126"/>
      <c r="AV73" s="126"/>
      <c r="AW73" s="126"/>
      <c r="AX73" s="126"/>
      <c r="AY73" s="300"/>
      <c r="BA73" s="326"/>
      <c r="BB73" s="126"/>
      <c r="BC73" s="300"/>
    </row>
    <row r="74" spans="2:55" x14ac:dyDescent="0.35">
      <c r="B74" s="67" t="s">
        <v>107</v>
      </c>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6"/>
      <c r="AB74" s="126"/>
      <c r="AC74" s="126"/>
      <c r="AD74" s="126"/>
      <c r="AE74" s="126"/>
      <c r="AF74" s="126"/>
      <c r="AG74" s="126"/>
      <c r="AH74" s="126"/>
      <c r="AI74" s="126"/>
      <c r="AJ74" s="126"/>
      <c r="AK74" s="126"/>
      <c r="AL74" s="300"/>
      <c r="AN74" s="326"/>
      <c r="AO74" s="126"/>
      <c r="AP74" s="126"/>
      <c r="AQ74" s="126"/>
      <c r="AR74" s="126"/>
      <c r="AS74" s="126"/>
      <c r="AT74" s="126"/>
      <c r="AU74" s="126"/>
      <c r="AV74" s="126"/>
      <c r="AW74" s="126"/>
      <c r="AX74" s="126"/>
      <c r="AY74" s="300"/>
      <c r="BA74" s="326"/>
      <c r="BB74" s="126"/>
      <c r="BC74" s="300"/>
    </row>
    <row r="75" spans="2:55" x14ac:dyDescent="0.35">
      <c r="B75" s="74" t="s">
        <v>108</v>
      </c>
      <c r="C75" s="131">
        <f t="shared" ref="C75:AT75" si="145">SUM(C76,C84)</f>
        <v>0</v>
      </c>
      <c r="D75" s="131">
        <f t="shared" ref="D75:AL75" si="146">SUM(D76,D84)</f>
        <v>0</v>
      </c>
      <c r="E75" s="131">
        <f t="shared" si="146"/>
        <v>0</v>
      </c>
      <c r="F75" s="131">
        <f t="shared" si="146"/>
        <v>0</v>
      </c>
      <c r="G75" s="131">
        <f t="shared" si="146"/>
        <v>0</v>
      </c>
      <c r="H75" s="131">
        <f t="shared" si="146"/>
        <v>0</v>
      </c>
      <c r="I75" s="131">
        <f t="shared" si="146"/>
        <v>0</v>
      </c>
      <c r="J75" s="131">
        <f t="shared" si="146"/>
        <v>0</v>
      </c>
      <c r="K75" s="131">
        <f t="shared" si="146"/>
        <v>0</v>
      </c>
      <c r="L75" s="131">
        <f t="shared" si="146"/>
        <v>0</v>
      </c>
      <c r="M75" s="131">
        <f t="shared" si="146"/>
        <v>0</v>
      </c>
      <c r="N75" s="131">
        <f t="shared" si="146"/>
        <v>0</v>
      </c>
      <c r="O75" s="131">
        <f t="shared" si="146"/>
        <v>0</v>
      </c>
      <c r="P75" s="131">
        <f t="shared" si="146"/>
        <v>0</v>
      </c>
      <c r="Q75" s="131">
        <f t="shared" si="146"/>
        <v>0</v>
      </c>
      <c r="R75" s="131">
        <f t="shared" si="146"/>
        <v>0</v>
      </c>
      <c r="S75" s="131">
        <f t="shared" si="146"/>
        <v>0</v>
      </c>
      <c r="T75" s="131">
        <f t="shared" si="146"/>
        <v>0</v>
      </c>
      <c r="U75" s="131">
        <f t="shared" si="146"/>
        <v>0</v>
      </c>
      <c r="V75" s="131">
        <f t="shared" si="146"/>
        <v>0</v>
      </c>
      <c r="W75" s="131">
        <f t="shared" si="146"/>
        <v>0</v>
      </c>
      <c r="X75" s="131">
        <f t="shared" si="146"/>
        <v>0</v>
      </c>
      <c r="Y75" s="131">
        <f t="shared" si="146"/>
        <v>0</v>
      </c>
      <c r="Z75" s="131">
        <f t="shared" si="146"/>
        <v>0</v>
      </c>
      <c r="AA75" s="131">
        <f t="shared" si="146"/>
        <v>0</v>
      </c>
      <c r="AB75" s="131">
        <f t="shared" si="146"/>
        <v>0</v>
      </c>
      <c r="AC75" s="131">
        <f t="shared" si="146"/>
        <v>0</v>
      </c>
      <c r="AD75" s="131">
        <f t="shared" si="146"/>
        <v>0</v>
      </c>
      <c r="AE75" s="131">
        <f t="shared" si="146"/>
        <v>0</v>
      </c>
      <c r="AF75" s="131">
        <f t="shared" si="146"/>
        <v>0</v>
      </c>
      <c r="AG75" s="131">
        <f t="shared" si="146"/>
        <v>0</v>
      </c>
      <c r="AH75" s="131">
        <f t="shared" si="146"/>
        <v>0</v>
      </c>
      <c r="AI75" s="131">
        <f t="shared" si="146"/>
        <v>0</v>
      </c>
      <c r="AJ75" s="131">
        <f t="shared" si="146"/>
        <v>0</v>
      </c>
      <c r="AK75" s="131">
        <f t="shared" si="146"/>
        <v>0</v>
      </c>
      <c r="AL75" s="291">
        <f t="shared" si="146"/>
        <v>0</v>
      </c>
      <c r="AN75" s="317">
        <f t="shared" ca="1" si="145"/>
        <v>0</v>
      </c>
      <c r="AO75" s="131">
        <f t="shared" ca="1" si="145"/>
        <v>0</v>
      </c>
      <c r="AP75" s="131">
        <f t="shared" ca="1" si="145"/>
        <v>0</v>
      </c>
      <c r="AQ75" s="131">
        <f t="shared" ca="1" si="145"/>
        <v>0</v>
      </c>
      <c r="AR75" s="131">
        <f t="shared" ca="1" si="145"/>
        <v>0</v>
      </c>
      <c r="AS75" s="131">
        <f t="shared" ca="1" si="145"/>
        <v>0</v>
      </c>
      <c r="AT75" s="131">
        <f t="shared" ca="1" si="145"/>
        <v>0</v>
      </c>
      <c r="AU75" s="131">
        <f t="shared" ref="AU75:AY75" ca="1" si="147">SUM(AU76,AU84)</f>
        <v>0</v>
      </c>
      <c r="AV75" s="131">
        <f t="shared" ca="1" si="147"/>
        <v>0</v>
      </c>
      <c r="AW75" s="131">
        <f t="shared" ca="1" si="147"/>
        <v>0</v>
      </c>
      <c r="AX75" s="131">
        <f t="shared" ca="1" si="147"/>
        <v>0</v>
      </c>
      <c r="AY75" s="291">
        <f t="shared" ca="1" si="147"/>
        <v>0</v>
      </c>
      <c r="BA75" s="317">
        <f t="shared" ref="BA75" ca="1" si="148">SUM(BA76,BA84)</f>
        <v>0</v>
      </c>
      <c r="BB75" s="131">
        <f t="shared" ref="BB75:BC75" ca="1" si="149">SUM(BB76,BB84)</f>
        <v>0</v>
      </c>
      <c r="BC75" s="291">
        <f t="shared" ca="1" si="149"/>
        <v>0</v>
      </c>
    </row>
    <row r="76" spans="2:55" x14ac:dyDescent="0.35">
      <c r="B76" s="75" t="s">
        <v>109</v>
      </c>
      <c r="C76" s="131">
        <f t="shared" ref="C76:AN76" si="150">SUM(C77:C83)</f>
        <v>0</v>
      </c>
      <c r="D76" s="131">
        <f t="shared" ref="D76:AL76" si="151">SUM(D77:D83)</f>
        <v>0</v>
      </c>
      <c r="E76" s="131">
        <f t="shared" si="151"/>
        <v>0</v>
      </c>
      <c r="F76" s="131">
        <f t="shared" si="151"/>
        <v>0</v>
      </c>
      <c r="G76" s="131">
        <f t="shared" si="151"/>
        <v>0</v>
      </c>
      <c r="H76" s="131">
        <f t="shared" si="151"/>
        <v>0</v>
      </c>
      <c r="I76" s="131">
        <f t="shared" si="151"/>
        <v>0</v>
      </c>
      <c r="J76" s="131">
        <f t="shared" si="151"/>
        <v>0</v>
      </c>
      <c r="K76" s="131">
        <f t="shared" si="151"/>
        <v>0</v>
      </c>
      <c r="L76" s="131">
        <f t="shared" si="151"/>
        <v>0</v>
      </c>
      <c r="M76" s="131">
        <f t="shared" si="151"/>
        <v>0</v>
      </c>
      <c r="N76" s="131">
        <f t="shared" si="151"/>
        <v>0</v>
      </c>
      <c r="O76" s="131">
        <f t="shared" si="151"/>
        <v>0</v>
      </c>
      <c r="P76" s="131">
        <f t="shared" si="151"/>
        <v>0</v>
      </c>
      <c r="Q76" s="131">
        <f t="shared" si="151"/>
        <v>0</v>
      </c>
      <c r="R76" s="131">
        <f t="shared" si="151"/>
        <v>0</v>
      </c>
      <c r="S76" s="131">
        <f t="shared" si="151"/>
        <v>0</v>
      </c>
      <c r="T76" s="131">
        <f t="shared" si="151"/>
        <v>0</v>
      </c>
      <c r="U76" s="131">
        <f t="shared" si="151"/>
        <v>0</v>
      </c>
      <c r="V76" s="131">
        <f t="shared" si="151"/>
        <v>0</v>
      </c>
      <c r="W76" s="131">
        <f t="shared" si="151"/>
        <v>0</v>
      </c>
      <c r="X76" s="131">
        <f t="shared" si="151"/>
        <v>0</v>
      </c>
      <c r="Y76" s="131">
        <f t="shared" si="151"/>
        <v>0</v>
      </c>
      <c r="Z76" s="131">
        <f t="shared" si="151"/>
        <v>0</v>
      </c>
      <c r="AA76" s="131">
        <f t="shared" si="151"/>
        <v>0</v>
      </c>
      <c r="AB76" s="131">
        <f t="shared" si="151"/>
        <v>0</v>
      </c>
      <c r="AC76" s="131">
        <f t="shared" si="151"/>
        <v>0</v>
      </c>
      <c r="AD76" s="131">
        <f t="shared" si="151"/>
        <v>0</v>
      </c>
      <c r="AE76" s="131">
        <f t="shared" si="151"/>
        <v>0</v>
      </c>
      <c r="AF76" s="131">
        <f t="shared" si="151"/>
        <v>0</v>
      </c>
      <c r="AG76" s="131">
        <f t="shared" si="151"/>
        <v>0</v>
      </c>
      <c r="AH76" s="131">
        <f t="shared" si="151"/>
        <v>0</v>
      </c>
      <c r="AI76" s="131">
        <f t="shared" si="151"/>
        <v>0</v>
      </c>
      <c r="AJ76" s="131">
        <f t="shared" si="151"/>
        <v>0</v>
      </c>
      <c r="AK76" s="131">
        <f t="shared" si="151"/>
        <v>0</v>
      </c>
      <c r="AL76" s="291">
        <f t="shared" si="151"/>
        <v>0</v>
      </c>
      <c r="AN76" s="317">
        <f t="shared" ca="1" si="150"/>
        <v>0</v>
      </c>
      <c r="AO76" s="131">
        <f t="shared" ref="AO76:AT76" ca="1" si="152">SUM(AO77:AO83)</f>
        <v>0</v>
      </c>
      <c r="AP76" s="131">
        <f t="shared" ca="1" si="152"/>
        <v>0</v>
      </c>
      <c r="AQ76" s="131">
        <f t="shared" ca="1" si="152"/>
        <v>0</v>
      </c>
      <c r="AR76" s="131">
        <f t="shared" ca="1" si="152"/>
        <v>0</v>
      </c>
      <c r="AS76" s="131">
        <f t="shared" ca="1" si="152"/>
        <v>0</v>
      </c>
      <c r="AT76" s="131">
        <f t="shared" ca="1" si="152"/>
        <v>0</v>
      </c>
      <c r="AU76" s="131">
        <f t="shared" ref="AU76:AY76" ca="1" si="153">SUM(AU77:AU83)</f>
        <v>0</v>
      </c>
      <c r="AV76" s="131">
        <f t="shared" ca="1" si="153"/>
        <v>0</v>
      </c>
      <c r="AW76" s="131">
        <f t="shared" ca="1" si="153"/>
        <v>0</v>
      </c>
      <c r="AX76" s="131">
        <f t="shared" ca="1" si="153"/>
        <v>0</v>
      </c>
      <c r="AY76" s="291">
        <f t="shared" ca="1" si="153"/>
        <v>0</v>
      </c>
      <c r="BA76" s="317">
        <f t="shared" ref="BA76" ca="1" si="154">SUM(BA77:BA83)</f>
        <v>0</v>
      </c>
      <c r="BB76" s="131">
        <f t="shared" ref="BB76:BC76" ca="1" si="155">SUM(BB77:BB83)</f>
        <v>0</v>
      </c>
      <c r="BC76" s="291">
        <f t="shared" ca="1" si="155"/>
        <v>0</v>
      </c>
    </row>
    <row r="77" spans="2:55" x14ac:dyDescent="0.35">
      <c r="B77" s="76" t="s">
        <v>110</v>
      </c>
      <c r="C77" s="137">
        <f>IF(C$12="Actual",SUMIFS(ActualsTable[Month 1],ActualsTable[Expense Item2],$B77),SUMIFS(Expenses!BB$8:BB$69,Expenses!$O$8:$O$69,$B77)+SUMIFS(Headcount!L$395:L$1442,Headcount!$J$395:$J$1442,$B77))</f>
        <v>0</v>
      </c>
      <c r="D77" s="137">
        <f>IF(D$12="Actual",SUMIFS(ActualsTable[Month 2],ActualsTable[Expense Item2],$B77),SUMIFS(Expenses!BC$8:BC$69,Expenses!$O$8:$O$69,$B77)+SUMIFS(Headcount!M$395:M$1442,Headcount!$J$395:$J$1442,$B77))</f>
        <v>0</v>
      </c>
      <c r="E77" s="137">
        <f>IF(E$12="Actual",SUMIFS(ActualsTable[Month 3],ActualsTable[Expense Item2],$B77),SUMIFS(Expenses!BD$8:BD$69,Expenses!$O$8:$O$69,$B77)+SUMIFS(Headcount!N$395:N$1442,Headcount!$J$395:$J$1442,$B77))</f>
        <v>0</v>
      </c>
      <c r="F77" s="137">
        <f>IF(F$12="Actual",SUMIFS(ActualsTable[Month 4],ActualsTable[Expense Item2],$B77),SUMIFS(Expenses!BE$8:BE$69,Expenses!$O$8:$O$69,$B77)+SUMIFS(Headcount!O$395:O$1442,Headcount!$J$395:$J$1442,$B77))</f>
        <v>0</v>
      </c>
      <c r="G77" s="137">
        <f>IF(G$12="Actual",SUMIFS(ActualsTable[Month 5],ActualsTable[Expense Item2],$B77),SUMIFS(Expenses!BF$8:BF$69,Expenses!$O$8:$O$69,$B77)+SUMIFS(Headcount!P$395:P$1442,Headcount!$J$395:$J$1442,$B77))</f>
        <v>0</v>
      </c>
      <c r="H77" s="137">
        <f>IF(H$12="Actual",SUMIFS(ActualsTable[Month 6],ActualsTable[Expense Item2],$B77),SUMIFS(Expenses!BG$8:BG$69,Expenses!$O$8:$O$69,$B77)+SUMIFS(Headcount!Q$395:Q$1442,Headcount!$J$395:$J$1442,$B77))</f>
        <v>0</v>
      </c>
      <c r="I77" s="137">
        <f>IF(I$12="Actual",SUMIFS(ActualsTable[Month 7],ActualsTable[Expense Item2],$B77),SUMIFS(Expenses!BH$8:BH$69,Expenses!$O$8:$O$69,$B77)+SUMIFS(Headcount!R$395:R$1442,Headcount!$J$395:$J$1442,$B77))</f>
        <v>0</v>
      </c>
      <c r="J77" s="137">
        <f>IF(J$12="Actual",SUMIFS(ActualsTable[Month 8],ActualsTable[Expense Item2],$B77),SUMIFS(Expenses!BI$8:BI$69,Expenses!$O$8:$O$69,$B77)+SUMIFS(Headcount!S$395:S$1442,Headcount!$J$395:$J$1442,$B77))</f>
        <v>0</v>
      </c>
      <c r="K77" s="137">
        <f>IF(K$12="Actual",SUMIFS(ActualsTable[Month 9],ActualsTable[Expense Item2],$B77),SUMIFS(Expenses!BJ$8:BJ$69,Expenses!$O$8:$O$69,$B77)+SUMIFS(Headcount!T$395:T$1442,Headcount!$J$395:$J$1442,$B77))</f>
        <v>0</v>
      </c>
      <c r="L77" s="137">
        <f>IF(L$12="Actual",SUMIFS(ActualsTable[Month 10],ActualsTable[Expense Item2],$B77),SUMIFS(Expenses!BK$8:BK$69,Expenses!$O$8:$O$69,$B77)+SUMIFS(Headcount!U$395:U$1442,Headcount!$J$395:$J$1442,$B77))</f>
        <v>0</v>
      </c>
      <c r="M77" s="137">
        <f>IF(M$12="Actual",SUMIFS(ActualsTable[Month 11],ActualsTable[Expense Item2],$B77),SUMIFS(Expenses!BL$8:BL$69,Expenses!$O$8:$O$69,$B77)+SUMIFS(Headcount!V$395:V$1442,Headcount!$J$395:$J$1442,$B77))</f>
        <v>0</v>
      </c>
      <c r="N77" s="137">
        <f>IF(N$12="Actual",SUMIFS(ActualsTable[Month 12],ActualsTable[Expense Item2],$B77),SUMIFS(Expenses!BM$8:BM$69,Expenses!$O$8:$O$69,$B77)+SUMIFS(Headcount!W$395:W$1442,Headcount!$J$395:$J$1442,$B77))</f>
        <v>0</v>
      </c>
      <c r="O77" s="137">
        <f>IF(O$12="Actual",SUMIFS(ActualsTable[Month 13],ActualsTable[Expense Item2],$B77),SUMIFS(Expenses!BN$8:BN$69,Expenses!$O$8:$O$69,$B77)+SUMIFS(Headcount!X$395:X$1442,Headcount!$J$395:$J$1442,$B77))</f>
        <v>0</v>
      </c>
      <c r="P77" s="137">
        <f>IF(P$12="Actual",SUMIFS(ActualsTable[Month 14],ActualsTable[Expense Item2],$B77),SUMIFS(Expenses!BO$8:BO$69,Expenses!$O$8:$O$69,$B77)+SUMIFS(Headcount!Y$395:Y$1442,Headcount!$J$395:$J$1442,$B77))</f>
        <v>0</v>
      </c>
      <c r="Q77" s="137">
        <f>IF(Q$12="Actual",SUMIFS(ActualsTable[Month 15],ActualsTable[Expense Item2],$B77),SUMIFS(Expenses!BP$8:BP$69,Expenses!$O$8:$O$69,$B77)+SUMIFS(Headcount!Z$395:Z$1442,Headcount!$J$395:$J$1442,$B77))</f>
        <v>0</v>
      </c>
      <c r="R77" s="137">
        <f>IF(R$12="Actual",SUMIFS(ActualsTable[Month 16],ActualsTable[Expense Item2],$B77),SUMIFS(Expenses!BQ$8:BQ$69,Expenses!$O$8:$O$69,$B77)+SUMIFS(Headcount!AA$395:AA$1442,Headcount!$J$395:$J$1442,$B77))</f>
        <v>0</v>
      </c>
      <c r="S77" s="137">
        <f>IF(S$12="Actual",SUMIFS(ActualsTable[Month 17],ActualsTable[Expense Item2],$B77),SUMIFS(Expenses!BR$8:BR$69,Expenses!$O$8:$O$69,$B77)+SUMIFS(Headcount!AB$395:AB$1442,Headcount!$J$395:$J$1442,$B77))</f>
        <v>0</v>
      </c>
      <c r="T77" s="137">
        <f>IF(T$12="Actual",SUMIFS(ActualsTable[Month 18],ActualsTable[Expense Item2],$B77),SUMIFS(Expenses!BS$8:BS$69,Expenses!$O$8:$O$69,$B77)+SUMIFS(Headcount!AC$395:AC$1442,Headcount!$J$395:$J$1442,$B77))</f>
        <v>0</v>
      </c>
      <c r="U77" s="137">
        <f>IF(U$12="Actual",SUMIFS(ActualsTable[Month 19],ActualsTable[Expense Item2],$B77),SUMIFS(Expenses!BT$8:BT$69,Expenses!$O$8:$O$69,$B77)+SUMIFS(Headcount!AD$395:AD$1442,Headcount!$J$395:$J$1442,$B77))</f>
        <v>0</v>
      </c>
      <c r="V77" s="137">
        <f>IF(V$12="Actual",SUMIFS(ActualsTable[Month 20],ActualsTable[Expense Item2],$B77),SUMIFS(Expenses!BU$8:BU$69,Expenses!$O$8:$O$69,$B77)+SUMIFS(Headcount!AE$395:AE$1442,Headcount!$J$395:$J$1442,$B77))</f>
        <v>0</v>
      </c>
      <c r="W77" s="137">
        <f>IF(W$12="Actual",SUMIFS(ActualsTable[Month 21],ActualsTable[Expense Item2],$B77),SUMIFS(Expenses!BV$8:BV$69,Expenses!$O$8:$O$69,$B77)+SUMIFS(Headcount!AF$395:AF$1442,Headcount!$J$395:$J$1442,$B77))</f>
        <v>0</v>
      </c>
      <c r="X77" s="137">
        <f>IF(X$12="Actual",SUMIFS(ActualsTable[Month 22],ActualsTable[Expense Item2],$B77),SUMIFS(Expenses!BW$8:BW$69,Expenses!$O$8:$O$69,$B77)+SUMIFS(Headcount!AG$395:AG$1442,Headcount!$J$395:$J$1442,$B77))</f>
        <v>0</v>
      </c>
      <c r="Y77" s="137">
        <f>IF(Y$12="Actual",SUMIFS(ActualsTable[Month 23],ActualsTable[Expense Item2],$B77),SUMIFS(Expenses!BX$8:BX$69,Expenses!$O$8:$O$69,$B77)+SUMIFS(Headcount!AH$395:AH$1442,Headcount!$J$395:$J$1442,$B77))</f>
        <v>0</v>
      </c>
      <c r="Z77" s="137">
        <f>IF(Z$12="Actual",SUMIFS(ActualsTable[Month 24],ActualsTable[Expense Item2],$B77),SUMIFS(Expenses!BY$8:BY$69,Expenses!$O$8:$O$69,$B77)+SUMIFS(Headcount!AI$395:AI$1442,Headcount!$J$395:$J$1442,$B77))</f>
        <v>0</v>
      </c>
      <c r="AA77" s="137">
        <f>IF(AA$12="Actual",SUMIFS(ActualsTable[Month 25],ActualsTable[Expense Item2],$B77),SUMIFS(Expenses!BZ$8:BZ$69,Expenses!$O$8:$O$69,$B77)+SUMIFS(Headcount!AJ$395:AJ$1442,Headcount!$J$395:$J$1442,$B77))</f>
        <v>0</v>
      </c>
      <c r="AB77" s="137">
        <f>IF(AB$12="Actual",SUMIFS(ActualsTable[Month 26],ActualsTable[Expense Item2],$B77),SUMIFS(Expenses!CA$8:CA$69,Expenses!$O$8:$O$69,$B77)+SUMIFS(Headcount!AK$395:AK$1442,Headcount!$J$395:$J$1442,$B77))</f>
        <v>0</v>
      </c>
      <c r="AC77" s="137">
        <f>IF(AC$12="Actual",SUMIFS(ActualsTable[Month 27],ActualsTable[Expense Item2],$B77),SUMIFS(Expenses!CB$8:CB$69,Expenses!$O$8:$O$69,$B77)+SUMIFS(Headcount!AL$395:AL$1442,Headcount!$J$395:$J$1442,$B77))</f>
        <v>0</v>
      </c>
      <c r="AD77" s="137">
        <f>IF(AD$12="Actual",SUMIFS(ActualsTable[Month 28],ActualsTable[Expense Item2],$B77),SUMIFS(Expenses!CC$8:CC$69,Expenses!$O$8:$O$69,$B77)+SUMIFS(Headcount!AM$395:AM$1442,Headcount!$J$395:$J$1442,$B77))</f>
        <v>0</v>
      </c>
      <c r="AE77" s="137">
        <f>IF(AE$12="Actual",SUMIFS(ActualsTable[Month 29],ActualsTable[Expense Item2],$B77),SUMIFS(Expenses!CD$8:CD$69,Expenses!$O$8:$O$69,$B77)+SUMIFS(Headcount!AN$395:AN$1442,Headcount!$J$395:$J$1442,$B77))</f>
        <v>0</v>
      </c>
      <c r="AF77" s="137">
        <f>IF(AF$12="Actual",SUMIFS(ActualsTable[Month 30],ActualsTable[Expense Item2],$B77),SUMIFS(Expenses!CE$8:CE$69,Expenses!$O$8:$O$69,$B77)+SUMIFS(Headcount!AO$395:AO$1442,Headcount!$J$395:$J$1442,$B77))</f>
        <v>0</v>
      </c>
      <c r="AG77" s="137">
        <f>IF(AG$12="Actual",SUMIFS(ActualsTable[Month 31],ActualsTable[Expense Item2],$B77),SUMIFS(Expenses!CF$8:CF$69,Expenses!$O$8:$O$69,$B77)+SUMIFS(Headcount!AP$395:AP$1442,Headcount!$J$395:$J$1442,$B77))</f>
        <v>0</v>
      </c>
      <c r="AH77" s="137">
        <f>IF(AH$12="Actual",SUMIFS(ActualsTable[Month 32],ActualsTable[Expense Item2],$B77),SUMIFS(Expenses!CG$8:CG$69,Expenses!$O$8:$O$69,$B77)+SUMIFS(Headcount!AQ$395:AQ$1442,Headcount!$J$395:$J$1442,$B77))</f>
        <v>0</v>
      </c>
      <c r="AI77" s="137">
        <f>IF(AI$12="Actual",SUMIFS(ActualsTable[Month 33],ActualsTable[Expense Item2],$B77),SUMIFS(Expenses!CH$8:CH$69,Expenses!$O$8:$O$69,$B77)+SUMIFS(Headcount!AR$395:AR$1442,Headcount!$J$395:$J$1442,$B77))</f>
        <v>0</v>
      </c>
      <c r="AJ77" s="137">
        <f>IF(AJ$12="Actual",SUMIFS(ActualsTable[Month 34],ActualsTable[Expense Item2],$B77),SUMIFS(Expenses!CI$8:CI$69,Expenses!$O$8:$O$69,$B77)+SUMIFS(Headcount!AS$395:AS$1442,Headcount!$J$395:$J$1442,$B77))</f>
        <v>0</v>
      </c>
      <c r="AK77" s="137">
        <f>IF(AK$12="Actual",SUMIFS(ActualsTable[Month 35],ActualsTable[Expense Item2],$B77),SUMIFS(Expenses!CJ$8:CJ$69,Expenses!$O$8:$O$69,$B77)+SUMIFS(Headcount!AT$395:AT$1442,Headcount!$J$395:$J$1442,$B77))</f>
        <v>0</v>
      </c>
      <c r="AL77" s="293">
        <f>IF(AL$12="Actual",SUMIFS(ActualsTable[Month 36],ActualsTable[Expense Item2],$B77),SUMIFS(Expenses!CK$8:CK$69,Expenses!$O$8:$O$69,$B77)+SUMIFS(Headcount!AU$395:AU$1442,Headcount!$J$395:$J$1442,$B77))</f>
        <v>0</v>
      </c>
      <c r="AN77" s="319">
        <f t="shared" ref="AN77:AY83" ca="1" si="156">SUM(OFFSET($B77,0,3*AN$9+1,1,3))</f>
        <v>0</v>
      </c>
      <c r="AO77" s="137">
        <f t="shared" ca="1" si="156"/>
        <v>0</v>
      </c>
      <c r="AP77" s="137">
        <f t="shared" ca="1" si="156"/>
        <v>0</v>
      </c>
      <c r="AQ77" s="137">
        <f t="shared" ca="1" si="156"/>
        <v>0</v>
      </c>
      <c r="AR77" s="137">
        <f t="shared" ca="1" si="156"/>
        <v>0</v>
      </c>
      <c r="AS77" s="137">
        <f t="shared" ca="1" si="156"/>
        <v>0</v>
      </c>
      <c r="AT77" s="137">
        <f t="shared" ca="1" si="156"/>
        <v>0</v>
      </c>
      <c r="AU77" s="137">
        <f t="shared" ca="1" si="156"/>
        <v>0</v>
      </c>
      <c r="AV77" s="137">
        <f t="shared" ca="1" si="156"/>
        <v>0</v>
      </c>
      <c r="AW77" s="137">
        <f t="shared" ca="1" si="156"/>
        <v>0</v>
      </c>
      <c r="AX77" s="137">
        <f t="shared" ca="1" si="156"/>
        <v>0</v>
      </c>
      <c r="AY77" s="293">
        <f t="shared" ca="1" si="156"/>
        <v>0</v>
      </c>
      <c r="BA77" s="319">
        <f t="shared" ref="BA77:BC83" ca="1" si="157">SUM(OFFSET($B77,0,12*BA$9+1,1,12))</f>
        <v>0</v>
      </c>
      <c r="BB77" s="137">
        <f t="shared" ca="1" si="157"/>
        <v>0</v>
      </c>
      <c r="BC77" s="293">
        <f t="shared" ca="1" si="157"/>
        <v>0</v>
      </c>
    </row>
    <row r="78" spans="2:55" x14ac:dyDescent="0.35">
      <c r="B78" s="76" t="s">
        <v>111</v>
      </c>
      <c r="C78" s="137">
        <f>IF(C$12="Actual",SUMIFS(ActualsTable[Month 1],ActualsTable[Expense Item2],$B78),SUMIFS(Expenses!BB$8:BB$69,Expenses!$O$8:$O$69,$B78)+SUMIFS(Headcount!L$395:L$1442,Headcount!$J$395:$J$1442,$B78))</f>
        <v>0</v>
      </c>
      <c r="D78" s="137">
        <f>IF(D$12="Actual",SUMIFS(ActualsTable[Month 2],ActualsTable[Expense Item2],$B78),SUMIFS(Expenses!BC$8:BC$69,Expenses!$O$8:$O$69,$B78)+SUMIFS(Headcount!M$395:M$1442,Headcount!$J$395:$J$1442,$B78))</f>
        <v>0</v>
      </c>
      <c r="E78" s="137">
        <f>IF(E$12="Actual",SUMIFS(ActualsTable[Month 3],ActualsTable[Expense Item2],$B78),SUMIFS(Expenses!BD$8:BD$69,Expenses!$O$8:$O$69,$B78)+SUMIFS(Headcount!N$395:N$1442,Headcount!$J$395:$J$1442,$B78))</f>
        <v>0</v>
      </c>
      <c r="F78" s="137">
        <f>IF(F$12="Actual",SUMIFS(ActualsTable[Month 4],ActualsTable[Expense Item2],$B78),SUMIFS(Expenses!BE$8:BE$69,Expenses!$O$8:$O$69,$B78)+SUMIFS(Headcount!O$395:O$1442,Headcount!$J$395:$J$1442,$B78))</f>
        <v>0</v>
      </c>
      <c r="G78" s="137">
        <f>IF(G$12="Actual",SUMIFS(ActualsTable[Month 5],ActualsTable[Expense Item2],$B78),SUMIFS(Expenses!BF$8:BF$69,Expenses!$O$8:$O$69,$B78)+SUMIFS(Headcount!P$395:P$1442,Headcount!$J$395:$J$1442,$B78))</f>
        <v>0</v>
      </c>
      <c r="H78" s="137">
        <f>IF(H$12="Actual",SUMIFS(ActualsTable[Month 6],ActualsTable[Expense Item2],$B78),SUMIFS(Expenses!BG$8:BG$69,Expenses!$O$8:$O$69,$B78)+SUMIFS(Headcount!Q$395:Q$1442,Headcount!$J$395:$J$1442,$B78))</f>
        <v>0</v>
      </c>
      <c r="I78" s="137">
        <f>IF(I$12="Actual",SUMIFS(ActualsTable[Month 7],ActualsTable[Expense Item2],$B78),SUMIFS(Expenses!BH$8:BH$69,Expenses!$O$8:$O$69,$B78)+SUMIFS(Headcount!R$395:R$1442,Headcount!$J$395:$J$1442,$B78))</f>
        <v>0</v>
      </c>
      <c r="J78" s="137">
        <f>IF(J$12="Actual",SUMIFS(ActualsTable[Month 8],ActualsTable[Expense Item2],$B78),SUMIFS(Expenses!BI$8:BI$69,Expenses!$O$8:$O$69,$B78)+SUMIFS(Headcount!S$395:S$1442,Headcount!$J$395:$J$1442,$B78))</f>
        <v>0</v>
      </c>
      <c r="K78" s="137">
        <f>IF(K$12="Actual",SUMIFS(ActualsTable[Month 9],ActualsTable[Expense Item2],$B78),SUMIFS(Expenses!BJ$8:BJ$69,Expenses!$O$8:$O$69,$B78)+SUMIFS(Headcount!T$395:T$1442,Headcount!$J$395:$J$1442,$B78))</f>
        <v>0</v>
      </c>
      <c r="L78" s="137">
        <f>IF(L$12="Actual",SUMIFS(ActualsTable[Month 10],ActualsTable[Expense Item2],$B78),SUMIFS(Expenses!BK$8:BK$69,Expenses!$O$8:$O$69,$B78)+SUMIFS(Headcount!U$395:U$1442,Headcount!$J$395:$J$1442,$B78))</f>
        <v>0</v>
      </c>
      <c r="M78" s="137">
        <f>IF(M$12="Actual",SUMIFS(ActualsTable[Month 11],ActualsTable[Expense Item2],$B78),SUMIFS(Expenses!BL$8:BL$69,Expenses!$O$8:$O$69,$B78)+SUMIFS(Headcount!V$395:V$1442,Headcount!$J$395:$J$1442,$B78))</f>
        <v>0</v>
      </c>
      <c r="N78" s="137">
        <f>IF(N$12="Actual",SUMIFS(ActualsTable[Month 12],ActualsTable[Expense Item2],$B78),SUMIFS(Expenses!BM$8:BM$69,Expenses!$O$8:$O$69,$B78)+SUMIFS(Headcount!W$395:W$1442,Headcount!$J$395:$J$1442,$B78))</f>
        <v>0</v>
      </c>
      <c r="O78" s="137">
        <f>IF(O$12="Actual",SUMIFS(ActualsTable[Month 13],ActualsTable[Expense Item2],$B78),SUMIFS(Expenses!BN$8:BN$69,Expenses!$O$8:$O$69,$B78)+SUMIFS(Headcount!X$395:X$1442,Headcount!$J$395:$J$1442,$B78))</f>
        <v>0</v>
      </c>
      <c r="P78" s="137">
        <f>IF(P$12="Actual",SUMIFS(ActualsTable[Month 14],ActualsTable[Expense Item2],$B78),SUMIFS(Expenses!BO$8:BO$69,Expenses!$O$8:$O$69,$B78)+SUMIFS(Headcount!Y$395:Y$1442,Headcount!$J$395:$J$1442,$B78))</f>
        <v>0</v>
      </c>
      <c r="Q78" s="137">
        <f>IF(Q$12="Actual",SUMIFS(ActualsTable[Month 15],ActualsTable[Expense Item2],$B78),SUMIFS(Expenses!BP$8:BP$69,Expenses!$O$8:$O$69,$B78)+SUMIFS(Headcount!Z$395:Z$1442,Headcount!$J$395:$J$1442,$B78))</f>
        <v>0</v>
      </c>
      <c r="R78" s="137">
        <f>IF(R$12="Actual",SUMIFS(ActualsTable[Month 16],ActualsTable[Expense Item2],$B78),SUMIFS(Expenses!BQ$8:BQ$69,Expenses!$O$8:$O$69,$B78)+SUMIFS(Headcount!AA$395:AA$1442,Headcount!$J$395:$J$1442,$B78))</f>
        <v>0</v>
      </c>
      <c r="S78" s="137">
        <f>IF(S$12="Actual",SUMIFS(ActualsTable[Month 17],ActualsTable[Expense Item2],$B78),SUMIFS(Expenses!BR$8:BR$69,Expenses!$O$8:$O$69,$B78)+SUMIFS(Headcount!AB$395:AB$1442,Headcount!$J$395:$J$1442,$B78))</f>
        <v>0</v>
      </c>
      <c r="T78" s="137">
        <f>IF(T$12="Actual",SUMIFS(ActualsTable[Month 18],ActualsTable[Expense Item2],$B78),SUMIFS(Expenses!BS$8:BS$69,Expenses!$O$8:$O$69,$B78)+SUMIFS(Headcount!AC$395:AC$1442,Headcount!$J$395:$J$1442,$B78))</f>
        <v>0</v>
      </c>
      <c r="U78" s="137">
        <f>IF(U$12="Actual",SUMIFS(ActualsTable[Month 19],ActualsTable[Expense Item2],$B78),SUMIFS(Expenses!BT$8:BT$69,Expenses!$O$8:$O$69,$B78)+SUMIFS(Headcount!AD$395:AD$1442,Headcount!$J$395:$J$1442,$B78))</f>
        <v>0</v>
      </c>
      <c r="V78" s="137">
        <f>IF(V$12="Actual",SUMIFS(ActualsTable[Month 20],ActualsTable[Expense Item2],$B78),SUMIFS(Expenses!BU$8:BU$69,Expenses!$O$8:$O$69,$B78)+SUMIFS(Headcount!AE$395:AE$1442,Headcount!$J$395:$J$1442,$B78))</f>
        <v>0</v>
      </c>
      <c r="W78" s="137">
        <f>IF(W$12="Actual",SUMIFS(ActualsTable[Month 21],ActualsTable[Expense Item2],$B78),SUMIFS(Expenses!BV$8:BV$69,Expenses!$O$8:$O$69,$B78)+SUMIFS(Headcount!AF$395:AF$1442,Headcount!$J$395:$J$1442,$B78))</f>
        <v>0</v>
      </c>
      <c r="X78" s="137">
        <f>IF(X$12="Actual",SUMIFS(ActualsTable[Month 22],ActualsTable[Expense Item2],$B78),SUMIFS(Expenses!BW$8:BW$69,Expenses!$O$8:$O$69,$B78)+SUMIFS(Headcount!AG$395:AG$1442,Headcount!$J$395:$J$1442,$B78))</f>
        <v>0</v>
      </c>
      <c r="Y78" s="137">
        <f>IF(Y$12="Actual",SUMIFS(ActualsTable[Month 23],ActualsTable[Expense Item2],$B78),SUMIFS(Expenses!BX$8:BX$69,Expenses!$O$8:$O$69,$B78)+SUMIFS(Headcount!AH$395:AH$1442,Headcount!$J$395:$J$1442,$B78))</f>
        <v>0</v>
      </c>
      <c r="Z78" s="137">
        <f>IF(Z$12="Actual",SUMIFS(ActualsTable[Month 24],ActualsTable[Expense Item2],$B78),SUMIFS(Expenses!BY$8:BY$69,Expenses!$O$8:$O$69,$B78)+SUMIFS(Headcount!AI$395:AI$1442,Headcount!$J$395:$J$1442,$B78))</f>
        <v>0</v>
      </c>
      <c r="AA78" s="137">
        <f>IF(AA$12="Actual",SUMIFS(ActualsTable[Month 25],ActualsTable[Expense Item2],$B78),SUMIFS(Expenses!BZ$8:BZ$69,Expenses!$O$8:$O$69,$B78)+SUMIFS(Headcount!AJ$395:AJ$1442,Headcount!$J$395:$J$1442,$B78))</f>
        <v>0</v>
      </c>
      <c r="AB78" s="137">
        <f>IF(AB$12="Actual",SUMIFS(ActualsTable[Month 26],ActualsTable[Expense Item2],$B78),SUMIFS(Expenses!CA$8:CA$69,Expenses!$O$8:$O$69,$B78)+SUMIFS(Headcount!AK$395:AK$1442,Headcount!$J$395:$J$1442,$B78))</f>
        <v>0</v>
      </c>
      <c r="AC78" s="137">
        <f>IF(AC$12="Actual",SUMIFS(ActualsTable[Month 27],ActualsTable[Expense Item2],$B78),SUMIFS(Expenses!CB$8:CB$69,Expenses!$O$8:$O$69,$B78)+SUMIFS(Headcount!AL$395:AL$1442,Headcount!$J$395:$J$1442,$B78))</f>
        <v>0</v>
      </c>
      <c r="AD78" s="137">
        <f>IF(AD$12="Actual",SUMIFS(ActualsTable[Month 28],ActualsTable[Expense Item2],$B78),SUMIFS(Expenses!CC$8:CC$69,Expenses!$O$8:$O$69,$B78)+SUMIFS(Headcount!AM$395:AM$1442,Headcount!$J$395:$J$1442,$B78))</f>
        <v>0</v>
      </c>
      <c r="AE78" s="137">
        <f>IF(AE$12="Actual",SUMIFS(ActualsTable[Month 29],ActualsTable[Expense Item2],$B78),SUMIFS(Expenses!CD$8:CD$69,Expenses!$O$8:$O$69,$B78)+SUMIFS(Headcount!AN$395:AN$1442,Headcount!$J$395:$J$1442,$B78))</f>
        <v>0</v>
      </c>
      <c r="AF78" s="137">
        <f>IF(AF$12="Actual",SUMIFS(ActualsTable[Month 30],ActualsTable[Expense Item2],$B78),SUMIFS(Expenses!CE$8:CE$69,Expenses!$O$8:$O$69,$B78)+SUMIFS(Headcount!AO$395:AO$1442,Headcount!$J$395:$J$1442,$B78))</f>
        <v>0</v>
      </c>
      <c r="AG78" s="137">
        <f>IF(AG$12="Actual",SUMIFS(ActualsTable[Month 31],ActualsTable[Expense Item2],$B78),SUMIFS(Expenses!CF$8:CF$69,Expenses!$O$8:$O$69,$B78)+SUMIFS(Headcount!AP$395:AP$1442,Headcount!$J$395:$J$1442,$B78))</f>
        <v>0</v>
      </c>
      <c r="AH78" s="137">
        <f>IF(AH$12="Actual",SUMIFS(ActualsTable[Month 32],ActualsTable[Expense Item2],$B78),SUMIFS(Expenses!CG$8:CG$69,Expenses!$O$8:$O$69,$B78)+SUMIFS(Headcount!AQ$395:AQ$1442,Headcount!$J$395:$J$1442,$B78))</f>
        <v>0</v>
      </c>
      <c r="AI78" s="137">
        <f>IF(AI$12="Actual",SUMIFS(ActualsTable[Month 33],ActualsTable[Expense Item2],$B78),SUMIFS(Expenses!CH$8:CH$69,Expenses!$O$8:$O$69,$B78)+SUMIFS(Headcount!AR$395:AR$1442,Headcount!$J$395:$J$1442,$B78))</f>
        <v>0</v>
      </c>
      <c r="AJ78" s="137">
        <f>IF(AJ$12="Actual",SUMIFS(ActualsTable[Month 34],ActualsTable[Expense Item2],$B78),SUMIFS(Expenses!CI$8:CI$69,Expenses!$O$8:$O$69,$B78)+SUMIFS(Headcount!AS$395:AS$1442,Headcount!$J$395:$J$1442,$B78))</f>
        <v>0</v>
      </c>
      <c r="AK78" s="137">
        <f>IF(AK$12="Actual",SUMIFS(ActualsTable[Month 35],ActualsTable[Expense Item2],$B78),SUMIFS(Expenses!CJ$8:CJ$69,Expenses!$O$8:$O$69,$B78)+SUMIFS(Headcount!AT$395:AT$1442,Headcount!$J$395:$J$1442,$B78))</f>
        <v>0</v>
      </c>
      <c r="AL78" s="293">
        <f>IF(AL$12="Actual",SUMIFS(ActualsTable[Month 36],ActualsTable[Expense Item2],$B78),SUMIFS(Expenses!CK$8:CK$69,Expenses!$O$8:$O$69,$B78)+SUMIFS(Headcount!AU$395:AU$1442,Headcount!$J$395:$J$1442,$B78))</f>
        <v>0</v>
      </c>
      <c r="AN78" s="319">
        <f t="shared" ca="1" si="156"/>
        <v>0</v>
      </c>
      <c r="AO78" s="137">
        <f t="shared" ca="1" si="156"/>
        <v>0</v>
      </c>
      <c r="AP78" s="137">
        <f t="shared" ca="1" si="156"/>
        <v>0</v>
      </c>
      <c r="AQ78" s="137">
        <f t="shared" ca="1" si="156"/>
        <v>0</v>
      </c>
      <c r="AR78" s="137">
        <f t="shared" ca="1" si="156"/>
        <v>0</v>
      </c>
      <c r="AS78" s="137">
        <f t="shared" ca="1" si="156"/>
        <v>0</v>
      </c>
      <c r="AT78" s="137">
        <f t="shared" ca="1" si="156"/>
        <v>0</v>
      </c>
      <c r="AU78" s="137">
        <f t="shared" ca="1" si="156"/>
        <v>0</v>
      </c>
      <c r="AV78" s="137">
        <f t="shared" ca="1" si="156"/>
        <v>0</v>
      </c>
      <c r="AW78" s="137">
        <f t="shared" ca="1" si="156"/>
        <v>0</v>
      </c>
      <c r="AX78" s="137">
        <f t="shared" ca="1" si="156"/>
        <v>0</v>
      </c>
      <c r="AY78" s="293">
        <f t="shared" ca="1" si="156"/>
        <v>0</v>
      </c>
      <c r="BA78" s="319">
        <f t="shared" ca="1" si="157"/>
        <v>0</v>
      </c>
      <c r="BB78" s="137">
        <f t="shared" ca="1" si="157"/>
        <v>0</v>
      </c>
      <c r="BC78" s="293">
        <f t="shared" ca="1" si="157"/>
        <v>0</v>
      </c>
    </row>
    <row r="79" spans="2:55" x14ac:dyDescent="0.35">
      <c r="B79" s="76" t="s">
        <v>112</v>
      </c>
      <c r="C79" s="137">
        <f>IF(C$12="Actual",SUMIFS(ActualsTable[Month 1],ActualsTable[Expense Item2],$B79),SUMIFS(Expenses!BB$8:BB$69,Expenses!$O$8:$O$69,$B79)+SUMIFS(Headcount!L$395:L$1442,Headcount!$J$395:$J$1442,$B79))</f>
        <v>0</v>
      </c>
      <c r="D79" s="137">
        <f>IF(D$12="Actual",SUMIFS(ActualsTable[Month 2],ActualsTable[Expense Item2],$B79),SUMIFS(Expenses!BC$8:BC$69,Expenses!$O$8:$O$69,$B79)+SUMIFS(Headcount!M$395:M$1442,Headcount!$J$395:$J$1442,$B79))</f>
        <v>0</v>
      </c>
      <c r="E79" s="137">
        <f>IF(E$12="Actual",SUMIFS(ActualsTable[Month 3],ActualsTable[Expense Item2],$B79),SUMIFS(Expenses!BD$8:BD$69,Expenses!$O$8:$O$69,$B79)+SUMIFS(Headcount!N$395:N$1442,Headcount!$J$395:$J$1442,$B79))</f>
        <v>0</v>
      </c>
      <c r="F79" s="137">
        <f>IF(F$12="Actual",SUMIFS(ActualsTable[Month 4],ActualsTable[Expense Item2],$B79),SUMIFS(Expenses!BE$8:BE$69,Expenses!$O$8:$O$69,$B79)+SUMIFS(Headcount!O$395:O$1442,Headcount!$J$395:$J$1442,$B79))</f>
        <v>0</v>
      </c>
      <c r="G79" s="137">
        <f>IF(G$12="Actual",SUMIFS(ActualsTable[Month 5],ActualsTable[Expense Item2],$B79),SUMIFS(Expenses!BF$8:BF$69,Expenses!$O$8:$O$69,$B79)+SUMIFS(Headcount!P$395:P$1442,Headcount!$J$395:$J$1442,$B79))</f>
        <v>0</v>
      </c>
      <c r="H79" s="137">
        <f>IF(H$12="Actual",SUMIFS(ActualsTable[Month 6],ActualsTable[Expense Item2],$B79),SUMIFS(Expenses!BG$8:BG$69,Expenses!$O$8:$O$69,$B79)+SUMIFS(Headcount!Q$395:Q$1442,Headcount!$J$395:$J$1442,$B79))</f>
        <v>0</v>
      </c>
      <c r="I79" s="137">
        <f>IF(I$12="Actual",SUMIFS(ActualsTable[Month 7],ActualsTable[Expense Item2],$B79),SUMIFS(Expenses!BH$8:BH$69,Expenses!$O$8:$O$69,$B79)+SUMIFS(Headcount!R$395:R$1442,Headcount!$J$395:$J$1442,$B79))</f>
        <v>0</v>
      </c>
      <c r="J79" s="137">
        <f>IF(J$12="Actual",SUMIFS(ActualsTable[Month 8],ActualsTable[Expense Item2],$B79),SUMIFS(Expenses!BI$8:BI$69,Expenses!$O$8:$O$69,$B79)+SUMIFS(Headcount!S$395:S$1442,Headcount!$J$395:$J$1442,$B79))</f>
        <v>0</v>
      </c>
      <c r="K79" s="137">
        <f>IF(K$12="Actual",SUMIFS(ActualsTable[Month 9],ActualsTable[Expense Item2],$B79),SUMIFS(Expenses!BJ$8:BJ$69,Expenses!$O$8:$O$69,$B79)+SUMIFS(Headcount!T$395:T$1442,Headcount!$J$395:$J$1442,$B79))</f>
        <v>0</v>
      </c>
      <c r="L79" s="137">
        <f>IF(L$12="Actual",SUMIFS(ActualsTable[Month 10],ActualsTable[Expense Item2],$B79),SUMIFS(Expenses!BK$8:BK$69,Expenses!$O$8:$O$69,$B79)+SUMIFS(Headcount!U$395:U$1442,Headcount!$J$395:$J$1442,$B79))</f>
        <v>0</v>
      </c>
      <c r="M79" s="137">
        <f>IF(M$12="Actual",SUMIFS(ActualsTable[Month 11],ActualsTable[Expense Item2],$B79),SUMIFS(Expenses!BL$8:BL$69,Expenses!$O$8:$O$69,$B79)+SUMIFS(Headcount!V$395:V$1442,Headcount!$J$395:$J$1442,$B79))</f>
        <v>0</v>
      </c>
      <c r="N79" s="137">
        <f>IF(N$12="Actual",SUMIFS(ActualsTable[Month 12],ActualsTable[Expense Item2],$B79),SUMIFS(Expenses!BM$8:BM$69,Expenses!$O$8:$O$69,$B79)+SUMIFS(Headcount!W$395:W$1442,Headcount!$J$395:$J$1442,$B79))</f>
        <v>0</v>
      </c>
      <c r="O79" s="137">
        <f>IF(O$12="Actual",SUMIFS(ActualsTable[Month 13],ActualsTable[Expense Item2],$B79),SUMIFS(Expenses!BN$8:BN$69,Expenses!$O$8:$O$69,$B79)+SUMIFS(Headcount!X$395:X$1442,Headcount!$J$395:$J$1442,$B79))</f>
        <v>0</v>
      </c>
      <c r="P79" s="137">
        <f>IF(P$12="Actual",SUMIFS(ActualsTable[Month 14],ActualsTable[Expense Item2],$B79),SUMIFS(Expenses!BO$8:BO$69,Expenses!$O$8:$O$69,$B79)+SUMIFS(Headcount!Y$395:Y$1442,Headcount!$J$395:$J$1442,$B79))</f>
        <v>0</v>
      </c>
      <c r="Q79" s="137">
        <f>IF(Q$12="Actual",SUMIFS(ActualsTable[Month 15],ActualsTable[Expense Item2],$B79),SUMIFS(Expenses!BP$8:BP$69,Expenses!$O$8:$O$69,$B79)+SUMIFS(Headcount!Z$395:Z$1442,Headcount!$J$395:$J$1442,$B79))</f>
        <v>0</v>
      </c>
      <c r="R79" s="137">
        <f>IF(R$12="Actual",SUMIFS(ActualsTable[Month 16],ActualsTable[Expense Item2],$B79),SUMIFS(Expenses!BQ$8:BQ$69,Expenses!$O$8:$O$69,$B79)+SUMIFS(Headcount!AA$395:AA$1442,Headcount!$J$395:$J$1442,$B79))</f>
        <v>0</v>
      </c>
      <c r="S79" s="137">
        <f>IF(S$12="Actual",SUMIFS(ActualsTable[Month 17],ActualsTable[Expense Item2],$B79),SUMIFS(Expenses!BR$8:BR$69,Expenses!$O$8:$O$69,$B79)+SUMIFS(Headcount!AB$395:AB$1442,Headcount!$J$395:$J$1442,$B79))</f>
        <v>0</v>
      </c>
      <c r="T79" s="137">
        <f>IF(T$12="Actual",SUMIFS(ActualsTable[Month 18],ActualsTable[Expense Item2],$B79),SUMIFS(Expenses!BS$8:BS$69,Expenses!$O$8:$O$69,$B79)+SUMIFS(Headcount!AC$395:AC$1442,Headcount!$J$395:$J$1442,$B79))</f>
        <v>0</v>
      </c>
      <c r="U79" s="137">
        <f>IF(U$12="Actual",SUMIFS(ActualsTable[Month 19],ActualsTable[Expense Item2],$B79),SUMIFS(Expenses!BT$8:BT$69,Expenses!$O$8:$O$69,$B79)+SUMIFS(Headcount!AD$395:AD$1442,Headcount!$J$395:$J$1442,$B79))</f>
        <v>0</v>
      </c>
      <c r="V79" s="137">
        <f>IF(V$12="Actual",SUMIFS(ActualsTable[Month 20],ActualsTable[Expense Item2],$B79),SUMIFS(Expenses!BU$8:BU$69,Expenses!$O$8:$O$69,$B79)+SUMIFS(Headcount!AE$395:AE$1442,Headcount!$J$395:$J$1442,$B79))</f>
        <v>0</v>
      </c>
      <c r="W79" s="137">
        <f>IF(W$12="Actual",SUMIFS(ActualsTable[Month 21],ActualsTable[Expense Item2],$B79),SUMIFS(Expenses!BV$8:BV$69,Expenses!$O$8:$O$69,$B79)+SUMIFS(Headcount!AF$395:AF$1442,Headcount!$J$395:$J$1442,$B79))</f>
        <v>0</v>
      </c>
      <c r="X79" s="137">
        <f>IF(X$12="Actual",SUMIFS(ActualsTable[Month 22],ActualsTable[Expense Item2],$B79),SUMIFS(Expenses!BW$8:BW$69,Expenses!$O$8:$O$69,$B79)+SUMIFS(Headcount!AG$395:AG$1442,Headcount!$J$395:$J$1442,$B79))</f>
        <v>0</v>
      </c>
      <c r="Y79" s="137">
        <f>IF(Y$12="Actual",SUMIFS(ActualsTable[Month 23],ActualsTable[Expense Item2],$B79),SUMIFS(Expenses!BX$8:BX$69,Expenses!$O$8:$O$69,$B79)+SUMIFS(Headcount!AH$395:AH$1442,Headcount!$J$395:$J$1442,$B79))</f>
        <v>0</v>
      </c>
      <c r="Z79" s="137">
        <f>IF(Z$12="Actual",SUMIFS(ActualsTable[Month 24],ActualsTable[Expense Item2],$B79),SUMIFS(Expenses!BY$8:BY$69,Expenses!$O$8:$O$69,$B79)+SUMIFS(Headcount!AI$395:AI$1442,Headcount!$J$395:$J$1442,$B79))</f>
        <v>0</v>
      </c>
      <c r="AA79" s="137">
        <f>IF(AA$12="Actual",SUMIFS(ActualsTable[Month 25],ActualsTable[Expense Item2],$B79),SUMIFS(Expenses!BZ$8:BZ$69,Expenses!$O$8:$O$69,$B79)+SUMIFS(Headcount!AJ$395:AJ$1442,Headcount!$J$395:$J$1442,$B79))</f>
        <v>0</v>
      </c>
      <c r="AB79" s="137">
        <f>IF(AB$12="Actual",SUMIFS(ActualsTable[Month 26],ActualsTable[Expense Item2],$B79),SUMIFS(Expenses!CA$8:CA$69,Expenses!$O$8:$O$69,$B79)+SUMIFS(Headcount!AK$395:AK$1442,Headcount!$J$395:$J$1442,$B79))</f>
        <v>0</v>
      </c>
      <c r="AC79" s="137">
        <f>IF(AC$12="Actual",SUMIFS(ActualsTable[Month 27],ActualsTable[Expense Item2],$B79),SUMIFS(Expenses!CB$8:CB$69,Expenses!$O$8:$O$69,$B79)+SUMIFS(Headcount!AL$395:AL$1442,Headcount!$J$395:$J$1442,$B79))</f>
        <v>0</v>
      </c>
      <c r="AD79" s="137">
        <f>IF(AD$12="Actual",SUMIFS(ActualsTable[Month 28],ActualsTable[Expense Item2],$B79),SUMIFS(Expenses!CC$8:CC$69,Expenses!$O$8:$O$69,$B79)+SUMIFS(Headcount!AM$395:AM$1442,Headcount!$J$395:$J$1442,$B79))</f>
        <v>0</v>
      </c>
      <c r="AE79" s="137">
        <f>IF(AE$12="Actual",SUMIFS(ActualsTable[Month 29],ActualsTable[Expense Item2],$B79),SUMIFS(Expenses!CD$8:CD$69,Expenses!$O$8:$O$69,$B79)+SUMIFS(Headcount!AN$395:AN$1442,Headcount!$J$395:$J$1442,$B79))</f>
        <v>0</v>
      </c>
      <c r="AF79" s="137">
        <f>IF(AF$12="Actual",SUMIFS(ActualsTable[Month 30],ActualsTable[Expense Item2],$B79),SUMIFS(Expenses!CE$8:CE$69,Expenses!$O$8:$O$69,$B79)+SUMIFS(Headcount!AO$395:AO$1442,Headcount!$J$395:$J$1442,$B79))</f>
        <v>0</v>
      </c>
      <c r="AG79" s="137">
        <f>IF(AG$12="Actual",SUMIFS(ActualsTable[Month 31],ActualsTable[Expense Item2],$B79),SUMIFS(Expenses!CF$8:CF$69,Expenses!$O$8:$O$69,$B79)+SUMIFS(Headcount!AP$395:AP$1442,Headcount!$J$395:$J$1442,$B79))</f>
        <v>0</v>
      </c>
      <c r="AH79" s="137">
        <f>IF(AH$12="Actual",SUMIFS(ActualsTable[Month 32],ActualsTable[Expense Item2],$B79),SUMIFS(Expenses!CG$8:CG$69,Expenses!$O$8:$O$69,$B79)+SUMIFS(Headcount!AQ$395:AQ$1442,Headcount!$J$395:$J$1442,$B79))</f>
        <v>0</v>
      </c>
      <c r="AI79" s="137">
        <f>IF(AI$12="Actual",SUMIFS(ActualsTable[Month 33],ActualsTable[Expense Item2],$B79),SUMIFS(Expenses!CH$8:CH$69,Expenses!$O$8:$O$69,$B79)+SUMIFS(Headcount!AR$395:AR$1442,Headcount!$J$395:$J$1442,$B79))</f>
        <v>0</v>
      </c>
      <c r="AJ79" s="137">
        <f>IF(AJ$12="Actual",SUMIFS(ActualsTable[Month 34],ActualsTable[Expense Item2],$B79),SUMIFS(Expenses!CI$8:CI$69,Expenses!$O$8:$O$69,$B79)+SUMIFS(Headcount!AS$395:AS$1442,Headcount!$J$395:$J$1442,$B79))</f>
        <v>0</v>
      </c>
      <c r="AK79" s="137">
        <f>IF(AK$12="Actual",SUMIFS(ActualsTable[Month 35],ActualsTable[Expense Item2],$B79),SUMIFS(Expenses!CJ$8:CJ$69,Expenses!$O$8:$O$69,$B79)+SUMIFS(Headcount!AT$395:AT$1442,Headcount!$J$395:$J$1442,$B79))</f>
        <v>0</v>
      </c>
      <c r="AL79" s="293">
        <f>IF(AL$12="Actual",SUMIFS(ActualsTable[Month 36],ActualsTable[Expense Item2],$B79),SUMIFS(Expenses!CK$8:CK$69,Expenses!$O$8:$O$69,$B79)+SUMIFS(Headcount!AU$395:AU$1442,Headcount!$J$395:$J$1442,$B79))</f>
        <v>0</v>
      </c>
      <c r="AN79" s="319">
        <f t="shared" ca="1" si="156"/>
        <v>0</v>
      </c>
      <c r="AO79" s="137">
        <f t="shared" ca="1" si="156"/>
        <v>0</v>
      </c>
      <c r="AP79" s="137">
        <f t="shared" ca="1" si="156"/>
        <v>0</v>
      </c>
      <c r="AQ79" s="137">
        <f t="shared" ca="1" si="156"/>
        <v>0</v>
      </c>
      <c r="AR79" s="137">
        <f t="shared" ca="1" si="156"/>
        <v>0</v>
      </c>
      <c r="AS79" s="137">
        <f t="shared" ca="1" si="156"/>
        <v>0</v>
      </c>
      <c r="AT79" s="137">
        <f t="shared" ca="1" si="156"/>
        <v>0</v>
      </c>
      <c r="AU79" s="137">
        <f t="shared" ca="1" si="156"/>
        <v>0</v>
      </c>
      <c r="AV79" s="137">
        <f t="shared" ca="1" si="156"/>
        <v>0</v>
      </c>
      <c r="AW79" s="137">
        <f t="shared" ca="1" si="156"/>
        <v>0</v>
      </c>
      <c r="AX79" s="137">
        <f t="shared" ca="1" si="156"/>
        <v>0</v>
      </c>
      <c r="AY79" s="293">
        <f t="shared" ca="1" si="156"/>
        <v>0</v>
      </c>
      <c r="BA79" s="319">
        <f t="shared" ca="1" si="157"/>
        <v>0</v>
      </c>
      <c r="BB79" s="137">
        <f t="shared" ca="1" si="157"/>
        <v>0</v>
      </c>
      <c r="BC79" s="293">
        <f t="shared" ca="1" si="157"/>
        <v>0</v>
      </c>
    </row>
    <row r="80" spans="2:55" x14ac:dyDescent="0.35">
      <c r="B80" s="76" t="s">
        <v>113</v>
      </c>
      <c r="C80" s="137">
        <f>IF(C$12="Actual",SUMIFS(ActualsTable[Month 1],ActualsTable[Expense Item2],$B80),SUMIFS(Expenses!BB$8:BB$69,Expenses!$O$8:$O$69,$B80)+SUMIFS(Headcount!L$395:L$1442,Headcount!$J$395:$J$1442,$B80))</f>
        <v>0</v>
      </c>
      <c r="D80" s="137">
        <f>IF(D$12="Actual",SUMIFS(ActualsTable[Month 2],ActualsTable[Expense Item2],$B80),SUMIFS(Expenses!BC$8:BC$69,Expenses!$O$8:$O$69,$B80)+SUMIFS(Headcount!M$395:M$1442,Headcount!$J$395:$J$1442,$B80))</f>
        <v>0</v>
      </c>
      <c r="E80" s="137">
        <f>IF(E$12="Actual",SUMIFS(ActualsTable[Month 3],ActualsTable[Expense Item2],$B80),SUMIFS(Expenses!BD$8:BD$69,Expenses!$O$8:$O$69,$B80)+SUMIFS(Headcount!N$395:N$1442,Headcount!$J$395:$J$1442,$B80))</f>
        <v>0</v>
      </c>
      <c r="F80" s="137">
        <f>IF(F$12="Actual",SUMIFS(ActualsTable[Month 4],ActualsTable[Expense Item2],$B80),SUMIFS(Expenses!BE$8:BE$69,Expenses!$O$8:$O$69,$B80)+SUMIFS(Headcount!O$395:O$1442,Headcount!$J$395:$J$1442,$B80))</f>
        <v>0</v>
      </c>
      <c r="G80" s="137">
        <f>IF(G$12="Actual",SUMIFS(ActualsTable[Month 5],ActualsTable[Expense Item2],$B80),SUMIFS(Expenses!BF$8:BF$69,Expenses!$O$8:$O$69,$B80)+SUMIFS(Headcount!P$395:P$1442,Headcount!$J$395:$J$1442,$B80))</f>
        <v>0</v>
      </c>
      <c r="H80" s="137">
        <f>IF(H$12="Actual",SUMIFS(ActualsTable[Month 6],ActualsTable[Expense Item2],$B80),SUMIFS(Expenses!BG$8:BG$69,Expenses!$O$8:$O$69,$B80)+SUMIFS(Headcount!Q$395:Q$1442,Headcount!$J$395:$J$1442,$B80))</f>
        <v>0</v>
      </c>
      <c r="I80" s="137">
        <f>IF(I$12="Actual",SUMIFS(ActualsTable[Month 7],ActualsTable[Expense Item2],$B80),SUMIFS(Expenses!BH$8:BH$69,Expenses!$O$8:$O$69,$B80)+SUMIFS(Headcount!R$395:R$1442,Headcount!$J$395:$J$1442,$B80))</f>
        <v>0</v>
      </c>
      <c r="J80" s="137">
        <f>IF(J$12="Actual",SUMIFS(ActualsTable[Month 8],ActualsTable[Expense Item2],$B80),SUMIFS(Expenses!BI$8:BI$69,Expenses!$O$8:$O$69,$B80)+SUMIFS(Headcount!S$395:S$1442,Headcount!$J$395:$J$1442,$B80))</f>
        <v>0</v>
      </c>
      <c r="K80" s="137">
        <f>IF(K$12="Actual",SUMIFS(ActualsTable[Month 9],ActualsTable[Expense Item2],$B80),SUMIFS(Expenses!BJ$8:BJ$69,Expenses!$O$8:$O$69,$B80)+SUMIFS(Headcount!T$395:T$1442,Headcount!$J$395:$J$1442,$B80))</f>
        <v>0</v>
      </c>
      <c r="L80" s="137">
        <f>IF(L$12="Actual",SUMIFS(ActualsTable[Month 10],ActualsTable[Expense Item2],$B80),SUMIFS(Expenses!BK$8:BK$69,Expenses!$O$8:$O$69,$B80)+SUMIFS(Headcount!U$395:U$1442,Headcount!$J$395:$J$1442,$B80))</f>
        <v>0</v>
      </c>
      <c r="M80" s="137">
        <f>IF(M$12="Actual",SUMIFS(ActualsTable[Month 11],ActualsTable[Expense Item2],$B80),SUMIFS(Expenses!BL$8:BL$69,Expenses!$O$8:$O$69,$B80)+SUMIFS(Headcount!V$395:V$1442,Headcount!$J$395:$J$1442,$B80))</f>
        <v>0</v>
      </c>
      <c r="N80" s="137">
        <f>IF(N$12="Actual",SUMIFS(ActualsTable[Month 12],ActualsTable[Expense Item2],$B80),SUMIFS(Expenses!BM$8:BM$69,Expenses!$O$8:$O$69,$B80)+SUMIFS(Headcount!W$395:W$1442,Headcount!$J$395:$J$1442,$B80))</f>
        <v>0</v>
      </c>
      <c r="O80" s="137">
        <f>IF(O$12="Actual",SUMIFS(ActualsTable[Month 13],ActualsTable[Expense Item2],$B80),SUMIFS(Expenses!BN$8:BN$69,Expenses!$O$8:$O$69,$B80)+SUMIFS(Headcount!X$395:X$1442,Headcount!$J$395:$J$1442,$B80))</f>
        <v>0</v>
      </c>
      <c r="P80" s="137">
        <f>IF(P$12="Actual",SUMIFS(ActualsTable[Month 14],ActualsTable[Expense Item2],$B80),SUMIFS(Expenses!BO$8:BO$69,Expenses!$O$8:$O$69,$B80)+SUMIFS(Headcount!Y$395:Y$1442,Headcount!$J$395:$J$1442,$B80))</f>
        <v>0</v>
      </c>
      <c r="Q80" s="137">
        <f>IF(Q$12="Actual",SUMIFS(ActualsTable[Month 15],ActualsTable[Expense Item2],$B80),SUMIFS(Expenses!BP$8:BP$69,Expenses!$O$8:$O$69,$B80)+SUMIFS(Headcount!Z$395:Z$1442,Headcount!$J$395:$J$1442,$B80))</f>
        <v>0</v>
      </c>
      <c r="R80" s="137">
        <f>IF(R$12="Actual",SUMIFS(ActualsTable[Month 16],ActualsTable[Expense Item2],$B80),SUMIFS(Expenses!BQ$8:BQ$69,Expenses!$O$8:$O$69,$B80)+SUMIFS(Headcount!AA$395:AA$1442,Headcount!$J$395:$J$1442,$B80))</f>
        <v>0</v>
      </c>
      <c r="S80" s="137">
        <f>IF(S$12="Actual",SUMIFS(ActualsTable[Month 17],ActualsTable[Expense Item2],$B80),SUMIFS(Expenses!BR$8:BR$69,Expenses!$O$8:$O$69,$B80)+SUMIFS(Headcount!AB$395:AB$1442,Headcount!$J$395:$J$1442,$B80))</f>
        <v>0</v>
      </c>
      <c r="T80" s="137">
        <f>IF(T$12="Actual",SUMIFS(ActualsTable[Month 18],ActualsTable[Expense Item2],$B80),SUMIFS(Expenses!BS$8:BS$69,Expenses!$O$8:$O$69,$B80)+SUMIFS(Headcount!AC$395:AC$1442,Headcount!$J$395:$J$1442,$B80))</f>
        <v>0</v>
      </c>
      <c r="U80" s="137">
        <f>IF(U$12="Actual",SUMIFS(ActualsTable[Month 19],ActualsTable[Expense Item2],$B80),SUMIFS(Expenses!BT$8:BT$69,Expenses!$O$8:$O$69,$B80)+SUMIFS(Headcount!AD$395:AD$1442,Headcount!$J$395:$J$1442,$B80))</f>
        <v>0</v>
      </c>
      <c r="V80" s="137">
        <f>IF(V$12="Actual",SUMIFS(ActualsTable[Month 20],ActualsTable[Expense Item2],$B80),SUMIFS(Expenses!BU$8:BU$69,Expenses!$O$8:$O$69,$B80)+SUMIFS(Headcount!AE$395:AE$1442,Headcount!$J$395:$J$1442,$B80))</f>
        <v>0</v>
      </c>
      <c r="W80" s="137">
        <f>IF(W$12="Actual",SUMIFS(ActualsTable[Month 21],ActualsTable[Expense Item2],$B80),SUMIFS(Expenses!BV$8:BV$69,Expenses!$O$8:$O$69,$B80)+SUMIFS(Headcount!AF$395:AF$1442,Headcount!$J$395:$J$1442,$B80))</f>
        <v>0</v>
      </c>
      <c r="X80" s="137">
        <f>IF(X$12="Actual",SUMIFS(ActualsTable[Month 22],ActualsTable[Expense Item2],$B80),SUMIFS(Expenses!BW$8:BW$69,Expenses!$O$8:$O$69,$B80)+SUMIFS(Headcount!AG$395:AG$1442,Headcount!$J$395:$J$1442,$B80))</f>
        <v>0</v>
      </c>
      <c r="Y80" s="137">
        <f>IF(Y$12="Actual",SUMIFS(ActualsTable[Month 23],ActualsTable[Expense Item2],$B80),SUMIFS(Expenses!BX$8:BX$69,Expenses!$O$8:$O$69,$B80)+SUMIFS(Headcount!AH$395:AH$1442,Headcount!$J$395:$J$1442,$B80))</f>
        <v>0</v>
      </c>
      <c r="Z80" s="137">
        <f>IF(Z$12="Actual",SUMIFS(ActualsTable[Month 24],ActualsTable[Expense Item2],$B80),SUMIFS(Expenses!BY$8:BY$69,Expenses!$O$8:$O$69,$B80)+SUMIFS(Headcount!AI$395:AI$1442,Headcount!$J$395:$J$1442,$B80))</f>
        <v>0</v>
      </c>
      <c r="AA80" s="137">
        <f>IF(AA$12="Actual",SUMIFS(ActualsTable[Month 25],ActualsTable[Expense Item2],$B80),SUMIFS(Expenses!BZ$8:BZ$69,Expenses!$O$8:$O$69,$B80)+SUMIFS(Headcount!AJ$395:AJ$1442,Headcount!$J$395:$J$1442,$B80))</f>
        <v>0</v>
      </c>
      <c r="AB80" s="137">
        <f>IF(AB$12="Actual",SUMIFS(ActualsTable[Month 26],ActualsTable[Expense Item2],$B80),SUMIFS(Expenses!CA$8:CA$69,Expenses!$O$8:$O$69,$B80)+SUMIFS(Headcount!AK$395:AK$1442,Headcount!$J$395:$J$1442,$B80))</f>
        <v>0</v>
      </c>
      <c r="AC80" s="137">
        <f>IF(AC$12="Actual",SUMIFS(ActualsTable[Month 27],ActualsTable[Expense Item2],$B80),SUMIFS(Expenses!CB$8:CB$69,Expenses!$O$8:$O$69,$B80)+SUMIFS(Headcount!AL$395:AL$1442,Headcount!$J$395:$J$1442,$B80))</f>
        <v>0</v>
      </c>
      <c r="AD80" s="137">
        <f>IF(AD$12="Actual",SUMIFS(ActualsTable[Month 28],ActualsTable[Expense Item2],$B80),SUMIFS(Expenses!CC$8:CC$69,Expenses!$O$8:$O$69,$B80)+SUMIFS(Headcount!AM$395:AM$1442,Headcount!$J$395:$J$1442,$B80))</f>
        <v>0</v>
      </c>
      <c r="AE80" s="137">
        <f>IF(AE$12="Actual",SUMIFS(ActualsTable[Month 29],ActualsTable[Expense Item2],$B80),SUMIFS(Expenses!CD$8:CD$69,Expenses!$O$8:$O$69,$B80)+SUMIFS(Headcount!AN$395:AN$1442,Headcount!$J$395:$J$1442,$B80))</f>
        <v>0</v>
      </c>
      <c r="AF80" s="137">
        <f>IF(AF$12="Actual",SUMIFS(ActualsTable[Month 30],ActualsTable[Expense Item2],$B80),SUMIFS(Expenses!CE$8:CE$69,Expenses!$O$8:$O$69,$B80)+SUMIFS(Headcount!AO$395:AO$1442,Headcount!$J$395:$J$1442,$B80))</f>
        <v>0</v>
      </c>
      <c r="AG80" s="137">
        <f>IF(AG$12="Actual",SUMIFS(ActualsTable[Month 31],ActualsTable[Expense Item2],$B80),SUMIFS(Expenses!CF$8:CF$69,Expenses!$O$8:$O$69,$B80)+SUMIFS(Headcount!AP$395:AP$1442,Headcount!$J$395:$J$1442,$B80))</f>
        <v>0</v>
      </c>
      <c r="AH80" s="137">
        <f>IF(AH$12="Actual",SUMIFS(ActualsTable[Month 32],ActualsTable[Expense Item2],$B80),SUMIFS(Expenses!CG$8:CG$69,Expenses!$O$8:$O$69,$B80)+SUMIFS(Headcount!AQ$395:AQ$1442,Headcount!$J$395:$J$1442,$B80))</f>
        <v>0</v>
      </c>
      <c r="AI80" s="137">
        <f>IF(AI$12="Actual",SUMIFS(ActualsTable[Month 33],ActualsTable[Expense Item2],$B80),SUMIFS(Expenses!CH$8:CH$69,Expenses!$O$8:$O$69,$B80)+SUMIFS(Headcount!AR$395:AR$1442,Headcount!$J$395:$J$1442,$B80))</f>
        <v>0</v>
      </c>
      <c r="AJ80" s="137">
        <f>IF(AJ$12="Actual",SUMIFS(ActualsTable[Month 34],ActualsTable[Expense Item2],$B80),SUMIFS(Expenses!CI$8:CI$69,Expenses!$O$8:$O$69,$B80)+SUMIFS(Headcount!AS$395:AS$1442,Headcount!$J$395:$J$1442,$B80))</f>
        <v>0</v>
      </c>
      <c r="AK80" s="137">
        <f>IF(AK$12="Actual",SUMIFS(ActualsTable[Month 35],ActualsTable[Expense Item2],$B80),SUMIFS(Expenses!CJ$8:CJ$69,Expenses!$O$8:$O$69,$B80)+SUMIFS(Headcount!AT$395:AT$1442,Headcount!$J$395:$J$1442,$B80))</f>
        <v>0</v>
      </c>
      <c r="AL80" s="293">
        <f>IF(AL$12="Actual",SUMIFS(ActualsTable[Month 36],ActualsTable[Expense Item2],$B80),SUMIFS(Expenses!CK$8:CK$69,Expenses!$O$8:$O$69,$B80)+SUMIFS(Headcount!AU$395:AU$1442,Headcount!$J$395:$J$1442,$B80))</f>
        <v>0</v>
      </c>
      <c r="AN80" s="319">
        <f t="shared" ca="1" si="156"/>
        <v>0</v>
      </c>
      <c r="AO80" s="137">
        <f t="shared" ca="1" si="156"/>
        <v>0</v>
      </c>
      <c r="AP80" s="137">
        <f t="shared" ca="1" si="156"/>
        <v>0</v>
      </c>
      <c r="AQ80" s="137">
        <f t="shared" ca="1" si="156"/>
        <v>0</v>
      </c>
      <c r="AR80" s="137">
        <f t="shared" ca="1" si="156"/>
        <v>0</v>
      </c>
      <c r="AS80" s="137">
        <f t="shared" ca="1" si="156"/>
        <v>0</v>
      </c>
      <c r="AT80" s="137">
        <f t="shared" ca="1" si="156"/>
        <v>0</v>
      </c>
      <c r="AU80" s="137">
        <f t="shared" ca="1" si="156"/>
        <v>0</v>
      </c>
      <c r="AV80" s="137">
        <f t="shared" ca="1" si="156"/>
        <v>0</v>
      </c>
      <c r="AW80" s="137">
        <f t="shared" ca="1" si="156"/>
        <v>0</v>
      </c>
      <c r="AX80" s="137">
        <f t="shared" ca="1" si="156"/>
        <v>0</v>
      </c>
      <c r="AY80" s="293">
        <f t="shared" ca="1" si="156"/>
        <v>0</v>
      </c>
      <c r="BA80" s="319">
        <f t="shared" ca="1" si="157"/>
        <v>0</v>
      </c>
      <c r="BB80" s="137">
        <f t="shared" ca="1" si="157"/>
        <v>0</v>
      </c>
      <c r="BC80" s="293">
        <f t="shared" ca="1" si="157"/>
        <v>0</v>
      </c>
    </row>
    <row r="81" spans="2:55" x14ac:dyDescent="0.35">
      <c r="B81" s="76" t="s">
        <v>114</v>
      </c>
      <c r="C81" s="137">
        <f>IF(C$12="Actual",SUMIFS(ActualsTable[Month 1],ActualsTable[Expense Item2],$B81),SUMIFS(Expenses!BB$8:BB$69,Expenses!$O$8:$O$69,$B81)+SUMIFS(Headcount!L$395:L$1442,Headcount!$J$395:$J$1442,$B81))</f>
        <v>0</v>
      </c>
      <c r="D81" s="137">
        <f>IF(D$12="Actual",SUMIFS(ActualsTable[Month 2],ActualsTable[Expense Item2],$B81),SUMIFS(Expenses!BC$8:BC$69,Expenses!$O$8:$O$69,$B81)+SUMIFS(Headcount!M$395:M$1442,Headcount!$J$395:$J$1442,$B81))</f>
        <v>0</v>
      </c>
      <c r="E81" s="137">
        <f>IF(E$12="Actual",SUMIFS(ActualsTable[Month 3],ActualsTable[Expense Item2],$B81),SUMIFS(Expenses!BD$8:BD$69,Expenses!$O$8:$O$69,$B81)+SUMIFS(Headcount!N$395:N$1442,Headcount!$J$395:$J$1442,$B81))</f>
        <v>0</v>
      </c>
      <c r="F81" s="137">
        <f>IF(F$12="Actual",SUMIFS(ActualsTable[Month 4],ActualsTable[Expense Item2],$B81),SUMIFS(Expenses!BE$8:BE$69,Expenses!$O$8:$O$69,$B81)+SUMIFS(Headcount!O$395:O$1442,Headcount!$J$395:$J$1442,$B81))</f>
        <v>0</v>
      </c>
      <c r="G81" s="137">
        <f>IF(G$12="Actual",SUMIFS(ActualsTable[Month 5],ActualsTable[Expense Item2],$B81),SUMIFS(Expenses!BF$8:BF$69,Expenses!$O$8:$O$69,$B81)+SUMIFS(Headcount!P$395:P$1442,Headcount!$J$395:$J$1442,$B81))</f>
        <v>0</v>
      </c>
      <c r="H81" s="137">
        <f>IF(H$12="Actual",SUMIFS(ActualsTable[Month 6],ActualsTable[Expense Item2],$B81),SUMIFS(Expenses!BG$8:BG$69,Expenses!$O$8:$O$69,$B81)+SUMIFS(Headcount!Q$395:Q$1442,Headcount!$J$395:$J$1442,$B81))</f>
        <v>0</v>
      </c>
      <c r="I81" s="137">
        <f>IF(I$12="Actual",SUMIFS(ActualsTable[Month 7],ActualsTable[Expense Item2],$B81),SUMIFS(Expenses!BH$8:BH$69,Expenses!$O$8:$O$69,$B81)+SUMIFS(Headcount!R$395:R$1442,Headcount!$J$395:$J$1442,$B81))</f>
        <v>0</v>
      </c>
      <c r="J81" s="137">
        <f>IF(J$12="Actual",SUMIFS(ActualsTable[Month 8],ActualsTable[Expense Item2],$B81),SUMIFS(Expenses!BI$8:BI$69,Expenses!$O$8:$O$69,$B81)+SUMIFS(Headcount!S$395:S$1442,Headcount!$J$395:$J$1442,$B81))</f>
        <v>0</v>
      </c>
      <c r="K81" s="137">
        <f>IF(K$12="Actual",SUMIFS(ActualsTable[Month 9],ActualsTable[Expense Item2],$B81),SUMIFS(Expenses!BJ$8:BJ$69,Expenses!$O$8:$O$69,$B81)+SUMIFS(Headcount!T$395:T$1442,Headcount!$J$395:$J$1442,$B81))</f>
        <v>0</v>
      </c>
      <c r="L81" s="137">
        <f>IF(L$12="Actual",SUMIFS(ActualsTable[Month 10],ActualsTable[Expense Item2],$B81),SUMIFS(Expenses!BK$8:BK$69,Expenses!$O$8:$O$69,$B81)+SUMIFS(Headcount!U$395:U$1442,Headcount!$J$395:$J$1442,$B81))</f>
        <v>0</v>
      </c>
      <c r="M81" s="137">
        <f>IF(M$12="Actual",SUMIFS(ActualsTable[Month 11],ActualsTable[Expense Item2],$B81),SUMIFS(Expenses!BL$8:BL$69,Expenses!$O$8:$O$69,$B81)+SUMIFS(Headcount!V$395:V$1442,Headcount!$J$395:$J$1442,$B81))</f>
        <v>0</v>
      </c>
      <c r="N81" s="137">
        <f>IF(N$12="Actual",SUMIFS(ActualsTable[Month 12],ActualsTable[Expense Item2],$B81),SUMIFS(Expenses!BM$8:BM$69,Expenses!$O$8:$O$69,$B81)+SUMIFS(Headcount!W$395:W$1442,Headcount!$J$395:$J$1442,$B81))</f>
        <v>0</v>
      </c>
      <c r="O81" s="137">
        <f>IF(O$12="Actual",SUMIFS(ActualsTable[Month 13],ActualsTable[Expense Item2],$B81),SUMIFS(Expenses!BN$8:BN$69,Expenses!$O$8:$O$69,$B81)+SUMIFS(Headcount!X$395:X$1442,Headcount!$J$395:$J$1442,$B81))</f>
        <v>0</v>
      </c>
      <c r="P81" s="137">
        <f>IF(P$12="Actual",SUMIFS(ActualsTable[Month 14],ActualsTable[Expense Item2],$B81),SUMIFS(Expenses!BO$8:BO$69,Expenses!$O$8:$O$69,$B81)+SUMIFS(Headcount!Y$395:Y$1442,Headcount!$J$395:$J$1442,$B81))</f>
        <v>0</v>
      </c>
      <c r="Q81" s="137">
        <f>IF(Q$12="Actual",SUMIFS(ActualsTable[Month 15],ActualsTable[Expense Item2],$B81),SUMIFS(Expenses!BP$8:BP$69,Expenses!$O$8:$O$69,$B81)+SUMIFS(Headcount!Z$395:Z$1442,Headcount!$J$395:$J$1442,$B81))</f>
        <v>0</v>
      </c>
      <c r="R81" s="137">
        <f>IF(R$12="Actual",SUMIFS(ActualsTable[Month 16],ActualsTable[Expense Item2],$B81),SUMIFS(Expenses!BQ$8:BQ$69,Expenses!$O$8:$O$69,$B81)+SUMIFS(Headcount!AA$395:AA$1442,Headcount!$J$395:$J$1442,$B81))</f>
        <v>0</v>
      </c>
      <c r="S81" s="137">
        <f>IF(S$12="Actual",SUMIFS(ActualsTable[Month 17],ActualsTable[Expense Item2],$B81),SUMIFS(Expenses!BR$8:BR$69,Expenses!$O$8:$O$69,$B81)+SUMIFS(Headcount!AB$395:AB$1442,Headcount!$J$395:$J$1442,$B81))</f>
        <v>0</v>
      </c>
      <c r="T81" s="137">
        <f>IF(T$12="Actual",SUMIFS(ActualsTable[Month 18],ActualsTable[Expense Item2],$B81),SUMIFS(Expenses!BS$8:BS$69,Expenses!$O$8:$O$69,$B81)+SUMIFS(Headcount!AC$395:AC$1442,Headcount!$J$395:$J$1442,$B81))</f>
        <v>0</v>
      </c>
      <c r="U81" s="137">
        <f>IF(U$12="Actual",SUMIFS(ActualsTable[Month 19],ActualsTable[Expense Item2],$B81),SUMIFS(Expenses!BT$8:BT$69,Expenses!$O$8:$O$69,$B81)+SUMIFS(Headcount!AD$395:AD$1442,Headcount!$J$395:$J$1442,$B81))</f>
        <v>0</v>
      </c>
      <c r="V81" s="137">
        <f>IF(V$12="Actual",SUMIFS(ActualsTable[Month 20],ActualsTable[Expense Item2],$B81),SUMIFS(Expenses!BU$8:BU$69,Expenses!$O$8:$O$69,$B81)+SUMIFS(Headcount!AE$395:AE$1442,Headcount!$J$395:$J$1442,$B81))</f>
        <v>0</v>
      </c>
      <c r="W81" s="137">
        <f>IF(W$12="Actual",SUMIFS(ActualsTable[Month 21],ActualsTable[Expense Item2],$B81),SUMIFS(Expenses!BV$8:BV$69,Expenses!$O$8:$O$69,$B81)+SUMIFS(Headcount!AF$395:AF$1442,Headcount!$J$395:$J$1442,$B81))</f>
        <v>0</v>
      </c>
      <c r="X81" s="137">
        <f>IF(X$12="Actual",SUMIFS(ActualsTable[Month 22],ActualsTable[Expense Item2],$B81),SUMIFS(Expenses!BW$8:BW$69,Expenses!$O$8:$O$69,$B81)+SUMIFS(Headcount!AG$395:AG$1442,Headcount!$J$395:$J$1442,$B81))</f>
        <v>0</v>
      </c>
      <c r="Y81" s="137">
        <f>IF(Y$12="Actual",SUMIFS(ActualsTable[Month 23],ActualsTable[Expense Item2],$B81),SUMIFS(Expenses!BX$8:BX$69,Expenses!$O$8:$O$69,$B81)+SUMIFS(Headcount!AH$395:AH$1442,Headcount!$J$395:$J$1442,$B81))</f>
        <v>0</v>
      </c>
      <c r="Z81" s="137">
        <f>IF(Z$12="Actual",SUMIFS(ActualsTable[Month 24],ActualsTable[Expense Item2],$B81),SUMIFS(Expenses!BY$8:BY$69,Expenses!$O$8:$O$69,$B81)+SUMIFS(Headcount!AI$395:AI$1442,Headcount!$J$395:$J$1442,$B81))</f>
        <v>0</v>
      </c>
      <c r="AA81" s="137">
        <f>IF(AA$12="Actual",SUMIFS(ActualsTable[Month 25],ActualsTable[Expense Item2],$B81),SUMIFS(Expenses!BZ$8:BZ$69,Expenses!$O$8:$O$69,$B81)+SUMIFS(Headcount!AJ$395:AJ$1442,Headcount!$J$395:$J$1442,$B81))</f>
        <v>0</v>
      </c>
      <c r="AB81" s="137">
        <f>IF(AB$12="Actual",SUMIFS(ActualsTable[Month 26],ActualsTable[Expense Item2],$B81),SUMIFS(Expenses!CA$8:CA$69,Expenses!$O$8:$O$69,$B81)+SUMIFS(Headcount!AK$395:AK$1442,Headcount!$J$395:$J$1442,$B81))</f>
        <v>0</v>
      </c>
      <c r="AC81" s="137">
        <f>IF(AC$12="Actual",SUMIFS(ActualsTable[Month 27],ActualsTable[Expense Item2],$B81),SUMIFS(Expenses!CB$8:CB$69,Expenses!$O$8:$O$69,$B81)+SUMIFS(Headcount!AL$395:AL$1442,Headcount!$J$395:$J$1442,$B81))</f>
        <v>0</v>
      </c>
      <c r="AD81" s="137">
        <f>IF(AD$12="Actual",SUMIFS(ActualsTable[Month 28],ActualsTable[Expense Item2],$B81),SUMIFS(Expenses!CC$8:CC$69,Expenses!$O$8:$O$69,$B81)+SUMIFS(Headcount!AM$395:AM$1442,Headcount!$J$395:$J$1442,$B81))</f>
        <v>0</v>
      </c>
      <c r="AE81" s="137">
        <f>IF(AE$12="Actual",SUMIFS(ActualsTable[Month 29],ActualsTable[Expense Item2],$B81),SUMIFS(Expenses!CD$8:CD$69,Expenses!$O$8:$O$69,$B81)+SUMIFS(Headcount!AN$395:AN$1442,Headcount!$J$395:$J$1442,$B81))</f>
        <v>0</v>
      </c>
      <c r="AF81" s="137">
        <f>IF(AF$12="Actual",SUMIFS(ActualsTable[Month 30],ActualsTable[Expense Item2],$B81),SUMIFS(Expenses!CE$8:CE$69,Expenses!$O$8:$O$69,$B81)+SUMIFS(Headcount!AO$395:AO$1442,Headcount!$J$395:$J$1442,$B81))</f>
        <v>0</v>
      </c>
      <c r="AG81" s="137">
        <f>IF(AG$12="Actual",SUMIFS(ActualsTable[Month 31],ActualsTable[Expense Item2],$B81),SUMIFS(Expenses!CF$8:CF$69,Expenses!$O$8:$O$69,$B81)+SUMIFS(Headcount!AP$395:AP$1442,Headcount!$J$395:$J$1442,$B81))</f>
        <v>0</v>
      </c>
      <c r="AH81" s="137">
        <f>IF(AH$12="Actual",SUMIFS(ActualsTable[Month 32],ActualsTable[Expense Item2],$B81),SUMIFS(Expenses!CG$8:CG$69,Expenses!$O$8:$O$69,$B81)+SUMIFS(Headcount!AQ$395:AQ$1442,Headcount!$J$395:$J$1442,$B81))</f>
        <v>0</v>
      </c>
      <c r="AI81" s="137">
        <f>IF(AI$12="Actual",SUMIFS(ActualsTable[Month 33],ActualsTable[Expense Item2],$B81),SUMIFS(Expenses!CH$8:CH$69,Expenses!$O$8:$O$69,$B81)+SUMIFS(Headcount!AR$395:AR$1442,Headcount!$J$395:$J$1442,$B81))</f>
        <v>0</v>
      </c>
      <c r="AJ81" s="137">
        <f>IF(AJ$12="Actual",SUMIFS(ActualsTable[Month 34],ActualsTable[Expense Item2],$B81),SUMIFS(Expenses!CI$8:CI$69,Expenses!$O$8:$O$69,$B81)+SUMIFS(Headcount!AS$395:AS$1442,Headcount!$J$395:$J$1442,$B81))</f>
        <v>0</v>
      </c>
      <c r="AK81" s="137">
        <f>IF(AK$12="Actual",SUMIFS(ActualsTable[Month 35],ActualsTable[Expense Item2],$B81),SUMIFS(Expenses!CJ$8:CJ$69,Expenses!$O$8:$O$69,$B81)+SUMIFS(Headcount!AT$395:AT$1442,Headcount!$J$395:$J$1442,$B81))</f>
        <v>0</v>
      </c>
      <c r="AL81" s="293">
        <f>IF(AL$12="Actual",SUMIFS(ActualsTable[Month 36],ActualsTable[Expense Item2],$B81),SUMIFS(Expenses!CK$8:CK$69,Expenses!$O$8:$O$69,$B81)+SUMIFS(Headcount!AU$395:AU$1442,Headcount!$J$395:$J$1442,$B81))</f>
        <v>0</v>
      </c>
      <c r="AN81" s="319">
        <f t="shared" ca="1" si="156"/>
        <v>0</v>
      </c>
      <c r="AO81" s="137">
        <f t="shared" ca="1" si="156"/>
        <v>0</v>
      </c>
      <c r="AP81" s="137">
        <f t="shared" ca="1" si="156"/>
        <v>0</v>
      </c>
      <c r="AQ81" s="137">
        <f t="shared" ca="1" si="156"/>
        <v>0</v>
      </c>
      <c r="AR81" s="137">
        <f t="shared" ca="1" si="156"/>
        <v>0</v>
      </c>
      <c r="AS81" s="137">
        <f t="shared" ca="1" si="156"/>
        <v>0</v>
      </c>
      <c r="AT81" s="137">
        <f t="shared" ca="1" si="156"/>
        <v>0</v>
      </c>
      <c r="AU81" s="137">
        <f t="shared" ca="1" si="156"/>
        <v>0</v>
      </c>
      <c r="AV81" s="137">
        <f t="shared" ca="1" si="156"/>
        <v>0</v>
      </c>
      <c r="AW81" s="137">
        <f t="shared" ca="1" si="156"/>
        <v>0</v>
      </c>
      <c r="AX81" s="137">
        <f t="shared" ca="1" si="156"/>
        <v>0</v>
      </c>
      <c r="AY81" s="293">
        <f t="shared" ca="1" si="156"/>
        <v>0</v>
      </c>
      <c r="BA81" s="319">
        <f t="shared" ca="1" si="157"/>
        <v>0</v>
      </c>
      <c r="BB81" s="137">
        <f t="shared" ca="1" si="157"/>
        <v>0</v>
      </c>
      <c r="BC81" s="293">
        <f t="shared" ca="1" si="157"/>
        <v>0</v>
      </c>
    </row>
    <row r="82" spans="2:55" x14ac:dyDescent="0.35">
      <c r="B82" s="76" t="s">
        <v>115</v>
      </c>
      <c r="C82" s="137">
        <f>IF(C$12="Actual",SUMIFS(ActualsTable[Month 1],ActualsTable[Expense Item2],$B82),SUMIFS(Expenses!BB$8:BB$69,Expenses!$O$8:$O$69,$B82)+SUMIFS(Headcount!L$395:L$1442,Headcount!$J$395:$J$1442,$B82))</f>
        <v>0</v>
      </c>
      <c r="D82" s="137">
        <f>IF(D$12="Actual",SUMIFS(ActualsTable[Month 2],ActualsTable[Expense Item2],$B82),SUMIFS(Expenses!BC$8:BC$69,Expenses!$O$8:$O$69,$B82)+SUMIFS(Headcount!M$395:M$1442,Headcount!$J$395:$J$1442,$B82))</f>
        <v>0</v>
      </c>
      <c r="E82" s="137">
        <f>IF(E$12="Actual",SUMIFS(ActualsTable[Month 3],ActualsTable[Expense Item2],$B82),SUMIFS(Expenses!BD$8:BD$69,Expenses!$O$8:$O$69,$B82)+SUMIFS(Headcount!N$395:N$1442,Headcount!$J$395:$J$1442,$B82))</f>
        <v>0</v>
      </c>
      <c r="F82" s="137">
        <f>IF(F$12="Actual",SUMIFS(ActualsTable[Month 4],ActualsTable[Expense Item2],$B82),SUMIFS(Expenses!BE$8:BE$69,Expenses!$O$8:$O$69,$B82)+SUMIFS(Headcount!O$395:O$1442,Headcount!$J$395:$J$1442,$B82))</f>
        <v>0</v>
      </c>
      <c r="G82" s="137">
        <f>IF(G$12="Actual",SUMIFS(ActualsTable[Month 5],ActualsTable[Expense Item2],$B82),SUMIFS(Expenses!BF$8:BF$69,Expenses!$O$8:$O$69,$B82)+SUMIFS(Headcount!P$395:P$1442,Headcount!$J$395:$J$1442,$B82))</f>
        <v>0</v>
      </c>
      <c r="H82" s="137">
        <f>IF(H$12="Actual",SUMIFS(ActualsTable[Month 6],ActualsTable[Expense Item2],$B82),SUMIFS(Expenses!BG$8:BG$69,Expenses!$O$8:$O$69,$B82)+SUMIFS(Headcount!Q$395:Q$1442,Headcount!$J$395:$J$1442,$B82))</f>
        <v>0</v>
      </c>
      <c r="I82" s="137">
        <f>IF(I$12="Actual",SUMIFS(ActualsTable[Month 7],ActualsTable[Expense Item2],$B82),SUMIFS(Expenses!BH$8:BH$69,Expenses!$O$8:$O$69,$B82)+SUMIFS(Headcount!R$395:R$1442,Headcount!$J$395:$J$1442,$B82))</f>
        <v>0</v>
      </c>
      <c r="J82" s="137">
        <f>IF(J$12="Actual",SUMIFS(ActualsTable[Month 8],ActualsTable[Expense Item2],$B82),SUMIFS(Expenses!BI$8:BI$69,Expenses!$O$8:$O$69,$B82)+SUMIFS(Headcount!S$395:S$1442,Headcount!$J$395:$J$1442,$B82))</f>
        <v>0</v>
      </c>
      <c r="K82" s="137">
        <f>IF(K$12="Actual",SUMIFS(ActualsTable[Month 9],ActualsTable[Expense Item2],$B82),SUMIFS(Expenses!BJ$8:BJ$69,Expenses!$O$8:$O$69,$B82)+SUMIFS(Headcount!T$395:T$1442,Headcount!$J$395:$J$1442,$B82))</f>
        <v>0</v>
      </c>
      <c r="L82" s="137">
        <f>IF(L$12="Actual",SUMIFS(ActualsTable[Month 10],ActualsTable[Expense Item2],$B82),SUMIFS(Expenses!BK$8:BK$69,Expenses!$O$8:$O$69,$B82)+SUMIFS(Headcount!U$395:U$1442,Headcount!$J$395:$J$1442,$B82))</f>
        <v>0</v>
      </c>
      <c r="M82" s="137">
        <f>IF(M$12="Actual",SUMIFS(ActualsTable[Month 11],ActualsTable[Expense Item2],$B82),SUMIFS(Expenses!BL$8:BL$69,Expenses!$O$8:$O$69,$B82)+SUMIFS(Headcount!V$395:V$1442,Headcount!$J$395:$J$1442,$B82))</f>
        <v>0</v>
      </c>
      <c r="N82" s="137">
        <f>IF(N$12="Actual",SUMIFS(ActualsTable[Month 12],ActualsTable[Expense Item2],$B82),SUMIFS(Expenses!BM$8:BM$69,Expenses!$O$8:$O$69,$B82)+SUMIFS(Headcount!W$395:W$1442,Headcount!$J$395:$J$1442,$B82))</f>
        <v>0</v>
      </c>
      <c r="O82" s="137">
        <f>IF(O$12="Actual",SUMIFS(ActualsTable[Month 13],ActualsTable[Expense Item2],$B82),SUMIFS(Expenses!BN$8:BN$69,Expenses!$O$8:$O$69,$B82)+SUMIFS(Headcount!X$395:X$1442,Headcount!$J$395:$J$1442,$B82))</f>
        <v>0</v>
      </c>
      <c r="P82" s="137">
        <f>IF(P$12="Actual",SUMIFS(ActualsTable[Month 14],ActualsTable[Expense Item2],$B82),SUMIFS(Expenses!BO$8:BO$69,Expenses!$O$8:$O$69,$B82)+SUMIFS(Headcount!Y$395:Y$1442,Headcount!$J$395:$J$1442,$B82))</f>
        <v>0</v>
      </c>
      <c r="Q82" s="137">
        <f>IF(Q$12="Actual",SUMIFS(ActualsTable[Month 15],ActualsTable[Expense Item2],$B82),SUMIFS(Expenses!BP$8:BP$69,Expenses!$O$8:$O$69,$B82)+SUMIFS(Headcount!Z$395:Z$1442,Headcount!$J$395:$J$1442,$B82))</f>
        <v>0</v>
      </c>
      <c r="R82" s="137">
        <f>IF(R$12="Actual",SUMIFS(ActualsTable[Month 16],ActualsTable[Expense Item2],$B82),SUMIFS(Expenses!BQ$8:BQ$69,Expenses!$O$8:$O$69,$B82)+SUMIFS(Headcount!AA$395:AA$1442,Headcount!$J$395:$J$1442,$B82))</f>
        <v>0</v>
      </c>
      <c r="S82" s="137">
        <f>IF(S$12="Actual",SUMIFS(ActualsTable[Month 17],ActualsTable[Expense Item2],$B82),SUMIFS(Expenses!BR$8:BR$69,Expenses!$O$8:$O$69,$B82)+SUMIFS(Headcount!AB$395:AB$1442,Headcount!$J$395:$J$1442,$B82))</f>
        <v>0</v>
      </c>
      <c r="T82" s="137">
        <f>IF(T$12="Actual",SUMIFS(ActualsTable[Month 18],ActualsTable[Expense Item2],$B82),SUMIFS(Expenses!BS$8:BS$69,Expenses!$O$8:$O$69,$B82)+SUMIFS(Headcount!AC$395:AC$1442,Headcount!$J$395:$J$1442,$B82))</f>
        <v>0</v>
      </c>
      <c r="U82" s="137">
        <f>IF(U$12="Actual",SUMIFS(ActualsTable[Month 19],ActualsTable[Expense Item2],$B82),SUMIFS(Expenses!BT$8:BT$69,Expenses!$O$8:$O$69,$B82)+SUMIFS(Headcount!AD$395:AD$1442,Headcount!$J$395:$J$1442,$B82))</f>
        <v>0</v>
      </c>
      <c r="V82" s="137">
        <f>IF(V$12="Actual",SUMIFS(ActualsTable[Month 20],ActualsTable[Expense Item2],$B82),SUMIFS(Expenses!BU$8:BU$69,Expenses!$O$8:$O$69,$B82)+SUMIFS(Headcount!AE$395:AE$1442,Headcount!$J$395:$J$1442,$B82))</f>
        <v>0</v>
      </c>
      <c r="W82" s="137">
        <f>IF(W$12="Actual",SUMIFS(ActualsTable[Month 21],ActualsTable[Expense Item2],$B82),SUMIFS(Expenses!BV$8:BV$69,Expenses!$O$8:$O$69,$B82)+SUMIFS(Headcount!AF$395:AF$1442,Headcount!$J$395:$J$1442,$B82))</f>
        <v>0</v>
      </c>
      <c r="X82" s="137">
        <f>IF(X$12="Actual",SUMIFS(ActualsTable[Month 22],ActualsTable[Expense Item2],$B82),SUMIFS(Expenses!BW$8:BW$69,Expenses!$O$8:$O$69,$B82)+SUMIFS(Headcount!AG$395:AG$1442,Headcount!$J$395:$J$1442,$B82))</f>
        <v>0</v>
      </c>
      <c r="Y82" s="137">
        <f>IF(Y$12="Actual",SUMIFS(ActualsTable[Month 23],ActualsTable[Expense Item2],$B82),SUMIFS(Expenses!BX$8:BX$69,Expenses!$O$8:$O$69,$B82)+SUMIFS(Headcount!AH$395:AH$1442,Headcount!$J$395:$J$1442,$B82))</f>
        <v>0</v>
      </c>
      <c r="Z82" s="137">
        <f>IF(Z$12="Actual",SUMIFS(ActualsTable[Month 24],ActualsTable[Expense Item2],$B82),SUMIFS(Expenses!BY$8:BY$69,Expenses!$O$8:$O$69,$B82)+SUMIFS(Headcount!AI$395:AI$1442,Headcount!$J$395:$J$1442,$B82))</f>
        <v>0</v>
      </c>
      <c r="AA82" s="137">
        <f>IF(AA$12="Actual",SUMIFS(ActualsTable[Month 25],ActualsTable[Expense Item2],$B82),SUMIFS(Expenses!BZ$8:BZ$69,Expenses!$O$8:$O$69,$B82)+SUMIFS(Headcount!AJ$395:AJ$1442,Headcount!$J$395:$J$1442,$B82))</f>
        <v>0</v>
      </c>
      <c r="AB82" s="137">
        <f>IF(AB$12="Actual",SUMIFS(ActualsTable[Month 26],ActualsTable[Expense Item2],$B82),SUMIFS(Expenses!CA$8:CA$69,Expenses!$O$8:$O$69,$B82)+SUMIFS(Headcount!AK$395:AK$1442,Headcount!$J$395:$J$1442,$B82))</f>
        <v>0</v>
      </c>
      <c r="AC82" s="137">
        <f>IF(AC$12="Actual",SUMIFS(ActualsTable[Month 27],ActualsTable[Expense Item2],$B82),SUMIFS(Expenses!CB$8:CB$69,Expenses!$O$8:$O$69,$B82)+SUMIFS(Headcount!AL$395:AL$1442,Headcount!$J$395:$J$1442,$B82))</f>
        <v>0</v>
      </c>
      <c r="AD82" s="137">
        <f>IF(AD$12="Actual",SUMIFS(ActualsTable[Month 28],ActualsTable[Expense Item2],$B82),SUMIFS(Expenses!CC$8:CC$69,Expenses!$O$8:$O$69,$B82)+SUMIFS(Headcount!AM$395:AM$1442,Headcount!$J$395:$J$1442,$B82))</f>
        <v>0</v>
      </c>
      <c r="AE82" s="137">
        <f>IF(AE$12="Actual",SUMIFS(ActualsTable[Month 29],ActualsTable[Expense Item2],$B82),SUMIFS(Expenses!CD$8:CD$69,Expenses!$O$8:$O$69,$B82)+SUMIFS(Headcount!AN$395:AN$1442,Headcount!$J$395:$J$1442,$B82))</f>
        <v>0</v>
      </c>
      <c r="AF82" s="137">
        <f>IF(AF$12="Actual",SUMIFS(ActualsTable[Month 30],ActualsTable[Expense Item2],$B82),SUMIFS(Expenses!CE$8:CE$69,Expenses!$O$8:$O$69,$B82)+SUMIFS(Headcount!AO$395:AO$1442,Headcount!$J$395:$J$1442,$B82))</f>
        <v>0</v>
      </c>
      <c r="AG82" s="137">
        <f>IF(AG$12="Actual",SUMIFS(ActualsTable[Month 31],ActualsTable[Expense Item2],$B82),SUMIFS(Expenses!CF$8:CF$69,Expenses!$O$8:$O$69,$B82)+SUMIFS(Headcount!AP$395:AP$1442,Headcount!$J$395:$J$1442,$B82))</f>
        <v>0</v>
      </c>
      <c r="AH82" s="137">
        <f>IF(AH$12="Actual",SUMIFS(ActualsTable[Month 32],ActualsTable[Expense Item2],$B82),SUMIFS(Expenses!CG$8:CG$69,Expenses!$O$8:$O$69,$B82)+SUMIFS(Headcount!AQ$395:AQ$1442,Headcount!$J$395:$J$1442,$B82))</f>
        <v>0</v>
      </c>
      <c r="AI82" s="137">
        <f>IF(AI$12="Actual",SUMIFS(ActualsTable[Month 33],ActualsTable[Expense Item2],$B82),SUMIFS(Expenses!CH$8:CH$69,Expenses!$O$8:$O$69,$B82)+SUMIFS(Headcount!AR$395:AR$1442,Headcount!$J$395:$J$1442,$B82))</f>
        <v>0</v>
      </c>
      <c r="AJ82" s="137">
        <f>IF(AJ$12="Actual",SUMIFS(ActualsTable[Month 34],ActualsTable[Expense Item2],$B82),SUMIFS(Expenses!CI$8:CI$69,Expenses!$O$8:$O$69,$B82)+SUMIFS(Headcount!AS$395:AS$1442,Headcount!$J$395:$J$1442,$B82))</f>
        <v>0</v>
      </c>
      <c r="AK82" s="137">
        <f>IF(AK$12="Actual",SUMIFS(ActualsTable[Month 35],ActualsTable[Expense Item2],$B82),SUMIFS(Expenses!CJ$8:CJ$69,Expenses!$O$8:$O$69,$B82)+SUMIFS(Headcount!AT$395:AT$1442,Headcount!$J$395:$J$1442,$B82))</f>
        <v>0</v>
      </c>
      <c r="AL82" s="293">
        <f>IF(AL$12="Actual",SUMIFS(ActualsTable[Month 36],ActualsTable[Expense Item2],$B82),SUMIFS(Expenses!CK$8:CK$69,Expenses!$O$8:$O$69,$B82)+SUMIFS(Headcount!AU$395:AU$1442,Headcount!$J$395:$J$1442,$B82))</f>
        <v>0</v>
      </c>
      <c r="AN82" s="319">
        <f t="shared" ca="1" si="156"/>
        <v>0</v>
      </c>
      <c r="AO82" s="137">
        <f t="shared" ca="1" si="156"/>
        <v>0</v>
      </c>
      <c r="AP82" s="137">
        <f t="shared" ca="1" si="156"/>
        <v>0</v>
      </c>
      <c r="AQ82" s="137">
        <f t="shared" ca="1" si="156"/>
        <v>0</v>
      </c>
      <c r="AR82" s="137">
        <f t="shared" ca="1" si="156"/>
        <v>0</v>
      </c>
      <c r="AS82" s="137">
        <f t="shared" ca="1" si="156"/>
        <v>0</v>
      </c>
      <c r="AT82" s="137">
        <f t="shared" ca="1" si="156"/>
        <v>0</v>
      </c>
      <c r="AU82" s="137">
        <f t="shared" ca="1" si="156"/>
        <v>0</v>
      </c>
      <c r="AV82" s="137">
        <f t="shared" ca="1" si="156"/>
        <v>0</v>
      </c>
      <c r="AW82" s="137">
        <f t="shared" ca="1" si="156"/>
        <v>0</v>
      </c>
      <c r="AX82" s="137">
        <f t="shared" ca="1" si="156"/>
        <v>0</v>
      </c>
      <c r="AY82" s="293">
        <f t="shared" ca="1" si="156"/>
        <v>0</v>
      </c>
      <c r="BA82" s="319">
        <f t="shared" ca="1" si="157"/>
        <v>0</v>
      </c>
      <c r="BB82" s="137">
        <f t="shared" ca="1" si="157"/>
        <v>0</v>
      </c>
      <c r="BC82" s="293">
        <f t="shared" ca="1" si="157"/>
        <v>0</v>
      </c>
    </row>
    <row r="83" spans="2:55" x14ac:dyDescent="0.35">
      <c r="B83" s="76" t="s">
        <v>116</v>
      </c>
      <c r="C83" s="137">
        <f>IF(C$12="Actual",SUMIFS(ActualsTable[Month 1],ActualsTable[Expense Item2],$B83),SUMIFS(Expenses!BB$8:BB$69,Expenses!$O$8:$O$69,$B83)+SUMIFS(Headcount!L$395:L$1442,Headcount!$J$395:$J$1442,$B83))</f>
        <v>0</v>
      </c>
      <c r="D83" s="137">
        <f>IF(D$12="Actual",SUMIFS(ActualsTable[Month 2],ActualsTable[Expense Item2],$B83),SUMIFS(Expenses!BC$8:BC$69,Expenses!$O$8:$O$69,$B83)+SUMIFS(Headcount!M$395:M$1442,Headcount!$J$395:$J$1442,$B83))</f>
        <v>0</v>
      </c>
      <c r="E83" s="137">
        <f>IF(E$12="Actual",SUMIFS(ActualsTable[Month 3],ActualsTable[Expense Item2],$B83),SUMIFS(Expenses!BD$8:BD$69,Expenses!$O$8:$O$69,$B83)+SUMIFS(Headcount!N$395:N$1442,Headcount!$J$395:$J$1442,$B83))</f>
        <v>0</v>
      </c>
      <c r="F83" s="137">
        <f>IF(F$12="Actual",SUMIFS(ActualsTable[Month 4],ActualsTable[Expense Item2],$B83),SUMIFS(Expenses!BE$8:BE$69,Expenses!$O$8:$O$69,$B83)+SUMIFS(Headcount!O$395:O$1442,Headcount!$J$395:$J$1442,$B83))</f>
        <v>0</v>
      </c>
      <c r="G83" s="137">
        <f>IF(G$12="Actual",SUMIFS(ActualsTable[Month 5],ActualsTable[Expense Item2],$B83),SUMIFS(Expenses!BF$8:BF$69,Expenses!$O$8:$O$69,$B83)+SUMIFS(Headcount!P$395:P$1442,Headcount!$J$395:$J$1442,$B83))</f>
        <v>0</v>
      </c>
      <c r="H83" s="137">
        <f>IF(H$12="Actual",SUMIFS(ActualsTable[Month 6],ActualsTable[Expense Item2],$B83),SUMIFS(Expenses!BG$8:BG$69,Expenses!$O$8:$O$69,$B83)+SUMIFS(Headcount!Q$395:Q$1442,Headcount!$J$395:$J$1442,$B83))</f>
        <v>0</v>
      </c>
      <c r="I83" s="137">
        <f>IF(I$12="Actual",SUMIFS(ActualsTable[Month 7],ActualsTable[Expense Item2],$B83),SUMIFS(Expenses!BH$8:BH$69,Expenses!$O$8:$O$69,$B83)+SUMIFS(Headcount!R$395:R$1442,Headcount!$J$395:$J$1442,$B83))</f>
        <v>0</v>
      </c>
      <c r="J83" s="137">
        <f>IF(J$12="Actual",SUMIFS(ActualsTable[Month 8],ActualsTable[Expense Item2],$B83),SUMIFS(Expenses!BI$8:BI$69,Expenses!$O$8:$O$69,$B83)+SUMIFS(Headcount!S$395:S$1442,Headcount!$J$395:$J$1442,$B83))</f>
        <v>0</v>
      </c>
      <c r="K83" s="137">
        <f>IF(K$12="Actual",SUMIFS(ActualsTable[Month 9],ActualsTable[Expense Item2],$B83),SUMIFS(Expenses!BJ$8:BJ$69,Expenses!$O$8:$O$69,$B83)+SUMIFS(Headcount!T$395:T$1442,Headcount!$J$395:$J$1442,$B83))</f>
        <v>0</v>
      </c>
      <c r="L83" s="137">
        <f>IF(L$12="Actual",SUMIFS(ActualsTable[Month 10],ActualsTable[Expense Item2],$B83),SUMIFS(Expenses!BK$8:BK$69,Expenses!$O$8:$O$69,$B83)+SUMIFS(Headcount!U$395:U$1442,Headcount!$J$395:$J$1442,$B83))</f>
        <v>0</v>
      </c>
      <c r="M83" s="137">
        <f>IF(M$12="Actual",SUMIFS(ActualsTable[Month 11],ActualsTable[Expense Item2],$B83),SUMIFS(Expenses!BL$8:BL$69,Expenses!$O$8:$O$69,$B83)+SUMIFS(Headcount!V$395:V$1442,Headcount!$J$395:$J$1442,$B83))</f>
        <v>0</v>
      </c>
      <c r="N83" s="137">
        <f>IF(N$12="Actual",SUMIFS(ActualsTable[Month 12],ActualsTable[Expense Item2],$B83),SUMIFS(Expenses!BM$8:BM$69,Expenses!$O$8:$O$69,$B83)+SUMIFS(Headcount!W$395:W$1442,Headcount!$J$395:$J$1442,$B83))</f>
        <v>0</v>
      </c>
      <c r="O83" s="137">
        <f>IF(O$12="Actual",SUMIFS(ActualsTable[Month 13],ActualsTable[Expense Item2],$B83),SUMIFS(Expenses!BN$8:BN$69,Expenses!$O$8:$O$69,$B83)+SUMIFS(Headcount!X$395:X$1442,Headcount!$J$395:$J$1442,$B83))</f>
        <v>0</v>
      </c>
      <c r="P83" s="137">
        <f>IF(P$12="Actual",SUMIFS(ActualsTable[Month 14],ActualsTable[Expense Item2],$B83),SUMIFS(Expenses!BO$8:BO$69,Expenses!$O$8:$O$69,$B83)+SUMIFS(Headcount!Y$395:Y$1442,Headcount!$J$395:$J$1442,$B83))</f>
        <v>0</v>
      </c>
      <c r="Q83" s="137">
        <f>IF(Q$12="Actual",SUMIFS(ActualsTable[Month 15],ActualsTable[Expense Item2],$B83),SUMIFS(Expenses!BP$8:BP$69,Expenses!$O$8:$O$69,$B83)+SUMIFS(Headcount!Z$395:Z$1442,Headcount!$J$395:$J$1442,$B83))</f>
        <v>0</v>
      </c>
      <c r="R83" s="137">
        <f>IF(R$12="Actual",SUMIFS(ActualsTable[Month 16],ActualsTable[Expense Item2],$B83),SUMIFS(Expenses!BQ$8:BQ$69,Expenses!$O$8:$O$69,$B83)+SUMIFS(Headcount!AA$395:AA$1442,Headcount!$J$395:$J$1442,$B83))</f>
        <v>0</v>
      </c>
      <c r="S83" s="137">
        <f>IF(S$12="Actual",SUMIFS(ActualsTable[Month 17],ActualsTable[Expense Item2],$B83),SUMIFS(Expenses!BR$8:BR$69,Expenses!$O$8:$O$69,$B83)+SUMIFS(Headcount!AB$395:AB$1442,Headcount!$J$395:$J$1442,$B83))</f>
        <v>0</v>
      </c>
      <c r="T83" s="137">
        <f>IF(T$12="Actual",SUMIFS(ActualsTable[Month 18],ActualsTable[Expense Item2],$B83),SUMIFS(Expenses!BS$8:BS$69,Expenses!$O$8:$O$69,$B83)+SUMIFS(Headcount!AC$395:AC$1442,Headcount!$J$395:$J$1442,$B83))</f>
        <v>0</v>
      </c>
      <c r="U83" s="137">
        <f>IF(U$12="Actual",SUMIFS(ActualsTable[Month 19],ActualsTable[Expense Item2],$B83),SUMIFS(Expenses!BT$8:BT$69,Expenses!$O$8:$O$69,$B83)+SUMIFS(Headcount!AD$395:AD$1442,Headcount!$J$395:$J$1442,$B83))</f>
        <v>0</v>
      </c>
      <c r="V83" s="137">
        <f>IF(V$12="Actual",SUMIFS(ActualsTable[Month 20],ActualsTable[Expense Item2],$B83),SUMIFS(Expenses!BU$8:BU$69,Expenses!$O$8:$O$69,$B83)+SUMIFS(Headcount!AE$395:AE$1442,Headcount!$J$395:$J$1442,$B83))</f>
        <v>0</v>
      </c>
      <c r="W83" s="137">
        <f>IF(W$12="Actual",SUMIFS(ActualsTable[Month 21],ActualsTable[Expense Item2],$B83),SUMIFS(Expenses!BV$8:BV$69,Expenses!$O$8:$O$69,$B83)+SUMIFS(Headcount!AF$395:AF$1442,Headcount!$J$395:$J$1442,$B83))</f>
        <v>0</v>
      </c>
      <c r="X83" s="137">
        <f>IF(X$12="Actual",SUMIFS(ActualsTable[Month 22],ActualsTable[Expense Item2],$B83),SUMIFS(Expenses!BW$8:BW$69,Expenses!$O$8:$O$69,$B83)+SUMIFS(Headcount!AG$395:AG$1442,Headcount!$J$395:$J$1442,$B83))</f>
        <v>0</v>
      </c>
      <c r="Y83" s="137">
        <f>IF(Y$12="Actual",SUMIFS(ActualsTable[Month 23],ActualsTable[Expense Item2],$B83),SUMIFS(Expenses!BX$8:BX$69,Expenses!$O$8:$O$69,$B83)+SUMIFS(Headcount!AH$395:AH$1442,Headcount!$J$395:$J$1442,$B83))</f>
        <v>0</v>
      </c>
      <c r="Z83" s="137">
        <f>IF(Z$12="Actual",SUMIFS(ActualsTable[Month 24],ActualsTable[Expense Item2],$B83),SUMIFS(Expenses!BY$8:BY$69,Expenses!$O$8:$O$69,$B83)+SUMIFS(Headcount!AI$395:AI$1442,Headcount!$J$395:$J$1442,$B83))</f>
        <v>0</v>
      </c>
      <c r="AA83" s="137">
        <f>IF(AA$12="Actual",SUMIFS(ActualsTable[Month 25],ActualsTable[Expense Item2],$B83),SUMIFS(Expenses!BZ$8:BZ$69,Expenses!$O$8:$O$69,$B83)+SUMIFS(Headcount!AJ$395:AJ$1442,Headcount!$J$395:$J$1442,$B83))</f>
        <v>0</v>
      </c>
      <c r="AB83" s="137">
        <f>IF(AB$12="Actual",SUMIFS(ActualsTable[Month 26],ActualsTable[Expense Item2],$B83),SUMIFS(Expenses!CA$8:CA$69,Expenses!$O$8:$O$69,$B83)+SUMIFS(Headcount!AK$395:AK$1442,Headcount!$J$395:$J$1442,$B83))</f>
        <v>0</v>
      </c>
      <c r="AC83" s="137">
        <f>IF(AC$12="Actual",SUMIFS(ActualsTable[Month 27],ActualsTable[Expense Item2],$B83),SUMIFS(Expenses!CB$8:CB$69,Expenses!$O$8:$O$69,$B83)+SUMIFS(Headcount!AL$395:AL$1442,Headcount!$J$395:$J$1442,$B83))</f>
        <v>0</v>
      </c>
      <c r="AD83" s="137">
        <f>IF(AD$12="Actual",SUMIFS(ActualsTable[Month 28],ActualsTable[Expense Item2],$B83),SUMIFS(Expenses!CC$8:CC$69,Expenses!$O$8:$O$69,$B83)+SUMIFS(Headcount!AM$395:AM$1442,Headcount!$J$395:$J$1442,$B83))</f>
        <v>0</v>
      </c>
      <c r="AE83" s="137">
        <f>IF(AE$12="Actual",SUMIFS(ActualsTable[Month 29],ActualsTable[Expense Item2],$B83),SUMIFS(Expenses!CD$8:CD$69,Expenses!$O$8:$O$69,$B83)+SUMIFS(Headcount!AN$395:AN$1442,Headcount!$J$395:$J$1442,$B83))</f>
        <v>0</v>
      </c>
      <c r="AF83" s="137">
        <f>IF(AF$12="Actual",SUMIFS(ActualsTable[Month 30],ActualsTable[Expense Item2],$B83),SUMIFS(Expenses!CE$8:CE$69,Expenses!$O$8:$O$69,$B83)+SUMIFS(Headcount!AO$395:AO$1442,Headcount!$J$395:$J$1442,$B83))</f>
        <v>0</v>
      </c>
      <c r="AG83" s="137">
        <f>IF(AG$12="Actual",SUMIFS(ActualsTable[Month 31],ActualsTable[Expense Item2],$B83),SUMIFS(Expenses!CF$8:CF$69,Expenses!$O$8:$O$69,$B83)+SUMIFS(Headcount!AP$395:AP$1442,Headcount!$J$395:$J$1442,$B83))</f>
        <v>0</v>
      </c>
      <c r="AH83" s="137">
        <f>IF(AH$12="Actual",SUMIFS(ActualsTable[Month 32],ActualsTable[Expense Item2],$B83),SUMIFS(Expenses!CG$8:CG$69,Expenses!$O$8:$O$69,$B83)+SUMIFS(Headcount!AQ$395:AQ$1442,Headcount!$J$395:$J$1442,$B83))</f>
        <v>0</v>
      </c>
      <c r="AI83" s="137">
        <f>IF(AI$12="Actual",SUMIFS(ActualsTable[Month 33],ActualsTable[Expense Item2],$B83),SUMIFS(Expenses!CH$8:CH$69,Expenses!$O$8:$O$69,$B83)+SUMIFS(Headcount!AR$395:AR$1442,Headcount!$J$395:$J$1442,$B83))</f>
        <v>0</v>
      </c>
      <c r="AJ83" s="137">
        <f>IF(AJ$12="Actual",SUMIFS(ActualsTable[Month 34],ActualsTable[Expense Item2],$B83),SUMIFS(Expenses!CI$8:CI$69,Expenses!$O$8:$O$69,$B83)+SUMIFS(Headcount!AS$395:AS$1442,Headcount!$J$395:$J$1442,$B83))</f>
        <v>0</v>
      </c>
      <c r="AK83" s="137">
        <f>IF(AK$12="Actual",SUMIFS(ActualsTable[Month 35],ActualsTable[Expense Item2],$B83),SUMIFS(Expenses!CJ$8:CJ$69,Expenses!$O$8:$O$69,$B83)+SUMIFS(Headcount!AT$395:AT$1442,Headcount!$J$395:$J$1442,$B83))</f>
        <v>0</v>
      </c>
      <c r="AL83" s="293">
        <f>IF(AL$12="Actual",SUMIFS(ActualsTable[Month 36],ActualsTable[Expense Item2],$B83),SUMIFS(Expenses!CK$8:CK$69,Expenses!$O$8:$O$69,$B83)+SUMIFS(Headcount!AU$395:AU$1442,Headcount!$J$395:$J$1442,$B83))</f>
        <v>0</v>
      </c>
      <c r="AN83" s="319">
        <f t="shared" ca="1" si="156"/>
        <v>0</v>
      </c>
      <c r="AO83" s="137">
        <f t="shared" ca="1" si="156"/>
        <v>0</v>
      </c>
      <c r="AP83" s="137">
        <f t="shared" ca="1" si="156"/>
        <v>0</v>
      </c>
      <c r="AQ83" s="137">
        <f t="shared" ca="1" si="156"/>
        <v>0</v>
      </c>
      <c r="AR83" s="137">
        <f t="shared" ca="1" si="156"/>
        <v>0</v>
      </c>
      <c r="AS83" s="137">
        <f t="shared" ca="1" si="156"/>
        <v>0</v>
      </c>
      <c r="AT83" s="137">
        <f t="shared" ca="1" si="156"/>
        <v>0</v>
      </c>
      <c r="AU83" s="137">
        <f t="shared" ca="1" si="156"/>
        <v>0</v>
      </c>
      <c r="AV83" s="137">
        <f t="shared" ca="1" si="156"/>
        <v>0</v>
      </c>
      <c r="AW83" s="137">
        <f t="shared" ca="1" si="156"/>
        <v>0</v>
      </c>
      <c r="AX83" s="137">
        <f t="shared" ca="1" si="156"/>
        <v>0</v>
      </c>
      <c r="AY83" s="293">
        <f t="shared" ca="1" si="156"/>
        <v>0</v>
      </c>
      <c r="BA83" s="319">
        <f t="shared" ca="1" si="157"/>
        <v>0</v>
      </c>
      <c r="BB83" s="137">
        <f t="shared" ca="1" si="157"/>
        <v>0</v>
      </c>
      <c r="BC83" s="293">
        <f t="shared" ca="1" si="157"/>
        <v>0</v>
      </c>
    </row>
    <row r="84" spans="2:55" x14ac:dyDescent="0.35">
      <c r="B84" s="77" t="s">
        <v>117</v>
      </c>
      <c r="C84" s="140">
        <f t="shared" ref="C84:AT84" si="158">SUM(C85,C88)</f>
        <v>0</v>
      </c>
      <c r="D84" s="140">
        <f t="shared" ref="D84:AL84" si="159">SUM(D85,D88)</f>
        <v>0</v>
      </c>
      <c r="E84" s="140">
        <f t="shared" si="159"/>
        <v>0</v>
      </c>
      <c r="F84" s="140">
        <f t="shared" si="159"/>
        <v>0</v>
      </c>
      <c r="G84" s="140">
        <f t="shared" si="159"/>
        <v>0</v>
      </c>
      <c r="H84" s="140">
        <f t="shared" si="159"/>
        <v>0</v>
      </c>
      <c r="I84" s="140">
        <f t="shared" si="159"/>
        <v>0</v>
      </c>
      <c r="J84" s="140">
        <f t="shared" si="159"/>
        <v>0</v>
      </c>
      <c r="K84" s="140">
        <f t="shared" si="159"/>
        <v>0</v>
      </c>
      <c r="L84" s="140">
        <f t="shared" si="159"/>
        <v>0</v>
      </c>
      <c r="M84" s="140">
        <f t="shared" si="159"/>
        <v>0</v>
      </c>
      <c r="N84" s="140">
        <f t="shared" si="159"/>
        <v>0</v>
      </c>
      <c r="O84" s="140">
        <f t="shared" si="159"/>
        <v>0</v>
      </c>
      <c r="P84" s="140">
        <f t="shared" si="159"/>
        <v>0</v>
      </c>
      <c r="Q84" s="140">
        <f t="shared" si="159"/>
        <v>0</v>
      </c>
      <c r="R84" s="140">
        <f t="shared" si="159"/>
        <v>0</v>
      </c>
      <c r="S84" s="140">
        <f t="shared" si="159"/>
        <v>0</v>
      </c>
      <c r="T84" s="140">
        <f t="shared" si="159"/>
        <v>0</v>
      </c>
      <c r="U84" s="140">
        <f t="shared" si="159"/>
        <v>0</v>
      </c>
      <c r="V84" s="140">
        <f t="shared" si="159"/>
        <v>0</v>
      </c>
      <c r="W84" s="140">
        <f t="shared" si="159"/>
        <v>0</v>
      </c>
      <c r="X84" s="140">
        <f t="shared" si="159"/>
        <v>0</v>
      </c>
      <c r="Y84" s="140">
        <f t="shared" si="159"/>
        <v>0</v>
      </c>
      <c r="Z84" s="140">
        <f t="shared" si="159"/>
        <v>0</v>
      </c>
      <c r="AA84" s="140">
        <f t="shared" si="159"/>
        <v>0</v>
      </c>
      <c r="AB84" s="140">
        <f t="shared" si="159"/>
        <v>0</v>
      </c>
      <c r="AC84" s="140">
        <f t="shared" si="159"/>
        <v>0</v>
      </c>
      <c r="AD84" s="140">
        <f t="shared" si="159"/>
        <v>0</v>
      </c>
      <c r="AE84" s="140">
        <f t="shared" si="159"/>
        <v>0</v>
      </c>
      <c r="AF84" s="140">
        <f t="shared" si="159"/>
        <v>0</v>
      </c>
      <c r="AG84" s="140">
        <f t="shared" si="159"/>
        <v>0</v>
      </c>
      <c r="AH84" s="140">
        <f t="shared" si="159"/>
        <v>0</v>
      </c>
      <c r="AI84" s="140">
        <f t="shared" si="159"/>
        <v>0</v>
      </c>
      <c r="AJ84" s="140">
        <f t="shared" si="159"/>
        <v>0</v>
      </c>
      <c r="AK84" s="140">
        <f t="shared" si="159"/>
        <v>0</v>
      </c>
      <c r="AL84" s="301">
        <f t="shared" si="159"/>
        <v>0</v>
      </c>
      <c r="AN84" s="327">
        <f t="shared" ca="1" si="158"/>
        <v>0</v>
      </c>
      <c r="AO84" s="140">
        <f t="shared" ca="1" si="158"/>
        <v>0</v>
      </c>
      <c r="AP84" s="140">
        <f t="shared" ca="1" si="158"/>
        <v>0</v>
      </c>
      <c r="AQ84" s="140">
        <f t="shared" ca="1" si="158"/>
        <v>0</v>
      </c>
      <c r="AR84" s="140">
        <f t="shared" ca="1" si="158"/>
        <v>0</v>
      </c>
      <c r="AS84" s="140">
        <f t="shared" ca="1" si="158"/>
        <v>0</v>
      </c>
      <c r="AT84" s="140">
        <f t="shared" ca="1" si="158"/>
        <v>0</v>
      </c>
      <c r="AU84" s="140">
        <f t="shared" ref="AU84:AY84" ca="1" si="160">SUM(AU85,AU88)</f>
        <v>0</v>
      </c>
      <c r="AV84" s="140">
        <f t="shared" ca="1" si="160"/>
        <v>0</v>
      </c>
      <c r="AW84" s="140">
        <f t="shared" ca="1" si="160"/>
        <v>0</v>
      </c>
      <c r="AX84" s="140">
        <f t="shared" ca="1" si="160"/>
        <v>0</v>
      </c>
      <c r="AY84" s="301">
        <f t="shared" ca="1" si="160"/>
        <v>0</v>
      </c>
      <c r="BA84" s="327">
        <f t="shared" ref="BA84" ca="1" si="161">SUM(BA85,BA88)</f>
        <v>0</v>
      </c>
      <c r="BB84" s="140">
        <f t="shared" ref="BB84:BC84" ca="1" si="162">SUM(BB85,BB88)</f>
        <v>0</v>
      </c>
      <c r="BC84" s="301">
        <f t="shared" ca="1" si="162"/>
        <v>0</v>
      </c>
    </row>
    <row r="85" spans="2:55" x14ac:dyDescent="0.35">
      <c r="B85" s="79" t="s">
        <v>118</v>
      </c>
      <c r="C85" s="131">
        <f t="shared" ref="C85:AN85" si="163">SUM(C86:C87)</f>
        <v>0</v>
      </c>
      <c r="D85" s="131">
        <f t="shared" ref="D85:AL85" si="164">SUM(D86:D87)</f>
        <v>0</v>
      </c>
      <c r="E85" s="131">
        <f t="shared" si="164"/>
        <v>0</v>
      </c>
      <c r="F85" s="131">
        <f t="shared" si="164"/>
        <v>0</v>
      </c>
      <c r="G85" s="131">
        <f t="shared" si="164"/>
        <v>0</v>
      </c>
      <c r="H85" s="131">
        <f t="shared" si="164"/>
        <v>0</v>
      </c>
      <c r="I85" s="131">
        <f t="shared" si="164"/>
        <v>0</v>
      </c>
      <c r="J85" s="131">
        <f t="shared" si="164"/>
        <v>0</v>
      </c>
      <c r="K85" s="131">
        <f t="shared" si="164"/>
        <v>0</v>
      </c>
      <c r="L85" s="131">
        <f t="shared" si="164"/>
        <v>0</v>
      </c>
      <c r="M85" s="131">
        <f t="shared" si="164"/>
        <v>0</v>
      </c>
      <c r="N85" s="131">
        <f t="shared" si="164"/>
        <v>0</v>
      </c>
      <c r="O85" s="131">
        <f t="shared" si="164"/>
        <v>0</v>
      </c>
      <c r="P85" s="131">
        <f t="shared" si="164"/>
        <v>0</v>
      </c>
      <c r="Q85" s="131">
        <f t="shared" si="164"/>
        <v>0</v>
      </c>
      <c r="R85" s="131">
        <f t="shared" si="164"/>
        <v>0</v>
      </c>
      <c r="S85" s="131">
        <f t="shared" si="164"/>
        <v>0</v>
      </c>
      <c r="T85" s="131">
        <f t="shared" si="164"/>
        <v>0</v>
      </c>
      <c r="U85" s="131">
        <f t="shared" si="164"/>
        <v>0</v>
      </c>
      <c r="V85" s="131">
        <f t="shared" si="164"/>
        <v>0</v>
      </c>
      <c r="W85" s="131">
        <f t="shared" si="164"/>
        <v>0</v>
      </c>
      <c r="X85" s="131">
        <f t="shared" si="164"/>
        <v>0</v>
      </c>
      <c r="Y85" s="131">
        <f t="shared" si="164"/>
        <v>0</v>
      </c>
      <c r="Z85" s="131">
        <f t="shared" si="164"/>
        <v>0</v>
      </c>
      <c r="AA85" s="131">
        <f t="shared" si="164"/>
        <v>0</v>
      </c>
      <c r="AB85" s="131">
        <f t="shared" si="164"/>
        <v>0</v>
      </c>
      <c r="AC85" s="131">
        <f t="shared" si="164"/>
        <v>0</v>
      </c>
      <c r="AD85" s="131">
        <f t="shared" si="164"/>
        <v>0</v>
      </c>
      <c r="AE85" s="131">
        <f t="shared" si="164"/>
        <v>0</v>
      </c>
      <c r="AF85" s="131">
        <f t="shared" si="164"/>
        <v>0</v>
      </c>
      <c r="AG85" s="131">
        <f t="shared" si="164"/>
        <v>0</v>
      </c>
      <c r="AH85" s="131">
        <f t="shared" si="164"/>
        <v>0</v>
      </c>
      <c r="AI85" s="131">
        <f t="shared" si="164"/>
        <v>0</v>
      </c>
      <c r="AJ85" s="131">
        <f t="shared" si="164"/>
        <v>0</v>
      </c>
      <c r="AK85" s="131">
        <f t="shared" si="164"/>
        <v>0</v>
      </c>
      <c r="AL85" s="291">
        <f t="shared" si="164"/>
        <v>0</v>
      </c>
      <c r="AN85" s="317">
        <f t="shared" ca="1" si="163"/>
        <v>0</v>
      </c>
      <c r="AO85" s="131">
        <f t="shared" ref="AO85:AT85" ca="1" si="165">SUM(AO86:AO87)</f>
        <v>0</v>
      </c>
      <c r="AP85" s="131">
        <f t="shared" ca="1" si="165"/>
        <v>0</v>
      </c>
      <c r="AQ85" s="131">
        <f t="shared" ca="1" si="165"/>
        <v>0</v>
      </c>
      <c r="AR85" s="131">
        <f t="shared" ca="1" si="165"/>
        <v>0</v>
      </c>
      <c r="AS85" s="131">
        <f t="shared" ca="1" si="165"/>
        <v>0</v>
      </c>
      <c r="AT85" s="131">
        <f t="shared" ca="1" si="165"/>
        <v>0</v>
      </c>
      <c r="AU85" s="131">
        <f t="shared" ref="AU85:AY85" ca="1" si="166">SUM(AU86:AU87)</f>
        <v>0</v>
      </c>
      <c r="AV85" s="131">
        <f t="shared" ca="1" si="166"/>
        <v>0</v>
      </c>
      <c r="AW85" s="131">
        <f t="shared" ca="1" si="166"/>
        <v>0</v>
      </c>
      <c r="AX85" s="131">
        <f t="shared" ca="1" si="166"/>
        <v>0</v>
      </c>
      <c r="AY85" s="291">
        <f t="shared" ca="1" si="166"/>
        <v>0</v>
      </c>
      <c r="BA85" s="317">
        <f t="shared" ref="BA85" ca="1" si="167">SUM(BA86:BA87)</f>
        <v>0</v>
      </c>
      <c r="BB85" s="131">
        <f t="shared" ref="BB85:BC85" ca="1" si="168">SUM(BB86:BB87)</f>
        <v>0</v>
      </c>
      <c r="BC85" s="291">
        <f t="shared" ca="1" si="168"/>
        <v>0</v>
      </c>
    </row>
    <row r="86" spans="2:55" x14ac:dyDescent="0.35">
      <c r="B86" s="80" t="s">
        <v>119</v>
      </c>
      <c r="C86" s="137">
        <f>IF(C$12="Actual",SUMIFS(ActualsTable[Month 1],ActualsTable[Expense Item2],$B86),SUMIFS(Expenses!BB$8:BB$69,Expenses!$O$8:$O$69,$B86)+SUMIFS(Headcount!L$395:L$1442,Headcount!$J$395:$J$1442,$B86))</f>
        <v>0</v>
      </c>
      <c r="D86" s="137">
        <f>IF(D$12="Actual",SUMIFS(ActualsTable[Month 2],ActualsTable[Expense Item2],$B86),SUMIFS(Expenses!BC$8:BC$69,Expenses!$O$8:$O$69,$B86)+SUMIFS(Headcount!M$395:M$1442,Headcount!$J$395:$J$1442,$B86))</f>
        <v>0</v>
      </c>
      <c r="E86" s="137">
        <f>IF(E$12="Actual",SUMIFS(ActualsTable[Month 3],ActualsTable[Expense Item2],$B86),SUMIFS(Expenses!BD$8:BD$69,Expenses!$O$8:$O$69,$B86)+SUMIFS(Headcount!N$395:N$1442,Headcount!$J$395:$J$1442,$B86))</f>
        <v>0</v>
      </c>
      <c r="F86" s="137">
        <f>IF(F$12="Actual",SUMIFS(ActualsTable[Month 4],ActualsTable[Expense Item2],$B86),SUMIFS(Expenses!BE$8:BE$69,Expenses!$O$8:$O$69,$B86)+SUMIFS(Headcount!O$395:O$1442,Headcount!$J$395:$J$1442,$B86))</f>
        <v>0</v>
      </c>
      <c r="G86" s="137">
        <f>IF(G$12="Actual",SUMIFS(ActualsTable[Month 5],ActualsTable[Expense Item2],$B86),SUMIFS(Expenses!BF$8:BF$69,Expenses!$O$8:$O$69,$B86)+SUMIFS(Headcount!P$395:P$1442,Headcount!$J$395:$J$1442,$B86))</f>
        <v>0</v>
      </c>
      <c r="H86" s="137">
        <f>IF(H$12="Actual",SUMIFS(ActualsTable[Month 6],ActualsTable[Expense Item2],$B86),SUMIFS(Expenses!BG$8:BG$69,Expenses!$O$8:$O$69,$B86)+SUMIFS(Headcount!Q$395:Q$1442,Headcount!$J$395:$J$1442,$B86))</f>
        <v>0</v>
      </c>
      <c r="I86" s="137">
        <f>IF(I$12="Actual",SUMIFS(ActualsTable[Month 7],ActualsTable[Expense Item2],$B86),SUMIFS(Expenses!BH$8:BH$69,Expenses!$O$8:$O$69,$B86)+SUMIFS(Headcount!R$395:R$1442,Headcount!$J$395:$J$1442,$B86))</f>
        <v>0</v>
      </c>
      <c r="J86" s="137">
        <f>IF(J$12="Actual",SUMIFS(ActualsTable[Month 8],ActualsTable[Expense Item2],$B86),SUMIFS(Expenses!BI$8:BI$69,Expenses!$O$8:$O$69,$B86)+SUMIFS(Headcount!S$395:S$1442,Headcount!$J$395:$J$1442,$B86))</f>
        <v>0</v>
      </c>
      <c r="K86" s="137">
        <f>IF(K$12="Actual",SUMIFS(ActualsTable[Month 9],ActualsTable[Expense Item2],$B86),SUMIFS(Expenses!BJ$8:BJ$69,Expenses!$O$8:$O$69,$B86)+SUMIFS(Headcount!T$395:T$1442,Headcount!$J$395:$J$1442,$B86))</f>
        <v>0</v>
      </c>
      <c r="L86" s="137">
        <f>IF(L$12="Actual",SUMIFS(ActualsTable[Month 10],ActualsTable[Expense Item2],$B86),SUMIFS(Expenses!BK$8:BK$69,Expenses!$O$8:$O$69,$B86)+SUMIFS(Headcount!U$395:U$1442,Headcount!$J$395:$J$1442,$B86))</f>
        <v>0</v>
      </c>
      <c r="M86" s="137">
        <f>IF(M$12="Actual",SUMIFS(ActualsTable[Month 11],ActualsTable[Expense Item2],$B86),SUMIFS(Expenses!BL$8:BL$69,Expenses!$O$8:$O$69,$B86)+SUMIFS(Headcount!V$395:V$1442,Headcount!$J$395:$J$1442,$B86))</f>
        <v>0</v>
      </c>
      <c r="N86" s="137">
        <f>IF(N$12="Actual",SUMIFS(ActualsTable[Month 12],ActualsTable[Expense Item2],$B86),SUMIFS(Expenses!BM$8:BM$69,Expenses!$O$8:$O$69,$B86)+SUMIFS(Headcount!W$395:W$1442,Headcount!$J$395:$J$1442,$B86))</f>
        <v>0</v>
      </c>
      <c r="O86" s="137">
        <f>IF(O$12="Actual",SUMIFS(ActualsTable[Month 13],ActualsTable[Expense Item2],$B86),SUMIFS(Expenses!BN$8:BN$69,Expenses!$O$8:$O$69,$B86)+SUMIFS(Headcount!X$395:X$1442,Headcount!$J$395:$J$1442,$B86))</f>
        <v>0</v>
      </c>
      <c r="P86" s="137">
        <f>IF(P$12="Actual",SUMIFS(ActualsTable[Month 14],ActualsTable[Expense Item2],$B86),SUMIFS(Expenses!BO$8:BO$69,Expenses!$O$8:$O$69,$B86)+SUMIFS(Headcount!Y$395:Y$1442,Headcount!$J$395:$J$1442,$B86))</f>
        <v>0</v>
      </c>
      <c r="Q86" s="137">
        <f>IF(Q$12="Actual",SUMIFS(ActualsTable[Month 15],ActualsTable[Expense Item2],$B86),SUMIFS(Expenses!BP$8:BP$69,Expenses!$O$8:$O$69,$B86)+SUMIFS(Headcount!Z$395:Z$1442,Headcount!$J$395:$J$1442,$B86))</f>
        <v>0</v>
      </c>
      <c r="R86" s="137">
        <f>IF(R$12="Actual",SUMIFS(ActualsTable[Month 16],ActualsTable[Expense Item2],$B86),SUMIFS(Expenses!BQ$8:BQ$69,Expenses!$O$8:$O$69,$B86)+SUMIFS(Headcount!AA$395:AA$1442,Headcount!$J$395:$J$1442,$B86))</f>
        <v>0</v>
      </c>
      <c r="S86" s="137">
        <f>IF(S$12="Actual",SUMIFS(ActualsTable[Month 17],ActualsTable[Expense Item2],$B86),SUMIFS(Expenses!BR$8:BR$69,Expenses!$O$8:$O$69,$B86)+SUMIFS(Headcount!AB$395:AB$1442,Headcount!$J$395:$J$1442,$B86))</f>
        <v>0</v>
      </c>
      <c r="T86" s="137">
        <f>IF(T$12="Actual",SUMIFS(ActualsTable[Month 18],ActualsTable[Expense Item2],$B86),SUMIFS(Expenses!BS$8:BS$69,Expenses!$O$8:$O$69,$B86)+SUMIFS(Headcount!AC$395:AC$1442,Headcount!$J$395:$J$1442,$B86))</f>
        <v>0</v>
      </c>
      <c r="U86" s="137">
        <f>IF(U$12="Actual",SUMIFS(ActualsTable[Month 19],ActualsTable[Expense Item2],$B86),SUMIFS(Expenses!BT$8:BT$69,Expenses!$O$8:$O$69,$B86)+SUMIFS(Headcount!AD$395:AD$1442,Headcount!$J$395:$J$1442,$B86))</f>
        <v>0</v>
      </c>
      <c r="V86" s="137">
        <f>IF(V$12="Actual",SUMIFS(ActualsTable[Month 20],ActualsTable[Expense Item2],$B86),SUMIFS(Expenses!BU$8:BU$69,Expenses!$O$8:$O$69,$B86)+SUMIFS(Headcount!AE$395:AE$1442,Headcount!$J$395:$J$1442,$B86))</f>
        <v>0</v>
      </c>
      <c r="W86" s="137">
        <f>IF(W$12="Actual",SUMIFS(ActualsTable[Month 21],ActualsTable[Expense Item2],$B86),SUMIFS(Expenses!BV$8:BV$69,Expenses!$O$8:$O$69,$B86)+SUMIFS(Headcount!AF$395:AF$1442,Headcount!$J$395:$J$1442,$B86))</f>
        <v>0</v>
      </c>
      <c r="X86" s="137">
        <f>IF(X$12="Actual",SUMIFS(ActualsTable[Month 22],ActualsTable[Expense Item2],$B86),SUMIFS(Expenses!BW$8:BW$69,Expenses!$O$8:$O$69,$B86)+SUMIFS(Headcount!AG$395:AG$1442,Headcount!$J$395:$J$1442,$B86))</f>
        <v>0</v>
      </c>
      <c r="Y86" s="137">
        <f>IF(Y$12="Actual",SUMIFS(ActualsTable[Month 23],ActualsTable[Expense Item2],$B86),SUMIFS(Expenses!BX$8:BX$69,Expenses!$O$8:$O$69,$B86)+SUMIFS(Headcount!AH$395:AH$1442,Headcount!$J$395:$J$1442,$B86))</f>
        <v>0</v>
      </c>
      <c r="Z86" s="137">
        <f>IF(Z$12="Actual",SUMIFS(ActualsTable[Month 24],ActualsTable[Expense Item2],$B86),SUMIFS(Expenses!BY$8:BY$69,Expenses!$O$8:$O$69,$B86)+SUMIFS(Headcount!AI$395:AI$1442,Headcount!$J$395:$J$1442,$B86))</f>
        <v>0</v>
      </c>
      <c r="AA86" s="137">
        <f>IF(AA$12="Actual",SUMIFS(ActualsTable[Month 25],ActualsTable[Expense Item2],$B86),SUMIFS(Expenses!BZ$8:BZ$69,Expenses!$O$8:$O$69,$B86)+SUMIFS(Headcount!AJ$395:AJ$1442,Headcount!$J$395:$J$1442,$B86))</f>
        <v>0</v>
      </c>
      <c r="AB86" s="137">
        <f>IF(AB$12="Actual",SUMIFS(ActualsTable[Month 26],ActualsTable[Expense Item2],$B86),SUMIFS(Expenses!CA$8:CA$69,Expenses!$O$8:$O$69,$B86)+SUMIFS(Headcount!AK$395:AK$1442,Headcount!$J$395:$J$1442,$B86))</f>
        <v>0</v>
      </c>
      <c r="AC86" s="137">
        <f>IF(AC$12="Actual",SUMIFS(ActualsTable[Month 27],ActualsTable[Expense Item2],$B86),SUMIFS(Expenses!CB$8:CB$69,Expenses!$O$8:$O$69,$B86)+SUMIFS(Headcount!AL$395:AL$1442,Headcount!$J$395:$J$1442,$B86))</f>
        <v>0</v>
      </c>
      <c r="AD86" s="137">
        <f>IF(AD$12="Actual",SUMIFS(ActualsTable[Month 28],ActualsTable[Expense Item2],$B86),SUMIFS(Expenses!CC$8:CC$69,Expenses!$O$8:$O$69,$B86)+SUMIFS(Headcount!AM$395:AM$1442,Headcount!$J$395:$J$1442,$B86))</f>
        <v>0</v>
      </c>
      <c r="AE86" s="137">
        <f>IF(AE$12="Actual",SUMIFS(ActualsTable[Month 29],ActualsTable[Expense Item2],$B86),SUMIFS(Expenses!CD$8:CD$69,Expenses!$O$8:$O$69,$B86)+SUMIFS(Headcount!AN$395:AN$1442,Headcount!$J$395:$J$1442,$B86))</f>
        <v>0</v>
      </c>
      <c r="AF86" s="137">
        <f>IF(AF$12="Actual",SUMIFS(ActualsTable[Month 30],ActualsTable[Expense Item2],$B86),SUMIFS(Expenses!CE$8:CE$69,Expenses!$O$8:$O$69,$B86)+SUMIFS(Headcount!AO$395:AO$1442,Headcount!$J$395:$J$1442,$B86))</f>
        <v>0</v>
      </c>
      <c r="AG86" s="137">
        <f>IF(AG$12="Actual",SUMIFS(ActualsTable[Month 31],ActualsTable[Expense Item2],$B86),SUMIFS(Expenses!CF$8:CF$69,Expenses!$O$8:$O$69,$B86)+SUMIFS(Headcount!AP$395:AP$1442,Headcount!$J$395:$J$1442,$B86))</f>
        <v>0</v>
      </c>
      <c r="AH86" s="137">
        <f>IF(AH$12="Actual",SUMIFS(ActualsTable[Month 32],ActualsTable[Expense Item2],$B86),SUMIFS(Expenses!CG$8:CG$69,Expenses!$O$8:$O$69,$B86)+SUMIFS(Headcount!AQ$395:AQ$1442,Headcount!$J$395:$J$1442,$B86))</f>
        <v>0</v>
      </c>
      <c r="AI86" s="137">
        <f>IF(AI$12="Actual",SUMIFS(ActualsTable[Month 33],ActualsTable[Expense Item2],$B86),SUMIFS(Expenses!CH$8:CH$69,Expenses!$O$8:$O$69,$B86)+SUMIFS(Headcount!AR$395:AR$1442,Headcount!$J$395:$J$1442,$B86))</f>
        <v>0</v>
      </c>
      <c r="AJ86" s="137">
        <f>IF(AJ$12="Actual",SUMIFS(ActualsTable[Month 34],ActualsTable[Expense Item2],$B86),SUMIFS(Expenses!CI$8:CI$69,Expenses!$O$8:$O$69,$B86)+SUMIFS(Headcount!AS$395:AS$1442,Headcount!$J$395:$J$1442,$B86))</f>
        <v>0</v>
      </c>
      <c r="AK86" s="137">
        <f>IF(AK$12="Actual",SUMIFS(ActualsTable[Month 35],ActualsTable[Expense Item2],$B86),SUMIFS(Expenses!CJ$8:CJ$69,Expenses!$O$8:$O$69,$B86)+SUMIFS(Headcount!AT$395:AT$1442,Headcount!$J$395:$J$1442,$B86))</f>
        <v>0</v>
      </c>
      <c r="AL86" s="293">
        <f>IF(AL$12="Actual",SUMIFS(ActualsTable[Month 36],ActualsTable[Expense Item2],$B86),SUMIFS(Expenses!CK$8:CK$69,Expenses!$O$8:$O$69,$B86)+SUMIFS(Headcount!AU$395:AU$1442,Headcount!$J$395:$J$1442,$B86))</f>
        <v>0</v>
      </c>
      <c r="AN86" s="319">
        <f t="shared" ref="AN86:AY87" ca="1" si="169">SUM(OFFSET($B86,0,3*AN$9+1,1,3))</f>
        <v>0</v>
      </c>
      <c r="AO86" s="137">
        <f t="shared" ca="1" si="169"/>
        <v>0</v>
      </c>
      <c r="AP86" s="137">
        <f t="shared" ca="1" si="169"/>
        <v>0</v>
      </c>
      <c r="AQ86" s="137">
        <f t="shared" ca="1" si="169"/>
        <v>0</v>
      </c>
      <c r="AR86" s="137">
        <f t="shared" ca="1" si="169"/>
        <v>0</v>
      </c>
      <c r="AS86" s="137">
        <f t="shared" ca="1" si="169"/>
        <v>0</v>
      </c>
      <c r="AT86" s="137">
        <f t="shared" ca="1" si="169"/>
        <v>0</v>
      </c>
      <c r="AU86" s="137">
        <f t="shared" ca="1" si="169"/>
        <v>0</v>
      </c>
      <c r="AV86" s="137">
        <f t="shared" ca="1" si="169"/>
        <v>0</v>
      </c>
      <c r="AW86" s="137">
        <f t="shared" ca="1" si="169"/>
        <v>0</v>
      </c>
      <c r="AX86" s="137">
        <f t="shared" ca="1" si="169"/>
        <v>0</v>
      </c>
      <c r="AY86" s="293">
        <f t="shared" ca="1" si="169"/>
        <v>0</v>
      </c>
      <c r="BA86" s="319">
        <f t="shared" ref="BA86:BC87" ca="1" si="170">SUM(OFFSET($B86,0,12*BA$9+1,1,12))</f>
        <v>0</v>
      </c>
      <c r="BB86" s="137">
        <f t="shared" ca="1" si="170"/>
        <v>0</v>
      </c>
      <c r="BC86" s="293">
        <f t="shared" ca="1" si="170"/>
        <v>0</v>
      </c>
    </row>
    <row r="87" spans="2:55" x14ac:dyDescent="0.35">
      <c r="B87" s="80" t="s">
        <v>120</v>
      </c>
      <c r="C87" s="137">
        <f>IF(C$12="Actual",SUMIFS(ActualsTable[Month 1],ActualsTable[Expense Item2],$B87),SUMIFS(Expenses!BB$8:BB$69,Expenses!$O$8:$O$69,$B87)+SUMIFS(Headcount!L$395:L$1442,Headcount!$J$395:$J$1442,$B87))</f>
        <v>0</v>
      </c>
      <c r="D87" s="137">
        <f>IF(D$12="Actual",SUMIFS(ActualsTable[Month 2],ActualsTable[Expense Item2],$B87),SUMIFS(Expenses!BC$8:BC$69,Expenses!$O$8:$O$69,$B87)+SUMIFS(Headcount!M$395:M$1442,Headcount!$J$395:$J$1442,$B87))</f>
        <v>0</v>
      </c>
      <c r="E87" s="137">
        <f>IF(E$12="Actual",SUMIFS(ActualsTable[Month 3],ActualsTable[Expense Item2],$B87),SUMIFS(Expenses!BD$8:BD$69,Expenses!$O$8:$O$69,$B87)+SUMIFS(Headcount!N$395:N$1442,Headcount!$J$395:$J$1442,$B87))</f>
        <v>0</v>
      </c>
      <c r="F87" s="137">
        <f>IF(F$12="Actual",SUMIFS(ActualsTable[Month 4],ActualsTable[Expense Item2],$B87),SUMIFS(Expenses!BE$8:BE$69,Expenses!$O$8:$O$69,$B87)+SUMIFS(Headcount!O$395:O$1442,Headcount!$J$395:$J$1442,$B87))</f>
        <v>0</v>
      </c>
      <c r="G87" s="137">
        <f>IF(G$12="Actual",SUMIFS(ActualsTable[Month 5],ActualsTable[Expense Item2],$B87),SUMIFS(Expenses!BF$8:BF$69,Expenses!$O$8:$O$69,$B87)+SUMIFS(Headcount!P$395:P$1442,Headcount!$J$395:$J$1442,$B87))</f>
        <v>0</v>
      </c>
      <c r="H87" s="137">
        <f>IF(H$12="Actual",SUMIFS(ActualsTable[Month 6],ActualsTable[Expense Item2],$B87),SUMIFS(Expenses!BG$8:BG$69,Expenses!$O$8:$O$69,$B87)+SUMIFS(Headcount!Q$395:Q$1442,Headcount!$J$395:$J$1442,$B87))</f>
        <v>0</v>
      </c>
      <c r="I87" s="137">
        <f>IF(I$12="Actual",SUMIFS(ActualsTable[Month 7],ActualsTable[Expense Item2],$B87),SUMIFS(Expenses!BH$8:BH$69,Expenses!$O$8:$O$69,$B87)+SUMIFS(Headcount!R$395:R$1442,Headcount!$J$395:$J$1442,$B87))</f>
        <v>0</v>
      </c>
      <c r="J87" s="137">
        <f>IF(J$12="Actual",SUMIFS(ActualsTable[Month 8],ActualsTable[Expense Item2],$B87),SUMIFS(Expenses!BI$8:BI$69,Expenses!$O$8:$O$69,$B87)+SUMIFS(Headcount!S$395:S$1442,Headcount!$J$395:$J$1442,$B87))</f>
        <v>0</v>
      </c>
      <c r="K87" s="137">
        <f>IF(K$12="Actual",SUMIFS(ActualsTable[Month 9],ActualsTable[Expense Item2],$B87),SUMIFS(Expenses!BJ$8:BJ$69,Expenses!$O$8:$O$69,$B87)+SUMIFS(Headcount!T$395:T$1442,Headcount!$J$395:$J$1442,$B87))</f>
        <v>0</v>
      </c>
      <c r="L87" s="137">
        <f>IF(L$12="Actual",SUMIFS(ActualsTable[Month 10],ActualsTable[Expense Item2],$B87),SUMIFS(Expenses!BK$8:BK$69,Expenses!$O$8:$O$69,$B87)+SUMIFS(Headcount!U$395:U$1442,Headcount!$J$395:$J$1442,$B87))</f>
        <v>0</v>
      </c>
      <c r="M87" s="137">
        <f>IF(M$12="Actual",SUMIFS(ActualsTable[Month 11],ActualsTable[Expense Item2],$B87),SUMIFS(Expenses!BL$8:BL$69,Expenses!$O$8:$O$69,$B87)+SUMIFS(Headcount!V$395:V$1442,Headcount!$J$395:$J$1442,$B87))</f>
        <v>0</v>
      </c>
      <c r="N87" s="137">
        <f>IF(N$12="Actual",SUMIFS(ActualsTable[Month 12],ActualsTable[Expense Item2],$B87),SUMIFS(Expenses!BM$8:BM$69,Expenses!$O$8:$O$69,$B87)+SUMIFS(Headcount!W$395:W$1442,Headcount!$J$395:$J$1442,$B87))</f>
        <v>0</v>
      </c>
      <c r="O87" s="137">
        <f>IF(O$12="Actual",SUMIFS(ActualsTable[Month 13],ActualsTable[Expense Item2],$B87),SUMIFS(Expenses!BN$8:BN$69,Expenses!$O$8:$O$69,$B87)+SUMIFS(Headcount!X$395:X$1442,Headcount!$J$395:$J$1442,$B87))</f>
        <v>0</v>
      </c>
      <c r="P87" s="137">
        <f>IF(P$12="Actual",SUMIFS(ActualsTable[Month 14],ActualsTable[Expense Item2],$B87),SUMIFS(Expenses!BO$8:BO$69,Expenses!$O$8:$O$69,$B87)+SUMIFS(Headcount!Y$395:Y$1442,Headcount!$J$395:$J$1442,$B87))</f>
        <v>0</v>
      </c>
      <c r="Q87" s="137">
        <f>IF(Q$12="Actual",SUMIFS(ActualsTable[Month 15],ActualsTable[Expense Item2],$B87),SUMIFS(Expenses!BP$8:BP$69,Expenses!$O$8:$O$69,$B87)+SUMIFS(Headcount!Z$395:Z$1442,Headcount!$J$395:$J$1442,$B87))</f>
        <v>0</v>
      </c>
      <c r="R87" s="137">
        <f>IF(R$12="Actual",SUMIFS(ActualsTable[Month 16],ActualsTable[Expense Item2],$B87),SUMIFS(Expenses!BQ$8:BQ$69,Expenses!$O$8:$O$69,$B87)+SUMIFS(Headcount!AA$395:AA$1442,Headcount!$J$395:$J$1442,$B87))</f>
        <v>0</v>
      </c>
      <c r="S87" s="137">
        <f>IF(S$12="Actual",SUMIFS(ActualsTable[Month 17],ActualsTable[Expense Item2],$B87),SUMIFS(Expenses!BR$8:BR$69,Expenses!$O$8:$O$69,$B87)+SUMIFS(Headcount!AB$395:AB$1442,Headcount!$J$395:$J$1442,$B87))</f>
        <v>0</v>
      </c>
      <c r="T87" s="137">
        <f>IF(T$12="Actual",SUMIFS(ActualsTable[Month 18],ActualsTable[Expense Item2],$B87),SUMIFS(Expenses!BS$8:BS$69,Expenses!$O$8:$O$69,$B87)+SUMIFS(Headcount!AC$395:AC$1442,Headcount!$J$395:$J$1442,$B87))</f>
        <v>0</v>
      </c>
      <c r="U87" s="137">
        <f>IF(U$12="Actual",SUMIFS(ActualsTable[Month 19],ActualsTable[Expense Item2],$B87),SUMIFS(Expenses!BT$8:BT$69,Expenses!$O$8:$O$69,$B87)+SUMIFS(Headcount!AD$395:AD$1442,Headcount!$J$395:$J$1442,$B87))</f>
        <v>0</v>
      </c>
      <c r="V87" s="137">
        <f>IF(V$12="Actual",SUMIFS(ActualsTable[Month 20],ActualsTable[Expense Item2],$B87),SUMIFS(Expenses!BU$8:BU$69,Expenses!$O$8:$O$69,$B87)+SUMIFS(Headcount!AE$395:AE$1442,Headcount!$J$395:$J$1442,$B87))</f>
        <v>0</v>
      </c>
      <c r="W87" s="137">
        <f>IF(W$12="Actual",SUMIFS(ActualsTable[Month 21],ActualsTable[Expense Item2],$B87),SUMIFS(Expenses!BV$8:BV$69,Expenses!$O$8:$O$69,$B87)+SUMIFS(Headcount!AF$395:AF$1442,Headcount!$J$395:$J$1442,$B87))</f>
        <v>0</v>
      </c>
      <c r="X87" s="137">
        <f>IF(X$12="Actual",SUMIFS(ActualsTable[Month 22],ActualsTable[Expense Item2],$B87),SUMIFS(Expenses!BW$8:BW$69,Expenses!$O$8:$O$69,$B87)+SUMIFS(Headcount!AG$395:AG$1442,Headcount!$J$395:$J$1442,$B87))</f>
        <v>0</v>
      </c>
      <c r="Y87" s="137">
        <f>IF(Y$12="Actual",SUMIFS(ActualsTable[Month 23],ActualsTable[Expense Item2],$B87),SUMIFS(Expenses!BX$8:BX$69,Expenses!$O$8:$O$69,$B87)+SUMIFS(Headcount!AH$395:AH$1442,Headcount!$J$395:$J$1442,$B87))</f>
        <v>0</v>
      </c>
      <c r="Z87" s="137">
        <f>IF(Z$12="Actual",SUMIFS(ActualsTable[Month 24],ActualsTable[Expense Item2],$B87),SUMIFS(Expenses!BY$8:BY$69,Expenses!$O$8:$O$69,$B87)+SUMIFS(Headcount!AI$395:AI$1442,Headcount!$J$395:$J$1442,$B87))</f>
        <v>0</v>
      </c>
      <c r="AA87" s="137">
        <f>IF(AA$12="Actual",SUMIFS(ActualsTable[Month 25],ActualsTable[Expense Item2],$B87),SUMIFS(Expenses!BZ$8:BZ$69,Expenses!$O$8:$O$69,$B87)+SUMIFS(Headcount!AJ$395:AJ$1442,Headcount!$J$395:$J$1442,$B87))</f>
        <v>0</v>
      </c>
      <c r="AB87" s="137">
        <f>IF(AB$12="Actual",SUMIFS(ActualsTable[Month 26],ActualsTable[Expense Item2],$B87),SUMIFS(Expenses!CA$8:CA$69,Expenses!$O$8:$O$69,$B87)+SUMIFS(Headcount!AK$395:AK$1442,Headcount!$J$395:$J$1442,$B87))</f>
        <v>0</v>
      </c>
      <c r="AC87" s="137">
        <f>IF(AC$12="Actual",SUMIFS(ActualsTable[Month 27],ActualsTable[Expense Item2],$B87),SUMIFS(Expenses!CB$8:CB$69,Expenses!$O$8:$O$69,$B87)+SUMIFS(Headcount!AL$395:AL$1442,Headcount!$J$395:$J$1442,$B87))</f>
        <v>0</v>
      </c>
      <c r="AD87" s="137">
        <f>IF(AD$12="Actual",SUMIFS(ActualsTable[Month 28],ActualsTable[Expense Item2],$B87),SUMIFS(Expenses!CC$8:CC$69,Expenses!$O$8:$O$69,$B87)+SUMIFS(Headcount!AM$395:AM$1442,Headcount!$J$395:$J$1442,$B87))</f>
        <v>0</v>
      </c>
      <c r="AE87" s="137">
        <f>IF(AE$12="Actual",SUMIFS(ActualsTable[Month 29],ActualsTable[Expense Item2],$B87),SUMIFS(Expenses!CD$8:CD$69,Expenses!$O$8:$O$69,$B87)+SUMIFS(Headcount!AN$395:AN$1442,Headcount!$J$395:$J$1442,$B87))</f>
        <v>0</v>
      </c>
      <c r="AF87" s="137">
        <f>IF(AF$12="Actual",SUMIFS(ActualsTable[Month 30],ActualsTable[Expense Item2],$B87),SUMIFS(Expenses!CE$8:CE$69,Expenses!$O$8:$O$69,$B87)+SUMIFS(Headcount!AO$395:AO$1442,Headcount!$J$395:$J$1442,$B87))</f>
        <v>0</v>
      </c>
      <c r="AG87" s="137">
        <f>IF(AG$12="Actual",SUMIFS(ActualsTable[Month 31],ActualsTable[Expense Item2],$B87),SUMIFS(Expenses!CF$8:CF$69,Expenses!$O$8:$O$69,$B87)+SUMIFS(Headcount!AP$395:AP$1442,Headcount!$J$395:$J$1442,$B87))</f>
        <v>0</v>
      </c>
      <c r="AH87" s="137">
        <f>IF(AH$12="Actual",SUMIFS(ActualsTable[Month 32],ActualsTable[Expense Item2],$B87),SUMIFS(Expenses!CG$8:CG$69,Expenses!$O$8:$O$69,$B87)+SUMIFS(Headcount!AQ$395:AQ$1442,Headcount!$J$395:$J$1442,$B87))</f>
        <v>0</v>
      </c>
      <c r="AI87" s="137">
        <f>IF(AI$12="Actual",SUMIFS(ActualsTable[Month 33],ActualsTable[Expense Item2],$B87),SUMIFS(Expenses!CH$8:CH$69,Expenses!$O$8:$O$69,$B87)+SUMIFS(Headcount!AR$395:AR$1442,Headcount!$J$395:$J$1442,$B87))</f>
        <v>0</v>
      </c>
      <c r="AJ87" s="137">
        <f>IF(AJ$12="Actual",SUMIFS(ActualsTable[Month 34],ActualsTable[Expense Item2],$B87),SUMIFS(Expenses!CI$8:CI$69,Expenses!$O$8:$O$69,$B87)+SUMIFS(Headcount!AS$395:AS$1442,Headcount!$J$395:$J$1442,$B87))</f>
        <v>0</v>
      </c>
      <c r="AK87" s="137">
        <f>IF(AK$12="Actual",SUMIFS(ActualsTable[Month 35],ActualsTable[Expense Item2],$B87),SUMIFS(Expenses!CJ$8:CJ$69,Expenses!$O$8:$O$69,$B87)+SUMIFS(Headcount!AT$395:AT$1442,Headcount!$J$395:$J$1442,$B87))</f>
        <v>0</v>
      </c>
      <c r="AL87" s="293">
        <f>IF(AL$12="Actual",SUMIFS(ActualsTable[Month 36],ActualsTable[Expense Item2],$B87),SUMIFS(Expenses!CK$8:CK$69,Expenses!$O$8:$O$69,$B87)+SUMIFS(Headcount!AU$395:AU$1442,Headcount!$J$395:$J$1442,$B87))</f>
        <v>0</v>
      </c>
      <c r="AN87" s="319">
        <f t="shared" ca="1" si="169"/>
        <v>0</v>
      </c>
      <c r="AO87" s="137">
        <f t="shared" ca="1" si="169"/>
        <v>0</v>
      </c>
      <c r="AP87" s="137">
        <f t="shared" ca="1" si="169"/>
        <v>0</v>
      </c>
      <c r="AQ87" s="137">
        <f t="shared" ca="1" si="169"/>
        <v>0</v>
      </c>
      <c r="AR87" s="137">
        <f t="shared" ca="1" si="169"/>
        <v>0</v>
      </c>
      <c r="AS87" s="137">
        <f t="shared" ca="1" si="169"/>
        <v>0</v>
      </c>
      <c r="AT87" s="137">
        <f t="shared" ca="1" si="169"/>
        <v>0</v>
      </c>
      <c r="AU87" s="137">
        <f t="shared" ca="1" si="169"/>
        <v>0</v>
      </c>
      <c r="AV87" s="137">
        <f t="shared" ca="1" si="169"/>
        <v>0</v>
      </c>
      <c r="AW87" s="137">
        <f t="shared" ca="1" si="169"/>
        <v>0</v>
      </c>
      <c r="AX87" s="137">
        <f t="shared" ca="1" si="169"/>
        <v>0</v>
      </c>
      <c r="AY87" s="293">
        <f t="shared" ca="1" si="169"/>
        <v>0</v>
      </c>
      <c r="BA87" s="319">
        <f t="shared" ca="1" si="170"/>
        <v>0</v>
      </c>
      <c r="BB87" s="137">
        <f t="shared" ca="1" si="170"/>
        <v>0</v>
      </c>
      <c r="BC87" s="293">
        <f t="shared" ca="1" si="170"/>
        <v>0</v>
      </c>
    </row>
    <row r="88" spans="2:55" x14ac:dyDescent="0.35">
      <c r="B88" s="79" t="s">
        <v>121</v>
      </c>
      <c r="C88" s="131">
        <f t="shared" ref="C88:AN88" si="171">SUM(C89:C93)</f>
        <v>0</v>
      </c>
      <c r="D88" s="131">
        <f t="shared" ref="D88:AL88" si="172">SUM(D89:D93)</f>
        <v>0</v>
      </c>
      <c r="E88" s="131">
        <f t="shared" si="172"/>
        <v>0</v>
      </c>
      <c r="F88" s="131">
        <f t="shared" si="172"/>
        <v>0</v>
      </c>
      <c r="G88" s="131">
        <f t="shared" si="172"/>
        <v>0</v>
      </c>
      <c r="H88" s="131">
        <f t="shared" si="172"/>
        <v>0</v>
      </c>
      <c r="I88" s="131">
        <f t="shared" si="172"/>
        <v>0</v>
      </c>
      <c r="J88" s="131">
        <f t="shared" si="172"/>
        <v>0</v>
      </c>
      <c r="K88" s="131">
        <f t="shared" si="172"/>
        <v>0</v>
      </c>
      <c r="L88" s="131">
        <f t="shared" si="172"/>
        <v>0</v>
      </c>
      <c r="M88" s="131">
        <f t="shared" si="172"/>
        <v>0</v>
      </c>
      <c r="N88" s="131">
        <f t="shared" si="172"/>
        <v>0</v>
      </c>
      <c r="O88" s="131">
        <f t="shared" si="172"/>
        <v>0</v>
      </c>
      <c r="P88" s="131">
        <f t="shared" si="172"/>
        <v>0</v>
      </c>
      <c r="Q88" s="131">
        <f t="shared" si="172"/>
        <v>0</v>
      </c>
      <c r="R88" s="131">
        <f t="shared" si="172"/>
        <v>0</v>
      </c>
      <c r="S88" s="131">
        <f t="shared" si="172"/>
        <v>0</v>
      </c>
      <c r="T88" s="131">
        <f t="shared" si="172"/>
        <v>0</v>
      </c>
      <c r="U88" s="131">
        <f t="shared" si="172"/>
        <v>0</v>
      </c>
      <c r="V88" s="131">
        <f t="shared" si="172"/>
        <v>0</v>
      </c>
      <c r="W88" s="131">
        <f t="shared" si="172"/>
        <v>0</v>
      </c>
      <c r="X88" s="131">
        <f t="shared" si="172"/>
        <v>0</v>
      </c>
      <c r="Y88" s="131">
        <f t="shared" si="172"/>
        <v>0</v>
      </c>
      <c r="Z88" s="131">
        <f t="shared" si="172"/>
        <v>0</v>
      </c>
      <c r="AA88" s="131">
        <f t="shared" si="172"/>
        <v>0</v>
      </c>
      <c r="AB88" s="131">
        <f t="shared" si="172"/>
        <v>0</v>
      </c>
      <c r="AC88" s="131">
        <f t="shared" si="172"/>
        <v>0</v>
      </c>
      <c r="AD88" s="131">
        <f t="shared" si="172"/>
        <v>0</v>
      </c>
      <c r="AE88" s="131">
        <f t="shared" si="172"/>
        <v>0</v>
      </c>
      <c r="AF88" s="131">
        <f t="shared" si="172"/>
        <v>0</v>
      </c>
      <c r="AG88" s="131">
        <f t="shared" si="172"/>
        <v>0</v>
      </c>
      <c r="AH88" s="131">
        <f t="shared" si="172"/>
        <v>0</v>
      </c>
      <c r="AI88" s="131">
        <f t="shared" si="172"/>
        <v>0</v>
      </c>
      <c r="AJ88" s="131">
        <f t="shared" si="172"/>
        <v>0</v>
      </c>
      <c r="AK88" s="131">
        <f t="shared" si="172"/>
        <v>0</v>
      </c>
      <c r="AL88" s="291">
        <f t="shared" si="172"/>
        <v>0</v>
      </c>
      <c r="AN88" s="317">
        <f t="shared" ca="1" si="171"/>
        <v>0</v>
      </c>
      <c r="AO88" s="131">
        <f t="shared" ref="AO88:AT88" ca="1" si="173">SUM(AO89:AO93)</f>
        <v>0</v>
      </c>
      <c r="AP88" s="131">
        <f t="shared" ca="1" si="173"/>
        <v>0</v>
      </c>
      <c r="AQ88" s="131">
        <f t="shared" ca="1" si="173"/>
        <v>0</v>
      </c>
      <c r="AR88" s="131">
        <f t="shared" ca="1" si="173"/>
        <v>0</v>
      </c>
      <c r="AS88" s="131">
        <f t="shared" ca="1" si="173"/>
        <v>0</v>
      </c>
      <c r="AT88" s="131">
        <f t="shared" ca="1" si="173"/>
        <v>0</v>
      </c>
      <c r="AU88" s="131">
        <f t="shared" ref="AU88:AY88" ca="1" si="174">SUM(AU89:AU93)</f>
        <v>0</v>
      </c>
      <c r="AV88" s="131">
        <f t="shared" ca="1" si="174"/>
        <v>0</v>
      </c>
      <c r="AW88" s="131">
        <f t="shared" ca="1" si="174"/>
        <v>0</v>
      </c>
      <c r="AX88" s="131">
        <f t="shared" ca="1" si="174"/>
        <v>0</v>
      </c>
      <c r="AY88" s="291">
        <f t="shared" ca="1" si="174"/>
        <v>0</v>
      </c>
      <c r="BA88" s="317">
        <f t="shared" ref="BA88" ca="1" si="175">SUM(BA89:BA93)</f>
        <v>0</v>
      </c>
      <c r="BB88" s="131">
        <f t="shared" ref="BB88:BC88" ca="1" si="176">SUM(BB89:BB93)</f>
        <v>0</v>
      </c>
      <c r="BC88" s="291">
        <f t="shared" ca="1" si="176"/>
        <v>0</v>
      </c>
    </row>
    <row r="89" spans="2:55" x14ac:dyDescent="0.35">
      <c r="B89" s="80" t="s">
        <v>122</v>
      </c>
      <c r="C89" s="137">
        <f>IF(C$12="Actual",SUMIFS(ActualsTable[Month 1],ActualsTable[Expense Item2],$B89),SUMIFS(Expenses!BB$8:BB$69,Expenses!$O$8:$O$69,$B89)+SUMIFS(Headcount!L$395:L$1442,Headcount!$J$395:$J$1442,$B89))</f>
        <v>0</v>
      </c>
      <c r="D89" s="137">
        <f>IF(D$12="Actual",SUMIFS(ActualsTable[Month 2],ActualsTable[Expense Item2],$B89),SUMIFS(Expenses!BC$8:BC$69,Expenses!$O$8:$O$69,$B89)+SUMIFS(Headcount!M$395:M$1442,Headcount!$J$395:$J$1442,$B89))</f>
        <v>0</v>
      </c>
      <c r="E89" s="137">
        <f>IF(E$12="Actual",SUMIFS(ActualsTable[Month 3],ActualsTable[Expense Item2],$B89),SUMIFS(Expenses!BD$8:BD$69,Expenses!$O$8:$O$69,$B89)+SUMIFS(Headcount!N$395:N$1442,Headcount!$J$395:$J$1442,$B89))</f>
        <v>0</v>
      </c>
      <c r="F89" s="137">
        <f>IF(F$12="Actual",SUMIFS(ActualsTable[Month 4],ActualsTable[Expense Item2],$B89),SUMIFS(Expenses!BE$8:BE$69,Expenses!$O$8:$O$69,$B89)+SUMIFS(Headcount!O$395:O$1442,Headcount!$J$395:$J$1442,$B89))</f>
        <v>0</v>
      </c>
      <c r="G89" s="137">
        <f>IF(G$12="Actual",SUMIFS(ActualsTable[Month 5],ActualsTable[Expense Item2],$B89),SUMIFS(Expenses!BF$8:BF$69,Expenses!$O$8:$O$69,$B89)+SUMIFS(Headcount!P$395:P$1442,Headcount!$J$395:$J$1442,$B89))</f>
        <v>0</v>
      </c>
      <c r="H89" s="137">
        <f>IF(H$12="Actual",SUMIFS(ActualsTable[Month 6],ActualsTable[Expense Item2],$B89),SUMIFS(Expenses!BG$8:BG$69,Expenses!$O$8:$O$69,$B89)+SUMIFS(Headcount!Q$395:Q$1442,Headcount!$J$395:$J$1442,$B89))</f>
        <v>0</v>
      </c>
      <c r="I89" s="137">
        <f>IF(I$12="Actual",SUMIFS(ActualsTable[Month 7],ActualsTable[Expense Item2],$B89),SUMIFS(Expenses!BH$8:BH$69,Expenses!$O$8:$O$69,$B89)+SUMIFS(Headcount!R$395:R$1442,Headcount!$J$395:$J$1442,$B89))</f>
        <v>0</v>
      </c>
      <c r="J89" s="137">
        <f>IF(J$12="Actual",SUMIFS(ActualsTable[Month 8],ActualsTable[Expense Item2],$B89),SUMIFS(Expenses!BI$8:BI$69,Expenses!$O$8:$O$69,$B89)+SUMIFS(Headcount!S$395:S$1442,Headcount!$J$395:$J$1442,$B89))</f>
        <v>0</v>
      </c>
      <c r="K89" s="137">
        <f>IF(K$12="Actual",SUMIFS(ActualsTable[Month 9],ActualsTable[Expense Item2],$B89),SUMIFS(Expenses!BJ$8:BJ$69,Expenses!$O$8:$O$69,$B89)+SUMIFS(Headcount!T$395:T$1442,Headcount!$J$395:$J$1442,$B89))</f>
        <v>0</v>
      </c>
      <c r="L89" s="137">
        <f>IF(L$12="Actual",SUMIFS(ActualsTable[Month 10],ActualsTable[Expense Item2],$B89),SUMIFS(Expenses!BK$8:BK$69,Expenses!$O$8:$O$69,$B89)+SUMIFS(Headcount!U$395:U$1442,Headcount!$J$395:$J$1442,$B89))</f>
        <v>0</v>
      </c>
      <c r="M89" s="137">
        <f>IF(M$12="Actual",SUMIFS(ActualsTable[Month 11],ActualsTable[Expense Item2],$B89),SUMIFS(Expenses!BL$8:BL$69,Expenses!$O$8:$O$69,$B89)+SUMIFS(Headcount!V$395:V$1442,Headcount!$J$395:$J$1442,$B89))</f>
        <v>0</v>
      </c>
      <c r="N89" s="137">
        <f>IF(N$12="Actual",SUMIFS(ActualsTable[Month 12],ActualsTable[Expense Item2],$B89),SUMIFS(Expenses!BM$8:BM$69,Expenses!$O$8:$O$69,$B89)+SUMIFS(Headcount!W$395:W$1442,Headcount!$J$395:$J$1442,$B89))</f>
        <v>0</v>
      </c>
      <c r="O89" s="137">
        <f>IF(O$12="Actual",SUMIFS(ActualsTable[Month 13],ActualsTable[Expense Item2],$B89),SUMIFS(Expenses!BN$8:BN$69,Expenses!$O$8:$O$69,$B89)+SUMIFS(Headcount!X$395:X$1442,Headcount!$J$395:$J$1442,$B89))</f>
        <v>0</v>
      </c>
      <c r="P89" s="137">
        <f>IF(P$12="Actual",SUMIFS(ActualsTable[Month 14],ActualsTable[Expense Item2],$B89),SUMIFS(Expenses!BO$8:BO$69,Expenses!$O$8:$O$69,$B89)+SUMIFS(Headcount!Y$395:Y$1442,Headcount!$J$395:$J$1442,$B89))</f>
        <v>0</v>
      </c>
      <c r="Q89" s="137">
        <f>IF(Q$12="Actual",SUMIFS(ActualsTable[Month 15],ActualsTable[Expense Item2],$B89),SUMIFS(Expenses!BP$8:BP$69,Expenses!$O$8:$O$69,$B89)+SUMIFS(Headcount!Z$395:Z$1442,Headcount!$J$395:$J$1442,$B89))</f>
        <v>0</v>
      </c>
      <c r="R89" s="137">
        <f>IF(R$12="Actual",SUMIFS(ActualsTable[Month 16],ActualsTable[Expense Item2],$B89),SUMIFS(Expenses!BQ$8:BQ$69,Expenses!$O$8:$O$69,$B89)+SUMIFS(Headcount!AA$395:AA$1442,Headcount!$J$395:$J$1442,$B89))</f>
        <v>0</v>
      </c>
      <c r="S89" s="137">
        <f>IF(S$12="Actual",SUMIFS(ActualsTable[Month 17],ActualsTable[Expense Item2],$B89),SUMIFS(Expenses!BR$8:BR$69,Expenses!$O$8:$O$69,$B89)+SUMIFS(Headcount!AB$395:AB$1442,Headcount!$J$395:$J$1442,$B89))</f>
        <v>0</v>
      </c>
      <c r="T89" s="137">
        <f>IF(T$12="Actual",SUMIFS(ActualsTable[Month 18],ActualsTable[Expense Item2],$B89),SUMIFS(Expenses!BS$8:BS$69,Expenses!$O$8:$O$69,$B89)+SUMIFS(Headcount!AC$395:AC$1442,Headcount!$J$395:$J$1442,$B89))</f>
        <v>0</v>
      </c>
      <c r="U89" s="137">
        <f>IF(U$12="Actual",SUMIFS(ActualsTable[Month 19],ActualsTable[Expense Item2],$B89),SUMIFS(Expenses!BT$8:BT$69,Expenses!$O$8:$O$69,$B89)+SUMIFS(Headcount!AD$395:AD$1442,Headcount!$J$395:$J$1442,$B89))</f>
        <v>0</v>
      </c>
      <c r="V89" s="137">
        <f>IF(V$12="Actual",SUMIFS(ActualsTable[Month 20],ActualsTable[Expense Item2],$B89),SUMIFS(Expenses!BU$8:BU$69,Expenses!$O$8:$O$69,$B89)+SUMIFS(Headcount!AE$395:AE$1442,Headcount!$J$395:$J$1442,$B89))</f>
        <v>0</v>
      </c>
      <c r="W89" s="137">
        <f>IF(W$12="Actual",SUMIFS(ActualsTable[Month 21],ActualsTable[Expense Item2],$B89),SUMIFS(Expenses!BV$8:BV$69,Expenses!$O$8:$O$69,$B89)+SUMIFS(Headcount!AF$395:AF$1442,Headcount!$J$395:$J$1442,$B89))</f>
        <v>0</v>
      </c>
      <c r="X89" s="137">
        <f>IF(X$12="Actual",SUMIFS(ActualsTable[Month 22],ActualsTable[Expense Item2],$B89),SUMIFS(Expenses!BW$8:BW$69,Expenses!$O$8:$O$69,$B89)+SUMIFS(Headcount!AG$395:AG$1442,Headcount!$J$395:$J$1442,$B89))</f>
        <v>0</v>
      </c>
      <c r="Y89" s="137">
        <f>IF(Y$12="Actual",SUMIFS(ActualsTable[Month 23],ActualsTable[Expense Item2],$B89),SUMIFS(Expenses!BX$8:BX$69,Expenses!$O$8:$O$69,$B89)+SUMIFS(Headcount!AH$395:AH$1442,Headcount!$J$395:$J$1442,$B89))</f>
        <v>0</v>
      </c>
      <c r="Z89" s="137">
        <f>IF(Z$12="Actual",SUMIFS(ActualsTable[Month 24],ActualsTable[Expense Item2],$B89),SUMIFS(Expenses!BY$8:BY$69,Expenses!$O$8:$O$69,$B89)+SUMIFS(Headcount!AI$395:AI$1442,Headcount!$J$395:$J$1442,$B89))</f>
        <v>0</v>
      </c>
      <c r="AA89" s="137">
        <f>IF(AA$12="Actual",SUMIFS(ActualsTable[Month 25],ActualsTable[Expense Item2],$B89),SUMIFS(Expenses!BZ$8:BZ$69,Expenses!$O$8:$O$69,$B89)+SUMIFS(Headcount!AJ$395:AJ$1442,Headcount!$J$395:$J$1442,$B89))</f>
        <v>0</v>
      </c>
      <c r="AB89" s="137">
        <f>IF(AB$12="Actual",SUMIFS(ActualsTable[Month 26],ActualsTable[Expense Item2],$B89),SUMIFS(Expenses!CA$8:CA$69,Expenses!$O$8:$O$69,$B89)+SUMIFS(Headcount!AK$395:AK$1442,Headcount!$J$395:$J$1442,$B89))</f>
        <v>0</v>
      </c>
      <c r="AC89" s="137">
        <f>IF(AC$12="Actual",SUMIFS(ActualsTable[Month 27],ActualsTable[Expense Item2],$B89),SUMIFS(Expenses!CB$8:CB$69,Expenses!$O$8:$O$69,$B89)+SUMIFS(Headcount!AL$395:AL$1442,Headcount!$J$395:$J$1442,$B89))</f>
        <v>0</v>
      </c>
      <c r="AD89" s="137">
        <f>IF(AD$12="Actual",SUMIFS(ActualsTable[Month 28],ActualsTable[Expense Item2],$B89),SUMIFS(Expenses!CC$8:CC$69,Expenses!$O$8:$O$69,$B89)+SUMIFS(Headcount!AM$395:AM$1442,Headcount!$J$395:$J$1442,$B89))</f>
        <v>0</v>
      </c>
      <c r="AE89" s="137">
        <f>IF(AE$12="Actual",SUMIFS(ActualsTable[Month 29],ActualsTable[Expense Item2],$B89),SUMIFS(Expenses!CD$8:CD$69,Expenses!$O$8:$O$69,$B89)+SUMIFS(Headcount!AN$395:AN$1442,Headcount!$J$395:$J$1442,$B89))</f>
        <v>0</v>
      </c>
      <c r="AF89" s="137">
        <f>IF(AF$12="Actual",SUMIFS(ActualsTable[Month 30],ActualsTable[Expense Item2],$B89),SUMIFS(Expenses!CE$8:CE$69,Expenses!$O$8:$O$69,$B89)+SUMIFS(Headcount!AO$395:AO$1442,Headcount!$J$395:$J$1442,$B89))</f>
        <v>0</v>
      </c>
      <c r="AG89" s="137">
        <f>IF(AG$12="Actual",SUMIFS(ActualsTable[Month 31],ActualsTable[Expense Item2],$B89),SUMIFS(Expenses!CF$8:CF$69,Expenses!$O$8:$O$69,$B89)+SUMIFS(Headcount!AP$395:AP$1442,Headcount!$J$395:$J$1442,$B89))</f>
        <v>0</v>
      </c>
      <c r="AH89" s="137">
        <f>IF(AH$12="Actual",SUMIFS(ActualsTable[Month 32],ActualsTable[Expense Item2],$B89),SUMIFS(Expenses!CG$8:CG$69,Expenses!$O$8:$O$69,$B89)+SUMIFS(Headcount!AQ$395:AQ$1442,Headcount!$J$395:$J$1442,$B89))</f>
        <v>0</v>
      </c>
      <c r="AI89" s="137">
        <f>IF(AI$12="Actual",SUMIFS(ActualsTable[Month 33],ActualsTable[Expense Item2],$B89),SUMIFS(Expenses!CH$8:CH$69,Expenses!$O$8:$O$69,$B89)+SUMIFS(Headcount!AR$395:AR$1442,Headcount!$J$395:$J$1442,$B89))</f>
        <v>0</v>
      </c>
      <c r="AJ89" s="137">
        <f>IF(AJ$12="Actual",SUMIFS(ActualsTable[Month 34],ActualsTable[Expense Item2],$B89),SUMIFS(Expenses!CI$8:CI$69,Expenses!$O$8:$O$69,$B89)+SUMIFS(Headcount!AS$395:AS$1442,Headcount!$J$395:$J$1442,$B89))</f>
        <v>0</v>
      </c>
      <c r="AK89" s="137">
        <f>IF(AK$12="Actual",SUMIFS(ActualsTable[Month 35],ActualsTable[Expense Item2],$B89),SUMIFS(Expenses!CJ$8:CJ$69,Expenses!$O$8:$O$69,$B89)+SUMIFS(Headcount!AT$395:AT$1442,Headcount!$J$395:$J$1442,$B89))</f>
        <v>0</v>
      </c>
      <c r="AL89" s="293">
        <f>IF(AL$12="Actual",SUMIFS(ActualsTable[Month 36],ActualsTable[Expense Item2],$B89),SUMIFS(Expenses!CK$8:CK$69,Expenses!$O$8:$O$69,$B89)+SUMIFS(Headcount!AU$395:AU$1442,Headcount!$J$395:$J$1442,$B89))</f>
        <v>0</v>
      </c>
      <c r="AN89" s="319">
        <f t="shared" ref="AN89:AY96" ca="1" si="177">SUM(OFFSET($B89,0,3*AN$9+1,1,3))</f>
        <v>0</v>
      </c>
      <c r="AO89" s="137">
        <f t="shared" ca="1" si="177"/>
        <v>0</v>
      </c>
      <c r="AP89" s="137">
        <f t="shared" ca="1" si="177"/>
        <v>0</v>
      </c>
      <c r="AQ89" s="137">
        <f t="shared" ca="1" si="177"/>
        <v>0</v>
      </c>
      <c r="AR89" s="137">
        <f t="shared" ca="1" si="177"/>
        <v>0</v>
      </c>
      <c r="AS89" s="137">
        <f t="shared" ca="1" si="177"/>
        <v>0</v>
      </c>
      <c r="AT89" s="137">
        <f t="shared" ca="1" si="177"/>
        <v>0</v>
      </c>
      <c r="AU89" s="137">
        <f t="shared" ca="1" si="177"/>
        <v>0</v>
      </c>
      <c r="AV89" s="137">
        <f t="shared" ca="1" si="177"/>
        <v>0</v>
      </c>
      <c r="AW89" s="137">
        <f t="shared" ca="1" si="177"/>
        <v>0</v>
      </c>
      <c r="AX89" s="137">
        <f t="shared" ca="1" si="177"/>
        <v>0</v>
      </c>
      <c r="AY89" s="293">
        <f t="shared" ca="1" si="177"/>
        <v>0</v>
      </c>
      <c r="BA89" s="319">
        <f t="shared" ref="BA89:BC96" ca="1" si="178">SUM(OFFSET($B89,0,12*BA$9+1,1,12))</f>
        <v>0</v>
      </c>
      <c r="BB89" s="137">
        <f t="shared" ca="1" si="178"/>
        <v>0</v>
      </c>
      <c r="BC89" s="293">
        <f t="shared" ca="1" si="178"/>
        <v>0</v>
      </c>
    </row>
    <row r="90" spans="2:55" x14ac:dyDescent="0.35">
      <c r="B90" s="80" t="s">
        <v>123</v>
      </c>
      <c r="C90" s="137">
        <f>IF(C$12="Actual",SUMIFS(ActualsTable[Month 1],ActualsTable[Expense Item2],$B90),SUMIFS(Expenses!BB$8:BB$69,Expenses!$O$8:$O$69,$B90)+SUMIFS(Headcount!L$395:L$1442,Headcount!$J$395:$J$1442,$B90))</f>
        <v>0</v>
      </c>
      <c r="D90" s="137">
        <f>IF(D$12="Actual",SUMIFS(ActualsTable[Month 2],ActualsTable[Expense Item2],$B90),SUMIFS(Expenses!BC$8:BC$69,Expenses!$O$8:$O$69,$B90)+SUMIFS(Headcount!M$395:M$1442,Headcount!$J$395:$J$1442,$B90))</f>
        <v>0</v>
      </c>
      <c r="E90" s="137">
        <f>IF(E$12="Actual",SUMIFS(ActualsTable[Month 3],ActualsTable[Expense Item2],$B90),SUMIFS(Expenses!BD$8:BD$69,Expenses!$O$8:$O$69,$B90)+SUMIFS(Headcount!N$395:N$1442,Headcount!$J$395:$J$1442,$B90))</f>
        <v>0</v>
      </c>
      <c r="F90" s="137">
        <f>IF(F$12="Actual",SUMIFS(ActualsTable[Month 4],ActualsTable[Expense Item2],$B90),SUMIFS(Expenses!BE$8:BE$69,Expenses!$O$8:$O$69,$B90)+SUMIFS(Headcount!O$395:O$1442,Headcount!$J$395:$J$1442,$B90))</f>
        <v>0</v>
      </c>
      <c r="G90" s="137">
        <f>IF(G$12="Actual",SUMIFS(ActualsTable[Month 5],ActualsTable[Expense Item2],$B90),SUMIFS(Expenses!BF$8:BF$69,Expenses!$O$8:$O$69,$B90)+SUMIFS(Headcount!P$395:P$1442,Headcount!$J$395:$J$1442,$B90))</f>
        <v>0</v>
      </c>
      <c r="H90" s="137">
        <f>IF(H$12="Actual",SUMIFS(ActualsTable[Month 6],ActualsTable[Expense Item2],$B90),SUMIFS(Expenses!BG$8:BG$69,Expenses!$O$8:$O$69,$B90)+SUMIFS(Headcount!Q$395:Q$1442,Headcount!$J$395:$J$1442,$B90))</f>
        <v>0</v>
      </c>
      <c r="I90" s="137">
        <f>IF(I$12="Actual",SUMIFS(ActualsTable[Month 7],ActualsTable[Expense Item2],$B90),SUMIFS(Expenses!BH$8:BH$69,Expenses!$O$8:$O$69,$B90)+SUMIFS(Headcount!R$395:R$1442,Headcount!$J$395:$J$1442,$B90))</f>
        <v>0</v>
      </c>
      <c r="J90" s="137">
        <f>IF(J$12="Actual",SUMIFS(ActualsTable[Month 8],ActualsTable[Expense Item2],$B90),SUMIFS(Expenses!BI$8:BI$69,Expenses!$O$8:$O$69,$B90)+SUMIFS(Headcount!S$395:S$1442,Headcount!$J$395:$J$1442,$B90))</f>
        <v>0</v>
      </c>
      <c r="K90" s="137">
        <f>IF(K$12="Actual",SUMIFS(ActualsTable[Month 9],ActualsTable[Expense Item2],$B90),SUMIFS(Expenses!BJ$8:BJ$69,Expenses!$O$8:$O$69,$B90)+SUMIFS(Headcount!T$395:T$1442,Headcount!$J$395:$J$1442,$B90))</f>
        <v>0</v>
      </c>
      <c r="L90" s="137">
        <f>IF(L$12="Actual",SUMIFS(ActualsTable[Month 10],ActualsTable[Expense Item2],$B90),SUMIFS(Expenses!BK$8:BK$69,Expenses!$O$8:$O$69,$B90)+SUMIFS(Headcount!U$395:U$1442,Headcount!$J$395:$J$1442,$B90))</f>
        <v>0</v>
      </c>
      <c r="M90" s="137">
        <f>IF(M$12="Actual",SUMIFS(ActualsTable[Month 11],ActualsTable[Expense Item2],$B90),SUMIFS(Expenses!BL$8:BL$69,Expenses!$O$8:$O$69,$B90)+SUMIFS(Headcount!V$395:V$1442,Headcount!$J$395:$J$1442,$B90))</f>
        <v>0</v>
      </c>
      <c r="N90" s="137">
        <f>IF(N$12="Actual",SUMIFS(ActualsTable[Month 12],ActualsTable[Expense Item2],$B90),SUMIFS(Expenses!BM$8:BM$69,Expenses!$O$8:$O$69,$B90)+SUMIFS(Headcount!W$395:W$1442,Headcount!$J$395:$J$1442,$B90))</f>
        <v>0</v>
      </c>
      <c r="O90" s="137">
        <f>IF(O$12="Actual",SUMIFS(ActualsTable[Month 13],ActualsTable[Expense Item2],$B90),SUMIFS(Expenses!BN$8:BN$69,Expenses!$O$8:$O$69,$B90)+SUMIFS(Headcount!X$395:X$1442,Headcount!$J$395:$J$1442,$B90))</f>
        <v>0</v>
      </c>
      <c r="P90" s="137">
        <f>IF(P$12="Actual",SUMIFS(ActualsTable[Month 14],ActualsTable[Expense Item2],$B90),SUMIFS(Expenses!BO$8:BO$69,Expenses!$O$8:$O$69,$B90)+SUMIFS(Headcount!Y$395:Y$1442,Headcount!$J$395:$J$1442,$B90))</f>
        <v>0</v>
      </c>
      <c r="Q90" s="137">
        <f>IF(Q$12="Actual",SUMIFS(ActualsTable[Month 15],ActualsTable[Expense Item2],$B90),SUMIFS(Expenses!BP$8:BP$69,Expenses!$O$8:$O$69,$B90)+SUMIFS(Headcount!Z$395:Z$1442,Headcount!$J$395:$J$1442,$B90))</f>
        <v>0</v>
      </c>
      <c r="R90" s="137">
        <f>IF(R$12="Actual",SUMIFS(ActualsTable[Month 16],ActualsTable[Expense Item2],$B90),SUMIFS(Expenses!BQ$8:BQ$69,Expenses!$O$8:$O$69,$B90)+SUMIFS(Headcount!AA$395:AA$1442,Headcount!$J$395:$J$1442,$B90))</f>
        <v>0</v>
      </c>
      <c r="S90" s="137">
        <f>IF(S$12="Actual",SUMIFS(ActualsTable[Month 17],ActualsTable[Expense Item2],$B90),SUMIFS(Expenses!BR$8:BR$69,Expenses!$O$8:$O$69,$B90)+SUMIFS(Headcount!AB$395:AB$1442,Headcount!$J$395:$J$1442,$B90))</f>
        <v>0</v>
      </c>
      <c r="T90" s="137">
        <f>IF(T$12="Actual",SUMIFS(ActualsTable[Month 18],ActualsTable[Expense Item2],$B90),SUMIFS(Expenses!BS$8:BS$69,Expenses!$O$8:$O$69,$B90)+SUMIFS(Headcount!AC$395:AC$1442,Headcount!$J$395:$J$1442,$B90))</f>
        <v>0</v>
      </c>
      <c r="U90" s="137">
        <f>IF(U$12="Actual",SUMIFS(ActualsTable[Month 19],ActualsTable[Expense Item2],$B90),SUMIFS(Expenses!BT$8:BT$69,Expenses!$O$8:$O$69,$B90)+SUMIFS(Headcount!AD$395:AD$1442,Headcount!$J$395:$J$1442,$B90))</f>
        <v>0</v>
      </c>
      <c r="V90" s="137">
        <f>IF(V$12="Actual",SUMIFS(ActualsTable[Month 20],ActualsTable[Expense Item2],$B90),SUMIFS(Expenses!BU$8:BU$69,Expenses!$O$8:$O$69,$B90)+SUMIFS(Headcount!AE$395:AE$1442,Headcount!$J$395:$J$1442,$B90))</f>
        <v>0</v>
      </c>
      <c r="W90" s="137">
        <f>IF(W$12="Actual",SUMIFS(ActualsTable[Month 21],ActualsTable[Expense Item2],$B90),SUMIFS(Expenses!BV$8:BV$69,Expenses!$O$8:$O$69,$B90)+SUMIFS(Headcount!AF$395:AF$1442,Headcount!$J$395:$J$1442,$B90))</f>
        <v>0</v>
      </c>
      <c r="X90" s="137">
        <f>IF(X$12="Actual",SUMIFS(ActualsTable[Month 22],ActualsTable[Expense Item2],$B90),SUMIFS(Expenses!BW$8:BW$69,Expenses!$O$8:$O$69,$B90)+SUMIFS(Headcount!AG$395:AG$1442,Headcount!$J$395:$J$1442,$B90))</f>
        <v>0</v>
      </c>
      <c r="Y90" s="137">
        <f>IF(Y$12="Actual",SUMIFS(ActualsTable[Month 23],ActualsTable[Expense Item2],$B90),SUMIFS(Expenses!BX$8:BX$69,Expenses!$O$8:$O$69,$B90)+SUMIFS(Headcount!AH$395:AH$1442,Headcount!$J$395:$J$1442,$B90))</f>
        <v>0</v>
      </c>
      <c r="Z90" s="137">
        <f>IF(Z$12="Actual",SUMIFS(ActualsTable[Month 24],ActualsTable[Expense Item2],$B90),SUMIFS(Expenses!BY$8:BY$69,Expenses!$O$8:$O$69,$B90)+SUMIFS(Headcount!AI$395:AI$1442,Headcount!$J$395:$J$1442,$B90))</f>
        <v>0</v>
      </c>
      <c r="AA90" s="137">
        <f>IF(AA$12="Actual",SUMIFS(ActualsTable[Month 25],ActualsTable[Expense Item2],$B90),SUMIFS(Expenses!BZ$8:BZ$69,Expenses!$O$8:$O$69,$B90)+SUMIFS(Headcount!AJ$395:AJ$1442,Headcount!$J$395:$J$1442,$B90))</f>
        <v>0</v>
      </c>
      <c r="AB90" s="137">
        <f>IF(AB$12="Actual",SUMIFS(ActualsTable[Month 26],ActualsTable[Expense Item2],$B90),SUMIFS(Expenses!CA$8:CA$69,Expenses!$O$8:$O$69,$B90)+SUMIFS(Headcount!AK$395:AK$1442,Headcount!$J$395:$J$1442,$B90))</f>
        <v>0</v>
      </c>
      <c r="AC90" s="137">
        <f>IF(AC$12="Actual",SUMIFS(ActualsTable[Month 27],ActualsTable[Expense Item2],$B90),SUMIFS(Expenses!CB$8:CB$69,Expenses!$O$8:$O$69,$B90)+SUMIFS(Headcount!AL$395:AL$1442,Headcount!$J$395:$J$1442,$B90))</f>
        <v>0</v>
      </c>
      <c r="AD90" s="137">
        <f>IF(AD$12="Actual",SUMIFS(ActualsTable[Month 28],ActualsTable[Expense Item2],$B90),SUMIFS(Expenses!CC$8:CC$69,Expenses!$O$8:$O$69,$B90)+SUMIFS(Headcount!AM$395:AM$1442,Headcount!$J$395:$J$1442,$B90))</f>
        <v>0</v>
      </c>
      <c r="AE90" s="137">
        <f>IF(AE$12="Actual",SUMIFS(ActualsTable[Month 29],ActualsTable[Expense Item2],$B90),SUMIFS(Expenses!CD$8:CD$69,Expenses!$O$8:$O$69,$B90)+SUMIFS(Headcount!AN$395:AN$1442,Headcount!$J$395:$J$1442,$B90))</f>
        <v>0</v>
      </c>
      <c r="AF90" s="137">
        <f>IF(AF$12="Actual",SUMIFS(ActualsTable[Month 30],ActualsTable[Expense Item2],$B90),SUMIFS(Expenses!CE$8:CE$69,Expenses!$O$8:$O$69,$B90)+SUMIFS(Headcount!AO$395:AO$1442,Headcount!$J$395:$J$1442,$B90))</f>
        <v>0</v>
      </c>
      <c r="AG90" s="137">
        <f>IF(AG$12="Actual",SUMIFS(ActualsTable[Month 31],ActualsTable[Expense Item2],$B90),SUMIFS(Expenses!CF$8:CF$69,Expenses!$O$8:$O$69,$B90)+SUMIFS(Headcount!AP$395:AP$1442,Headcount!$J$395:$J$1442,$B90))</f>
        <v>0</v>
      </c>
      <c r="AH90" s="137">
        <f>IF(AH$12="Actual",SUMIFS(ActualsTable[Month 32],ActualsTable[Expense Item2],$B90),SUMIFS(Expenses!CG$8:CG$69,Expenses!$O$8:$O$69,$B90)+SUMIFS(Headcount!AQ$395:AQ$1442,Headcount!$J$395:$J$1442,$B90))</f>
        <v>0</v>
      </c>
      <c r="AI90" s="137">
        <f>IF(AI$12="Actual",SUMIFS(ActualsTable[Month 33],ActualsTable[Expense Item2],$B90),SUMIFS(Expenses!CH$8:CH$69,Expenses!$O$8:$O$69,$B90)+SUMIFS(Headcount!AR$395:AR$1442,Headcount!$J$395:$J$1442,$B90))</f>
        <v>0</v>
      </c>
      <c r="AJ90" s="137">
        <f>IF(AJ$12="Actual",SUMIFS(ActualsTable[Month 34],ActualsTable[Expense Item2],$B90),SUMIFS(Expenses!CI$8:CI$69,Expenses!$O$8:$O$69,$B90)+SUMIFS(Headcount!AS$395:AS$1442,Headcount!$J$395:$J$1442,$B90))</f>
        <v>0</v>
      </c>
      <c r="AK90" s="137">
        <f>IF(AK$12="Actual",SUMIFS(ActualsTable[Month 35],ActualsTable[Expense Item2],$B90),SUMIFS(Expenses!CJ$8:CJ$69,Expenses!$O$8:$O$69,$B90)+SUMIFS(Headcount!AT$395:AT$1442,Headcount!$J$395:$J$1442,$B90))</f>
        <v>0</v>
      </c>
      <c r="AL90" s="293">
        <f>IF(AL$12="Actual",SUMIFS(ActualsTable[Month 36],ActualsTable[Expense Item2],$B90),SUMIFS(Expenses!CK$8:CK$69,Expenses!$O$8:$O$69,$B90)+SUMIFS(Headcount!AU$395:AU$1442,Headcount!$J$395:$J$1442,$B90))</f>
        <v>0</v>
      </c>
      <c r="AN90" s="319">
        <f t="shared" ca="1" si="177"/>
        <v>0</v>
      </c>
      <c r="AO90" s="137">
        <f t="shared" ca="1" si="177"/>
        <v>0</v>
      </c>
      <c r="AP90" s="137">
        <f t="shared" ca="1" si="177"/>
        <v>0</v>
      </c>
      <c r="AQ90" s="137">
        <f t="shared" ca="1" si="177"/>
        <v>0</v>
      </c>
      <c r="AR90" s="137">
        <f t="shared" ca="1" si="177"/>
        <v>0</v>
      </c>
      <c r="AS90" s="137">
        <f t="shared" ca="1" si="177"/>
        <v>0</v>
      </c>
      <c r="AT90" s="137">
        <f t="shared" ca="1" si="177"/>
        <v>0</v>
      </c>
      <c r="AU90" s="137">
        <f t="shared" ca="1" si="177"/>
        <v>0</v>
      </c>
      <c r="AV90" s="137">
        <f t="shared" ca="1" si="177"/>
        <v>0</v>
      </c>
      <c r="AW90" s="137">
        <f t="shared" ca="1" si="177"/>
        <v>0</v>
      </c>
      <c r="AX90" s="137">
        <f t="shared" ca="1" si="177"/>
        <v>0</v>
      </c>
      <c r="AY90" s="293">
        <f t="shared" ca="1" si="177"/>
        <v>0</v>
      </c>
      <c r="BA90" s="319">
        <f t="shared" ca="1" si="178"/>
        <v>0</v>
      </c>
      <c r="BB90" s="137">
        <f t="shared" ca="1" si="178"/>
        <v>0</v>
      </c>
      <c r="BC90" s="293">
        <f t="shared" ca="1" si="178"/>
        <v>0</v>
      </c>
    </row>
    <row r="91" spans="2:55" x14ac:dyDescent="0.35">
      <c r="B91" s="80" t="s">
        <v>124</v>
      </c>
      <c r="C91" s="137">
        <f>IF(C$12="Actual",SUMIFS(ActualsTable[Month 1],ActualsTable[Expense Item2],$B91),SUMIFS(Expenses!BB$8:BB$69,Expenses!$O$8:$O$69,$B91)+SUMIFS(Headcount!L$395:L$1442,Headcount!$J$395:$J$1442,$B91))</f>
        <v>0</v>
      </c>
      <c r="D91" s="137">
        <f>IF(D$12="Actual",SUMIFS(ActualsTable[Month 2],ActualsTable[Expense Item2],$B91),SUMIFS(Expenses!BC$8:BC$69,Expenses!$O$8:$O$69,$B91)+SUMIFS(Headcount!M$395:M$1442,Headcount!$J$395:$J$1442,$B91))</f>
        <v>0</v>
      </c>
      <c r="E91" s="137">
        <f>IF(E$12="Actual",SUMIFS(ActualsTable[Month 3],ActualsTable[Expense Item2],$B91),SUMIFS(Expenses!BD$8:BD$69,Expenses!$O$8:$O$69,$B91)+SUMIFS(Headcount!N$395:N$1442,Headcount!$J$395:$J$1442,$B91))</f>
        <v>0</v>
      </c>
      <c r="F91" s="137">
        <f>IF(F$12="Actual",SUMIFS(ActualsTable[Month 4],ActualsTable[Expense Item2],$B91),SUMIFS(Expenses!BE$8:BE$69,Expenses!$O$8:$O$69,$B91)+SUMIFS(Headcount!O$395:O$1442,Headcount!$J$395:$J$1442,$B91))</f>
        <v>0</v>
      </c>
      <c r="G91" s="137">
        <f>IF(G$12="Actual",SUMIFS(ActualsTable[Month 5],ActualsTable[Expense Item2],$B91),SUMIFS(Expenses!BF$8:BF$69,Expenses!$O$8:$O$69,$B91)+SUMIFS(Headcount!P$395:P$1442,Headcount!$J$395:$J$1442,$B91))</f>
        <v>0</v>
      </c>
      <c r="H91" s="137">
        <f>IF(H$12="Actual",SUMIFS(ActualsTable[Month 6],ActualsTable[Expense Item2],$B91),SUMIFS(Expenses!BG$8:BG$69,Expenses!$O$8:$O$69,$B91)+SUMIFS(Headcount!Q$395:Q$1442,Headcount!$J$395:$J$1442,$B91))</f>
        <v>0</v>
      </c>
      <c r="I91" s="137">
        <f>IF(I$12="Actual",SUMIFS(ActualsTable[Month 7],ActualsTable[Expense Item2],$B91),SUMIFS(Expenses!BH$8:BH$69,Expenses!$O$8:$O$69,$B91)+SUMIFS(Headcount!R$395:R$1442,Headcount!$J$395:$J$1442,$B91))</f>
        <v>0</v>
      </c>
      <c r="J91" s="137">
        <f>IF(J$12="Actual",SUMIFS(ActualsTable[Month 8],ActualsTable[Expense Item2],$B91),SUMIFS(Expenses!BI$8:BI$69,Expenses!$O$8:$O$69,$B91)+SUMIFS(Headcount!S$395:S$1442,Headcount!$J$395:$J$1442,$B91))</f>
        <v>0</v>
      </c>
      <c r="K91" s="137">
        <f>IF(K$12="Actual",SUMIFS(ActualsTable[Month 9],ActualsTable[Expense Item2],$B91),SUMIFS(Expenses!BJ$8:BJ$69,Expenses!$O$8:$O$69,$B91)+SUMIFS(Headcount!T$395:T$1442,Headcount!$J$395:$J$1442,$B91))</f>
        <v>0</v>
      </c>
      <c r="L91" s="137">
        <f>IF(L$12="Actual",SUMIFS(ActualsTable[Month 10],ActualsTable[Expense Item2],$B91),SUMIFS(Expenses!BK$8:BK$69,Expenses!$O$8:$O$69,$B91)+SUMIFS(Headcount!U$395:U$1442,Headcount!$J$395:$J$1442,$B91))</f>
        <v>0</v>
      </c>
      <c r="M91" s="137">
        <f>IF(M$12="Actual",SUMIFS(ActualsTable[Month 11],ActualsTable[Expense Item2],$B91),SUMIFS(Expenses!BL$8:BL$69,Expenses!$O$8:$O$69,$B91)+SUMIFS(Headcount!V$395:V$1442,Headcount!$J$395:$J$1442,$B91))</f>
        <v>0</v>
      </c>
      <c r="N91" s="137">
        <f>IF(N$12="Actual",SUMIFS(ActualsTable[Month 12],ActualsTable[Expense Item2],$B91),SUMIFS(Expenses!BM$8:BM$69,Expenses!$O$8:$O$69,$B91)+SUMIFS(Headcount!W$395:W$1442,Headcount!$J$395:$J$1442,$B91))</f>
        <v>0</v>
      </c>
      <c r="O91" s="137">
        <f>IF(O$12="Actual",SUMIFS(ActualsTable[Month 13],ActualsTable[Expense Item2],$B91),SUMIFS(Expenses!BN$8:BN$69,Expenses!$O$8:$O$69,$B91)+SUMIFS(Headcount!X$395:X$1442,Headcount!$J$395:$J$1442,$B91))</f>
        <v>0</v>
      </c>
      <c r="P91" s="137">
        <f>IF(P$12="Actual",SUMIFS(ActualsTable[Month 14],ActualsTable[Expense Item2],$B91),SUMIFS(Expenses!BO$8:BO$69,Expenses!$O$8:$O$69,$B91)+SUMIFS(Headcount!Y$395:Y$1442,Headcount!$J$395:$J$1442,$B91))</f>
        <v>0</v>
      </c>
      <c r="Q91" s="137">
        <f>IF(Q$12="Actual",SUMIFS(ActualsTable[Month 15],ActualsTable[Expense Item2],$B91),SUMIFS(Expenses!BP$8:BP$69,Expenses!$O$8:$O$69,$B91)+SUMIFS(Headcount!Z$395:Z$1442,Headcount!$J$395:$J$1442,$B91))</f>
        <v>0</v>
      </c>
      <c r="R91" s="137">
        <f>IF(R$12="Actual",SUMIFS(ActualsTable[Month 16],ActualsTable[Expense Item2],$B91),SUMIFS(Expenses!BQ$8:BQ$69,Expenses!$O$8:$O$69,$B91)+SUMIFS(Headcount!AA$395:AA$1442,Headcount!$J$395:$J$1442,$B91))</f>
        <v>0</v>
      </c>
      <c r="S91" s="137">
        <f>IF(S$12="Actual",SUMIFS(ActualsTable[Month 17],ActualsTable[Expense Item2],$B91),SUMIFS(Expenses!BR$8:BR$69,Expenses!$O$8:$O$69,$B91)+SUMIFS(Headcount!AB$395:AB$1442,Headcount!$J$395:$J$1442,$B91))</f>
        <v>0</v>
      </c>
      <c r="T91" s="137">
        <f>IF(T$12="Actual",SUMIFS(ActualsTable[Month 18],ActualsTable[Expense Item2],$B91),SUMIFS(Expenses!BS$8:BS$69,Expenses!$O$8:$O$69,$B91)+SUMIFS(Headcount!AC$395:AC$1442,Headcount!$J$395:$J$1442,$B91))</f>
        <v>0</v>
      </c>
      <c r="U91" s="137">
        <f>IF(U$12="Actual",SUMIFS(ActualsTable[Month 19],ActualsTable[Expense Item2],$B91),SUMIFS(Expenses!BT$8:BT$69,Expenses!$O$8:$O$69,$B91)+SUMIFS(Headcount!AD$395:AD$1442,Headcount!$J$395:$J$1442,$B91))</f>
        <v>0</v>
      </c>
      <c r="V91" s="137">
        <f>IF(V$12="Actual",SUMIFS(ActualsTable[Month 20],ActualsTable[Expense Item2],$B91),SUMIFS(Expenses!BU$8:BU$69,Expenses!$O$8:$O$69,$B91)+SUMIFS(Headcount!AE$395:AE$1442,Headcount!$J$395:$J$1442,$B91))</f>
        <v>0</v>
      </c>
      <c r="W91" s="137">
        <f>IF(W$12="Actual",SUMIFS(ActualsTable[Month 21],ActualsTable[Expense Item2],$B91),SUMIFS(Expenses!BV$8:BV$69,Expenses!$O$8:$O$69,$B91)+SUMIFS(Headcount!AF$395:AF$1442,Headcount!$J$395:$J$1442,$B91))</f>
        <v>0</v>
      </c>
      <c r="X91" s="137">
        <f>IF(X$12="Actual",SUMIFS(ActualsTable[Month 22],ActualsTable[Expense Item2],$B91),SUMIFS(Expenses!BW$8:BW$69,Expenses!$O$8:$O$69,$B91)+SUMIFS(Headcount!AG$395:AG$1442,Headcount!$J$395:$J$1442,$B91))</f>
        <v>0</v>
      </c>
      <c r="Y91" s="137">
        <f>IF(Y$12="Actual",SUMIFS(ActualsTable[Month 23],ActualsTable[Expense Item2],$B91),SUMIFS(Expenses!BX$8:BX$69,Expenses!$O$8:$O$69,$B91)+SUMIFS(Headcount!AH$395:AH$1442,Headcount!$J$395:$J$1442,$B91))</f>
        <v>0</v>
      </c>
      <c r="Z91" s="137">
        <f>IF(Z$12="Actual",SUMIFS(ActualsTable[Month 24],ActualsTable[Expense Item2],$B91),SUMIFS(Expenses!BY$8:BY$69,Expenses!$O$8:$O$69,$B91)+SUMIFS(Headcount!AI$395:AI$1442,Headcount!$J$395:$J$1442,$B91))</f>
        <v>0</v>
      </c>
      <c r="AA91" s="137">
        <f>IF(AA$12="Actual",SUMIFS(ActualsTable[Month 25],ActualsTable[Expense Item2],$B91),SUMIFS(Expenses!BZ$8:BZ$69,Expenses!$O$8:$O$69,$B91)+SUMIFS(Headcount!AJ$395:AJ$1442,Headcount!$J$395:$J$1442,$B91))</f>
        <v>0</v>
      </c>
      <c r="AB91" s="137">
        <f>IF(AB$12="Actual",SUMIFS(ActualsTable[Month 26],ActualsTable[Expense Item2],$B91),SUMIFS(Expenses!CA$8:CA$69,Expenses!$O$8:$O$69,$B91)+SUMIFS(Headcount!AK$395:AK$1442,Headcount!$J$395:$J$1442,$B91))</f>
        <v>0</v>
      </c>
      <c r="AC91" s="137">
        <f>IF(AC$12="Actual",SUMIFS(ActualsTable[Month 27],ActualsTable[Expense Item2],$B91),SUMIFS(Expenses!CB$8:CB$69,Expenses!$O$8:$O$69,$B91)+SUMIFS(Headcount!AL$395:AL$1442,Headcount!$J$395:$J$1442,$B91))</f>
        <v>0</v>
      </c>
      <c r="AD91" s="137">
        <f>IF(AD$12="Actual",SUMIFS(ActualsTable[Month 28],ActualsTable[Expense Item2],$B91),SUMIFS(Expenses!CC$8:CC$69,Expenses!$O$8:$O$69,$B91)+SUMIFS(Headcount!AM$395:AM$1442,Headcount!$J$395:$J$1442,$B91))</f>
        <v>0</v>
      </c>
      <c r="AE91" s="137">
        <f>IF(AE$12="Actual",SUMIFS(ActualsTable[Month 29],ActualsTable[Expense Item2],$B91),SUMIFS(Expenses!CD$8:CD$69,Expenses!$O$8:$O$69,$B91)+SUMIFS(Headcount!AN$395:AN$1442,Headcount!$J$395:$J$1442,$B91))</f>
        <v>0</v>
      </c>
      <c r="AF91" s="137">
        <f>IF(AF$12="Actual",SUMIFS(ActualsTable[Month 30],ActualsTable[Expense Item2],$B91),SUMIFS(Expenses!CE$8:CE$69,Expenses!$O$8:$O$69,$B91)+SUMIFS(Headcount!AO$395:AO$1442,Headcount!$J$395:$J$1442,$B91))</f>
        <v>0</v>
      </c>
      <c r="AG91" s="137">
        <f>IF(AG$12="Actual",SUMIFS(ActualsTable[Month 31],ActualsTable[Expense Item2],$B91),SUMIFS(Expenses!CF$8:CF$69,Expenses!$O$8:$O$69,$B91)+SUMIFS(Headcount!AP$395:AP$1442,Headcount!$J$395:$J$1442,$B91))</f>
        <v>0</v>
      </c>
      <c r="AH91" s="137">
        <f>IF(AH$12="Actual",SUMIFS(ActualsTable[Month 32],ActualsTable[Expense Item2],$B91),SUMIFS(Expenses!CG$8:CG$69,Expenses!$O$8:$O$69,$B91)+SUMIFS(Headcount!AQ$395:AQ$1442,Headcount!$J$395:$J$1442,$B91))</f>
        <v>0</v>
      </c>
      <c r="AI91" s="137">
        <f>IF(AI$12="Actual",SUMIFS(ActualsTable[Month 33],ActualsTable[Expense Item2],$B91),SUMIFS(Expenses!CH$8:CH$69,Expenses!$O$8:$O$69,$B91)+SUMIFS(Headcount!AR$395:AR$1442,Headcount!$J$395:$J$1442,$B91))</f>
        <v>0</v>
      </c>
      <c r="AJ91" s="137">
        <f>IF(AJ$12="Actual",SUMIFS(ActualsTable[Month 34],ActualsTable[Expense Item2],$B91),SUMIFS(Expenses!CI$8:CI$69,Expenses!$O$8:$O$69,$B91)+SUMIFS(Headcount!AS$395:AS$1442,Headcount!$J$395:$J$1442,$B91))</f>
        <v>0</v>
      </c>
      <c r="AK91" s="137">
        <f>IF(AK$12="Actual",SUMIFS(ActualsTable[Month 35],ActualsTable[Expense Item2],$B91),SUMIFS(Expenses!CJ$8:CJ$69,Expenses!$O$8:$O$69,$B91)+SUMIFS(Headcount!AT$395:AT$1442,Headcount!$J$395:$J$1442,$B91))</f>
        <v>0</v>
      </c>
      <c r="AL91" s="293">
        <f>IF(AL$12="Actual",SUMIFS(ActualsTable[Month 36],ActualsTable[Expense Item2],$B91),SUMIFS(Expenses!CK$8:CK$69,Expenses!$O$8:$O$69,$B91)+SUMIFS(Headcount!AU$395:AU$1442,Headcount!$J$395:$J$1442,$B91))</f>
        <v>0</v>
      </c>
      <c r="AN91" s="319">
        <f t="shared" ca="1" si="177"/>
        <v>0</v>
      </c>
      <c r="AO91" s="137">
        <f t="shared" ca="1" si="177"/>
        <v>0</v>
      </c>
      <c r="AP91" s="137">
        <f t="shared" ca="1" si="177"/>
        <v>0</v>
      </c>
      <c r="AQ91" s="137">
        <f t="shared" ca="1" si="177"/>
        <v>0</v>
      </c>
      <c r="AR91" s="137">
        <f t="shared" ca="1" si="177"/>
        <v>0</v>
      </c>
      <c r="AS91" s="137">
        <f t="shared" ca="1" si="177"/>
        <v>0</v>
      </c>
      <c r="AT91" s="137">
        <f t="shared" ca="1" si="177"/>
        <v>0</v>
      </c>
      <c r="AU91" s="137">
        <f t="shared" ca="1" si="177"/>
        <v>0</v>
      </c>
      <c r="AV91" s="137">
        <f t="shared" ca="1" si="177"/>
        <v>0</v>
      </c>
      <c r="AW91" s="137">
        <f t="shared" ca="1" si="177"/>
        <v>0</v>
      </c>
      <c r="AX91" s="137">
        <f t="shared" ca="1" si="177"/>
        <v>0</v>
      </c>
      <c r="AY91" s="293">
        <f t="shared" ca="1" si="177"/>
        <v>0</v>
      </c>
      <c r="BA91" s="319">
        <f t="shared" ca="1" si="178"/>
        <v>0</v>
      </c>
      <c r="BB91" s="137">
        <f t="shared" ca="1" si="178"/>
        <v>0</v>
      </c>
      <c r="BC91" s="293">
        <f t="shared" ca="1" si="178"/>
        <v>0</v>
      </c>
    </row>
    <row r="92" spans="2:55" x14ac:dyDescent="0.35">
      <c r="B92" s="80" t="s">
        <v>125</v>
      </c>
      <c r="C92" s="137">
        <f>IF(C$12="Actual",SUMIFS(ActualsTable[Month 1],ActualsTable[Expense Item2],$B92),SUMIFS(Expenses!BB$8:BB$69,Expenses!$O$8:$O$69,$B92)+SUMIFS(Headcount!L$395:L$1442,Headcount!$J$395:$J$1442,$B92))</f>
        <v>0</v>
      </c>
      <c r="D92" s="137">
        <f>IF(D$12="Actual",SUMIFS(ActualsTable[Month 2],ActualsTable[Expense Item2],$B92),SUMIFS(Expenses!BC$8:BC$69,Expenses!$O$8:$O$69,$B92)+SUMIFS(Headcount!M$395:M$1442,Headcount!$J$395:$J$1442,$B92))</f>
        <v>0</v>
      </c>
      <c r="E92" s="137">
        <f>IF(E$12="Actual",SUMIFS(ActualsTable[Month 3],ActualsTable[Expense Item2],$B92),SUMIFS(Expenses!BD$8:BD$69,Expenses!$O$8:$O$69,$B92)+SUMIFS(Headcount!N$395:N$1442,Headcount!$J$395:$J$1442,$B92))</f>
        <v>0</v>
      </c>
      <c r="F92" s="137">
        <f>IF(F$12="Actual",SUMIFS(ActualsTable[Month 4],ActualsTable[Expense Item2],$B92),SUMIFS(Expenses!BE$8:BE$69,Expenses!$O$8:$O$69,$B92)+SUMIFS(Headcount!O$395:O$1442,Headcount!$J$395:$J$1442,$B92))</f>
        <v>0</v>
      </c>
      <c r="G92" s="137">
        <f>IF(G$12="Actual",SUMIFS(ActualsTable[Month 5],ActualsTable[Expense Item2],$B92),SUMIFS(Expenses!BF$8:BF$69,Expenses!$O$8:$O$69,$B92)+SUMIFS(Headcount!P$395:P$1442,Headcount!$J$395:$J$1442,$B92))</f>
        <v>0</v>
      </c>
      <c r="H92" s="137">
        <f>IF(H$12="Actual",SUMIFS(ActualsTable[Month 6],ActualsTable[Expense Item2],$B92),SUMIFS(Expenses!BG$8:BG$69,Expenses!$O$8:$O$69,$B92)+SUMIFS(Headcount!Q$395:Q$1442,Headcount!$J$395:$J$1442,$B92))</f>
        <v>0</v>
      </c>
      <c r="I92" s="137">
        <f>IF(I$12="Actual",SUMIFS(ActualsTable[Month 7],ActualsTable[Expense Item2],$B92),SUMIFS(Expenses!BH$8:BH$69,Expenses!$O$8:$O$69,$B92)+SUMIFS(Headcount!R$395:R$1442,Headcount!$J$395:$J$1442,$B92))</f>
        <v>0</v>
      </c>
      <c r="J92" s="137">
        <f>IF(J$12="Actual",SUMIFS(ActualsTable[Month 8],ActualsTable[Expense Item2],$B92),SUMIFS(Expenses!BI$8:BI$69,Expenses!$O$8:$O$69,$B92)+SUMIFS(Headcount!S$395:S$1442,Headcount!$J$395:$J$1442,$B92))</f>
        <v>0</v>
      </c>
      <c r="K92" s="137">
        <f>IF(K$12="Actual",SUMIFS(ActualsTable[Month 9],ActualsTable[Expense Item2],$B92),SUMIFS(Expenses!BJ$8:BJ$69,Expenses!$O$8:$O$69,$B92)+SUMIFS(Headcount!T$395:T$1442,Headcount!$J$395:$J$1442,$B92))</f>
        <v>0</v>
      </c>
      <c r="L92" s="137">
        <f>IF(L$12="Actual",SUMIFS(ActualsTable[Month 10],ActualsTable[Expense Item2],$B92),SUMIFS(Expenses!BK$8:BK$69,Expenses!$O$8:$O$69,$B92)+SUMIFS(Headcount!U$395:U$1442,Headcount!$J$395:$J$1442,$B92))</f>
        <v>0</v>
      </c>
      <c r="M92" s="137">
        <f>IF(M$12="Actual",SUMIFS(ActualsTable[Month 11],ActualsTable[Expense Item2],$B92),SUMIFS(Expenses!BL$8:BL$69,Expenses!$O$8:$O$69,$B92)+SUMIFS(Headcount!V$395:V$1442,Headcount!$J$395:$J$1442,$B92))</f>
        <v>0</v>
      </c>
      <c r="N92" s="137">
        <f>IF(N$12="Actual",SUMIFS(ActualsTable[Month 12],ActualsTable[Expense Item2],$B92),SUMIFS(Expenses!BM$8:BM$69,Expenses!$O$8:$O$69,$B92)+SUMIFS(Headcount!W$395:W$1442,Headcount!$J$395:$J$1442,$B92))</f>
        <v>0</v>
      </c>
      <c r="O92" s="137">
        <f>IF(O$12="Actual",SUMIFS(ActualsTable[Month 13],ActualsTable[Expense Item2],$B92),SUMIFS(Expenses!BN$8:BN$69,Expenses!$O$8:$O$69,$B92)+SUMIFS(Headcount!X$395:X$1442,Headcount!$J$395:$J$1442,$B92))</f>
        <v>0</v>
      </c>
      <c r="P92" s="137">
        <f>IF(P$12="Actual",SUMIFS(ActualsTable[Month 14],ActualsTable[Expense Item2],$B92),SUMIFS(Expenses!BO$8:BO$69,Expenses!$O$8:$O$69,$B92)+SUMIFS(Headcount!Y$395:Y$1442,Headcount!$J$395:$J$1442,$B92))</f>
        <v>0</v>
      </c>
      <c r="Q92" s="137">
        <f>IF(Q$12="Actual",SUMIFS(ActualsTable[Month 15],ActualsTable[Expense Item2],$B92),SUMIFS(Expenses!BP$8:BP$69,Expenses!$O$8:$O$69,$B92)+SUMIFS(Headcount!Z$395:Z$1442,Headcount!$J$395:$J$1442,$B92))</f>
        <v>0</v>
      </c>
      <c r="R92" s="137">
        <f>IF(R$12="Actual",SUMIFS(ActualsTable[Month 16],ActualsTable[Expense Item2],$B92),SUMIFS(Expenses!BQ$8:BQ$69,Expenses!$O$8:$O$69,$B92)+SUMIFS(Headcount!AA$395:AA$1442,Headcount!$J$395:$J$1442,$B92))</f>
        <v>0</v>
      </c>
      <c r="S92" s="137">
        <f>IF(S$12="Actual",SUMIFS(ActualsTable[Month 17],ActualsTable[Expense Item2],$B92),SUMIFS(Expenses!BR$8:BR$69,Expenses!$O$8:$O$69,$B92)+SUMIFS(Headcount!AB$395:AB$1442,Headcount!$J$395:$J$1442,$B92))</f>
        <v>0</v>
      </c>
      <c r="T92" s="137">
        <f>IF(T$12="Actual",SUMIFS(ActualsTable[Month 18],ActualsTable[Expense Item2],$B92),SUMIFS(Expenses!BS$8:BS$69,Expenses!$O$8:$O$69,$B92)+SUMIFS(Headcount!AC$395:AC$1442,Headcount!$J$395:$J$1442,$B92))</f>
        <v>0</v>
      </c>
      <c r="U92" s="137">
        <f>IF(U$12="Actual",SUMIFS(ActualsTable[Month 19],ActualsTable[Expense Item2],$B92),SUMIFS(Expenses!BT$8:BT$69,Expenses!$O$8:$O$69,$B92)+SUMIFS(Headcount!AD$395:AD$1442,Headcount!$J$395:$J$1442,$B92))</f>
        <v>0</v>
      </c>
      <c r="V92" s="137">
        <f>IF(V$12="Actual",SUMIFS(ActualsTable[Month 20],ActualsTable[Expense Item2],$B92),SUMIFS(Expenses!BU$8:BU$69,Expenses!$O$8:$O$69,$B92)+SUMIFS(Headcount!AE$395:AE$1442,Headcount!$J$395:$J$1442,$B92))</f>
        <v>0</v>
      </c>
      <c r="W92" s="137">
        <f>IF(W$12="Actual",SUMIFS(ActualsTable[Month 21],ActualsTable[Expense Item2],$B92),SUMIFS(Expenses!BV$8:BV$69,Expenses!$O$8:$O$69,$B92)+SUMIFS(Headcount!AF$395:AF$1442,Headcount!$J$395:$J$1442,$B92))</f>
        <v>0</v>
      </c>
      <c r="X92" s="137">
        <f>IF(X$12="Actual",SUMIFS(ActualsTable[Month 22],ActualsTable[Expense Item2],$B92),SUMIFS(Expenses!BW$8:BW$69,Expenses!$O$8:$O$69,$B92)+SUMIFS(Headcount!AG$395:AG$1442,Headcount!$J$395:$J$1442,$B92))</f>
        <v>0</v>
      </c>
      <c r="Y92" s="137">
        <f>IF(Y$12="Actual",SUMIFS(ActualsTable[Month 23],ActualsTable[Expense Item2],$B92),SUMIFS(Expenses!BX$8:BX$69,Expenses!$O$8:$O$69,$B92)+SUMIFS(Headcount!AH$395:AH$1442,Headcount!$J$395:$J$1442,$B92))</f>
        <v>0</v>
      </c>
      <c r="Z92" s="137">
        <f>IF(Z$12="Actual",SUMIFS(ActualsTable[Month 24],ActualsTable[Expense Item2],$B92),SUMIFS(Expenses!BY$8:BY$69,Expenses!$O$8:$O$69,$B92)+SUMIFS(Headcount!AI$395:AI$1442,Headcount!$J$395:$J$1442,$B92))</f>
        <v>0</v>
      </c>
      <c r="AA92" s="137">
        <f>IF(AA$12="Actual",SUMIFS(ActualsTable[Month 25],ActualsTable[Expense Item2],$B92),SUMIFS(Expenses!BZ$8:BZ$69,Expenses!$O$8:$O$69,$B92)+SUMIFS(Headcount!AJ$395:AJ$1442,Headcount!$J$395:$J$1442,$B92))</f>
        <v>0</v>
      </c>
      <c r="AB92" s="137">
        <f>IF(AB$12="Actual",SUMIFS(ActualsTable[Month 26],ActualsTable[Expense Item2],$B92),SUMIFS(Expenses!CA$8:CA$69,Expenses!$O$8:$O$69,$B92)+SUMIFS(Headcount!AK$395:AK$1442,Headcount!$J$395:$J$1442,$B92))</f>
        <v>0</v>
      </c>
      <c r="AC92" s="137">
        <f>IF(AC$12="Actual",SUMIFS(ActualsTable[Month 27],ActualsTable[Expense Item2],$B92),SUMIFS(Expenses!CB$8:CB$69,Expenses!$O$8:$O$69,$B92)+SUMIFS(Headcount!AL$395:AL$1442,Headcount!$J$395:$J$1442,$B92))</f>
        <v>0</v>
      </c>
      <c r="AD92" s="137">
        <f>IF(AD$12="Actual",SUMIFS(ActualsTable[Month 28],ActualsTable[Expense Item2],$B92),SUMIFS(Expenses!CC$8:CC$69,Expenses!$O$8:$O$69,$B92)+SUMIFS(Headcount!AM$395:AM$1442,Headcount!$J$395:$J$1442,$B92))</f>
        <v>0</v>
      </c>
      <c r="AE92" s="137">
        <f>IF(AE$12="Actual",SUMIFS(ActualsTable[Month 29],ActualsTable[Expense Item2],$B92),SUMIFS(Expenses!CD$8:CD$69,Expenses!$O$8:$O$69,$B92)+SUMIFS(Headcount!AN$395:AN$1442,Headcount!$J$395:$J$1442,$B92))</f>
        <v>0</v>
      </c>
      <c r="AF92" s="137">
        <f>IF(AF$12="Actual",SUMIFS(ActualsTable[Month 30],ActualsTable[Expense Item2],$B92),SUMIFS(Expenses!CE$8:CE$69,Expenses!$O$8:$O$69,$B92)+SUMIFS(Headcount!AO$395:AO$1442,Headcount!$J$395:$J$1442,$B92))</f>
        <v>0</v>
      </c>
      <c r="AG92" s="137">
        <f>IF(AG$12="Actual",SUMIFS(ActualsTable[Month 31],ActualsTable[Expense Item2],$B92),SUMIFS(Expenses!CF$8:CF$69,Expenses!$O$8:$O$69,$B92)+SUMIFS(Headcount!AP$395:AP$1442,Headcount!$J$395:$J$1442,$B92))</f>
        <v>0</v>
      </c>
      <c r="AH92" s="137">
        <f>IF(AH$12="Actual",SUMIFS(ActualsTable[Month 32],ActualsTable[Expense Item2],$B92),SUMIFS(Expenses!CG$8:CG$69,Expenses!$O$8:$O$69,$B92)+SUMIFS(Headcount!AQ$395:AQ$1442,Headcount!$J$395:$J$1442,$B92))</f>
        <v>0</v>
      </c>
      <c r="AI92" s="137">
        <f>IF(AI$12="Actual",SUMIFS(ActualsTable[Month 33],ActualsTable[Expense Item2],$B92),SUMIFS(Expenses!CH$8:CH$69,Expenses!$O$8:$O$69,$B92)+SUMIFS(Headcount!AR$395:AR$1442,Headcount!$J$395:$J$1442,$B92))</f>
        <v>0</v>
      </c>
      <c r="AJ92" s="137">
        <f>IF(AJ$12="Actual",SUMIFS(ActualsTable[Month 34],ActualsTable[Expense Item2],$B92),SUMIFS(Expenses!CI$8:CI$69,Expenses!$O$8:$O$69,$B92)+SUMIFS(Headcount!AS$395:AS$1442,Headcount!$J$395:$J$1442,$B92))</f>
        <v>0</v>
      </c>
      <c r="AK92" s="137">
        <f>IF(AK$12="Actual",SUMIFS(ActualsTable[Month 35],ActualsTable[Expense Item2],$B92),SUMIFS(Expenses!CJ$8:CJ$69,Expenses!$O$8:$O$69,$B92)+SUMIFS(Headcount!AT$395:AT$1442,Headcount!$J$395:$J$1442,$B92))</f>
        <v>0</v>
      </c>
      <c r="AL92" s="293">
        <f>IF(AL$12="Actual",SUMIFS(ActualsTable[Month 36],ActualsTable[Expense Item2],$B92),SUMIFS(Expenses!CK$8:CK$69,Expenses!$O$8:$O$69,$B92)+SUMIFS(Headcount!AU$395:AU$1442,Headcount!$J$395:$J$1442,$B92))</f>
        <v>0</v>
      </c>
      <c r="AN92" s="319">
        <f t="shared" ca="1" si="177"/>
        <v>0</v>
      </c>
      <c r="AO92" s="137">
        <f t="shared" ca="1" si="177"/>
        <v>0</v>
      </c>
      <c r="AP92" s="137">
        <f t="shared" ca="1" si="177"/>
        <v>0</v>
      </c>
      <c r="AQ92" s="137">
        <f t="shared" ca="1" si="177"/>
        <v>0</v>
      </c>
      <c r="AR92" s="137">
        <f t="shared" ca="1" si="177"/>
        <v>0</v>
      </c>
      <c r="AS92" s="137">
        <f t="shared" ca="1" si="177"/>
        <v>0</v>
      </c>
      <c r="AT92" s="137">
        <f t="shared" ca="1" si="177"/>
        <v>0</v>
      </c>
      <c r="AU92" s="137">
        <f t="shared" ca="1" si="177"/>
        <v>0</v>
      </c>
      <c r="AV92" s="137">
        <f t="shared" ca="1" si="177"/>
        <v>0</v>
      </c>
      <c r="AW92" s="137">
        <f t="shared" ca="1" si="177"/>
        <v>0</v>
      </c>
      <c r="AX92" s="137">
        <f t="shared" ca="1" si="177"/>
        <v>0</v>
      </c>
      <c r="AY92" s="293">
        <f t="shared" ca="1" si="177"/>
        <v>0</v>
      </c>
      <c r="BA92" s="319">
        <f t="shared" ca="1" si="178"/>
        <v>0</v>
      </c>
      <c r="BB92" s="137">
        <f t="shared" ca="1" si="178"/>
        <v>0</v>
      </c>
      <c r="BC92" s="293">
        <f t="shared" ca="1" si="178"/>
        <v>0</v>
      </c>
    </row>
    <row r="93" spans="2:55" x14ac:dyDescent="0.35">
      <c r="B93" s="80" t="s">
        <v>126</v>
      </c>
      <c r="C93" s="137">
        <f>IF(C$12="Actual",SUMIFS(ActualsTable[Month 1],ActualsTable[Expense Item2],$B93),SUMIFS(Expenses!BB$8:BB$69,Expenses!$O$8:$O$69,$B93)+SUMIFS(Headcount!L$395:L$1442,Headcount!$J$395:$J$1442,$B93))</f>
        <v>0</v>
      </c>
      <c r="D93" s="137">
        <f>IF(D$12="Actual",SUMIFS(ActualsTable[Month 2],ActualsTable[Expense Item2],$B93),SUMIFS(Expenses!BC$8:BC$69,Expenses!$O$8:$O$69,$B93)+SUMIFS(Headcount!M$395:M$1442,Headcount!$J$395:$J$1442,$B93))</f>
        <v>0</v>
      </c>
      <c r="E93" s="137">
        <f>IF(E$12="Actual",SUMIFS(ActualsTable[Month 3],ActualsTable[Expense Item2],$B93),SUMIFS(Expenses!BD$8:BD$69,Expenses!$O$8:$O$69,$B93)+SUMIFS(Headcount!N$395:N$1442,Headcount!$J$395:$J$1442,$B93))</f>
        <v>0</v>
      </c>
      <c r="F93" s="137">
        <f>IF(F$12="Actual",SUMIFS(ActualsTable[Month 4],ActualsTable[Expense Item2],$B93),SUMIFS(Expenses!BE$8:BE$69,Expenses!$O$8:$O$69,$B93)+SUMIFS(Headcount!O$395:O$1442,Headcount!$J$395:$J$1442,$B93))</f>
        <v>0</v>
      </c>
      <c r="G93" s="137">
        <f>IF(G$12="Actual",SUMIFS(ActualsTable[Month 5],ActualsTable[Expense Item2],$B93),SUMIFS(Expenses!BF$8:BF$69,Expenses!$O$8:$O$69,$B93)+SUMIFS(Headcount!P$395:P$1442,Headcount!$J$395:$J$1442,$B93))</f>
        <v>0</v>
      </c>
      <c r="H93" s="137">
        <f>IF(H$12="Actual",SUMIFS(ActualsTable[Month 6],ActualsTable[Expense Item2],$B93),SUMIFS(Expenses!BG$8:BG$69,Expenses!$O$8:$O$69,$B93)+SUMIFS(Headcount!Q$395:Q$1442,Headcount!$J$395:$J$1442,$B93))</f>
        <v>0</v>
      </c>
      <c r="I93" s="137">
        <f>IF(I$12="Actual",SUMIFS(ActualsTable[Month 7],ActualsTable[Expense Item2],$B93),SUMIFS(Expenses!BH$8:BH$69,Expenses!$O$8:$O$69,$B93)+SUMIFS(Headcount!R$395:R$1442,Headcount!$J$395:$J$1442,$B93))</f>
        <v>0</v>
      </c>
      <c r="J93" s="137">
        <f>IF(J$12="Actual",SUMIFS(ActualsTable[Month 8],ActualsTable[Expense Item2],$B93),SUMIFS(Expenses!BI$8:BI$69,Expenses!$O$8:$O$69,$B93)+SUMIFS(Headcount!S$395:S$1442,Headcount!$J$395:$J$1442,$B93))</f>
        <v>0</v>
      </c>
      <c r="K93" s="137">
        <f>IF(K$12="Actual",SUMIFS(ActualsTable[Month 9],ActualsTable[Expense Item2],$B93),SUMIFS(Expenses!BJ$8:BJ$69,Expenses!$O$8:$O$69,$B93)+SUMIFS(Headcount!T$395:T$1442,Headcount!$J$395:$J$1442,$B93))</f>
        <v>0</v>
      </c>
      <c r="L93" s="137">
        <f>IF(L$12="Actual",SUMIFS(ActualsTable[Month 10],ActualsTable[Expense Item2],$B93),SUMIFS(Expenses!BK$8:BK$69,Expenses!$O$8:$O$69,$B93)+SUMIFS(Headcount!U$395:U$1442,Headcount!$J$395:$J$1442,$B93))</f>
        <v>0</v>
      </c>
      <c r="M93" s="137">
        <f>IF(M$12="Actual",SUMIFS(ActualsTable[Month 11],ActualsTable[Expense Item2],$B93),SUMIFS(Expenses!BL$8:BL$69,Expenses!$O$8:$O$69,$B93)+SUMIFS(Headcount!V$395:V$1442,Headcount!$J$395:$J$1442,$B93))</f>
        <v>0</v>
      </c>
      <c r="N93" s="137">
        <f>IF(N$12="Actual",SUMIFS(ActualsTable[Month 12],ActualsTable[Expense Item2],$B93),SUMIFS(Expenses!BM$8:BM$69,Expenses!$O$8:$O$69,$B93)+SUMIFS(Headcount!W$395:W$1442,Headcount!$J$395:$J$1442,$B93))</f>
        <v>0</v>
      </c>
      <c r="O93" s="137">
        <f>IF(O$12="Actual",SUMIFS(ActualsTable[Month 13],ActualsTable[Expense Item2],$B93),SUMIFS(Expenses!BN$8:BN$69,Expenses!$O$8:$O$69,$B93)+SUMIFS(Headcount!X$395:X$1442,Headcount!$J$395:$J$1442,$B93))</f>
        <v>0</v>
      </c>
      <c r="P93" s="137">
        <f>IF(P$12="Actual",SUMIFS(ActualsTable[Month 14],ActualsTable[Expense Item2],$B93),SUMIFS(Expenses!BO$8:BO$69,Expenses!$O$8:$O$69,$B93)+SUMIFS(Headcount!Y$395:Y$1442,Headcount!$J$395:$J$1442,$B93))</f>
        <v>0</v>
      </c>
      <c r="Q93" s="137">
        <f>IF(Q$12="Actual",SUMIFS(ActualsTable[Month 15],ActualsTable[Expense Item2],$B93),SUMIFS(Expenses!BP$8:BP$69,Expenses!$O$8:$O$69,$B93)+SUMIFS(Headcount!Z$395:Z$1442,Headcount!$J$395:$J$1442,$B93))</f>
        <v>0</v>
      </c>
      <c r="R93" s="137">
        <f>IF(R$12="Actual",SUMIFS(ActualsTable[Month 16],ActualsTable[Expense Item2],$B93),SUMIFS(Expenses!BQ$8:BQ$69,Expenses!$O$8:$O$69,$B93)+SUMIFS(Headcount!AA$395:AA$1442,Headcount!$J$395:$J$1442,$B93))</f>
        <v>0</v>
      </c>
      <c r="S93" s="137">
        <f>IF(S$12="Actual",SUMIFS(ActualsTable[Month 17],ActualsTable[Expense Item2],$B93),SUMIFS(Expenses!BR$8:BR$69,Expenses!$O$8:$O$69,$B93)+SUMIFS(Headcount!AB$395:AB$1442,Headcount!$J$395:$J$1442,$B93))</f>
        <v>0</v>
      </c>
      <c r="T93" s="137">
        <f>IF(T$12="Actual",SUMIFS(ActualsTable[Month 18],ActualsTable[Expense Item2],$B93),SUMIFS(Expenses!BS$8:BS$69,Expenses!$O$8:$O$69,$B93)+SUMIFS(Headcount!AC$395:AC$1442,Headcount!$J$395:$J$1442,$B93))</f>
        <v>0</v>
      </c>
      <c r="U93" s="137">
        <f>IF(U$12="Actual",SUMIFS(ActualsTable[Month 19],ActualsTable[Expense Item2],$B93),SUMIFS(Expenses!BT$8:BT$69,Expenses!$O$8:$O$69,$B93)+SUMIFS(Headcount!AD$395:AD$1442,Headcount!$J$395:$J$1442,$B93))</f>
        <v>0</v>
      </c>
      <c r="V93" s="137">
        <f>IF(V$12="Actual",SUMIFS(ActualsTable[Month 20],ActualsTable[Expense Item2],$B93),SUMIFS(Expenses!BU$8:BU$69,Expenses!$O$8:$O$69,$B93)+SUMIFS(Headcount!AE$395:AE$1442,Headcount!$J$395:$J$1442,$B93))</f>
        <v>0</v>
      </c>
      <c r="W93" s="137">
        <f>IF(W$12="Actual",SUMIFS(ActualsTable[Month 21],ActualsTable[Expense Item2],$B93),SUMIFS(Expenses!BV$8:BV$69,Expenses!$O$8:$O$69,$B93)+SUMIFS(Headcount!AF$395:AF$1442,Headcount!$J$395:$J$1442,$B93))</f>
        <v>0</v>
      </c>
      <c r="X93" s="137">
        <f>IF(X$12="Actual",SUMIFS(ActualsTable[Month 22],ActualsTable[Expense Item2],$B93),SUMIFS(Expenses!BW$8:BW$69,Expenses!$O$8:$O$69,$B93)+SUMIFS(Headcount!AG$395:AG$1442,Headcount!$J$395:$J$1442,$B93))</f>
        <v>0</v>
      </c>
      <c r="Y93" s="137">
        <f>IF(Y$12="Actual",SUMIFS(ActualsTable[Month 23],ActualsTable[Expense Item2],$B93),SUMIFS(Expenses!BX$8:BX$69,Expenses!$O$8:$O$69,$B93)+SUMIFS(Headcount!AH$395:AH$1442,Headcount!$J$395:$J$1442,$B93))</f>
        <v>0</v>
      </c>
      <c r="Z93" s="137">
        <f>IF(Z$12="Actual",SUMIFS(ActualsTable[Month 24],ActualsTable[Expense Item2],$B93),SUMIFS(Expenses!BY$8:BY$69,Expenses!$O$8:$O$69,$B93)+SUMIFS(Headcount!AI$395:AI$1442,Headcount!$J$395:$J$1442,$B93))</f>
        <v>0</v>
      </c>
      <c r="AA93" s="137">
        <f>IF(AA$12="Actual",SUMIFS(ActualsTable[Month 25],ActualsTable[Expense Item2],$B93),SUMIFS(Expenses!BZ$8:BZ$69,Expenses!$O$8:$O$69,$B93)+SUMIFS(Headcount!AJ$395:AJ$1442,Headcount!$J$395:$J$1442,$B93))</f>
        <v>0</v>
      </c>
      <c r="AB93" s="137">
        <f>IF(AB$12="Actual",SUMIFS(ActualsTable[Month 26],ActualsTable[Expense Item2],$B93),SUMIFS(Expenses!CA$8:CA$69,Expenses!$O$8:$O$69,$B93)+SUMIFS(Headcount!AK$395:AK$1442,Headcount!$J$395:$J$1442,$B93))</f>
        <v>0</v>
      </c>
      <c r="AC93" s="137">
        <f>IF(AC$12="Actual",SUMIFS(ActualsTable[Month 27],ActualsTable[Expense Item2],$B93),SUMIFS(Expenses!CB$8:CB$69,Expenses!$O$8:$O$69,$B93)+SUMIFS(Headcount!AL$395:AL$1442,Headcount!$J$395:$J$1442,$B93))</f>
        <v>0</v>
      </c>
      <c r="AD93" s="137">
        <f>IF(AD$12="Actual",SUMIFS(ActualsTable[Month 28],ActualsTable[Expense Item2],$B93),SUMIFS(Expenses!CC$8:CC$69,Expenses!$O$8:$O$69,$B93)+SUMIFS(Headcount!AM$395:AM$1442,Headcount!$J$395:$J$1442,$B93))</f>
        <v>0</v>
      </c>
      <c r="AE93" s="137">
        <f>IF(AE$12="Actual",SUMIFS(ActualsTable[Month 29],ActualsTable[Expense Item2],$B93),SUMIFS(Expenses!CD$8:CD$69,Expenses!$O$8:$O$69,$B93)+SUMIFS(Headcount!AN$395:AN$1442,Headcount!$J$395:$J$1442,$B93))</f>
        <v>0</v>
      </c>
      <c r="AF93" s="137">
        <f>IF(AF$12="Actual",SUMIFS(ActualsTable[Month 30],ActualsTable[Expense Item2],$B93),SUMIFS(Expenses!CE$8:CE$69,Expenses!$O$8:$O$69,$B93)+SUMIFS(Headcount!AO$395:AO$1442,Headcount!$J$395:$J$1442,$B93))</f>
        <v>0</v>
      </c>
      <c r="AG93" s="137">
        <f>IF(AG$12="Actual",SUMIFS(ActualsTable[Month 31],ActualsTable[Expense Item2],$B93),SUMIFS(Expenses!CF$8:CF$69,Expenses!$O$8:$O$69,$B93)+SUMIFS(Headcount!AP$395:AP$1442,Headcount!$J$395:$J$1442,$B93))</f>
        <v>0</v>
      </c>
      <c r="AH93" s="137">
        <f>IF(AH$12="Actual",SUMIFS(ActualsTable[Month 32],ActualsTable[Expense Item2],$B93),SUMIFS(Expenses!CG$8:CG$69,Expenses!$O$8:$O$69,$B93)+SUMIFS(Headcount!AQ$395:AQ$1442,Headcount!$J$395:$J$1442,$B93))</f>
        <v>0</v>
      </c>
      <c r="AI93" s="137">
        <f>IF(AI$12="Actual",SUMIFS(ActualsTable[Month 33],ActualsTable[Expense Item2],$B93),SUMIFS(Expenses!CH$8:CH$69,Expenses!$O$8:$O$69,$B93)+SUMIFS(Headcount!AR$395:AR$1442,Headcount!$J$395:$J$1442,$B93))</f>
        <v>0</v>
      </c>
      <c r="AJ93" s="137">
        <f>IF(AJ$12="Actual",SUMIFS(ActualsTable[Month 34],ActualsTable[Expense Item2],$B93),SUMIFS(Expenses!CI$8:CI$69,Expenses!$O$8:$O$69,$B93)+SUMIFS(Headcount!AS$395:AS$1442,Headcount!$J$395:$J$1442,$B93))</f>
        <v>0</v>
      </c>
      <c r="AK93" s="137">
        <f>IF(AK$12="Actual",SUMIFS(ActualsTable[Month 35],ActualsTable[Expense Item2],$B93),SUMIFS(Expenses!CJ$8:CJ$69,Expenses!$O$8:$O$69,$B93)+SUMIFS(Headcount!AT$395:AT$1442,Headcount!$J$395:$J$1442,$B93))</f>
        <v>0</v>
      </c>
      <c r="AL93" s="293">
        <f>IF(AL$12="Actual",SUMIFS(ActualsTable[Month 36],ActualsTable[Expense Item2],$B93),SUMIFS(Expenses!CK$8:CK$69,Expenses!$O$8:$O$69,$B93)+SUMIFS(Headcount!AU$395:AU$1442,Headcount!$J$395:$J$1442,$B93))</f>
        <v>0</v>
      </c>
      <c r="AN93" s="319">
        <f t="shared" ca="1" si="177"/>
        <v>0</v>
      </c>
      <c r="AO93" s="137">
        <f t="shared" ca="1" si="177"/>
        <v>0</v>
      </c>
      <c r="AP93" s="137">
        <f t="shared" ca="1" si="177"/>
        <v>0</v>
      </c>
      <c r="AQ93" s="137">
        <f t="shared" ca="1" si="177"/>
        <v>0</v>
      </c>
      <c r="AR93" s="137">
        <f t="shared" ca="1" si="177"/>
        <v>0</v>
      </c>
      <c r="AS93" s="137">
        <f t="shared" ca="1" si="177"/>
        <v>0</v>
      </c>
      <c r="AT93" s="137">
        <f t="shared" ca="1" si="177"/>
        <v>0</v>
      </c>
      <c r="AU93" s="137">
        <f t="shared" ca="1" si="177"/>
        <v>0</v>
      </c>
      <c r="AV93" s="137">
        <f t="shared" ca="1" si="177"/>
        <v>0</v>
      </c>
      <c r="AW93" s="137">
        <f t="shared" ca="1" si="177"/>
        <v>0</v>
      </c>
      <c r="AX93" s="137">
        <f t="shared" ca="1" si="177"/>
        <v>0</v>
      </c>
      <c r="AY93" s="293">
        <f t="shared" ca="1" si="177"/>
        <v>0</v>
      </c>
      <c r="BA93" s="319">
        <f t="shared" ca="1" si="178"/>
        <v>0</v>
      </c>
      <c r="BB93" s="137">
        <f t="shared" ca="1" si="178"/>
        <v>0</v>
      </c>
      <c r="BC93" s="293">
        <f t="shared" ca="1" si="178"/>
        <v>0</v>
      </c>
    </row>
    <row r="94" spans="2:55" x14ac:dyDescent="0.35">
      <c r="B94" s="63" t="s">
        <v>127</v>
      </c>
      <c r="C94" s="131">
        <f>IF(C$12="Actual",SUMIFS(ActualsTable[Month 1],ActualsTable[Expense Item2],$B94),SUMIFS(Expenses!BB$8:BB$69,Expenses!$O$8:$O$69,$B94)+SUMIFS(Headcount!L$395:L$1442,Headcount!$J$395:$J$1442,$B94))</f>
        <v>0</v>
      </c>
      <c r="D94" s="131">
        <f>IF(D$12="Actual",SUMIFS(ActualsTable[Month 2],ActualsTable[Expense Item2],$B94),SUMIFS(Expenses!BC$8:BC$69,Expenses!$O$8:$O$69,$B94)+SUMIFS(Headcount!M$395:M$1442,Headcount!$J$395:$J$1442,$B94))</f>
        <v>0</v>
      </c>
      <c r="E94" s="131">
        <f>IF(E$12="Actual",SUMIFS(ActualsTable[Month 3],ActualsTable[Expense Item2],$B94),SUMIFS(Expenses!BD$8:BD$69,Expenses!$O$8:$O$69,$B94)+SUMIFS(Headcount!N$395:N$1442,Headcount!$J$395:$J$1442,$B94))</f>
        <v>0</v>
      </c>
      <c r="F94" s="131">
        <f>IF(F$12="Actual",SUMIFS(ActualsTable[Month 4],ActualsTable[Expense Item2],$B94),SUMIFS(Expenses!BE$8:BE$69,Expenses!$O$8:$O$69,$B94)+SUMIFS(Headcount!O$395:O$1442,Headcount!$J$395:$J$1442,$B94))</f>
        <v>0</v>
      </c>
      <c r="G94" s="131">
        <f>IF(G$12="Actual",SUMIFS(ActualsTable[Month 5],ActualsTable[Expense Item2],$B94),SUMIFS(Expenses!BF$8:BF$69,Expenses!$O$8:$O$69,$B94)+SUMIFS(Headcount!P$395:P$1442,Headcount!$J$395:$J$1442,$B94))</f>
        <v>0</v>
      </c>
      <c r="H94" s="131">
        <f>IF(H$12="Actual",SUMIFS(ActualsTable[Month 6],ActualsTable[Expense Item2],$B94),SUMIFS(Expenses!BG$8:BG$69,Expenses!$O$8:$O$69,$B94)+SUMIFS(Headcount!Q$395:Q$1442,Headcount!$J$395:$J$1442,$B94))</f>
        <v>0</v>
      </c>
      <c r="I94" s="131">
        <f>IF(I$12="Actual",SUMIFS(ActualsTable[Month 7],ActualsTable[Expense Item2],$B94),SUMIFS(Expenses!BH$8:BH$69,Expenses!$O$8:$O$69,$B94)+SUMIFS(Headcount!R$395:R$1442,Headcount!$J$395:$J$1442,$B94))</f>
        <v>0</v>
      </c>
      <c r="J94" s="131">
        <f>IF(J$12="Actual",SUMIFS(ActualsTable[Month 8],ActualsTable[Expense Item2],$B94),SUMIFS(Expenses!BI$8:BI$69,Expenses!$O$8:$O$69,$B94)+SUMIFS(Headcount!S$395:S$1442,Headcount!$J$395:$J$1442,$B94))</f>
        <v>0</v>
      </c>
      <c r="K94" s="131">
        <f>IF(K$12="Actual",SUMIFS(ActualsTable[Month 9],ActualsTable[Expense Item2],$B94),SUMIFS(Expenses!BJ$8:BJ$69,Expenses!$O$8:$O$69,$B94)+SUMIFS(Headcount!T$395:T$1442,Headcount!$J$395:$J$1442,$B94))</f>
        <v>0</v>
      </c>
      <c r="L94" s="131">
        <f>IF(L$12="Actual",SUMIFS(ActualsTable[Month 10],ActualsTable[Expense Item2],$B94),SUMIFS(Expenses!BK$8:BK$69,Expenses!$O$8:$O$69,$B94)+SUMIFS(Headcount!U$395:U$1442,Headcount!$J$395:$J$1442,$B94))</f>
        <v>0</v>
      </c>
      <c r="M94" s="131">
        <f>IF(M$12="Actual",SUMIFS(ActualsTable[Month 11],ActualsTable[Expense Item2],$B94),SUMIFS(Expenses!BL$8:BL$69,Expenses!$O$8:$O$69,$B94)+SUMIFS(Headcount!V$395:V$1442,Headcount!$J$395:$J$1442,$B94))</f>
        <v>0</v>
      </c>
      <c r="N94" s="131">
        <f>IF(N$12="Actual",SUMIFS(ActualsTable[Month 12],ActualsTable[Expense Item2],$B94),SUMIFS(Expenses!BM$8:BM$69,Expenses!$O$8:$O$69,$B94)+SUMIFS(Headcount!W$395:W$1442,Headcount!$J$395:$J$1442,$B94))</f>
        <v>0</v>
      </c>
      <c r="O94" s="131">
        <f>IF(O$12="Actual",SUMIFS(ActualsTable[Month 13],ActualsTable[Expense Item2],$B94),SUMIFS(Expenses!BN$8:BN$69,Expenses!$O$8:$O$69,$B94)+SUMIFS(Headcount!X$395:X$1442,Headcount!$J$395:$J$1442,$B94))</f>
        <v>0</v>
      </c>
      <c r="P94" s="131">
        <f>IF(P$12="Actual",SUMIFS(ActualsTable[Month 14],ActualsTable[Expense Item2],$B94),SUMIFS(Expenses!BO$8:BO$69,Expenses!$O$8:$O$69,$B94)+SUMIFS(Headcount!Y$395:Y$1442,Headcount!$J$395:$J$1442,$B94))</f>
        <v>0</v>
      </c>
      <c r="Q94" s="131">
        <f>IF(Q$12="Actual",SUMIFS(ActualsTable[Month 15],ActualsTable[Expense Item2],$B94),SUMIFS(Expenses!BP$8:BP$69,Expenses!$O$8:$O$69,$B94)+SUMIFS(Headcount!Z$395:Z$1442,Headcount!$J$395:$J$1442,$B94))</f>
        <v>0</v>
      </c>
      <c r="R94" s="131">
        <f>IF(R$12="Actual",SUMIFS(ActualsTable[Month 16],ActualsTable[Expense Item2],$B94),SUMIFS(Expenses!BQ$8:BQ$69,Expenses!$O$8:$O$69,$B94)+SUMIFS(Headcount!AA$395:AA$1442,Headcount!$J$395:$J$1442,$B94))</f>
        <v>0</v>
      </c>
      <c r="S94" s="131">
        <f>IF(S$12="Actual",SUMIFS(ActualsTable[Month 17],ActualsTable[Expense Item2],$B94),SUMIFS(Expenses!BR$8:BR$69,Expenses!$O$8:$O$69,$B94)+SUMIFS(Headcount!AB$395:AB$1442,Headcount!$J$395:$J$1442,$B94))</f>
        <v>0</v>
      </c>
      <c r="T94" s="131">
        <f>IF(T$12="Actual",SUMIFS(ActualsTable[Month 18],ActualsTable[Expense Item2],$B94),SUMIFS(Expenses!BS$8:BS$69,Expenses!$O$8:$O$69,$B94)+SUMIFS(Headcount!AC$395:AC$1442,Headcount!$J$395:$J$1442,$B94))</f>
        <v>0</v>
      </c>
      <c r="U94" s="131">
        <f>IF(U$12="Actual",SUMIFS(ActualsTable[Month 19],ActualsTable[Expense Item2],$B94),SUMIFS(Expenses!BT$8:BT$69,Expenses!$O$8:$O$69,$B94)+SUMIFS(Headcount!AD$395:AD$1442,Headcount!$J$395:$J$1442,$B94))</f>
        <v>0</v>
      </c>
      <c r="V94" s="131">
        <f>IF(V$12="Actual",SUMIFS(ActualsTable[Month 20],ActualsTable[Expense Item2],$B94),SUMIFS(Expenses!BU$8:BU$69,Expenses!$O$8:$O$69,$B94)+SUMIFS(Headcount!AE$395:AE$1442,Headcount!$J$395:$J$1442,$B94))</f>
        <v>0</v>
      </c>
      <c r="W94" s="131">
        <f>IF(W$12="Actual",SUMIFS(ActualsTable[Month 21],ActualsTable[Expense Item2],$B94),SUMIFS(Expenses!BV$8:BV$69,Expenses!$O$8:$O$69,$B94)+SUMIFS(Headcount!AF$395:AF$1442,Headcount!$J$395:$J$1442,$B94))</f>
        <v>0</v>
      </c>
      <c r="X94" s="131">
        <f>IF(X$12="Actual",SUMIFS(ActualsTable[Month 22],ActualsTable[Expense Item2],$B94),SUMIFS(Expenses!BW$8:BW$69,Expenses!$O$8:$O$69,$B94)+SUMIFS(Headcount!AG$395:AG$1442,Headcount!$J$395:$J$1442,$B94))</f>
        <v>0</v>
      </c>
      <c r="Y94" s="131">
        <f>IF(Y$12="Actual",SUMIFS(ActualsTable[Month 23],ActualsTable[Expense Item2],$B94),SUMIFS(Expenses!BX$8:BX$69,Expenses!$O$8:$O$69,$B94)+SUMIFS(Headcount!AH$395:AH$1442,Headcount!$J$395:$J$1442,$B94))</f>
        <v>0</v>
      </c>
      <c r="Z94" s="131">
        <f>IF(Z$12="Actual",SUMIFS(ActualsTable[Month 24],ActualsTable[Expense Item2],$B94),SUMIFS(Expenses!BY$8:BY$69,Expenses!$O$8:$O$69,$B94)+SUMIFS(Headcount!AI$395:AI$1442,Headcount!$J$395:$J$1442,$B94))</f>
        <v>0</v>
      </c>
      <c r="AA94" s="131">
        <f>IF(AA$12="Actual",SUMIFS(ActualsTable[Month 25],ActualsTable[Expense Item2],$B94),SUMIFS(Expenses!BZ$8:BZ$69,Expenses!$O$8:$O$69,$B94)+SUMIFS(Headcount!AJ$395:AJ$1442,Headcount!$J$395:$J$1442,$B94))</f>
        <v>0</v>
      </c>
      <c r="AB94" s="131">
        <f>IF(AB$12="Actual",SUMIFS(ActualsTable[Month 26],ActualsTable[Expense Item2],$B94),SUMIFS(Expenses!CA$8:CA$69,Expenses!$O$8:$O$69,$B94)+SUMIFS(Headcount!AK$395:AK$1442,Headcount!$J$395:$J$1442,$B94))</f>
        <v>0</v>
      </c>
      <c r="AC94" s="131">
        <f>IF(AC$12="Actual",SUMIFS(ActualsTable[Month 27],ActualsTable[Expense Item2],$B94),SUMIFS(Expenses!CB$8:CB$69,Expenses!$O$8:$O$69,$B94)+SUMIFS(Headcount!AL$395:AL$1442,Headcount!$J$395:$J$1442,$B94))</f>
        <v>0</v>
      </c>
      <c r="AD94" s="131">
        <f>IF(AD$12="Actual",SUMIFS(ActualsTable[Month 28],ActualsTable[Expense Item2],$B94),SUMIFS(Expenses!CC$8:CC$69,Expenses!$O$8:$O$69,$B94)+SUMIFS(Headcount!AM$395:AM$1442,Headcount!$J$395:$J$1442,$B94))</f>
        <v>0</v>
      </c>
      <c r="AE94" s="131">
        <f>IF(AE$12="Actual",SUMIFS(ActualsTable[Month 29],ActualsTable[Expense Item2],$B94),SUMIFS(Expenses!CD$8:CD$69,Expenses!$O$8:$O$69,$B94)+SUMIFS(Headcount!AN$395:AN$1442,Headcount!$J$395:$J$1442,$B94))</f>
        <v>0</v>
      </c>
      <c r="AF94" s="131">
        <f>IF(AF$12="Actual",SUMIFS(ActualsTable[Month 30],ActualsTable[Expense Item2],$B94),SUMIFS(Expenses!CE$8:CE$69,Expenses!$O$8:$O$69,$B94)+SUMIFS(Headcount!AO$395:AO$1442,Headcount!$J$395:$J$1442,$B94))</f>
        <v>0</v>
      </c>
      <c r="AG94" s="131">
        <f>IF(AG$12="Actual",SUMIFS(ActualsTable[Month 31],ActualsTable[Expense Item2],$B94),SUMIFS(Expenses!CF$8:CF$69,Expenses!$O$8:$O$69,$B94)+SUMIFS(Headcount!AP$395:AP$1442,Headcount!$J$395:$J$1442,$B94))</f>
        <v>0</v>
      </c>
      <c r="AH94" s="131">
        <f>IF(AH$12="Actual",SUMIFS(ActualsTable[Month 32],ActualsTable[Expense Item2],$B94),SUMIFS(Expenses!CG$8:CG$69,Expenses!$O$8:$O$69,$B94)+SUMIFS(Headcount!AQ$395:AQ$1442,Headcount!$J$395:$J$1442,$B94))</f>
        <v>0</v>
      </c>
      <c r="AI94" s="131">
        <f>IF(AI$12="Actual",SUMIFS(ActualsTable[Month 33],ActualsTable[Expense Item2],$B94),SUMIFS(Expenses!CH$8:CH$69,Expenses!$O$8:$O$69,$B94)+SUMIFS(Headcount!AR$395:AR$1442,Headcount!$J$395:$J$1442,$B94))</f>
        <v>0</v>
      </c>
      <c r="AJ94" s="131">
        <f>IF(AJ$12="Actual",SUMIFS(ActualsTable[Month 34],ActualsTable[Expense Item2],$B94),SUMIFS(Expenses!CI$8:CI$69,Expenses!$O$8:$O$69,$B94)+SUMIFS(Headcount!AS$395:AS$1442,Headcount!$J$395:$J$1442,$B94))</f>
        <v>0</v>
      </c>
      <c r="AK94" s="131">
        <f>IF(AK$12="Actual",SUMIFS(ActualsTable[Month 35],ActualsTable[Expense Item2],$B94),SUMIFS(Expenses!CJ$8:CJ$69,Expenses!$O$8:$O$69,$B94)+SUMIFS(Headcount!AT$395:AT$1442,Headcount!$J$395:$J$1442,$B94))</f>
        <v>0</v>
      </c>
      <c r="AL94" s="291">
        <f>IF(AL$12="Actual",SUMIFS(ActualsTable[Month 36],ActualsTable[Expense Item2],$B94),SUMIFS(Expenses!CK$8:CK$69,Expenses!$O$8:$O$69,$B94)+SUMIFS(Headcount!AU$395:AU$1442,Headcount!$J$395:$J$1442,$B94))</f>
        <v>0</v>
      </c>
      <c r="AN94" s="317">
        <f t="shared" ca="1" si="177"/>
        <v>0</v>
      </c>
      <c r="AO94" s="131">
        <f t="shared" ca="1" si="177"/>
        <v>0</v>
      </c>
      <c r="AP94" s="131">
        <f t="shared" ca="1" si="177"/>
        <v>0</v>
      </c>
      <c r="AQ94" s="131">
        <f t="shared" ca="1" si="177"/>
        <v>0</v>
      </c>
      <c r="AR94" s="131">
        <f t="shared" ca="1" si="177"/>
        <v>0</v>
      </c>
      <c r="AS94" s="131">
        <f t="shared" ca="1" si="177"/>
        <v>0</v>
      </c>
      <c r="AT94" s="131">
        <f t="shared" ca="1" si="177"/>
        <v>0</v>
      </c>
      <c r="AU94" s="131">
        <f t="shared" ca="1" si="177"/>
        <v>0</v>
      </c>
      <c r="AV94" s="131">
        <f t="shared" ca="1" si="177"/>
        <v>0</v>
      </c>
      <c r="AW94" s="131">
        <f t="shared" ca="1" si="177"/>
        <v>0</v>
      </c>
      <c r="AX94" s="131">
        <f t="shared" ca="1" si="177"/>
        <v>0</v>
      </c>
      <c r="AY94" s="291">
        <f t="shared" ca="1" si="177"/>
        <v>0</v>
      </c>
      <c r="BA94" s="317">
        <f t="shared" ca="1" si="178"/>
        <v>0</v>
      </c>
      <c r="BB94" s="131">
        <f t="shared" ca="1" si="178"/>
        <v>0</v>
      </c>
      <c r="BC94" s="291">
        <f t="shared" ca="1" si="178"/>
        <v>0</v>
      </c>
    </row>
    <row r="95" spans="2:55" x14ac:dyDescent="0.35">
      <c r="B95" s="63" t="s">
        <v>128</v>
      </c>
      <c r="C95" s="131">
        <f>IF(C$12="Actual",SUMIFS(ActualsTable[Month 1],ActualsTable[Expense Item2],$B95),SUMIFS(Expenses!BB$8:BB$69,Expenses!$O$8:$O$69,$B95)+SUMIFS(Headcount!L$395:L$1442,Headcount!$J$395:$J$1442,$B95))</f>
        <v>0</v>
      </c>
      <c r="D95" s="131">
        <f>IF(D$12="Actual",SUMIFS(ActualsTable[Month 2],ActualsTable[Expense Item2],$B95),SUMIFS(Expenses!BC$8:BC$69,Expenses!$O$8:$O$69,$B95)+SUMIFS(Headcount!M$395:M$1442,Headcount!$J$395:$J$1442,$B95))</f>
        <v>0</v>
      </c>
      <c r="E95" s="131">
        <f>IF(E$12="Actual",SUMIFS(ActualsTable[Month 3],ActualsTable[Expense Item2],$B95),SUMIFS(Expenses!BD$8:BD$69,Expenses!$O$8:$O$69,$B95)+SUMIFS(Headcount!N$395:N$1442,Headcount!$J$395:$J$1442,$B95))</f>
        <v>0</v>
      </c>
      <c r="F95" s="131">
        <f>IF(F$12="Actual",SUMIFS(ActualsTable[Month 4],ActualsTable[Expense Item2],$B95),SUMIFS(Expenses!BE$8:BE$69,Expenses!$O$8:$O$69,$B95)+SUMIFS(Headcount!O$395:O$1442,Headcount!$J$395:$J$1442,$B95))</f>
        <v>0</v>
      </c>
      <c r="G95" s="131">
        <f>IF(G$12="Actual",SUMIFS(ActualsTable[Month 5],ActualsTable[Expense Item2],$B95),SUMIFS(Expenses!BF$8:BF$69,Expenses!$O$8:$O$69,$B95)+SUMIFS(Headcount!P$395:P$1442,Headcount!$J$395:$J$1442,$B95))</f>
        <v>0</v>
      </c>
      <c r="H95" s="131">
        <f>IF(H$12="Actual",SUMIFS(ActualsTable[Month 6],ActualsTable[Expense Item2],$B95),SUMIFS(Expenses!BG$8:BG$69,Expenses!$O$8:$O$69,$B95)+SUMIFS(Headcount!Q$395:Q$1442,Headcount!$J$395:$J$1442,$B95))</f>
        <v>0</v>
      </c>
      <c r="I95" s="131">
        <f>IF(I$12="Actual",SUMIFS(ActualsTable[Month 7],ActualsTable[Expense Item2],$B95),SUMIFS(Expenses!BH$8:BH$69,Expenses!$O$8:$O$69,$B95)+SUMIFS(Headcount!R$395:R$1442,Headcount!$J$395:$J$1442,$B95))</f>
        <v>0</v>
      </c>
      <c r="J95" s="131">
        <f>IF(J$12="Actual",SUMIFS(ActualsTable[Month 8],ActualsTable[Expense Item2],$B95),SUMIFS(Expenses!BI$8:BI$69,Expenses!$O$8:$O$69,$B95)+SUMIFS(Headcount!S$395:S$1442,Headcount!$J$395:$J$1442,$B95))</f>
        <v>0</v>
      </c>
      <c r="K95" s="131">
        <f>IF(K$12="Actual",SUMIFS(ActualsTable[Month 9],ActualsTable[Expense Item2],$B95),SUMIFS(Expenses!BJ$8:BJ$69,Expenses!$O$8:$O$69,$B95)+SUMIFS(Headcount!T$395:T$1442,Headcount!$J$395:$J$1442,$B95))</f>
        <v>0</v>
      </c>
      <c r="L95" s="131">
        <f>IF(L$12="Actual",SUMIFS(ActualsTable[Month 10],ActualsTable[Expense Item2],$B95),SUMIFS(Expenses!BK$8:BK$69,Expenses!$O$8:$O$69,$B95)+SUMIFS(Headcount!U$395:U$1442,Headcount!$J$395:$J$1442,$B95))</f>
        <v>0</v>
      </c>
      <c r="M95" s="131">
        <f>IF(M$12="Actual",SUMIFS(ActualsTable[Month 11],ActualsTable[Expense Item2],$B95),SUMIFS(Expenses!BL$8:BL$69,Expenses!$O$8:$O$69,$B95)+SUMIFS(Headcount!V$395:V$1442,Headcount!$J$395:$J$1442,$B95))</f>
        <v>0</v>
      </c>
      <c r="N95" s="131">
        <f>IF(N$12="Actual",SUMIFS(ActualsTable[Month 12],ActualsTable[Expense Item2],$B95),SUMIFS(Expenses!BM$8:BM$69,Expenses!$O$8:$O$69,$B95)+SUMIFS(Headcount!W$395:W$1442,Headcount!$J$395:$J$1442,$B95))</f>
        <v>0</v>
      </c>
      <c r="O95" s="131">
        <f>IF(O$12="Actual",SUMIFS(ActualsTable[Month 13],ActualsTable[Expense Item2],$B95),SUMIFS(Expenses!BN$8:BN$69,Expenses!$O$8:$O$69,$B95)+SUMIFS(Headcount!X$395:X$1442,Headcount!$J$395:$J$1442,$B95))</f>
        <v>0</v>
      </c>
      <c r="P95" s="131">
        <f>IF(P$12="Actual",SUMIFS(ActualsTable[Month 14],ActualsTable[Expense Item2],$B95),SUMIFS(Expenses!BO$8:BO$69,Expenses!$O$8:$O$69,$B95)+SUMIFS(Headcount!Y$395:Y$1442,Headcount!$J$395:$J$1442,$B95))</f>
        <v>0</v>
      </c>
      <c r="Q95" s="131">
        <f>IF(Q$12="Actual",SUMIFS(ActualsTable[Month 15],ActualsTable[Expense Item2],$B95),SUMIFS(Expenses!BP$8:BP$69,Expenses!$O$8:$O$69,$B95)+SUMIFS(Headcount!Z$395:Z$1442,Headcount!$J$395:$J$1442,$B95))</f>
        <v>0</v>
      </c>
      <c r="R95" s="131">
        <f>IF(R$12="Actual",SUMIFS(ActualsTable[Month 16],ActualsTable[Expense Item2],$B95),SUMIFS(Expenses!BQ$8:BQ$69,Expenses!$O$8:$O$69,$B95)+SUMIFS(Headcount!AA$395:AA$1442,Headcount!$J$395:$J$1442,$B95))</f>
        <v>0</v>
      </c>
      <c r="S95" s="131">
        <f>IF(S$12="Actual",SUMIFS(ActualsTable[Month 17],ActualsTable[Expense Item2],$B95),SUMIFS(Expenses!BR$8:BR$69,Expenses!$O$8:$O$69,$B95)+SUMIFS(Headcount!AB$395:AB$1442,Headcount!$J$395:$J$1442,$B95))</f>
        <v>0</v>
      </c>
      <c r="T95" s="131">
        <f>IF(T$12="Actual",SUMIFS(ActualsTable[Month 18],ActualsTable[Expense Item2],$B95),SUMIFS(Expenses!BS$8:BS$69,Expenses!$O$8:$O$69,$B95)+SUMIFS(Headcount!AC$395:AC$1442,Headcount!$J$395:$J$1442,$B95))</f>
        <v>0</v>
      </c>
      <c r="U95" s="131">
        <f>IF(U$12="Actual",SUMIFS(ActualsTable[Month 19],ActualsTable[Expense Item2],$B95),SUMIFS(Expenses!BT$8:BT$69,Expenses!$O$8:$O$69,$B95)+SUMIFS(Headcount!AD$395:AD$1442,Headcount!$J$395:$J$1442,$B95))</f>
        <v>0</v>
      </c>
      <c r="V95" s="131">
        <f>IF(V$12="Actual",SUMIFS(ActualsTable[Month 20],ActualsTable[Expense Item2],$B95),SUMIFS(Expenses!BU$8:BU$69,Expenses!$O$8:$O$69,$B95)+SUMIFS(Headcount!AE$395:AE$1442,Headcount!$J$395:$J$1442,$B95))</f>
        <v>0</v>
      </c>
      <c r="W95" s="131">
        <f>IF(W$12="Actual",SUMIFS(ActualsTable[Month 21],ActualsTable[Expense Item2],$B95),SUMIFS(Expenses!BV$8:BV$69,Expenses!$O$8:$O$69,$B95)+SUMIFS(Headcount!AF$395:AF$1442,Headcount!$J$395:$J$1442,$B95))</f>
        <v>0</v>
      </c>
      <c r="X95" s="131">
        <f>IF(X$12="Actual",SUMIFS(ActualsTable[Month 22],ActualsTable[Expense Item2],$B95),SUMIFS(Expenses!BW$8:BW$69,Expenses!$O$8:$O$69,$B95)+SUMIFS(Headcount!AG$395:AG$1442,Headcount!$J$395:$J$1442,$B95))</f>
        <v>0</v>
      </c>
      <c r="Y95" s="131">
        <f>IF(Y$12="Actual",SUMIFS(ActualsTable[Month 23],ActualsTable[Expense Item2],$B95),SUMIFS(Expenses!BX$8:BX$69,Expenses!$O$8:$O$69,$B95)+SUMIFS(Headcount!AH$395:AH$1442,Headcount!$J$395:$J$1442,$B95))</f>
        <v>0</v>
      </c>
      <c r="Z95" s="131">
        <f>IF(Z$12="Actual",SUMIFS(ActualsTable[Month 24],ActualsTable[Expense Item2],$B95),SUMIFS(Expenses!BY$8:BY$69,Expenses!$O$8:$O$69,$B95)+SUMIFS(Headcount!AI$395:AI$1442,Headcount!$J$395:$J$1442,$B95))</f>
        <v>0</v>
      </c>
      <c r="AA95" s="131">
        <f>IF(AA$12="Actual",SUMIFS(ActualsTable[Month 25],ActualsTable[Expense Item2],$B95),SUMIFS(Expenses!BZ$8:BZ$69,Expenses!$O$8:$O$69,$B95)+SUMIFS(Headcount!AJ$395:AJ$1442,Headcount!$J$395:$J$1442,$B95))</f>
        <v>0</v>
      </c>
      <c r="AB95" s="131">
        <f>IF(AB$12="Actual",SUMIFS(ActualsTable[Month 26],ActualsTable[Expense Item2],$B95),SUMIFS(Expenses!CA$8:CA$69,Expenses!$O$8:$O$69,$B95)+SUMIFS(Headcount!AK$395:AK$1442,Headcount!$J$395:$J$1442,$B95))</f>
        <v>0</v>
      </c>
      <c r="AC95" s="131">
        <f>IF(AC$12="Actual",SUMIFS(ActualsTable[Month 27],ActualsTable[Expense Item2],$B95),SUMIFS(Expenses!CB$8:CB$69,Expenses!$O$8:$O$69,$B95)+SUMIFS(Headcount!AL$395:AL$1442,Headcount!$J$395:$J$1442,$B95))</f>
        <v>0</v>
      </c>
      <c r="AD95" s="131">
        <f>IF(AD$12="Actual",SUMIFS(ActualsTable[Month 28],ActualsTable[Expense Item2],$B95),SUMIFS(Expenses!CC$8:CC$69,Expenses!$O$8:$O$69,$B95)+SUMIFS(Headcount!AM$395:AM$1442,Headcount!$J$395:$J$1442,$B95))</f>
        <v>0</v>
      </c>
      <c r="AE95" s="131">
        <f>IF(AE$12="Actual",SUMIFS(ActualsTable[Month 29],ActualsTable[Expense Item2],$B95),SUMIFS(Expenses!CD$8:CD$69,Expenses!$O$8:$O$69,$B95)+SUMIFS(Headcount!AN$395:AN$1442,Headcount!$J$395:$J$1442,$B95))</f>
        <v>0</v>
      </c>
      <c r="AF95" s="131">
        <f>IF(AF$12="Actual",SUMIFS(ActualsTable[Month 30],ActualsTable[Expense Item2],$B95),SUMIFS(Expenses!CE$8:CE$69,Expenses!$O$8:$O$69,$B95)+SUMIFS(Headcount!AO$395:AO$1442,Headcount!$J$395:$J$1442,$B95))</f>
        <v>0</v>
      </c>
      <c r="AG95" s="131">
        <f>IF(AG$12="Actual",SUMIFS(ActualsTable[Month 31],ActualsTable[Expense Item2],$B95),SUMIFS(Expenses!CF$8:CF$69,Expenses!$O$8:$O$69,$B95)+SUMIFS(Headcount!AP$395:AP$1442,Headcount!$J$395:$J$1442,$B95))</f>
        <v>0</v>
      </c>
      <c r="AH95" s="131">
        <f>IF(AH$12="Actual",SUMIFS(ActualsTable[Month 32],ActualsTable[Expense Item2],$B95),SUMIFS(Expenses!CG$8:CG$69,Expenses!$O$8:$O$69,$B95)+SUMIFS(Headcount!AQ$395:AQ$1442,Headcount!$J$395:$J$1442,$B95))</f>
        <v>0</v>
      </c>
      <c r="AI95" s="131">
        <f>IF(AI$12="Actual",SUMIFS(ActualsTable[Month 33],ActualsTable[Expense Item2],$B95),SUMIFS(Expenses!CH$8:CH$69,Expenses!$O$8:$O$69,$B95)+SUMIFS(Headcount!AR$395:AR$1442,Headcount!$J$395:$J$1442,$B95))</f>
        <v>0</v>
      </c>
      <c r="AJ95" s="131">
        <f>IF(AJ$12="Actual",SUMIFS(ActualsTable[Month 34],ActualsTable[Expense Item2],$B95),SUMIFS(Expenses!CI$8:CI$69,Expenses!$O$8:$O$69,$B95)+SUMIFS(Headcount!AS$395:AS$1442,Headcount!$J$395:$J$1442,$B95))</f>
        <v>0</v>
      </c>
      <c r="AK95" s="131">
        <f>IF(AK$12="Actual",SUMIFS(ActualsTable[Month 35],ActualsTable[Expense Item2],$B95),SUMIFS(Expenses!CJ$8:CJ$69,Expenses!$O$8:$O$69,$B95)+SUMIFS(Headcount!AT$395:AT$1442,Headcount!$J$395:$J$1442,$B95))</f>
        <v>0</v>
      </c>
      <c r="AL95" s="291">
        <f>IF(AL$12="Actual",SUMIFS(ActualsTable[Month 36],ActualsTable[Expense Item2],$B95),SUMIFS(Expenses!CK$8:CK$69,Expenses!$O$8:$O$69,$B95)+SUMIFS(Headcount!AU$395:AU$1442,Headcount!$J$395:$J$1442,$B95))</f>
        <v>0</v>
      </c>
      <c r="AN95" s="317">
        <f t="shared" ca="1" si="177"/>
        <v>0</v>
      </c>
      <c r="AO95" s="131">
        <f t="shared" ca="1" si="177"/>
        <v>0</v>
      </c>
      <c r="AP95" s="131">
        <f t="shared" ca="1" si="177"/>
        <v>0</v>
      </c>
      <c r="AQ95" s="131">
        <f t="shared" ca="1" si="177"/>
        <v>0</v>
      </c>
      <c r="AR95" s="131">
        <f t="shared" ca="1" si="177"/>
        <v>0</v>
      </c>
      <c r="AS95" s="131">
        <f t="shared" ca="1" si="177"/>
        <v>0</v>
      </c>
      <c r="AT95" s="131">
        <f t="shared" ca="1" si="177"/>
        <v>0</v>
      </c>
      <c r="AU95" s="131">
        <f t="shared" ca="1" si="177"/>
        <v>0</v>
      </c>
      <c r="AV95" s="131">
        <f t="shared" ca="1" si="177"/>
        <v>0</v>
      </c>
      <c r="AW95" s="131">
        <f t="shared" ca="1" si="177"/>
        <v>0</v>
      </c>
      <c r="AX95" s="131">
        <f t="shared" ca="1" si="177"/>
        <v>0</v>
      </c>
      <c r="AY95" s="291">
        <f t="shared" ca="1" si="177"/>
        <v>0</v>
      </c>
      <c r="BA95" s="317">
        <f t="shared" ca="1" si="178"/>
        <v>0</v>
      </c>
      <c r="BB95" s="131">
        <f t="shared" ca="1" si="178"/>
        <v>0</v>
      </c>
      <c r="BC95" s="291">
        <f t="shared" ca="1" si="178"/>
        <v>0</v>
      </c>
    </row>
    <row r="96" spans="2:55" x14ac:dyDescent="0.35">
      <c r="B96" s="63" t="s">
        <v>129</v>
      </c>
      <c r="C96" s="131">
        <f>IF(C$12="Actual",SUMIFS(ActualsTable[Month 1],ActualsTable[Expense Item2],$B96),SUMIFS(Expenses!BB$8:BB$69,Expenses!$O$8:$O$69,$B96)+SUMIFS(Headcount!L$395:L$1442,Headcount!$J$395:$J$1442,$B96))</f>
        <v>0</v>
      </c>
      <c r="D96" s="131">
        <f>IF(D$12="Actual",SUMIFS(ActualsTable[Month 2],ActualsTable[Expense Item2],$B96),SUMIFS(Expenses!BC$8:BC$69,Expenses!$O$8:$O$69,$B96)+SUMIFS(Headcount!M$395:M$1442,Headcount!$J$395:$J$1442,$B96))</f>
        <v>0</v>
      </c>
      <c r="E96" s="131">
        <f>IF(E$12="Actual",SUMIFS(ActualsTable[Month 3],ActualsTable[Expense Item2],$B96),SUMIFS(Expenses!BD$8:BD$69,Expenses!$O$8:$O$69,$B96)+SUMIFS(Headcount!N$395:N$1442,Headcount!$J$395:$J$1442,$B96))</f>
        <v>0</v>
      </c>
      <c r="F96" s="131">
        <f>IF(F$12="Actual",SUMIFS(ActualsTable[Month 4],ActualsTable[Expense Item2],$B96),SUMIFS(Expenses!BE$8:BE$69,Expenses!$O$8:$O$69,$B96)+SUMIFS(Headcount!O$395:O$1442,Headcount!$J$395:$J$1442,$B96))</f>
        <v>0</v>
      </c>
      <c r="G96" s="131">
        <f>IF(G$12="Actual",SUMIFS(ActualsTable[Month 5],ActualsTable[Expense Item2],$B96),SUMIFS(Expenses!BF$8:BF$69,Expenses!$O$8:$O$69,$B96)+SUMIFS(Headcount!P$395:P$1442,Headcount!$J$395:$J$1442,$B96))</f>
        <v>0</v>
      </c>
      <c r="H96" s="131">
        <f>IF(H$12="Actual",SUMIFS(ActualsTable[Month 6],ActualsTable[Expense Item2],$B96),SUMIFS(Expenses!BG$8:BG$69,Expenses!$O$8:$O$69,$B96)+SUMIFS(Headcount!Q$395:Q$1442,Headcount!$J$395:$J$1442,$B96))</f>
        <v>0</v>
      </c>
      <c r="I96" s="131">
        <f>IF(I$12="Actual",SUMIFS(ActualsTable[Month 7],ActualsTable[Expense Item2],$B96),SUMIFS(Expenses!BH$8:BH$69,Expenses!$O$8:$O$69,$B96)+SUMIFS(Headcount!R$395:R$1442,Headcount!$J$395:$J$1442,$B96))</f>
        <v>0</v>
      </c>
      <c r="J96" s="131">
        <f>IF(J$12="Actual",SUMIFS(ActualsTable[Month 8],ActualsTable[Expense Item2],$B96),SUMIFS(Expenses!BI$8:BI$69,Expenses!$O$8:$O$69,$B96)+SUMIFS(Headcount!S$395:S$1442,Headcount!$J$395:$J$1442,$B96))</f>
        <v>0</v>
      </c>
      <c r="K96" s="131">
        <f>IF(K$12="Actual",SUMIFS(ActualsTable[Month 9],ActualsTable[Expense Item2],$B96),SUMIFS(Expenses!BJ$8:BJ$69,Expenses!$O$8:$O$69,$B96)+SUMIFS(Headcount!T$395:T$1442,Headcount!$J$395:$J$1442,$B96))</f>
        <v>0</v>
      </c>
      <c r="L96" s="131">
        <f>IF(L$12="Actual",SUMIFS(ActualsTable[Month 10],ActualsTable[Expense Item2],$B96),SUMIFS(Expenses!BK$8:BK$69,Expenses!$O$8:$O$69,$B96)+SUMIFS(Headcount!U$395:U$1442,Headcount!$J$395:$J$1442,$B96))</f>
        <v>0</v>
      </c>
      <c r="M96" s="131">
        <f>IF(M$12="Actual",SUMIFS(ActualsTable[Month 11],ActualsTable[Expense Item2],$B96),SUMIFS(Expenses!BL$8:BL$69,Expenses!$O$8:$O$69,$B96)+SUMIFS(Headcount!V$395:V$1442,Headcount!$J$395:$J$1442,$B96))</f>
        <v>0</v>
      </c>
      <c r="N96" s="131">
        <f>IF(N$12="Actual",SUMIFS(ActualsTable[Month 12],ActualsTable[Expense Item2],$B96),SUMIFS(Expenses!BM$8:BM$69,Expenses!$O$8:$O$69,$B96)+SUMIFS(Headcount!W$395:W$1442,Headcount!$J$395:$J$1442,$B96))</f>
        <v>0</v>
      </c>
      <c r="O96" s="131">
        <f>IF(O$12="Actual",SUMIFS(ActualsTable[Month 13],ActualsTable[Expense Item2],$B96),SUMIFS(Expenses!BN$8:BN$69,Expenses!$O$8:$O$69,$B96)+SUMIFS(Headcount!X$395:X$1442,Headcount!$J$395:$J$1442,$B96))</f>
        <v>0</v>
      </c>
      <c r="P96" s="131">
        <f>IF(P$12="Actual",SUMIFS(ActualsTable[Month 14],ActualsTable[Expense Item2],$B96),SUMIFS(Expenses!BO$8:BO$69,Expenses!$O$8:$O$69,$B96)+SUMIFS(Headcount!Y$395:Y$1442,Headcount!$J$395:$J$1442,$B96))</f>
        <v>0</v>
      </c>
      <c r="Q96" s="131">
        <f>IF(Q$12="Actual",SUMIFS(ActualsTable[Month 15],ActualsTable[Expense Item2],$B96),SUMIFS(Expenses!BP$8:BP$69,Expenses!$O$8:$O$69,$B96)+SUMIFS(Headcount!Z$395:Z$1442,Headcount!$J$395:$J$1442,$B96))</f>
        <v>0</v>
      </c>
      <c r="R96" s="131">
        <f>IF(R$12="Actual",SUMIFS(ActualsTable[Month 16],ActualsTable[Expense Item2],$B96),SUMIFS(Expenses!BQ$8:BQ$69,Expenses!$O$8:$O$69,$B96)+SUMIFS(Headcount!AA$395:AA$1442,Headcount!$J$395:$J$1442,$B96))</f>
        <v>0</v>
      </c>
      <c r="S96" s="131">
        <f>IF(S$12="Actual",SUMIFS(ActualsTable[Month 17],ActualsTable[Expense Item2],$B96),SUMIFS(Expenses!BR$8:BR$69,Expenses!$O$8:$O$69,$B96)+SUMIFS(Headcount!AB$395:AB$1442,Headcount!$J$395:$J$1442,$B96))</f>
        <v>0</v>
      </c>
      <c r="T96" s="131">
        <f>IF(T$12="Actual",SUMIFS(ActualsTable[Month 18],ActualsTable[Expense Item2],$B96),SUMIFS(Expenses!BS$8:BS$69,Expenses!$O$8:$O$69,$B96)+SUMIFS(Headcount!AC$395:AC$1442,Headcount!$J$395:$J$1442,$B96))</f>
        <v>0</v>
      </c>
      <c r="U96" s="131">
        <f>IF(U$12="Actual",SUMIFS(ActualsTable[Month 19],ActualsTable[Expense Item2],$B96),SUMIFS(Expenses!BT$8:BT$69,Expenses!$O$8:$O$69,$B96)+SUMIFS(Headcount!AD$395:AD$1442,Headcount!$J$395:$J$1442,$B96))</f>
        <v>0</v>
      </c>
      <c r="V96" s="131">
        <f>IF(V$12="Actual",SUMIFS(ActualsTable[Month 20],ActualsTable[Expense Item2],$B96),SUMIFS(Expenses!BU$8:BU$69,Expenses!$O$8:$O$69,$B96)+SUMIFS(Headcount!AE$395:AE$1442,Headcount!$J$395:$J$1442,$B96))</f>
        <v>0</v>
      </c>
      <c r="W96" s="131">
        <f>IF(W$12="Actual",SUMIFS(ActualsTable[Month 21],ActualsTable[Expense Item2],$B96),SUMIFS(Expenses!BV$8:BV$69,Expenses!$O$8:$O$69,$B96)+SUMIFS(Headcount!AF$395:AF$1442,Headcount!$J$395:$J$1442,$B96))</f>
        <v>0</v>
      </c>
      <c r="X96" s="131">
        <f>IF(X$12="Actual",SUMIFS(ActualsTable[Month 22],ActualsTable[Expense Item2],$B96),SUMIFS(Expenses!BW$8:BW$69,Expenses!$O$8:$O$69,$B96)+SUMIFS(Headcount!AG$395:AG$1442,Headcount!$J$395:$J$1442,$B96))</f>
        <v>0</v>
      </c>
      <c r="Y96" s="131">
        <f>IF(Y$12="Actual",SUMIFS(ActualsTable[Month 23],ActualsTable[Expense Item2],$B96),SUMIFS(Expenses!BX$8:BX$69,Expenses!$O$8:$O$69,$B96)+SUMIFS(Headcount!AH$395:AH$1442,Headcount!$J$395:$J$1442,$B96))</f>
        <v>0</v>
      </c>
      <c r="Z96" s="131">
        <f>IF(Z$12="Actual",SUMIFS(ActualsTable[Month 24],ActualsTable[Expense Item2],$B96),SUMIFS(Expenses!BY$8:BY$69,Expenses!$O$8:$O$69,$B96)+SUMIFS(Headcount!AI$395:AI$1442,Headcount!$J$395:$J$1442,$B96))</f>
        <v>0</v>
      </c>
      <c r="AA96" s="131">
        <f>IF(AA$12="Actual",SUMIFS(ActualsTable[Month 25],ActualsTable[Expense Item2],$B96),SUMIFS(Expenses!BZ$8:BZ$69,Expenses!$O$8:$O$69,$B96)+SUMIFS(Headcount!AJ$395:AJ$1442,Headcount!$J$395:$J$1442,$B96))</f>
        <v>0</v>
      </c>
      <c r="AB96" s="131">
        <f>IF(AB$12="Actual",SUMIFS(ActualsTable[Month 26],ActualsTable[Expense Item2],$B96),SUMIFS(Expenses!CA$8:CA$69,Expenses!$O$8:$O$69,$B96)+SUMIFS(Headcount!AK$395:AK$1442,Headcount!$J$395:$J$1442,$B96))</f>
        <v>0</v>
      </c>
      <c r="AC96" s="131">
        <f>IF(AC$12="Actual",SUMIFS(ActualsTable[Month 27],ActualsTable[Expense Item2],$B96),SUMIFS(Expenses!CB$8:CB$69,Expenses!$O$8:$O$69,$B96)+SUMIFS(Headcount!AL$395:AL$1442,Headcount!$J$395:$J$1442,$B96))</f>
        <v>0</v>
      </c>
      <c r="AD96" s="131">
        <f>IF(AD$12="Actual",SUMIFS(ActualsTable[Month 28],ActualsTable[Expense Item2],$B96),SUMIFS(Expenses!CC$8:CC$69,Expenses!$O$8:$O$69,$B96)+SUMIFS(Headcount!AM$395:AM$1442,Headcount!$J$395:$J$1442,$B96))</f>
        <v>0</v>
      </c>
      <c r="AE96" s="131">
        <f>IF(AE$12="Actual",SUMIFS(ActualsTable[Month 29],ActualsTable[Expense Item2],$B96),SUMIFS(Expenses!CD$8:CD$69,Expenses!$O$8:$O$69,$B96)+SUMIFS(Headcount!AN$395:AN$1442,Headcount!$J$395:$J$1442,$B96))</f>
        <v>0</v>
      </c>
      <c r="AF96" s="131">
        <f>IF(AF$12="Actual",SUMIFS(ActualsTable[Month 30],ActualsTable[Expense Item2],$B96),SUMIFS(Expenses!CE$8:CE$69,Expenses!$O$8:$O$69,$B96)+SUMIFS(Headcount!AO$395:AO$1442,Headcount!$J$395:$J$1442,$B96))</f>
        <v>0</v>
      </c>
      <c r="AG96" s="131">
        <f>IF(AG$12="Actual",SUMIFS(ActualsTable[Month 31],ActualsTable[Expense Item2],$B96),SUMIFS(Expenses!CF$8:CF$69,Expenses!$O$8:$O$69,$B96)+SUMIFS(Headcount!AP$395:AP$1442,Headcount!$J$395:$J$1442,$B96))</f>
        <v>0</v>
      </c>
      <c r="AH96" s="131">
        <f>IF(AH$12="Actual",SUMIFS(ActualsTable[Month 32],ActualsTable[Expense Item2],$B96),SUMIFS(Expenses!CG$8:CG$69,Expenses!$O$8:$O$69,$B96)+SUMIFS(Headcount!AQ$395:AQ$1442,Headcount!$J$395:$J$1442,$B96))</f>
        <v>0</v>
      </c>
      <c r="AI96" s="131">
        <f>IF(AI$12="Actual",SUMIFS(ActualsTable[Month 33],ActualsTable[Expense Item2],$B96),SUMIFS(Expenses!CH$8:CH$69,Expenses!$O$8:$O$69,$B96)+SUMIFS(Headcount!AR$395:AR$1442,Headcount!$J$395:$J$1442,$B96))</f>
        <v>0</v>
      </c>
      <c r="AJ96" s="131">
        <f>IF(AJ$12="Actual",SUMIFS(ActualsTable[Month 34],ActualsTable[Expense Item2],$B96),SUMIFS(Expenses!CI$8:CI$69,Expenses!$O$8:$O$69,$B96)+SUMIFS(Headcount!AS$395:AS$1442,Headcount!$J$395:$J$1442,$B96))</f>
        <v>0</v>
      </c>
      <c r="AK96" s="131">
        <f>IF(AK$12="Actual",SUMIFS(ActualsTable[Month 35],ActualsTable[Expense Item2],$B96),SUMIFS(Expenses!CJ$8:CJ$69,Expenses!$O$8:$O$69,$B96)+SUMIFS(Headcount!AT$395:AT$1442,Headcount!$J$395:$J$1442,$B96))</f>
        <v>0</v>
      </c>
      <c r="AL96" s="291">
        <f>IF(AL$12="Actual",SUMIFS(ActualsTable[Month 36],ActualsTable[Expense Item2],$B96),SUMIFS(Expenses!CK$8:CK$69,Expenses!$O$8:$O$69,$B96)+SUMIFS(Headcount!AU$395:AU$1442,Headcount!$J$395:$J$1442,$B96))</f>
        <v>0</v>
      </c>
      <c r="AN96" s="317">
        <f t="shared" ca="1" si="177"/>
        <v>0</v>
      </c>
      <c r="AO96" s="131">
        <f t="shared" ca="1" si="177"/>
        <v>0</v>
      </c>
      <c r="AP96" s="131">
        <f t="shared" ca="1" si="177"/>
        <v>0</v>
      </c>
      <c r="AQ96" s="131">
        <f t="shared" ca="1" si="177"/>
        <v>0</v>
      </c>
      <c r="AR96" s="131">
        <f t="shared" ca="1" si="177"/>
        <v>0</v>
      </c>
      <c r="AS96" s="131">
        <f t="shared" ca="1" si="177"/>
        <v>0</v>
      </c>
      <c r="AT96" s="131">
        <f t="shared" ca="1" si="177"/>
        <v>0</v>
      </c>
      <c r="AU96" s="131">
        <f t="shared" ca="1" si="177"/>
        <v>0</v>
      </c>
      <c r="AV96" s="131">
        <f t="shared" ca="1" si="177"/>
        <v>0</v>
      </c>
      <c r="AW96" s="131">
        <f t="shared" ca="1" si="177"/>
        <v>0</v>
      </c>
      <c r="AX96" s="131">
        <f t="shared" ca="1" si="177"/>
        <v>0</v>
      </c>
      <c r="AY96" s="291">
        <f t="shared" ca="1" si="177"/>
        <v>0</v>
      </c>
      <c r="BA96" s="317">
        <f t="shared" ca="1" si="178"/>
        <v>0</v>
      </c>
      <c r="BB96" s="131">
        <f t="shared" ca="1" si="178"/>
        <v>0</v>
      </c>
      <c r="BC96" s="291">
        <f t="shared" ca="1" si="178"/>
        <v>0</v>
      </c>
    </row>
    <row r="97" spans="2:55" ht="15" x14ac:dyDescent="0.4">
      <c r="B97" s="85" t="s">
        <v>130</v>
      </c>
      <c r="C97" s="139">
        <f t="shared" ref="C97:AN97" si="179">SUM(C98:C105)</f>
        <v>0</v>
      </c>
      <c r="D97" s="139">
        <f t="shared" ref="D97:AL97" si="180">SUM(D98:D105)</f>
        <v>0</v>
      </c>
      <c r="E97" s="139">
        <f t="shared" si="180"/>
        <v>0</v>
      </c>
      <c r="F97" s="139">
        <f t="shared" si="180"/>
        <v>0</v>
      </c>
      <c r="G97" s="139">
        <f t="shared" si="180"/>
        <v>0</v>
      </c>
      <c r="H97" s="139">
        <f t="shared" si="180"/>
        <v>0</v>
      </c>
      <c r="I97" s="139">
        <f t="shared" si="180"/>
        <v>0</v>
      </c>
      <c r="J97" s="139">
        <f t="shared" si="180"/>
        <v>0</v>
      </c>
      <c r="K97" s="139">
        <f t="shared" si="180"/>
        <v>0</v>
      </c>
      <c r="L97" s="139">
        <f t="shared" si="180"/>
        <v>0</v>
      </c>
      <c r="M97" s="139">
        <f t="shared" si="180"/>
        <v>0</v>
      </c>
      <c r="N97" s="139">
        <f t="shared" si="180"/>
        <v>0</v>
      </c>
      <c r="O97" s="139">
        <f t="shared" si="180"/>
        <v>0</v>
      </c>
      <c r="P97" s="139">
        <f t="shared" si="180"/>
        <v>0</v>
      </c>
      <c r="Q97" s="139">
        <f t="shared" si="180"/>
        <v>0</v>
      </c>
      <c r="R97" s="139">
        <f t="shared" si="180"/>
        <v>0</v>
      </c>
      <c r="S97" s="139">
        <f t="shared" si="180"/>
        <v>0</v>
      </c>
      <c r="T97" s="139">
        <f t="shared" si="180"/>
        <v>0</v>
      </c>
      <c r="U97" s="139">
        <f t="shared" si="180"/>
        <v>0</v>
      </c>
      <c r="V97" s="139">
        <f t="shared" si="180"/>
        <v>0</v>
      </c>
      <c r="W97" s="139">
        <f t="shared" si="180"/>
        <v>0</v>
      </c>
      <c r="X97" s="139">
        <f t="shared" si="180"/>
        <v>0</v>
      </c>
      <c r="Y97" s="139">
        <f t="shared" si="180"/>
        <v>0</v>
      </c>
      <c r="Z97" s="139">
        <f t="shared" si="180"/>
        <v>0</v>
      </c>
      <c r="AA97" s="139">
        <f t="shared" si="180"/>
        <v>0</v>
      </c>
      <c r="AB97" s="139">
        <f t="shared" si="180"/>
        <v>0</v>
      </c>
      <c r="AC97" s="139">
        <f t="shared" si="180"/>
        <v>0</v>
      </c>
      <c r="AD97" s="139">
        <f t="shared" si="180"/>
        <v>0</v>
      </c>
      <c r="AE97" s="139">
        <f t="shared" si="180"/>
        <v>0</v>
      </c>
      <c r="AF97" s="139">
        <f t="shared" si="180"/>
        <v>0</v>
      </c>
      <c r="AG97" s="139">
        <f t="shared" si="180"/>
        <v>0</v>
      </c>
      <c r="AH97" s="139">
        <f t="shared" si="180"/>
        <v>0</v>
      </c>
      <c r="AI97" s="139">
        <f t="shared" si="180"/>
        <v>0</v>
      </c>
      <c r="AJ97" s="139">
        <f t="shared" si="180"/>
        <v>0</v>
      </c>
      <c r="AK97" s="139">
        <f t="shared" si="180"/>
        <v>0</v>
      </c>
      <c r="AL97" s="303">
        <f t="shared" si="180"/>
        <v>0</v>
      </c>
      <c r="AN97" s="329">
        <f t="shared" ca="1" si="179"/>
        <v>0</v>
      </c>
      <c r="AO97" s="139">
        <f t="shared" ref="AO97:AT97" ca="1" si="181">SUM(AO98:AO105)</f>
        <v>0</v>
      </c>
      <c r="AP97" s="139">
        <f t="shared" ca="1" si="181"/>
        <v>0</v>
      </c>
      <c r="AQ97" s="139">
        <f t="shared" ca="1" si="181"/>
        <v>0</v>
      </c>
      <c r="AR97" s="139">
        <f t="shared" ca="1" si="181"/>
        <v>0</v>
      </c>
      <c r="AS97" s="139">
        <f t="shared" ca="1" si="181"/>
        <v>0</v>
      </c>
      <c r="AT97" s="139">
        <f t="shared" ca="1" si="181"/>
        <v>0</v>
      </c>
      <c r="AU97" s="139">
        <f t="shared" ref="AU97:AY97" ca="1" si="182">SUM(AU98:AU105)</f>
        <v>0</v>
      </c>
      <c r="AV97" s="139">
        <f t="shared" ca="1" si="182"/>
        <v>0</v>
      </c>
      <c r="AW97" s="139">
        <f t="shared" ca="1" si="182"/>
        <v>0</v>
      </c>
      <c r="AX97" s="139">
        <f t="shared" ca="1" si="182"/>
        <v>0</v>
      </c>
      <c r="AY97" s="303">
        <f t="shared" ca="1" si="182"/>
        <v>0</v>
      </c>
      <c r="BA97" s="329">
        <f t="shared" ref="BA97" ca="1" si="183">SUM(BA98:BA105)</f>
        <v>0</v>
      </c>
      <c r="BB97" s="139">
        <f t="shared" ref="BB97:BC97" ca="1" si="184">SUM(BB98:BB105)</f>
        <v>0</v>
      </c>
      <c r="BC97" s="303">
        <f t="shared" ca="1" si="184"/>
        <v>0</v>
      </c>
    </row>
    <row r="98" spans="2:55" x14ac:dyDescent="0.35">
      <c r="B98" s="64" t="s">
        <v>131</v>
      </c>
      <c r="C98" s="137">
        <f>IF(C$12="Actual",SUMIFS(ActualsTable[Month 1],ActualsTable[Expense Item2],$B98),SUMIFS(Expenses!BB$8:BB$69,Expenses!$O$8:$O$69,$B98)+SUMIFS(Headcount!L$395:L$1442,Headcount!$J$395:$J$1442,$B98))</f>
        <v>0</v>
      </c>
      <c r="D98" s="137">
        <f>IF(D$12="Actual",SUMIFS(ActualsTable[Month 2],ActualsTable[Expense Item2],$B98),SUMIFS(Expenses!BC$8:BC$69,Expenses!$O$8:$O$69,$B98)+SUMIFS(Headcount!M$395:M$1442,Headcount!$J$395:$J$1442,$B98))</f>
        <v>0</v>
      </c>
      <c r="E98" s="137">
        <f>IF(E$12="Actual",SUMIFS(ActualsTable[Month 3],ActualsTable[Expense Item2],$B98),SUMIFS(Expenses!BD$8:BD$69,Expenses!$O$8:$O$69,$B98)+SUMIFS(Headcount!N$395:N$1442,Headcount!$J$395:$J$1442,$B98))</f>
        <v>0</v>
      </c>
      <c r="F98" s="137">
        <f>IF(F$12="Actual",SUMIFS(ActualsTable[Month 4],ActualsTable[Expense Item2],$B98),SUMIFS(Expenses!BE$8:BE$69,Expenses!$O$8:$O$69,$B98)+SUMIFS(Headcount!O$395:O$1442,Headcount!$J$395:$J$1442,$B98))</f>
        <v>0</v>
      </c>
      <c r="G98" s="137">
        <f>IF(G$12="Actual",SUMIFS(ActualsTable[Month 5],ActualsTable[Expense Item2],$B98),SUMIFS(Expenses!BF$8:BF$69,Expenses!$O$8:$O$69,$B98)+SUMIFS(Headcount!P$395:P$1442,Headcount!$J$395:$J$1442,$B98))</f>
        <v>0</v>
      </c>
      <c r="H98" s="137">
        <f>IF(H$12="Actual",SUMIFS(ActualsTable[Month 6],ActualsTable[Expense Item2],$B98),SUMIFS(Expenses!BG$8:BG$69,Expenses!$O$8:$O$69,$B98)+SUMIFS(Headcount!Q$395:Q$1442,Headcount!$J$395:$J$1442,$B98))</f>
        <v>0</v>
      </c>
      <c r="I98" s="137">
        <f>IF(I$12="Actual",SUMIFS(ActualsTable[Month 7],ActualsTable[Expense Item2],$B98),SUMIFS(Expenses!BH$8:BH$69,Expenses!$O$8:$O$69,$B98)+SUMIFS(Headcount!R$395:R$1442,Headcount!$J$395:$J$1442,$B98))</f>
        <v>0</v>
      </c>
      <c r="J98" s="137">
        <f>IF(J$12="Actual",SUMIFS(ActualsTable[Month 8],ActualsTable[Expense Item2],$B98),SUMIFS(Expenses!BI$8:BI$69,Expenses!$O$8:$O$69,$B98)+SUMIFS(Headcount!S$395:S$1442,Headcount!$J$395:$J$1442,$B98))</f>
        <v>0</v>
      </c>
      <c r="K98" s="137">
        <f>IF(K$12="Actual",SUMIFS(ActualsTable[Month 9],ActualsTable[Expense Item2],$B98),SUMIFS(Expenses!BJ$8:BJ$69,Expenses!$O$8:$O$69,$B98)+SUMIFS(Headcount!T$395:T$1442,Headcount!$J$395:$J$1442,$B98))</f>
        <v>0</v>
      </c>
      <c r="L98" s="137">
        <f>IF(L$12="Actual",SUMIFS(ActualsTable[Month 10],ActualsTable[Expense Item2],$B98),SUMIFS(Expenses!BK$8:BK$69,Expenses!$O$8:$O$69,$B98)+SUMIFS(Headcount!U$395:U$1442,Headcount!$J$395:$J$1442,$B98))</f>
        <v>0</v>
      </c>
      <c r="M98" s="137">
        <f>IF(M$12="Actual",SUMIFS(ActualsTable[Month 11],ActualsTable[Expense Item2],$B98),SUMIFS(Expenses!BL$8:BL$69,Expenses!$O$8:$O$69,$B98)+SUMIFS(Headcount!V$395:V$1442,Headcount!$J$395:$J$1442,$B98))</f>
        <v>0</v>
      </c>
      <c r="N98" s="137">
        <f>IF(N$12="Actual",SUMIFS(ActualsTable[Month 12],ActualsTable[Expense Item2],$B98),SUMIFS(Expenses!BM$8:BM$69,Expenses!$O$8:$O$69,$B98)+SUMIFS(Headcount!W$395:W$1442,Headcount!$J$395:$J$1442,$B98))</f>
        <v>0</v>
      </c>
      <c r="O98" s="137">
        <f>IF(O$12="Actual",SUMIFS(ActualsTable[Month 13],ActualsTable[Expense Item2],$B98),SUMIFS(Expenses!BN$8:BN$69,Expenses!$O$8:$O$69,$B98)+SUMIFS(Headcount!X$395:X$1442,Headcount!$J$395:$J$1442,$B98))</f>
        <v>0</v>
      </c>
      <c r="P98" s="137">
        <f>IF(P$12="Actual",SUMIFS(ActualsTable[Month 14],ActualsTable[Expense Item2],$B98),SUMIFS(Expenses!BO$8:BO$69,Expenses!$O$8:$O$69,$B98)+SUMIFS(Headcount!Y$395:Y$1442,Headcount!$J$395:$J$1442,$B98))</f>
        <v>0</v>
      </c>
      <c r="Q98" s="137">
        <f>IF(Q$12="Actual",SUMIFS(ActualsTable[Month 15],ActualsTable[Expense Item2],$B98),SUMIFS(Expenses!BP$8:BP$69,Expenses!$O$8:$O$69,$B98)+SUMIFS(Headcount!Z$395:Z$1442,Headcount!$J$395:$J$1442,$B98))</f>
        <v>0</v>
      </c>
      <c r="R98" s="137">
        <f>IF(R$12="Actual",SUMIFS(ActualsTable[Month 16],ActualsTable[Expense Item2],$B98),SUMIFS(Expenses!BQ$8:BQ$69,Expenses!$O$8:$O$69,$B98)+SUMIFS(Headcount!AA$395:AA$1442,Headcount!$J$395:$J$1442,$B98))</f>
        <v>0</v>
      </c>
      <c r="S98" s="137">
        <f>IF(S$12="Actual",SUMIFS(ActualsTable[Month 17],ActualsTable[Expense Item2],$B98),SUMIFS(Expenses!BR$8:BR$69,Expenses!$O$8:$O$69,$B98)+SUMIFS(Headcount!AB$395:AB$1442,Headcount!$J$395:$J$1442,$B98))</f>
        <v>0</v>
      </c>
      <c r="T98" s="137">
        <f>IF(T$12="Actual",SUMIFS(ActualsTable[Month 18],ActualsTable[Expense Item2],$B98),SUMIFS(Expenses!BS$8:BS$69,Expenses!$O$8:$O$69,$B98)+SUMIFS(Headcount!AC$395:AC$1442,Headcount!$J$395:$J$1442,$B98))</f>
        <v>0</v>
      </c>
      <c r="U98" s="137">
        <f>IF(U$12="Actual",SUMIFS(ActualsTable[Month 19],ActualsTable[Expense Item2],$B98),SUMIFS(Expenses!BT$8:BT$69,Expenses!$O$8:$O$69,$B98)+SUMIFS(Headcount!AD$395:AD$1442,Headcount!$J$395:$J$1442,$B98))</f>
        <v>0</v>
      </c>
      <c r="V98" s="137">
        <f>IF(V$12="Actual",SUMIFS(ActualsTable[Month 20],ActualsTable[Expense Item2],$B98),SUMIFS(Expenses!BU$8:BU$69,Expenses!$O$8:$O$69,$B98)+SUMIFS(Headcount!AE$395:AE$1442,Headcount!$J$395:$J$1442,$B98))</f>
        <v>0</v>
      </c>
      <c r="W98" s="137">
        <f>IF(W$12="Actual",SUMIFS(ActualsTable[Month 21],ActualsTable[Expense Item2],$B98),SUMIFS(Expenses!BV$8:BV$69,Expenses!$O$8:$O$69,$B98)+SUMIFS(Headcount!AF$395:AF$1442,Headcount!$J$395:$J$1442,$B98))</f>
        <v>0</v>
      </c>
      <c r="X98" s="137">
        <f>IF(X$12="Actual",SUMIFS(ActualsTable[Month 22],ActualsTable[Expense Item2],$B98),SUMIFS(Expenses!BW$8:BW$69,Expenses!$O$8:$O$69,$B98)+SUMIFS(Headcount!AG$395:AG$1442,Headcount!$J$395:$J$1442,$B98))</f>
        <v>0</v>
      </c>
      <c r="Y98" s="137">
        <f>IF(Y$12="Actual",SUMIFS(ActualsTable[Month 23],ActualsTable[Expense Item2],$B98),SUMIFS(Expenses!BX$8:BX$69,Expenses!$O$8:$O$69,$B98)+SUMIFS(Headcount!AH$395:AH$1442,Headcount!$J$395:$J$1442,$B98))</f>
        <v>0</v>
      </c>
      <c r="Z98" s="137">
        <f>IF(Z$12="Actual",SUMIFS(ActualsTable[Month 24],ActualsTable[Expense Item2],$B98),SUMIFS(Expenses!BY$8:BY$69,Expenses!$O$8:$O$69,$B98)+SUMIFS(Headcount!AI$395:AI$1442,Headcount!$J$395:$J$1442,$B98))</f>
        <v>0</v>
      </c>
      <c r="AA98" s="137">
        <f>IF(AA$12="Actual",SUMIFS(ActualsTable[Month 25],ActualsTable[Expense Item2],$B98),SUMIFS(Expenses!BZ$8:BZ$69,Expenses!$O$8:$O$69,$B98)+SUMIFS(Headcount!AJ$395:AJ$1442,Headcount!$J$395:$J$1442,$B98))</f>
        <v>0</v>
      </c>
      <c r="AB98" s="137">
        <f>IF(AB$12="Actual",SUMIFS(ActualsTable[Month 26],ActualsTable[Expense Item2],$B98),SUMIFS(Expenses!CA$8:CA$69,Expenses!$O$8:$O$69,$B98)+SUMIFS(Headcount!AK$395:AK$1442,Headcount!$J$395:$J$1442,$B98))</f>
        <v>0</v>
      </c>
      <c r="AC98" s="137">
        <f>IF(AC$12="Actual",SUMIFS(ActualsTable[Month 27],ActualsTable[Expense Item2],$B98),SUMIFS(Expenses!CB$8:CB$69,Expenses!$O$8:$O$69,$B98)+SUMIFS(Headcount!AL$395:AL$1442,Headcount!$J$395:$J$1442,$B98))</f>
        <v>0</v>
      </c>
      <c r="AD98" s="137">
        <f>IF(AD$12="Actual",SUMIFS(ActualsTable[Month 28],ActualsTable[Expense Item2],$B98),SUMIFS(Expenses!CC$8:CC$69,Expenses!$O$8:$O$69,$B98)+SUMIFS(Headcount!AM$395:AM$1442,Headcount!$J$395:$J$1442,$B98))</f>
        <v>0</v>
      </c>
      <c r="AE98" s="137">
        <f>IF(AE$12="Actual",SUMIFS(ActualsTable[Month 29],ActualsTable[Expense Item2],$B98),SUMIFS(Expenses!CD$8:CD$69,Expenses!$O$8:$O$69,$B98)+SUMIFS(Headcount!AN$395:AN$1442,Headcount!$J$395:$J$1442,$B98))</f>
        <v>0</v>
      </c>
      <c r="AF98" s="137">
        <f>IF(AF$12="Actual",SUMIFS(ActualsTable[Month 30],ActualsTable[Expense Item2],$B98),SUMIFS(Expenses!CE$8:CE$69,Expenses!$O$8:$O$69,$B98)+SUMIFS(Headcount!AO$395:AO$1442,Headcount!$J$395:$J$1442,$B98))</f>
        <v>0</v>
      </c>
      <c r="AG98" s="137">
        <f>IF(AG$12="Actual",SUMIFS(ActualsTable[Month 31],ActualsTable[Expense Item2],$B98),SUMIFS(Expenses!CF$8:CF$69,Expenses!$O$8:$O$69,$B98)+SUMIFS(Headcount!AP$395:AP$1442,Headcount!$J$395:$J$1442,$B98))</f>
        <v>0</v>
      </c>
      <c r="AH98" s="137">
        <f>IF(AH$12="Actual",SUMIFS(ActualsTable[Month 32],ActualsTable[Expense Item2],$B98),SUMIFS(Expenses!CG$8:CG$69,Expenses!$O$8:$O$69,$B98)+SUMIFS(Headcount!AQ$395:AQ$1442,Headcount!$J$395:$J$1442,$B98))</f>
        <v>0</v>
      </c>
      <c r="AI98" s="137">
        <f>IF(AI$12="Actual",SUMIFS(ActualsTable[Month 33],ActualsTable[Expense Item2],$B98),SUMIFS(Expenses!CH$8:CH$69,Expenses!$O$8:$O$69,$B98)+SUMIFS(Headcount!AR$395:AR$1442,Headcount!$J$395:$J$1442,$B98))</f>
        <v>0</v>
      </c>
      <c r="AJ98" s="137">
        <f>IF(AJ$12="Actual",SUMIFS(ActualsTable[Month 34],ActualsTable[Expense Item2],$B98),SUMIFS(Expenses!CI$8:CI$69,Expenses!$O$8:$O$69,$B98)+SUMIFS(Headcount!AS$395:AS$1442,Headcount!$J$395:$J$1442,$B98))</f>
        <v>0</v>
      </c>
      <c r="AK98" s="137">
        <f>IF(AK$12="Actual",SUMIFS(ActualsTable[Month 35],ActualsTable[Expense Item2],$B98),SUMIFS(Expenses!CJ$8:CJ$69,Expenses!$O$8:$O$69,$B98)+SUMIFS(Headcount!AT$395:AT$1442,Headcount!$J$395:$J$1442,$B98))</f>
        <v>0</v>
      </c>
      <c r="AL98" s="293">
        <f>IF(AL$12="Actual",SUMIFS(ActualsTable[Month 36],ActualsTable[Expense Item2],$B98),SUMIFS(Expenses!CK$8:CK$69,Expenses!$O$8:$O$69,$B98)+SUMIFS(Headcount!AU$395:AU$1442,Headcount!$J$395:$J$1442,$B98))</f>
        <v>0</v>
      </c>
      <c r="AN98" s="319">
        <f t="shared" ref="AN98:AY105" ca="1" si="185">SUM(OFFSET($B98,0,3*AN$9+1,1,3))</f>
        <v>0</v>
      </c>
      <c r="AO98" s="137">
        <f t="shared" ca="1" si="185"/>
        <v>0</v>
      </c>
      <c r="AP98" s="137">
        <f t="shared" ca="1" si="185"/>
        <v>0</v>
      </c>
      <c r="AQ98" s="137">
        <f t="shared" ca="1" si="185"/>
        <v>0</v>
      </c>
      <c r="AR98" s="137">
        <f t="shared" ca="1" si="185"/>
        <v>0</v>
      </c>
      <c r="AS98" s="137">
        <f t="shared" ca="1" si="185"/>
        <v>0</v>
      </c>
      <c r="AT98" s="137">
        <f t="shared" ca="1" si="185"/>
        <v>0</v>
      </c>
      <c r="AU98" s="137">
        <f t="shared" ca="1" si="185"/>
        <v>0</v>
      </c>
      <c r="AV98" s="137">
        <f t="shared" ca="1" si="185"/>
        <v>0</v>
      </c>
      <c r="AW98" s="137">
        <f t="shared" ca="1" si="185"/>
        <v>0</v>
      </c>
      <c r="AX98" s="137">
        <f t="shared" ca="1" si="185"/>
        <v>0</v>
      </c>
      <c r="AY98" s="293">
        <f t="shared" ca="1" si="185"/>
        <v>0</v>
      </c>
      <c r="BA98" s="319">
        <f t="shared" ref="BA98:BC105" ca="1" si="186">SUM(OFFSET($B98,0,12*BA$9+1,1,12))</f>
        <v>0</v>
      </c>
      <c r="BB98" s="137">
        <f t="shared" ca="1" si="186"/>
        <v>0</v>
      </c>
      <c r="BC98" s="293">
        <f t="shared" ca="1" si="186"/>
        <v>0</v>
      </c>
    </row>
    <row r="99" spans="2:55" x14ac:dyDescent="0.35">
      <c r="B99" s="64" t="s">
        <v>132</v>
      </c>
      <c r="C99" s="137">
        <f>IF(C$12="Actual",SUMIFS(ActualsTable[Month 1],ActualsTable[Expense Item2],$B99),SUMIFS(Expenses!BB$8:BB$69,Expenses!$O$8:$O$69,$B99)+SUMIFS(Headcount!L$395:L$1442,Headcount!$J$395:$J$1442,$B99))</f>
        <v>0</v>
      </c>
      <c r="D99" s="137">
        <f>IF(D$12="Actual",SUMIFS(ActualsTable[Month 2],ActualsTable[Expense Item2],$B99),SUMIFS(Expenses!BC$8:BC$69,Expenses!$O$8:$O$69,$B99)+SUMIFS(Headcount!M$395:M$1442,Headcount!$J$395:$J$1442,$B99))</f>
        <v>0</v>
      </c>
      <c r="E99" s="137">
        <f>IF(E$12="Actual",SUMIFS(ActualsTable[Month 3],ActualsTable[Expense Item2],$B99),SUMIFS(Expenses!BD$8:BD$69,Expenses!$O$8:$O$69,$B99)+SUMIFS(Headcount!N$395:N$1442,Headcount!$J$395:$J$1442,$B99))</f>
        <v>0</v>
      </c>
      <c r="F99" s="137">
        <f>IF(F$12="Actual",SUMIFS(ActualsTable[Month 4],ActualsTable[Expense Item2],$B99),SUMIFS(Expenses!BE$8:BE$69,Expenses!$O$8:$O$69,$B99)+SUMIFS(Headcount!O$395:O$1442,Headcount!$J$395:$J$1442,$B99))</f>
        <v>0</v>
      </c>
      <c r="G99" s="137">
        <f>IF(G$12="Actual",SUMIFS(ActualsTable[Month 5],ActualsTable[Expense Item2],$B99),SUMIFS(Expenses!BF$8:BF$69,Expenses!$O$8:$O$69,$B99)+SUMIFS(Headcount!P$395:P$1442,Headcount!$J$395:$J$1442,$B99))</f>
        <v>0</v>
      </c>
      <c r="H99" s="137">
        <f>IF(H$12="Actual",SUMIFS(ActualsTable[Month 6],ActualsTable[Expense Item2],$B99),SUMIFS(Expenses!BG$8:BG$69,Expenses!$O$8:$O$69,$B99)+SUMIFS(Headcount!Q$395:Q$1442,Headcount!$J$395:$J$1442,$B99))</f>
        <v>0</v>
      </c>
      <c r="I99" s="137">
        <f>IF(I$12="Actual",SUMIFS(ActualsTable[Month 7],ActualsTable[Expense Item2],$B99),SUMIFS(Expenses!BH$8:BH$69,Expenses!$O$8:$O$69,$B99)+SUMIFS(Headcount!R$395:R$1442,Headcount!$J$395:$J$1442,$B99))</f>
        <v>0</v>
      </c>
      <c r="J99" s="137">
        <f>IF(J$12="Actual",SUMIFS(ActualsTable[Month 8],ActualsTable[Expense Item2],$B99),SUMIFS(Expenses!BI$8:BI$69,Expenses!$O$8:$O$69,$B99)+SUMIFS(Headcount!S$395:S$1442,Headcount!$J$395:$J$1442,$B99))</f>
        <v>0</v>
      </c>
      <c r="K99" s="137">
        <f>IF(K$12="Actual",SUMIFS(ActualsTable[Month 9],ActualsTable[Expense Item2],$B99),SUMIFS(Expenses!BJ$8:BJ$69,Expenses!$O$8:$O$69,$B99)+SUMIFS(Headcount!T$395:T$1442,Headcount!$J$395:$J$1442,$B99))</f>
        <v>0</v>
      </c>
      <c r="L99" s="137">
        <f>IF(L$12="Actual",SUMIFS(ActualsTable[Month 10],ActualsTable[Expense Item2],$B99),SUMIFS(Expenses!BK$8:BK$69,Expenses!$O$8:$O$69,$B99)+SUMIFS(Headcount!U$395:U$1442,Headcount!$J$395:$J$1442,$B99))</f>
        <v>0</v>
      </c>
      <c r="M99" s="137">
        <f>IF(M$12="Actual",SUMIFS(ActualsTable[Month 11],ActualsTable[Expense Item2],$B99),SUMIFS(Expenses!BL$8:BL$69,Expenses!$O$8:$O$69,$B99)+SUMIFS(Headcount!V$395:V$1442,Headcount!$J$395:$J$1442,$B99))</f>
        <v>0</v>
      </c>
      <c r="N99" s="137">
        <f>IF(N$12="Actual",SUMIFS(ActualsTable[Month 12],ActualsTable[Expense Item2],$B99),SUMIFS(Expenses!BM$8:BM$69,Expenses!$O$8:$O$69,$B99)+SUMIFS(Headcount!W$395:W$1442,Headcount!$J$395:$J$1442,$B99))</f>
        <v>0</v>
      </c>
      <c r="O99" s="137">
        <f>IF(O$12="Actual",SUMIFS(ActualsTable[Month 13],ActualsTable[Expense Item2],$B99),SUMIFS(Expenses!BN$8:BN$69,Expenses!$O$8:$O$69,$B99)+SUMIFS(Headcount!X$395:X$1442,Headcount!$J$395:$J$1442,$B99))</f>
        <v>0</v>
      </c>
      <c r="P99" s="137">
        <f>IF(P$12="Actual",SUMIFS(ActualsTable[Month 14],ActualsTable[Expense Item2],$B99),SUMIFS(Expenses!BO$8:BO$69,Expenses!$O$8:$O$69,$B99)+SUMIFS(Headcount!Y$395:Y$1442,Headcount!$J$395:$J$1442,$B99))</f>
        <v>0</v>
      </c>
      <c r="Q99" s="137">
        <f>IF(Q$12="Actual",SUMIFS(ActualsTable[Month 15],ActualsTable[Expense Item2],$B99),SUMIFS(Expenses!BP$8:BP$69,Expenses!$O$8:$O$69,$B99)+SUMIFS(Headcount!Z$395:Z$1442,Headcount!$J$395:$J$1442,$B99))</f>
        <v>0</v>
      </c>
      <c r="R99" s="137">
        <f>IF(R$12="Actual",SUMIFS(ActualsTable[Month 16],ActualsTable[Expense Item2],$B99),SUMIFS(Expenses!BQ$8:BQ$69,Expenses!$O$8:$O$69,$B99)+SUMIFS(Headcount!AA$395:AA$1442,Headcount!$J$395:$J$1442,$B99))</f>
        <v>0</v>
      </c>
      <c r="S99" s="137">
        <f>IF(S$12="Actual",SUMIFS(ActualsTable[Month 17],ActualsTable[Expense Item2],$B99),SUMIFS(Expenses!BR$8:BR$69,Expenses!$O$8:$O$69,$B99)+SUMIFS(Headcount!AB$395:AB$1442,Headcount!$J$395:$J$1442,$B99))</f>
        <v>0</v>
      </c>
      <c r="T99" s="137">
        <f>IF(T$12="Actual",SUMIFS(ActualsTable[Month 18],ActualsTable[Expense Item2],$B99),SUMIFS(Expenses!BS$8:BS$69,Expenses!$O$8:$O$69,$B99)+SUMIFS(Headcount!AC$395:AC$1442,Headcount!$J$395:$J$1442,$B99))</f>
        <v>0</v>
      </c>
      <c r="U99" s="137">
        <f>IF(U$12="Actual",SUMIFS(ActualsTable[Month 19],ActualsTable[Expense Item2],$B99),SUMIFS(Expenses!BT$8:BT$69,Expenses!$O$8:$O$69,$B99)+SUMIFS(Headcount!AD$395:AD$1442,Headcount!$J$395:$J$1442,$B99))</f>
        <v>0</v>
      </c>
      <c r="V99" s="137">
        <f>IF(V$12="Actual",SUMIFS(ActualsTable[Month 20],ActualsTable[Expense Item2],$B99),SUMIFS(Expenses!BU$8:BU$69,Expenses!$O$8:$O$69,$B99)+SUMIFS(Headcount!AE$395:AE$1442,Headcount!$J$395:$J$1442,$B99))</f>
        <v>0</v>
      </c>
      <c r="W99" s="137">
        <f>IF(W$12="Actual",SUMIFS(ActualsTable[Month 21],ActualsTable[Expense Item2],$B99),SUMIFS(Expenses!BV$8:BV$69,Expenses!$O$8:$O$69,$B99)+SUMIFS(Headcount!AF$395:AF$1442,Headcount!$J$395:$J$1442,$B99))</f>
        <v>0</v>
      </c>
      <c r="X99" s="137">
        <f>IF(X$12="Actual",SUMIFS(ActualsTable[Month 22],ActualsTable[Expense Item2],$B99),SUMIFS(Expenses!BW$8:BW$69,Expenses!$O$8:$O$69,$B99)+SUMIFS(Headcount!AG$395:AG$1442,Headcount!$J$395:$J$1442,$B99))</f>
        <v>0</v>
      </c>
      <c r="Y99" s="137">
        <f>IF(Y$12="Actual",SUMIFS(ActualsTable[Month 23],ActualsTable[Expense Item2],$B99),SUMIFS(Expenses!BX$8:BX$69,Expenses!$O$8:$O$69,$B99)+SUMIFS(Headcount!AH$395:AH$1442,Headcount!$J$395:$J$1442,$B99))</f>
        <v>0</v>
      </c>
      <c r="Z99" s="137">
        <f>IF(Z$12="Actual",SUMIFS(ActualsTable[Month 24],ActualsTable[Expense Item2],$B99),SUMIFS(Expenses!BY$8:BY$69,Expenses!$O$8:$O$69,$B99)+SUMIFS(Headcount!AI$395:AI$1442,Headcount!$J$395:$J$1442,$B99))</f>
        <v>0</v>
      </c>
      <c r="AA99" s="137">
        <f>IF(AA$12="Actual",SUMIFS(ActualsTable[Month 25],ActualsTable[Expense Item2],$B99),SUMIFS(Expenses!BZ$8:BZ$69,Expenses!$O$8:$O$69,$B99)+SUMIFS(Headcount!AJ$395:AJ$1442,Headcount!$J$395:$J$1442,$B99))</f>
        <v>0</v>
      </c>
      <c r="AB99" s="137">
        <f>IF(AB$12="Actual",SUMIFS(ActualsTable[Month 26],ActualsTable[Expense Item2],$B99),SUMIFS(Expenses!CA$8:CA$69,Expenses!$O$8:$O$69,$B99)+SUMIFS(Headcount!AK$395:AK$1442,Headcount!$J$395:$J$1442,$B99))</f>
        <v>0</v>
      </c>
      <c r="AC99" s="137">
        <f>IF(AC$12="Actual",SUMIFS(ActualsTable[Month 27],ActualsTable[Expense Item2],$B99),SUMIFS(Expenses!CB$8:CB$69,Expenses!$O$8:$O$69,$B99)+SUMIFS(Headcount!AL$395:AL$1442,Headcount!$J$395:$J$1442,$B99))</f>
        <v>0</v>
      </c>
      <c r="AD99" s="137">
        <f>IF(AD$12="Actual",SUMIFS(ActualsTable[Month 28],ActualsTable[Expense Item2],$B99),SUMIFS(Expenses!CC$8:CC$69,Expenses!$O$8:$O$69,$B99)+SUMIFS(Headcount!AM$395:AM$1442,Headcount!$J$395:$J$1442,$B99))</f>
        <v>0</v>
      </c>
      <c r="AE99" s="137">
        <f>IF(AE$12="Actual",SUMIFS(ActualsTable[Month 29],ActualsTable[Expense Item2],$B99),SUMIFS(Expenses!CD$8:CD$69,Expenses!$O$8:$O$69,$B99)+SUMIFS(Headcount!AN$395:AN$1442,Headcount!$J$395:$J$1442,$B99))</f>
        <v>0</v>
      </c>
      <c r="AF99" s="137">
        <f>IF(AF$12="Actual",SUMIFS(ActualsTable[Month 30],ActualsTable[Expense Item2],$B99),SUMIFS(Expenses!CE$8:CE$69,Expenses!$O$8:$O$69,$B99)+SUMIFS(Headcount!AO$395:AO$1442,Headcount!$J$395:$J$1442,$B99))</f>
        <v>0</v>
      </c>
      <c r="AG99" s="137">
        <f>IF(AG$12="Actual",SUMIFS(ActualsTable[Month 31],ActualsTable[Expense Item2],$B99),SUMIFS(Expenses!CF$8:CF$69,Expenses!$O$8:$O$69,$B99)+SUMIFS(Headcount!AP$395:AP$1442,Headcount!$J$395:$J$1442,$B99))</f>
        <v>0</v>
      </c>
      <c r="AH99" s="137">
        <f>IF(AH$12="Actual",SUMIFS(ActualsTable[Month 32],ActualsTable[Expense Item2],$B99),SUMIFS(Expenses!CG$8:CG$69,Expenses!$O$8:$O$69,$B99)+SUMIFS(Headcount!AQ$395:AQ$1442,Headcount!$J$395:$J$1442,$B99))</f>
        <v>0</v>
      </c>
      <c r="AI99" s="137">
        <f>IF(AI$12="Actual",SUMIFS(ActualsTable[Month 33],ActualsTable[Expense Item2],$B99),SUMIFS(Expenses!CH$8:CH$69,Expenses!$O$8:$O$69,$B99)+SUMIFS(Headcount!AR$395:AR$1442,Headcount!$J$395:$J$1442,$B99))</f>
        <v>0</v>
      </c>
      <c r="AJ99" s="137">
        <f>IF(AJ$12="Actual",SUMIFS(ActualsTable[Month 34],ActualsTable[Expense Item2],$B99),SUMIFS(Expenses!CI$8:CI$69,Expenses!$O$8:$O$69,$B99)+SUMIFS(Headcount!AS$395:AS$1442,Headcount!$J$395:$J$1442,$B99))</f>
        <v>0</v>
      </c>
      <c r="AK99" s="137">
        <f>IF(AK$12="Actual",SUMIFS(ActualsTable[Month 35],ActualsTable[Expense Item2],$B99),SUMIFS(Expenses!CJ$8:CJ$69,Expenses!$O$8:$O$69,$B99)+SUMIFS(Headcount!AT$395:AT$1442,Headcount!$J$395:$J$1442,$B99))</f>
        <v>0</v>
      </c>
      <c r="AL99" s="293">
        <f>IF(AL$12="Actual",SUMIFS(ActualsTable[Month 36],ActualsTable[Expense Item2],$B99),SUMIFS(Expenses!CK$8:CK$69,Expenses!$O$8:$O$69,$B99)+SUMIFS(Headcount!AU$395:AU$1442,Headcount!$J$395:$J$1442,$B99))</f>
        <v>0</v>
      </c>
      <c r="AN99" s="319">
        <f t="shared" ca="1" si="185"/>
        <v>0</v>
      </c>
      <c r="AO99" s="137">
        <f t="shared" ca="1" si="185"/>
        <v>0</v>
      </c>
      <c r="AP99" s="137">
        <f t="shared" ca="1" si="185"/>
        <v>0</v>
      </c>
      <c r="AQ99" s="137">
        <f t="shared" ca="1" si="185"/>
        <v>0</v>
      </c>
      <c r="AR99" s="137">
        <f t="shared" ca="1" si="185"/>
        <v>0</v>
      </c>
      <c r="AS99" s="137">
        <f t="shared" ca="1" si="185"/>
        <v>0</v>
      </c>
      <c r="AT99" s="137">
        <f t="shared" ca="1" si="185"/>
        <v>0</v>
      </c>
      <c r="AU99" s="137">
        <f t="shared" ca="1" si="185"/>
        <v>0</v>
      </c>
      <c r="AV99" s="137">
        <f t="shared" ca="1" si="185"/>
        <v>0</v>
      </c>
      <c r="AW99" s="137">
        <f t="shared" ca="1" si="185"/>
        <v>0</v>
      </c>
      <c r="AX99" s="137">
        <f t="shared" ca="1" si="185"/>
        <v>0</v>
      </c>
      <c r="AY99" s="293">
        <f t="shared" ca="1" si="185"/>
        <v>0</v>
      </c>
      <c r="BA99" s="319">
        <f t="shared" ca="1" si="186"/>
        <v>0</v>
      </c>
      <c r="BB99" s="137">
        <f t="shared" ca="1" si="186"/>
        <v>0</v>
      </c>
      <c r="BC99" s="293">
        <f t="shared" ca="1" si="186"/>
        <v>0</v>
      </c>
    </row>
    <row r="100" spans="2:55" x14ac:dyDescent="0.35">
      <c r="B100" s="64" t="s">
        <v>133</v>
      </c>
      <c r="C100" s="137">
        <f>IF(C$12="Actual",SUMIFS(ActualsTable[Month 1],ActualsTable[Expense Item2],$B100),SUMIFS(Expenses!BB$8:BB$69,Expenses!$O$8:$O$69,$B100)+SUMIFS(Headcount!L$395:L$1442,Headcount!$J$395:$J$1442,$B100))</f>
        <v>0</v>
      </c>
      <c r="D100" s="137">
        <f>IF(D$12="Actual",SUMIFS(ActualsTable[Month 2],ActualsTable[Expense Item2],$B100),SUMIFS(Expenses!BC$8:BC$69,Expenses!$O$8:$O$69,$B100)+SUMIFS(Headcount!M$395:M$1442,Headcount!$J$395:$J$1442,$B100))</f>
        <v>0</v>
      </c>
      <c r="E100" s="137">
        <f>IF(E$12="Actual",SUMIFS(ActualsTable[Month 3],ActualsTable[Expense Item2],$B100),SUMIFS(Expenses!BD$8:BD$69,Expenses!$O$8:$O$69,$B100)+SUMIFS(Headcount!N$395:N$1442,Headcount!$J$395:$J$1442,$B100))</f>
        <v>0</v>
      </c>
      <c r="F100" s="137">
        <f>IF(F$12="Actual",SUMIFS(ActualsTable[Month 4],ActualsTable[Expense Item2],$B100),SUMIFS(Expenses!BE$8:BE$69,Expenses!$O$8:$O$69,$B100)+SUMIFS(Headcount!O$395:O$1442,Headcount!$J$395:$J$1442,$B100))</f>
        <v>0</v>
      </c>
      <c r="G100" s="137">
        <f>IF(G$12="Actual",SUMIFS(ActualsTable[Month 5],ActualsTable[Expense Item2],$B100),SUMIFS(Expenses!BF$8:BF$69,Expenses!$O$8:$O$69,$B100)+SUMIFS(Headcount!P$395:P$1442,Headcount!$J$395:$J$1442,$B100))</f>
        <v>0</v>
      </c>
      <c r="H100" s="137">
        <f>IF(H$12="Actual",SUMIFS(ActualsTable[Month 6],ActualsTable[Expense Item2],$B100),SUMIFS(Expenses!BG$8:BG$69,Expenses!$O$8:$O$69,$B100)+SUMIFS(Headcount!Q$395:Q$1442,Headcount!$J$395:$J$1442,$B100))</f>
        <v>0</v>
      </c>
      <c r="I100" s="137">
        <f>IF(I$12="Actual",SUMIFS(ActualsTable[Month 7],ActualsTable[Expense Item2],$B100),SUMIFS(Expenses!BH$8:BH$69,Expenses!$O$8:$O$69,$B100)+SUMIFS(Headcount!R$395:R$1442,Headcount!$J$395:$J$1442,$B100))</f>
        <v>0</v>
      </c>
      <c r="J100" s="137">
        <f>IF(J$12="Actual",SUMIFS(ActualsTable[Month 8],ActualsTable[Expense Item2],$B100),SUMIFS(Expenses!BI$8:BI$69,Expenses!$O$8:$O$69,$B100)+SUMIFS(Headcount!S$395:S$1442,Headcount!$J$395:$J$1442,$B100))</f>
        <v>0</v>
      </c>
      <c r="K100" s="137">
        <f>IF(K$12="Actual",SUMIFS(ActualsTable[Month 9],ActualsTable[Expense Item2],$B100),SUMIFS(Expenses!BJ$8:BJ$69,Expenses!$O$8:$O$69,$B100)+SUMIFS(Headcount!T$395:T$1442,Headcount!$J$395:$J$1442,$B100))</f>
        <v>0</v>
      </c>
      <c r="L100" s="137">
        <f>IF(L$12="Actual",SUMIFS(ActualsTable[Month 10],ActualsTable[Expense Item2],$B100),SUMIFS(Expenses!BK$8:BK$69,Expenses!$O$8:$O$69,$B100)+SUMIFS(Headcount!U$395:U$1442,Headcount!$J$395:$J$1442,$B100))</f>
        <v>0</v>
      </c>
      <c r="M100" s="137">
        <f>IF(M$12="Actual",SUMIFS(ActualsTable[Month 11],ActualsTable[Expense Item2],$B100),SUMIFS(Expenses!BL$8:BL$69,Expenses!$O$8:$O$69,$B100)+SUMIFS(Headcount!V$395:V$1442,Headcount!$J$395:$J$1442,$B100))</f>
        <v>0</v>
      </c>
      <c r="N100" s="137">
        <f>IF(N$12="Actual",SUMIFS(ActualsTable[Month 12],ActualsTable[Expense Item2],$B100),SUMIFS(Expenses!BM$8:BM$69,Expenses!$O$8:$O$69,$B100)+SUMIFS(Headcount!W$395:W$1442,Headcount!$J$395:$J$1442,$B100))</f>
        <v>0</v>
      </c>
      <c r="O100" s="137">
        <f>IF(O$12="Actual",SUMIFS(ActualsTable[Month 13],ActualsTable[Expense Item2],$B100),SUMIFS(Expenses!BN$8:BN$69,Expenses!$O$8:$O$69,$B100)+SUMIFS(Headcount!X$395:X$1442,Headcount!$J$395:$J$1442,$B100))</f>
        <v>0</v>
      </c>
      <c r="P100" s="137">
        <f>IF(P$12="Actual",SUMIFS(ActualsTable[Month 14],ActualsTable[Expense Item2],$B100),SUMIFS(Expenses!BO$8:BO$69,Expenses!$O$8:$O$69,$B100)+SUMIFS(Headcount!Y$395:Y$1442,Headcount!$J$395:$J$1442,$B100))</f>
        <v>0</v>
      </c>
      <c r="Q100" s="137">
        <f>IF(Q$12="Actual",SUMIFS(ActualsTable[Month 15],ActualsTable[Expense Item2],$B100),SUMIFS(Expenses!BP$8:BP$69,Expenses!$O$8:$O$69,$B100)+SUMIFS(Headcount!Z$395:Z$1442,Headcount!$J$395:$J$1442,$B100))</f>
        <v>0</v>
      </c>
      <c r="R100" s="137">
        <f>IF(R$12="Actual",SUMIFS(ActualsTable[Month 16],ActualsTable[Expense Item2],$B100),SUMIFS(Expenses!BQ$8:BQ$69,Expenses!$O$8:$O$69,$B100)+SUMIFS(Headcount!AA$395:AA$1442,Headcount!$J$395:$J$1442,$B100))</f>
        <v>0</v>
      </c>
      <c r="S100" s="137">
        <f>IF(S$12="Actual",SUMIFS(ActualsTable[Month 17],ActualsTable[Expense Item2],$B100),SUMIFS(Expenses!BR$8:BR$69,Expenses!$O$8:$O$69,$B100)+SUMIFS(Headcount!AB$395:AB$1442,Headcount!$J$395:$J$1442,$B100))</f>
        <v>0</v>
      </c>
      <c r="T100" s="137">
        <f>IF(T$12="Actual",SUMIFS(ActualsTable[Month 18],ActualsTable[Expense Item2],$B100),SUMIFS(Expenses!BS$8:BS$69,Expenses!$O$8:$O$69,$B100)+SUMIFS(Headcount!AC$395:AC$1442,Headcount!$J$395:$J$1442,$B100))</f>
        <v>0</v>
      </c>
      <c r="U100" s="137">
        <f>IF(U$12="Actual",SUMIFS(ActualsTable[Month 19],ActualsTable[Expense Item2],$B100),SUMIFS(Expenses!BT$8:BT$69,Expenses!$O$8:$O$69,$B100)+SUMIFS(Headcount!AD$395:AD$1442,Headcount!$J$395:$J$1442,$B100))</f>
        <v>0</v>
      </c>
      <c r="V100" s="137">
        <f>IF(V$12="Actual",SUMIFS(ActualsTable[Month 20],ActualsTable[Expense Item2],$B100),SUMIFS(Expenses!BU$8:BU$69,Expenses!$O$8:$O$69,$B100)+SUMIFS(Headcount!AE$395:AE$1442,Headcount!$J$395:$J$1442,$B100))</f>
        <v>0</v>
      </c>
      <c r="W100" s="137">
        <f>IF(W$12="Actual",SUMIFS(ActualsTable[Month 21],ActualsTable[Expense Item2],$B100),SUMIFS(Expenses!BV$8:BV$69,Expenses!$O$8:$O$69,$B100)+SUMIFS(Headcount!AF$395:AF$1442,Headcount!$J$395:$J$1442,$B100))</f>
        <v>0</v>
      </c>
      <c r="X100" s="137">
        <f>IF(X$12="Actual",SUMIFS(ActualsTable[Month 22],ActualsTable[Expense Item2],$B100),SUMIFS(Expenses!BW$8:BW$69,Expenses!$O$8:$O$69,$B100)+SUMIFS(Headcount!AG$395:AG$1442,Headcount!$J$395:$J$1442,$B100))</f>
        <v>0</v>
      </c>
      <c r="Y100" s="137">
        <f>IF(Y$12="Actual",SUMIFS(ActualsTable[Month 23],ActualsTable[Expense Item2],$B100),SUMIFS(Expenses!BX$8:BX$69,Expenses!$O$8:$O$69,$B100)+SUMIFS(Headcount!AH$395:AH$1442,Headcount!$J$395:$J$1442,$B100))</f>
        <v>0</v>
      </c>
      <c r="Z100" s="137">
        <f>IF(Z$12="Actual",SUMIFS(ActualsTable[Month 24],ActualsTable[Expense Item2],$B100),SUMIFS(Expenses!BY$8:BY$69,Expenses!$O$8:$O$69,$B100)+SUMIFS(Headcount!AI$395:AI$1442,Headcount!$J$395:$J$1442,$B100))</f>
        <v>0</v>
      </c>
      <c r="AA100" s="137">
        <f>IF(AA$12="Actual",SUMIFS(ActualsTable[Month 25],ActualsTable[Expense Item2],$B100),SUMIFS(Expenses!BZ$8:BZ$69,Expenses!$O$8:$O$69,$B100)+SUMIFS(Headcount!AJ$395:AJ$1442,Headcount!$J$395:$J$1442,$B100))</f>
        <v>0</v>
      </c>
      <c r="AB100" s="137">
        <f>IF(AB$12="Actual",SUMIFS(ActualsTable[Month 26],ActualsTable[Expense Item2],$B100),SUMIFS(Expenses!CA$8:CA$69,Expenses!$O$8:$O$69,$B100)+SUMIFS(Headcount!AK$395:AK$1442,Headcount!$J$395:$J$1442,$B100))</f>
        <v>0</v>
      </c>
      <c r="AC100" s="137">
        <f>IF(AC$12="Actual",SUMIFS(ActualsTable[Month 27],ActualsTable[Expense Item2],$B100),SUMIFS(Expenses!CB$8:CB$69,Expenses!$O$8:$O$69,$B100)+SUMIFS(Headcount!AL$395:AL$1442,Headcount!$J$395:$J$1442,$B100))</f>
        <v>0</v>
      </c>
      <c r="AD100" s="137">
        <f>IF(AD$12="Actual",SUMIFS(ActualsTable[Month 28],ActualsTable[Expense Item2],$B100),SUMIFS(Expenses!CC$8:CC$69,Expenses!$O$8:$O$69,$B100)+SUMIFS(Headcount!AM$395:AM$1442,Headcount!$J$395:$J$1442,$B100))</f>
        <v>0</v>
      </c>
      <c r="AE100" s="137">
        <f>IF(AE$12="Actual",SUMIFS(ActualsTable[Month 29],ActualsTable[Expense Item2],$B100),SUMIFS(Expenses!CD$8:CD$69,Expenses!$O$8:$O$69,$B100)+SUMIFS(Headcount!AN$395:AN$1442,Headcount!$J$395:$J$1442,$B100))</f>
        <v>0</v>
      </c>
      <c r="AF100" s="137">
        <f>IF(AF$12="Actual",SUMIFS(ActualsTable[Month 30],ActualsTable[Expense Item2],$B100),SUMIFS(Expenses!CE$8:CE$69,Expenses!$O$8:$O$69,$B100)+SUMIFS(Headcount!AO$395:AO$1442,Headcount!$J$395:$J$1442,$B100))</f>
        <v>0</v>
      </c>
      <c r="AG100" s="137">
        <f>IF(AG$12="Actual",SUMIFS(ActualsTable[Month 31],ActualsTable[Expense Item2],$B100),SUMIFS(Expenses!CF$8:CF$69,Expenses!$O$8:$O$69,$B100)+SUMIFS(Headcount!AP$395:AP$1442,Headcount!$J$395:$J$1442,$B100))</f>
        <v>0</v>
      </c>
      <c r="AH100" s="137">
        <f>IF(AH$12="Actual",SUMIFS(ActualsTable[Month 32],ActualsTable[Expense Item2],$B100),SUMIFS(Expenses!CG$8:CG$69,Expenses!$O$8:$O$69,$B100)+SUMIFS(Headcount!AQ$395:AQ$1442,Headcount!$J$395:$J$1442,$B100))</f>
        <v>0</v>
      </c>
      <c r="AI100" s="137">
        <f>IF(AI$12="Actual",SUMIFS(ActualsTable[Month 33],ActualsTable[Expense Item2],$B100),SUMIFS(Expenses!CH$8:CH$69,Expenses!$O$8:$O$69,$B100)+SUMIFS(Headcount!AR$395:AR$1442,Headcount!$J$395:$J$1442,$B100))</f>
        <v>0</v>
      </c>
      <c r="AJ100" s="137">
        <f>IF(AJ$12="Actual",SUMIFS(ActualsTable[Month 34],ActualsTable[Expense Item2],$B100),SUMIFS(Expenses!CI$8:CI$69,Expenses!$O$8:$O$69,$B100)+SUMIFS(Headcount!AS$395:AS$1442,Headcount!$J$395:$J$1442,$B100))</f>
        <v>0</v>
      </c>
      <c r="AK100" s="137">
        <f>IF(AK$12="Actual",SUMIFS(ActualsTable[Month 35],ActualsTable[Expense Item2],$B100),SUMIFS(Expenses!CJ$8:CJ$69,Expenses!$O$8:$O$69,$B100)+SUMIFS(Headcount!AT$395:AT$1442,Headcount!$J$395:$J$1442,$B100))</f>
        <v>0</v>
      </c>
      <c r="AL100" s="293">
        <f>IF(AL$12="Actual",SUMIFS(ActualsTable[Month 36],ActualsTable[Expense Item2],$B100),SUMIFS(Expenses!CK$8:CK$69,Expenses!$O$8:$O$69,$B100)+SUMIFS(Headcount!AU$395:AU$1442,Headcount!$J$395:$J$1442,$B100))</f>
        <v>0</v>
      </c>
      <c r="AN100" s="319">
        <f t="shared" ca="1" si="185"/>
        <v>0</v>
      </c>
      <c r="AO100" s="137">
        <f t="shared" ca="1" si="185"/>
        <v>0</v>
      </c>
      <c r="AP100" s="137">
        <f t="shared" ca="1" si="185"/>
        <v>0</v>
      </c>
      <c r="AQ100" s="137">
        <f t="shared" ca="1" si="185"/>
        <v>0</v>
      </c>
      <c r="AR100" s="137">
        <f t="shared" ca="1" si="185"/>
        <v>0</v>
      </c>
      <c r="AS100" s="137">
        <f t="shared" ca="1" si="185"/>
        <v>0</v>
      </c>
      <c r="AT100" s="137">
        <f t="shared" ca="1" si="185"/>
        <v>0</v>
      </c>
      <c r="AU100" s="137">
        <f t="shared" ca="1" si="185"/>
        <v>0</v>
      </c>
      <c r="AV100" s="137">
        <f t="shared" ca="1" si="185"/>
        <v>0</v>
      </c>
      <c r="AW100" s="137">
        <f t="shared" ca="1" si="185"/>
        <v>0</v>
      </c>
      <c r="AX100" s="137">
        <f t="shared" ca="1" si="185"/>
        <v>0</v>
      </c>
      <c r="AY100" s="293">
        <f t="shared" ca="1" si="185"/>
        <v>0</v>
      </c>
      <c r="BA100" s="319">
        <f t="shared" ca="1" si="186"/>
        <v>0</v>
      </c>
      <c r="BB100" s="137">
        <f t="shared" ca="1" si="186"/>
        <v>0</v>
      </c>
      <c r="BC100" s="293">
        <f t="shared" ca="1" si="186"/>
        <v>0</v>
      </c>
    </row>
    <row r="101" spans="2:55" x14ac:dyDescent="0.35">
      <c r="B101" s="64" t="s">
        <v>134</v>
      </c>
      <c r="C101" s="137">
        <f>IF(C$12="Actual",SUMIFS(ActualsTable[Month 1],ActualsTable[Expense Item2],$B101),SUMIFS(Expenses!BB$8:BB$69,Expenses!$O$8:$O$69,$B101)+SUMIFS(Headcount!L$395:L$1442,Headcount!$J$395:$J$1442,$B101))</f>
        <v>0</v>
      </c>
      <c r="D101" s="137">
        <f>IF(D$12="Actual",SUMIFS(ActualsTable[Month 2],ActualsTable[Expense Item2],$B101),SUMIFS(Expenses!BC$8:BC$69,Expenses!$O$8:$O$69,$B101)+SUMIFS(Headcount!M$395:M$1442,Headcount!$J$395:$J$1442,$B101))</f>
        <v>0</v>
      </c>
      <c r="E101" s="137">
        <f>IF(E$12="Actual",SUMIFS(ActualsTable[Month 3],ActualsTable[Expense Item2],$B101),SUMIFS(Expenses!BD$8:BD$69,Expenses!$O$8:$O$69,$B101)+SUMIFS(Headcount!N$395:N$1442,Headcount!$J$395:$J$1442,$B101))</f>
        <v>0</v>
      </c>
      <c r="F101" s="137">
        <f>IF(F$12="Actual",SUMIFS(ActualsTable[Month 4],ActualsTable[Expense Item2],$B101),SUMIFS(Expenses!BE$8:BE$69,Expenses!$O$8:$O$69,$B101)+SUMIFS(Headcount!O$395:O$1442,Headcount!$J$395:$J$1442,$B101))</f>
        <v>0</v>
      </c>
      <c r="G101" s="137">
        <f>IF(G$12="Actual",SUMIFS(ActualsTable[Month 5],ActualsTable[Expense Item2],$B101),SUMIFS(Expenses!BF$8:BF$69,Expenses!$O$8:$O$69,$B101)+SUMIFS(Headcount!P$395:P$1442,Headcount!$J$395:$J$1442,$B101))</f>
        <v>0</v>
      </c>
      <c r="H101" s="137">
        <f>IF(H$12="Actual",SUMIFS(ActualsTable[Month 6],ActualsTable[Expense Item2],$B101),SUMIFS(Expenses!BG$8:BG$69,Expenses!$O$8:$O$69,$B101)+SUMIFS(Headcount!Q$395:Q$1442,Headcount!$J$395:$J$1442,$B101))</f>
        <v>0</v>
      </c>
      <c r="I101" s="137">
        <f>IF(I$12="Actual",SUMIFS(ActualsTable[Month 7],ActualsTable[Expense Item2],$B101),SUMIFS(Expenses!BH$8:BH$69,Expenses!$O$8:$O$69,$B101)+SUMIFS(Headcount!R$395:R$1442,Headcount!$J$395:$J$1442,$B101))</f>
        <v>0</v>
      </c>
      <c r="J101" s="137">
        <f>IF(J$12="Actual",SUMIFS(ActualsTable[Month 8],ActualsTable[Expense Item2],$B101),SUMIFS(Expenses!BI$8:BI$69,Expenses!$O$8:$O$69,$B101)+SUMIFS(Headcount!S$395:S$1442,Headcount!$J$395:$J$1442,$B101))</f>
        <v>0</v>
      </c>
      <c r="K101" s="137">
        <f>IF(K$12="Actual",SUMIFS(ActualsTable[Month 9],ActualsTable[Expense Item2],$B101),SUMIFS(Expenses!BJ$8:BJ$69,Expenses!$O$8:$O$69,$B101)+SUMIFS(Headcount!T$395:T$1442,Headcount!$J$395:$J$1442,$B101))</f>
        <v>0</v>
      </c>
      <c r="L101" s="137">
        <f>IF(L$12="Actual",SUMIFS(ActualsTable[Month 10],ActualsTable[Expense Item2],$B101),SUMIFS(Expenses!BK$8:BK$69,Expenses!$O$8:$O$69,$B101)+SUMIFS(Headcount!U$395:U$1442,Headcount!$J$395:$J$1442,$B101))</f>
        <v>0</v>
      </c>
      <c r="M101" s="137">
        <f>IF(M$12="Actual",SUMIFS(ActualsTable[Month 11],ActualsTable[Expense Item2],$B101),SUMIFS(Expenses!BL$8:BL$69,Expenses!$O$8:$O$69,$B101)+SUMIFS(Headcount!V$395:V$1442,Headcount!$J$395:$J$1442,$B101))</f>
        <v>0</v>
      </c>
      <c r="N101" s="137">
        <f>IF(N$12="Actual",SUMIFS(ActualsTable[Month 12],ActualsTable[Expense Item2],$B101),SUMIFS(Expenses!BM$8:BM$69,Expenses!$O$8:$O$69,$B101)+SUMIFS(Headcount!W$395:W$1442,Headcount!$J$395:$J$1442,$B101))</f>
        <v>0</v>
      </c>
      <c r="O101" s="137">
        <f>IF(O$12="Actual",SUMIFS(ActualsTable[Month 13],ActualsTable[Expense Item2],$B101),SUMIFS(Expenses!BN$8:BN$69,Expenses!$O$8:$O$69,$B101)+SUMIFS(Headcount!X$395:X$1442,Headcount!$J$395:$J$1442,$B101))</f>
        <v>0</v>
      </c>
      <c r="P101" s="137">
        <f>IF(P$12="Actual",SUMIFS(ActualsTable[Month 14],ActualsTable[Expense Item2],$B101),SUMIFS(Expenses!BO$8:BO$69,Expenses!$O$8:$O$69,$B101)+SUMIFS(Headcount!Y$395:Y$1442,Headcount!$J$395:$J$1442,$B101))</f>
        <v>0</v>
      </c>
      <c r="Q101" s="137">
        <f>IF(Q$12="Actual",SUMIFS(ActualsTable[Month 15],ActualsTable[Expense Item2],$B101),SUMIFS(Expenses!BP$8:BP$69,Expenses!$O$8:$O$69,$B101)+SUMIFS(Headcount!Z$395:Z$1442,Headcount!$J$395:$J$1442,$B101))</f>
        <v>0</v>
      </c>
      <c r="R101" s="137">
        <f>IF(R$12="Actual",SUMIFS(ActualsTable[Month 16],ActualsTable[Expense Item2],$B101),SUMIFS(Expenses!BQ$8:BQ$69,Expenses!$O$8:$O$69,$B101)+SUMIFS(Headcount!AA$395:AA$1442,Headcount!$J$395:$J$1442,$B101))</f>
        <v>0</v>
      </c>
      <c r="S101" s="137">
        <f>IF(S$12="Actual",SUMIFS(ActualsTable[Month 17],ActualsTable[Expense Item2],$B101),SUMIFS(Expenses!BR$8:BR$69,Expenses!$O$8:$O$69,$B101)+SUMIFS(Headcount!AB$395:AB$1442,Headcount!$J$395:$J$1442,$B101))</f>
        <v>0</v>
      </c>
      <c r="T101" s="137">
        <f>IF(T$12="Actual",SUMIFS(ActualsTable[Month 18],ActualsTable[Expense Item2],$B101),SUMIFS(Expenses!BS$8:BS$69,Expenses!$O$8:$O$69,$B101)+SUMIFS(Headcount!AC$395:AC$1442,Headcount!$J$395:$J$1442,$B101))</f>
        <v>0</v>
      </c>
      <c r="U101" s="137">
        <f>IF(U$12="Actual",SUMIFS(ActualsTable[Month 19],ActualsTable[Expense Item2],$B101),SUMIFS(Expenses!BT$8:BT$69,Expenses!$O$8:$O$69,$B101)+SUMIFS(Headcount!AD$395:AD$1442,Headcount!$J$395:$J$1442,$B101))</f>
        <v>0</v>
      </c>
      <c r="V101" s="137">
        <f>IF(V$12="Actual",SUMIFS(ActualsTable[Month 20],ActualsTable[Expense Item2],$B101),SUMIFS(Expenses!BU$8:BU$69,Expenses!$O$8:$O$69,$B101)+SUMIFS(Headcount!AE$395:AE$1442,Headcount!$J$395:$J$1442,$B101))</f>
        <v>0</v>
      </c>
      <c r="W101" s="137">
        <f>IF(W$12="Actual",SUMIFS(ActualsTable[Month 21],ActualsTable[Expense Item2],$B101),SUMIFS(Expenses!BV$8:BV$69,Expenses!$O$8:$O$69,$B101)+SUMIFS(Headcount!AF$395:AF$1442,Headcount!$J$395:$J$1442,$B101))</f>
        <v>0</v>
      </c>
      <c r="X101" s="137">
        <f>IF(X$12="Actual",SUMIFS(ActualsTable[Month 22],ActualsTable[Expense Item2],$B101),SUMIFS(Expenses!BW$8:BW$69,Expenses!$O$8:$O$69,$B101)+SUMIFS(Headcount!AG$395:AG$1442,Headcount!$J$395:$J$1442,$B101))</f>
        <v>0</v>
      </c>
      <c r="Y101" s="137">
        <f>IF(Y$12="Actual",SUMIFS(ActualsTable[Month 23],ActualsTable[Expense Item2],$B101),SUMIFS(Expenses!BX$8:BX$69,Expenses!$O$8:$O$69,$B101)+SUMIFS(Headcount!AH$395:AH$1442,Headcount!$J$395:$J$1442,$B101))</f>
        <v>0</v>
      </c>
      <c r="Z101" s="137">
        <f>IF(Z$12="Actual",SUMIFS(ActualsTable[Month 24],ActualsTable[Expense Item2],$B101),SUMIFS(Expenses!BY$8:BY$69,Expenses!$O$8:$O$69,$B101)+SUMIFS(Headcount!AI$395:AI$1442,Headcount!$J$395:$J$1442,$B101))</f>
        <v>0</v>
      </c>
      <c r="AA101" s="137">
        <f>IF(AA$12="Actual",SUMIFS(ActualsTable[Month 25],ActualsTable[Expense Item2],$B101),SUMIFS(Expenses!BZ$8:BZ$69,Expenses!$O$8:$O$69,$B101)+SUMIFS(Headcount!AJ$395:AJ$1442,Headcount!$J$395:$J$1442,$B101))</f>
        <v>0</v>
      </c>
      <c r="AB101" s="137">
        <f>IF(AB$12="Actual",SUMIFS(ActualsTable[Month 26],ActualsTable[Expense Item2],$B101),SUMIFS(Expenses!CA$8:CA$69,Expenses!$O$8:$O$69,$B101)+SUMIFS(Headcount!AK$395:AK$1442,Headcount!$J$395:$J$1442,$B101))</f>
        <v>0</v>
      </c>
      <c r="AC101" s="137">
        <f>IF(AC$12="Actual",SUMIFS(ActualsTable[Month 27],ActualsTable[Expense Item2],$B101),SUMIFS(Expenses!CB$8:CB$69,Expenses!$O$8:$O$69,$B101)+SUMIFS(Headcount!AL$395:AL$1442,Headcount!$J$395:$J$1442,$B101))</f>
        <v>0</v>
      </c>
      <c r="AD101" s="137">
        <f>IF(AD$12="Actual",SUMIFS(ActualsTable[Month 28],ActualsTable[Expense Item2],$B101),SUMIFS(Expenses!CC$8:CC$69,Expenses!$O$8:$O$69,$B101)+SUMIFS(Headcount!AM$395:AM$1442,Headcount!$J$395:$J$1442,$B101))</f>
        <v>0</v>
      </c>
      <c r="AE101" s="137">
        <f>IF(AE$12="Actual",SUMIFS(ActualsTable[Month 29],ActualsTable[Expense Item2],$B101),SUMIFS(Expenses!CD$8:CD$69,Expenses!$O$8:$O$69,$B101)+SUMIFS(Headcount!AN$395:AN$1442,Headcount!$J$395:$J$1442,$B101))</f>
        <v>0</v>
      </c>
      <c r="AF101" s="137">
        <f>IF(AF$12="Actual",SUMIFS(ActualsTable[Month 30],ActualsTable[Expense Item2],$B101),SUMIFS(Expenses!CE$8:CE$69,Expenses!$O$8:$O$69,$B101)+SUMIFS(Headcount!AO$395:AO$1442,Headcount!$J$395:$J$1442,$B101))</f>
        <v>0</v>
      </c>
      <c r="AG101" s="137">
        <f>IF(AG$12="Actual",SUMIFS(ActualsTable[Month 31],ActualsTable[Expense Item2],$B101),SUMIFS(Expenses!CF$8:CF$69,Expenses!$O$8:$O$69,$B101)+SUMIFS(Headcount!AP$395:AP$1442,Headcount!$J$395:$J$1442,$B101))</f>
        <v>0</v>
      </c>
      <c r="AH101" s="137">
        <f>IF(AH$12="Actual",SUMIFS(ActualsTable[Month 32],ActualsTable[Expense Item2],$B101),SUMIFS(Expenses!CG$8:CG$69,Expenses!$O$8:$O$69,$B101)+SUMIFS(Headcount!AQ$395:AQ$1442,Headcount!$J$395:$J$1442,$B101))</f>
        <v>0</v>
      </c>
      <c r="AI101" s="137">
        <f>IF(AI$12="Actual",SUMIFS(ActualsTable[Month 33],ActualsTable[Expense Item2],$B101),SUMIFS(Expenses!CH$8:CH$69,Expenses!$O$8:$O$69,$B101)+SUMIFS(Headcount!AR$395:AR$1442,Headcount!$J$395:$J$1442,$B101))</f>
        <v>0</v>
      </c>
      <c r="AJ101" s="137">
        <f>IF(AJ$12="Actual",SUMIFS(ActualsTable[Month 34],ActualsTable[Expense Item2],$B101),SUMIFS(Expenses!CI$8:CI$69,Expenses!$O$8:$O$69,$B101)+SUMIFS(Headcount!AS$395:AS$1442,Headcount!$J$395:$J$1442,$B101))</f>
        <v>0</v>
      </c>
      <c r="AK101" s="137">
        <f>IF(AK$12="Actual",SUMIFS(ActualsTable[Month 35],ActualsTable[Expense Item2],$B101),SUMIFS(Expenses!CJ$8:CJ$69,Expenses!$O$8:$O$69,$B101)+SUMIFS(Headcount!AT$395:AT$1442,Headcount!$J$395:$J$1442,$B101))</f>
        <v>0</v>
      </c>
      <c r="AL101" s="293">
        <f>IF(AL$12="Actual",SUMIFS(ActualsTable[Month 36],ActualsTable[Expense Item2],$B101),SUMIFS(Expenses!CK$8:CK$69,Expenses!$O$8:$O$69,$B101)+SUMIFS(Headcount!AU$395:AU$1442,Headcount!$J$395:$J$1442,$B101))</f>
        <v>0</v>
      </c>
      <c r="AN101" s="319">
        <f t="shared" ca="1" si="185"/>
        <v>0</v>
      </c>
      <c r="AO101" s="137">
        <f t="shared" ca="1" si="185"/>
        <v>0</v>
      </c>
      <c r="AP101" s="137">
        <f t="shared" ca="1" si="185"/>
        <v>0</v>
      </c>
      <c r="AQ101" s="137">
        <f t="shared" ca="1" si="185"/>
        <v>0</v>
      </c>
      <c r="AR101" s="137">
        <f t="shared" ca="1" si="185"/>
        <v>0</v>
      </c>
      <c r="AS101" s="137">
        <f t="shared" ca="1" si="185"/>
        <v>0</v>
      </c>
      <c r="AT101" s="137">
        <f t="shared" ca="1" si="185"/>
        <v>0</v>
      </c>
      <c r="AU101" s="137">
        <f t="shared" ca="1" si="185"/>
        <v>0</v>
      </c>
      <c r="AV101" s="137">
        <f t="shared" ca="1" si="185"/>
        <v>0</v>
      </c>
      <c r="AW101" s="137">
        <f t="shared" ca="1" si="185"/>
        <v>0</v>
      </c>
      <c r="AX101" s="137">
        <f t="shared" ca="1" si="185"/>
        <v>0</v>
      </c>
      <c r="AY101" s="293">
        <f t="shared" ca="1" si="185"/>
        <v>0</v>
      </c>
      <c r="BA101" s="319">
        <f t="shared" ca="1" si="186"/>
        <v>0</v>
      </c>
      <c r="BB101" s="137">
        <f t="shared" ca="1" si="186"/>
        <v>0</v>
      </c>
      <c r="BC101" s="293">
        <f t="shared" ca="1" si="186"/>
        <v>0</v>
      </c>
    </row>
    <row r="102" spans="2:55" x14ac:dyDescent="0.35">
      <c r="B102" s="64" t="s">
        <v>135</v>
      </c>
      <c r="C102" s="137">
        <f>IF(C$12="Actual",SUMIFS(ActualsTable[Month 1],ActualsTable[Expense Item2],$B102),SUMIFS(Expenses!BB$8:BB$69,Expenses!$O$8:$O$69,$B102)+SUMIFS(Headcount!L$395:L$1442,Headcount!$J$395:$J$1442,$B102))</f>
        <v>0</v>
      </c>
      <c r="D102" s="137">
        <f>IF(D$12="Actual",SUMIFS(ActualsTable[Month 2],ActualsTable[Expense Item2],$B102),SUMIFS(Expenses!BC$8:BC$69,Expenses!$O$8:$O$69,$B102)+SUMIFS(Headcount!M$395:M$1442,Headcount!$J$395:$J$1442,$B102))</f>
        <v>0</v>
      </c>
      <c r="E102" s="137">
        <f>IF(E$12="Actual",SUMIFS(ActualsTable[Month 3],ActualsTable[Expense Item2],$B102),SUMIFS(Expenses!BD$8:BD$69,Expenses!$O$8:$O$69,$B102)+SUMIFS(Headcount!N$395:N$1442,Headcount!$J$395:$J$1442,$B102))</f>
        <v>0</v>
      </c>
      <c r="F102" s="137">
        <f>IF(F$12="Actual",SUMIFS(ActualsTable[Month 4],ActualsTable[Expense Item2],$B102),SUMIFS(Expenses!BE$8:BE$69,Expenses!$O$8:$O$69,$B102)+SUMIFS(Headcount!O$395:O$1442,Headcount!$J$395:$J$1442,$B102))</f>
        <v>0</v>
      </c>
      <c r="G102" s="137">
        <f>IF(G$12="Actual",SUMIFS(ActualsTable[Month 5],ActualsTable[Expense Item2],$B102),SUMIFS(Expenses!BF$8:BF$69,Expenses!$O$8:$O$69,$B102)+SUMIFS(Headcount!P$395:P$1442,Headcount!$J$395:$J$1442,$B102))</f>
        <v>0</v>
      </c>
      <c r="H102" s="137">
        <f>IF(H$12="Actual",SUMIFS(ActualsTable[Month 6],ActualsTable[Expense Item2],$B102),SUMIFS(Expenses!BG$8:BG$69,Expenses!$O$8:$O$69,$B102)+SUMIFS(Headcount!Q$395:Q$1442,Headcount!$J$395:$J$1442,$B102))</f>
        <v>0</v>
      </c>
      <c r="I102" s="137">
        <f>IF(I$12="Actual",SUMIFS(ActualsTable[Month 7],ActualsTable[Expense Item2],$B102),SUMIFS(Expenses!BH$8:BH$69,Expenses!$O$8:$O$69,$B102)+SUMIFS(Headcount!R$395:R$1442,Headcount!$J$395:$J$1442,$B102))</f>
        <v>0</v>
      </c>
      <c r="J102" s="137">
        <f>IF(J$12="Actual",SUMIFS(ActualsTable[Month 8],ActualsTable[Expense Item2],$B102),SUMIFS(Expenses!BI$8:BI$69,Expenses!$O$8:$O$69,$B102)+SUMIFS(Headcount!S$395:S$1442,Headcount!$J$395:$J$1442,$B102))</f>
        <v>0</v>
      </c>
      <c r="K102" s="137">
        <f>IF(K$12="Actual",SUMIFS(ActualsTable[Month 9],ActualsTable[Expense Item2],$B102),SUMIFS(Expenses!BJ$8:BJ$69,Expenses!$O$8:$O$69,$B102)+SUMIFS(Headcount!T$395:T$1442,Headcount!$J$395:$J$1442,$B102))</f>
        <v>0</v>
      </c>
      <c r="L102" s="137">
        <f>IF(L$12="Actual",SUMIFS(ActualsTable[Month 10],ActualsTable[Expense Item2],$B102),SUMIFS(Expenses!BK$8:BK$69,Expenses!$O$8:$O$69,$B102)+SUMIFS(Headcount!U$395:U$1442,Headcount!$J$395:$J$1442,$B102))</f>
        <v>0</v>
      </c>
      <c r="M102" s="137">
        <f>IF(M$12="Actual",SUMIFS(ActualsTable[Month 11],ActualsTable[Expense Item2],$B102),SUMIFS(Expenses!BL$8:BL$69,Expenses!$O$8:$O$69,$B102)+SUMIFS(Headcount!V$395:V$1442,Headcount!$J$395:$J$1442,$B102))</f>
        <v>0</v>
      </c>
      <c r="N102" s="137">
        <f>IF(N$12="Actual",SUMIFS(ActualsTable[Month 12],ActualsTable[Expense Item2],$B102),SUMIFS(Expenses!BM$8:BM$69,Expenses!$O$8:$O$69,$B102)+SUMIFS(Headcount!W$395:W$1442,Headcount!$J$395:$J$1442,$B102))</f>
        <v>0</v>
      </c>
      <c r="O102" s="137">
        <f>IF(O$12="Actual",SUMIFS(ActualsTable[Month 13],ActualsTable[Expense Item2],$B102),SUMIFS(Expenses!BN$8:BN$69,Expenses!$O$8:$O$69,$B102)+SUMIFS(Headcount!X$395:X$1442,Headcount!$J$395:$J$1442,$B102))</f>
        <v>0</v>
      </c>
      <c r="P102" s="137">
        <f>IF(P$12="Actual",SUMIFS(ActualsTable[Month 14],ActualsTable[Expense Item2],$B102),SUMIFS(Expenses!BO$8:BO$69,Expenses!$O$8:$O$69,$B102)+SUMIFS(Headcount!Y$395:Y$1442,Headcount!$J$395:$J$1442,$B102))</f>
        <v>0</v>
      </c>
      <c r="Q102" s="137">
        <f>IF(Q$12="Actual",SUMIFS(ActualsTable[Month 15],ActualsTable[Expense Item2],$B102),SUMIFS(Expenses!BP$8:BP$69,Expenses!$O$8:$O$69,$B102)+SUMIFS(Headcount!Z$395:Z$1442,Headcount!$J$395:$J$1442,$B102))</f>
        <v>0</v>
      </c>
      <c r="R102" s="137">
        <f>IF(R$12="Actual",SUMIFS(ActualsTable[Month 16],ActualsTable[Expense Item2],$B102),SUMIFS(Expenses!BQ$8:BQ$69,Expenses!$O$8:$O$69,$B102)+SUMIFS(Headcount!AA$395:AA$1442,Headcount!$J$395:$J$1442,$B102))</f>
        <v>0</v>
      </c>
      <c r="S102" s="137">
        <f>IF(S$12="Actual",SUMIFS(ActualsTable[Month 17],ActualsTable[Expense Item2],$B102),SUMIFS(Expenses!BR$8:BR$69,Expenses!$O$8:$O$69,$B102)+SUMIFS(Headcount!AB$395:AB$1442,Headcount!$J$395:$J$1442,$B102))</f>
        <v>0</v>
      </c>
      <c r="T102" s="137">
        <f>IF(T$12="Actual",SUMIFS(ActualsTable[Month 18],ActualsTable[Expense Item2],$B102),SUMIFS(Expenses!BS$8:BS$69,Expenses!$O$8:$O$69,$B102)+SUMIFS(Headcount!AC$395:AC$1442,Headcount!$J$395:$J$1442,$B102))</f>
        <v>0</v>
      </c>
      <c r="U102" s="137">
        <f>IF(U$12="Actual",SUMIFS(ActualsTable[Month 19],ActualsTable[Expense Item2],$B102),SUMIFS(Expenses!BT$8:BT$69,Expenses!$O$8:$O$69,$B102)+SUMIFS(Headcount!AD$395:AD$1442,Headcount!$J$395:$J$1442,$B102))</f>
        <v>0</v>
      </c>
      <c r="V102" s="137">
        <f>IF(V$12="Actual",SUMIFS(ActualsTable[Month 20],ActualsTable[Expense Item2],$B102),SUMIFS(Expenses!BU$8:BU$69,Expenses!$O$8:$O$69,$B102)+SUMIFS(Headcount!AE$395:AE$1442,Headcount!$J$395:$J$1442,$B102))</f>
        <v>0</v>
      </c>
      <c r="W102" s="137">
        <f>IF(W$12="Actual",SUMIFS(ActualsTable[Month 21],ActualsTable[Expense Item2],$B102),SUMIFS(Expenses!BV$8:BV$69,Expenses!$O$8:$O$69,$B102)+SUMIFS(Headcount!AF$395:AF$1442,Headcount!$J$395:$J$1442,$B102))</f>
        <v>0</v>
      </c>
      <c r="X102" s="137">
        <f>IF(X$12="Actual",SUMIFS(ActualsTable[Month 22],ActualsTable[Expense Item2],$B102),SUMIFS(Expenses!BW$8:BW$69,Expenses!$O$8:$O$69,$B102)+SUMIFS(Headcount!AG$395:AG$1442,Headcount!$J$395:$J$1442,$B102))</f>
        <v>0</v>
      </c>
      <c r="Y102" s="137">
        <f>IF(Y$12="Actual",SUMIFS(ActualsTable[Month 23],ActualsTable[Expense Item2],$B102),SUMIFS(Expenses!BX$8:BX$69,Expenses!$O$8:$O$69,$B102)+SUMIFS(Headcount!AH$395:AH$1442,Headcount!$J$395:$J$1442,$B102))</f>
        <v>0</v>
      </c>
      <c r="Z102" s="137">
        <f>IF(Z$12="Actual",SUMIFS(ActualsTable[Month 24],ActualsTable[Expense Item2],$B102),SUMIFS(Expenses!BY$8:BY$69,Expenses!$O$8:$O$69,$B102)+SUMIFS(Headcount!AI$395:AI$1442,Headcount!$J$395:$J$1442,$B102))</f>
        <v>0</v>
      </c>
      <c r="AA102" s="137">
        <f>IF(AA$12="Actual",SUMIFS(ActualsTable[Month 25],ActualsTable[Expense Item2],$B102),SUMIFS(Expenses!BZ$8:BZ$69,Expenses!$O$8:$O$69,$B102)+SUMIFS(Headcount!AJ$395:AJ$1442,Headcount!$J$395:$J$1442,$B102))</f>
        <v>0</v>
      </c>
      <c r="AB102" s="137">
        <f>IF(AB$12="Actual",SUMIFS(ActualsTable[Month 26],ActualsTable[Expense Item2],$B102),SUMIFS(Expenses!CA$8:CA$69,Expenses!$O$8:$O$69,$B102)+SUMIFS(Headcount!AK$395:AK$1442,Headcount!$J$395:$J$1442,$B102))</f>
        <v>0</v>
      </c>
      <c r="AC102" s="137">
        <f>IF(AC$12="Actual",SUMIFS(ActualsTable[Month 27],ActualsTable[Expense Item2],$B102),SUMIFS(Expenses!CB$8:CB$69,Expenses!$O$8:$O$69,$B102)+SUMIFS(Headcount!AL$395:AL$1442,Headcount!$J$395:$J$1442,$B102))</f>
        <v>0</v>
      </c>
      <c r="AD102" s="137">
        <f>IF(AD$12="Actual",SUMIFS(ActualsTable[Month 28],ActualsTable[Expense Item2],$B102),SUMIFS(Expenses!CC$8:CC$69,Expenses!$O$8:$O$69,$B102)+SUMIFS(Headcount!AM$395:AM$1442,Headcount!$J$395:$J$1442,$B102))</f>
        <v>0</v>
      </c>
      <c r="AE102" s="137">
        <f>IF(AE$12="Actual",SUMIFS(ActualsTable[Month 29],ActualsTable[Expense Item2],$B102),SUMIFS(Expenses!CD$8:CD$69,Expenses!$O$8:$O$69,$B102)+SUMIFS(Headcount!AN$395:AN$1442,Headcount!$J$395:$J$1442,$B102))</f>
        <v>0</v>
      </c>
      <c r="AF102" s="137">
        <f>IF(AF$12="Actual",SUMIFS(ActualsTable[Month 30],ActualsTable[Expense Item2],$B102),SUMIFS(Expenses!CE$8:CE$69,Expenses!$O$8:$O$69,$B102)+SUMIFS(Headcount!AO$395:AO$1442,Headcount!$J$395:$J$1442,$B102))</f>
        <v>0</v>
      </c>
      <c r="AG102" s="137">
        <f>IF(AG$12="Actual",SUMIFS(ActualsTable[Month 31],ActualsTable[Expense Item2],$B102),SUMIFS(Expenses!CF$8:CF$69,Expenses!$O$8:$O$69,$B102)+SUMIFS(Headcount!AP$395:AP$1442,Headcount!$J$395:$J$1442,$B102))</f>
        <v>0</v>
      </c>
      <c r="AH102" s="137">
        <f>IF(AH$12="Actual",SUMIFS(ActualsTable[Month 32],ActualsTable[Expense Item2],$B102),SUMIFS(Expenses!CG$8:CG$69,Expenses!$O$8:$O$69,$B102)+SUMIFS(Headcount!AQ$395:AQ$1442,Headcount!$J$395:$J$1442,$B102))</f>
        <v>0</v>
      </c>
      <c r="AI102" s="137">
        <f>IF(AI$12="Actual",SUMIFS(ActualsTable[Month 33],ActualsTable[Expense Item2],$B102),SUMIFS(Expenses!CH$8:CH$69,Expenses!$O$8:$O$69,$B102)+SUMIFS(Headcount!AR$395:AR$1442,Headcount!$J$395:$J$1442,$B102))</f>
        <v>0</v>
      </c>
      <c r="AJ102" s="137">
        <f>IF(AJ$12="Actual",SUMIFS(ActualsTable[Month 34],ActualsTable[Expense Item2],$B102),SUMIFS(Expenses!CI$8:CI$69,Expenses!$O$8:$O$69,$B102)+SUMIFS(Headcount!AS$395:AS$1442,Headcount!$J$395:$J$1442,$B102))</f>
        <v>0</v>
      </c>
      <c r="AK102" s="137">
        <f>IF(AK$12="Actual",SUMIFS(ActualsTable[Month 35],ActualsTable[Expense Item2],$B102),SUMIFS(Expenses!CJ$8:CJ$69,Expenses!$O$8:$O$69,$B102)+SUMIFS(Headcount!AT$395:AT$1442,Headcount!$J$395:$J$1442,$B102))</f>
        <v>0</v>
      </c>
      <c r="AL102" s="293">
        <f>IF(AL$12="Actual",SUMIFS(ActualsTable[Month 36],ActualsTable[Expense Item2],$B102),SUMIFS(Expenses!CK$8:CK$69,Expenses!$O$8:$O$69,$B102)+SUMIFS(Headcount!AU$395:AU$1442,Headcount!$J$395:$J$1442,$B102))</f>
        <v>0</v>
      </c>
      <c r="AN102" s="319">
        <f t="shared" ca="1" si="185"/>
        <v>0</v>
      </c>
      <c r="AO102" s="137">
        <f t="shared" ca="1" si="185"/>
        <v>0</v>
      </c>
      <c r="AP102" s="137">
        <f t="shared" ca="1" si="185"/>
        <v>0</v>
      </c>
      <c r="AQ102" s="137">
        <f t="shared" ca="1" si="185"/>
        <v>0</v>
      </c>
      <c r="AR102" s="137">
        <f t="shared" ca="1" si="185"/>
        <v>0</v>
      </c>
      <c r="AS102" s="137">
        <f t="shared" ca="1" si="185"/>
        <v>0</v>
      </c>
      <c r="AT102" s="137">
        <f t="shared" ca="1" si="185"/>
        <v>0</v>
      </c>
      <c r="AU102" s="137">
        <f t="shared" ca="1" si="185"/>
        <v>0</v>
      </c>
      <c r="AV102" s="137">
        <f t="shared" ca="1" si="185"/>
        <v>0</v>
      </c>
      <c r="AW102" s="137">
        <f t="shared" ca="1" si="185"/>
        <v>0</v>
      </c>
      <c r="AX102" s="137">
        <f t="shared" ca="1" si="185"/>
        <v>0</v>
      </c>
      <c r="AY102" s="293">
        <f t="shared" ca="1" si="185"/>
        <v>0</v>
      </c>
      <c r="BA102" s="319">
        <f t="shared" ca="1" si="186"/>
        <v>0</v>
      </c>
      <c r="BB102" s="137">
        <f t="shared" ca="1" si="186"/>
        <v>0</v>
      </c>
      <c r="BC102" s="293">
        <f t="shared" ca="1" si="186"/>
        <v>0</v>
      </c>
    </row>
    <row r="103" spans="2:55" x14ac:dyDescent="0.35">
      <c r="B103" s="64" t="s">
        <v>136</v>
      </c>
      <c r="C103" s="137">
        <f>IF(C$12="Actual",SUMIFS(ActualsTable[Month 1],ActualsTable[Expense Item2],$B103),SUMIFS(Expenses!BB$8:BB$69,Expenses!$O$8:$O$69,$B103)+SUMIFS(Headcount!L$395:L$1442,Headcount!$J$395:$J$1442,$B103))</f>
        <v>0</v>
      </c>
      <c r="D103" s="137">
        <f>IF(D$12="Actual",SUMIFS(ActualsTable[Month 2],ActualsTable[Expense Item2],$B103),SUMIFS(Expenses!BC$8:BC$69,Expenses!$O$8:$O$69,$B103)+SUMIFS(Headcount!M$395:M$1442,Headcount!$J$395:$J$1442,$B103))</f>
        <v>0</v>
      </c>
      <c r="E103" s="137">
        <f>IF(E$12="Actual",SUMIFS(ActualsTable[Month 3],ActualsTable[Expense Item2],$B103),SUMIFS(Expenses!BD$8:BD$69,Expenses!$O$8:$O$69,$B103)+SUMIFS(Headcount!N$395:N$1442,Headcount!$J$395:$J$1442,$B103))</f>
        <v>0</v>
      </c>
      <c r="F103" s="137">
        <f>IF(F$12="Actual",SUMIFS(ActualsTable[Month 4],ActualsTable[Expense Item2],$B103),SUMIFS(Expenses!BE$8:BE$69,Expenses!$O$8:$O$69,$B103)+SUMIFS(Headcount!O$395:O$1442,Headcount!$J$395:$J$1442,$B103))</f>
        <v>0</v>
      </c>
      <c r="G103" s="137">
        <f>IF(G$12="Actual",SUMIFS(ActualsTable[Month 5],ActualsTable[Expense Item2],$B103),SUMIFS(Expenses!BF$8:BF$69,Expenses!$O$8:$O$69,$B103)+SUMIFS(Headcount!P$395:P$1442,Headcount!$J$395:$J$1442,$B103))</f>
        <v>0</v>
      </c>
      <c r="H103" s="137">
        <f>IF(H$12="Actual",SUMIFS(ActualsTable[Month 6],ActualsTable[Expense Item2],$B103),SUMIFS(Expenses!BG$8:BG$69,Expenses!$O$8:$O$69,$B103)+SUMIFS(Headcount!Q$395:Q$1442,Headcount!$J$395:$J$1442,$B103))</f>
        <v>0</v>
      </c>
      <c r="I103" s="137">
        <f>IF(I$12="Actual",SUMIFS(ActualsTable[Month 7],ActualsTable[Expense Item2],$B103),SUMIFS(Expenses!BH$8:BH$69,Expenses!$O$8:$O$69,$B103)+SUMIFS(Headcount!R$395:R$1442,Headcount!$J$395:$J$1442,$B103))</f>
        <v>0</v>
      </c>
      <c r="J103" s="137">
        <f>IF(J$12="Actual",SUMIFS(ActualsTable[Month 8],ActualsTable[Expense Item2],$B103),SUMIFS(Expenses!BI$8:BI$69,Expenses!$O$8:$O$69,$B103)+SUMIFS(Headcount!S$395:S$1442,Headcount!$J$395:$J$1442,$B103))</f>
        <v>0</v>
      </c>
      <c r="K103" s="137">
        <f>IF(K$12="Actual",SUMIFS(ActualsTable[Month 9],ActualsTable[Expense Item2],$B103),SUMIFS(Expenses!BJ$8:BJ$69,Expenses!$O$8:$O$69,$B103)+SUMIFS(Headcount!T$395:T$1442,Headcount!$J$395:$J$1442,$B103))</f>
        <v>0</v>
      </c>
      <c r="L103" s="137">
        <f>IF(L$12="Actual",SUMIFS(ActualsTable[Month 10],ActualsTable[Expense Item2],$B103),SUMIFS(Expenses!BK$8:BK$69,Expenses!$O$8:$O$69,$B103)+SUMIFS(Headcount!U$395:U$1442,Headcount!$J$395:$J$1442,$B103))</f>
        <v>0</v>
      </c>
      <c r="M103" s="137">
        <f>IF(M$12="Actual",SUMIFS(ActualsTable[Month 11],ActualsTable[Expense Item2],$B103),SUMIFS(Expenses!BL$8:BL$69,Expenses!$O$8:$O$69,$B103)+SUMIFS(Headcount!V$395:V$1442,Headcount!$J$395:$J$1442,$B103))</f>
        <v>0</v>
      </c>
      <c r="N103" s="137">
        <f>IF(N$12="Actual",SUMIFS(ActualsTable[Month 12],ActualsTable[Expense Item2],$B103),SUMIFS(Expenses!BM$8:BM$69,Expenses!$O$8:$O$69,$B103)+SUMIFS(Headcount!W$395:W$1442,Headcount!$J$395:$J$1442,$B103))</f>
        <v>0</v>
      </c>
      <c r="O103" s="137">
        <f>IF(O$12="Actual",SUMIFS(ActualsTable[Month 13],ActualsTable[Expense Item2],$B103),SUMIFS(Expenses!BN$8:BN$69,Expenses!$O$8:$O$69,$B103)+SUMIFS(Headcount!X$395:X$1442,Headcount!$J$395:$J$1442,$B103))</f>
        <v>0</v>
      </c>
      <c r="P103" s="137">
        <f>IF(P$12="Actual",SUMIFS(ActualsTable[Month 14],ActualsTable[Expense Item2],$B103),SUMIFS(Expenses!BO$8:BO$69,Expenses!$O$8:$O$69,$B103)+SUMIFS(Headcount!Y$395:Y$1442,Headcount!$J$395:$J$1442,$B103))</f>
        <v>0</v>
      </c>
      <c r="Q103" s="137">
        <f>IF(Q$12="Actual",SUMIFS(ActualsTable[Month 15],ActualsTable[Expense Item2],$B103),SUMIFS(Expenses!BP$8:BP$69,Expenses!$O$8:$O$69,$B103)+SUMIFS(Headcount!Z$395:Z$1442,Headcount!$J$395:$J$1442,$B103))</f>
        <v>0</v>
      </c>
      <c r="R103" s="137">
        <f>IF(R$12="Actual",SUMIFS(ActualsTable[Month 16],ActualsTable[Expense Item2],$B103),SUMIFS(Expenses!BQ$8:BQ$69,Expenses!$O$8:$O$69,$B103)+SUMIFS(Headcount!AA$395:AA$1442,Headcount!$J$395:$J$1442,$B103))</f>
        <v>0</v>
      </c>
      <c r="S103" s="137">
        <f>IF(S$12="Actual",SUMIFS(ActualsTable[Month 17],ActualsTable[Expense Item2],$B103),SUMIFS(Expenses!BR$8:BR$69,Expenses!$O$8:$O$69,$B103)+SUMIFS(Headcount!AB$395:AB$1442,Headcount!$J$395:$J$1442,$B103))</f>
        <v>0</v>
      </c>
      <c r="T103" s="137">
        <f>IF(T$12="Actual",SUMIFS(ActualsTable[Month 18],ActualsTable[Expense Item2],$B103),SUMIFS(Expenses!BS$8:BS$69,Expenses!$O$8:$O$69,$B103)+SUMIFS(Headcount!AC$395:AC$1442,Headcount!$J$395:$J$1442,$B103))</f>
        <v>0</v>
      </c>
      <c r="U103" s="137">
        <f>IF(U$12="Actual",SUMIFS(ActualsTable[Month 19],ActualsTable[Expense Item2],$B103),SUMIFS(Expenses!BT$8:BT$69,Expenses!$O$8:$O$69,$B103)+SUMIFS(Headcount!AD$395:AD$1442,Headcount!$J$395:$J$1442,$B103))</f>
        <v>0</v>
      </c>
      <c r="V103" s="137">
        <f>IF(V$12="Actual",SUMIFS(ActualsTable[Month 20],ActualsTable[Expense Item2],$B103),SUMIFS(Expenses!BU$8:BU$69,Expenses!$O$8:$O$69,$B103)+SUMIFS(Headcount!AE$395:AE$1442,Headcount!$J$395:$J$1442,$B103))</f>
        <v>0</v>
      </c>
      <c r="W103" s="137">
        <f>IF(W$12="Actual",SUMIFS(ActualsTable[Month 21],ActualsTable[Expense Item2],$B103),SUMIFS(Expenses!BV$8:BV$69,Expenses!$O$8:$O$69,$B103)+SUMIFS(Headcount!AF$395:AF$1442,Headcount!$J$395:$J$1442,$B103))</f>
        <v>0</v>
      </c>
      <c r="X103" s="137">
        <f>IF(X$12="Actual",SUMIFS(ActualsTable[Month 22],ActualsTable[Expense Item2],$B103),SUMIFS(Expenses!BW$8:BW$69,Expenses!$O$8:$O$69,$B103)+SUMIFS(Headcount!AG$395:AG$1442,Headcount!$J$395:$J$1442,$B103))</f>
        <v>0</v>
      </c>
      <c r="Y103" s="137">
        <f>IF(Y$12="Actual",SUMIFS(ActualsTable[Month 23],ActualsTable[Expense Item2],$B103),SUMIFS(Expenses!BX$8:BX$69,Expenses!$O$8:$O$69,$B103)+SUMIFS(Headcount!AH$395:AH$1442,Headcount!$J$395:$J$1442,$B103))</f>
        <v>0</v>
      </c>
      <c r="Z103" s="137">
        <f>IF(Z$12="Actual",SUMIFS(ActualsTable[Month 24],ActualsTable[Expense Item2],$B103),SUMIFS(Expenses!BY$8:BY$69,Expenses!$O$8:$O$69,$B103)+SUMIFS(Headcount!AI$395:AI$1442,Headcount!$J$395:$J$1442,$B103))</f>
        <v>0</v>
      </c>
      <c r="AA103" s="137">
        <f>IF(AA$12="Actual",SUMIFS(ActualsTable[Month 25],ActualsTable[Expense Item2],$B103),SUMIFS(Expenses!BZ$8:BZ$69,Expenses!$O$8:$O$69,$B103)+SUMIFS(Headcount!AJ$395:AJ$1442,Headcount!$J$395:$J$1442,$B103))</f>
        <v>0</v>
      </c>
      <c r="AB103" s="137">
        <f>IF(AB$12="Actual",SUMIFS(ActualsTable[Month 26],ActualsTable[Expense Item2],$B103),SUMIFS(Expenses!CA$8:CA$69,Expenses!$O$8:$O$69,$B103)+SUMIFS(Headcount!AK$395:AK$1442,Headcount!$J$395:$J$1442,$B103))</f>
        <v>0</v>
      </c>
      <c r="AC103" s="137">
        <f>IF(AC$12="Actual",SUMIFS(ActualsTable[Month 27],ActualsTable[Expense Item2],$B103),SUMIFS(Expenses!CB$8:CB$69,Expenses!$O$8:$O$69,$B103)+SUMIFS(Headcount!AL$395:AL$1442,Headcount!$J$395:$J$1442,$B103))</f>
        <v>0</v>
      </c>
      <c r="AD103" s="137">
        <f>IF(AD$12="Actual",SUMIFS(ActualsTable[Month 28],ActualsTable[Expense Item2],$B103),SUMIFS(Expenses!CC$8:CC$69,Expenses!$O$8:$O$69,$B103)+SUMIFS(Headcount!AM$395:AM$1442,Headcount!$J$395:$J$1442,$B103))</f>
        <v>0</v>
      </c>
      <c r="AE103" s="137">
        <f>IF(AE$12="Actual",SUMIFS(ActualsTable[Month 29],ActualsTable[Expense Item2],$B103),SUMIFS(Expenses!CD$8:CD$69,Expenses!$O$8:$O$69,$B103)+SUMIFS(Headcount!AN$395:AN$1442,Headcount!$J$395:$J$1442,$B103))</f>
        <v>0</v>
      </c>
      <c r="AF103" s="137">
        <f>IF(AF$12="Actual",SUMIFS(ActualsTable[Month 30],ActualsTable[Expense Item2],$B103),SUMIFS(Expenses!CE$8:CE$69,Expenses!$O$8:$O$69,$B103)+SUMIFS(Headcount!AO$395:AO$1442,Headcount!$J$395:$J$1442,$B103))</f>
        <v>0</v>
      </c>
      <c r="AG103" s="137">
        <f>IF(AG$12="Actual",SUMIFS(ActualsTable[Month 31],ActualsTable[Expense Item2],$B103),SUMIFS(Expenses!CF$8:CF$69,Expenses!$O$8:$O$69,$B103)+SUMIFS(Headcount!AP$395:AP$1442,Headcount!$J$395:$J$1442,$B103))</f>
        <v>0</v>
      </c>
      <c r="AH103" s="137">
        <f>IF(AH$12="Actual",SUMIFS(ActualsTable[Month 32],ActualsTable[Expense Item2],$B103),SUMIFS(Expenses!CG$8:CG$69,Expenses!$O$8:$O$69,$B103)+SUMIFS(Headcount!AQ$395:AQ$1442,Headcount!$J$395:$J$1442,$B103))</f>
        <v>0</v>
      </c>
      <c r="AI103" s="137">
        <f>IF(AI$12="Actual",SUMIFS(ActualsTable[Month 33],ActualsTable[Expense Item2],$B103),SUMIFS(Expenses!CH$8:CH$69,Expenses!$O$8:$O$69,$B103)+SUMIFS(Headcount!AR$395:AR$1442,Headcount!$J$395:$J$1442,$B103))</f>
        <v>0</v>
      </c>
      <c r="AJ103" s="137">
        <f>IF(AJ$12="Actual",SUMIFS(ActualsTable[Month 34],ActualsTable[Expense Item2],$B103),SUMIFS(Expenses!CI$8:CI$69,Expenses!$O$8:$O$69,$B103)+SUMIFS(Headcount!AS$395:AS$1442,Headcount!$J$395:$J$1442,$B103))</f>
        <v>0</v>
      </c>
      <c r="AK103" s="137">
        <f>IF(AK$12="Actual",SUMIFS(ActualsTable[Month 35],ActualsTable[Expense Item2],$B103),SUMIFS(Expenses!CJ$8:CJ$69,Expenses!$O$8:$O$69,$B103)+SUMIFS(Headcount!AT$395:AT$1442,Headcount!$J$395:$J$1442,$B103))</f>
        <v>0</v>
      </c>
      <c r="AL103" s="293">
        <f>IF(AL$12="Actual",SUMIFS(ActualsTable[Month 36],ActualsTable[Expense Item2],$B103),SUMIFS(Expenses!CK$8:CK$69,Expenses!$O$8:$O$69,$B103)+SUMIFS(Headcount!AU$395:AU$1442,Headcount!$J$395:$J$1442,$B103))</f>
        <v>0</v>
      </c>
      <c r="AN103" s="319">
        <f t="shared" ca="1" si="185"/>
        <v>0</v>
      </c>
      <c r="AO103" s="137">
        <f t="shared" ca="1" si="185"/>
        <v>0</v>
      </c>
      <c r="AP103" s="137">
        <f t="shared" ca="1" si="185"/>
        <v>0</v>
      </c>
      <c r="AQ103" s="137">
        <f t="shared" ca="1" si="185"/>
        <v>0</v>
      </c>
      <c r="AR103" s="137">
        <f t="shared" ca="1" si="185"/>
        <v>0</v>
      </c>
      <c r="AS103" s="137">
        <f t="shared" ca="1" si="185"/>
        <v>0</v>
      </c>
      <c r="AT103" s="137">
        <f t="shared" ca="1" si="185"/>
        <v>0</v>
      </c>
      <c r="AU103" s="137">
        <f t="shared" ca="1" si="185"/>
        <v>0</v>
      </c>
      <c r="AV103" s="137">
        <f t="shared" ca="1" si="185"/>
        <v>0</v>
      </c>
      <c r="AW103" s="137">
        <f t="shared" ca="1" si="185"/>
        <v>0</v>
      </c>
      <c r="AX103" s="137">
        <f t="shared" ca="1" si="185"/>
        <v>0</v>
      </c>
      <c r="AY103" s="293">
        <f t="shared" ca="1" si="185"/>
        <v>0</v>
      </c>
      <c r="BA103" s="319">
        <f t="shared" ca="1" si="186"/>
        <v>0</v>
      </c>
      <c r="BB103" s="137">
        <f t="shared" ca="1" si="186"/>
        <v>0</v>
      </c>
      <c r="BC103" s="293">
        <f t="shared" ca="1" si="186"/>
        <v>0</v>
      </c>
    </row>
    <row r="104" spans="2:55" x14ac:dyDescent="0.35">
      <c r="B104" s="64" t="s">
        <v>137</v>
      </c>
      <c r="C104" s="137">
        <f>IF(C$12="Actual",SUMIFS(ActualsTable[Month 1],ActualsTable[Expense Item2],$B104),SUMIFS(Expenses!BB$8:BB$69,Expenses!$O$8:$O$69,$B104)+SUMIFS(Headcount!L$395:L$1442,Headcount!$J$395:$J$1442,$B104))</f>
        <v>0</v>
      </c>
      <c r="D104" s="137">
        <f>IF(D$12="Actual",SUMIFS(ActualsTable[Month 2],ActualsTable[Expense Item2],$B104),SUMIFS(Expenses!BC$8:BC$69,Expenses!$O$8:$O$69,$B104)+SUMIFS(Headcount!M$395:M$1442,Headcount!$J$395:$J$1442,$B104))</f>
        <v>0</v>
      </c>
      <c r="E104" s="137">
        <f>IF(E$12="Actual",SUMIFS(ActualsTable[Month 3],ActualsTable[Expense Item2],$B104),SUMIFS(Expenses!BD$8:BD$69,Expenses!$O$8:$O$69,$B104)+SUMIFS(Headcount!N$395:N$1442,Headcount!$J$395:$J$1442,$B104))</f>
        <v>0</v>
      </c>
      <c r="F104" s="137">
        <f>IF(F$12="Actual",SUMIFS(ActualsTable[Month 4],ActualsTable[Expense Item2],$B104),SUMIFS(Expenses!BE$8:BE$69,Expenses!$O$8:$O$69,$B104)+SUMIFS(Headcount!O$395:O$1442,Headcount!$J$395:$J$1442,$B104))</f>
        <v>0</v>
      </c>
      <c r="G104" s="137">
        <f>IF(G$12="Actual",SUMIFS(ActualsTable[Month 5],ActualsTable[Expense Item2],$B104),SUMIFS(Expenses!BF$8:BF$69,Expenses!$O$8:$O$69,$B104)+SUMIFS(Headcount!P$395:P$1442,Headcount!$J$395:$J$1442,$B104))</f>
        <v>0</v>
      </c>
      <c r="H104" s="137">
        <f>IF(H$12="Actual",SUMIFS(ActualsTable[Month 6],ActualsTable[Expense Item2],$B104),SUMIFS(Expenses!BG$8:BG$69,Expenses!$O$8:$O$69,$B104)+SUMIFS(Headcount!Q$395:Q$1442,Headcount!$J$395:$J$1442,$B104))</f>
        <v>0</v>
      </c>
      <c r="I104" s="137">
        <f>IF(I$12="Actual",SUMIFS(ActualsTable[Month 7],ActualsTable[Expense Item2],$B104),SUMIFS(Expenses!BH$8:BH$69,Expenses!$O$8:$O$69,$B104)+SUMIFS(Headcount!R$395:R$1442,Headcount!$J$395:$J$1442,$B104))</f>
        <v>0</v>
      </c>
      <c r="J104" s="137">
        <f>IF(J$12="Actual",SUMIFS(ActualsTable[Month 8],ActualsTable[Expense Item2],$B104),SUMIFS(Expenses!BI$8:BI$69,Expenses!$O$8:$O$69,$B104)+SUMIFS(Headcount!S$395:S$1442,Headcount!$J$395:$J$1442,$B104))</f>
        <v>0</v>
      </c>
      <c r="K104" s="137">
        <f>IF(K$12="Actual",SUMIFS(ActualsTable[Month 9],ActualsTable[Expense Item2],$B104),SUMIFS(Expenses!BJ$8:BJ$69,Expenses!$O$8:$O$69,$B104)+SUMIFS(Headcount!T$395:T$1442,Headcount!$J$395:$J$1442,$B104))</f>
        <v>0</v>
      </c>
      <c r="L104" s="137">
        <f>IF(L$12="Actual",SUMIFS(ActualsTable[Month 10],ActualsTable[Expense Item2],$B104),SUMIFS(Expenses!BK$8:BK$69,Expenses!$O$8:$O$69,$B104)+SUMIFS(Headcount!U$395:U$1442,Headcount!$J$395:$J$1442,$B104))</f>
        <v>0</v>
      </c>
      <c r="M104" s="137">
        <f>IF(M$12="Actual",SUMIFS(ActualsTable[Month 11],ActualsTable[Expense Item2],$B104),SUMIFS(Expenses!BL$8:BL$69,Expenses!$O$8:$O$69,$B104)+SUMIFS(Headcount!V$395:V$1442,Headcount!$J$395:$J$1442,$B104))</f>
        <v>0</v>
      </c>
      <c r="N104" s="137">
        <f>IF(N$12="Actual",SUMIFS(ActualsTable[Month 12],ActualsTable[Expense Item2],$B104),SUMIFS(Expenses!BM$8:BM$69,Expenses!$O$8:$O$69,$B104)+SUMIFS(Headcount!W$395:W$1442,Headcount!$J$395:$J$1442,$B104))</f>
        <v>0</v>
      </c>
      <c r="O104" s="137">
        <f>IF(O$12="Actual",SUMIFS(ActualsTable[Month 13],ActualsTable[Expense Item2],$B104),SUMIFS(Expenses!BN$8:BN$69,Expenses!$O$8:$O$69,$B104)+SUMIFS(Headcount!X$395:X$1442,Headcount!$J$395:$J$1442,$B104))</f>
        <v>0</v>
      </c>
      <c r="P104" s="137">
        <f>IF(P$12="Actual",SUMIFS(ActualsTable[Month 14],ActualsTable[Expense Item2],$B104),SUMIFS(Expenses!BO$8:BO$69,Expenses!$O$8:$O$69,$B104)+SUMIFS(Headcount!Y$395:Y$1442,Headcount!$J$395:$J$1442,$B104))</f>
        <v>0</v>
      </c>
      <c r="Q104" s="137">
        <f>IF(Q$12="Actual",SUMIFS(ActualsTable[Month 15],ActualsTable[Expense Item2],$B104),SUMIFS(Expenses!BP$8:BP$69,Expenses!$O$8:$O$69,$B104)+SUMIFS(Headcount!Z$395:Z$1442,Headcount!$J$395:$J$1442,$B104))</f>
        <v>0</v>
      </c>
      <c r="R104" s="137">
        <f>IF(R$12="Actual",SUMIFS(ActualsTable[Month 16],ActualsTable[Expense Item2],$B104),SUMIFS(Expenses!BQ$8:BQ$69,Expenses!$O$8:$O$69,$B104)+SUMIFS(Headcount!AA$395:AA$1442,Headcount!$J$395:$J$1442,$B104))</f>
        <v>0</v>
      </c>
      <c r="S104" s="137">
        <f>IF(S$12="Actual",SUMIFS(ActualsTable[Month 17],ActualsTable[Expense Item2],$B104),SUMIFS(Expenses!BR$8:BR$69,Expenses!$O$8:$O$69,$B104)+SUMIFS(Headcount!AB$395:AB$1442,Headcount!$J$395:$J$1442,$B104))</f>
        <v>0</v>
      </c>
      <c r="T104" s="137">
        <f>IF(T$12="Actual",SUMIFS(ActualsTable[Month 18],ActualsTable[Expense Item2],$B104),SUMIFS(Expenses!BS$8:BS$69,Expenses!$O$8:$O$69,$B104)+SUMIFS(Headcount!AC$395:AC$1442,Headcount!$J$395:$J$1442,$B104))</f>
        <v>0</v>
      </c>
      <c r="U104" s="137">
        <f>IF(U$12="Actual",SUMIFS(ActualsTable[Month 19],ActualsTable[Expense Item2],$B104),SUMIFS(Expenses!BT$8:BT$69,Expenses!$O$8:$O$69,$B104)+SUMIFS(Headcount!AD$395:AD$1442,Headcount!$J$395:$J$1442,$B104))</f>
        <v>0</v>
      </c>
      <c r="V104" s="137">
        <f>IF(V$12="Actual",SUMIFS(ActualsTable[Month 20],ActualsTable[Expense Item2],$B104),SUMIFS(Expenses!BU$8:BU$69,Expenses!$O$8:$O$69,$B104)+SUMIFS(Headcount!AE$395:AE$1442,Headcount!$J$395:$J$1442,$B104))</f>
        <v>0</v>
      </c>
      <c r="W104" s="137">
        <f>IF(W$12="Actual",SUMIFS(ActualsTable[Month 21],ActualsTable[Expense Item2],$B104),SUMIFS(Expenses!BV$8:BV$69,Expenses!$O$8:$O$69,$B104)+SUMIFS(Headcount!AF$395:AF$1442,Headcount!$J$395:$J$1442,$B104))</f>
        <v>0</v>
      </c>
      <c r="X104" s="137">
        <f>IF(X$12="Actual",SUMIFS(ActualsTable[Month 22],ActualsTable[Expense Item2],$B104),SUMIFS(Expenses!BW$8:BW$69,Expenses!$O$8:$O$69,$B104)+SUMIFS(Headcount!AG$395:AG$1442,Headcount!$J$395:$J$1442,$B104))</f>
        <v>0</v>
      </c>
      <c r="Y104" s="137">
        <f>IF(Y$12="Actual",SUMIFS(ActualsTable[Month 23],ActualsTable[Expense Item2],$B104),SUMIFS(Expenses!BX$8:BX$69,Expenses!$O$8:$O$69,$B104)+SUMIFS(Headcount!AH$395:AH$1442,Headcount!$J$395:$J$1442,$B104))</f>
        <v>0</v>
      </c>
      <c r="Z104" s="137">
        <f>IF(Z$12="Actual",SUMIFS(ActualsTable[Month 24],ActualsTable[Expense Item2],$B104),SUMIFS(Expenses!BY$8:BY$69,Expenses!$O$8:$O$69,$B104)+SUMIFS(Headcount!AI$395:AI$1442,Headcount!$J$395:$J$1442,$B104))</f>
        <v>0</v>
      </c>
      <c r="AA104" s="137">
        <f>IF(AA$12="Actual",SUMIFS(ActualsTable[Month 25],ActualsTable[Expense Item2],$B104),SUMIFS(Expenses!BZ$8:BZ$69,Expenses!$O$8:$O$69,$B104)+SUMIFS(Headcount!AJ$395:AJ$1442,Headcount!$J$395:$J$1442,$B104))</f>
        <v>0</v>
      </c>
      <c r="AB104" s="137">
        <f>IF(AB$12="Actual",SUMIFS(ActualsTable[Month 26],ActualsTable[Expense Item2],$B104),SUMIFS(Expenses!CA$8:CA$69,Expenses!$O$8:$O$69,$B104)+SUMIFS(Headcount!AK$395:AK$1442,Headcount!$J$395:$J$1442,$B104))</f>
        <v>0</v>
      </c>
      <c r="AC104" s="137">
        <f>IF(AC$12="Actual",SUMIFS(ActualsTable[Month 27],ActualsTable[Expense Item2],$B104),SUMIFS(Expenses!CB$8:CB$69,Expenses!$O$8:$O$69,$B104)+SUMIFS(Headcount!AL$395:AL$1442,Headcount!$J$395:$J$1442,$B104))</f>
        <v>0</v>
      </c>
      <c r="AD104" s="137">
        <f>IF(AD$12="Actual",SUMIFS(ActualsTable[Month 28],ActualsTable[Expense Item2],$B104),SUMIFS(Expenses!CC$8:CC$69,Expenses!$O$8:$O$69,$B104)+SUMIFS(Headcount!AM$395:AM$1442,Headcount!$J$395:$J$1442,$B104))</f>
        <v>0</v>
      </c>
      <c r="AE104" s="137">
        <f>IF(AE$12="Actual",SUMIFS(ActualsTable[Month 29],ActualsTable[Expense Item2],$B104),SUMIFS(Expenses!CD$8:CD$69,Expenses!$O$8:$O$69,$B104)+SUMIFS(Headcount!AN$395:AN$1442,Headcount!$J$395:$J$1442,$B104))</f>
        <v>0</v>
      </c>
      <c r="AF104" s="137">
        <f>IF(AF$12="Actual",SUMIFS(ActualsTable[Month 30],ActualsTable[Expense Item2],$B104),SUMIFS(Expenses!CE$8:CE$69,Expenses!$O$8:$O$69,$B104)+SUMIFS(Headcount!AO$395:AO$1442,Headcount!$J$395:$J$1442,$B104))</f>
        <v>0</v>
      </c>
      <c r="AG104" s="137">
        <f>IF(AG$12="Actual",SUMIFS(ActualsTable[Month 31],ActualsTable[Expense Item2],$B104),SUMIFS(Expenses!CF$8:CF$69,Expenses!$O$8:$O$69,$B104)+SUMIFS(Headcount!AP$395:AP$1442,Headcount!$J$395:$J$1442,$B104))</f>
        <v>0</v>
      </c>
      <c r="AH104" s="137">
        <f>IF(AH$12="Actual",SUMIFS(ActualsTable[Month 32],ActualsTable[Expense Item2],$B104),SUMIFS(Expenses!CG$8:CG$69,Expenses!$O$8:$O$69,$B104)+SUMIFS(Headcount!AQ$395:AQ$1442,Headcount!$J$395:$J$1442,$B104))</f>
        <v>0</v>
      </c>
      <c r="AI104" s="137">
        <f>IF(AI$12="Actual",SUMIFS(ActualsTable[Month 33],ActualsTable[Expense Item2],$B104),SUMIFS(Expenses!CH$8:CH$69,Expenses!$O$8:$O$69,$B104)+SUMIFS(Headcount!AR$395:AR$1442,Headcount!$J$395:$J$1442,$B104))</f>
        <v>0</v>
      </c>
      <c r="AJ104" s="137">
        <f>IF(AJ$12="Actual",SUMIFS(ActualsTable[Month 34],ActualsTable[Expense Item2],$B104),SUMIFS(Expenses!CI$8:CI$69,Expenses!$O$8:$O$69,$B104)+SUMIFS(Headcount!AS$395:AS$1442,Headcount!$J$395:$J$1442,$B104))</f>
        <v>0</v>
      </c>
      <c r="AK104" s="137">
        <f>IF(AK$12="Actual",SUMIFS(ActualsTable[Month 35],ActualsTable[Expense Item2],$B104),SUMIFS(Expenses!CJ$8:CJ$69,Expenses!$O$8:$O$69,$B104)+SUMIFS(Headcount!AT$395:AT$1442,Headcount!$J$395:$J$1442,$B104))</f>
        <v>0</v>
      </c>
      <c r="AL104" s="293">
        <f>IF(AL$12="Actual",SUMIFS(ActualsTable[Month 36],ActualsTable[Expense Item2],$B104),SUMIFS(Expenses!CK$8:CK$69,Expenses!$O$8:$O$69,$B104)+SUMIFS(Headcount!AU$395:AU$1442,Headcount!$J$395:$J$1442,$B104))</f>
        <v>0</v>
      </c>
      <c r="AN104" s="319">
        <f t="shared" ca="1" si="185"/>
        <v>0</v>
      </c>
      <c r="AO104" s="137">
        <f t="shared" ca="1" si="185"/>
        <v>0</v>
      </c>
      <c r="AP104" s="137">
        <f t="shared" ca="1" si="185"/>
        <v>0</v>
      </c>
      <c r="AQ104" s="137">
        <f t="shared" ca="1" si="185"/>
        <v>0</v>
      </c>
      <c r="AR104" s="137">
        <f t="shared" ca="1" si="185"/>
        <v>0</v>
      </c>
      <c r="AS104" s="137">
        <f t="shared" ca="1" si="185"/>
        <v>0</v>
      </c>
      <c r="AT104" s="137">
        <f t="shared" ca="1" si="185"/>
        <v>0</v>
      </c>
      <c r="AU104" s="137">
        <f t="shared" ca="1" si="185"/>
        <v>0</v>
      </c>
      <c r="AV104" s="137">
        <f t="shared" ca="1" si="185"/>
        <v>0</v>
      </c>
      <c r="AW104" s="137">
        <f t="shared" ca="1" si="185"/>
        <v>0</v>
      </c>
      <c r="AX104" s="137">
        <f t="shared" ca="1" si="185"/>
        <v>0</v>
      </c>
      <c r="AY104" s="293">
        <f t="shared" ca="1" si="185"/>
        <v>0</v>
      </c>
      <c r="BA104" s="319">
        <f t="shared" ca="1" si="186"/>
        <v>0</v>
      </c>
      <c r="BB104" s="137">
        <f t="shared" ca="1" si="186"/>
        <v>0</v>
      </c>
      <c r="BC104" s="293">
        <f t="shared" ca="1" si="186"/>
        <v>0</v>
      </c>
    </row>
    <row r="105" spans="2:55" ht="15" x14ac:dyDescent="0.4">
      <c r="B105" s="64" t="s">
        <v>138</v>
      </c>
      <c r="C105" s="136">
        <f>IF(C$12="Actual",SUMIFS(ActualsTable[Month 1],ActualsTable[Expense Item2],$B105),SUMIFS(Expenses!BB$8:BB$69,Expenses!$O$8:$O$69,$B105)+SUMIFS(Headcount!L$395:L$1442,Headcount!$J$395:$J$1442,$B105))</f>
        <v>0</v>
      </c>
      <c r="D105" s="136">
        <f>IF(D$12="Actual",SUMIFS(ActualsTable[Month 2],ActualsTable[Expense Item2],$B105),SUMIFS(Expenses!BC$8:BC$69,Expenses!$O$8:$O$69,$B105)+SUMIFS(Headcount!M$395:M$1442,Headcount!$J$395:$J$1442,$B105))</f>
        <v>0</v>
      </c>
      <c r="E105" s="136">
        <f>IF(E$12="Actual",SUMIFS(ActualsTable[Month 3],ActualsTable[Expense Item2],$B105),SUMIFS(Expenses!BD$8:BD$69,Expenses!$O$8:$O$69,$B105)+SUMIFS(Headcount!N$395:N$1442,Headcount!$J$395:$J$1442,$B105))</f>
        <v>0</v>
      </c>
      <c r="F105" s="136">
        <f>IF(F$12="Actual",SUMIFS(ActualsTable[Month 4],ActualsTable[Expense Item2],$B105),SUMIFS(Expenses!BE$8:BE$69,Expenses!$O$8:$O$69,$B105)+SUMIFS(Headcount!O$395:O$1442,Headcount!$J$395:$J$1442,$B105))</f>
        <v>0</v>
      </c>
      <c r="G105" s="136">
        <f>IF(G$12="Actual",SUMIFS(ActualsTable[Month 5],ActualsTable[Expense Item2],$B105),SUMIFS(Expenses!BF$8:BF$69,Expenses!$O$8:$O$69,$B105)+SUMIFS(Headcount!P$395:P$1442,Headcount!$J$395:$J$1442,$B105))</f>
        <v>0</v>
      </c>
      <c r="H105" s="136">
        <f>IF(H$12="Actual",SUMIFS(ActualsTable[Month 6],ActualsTable[Expense Item2],$B105),SUMIFS(Expenses!BG$8:BG$69,Expenses!$O$8:$O$69,$B105)+SUMIFS(Headcount!Q$395:Q$1442,Headcount!$J$395:$J$1442,$B105))</f>
        <v>0</v>
      </c>
      <c r="I105" s="136">
        <f>IF(I$12="Actual",SUMIFS(ActualsTable[Month 7],ActualsTable[Expense Item2],$B105),SUMIFS(Expenses!BH$8:BH$69,Expenses!$O$8:$O$69,$B105)+SUMIFS(Headcount!R$395:R$1442,Headcount!$J$395:$J$1442,$B105))</f>
        <v>0</v>
      </c>
      <c r="J105" s="136">
        <f>IF(J$12="Actual",SUMIFS(ActualsTable[Month 8],ActualsTable[Expense Item2],$B105),SUMIFS(Expenses!BI$8:BI$69,Expenses!$O$8:$O$69,$B105)+SUMIFS(Headcount!S$395:S$1442,Headcount!$J$395:$J$1442,$B105))</f>
        <v>0</v>
      </c>
      <c r="K105" s="136">
        <f>IF(K$12="Actual",SUMIFS(ActualsTable[Month 9],ActualsTable[Expense Item2],$B105),SUMIFS(Expenses!BJ$8:BJ$69,Expenses!$O$8:$O$69,$B105)+SUMIFS(Headcount!T$395:T$1442,Headcount!$J$395:$J$1442,$B105))</f>
        <v>0</v>
      </c>
      <c r="L105" s="136">
        <f>IF(L$12="Actual",SUMIFS(ActualsTable[Month 10],ActualsTable[Expense Item2],$B105),SUMIFS(Expenses!BK$8:BK$69,Expenses!$O$8:$O$69,$B105)+SUMIFS(Headcount!U$395:U$1442,Headcount!$J$395:$J$1442,$B105))</f>
        <v>0</v>
      </c>
      <c r="M105" s="136">
        <f>IF(M$12="Actual",SUMIFS(ActualsTable[Month 11],ActualsTable[Expense Item2],$B105),SUMIFS(Expenses!BL$8:BL$69,Expenses!$O$8:$O$69,$B105)+SUMIFS(Headcount!V$395:V$1442,Headcount!$J$395:$J$1442,$B105))</f>
        <v>0</v>
      </c>
      <c r="N105" s="136">
        <f>IF(N$12="Actual",SUMIFS(ActualsTable[Month 12],ActualsTable[Expense Item2],$B105),SUMIFS(Expenses!BM$8:BM$69,Expenses!$O$8:$O$69,$B105)+SUMIFS(Headcount!W$395:W$1442,Headcount!$J$395:$J$1442,$B105))</f>
        <v>0</v>
      </c>
      <c r="O105" s="136">
        <f>IF(O$12="Actual",SUMIFS(ActualsTable[Month 13],ActualsTable[Expense Item2],$B105),SUMIFS(Expenses!BN$8:BN$69,Expenses!$O$8:$O$69,$B105)+SUMIFS(Headcount!X$395:X$1442,Headcount!$J$395:$J$1442,$B105))</f>
        <v>0</v>
      </c>
      <c r="P105" s="136">
        <f>IF(P$12="Actual",SUMIFS(ActualsTable[Month 14],ActualsTable[Expense Item2],$B105),SUMIFS(Expenses!BO$8:BO$69,Expenses!$O$8:$O$69,$B105)+SUMIFS(Headcount!Y$395:Y$1442,Headcount!$J$395:$J$1442,$B105))</f>
        <v>0</v>
      </c>
      <c r="Q105" s="136">
        <f>IF(Q$12="Actual",SUMIFS(ActualsTable[Month 15],ActualsTable[Expense Item2],$B105),SUMIFS(Expenses!BP$8:BP$69,Expenses!$O$8:$O$69,$B105)+SUMIFS(Headcount!Z$395:Z$1442,Headcount!$J$395:$J$1442,$B105))</f>
        <v>0</v>
      </c>
      <c r="R105" s="136">
        <f>IF(R$12="Actual",SUMIFS(ActualsTable[Month 16],ActualsTable[Expense Item2],$B105),SUMIFS(Expenses!BQ$8:BQ$69,Expenses!$O$8:$O$69,$B105)+SUMIFS(Headcount!AA$395:AA$1442,Headcount!$J$395:$J$1442,$B105))</f>
        <v>0</v>
      </c>
      <c r="S105" s="136">
        <f>IF(S$12="Actual",SUMIFS(ActualsTable[Month 17],ActualsTable[Expense Item2],$B105),SUMIFS(Expenses!BR$8:BR$69,Expenses!$O$8:$O$69,$B105)+SUMIFS(Headcount!AB$395:AB$1442,Headcount!$J$395:$J$1442,$B105))</f>
        <v>0</v>
      </c>
      <c r="T105" s="136">
        <f>IF(T$12="Actual",SUMIFS(ActualsTable[Month 18],ActualsTable[Expense Item2],$B105),SUMIFS(Expenses!BS$8:BS$69,Expenses!$O$8:$O$69,$B105)+SUMIFS(Headcount!AC$395:AC$1442,Headcount!$J$395:$J$1442,$B105))</f>
        <v>0</v>
      </c>
      <c r="U105" s="136">
        <f>IF(U$12="Actual",SUMIFS(ActualsTable[Month 19],ActualsTable[Expense Item2],$B105),SUMIFS(Expenses!BT$8:BT$69,Expenses!$O$8:$O$69,$B105)+SUMIFS(Headcount!AD$395:AD$1442,Headcount!$J$395:$J$1442,$B105))</f>
        <v>0</v>
      </c>
      <c r="V105" s="136">
        <f>IF(V$12="Actual",SUMIFS(ActualsTable[Month 20],ActualsTable[Expense Item2],$B105),SUMIFS(Expenses!BU$8:BU$69,Expenses!$O$8:$O$69,$B105)+SUMIFS(Headcount!AE$395:AE$1442,Headcount!$J$395:$J$1442,$B105))</f>
        <v>0</v>
      </c>
      <c r="W105" s="136">
        <f>IF(W$12="Actual",SUMIFS(ActualsTable[Month 21],ActualsTable[Expense Item2],$B105),SUMIFS(Expenses!BV$8:BV$69,Expenses!$O$8:$O$69,$B105)+SUMIFS(Headcount!AF$395:AF$1442,Headcount!$J$395:$J$1442,$B105))</f>
        <v>0</v>
      </c>
      <c r="X105" s="136">
        <f>IF(X$12="Actual",SUMIFS(ActualsTable[Month 22],ActualsTable[Expense Item2],$B105),SUMIFS(Expenses!BW$8:BW$69,Expenses!$O$8:$O$69,$B105)+SUMIFS(Headcount!AG$395:AG$1442,Headcount!$J$395:$J$1442,$B105))</f>
        <v>0</v>
      </c>
      <c r="Y105" s="136">
        <f>IF(Y$12="Actual",SUMIFS(ActualsTable[Month 23],ActualsTable[Expense Item2],$B105),SUMIFS(Expenses!BX$8:BX$69,Expenses!$O$8:$O$69,$B105)+SUMIFS(Headcount!AH$395:AH$1442,Headcount!$J$395:$J$1442,$B105))</f>
        <v>0</v>
      </c>
      <c r="Z105" s="136">
        <f>IF(Z$12="Actual",SUMIFS(ActualsTable[Month 24],ActualsTable[Expense Item2],$B105),SUMIFS(Expenses!BY$8:BY$69,Expenses!$O$8:$O$69,$B105)+SUMIFS(Headcount!AI$395:AI$1442,Headcount!$J$395:$J$1442,$B105))</f>
        <v>0</v>
      </c>
      <c r="AA105" s="136">
        <f>IF(AA$12="Actual",SUMIFS(ActualsTable[Month 25],ActualsTable[Expense Item2],$B105),SUMIFS(Expenses!BZ$8:BZ$69,Expenses!$O$8:$O$69,$B105)+SUMIFS(Headcount!AJ$395:AJ$1442,Headcount!$J$395:$J$1442,$B105))</f>
        <v>0</v>
      </c>
      <c r="AB105" s="136">
        <f>IF(AB$12="Actual",SUMIFS(ActualsTable[Month 26],ActualsTable[Expense Item2],$B105),SUMIFS(Expenses!CA$8:CA$69,Expenses!$O$8:$O$69,$B105)+SUMIFS(Headcount!AK$395:AK$1442,Headcount!$J$395:$J$1442,$B105))</f>
        <v>0</v>
      </c>
      <c r="AC105" s="136">
        <f>IF(AC$12="Actual",SUMIFS(ActualsTable[Month 27],ActualsTable[Expense Item2],$B105),SUMIFS(Expenses!CB$8:CB$69,Expenses!$O$8:$O$69,$B105)+SUMIFS(Headcount!AL$395:AL$1442,Headcount!$J$395:$J$1442,$B105))</f>
        <v>0</v>
      </c>
      <c r="AD105" s="136">
        <f>IF(AD$12="Actual",SUMIFS(ActualsTable[Month 28],ActualsTable[Expense Item2],$B105),SUMIFS(Expenses!CC$8:CC$69,Expenses!$O$8:$O$69,$B105)+SUMIFS(Headcount!AM$395:AM$1442,Headcount!$J$395:$J$1442,$B105))</f>
        <v>0</v>
      </c>
      <c r="AE105" s="136">
        <f>IF(AE$12="Actual",SUMIFS(ActualsTable[Month 29],ActualsTable[Expense Item2],$B105),SUMIFS(Expenses!CD$8:CD$69,Expenses!$O$8:$O$69,$B105)+SUMIFS(Headcount!AN$395:AN$1442,Headcount!$J$395:$J$1442,$B105))</f>
        <v>0</v>
      </c>
      <c r="AF105" s="136">
        <f>IF(AF$12="Actual",SUMIFS(ActualsTable[Month 30],ActualsTable[Expense Item2],$B105),SUMIFS(Expenses!CE$8:CE$69,Expenses!$O$8:$O$69,$B105)+SUMIFS(Headcount!AO$395:AO$1442,Headcount!$J$395:$J$1442,$B105))</f>
        <v>0</v>
      </c>
      <c r="AG105" s="136">
        <f>IF(AG$12="Actual",SUMIFS(ActualsTable[Month 31],ActualsTable[Expense Item2],$B105),SUMIFS(Expenses!CF$8:CF$69,Expenses!$O$8:$O$69,$B105)+SUMIFS(Headcount!AP$395:AP$1442,Headcount!$J$395:$J$1442,$B105))</f>
        <v>0</v>
      </c>
      <c r="AH105" s="136">
        <f>IF(AH$12="Actual",SUMIFS(ActualsTable[Month 32],ActualsTable[Expense Item2],$B105),SUMIFS(Expenses!CG$8:CG$69,Expenses!$O$8:$O$69,$B105)+SUMIFS(Headcount!AQ$395:AQ$1442,Headcount!$J$395:$J$1442,$B105))</f>
        <v>0</v>
      </c>
      <c r="AI105" s="136">
        <f>IF(AI$12="Actual",SUMIFS(ActualsTable[Month 33],ActualsTable[Expense Item2],$B105),SUMIFS(Expenses!CH$8:CH$69,Expenses!$O$8:$O$69,$B105)+SUMIFS(Headcount!AR$395:AR$1442,Headcount!$J$395:$J$1442,$B105))</f>
        <v>0</v>
      </c>
      <c r="AJ105" s="136">
        <f>IF(AJ$12="Actual",SUMIFS(ActualsTable[Month 34],ActualsTable[Expense Item2],$B105),SUMIFS(Expenses!CI$8:CI$69,Expenses!$O$8:$O$69,$B105)+SUMIFS(Headcount!AS$395:AS$1442,Headcount!$J$395:$J$1442,$B105))</f>
        <v>0</v>
      </c>
      <c r="AK105" s="136">
        <f>IF(AK$12="Actual",SUMIFS(ActualsTable[Month 35],ActualsTable[Expense Item2],$B105),SUMIFS(Expenses!CJ$8:CJ$69,Expenses!$O$8:$O$69,$B105)+SUMIFS(Headcount!AT$395:AT$1442,Headcount!$J$395:$J$1442,$B105))</f>
        <v>0</v>
      </c>
      <c r="AL105" s="294">
        <f>IF(AL$12="Actual",SUMIFS(ActualsTable[Month 36],ActualsTable[Expense Item2],$B105),SUMIFS(Expenses!CK$8:CK$69,Expenses!$O$8:$O$69,$B105)+SUMIFS(Headcount!AU$395:AU$1442,Headcount!$J$395:$J$1442,$B105))</f>
        <v>0</v>
      </c>
      <c r="AN105" s="320">
        <f t="shared" ca="1" si="185"/>
        <v>0</v>
      </c>
      <c r="AO105" s="136">
        <f t="shared" ca="1" si="185"/>
        <v>0</v>
      </c>
      <c r="AP105" s="136">
        <f t="shared" ca="1" si="185"/>
        <v>0</v>
      </c>
      <c r="AQ105" s="136">
        <f t="shared" ca="1" si="185"/>
        <v>0</v>
      </c>
      <c r="AR105" s="136">
        <f t="shared" ca="1" si="185"/>
        <v>0</v>
      </c>
      <c r="AS105" s="136">
        <f t="shared" ca="1" si="185"/>
        <v>0</v>
      </c>
      <c r="AT105" s="136">
        <f t="shared" ca="1" si="185"/>
        <v>0</v>
      </c>
      <c r="AU105" s="136">
        <f t="shared" ca="1" si="185"/>
        <v>0</v>
      </c>
      <c r="AV105" s="136">
        <f t="shared" ca="1" si="185"/>
        <v>0</v>
      </c>
      <c r="AW105" s="136">
        <f t="shared" ca="1" si="185"/>
        <v>0</v>
      </c>
      <c r="AX105" s="136">
        <f t="shared" ca="1" si="185"/>
        <v>0</v>
      </c>
      <c r="AY105" s="294">
        <f t="shared" ca="1" si="185"/>
        <v>0</v>
      </c>
      <c r="BA105" s="320">
        <f t="shared" ca="1" si="186"/>
        <v>0</v>
      </c>
      <c r="BB105" s="136">
        <f t="shared" ca="1" si="186"/>
        <v>0</v>
      </c>
      <c r="BC105" s="294">
        <f t="shared" ca="1" si="186"/>
        <v>0</v>
      </c>
    </row>
    <row r="106" spans="2:55" x14ac:dyDescent="0.35">
      <c r="B106" s="84" t="s">
        <v>139</v>
      </c>
      <c r="C106" s="134">
        <f t="shared" ref="C106" si="187">SUM(C94:C97,C75)</f>
        <v>0</v>
      </c>
      <c r="D106" s="134">
        <f t="shared" ref="D106:AL106" si="188">SUM(D94:D97,D75)</f>
        <v>0</v>
      </c>
      <c r="E106" s="134">
        <f t="shared" si="188"/>
        <v>0</v>
      </c>
      <c r="F106" s="134">
        <f t="shared" si="188"/>
        <v>0</v>
      </c>
      <c r="G106" s="134">
        <f t="shared" si="188"/>
        <v>0</v>
      </c>
      <c r="H106" s="134">
        <f t="shared" si="188"/>
        <v>0</v>
      </c>
      <c r="I106" s="134">
        <f t="shared" si="188"/>
        <v>0</v>
      </c>
      <c r="J106" s="134">
        <f t="shared" si="188"/>
        <v>0</v>
      </c>
      <c r="K106" s="134">
        <f t="shared" si="188"/>
        <v>0</v>
      </c>
      <c r="L106" s="134">
        <f t="shared" si="188"/>
        <v>0</v>
      </c>
      <c r="M106" s="134">
        <f t="shared" si="188"/>
        <v>0</v>
      </c>
      <c r="N106" s="134">
        <f t="shared" si="188"/>
        <v>0</v>
      </c>
      <c r="O106" s="134">
        <f t="shared" si="188"/>
        <v>0</v>
      </c>
      <c r="P106" s="134">
        <f t="shared" si="188"/>
        <v>0</v>
      </c>
      <c r="Q106" s="134">
        <f t="shared" si="188"/>
        <v>0</v>
      </c>
      <c r="R106" s="134">
        <f t="shared" si="188"/>
        <v>0</v>
      </c>
      <c r="S106" s="134">
        <f t="shared" si="188"/>
        <v>0</v>
      </c>
      <c r="T106" s="134">
        <f t="shared" si="188"/>
        <v>0</v>
      </c>
      <c r="U106" s="134">
        <f t="shared" si="188"/>
        <v>0</v>
      </c>
      <c r="V106" s="134">
        <f t="shared" si="188"/>
        <v>0</v>
      </c>
      <c r="W106" s="134">
        <f t="shared" si="188"/>
        <v>0</v>
      </c>
      <c r="X106" s="134">
        <f t="shared" si="188"/>
        <v>0</v>
      </c>
      <c r="Y106" s="134">
        <f t="shared" si="188"/>
        <v>0</v>
      </c>
      <c r="Z106" s="134">
        <f t="shared" si="188"/>
        <v>0</v>
      </c>
      <c r="AA106" s="134">
        <f t="shared" si="188"/>
        <v>0</v>
      </c>
      <c r="AB106" s="134">
        <f t="shared" si="188"/>
        <v>0</v>
      </c>
      <c r="AC106" s="134">
        <f t="shared" si="188"/>
        <v>0</v>
      </c>
      <c r="AD106" s="134">
        <f t="shared" si="188"/>
        <v>0</v>
      </c>
      <c r="AE106" s="134">
        <f t="shared" si="188"/>
        <v>0</v>
      </c>
      <c r="AF106" s="134">
        <f t="shared" si="188"/>
        <v>0</v>
      </c>
      <c r="AG106" s="134">
        <f t="shared" si="188"/>
        <v>0</v>
      </c>
      <c r="AH106" s="134">
        <f t="shared" si="188"/>
        <v>0</v>
      </c>
      <c r="AI106" s="134">
        <f t="shared" si="188"/>
        <v>0</v>
      </c>
      <c r="AJ106" s="134">
        <f t="shared" si="188"/>
        <v>0</v>
      </c>
      <c r="AK106" s="134">
        <f t="shared" si="188"/>
        <v>0</v>
      </c>
      <c r="AL106" s="299">
        <f t="shared" si="188"/>
        <v>0</v>
      </c>
      <c r="AN106" s="325">
        <f t="shared" ref="AN106:AT106" ca="1" si="189">SUM(AN94:AN97,AN75)</f>
        <v>0</v>
      </c>
      <c r="AO106" s="134">
        <f t="shared" ca="1" si="189"/>
        <v>0</v>
      </c>
      <c r="AP106" s="134">
        <f t="shared" ca="1" si="189"/>
        <v>0</v>
      </c>
      <c r="AQ106" s="134">
        <f t="shared" ca="1" si="189"/>
        <v>0</v>
      </c>
      <c r="AR106" s="134">
        <f t="shared" ca="1" si="189"/>
        <v>0</v>
      </c>
      <c r="AS106" s="134">
        <f t="shared" ca="1" si="189"/>
        <v>0</v>
      </c>
      <c r="AT106" s="134">
        <f t="shared" ca="1" si="189"/>
        <v>0</v>
      </c>
      <c r="AU106" s="134">
        <f t="shared" ref="AU106:AY106" ca="1" si="190">SUM(AU94:AU97,AU75)</f>
        <v>0</v>
      </c>
      <c r="AV106" s="134">
        <f t="shared" ca="1" si="190"/>
        <v>0</v>
      </c>
      <c r="AW106" s="134">
        <f t="shared" ca="1" si="190"/>
        <v>0</v>
      </c>
      <c r="AX106" s="134">
        <f t="shared" ca="1" si="190"/>
        <v>0</v>
      </c>
      <c r="AY106" s="299">
        <f t="shared" ca="1" si="190"/>
        <v>0</v>
      </c>
      <c r="BA106" s="325">
        <f t="shared" ref="BA106" ca="1" si="191">SUM(BA94:BA97,BA75)</f>
        <v>0</v>
      </c>
      <c r="BB106" s="134">
        <f t="shared" ref="BB106:BC106" ca="1" si="192">SUM(BB94:BB97,BB75)</f>
        <v>0</v>
      </c>
      <c r="BC106" s="299">
        <f t="shared" ca="1" si="192"/>
        <v>0</v>
      </c>
    </row>
    <row r="107" spans="2:55" x14ac:dyDescent="0.35">
      <c r="B107" s="73"/>
      <c r="C107" s="129"/>
      <c r="D107" s="129"/>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296"/>
      <c r="AN107" s="322"/>
      <c r="AO107" s="129"/>
      <c r="AP107" s="129"/>
      <c r="AQ107" s="129"/>
      <c r="AR107" s="129"/>
      <c r="AS107" s="129"/>
      <c r="AT107" s="129"/>
      <c r="AU107" s="129"/>
      <c r="AV107" s="129"/>
      <c r="AW107" s="129"/>
      <c r="AX107" s="129"/>
      <c r="AY107" s="296"/>
      <c r="BA107" s="322"/>
      <c r="BB107" s="129"/>
      <c r="BC107" s="296"/>
    </row>
    <row r="108" spans="2:55" x14ac:dyDescent="0.35">
      <c r="B108" s="67" t="s">
        <v>140</v>
      </c>
      <c r="C108" s="132"/>
      <c r="D108" s="132"/>
      <c r="E108" s="132"/>
      <c r="F108" s="132"/>
      <c r="G108" s="132"/>
      <c r="H108" s="132"/>
      <c r="I108" s="132"/>
      <c r="J108" s="132"/>
      <c r="K108" s="132"/>
      <c r="L108" s="132"/>
      <c r="M108" s="132"/>
      <c r="N108" s="132"/>
      <c r="O108" s="132"/>
      <c r="P108" s="132"/>
      <c r="Q108" s="132"/>
      <c r="R108" s="132"/>
      <c r="S108" s="132"/>
      <c r="T108" s="132"/>
      <c r="U108" s="132"/>
      <c r="V108" s="132"/>
      <c r="W108" s="132"/>
      <c r="X108" s="132"/>
      <c r="Y108" s="132"/>
      <c r="Z108" s="132"/>
      <c r="AA108" s="132"/>
      <c r="AB108" s="132"/>
      <c r="AC108" s="132"/>
      <c r="AD108" s="132"/>
      <c r="AE108" s="132"/>
      <c r="AF108" s="132"/>
      <c r="AG108" s="132"/>
      <c r="AH108" s="132"/>
      <c r="AI108" s="132"/>
      <c r="AJ108" s="132"/>
      <c r="AK108" s="132"/>
      <c r="AL108" s="290"/>
      <c r="AN108" s="316"/>
      <c r="AO108" s="132"/>
      <c r="AP108" s="132"/>
      <c r="AQ108" s="132"/>
      <c r="AR108" s="132"/>
      <c r="AS108" s="132"/>
      <c r="AT108" s="132"/>
      <c r="AU108" s="132"/>
      <c r="AV108" s="132"/>
      <c r="AW108" s="132"/>
      <c r="AX108" s="132"/>
      <c r="AY108" s="290"/>
      <c r="BA108" s="316"/>
      <c r="BB108" s="132"/>
      <c r="BC108" s="290"/>
    </row>
    <row r="109" spans="2:55" x14ac:dyDescent="0.35">
      <c r="B109" s="81" t="s">
        <v>18</v>
      </c>
      <c r="C109" s="132">
        <f>IF(C$12="Actual",SUMIFS(ActualsTable[Month 1],ActualsTable[Expense Item2],$B109),SUMIFS(Expenses!BB$8:BB$69,Expenses!$O$8:$O$69,$B109)+SUMIFS(Headcount!L$395:L$1442,Headcount!$J$395:$J$1442,$B109))</f>
        <v>0</v>
      </c>
      <c r="D109" s="132">
        <f>IF(D$12="Actual",SUMIFS(ActualsTable[Month 2],ActualsTable[Expense Item2],$B109),SUMIFS(Expenses!BC$8:BC$69,Expenses!$O$8:$O$69,$B109)+SUMIFS(Headcount!M$395:M$1442,Headcount!$J$395:$J$1442,$B109))</f>
        <v>0</v>
      </c>
      <c r="E109" s="132">
        <f>IF(E$12="Actual",SUMIFS(ActualsTable[Month 3],ActualsTable[Expense Item2],$B109),SUMIFS(Expenses!BD$8:BD$69,Expenses!$O$8:$O$69,$B109)+SUMIFS(Headcount!N$395:N$1442,Headcount!$J$395:$J$1442,$B109))</f>
        <v>0</v>
      </c>
      <c r="F109" s="132">
        <f>IF(F$12="Actual",SUMIFS(ActualsTable[Month 4],ActualsTable[Expense Item2],$B109),SUMIFS(Expenses!BE$8:BE$69,Expenses!$O$8:$O$69,$B109)+SUMIFS(Headcount!O$395:O$1442,Headcount!$J$395:$J$1442,$B109))</f>
        <v>0</v>
      </c>
      <c r="G109" s="132">
        <f>IF(G$12="Actual",SUMIFS(ActualsTable[Month 5],ActualsTable[Expense Item2],$B109),SUMIFS(Expenses!BF$8:BF$69,Expenses!$O$8:$O$69,$B109)+SUMIFS(Headcount!P$395:P$1442,Headcount!$J$395:$J$1442,$B109))</f>
        <v>0</v>
      </c>
      <c r="H109" s="132">
        <f>IF(H$12="Actual",SUMIFS(ActualsTable[Month 6],ActualsTable[Expense Item2],$B109),SUMIFS(Expenses!BG$8:BG$69,Expenses!$O$8:$O$69,$B109)+SUMIFS(Headcount!Q$395:Q$1442,Headcount!$J$395:$J$1442,$B109))</f>
        <v>0</v>
      </c>
      <c r="I109" s="132">
        <f>IF(I$12="Actual",SUMIFS(ActualsTable[Month 7],ActualsTable[Expense Item2],$B109),SUMIFS(Expenses!BH$8:BH$69,Expenses!$O$8:$O$69,$B109)+SUMIFS(Headcount!R$395:R$1442,Headcount!$J$395:$J$1442,$B109))</f>
        <v>0</v>
      </c>
      <c r="J109" s="132">
        <f>IF(J$12="Actual",SUMIFS(ActualsTable[Month 8],ActualsTable[Expense Item2],$B109),SUMIFS(Expenses!BI$8:BI$69,Expenses!$O$8:$O$69,$B109)+SUMIFS(Headcount!S$395:S$1442,Headcount!$J$395:$J$1442,$B109))</f>
        <v>0</v>
      </c>
      <c r="K109" s="132">
        <f>IF(K$12="Actual",SUMIFS(ActualsTable[Month 9],ActualsTable[Expense Item2],$B109),SUMIFS(Expenses!BJ$8:BJ$69,Expenses!$O$8:$O$69,$B109)+SUMIFS(Headcount!T$395:T$1442,Headcount!$J$395:$J$1442,$B109))</f>
        <v>0</v>
      </c>
      <c r="L109" s="132">
        <f>IF(L$12="Actual",SUMIFS(ActualsTable[Month 10],ActualsTable[Expense Item2],$B109),SUMIFS(Expenses!BK$8:BK$69,Expenses!$O$8:$O$69,$B109)+SUMIFS(Headcount!U$395:U$1442,Headcount!$J$395:$J$1442,$B109))</f>
        <v>0</v>
      </c>
      <c r="M109" s="132">
        <f>IF(M$12="Actual",SUMIFS(ActualsTable[Month 11],ActualsTable[Expense Item2],$B109),SUMIFS(Expenses!BL$8:BL$69,Expenses!$O$8:$O$69,$B109)+SUMIFS(Headcount!V$395:V$1442,Headcount!$J$395:$J$1442,$B109))</f>
        <v>0</v>
      </c>
      <c r="N109" s="132">
        <f>IF(N$12="Actual",SUMIFS(ActualsTable[Month 12],ActualsTable[Expense Item2],$B109),SUMIFS(Expenses!BM$8:BM$69,Expenses!$O$8:$O$69,$B109)+SUMIFS(Headcount!W$395:W$1442,Headcount!$J$395:$J$1442,$B109))</f>
        <v>0</v>
      </c>
      <c r="O109" s="132">
        <f>IF(O$12="Actual",SUMIFS(ActualsTable[Month 13],ActualsTable[Expense Item2],$B109),SUMIFS(Expenses!BN$8:BN$69,Expenses!$O$8:$O$69,$B109)+SUMIFS(Headcount!X$395:X$1442,Headcount!$J$395:$J$1442,$B109))</f>
        <v>0</v>
      </c>
      <c r="P109" s="132">
        <f>IF(P$12="Actual",SUMIFS(ActualsTable[Month 14],ActualsTable[Expense Item2],$B109),SUMIFS(Expenses!BO$8:BO$69,Expenses!$O$8:$O$69,$B109)+SUMIFS(Headcount!Y$395:Y$1442,Headcount!$J$395:$J$1442,$B109))</f>
        <v>0</v>
      </c>
      <c r="Q109" s="132">
        <f>IF(Q$12="Actual",SUMIFS(ActualsTable[Month 15],ActualsTable[Expense Item2],$B109),SUMIFS(Expenses!BP$8:BP$69,Expenses!$O$8:$O$69,$B109)+SUMIFS(Headcount!Z$395:Z$1442,Headcount!$J$395:$J$1442,$B109))</f>
        <v>0</v>
      </c>
      <c r="R109" s="132">
        <f>IF(R$12="Actual",SUMIFS(ActualsTable[Month 16],ActualsTable[Expense Item2],$B109),SUMIFS(Expenses!BQ$8:BQ$69,Expenses!$O$8:$O$69,$B109)+SUMIFS(Headcount!AA$395:AA$1442,Headcount!$J$395:$J$1442,$B109))</f>
        <v>0</v>
      </c>
      <c r="S109" s="132">
        <f>IF(S$12="Actual",SUMIFS(ActualsTable[Month 17],ActualsTable[Expense Item2],$B109),SUMIFS(Expenses!BR$8:BR$69,Expenses!$O$8:$O$69,$B109)+SUMIFS(Headcount!AB$395:AB$1442,Headcount!$J$395:$J$1442,$B109))</f>
        <v>0</v>
      </c>
      <c r="T109" s="132">
        <f>IF(T$12="Actual",SUMIFS(ActualsTable[Month 18],ActualsTable[Expense Item2],$B109),SUMIFS(Expenses!BS$8:BS$69,Expenses!$O$8:$O$69,$B109)+SUMIFS(Headcount!AC$395:AC$1442,Headcount!$J$395:$J$1442,$B109))</f>
        <v>0</v>
      </c>
      <c r="U109" s="132">
        <f>IF(U$12="Actual",SUMIFS(ActualsTable[Month 19],ActualsTable[Expense Item2],$B109),SUMIFS(Expenses!BT$8:BT$69,Expenses!$O$8:$O$69,$B109)+SUMIFS(Headcount!AD$395:AD$1442,Headcount!$J$395:$J$1442,$B109))</f>
        <v>0</v>
      </c>
      <c r="V109" s="132">
        <f>IF(V$12="Actual",SUMIFS(ActualsTable[Month 20],ActualsTable[Expense Item2],$B109),SUMIFS(Expenses!BU$8:BU$69,Expenses!$O$8:$O$69,$B109)+SUMIFS(Headcount!AE$395:AE$1442,Headcount!$J$395:$J$1442,$B109))</f>
        <v>0</v>
      </c>
      <c r="W109" s="132">
        <f>IF(W$12="Actual",SUMIFS(ActualsTable[Month 21],ActualsTable[Expense Item2],$B109),SUMIFS(Expenses!BV$8:BV$69,Expenses!$O$8:$O$69,$B109)+SUMIFS(Headcount!AF$395:AF$1442,Headcount!$J$395:$J$1442,$B109))</f>
        <v>0</v>
      </c>
      <c r="X109" s="132">
        <f>IF(X$12="Actual",SUMIFS(ActualsTable[Month 22],ActualsTable[Expense Item2],$B109),SUMIFS(Expenses!BW$8:BW$69,Expenses!$O$8:$O$69,$B109)+SUMIFS(Headcount!AG$395:AG$1442,Headcount!$J$395:$J$1442,$B109))</f>
        <v>0</v>
      </c>
      <c r="Y109" s="132">
        <f>IF(Y$12="Actual",SUMIFS(ActualsTable[Month 23],ActualsTable[Expense Item2],$B109),SUMIFS(Expenses!BX$8:BX$69,Expenses!$O$8:$O$69,$B109)+SUMIFS(Headcount!AH$395:AH$1442,Headcount!$J$395:$J$1442,$B109))</f>
        <v>0</v>
      </c>
      <c r="Z109" s="132">
        <f>IF(Z$12="Actual",SUMIFS(ActualsTable[Month 24],ActualsTable[Expense Item2],$B109),SUMIFS(Expenses!BY$8:BY$69,Expenses!$O$8:$O$69,$B109)+SUMIFS(Headcount!AI$395:AI$1442,Headcount!$J$395:$J$1442,$B109))</f>
        <v>0</v>
      </c>
      <c r="AA109" s="132">
        <f>IF(AA$12="Actual",SUMIFS(ActualsTable[Month 25],ActualsTable[Expense Item2],$B109),SUMIFS(Expenses!BZ$8:BZ$69,Expenses!$O$8:$O$69,$B109)+SUMIFS(Headcount!AJ$395:AJ$1442,Headcount!$J$395:$J$1442,$B109))</f>
        <v>0</v>
      </c>
      <c r="AB109" s="132">
        <f>IF(AB$12="Actual",SUMIFS(ActualsTable[Month 26],ActualsTable[Expense Item2],$B109),SUMIFS(Expenses!CA$8:CA$69,Expenses!$O$8:$O$69,$B109)+SUMIFS(Headcount!AK$395:AK$1442,Headcount!$J$395:$J$1442,$B109))</f>
        <v>0</v>
      </c>
      <c r="AC109" s="132">
        <f>IF(AC$12="Actual",SUMIFS(ActualsTable[Month 27],ActualsTable[Expense Item2],$B109),SUMIFS(Expenses!CB$8:CB$69,Expenses!$O$8:$O$69,$B109)+SUMIFS(Headcount!AL$395:AL$1442,Headcount!$J$395:$J$1442,$B109))</f>
        <v>0</v>
      </c>
      <c r="AD109" s="132">
        <f>IF(AD$12="Actual",SUMIFS(ActualsTable[Month 28],ActualsTable[Expense Item2],$B109),SUMIFS(Expenses!CC$8:CC$69,Expenses!$O$8:$O$69,$B109)+SUMIFS(Headcount!AM$395:AM$1442,Headcount!$J$395:$J$1442,$B109))</f>
        <v>0</v>
      </c>
      <c r="AE109" s="132">
        <f>IF(AE$12="Actual",SUMIFS(ActualsTable[Month 29],ActualsTable[Expense Item2],$B109),SUMIFS(Expenses!CD$8:CD$69,Expenses!$O$8:$O$69,$B109)+SUMIFS(Headcount!AN$395:AN$1442,Headcount!$J$395:$J$1442,$B109))</f>
        <v>0</v>
      </c>
      <c r="AF109" s="132">
        <f>IF(AF$12="Actual",SUMIFS(ActualsTable[Month 30],ActualsTable[Expense Item2],$B109),SUMIFS(Expenses!CE$8:CE$69,Expenses!$O$8:$O$69,$B109)+SUMIFS(Headcount!AO$395:AO$1442,Headcount!$J$395:$J$1442,$B109))</f>
        <v>0</v>
      </c>
      <c r="AG109" s="132">
        <f>IF(AG$12="Actual",SUMIFS(ActualsTable[Month 31],ActualsTable[Expense Item2],$B109),SUMIFS(Expenses!CF$8:CF$69,Expenses!$O$8:$O$69,$B109)+SUMIFS(Headcount!AP$395:AP$1442,Headcount!$J$395:$J$1442,$B109))</f>
        <v>0</v>
      </c>
      <c r="AH109" s="132">
        <f>IF(AH$12="Actual",SUMIFS(ActualsTable[Month 32],ActualsTable[Expense Item2],$B109),SUMIFS(Expenses!CG$8:CG$69,Expenses!$O$8:$O$69,$B109)+SUMIFS(Headcount!AQ$395:AQ$1442,Headcount!$J$395:$J$1442,$B109))</f>
        <v>0</v>
      </c>
      <c r="AI109" s="132">
        <f>IF(AI$12="Actual",SUMIFS(ActualsTable[Month 33],ActualsTable[Expense Item2],$B109),SUMIFS(Expenses!CH$8:CH$69,Expenses!$O$8:$O$69,$B109)+SUMIFS(Headcount!AR$395:AR$1442,Headcount!$J$395:$J$1442,$B109))</f>
        <v>0</v>
      </c>
      <c r="AJ109" s="132">
        <f>IF(AJ$12="Actual",SUMIFS(ActualsTable[Month 34],ActualsTable[Expense Item2],$B109),SUMIFS(Expenses!CI$8:CI$69,Expenses!$O$8:$O$69,$B109)+SUMIFS(Headcount!AS$395:AS$1442,Headcount!$J$395:$J$1442,$B109))</f>
        <v>0</v>
      </c>
      <c r="AK109" s="132">
        <f>IF(AK$12="Actual",SUMIFS(ActualsTable[Month 35],ActualsTable[Expense Item2],$B109),SUMIFS(Expenses!CJ$8:CJ$69,Expenses!$O$8:$O$69,$B109)+SUMIFS(Headcount!AT$395:AT$1442,Headcount!$J$395:$J$1442,$B109))</f>
        <v>0</v>
      </c>
      <c r="AL109" s="290">
        <f>IF(AL$12="Actual",SUMIFS(ActualsTable[Month 36],ActualsTable[Expense Item2],$B109),SUMIFS(Expenses!CK$8:CK$69,Expenses!$O$8:$O$69,$B109)+SUMIFS(Headcount!AU$395:AU$1442,Headcount!$J$395:$J$1442,$B109))</f>
        <v>0</v>
      </c>
      <c r="AN109" s="316">
        <f t="shared" ref="AN109:AY109" ca="1" si="193">SUM(OFFSET($B109,0,3*AN$9+1,1,3))</f>
        <v>0</v>
      </c>
      <c r="AO109" s="132">
        <f t="shared" ca="1" si="193"/>
        <v>0</v>
      </c>
      <c r="AP109" s="132">
        <f t="shared" ca="1" si="193"/>
        <v>0</v>
      </c>
      <c r="AQ109" s="132">
        <f t="shared" ca="1" si="193"/>
        <v>0</v>
      </c>
      <c r="AR109" s="132">
        <f t="shared" ca="1" si="193"/>
        <v>0</v>
      </c>
      <c r="AS109" s="132">
        <f t="shared" ca="1" si="193"/>
        <v>0</v>
      </c>
      <c r="AT109" s="132">
        <f t="shared" ca="1" si="193"/>
        <v>0</v>
      </c>
      <c r="AU109" s="132">
        <f t="shared" ca="1" si="193"/>
        <v>0</v>
      </c>
      <c r="AV109" s="132">
        <f t="shared" ca="1" si="193"/>
        <v>0</v>
      </c>
      <c r="AW109" s="132">
        <f t="shared" ca="1" si="193"/>
        <v>0</v>
      </c>
      <c r="AX109" s="132">
        <f t="shared" ca="1" si="193"/>
        <v>0</v>
      </c>
      <c r="AY109" s="290">
        <f t="shared" ca="1" si="193"/>
        <v>0</v>
      </c>
      <c r="BA109" s="316">
        <f ca="1">SUM(OFFSET($B109,0,12*BA$9+1,1,12))</f>
        <v>0</v>
      </c>
      <c r="BB109" s="132">
        <f ca="1">SUM(OFFSET($B109,0,12*BB$9+1,1,12))</f>
        <v>0</v>
      </c>
      <c r="BC109" s="290">
        <f ca="1">SUM(OFFSET($B109,0,12*BC$9+1,1,12))</f>
        <v>0</v>
      </c>
    </row>
    <row r="110" spans="2:55" x14ac:dyDescent="0.35">
      <c r="B110" s="74" t="s">
        <v>141</v>
      </c>
      <c r="C110" s="131">
        <f t="shared" ref="C110:AT110" si="194">SUM(C111,C119)</f>
        <v>0</v>
      </c>
      <c r="D110" s="131">
        <f t="shared" ref="D110:AL110" si="195">SUM(D111,D119)</f>
        <v>0</v>
      </c>
      <c r="E110" s="131">
        <f t="shared" si="195"/>
        <v>0</v>
      </c>
      <c r="F110" s="131">
        <f t="shared" si="195"/>
        <v>0</v>
      </c>
      <c r="G110" s="131">
        <f t="shared" si="195"/>
        <v>0</v>
      </c>
      <c r="H110" s="131">
        <f t="shared" si="195"/>
        <v>0</v>
      </c>
      <c r="I110" s="131">
        <f t="shared" si="195"/>
        <v>0</v>
      </c>
      <c r="J110" s="131">
        <f t="shared" si="195"/>
        <v>0</v>
      </c>
      <c r="K110" s="131">
        <f t="shared" si="195"/>
        <v>0</v>
      </c>
      <c r="L110" s="131">
        <f t="shared" si="195"/>
        <v>0</v>
      </c>
      <c r="M110" s="131">
        <f t="shared" si="195"/>
        <v>0</v>
      </c>
      <c r="N110" s="131">
        <f t="shared" si="195"/>
        <v>0</v>
      </c>
      <c r="O110" s="131">
        <f t="shared" si="195"/>
        <v>0</v>
      </c>
      <c r="P110" s="131">
        <f t="shared" si="195"/>
        <v>0</v>
      </c>
      <c r="Q110" s="131">
        <f t="shared" si="195"/>
        <v>0</v>
      </c>
      <c r="R110" s="131">
        <f t="shared" si="195"/>
        <v>0</v>
      </c>
      <c r="S110" s="131">
        <f t="shared" si="195"/>
        <v>0</v>
      </c>
      <c r="T110" s="131">
        <f t="shared" si="195"/>
        <v>0</v>
      </c>
      <c r="U110" s="131">
        <f t="shared" si="195"/>
        <v>0</v>
      </c>
      <c r="V110" s="131">
        <f t="shared" si="195"/>
        <v>0</v>
      </c>
      <c r="W110" s="131">
        <f t="shared" si="195"/>
        <v>0</v>
      </c>
      <c r="X110" s="131">
        <f t="shared" si="195"/>
        <v>0</v>
      </c>
      <c r="Y110" s="131">
        <f t="shared" si="195"/>
        <v>0</v>
      </c>
      <c r="Z110" s="131">
        <f t="shared" si="195"/>
        <v>0</v>
      </c>
      <c r="AA110" s="131">
        <f t="shared" si="195"/>
        <v>0</v>
      </c>
      <c r="AB110" s="131">
        <f t="shared" si="195"/>
        <v>0</v>
      </c>
      <c r="AC110" s="131">
        <f t="shared" si="195"/>
        <v>0</v>
      </c>
      <c r="AD110" s="131">
        <f t="shared" si="195"/>
        <v>0</v>
      </c>
      <c r="AE110" s="131">
        <f t="shared" si="195"/>
        <v>0</v>
      </c>
      <c r="AF110" s="131">
        <f t="shared" si="195"/>
        <v>0</v>
      </c>
      <c r="AG110" s="131">
        <f t="shared" si="195"/>
        <v>0</v>
      </c>
      <c r="AH110" s="131">
        <f t="shared" si="195"/>
        <v>0</v>
      </c>
      <c r="AI110" s="131">
        <f t="shared" si="195"/>
        <v>0</v>
      </c>
      <c r="AJ110" s="131">
        <f t="shared" si="195"/>
        <v>0</v>
      </c>
      <c r="AK110" s="131">
        <f t="shared" si="195"/>
        <v>0</v>
      </c>
      <c r="AL110" s="291">
        <f t="shared" si="195"/>
        <v>0</v>
      </c>
      <c r="AN110" s="317">
        <f t="shared" ca="1" si="194"/>
        <v>0</v>
      </c>
      <c r="AO110" s="131">
        <f t="shared" ca="1" si="194"/>
        <v>0</v>
      </c>
      <c r="AP110" s="131">
        <f t="shared" ca="1" si="194"/>
        <v>0</v>
      </c>
      <c r="AQ110" s="131">
        <f t="shared" ca="1" si="194"/>
        <v>0</v>
      </c>
      <c r="AR110" s="131">
        <f t="shared" ca="1" si="194"/>
        <v>0</v>
      </c>
      <c r="AS110" s="131">
        <f t="shared" ca="1" si="194"/>
        <v>0</v>
      </c>
      <c r="AT110" s="131">
        <f t="shared" ca="1" si="194"/>
        <v>0</v>
      </c>
      <c r="AU110" s="131">
        <f t="shared" ref="AU110:AY110" ca="1" si="196">SUM(AU111,AU119)</f>
        <v>0</v>
      </c>
      <c r="AV110" s="131">
        <f t="shared" ca="1" si="196"/>
        <v>0</v>
      </c>
      <c r="AW110" s="131">
        <f t="shared" ca="1" si="196"/>
        <v>0</v>
      </c>
      <c r="AX110" s="131">
        <f t="shared" ca="1" si="196"/>
        <v>0</v>
      </c>
      <c r="AY110" s="291">
        <f t="shared" ca="1" si="196"/>
        <v>0</v>
      </c>
      <c r="BA110" s="317">
        <f t="shared" ref="BA110" ca="1" si="197">SUM(BA111,BA119)</f>
        <v>0</v>
      </c>
      <c r="BB110" s="131">
        <f t="shared" ref="BB110:BC110" ca="1" si="198">SUM(BB111,BB119)</f>
        <v>0</v>
      </c>
      <c r="BC110" s="291">
        <f t="shared" ca="1" si="198"/>
        <v>0</v>
      </c>
    </row>
    <row r="111" spans="2:55" x14ac:dyDescent="0.35">
      <c r="B111" s="75" t="s">
        <v>142</v>
      </c>
      <c r="C111" s="131">
        <f t="shared" ref="C111:AN111" si="199">SUM(C112:C118)</f>
        <v>0</v>
      </c>
      <c r="D111" s="131">
        <f t="shared" ref="D111:AL111" si="200">SUM(D112:D118)</f>
        <v>0</v>
      </c>
      <c r="E111" s="131">
        <f t="shared" si="200"/>
        <v>0</v>
      </c>
      <c r="F111" s="131">
        <f t="shared" si="200"/>
        <v>0</v>
      </c>
      <c r="G111" s="131">
        <f t="shared" si="200"/>
        <v>0</v>
      </c>
      <c r="H111" s="131">
        <f t="shared" si="200"/>
        <v>0</v>
      </c>
      <c r="I111" s="131">
        <f t="shared" si="200"/>
        <v>0</v>
      </c>
      <c r="J111" s="131">
        <f t="shared" si="200"/>
        <v>0</v>
      </c>
      <c r="K111" s="131">
        <f t="shared" si="200"/>
        <v>0</v>
      </c>
      <c r="L111" s="131">
        <f t="shared" si="200"/>
        <v>0</v>
      </c>
      <c r="M111" s="131">
        <f t="shared" si="200"/>
        <v>0</v>
      </c>
      <c r="N111" s="131">
        <f t="shared" si="200"/>
        <v>0</v>
      </c>
      <c r="O111" s="131">
        <f t="shared" si="200"/>
        <v>0</v>
      </c>
      <c r="P111" s="131">
        <f t="shared" si="200"/>
        <v>0</v>
      </c>
      <c r="Q111" s="131">
        <f t="shared" si="200"/>
        <v>0</v>
      </c>
      <c r="R111" s="131">
        <f t="shared" si="200"/>
        <v>0</v>
      </c>
      <c r="S111" s="131">
        <f t="shared" si="200"/>
        <v>0</v>
      </c>
      <c r="T111" s="131">
        <f t="shared" si="200"/>
        <v>0</v>
      </c>
      <c r="U111" s="131">
        <f t="shared" si="200"/>
        <v>0</v>
      </c>
      <c r="V111" s="131">
        <f t="shared" si="200"/>
        <v>0</v>
      </c>
      <c r="W111" s="131">
        <f t="shared" si="200"/>
        <v>0</v>
      </c>
      <c r="X111" s="131">
        <f t="shared" si="200"/>
        <v>0</v>
      </c>
      <c r="Y111" s="131">
        <f t="shared" si="200"/>
        <v>0</v>
      </c>
      <c r="Z111" s="131">
        <f t="shared" si="200"/>
        <v>0</v>
      </c>
      <c r="AA111" s="131">
        <f t="shared" si="200"/>
        <v>0</v>
      </c>
      <c r="AB111" s="131">
        <f t="shared" si="200"/>
        <v>0</v>
      </c>
      <c r="AC111" s="131">
        <f t="shared" si="200"/>
        <v>0</v>
      </c>
      <c r="AD111" s="131">
        <f t="shared" si="200"/>
        <v>0</v>
      </c>
      <c r="AE111" s="131">
        <f t="shared" si="200"/>
        <v>0</v>
      </c>
      <c r="AF111" s="131">
        <f t="shared" si="200"/>
        <v>0</v>
      </c>
      <c r="AG111" s="131">
        <f t="shared" si="200"/>
        <v>0</v>
      </c>
      <c r="AH111" s="131">
        <f t="shared" si="200"/>
        <v>0</v>
      </c>
      <c r="AI111" s="131">
        <f t="shared" si="200"/>
        <v>0</v>
      </c>
      <c r="AJ111" s="131">
        <f t="shared" si="200"/>
        <v>0</v>
      </c>
      <c r="AK111" s="131">
        <f t="shared" si="200"/>
        <v>0</v>
      </c>
      <c r="AL111" s="291">
        <f t="shared" si="200"/>
        <v>0</v>
      </c>
      <c r="AN111" s="317">
        <f t="shared" ca="1" si="199"/>
        <v>0</v>
      </c>
      <c r="AO111" s="131">
        <f t="shared" ref="AO111:AT111" ca="1" si="201">SUM(AO112:AO118)</f>
        <v>0</v>
      </c>
      <c r="AP111" s="131">
        <f t="shared" ca="1" si="201"/>
        <v>0</v>
      </c>
      <c r="AQ111" s="131">
        <f t="shared" ca="1" si="201"/>
        <v>0</v>
      </c>
      <c r="AR111" s="131">
        <f t="shared" ca="1" si="201"/>
        <v>0</v>
      </c>
      <c r="AS111" s="131">
        <f t="shared" ca="1" si="201"/>
        <v>0</v>
      </c>
      <c r="AT111" s="131">
        <f t="shared" ca="1" si="201"/>
        <v>0</v>
      </c>
      <c r="AU111" s="131">
        <f t="shared" ref="AU111:AY111" ca="1" si="202">SUM(AU112:AU118)</f>
        <v>0</v>
      </c>
      <c r="AV111" s="131">
        <f t="shared" ca="1" si="202"/>
        <v>0</v>
      </c>
      <c r="AW111" s="131">
        <f t="shared" ca="1" si="202"/>
        <v>0</v>
      </c>
      <c r="AX111" s="131">
        <f t="shared" ca="1" si="202"/>
        <v>0</v>
      </c>
      <c r="AY111" s="291">
        <f t="shared" ca="1" si="202"/>
        <v>0</v>
      </c>
      <c r="BA111" s="317">
        <f t="shared" ref="BA111" ca="1" si="203">SUM(BA112:BA118)</f>
        <v>0</v>
      </c>
      <c r="BB111" s="131">
        <f t="shared" ref="BB111:BC111" ca="1" si="204">SUM(BB112:BB118)</f>
        <v>0</v>
      </c>
      <c r="BC111" s="291">
        <f t="shared" ca="1" si="204"/>
        <v>0</v>
      </c>
    </row>
    <row r="112" spans="2:55" x14ac:dyDescent="0.35">
      <c r="B112" s="76" t="s">
        <v>143</v>
      </c>
      <c r="C112" s="137">
        <f>IF(C$12="Actual",SUMIFS(ActualsTable[Month 1],ActualsTable[Expense Item2],$B112),SUMIFS(Expenses!BB$8:BB$69,Expenses!$O$8:$O$69,$B112)+SUMIFS(Headcount!L$395:L$1442,Headcount!$J$395:$J$1442,$B112))</f>
        <v>0</v>
      </c>
      <c r="D112" s="137">
        <f>IF(D$12="Actual",SUMIFS(ActualsTable[Month 2],ActualsTable[Expense Item2],$B112),SUMIFS(Expenses!BC$8:BC$69,Expenses!$O$8:$O$69,$B112)+SUMIFS(Headcount!M$395:M$1442,Headcount!$J$395:$J$1442,$B112))</f>
        <v>0</v>
      </c>
      <c r="E112" s="137">
        <f>IF(E$12="Actual",SUMIFS(ActualsTable[Month 3],ActualsTable[Expense Item2],$B112),SUMIFS(Expenses!BD$8:BD$69,Expenses!$O$8:$O$69,$B112)+SUMIFS(Headcount!N$395:N$1442,Headcount!$J$395:$J$1442,$B112))</f>
        <v>0</v>
      </c>
      <c r="F112" s="137">
        <f>IF(F$12="Actual",SUMIFS(ActualsTable[Month 4],ActualsTable[Expense Item2],$B112),SUMIFS(Expenses!BE$8:BE$69,Expenses!$O$8:$O$69,$B112)+SUMIFS(Headcount!O$395:O$1442,Headcount!$J$395:$J$1442,$B112))</f>
        <v>0</v>
      </c>
      <c r="G112" s="137">
        <f>IF(G$12="Actual",SUMIFS(ActualsTable[Month 5],ActualsTable[Expense Item2],$B112),SUMIFS(Expenses!BF$8:BF$69,Expenses!$O$8:$O$69,$B112)+SUMIFS(Headcount!P$395:P$1442,Headcount!$J$395:$J$1442,$B112))</f>
        <v>0</v>
      </c>
      <c r="H112" s="137">
        <f>IF(H$12="Actual",SUMIFS(ActualsTable[Month 6],ActualsTable[Expense Item2],$B112),SUMIFS(Expenses!BG$8:BG$69,Expenses!$O$8:$O$69,$B112)+SUMIFS(Headcount!Q$395:Q$1442,Headcount!$J$395:$J$1442,$B112))</f>
        <v>0</v>
      </c>
      <c r="I112" s="137">
        <f>IF(I$12="Actual",SUMIFS(ActualsTable[Month 7],ActualsTable[Expense Item2],$B112),SUMIFS(Expenses!BH$8:BH$69,Expenses!$O$8:$O$69,$B112)+SUMIFS(Headcount!R$395:R$1442,Headcount!$J$395:$J$1442,$B112))</f>
        <v>0</v>
      </c>
      <c r="J112" s="137">
        <f>IF(J$12="Actual",SUMIFS(ActualsTable[Month 8],ActualsTable[Expense Item2],$B112),SUMIFS(Expenses!BI$8:BI$69,Expenses!$O$8:$O$69,$B112)+SUMIFS(Headcount!S$395:S$1442,Headcount!$J$395:$J$1442,$B112))</f>
        <v>0</v>
      </c>
      <c r="K112" s="137">
        <f>IF(K$12="Actual",SUMIFS(ActualsTable[Month 9],ActualsTable[Expense Item2],$B112),SUMIFS(Expenses!BJ$8:BJ$69,Expenses!$O$8:$O$69,$B112)+SUMIFS(Headcount!T$395:T$1442,Headcount!$J$395:$J$1442,$B112))</f>
        <v>0</v>
      </c>
      <c r="L112" s="137">
        <f>IF(L$12="Actual",SUMIFS(ActualsTable[Month 10],ActualsTable[Expense Item2],$B112),SUMIFS(Expenses!BK$8:BK$69,Expenses!$O$8:$O$69,$B112)+SUMIFS(Headcount!U$395:U$1442,Headcount!$J$395:$J$1442,$B112))</f>
        <v>0</v>
      </c>
      <c r="M112" s="137">
        <f>IF(M$12="Actual",SUMIFS(ActualsTable[Month 11],ActualsTable[Expense Item2],$B112),SUMIFS(Expenses!BL$8:BL$69,Expenses!$O$8:$O$69,$B112)+SUMIFS(Headcount!V$395:V$1442,Headcount!$J$395:$J$1442,$B112))</f>
        <v>0</v>
      </c>
      <c r="N112" s="137">
        <f>IF(N$12="Actual",SUMIFS(ActualsTable[Month 12],ActualsTable[Expense Item2],$B112),SUMIFS(Expenses!BM$8:BM$69,Expenses!$O$8:$O$69,$B112)+SUMIFS(Headcount!W$395:W$1442,Headcount!$J$395:$J$1442,$B112))</f>
        <v>0</v>
      </c>
      <c r="O112" s="137">
        <f>IF(O$12="Actual",SUMIFS(ActualsTable[Month 13],ActualsTable[Expense Item2],$B112),SUMIFS(Expenses!BN$8:BN$69,Expenses!$O$8:$O$69,$B112)+SUMIFS(Headcount!X$395:X$1442,Headcount!$J$395:$J$1442,$B112))</f>
        <v>0</v>
      </c>
      <c r="P112" s="137">
        <f>IF(P$12="Actual",SUMIFS(ActualsTable[Month 14],ActualsTable[Expense Item2],$B112),SUMIFS(Expenses!BO$8:BO$69,Expenses!$O$8:$O$69,$B112)+SUMIFS(Headcount!Y$395:Y$1442,Headcount!$J$395:$J$1442,$B112))</f>
        <v>0</v>
      </c>
      <c r="Q112" s="137">
        <f>IF(Q$12="Actual",SUMIFS(ActualsTable[Month 15],ActualsTable[Expense Item2],$B112),SUMIFS(Expenses!BP$8:BP$69,Expenses!$O$8:$O$69,$B112)+SUMIFS(Headcount!Z$395:Z$1442,Headcount!$J$395:$J$1442,$B112))</f>
        <v>0</v>
      </c>
      <c r="R112" s="137">
        <f>IF(R$12="Actual",SUMIFS(ActualsTable[Month 16],ActualsTable[Expense Item2],$B112),SUMIFS(Expenses!BQ$8:BQ$69,Expenses!$O$8:$O$69,$B112)+SUMIFS(Headcount!AA$395:AA$1442,Headcount!$J$395:$J$1442,$B112))</f>
        <v>0</v>
      </c>
      <c r="S112" s="137">
        <f>IF(S$12="Actual",SUMIFS(ActualsTable[Month 17],ActualsTable[Expense Item2],$B112),SUMIFS(Expenses!BR$8:BR$69,Expenses!$O$8:$O$69,$B112)+SUMIFS(Headcount!AB$395:AB$1442,Headcount!$J$395:$J$1442,$B112))</f>
        <v>0</v>
      </c>
      <c r="T112" s="137">
        <f>IF(T$12="Actual",SUMIFS(ActualsTable[Month 18],ActualsTable[Expense Item2],$B112),SUMIFS(Expenses!BS$8:BS$69,Expenses!$O$8:$O$69,$B112)+SUMIFS(Headcount!AC$395:AC$1442,Headcount!$J$395:$J$1442,$B112))</f>
        <v>0</v>
      </c>
      <c r="U112" s="137">
        <f>IF(U$12="Actual",SUMIFS(ActualsTable[Month 19],ActualsTable[Expense Item2],$B112),SUMIFS(Expenses!BT$8:BT$69,Expenses!$O$8:$O$69,$B112)+SUMIFS(Headcount!AD$395:AD$1442,Headcount!$J$395:$J$1442,$B112))</f>
        <v>0</v>
      </c>
      <c r="V112" s="137">
        <f>IF(V$12="Actual",SUMIFS(ActualsTable[Month 20],ActualsTable[Expense Item2],$B112),SUMIFS(Expenses!BU$8:BU$69,Expenses!$O$8:$O$69,$B112)+SUMIFS(Headcount!AE$395:AE$1442,Headcount!$J$395:$J$1442,$B112))</f>
        <v>0</v>
      </c>
      <c r="W112" s="137">
        <f>IF(W$12="Actual",SUMIFS(ActualsTable[Month 21],ActualsTable[Expense Item2],$B112),SUMIFS(Expenses!BV$8:BV$69,Expenses!$O$8:$O$69,$B112)+SUMIFS(Headcount!AF$395:AF$1442,Headcount!$J$395:$J$1442,$B112))</f>
        <v>0</v>
      </c>
      <c r="X112" s="137">
        <f>IF(X$12="Actual",SUMIFS(ActualsTable[Month 22],ActualsTable[Expense Item2],$B112),SUMIFS(Expenses!BW$8:BW$69,Expenses!$O$8:$O$69,$B112)+SUMIFS(Headcount!AG$395:AG$1442,Headcount!$J$395:$J$1442,$B112))</f>
        <v>0</v>
      </c>
      <c r="Y112" s="137">
        <f>IF(Y$12="Actual",SUMIFS(ActualsTable[Month 23],ActualsTable[Expense Item2],$B112),SUMIFS(Expenses!BX$8:BX$69,Expenses!$O$8:$O$69,$B112)+SUMIFS(Headcount!AH$395:AH$1442,Headcount!$J$395:$J$1442,$B112))</f>
        <v>0</v>
      </c>
      <c r="Z112" s="137">
        <f>IF(Z$12="Actual",SUMIFS(ActualsTable[Month 24],ActualsTable[Expense Item2],$B112),SUMIFS(Expenses!BY$8:BY$69,Expenses!$O$8:$O$69,$B112)+SUMIFS(Headcount!AI$395:AI$1442,Headcount!$J$395:$J$1442,$B112))</f>
        <v>0</v>
      </c>
      <c r="AA112" s="137">
        <f>IF(AA$12="Actual",SUMIFS(ActualsTable[Month 25],ActualsTable[Expense Item2],$B112),SUMIFS(Expenses!BZ$8:BZ$69,Expenses!$O$8:$O$69,$B112)+SUMIFS(Headcount!AJ$395:AJ$1442,Headcount!$J$395:$J$1442,$B112))</f>
        <v>0</v>
      </c>
      <c r="AB112" s="137">
        <f>IF(AB$12="Actual",SUMIFS(ActualsTable[Month 26],ActualsTable[Expense Item2],$B112),SUMIFS(Expenses!CA$8:CA$69,Expenses!$O$8:$O$69,$B112)+SUMIFS(Headcount!AK$395:AK$1442,Headcount!$J$395:$J$1442,$B112))</f>
        <v>0</v>
      </c>
      <c r="AC112" s="137">
        <f>IF(AC$12="Actual",SUMIFS(ActualsTable[Month 27],ActualsTable[Expense Item2],$B112),SUMIFS(Expenses!CB$8:CB$69,Expenses!$O$8:$O$69,$B112)+SUMIFS(Headcount!AL$395:AL$1442,Headcount!$J$395:$J$1442,$B112))</f>
        <v>0</v>
      </c>
      <c r="AD112" s="137">
        <f>IF(AD$12="Actual",SUMIFS(ActualsTable[Month 28],ActualsTable[Expense Item2],$B112),SUMIFS(Expenses!CC$8:CC$69,Expenses!$O$8:$O$69,$B112)+SUMIFS(Headcount!AM$395:AM$1442,Headcount!$J$395:$J$1442,$B112))</f>
        <v>0</v>
      </c>
      <c r="AE112" s="137">
        <f>IF(AE$12="Actual",SUMIFS(ActualsTable[Month 29],ActualsTable[Expense Item2],$B112),SUMIFS(Expenses!CD$8:CD$69,Expenses!$O$8:$O$69,$B112)+SUMIFS(Headcount!AN$395:AN$1442,Headcount!$J$395:$J$1442,$B112))</f>
        <v>0</v>
      </c>
      <c r="AF112" s="137">
        <f>IF(AF$12="Actual",SUMIFS(ActualsTable[Month 30],ActualsTable[Expense Item2],$B112),SUMIFS(Expenses!CE$8:CE$69,Expenses!$O$8:$O$69,$B112)+SUMIFS(Headcount!AO$395:AO$1442,Headcount!$J$395:$J$1442,$B112))</f>
        <v>0</v>
      </c>
      <c r="AG112" s="137">
        <f>IF(AG$12="Actual",SUMIFS(ActualsTable[Month 31],ActualsTable[Expense Item2],$B112),SUMIFS(Expenses!CF$8:CF$69,Expenses!$O$8:$O$69,$B112)+SUMIFS(Headcount!AP$395:AP$1442,Headcount!$J$395:$J$1442,$B112))</f>
        <v>0</v>
      </c>
      <c r="AH112" s="137">
        <f>IF(AH$12="Actual",SUMIFS(ActualsTable[Month 32],ActualsTable[Expense Item2],$B112),SUMIFS(Expenses!CG$8:CG$69,Expenses!$O$8:$O$69,$B112)+SUMIFS(Headcount!AQ$395:AQ$1442,Headcount!$J$395:$J$1442,$B112))</f>
        <v>0</v>
      </c>
      <c r="AI112" s="137">
        <f>IF(AI$12="Actual",SUMIFS(ActualsTable[Month 33],ActualsTable[Expense Item2],$B112),SUMIFS(Expenses!CH$8:CH$69,Expenses!$O$8:$O$69,$B112)+SUMIFS(Headcount!AR$395:AR$1442,Headcount!$J$395:$J$1442,$B112))</f>
        <v>0</v>
      </c>
      <c r="AJ112" s="137">
        <f>IF(AJ$12="Actual",SUMIFS(ActualsTable[Month 34],ActualsTable[Expense Item2],$B112),SUMIFS(Expenses!CI$8:CI$69,Expenses!$O$8:$O$69,$B112)+SUMIFS(Headcount!AS$395:AS$1442,Headcount!$J$395:$J$1442,$B112))</f>
        <v>0</v>
      </c>
      <c r="AK112" s="137">
        <f>IF(AK$12="Actual",SUMIFS(ActualsTable[Month 35],ActualsTable[Expense Item2],$B112),SUMIFS(Expenses!CJ$8:CJ$69,Expenses!$O$8:$O$69,$B112)+SUMIFS(Headcount!AT$395:AT$1442,Headcount!$J$395:$J$1442,$B112))</f>
        <v>0</v>
      </c>
      <c r="AL112" s="293">
        <f>IF(AL$12="Actual",SUMIFS(ActualsTable[Month 36],ActualsTable[Expense Item2],$B112),SUMIFS(Expenses!CK$8:CK$69,Expenses!$O$8:$O$69,$B112)+SUMIFS(Headcount!AU$395:AU$1442,Headcount!$J$395:$J$1442,$B112))</f>
        <v>0</v>
      </c>
      <c r="AN112" s="319">
        <f t="shared" ref="AN112:AY118" ca="1" si="205">SUM(OFFSET($B112,0,3*AN$9+1,1,3))</f>
        <v>0</v>
      </c>
      <c r="AO112" s="137">
        <f t="shared" ca="1" si="205"/>
        <v>0</v>
      </c>
      <c r="AP112" s="137">
        <f t="shared" ca="1" si="205"/>
        <v>0</v>
      </c>
      <c r="AQ112" s="137">
        <f t="shared" ca="1" si="205"/>
        <v>0</v>
      </c>
      <c r="AR112" s="137">
        <f t="shared" ca="1" si="205"/>
        <v>0</v>
      </c>
      <c r="AS112" s="137">
        <f t="shared" ca="1" si="205"/>
        <v>0</v>
      </c>
      <c r="AT112" s="137">
        <f t="shared" ca="1" si="205"/>
        <v>0</v>
      </c>
      <c r="AU112" s="137">
        <f t="shared" ca="1" si="205"/>
        <v>0</v>
      </c>
      <c r="AV112" s="137">
        <f t="shared" ca="1" si="205"/>
        <v>0</v>
      </c>
      <c r="AW112" s="137">
        <f t="shared" ca="1" si="205"/>
        <v>0</v>
      </c>
      <c r="AX112" s="137">
        <f t="shared" ca="1" si="205"/>
        <v>0</v>
      </c>
      <c r="AY112" s="293">
        <f t="shared" ca="1" si="205"/>
        <v>0</v>
      </c>
      <c r="BA112" s="319">
        <f t="shared" ref="BA112:BC118" ca="1" si="206">SUM(OFFSET($B112,0,12*BA$9+1,1,12))</f>
        <v>0</v>
      </c>
      <c r="BB112" s="137">
        <f t="shared" ca="1" si="206"/>
        <v>0</v>
      </c>
      <c r="BC112" s="293">
        <f t="shared" ca="1" si="206"/>
        <v>0</v>
      </c>
    </row>
    <row r="113" spans="2:55" x14ac:dyDescent="0.35">
      <c r="B113" s="76" t="s">
        <v>144</v>
      </c>
      <c r="C113" s="137">
        <f>IF(C$12="Actual",SUMIFS(ActualsTable[Month 1],ActualsTable[Expense Item2],$B113),SUMIFS(Expenses!BB$8:BB$69,Expenses!$O$8:$O$69,$B113)+SUMIFS(Headcount!L$395:L$1442,Headcount!$J$395:$J$1442,$B113))</f>
        <v>0</v>
      </c>
      <c r="D113" s="137">
        <f>IF(D$12="Actual",SUMIFS(ActualsTable[Month 2],ActualsTable[Expense Item2],$B113),SUMIFS(Expenses!BC$8:BC$69,Expenses!$O$8:$O$69,$B113)+SUMIFS(Headcount!M$395:M$1442,Headcount!$J$395:$J$1442,$B113))</f>
        <v>0</v>
      </c>
      <c r="E113" s="137">
        <f>IF(E$12="Actual",SUMIFS(ActualsTable[Month 3],ActualsTable[Expense Item2],$B113),SUMIFS(Expenses!BD$8:BD$69,Expenses!$O$8:$O$69,$B113)+SUMIFS(Headcount!N$395:N$1442,Headcount!$J$395:$J$1442,$B113))</f>
        <v>0</v>
      </c>
      <c r="F113" s="137">
        <f>IF(F$12="Actual",SUMIFS(ActualsTable[Month 4],ActualsTable[Expense Item2],$B113),SUMIFS(Expenses!BE$8:BE$69,Expenses!$O$8:$O$69,$B113)+SUMIFS(Headcount!O$395:O$1442,Headcount!$J$395:$J$1442,$B113))</f>
        <v>0</v>
      </c>
      <c r="G113" s="137">
        <f>IF(G$12="Actual",SUMIFS(ActualsTable[Month 5],ActualsTable[Expense Item2],$B113),SUMIFS(Expenses!BF$8:BF$69,Expenses!$O$8:$O$69,$B113)+SUMIFS(Headcount!P$395:P$1442,Headcount!$J$395:$J$1442,$B113))</f>
        <v>0</v>
      </c>
      <c r="H113" s="137">
        <f>IF(H$12="Actual",SUMIFS(ActualsTable[Month 6],ActualsTable[Expense Item2],$B113),SUMIFS(Expenses!BG$8:BG$69,Expenses!$O$8:$O$69,$B113)+SUMIFS(Headcount!Q$395:Q$1442,Headcount!$J$395:$J$1442,$B113))</f>
        <v>0</v>
      </c>
      <c r="I113" s="137">
        <f>IF(I$12="Actual",SUMIFS(ActualsTable[Month 7],ActualsTable[Expense Item2],$B113),SUMIFS(Expenses!BH$8:BH$69,Expenses!$O$8:$O$69,$B113)+SUMIFS(Headcount!R$395:R$1442,Headcount!$J$395:$J$1442,$B113))</f>
        <v>0</v>
      </c>
      <c r="J113" s="137">
        <f>IF(J$12="Actual",SUMIFS(ActualsTable[Month 8],ActualsTable[Expense Item2],$B113),SUMIFS(Expenses!BI$8:BI$69,Expenses!$O$8:$O$69,$B113)+SUMIFS(Headcount!S$395:S$1442,Headcount!$J$395:$J$1442,$B113))</f>
        <v>0</v>
      </c>
      <c r="K113" s="137">
        <f>IF(K$12="Actual",SUMIFS(ActualsTable[Month 9],ActualsTable[Expense Item2],$B113),SUMIFS(Expenses!BJ$8:BJ$69,Expenses!$O$8:$O$69,$B113)+SUMIFS(Headcount!T$395:T$1442,Headcount!$J$395:$J$1442,$B113))</f>
        <v>0</v>
      </c>
      <c r="L113" s="137">
        <f>IF(L$12="Actual",SUMIFS(ActualsTable[Month 10],ActualsTable[Expense Item2],$B113),SUMIFS(Expenses!BK$8:BK$69,Expenses!$O$8:$O$69,$B113)+SUMIFS(Headcount!U$395:U$1442,Headcount!$J$395:$J$1442,$B113))</f>
        <v>0</v>
      </c>
      <c r="M113" s="137">
        <f>IF(M$12="Actual",SUMIFS(ActualsTable[Month 11],ActualsTable[Expense Item2],$B113),SUMIFS(Expenses!BL$8:BL$69,Expenses!$O$8:$O$69,$B113)+SUMIFS(Headcount!V$395:V$1442,Headcount!$J$395:$J$1442,$B113))</f>
        <v>0</v>
      </c>
      <c r="N113" s="137">
        <f>IF(N$12="Actual",SUMIFS(ActualsTable[Month 12],ActualsTable[Expense Item2],$B113),SUMIFS(Expenses!BM$8:BM$69,Expenses!$O$8:$O$69,$B113)+SUMIFS(Headcount!W$395:W$1442,Headcount!$J$395:$J$1442,$B113))</f>
        <v>0</v>
      </c>
      <c r="O113" s="137">
        <f>IF(O$12="Actual",SUMIFS(ActualsTable[Month 13],ActualsTable[Expense Item2],$B113),SUMIFS(Expenses!BN$8:BN$69,Expenses!$O$8:$O$69,$B113)+SUMIFS(Headcount!X$395:X$1442,Headcount!$J$395:$J$1442,$B113))</f>
        <v>0</v>
      </c>
      <c r="P113" s="137">
        <f>IF(P$12="Actual",SUMIFS(ActualsTable[Month 14],ActualsTable[Expense Item2],$B113),SUMIFS(Expenses!BO$8:BO$69,Expenses!$O$8:$O$69,$B113)+SUMIFS(Headcount!Y$395:Y$1442,Headcount!$J$395:$J$1442,$B113))</f>
        <v>0</v>
      </c>
      <c r="Q113" s="137">
        <f>IF(Q$12="Actual",SUMIFS(ActualsTable[Month 15],ActualsTable[Expense Item2],$B113),SUMIFS(Expenses!BP$8:BP$69,Expenses!$O$8:$O$69,$B113)+SUMIFS(Headcount!Z$395:Z$1442,Headcount!$J$395:$J$1442,$B113))</f>
        <v>0</v>
      </c>
      <c r="R113" s="137">
        <f>IF(R$12="Actual",SUMIFS(ActualsTable[Month 16],ActualsTable[Expense Item2],$B113),SUMIFS(Expenses!BQ$8:BQ$69,Expenses!$O$8:$O$69,$B113)+SUMIFS(Headcount!AA$395:AA$1442,Headcount!$J$395:$J$1442,$B113))</f>
        <v>0</v>
      </c>
      <c r="S113" s="137">
        <f>IF(S$12="Actual",SUMIFS(ActualsTable[Month 17],ActualsTable[Expense Item2],$B113),SUMIFS(Expenses!BR$8:BR$69,Expenses!$O$8:$O$69,$B113)+SUMIFS(Headcount!AB$395:AB$1442,Headcount!$J$395:$J$1442,$B113))</f>
        <v>0</v>
      </c>
      <c r="T113" s="137">
        <f>IF(T$12="Actual",SUMIFS(ActualsTable[Month 18],ActualsTable[Expense Item2],$B113),SUMIFS(Expenses!BS$8:BS$69,Expenses!$O$8:$O$69,$B113)+SUMIFS(Headcount!AC$395:AC$1442,Headcount!$J$395:$J$1442,$B113))</f>
        <v>0</v>
      </c>
      <c r="U113" s="137">
        <f>IF(U$12="Actual",SUMIFS(ActualsTable[Month 19],ActualsTable[Expense Item2],$B113),SUMIFS(Expenses!BT$8:BT$69,Expenses!$O$8:$O$69,$B113)+SUMIFS(Headcount!AD$395:AD$1442,Headcount!$J$395:$J$1442,$B113))</f>
        <v>0</v>
      </c>
      <c r="V113" s="137">
        <f>IF(V$12="Actual",SUMIFS(ActualsTable[Month 20],ActualsTable[Expense Item2],$B113),SUMIFS(Expenses!BU$8:BU$69,Expenses!$O$8:$O$69,$B113)+SUMIFS(Headcount!AE$395:AE$1442,Headcount!$J$395:$J$1442,$B113))</f>
        <v>0</v>
      </c>
      <c r="W113" s="137">
        <f>IF(W$12="Actual",SUMIFS(ActualsTable[Month 21],ActualsTable[Expense Item2],$B113),SUMIFS(Expenses!BV$8:BV$69,Expenses!$O$8:$O$69,$B113)+SUMIFS(Headcount!AF$395:AF$1442,Headcount!$J$395:$J$1442,$B113))</f>
        <v>0</v>
      </c>
      <c r="X113" s="137">
        <f>IF(X$12="Actual",SUMIFS(ActualsTable[Month 22],ActualsTable[Expense Item2],$B113),SUMIFS(Expenses!BW$8:BW$69,Expenses!$O$8:$O$69,$B113)+SUMIFS(Headcount!AG$395:AG$1442,Headcount!$J$395:$J$1442,$B113))</f>
        <v>0</v>
      </c>
      <c r="Y113" s="137">
        <f>IF(Y$12="Actual",SUMIFS(ActualsTable[Month 23],ActualsTable[Expense Item2],$B113),SUMIFS(Expenses!BX$8:BX$69,Expenses!$O$8:$O$69,$B113)+SUMIFS(Headcount!AH$395:AH$1442,Headcount!$J$395:$J$1442,$B113))</f>
        <v>0</v>
      </c>
      <c r="Z113" s="137">
        <f>IF(Z$12="Actual",SUMIFS(ActualsTable[Month 24],ActualsTable[Expense Item2],$B113),SUMIFS(Expenses!BY$8:BY$69,Expenses!$O$8:$O$69,$B113)+SUMIFS(Headcount!AI$395:AI$1442,Headcount!$J$395:$J$1442,$B113))</f>
        <v>0</v>
      </c>
      <c r="AA113" s="137">
        <f>IF(AA$12="Actual",SUMIFS(ActualsTable[Month 25],ActualsTable[Expense Item2],$B113),SUMIFS(Expenses!BZ$8:BZ$69,Expenses!$O$8:$O$69,$B113)+SUMIFS(Headcount!AJ$395:AJ$1442,Headcount!$J$395:$J$1442,$B113))</f>
        <v>0</v>
      </c>
      <c r="AB113" s="137">
        <f>IF(AB$12="Actual",SUMIFS(ActualsTable[Month 26],ActualsTable[Expense Item2],$B113),SUMIFS(Expenses!CA$8:CA$69,Expenses!$O$8:$O$69,$B113)+SUMIFS(Headcount!AK$395:AK$1442,Headcount!$J$395:$J$1442,$B113))</f>
        <v>0</v>
      </c>
      <c r="AC113" s="137">
        <f>IF(AC$12="Actual",SUMIFS(ActualsTable[Month 27],ActualsTable[Expense Item2],$B113),SUMIFS(Expenses!CB$8:CB$69,Expenses!$O$8:$O$69,$B113)+SUMIFS(Headcount!AL$395:AL$1442,Headcount!$J$395:$J$1442,$B113))</f>
        <v>0</v>
      </c>
      <c r="AD113" s="137">
        <f>IF(AD$12="Actual",SUMIFS(ActualsTable[Month 28],ActualsTable[Expense Item2],$B113),SUMIFS(Expenses!CC$8:CC$69,Expenses!$O$8:$O$69,$B113)+SUMIFS(Headcount!AM$395:AM$1442,Headcount!$J$395:$J$1442,$B113))</f>
        <v>0</v>
      </c>
      <c r="AE113" s="137">
        <f>IF(AE$12="Actual",SUMIFS(ActualsTable[Month 29],ActualsTable[Expense Item2],$B113),SUMIFS(Expenses!CD$8:CD$69,Expenses!$O$8:$O$69,$B113)+SUMIFS(Headcount!AN$395:AN$1442,Headcount!$J$395:$J$1442,$B113))</f>
        <v>0</v>
      </c>
      <c r="AF113" s="137">
        <f>IF(AF$12="Actual",SUMIFS(ActualsTable[Month 30],ActualsTable[Expense Item2],$B113),SUMIFS(Expenses!CE$8:CE$69,Expenses!$O$8:$O$69,$B113)+SUMIFS(Headcount!AO$395:AO$1442,Headcount!$J$395:$J$1442,$B113))</f>
        <v>0</v>
      </c>
      <c r="AG113" s="137">
        <f>IF(AG$12="Actual",SUMIFS(ActualsTable[Month 31],ActualsTable[Expense Item2],$B113),SUMIFS(Expenses!CF$8:CF$69,Expenses!$O$8:$O$69,$B113)+SUMIFS(Headcount!AP$395:AP$1442,Headcount!$J$395:$J$1442,$B113))</f>
        <v>0</v>
      </c>
      <c r="AH113" s="137">
        <f>IF(AH$12="Actual",SUMIFS(ActualsTable[Month 32],ActualsTable[Expense Item2],$B113),SUMIFS(Expenses!CG$8:CG$69,Expenses!$O$8:$O$69,$B113)+SUMIFS(Headcount!AQ$395:AQ$1442,Headcount!$J$395:$J$1442,$B113))</f>
        <v>0</v>
      </c>
      <c r="AI113" s="137">
        <f>IF(AI$12="Actual",SUMIFS(ActualsTable[Month 33],ActualsTable[Expense Item2],$B113),SUMIFS(Expenses!CH$8:CH$69,Expenses!$O$8:$O$69,$B113)+SUMIFS(Headcount!AR$395:AR$1442,Headcount!$J$395:$J$1442,$B113))</f>
        <v>0</v>
      </c>
      <c r="AJ113" s="137">
        <f>IF(AJ$12="Actual",SUMIFS(ActualsTable[Month 34],ActualsTable[Expense Item2],$B113),SUMIFS(Expenses!CI$8:CI$69,Expenses!$O$8:$O$69,$B113)+SUMIFS(Headcount!AS$395:AS$1442,Headcount!$J$395:$J$1442,$B113))</f>
        <v>0</v>
      </c>
      <c r="AK113" s="137">
        <f>IF(AK$12="Actual",SUMIFS(ActualsTable[Month 35],ActualsTable[Expense Item2],$B113),SUMIFS(Expenses!CJ$8:CJ$69,Expenses!$O$8:$O$69,$B113)+SUMIFS(Headcount!AT$395:AT$1442,Headcount!$J$395:$J$1442,$B113))</f>
        <v>0</v>
      </c>
      <c r="AL113" s="293">
        <f>IF(AL$12="Actual",SUMIFS(ActualsTable[Month 36],ActualsTable[Expense Item2],$B113),SUMIFS(Expenses!CK$8:CK$69,Expenses!$O$8:$O$69,$B113)+SUMIFS(Headcount!AU$395:AU$1442,Headcount!$J$395:$J$1442,$B113))</f>
        <v>0</v>
      </c>
      <c r="AN113" s="319">
        <f t="shared" ca="1" si="205"/>
        <v>0</v>
      </c>
      <c r="AO113" s="137">
        <f t="shared" ca="1" si="205"/>
        <v>0</v>
      </c>
      <c r="AP113" s="137">
        <f t="shared" ca="1" si="205"/>
        <v>0</v>
      </c>
      <c r="AQ113" s="137">
        <f t="shared" ca="1" si="205"/>
        <v>0</v>
      </c>
      <c r="AR113" s="137">
        <f t="shared" ca="1" si="205"/>
        <v>0</v>
      </c>
      <c r="AS113" s="137">
        <f t="shared" ca="1" si="205"/>
        <v>0</v>
      </c>
      <c r="AT113" s="137">
        <f t="shared" ca="1" si="205"/>
        <v>0</v>
      </c>
      <c r="AU113" s="137">
        <f t="shared" ca="1" si="205"/>
        <v>0</v>
      </c>
      <c r="AV113" s="137">
        <f t="shared" ca="1" si="205"/>
        <v>0</v>
      </c>
      <c r="AW113" s="137">
        <f t="shared" ca="1" si="205"/>
        <v>0</v>
      </c>
      <c r="AX113" s="137">
        <f t="shared" ca="1" si="205"/>
        <v>0</v>
      </c>
      <c r="AY113" s="293">
        <f t="shared" ca="1" si="205"/>
        <v>0</v>
      </c>
      <c r="BA113" s="319">
        <f t="shared" ca="1" si="206"/>
        <v>0</v>
      </c>
      <c r="BB113" s="137">
        <f t="shared" ca="1" si="206"/>
        <v>0</v>
      </c>
      <c r="BC113" s="293">
        <f t="shared" ca="1" si="206"/>
        <v>0</v>
      </c>
    </row>
    <row r="114" spans="2:55" x14ac:dyDescent="0.35">
      <c r="B114" s="76" t="s">
        <v>145</v>
      </c>
      <c r="C114" s="137">
        <f>IF(C$12="Actual",SUMIFS(ActualsTable[Month 1],ActualsTable[Expense Item2],$B114),SUMIFS(Expenses!BB$8:BB$69,Expenses!$O$8:$O$69,$B114)+SUMIFS(Headcount!L$395:L$1442,Headcount!$J$395:$J$1442,$B114))</f>
        <v>0</v>
      </c>
      <c r="D114" s="137">
        <f>IF(D$12="Actual",SUMIFS(ActualsTable[Month 2],ActualsTable[Expense Item2],$B114),SUMIFS(Expenses!BC$8:BC$69,Expenses!$O$8:$O$69,$B114)+SUMIFS(Headcount!M$395:M$1442,Headcount!$J$395:$J$1442,$B114))</f>
        <v>0</v>
      </c>
      <c r="E114" s="137">
        <f>IF(E$12="Actual",SUMIFS(ActualsTable[Month 3],ActualsTable[Expense Item2],$B114),SUMIFS(Expenses!BD$8:BD$69,Expenses!$O$8:$O$69,$B114)+SUMIFS(Headcount!N$395:N$1442,Headcount!$J$395:$J$1442,$B114))</f>
        <v>0</v>
      </c>
      <c r="F114" s="137">
        <f>IF(F$12="Actual",SUMIFS(ActualsTable[Month 4],ActualsTable[Expense Item2],$B114),SUMIFS(Expenses!BE$8:BE$69,Expenses!$O$8:$O$69,$B114)+SUMIFS(Headcount!O$395:O$1442,Headcount!$J$395:$J$1442,$B114))</f>
        <v>0</v>
      </c>
      <c r="G114" s="137">
        <f>IF(G$12="Actual",SUMIFS(ActualsTable[Month 5],ActualsTable[Expense Item2],$B114),SUMIFS(Expenses!BF$8:BF$69,Expenses!$O$8:$O$69,$B114)+SUMIFS(Headcount!P$395:P$1442,Headcount!$J$395:$J$1442,$B114))</f>
        <v>0</v>
      </c>
      <c r="H114" s="137">
        <f>IF(H$12="Actual",SUMIFS(ActualsTable[Month 6],ActualsTable[Expense Item2],$B114),SUMIFS(Expenses!BG$8:BG$69,Expenses!$O$8:$O$69,$B114)+SUMIFS(Headcount!Q$395:Q$1442,Headcount!$J$395:$J$1442,$B114))</f>
        <v>0</v>
      </c>
      <c r="I114" s="137">
        <f>IF(I$12="Actual",SUMIFS(ActualsTable[Month 7],ActualsTable[Expense Item2],$B114),SUMIFS(Expenses!BH$8:BH$69,Expenses!$O$8:$O$69,$B114)+SUMIFS(Headcount!R$395:R$1442,Headcount!$J$395:$J$1442,$B114))</f>
        <v>0</v>
      </c>
      <c r="J114" s="137">
        <f>IF(J$12="Actual",SUMIFS(ActualsTable[Month 8],ActualsTable[Expense Item2],$B114),SUMIFS(Expenses!BI$8:BI$69,Expenses!$O$8:$O$69,$B114)+SUMIFS(Headcount!S$395:S$1442,Headcount!$J$395:$J$1442,$B114))</f>
        <v>0</v>
      </c>
      <c r="K114" s="137">
        <f>IF(K$12="Actual",SUMIFS(ActualsTable[Month 9],ActualsTable[Expense Item2],$B114),SUMIFS(Expenses!BJ$8:BJ$69,Expenses!$O$8:$O$69,$B114)+SUMIFS(Headcount!T$395:T$1442,Headcount!$J$395:$J$1442,$B114))</f>
        <v>0</v>
      </c>
      <c r="L114" s="137">
        <f>IF(L$12="Actual",SUMIFS(ActualsTable[Month 10],ActualsTable[Expense Item2],$B114),SUMIFS(Expenses!BK$8:BK$69,Expenses!$O$8:$O$69,$B114)+SUMIFS(Headcount!U$395:U$1442,Headcount!$J$395:$J$1442,$B114))</f>
        <v>0</v>
      </c>
      <c r="M114" s="137">
        <f>IF(M$12="Actual",SUMIFS(ActualsTable[Month 11],ActualsTable[Expense Item2],$B114),SUMIFS(Expenses!BL$8:BL$69,Expenses!$O$8:$O$69,$B114)+SUMIFS(Headcount!V$395:V$1442,Headcount!$J$395:$J$1442,$B114))</f>
        <v>0</v>
      </c>
      <c r="N114" s="137">
        <f>IF(N$12="Actual",SUMIFS(ActualsTable[Month 12],ActualsTable[Expense Item2],$B114),SUMIFS(Expenses!BM$8:BM$69,Expenses!$O$8:$O$69,$B114)+SUMIFS(Headcount!W$395:W$1442,Headcount!$J$395:$J$1442,$B114))</f>
        <v>0</v>
      </c>
      <c r="O114" s="137">
        <f>IF(O$12="Actual",SUMIFS(ActualsTable[Month 13],ActualsTable[Expense Item2],$B114),SUMIFS(Expenses!BN$8:BN$69,Expenses!$O$8:$O$69,$B114)+SUMIFS(Headcount!X$395:X$1442,Headcount!$J$395:$J$1442,$B114))</f>
        <v>0</v>
      </c>
      <c r="P114" s="137">
        <f>IF(P$12="Actual",SUMIFS(ActualsTable[Month 14],ActualsTable[Expense Item2],$B114),SUMIFS(Expenses!BO$8:BO$69,Expenses!$O$8:$O$69,$B114)+SUMIFS(Headcount!Y$395:Y$1442,Headcount!$J$395:$J$1442,$B114))</f>
        <v>0</v>
      </c>
      <c r="Q114" s="137">
        <f>IF(Q$12="Actual",SUMIFS(ActualsTable[Month 15],ActualsTable[Expense Item2],$B114),SUMIFS(Expenses!BP$8:BP$69,Expenses!$O$8:$O$69,$B114)+SUMIFS(Headcount!Z$395:Z$1442,Headcount!$J$395:$J$1442,$B114))</f>
        <v>0</v>
      </c>
      <c r="R114" s="137">
        <f>IF(R$12="Actual",SUMIFS(ActualsTable[Month 16],ActualsTable[Expense Item2],$B114),SUMIFS(Expenses!BQ$8:BQ$69,Expenses!$O$8:$O$69,$B114)+SUMIFS(Headcount!AA$395:AA$1442,Headcount!$J$395:$J$1442,$B114))</f>
        <v>0</v>
      </c>
      <c r="S114" s="137">
        <f>IF(S$12="Actual",SUMIFS(ActualsTable[Month 17],ActualsTable[Expense Item2],$B114),SUMIFS(Expenses!BR$8:BR$69,Expenses!$O$8:$O$69,$B114)+SUMIFS(Headcount!AB$395:AB$1442,Headcount!$J$395:$J$1442,$B114))</f>
        <v>0</v>
      </c>
      <c r="T114" s="137">
        <f>IF(T$12="Actual",SUMIFS(ActualsTable[Month 18],ActualsTable[Expense Item2],$B114),SUMIFS(Expenses!BS$8:BS$69,Expenses!$O$8:$O$69,$B114)+SUMIFS(Headcount!AC$395:AC$1442,Headcount!$J$395:$J$1442,$B114))</f>
        <v>0</v>
      </c>
      <c r="U114" s="137">
        <f>IF(U$12="Actual",SUMIFS(ActualsTable[Month 19],ActualsTable[Expense Item2],$B114),SUMIFS(Expenses!BT$8:BT$69,Expenses!$O$8:$O$69,$B114)+SUMIFS(Headcount!AD$395:AD$1442,Headcount!$J$395:$J$1442,$B114))</f>
        <v>0</v>
      </c>
      <c r="V114" s="137">
        <f>IF(V$12="Actual",SUMIFS(ActualsTable[Month 20],ActualsTable[Expense Item2],$B114),SUMIFS(Expenses!BU$8:BU$69,Expenses!$O$8:$O$69,$B114)+SUMIFS(Headcount!AE$395:AE$1442,Headcount!$J$395:$J$1442,$B114))</f>
        <v>0</v>
      </c>
      <c r="W114" s="137">
        <f>IF(W$12="Actual",SUMIFS(ActualsTable[Month 21],ActualsTable[Expense Item2],$B114),SUMIFS(Expenses!BV$8:BV$69,Expenses!$O$8:$O$69,$B114)+SUMIFS(Headcount!AF$395:AF$1442,Headcount!$J$395:$J$1442,$B114))</f>
        <v>0</v>
      </c>
      <c r="X114" s="137">
        <f>IF(X$12="Actual",SUMIFS(ActualsTable[Month 22],ActualsTable[Expense Item2],$B114),SUMIFS(Expenses!BW$8:BW$69,Expenses!$O$8:$O$69,$B114)+SUMIFS(Headcount!AG$395:AG$1442,Headcount!$J$395:$J$1442,$B114))</f>
        <v>0</v>
      </c>
      <c r="Y114" s="137">
        <f>IF(Y$12="Actual",SUMIFS(ActualsTable[Month 23],ActualsTable[Expense Item2],$B114),SUMIFS(Expenses!BX$8:BX$69,Expenses!$O$8:$O$69,$B114)+SUMIFS(Headcount!AH$395:AH$1442,Headcount!$J$395:$J$1442,$B114))</f>
        <v>0</v>
      </c>
      <c r="Z114" s="137">
        <f>IF(Z$12="Actual",SUMIFS(ActualsTable[Month 24],ActualsTable[Expense Item2],$B114),SUMIFS(Expenses!BY$8:BY$69,Expenses!$O$8:$O$69,$B114)+SUMIFS(Headcount!AI$395:AI$1442,Headcount!$J$395:$J$1442,$B114))</f>
        <v>0</v>
      </c>
      <c r="AA114" s="137">
        <f>IF(AA$12="Actual",SUMIFS(ActualsTable[Month 25],ActualsTable[Expense Item2],$B114),SUMIFS(Expenses!BZ$8:BZ$69,Expenses!$O$8:$O$69,$B114)+SUMIFS(Headcount!AJ$395:AJ$1442,Headcount!$J$395:$J$1442,$B114))</f>
        <v>0</v>
      </c>
      <c r="AB114" s="137">
        <f>IF(AB$12="Actual",SUMIFS(ActualsTable[Month 26],ActualsTable[Expense Item2],$B114),SUMIFS(Expenses!CA$8:CA$69,Expenses!$O$8:$O$69,$B114)+SUMIFS(Headcount!AK$395:AK$1442,Headcount!$J$395:$J$1442,$B114))</f>
        <v>0</v>
      </c>
      <c r="AC114" s="137">
        <f>IF(AC$12="Actual",SUMIFS(ActualsTable[Month 27],ActualsTable[Expense Item2],$B114),SUMIFS(Expenses!CB$8:CB$69,Expenses!$O$8:$O$69,$B114)+SUMIFS(Headcount!AL$395:AL$1442,Headcount!$J$395:$J$1442,$B114))</f>
        <v>0</v>
      </c>
      <c r="AD114" s="137">
        <f>IF(AD$12="Actual",SUMIFS(ActualsTable[Month 28],ActualsTable[Expense Item2],$B114),SUMIFS(Expenses!CC$8:CC$69,Expenses!$O$8:$O$69,$B114)+SUMIFS(Headcount!AM$395:AM$1442,Headcount!$J$395:$J$1442,$B114))</f>
        <v>0</v>
      </c>
      <c r="AE114" s="137">
        <f>IF(AE$12="Actual",SUMIFS(ActualsTable[Month 29],ActualsTable[Expense Item2],$B114),SUMIFS(Expenses!CD$8:CD$69,Expenses!$O$8:$O$69,$B114)+SUMIFS(Headcount!AN$395:AN$1442,Headcount!$J$395:$J$1442,$B114))</f>
        <v>0</v>
      </c>
      <c r="AF114" s="137">
        <f>IF(AF$12="Actual",SUMIFS(ActualsTable[Month 30],ActualsTable[Expense Item2],$B114),SUMIFS(Expenses!CE$8:CE$69,Expenses!$O$8:$O$69,$B114)+SUMIFS(Headcount!AO$395:AO$1442,Headcount!$J$395:$J$1442,$B114))</f>
        <v>0</v>
      </c>
      <c r="AG114" s="137">
        <f>IF(AG$12="Actual",SUMIFS(ActualsTable[Month 31],ActualsTable[Expense Item2],$B114),SUMIFS(Expenses!CF$8:CF$69,Expenses!$O$8:$O$69,$B114)+SUMIFS(Headcount!AP$395:AP$1442,Headcount!$J$395:$J$1442,$B114))</f>
        <v>0</v>
      </c>
      <c r="AH114" s="137">
        <f>IF(AH$12="Actual",SUMIFS(ActualsTable[Month 32],ActualsTable[Expense Item2],$B114),SUMIFS(Expenses!CG$8:CG$69,Expenses!$O$8:$O$69,$B114)+SUMIFS(Headcount!AQ$395:AQ$1442,Headcount!$J$395:$J$1442,$B114))</f>
        <v>0</v>
      </c>
      <c r="AI114" s="137">
        <f>IF(AI$12="Actual",SUMIFS(ActualsTable[Month 33],ActualsTable[Expense Item2],$B114),SUMIFS(Expenses!CH$8:CH$69,Expenses!$O$8:$O$69,$B114)+SUMIFS(Headcount!AR$395:AR$1442,Headcount!$J$395:$J$1442,$B114))</f>
        <v>0</v>
      </c>
      <c r="AJ114" s="137">
        <f>IF(AJ$12="Actual",SUMIFS(ActualsTable[Month 34],ActualsTable[Expense Item2],$B114),SUMIFS(Expenses!CI$8:CI$69,Expenses!$O$8:$O$69,$B114)+SUMIFS(Headcount!AS$395:AS$1442,Headcount!$J$395:$J$1442,$B114))</f>
        <v>0</v>
      </c>
      <c r="AK114" s="137">
        <f>IF(AK$12="Actual",SUMIFS(ActualsTable[Month 35],ActualsTable[Expense Item2],$B114),SUMIFS(Expenses!CJ$8:CJ$69,Expenses!$O$8:$O$69,$B114)+SUMIFS(Headcount!AT$395:AT$1442,Headcount!$J$395:$J$1442,$B114))</f>
        <v>0</v>
      </c>
      <c r="AL114" s="293">
        <f>IF(AL$12="Actual",SUMIFS(ActualsTable[Month 36],ActualsTable[Expense Item2],$B114),SUMIFS(Expenses!CK$8:CK$69,Expenses!$O$8:$O$69,$B114)+SUMIFS(Headcount!AU$395:AU$1442,Headcount!$J$395:$J$1442,$B114))</f>
        <v>0</v>
      </c>
      <c r="AN114" s="319">
        <f t="shared" ca="1" si="205"/>
        <v>0</v>
      </c>
      <c r="AO114" s="137">
        <f t="shared" ca="1" si="205"/>
        <v>0</v>
      </c>
      <c r="AP114" s="137">
        <f t="shared" ca="1" si="205"/>
        <v>0</v>
      </c>
      <c r="AQ114" s="137">
        <f t="shared" ca="1" si="205"/>
        <v>0</v>
      </c>
      <c r="AR114" s="137">
        <f t="shared" ca="1" si="205"/>
        <v>0</v>
      </c>
      <c r="AS114" s="137">
        <f t="shared" ca="1" si="205"/>
        <v>0</v>
      </c>
      <c r="AT114" s="137">
        <f t="shared" ca="1" si="205"/>
        <v>0</v>
      </c>
      <c r="AU114" s="137">
        <f t="shared" ca="1" si="205"/>
        <v>0</v>
      </c>
      <c r="AV114" s="137">
        <f t="shared" ca="1" si="205"/>
        <v>0</v>
      </c>
      <c r="AW114" s="137">
        <f t="shared" ca="1" si="205"/>
        <v>0</v>
      </c>
      <c r="AX114" s="137">
        <f t="shared" ca="1" si="205"/>
        <v>0</v>
      </c>
      <c r="AY114" s="293">
        <f t="shared" ca="1" si="205"/>
        <v>0</v>
      </c>
      <c r="BA114" s="319">
        <f t="shared" ca="1" si="206"/>
        <v>0</v>
      </c>
      <c r="BB114" s="137">
        <f t="shared" ca="1" si="206"/>
        <v>0</v>
      </c>
      <c r="BC114" s="293">
        <f t="shared" ca="1" si="206"/>
        <v>0</v>
      </c>
    </row>
    <row r="115" spans="2:55" x14ac:dyDescent="0.35">
      <c r="B115" s="76" t="s">
        <v>146</v>
      </c>
      <c r="C115" s="137">
        <f>IF(C$12="Actual",SUMIFS(ActualsTable[Month 1],ActualsTable[Expense Item2],$B115),SUMIFS(Expenses!BB$8:BB$69,Expenses!$O$8:$O$69,$B115)+SUMIFS(Headcount!L$395:L$1442,Headcount!$J$395:$J$1442,$B115))</f>
        <v>0</v>
      </c>
      <c r="D115" s="137">
        <f>IF(D$12="Actual",SUMIFS(ActualsTable[Month 2],ActualsTable[Expense Item2],$B115),SUMIFS(Expenses!BC$8:BC$69,Expenses!$O$8:$O$69,$B115)+SUMIFS(Headcount!M$395:M$1442,Headcount!$J$395:$J$1442,$B115))</f>
        <v>0</v>
      </c>
      <c r="E115" s="137">
        <f>IF(E$12="Actual",SUMIFS(ActualsTable[Month 3],ActualsTable[Expense Item2],$B115),SUMIFS(Expenses!BD$8:BD$69,Expenses!$O$8:$O$69,$B115)+SUMIFS(Headcount!N$395:N$1442,Headcount!$J$395:$J$1442,$B115))</f>
        <v>0</v>
      </c>
      <c r="F115" s="137">
        <f>IF(F$12="Actual",SUMIFS(ActualsTable[Month 4],ActualsTable[Expense Item2],$B115),SUMIFS(Expenses!BE$8:BE$69,Expenses!$O$8:$O$69,$B115)+SUMIFS(Headcount!O$395:O$1442,Headcount!$J$395:$J$1442,$B115))</f>
        <v>0</v>
      </c>
      <c r="G115" s="137">
        <f>IF(G$12="Actual",SUMIFS(ActualsTable[Month 5],ActualsTable[Expense Item2],$B115),SUMIFS(Expenses!BF$8:BF$69,Expenses!$O$8:$O$69,$B115)+SUMIFS(Headcount!P$395:P$1442,Headcount!$J$395:$J$1442,$B115))</f>
        <v>0</v>
      </c>
      <c r="H115" s="137">
        <f>IF(H$12="Actual",SUMIFS(ActualsTable[Month 6],ActualsTable[Expense Item2],$B115),SUMIFS(Expenses!BG$8:BG$69,Expenses!$O$8:$O$69,$B115)+SUMIFS(Headcount!Q$395:Q$1442,Headcount!$J$395:$J$1442,$B115))</f>
        <v>0</v>
      </c>
      <c r="I115" s="137">
        <f>IF(I$12="Actual",SUMIFS(ActualsTable[Month 7],ActualsTable[Expense Item2],$B115),SUMIFS(Expenses!BH$8:BH$69,Expenses!$O$8:$O$69,$B115)+SUMIFS(Headcount!R$395:R$1442,Headcount!$J$395:$J$1442,$B115))</f>
        <v>0</v>
      </c>
      <c r="J115" s="137">
        <f>IF(J$12="Actual",SUMIFS(ActualsTable[Month 8],ActualsTable[Expense Item2],$B115),SUMIFS(Expenses!BI$8:BI$69,Expenses!$O$8:$O$69,$B115)+SUMIFS(Headcount!S$395:S$1442,Headcount!$J$395:$J$1442,$B115))</f>
        <v>0</v>
      </c>
      <c r="K115" s="137">
        <f>IF(K$12="Actual",SUMIFS(ActualsTable[Month 9],ActualsTable[Expense Item2],$B115),SUMIFS(Expenses!BJ$8:BJ$69,Expenses!$O$8:$O$69,$B115)+SUMIFS(Headcount!T$395:T$1442,Headcount!$J$395:$J$1442,$B115))</f>
        <v>0</v>
      </c>
      <c r="L115" s="137">
        <f>IF(L$12="Actual",SUMIFS(ActualsTable[Month 10],ActualsTable[Expense Item2],$B115),SUMIFS(Expenses!BK$8:BK$69,Expenses!$O$8:$O$69,$B115)+SUMIFS(Headcount!U$395:U$1442,Headcount!$J$395:$J$1442,$B115))</f>
        <v>0</v>
      </c>
      <c r="M115" s="137">
        <f>IF(M$12="Actual",SUMIFS(ActualsTable[Month 11],ActualsTable[Expense Item2],$B115),SUMIFS(Expenses!BL$8:BL$69,Expenses!$O$8:$O$69,$B115)+SUMIFS(Headcount!V$395:V$1442,Headcount!$J$395:$J$1442,$B115))</f>
        <v>0</v>
      </c>
      <c r="N115" s="137">
        <f>IF(N$12="Actual",SUMIFS(ActualsTable[Month 12],ActualsTable[Expense Item2],$B115),SUMIFS(Expenses!BM$8:BM$69,Expenses!$O$8:$O$69,$B115)+SUMIFS(Headcount!W$395:W$1442,Headcount!$J$395:$J$1442,$B115))</f>
        <v>0</v>
      </c>
      <c r="O115" s="137">
        <f>IF(O$12="Actual",SUMIFS(ActualsTable[Month 13],ActualsTable[Expense Item2],$B115),SUMIFS(Expenses!BN$8:BN$69,Expenses!$O$8:$O$69,$B115)+SUMIFS(Headcount!X$395:X$1442,Headcount!$J$395:$J$1442,$B115))</f>
        <v>0</v>
      </c>
      <c r="P115" s="137">
        <f>IF(P$12="Actual",SUMIFS(ActualsTable[Month 14],ActualsTable[Expense Item2],$B115),SUMIFS(Expenses!BO$8:BO$69,Expenses!$O$8:$O$69,$B115)+SUMIFS(Headcount!Y$395:Y$1442,Headcount!$J$395:$J$1442,$B115))</f>
        <v>0</v>
      </c>
      <c r="Q115" s="137">
        <f>IF(Q$12="Actual",SUMIFS(ActualsTable[Month 15],ActualsTable[Expense Item2],$B115),SUMIFS(Expenses!BP$8:BP$69,Expenses!$O$8:$O$69,$B115)+SUMIFS(Headcount!Z$395:Z$1442,Headcount!$J$395:$J$1442,$B115))</f>
        <v>0</v>
      </c>
      <c r="R115" s="137">
        <f>IF(R$12="Actual",SUMIFS(ActualsTable[Month 16],ActualsTable[Expense Item2],$B115),SUMIFS(Expenses!BQ$8:BQ$69,Expenses!$O$8:$O$69,$B115)+SUMIFS(Headcount!AA$395:AA$1442,Headcount!$J$395:$J$1442,$B115))</f>
        <v>0</v>
      </c>
      <c r="S115" s="137">
        <f>IF(S$12="Actual",SUMIFS(ActualsTable[Month 17],ActualsTable[Expense Item2],$B115),SUMIFS(Expenses!BR$8:BR$69,Expenses!$O$8:$O$69,$B115)+SUMIFS(Headcount!AB$395:AB$1442,Headcount!$J$395:$J$1442,$B115))</f>
        <v>0</v>
      </c>
      <c r="T115" s="137">
        <f>IF(T$12="Actual",SUMIFS(ActualsTable[Month 18],ActualsTable[Expense Item2],$B115),SUMIFS(Expenses!BS$8:BS$69,Expenses!$O$8:$O$69,$B115)+SUMIFS(Headcount!AC$395:AC$1442,Headcount!$J$395:$J$1442,$B115))</f>
        <v>0</v>
      </c>
      <c r="U115" s="137">
        <f>IF(U$12="Actual",SUMIFS(ActualsTable[Month 19],ActualsTable[Expense Item2],$B115),SUMIFS(Expenses!BT$8:BT$69,Expenses!$O$8:$O$69,$B115)+SUMIFS(Headcount!AD$395:AD$1442,Headcount!$J$395:$J$1442,$B115))</f>
        <v>0</v>
      </c>
      <c r="V115" s="137">
        <f>IF(V$12="Actual",SUMIFS(ActualsTable[Month 20],ActualsTable[Expense Item2],$B115),SUMIFS(Expenses!BU$8:BU$69,Expenses!$O$8:$O$69,$B115)+SUMIFS(Headcount!AE$395:AE$1442,Headcount!$J$395:$J$1442,$B115))</f>
        <v>0</v>
      </c>
      <c r="W115" s="137">
        <f>IF(W$12="Actual",SUMIFS(ActualsTable[Month 21],ActualsTable[Expense Item2],$B115),SUMIFS(Expenses!BV$8:BV$69,Expenses!$O$8:$O$69,$B115)+SUMIFS(Headcount!AF$395:AF$1442,Headcount!$J$395:$J$1442,$B115))</f>
        <v>0</v>
      </c>
      <c r="X115" s="137">
        <f>IF(X$12="Actual",SUMIFS(ActualsTable[Month 22],ActualsTable[Expense Item2],$B115),SUMIFS(Expenses!BW$8:BW$69,Expenses!$O$8:$O$69,$B115)+SUMIFS(Headcount!AG$395:AG$1442,Headcount!$J$395:$J$1442,$B115))</f>
        <v>0</v>
      </c>
      <c r="Y115" s="137">
        <f>IF(Y$12="Actual",SUMIFS(ActualsTable[Month 23],ActualsTable[Expense Item2],$B115),SUMIFS(Expenses!BX$8:BX$69,Expenses!$O$8:$O$69,$B115)+SUMIFS(Headcount!AH$395:AH$1442,Headcount!$J$395:$J$1442,$B115))</f>
        <v>0</v>
      </c>
      <c r="Z115" s="137">
        <f>IF(Z$12="Actual",SUMIFS(ActualsTable[Month 24],ActualsTable[Expense Item2],$B115),SUMIFS(Expenses!BY$8:BY$69,Expenses!$O$8:$O$69,$B115)+SUMIFS(Headcount!AI$395:AI$1442,Headcount!$J$395:$J$1442,$B115))</f>
        <v>0</v>
      </c>
      <c r="AA115" s="137">
        <f>IF(AA$12="Actual",SUMIFS(ActualsTable[Month 25],ActualsTable[Expense Item2],$B115),SUMIFS(Expenses!BZ$8:BZ$69,Expenses!$O$8:$O$69,$B115)+SUMIFS(Headcount!AJ$395:AJ$1442,Headcount!$J$395:$J$1442,$B115))</f>
        <v>0</v>
      </c>
      <c r="AB115" s="137">
        <f>IF(AB$12="Actual",SUMIFS(ActualsTable[Month 26],ActualsTable[Expense Item2],$B115),SUMIFS(Expenses!CA$8:CA$69,Expenses!$O$8:$O$69,$B115)+SUMIFS(Headcount!AK$395:AK$1442,Headcount!$J$395:$J$1442,$B115))</f>
        <v>0</v>
      </c>
      <c r="AC115" s="137">
        <f>IF(AC$12="Actual",SUMIFS(ActualsTable[Month 27],ActualsTable[Expense Item2],$B115),SUMIFS(Expenses!CB$8:CB$69,Expenses!$O$8:$O$69,$B115)+SUMIFS(Headcount!AL$395:AL$1442,Headcount!$J$395:$J$1442,$B115))</f>
        <v>0</v>
      </c>
      <c r="AD115" s="137">
        <f>IF(AD$12="Actual",SUMIFS(ActualsTable[Month 28],ActualsTable[Expense Item2],$B115),SUMIFS(Expenses!CC$8:CC$69,Expenses!$O$8:$O$69,$B115)+SUMIFS(Headcount!AM$395:AM$1442,Headcount!$J$395:$J$1442,$B115))</f>
        <v>0</v>
      </c>
      <c r="AE115" s="137">
        <f>IF(AE$12="Actual",SUMIFS(ActualsTable[Month 29],ActualsTable[Expense Item2],$B115),SUMIFS(Expenses!CD$8:CD$69,Expenses!$O$8:$O$69,$B115)+SUMIFS(Headcount!AN$395:AN$1442,Headcount!$J$395:$J$1442,$B115))</f>
        <v>0</v>
      </c>
      <c r="AF115" s="137">
        <f>IF(AF$12="Actual",SUMIFS(ActualsTable[Month 30],ActualsTable[Expense Item2],$B115),SUMIFS(Expenses!CE$8:CE$69,Expenses!$O$8:$O$69,$B115)+SUMIFS(Headcount!AO$395:AO$1442,Headcount!$J$395:$J$1442,$B115))</f>
        <v>0</v>
      </c>
      <c r="AG115" s="137">
        <f>IF(AG$12="Actual",SUMIFS(ActualsTable[Month 31],ActualsTable[Expense Item2],$B115),SUMIFS(Expenses!CF$8:CF$69,Expenses!$O$8:$O$69,$B115)+SUMIFS(Headcount!AP$395:AP$1442,Headcount!$J$395:$J$1442,$B115))</f>
        <v>0</v>
      </c>
      <c r="AH115" s="137">
        <f>IF(AH$12="Actual",SUMIFS(ActualsTable[Month 32],ActualsTable[Expense Item2],$B115),SUMIFS(Expenses!CG$8:CG$69,Expenses!$O$8:$O$69,$B115)+SUMIFS(Headcount!AQ$395:AQ$1442,Headcount!$J$395:$J$1442,$B115))</f>
        <v>0</v>
      </c>
      <c r="AI115" s="137">
        <f>IF(AI$12="Actual",SUMIFS(ActualsTable[Month 33],ActualsTable[Expense Item2],$B115),SUMIFS(Expenses!CH$8:CH$69,Expenses!$O$8:$O$69,$B115)+SUMIFS(Headcount!AR$395:AR$1442,Headcount!$J$395:$J$1442,$B115))</f>
        <v>0</v>
      </c>
      <c r="AJ115" s="137">
        <f>IF(AJ$12="Actual",SUMIFS(ActualsTable[Month 34],ActualsTable[Expense Item2],$B115),SUMIFS(Expenses!CI$8:CI$69,Expenses!$O$8:$O$69,$B115)+SUMIFS(Headcount!AS$395:AS$1442,Headcount!$J$395:$J$1442,$B115))</f>
        <v>0</v>
      </c>
      <c r="AK115" s="137">
        <f>IF(AK$12="Actual",SUMIFS(ActualsTable[Month 35],ActualsTable[Expense Item2],$B115),SUMIFS(Expenses!CJ$8:CJ$69,Expenses!$O$8:$O$69,$B115)+SUMIFS(Headcount!AT$395:AT$1442,Headcount!$J$395:$J$1442,$B115))</f>
        <v>0</v>
      </c>
      <c r="AL115" s="293">
        <f>IF(AL$12="Actual",SUMIFS(ActualsTable[Month 36],ActualsTable[Expense Item2],$B115),SUMIFS(Expenses!CK$8:CK$69,Expenses!$O$8:$O$69,$B115)+SUMIFS(Headcount!AU$395:AU$1442,Headcount!$J$395:$J$1442,$B115))</f>
        <v>0</v>
      </c>
      <c r="AN115" s="319">
        <f t="shared" ca="1" si="205"/>
        <v>0</v>
      </c>
      <c r="AO115" s="137">
        <f t="shared" ca="1" si="205"/>
        <v>0</v>
      </c>
      <c r="AP115" s="137">
        <f t="shared" ca="1" si="205"/>
        <v>0</v>
      </c>
      <c r="AQ115" s="137">
        <f t="shared" ca="1" si="205"/>
        <v>0</v>
      </c>
      <c r="AR115" s="137">
        <f t="shared" ca="1" si="205"/>
        <v>0</v>
      </c>
      <c r="AS115" s="137">
        <f t="shared" ca="1" si="205"/>
        <v>0</v>
      </c>
      <c r="AT115" s="137">
        <f t="shared" ca="1" si="205"/>
        <v>0</v>
      </c>
      <c r="AU115" s="137">
        <f t="shared" ca="1" si="205"/>
        <v>0</v>
      </c>
      <c r="AV115" s="137">
        <f t="shared" ca="1" si="205"/>
        <v>0</v>
      </c>
      <c r="AW115" s="137">
        <f t="shared" ca="1" si="205"/>
        <v>0</v>
      </c>
      <c r="AX115" s="137">
        <f t="shared" ca="1" si="205"/>
        <v>0</v>
      </c>
      <c r="AY115" s="293">
        <f t="shared" ca="1" si="205"/>
        <v>0</v>
      </c>
      <c r="BA115" s="319">
        <f t="shared" ca="1" si="206"/>
        <v>0</v>
      </c>
      <c r="BB115" s="137">
        <f t="shared" ca="1" si="206"/>
        <v>0</v>
      </c>
      <c r="BC115" s="293">
        <f t="shared" ca="1" si="206"/>
        <v>0</v>
      </c>
    </row>
    <row r="116" spans="2:55" x14ac:dyDescent="0.35">
      <c r="B116" s="76" t="s">
        <v>147</v>
      </c>
      <c r="C116" s="137">
        <f>IF(C$12="Actual",SUMIFS(ActualsTable[Month 1],ActualsTable[Expense Item2],$B116),SUMIFS(Expenses!BB$8:BB$69,Expenses!$O$8:$O$69,$B116)+SUMIFS(Headcount!L$395:L$1442,Headcount!$J$395:$J$1442,$B116))</f>
        <v>0</v>
      </c>
      <c r="D116" s="137">
        <f>IF(D$12="Actual",SUMIFS(ActualsTable[Month 2],ActualsTable[Expense Item2],$B116),SUMIFS(Expenses!BC$8:BC$69,Expenses!$O$8:$O$69,$B116)+SUMIFS(Headcount!M$395:M$1442,Headcount!$J$395:$J$1442,$B116))</f>
        <v>0</v>
      </c>
      <c r="E116" s="137">
        <f>IF(E$12="Actual",SUMIFS(ActualsTable[Month 3],ActualsTable[Expense Item2],$B116),SUMIFS(Expenses!BD$8:BD$69,Expenses!$O$8:$O$69,$B116)+SUMIFS(Headcount!N$395:N$1442,Headcount!$J$395:$J$1442,$B116))</f>
        <v>0</v>
      </c>
      <c r="F116" s="137">
        <f>IF(F$12="Actual",SUMIFS(ActualsTable[Month 4],ActualsTable[Expense Item2],$B116),SUMIFS(Expenses!BE$8:BE$69,Expenses!$O$8:$O$69,$B116)+SUMIFS(Headcount!O$395:O$1442,Headcount!$J$395:$J$1442,$B116))</f>
        <v>0</v>
      </c>
      <c r="G116" s="137">
        <f>IF(G$12="Actual",SUMIFS(ActualsTable[Month 5],ActualsTable[Expense Item2],$B116),SUMIFS(Expenses!BF$8:BF$69,Expenses!$O$8:$O$69,$B116)+SUMIFS(Headcount!P$395:P$1442,Headcount!$J$395:$J$1442,$B116))</f>
        <v>0</v>
      </c>
      <c r="H116" s="137">
        <f>IF(H$12="Actual",SUMIFS(ActualsTable[Month 6],ActualsTable[Expense Item2],$B116),SUMIFS(Expenses!BG$8:BG$69,Expenses!$O$8:$O$69,$B116)+SUMIFS(Headcount!Q$395:Q$1442,Headcount!$J$395:$J$1442,$B116))</f>
        <v>0</v>
      </c>
      <c r="I116" s="137">
        <f>IF(I$12="Actual",SUMIFS(ActualsTable[Month 7],ActualsTable[Expense Item2],$B116),SUMIFS(Expenses!BH$8:BH$69,Expenses!$O$8:$O$69,$B116)+SUMIFS(Headcount!R$395:R$1442,Headcount!$J$395:$J$1442,$B116))</f>
        <v>0</v>
      </c>
      <c r="J116" s="137">
        <f>IF(J$12="Actual",SUMIFS(ActualsTable[Month 8],ActualsTable[Expense Item2],$B116),SUMIFS(Expenses!BI$8:BI$69,Expenses!$O$8:$O$69,$B116)+SUMIFS(Headcount!S$395:S$1442,Headcount!$J$395:$J$1442,$B116))</f>
        <v>0</v>
      </c>
      <c r="K116" s="137">
        <f>IF(K$12="Actual",SUMIFS(ActualsTable[Month 9],ActualsTable[Expense Item2],$B116),SUMIFS(Expenses!BJ$8:BJ$69,Expenses!$O$8:$O$69,$B116)+SUMIFS(Headcount!T$395:T$1442,Headcount!$J$395:$J$1442,$B116))</f>
        <v>0</v>
      </c>
      <c r="L116" s="137">
        <f>IF(L$12="Actual",SUMIFS(ActualsTable[Month 10],ActualsTable[Expense Item2],$B116),SUMIFS(Expenses!BK$8:BK$69,Expenses!$O$8:$O$69,$B116)+SUMIFS(Headcount!U$395:U$1442,Headcount!$J$395:$J$1442,$B116))</f>
        <v>0</v>
      </c>
      <c r="M116" s="137">
        <f>IF(M$12="Actual",SUMIFS(ActualsTable[Month 11],ActualsTable[Expense Item2],$B116),SUMIFS(Expenses!BL$8:BL$69,Expenses!$O$8:$O$69,$B116)+SUMIFS(Headcount!V$395:V$1442,Headcount!$J$395:$J$1442,$B116))</f>
        <v>0</v>
      </c>
      <c r="N116" s="137">
        <f>IF(N$12="Actual",SUMIFS(ActualsTable[Month 12],ActualsTable[Expense Item2],$B116),SUMIFS(Expenses!BM$8:BM$69,Expenses!$O$8:$O$69,$B116)+SUMIFS(Headcount!W$395:W$1442,Headcount!$J$395:$J$1442,$B116))</f>
        <v>0</v>
      </c>
      <c r="O116" s="137">
        <f>IF(O$12="Actual",SUMIFS(ActualsTable[Month 13],ActualsTable[Expense Item2],$B116),SUMIFS(Expenses!BN$8:BN$69,Expenses!$O$8:$O$69,$B116)+SUMIFS(Headcount!X$395:X$1442,Headcount!$J$395:$J$1442,$B116))</f>
        <v>0</v>
      </c>
      <c r="P116" s="137">
        <f>IF(P$12="Actual",SUMIFS(ActualsTable[Month 14],ActualsTable[Expense Item2],$B116),SUMIFS(Expenses!BO$8:BO$69,Expenses!$O$8:$O$69,$B116)+SUMIFS(Headcount!Y$395:Y$1442,Headcount!$J$395:$J$1442,$B116))</f>
        <v>0</v>
      </c>
      <c r="Q116" s="137">
        <f>IF(Q$12="Actual",SUMIFS(ActualsTable[Month 15],ActualsTable[Expense Item2],$B116),SUMIFS(Expenses!BP$8:BP$69,Expenses!$O$8:$O$69,$B116)+SUMIFS(Headcount!Z$395:Z$1442,Headcount!$J$395:$J$1442,$B116))</f>
        <v>0</v>
      </c>
      <c r="R116" s="137">
        <f>IF(R$12="Actual",SUMIFS(ActualsTable[Month 16],ActualsTable[Expense Item2],$B116),SUMIFS(Expenses!BQ$8:BQ$69,Expenses!$O$8:$O$69,$B116)+SUMIFS(Headcount!AA$395:AA$1442,Headcount!$J$395:$J$1442,$B116))</f>
        <v>0</v>
      </c>
      <c r="S116" s="137">
        <f>IF(S$12="Actual",SUMIFS(ActualsTable[Month 17],ActualsTable[Expense Item2],$B116),SUMIFS(Expenses!BR$8:BR$69,Expenses!$O$8:$O$69,$B116)+SUMIFS(Headcount!AB$395:AB$1442,Headcount!$J$395:$J$1442,$B116))</f>
        <v>0</v>
      </c>
      <c r="T116" s="137">
        <f>IF(T$12="Actual",SUMIFS(ActualsTable[Month 18],ActualsTable[Expense Item2],$B116),SUMIFS(Expenses!BS$8:BS$69,Expenses!$O$8:$O$69,$B116)+SUMIFS(Headcount!AC$395:AC$1442,Headcount!$J$395:$J$1442,$B116))</f>
        <v>0</v>
      </c>
      <c r="U116" s="137">
        <f>IF(U$12="Actual",SUMIFS(ActualsTable[Month 19],ActualsTable[Expense Item2],$B116),SUMIFS(Expenses!BT$8:BT$69,Expenses!$O$8:$O$69,$B116)+SUMIFS(Headcount!AD$395:AD$1442,Headcount!$J$395:$J$1442,$B116))</f>
        <v>0</v>
      </c>
      <c r="V116" s="137">
        <f>IF(V$12="Actual",SUMIFS(ActualsTable[Month 20],ActualsTable[Expense Item2],$B116),SUMIFS(Expenses!BU$8:BU$69,Expenses!$O$8:$O$69,$B116)+SUMIFS(Headcount!AE$395:AE$1442,Headcount!$J$395:$J$1442,$B116))</f>
        <v>0</v>
      </c>
      <c r="W116" s="137">
        <f>IF(W$12="Actual",SUMIFS(ActualsTable[Month 21],ActualsTable[Expense Item2],$B116),SUMIFS(Expenses!BV$8:BV$69,Expenses!$O$8:$O$69,$B116)+SUMIFS(Headcount!AF$395:AF$1442,Headcount!$J$395:$J$1442,$B116))</f>
        <v>0</v>
      </c>
      <c r="X116" s="137">
        <f>IF(X$12="Actual",SUMIFS(ActualsTable[Month 22],ActualsTable[Expense Item2],$B116),SUMIFS(Expenses!BW$8:BW$69,Expenses!$O$8:$O$69,$B116)+SUMIFS(Headcount!AG$395:AG$1442,Headcount!$J$395:$J$1442,$B116))</f>
        <v>0</v>
      </c>
      <c r="Y116" s="137">
        <f>IF(Y$12="Actual",SUMIFS(ActualsTable[Month 23],ActualsTable[Expense Item2],$B116),SUMIFS(Expenses!BX$8:BX$69,Expenses!$O$8:$O$69,$B116)+SUMIFS(Headcount!AH$395:AH$1442,Headcount!$J$395:$J$1442,$B116))</f>
        <v>0</v>
      </c>
      <c r="Z116" s="137">
        <f>IF(Z$12="Actual",SUMIFS(ActualsTable[Month 24],ActualsTable[Expense Item2],$B116),SUMIFS(Expenses!BY$8:BY$69,Expenses!$O$8:$O$69,$B116)+SUMIFS(Headcount!AI$395:AI$1442,Headcount!$J$395:$J$1442,$B116))</f>
        <v>0</v>
      </c>
      <c r="AA116" s="137">
        <f>IF(AA$12="Actual",SUMIFS(ActualsTable[Month 25],ActualsTable[Expense Item2],$B116),SUMIFS(Expenses!BZ$8:BZ$69,Expenses!$O$8:$O$69,$B116)+SUMIFS(Headcount!AJ$395:AJ$1442,Headcount!$J$395:$J$1442,$B116))</f>
        <v>0</v>
      </c>
      <c r="AB116" s="137">
        <f>IF(AB$12="Actual",SUMIFS(ActualsTable[Month 26],ActualsTable[Expense Item2],$B116),SUMIFS(Expenses!CA$8:CA$69,Expenses!$O$8:$O$69,$B116)+SUMIFS(Headcount!AK$395:AK$1442,Headcount!$J$395:$J$1442,$B116))</f>
        <v>0</v>
      </c>
      <c r="AC116" s="137">
        <f>IF(AC$12="Actual",SUMIFS(ActualsTable[Month 27],ActualsTable[Expense Item2],$B116),SUMIFS(Expenses!CB$8:CB$69,Expenses!$O$8:$O$69,$B116)+SUMIFS(Headcount!AL$395:AL$1442,Headcount!$J$395:$J$1442,$B116))</f>
        <v>0</v>
      </c>
      <c r="AD116" s="137">
        <f>IF(AD$12="Actual",SUMIFS(ActualsTable[Month 28],ActualsTable[Expense Item2],$B116),SUMIFS(Expenses!CC$8:CC$69,Expenses!$O$8:$O$69,$B116)+SUMIFS(Headcount!AM$395:AM$1442,Headcount!$J$395:$J$1442,$B116))</f>
        <v>0</v>
      </c>
      <c r="AE116" s="137">
        <f>IF(AE$12="Actual",SUMIFS(ActualsTable[Month 29],ActualsTable[Expense Item2],$B116),SUMIFS(Expenses!CD$8:CD$69,Expenses!$O$8:$O$69,$B116)+SUMIFS(Headcount!AN$395:AN$1442,Headcount!$J$395:$J$1442,$B116))</f>
        <v>0</v>
      </c>
      <c r="AF116" s="137">
        <f>IF(AF$12="Actual",SUMIFS(ActualsTable[Month 30],ActualsTable[Expense Item2],$B116),SUMIFS(Expenses!CE$8:CE$69,Expenses!$O$8:$O$69,$B116)+SUMIFS(Headcount!AO$395:AO$1442,Headcount!$J$395:$J$1442,$B116))</f>
        <v>0</v>
      </c>
      <c r="AG116" s="137">
        <f>IF(AG$12="Actual",SUMIFS(ActualsTable[Month 31],ActualsTable[Expense Item2],$B116),SUMIFS(Expenses!CF$8:CF$69,Expenses!$O$8:$O$69,$B116)+SUMIFS(Headcount!AP$395:AP$1442,Headcount!$J$395:$J$1442,$B116))</f>
        <v>0</v>
      </c>
      <c r="AH116" s="137">
        <f>IF(AH$12="Actual",SUMIFS(ActualsTable[Month 32],ActualsTable[Expense Item2],$B116),SUMIFS(Expenses!CG$8:CG$69,Expenses!$O$8:$O$69,$B116)+SUMIFS(Headcount!AQ$395:AQ$1442,Headcount!$J$395:$J$1442,$B116))</f>
        <v>0</v>
      </c>
      <c r="AI116" s="137">
        <f>IF(AI$12="Actual",SUMIFS(ActualsTable[Month 33],ActualsTable[Expense Item2],$B116),SUMIFS(Expenses!CH$8:CH$69,Expenses!$O$8:$O$69,$B116)+SUMIFS(Headcount!AR$395:AR$1442,Headcount!$J$395:$J$1442,$B116))</f>
        <v>0</v>
      </c>
      <c r="AJ116" s="137">
        <f>IF(AJ$12="Actual",SUMIFS(ActualsTable[Month 34],ActualsTable[Expense Item2],$B116),SUMIFS(Expenses!CI$8:CI$69,Expenses!$O$8:$O$69,$B116)+SUMIFS(Headcount!AS$395:AS$1442,Headcount!$J$395:$J$1442,$B116))</f>
        <v>0</v>
      </c>
      <c r="AK116" s="137">
        <f>IF(AK$12="Actual",SUMIFS(ActualsTable[Month 35],ActualsTable[Expense Item2],$B116),SUMIFS(Expenses!CJ$8:CJ$69,Expenses!$O$8:$O$69,$B116)+SUMIFS(Headcount!AT$395:AT$1442,Headcount!$J$395:$J$1442,$B116))</f>
        <v>0</v>
      </c>
      <c r="AL116" s="293">
        <f>IF(AL$12="Actual",SUMIFS(ActualsTable[Month 36],ActualsTable[Expense Item2],$B116),SUMIFS(Expenses!CK$8:CK$69,Expenses!$O$8:$O$69,$B116)+SUMIFS(Headcount!AU$395:AU$1442,Headcount!$J$395:$J$1442,$B116))</f>
        <v>0</v>
      </c>
      <c r="AN116" s="319">
        <f t="shared" ca="1" si="205"/>
        <v>0</v>
      </c>
      <c r="AO116" s="137">
        <f t="shared" ca="1" si="205"/>
        <v>0</v>
      </c>
      <c r="AP116" s="137">
        <f t="shared" ca="1" si="205"/>
        <v>0</v>
      </c>
      <c r="AQ116" s="137">
        <f t="shared" ca="1" si="205"/>
        <v>0</v>
      </c>
      <c r="AR116" s="137">
        <f t="shared" ca="1" si="205"/>
        <v>0</v>
      </c>
      <c r="AS116" s="137">
        <f t="shared" ca="1" si="205"/>
        <v>0</v>
      </c>
      <c r="AT116" s="137">
        <f t="shared" ca="1" si="205"/>
        <v>0</v>
      </c>
      <c r="AU116" s="137">
        <f t="shared" ca="1" si="205"/>
        <v>0</v>
      </c>
      <c r="AV116" s="137">
        <f t="shared" ca="1" si="205"/>
        <v>0</v>
      </c>
      <c r="AW116" s="137">
        <f t="shared" ca="1" si="205"/>
        <v>0</v>
      </c>
      <c r="AX116" s="137">
        <f t="shared" ca="1" si="205"/>
        <v>0</v>
      </c>
      <c r="AY116" s="293">
        <f t="shared" ca="1" si="205"/>
        <v>0</v>
      </c>
      <c r="BA116" s="319">
        <f t="shared" ca="1" si="206"/>
        <v>0</v>
      </c>
      <c r="BB116" s="137">
        <f t="shared" ca="1" si="206"/>
        <v>0</v>
      </c>
      <c r="BC116" s="293">
        <f t="shared" ca="1" si="206"/>
        <v>0</v>
      </c>
    </row>
    <row r="117" spans="2:55" x14ac:dyDescent="0.35">
      <c r="B117" s="76" t="s">
        <v>148</v>
      </c>
      <c r="C117" s="137">
        <f>IF(C$12="Actual",SUMIFS(ActualsTable[Month 1],ActualsTable[Expense Item2],$B117),SUMIFS(Expenses!BB$8:BB$69,Expenses!$O$8:$O$69,$B117)+SUMIFS(Headcount!L$395:L$1442,Headcount!$J$395:$J$1442,$B117))</f>
        <v>0</v>
      </c>
      <c r="D117" s="137">
        <f>IF(D$12="Actual",SUMIFS(ActualsTable[Month 2],ActualsTable[Expense Item2],$B117),SUMIFS(Expenses!BC$8:BC$69,Expenses!$O$8:$O$69,$B117)+SUMIFS(Headcount!M$395:M$1442,Headcount!$J$395:$J$1442,$B117))</f>
        <v>0</v>
      </c>
      <c r="E117" s="137">
        <f>IF(E$12="Actual",SUMIFS(ActualsTable[Month 3],ActualsTable[Expense Item2],$B117),SUMIFS(Expenses!BD$8:BD$69,Expenses!$O$8:$O$69,$B117)+SUMIFS(Headcount!N$395:N$1442,Headcount!$J$395:$J$1442,$B117))</f>
        <v>0</v>
      </c>
      <c r="F117" s="137">
        <f>IF(F$12="Actual",SUMIFS(ActualsTable[Month 4],ActualsTable[Expense Item2],$B117),SUMIFS(Expenses!BE$8:BE$69,Expenses!$O$8:$O$69,$B117)+SUMIFS(Headcount!O$395:O$1442,Headcount!$J$395:$J$1442,$B117))</f>
        <v>0</v>
      </c>
      <c r="G117" s="137">
        <f>IF(G$12="Actual",SUMIFS(ActualsTable[Month 5],ActualsTable[Expense Item2],$B117),SUMIFS(Expenses!BF$8:BF$69,Expenses!$O$8:$O$69,$B117)+SUMIFS(Headcount!P$395:P$1442,Headcount!$J$395:$J$1442,$B117))</f>
        <v>0</v>
      </c>
      <c r="H117" s="137">
        <f>IF(H$12="Actual",SUMIFS(ActualsTable[Month 6],ActualsTable[Expense Item2],$B117),SUMIFS(Expenses!BG$8:BG$69,Expenses!$O$8:$O$69,$B117)+SUMIFS(Headcount!Q$395:Q$1442,Headcount!$J$395:$J$1442,$B117))</f>
        <v>0</v>
      </c>
      <c r="I117" s="137">
        <f>IF(I$12="Actual",SUMIFS(ActualsTable[Month 7],ActualsTable[Expense Item2],$B117),SUMIFS(Expenses!BH$8:BH$69,Expenses!$O$8:$O$69,$B117)+SUMIFS(Headcount!R$395:R$1442,Headcount!$J$395:$J$1442,$B117))</f>
        <v>0</v>
      </c>
      <c r="J117" s="137">
        <f>IF(J$12="Actual",SUMIFS(ActualsTable[Month 8],ActualsTable[Expense Item2],$B117),SUMIFS(Expenses!BI$8:BI$69,Expenses!$O$8:$O$69,$B117)+SUMIFS(Headcount!S$395:S$1442,Headcount!$J$395:$J$1442,$B117))</f>
        <v>0</v>
      </c>
      <c r="K117" s="137">
        <f>IF(K$12="Actual",SUMIFS(ActualsTable[Month 9],ActualsTable[Expense Item2],$B117),SUMIFS(Expenses!BJ$8:BJ$69,Expenses!$O$8:$O$69,$B117)+SUMIFS(Headcount!T$395:T$1442,Headcount!$J$395:$J$1442,$B117))</f>
        <v>0</v>
      </c>
      <c r="L117" s="137">
        <f>IF(L$12="Actual",SUMIFS(ActualsTable[Month 10],ActualsTable[Expense Item2],$B117),SUMIFS(Expenses!BK$8:BK$69,Expenses!$O$8:$O$69,$B117)+SUMIFS(Headcount!U$395:U$1442,Headcount!$J$395:$J$1442,$B117))</f>
        <v>0</v>
      </c>
      <c r="M117" s="137">
        <f>IF(M$12="Actual",SUMIFS(ActualsTable[Month 11],ActualsTable[Expense Item2],$B117),SUMIFS(Expenses!BL$8:BL$69,Expenses!$O$8:$O$69,$B117)+SUMIFS(Headcount!V$395:V$1442,Headcount!$J$395:$J$1442,$B117))</f>
        <v>0</v>
      </c>
      <c r="N117" s="137">
        <f>IF(N$12="Actual",SUMIFS(ActualsTable[Month 12],ActualsTable[Expense Item2],$B117),SUMIFS(Expenses!BM$8:BM$69,Expenses!$O$8:$O$69,$B117)+SUMIFS(Headcount!W$395:W$1442,Headcount!$J$395:$J$1442,$B117))</f>
        <v>0</v>
      </c>
      <c r="O117" s="137">
        <f>IF(O$12="Actual",SUMIFS(ActualsTable[Month 13],ActualsTable[Expense Item2],$B117),SUMIFS(Expenses!BN$8:BN$69,Expenses!$O$8:$O$69,$B117)+SUMIFS(Headcount!X$395:X$1442,Headcount!$J$395:$J$1442,$B117))</f>
        <v>0</v>
      </c>
      <c r="P117" s="137">
        <f>IF(P$12="Actual",SUMIFS(ActualsTable[Month 14],ActualsTable[Expense Item2],$B117),SUMIFS(Expenses!BO$8:BO$69,Expenses!$O$8:$O$69,$B117)+SUMIFS(Headcount!Y$395:Y$1442,Headcount!$J$395:$J$1442,$B117))</f>
        <v>0</v>
      </c>
      <c r="Q117" s="137">
        <f>IF(Q$12="Actual",SUMIFS(ActualsTable[Month 15],ActualsTable[Expense Item2],$B117),SUMIFS(Expenses!BP$8:BP$69,Expenses!$O$8:$O$69,$B117)+SUMIFS(Headcount!Z$395:Z$1442,Headcount!$J$395:$J$1442,$B117))</f>
        <v>0</v>
      </c>
      <c r="R117" s="137">
        <f>IF(R$12="Actual",SUMIFS(ActualsTable[Month 16],ActualsTable[Expense Item2],$B117),SUMIFS(Expenses!BQ$8:BQ$69,Expenses!$O$8:$O$69,$B117)+SUMIFS(Headcount!AA$395:AA$1442,Headcount!$J$395:$J$1442,$B117))</f>
        <v>0</v>
      </c>
      <c r="S117" s="137">
        <f>IF(S$12="Actual",SUMIFS(ActualsTable[Month 17],ActualsTable[Expense Item2],$B117),SUMIFS(Expenses!BR$8:BR$69,Expenses!$O$8:$O$69,$B117)+SUMIFS(Headcount!AB$395:AB$1442,Headcount!$J$395:$J$1442,$B117))</f>
        <v>0</v>
      </c>
      <c r="T117" s="137">
        <f>IF(T$12="Actual",SUMIFS(ActualsTable[Month 18],ActualsTable[Expense Item2],$B117),SUMIFS(Expenses!BS$8:BS$69,Expenses!$O$8:$O$69,$B117)+SUMIFS(Headcount!AC$395:AC$1442,Headcount!$J$395:$J$1442,$B117))</f>
        <v>0</v>
      </c>
      <c r="U117" s="137">
        <f>IF(U$12="Actual",SUMIFS(ActualsTable[Month 19],ActualsTable[Expense Item2],$B117),SUMIFS(Expenses!BT$8:BT$69,Expenses!$O$8:$O$69,$B117)+SUMIFS(Headcount!AD$395:AD$1442,Headcount!$J$395:$J$1442,$B117))</f>
        <v>0</v>
      </c>
      <c r="V117" s="137">
        <f>IF(V$12="Actual",SUMIFS(ActualsTable[Month 20],ActualsTable[Expense Item2],$B117),SUMIFS(Expenses!BU$8:BU$69,Expenses!$O$8:$O$69,$B117)+SUMIFS(Headcount!AE$395:AE$1442,Headcount!$J$395:$J$1442,$B117))</f>
        <v>0</v>
      </c>
      <c r="W117" s="137">
        <f>IF(W$12="Actual",SUMIFS(ActualsTable[Month 21],ActualsTable[Expense Item2],$B117),SUMIFS(Expenses!BV$8:BV$69,Expenses!$O$8:$O$69,$B117)+SUMIFS(Headcount!AF$395:AF$1442,Headcount!$J$395:$J$1442,$B117))</f>
        <v>0</v>
      </c>
      <c r="X117" s="137">
        <f>IF(X$12="Actual",SUMIFS(ActualsTable[Month 22],ActualsTable[Expense Item2],$B117),SUMIFS(Expenses!BW$8:BW$69,Expenses!$O$8:$O$69,$B117)+SUMIFS(Headcount!AG$395:AG$1442,Headcount!$J$395:$J$1442,$B117))</f>
        <v>0</v>
      </c>
      <c r="Y117" s="137">
        <f>IF(Y$12="Actual",SUMIFS(ActualsTable[Month 23],ActualsTable[Expense Item2],$B117),SUMIFS(Expenses!BX$8:BX$69,Expenses!$O$8:$O$69,$B117)+SUMIFS(Headcount!AH$395:AH$1442,Headcount!$J$395:$J$1442,$B117))</f>
        <v>0</v>
      </c>
      <c r="Z117" s="137">
        <f>IF(Z$12="Actual",SUMIFS(ActualsTable[Month 24],ActualsTable[Expense Item2],$B117),SUMIFS(Expenses!BY$8:BY$69,Expenses!$O$8:$O$69,$B117)+SUMIFS(Headcount!AI$395:AI$1442,Headcount!$J$395:$J$1442,$B117))</f>
        <v>0</v>
      </c>
      <c r="AA117" s="137">
        <f>IF(AA$12="Actual",SUMIFS(ActualsTable[Month 25],ActualsTable[Expense Item2],$B117),SUMIFS(Expenses!BZ$8:BZ$69,Expenses!$O$8:$O$69,$B117)+SUMIFS(Headcount!AJ$395:AJ$1442,Headcount!$J$395:$J$1442,$B117))</f>
        <v>0</v>
      </c>
      <c r="AB117" s="137">
        <f>IF(AB$12="Actual",SUMIFS(ActualsTable[Month 26],ActualsTable[Expense Item2],$B117),SUMIFS(Expenses!CA$8:CA$69,Expenses!$O$8:$O$69,$B117)+SUMIFS(Headcount!AK$395:AK$1442,Headcount!$J$395:$J$1442,$B117))</f>
        <v>0</v>
      </c>
      <c r="AC117" s="137">
        <f>IF(AC$12="Actual",SUMIFS(ActualsTable[Month 27],ActualsTable[Expense Item2],$B117),SUMIFS(Expenses!CB$8:CB$69,Expenses!$O$8:$O$69,$B117)+SUMIFS(Headcount!AL$395:AL$1442,Headcount!$J$395:$J$1442,$B117))</f>
        <v>0</v>
      </c>
      <c r="AD117" s="137">
        <f>IF(AD$12="Actual",SUMIFS(ActualsTable[Month 28],ActualsTable[Expense Item2],$B117),SUMIFS(Expenses!CC$8:CC$69,Expenses!$O$8:$O$69,$B117)+SUMIFS(Headcount!AM$395:AM$1442,Headcount!$J$395:$J$1442,$B117))</f>
        <v>0</v>
      </c>
      <c r="AE117" s="137">
        <f>IF(AE$12="Actual",SUMIFS(ActualsTable[Month 29],ActualsTable[Expense Item2],$B117),SUMIFS(Expenses!CD$8:CD$69,Expenses!$O$8:$O$69,$B117)+SUMIFS(Headcount!AN$395:AN$1442,Headcount!$J$395:$J$1442,$B117))</f>
        <v>0</v>
      </c>
      <c r="AF117" s="137">
        <f>IF(AF$12="Actual",SUMIFS(ActualsTable[Month 30],ActualsTable[Expense Item2],$B117),SUMIFS(Expenses!CE$8:CE$69,Expenses!$O$8:$O$69,$B117)+SUMIFS(Headcount!AO$395:AO$1442,Headcount!$J$395:$J$1442,$B117))</f>
        <v>0</v>
      </c>
      <c r="AG117" s="137">
        <f>IF(AG$12="Actual",SUMIFS(ActualsTable[Month 31],ActualsTable[Expense Item2],$B117),SUMIFS(Expenses!CF$8:CF$69,Expenses!$O$8:$O$69,$B117)+SUMIFS(Headcount!AP$395:AP$1442,Headcount!$J$395:$J$1442,$B117))</f>
        <v>0</v>
      </c>
      <c r="AH117" s="137">
        <f>IF(AH$12="Actual",SUMIFS(ActualsTable[Month 32],ActualsTable[Expense Item2],$B117),SUMIFS(Expenses!CG$8:CG$69,Expenses!$O$8:$O$69,$B117)+SUMIFS(Headcount!AQ$395:AQ$1442,Headcount!$J$395:$J$1442,$B117))</f>
        <v>0</v>
      </c>
      <c r="AI117" s="137">
        <f>IF(AI$12="Actual",SUMIFS(ActualsTable[Month 33],ActualsTable[Expense Item2],$B117),SUMIFS(Expenses!CH$8:CH$69,Expenses!$O$8:$O$69,$B117)+SUMIFS(Headcount!AR$395:AR$1442,Headcount!$J$395:$J$1442,$B117))</f>
        <v>0</v>
      </c>
      <c r="AJ117" s="137">
        <f>IF(AJ$12="Actual",SUMIFS(ActualsTable[Month 34],ActualsTable[Expense Item2],$B117),SUMIFS(Expenses!CI$8:CI$69,Expenses!$O$8:$O$69,$B117)+SUMIFS(Headcount!AS$395:AS$1442,Headcount!$J$395:$J$1442,$B117))</f>
        <v>0</v>
      </c>
      <c r="AK117" s="137">
        <f>IF(AK$12="Actual",SUMIFS(ActualsTable[Month 35],ActualsTable[Expense Item2],$B117),SUMIFS(Expenses!CJ$8:CJ$69,Expenses!$O$8:$O$69,$B117)+SUMIFS(Headcount!AT$395:AT$1442,Headcount!$J$395:$J$1442,$B117))</f>
        <v>0</v>
      </c>
      <c r="AL117" s="293">
        <f>IF(AL$12="Actual",SUMIFS(ActualsTable[Month 36],ActualsTable[Expense Item2],$B117),SUMIFS(Expenses!CK$8:CK$69,Expenses!$O$8:$O$69,$B117)+SUMIFS(Headcount!AU$395:AU$1442,Headcount!$J$395:$J$1442,$B117))</f>
        <v>0</v>
      </c>
      <c r="AN117" s="319">
        <f t="shared" ca="1" si="205"/>
        <v>0</v>
      </c>
      <c r="AO117" s="137">
        <f t="shared" ca="1" si="205"/>
        <v>0</v>
      </c>
      <c r="AP117" s="137">
        <f t="shared" ca="1" si="205"/>
        <v>0</v>
      </c>
      <c r="AQ117" s="137">
        <f t="shared" ca="1" si="205"/>
        <v>0</v>
      </c>
      <c r="AR117" s="137">
        <f t="shared" ca="1" si="205"/>
        <v>0</v>
      </c>
      <c r="AS117" s="137">
        <f t="shared" ca="1" si="205"/>
        <v>0</v>
      </c>
      <c r="AT117" s="137">
        <f t="shared" ca="1" si="205"/>
        <v>0</v>
      </c>
      <c r="AU117" s="137">
        <f t="shared" ca="1" si="205"/>
        <v>0</v>
      </c>
      <c r="AV117" s="137">
        <f t="shared" ca="1" si="205"/>
        <v>0</v>
      </c>
      <c r="AW117" s="137">
        <f t="shared" ca="1" si="205"/>
        <v>0</v>
      </c>
      <c r="AX117" s="137">
        <f t="shared" ca="1" si="205"/>
        <v>0</v>
      </c>
      <c r="AY117" s="293">
        <f t="shared" ca="1" si="205"/>
        <v>0</v>
      </c>
      <c r="BA117" s="319">
        <f t="shared" ca="1" si="206"/>
        <v>0</v>
      </c>
      <c r="BB117" s="137">
        <f t="shared" ca="1" si="206"/>
        <v>0</v>
      </c>
      <c r="BC117" s="293">
        <f t="shared" ca="1" si="206"/>
        <v>0</v>
      </c>
    </row>
    <row r="118" spans="2:55" x14ac:dyDescent="0.35">
      <c r="B118" s="76" t="s">
        <v>149</v>
      </c>
      <c r="C118" s="137">
        <f>IF(C$12="Actual",SUMIFS(ActualsTable[Month 1],ActualsTable[Expense Item2],$B118),SUMIFS(Expenses!BB$8:BB$69,Expenses!$O$8:$O$69,$B118)+SUMIFS(Headcount!L$395:L$1442,Headcount!$J$395:$J$1442,$B118))</f>
        <v>0</v>
      </c>
      <c r="D118" s="137">
        <f>IF(D$12="Actual",SUMIFS(ActualsTable[Month 2],ActualsTable[Expense Item2],$B118),SUMIFS(Expenses!BC$8:BC$69,Expenses!$O$8:$O$69,$B118)+SUMIFS(Headcount!M$395:M$1442,Headcount!$J$395:$J$1442,$B118))</f>
        <v>0</v>
      </c>
      <c r="E118" s="137">
        <f>IF(E$12="Actual",SUMIFS(ActualsTable[Month 3],ActualsTable[Expense Item2],$B118),SUMIFS(Expenses!BD$8:BD$69,Expenses!$O$8:$O$69,$B118)+SUMIFS(Headcount!N$395:N$1442,Headcount!$J$395:$J$1442,$B118))</f>
        <v>0</v>
      </c>
      <c r="F118" s="137">
        <f>IF(F$12="Actual",SUMIFS(ActualsTable[Month 4],ActualsTable[Expense Item2],$B118),SUMIFS(Expenses!BE$8:BE$69,Expenses!$O$8:$O$69,$B118)+SUMIFS(Headcount!O$395:O$1442,Headcount!$J$395:$J$1442,$B118))</f>
        <v>0</v>
      </c>
      <c r="G118" s="137">
        <f>IF(G$12="Actual",SUMIFS(ActualsTable[Month 5],ActualsTable[Expense Item2],$B118),SUMIFS(Expenses!BF$8:BF$69,Expenses!$O$8:$O$69,$B118)+SUMIFS(Headcount!P$395:P$1442,Headcount!$J$395:$J$1442,$B118))</f>
        <v>0</v>
      </c>
      <c r="H118" s="137">
        <f>IF(H$12="Actual",SUMIFS(ActualsTable[Month 6],ActualsTable[Expense Item2],$B118),SUMIFS(Expenses!BG$8:BG$69,Expenses!$O$8:$O$69,$B118)+SUMIFS(Headcount!Q$395:Q$1442,Headcount!$J$395:$J$1442,$B118))</f>
        <v>0</v>
      </c>
      <c r="I118" s="137">
        <f>IF(I$12="Actual",SUMIFS(ActualsTable[Month 7],ActualsTable[Expense Item2],$B118),SUMIFS(Expenses!BH$8:BH$69,Expenses!$O$8:$O$69,$B118)+SUMIFS(Headcount!R$395:R$1442,Headcount!$J$395:$J$1442,$B118))</f>
        <v>0</v>
      </c>
      <c r="J118" s="137">
        <f>IF(J$12="Actual",SUMIFS(ActualsTable[Month 8],ActualsTable[Expense Item2],$B118),SUMIFS(Expenses!BI$8:BI$69,Expenses!$O$8:$O$69,$B118)+SUMIFS(Headcount!S$395:S$1442,Headcount!$J$395:$J$1442,$B118))</f>
        <v>0</v>
      </c>
      <c r="K118" s="137">
        <f>IF(K$12="Actual",SUMIFS(ActualsTable[Month 9],ActualsTable[Expense Item2],$B118),SUMIFS(Expenses!BJ$8:BJ$69,Expenses!$O$8:$O$69,$B118)+SUMIFS(Headcount!T$395:T$1442,Headcount!$J$395:$J$1442,$B118))</f>
        <v>0</v>
      </c>
      <c r="L118" s="137">
        <f>IF(L$12="Actual",SUMIFS(ActualsTable[Month 10],ActualsTable[Expense Item2],$B118),SUMIFS(Expenses!BK$8:BK$69,Expenses!$O$8:$O$69,$B118)+SUMIFS(Headcount!U$395:U$1442,Headcount!$J$395:$J$1442,$B118))</f>
        <v>0</v>
      </c>
      <c r="M118" s="137">
        <f>IF(M$12="Actual",SUMIFS(ActualsTable[Month 11],ActualsTable[Expense Item2],$B118),SUMIFS(Expenses!BL$8:BL$69,Expenses!$O$8:$O$69,$B118)+SUMIFS(Headcount!V$395:V$1442,Headcount!$J$395:$J$1442,$B118))</f>
        <v>0</v>
      </c>
      <c r="N118" s="137">
        <f>IF(N$12="Actual",SUMIFS(ActualsTable[Month 12],ActualsTable[Expense Item2],$B118),SUMIFS(Expenses!BM$8:BM$69,Expenses!$O$8:$O$69,$B118)+SUMIFS(Headcount!W$395:W$1442,Headcount!$J$395:$J$1442,$B118))</f>
        <v>0</v>
      </c>
      <c r="O118" s="137">
        <f>IF(O$12="Actual",SUMIFS(ActualsTable[Month 13],ActualsTable[Expense Item2],$B118),SUMIFS(Expenses!BN$8:BN$69,Expenses!$O$8:$O$69,$B118)+SUMIFS(Headcount!X$395:X$1442,Headcount!$J$395:$J$1442,$B118))</f>
        <v>0</v>
      </c>
      <c r="P118" s="137">
        <f>IF(P$12="Actual",SUMIFS(ActualsTable[Month 14],ActualsTable[Expense Item2],$B118),SUMIFS(Expenses!BO$8:BO$69,Expenses!$O$8:$O$69,$B118)+SUMIFS(Headcount!Y$395:Y$1442,Headcount!$J$395:$J$1442,$B118))</f>
        <v>0</v>
      </c>
      <c r="Q118" s="137">
        <f>IF(Q$12="Actual",SUMIFS(ActualsTable[Month 15],ActualsTable[Expense Item2],$B118),SUMIFS(Expenses!BP$8:BP$69,Expenses!$O$8:$O$69,$B118)+SUMIFS(Headcount!Z$395:Z$1442,Headcount!$J$395:$J$1442,$B118))</f>
        <v>0</v>
      </c>
      <c r="R118" s="137">
        <f>IF(R$12="Actual",SUMIFS(ActualsTable[Month 16],ActualsTable[Expense Item2],$B118),SUMIFS(Expenses!BQ$8:BQ$69,Expenses!$O$8:$O$69,$B118)+SUMIFS(Headcount!AA$395:AA$1442,Headcount!$J$395:$J$1442,$B118))</f>
        <v>0</v>
      </c>
      <c r="S118" s="137">
        <f>IF(S$12="Actual",SUMIFS(ActualsTable[Month 17],ActualsTable[Expense Item2],$B118),SUMIFS(Expenses!BR$8:BR$69,Expenses!$O$8:$O$69,$B118)+SUMIFS(Headcount!AB$395:AB$1442,Headcount!$J$395:$J$1442,$B118))</f>
        <v>0</v>
      </c>
      <c r="T118" s="137">
        <f>IF(T$12="Actual",SUMIFS(ActualsTable[Month 18],ActualsTable[Expense Item2],$B118),SUMIFS(Expenses!BS$8:BS$69,Expenses!$O$8:$O$69,$B118)+SUMIFS(Headcount!AC$395:AC$1442,Headcount!$J$395:$J$1442,$B118))</f>
        <v>0</v>
      </c>
      <c r="U118" s="137">
        <f>IF(U$12="Actual",SUMIFS(ActualsTable[Month 19],ActualsTable[Expense Item2],$B118),SUMIFS(Expenses!BT$8:BT$69,Expenses!$O$8:$O$69,$B118)+SUMIFS(Headcount!AD$395:AD$1442,Headcount!$J$395:$J$1442,$B118))</f>
        <v>0</v>
      </c>
      <c r="V118" s="137">
        <f>IF(V$12="Actual",SUMIFS(ActualsTable[Month 20],ActualsTable[Expense Item2],$B118),SUMIFS(Expenses!BU$8:BU$69,Expenses!$O$8:$O$69,$B118)+SUMIFS(Headcount!AE$395:AE$1442,Headcount!$J$395:$J$1442,$B118))</f>
        <v>0</v>
      </c>
      <c r="W118" s="137">
        <f>IF(W$12="Actual",SUMIFS(ActualsTable[Month 21],ActualsTable[Expense Item2],$B118),SUMIFS(Expenses!BV$8:BV$69,Expenses!$O$8:$O$69,$B118)+SUMIFS(Headcount!AF$395:AF$1442,Headcount!$J$395:$J$1442,$B118))</f>
        <v>0</v>
      </c>
      <c r="X118" s="137">
        <f>IF(X$12="Actual",SUMIFS(ActualsTable[Month 22],ActualsTable[Expense Item2],$B118),SUMIFS(Expenses!BW$8:BW$69,Expenses!$O$8:$O$69,$B118)+SUMIFS(Headcount!AG$395:AG$1442,Headcount!$J$395:$J$1442,$B118))</f>
        <v>0</v>
      </c>
      <c r="Y118" s="137">
        <f>IF(Y$12="Actual",SUMIFS(ActualsTable[Month 23],ActualsTable[Expense Item2],$B118),SUMIFS(Expenses!BX$8:BX$69,Expenses!$O$8:$O$69,$B118)+SUMIFS(Headcount!AH$395:AH$1442,Headcount!$J$395:$J$1442,$B118))</f>
        <v>0</v>
      </c>
      <c r="Z118" s="137">
        <f>IF(Z$12="Actual",SUMIFS(ActualsTable[Month 24],ActualsTable[Expense Item2],$B118),SUMIFS(Expenses!BY$8:BY$69,Expenses!$O$8:$O$69,$B118)+SUMIFS(Headcount!AI$395:AI$1442,Headcount!$J$395:$J$1442,$B118))</f>
        <v>0</v>
      </c>
      <c r="AA118" s="137">
        <f>IF(AA$12="Actual",SUMIFS(ActualsTable[Month 25],ActualsTable[Expense Item2],$B118),SUMIFS(Expenses!BZ$8:BZ$69,Expenses!$O$8:$O$69,$B118)+SUMIFS(Headcount!AJ$395:AJ$1442,Headcount!$J$395:$J$1442,$B118))</f>
        <v>0</v>
      </c>
      <c r="AB118" s="137">
        <f>IF(AB$12="Actual",SUMIFS(ActualsTable[Month 26],ActualsTable[Expense Item2],$B118),SUMIFS(Expenses!CA$8:CA$69,Expenses!$O$8:$O$69,$B118)+SUMIFS(Headcount!AK$395:AK$1442,Headcount!$J$395:$J$1442,$B118))</f>
        <v>0</v>
      </c>
      <c r="AC118" s="137">
        <f>IF(AC$12="Actual",SUMIFS(ActualsTable[Month 27],ActualsTable[Expense Item2],$B118),SUMIFS(Expenses!CB$8:CB$69,Expenses!$O$8:$O$69,$B118)+SUMIFS(Headcount!AL$395:AL$1442,Headcount!$J$395:$J$1442,$B118))</f>
        <v>0</v>
      </c>
      <c r="AD118" s="137">
        <f>IF(AD$12="Actual",SUMIFS(ActualsTable[Month 28],ActualsTable[Expense Item2],$B118),SUMIFS(Expenses!CC$8:CC$69,Expenses!$O$8:$O$69,$B118)+SUMIFS(Headcount!AM$395:AM$1442,Headcount!$J$395:$J$1442,$B118))</f>
        <v>0</v>
      </c>
      <c r="AE118" s="137">
        <f>IF(AE$12="Actual",SUMIFS(ActualsTable[Month 29],ActualsTable[Expense Item2],$B118),SUMIFS(Expenses!CD$8:CD$69,Expenses!$O$8:$O$69,$B118)+SUMIFS(Headcount!AN$395:AN$1442,Headcount!$J$395:$J$1442,$B118))</f>
        <v>0</v>
      </c>
      <c r="AF118" s="137">
        <f>IF(AF$12="Actual",SUMIFS(ActualsTable[Month 30],ActualsTable[Expense Item2],$B118),SUMIFS(Expenses!CE$8:CE$69,Expenses!$O$8:$O$69,$B118)+SUMIFS(Headcount!AO$395:AO$1442,Headcount!$J$395:$J$1442,$B118))</f>
        <v>0</v>
      </c>
      <c r="AG118" s="137">
        <f>IF(AG$12="Actual",SUMIFS(ActualsTable[Month 31],ActualsTable[Expense Item2],$B118),SUMIFS(Expenses!CF$8:CF$69,Expenses!$O$8:$O$69,$B118)+SUMIFS(Headcount!AP$395:AP$1442,Headcount!$J$395:$J$1442,$B118))</f>
        <v>0</v>
      </c>
      <c r="AH118" s="137">
        <f>IF(AH$12="Actual",SUMIFS(ActualsTable[Month 32],ActualsTable[Expense Item2],$B118),SUMIFS(Expenses!CG$8:CG$69,Expenses!$O$8:$O$69,$B118)+SUMIFS(Headcount!AQ$395:AQ$1442,Headcount!$J$395:$J$1442,$B118))</f>
        <v>0</v>
      </c>
      <c r="AI118" s="137">
        <f>IF(AI$12="Actual",SUMIFS(ActualsTable[Month 33],ActualsTable[Expense Item2],$B118),SUMIFS(Expenses!CH$8:CH$69,Expenses!$O$8:$O$69,$B118)+SUMIFS(Headcount!AR$395:AR$1442,Headcount!$J$395:$J$1442,$B118))</f>
        <v>0</v>
      </c>
      <c r="AJ118" s="137">
        <f>IF(AJ$12="Actual",SUMIFS(ActualsTable[Month 34],ActualsTable[Expense Item2],$B118),SUMIFS(Expenses!CI$8:CI$69,Expenses!$O$8:$O$69,$B118)+SUMIFS(Headcount!AS$395:AS$1442,Headcount!$J$395:$J$1442,$B118))</f>
        <v>0</v>
      </c>
      <c r="AK118" s="137">
        <f>IF(AK$12="Actual",SUMIFS(ActualsTable[Month 35],ActualsTable[Expense Item2],$B118),SUMIFS(Expenses!CJ$8:CJ$69,Expenses!$O$8:$O$69,$B118)+SUMIFS(Headcount!AT$395:AT$1442,Headcount!$J$395:$J$1442,$B118))</f>
        <v>0</v>
      </c>
      <c r="AL118" s="293">
        <f>IF(AL$12="Actual",SUMIFS(ActualsTable[Month 36],ActualsTable[Expense Item2],$B118),SUMIFS(Expenses!CK$8:CK$69,Expenses!$O$8:$O$69,$B118)+SUMIFS(Headcount!AU$395:AU$1442,Headcount!$J$395:$J$1442,$B118))</f>
        <v>0</v>
      </c>
      <c r="AN118" s="319">
        <f t="shared" ca="1" si="205"/>
        <v>0</v>
      </c>
      <c r="AO118" s="137">
        <f t="shared" ca="1" si="205"/>
        <v>0</v>
      </c>
      <c r="AP118" s="137">
        <f t="shared" ca="1" si="205"/>
        <v>0</v>
      </c>
      <c r="AQ118" s="137">
        <f t="shared" ca="1" si="205"/>
        <v>0</v>
      </c>
      <c r="AR118" s="137">
        <f t="shared" ca="1" si="205"/>
        <v>0</v>
      </c>
      <c r="AS118" s="137">
        <f t="shared" ca="1" si="205"/>
        <v>0</v>
      </c>
      <c r="AT118" s="137">
        <f t="shared" ca="1" si="205"/>
        <v>0</v>
      </c>
      <c r="AU118" s="137">
        <f t="shared" ca="1" si="205"/>
        <v>0</v>
      </c>
      <c r="AV118" s="137">
        <f t="shared" ca="1" si="205"/>
        <v>0</v>
      </c>
      <c r="AW118" s="137">
        <f t="shared" ca="1" si="205"/>
        <v>0</v>
      </c>
      <c r="AX118" s="137">
        <f t="shared" ca="1" si="205"/>
        <v>0</v>
      </c>
      <c r="AY118" s="293">
        <f t="shared" ca="1" si="205"/>
        <v>0</v>
      </c>
      <c r="BA118" s="319">
        <f t="shared" ca="1" si="206"/>
        <v>0</v>
      </c>
      <c r="BB118" s="137">
        <f t="shared" ca="1" si="206"/>
        <v>0</v>
      </c>
      <c r="BC118" s="293">
        <f t="shared" ca="1" si="206"/>
        <v>0</v>
      </c>
    </row>
    <row r="119" spans="2:55" x14ac:dyDescent="0.35">
      <c r="B119" s="77" t="s">
        <v>150</v>
      </c>
      <c r="C119" s="140">
        <f t="shared" ref="C119:AT119" si="207">SUM(C120,C123)</f>
        <v>0</v>
      </c>
      <c r="D119" s="140">
        <f t="shared" ref="D119:AL119" si="208">SUM(D120,D123)</f>
        <v>0</v>
      </c>
      <c r="E119" s="140">
        <f t="shared" si="208"/>
        <v>0</v>
      </c>
      <c r="F119" s="140">
        <f t="shared" si="208"/>
        <v>0</v>
      </c>
      <c r="G119" s="140">
        <f t="shared" si="208"/>
        <v>0</v>
      </c>
      <c r="H119" s="140">
        <f t="shared" si="208"/>
        <v>0</v>
      </c>
      <c r="I119" s="140">
        <f t="shared" si="208"/>
        <v>0</v>
      </c>
      <c r="J119" s="140">
        <f t="shared" si="208"/>
        <v>0</v>
      </c>
      <c r="K119" s="140">
        <f t="shared" si="208"/>
        <v>0</v>
      </c>
      <c r="L119" s="140">
        <f t="shared" si="208"/>
        <v>0</v>
      </c>
      <c r="M119" s="140">
        <f t="shared" si="208"/>
        <v>0</v>
      </c>
      <c r="N119" s="140">
        <f t="shared" si="208"/>
        <v>0</v>
      </c>
      <c r="O119" s="140">
        <f t="shared" si="208"/>
        <v>0</v>
      </c>
      <c r="P119" s="140">
        <f t="shared" si="208"/>
        <v>0</v>
      </c>
      <c r="Q119" s="140">
        <f t="shared" si="208"/>
        <v>0</v>
      </c>
      <c r="R119" s="140">
        <f t="shared" si="208"/>
        <v>0</v>
      </c>
      <c r="S119" s="140">
        <f t="shared" si="208"/>
        <v>0</v>
      </c>
      <c r="T119" s="140">
        <f t="shared" si="208"/>
        <v>0</v>
      </c>
      <c r="U119" s="140">
        <f t="shared" si="208"/>
        <v>0</v>
      </c>
      <c r="V119" s="140">
        <f t="shared" si="208"/>
        <v>0</v>
      </c>
      <c r="W119" s="140">
        <f t="shared" si="208"/>
        <v>0</v>
      </c>
      <c r="X119" s="140">
        <f t="shared" si="208"/>
        <v>0</v>
      </c>
      <c r="Y119" s="140">
        <f t="shared" si="208"/>
        <v>0</v>
      </c>
      <c r="Z119" s="140">
        <f t="shared" si="208"/>
        <v>0</v>
      </c>
      <c r="AA119" s="140">
        <f t="shared" si="208"/>
        <v>0</v>
      </c>
      <c r="AB119" s="140">
        <f t="shared" si="208"/>
        <v>0</v>
      </c>
      <c r="AC119" s="140">
        <f t="shared" si="208"/>
        <v>0</v>
      </c>
      <c r="AD119" s="140">
        <f t="shared" si="208"/>
        <v>0</v>
      </c>
      <c r="AE119" s="140">
        <f t="shared" si="208"/>
        <v>0</v>
      </c>
      <c r="AF119" s="140">
        <f t="shared" si="208"/>
        <v>0</v>
      </c>
      <c r="AG119" s="140">
        <f t="shared" si="208"/>
        <v>0</v>
      </c>
      <c r="AH119" s="140">
        <f t="shared" si="208"/>
        <v>0</v>
      </c>
      <c r="AI119" s="140">
        <f t="shared" si="208"/>
        <v>0</v>
      </c>
      <c r="AJ119" s="140">
        <f t="shared" si="208"/>
        <v>0</v>
      </c>
      <c r="AK119" s="140">
        <f t="shared" si="208"/>
        <v>0</v>
      </c>
      <c r="AL119" s="301">
        <f t="shared" si="208"/>
        <v>0</v>
      </c>
      <c r="AN119" s="327">
        <f t="shared" ca="1" si="207"/>
        <v>0</v>
      </c>
      <c r="AO119" s="140">
        <f t="shared" ca="1" si="207"/>
        <v>0</v>
      </c>
      <c r="AP119" s="140">
        <f t="shared" ca="1" si="207"/>
        <v>0</v>
      </c>
      <c r="AQ119" s="140">
        <f t="shared" ca="1" si="207"/>
        <v>0</v>
      </c>
      <c r="AR119" s="140">
        <f t="shared" ca="1" si="207"/>
        <v>0</v>
      </c>
      <c r="AS119" s="140">
        <f t="shared" ca="1" si="207"/>
        <v>0</v>
      </c>
      <c r="AT119" s="140">
        <f t="shared" ca="1" si="207"/>
        <v>0</v>
      </c>
      <c r="AU119" s="140">
        <f t="shared" ref="AU119:AY119" ca="1" si="209">SUM(AU120,AU123)</f>
        <v>0</v>
      </c>
      <c r="AV119" s="140">
        <f t="shared" ca="1" si="209"/>
        <v>0</v>
      </c>
      <c r="AW119" s="140">
        <f t="shared" ca="1" si="209"/>
        <v>0</v>
      </c>
      <c r="AX119" s="140">
        <f t="shared" ca="1" si="209"/>
        <v>0</v>
      </c>
      <c r="AY119" s="301">
        <f t="shared" ca="1" si="209"/>
        <v>0</v>
      </c>
      <c r="BA119" s="327">
        <f t="shared" ref="BA119" ca="1" si="210">SUM(BA120,BA123)</f>
        <v>0</v>
      </c>
      <c r="BB119" s="140">
        <f t="shared" ref="BB119:BC119" ca="1" si="211">SUM(BB120,BB123)</f>
        <v>0</v>
      </c>
      <c r="BC119" s="301">
        <f t="shared" ca="1" si="211"/>
        <v>0</v>
      </c>
    </row>
    <row r="120" spans="2:55" x14ac:dyDescent="0.35">
      <c r="B120" s="79" t="s">
        <v>151</v>
      </c>
      <c r="C120" s="131">
        <f t="shared" ref="C120:AN120" si="212">SUM(C121:C122)</f>
        <v>0</v>
      </c>
      <c r="D120" s="131">
        <f t="shared" ref="D120:AL120" si="213">SUM(D121:D122)</f>
        <v>0</v>
      </c>
      <c r="E120" s="131">
        <f t="shared" si="213"/>
        <v>0</v>
      </c>
      <c r="F120" s="131">
        <f t="shared" si="213"/>
        <v>0</v>
      </c>
      <c r="G120" s="131">
        <f t="shared" si="213"/>
        <v>0</v>
      </c>
      <c r="H120" s="131">
        <f t="shared" si="213"/>
        <v>0</v>
      </c>
      <c r="I120" s="131">
        <f t="shared" si="213"/>
        <v>0</v>
      </c>
      <c r="J120" s="131">
        <f t="shared" si="213"/>
        <v>0</v>
      </c>
      <c r="K120" s="131">
        <f t="shared" si="213"/>
        <v>0</v>
      </c>
      <c r="L120" s="131">
        <f t="shared" si="213"/>
        <v>0</v>
      </c>
      <c r="M120" s="131">
        <f t="shared" si="213"/>
        <v>0</v>
      </c>
      <c r="N120" s="131">
        <f t="shared" si="213"/>
        <v>0</v>
      </c>
      <c r="O120" s="131">
        <f t="shared" si="213"/>
        <v>0</v>
      </c>
      <c r="P120" s="131">
        <f t="shared" si="213"/>
        <v>0</v>
      </c>
      <c r="Q120" s="131">
        <f t="shared" si="213"/>
        <v>0</v>
      </c>
      <c r="R120" s="131">
        <f t="shared" si="213"/>
        <v>0</v>
      </c>
      <c r="S120" s="131">
        <f t="shared" si="213"/>
        <v>0</v>
      </c>
      <c r="T120" s="131">
        <f t="shared" si="213"/>
        <v>0</v>
      </c>
      <c r="U120" s="131">
        <f t="shared" si="213"/>
        <v>0</v>
      </c>
      <c r="V120" s="131">
        <f t="shared" si="213"/>
        <v>0</v>
      </c>
      <c r="W120" s="131">
        <f t="shared" si="213"/>
        <v>0</v>
      </c>
      <c r="X120" s="131">
        <f t="shared" si="213"/>
        <v>0</v>
      </c>
      <c r="Y120" s="131">
        <f t="shared" si="213"/>
        <v>0</v>
      </c>
      <c r="Z120" s="131">
        <f t="shared" si="213"/>
        <v>0</v>
      </c>
      <c r="AA120" s="131">
        <f t="shared" si="213"/>
        <v>0</v>
      </c>
      <c r="AB120" s="131">
        <f t="shared" si="213"/>
        <v>0</v>
      </c>
      <c r="AC120" s="131">
        <f t="shared" si="213"/>
        <v>0</v>
      </c>
      <c r="AD120" s="131">
        <f t="shared" si="213"/>
        <v>0</v>
      </c>
      <c r="AE120" s="131">
        <f t="shared" si="213"/>
        <v>0</v>
      </c>
      <c r="AF120" s="131">
        <f t="shared" si="213"/>
        <v>0</v>
      </c>
      <c r="AG120" s="131">
        <f t="shared" si="213"/>
        <v>0</v>
      </c>
      <c r="AH120" s="131">
        <f t="shared" si="213"/>
        <v>0</v>
      </c>
      <c r="AI120" s="131">
        <f t="shared" si="213"/>
        <v>0</v>
      </c>
      <c r="AJ120" s="131">
        <f t="shared" si="213"/>
        <v>0</v>
      </c>
      <c r="AK120" s="131">
        <f t="shared" si="213"/>
        <v>0</v>
      </c>
      <c r="AL120" s="291">
        <f t="shared" si="213"/>
        <v>0</v>
      </c>
      <c r="AN120" s="317">
        <f t="shared" ca="1" si="212"/>
        <v>0</v>
      </c>
      <c r="AO120" s="131">
        <f t="shared" ref="AO120:AT120" ca="1" si="214">SUM(AO121:AO122)</f>
        <v>0</v>
      </c>
      <c r="AP120" s="131">
        <f t="shared" ca="1" si="214"/>
        <v>0</v>
      </c>
      <c r="AQ120" s="131">
        <f t="shared" ca="1" si="214"/>
        <v>0</v>
      </c>
      <c r="AR120" s="131">
        <f t="shared" ca="1" si="214"/>
        <v>0</v>
      </c>
      <c r="AS120" s="131">
        <f t="shared" ca="1" si="214"/>
        <v>0</v>
      </c>
      <c r="AT120" s="131">
        <f t="shared" ca="1" si="214"/>
        <v>0</v>
      </c>
      <c r="AU120" s="131">
        <f t="shared" ref="AU120:AY120" ca="1" si="215">SUM(AU121:AU122)</f>
        <v>0</v>
      </c>
      <c r="AV120" s="131">
        <f t="shared" ca="1" si="215"/>
        <v>0</v>
      </c>
      <c r="AW120" s="131">
        <f t="shared" ca="1" si="215"/>
        <v>0</v>
      </c>
      <c r="AX120" s="131">
        <f t="shared" ca="1" si="215"/>
        <v>0</v>
      </c>
      <c r="AY120" s="291">
        <f t="shared" ca="1" si="215"/>
        <v>0</v>
      </c>
      <c r="BA120" s="317">
        <f t="shared" ref="BA120" ca="1" si="216">SUM(BA121:BA122)</f>
        <v>0</v>
      </c>
      <c r="BB120" s="131">
        <f t="shared" ref="BB120:BC120" ca="1" si="217">SUM(BB121:BB122)</f>
        <v>0</v>
      </c>
      <c r="BC120" s="291">
        <f t="shared" ca="1" si="217"/>
        <v>0</v>
      </c>
    </row>
    <row r="121" spans="2:55" x14ac:dyDescent="0.35">
      <c r="B121" s="80" t="s">
        <v>152</v>
      </c>
      <c r="C121" s="137">
        <f>IF(C$12="Actual",SUMIFS(ActualsTable[Month 1],ActualsTable[Expense Item2],$B121),SUMIFS(Expenses!BB$8:BB$69,Expenses!$O$8:$O$69,$B121)+SUMIFS(Headcount!L$395:L$1442,Headcount!$J$395:$J$1442,$B121))</f>
        <v>0</v>
      </c>
      <c r="D121" s="137">
        <f>IF(D$12="Actual",SUMIFS(ActualsTable[Month 2],ActualsTable[Expense Item2],$B121),SUMIFS(Expenses!BC$8:BC$69,Expenses!$O$8:$O$69,$B121)+SUMIFS(Headcount!M$395:M$1442,Headcount!$J$395:$J$1442,$B121))</f>
        <v>0</v>
      </c>
      <c r="E121" s="137">
        <f>IF(E$12="Actual",SUMIFS(ActualsTable[Month 3],ActualsTable[Expense Item2],$B121),SUMIFS(Expenses!BD$8:BD$69,Expenses!$O$8:$O$69,$B121)+SUMIFS(Headcount!N$395:N$1442,Headcount!$J$395:$J$1442,$B121))</f>
        <v>0</v>
      </c>
      <c r="F121" s="137">
        <f>IF(F$12="Actual",SUMIFS(ActualsTable[Month 4],ActualsTable[Expense Item2],$B121),SUMIFS(Expenses!BE$8:BE$69,Expenses!$O$8:$O$69,$B121)+SUMIFS(Headcount!O$395:O$1442,Headcount!$J$395:$J$1442,$B121))</f>
        <v>0</v>
      </c>
      <c r="G121" s="137">
        <f>IF(G$12="Actual",SUMIFS(ActualsTable[Month 5],ActualsTable[Expense Item2],$B121),SUMIFS(Expenses!BF$8:BF$69,Expenses!$O$8:$O$69,$B121)+SUMIFS(Headcount!P$395:P$1442,Headcount!$J$395:$J$1442,$B121))</f>
        <v>0</v>
      </c>
      <c r="H121" s="137">
        <f>IF(H$12="Actual",SUMIFS(ActualsTable[Month 6],ActualsTable[Expense Item2],$B121),SUMIFS(Expenses!BG$8:BG$69,Expenses!$O$8:$O$69,$B121)+SUMIFS(Headcount!Q$395:Q$1442,Headcount!$J$395:$J$1442,$B121))</f>
        <v>0</v>
      </c>
      <c r="I121" s="137">
        <f>IF(I$12="Actual",SUMIFS(ActualsTable[Month 7],ActualsTable[Expense Item2],$B121),SUMIFS(Expenses!BH$8:BH$69,Expenses!$O$8:$O$69,$B121)+SUMIFS(Headcount!R$395:R$1442,Headcount!$J$395:$J$1442,$B121))</f>
        <v>0</v>
      </c>
      <c r="J121" s="137">
        <f>IF(J$12="Actual",SUMIFS(ActualsTable[Month 8],ActualsTable[Expense Item2],$B121),SUMIFS(Expenses!BI$8:BI$69,Expenses!$O$8:$O$69,$B121)+SUMIFS(Headcount!S$395:S$1442,Headcount!$J$395:$J$1442,$B121))</f>
        <v>0</v>
      </c>
      <c r="K121" s="137">
        <f>IF(K$12="Actual",SUMIFS(ActualsTable[Month 9],ActualsTable[Expense Item2],$B121),SUMIFS(Expenses!BJ$8:BJ$69,Expenses!$O$8:$O$69,$B121)+SUMIFS(Headcount!T$395:T$1442,Headcount!$J$395:$J$1442,$B121))</f>
        <v>0</v>
      </c>
      <c r="L121" s="137">
        <f>IF(L$12="Actual",SUMIFS(ActualsTable[Month 10],ActualsTable[Expense Item2],$B121),SUMIFS(Expenses!BK$8:BK$69,Expenses!$O$8:$O$69,$B121)+SUMIFS(Headcount!U$395:U$1442,Headcount!$J$395:$J$1442,$B121))</f>
        <v>0</v>
      </c>
      <c r="M121" s="137">
        <f>IF(M$12="Actual",SUMIFS(ActualsTable[Month 11],ActualsTable[Expense Item2],$B121),SUMIFS(Expenses!BL$8:BL$69,Expenses!$O$8:$O$69,$B121)+SUMIFS(Headcount!V$395:V$1442,Headcount!$J$395:$J$1442,$B121))</f>
        <v>0</v>
      </c>
      <c r="N121" s="137">
        <f>IF(N$12="Actual",SUMIFS(ActualsTable[Month 12],ActualsTable[Expense Item2],$B121),SUMIFS(Expenses!BM$8:BM$69,Expenses!$O$8:$O$69,$B121)+SUMIFS(Headcount!W$395:W$1442,Headcount!$J$395:$J$1442,$B121))</f>
        <v>0</v>
      </c>
      <c r="O121" s="137">
        <f>IF(O$12="Actual",SUMIFS(ActualsTable[Month 13],ActualsTable[Expense Item2],$B121),SUMIFS(Expenses!BN$8:BN$69,Expenses!$O$8:$O$69,$B121)+SUMIFS(Headcount!X$395:X$1442,Headcount!$J$395:$J$1442,$B121))</f>
        <v>0</v>
      </c>
      <c r="P121" s="137">
        <f>IF(P$12="Actual",SUMIFS(ActualsTable[Month 14],ActualsTable[Expense Item2],$B121),SUMIFS(Expenses!BO$8:BO$69,Expenses!$O$8:$O$69,$B121)+SUMIFS(Headcount!Y$395:Y$1442,Headcount!$J$395:$J$1442,$B121))</f>
        <v>0</v>
      </c>
      <c r="Q121" s="137">
        <f>IF(Q$12="Actual",SUMIFS(ActualsTable[Month 15],ActualsTable[Expense Item2],$B121),SUMIFS(Expenses!BP$8:BP$69,Expenses!$O$8:$O$69,$B121)+SUMIFS(Headcount!Z$395:Z$1442,Headcount!$J$395:$J$1442,$B121))</f>
        <v>0</v>
      </c>
      <c r="R121" s="137">
        <f>IF(R$12="Actual",SUMIFS(ActualsTable[Month 16],ActualsTable[Expense Item2],$B121),SUMIFS(Expenses!BQ$8:BQ$69,Expenses!$O$8:$O$69,$B121)+SUMIFS(Headcount!AA$395:AA$1442,Headcount!$J$395:$J$1442,$B121))</f>
        <v>0</v>
      </c>
      <c r="S121" s="137">
        <f>IF(S$12="Actual",SUMIFS(ActualsTable[Month 17],ActualsTable[Expense Item2],$B121),SUMIFS(Expenses!BR$8:BR$69,Expenses!$O$8:$O$69,$B121)+SUMIFS(Headcount!AB$395:AB$1442,Headcount!$J$395:$J$1442,$B121))</f>
        <v>0</v>
      </c>
      <c r="T121" s="137">
        <f>IF(T$12="Actual",SUMIFS(ActualsTable[Month 18],ActualsTable[Expense Item2],$B121),SUMIFS(Expenses!BS$8:BS$69,Expenses!$O$8:$O$69,$B121)+SUMIFS(Headcount!AC$395:AC$1442,Headcount!$J$395:$J$1442,$B121))</f>
        <v>0</v>
      </c>
      <c r="U121" s="137">
        <f>IF(U$12="Actual",SUMIFS(ActualsTable[Month 19],ActualsTable[Expense Item2],$B121),SUMIFS(Expenses!BT$8:BT$69,Expenses!$O$8:$O$69,$B121)+SUMIFS(Headcount!AD$395:AD$1442,Headcount!$J$395:$J$1442,$B121))</f>
        <v>0</v>
      </c>
      <c r="V121" s="137">
        <f>IF(V$12="Actual",SUMIFS(ActualsTable[Month 20],ActualsTable[Expense Item2],$B121),SUMIFS(Expenses!BU$8:BU$69,Expenses!$O$8:$O$69,$B121)+SUMIFS(Headcount!AE$395:AE$1442,Headcount!$J$395:$J$1442,$B121))</f>
        <v>0</v>
      </c>
      <c r="W121" s="137">
        <f>IF(W$12="Actual",SUMIFS(ActualsTable[Month 21],ActualsTable[Expense Item2],$B121),SUMIFS(Expenses!BV$8:BV$69,Expenses!$O$8:$O$69,$B121)+SUMIFS(Headcount!AF$395:AF$1442,Headcount!$J$395:$J$1442,$B121))</f>
        <v>0</v>
      </c>
      <c r="X121" s="137">
        <f>IF(X$12="Actual",SUMIFS(ActualsTable[Month 22],ActualsTable[Expense Item2],$B121),SUMIFS(Expenses!BW$8:BW$69,Expenses!$O$8:$O$69,$B121)+SUMIFS(Headcount!AG$395:AG$1442,Headcount!$J$395:$J$1442,$B121))</f>
        <v>0</v>
      </c>
      <c r="Y121" s="137">
        <f>IF(Y$12="Actual",SUMIFS(ActualsTable[Month 23],ActualsTable[Expense Item2],$B121),SUMIFS(Expenses!BX$8:BX$69,Expenses!$O$8:$O$69,$B121)+SUMIFS(Headcount!AH$395:AH$1442,Headcount!$J$395:$J$1442,$B121))</f>
        <v>0</v>
      </c>
      <c r="Z121" s="137">
        <f>IF(Z$12="Actual",SUMIFS(ActualsTable[Month 24],ActualsTable[Expense Item2],$B121),SUMIFS(Expenses!BY$8:BY$69,Expenses!$O$8:$O$69,$B121)+SUMIFS(Headcount!AI$395:AI$1442,Headcount!$J$395:$J$1442,$B121))</f>
        <v>0</v>
      </c>
      <c r="AA121" s="137">
        <f>IF(AA$12="Actual",SUMIFS(ActualsTable[Month 25],ActualsTable[Expense Item2],$B121),SUMIFS(Expenses!BZ$8:BZ$69,Expenses!$O$8:$O$69,$B121)+SUMIFS(Headcount!AJ$395:AJ$1442,Headcount!$J$395:$J$1442,$B121))</f>
        <v>0</v>
      </c>
      <c r="AB121" s="137">
        <f>IF(AB$12="Actual",SUMIFS(ActualsTable[Month 26],ActualsTable[Expense Item2],$B121),SUMIFS(Expenses!CA$8:CA$69,Expenses!$O$8:$O$69,$B121)+SUMIFS(Headcount!AK$395:AK$1442,Headcount!$J$395:$J$1442,$B121))</f>
        <v>0</v>
      </c>
      <c r="AC121" s="137">
        <f>IF(AC$12="Actual",SUMIFS(ActualsTable[Month 27],ActualsTable[Expense Item2],$B121),SUMIFS(Expenses!CB$8:CB$69,Expenses!$O$8:$O$69,$B121)+SUMIFS(Headcount!AL$395:AL$1442,Headcount!$J$395:$J$1442,$B121))</f>
        <v>0</v>
      </c>
      <c r="AD121" s="137">
        <f>IF(AD$12="Actual",SUMIFS(ActualsTable[Month 28],ActualsTable[Expense Item2],$B121),SUMIFS(Expenses!CC$8:CC$69,Expenses!$O$8:$O$69,$B121)+SUMIFS(Headcount!AM$395:AM$1442,Headcount!$J$395:$J$1442,$B121))</f>
        <v>0</v>
      </c>
      <c r="AE121" s="137">
        <f>IF(AE$12="Actual",SUMIFS(ActualsTable[Month 29],ActualsTable[Expense Item2],$B121),SUMIFS(Expenses!CD$8:CD$69,Expenses!$O$8:$O$69,$B121)+SUMIFS(Headcount!AN$395:AN$1442,Headcount!$J$395:$J$1442,$B121))</f>
        <v>0</v>
      </c>
      <c r="AF121" s="137">
        <f>IF(AF$12="Actual",SUMIFS(ActualsTable[Month 30],ActualsTable[Expense Item2],$B121),SUMIFS(Expenses!CE$8:CE$69,Expenses!$O$8:$O$69,$B121)+SUMIFS(Headcount!AO$395:AO$1442,Headcount!$J$395:$J$1442,$B121))</f>
        <v>0</v>
      </c>
      <c r="AG121" s="137">
        <f>IF(AG$12="Actual",SUMIFS(ActualsTable[Month 31],ActualsTable[Expense Item2],$B121),SUMIFS(Expenses!CF$8:CF$69,Expenses!$O$8:$O$69,$B121)+SUMIFS(Headcount!AP$395:AP$1442,Headcount!$J$395:$J$1442,$B121))</f>
        <v>0</v>
      </c>
      <c r="AH121" s="137">
        <f>IF(AH$12="Actual",SUMIFS(ActualsTable[Month 32],ActualsTable[Expense Item2],$B121),SUMIFS(Expenses!CG$8:CG$69,Expenses!$O$8:$O$69,$B121)+SUMIFS(Headcount!AQ$395:AQ$1442,Headcount!$J$395:$J$1442,$B121))</f>
        <v>0</v>
      </c>
      <c r="AI121" s="137">
        <f>IF(AI$12="Actual",SUMIFS(ActualsTable[Month 33],ActualsTable[Expense Item2],$B121),SUMIFS(Expenses!CH$8:CH$69,Expenses!$O$8:$O$69,$B121)+SUMIFS(Headcount!AR$395:AR$1442,Headcount!$J$395:$J$1442,$B121))</f>
        <v>0</v>
      </c>
      <c r="AJ121" s="137">
        <f>IF(AJ$12="Actual",SUMIFS(ActualsTable[Month 34],ActualsTable[Expense Item2],$B121),SUMIFS(Expenses!CI$8:CI$69,Expenses!$O$8:$O$69,$B121)+SUMIFS(Headcount!AS$395:AS$1442,Headcount!$J$395:$J$1442,$B121))</f>
        <v>0</v>
      </c>
      <c r="AK121" s="137">
        <f>IF(AK$12="Actual",SUMIFS(ActualsTable[Month 35],ActualsTable[Expense Item2],$B121),SUMIFS(Expenses!CJ$8:CJ$69,Expenses!$O$8:$O$69,$B121)+SUMIFS(Headcount!AT$395:AT$1442,Headcount!$J$395:$J$1442,$B121))</f>
        <v>0</v>
      </c>
      <c r="AL121" s="293">
        <f>IF(AL$12="Actual",SUMIFS(ActualsTable[Month 36],ActualsTable[Expense Item2],$B121),SUMIFS(Expenses!CK$8:CK$69,Expenses!$O$8:$O$69,$B121)+SUMIFS(Headcount!AU$395:AU$1442,Headcount!$J$395:$J$1442,$B121))</f>
        <v>0</v>
      </c>
      <c r="AN121" s="319">
        <f t="shared" ref="AN121:AY122" ca="1" si="218">SUM(OFFSET($B121,0,3*AN$9+1,1,3))</f>
        <v>0</v>
      </c>
      <c r="AO121" s="137">
        <f t="shared" ca="1" si="218"/>
        <v>0</v>
      </c>
      <c r="AP121" s="137">
        <f t="shared" ca="1" si="218"/>
        <v>0</v>
      </c>
      <c r="AQ121" s="137">
        <f t="shared" ca="1" si="218"/>
        <v>0</v>
      </c>
      <c r="AR121" s="137">
        <f t="shared" ca="1" si="218"/>
        <v>0</v>
      </c>
      <c r="AS121" s="137">
        <f t="shared" ca="1" si="218"/>
        <v>0</v>
      </c>
      <c r="AT121" s="137">
        <f t="shared" ca="1" si="218"/>
        <v>0</v>
      </c>
      <c r="AU121" s="137">
        <f t="shared" ca="1" si="218"/>
        <v>0</v>
      </c>
      <c r="AV121" s="137">
        <f t="shared" ca="1" si="218"/>
        <v>0</v>
      </c>
      <c r="AW121" s="137">
        <f t="shared" ca="1" si="218"/>
        <v>0</v>
      </c>
      <c r="AX121" s="137">
        <f t="shared" ca="1" si="218"/>
        <v>0</v>
      </c>
      <c r="AY121" s="293">
        <f t="shared" ca="1" si="218"/>
        <v>0</v>
      </c>
      <c r="BA121" s="319">
        <f t="shared" ref="BA121:BC122" ca="1" si="219">SUM(OFFSET($B121,0,12*BA$9+1,1,12))</f>
        <v>0</v>
      </c>
      <c r="BB121" s="137">
        <f t="shared" ca="1" si="219"/>
        <v>0</v>
      </c>
      <c r="BC121" s="293">
        <f t="shared" ca="1" si="219"/>
        <v>0</v>
      </c>
    </row>
    <row r="122" spans="2:55" x14ac:dyDescent="0.35">
      <c r="B122" s="80" t="s">
        <v>153</v>
      </c>
      <c r="C122" s="137">
        <f>IF(C$12="Actual",SUMIFS(ActualsTable[Month 1],ActualsTable[Expense Item2],$B122),SUMIFS(Expenses!BB$8:BB$69,Expenses!$O$8:$O$69,$B122)+SUMIFS(Headcount!L$395:L$1442,Headcount!$J$395:$J$1442,$B122))</f>
        <v>0</v>
      </c>
      <c r="D122" s="137">
        <f>IF(D$12="Actual",SUMIFS(ActualsTable[Month 2],ActualsTable[Expense Item2],$B122),SUMIFS(Expenses!BC$8:BC$69,Expenses!$O$8:$O$69,$B122)+SUMIFS(Headcount!M$395:M$1442,Headcount!$J$395:$J$1442,$B122))</f>
        <v>0</v>
      </c>
      <c r="E122" s="137">
        <f>IF(E$12="Actual",SUMIFS(ActualsTable[Month 3],ActualsTable[Expense Item2],$B122),SUMIFS(Expenses!BD$8:BD$69,Expenses!$O$8:$O$69,$B122)+SUMIFS(Headcount!N$395:N$1442,Headcount!$J$395:$J$1442,$B122))</f>
        <v>0</v>
      </c>
      <c r="F122" s="137">
        <f>IF(F$12="Actual",SUMIFS(ActualsTable[Month 4],ActualsTable[Expense Item2],$B122),SUMIFS(Expenses!BE$8:BE$69,Expenses!$O$8:$O$69,$B122)+SUMIFS(Headcount!O$395:O$1442,Headcount!$J$395:$J$1442,$B122))</f>
        <v>0</v>
      </c>
      <c r="G122" s="137">
        <f>IF(G$12="Actual",SUMIFS(ActualsTable[Month 5],ActualsTable[Expense Item2],$B122),SUMIFS(Expenses!BF$8:BF$69,Expenses!$O$8:$O$69,$B122)+SUMIFS(Headcount!P$395:P$1442,Headcount!$J$395:$J$1442,$B122))</f>
        <v>0</v>
      </c>
      <c r="H122" s="137">
        <f>IF(H$12="Actual",SUMIFS(ActualsTable[Month 6],ActualsTable[Expense Item2],$B122),SUMIFS(Expenses!BG$8:BG$69,Expenses!$O$8:$O$69,$B122)+SUMIFS(Headcount!Q$395:Q$1442,Headcount!$J$395:$J$1442,$B122))</f>
        <v>0</v>
      </c>
      <c r="I122" s="137">
        <f>IF(I$12="Actual",SUMIFS(ActualsTable[Month 7],ActualsTable[Expense Item2],$B122),SUMIFS(Expenses!BH$8:BH$69,Expenses!$O$8:$O$69,$B122)+SUMIFS(Headcount!R$395:R$1442,Headcount!$J$395:$J$1442,$B122))</f>
        <v>0</v>
      </c>
      <c r="J122" s="137">
        <f>IF(J$12="Actual",SUMIFS(ActualsTable[Month 8],ActualsTable[Expense Item2],$B122),SUMIFS(Expenses!BI$8:BI$69,Expenses!$O$8:$O$69,$B122)+SUMIFS(Headcount!S$395:S$1442,Headcount!$J$395:$J$1442,$B122))</f>
        <v>0</v>
      </c>
      <c r="K122" s="137">
        <f>IF(K$12="Actual",SUMIFS(ActualsTable[Month 9],ActualsTable[Expense Item2],$B122),SUMIFS(Expenses!BJ$8:BJ$69,Expenses!$O$8:$O$69,$B122)+SUMIFS(Headcount!T$395:T$1442,Headcount!$J$395:$J$1442,$B122))</f>
        <v>0</v>
      </c>
      <c r="L122" s="137">
        <f>IF(L$12="Actual",SUMIFS(ActualsTable[Month 10],ActualsTable[Expense Item2],$B122),SUMIFS(Expenses!BK$8:BK$69,Expenses!$O$8:$O$69,$B122)+SUMIFS(Headcount!U$395:U$1442,Headcount!$J$395:$J$1442,$B122))</f>
        <v>0</v>
      </c>
      <c r="M122" s="137">
        <f>IF(M$12="Actual",SUMIFS(ActualsTable[Month 11],ActualsTable[Expense Item2],$B122),SUMIFS(Expenses!BL$8:BL$69,Expenses!$O$8:$O$69,$B122)+SUMIFS(Headcount!V$395:V$1442,Headcount!$J$395:$J$1442,$B122))</f>
        <v>0</v>
      </c>
      <c r="N122" s="137">
        <f>IF(N$12="Actual",SUMIFS(ActualsTable[Month 12],ActualsTable[Expense Item2],$B122),SUMIFS(Expenses!BM$8:BM$69,Expenses!$O$8:$O$69,$B122)+SUMIFS(Headcount!W$395:W$1442,Headcount!$J$395:$J$1442,$B122))</f>
        <v>0</v>
      </c>
      <c r="O122" s="137">
        <f>IF(O$12="Actual",SUMIFS(ActualsTable[Month 13],ActualsTable[Expense Item2],$B122),SUMIFS(Expenses!BN$8:BN$69,Expenses!$O$8:$O$69,$B122)+SUMIFS(Headcount!X$395:X$1442,Headcount!$J$395:$J$1442,$B122))</f>
        <v>0</v>
      </c>
      <c r="P122" s="137">
        <f>IF(P$12="Actual",SUMIFS(ActualsTable[Month 14],ActualsTable[Expense Item2],$B122),SUMIFS(Expenses!BO$8:BO$69,Expenses!$O$8:$O$69,$B122)+SUMIFS(Headcount!Y$395:Y$1442,Headcount!$J$395:$J$1442,$B122))</f>
        <v>0</v>
      </c>
      <c r="Q122" s="137">
        <f>IF(Q$12="Actual",SUMIFS(ActualsTable[Month 15],ActualsTable[Expense Item2],$B122),SUMIFS(Expenses!BP$8:BP$69,Expenses!$O$8:$O$69,$B122)+SUMIFS(Headcount!Z$395:Z$1442,Headcount!$J$395:$J$1442,$B122))</f>
        <v>0</v>
      </c>
      <c r="R122" s="137">
        <f>IF(R$12="Actual",SUMIFS(ActualsTable[Month 16],ActualsTable[Expense Item2],$B122),SUMIFS(Expenses!BQ$8:BQ$69,Expenses!$O$8:$O$69,$B122)+SUMIFS(Headcount!AA$395:AA$1442,Headcount!$J$395:$J$1442,$B122))</f>
        <v>0</v>
      </c>
      <c r="S122" s="137">
        <f>IF(S$12="Actual",SUMIFS(ActualsTable[Month 17],ActualsTable[Expense Item2],$B122),SUMIFS(Expenses!BR$8:BR$69,Expenses!$O$8:$O$69,$B122)+SUMIFS(Headcount!AB$395:AB$1442,Headcount!$J$395:$J$1442,$B122))</f>
        <v>0</v>
      </c>
      <c r="T122" s="137">
        <f>IF(T$12="Actual",SUMIFS(ActualsTable[Month 18],ActualsTable[Expense Item2],$B122),SUMIFS(Expenses!BS$8:BS$69,Expenses!$O$8:$O$69,$B122)+SUMIFS(Headcount!AC$395:AC$1442,Headcount!$J$395:$J$1442,$B122))</f>
        <v>0</v>
      </c>
      <c r="U122" s="137">
        <f>IF(U$12="Actual",SUMIFS(ActualsTable[Month 19],ActualsTable[Expense Item2],$B122),SUMIFS(Expenses!BT$8:BT$69,Expenses!$O$8:$O$69,$B122)+SUMIFS(Headcount!AD$395:AD$1442,Headcount!$J$395:$J$1442,$B122))</f>
        <v>0</v>
      </c>
      <c r="V122" s="137">
        <f>IF(V$12="Actual",SUMIFS(ActualsTable[Month 20],ActualsTable[Expense Item2],$B122),SUMIFS(Expenses!BU$8:BU$69,Expenses!$O$8:$O$69,$B122)+SUMIFS(Headcount!AE$395:AE$1442,Headcount!$J$395:$J$1442,$B122))</f>
        <v>0</v>
      </c>
      <c r="W122" s="137">
        <f>IF(W$12="Actual",SUMIFS(ActualsTable[Month 21],ActualsTable[Expense Item2],$B122),SUMIFS(Expenses!BV$8:BV$69,Expenses!$O$8:$O$69,$B122)+SUMIFS(Headcount!AF$395:AF$1442,Headcount!$J$395:$J$1442,$B122))</f>
        <v>0</v>
      </c>
      <c r="X122" s="137">
        <f>IF(X$12="Actual",SUMIFS(ActualsTable[Month 22],ActualsTable[Expense Item2],$B122),SUMIFS(Expenses!BW$8:BW$69,Expenses!$O$8:$O$69,$B122)+SUMIFS(Headcount!AG$395:AG$1442,Headcount!$J$395:$J$1442,$B122))</f>
        <v>0</v>
      </c>
      <c r="Y122" s="137">
        <f>IF(Y$12="Actual",SUMIFS(ActualsTable[Month 23],ActualsTable[Expense Item2],$B122),SUMIFS(Expenses!BX$8:BX$69,Expenses!$O$8:$O$69,$B122)+SUMIFS(Headcount!AH$395:AH$1442,Headcount!$J$395:$J$1442,$B122))</f>
        <v>0</v>
      </c>
      <c r="Z122" s="137">
        <f>IF(Z$12="Actual",SUMIFS(ActualsTable[Month 24],ActualsTable[Expense Item2],$B122),SUMIFS(Expenses!BY$8:BY$69,Expenses!$O$8:$O$69,$B122)+SUMIFS(Headcount!AI$395:AI$1442,Headcount!$J$395:$J$1442,$B122))</f>
        <v>0</v>
      </c>
      <c r="AA122" s="137">
        <f>IF(AA$12="Actual",SUMIFS(ActualsTable[Month 25],ActualsTable[Expense Item2],$B122),SUMIFS(Expenses!BZ$8:BZ$69,Expenses!$O$8:$O$69,$B122)+SUMIFS(Headcount!AJ$395:AJ$1442,Headcount!$J$395:$J$1442,$B122))</f>
        <v>0</v>
      </c>
      <c r="AB122" s="137">
        <f>IF(AB$12="Actual",SUMIFS(ActualsTable[Month 26],ActualsTable[Expense Item2],$B122),SUMIFS(Expenses!CA$8:CA$69,Expenses!$O$8:$O$69,$B122)+SUMIFS(Headcount!AK$395:AK$1442,Headcount!$J$395:$J$1442,$B122))</f>
        <v>0</v>
      </c>
      <c r="AC122" s="137">
        <f>IF(AC$12="Actual",SUMIFS(ActualsTable[Month 27],ActualsTable[Expense Item2],$B122),SUMIFS(Expenses!CB$8:CB$69,Expenses!$O$8:$O$69,$B122)+SUMIFS(Headcount!AL$395:AL$1442,Headcount!$J$395:$J$1442,$B122))</f>
        <v>0</v>
      </c>
      <c r="AD122" s="137">
        <f>IF(AD$12="Actual",SUMIFS(ActualsTable[Month 28],ActualsTable[Expense Item2],$B122),SUMIFS(Expenses!CC$8:CC$69,Expenses!$O$8:$O$69,$B122)+SUMIFS(Headcount!AM$395:AM$1442,Headcount!$J$395:$J$1442,$B122))</f>
        <v>0</v>
      </c>
      <c r="AE122" s="137">
        <f>IF(AE$12="Actual",SUMIFS(ActualsTable[Month 29],ActualsTable[Expense Item2],$B122),SUMIFS(Expenses!CD$8:CD$69,Expenses!$O$8:$O$69,$B122)+SUMIFS(Headcount!AN$395:AN$1442,Headcount!$J$395:$J$1442,$B122))</f>
        <v>0</v>
      </c>
      <c r="AF122" s="137">
        <f>IF(AF$12="Actual",SUMIFS(ActualsTable[Month 30],ActualsTable[Expense Item2],$B122),SUMIFS(Expenses!CE$8:CE$69,Expenses!$O$8:$O$69,$B122)+SUMIFS(Headcount!AO$395:AO$1442,Headcount!$J$395:$J$1442,$B122))</f>
        <v>0</v>
      </c>
      <c r="AG122" s="137">
        <f>IF(AG$12="Actual",SUMIFS(ActualsTable[Month 31],ActualsTable[Expense Item2],$B122),SUMIFS(Expenses!CF$8:CF$69,Expenses!$O$8:$O$69,$B122)+SUMIFS(Headcount!AP$395:AP$1442,Headcount!$J$395:$J$1442,$B122))</f>
        <v>0</v>
      </c>
      <c r="AH122" s="137">
        <f>IF(AH$12="Actual",SUMIFS(ActualsTable[Month 32],ActualsTable[Expense Item2],$B122),SUMIFS(Expenses!CG$8:CG$69,Expenses!$O$8:$O$69,$B122)+SUMIFS(Headcount!AQ$395:AQ$1442,Headcount!$J$395:$J$1442,$B122))</f>
        <v>0</v>
      </c>
      <c r="AI122" s="137">
        <f>IF(AI$12="Actual",SUMIFS(ActualsTable[Month 33],ActualsTable[Expense Item2],$B122),SUMIFS(Expenses!CH$8:CH$69,Expenses!$O$8:$O$69,$B122)+SUMIFS(Headcount!AR$395:AR$1442,Headcount!$J$395:$J$1442,$B122))</f>
        <v>0</v>
      </c>
      <c r="AJ122" s="137">
        <f>IF(AJ$12="Actual",SUMIFS(ActualsTable[Month 34],ActualsTable[Expense Item2],$B122),SUMIFS(Expenses!CI$8:CI$69,Expenses!$O$8:$O$69,$B122)+SUMIFS(Headcount!AS$395:AS$1442,Headcount!$J$395:$J$1442,$B122))</f>
        <v>0</v>
      </c>
      <c r="AK122" s="137">
        <f>IF(AK$12="Actual",SUMIFS(ActualsTable[Month 35],ActualsTable[Expense Item2],$B122),SUMIFS(Expenses!CJ$8:CJ$69,Expenses!$O$8:$O$69,$B122)+SUMIFS(Headcount!AT$395:AT$1442,Headcount!$J$395:$J$1442,$B122))</f>
        <v>0</v>
      </c>
      <c r="AL122" s="293">
        <f>IF(AL$12="Actual",SUMIFS(ActualsTable[Month 36],ActualsTable[Expense Item2],$B122),SUMIFS(Expenses!CK$8:CK$69,Expenses!$O$8:$O$69,$B122)+SUMIFS(Headcount!AU$395:AU$1442,Headcount!$J$395:$J$1442,$B122))</f>
        <v>0</v>
      </c>
      <c r="AN122" s="319">
        <f t="shared" ca="1" si="218"/>
        <v>0</v>
      </c>
      <c r="AO122" s="137">
        <f t="shared" ca="1" si="218"/>
        <v>0</v>
      </c>
      <c r="AP122" s="137">
        <f t="shared" ca="1" si="218"/>
        <v>0</v>
      </c>
      <c r="AQ122" s="137">
        <f t="shared" ca="1" si="218"/>
        <v>0</v>
      </c>
      <c r="AR122" s="137">
        <f t="shared" ca="1" si="218"/>
        <v>0</v>
      </c>
      <c r="AS122" s="137">
        <f t="shared" ca="1" si="218"/>
        <v>0</v>
      </c>
      <c r="AT122" s="137">
        <f t="shared" ca="1" si="218"/>
        <v>0</v>
      </c>
      <c r="AU122" s="137">
        <f t="shared" ca="1" si="218"/>
        <v>0</v>
      </c>
      <c r="AV122" s="137">
        <f t="shared" ca="1" si="218"/>
        <v>0</v>
      </c>
      <c r="AW122" s="137">
        <f t="shared" ca="1" si="218"/>
        <v>0</v>
      </c>
      <c r="AX122" s="137">
        <f t="shared" ca="1" si="218"/>
        <v>0</v>
      </c>
      <c r="AY122" s="293">
        <f t="shared" ca="1" si="218"/>
        <v>0</v>
      </c>
      <c r="BA122" s="319">
        <f t="shared" ca="1" si="219"/>
        <v>0</v>
      </c>
      <c r="BB122" s="137">
        <f t="shared" ca="1" si="219"/>
        <v>0</v>
      </c>
      <c r="BC122" s="293">
        <f t="shared" ca="1" si="219"/>
        <v>0</v>
      </c>
    </row>
    <row r="123" spans="2:55" x14ac:dyDescent="0.35">
      <c r="B123" s="79" t="s">
        <v>154</v>
      </c>
      <c r="C123" s="131">
        <f t="shared" ref="C123:AN123" si="220">SUM(C124:C128)</f>
        <v>0</v>
      </c>
      <c r="D123" s="131">
        <f t="shared" ref="D123:AL123" si="221">SUM(D124:D128)</f>
        <v>0</v>
      </c>
      <c r="E123" s="131">
        <f t="shared" si="221"/>
        <v>0</v>
      </c>
      <c r="F123" s="131">
        <f t="shared" si="221"/>
        <v>0</v>
      </c>
      <c r="G123" s="131">
        <f t="shared" si="221"/>
        <v>0</v>
      </c>
      <c r="H123" s="131">
        <f t="shared" si="221"/>
        <v>0</v>
      </c>
      <c r="I123" s="131">
        <f t="shared" si="221"/>
        <v>0</v>
      </c>
      <c r="J123" s="131">
        <f t="shared" si="221"/>
        <v>0</v>
      </c>
      <c r="K123" s="131">
        <f t="shared" si="221"/>
        <v>0</v>
      </c>
      <c r="L123" s="131">
        <f t="shared" si="221"/>
        <v>0</v>
      </c>
      <c r="M123" s="131">
        <f t="shared" si="221"/>
        <v>0</v>
      </c>
      <c r="N123" s="131">
        <f t="shared" si="221"/>
        <v>0</v>
      </c>
      <c r="O123" s="131">
        <f t="shared" si="221"/>
        <v>0</v>
      </c>
      <c r="P123" s="131">
        <f t="shared" si="221"/>
        <v>0</v>
      </c>
      <c r="Q123" s="131">
        <f t="shared" si="221"/>
        <v>0</v>
      </c>
      <c r="R123" s="131">
        <f t="shared" si="221"/>
        <v>0</v>
      </c>
      <c r="S123" s="131">
        <f t="shared" si="221"/>
        <v>0</v>
      </c>
      <c r="T123" s="131">
        <f t="shared" si="221"/>
        <v>0</v>
      </c>
      <c r="U123" s="131">
        <f t="shared" si="221"/>
        <v>0</v>
      </c>
      <c r="V123" s="131">
        <f t="shared" si="221"/>
        <v>0</v>
      </c>
      <c r="W123" s="131">
        <f t="shared" si="221"/>
        <v>0</v>
      </c>
      <c r="X123" s="131">
        <f t="shared" si="221"/>
        <v>0</v>
      </c>
      <c r="Y123" s="131">
        <f t="shared" si="221"/>
        <v>0</v>
      </c>
      <c r="Z123" s="131">
        <f t="shared" si="221"/>
        <v>0</v>
      </c>
      <c r="AA123" s="131">
        <f t="shared" si="221"/>
        <v>0</v>
      </c>
      <c r="AB123" s="131">
        <f t="shared" si="221"/>
        <v>0</v>
      </c>
      <c r="AC123" s="131">
        <f t="shared" si="221"/>
        <v>0</v>
      </c>
      <c r="AD123" s="131">
        <f t="shared" si="221"/>
        <v>0</v>
      </c>
      <c r="AE123" s="131">
        <f t="shared" si="221"/>
        <v>0</v>
      </c>
      <c r="AF123" s="131">
        <f t="shared" si="221"/>
        <v>0</v>
      </c>
      <c r="AG123" s="131">
        <f t="shared" si="221"/>
        <v>0</v>
      </c>
      <c r="AH123" s="131">
        <f t="shared" si="221"/>
        <v>0</v>
      </c>
      <c r="AI123" s="131">
        <f t="shared" si="221"/>
        <v>0</v>
      </c>
      <c r="AJ123" s="131">
        <f t="shared" si="221"/>
        <v>0</v>
      </c>
      <c r="AK123" s="131">
        <f t="shared" si="221"/>
        <v>0</v>
      </c>
      <c r="AL123" s="291">
        <f t="shared" si="221"/>
        <v>0</v>
      </c>
      <c r="AN123" s="317">
        <f t="shared" ca="1" si="220"/>
        <v>0</v>
      </c>
      <c r="AO123" s="131">
        <f t="shared" ref="AO123:AT123" ca="1" si="222">SUM(AO124:AO128)</f>
        <v>0</v>
      </c>
      <c r="AP123" s="131">
        <f t="shared" ca="1" si="222"/>
        <v>0</v>
      </c>
      <c r="AQ123" s="131">
        <f t="shared" ca="1" si="222"/>
        <v>0</v>
      </c>
      <c r="AR123" s="131">
        <f t="shared" ca="1" si="222"/>
        <v>0</v>
      </c>
      <c r="AS123" s="131">
        <f t="shared" ca="1" si="222"/>
        <v>0</v>
      </c>
      <c r="AT123" s="131">
        <f t="shared" ca="1" si="222"/>
        <v>0</v>
      </c>
      <c r="AU123" s="131">
        <f t="shared" ref="AU123:AY123" ca="1" si="223">SUM(AU124:AU128)</f>
        <v>0</v>
      </c>
      <c r="AV123" s="131">
        <f t="shared" ca="1" si="223"/>
        <v>0</v>
      </c>
      <c r="AW123" s="131">
        <f t="shared" ca="1" si="223"/>
        <v>0</v>
      </c>
      <c r="AX123" s="131">
        <f t="shared" ca="1" si="223"/>
        <v>0</v>
      </c>
      <c r="AY123" s="291">
        <f t="shared" ca="1" si="223"/>
        <v>0</v>
      </c>
      <c r="BA123" s="317">
        <f t="shared" ref="BA123" ca="1" si="224">SUM(BA124:BA128)</f>
        <v>0</v>
      </c>
      <c r="BB123" s="131">
        <f t="shared" ref="BB123:BC123" ca="1" si="225">SUM(BB124:BB128)</f>
        <v>0</v>
      </c>
      <c r="BC123" s="291">
        <f t="shared" ca="1" si="225"/>
        <v>0</v>
      </c>
    </row>
    <row r="124" spans="2:55" x14ac:dyDescent="0.35">
      <c r="B124" s="80" t="s">
        <v>155</v>
      </c>
      <c r="C124" s="137">
        <f>IF(C$12="Actual",SUMIFS(ActualsTable[Month 1],ActualsTable[Expense Item2],$B124),SUMIFS(Expenses!BB$8:BB$69,Expenses!$O$8:$O$69,$B124)+SUMIFS(Headcount!L$395:L$1442,Headcount!$J$395:$J$1442,$B124))</f>
        <v>0</v>
      </c>
      <c r="D124" s="137">
        <f>IF(D$12="Actual",SUMIFS(ActualsTable[Month 2],ActualsTable[Expense Item2],$B124),SUMIFS(Expenses!BC$8:BC$69,Expenses!$O$8:$O$69,$B124)+SUMIFS(Headcount!M$395:M$1442,Headcount!$J$395:$J$1442,$B124))</f>
        <v>0</v>
      </c>
      <c r="E124" s="137">
        <f>IF(E$12="Actual",SUMIFS(ActualsTable[Month 3],ActualsTable[Expense Item2],$B124),SUMIFS(Expenses!BD$8:BD$69,Expenses!$O$8:$O$69,$B124)+SUMIFS(Headcount!N$395:N$1442,Headcount!$J$395:$J$1442,$B124))</f>
        <v>0</v>
      </c>
      <c r="F124" s="137">
        <f>IF(F$12="Actual",SUMIFS(ActualsTable[Month 4],ActualsTable[Expense Item2],$B124),SUMIFS(Expenses!BE$8:BE$69,Expenses!$O$8:$O$69,$B124)+SUMIFS(Headcount!O$395:O$1442,Headcount!$J$395:$J$1442,$B124))</f>
        <v>0</v>
      </c>
      <c r="G124" s="137">
        <f>IF(G$12="Actual",SUMIFS(ActualsTable[Month 5],ActualsTable[Expense Item2],$B124),SUMIFS(Expenses!BF$8:BF$69,Expenses!$O$8:$O$69,$B124)+SUMIFS(Headcount!P$395:P$1442,Headcount!$J$395:$J$1442,$B124))</f>
        <v>0</v>
      </c>
      <c r="H124" s="137">
        <f>IF(H$12="Actual",SUMIFS(ActualsTable[Month 6],ActualsTable[Expense Item2],$B124),SUMIFS(Expenses!BG$8:BG$69,Expenses!$O$8:$O$69,$B124)+SUMIFS(Headcount!Q$395:Q$1442,Headcount!$J$395:$J$1442,$B124))</f>
        <v>0</v>
      </c>
      <c r="I124" s="137">
        <f>IF(I$12="Actual",SUMIFS(ActualsTable[Month 7],ActualsTable[Expense Item2],$B124),SUMIFS(Expenses!BH$8:BH$69,Expenses!$O$8:$O$69,$B124)+SUMIFS(Headcount!R$395:R$1442,Headcount!$J$395:$J$1442,$B124))</f>
        <v>0</v>
      </c>
      <c r="J124" s="137">
        <f>IF(J$12="Actual",SUMIFS(ActualsTable[Month 8],ActualsTable[Expense Item2],$B124),SUMIFS(Expenses!BI$8:BI$69,Expenses!$O$8:$O$69,$B124)+SUMIFS(Headcount!S$395:S$1442,Headcount!$J$395:$J$1442,$B124))</f>
        <v>0</v>
      </c>
      <c r="K124" s="137">
        <f>IF(K$12="Actual",SUMIFS(ActualsTable[Month 9],ActualsTable[Expense Item2],$B124),SUMIFS(Expenses!BJ$8:BJ$69,Expenses!$O$8:$O$69,$B124)+SUMIFS(Headcount!T$395:T$1442,Headcount!$J$395:$J$1442,$B124))</f>
        <v>0</v>
      </c>
      <c r="L124" s="137">
        <f>IF(L$12="Actual",SUMIFS(ActualsTable[Month 10],ActualsTable[Expense Item2],$B124),SUMIFS(Expenses!BK$8:BK$69,Expenses!$O$8:$O$69,$B124)+SUMIFS(Headcount!U$395:U$1442,Headcount!$J$395:$J$1442,$B124))</f>
        <v>0</v>
      </c>
      <c r="M124" s="137">
        <f>IF(M$12="Actual",SUMIFS(ActualsTable[Month 11],ActualsTable[Expense Item2],$B124),SUMIFS(Expenses!BL$8:BL$69,Expenses!$O$8:$O$69,$B124)+SUMIFS(Headcount!V$395:V$1442,Headcount!$J$395:$J$1442,$B124))</f>
        <v>0</v>
      </c>
      <c r="N124" s="137">
        <f>IF(N$12="Actual",SUMIFS(ActualsTable[Month 12],ActualsTable[Expense Item2],$B124),SUMIFS(Expenses!BM$8:BM$69,Expenses!$O$8:$O$69,$B124)+SUMIFS(Headcount!W$395:W$1442,Headcount!$J$395:$J$1442,$B124))</f>
        <v>0</v>
      </c>
      <c r="O124" s="137">
        <f>IF(O$12="Actual",SUMIFS(ActualsTable[Month 13],ActualsTable[Expense Item2],$B124),SUMIFS(Expenses!BN$8:BN$69,Expenses!$O$8:$O$69,$B124)+SUMIFS(Headcount!X$395:X$1442,Headcount!$J$395:$J$1442,$B124))</f>
        <v>0</v>
      </c>
      <c r="P124" s="137">
        <f>IF(P$12="Actual",SUMIFS(ActualsTable[Month 14],ActualsTable[Expense Item2],$B124),SUMIFS(Expenses!BO$8:BO$69,Expenses!$O$8:$O$69,$B124)+SUMIFS(Headcount!Y$395:Y$1442,Headcount!$J$395:$J$1442,$B124))</f>
        <v>0</v>
      </c>
      <c r="Q124" s="137">
        <f>IF(Q$12="Actual",SUMIFS(ActualsTable[Month 15],ActualsTable[Expense Item2],$B124),SUMIFS(Expenses!BP$8:BP$69,Expenses!$O$8:$O$69,$B124)+SUMIFS(Headcount!Z$395:Z$1442,Headcount!$J$395:$J$1442,$B124))</f>
        <v>0</v>
      </c>
      <c r="R124" s="137">
        <f>IF(R$12="Actual",SUMIFS(ActualsTable[Month 16],ActualsTable[Expense Item2],$B124),SUMIFS(Expenses!BQ$8:BQ$69,Expenses!$O$8:$O$69,$B124)+SUMIFS(Headcount!AA$395:AA$1442,Headcount!$J$395:$J$1442,$B124))</f>
        <v>0</v>
      </c>
      <c r="S124" s="137">
        <f>IF(S$12="Actual",SUMIFS(ActualsTable[Month 17],ActualsTable[Expense Item2],$B124),SUMIFS(Expenses!BR$8:BR$69,Expenses!$O$8:$O$69,$B124)+SUMIFS(Headcount!AB$395:AB$1442,Headcount!$J$395:$J$1442,$B124))</f>
        <v>0</v>
      </c>
      <c r="T124" s="137">
        <f>IF(T$12="Actual",SUMIFS(ActualsTable[Month 18],ActualsTable[Expense Item2],$B124),SUMIFS(Expenses!BS$8:BS$69,Expenses!$O$8:$O$69,$B124)+SUMIFS(Headcount!AC$395:AC$1442,Headcount!$J$395:$J$1442,$B124))</f>
        <v>0</v>
      </c>
      <c r="U124" s="137">
        <f>IF(U$12="Actual",SUMIFS(ActualsTable[Month 19],ActualsTable[Expense Item2],$B124),SUMIFS(Expenses!BT$8:BT$69,Expenses!$O$8:$O$69,$B124)+SUMIFS(Headcount!AD$395:AD$1442,Headcount!$J$395:$J$1442,$B124))</f>
        <v>0</v>
      </c>
      <c r="V124" s="137">
        <f>IF(V$12="Actual",SUMIFS(ActualsTable[Month 20],ActualsTable[Expense Item2],$B124),SUMIFS(Expenses!BU$8:BU$69,Expenses!$O$8:$O$69,$B124)+SUMIFS(Headcount!AE$395:AE$1442,Headcount!$J$395:$J$1442,$B124))</f>
        <v>0</v>
      </c>
      <c r="W124" s="137">
        <f>IF(W$12="Actual",SUMIFS(ActualsTable[Month 21],ActualsTable[Expense Item2],$B124),SUMIFS(Expenses!BV$8:BV$69,Expenses!$O$8:$O$69,$B124)+SUMIFS(Headcount!AF$395:AF$1442,Headcount!$J$395:$J$1442,$B124))</f>
        <v>0</v>
      </c>
      <c r="X124" s="137">
        <f>IF(X$12="Actual",SUMIFS(ActualsTable[Month 22],ActualsTable[Expense Item2],$B124),SUMIFS(Expenses!BW$8:BW$69,Expenses!$O$8:$O$69,$B124)+SUMIFS(Headcount!AG$395:AG$1442,Headcount!$J$395:$J$1442,$B124))</f>
        <v>0</v>
      </c>
      <c r="Y124" s="137">
        <f>IF(Y$12="Actual",SUMIFS(ActualsTable[Month 23],ActualsTable[Expense Item2],$B124),SUMIFS(Expenses!BX$8:BX$69,Expenses!$O$8:$O$69,$B124)+SUMIFS(Headcount!AH$395:AH$1442,Headcount!$J$395:$J$1442,$B124))</f>
        <v>0</v>
      </c>
      <c r="Z124" s="137">
        <f>IF(Z$12="Actual",SUMIFS(ActualsTable[Month 24],ActualsTable[Expense Item2],$B124),SUMIFS(Expenses!BY$8:BY$69,Expenses!$O$8:$O$69,$B124)+SUMIFS(Headcount!AI$395:AI$1442,Headcount!$J$395:$J$1442,$B124))</f>
        <v>0</v>
      </c>
      <c r="AA124" s="137">
        <f>IF(AA$12="Actual",SUMIFS(ActualsTable[Month 25],ActualsTable[Expense Item2],$B124),SUMIFS(Expenses!BZ$8:BZ$69,Expenses!$O$8:$O$69,$B124)+SUMIFS(Headcount!AJ$395:AJ$1442,Headcount!$J$395:$J$1442,$B124))</f>
        <v>0</v>
      </c>
      <c r="AB124" s="137">
        <f>IF(AB$12="Actual",SUMIFS(ActualsTable[Month 26],ActualsTable[Expense Item2],$B124),SUMIFS(Expenses!CA$8:CA$69,Expenses!$O$8:$O$69,$B124)+SUMIFS(Headcount!AK$395:AK$1442,Headcount!$J$395:$J$1442,$B124))</f>
        <v>0</v>
      </c>
      <c r="AC124" s="137">
        <f>IF(AC$12="Actual",SUMIFS(ActualsTable[Month 27],ActualsTable[Expense Item2],$B124),SUMIFS(Expenses!CB$8:CB$69,Expenses!$O$8:$O$69,$B124)+SUMIFS(Headcount!AL$395:AL$1442,Headcount!$J$395:$J$1442,$B124))</f>
        <v>0</v>
      </c>
      <c r="AD124" s="137">
        <f>IF(AD$12="Actual",SUMIFS(ActualsTable[Month 28],ActualsTable[Expense Item2],$B124),SUMIFS(Expenses!CC$8:CC$69,Expenses!$O$8:$O$69,$B124)+SUMIFS(Headcount!AM$395:AM$1442,Headcount!$J$395:$J$1442,$B124))</f>
        <v>0</v>
      </c>
      <c r="AE124" s="137">
        <f>IF(AE$12="Actual",SUMIFS(ActualsTable[Month 29],ActualsTable[Expense Item2],$B124),SUMIFS(Expenses!CD$8:CD$69,Expenses!$O$8:$O$69,$B124)+SUMIFS(Headcount!AN$395:AN$1442,Headcount!$J$395:$J$1442,$B124))</f>
        <v>0</v>
      </c>
      <c r="AF124" s="137">
        <f>IF(AF$12="Actual",SUMIFS(ActualsTable[Month 30],ActualsTable[Expense Item2],$B124),SUMIFS(Expenses!CE$8:CE$69,Expenses!$O$8:$O$69,$B124)+SUMIFS(Headcount!AO$395:AO$1442,Headcount!$J$395:$J$1442,$B124))</f>
        <v>0</v>
      </c>
      <c r="AG124" s="137">
        <f>IF(AG$12="Actual",SUMIFS(ActualsTable[Month 31],ActualsTable[Expense Item2],$B124),SUMIFS(Expenses!CF$8:CF$69,Expenses!$O$8:$O$69,$B124)+SUMIFS(Headcount!AP$395:AP$1442,Headcount!$J$395:$J$1442,$B124))</f>
        <v>0</v>
      </c>
      <c r="AH124" s="137">
        <f>IF(AH$12="Actual",SUMIFS(ActualsTable[Month 32],ActualsTable[Expense Item2],$B124),SUMIFS(Expenses!CG$8:CG$69,Expenses!$O$8:$O$69,$B124)+SUMIFS(Headcount!AQ$395:AQ$1442,Headcount!$J$395:$J$1442,$B124))</f>
        <v>0</v>
      </c>
      <c r="AI124" s="137">
        <f>IF(AI$12="Actual",SUMIFS(ActualsTable[Month 33],ActualsTable[Expense Item2],$B124),SUMIFS(Expenses!CH$8:CH$69,Expenses!$O$8:$O$69,$B124)+SUMIFS(Headcount!AR$395:AR$1442,Headcount!$J$395:$J$1442,$B124))</f>
        <v>0</v>
      </c>
      <c r="AJ124" s="137">
        <f>IF(AJ$12="Actual",SUMIFS(ActualsTable[Month 34],ActualsTable[Expense Item2],$B124),SUMIFS(Expenses!CI$8:CI$69,Expenses!$O$8:$O$69,$B124)+SUMIFS(Headcount!AS$395:AS$1442,Headcount!$J$395:$J$1442,$B124))</f>
        <v>0</v>
      </c>
      <c r="AK124" s="137">
        <f>IF(AK$12="Actual",SUMIFS(ActualsTable[Month 35],ActualsTable[Expense Item2],$B124),SUMIFS(Expenses!CJ$8:CJ$69,Expenses!$O$8:$O$69,$B124)+SUMIFS(Headcount!AT$395:AT$1442,Headcount!$J$395:$J$1442,$B124))</f>
        <v>0</v>
      </c>
      <c r="AL124" s="293">
        <f>IF(AL$12="Actual",SUMIFS(ActualsTable[Month 36],ActualsTable[Expense Item2],$B124),SUMIFS(Expenses!CK$8:CK$69,Expenses!$O$8:$O$69,$B124)+SUMIFS(Headcount!AU$395:AU$1442,Headcount!$J$395:$J$1442,$B124))</f>
        <v>0</v>
      </c>
      <c r="AN124" s="319">
        <f t="shared" ref="AN124:AY130" ca="1" si="226">SUM(OFFSET($B124,0,3*AN$9+1,1,3))</f>
        <v>0</v>
      </c>
      <c r="AO124" s="137">
        <f t="shared" ca="1" si="226"/>
        <v>0</v>
      </c>
      <c r="AP124" s="137">
        <f t="shared" ca="1" si="226"/>
        <v>0</v>
      </c>
      <c r="AQ124" s="137">
        <f t="shared" ca="1" si="226"/>
        <v>0</v>
      </c>
      <c r="AR124" s="137">
        <f t="shared" ca="1" si="226"/>
        <v>0</v>
      </c>
      <c r="AS124" s="137">
        <f t="shared" ca="1" si="226"/>
        <v>0</v>
      </c>
      <c r="AT124" s="137">
        <f t="shared" ca="1" si="226"/>
        <v>0</v>
      </c>
      <c r="AU124" s="137">
        <f t="shared" ca="1" si="226"/>
        <v>0</v>
      </c>
      <c r="AV124" s="137">
        <f t="shared" ca="1" si="226"/>
        <v>0</v>
      </c>
      <c r="AW124" s="137">
        <f t="shared" ca="1" si="226"/>
        <v>0</v>
      </c>
      <c r="AX124" s="137">
        <f t="shared" ca="1" si="226"/>
        <v>0</v>
      </c>
      <c r="AY124" s="293">
        <f t="shared" ca="1" si="226"/>
        <v>0</v>
      </c>
      <c r="BA124" s="319">
        <f t="shared" ref="BA124:BC130" ca="1" si="227">SUM(OFFSET($B124,0,12*BA$9+1,1,12))</f>
        <v>0</v>
      </c>
      <c r="BB124" s="137">
        <f t="shared" ca="1" si="227"/>
        <v>0</v>
      </c>
      <c r="BC124" s="293">
        <f t="shared" ca="1" si="227"/>
        <v>0</v>
      </c>
    </row>
    <row r="125" spans="2:55" x14ac:dyDescent="0.35">
      <c r="B125" s="80" t="s">
        <v>156</v>
      </c>
      <c r="C125" s="137">
        <f>IF(C$12="Actual",SUMIFS(ActualsTable[Month 1],ActualsTable[Expense Item2],$B125),SUMIFS(Expenses!BB$8:BB$69,Expenses!$O$8:$O$69,$B125)+SUMIFS(Headcount!L$395:L$1442,Headcount!$J$395:$J$1442,$B125))</f>
        <v>0</v>
      </c>
      <c r="D125" s="137">
        <f>IF(D$12="Actual",SUMIFS(ActualsTable[Month 2],ActualsTable[Expense Item2],$B125),SUMIFS(Expenses!BC$8:BC$69,Expenses!$O$8:$O$69,$B125)+SUMIFS(Headcount!M$395:M$1442,Headcount!$J$395:$J$1442,$B125))</f>
        <v>0</v>
      </c>
      <c r="E125" s="137">
        <f>IF(E$12="Actual",SUMIFS(ActualsTable[Month 3],ActualsTable[Expense Item2],$B125),SUMIFS(Expenses!BD$8:BD$69,Expenses!$O$8:$O$69,$B125)+SUMIFS(Headcount!N$395:N$1442,Headcount!$J$395:$J$1442,$B125))</f>
        <v>0</v>
      </c>
      <c r="F125" s="137">
        <f>IF(F$12="Actual",SUMIFS(ActualsTable[Month 4],ActualsTable[Expense Item2],$B125),SUMIFS(Expenses!BE$8:BE$69,Expenses!$O$8:$O$69,$B125)+SUMIFS(Headcount!O$395:O$1442,Headcount!$J$395:$J$1442,$B125))</f>
        <v>0</v>
      </c>
      <c r="G125" s="137">
        <f>IF(G$12="Actual",SUMIFS(ActualsTable[Month 5],ActualsTable[Expense Item2],$B125),SUMIFS(Expenses!BF$8:BF$69,Expenses!$O$8:$O$69,$B125)+SUMIFS(Headcount!P$395:P$1442,Headcount!$J$395:$J$1442,$B125))</f>
        <v>0</v>
      </c>
      <c r="H125" s="137">
        <f>IF(H$12="Actual",SUMIFS(ActualsTable[Month 6],ActualsTable[Expense Item2],$B125),SUMIFS(Expenses!BG$8:BG$69,Expenses!$O$8:$O$69,$B125)+SUMIFS(Headcount!Q$395:Q$1442,Headcount!$J$395:$J$1442,$B125))</f>
        <v>0</v>
      </c>
      <c r="I125" s="137">
        <f>IF(I$12="Actual",SUMIFS(ActualsTable[Month 7],ActualsTable[Expense Item2],$B125),SUMIFS(Expenses!BH$8:BH$69,Expenses!$O$8:$O$69,$B125)+SUMIFS(Headcount!R$395:R$1442,Headcount!$J$395:$J$1442,$B125))</f>
        <v>0</v>
      </c>
      <c r="J125" s="137">
        <f>IF(J$12="Actual",SUMIFS(ActualsTable[Month 8],ActualsTable[Expense Item2],$B125),SUMIFS(Expenses!BI$8:BI$69,Expenses!$O$8:$O$69,$B125)+SUMIFS(Headcount!S$395:S$1442,Headcount!$J$395:$J$1442,$B125))</f>
        <v>0</v>
      </c>
      <c r="K125" s="137">
        <f>IF(K$12="Actual",SUMIFS(ActualsTable[Month 9],ActualsTable[Expense Item2],$B125),SUMIFS(Expenses!BJ$8:BJ$69,Expenses!$O$8:$O$69,$B125)+SUMIFS(Headcount!T$395:T$1442,Headcount!$J$395:$J$1442,$B125))</f>
        <v>0</v>
      </c>
      <c r="L125" s="137">
        <f>IF(L$12="Actual",SUMIFS(ActualsTable[Month 10],ActualsTable[Expense Item2],$B125),SUMIFS(Expenses!BK$8:BK$69,Expenses!$O$8:$O$69,$B125)+SUMIFS(Headcount!U$395:U$1442,Headcount!$J$395:$J$1442,$B125))</f>
        <v>0</v>
      </c>
      <c r="M125" s="137">
        <f>IF(M$12="Actual",SUMIFS(ActualsTable[Month 11],ActualsTable[Expense Item2],$B125),SUMIFS(Expenses!BL$8:BL$69,Expenses!$O$8:$O$69,$B125)+SUMIFS(Headcount!V$395:V$1442,Headcount!$J$395:$J$1442,$B125))</f>
        <v>0</v>
      </c>
      <c r="N125" s="137">
        <f>IF(N$12="Actual",SUMIFS(ActualsTable[Month 12],ActualsTable[Expense Item2],$B125),SUMIFS(Expenses!BM$8:BM$69,Expenses!$O$8:$O$69,$B125)+SUMIFS(Headcount!W$395:W$1442,Headcount!$J$395:$J$1442,$B125))</f>
        <v>0</v>
      </c>
      <c r="O125" s="137">
        <f>IF(O$12="Actual",SUMIFS(ActualsTable[Month 13],ActualsTable[Expense Item2],$B125),SUMIFS(Expenses!BN$8:BN$69,Expenses!$O$8:$O$69,$B125)+SUMIFS(Headcount!X$395:X$1442,Headcount!$J$395:$J$1442,$B125))</f>
        <v>0</v>
      </c>
      <c r="P125" s="137">
        <f>IF(P$12="Actual",SUMIFS(ActualsTable[Month 14],ActualsTable[Expense Item2],$B125),SUMIFS(Expenses!BO$8:BO$69,Expenses!$O$8:$O$69,$B125)+SUMIFS(Headcount!Y$395:Y$1442,Headcount!$J$395:$J$1442,$B125))</f>
        <v>0</v>
      </c>
      <c r="Q125" s="137">
        <f>IF(Q$12="Actual",SUMIFS(ActualsTable[Month 15],ActualsTable[Expense Item2],$B125),SUMIFS(Expenses!BP$8:BP$69,Expenses!$O$8:$O$69,$B125)+SUMIFS(Headcount!Z$395:Z$1442,Headcount!$J$395:$J$1442,$B125))</f>
        <v>0</v>
      </c>
      <c r="R125" s="137">
        <f>IF(R$12="Actual",SUMIFS(ActualsTable[Month 16],ActualsTable[Expense Item2],$B125),SUMIFS(Expenses!BQ$8:BQ$69,Expenses!$O$8:$O$69,$B125)+SUMIFS(Headcount!AA$395:AA$1442,Headcount!$J$395:$J$1442,$B125))</f>
        <v>0</v>
      </c>
      <c r="S125" s="137">
        <f>IF(S$12="Actual",SUMIFS(ActualsTable[Month 17],ActualsTable[Expense Item2],$B125),SUMIFS(Expenses!BR$8:BR$69,Expenses!$O$8:$O$69,$B125)+SUMIFS(Headcount!AB$395:AB$1442,Headcount!$J$395:$J$1442,$B125))</f>
        <v>0</v>
      </c>
      <c r="T125" s="137">
        <f>IF(T$12="Actual",SUMIFS(ActualsTable[Month 18],ActualsTable[Expense Item2],$B125),SUMIFS(Expenses!BS$8:BS$69,Expenses!$O$8:$O$69,$B125)+SUMIFS(Headcount!AC$395:AC$1442,Headcount!$J$395:$J$1442,$B125))</f>
        <v>0</v>
      </c>
      <c r="U125" s="137">
        <f>IF(U$12="Actual",SUMIFS(ActualsTable[Month 19],ActualsTable[Expense Item2],$B125),SUMIFS(Expenses!BT$8:BT$69,Expenses!$O$8:$O$69,$B125)+SUMIFS(Headcount!AD$395:AD$1442,Headcount!$J$395:$J$1442,$B125))</f>
        <v>0</v>
      </c>
      <c r="V125" s="137">
        <f>IF(V$12="Actual",SUMIFS(ActualsTable[Month 20],ActualsTable[Expense Item2],$B125),SUMIFS(Expenses!BU$8:BU$69,Expenses!$O$8:$O$69,$B125)+SUMIFS(Headcount!AE$395:AE$1442,Headcount!$J$395:$J$1442,$B125))</f>
        <v>0</v>
      </c>
      <c r="W125" s="137">
        <f>IF(W$12="Actual",SUMIFS(ActualsTable[Month 21],ActualsTable[Expense Item2],$B125),SUMIFS(Expenses!BV$8:BV$69,Expenses!$O$8:$O$69,$B125)+SUMIFS(Headcount!AF$395:AF$1442,Headcount!$J$395:$J$1442,$B125))</f>
        <v>0</v>
      </c>
      <c r="X125" s="137">
        <f>IF(X$12="Actual",SUMIFS(ActualsTable[Month 22],ActualsTable[Expense Item2],$B125),SUMIFS(Expenses!BW$8:BW$69,Expenses!$O$8:$O$69,$B125)+SUMIFS(Headcount!AG$395:AG$1442,Headcount!$J$395:$J$1442,$B125))</f>
        <v>0</v>
      </c>
      <c r="Y125" s="137">
        <f>IF(Y$12="Actual",SUMIFS(ActualsTable[Month 23],ActualsTable[Expense Item2],$B125),SUMIFS(Expenses!BX$8:BX$69,Expenses!$O$8:$O$69,$B125)+SUMIFS(Headcount!AH$395:AH$1442,Headcount!$J$395:$J$1442,$B125))</f>
        <v>0</v>
      </c>
      <c r="Z125" s="137">
        <f>IF(Z$12="Actual",SUMIFS(ActualsTable[Month 24],ActualsTable[Expense Item2],$B125),SUMIFS(Expenses!BY$8:BY$69,Expenses!$O$8:$O$69,$B125)+SUMIFS(Headcount!AI$395:AI$1442,Headcount!$J$395:$J$1442,$B125))</f>
        <v>0</v>
      </c>
      <c r="AA125" s="137">
        <f>IF(AA$12="Actual",SUMIFS(ActualsTable[Month 25],ActualsTable[Expense Item2],$B125),SUMIFS(Expenses!BZ$8:BZ$69,Expenses!$O$8:$O$69,$B125)+SUMIFS(Headcount!AJ$395:AJ$1442,Headcount!$J$395:$J$1442,$B125))</f>
        <v>0</v>
      </c>
      <c r="AB125" s="137">
        <f>IF(AB$12="Actual",SUMIFS(ActualsTable[Month 26],ActualsTable[Expense Item2],$B125),SUMIFS(Expenses!CA$8:CA$69,Expenses!$O$8:$O$69,$B125)+SUMIFS(Headcount!AK$395:AK$1442,Headcount!$J$395:$J$1442,$B125))</f>
        <v>0</v>
      </c>
      <c r="AC125" s="137">
        <f>IF(AC$12="Actual",SUMIFS(ActualsTable[Month 27],ActualsTable[Expense Item2],$B125),SUMIFS(Expenses!CB$8:CB$69,Expenses!$O$8:$O$69,$B125)+SUMIFS(Headcount!AL$395:AL$1442,Headcount!$J$395:$J$1442,$B125))</f>
        <v>0</v>
      </c>
      <c r="AD125" s="137">
        <f>IF(AD$12="Actual",SUMIFS(ActualsTable[Month 28],ActualsTable[Expense Item2],$B125),SUMIFS(Expenses!CC$8:CC$69,Expenses!$O$8:$O$69,$B125)+SUMIFS(Headcount!AM$395:AM$1442,Headcount!$J$395:$J$1442,$B125))</f>
        <v>0</v>
      </c>
      <c r="AE125" s="137">
        <f>IF(AE$12="Actual",SUMIFS(ActualsTable[Month 29],ActualsTable[Expense Item2],$B125),SUMIFS(Expenses!CD$8:CD$69,Expenses!$O$8:$O$69,$B125)+SUMIFS(Headcount!AN$395:AN$1442,Headcount!$J$395:$J$1442,$B125))</f>
        <v>0</v>
      </c>
      <c r="AF125" s="137">
        <f>IF(AF$12="Actual",SUMIFS(ActualsTable[Month 30],ActualsTable[Expense Item2],$B125),SUMIFS(Expenses!CE$8:CE$69,Expenses!$O$8:$O$69,$B125)+SUMIFS(Headcount!AO$395:AO$1442,Headcount!$J$395:$J$1442,$B125))</f>
        <v>0</v>
      </c>
      <c r="AG125" s="137">
        <f>IF(AG$12="Actual",SUMIFS(ActualsTable[Month 31],ActualsTable[Expense Item2],$B125),SUMIFS(Expenses!CF$8:CF$69,Expenses!$O$8:$O$69,$B125)+SUMIFS(Headcount!AP$395:AP$1442,Headcount!$J$395:$J$1442,$B125))</f>
        <v>0</v>
      </c>
      <c r="AH125" s="137">
        <f>IF(AH$12="Actual",SUMIFS(ActualsTable[Month 32],ActualsTable[Expense Item2],$B125),SUMIFS(Expenses!CG$8:CG$69,Expenses!$O$8:$O$69,$B125)+SUMIFS(Headcount!AQ$395:AQ$1442,Headcount!$J$395:$J$1442,$B125))</f>
        <v>0</v>
      </c>
      <c r="AI125" s="137">
        <f>IF(AI$12="Actual",SUMIFS(ActualsTable[Month 33],ActualsTable[Expense Item2],$B125),SUMIFS(Expenses!CH$8:CH$69,Expenses!$O$8:$O$69,$B125)+SUMIFS(Headcount!AR$395:AR$1442,Headcount!$J$395:$J$1442,$B125))</f>
        <v>0</v>
      </c>
      <c r="AJ125" s="137">
        <f>IF(AJ$12="Actual",SUMIFS(ActualsTable[Month 34],ActualsTable[Expense Item2],$B125),SUMIFS(Expenses!CI$8:CI$69,Expenses!$O$8:$O$69,$B125)+SUMIFS(Headcount!AS$395:AS$1442,Headcount!$J$395:$J$1442,$B125))</f>
        <v>0</v>
      </c>
      <c r="AK125" s="137">
        <f>IF(AK$12="Actual",SUMIFS(ActualsTable[Month 35],ActualsTable[Expense Item2],$B125),SUMIFS(Expenses!CJ$8:CJ$69,Expenses!$O$8:$O$69,$B125)+SUMIFS(Headcount!AT$395:AT$1442,Headcount!$J$395:$J$1442,$B125))</f>
        <v>0</v>
      </c>
      <c r="AL125" s="293">
        <f>IF(AL$12="Actual",SUMIFS(ActualsTable[Month 36],ActualsTable[Expense Item2],$B125),SUMIFS(Expenses!CK$8:CK$69,Expenses!$O$8:$O$69,$B125)+SUMIFS(Headcount!AU$395:AU$1442,Headcount!$J$395:$J$1442,$B125))</f>
        <v>0</v>
      </c>
      <c r="AN125" s="319">
        <f t="shared" ca="1" si="226"/>
        <v>0</v>
      </c>
      <c r="AO125" s="137">
        <f t="shared" ca="1" si="226"/>
        <v>0</v>
      </c>
      <c r="AP125" s="137">
        <f t="shared" ca="1" si="226"/>
        <v>0</v>
      </c>
      <c r="AQ125" s="137">
        <f t="shared" ca="1" si="226"/>
        <v>0</v>
      </c>
      <c r="AR125" s="137">
        <f t="shared" ca="1" si="226"/>
        <v>0</v>
      </c>
      <c r="AS125" s="137">
        <f t="shared" ca="1" si="226"/>
        <v>0</v>
      </c>
      <c r="AT125" s="137">
        <f t="shared" ca="1" si="226"/>
        <v>0</v>
      </c>
      <c r="AU125" s="137">
        <f t="shared" ca="1" si="226"/>
        <v>0</v>
      </c>
      <c r="AV125" s="137">
        <f t="shared" ca="1" si="226"/>
        <v>0</v>
      </c>
      <c r="AW125" s="137">
        <f t="shared" ca="1" si="226"/>
        <v>0</v>
      </c>
      <c r="AX125" s="137">
        <f t="shared" ca="1" si="226"/>
        <v>0</v>
      </c>
      <c r="AY125" s="293">
        <f t="shared" ca="1" si="226"/>
        <v>0</v>
      </c>
      <c r="BA125" s="319">
        <f t="shared" ca="1" si="227"/>
        <v>0</v>
      </c>
      <c r="BB125" s="137">
        <f t="shared" ca="1" si="227"/>
        <v>0</v>
      </c>
      <c r="BC125" s="293">
        <f t="shared" ca="1" si="227"/>
        <v>0</v>
      </c>
    </row>
    <row r="126" spans="2:55" x14ac:dyDescent="0.35">
      <c r="B126" s="80" t="s">
        <v>157</v>
      </c>
      <c r="C126" s="137">
        <f>IF(C$12="Actual",SUMIFS(ActualsTable[Month 1],ActualsTable[Expense Item2],$B126),SUMIFS(Expenses!BB$8:BB$69,Expenses!$O$8:$O$69,$B126)+SUMIFS(Headcount!L$395:L$1442,Headcount!$J$395:$J$1442,$B126))</f>
        <v>0</v>
      </c>
      <c r="D126" s="137">
        <f>IF(D$12="Actual",SUMIFS(ActualsTable[Month 2],ActualsTable[Expense Item2],$B126),SUMIFS(Expenses!BC$8:BC$69,Expenses!$O$8:$O$69,$B126)+SUMIFS(Headcount!M$395:M$1442,Headcount!$J$395:$J$1442,$B126))</f>
        <v>0</v>
      </c>
      <c r="E126" s="137">
        <f>IF(E$12="Actual",SUMIFS(ActualsTable[Month 3],ActualsTable[Expense Item2],$B126),SUMIFS(Expenses!BD$8:BD$69,Expenses!$O$8:$O$69,$B126)+SUMIFS(Headcount!N$395:N$1442,Headcount!$J$395:$J$1442,$B126))</f>
        <v>0</v>
      </c>
      <c r="F126" s="137">
        <f>IF(F$12="Actual",SUMIFS(ActualsTable[Month 4],ActualsTable[Expense Item2],$B126),SUMIFS(Expenses!BE$8:BE$69,Expenses!$O$8:$O$69,$B126)+SUMIFS(Headcount!O$395:O$1442,Headcount!$J$395:$J$1442,$B126))</f>
        <v>0</v>
      </c>
      <c r="G126" s="137">
        <f>IF(G$12="Actual",SUMIFS(ActualsTable[Month 5],ActualsTable[Expense Item2],$B126),SUMIFS(Expenses!BF$8:BF$69,Expenses!$O$8:$O$69,$B126)+SUMIFS(Headcount!P$395:P$1442,Headcount!$J$395:$J$1442,$B126))</f>
        <v>0</v>
      </c>
      <c r="H126" s="137">
        <f>IF(H$12="Actual",SUMIFS(ActualsTable[Month 6],ActualsTable[Expense Item2],$B126),SUMIFS(Expenses!BG$8:BG$69,Expenses!$O$8:$O$69,$B126)+SUMIFS(Headcount!Q$395:Q$1442,Headcount!$J$395:$J$1442,$B126))</f>
        <v>0</v>
      </c>
      <c r="I126" s="137">
        <f>IF(I$12="Actual",SUMIFS(ActualsTable[Month 7],ActualsTable[Expense Item2],$B126),SUMIFS(Expenses!BH$8:BH$69,Expenses!$O$8:$O$69,$B126)+SUMIFS(Headcount!R$395:R$1442,Headcount!$J$395:$J$1442,$B126))</f>
        <v>0</v>
      </c>
      <c r="J126" s="137">
        <f>IF(J$12="Actual",SUMIFS(ActualsTable[Month 8],ActualsTable[Expense Item2],$B126),SUMIFS(Expenses!BI$8:BI$69,Expenses!$O$8:$O$69,$B126)+SUMIFS(Headcount!S$395:S$1442,Headcount!$J$395:$J$1442,$B126))</f>
        <v>0</v>
      </c>
      <c r="K126" s="137">
        <f>IF(K$12="Actual",SUMIFS(ActualsTable[Month 9],ActualsTable[Expense Item2],$B126),SUMIFS(Expenses!BJ$8:BJ$69,Expenses!$O$8:$O$69,$B126)+SUMIFS(Headcount!T$395:T$1442,Headcount!$J$395:$J$1442,$B126))</f>
        <v>0</v>
      </c>
      <c r="L126" s="137">
        <f>IF(L$12="Actual",SUMIFS(ActualsTable[Month 10],ActualsTable[Expense Item2],$B126),SUMIFS(Expenses!BK$8:BK$69,Expenses!$O$8:$O$69,$B126)+SUMIFS(Headcount!U$395:U$1442,Headcount!$J$395:$J$1442,$B126))</f>
        <v>0</v>
      </c>
      <c r="M126" s="137">
        <f>IF(M$12="Actual",SUMIFS(ActualsTable[Month 11],ActualsTable[Expense Item2],$B126),SUMIFS(Expenses!BL$8:BL$69,Expenses!$O$8:$O$69,$B126)+SUMIFS(Headcount!V$395:V$1442,Headcount!$J$395:$J$1442,$B126))</f>
        <v>0</v>
      </c>
      <c r="N126" s="137">
        <f>IF(N$12="Actual",SUMIFS(ActualsTable[Month 12],ActualsTable[Expense Item2],$B126),SUMIFS(Expenses!BM$8:BM$69,Expenses!$O$8:$O$69,$B126)+SUMIFS(Headcount!W$395:W$1442,Headcount!$J$395:$J$1442,$B126))</f>
        <v>0</v>
      </c>
      <c r="O126" s="137">
        <f>IF(O$12="Actual",SUMIFS(ActualsTable[Month 13],ActualsTable[Expense Item2],$B126),SUMIFS(Expenses!BN$8:BN$69,Expenses!$O$8:$O$69,$B126)+SUMIFS(Headcount!X$395:X$1442,Headcount!$J$395:$J$1442,$B126))</f>
        <v>0</v>
      </c>
      <c r="P126" s="137">
        <f>IF(P$12="Actual",SUMIFS(ActualsTable[Month 14],ActualsTable[Expense Item2],$B126),SUMIFS(Expenses!BO$8:BO$69,Expenses!$O$8:$O$69,$B126)+SUMIFS(Headcount!Y$395:Y$1442,Headcount!$J$395:$J$1442,$B126))</f>
        <v>0</v>
      </c>
      <c r="Q126" s="137">
        <f>IF(Q$12="Actual",SUMIFS(ActualsTable[Month 15],ActualsTable[Expense Item2],$B126),SUMIFS(Expenses!BP$8:BP$69,Expenses!$O$8:$O$69,$B126)+SUMIFS(Headcount!Z$395:Z$1442,Headcount!$J$395:$J$1442,$B126))</f>
        <v>0</v>
      </c>
      <c r="R126" s="137">
        <f>IF(R$12="Actual",SUMIFS(ActualsTable[Month 16],ActualsTable[Expense Item2],$B126),SUMIFS(Expenses!BQ$8:BQ$69,Expenses!$O$8:$O$69,$B126)+SUMIFS(Headcount!AA$395:AA$1442,Headcount!$J$395:$J$1442,$B126))</f>
        <v>0</v>
      </c>
      <c r="S126" s="137">
        <f>IF(S$12="Actual",SUMIFS(ActualsTable[Month 17],ActualsTable[Expense Item2],$B126),SUMIFS(Expenses!BR$8:BR$69,Expenses!$O$8:$O$69,$B126)+SUMIFS(Headcount!AB$395:AB$1442,Headcount!$J$395:$J$1442,$B126))</f>
        <v>0</v>
      </c>
      <c r="T126" s="137">
        <f>IF(T$12="Actual",SUMIFS(ActualsTable[Month 18],ActualsTable[Expense Item2],$B126),SUMIFS(Expenses!BS$8:BS$69,Expenses!$O$8:$O$69,$B126)+SUMIFS(Headcount!AC$395:AC$1442,Headcount!$J$395:$J$1442,$B126))</f>
        <v>0</v>
      </c>
      <c r="U126" s="137">
        <f>IF(U$12="Actual",SUMIFS(ActualsTable[Month 19],ActualsTable[Expense Item2],$B126),SUMIFS(Expenses!BT$8:BT$69,Expenses!$O$8:$O$69,$B126)+SUMIFS(Headcount!AD$395:AD$1442,Headcount!$J$395:$J$1442,$B126))</f>
        <v>0</v>
      </c>
      <c r="V126" s="137">
        <f>IF(V$12="Actual",SUMIFS(ActualsTable[Month 20],ActualsTable[Expense Item2],$B126),SUMIFS(Expenses!BU$8:BU$69,Expenses!$O$8:$O$69,$B126)+SUMIFS(Headcount!AE$395:AE$1442,Headcount!$J$395:$J$1442,$B126))</f>
        <v>0</v>
      </c>
      <c r="W126" s="137">
        <f>IF(W$12="Actual",SUMIFS(ActualsTable[Month 21],ActualsTable[Expense Item2],$B126),SUMIFS(Expenses!BV$8:BV$69,Expenses!$O$8:$O$69,$B126)+SUMIFS(Headcount!AF$395:AF$1442,Headcount!$J$395:$J$1442,$B126))</f>
        <v>0</v>
      </c>
      <c r="X126" s="137">
        <f>IF(X$12="Actual",SUMIFS(ActualsTable[Month 22],ActualsTable[Expense Item2],$B126),SUMIFS(Expenses!BW$8:BW$69,Expenses!$O$8:$O$69,$B126)+SUMIFS(Headcount!AG$395:AG$1442,Headcount!$J$395:$J$1442,$B126))</f>
        <v>0</v>
      </c>
      <c r="Y126" s="137">
        <f>IF(Y$12="Actual",SUMIFS(ActualsTable[Month 23],ActualsTable[Expense Item2],$B126),SUMIFS(Expenses!BX$8:BX$69,Expenses!$O$8:$O$69,$B126)+SUMIFS(Headcount!AH$395:AH$1442,Headcount!$J$395:$J$1442,$B126))</f>
        <v>0</v>
      </c>
      <c r="Z126" s="137">
        <f>IF(Z$12="Actual",SUMIFS(ActualsTable[Month 24],ActualsTable[Expense Item2],$B126),SUMIFS(Expenses!BY$8:BY$69,Expenses!$O$8:$O$69,$B126)+SUMIFS(Headcount!AI$395:AI$1442,Headcount!$J$395:$J$1442,$B126))</f>
        <v>0</v>
      </c>
      <c r="AA126" s="137">
        <f>IF(AA$12="Actual",SUMIFS(ActualsTable[Month 25],ActualsTable[Expense Item2],$B126),SUMIFS(Expenses!BZ$8:BZ$69,Expenses!$O$8:$O$69,$B126)+SUMIFS(Headcount!AJ$395:AJ$1442,Headcount!$J$395:$J$1442,$B126))</f>
        <v>0</v>
      </c>
      <c r="AB126" s="137">
        <f>IF(AB$12="Actual",SUMIFS(ActualsTable[Month 26],ActualsTable[Expense Item2],$B126),SUMIFS(Expenses!CA$8:CA$69,Expenses!$O$8:$O$69,$B126)+SUMIFS(Headcount!AK$395:AK$1442,Headcount!$J$395:$J$1442,$B126))</f>
        <v>0</v>
      </c>
      <c r="AC126" s="137">
        <f>IF(AC$12="Actual",SUMIFS(ActualsTable[Month 27],ActualsTable[Expense Item2],$B126),SUMIFS(Expenses!CB$8:CB$69,Expenses!$O$8:$O$69,$B126)+SUMIFS(Headcount!AL$395:AL$1442,Headcount!$J$395:$J$1442,$B126))</f>
        <v>0</v>
      </c>
      <c r="AD126" s="137">
        <f>IF(AD$12="Actual",SUMIFS(ActualsTable[Month 28],ActualsTable[Expense Item2],$B126),SUMIFS(Expenses!CC$8:CC$69,Expenses!$O$8:$O$69,$B126)+SUMIFS(Headcount!AM$395:AM$1442,Headcount!$J$395:$J$1442,$B126))</f>
        <v>0</v>
      </c>
      <c r="AE126" s="137">
        <f>IF(AE$12="Actual",SUMIFS(ActualsTable[Month 29],ActualsTable[Expense Item2],$B126),SUMIFS(Expenses!CD$8:CD$69,Expenses!$O$8:$O$69,$B126)+SUMIFS(Headcount!AN$395:AN$1442,Headcount!$J$395:$J$1442,$B126))</f>
        <v>0</v>
      </c>
      <c r="AF126" s="137">
        <f>IF(AF$12="Actual",SUMIFS(ActualsTable[Month 30],ActualsTable[Expense Item2],$B126),SUMIFS(Expenses!CE$8:CE$69,Expenses!$O$8:$O$69,$B126)+SUMIFS(Headcount!AO$395:AO$1442,Headcount!$J$395:$J$1442,$B126))</f>
        <v>0</v>
      </c>
      <c r="AG126" s="137">
        <f>IF(AG$12="Actual",SUMIFS(ActualsTable[Month 31],ActualsTable[Expense Item2],$B126),SUMIFS(Expenses!CF$8:CF$69,Expenses!$O$8:$O$69,$B126)+SUMIFS(Headcount!AP$395:AP$1442,Headcount!$J$395:$J$1442,$B126))</f>
        <v>0</v>
      </c>
      <c r="AH126" s="137">
        <f>IF(AH$12="Actual",SUMIFS(ActualsTable[Month 32],ActualsTable[Expense Item2],$B126),SUMIFS(Expenses!CG$8:CG$69,Expenses!$O$8:$O$69,$B126)+SUMIFS(Headcount!AQ$395:AQ$1442,Headcount!$J$395:$J$1442,$B126))</f>
        <v>0</v>
      </c>
      <c r="AI126" s="137">
        <f>IF(AI$12="Actual",SUMIFS(ActualsTable[Month 33],ActualsTable[Expense Item2],$B126),SUMIFS(Expenses!CH$8:CH$69,Expenses!$O$8:$O$69,$B126)+SUMIFS(Headcount!AR$395:AR$1442,Headcount!$J$395:$J$1442,$B126))</f>
        <v>0</v>
      </c>
      <c r="AJ126" s="137">
        <f>IF(AJ$12="Actual",SUMIFS(ActualsTable[Month 34],ActualsTable[Expense Item2],$B126),SUMIFS(Expenses!CI$8:CI$69,Expenses!$O$8:$O$69,$B126)+SUMIFS(Headcount!AS$395:AS$1442,Headcount!$J$395:$J$1442,$B126))</f>
        <v>0</v>
      </c>
      <c r="AK126" s="137">
        <f>IF(AK$12="Actual",SUMIFS(ActualsTable[Month 35],ActualsTable[Expense Item2],$B126),SUMIFS(Expenses!CJ$8:CJ$69,Expenses!$O$8:$O$69,$B126)+SUMIFS(Headcount!AT$395:AT$1442,Headcount!$J$395:$J$1442,$B126))</f>
        <v>0</v>
      </c>
      <c r="AL126" s="293">
        <f>IF(AL$12="Actual",SUMIFS(ActualsTable[Month 36],ActualsTable[Expense Item2],$B126),SUMIFS(Expenses!CK$8:CK$69,Expenses!$O$8:$O$69,$B126)+SUMIFS(Headcount!AU$395:AU$1442,Headcount!$J$395:$J$1442,$B126))</f>
        <v>0</v>
      </c>
      <c r="AN126" s="319">
        <f t="shared" ca="1" si="226"/>
        <v>0</v>
      </c>
      <c r="AO126" s="137">
        <f t="shared" ca="1" si="226"/>
        <v>0</v>
      </c>
      <c r="AP126" s="137">
        <f t="shared" ca="1" si="226"/>
        <v>0</v>
      </c>
      <c r="AQ126" s="137">
        <f t="shared" ca="1" si="226"/>
        <v>0</v>
      </c>
      <c r="AR126" s="137">
        <f t="shared" ca="1" si="226"/>
        <v>0</v>
      </c>
      <c r="AS126" s="137">
        <f t="shared" ca="1" si="226"/>
        <v>0</v>
      </c>
      <c r="AT126" s="137">
        <f t="shared" ca="1" si="226"/>
        <v>0</v>
      </c>
      <c r="AU126" s="137">
        <f t="shared" ca="1" si="226"/>
        <v>0</v>
      </c>
      <c r="AV126" s="137">
        <f t="shared" ca="1" si="226"/>
        <v>0</v>
      </c>
      <c r="AW126" s="137">
        <f t="shared" ca="1" si="226"/>
        <v>0</v>
      </c>
      <c r="AX126" s="137">
        <f t="shared" ca="1" si="226"/>
        <v>0</v>
      </c>
      <c r="AY126" s="293">
        <f t="shared" ca="1" si="226"/>
        <v>0</v>
      </c>
      <c r="BA126" s="319">
        <f t="shared" ca="1" si="227"/>
        <v>0</v>
      </c>
      <c r="BB126" s="137">
        <f t="shared" ca="1" si="227"/>
        <v>0</v>
      </c>
      <c r="BC126" s="293">
        <f t="shared" ca="1" si="227"/>
        <v>0</v>
      </c>
    </row>
    <row r="127" spans="2:55" x14ac:dyDescent="0.35">
      <c r="B127" s="80" t="s">
        <v>158</v>
      </c>
      <c r="C127" s="137">
        <f>IF(C$12="Actual",SUMIFS(ActualsTable[Month 1],ActualsTable[Expense Item2],$B127),SUMIFS(Expenses!BB$8:BB$69,Expenses!$O$8:$O$69,$B127)+SUMIFS(Headcount!L$395:L$1442,Headcount!$J$395:$J$1442,$B127))</f>
        <v>0</v>
      </c>
      <c r="D127" s="137">
        <f>IF(D$12="Actual",SUMIFS(ActualsTable[Month 2],ActualsTable[Expense Item2],$B127),SUMIFS(Expenses!BC$8:BC$69,Expenses!$O$8:$O$69,$B127)+SUMIFS(Headcount!M$395:M$1442,Headcount!$J$395:$J$1442,$B127))</f>
        <v>0</v>
      </c>
      <c r="E127" s="137">
        <f>IF(E$12="Actual",SUMIFS(ActualsTable[Month 3],ActualsTable[Expense Item2],$B127),SUMIFS(Expenses!BD$8:BD$69,Expenses!$O$8:$O$69,$B127)+SUMIFS(Headcount!N$395:N$1442,Headcount!$J$395:$J$1442,$B127))</f>
        <v>0</v>
      </c>
      <c r="F127" s="137">
        <f>IF(F$12="Actual",SUMIFS(ActualsTable[Month 4],ActualsTable[Expense Item2],$B127),SUMIFS(Expenses!BE$8:BE$69,Expenses!$O$8:$O$69,$B127)+SUMIFS(Headcount!O$395:O$1442,Headcount!$J$395:$J$1442,$B127))</f>
        <v>0</v>
      </c>
      <c r="G127" s="137">
        <f>IF(G$12="Actual",SUMIFS(ActualsTable[Month 5],ActualsTable[Expense Item2],$B127),SUMIFS(Expenses!BF$8:BF$69,Expenses!$O$8:$O$69,$B127)+SUMIFS(Headcount!P$395:P$1442,Headcount!$J$395:$J$1442,$B127))</f>
        <v>0</v>
      </c>
      <c r="H127" s="137">
        <f>IF(H$12="Actual",SUMIFS(ActualsTable[Month 6],ActualsTable[Expense Item2],$B127),SUMIFS(Expenses!BG$8:BG$69,Expenses!$O$8:$O$69,$B127)+SUMIFS(Headcount!Q$395:Q$1442,Headcount!$J$395:$J$1442,$B127))</f>
        <v>0</v>
      </c>
      <c r="I127" s="137">
        <f>IF(I$12="Actual",SUMIFS(ActualsTable[Month 7],ActualsTable[Expense Item2],$B127),SUMIFS(Expenses!BH$8:BH$69,Expenses!$O$8:$O$69,$B127)+SUMIFS(Headcount!R$395:R$1442,Headcount!$J$395:$J$1442,$B127))</f>
        <v>0</v>
      </c>
      <c r="J127" s="137">
        <f>IF(J$12="Actual",SUMIFS(ActualsTable[Month 8],ActualsTable[Expense Item2],$B127),SUMIFS(Expenses!BI$8:BI$69,Expenses!$O$8:$O$69,$B127)+SUMIFS(Headcount!S$395:S$1442,Headcount!$J$395:$J$1442,$B127))</f>
        <v>0</v>
      </c>
      <c r="K127" s="137">
        <f>IF(K$12="Actual",SUMIFS(ActualsTable[Month 9],ActualsTable[Expense Item2],$B127),SUMIFS(Expenses!BJ$8:BJ$69,Expenses!$O$8:$O$69,$B127)+SUMIFS(Headcount!T$395:T$1442,Headcount!$J$395:$J$1442,$B127))</f>
        <v>0</v>
      </c>
      <c r="L127" s="137">
        <f>IF(L$12="Actual",SUMIFS(ActualsTable[Month 10],ActualsTable[Expense Item2],$B127),SUMIFS(Expenses!BK$8:BK$69,Expenses!$O$8:$O$69,$B127)+SUMIFS(Headcount!U$395:U$1442,Headcount!$J$395:$J$1442,$B127))</f>
        <v>0</v>
      </c>
      <c r="M127" s="137">
        <f>IF(M$12="Actual",SUMIFS(ActualsTable[Month 11],ActualsTable[Expense Item2],$B127),SUMIFS(Expenses!BL$8:BL$69,Expenses!$O$8:$O$69,$B127)+SUMIFS(Headcount!V$395:V$1442,Headcount!$J$395:$J$1442,$B127))</f>
        <v>0</v>
      </c>
      <c r="N127" s="137">
        <f>IF(N$12="Actual",SUMIFS(ActualsTable[Month 12],ActualsTable[Expense Item2],$B127),SUMIFS(Expenses!BM$8:BM$69,Expenses!$O$8:$O$69,$B127)+SUMIFS(Headcount!W$395:W$1442,Headcount!$J$395:$J$1442,$B127))</f>
        <v>0</v>
      </c>
      <c r="O127" s="137">
        <f>IF(O$12="Actual",SUMIFS(ActualsTable[Month 13],ActualsTable[Expense Item2],$B127),SUMIFS(Expenses!BN$8:BN$69,Expenses!$O$8:$O$69,$B127)+SUMIFS(Headcount!X$395:X$1442,Headcount!$J$395:$J$1442,$B127))</f>
        <v>0</v>
      </c>
      <c r="P127" s="137">
        <f>IF(P$12="Actual",SUMIFS(ActualsTable[Month 14],ActualsTable[Expense Item2],$B127),SUMIFS(Expenses!BO$8:BO$69,Expenses!$O$8:$O$69,$B127)+SUMIFS(Headcount!Y$395:Y$1442,Headcount!$J$395:$J$1442,$B127))</f>
        <v>0</v>
      </c>
      <c r="Q127" s="137">
        <f>IF(Q$12="Actual",SUMIFS(ActualsTable[Month 15],ActualsTable[Expense Item2],$B127),SUMIFS(Expenses!BP$8:BP$69,Expenses!$O$8:$O$69,$B127)+SUMIFS(Headcount!Z$395:Z$1442,Headcount!$J$395:$J$1442,$B127))</f>
        <v>0</v>
      </c>
      <c r="R127" s="137">
        <f>IF(R$12="Actual",SUMIFS(ActualsTable[Month 16],ActualsTable[Expense Item2],$B127),SUMIFS(Expenses!BQ$8:BQ$69,Expenses!$O$8:$O$69,$B127)+SUMIFS(Headcount!AA$395:AA$1442,Headcount!$J$395:$J$1442,$B127))</f>
        <v>0</v>
      </c>
      <c r="S127" s="137">
        <f>IF(S$12="Actual",SUMIFS(ActualsTable[Month 17],ActualsTable[Expense Item2],$B127),SUMIFS(Expenses!BR$8:BR$69,Expenses!$O$8:$O$69,$B127)+SUMIFS(Headcount!AB$395:AB$1442,Headcount!$J$395:$J$1442,$B127))</f>
        <v>0</v>
      </c>
      <c r="T127" s="137">
        <f>IF(T$12="Actual",SUMIFS(ActualsTable[Month 18],ActualsTable[Expense Item2],$B127),SUMIFS(Expenses!BS$8:BS$69,Expenses!$O$8:$O$69,$B127)+SUMIFS(Headcount!AC$395:AC$1442,Headcount!$J$395:$J$1442,$B127))</f>
        <v>0</v>
      </c>
      <c r="U127" s="137">
        <f>IF(U$12="Actual",SUMIFS(ActualsTable[Month 19],ActualsTable[Expense Item2],$B127),SUMIFS(Expenses!BT$8:BT$69,Expenses!$O$8:$O$69,$B127)+SUMIFS(Headcount!AD$395:AD$1442,Headcount!$J$395:$J$1442,$B127))</f>
        <v>0</v>
      </c>
      <c r="V127" s="137">
        <f>IF(V$12="Actual",SUMIFS(ActualsTable[Month 20],ActualsTable[Expense Item2],$B127),SUMIFS(Expenses!BU$8:BU$69,Expenses!$O$8:$O$69,$B127)+SUMIFS(Headcount!AE$395:AE$1442,Headcount!$J$395:$J$1442,$B127))</f>
        <v>0</v>
      </c>
      <c r="W127" s="137">
        <f>IF(W$12="Actual",SUMIFS(ActualsTable[Month 21],ActualsTable[Expense Item2],$B127),SUMIFS(Expenses!BV$8:BV$69,Expenses!$O$8:$O$69,$B127)+SUMIFS(Headcount!AF$395:AF$1442,Headcount!$J$395:$J$1442,$B127))</f>
        <v>0</v>
      </c>
      <c r="X127" s="137">
        <f>IF(X$12="Actual",SUMIFS(ActualsTable[Month 22],ActualsTable[Expense Item2],$B127),SUMIFS(Expenses!BW$8:BW$69,Expenses!$O$8:$O$69,$B127)+SUMIFS(Headcount!AG$395:AG$1442,Headcount!$J$395:$J$1442,$B127))</f>
        <v>0</v>
      </c>
      <c r="Y127" s="137">
        <f>IF(Y$12="Actual",SUMIFS(ActualsTable[Month 23],ActualsTable[Expense Item2],$B127),SUMIFS(Expenses!BX$8:BX$69,Expenses!$O$8:$O$69,$B127)+SUMIFS(Headcount!AH$395:AH$1442,Headcount!$J$395:$J$1442,$B127))</f>
        <v>0</v>
      </c>
      <c r="Z127" s="137">
        <f>IF(Z$12="Actual",SUMIFS(ActualsTable[Month 24],ActualsTable[Expense Item2],$B127),SUMIFS(Expenses!BY$8:BY$69,Expenses!$O$8:$O$69,$B127)+SUMIFS(Headcount!AI$395:AI$1442,Headcount!$J$395:$J$1442,$B127))</f>
        <v>0</v>
      </c>
      <c r="AA127" s="137">
        <f>IF(AA$12="Actual",SUMIFS(ActualsTable[Month 25],ActualsTable[Expense Item2],$B127),SUMIFS(Expenses!BZ$8:BZ$69,Expenses!$O$8:$O$69,$B127)+SUMIFS(Headcount!AJ$395:AJ$1442,Headcount!$J$395:$J$1442,$B127))</f>
        <v>0</v>
      </c>
      <c r="AB127" s="137">
        <f>IF(AB$12="Actual",SUMIFS(ActualsTable[Month 26],ActualsTable[Expense Item2],$B127),SUMIFS(Expenses!CA$8:CA$69,Expenses!$O$8:$O$69,$B127)+SUMIFS(Headcount!AK$395:AK$1442,Headcount!$J$395:$J$1442,$B127))</f>
        <v>0</v>
      </c>
      <c r="AC127" s="137">
        <f>IF(AC$12="Actual",SUMIFS(ActualsTable[Month 27],ActualsTable[Expense Item2],$B127),SUMIFS(Expenses!CB$8:CB$69,Expenses!$O$8:$O$69,$B127)+SUMIFS(Headcount!AL$395:AL$1442,Headcount!$J$395:$J$1442,$B127))</f>
        <v>0</v>
      </c>
      <c r="AD127" s="137">
        <f>IF(AD$12="Actual",SUMIFS(ActualsTable[Month 28],ActualsTable[Expense Item2],$B127),SUMIFS(Expenses!CC$8:CC$69,Expenses!$O$8:$O$69,$B127)+SUMIFS(Headcount!AM$395:AM$1442,Headcount!$J$395:$J$1442,$B127))</f>
        <v>0</v>
      </c>
      <c r="AE127" s="137">
        <f>IF(AE$12="Actual",SUMIFS(ActualsTable[Month 29],ActualsTable[Expense Item2],$B127),SUMIFS(Expenses!CD$8:CD$69,Expenses!$O$8:$O$69,$B127)+SUMIFS(Headcount!AN$395:AN$1442,Headcount!$J$395:$J$1442,$B127))</f>
        <v>0</v>
      </c>
      <c r="AF127" s="137">
        <f>IF(AF$12="Actual",SUMIFS(ActualsTable[Month 30],ActualsTable[Expense Item2],$B127),SUMIFS(Expenses!CE$8:CE$69,Expenses!$O$8:$O$69,$B127)+SUMIFS(Headcount!AO$395:AO$1442,Headcount!$J$395:$J$1442,$B127))</f>
        <v>0</v>
      </c>
      <c r="AG127" s="137">
        <f>IF(AG$12="Actual",SUMIFS(ActualsTable[Month 31],ActualsTable[Expense Item2],$B127),SUMIFS(Expenses!CF$8:CF$69,Expenses!$O$8:$O$69,$B127)+SUMIFS(Headcount!AP$395:AP$1442,Headcount!$J$395:$J$1442,$B127))</f>
        <v>0</v>
      </c>
      <c r="AH127" s="137">
        <f>IF(AH$12="Actual",SUMIFS(ActualsTable[Month 32],ActualsTable[Expense Item2],$B127),SUMIFS(Expenses!CG$8:CG$69,Expenses!$O$8:$O$69,$B127)+SUMIFS(Headcount!AQ$395:AQ$1442,Headcount!$J$395:$J$1442,$B127))</f>
        <v>0</v>
      </c>
      <c r="AI127" s="137">
        <f>IF(AI$12="Actual",SUMIFS(ActualsTable[Month 33],ActualsTable[Expense Item2],$B127),SUMIFS(Expenses!CH$8:CH$69,Expenses!$O$8:$O$69,$B127)+SUMIFS(Headcount!AR$395:AR$1442,Headcount!$J$395:$J$1442,$B127))</f>
        <v>0</v>
      </c>
      <c r="AJ127" s="137">
        <f>IF(AJ$12="Actual",SUMIFS(ActualsTable[Month 34],ActualsTable[Expense Item2],$B127),SUMIFS(Expenses!CI$8:CI$69,Expenses!$O$8:$O$69,$B127)+SUMIFS(Headcount!AS$395:AS$1442,Headcount!$J$395:$J$1442,$B127))</f>
        <v>0</v>
      </c>
      <c r="AK127" s="137">
        <f>IF(AK$12="Actual",SUMIFS(ActualsTable[Month 35],ActualsTable[Expense Item2],$B127),SUMIFS(Expenses!CJ$8:CJ$69,Expenses!$O$8:$O$69,$B127)+SUMIFS(Headcount!AT$395:AT$1442,Headcount!$J$395:$J$1442,$B127))</f>
        <v>0</v>
      </c>
      <c r="AL127" s="293">
        <f>IF(AL$12="Actual",SUMIFS(ActualsTable[Month 36],ActualsTable[Expense Item2],$B127),SUMIFS(Expenses!CK$8:CK$69,Expenses!$O$8:$O$69,$B127)+SUMIFS(Headcount!AU$395:AU$1442,Headcount!$J$395:$J$1442,$B127))</f>
        <v>0</v>
      </c>
      <c r="AN127" s="319">
        <f t="shared" ca="1" si="226"/>
        <v>0</v>
      </c>
      <c r="AO127" s="137">
        <f t="shared" ca="1" si="226"/>
        <v>0</v>
      </c>
      <c r="AP127" s="137">
        <f t="shared" ca="1" si="226"/>
        <v>0</v>
      </c>
      <c r="AQ127" s="137">
        <f t="shared" ca="1" si="226"/>
        <v>0</v>
      </c>
      <c r="AR127" s="137">
        <f t="shared" ca="1" si="226"/>
        <v>0</v>
      </c>
      <c r="AS127" s="137">
        <f t="shared" ca="1" si="226"/>
        <v>0</v>
      </c>
      <c r="AT127" s="137">
        <f t="shared" ca="1" si="226"/>
        <v>0</v>
      </c>
      <c r="AU127" s="137">
        <f t="shared" ca="1" si="226"/>
        <v>0</v>
      </c>
      <c r="AV127" s="137">
        <f t="shared" ca="1" si="226"/>
        <v>0</v>
      </c>
      <c r="AW127" s="137">
        <f t="shared" ca="1" si="226"/>
        <v>0</v>
      </c>
      <c r="AX127" s="137">
        <f t="shared" ca="1" si="226"/>
        <v>0</v>
      </c>
      <c r="AY127" s="293">
        <f t="shared" ca="1" si="226"/>
        <v>0</v>
      </c>
      <c r="BA127" s="319">
        <f t="shared" ca="1" si="227"/>
        <v>0</v>
      </c>
      <c r="BB127" s="137">
        <f t="shared" ca="1" si="227"/>
        <v>0</v>
      </c>
      <c r="BC127" s="293">
        <f t="shared" ca="1" si="227"/>
        <v>0</v>
      </c>
    </row>
    <row r="128" spans="2:55" x14ac:dyDescent="0.35">
      <c r="B128" s="80" t="s">
        <v>159</v>
      </c>
      <c r="C128" s="137">
        <f>IF(C$12="Actual",SUMIFS(ActualsTable[Month 1],ActualsTable[Expense Item2],$B128),SUMIFS(Expenses!BB$8:BB$69,Expenses!$O$8:$O$69,$B128)+SUMIFS(Headcount!L$395:L$1442,Headcount!$J$395:$J$1442,$B128))</f>
        <v>0</v>
      </c>
      <c r="D128" s="137">
        <f>IF(D$12="Actual",SUMIFS(ActualsTable[Month 2],ActualsTable[Expense Item2],$B128),SUMIFS(Expenses!BC$8:BC$69,Expenses!$O$8:$O$69,$B128)+SUMIFS(Headcount!M$395:M$1442,Headcount!$J$395:$J$1442,$B128))</f>
        <v>0</v>
      </c>
      <c r="E128" s="137">
        <f>IF(E$12="Actual",SUMIFS(ActualsTable[Month 3],ActualsTable[Expense Item2],$B128),SUMIFS(Expenses!BD$8:BD$69,Expenses!$O$8:$O$69,$B128)+SUMIFS(Headcount!N$395:N$1442,Headcount!$J$395:$J$1442,$B128))</f>
        <v>0</v>
      </c>
      <c r="F128" s="137">
        <f>IF(F$12="Actual",SUMIFS(ActualsTable[Month 4],ActualsTable[Expense Item2],$B128),SUMIFS(Expenses!BE$8:BE$69,Expenses!$O$8:$O$69,$B128)+SUMIFS(Headcount!O$395:O$1442,Headcount!$J$395:$J$1442,$B128))</f>
        <v>0</v>
      </c>
      <c r="G128" s="137">
        <f>IF(G$12="Actual",SUMIFS(ActualsTable[Month 5],ActualsTable[Expense Item2],$B128),SUMIFS(Expenses!BF$8:BF$69,Expenses!$O$8:$O$69,$B128)+SUMIFS(Headcount!P$395:P$1442,Headcount!$J$395:$J$1442,$B128))</f>
        <v>0</v>
      </c>
      <c r="H128" s="137">
        <f>IF(H$12="Actual",SUMIFS(ActualsTable[Month 6],ActualsTable[Expense Item2],$B128),SUMIFS(Expenses!BG$8:BG$69,Expenses!$O$8:$O$69,$B128)+SUMIFS(Headcount!Q$395:Q$1442,Headcount!$J$395:$J$1442,$B128))</f>
        <v>0</v>
      </c>
      <c r="I128" s="137">
        <f>IF(I$12="Actual",SUMIFS(ActualsTable[Month 7],ActualsTable[Expense Item2],$B128),SUMIFS(Expenses!BH$8:BH$69,Expenses!$O$8:$O$69,$B128)+SUMIFS(Headcount!R$395:R$1442,Headcount!$J$395:$J$1442,$B128))</f>
        <v>0</v>
      </c>
      <c r="J128" s="137">
        <f>IF(J$12="Actual",SUMIFS(ActualsTable[Month 8],ActualsTable[Expense Item2],$B128),SUMIFS(Expenses!BI$8:BI$69,Expenses!$O$8:$O$69,$B128)+SUMIFS(Headcount!S$395:S$1442,Headcount!$J$395:$J$1442,$B128))</f>
        <v>0</v>
      </c>
      <c r="K128" s="137">
        <f>IF(K$12="Actual",SUMIFS(ActualsTable[Month 9],ActualsTable[Expense Item2],$B128),SUMIFS(Expenses!BJ$8:BJ$69,Expenses!$O$8:$O$69,$B128)+SUMIFS(Headcount!T$395:T$1442,Headcount!$J$395:$J$1442,$B128))</f>
        <v>0</v>
      </c>
      <c r="L128" s="137">
        <f>IF(L$12="Actual",SUMIFS(ActualsTable[Month 10],ActualsTable[Expense Item2],$B128),SUMIFS(Expenses!BK$8:BK$69,Expenses!$O$8:$O$69,$B128)+SUMIFS(Headcount!U$395:U$1442,Headcount!$J$395:$J$1442,$B128))</f>
        <v>0</v>
      </c>
      <c r="M128" s="137">
        <f>IF(M$12="Actual",SUMIFS(ActualsTable[Month 11],ActualsTable[Expense Item2],$B128),SUMIFS(Expenses!BL$8:BL$69,Expenses!$O$8:$O$69,$B128)+SUMIFS(Headcount!V$395:V$1442,Headcount!$J$395:$J$1442,$B128))</f>
        <v>0</v>
      </c>
      <c r="N128" s="137">
        <f>IF(N$12="Actual",SUMIFS(ActualsTable[Month 12],ActualsTable[Expense Item2],$B128),SUMIFS(Expenses!BM$8:BM$69,Expenses!$O$8:$O$69,$B128)+SUMIFS(Headcount!W$395:W$1442,Headcount!$J$395:$J$1442,$B128))</f>
        <v>0</v>
      </c>
      <c r="O128" s="137">
        <f>IF(O$12="Actual",SUMIFS(ActualsTable[Month 13],ActualsTable[Expense Item2],$B128),SUMIFS(Expenses!BN$8:BN$69,Expenses!$O$8:$O$69,$B128)+SUMIFS(Headcount!X$395:X$1442,Headcount!$J$395:$J$1442,$B128))</f>
        <v>0</v>
      </c>
      <c r="P128" s="137">
        <f>IF(P$12="Actual",SUMIFS(ActualsTable[Month 14],ActualsTable[Expense Item2],$B128),SUMIFS(Expenses!BO$8:BO$69,Expenses!$O$8:$O$69,$B128)+SUMIFS(Headcount!Y$395:Y$1442,Headcount!$J$395:$J$1442,$B128))</f>
        <v>0</v>
      </c>
      <c r="Q128" s="137">
        <f>IF(Q$12="Actual",SUMIFS(ActualsTable[Month 15],ActualsTable[Expense Item2],$B128),SUMIFS(Expenses!BP$8:BP$69,Expenses!$O$8:$O$69,$B128)+SUMIFS(Headcount!Z$395:Z$1442,Headcount!$J$395:$J$1442,$B128))</f>
        <v>0</v>
      </c>
      <c r="R128" s="137">
        <f>IF(R$12="Actual",SUMIFS(ActualsTable[Month 16],ActualsTable[Expense Item2],$B128),SUMIFS(Expenses!BQ$8:BQ$69,Expenses!$O$8:$O$69,$B128)+SUMIFS(Headcount!AA$395:AA$1442,Headcount!$J$395:$J$1442,$B128))</f>
        <v>0</v>
      </c>
      <c r="S128" s="137">
        <f>IF(S$12="Actual",SUMIFS(ActualsTable[Month 17],ActualsTable[Expense Item2],$B128),SUMIFS(Expenses!BR$8:BR$69,Expenses!$O$8:$O$69,$B128)+SUMIFS(Headcount!AB$395:AB$1442,Headcount!$J$395:$J$1442,$B128))</f>
        <v>0</v>
      </c>
      <c r="T128" s="137">
        <f>IF(T$12="Actual",SUMIFS(ActualsTable[Month 18],ActualsTable[Expense Item2],$B128),SUMIFS(Expenses!BS$8:BS$69,Expenses!$O$8:$O$69,$B128)+SUMIFS(Headcount!AC$395:AC$1442,Headcount!$J$395:$J$1442,$B128))</f>
        <v>0</v>
      </c>
      <c r="U128" s="137">
        <f>IF(U$12="Actual",SUMIFS(ActualsTable[Month 19],ActualsTable[Expense Item2],$B128),SUMIFS(Expenses!BT$8:BT$69,Expenses!$O$8:$O$69,$B128)+SUMIFS(Headcount!AD$395:AD$1442,Headcount!$J$395:$J$1442,$B128))</f>
        <v>0</v>
      </c>
      <c r="V128" s="137">
        <f>IF(V$12="Actual",SUMIFS(ActualsTable[Month 20],ActualsTable[Expense Item2],$B128),SUMIFS(Expenses!BU$8:BU$69,Expenses!$O$8:$O$69,$B128)+SUMIFS(Headcount!AE$395:AE$1442,Headcount!$J$395:$J$1442,$B128))</f>
        <v>0</v>
      </c>
      <c r="W128" s="137">
        <f>IF(W$12="Actual",SUMIFS(ActualsTable[Month 21],ActualsTable[Expense Item2],$B128),SUMIFS(Expenses!BV$8:BV$69,Expenses!$O$8:$O$69,$B128)+SUMIFS(Headcount!AF$395:AF$1442,Headcount!$J$395:$J$1442,$B128))</f>
        <v>0</v>
      </c>
      <c r="X128" s="137">
        <f>IF(X$12="Actual",SUMIFS(ActualsTable[Month 22],ActualsTable[Expense Item2],$B128),SUMIFS(Expenses!BW$8:BW$69,Expenses!$O$8:$O$69,$B128)+SUMIFS(Headcount!AG$395:AG$1442,Headcount!$J$395:$J$1442,$B128))</f>
        <v>0</v>
      </c>
      <c r="Y128" s="137">
        <f>IF(Y$12="Actual",SUMIFS(ActualsTable[Month 23],ActualsTable[Expense Item2],$B128),SUMIFS(Expenses!BX$8:BX$69,Expenses!$O$8:$O$69,$B128)+SUMIFS(Headcount!AH$395:AH$1442,Headcount!$J$395:$J$1442,$B128))</f>
        <v>0</v>
      </c>
      <c r="Z128" s="137">
        <f>IF(Z$12="Actual",SUMIFS(ActualsTable[Month 24],ActualsTable[Expense Item2],$B128),SUMIFS(Expenses!BY$8:BY$69,Expenses!$O$8:$O$69,$B128)+SUMIFS(Headcount!AI$395:AI$1442,Headcount!$J$395:$J$1442,$B128))</f>
        <v>0</v>
      </c>
      <c r="AA128" s="137">
        <f>IF(AA$12="Actual",SUMIFS(ActualsTable[Month 25],ActualsTable[Expense Item2],$B128),SUMIFS(Expenses!BZ$8:BZ$69,Expenses!$O$8:$O$69,$B128)+SUMIFS(Headcount!AJ$395:AJ$1442,Headcount!$J$395:$J$1442,$B128))</f>
        <v>0</v>
      </c>
      <c r="AB128" s="137">
        <f>IF(AB$12="Actual",SUMIFS(ActualsTable[Month 26],ActualsTable[Expense Item2],$B128),SUMIFS(Expenses!CA$8:CA$69,Expenses!$O$8:$O$69,$B128)+SUMIFS(Headcount!AK$395:AK$1442,Headcount!$J$395:$J$1442,$B128))</f>
        <v>0</v>
      </c>
      <c r="AC128" s="137">
        <f>IF(AC$12="Actual",SUMIFS(ActualsTable[Month 27],ActualsTable[Expense Item2],$B128),SUMIFS(Expenses!CB$8:CB$69,Expenses!$O$8:$O$69,$B128)+SUMIFS(Headcount!AL$395:AL$1442,Headcount!$J$395:$J$1442,$B128))</f>
        <v>0</v>
      </c>
      <c r="AD128" s="137">
        <f>IF(AD$12="Actual",SUMIFS(ActualsTable[Month 28],ActualsTable[Expense Item2],$B128),SUMIFS(Expenses!CC$8:CC$69,Expenses!$O$8:$O$69,$B128)+SUMIFS(Headcount!AM$395:AM$1442,Headcount!$J$395:$J$1442,$B128))</f>
        <v>0</v>
      </c>
      <c r="AE128" s="137">
        <f>IF(AE$12="Actual",SUMIFS(ActualsTable[Month 29],ActualsTable[Expense Item2],$B128),SUMIFS(Expenses!CD$8:CD$69,Expenses!$O$8:$O$69,$B128)+SUMIFS(Headcount!AN$395:AN$1442,Headcount!$J$395:$J$1442,$B128))</f>
        <v>0</v>
      </c>
      <c r="AF128" s="137">
        <f>IF(AF$12="Actual",SUMIFS(ActualsTable[Month 30],ActualsTable[Expense Item2],$B128),SUMIFS(Expenses!CE$8:CE$69,Expenses!$O$8:$O$69,$B128)+SUMIFS(Headcount!AO$395:AO$1442,Headcount!$J$395:$J$1442,$B128))</f>
        <v>0</v>
      </c>
      <c r="AG128" s="137">
        <f>IF(AG$12="Actual",SUMIFS(ActualsTable[Month 31],ActualsTable[Expense Item2],$B128),SUMIFS(Expenses!CF$8:CF$69,Expenses!$O$8:$O$69,$B128)+SUMIFS(Headcount!AP$395:AP$1442,Headcount!$J$395:$J$1442,$B128))</f>
        <v>0</v>
      </c>
      <c r="AH128" s="137">
        <f>IF(AH$12="Actual",SUMIFS(ActualsTable[Month 32],ActualsTable[Expense Item2],$B128),SUMIFS(Expenses!CG$8:CG$69,Expenses!$O$8:$O$69,$B128)+SUMIFS(Headcount!AQ$395:AQ$1442,Headcount!$J$395:$J$1442,$B128))</f>
        <v>0</v>
      </c>
      <c r="AI128" s="137">
        <f>IF(AI$12="Actual",SUMIFS(ActualsTable[Month 33],ActualsTable[Expense Item2],$B128),SUMIFS(Expenses!CH$8:CH$69,Expenses!$O$8:$O$69,$B128)+SUMIFS(Headcount!AR$395:AR$1442,Headcount!$J$395:$J$1442,$B128))</f>
        <v>0</v>
      </c>
      <c r="AJ128" s="137">
        <f>IF(AJ$12="Actual",SUMIFS(ActualsTable[Month 34],ActualsTable[Expense Item2],$B128),SUMIFS(Expenses!CI$8:CI$69,Expenses!$O$8:$O$69,$B128)+SUMIFS(Headcount!AS$395:AS$1442,Headcount!$J$395:$J$1442,$B128))</f>
        <v>0</v>
      </c>
      <c r="AK128" s="137">
        <f>IF(AK$12="Actual",SUMIFS(ActualsTable[Month 35],ActualsTable[Expense Item2],$B128),SUMIFS(Expenses!CJ$8:CJ$69,Expenses!$O$8:$O$69,$B128)+SUMIFS(Headcount!AT$395:AT$1442,Headcount!$J$395:$J$1442,$B128))</f>
        <v>0</v>
      </c>
      <c r="AL128" s="293">
        <f>IF(AL$12="Actual",SUMIFS(ActualsTable[Month 36],ActualsTable[Expense Item2],$B128),SUMIFS(Expenses!CK$8:CK$69,Expenses!$O$8:$O$69,$B128)+SUMIFS(Headcount!AU$395:AU$1442,Headcount!$J$395:$J$1442,$B128))</f>
        <v>0</v>
      </c>
      <c r="AN128" s="319">
        <f t="shared" ca="1" si="226"/>
        <v>0</v>
      </c>
      <c r="AO128" s="137">
        <f t="shared" ca="1" si="226"/>
        <v>0</v>
      </c>
      <c r="AP128" s="137">
        <f t="shared" ca="1" si="226"/>
        <v>0</v>
      </c>
      <c r="AQ128" s="137">
        <f t="shared" ca="1" si="226"/>
        <v>0</v>
      </c>
      <c r="AR128" s="137">
        <f t="shared" ca="1" si="226"/>
        <v>0</v>
      </c>
      <c r="AS128" s="137">
        <f t="shared" ca="1" si="226"/>
        <v>0</v>
      </c>
      <c r="AT128" s="137">
        <f t="shared" ca="1" si="226"/>
        <v>0</v>
      </c>
      <c r="AU128" s="137">
        <f t="shared" ca="1" si="226"/>
        <v>0</v>
      </c>
      <c r="AV128" s="137">
        <f t="shared" ca="1" si="226"/>
        <v>0</v>
      </c>
      <c r="AW128" s="137">
        <f t="shared" ca="1" si="226"/>
        <v>0</v>
      </c>
      <c r="AX128" s="137">
        <f t="shared" ca="1" si="226"/>
        <v>0</v>
      </c>
      <c r="AY128" s="293">
        <f t="shared" ca="1" si="226"/>
        <v>0</v>
      </c>
      <c r="BA128" s="319">
        <f t="shared" ca="1" si="227"/>
        <v>0</v>
      </c>
      <c r="BB128" s="137">
        <f t="shared" ca="1" si="227"/>
        <v>0</v>
      </c>
      <c r="BC128" s="293">
        <f t="shared" ca="1" si="227"/>
        <v>0</v>
      </c>
    </row>
    <row r="129" spans="2:55" x14ac:dyDescent="0.35">
      <c r="B129" s="63" t="s">
        <v>160</v>
      </c>
      <c r="C129" s="131">
        <f>IF(C$12="Actual",SUMIFS(ActualsTable[Month 1],ActualsTable[Expense Item2],$B129),SUMIFS(Expenses!BB$8:BB$69,Expenses!$O$8:$O$69,$B129)+SUMIFS(Headcount!L$395:L$1442,Headcount!$J$395:$J$1442,$B129))</f>
        <v>0</v>
      </c>
      <c r="D129" s="131">
        <f>IF(D$12="Actual",SUMIFS(ActualsTable[Month 2],ActualsTable[Expense Item2],$B129),SUMIFS(Expenses!BC$8:BC$69,Expenses!$O$8:$O$69,$B129)+SUMIFS(Headcount!M$395:M$1442,Headcount!$J$395:$J$1442,$B129))</f>
        <v>0</v>
      </c>
      <c r="E129" s="131">
        <f>IF(E$12="Actual",SUMIFS(ActualsTable[Month 3],ActualsTable[Expense Item2],$B129),SUMIFS(Expenses!BD$8:BD$69,Expenses!$O$8:$O$69,$B129)+SUMIFS(Headcount!N$395:N$1442,Headcount!$J$395:$J$1442,$B129))</f>
        <v>0</v>
      </c>
      <c r="F129" s="131">
        <f>IF(F$12="Actual",SUMIFS(ActualsTable[Month 4],ActualsTable[Expense Item2],$B129),SUMIFS(Expenses!BE$8:BE$69,Expenses!$O$8:$O$69,$B129)+SUMIFS(Headcount!O$395:O$1442,Headcount!$J$395:$J$1442,$B129))</f>
        <v>0</v>
      </c>
      <c r="G129" s="131">
        <f>IF(G$12="Actual",SUMIFS(ActualsTable[Month 5],ActualsTable[Expense Item2],$B129),SUMIFS(Expenses!BF$8:BF$69,Expenses!$O$8:$O$69,$B129)+SUMIFS(Headcount!P$395:P$1442,Headcount!$J$395:$J$1442,$B129))</f>
        <v>0</v>
      </c>
      <c r="H129" s="131">
        <f>IF(H$12="Actual",SUMIFS(ActualsTable[Month 6],ActualsTable[Expense Item2],$B129),SUMIFS(Expenses!BG$8:BG$69,Expenses!$O$8:$O$69,$B129)+SUMIFS(Headcount!Q$395:Q$1442,Headcount!$J$395:$J$1442,$B129))</f>
        <v>0</v>
      </c>
      <c r="I129" s="131">
        <f>IF(I$12="Actual",SUMIFS(ActualsTable[Month 7],ActualsTable[Expense Item2],$B129),SUMIFS(Expenses!BH$8:BH$69,Expenses!$O$8:$O$69,$B129)+SUMIFS(Headcount!R$395:R$1442,Headcount!$J$395:$J$1442,$B129))</f>
        <v>0</v>
      </c>
      <c r="J129" s="131">
        <f>IF(J$12="Actual",SUMIFS(ActualsTable[Month 8],ActualsTable[Expense Item2],$B129),SUMIFS(Expenses!BI$8:BI$69,Expenses!$O$8:$O$69,$B129)+SUMIFS(Headcount!S$395:S$1442,Headcount!$J$395:$J$1442,$B129))</f>
        <v>0</v>
      </c>
      <c r="K129" s="131">
        <f>IF(K$12="Actual",SUMIFS(ActualsTable[Month 9],ActualsTable[Expense Item2],$B129),SUMIFS(Expenses!BJ$8:BJ$69,Expenses!$O$8:$O$69,$B129)+SUMIFS(Headcount!T$395:T$1442,Headcount!$J$395:$J$1442,$B129))</f>
        <v>0</v>
      </c>
      <c r="L129" s="131">
        <f>IF(L$12="Actual",SUMIFS(ActualsTable[Month 10],ActualsTable[Expense Item2],$B129),SUMIFS(Expenses!BK$8:BK$69,Expenses!$O$8:$O$69,$B129)+SUMIFS(Headcount!U$395:U$1442,Headcount!$J$395:$J$1442,$B129))</f>
        <v>0</v>
      </c>
      <c r="M129" s="131">
        <f>IF(M$12="Actual",SUMIFS(ActualsTable[Month 11],ActualsTable[Expense Item2],$B129),SUMIFS(Expenses!BL$8:BL$69,Expenses!$O$8:$O$69,$B129)+SUMIFS(Headcount!V$395:V$1442,Headcount!$J$395:$J$1442,$B129))</f>
        <v>0</v>
      </c>
      <c r="N129" s="131">
        <f>IF(N$12="Actual",SUMIFS(ActualsTable[Month 12],ActualsTable[Expense Item2],$B129),SUMIFS(Expenses!BM$8:BM$69,Expenses!$O$8:$O$69,$B129)+SUMIFS(Headcount!W$395:W$1442,Headcount!$J$395:$J$1442,$B129))</f>
        <v>0</v>
      </c>
      <c r="O129" s="131">
        <f>IF(O$12="Actual",SUMIFS(ActualsTable[Month 13],ActualsTable[Expense Item2],$B129),SUMIFS(Expenses!BN$8:BN$69,Expenses!$O$8:$O$69,$B129)+SUMIFS(Headcount!X$395:X$1442,Headcount!$J$395:$J$1442,$B129))</f>
        <v>0</v>
      </c>
      <c r="P129" s="131">
        <f>IF(P$12="Actual",SUMIFS(ActualsTable[Month 14],ActualsTable[Expense Item2],$B129),SUMIFS(Expenses!BO$8:BO$69,Expenses!$O$8:$O$69,$B129)+SUMIFS(Headcount!Y$395:Y$1442,Headcount!$J$395:$J$1442,$B129))</f>
        <v>0</v>
      </c>
      <c r="Q129" s="131">
        <f>IF(Q$12="Actual",SUMIFS(ActualsTable[Month 15],ActualsTable[Expense Item2],$B129),SUMIFS(Expenses!BP$8:BP$69,Expenses!$O$8:$O$69,$B129)+SUMIFS(Headcount!Z$395:Z$1442,Headcount!$J$395:$J$1442,$B129))</f>
        <v>0</v>
      </c>
      <c r="R129" s="131">
        <f>IF(R$12="Actual",SUMIFS(ActualsTable[Month 16],ActualsTable[Expense Item2],$B129),SUMIFS(Expenses!BQ$8:BQ$69,Expenses!$O$8:$O$69,$B129)+SUMIFS(Headcount!AA$395:AA$1442,Headcount!$J$395:$J$1442,$B129))</f>
        <v>0</v>
      </c>
      <c r="S129" s="131">
        <f>IF(S$12="Actual",SUMIFS(ActualsTable[Month 17],ActualsTable[Expense Item2],$B129),SUMIFS(Expenses!BR$8:BR$69,Expenses!$O$8:$O$69,$B129)+SUMIFS(Headcount!AB$395:AB$1442,Headcount!$J$395:$J$1442,$B129))</f>
        <v>0</v>
      </c>
      <c r="T129" s="131">
        <f>IF(T$12="Actual",SUMIFS(ActualsTable[Month 18],ActualsTable[Expense Item2],$B129),SUMIFS(Expenses!BS$8:BS$69,Expenses!$O$8:$O$69,$B129)+SUMIFS(Headcount!AC$395:AC$1442,Headcount!$J$395:$J$1442,$B129))</f>
        <v>0</v>
      </c>
      <c r="U129" s="131">
        <f>IF(U$12="Actual",SUMIFS(ActualsTable[Month 19],ActualsTable[Expense Item2],$B129),SUMIFS(Expenses!BT$8:BT$69,Expenses!$O$8:$O$69,$B129)+SUMIFS(Headcount!AD$395:AD$1442,Headcount!$J$395:$J$1442,$B129))</f>
        <v>0</v>
      </c>
      <c r="V129" s="131">
        <f>IF(V$12="Actual",SUMIFS(ActualsTable[Month 20],ActualsTable[Expense Item2],$B129),SUMIFS(Expenses!BU$8:BU$69,Expenses!$O$8:$O$69,$B129)+SUMIFS(Headcount!AE$395:AE$1442,Headcount!$J$395:$J$1442,$B129))</f>
        <v>0</v>
      </c>
      <c r="W129" s="131">
        <f>IF(W$12="Actual",SUMIFS(ActualsTable[Month 21],ActualsTable[Expense Item2],$B129),SUMIFS(Expenses!BV$8:BV$69,Expenses!$O$8:$O$69,$B129)+SUMIFS(Headcount!AF$395:AF$1442,Headcount!$J$395:$J$1442,$B129))</f>
        <v>0</v>
      </c>
      <c r="X129" s="131">
        <f>IF(X$12="Actual",SUMIFS(ActualsTable[Month 22],ActualsTable[Expense Item2],$B129),SUMIFS(Expenses!BW$8:BW$69,Expenses!$O$8:$O$69,$B129)+SUMIFS(Headcount!AG$395:AG$1442,Headcount!$J$395:$J$1442,$B129))</f>
        <v>0</v>
      </c>
      <c r="Y129" s="131">
        <f>IF(Y$12="Actual",SUMIFS(ActualsTable[Month 23],ActualsTable[Expense Item2],$B129),SUMIFS(Expenses!BX$8:BX$69,Expenses!$O$8:$O$69,$B129)+SUMIFS(Headcount!AH$395:AH$1442,Headcount!$J$395:$J$1442,$B129))</f>
        <v>0</v>
      </c>
      <c r="Z129" s="131">
        <f>IF(Z$12="Actual",SUMIFS(ActualsTable[Month 24],ActualsTable[Expense Item2],$B129),SUMIFS(Expenses!BY$8:BY$69,Expenses!$O$8:$O$69,$B129)+SUMIFS(Headcount!AI$395:AI$1442,Headcount!$J$395:$J$1442,$B129))</f>
        <v>0</v>
      </c>
      <c r="AA129" s="131">
        <f>IF(AA$12="Actual",SUMIFS(ActualsTable[Month 25],ActualsTable[Expense Item2],$B129),SUMIFS(Expenses!BZ$8:BZ$69,Expenses!$O$8:$O$69,$B129)+SUMIFS(Headcount!AJ$395:AJ$1442,Headcount!$J$395:$J$1442,$B129))</f>
        <v>0</v>
      </c>
      <c r="AB129" s="131">
        <f>IF(AB$12="Actual",SUMIFS(ActualsTable[Month 26],ActualsTable[Expense Item2],$B129),SUMIFS(Expenses!CA$8:CA$69,Expenses!$O$8:$O$69,$B129)+SUMIFS(Headcount!AK$395:AK$1442,Headcount!$J$395:$J$1442,$B129))</f>
        <v>0</v>
      </c>
      <c r="AC129" s="131">
        <f>IF(AC$12="Actual",SUMIFS(ActualsTable[Month 27],ActualsTable[Expense Item2],$B129),SUMIFS(Expenses!CB$8:CB$69,Expenses!$O$8:$O$69,$B129)+SUMIFS(Headcount!AL$395:AL$1442,Headcount!$J$395:$J$1442,$B129))</f>
        <v>0</v>
      </c>
      <c r="AD129" s="131">
        <f>IF(AD$12="Actual",SUMIFS(ActualsTable[Month 28],ActualsTable[Expense Item2],$B129),SUMIFS(Expenses!CC$8:CC$69,Expenses!$O$8:$O$69,$B129)+SUMIFS(Headcount!AM$395:AM$1442,Headcount!$J$395:$J$1442,$B129))</f>
        <v>0</v>
      </c>
      <c r="AE129" s="131">
        <f>IF(AE$12="Actual",SUMIFS(ActualsTable[Month 29],ActualsTable[Expense Item2],$B129),SUMIFS(Expenses!CD$8:CD$69,Expenses!$O$8:$O$69,$B129)+SUMIFS(Headcount!AN$395:AN$1442,Headcount!$J$395:$J$1442,$B129))</f>
        <v>0</v>
      </c>
      <c r="AF129" s="131">
        <f>IF(AF$12="Actual",SUMIFS(ActualsTable[Month 30],ActualsTable[Expense Item2],$B129),SUMIFS(Expenses!CE$8:CE$69,Expenses!$O$8:$O$69,$B129)+SUMIFS(Headcount!AO$395:AO$1442,Headcount!$J$395:$J$1442,$B129))</f>
        <v>0</v>
      </c>
      <c r="AG129" s="131">
        <f>IF(AG$12="Actual",SUMIFS(ActualsTable[Month 31],ActualsTable[Expense Item2],$B129),SUMIFS(Expenses!CF$8:CF$69,Expenses!$O$8:$O$69,$B129)+SUMIFS(Headcount!AP$395:AP$1442,Headcount!$J$395:$J$1442,$B129))</f>
        <v>0</v>
      </c>
      <c r="AH129" s="131">
        <f>IF(AH$12="Actual",SUMIFS(ActualsTable[Month 32],ActualsTable[Expense Item2],$B129),SUMIFS(Expenses!CG$8:CG$69,Expenses!$O$8:$O$69,$B129)+SUMIFS(Headcount!AQ$395:AQ$1442,Headcount!$J$395:$J$1442,$B129))</f>
        <v>0</v>
      </c>
      <c r="AI129" s="131">
        <f>IF(AI$12="Actual",SUMIFS(ActualsTable[Month 33],ActualsTable[Expense Item2],$B129),SUMIFS(Expenses!CH$8:CH$69,Expenses!$O$8:$O$69,$B129)+SUMIFS(Headcount!AR$395:AR$1442,Headcount!$J$395:$J$1442,$B129))</f>
        <v>0</v>
      </c>
      <c r="AJ129" s="131">
        <f>IF(AJ$12="Actual",SUMIFS(ActualsTable[Month 34],ActualsTable[Expense Item2],$B129),SUMIFS(Expenses!CI$8:CI$69,Expenses!$O$8:$O$69,$B129)+SUMIFS(Headcount!AS$395:AS$1442,Headcount!$J$395:$J$1442,$B129))</f>
        <v>0</v>
      </c>
      <c r="AK129" s="131">
        <f>IF(AK$12="Actual",SUMIFS(ActualsTable[Month 35],ActualsTable[Expense Item2],$B129),SUMIFS(Expenses!CJ$8:CJ$69,Expenses!$O$8:$O$69,$B129)+SUMIFS(Headcount!AT$395:AT$1442,Headcount!$J$395:$J$1442,$B129))</f>
        <v>0</v>
      </c>
      <c r="AL129" s="291">
        <f>IF(AL$12="Actual",SUMIFS(ActualsTable[Month 36],ActualsTable[Expense Item2],$B129),SUMIFS(Expenses!CK$8:CK$69,Expenses!$O$8:$O$69,$B129)+SUMIFS(Headcount!AU$395:AU$1442,Headcount!$J$395:$J$1442,$B129))</f>
        <v>0</v>
      </c>
      <c r="AN129" s="317">
        <f t="shared" ca="1" si="226"/>
        <v>0</v>
      </c>
      <c r="AO129" s="131">
        <f t="shared" ca="1" si="226"/>
        <v>0</v>
      </c>
      <c r="AP129" s="131">
        <f t="shared" ca="1" si="226"/>
        <v>0</v>
      </c>
      <c r="AQ129" s="131">
        <f t="shared" ca="1" si="226"/>
        <v>0</v>
      </c>
      <c r="AR129" s="131">
        <f t="shared" ca="1" si="226"/>
        <v>0</v>
      </c>
      <c r="AS129" s="131">
        <f t="shared" ca="1" si="226"/>
        <v>0</v>
      </c>
      <c r="AT129" s="131">
        <f t="shared" ca="1" si="226"/>
        <v>0</v>
      </c>
      <c r="AU129" s="131">
        <f t="shared" ca="1" si="226"/>
        <v>0</v>
      </c>
      <c r="AV129" s="131">
        <f t="shared" ca="1" si="226"/>
        <v>0</v>
      </c>
      <c r="AW129" s="131">
        <f t="shared" ca="1" si="226"/>
        <v>0</v>
      </c>
      <c r="AX129" s="131">
        <f t="shared" ca="1" si="226"/>
        <v>0</v>
      </c>
      <c r="AY129" s="291">
        <f t="shared" ca="1" si="226"/>
        <v>0</v>
      </c>
      <c r="BA129" s="317">
        <f t="shared" ca="1" si="227"/>
        <v>0</v>
      </c>
      <c r="BB129" s="131">
        <f t="shared" ca="1" si="227"/>
        <v>0</v>
      </c>
      <c r="BC129" s="291">
        <f t="shared" ca="1" si="227"/>
        <v>0</v>
      </c>
    </row>
    <row r="130" spans="2:55" x14ac:dyDescent="0.35">
      <c r="B130" s="63" t="s">
        <v>161</v>
      </c>
      <c r="C130" s="131">
        <f>IF(C$12="Actual",SUMIFS(ActualsTable[Month 1],ActualsTable[Expense Item2],$B130),SUMIFS(Expenses!BB$8:BB$69,Expenses!$O$8:$O$69,$B130)+SUMIFS(Headcount!L$395:L$1442,Headcount!$J$395:$J$1442,$B130))</f>
        <v>0</v>
      </c>
      <c r="D130" s="131">
        <f>IF(D$12="Actual",SUMIFS(ActualsTable[Month 2],ActualsTable[Expense Item2],$B130),SUMIFS(Expenses!BC$8:BC$69,Expenses!$O$8:$O$69,$B130)+SUMIFS(Headcount!M$395:M$1442,Headcount!$J$395:$J$1442,$B130))</f>
        <v>0</v>
      </c>
      <c r="E130" s="131">
        <f>IF(E$12="Actual",SUMIFS(ActualsTable[Month 3],ActualsTable[Expense Item2],$B130),SUMIFS(Expenses!BD$8:BD$69,Expenses!$O$8:$O$69,$B130)+SUMIFS(Headcount!N$395:N$1442,Headcount!$J$395:$J$1442,$B130))</f>
        <v>0</v>
      </c>
      <c r="F130" s="131">
        <f>IF(F$12="Actual",SUMIFS(ActualsTable[Month 4],ActualsTable[Expense Item2],$B130),SUMIFS(Expenses!BE$8:BE$69,Expenses!$O$8:$O$69,$B130)+SUMIFS(Headcount!O$395:O$1442,Headcount!$J$395:$J$1442,$B130))</f>
        <v>0</v>
      </c>
      <c r="G130" s="131">
        <f>IF(G$12="Actual",SUMIFS(ActualsTable[Month 5],ActualsTable[Expense Item2],$B130),SUMIFS(Expenses!BF$8:BF$69,Expenses!$O$8:$O$69,$B130)+SUMIFS(Headcount!P$395:P$1442,Headcount!$J$395:$J$1442,$B130))</f>
        <v>0</v>
      </c>
      <c r="H130" s="131">
        <f>IF(H$12="Actual",SUMIFS(ActualsTable[Month 6],ActualsTable[Expense Item2],$B130),SUMIFS(Expenses!BG$8:BG$69,Expenses!$O$8:$O$69,$B130)+SUMIFS(Headcount!Q$395:Q$1442,Headcount!$J$395:$J$1442,$B130))</f>
        <v>0</v>
      </c>
      <c r="I130" s="131">
        <f>IF(I$12="Actual",SUMIFS(ActualsTable[Month 7],ActualsTable[Expense Item2],$B130),SUMIFS(Expenses!BH$8:BH$69,Expenses!$O$8:$O$69,$B130)+SUMIFS(Headcount!R$395:R$1442,Headcount!$J$395:$J$1442,$B130))</f>
        <v>0</v>
      </c>
      <c r="J130" s="131">
        <f>IF(J$12="Actual",SUMIFS(ActualsTable[Month 8],ActualsTable[Expense Item2],$B130),SUMIFS(Expenses!BI$8:BI$69,Expenses!$O$8:$O$69,$B130)+SUMIFS(Headcount!S$395:S$1442,Headcount!$J$395:$J$1442,$B130))</f>
        <v>0</v>
      </c>
      <c r="K130" s="131">
        <f>IF(K$12="Actual",SUMIFS(ActualsTable[Month 9],ActualsTable[Expense Item2],$B130),SUMIFS(Expenses!BJ$8:BJ$69,Expenses!$O$8:$O$69,$B130)+SUMIFS(Headcount!T$395:T$1442,Headcount!$J$395:$J$1442,$B130))</f>
        <v>0</v>
      </c>
      <c r="L130" s="131">
        <f>IF(L$12="Actual",SUMIFS(ActualsTable[Month 10],ActualsTable[Expense Item2],$B130),SUMIFS(Expenses!BK$8:BK$69,Expenses!$O$8:$O$69,$B130)+SUMIFS(Headcount!U$395:U$1442,Headcount!$J$395:$J$1442,$B130))</f>
        <v>0</v>
      </c>
      <c r="M130" s="131">
        <f>IF(M$12="Actual",SUMIFS(ActualsTable[Month 11],ActualsTable[Expense Item2],$B130),SUMIFS(Expenses!BL$8:BL$69,Expenses!$O$8:$O$69,$B130)+SUMIFS(Headcount!V$395:V$1442,Headcount!$J$395:$J$1442,$B130))</f>
        <v>0</v>
      </c>
      <c r="N130" s="131">
        <f>IF(N$12="Actual",SUMIFS(ActualsTable[Month 12],ActualsTable[Expense Item2],$B130),SUMIFS(Expenses!BM$8:BM$69,Expenses!$O$8:$O$69,$B130)+SUMIFS(Headcount!W$395:W$1442,Headcount!$J$395:$J$1442,$B130))</f>
        <v>0</v>
      </c>
      <c r="O130" s="131">
        <f>IF(O$12="Actual",SUMIFS(ActualsTable[Month 13],ActualsTable[Expense Item2],$B130),SUMIFS(Expenses!BN$8:BN$69,Expenses!$O$8:$O$69,$B130)+SUMIFS(Headcount!X$395:X$1442,Headcount!$J$395:$J$1442,$B130))</f>
        <v>0</v>
      </c>
      <c r="P130" s="131">
        <f>IF(P$12="Actual",SUMIFS(ActualsTable[Month 14],ActualsTable[Expense Item2],$B130),SUMIFS(Expenses!BO$8:BO$69,Expenses!$O$8:$O$69,$B130)+SUMIFS(Headcount!Y$395:Y$1442,Headcount!$J$395:$J$1442,$B130))</f>
        <v>0</v>
      </c>
      <c r="Q130" s="131">
        <f>IF(Q$12="Actual",SUMIFS(ActualsTable[Month 15],ActualsTable[Expense Item2],$B130),SUMIFS(Expenses!BP$8:BP$69,Expenses!$O$8:$O$69,$B130)+SUMIFS(Headcount!Z$395:Z$1442,Headcount!$J$395:$J$1442,$B130))</f>
        <v>0</v>
      </c>
      <c r="R130" s="131">
        <f>IF(R$12="Actual",SUMIFS(ActualsTable[Month 16],ActualsTable[Expense Item2],$B130),SUMIFS(Expenses!BQ$8:BQ$69,Expenses!$O$8:$O$69,$B130)+SUMIFS(Headcount!AA$395:AA$1442,Headcount!$J$395:$J$1442,$B130))</f>
        <v>0</v>
      </c>
      <c r="S130" s="131">
        <f>IF(S$12="Actual",SUMIFS(ActualsTable[Month 17],ActualsTable[Expense Item2],$B130),SUMIFS(Expenses!BR$8:BR$69,Expenses!$O$8:$O$69,$B130)+SUMIFS(Headcount!AB$395:AB$1442,Headcount!$J$395:$J$1442,$B130))</f>
        <v>0</v>
      </c>
      <c r="T130" s="131">
        <f>IF(T$12="Actual",SUMIFS(ActualsTable[Month 18],ActualsTable[Expense Item2],$B130),SUMIFS(Expenses!BS$8:BS$69,Expenses!$O$8:$O$69,$B130)+SUMIFS(Headcount!AC$395:AC$1442,Headcount!$J$395:$J$1442,$B130))</f>
        <v>0</v>
      </c>
      <c r="U130" s="131">
        <f>IF(U$12="Actual",SUMIFS(ActualsTable[Month 19],ActualsTable[Expense Item2],$B130),SUMIFS(Expenses!BT$8:BT$69,Expenses!$O$8:$O$69,$B130)+SUMIFS(Headcount!AD$395:AD$1442,Headcount!$J$395:$J$1442,$B130))</f>
        <v>0</v>
      </c>
      <c r="V130" s="131">
        <f>IF(V$12="Actual",SUMIFS(ActualsTable[Month 20],ActualsTable[Expense Item2],$B130),SUMIFS(Expenses!BU$8:BU$69,Expenses!$O$8:$O$69,$B130)+SUMIFS(Headcount!AE$395:AE$1442,Headcount!$J$395:$J$1442,$B130))</f>
        <v>0</v>
      </c>
      <c r="W130" s="131">
        <f>IF(W$12="Actual",SUMIFS(ActualsTable[Month 21],ActualsTable[Expense Item2],$B130),SUMIFS(Expenses!BV$8:BV$69,Expenses!$O$8:$O$69,$B130)+SUMIFS(Headcount!AF$395:AF$1442,Headcount!$J$395:$J$1442,$B130))</f>
        <v>0</v>
      </c>
      <c r="X130" s="131">
        <f>IF(X$12="Actual",SUMIFS(ActualsTable[Month 22],ActualsTable[Expense Item2],$B130),SUMIFS(Expenses!BW$8:BW$69,Expenses!$O$8:$O$69,$B130)+SUMIFS(Headcount!AG$395:AG$1442,Headcount!$J$395:$J$1442,$B130))</f>
        <v>0</v>
      </c>
      <c r="Y130" s="131">
        <f>IF(Y$12="Actual",SUMIFS(ActualsTable[Month 23],ActualsTable[Expense Item2],$B130),SUMIFS(Expenses!BX$8:BX$69,Expenses!$O$8:$O$69,$B130)+SUMIFS(Headcount!AH$395:AH$1442,Headcount!$J$395:$J$1442,$B130))</f>
        <v>0</v>
      </c>
      <c r="Z130" s="131">
        <f>IF(Z$12="Actual",SUMIFS(ActualsTable[Month 24],ActualsTable[Expense Item2],$B130),SUMIFS(Expenses!BY$8:BY$69,Expenses!$O$8:$O$69,$B130)+SUMIFS(Headcount!AI$395:AI$1442,Headcount!$J$395:$J$1442,$B130))</f>
        <v>0</v>
      </c>
      <c r="AA130" s="131">
        <f>IF(AA$12="Actual",SUMIFS(ActualsTable[Month 25],ActualsTable[Expense Item2],$B130),SUMIFS(Expenses!BZ$8:BZ$69,Expenses!$O$8:$O$69,$B130)+SUMIFS(Headcount!AJ$395:AJ$1442,Headcount!$J$395:$J$1442,$B130))</f>
        <v>0</v>
      </c>
      <c r="AB130" s="131">
        <f>IF(AB$12="Actual",SUMIFS(ActualsTable[Month 26],ActualsTable[Expense Item2],$B130),SUMIFS(Expenses!CA$8:CA$69,Expenses!$O$8:$O$69,$B130)+SUMIFS(Headcount!AK$395:AK$1442,Headcount!$J$395:$J$1442,$B130))</f>
        <v>0</v>
      </c>
      <c r="AC130" s="131">
        <f>IF(AC$12="Actual",SUMIFS(ActualsTable[Month 27],ActualsTable[Expense Item2],$B130),SUMIFS(Expenses!CB$8:CB$69,Expenses!$O$8:$O$69,$B130)+SUMIFS(Headcount!AL$395:AL$1442,Headcount!$J$395:$J$1442,$B130))</f>
        <v>0</v>
      </c>
      <c r="AD130" s="131">
        <f>IF(AD$12="Actual",SUMIFS(ActualsTable[Month 28],ActualsTable[Expense Item2],$B130),SUMIFS(Expenses!CC$8:CC$69,Expenses!$O$8:$O$69,$B130)+SUMIFS(Headcount!AM$395:AM$1442,Headcount!$J$395:$J$1442,$B130))</f>
        <v>0</v>
      </c>
      <c r="AE130" s="131">
        <f>IF(AE$12="Actual",SUMIFS(ActualsTable[Month 29],ActualsTable[Expense Item2],$B130),SUMIFS(Expenses!CD$8:CD$69,Expenses!$O$8:$O$69,$B130)+SUMIFS(Headcount!AN$395:AN$1442,Headcount!$J$395:$J$1442,$B130))</f>
        <v>0</v>
      </c>
      <c r="AF130" s="131">
        <f>IF(AF$12="Actual",SUMIFS(ActualsTable[Month 30],ActualsTable[Expense Item2],$B130),SUMIFS(Expenses!CE$8:CE$69,Expenses!$O$8:$O$69,$B130)+SUMIFS(Headcount!AO$395:AO$1442,Headcount!$J$395:$J$1442,$B130))</f>
        <v>0</v>
      </c>
      <c r="AG130" s="131">
        <f>IF(AG$12="Actual",SUMIFS(ActualsTable[Month 31],ActualsTable[Expense Item2],$B130),SUMIFS(Expenses!CF$8:CF$69,Expenses!$O$8:$O$69,$B130)+SUMIFS(Headcount!AP$395:AP$1442,Headcount!$J$395:$J$1442,$B130))</f>
        <v>0</v>
      </c>
      <c r="AH130" s="131">
        <f>IF(AH$12="Actual",SUMIFS(ActualsTable[Month 32],ActualsTable[Expense Item2],$B130),SUMIFS(Expenses!CG$8:CG$69,Expenses!$O$8:$O$69,$B130)+SUMIFS(Headcount!AQ$395:AQ$1442,Headcount!$J$395:$J$1442,$B130))</f>
        <v>0</v>
      </c>
      <c r="AI130" s="131">
        <f>IF(AI$12="Actual",SUMIFS(ActualsTable[Month 33],ActualsTable[Expense Item2],$B130),SUMIFS(Expenses!CH$8:CH$69,Expenses!$O$8:$O$69,$B130)+SUMIFS(Headcount!AR$395:AR$1442,Headcount!$J$395:$J$1442,$B130))</f>
        <v>0</v>
      </c>
      <c r="AJ130" s="131">
        <f>IF(AJ$12="Actual",SUMIFS(ActualsTable[Month 34],ActualsTable[Expense Item2],$B130),SUMIFS(Expenses!CI$8:CI$69,Expenses!$O$8:$O$69,$B130)+SUMIFS(Headcount!AS$395:AS$1442,Headcount!$J$395:$J$1442,$B130))</f>
        <v>0</v>
      </c>
      <c r="AK130" s="131">
        <f>IF(AK$12="Actual",SUMIFS(ActualsTable[Month 35],ActualsTable[Expense Item2],$B130),SUMIFS(Expenses!CJ$8:CJ$69,Expenses!$O$8:$O$69,$B130)+SUMIFS(Headcount!AT$395:AT$1442,Headcount!$J$395:$J$1442,$B130))</f>
        <v>0</v>
      </c>
      <c r="AL130" s="291">
        <f>IF(AL$12="Actual",SUMIFS(ActualsTable[Month 36],ActualsTable[Expense Item2],$B130),SUMIFS(Expenses!CK$8:CK$69,Expenses!$O$8:$O$69,$B130)+SUMIFS(Headcount!AU$395:AU$1442,Headcount!$J$395:$J$1442,$B130))</f>
        <v>0</v>
      </c>
      <c r="AN130" s="317">
        <f t="shared" ca="1" si="226"/>
        <v>0</v>
      </c>
      <c r="AO130" s="131">
        <f t="shared" ca="1" si="226"/>
        <v>0</v>
      </c>
      <c r="AP130" s="131">
        <f t="shared" ca="1" si="226"/>
        <v>0</v>
      </c>
      <c r="AQ130" s="131">
        <f t="shared" ca="1" si="226"/>
        <v>0</v>
      </c>
      <c r="AR130" s="131">
        <f t="shared" ca="1" si="226"/>
        <v>0</v>
      </c>
      <c r="AS130" s="131">
        <f t="shared" ca="1" si="226"/>
        <v>0</v>
      </c>
      <c r="AT130" s="131">
        <f t="shared" ca="1" si="226"/>
        <v>0</v>
      </c>
      <c r="AU130" s="131">
        <f t="shared" ca="1" si="226"/>
        <v>0</v>
      </c>
      <c r="AV130" s="131">
        <f t="shared" ca="1" si="226"/>
        <v>0</v>
      </c>
      <c r="AW130" s="131">
        <f t="shared" ca="1" si="226"/>
        <v>0</v>
      </c>
      <c r="AX130" s="131">
        <f t="shared" ca="1" si="226"/>
        <v>0</v>
      </c>
      <c r="AY130" s="291">
        <f t="shared" ca="1" si="226"/>
        <v>0</v>
      </c>
      <c r="BA130" s="317">
        <f t="shared" ca="1" si="227"/>
        <v>0</v>
      </c>
      <c r="BB130" s="131">
        <f t="shared" ca="1" si="227"/>
        <v>0</v>
      </c>
      <c r="BC130" s="291">
        <f t="shared" ca="1" si="227"/>
        <v>0</v>
      </c>
    </row>
    <row r="131" spans="2:55" ht="15" x14ac:dyDescent="0.4">
      <c r="B131" s="85" t="s">
        <v>162</v>
      </c>
      <c r="C131" s="139">
        <f t="shared" ref="C131:AN131" si="228">SUM(C132:C139)</f>
        <v>0</v>
      </c>
      <c r="D131" s="139">
        <f t="shared" ref="D131:AL131" si="229">SUM(D132:D139)</f>
        <v>0</v>
      </c>
      <c r="E131" s="139">
        <f t="shared" si="229"/>
        <v>0</v>
      </c>
      <c r="F131" s="139">
        <f t="shared" si="229"/>
        <v>0</v>
      </c>
      <c r="G131" s="139">
        <f t="shared" si="229"/>
        <v>0</v>
      </c>
      <c r="H131" s="139">
        <f t="shared" si="229"/>
        <v>0</v>
      </c>
      <c r="I131" s="139">
        <f t="shared" si="229"/>
        <v>0</v>
      </c>
      <c r="J131" s="139">
        <f t="shared" si="229"/>
        <v>0</v>
      </c>
      <c r="K131" s="139">
        <f t="shared" si="229"/>
        <v>0</v>
      </c>
      <c r="L131" s="139">
        <f t="shared" si="229"/>
        <v>0</v>
      </c>
      <c r="M131" s="139">
        <f t="shared" si="229"/>
        <v>0</v>
      </c>
      <c r="N131" s="139">
        <f t="shared" si="229"/>
        <v>0</v>
      </c>
      <c r="O131" s="139">
        <f t="shared" si="229"/>
        <v>0</v>
      </c>
      <c r="P131" s="139">
        <f t="shared" si="229"/>
        <v>0</v>
      </c>
      <c r="Q131" s="139">
        <f t="shared" si="229"/>
        <v>0</v>
      </c>
      <c r="R131" s="139">
        <f t="shared" si="229"/>
        <v>0</v>
      </c>
      <c r="S131" s="139">
        <f t="shared" si="229"/>
        <v>0</v>
      </c>
      <c r="T131" s="139">
        <f t="shared" si="229"/>
        <v>0</v>
      </c>
      <c r="U131" s="139">
        <f t="shared" si="229"/>
        <v>0</v>
      </c>
      <c r="V131" s="139">
        <f t="shared" si="229"/>
        <v>0</v>
      </c>
      <c r="W131" s="139">
        <f t="shared" si="229"/>
        <v>0</v>
      </c>
      <c r="X131" s="139">
        <f t="shared" si="229"/>
        <v>0</v>
      </c>
      <c r="Y131" s="139">
        <f t="shared" si="229"/>
        <v>0</v>
      </c>
      <c r="Z131" s="139">
        <f t="shared" si="229"/>
        <v>0</v>
      </c>
      <c r="AA131" s="139">
        <f t="shared" si="229"/>
        <v>0</v>
      </c>
      <c r="AB131" s="139">
        <f t="shared" si="229"/>
        <v>0</v>
      </c>
      <c r="AC131" s="139">
        <f t="shared" si="229"/>
        <v>0</v>
      </c>
      <c r="AD131" s="139">
        <f t="shared" si="229"/>
        <v>0</v>
      </c>
      <c r="AE131" s="139">
        <f t="shared" si="229"/>
        <v>0</v>
      </c>
      <c r="AF131" s="139">
        <f t="shared" si="229"/>
        <v>0</v>
      </c>
      <c r="AG131" s="139">
        <f t="shared" si="229"/>
        <v>0</v>
      </c>
      <c r="AH131" s="139">
        <f t="shared" si="229"/>
        <v>0</v>
      </c>
      <c r="AI131" s="139">
        <f t="shared" si="229"/>
        <v>0</v>
      </c>
      <c r="AJ131" s="139">
        <f t="shared" si="229"/>
        <v>0</v>
      </c>
      <c r="AK131" s="139">
        <f t="shared" si="229"/>
        <v>0</v>
      </c>
      <c r="AL131" s="303">
        <f t="shared" si="229"/>
        <v>0</v>
      </c>
      <c r="AN131" s="329">
        <f t="shared" ca="1" si="228"/>
        <v>0</v>
      </c>
      <c r="AO131" s="139">
        <f t="shared" ref="AO131:AT131" ca="1" si="230">SUM(AO132:AO139)</f>
        <v>0</v>
      </c>
      <c r="AP131" s="139">
        <f t="shared" ca="1" si="230"/>
        <v>0</v>
      </c>
      <c r="AQ131" s="139">
        <f t="shared" ca="1" si="230"/>
        <v>0</v>
      </c>
      <c r="AR131" s="139">
        <f t="shared" ca="1" si="230"/>
        <v>0</v>
      </c>
      <c r="AS131" s="139">
        <f t="shared" ca="1" si="230"/>
        <v>0</v>
      </c>
      <c r="AT131" s="139">
        <f t="shared" ca="1" si="230"/>
        <v>0</v>
      </c>
      <c r="AU131" s="139">
        <f t="shared" ref="AU131:AY131" ca="1" si="231">SUM(AU132:AU139)</f>
        <v>0</v>
      </c>
      <c r="AV131" s="139">
        <f t="shared" ca="1" si="231"/>
        <v>0</v>
      </c>
      <c r="AW131" s="139">
        <f t="shared" ca="1" si="231"/>
        <v>0</v>
      </c>
      <c r="AX131" s="139">
        <f t="shared" ca="1" si="231"/>
        <v>0</v>
      </c>
      <c r="AY131" s="303">
        <f t="shared" ca="1" si="231"/>
        <v>0</v>
      </c>
      <c r="BA131" s="329">
        <f t="shared" ref="BA131" ca="1" si="232">SUM(BA132:BA139)</f>
        <v>0</v>
      </c>
      <c r="BB131" s="139">
        <f t="shared" ref="BB131:BC131" ca="1" si="233">SUM(BB132:BB139)</f>
        <v>0</v>
      </c>
      <c r="BC131" s="303">
        <f t="shared" ca="1" si="233"/>
        <v>0</v>
      </c>
    </row>
    <row r="132" spans="2:55" x14ac:dyDescent="0.35">
      <c r="B132" s="64" t="s">
        <v>163</v>
      </c>
      <c r="C132" s="137">
        <f>IF(C$12="Actual",SUMIFS(ActualsTable[Month 1],ActualsTable[Expense Item2],$B132),SUMIFS(Expenses!BB$8:BB$69,Expenses!$O$8:$O$69,$B132)+SUMIFS(Headcount!L$395:L$1442,Headcount!$J$395:$J$1442,$B132))</f>
        <v>0</v>
      </c>
      <c r="D132" s="137">
        <f>IF(D$12="Actual",SUMIFS(ActualsTable[Month 2],ActualsTable[Expense Item2],$B132),SUMIFS(Expenses!BC$8:BC$69,Expenses!$O$8:$O$69,$B132)+SUMIFS(Headcount!M$395:M$1442,Headcount!$J$395:$J$1442,$B132))</f>
        <v>0</v>
      </c>
      <c r="E132" s="137">
        <f>IF(E$12="Actual",SUMIFS(ActualsTable[Month 3],ActualsTable[Expense Item2],$B132),SUMIFS(Expenses!BD$8:BD$69,Expenses!$O$8:$O$69,$B132)+SUMIFS(Headcount!N$395:N$1442,Headcount!$J$395:$J$1442,$B132))</f>
        <v>0</v>
      </c>
      <c r="F132" s="137">
        <f>IF(F$12="Actual",SUMIFS(ActualsTable[Month 4],ActualsTable[Expense Item2],$B132),SUMIFS(Expenses!BE$8:BE$69,Expenses!$O$8:$O$69,$B132)+SUMIFS(Headcount!O$395:O$1442,Headcount!$J$395:$J$1442,$B132))</f>
        <v>0</v>
      </c>
      <c r="G132" s="137">
        <f>IF(G$12="Actual",SUMIFS(ActualsTable[Month 5],ActualsTable[Expense Item2],$B132),SUMIFS(Expenses!BF$8:BF$69,Expenses!$O$8:$O$69,$B132)+SUMIFS(Headcount!P$395:P$1442,Headcount!$J$395:$J$1442,$B132))</f>
        <v>0</v>
      </c>
      <c r="H132" s="137">
        <f>IF(H$12="Actual",SUMIFS(ActualsTable[Month 6],ActualsTable[Expense Item2],$B132),SUMIFS(Expenses!BG$8:BG$69,Expenses!$O$8:$O$69,$B132)+SUMIFS(Headcount!Q$395:Q$1442,Headcount!$J$395:$J$1442,$B132))</f>
        <v>0</v>
      </c>
      <c r="I132" s="137">
        <f>IF(I$12="Actual",SUMIFS(ActualsTable[Month 7],ActualsTable[Expense Item2],$B132),SUMIFS(Expenses!BH$8:BH$69,Expenses!$O$8:$O$69,$B132)+SUMIFS(Headcount!R$395:R$1442,Headcount!$J$395:$J$1442,$B132))</f>
        <v>0</v>
      </c>
      <c r="J132" s="137">
        <f>IF(J$12="Actual",SUMIFS(ActualsTable[Month 8],ActualsTable[Expense Item2],$B132),SUMIFS(Expenses!BI$8:BI$69,Expenses!$O$8:$O$69,$B132)+SUMIFS(Headcount!S$395:S$1442,Headcount!$J$395:$J$1442,$B132))</f>
        <v>0</v>
      </c>
      <c r="K132" s="137">
        <f>IF(K$12="Actual",SUMIFS(ActualsTable[Month 9],ActualsTable[Expense Item2],$B132),SUMIFS(Expenses!BJ$8:BJ$69,Expenses!$O$8:$O$69,$B132)+SUMIFS(Headcount!T$395:T$1442,Headcount!$J$395:$J$1442,$B132))</f>
        <v>0</v>
      </c>
      <c r="L132" s="137">
        <f>IF(L$12="Actual",SUMIFS(ActualsTable[Month 10],ActualsTable[Expense Item2],$B132),SUMIFS(Expenses!BK$8:BK$69,Expenses!$O$8:$O$69,$B132)+SUMIFS(Headcount!U$395:U$1442,Headcount!$J$395:$J$1442,$B132))</f>
        <v>0</v>
      </c>
      <c r="M132" s="137">
        <f>IF(M$12="Actual",SUMIFS(ActualsTable[Month 11],ActualsTable[Expense Item2],$B132),SUMIFS(Expenses!BL$8:BL$69,Expenses!$O$8:$O$69,$B132)+SUMIFS(Headcount!V$395:V$1442,Headcount!$J$395:$J$1442,$B132))</f>
        <v>0</v>
      </c>
      <c r="N132" s="137">
        <f>IF(N$12="Actual",SUMIFS(ActualsTable[Month 12],ActualsTable[Expense Item2],$B132),SUMIFS(Expenses!BM$8:BM$69,Expenses!$O$8:$O$69,$B132)+SUMIFS(Headcount!W$395:W$1442,Headcount!$J$395:$J$1442,$B132))</f>
        <v>0</v>
      </c>
      <c r="O132" s="137">
        <f>IF(O$12="Actual",SUMIFS(ActualsTable[Month 13],ActualsTable[Expense Item2],$B132),SUMIFS(Expenses!BN$8:BN$69,Expenses!$O$8:$O$69,$B132)+SUMIFS(Headcount!X$395:X$1442,Headcount!$J$395:$J$1442,$B132))</f>
        <v>0</v>
      </c>
      <c r="P132" s="137">
        <f>IF(P$12="Actual",SUMIFS(ActualsTable[Month 14],ActualsTable[Expense Item2],$B132),SUMIFS(Expenses!BO$8:BO$69,Expenses!$O$8:$O$69,$B132)+SUMIFS(Headcount!Y$395:Y$1442,Headcount!$J$395:$J$1442,$B132))</f>
        <v>0</v>
      </c>
      <c r="Q132" s="137">
        <f>IF(Q$12="Actual",SUMIFS(ActualsTable[Month 15],ActualsTable[Expense Item2],$B132),SUMIFS(Expenses!BP$8:BP$69,Expenses!$O$8:$O$69,$B132)+SUMIFS(Headcount!Z$395:Z$1442,Headcount!$J$395:$J$1442,$B132))</f>
        <v>0</v>
      </c>
      <c r="R132" s="137">
        <f>IF(R$12="Actual",SUMIFS(ActualsTable[Month 16],ActualsTable[Expense Item2],$B132),SUMIFS(Expenses!BQ$8:BQ$69,Expenses!$O$8:$O$69,$B132)+SUMIFS(Headcount!AA$395:AA$1442,Headcount!$J$395:$J$1442,$B132))</f>
        <v>0</v>
      </c>
      <c r="S132" s="137">
        <f>IF(S$12="Actual",SUMIFS(ActualsTable[Month 17],ActualsTable[Expense Item2],$B132),SUMIFS(Expenses!BR$8:BR$69,Expenses!$O$8:$O$69,$B132)+SUMIFS(Headcount!AB$395:AB$1442,Headcount!$J$395:$J$1442,$B132))</f>
        <v>0</v>
      </c>
      <c r="T132" s="137">
        <f>IF(T$12="Actual",SUMIFS(ActualsTable[Month 18],ActualsTable[Expense Item2],$B132),SUMIFS(Expenses!BS$8:BS$69,Expenses!$O$8:$O$69,$B132)+SUMIFS(Headcount!AC$395:AC$1442,Headcount!$J$395:$J$1442,$B132))</f>
        <v>0</v>
      </c>
      <c r="U132" s="137">
        <f>IF(U$12="Actual",SUMIFS(ActualsTable[Month 19],ActualsTable[Expense Item2],$B132),SUMIFS(Expenses!BT$8:BT$69,Expenses!$O$8:$O$69,$B132)+SUMIFS(Headcount!AD$395:AD$1442,Headcount!$J$395:$J$1442,$B132))</f>
        <v>0</v>
      </c>
      <c r="V132" s="137">
        <f>IF(V$12="Actual",SUMIFS(ActualsTable[Month 20],ActualsTable[Expense Item2],$B132),SUMIFS(Expenses!BU$8:BU$69,Expenses!$O$8:$O$69,$B132)+SUMIFS(Headcount!AE$395:AE$1442,Headcount!$J$395:$J$1442,$B132))</f>
        <v>0</v>
      </c>
      <c r="W132" s="137">
        <f>IF(W$12="Actual",SUMIFS(ActualsTable[Month 21],ActualsTable[Expense Item2],$B132),SUMIFS(Expenses!BV$8:BV$69,Expenses!$O$8:$O$69,$B132)+SUMIFS(Headcount!AF$395:AF$1442,Headcount!$J$395:$J$1442,$B132))</f>
        <v>0</v>
      </c>
      <c r="X132" s="137">
        <f>IF(X$12="Actual",SUMIFS(ActualsTable[Month 22],ActualsTable[Expense Item2],$B132),SUMIFS(Expenses!BW$8:BW$69,Expenses!$O$8:$O$69,$B132)+SUMIFS(Headcount!AG$395:AG$1442,Headcount!$J$395:$J$1442,$B132))</f>
        <v>0</v>
      </c>
      <c r="Y132" s="137">
        <f>IF(Y$12="Actual",SUMIFS(ActualsTable[Month 23],ActualsTable[Expense Item2],$B132),SUMIFS(Expenses!BX$8:BX$69,Expenses!$O$8:$O$69,$B132)+SUMIFS(Headcount!AH$395:AH$1442,Headcount!$J$395:$J$1442,$B132))</f>
        <v>0</v>
      </c>
      <c r="Z132" s="137">
        <f>IF(Z$12="Actual",SUMIFS(ActualsTable[Month 24],ActualsTable[Expense Item2],$B132),SUMIFS(Expenses!BY$8:BY$69,Expenses!$O$8:$O$69,$B132)+SUMIFS(Headcount!AI$395:AI$1442,Headcount!$J$395:$J$1442,$B132))</f>
        <v>0</v>
      </c>
      <c r="AA132" s="137">
        <f>IF(AA$12="Actual",SUMIFS(ActualsTable[Month 25],ActualsTable[Expense Item2],$B132),SUMIFS(Expenses!BZ$8:BZ$69,Expenses!$O$8:$O$69,$B132)+SUMIFS(Headcount!AJ$395:AJ$1442,Headcount!$J$395:$J$1442,$B132))</f>
        <v>0</v>
      </c>
      <c r="AB132" s="137">
        <f>IF(AB$12="Actual",SUMIFS(ActualsTable[Month 26],ActualsTable[Expense Item2],$B132),SUMIFS(Expenses!CA$8:CA$69,Expenses!$O$8:$O$69,$B132)+SUMIFS(Headcount!AK$395:AK$1442,Headcount!$J$395:$J$1442,$B132))</f>
        <v>0</v>
      </c>
      <c r="AC132" s="137">
        <f>IF(AC$12="Actual",SUMIFS(ActualsTable[Month 27],ActualsTable[Expense Item2],$B132),SUMIFS(Expenses!CB$8:CB$69,Expenses!$O$8:$O$69,$B132)+SUMIFS(Headcount!AL$395:AL$1442,Headcount!$J$395:$J$1442,$B132))</f>
        <v>0</v>
      </c>
      <c r="AD132" s="137">
        <f>IF(AD$12="Actual",SUMIFS(ActualsTable[Month 28],ActualsTable[Expense Item2],$B132),SUMIFS(Expenses!CC$8:CC$69,Expenses!$O$8:$O$69,$B132)+SUMIFS(Headcount!AM$395:AM$1442,Headcount!$J$395:$J$1442,$B132))</f>
        <v>0</v>
      </c>
      <c r="AE132" s="137">
        <f>IF(AE$12="Actual",SUMIFS(ActualsTable[Month 29],ActualsTable[Expense Item2],$B132),SUMIFS(Expenses!CD$8:CD$69,Expenses!$O$8:$O$69,$B132)+SUMIFS(Headcount!AN$395:AN$1442,Headcount!$J$395:$J$1442,$B132))</f>
        <v>0</v>
      </c>
      <c r="AF132" s="137">
        <f>IF(AF$12="Actual",SUMIFS(ActualsTable[Month 30],ActualsTable[Expense Item2],$B132),SUMIFS(Expenses!CE$8:CE$69,Expenses!$O$8:$O$69,$B132)+SUMIFS(Headcount!AO$395:AO$1442,Headcount!$J$395:$J$1442,$B132))</f>
        <v>0</v>
      </c>
      <c r="AG132" s="137">
        <f>IF(AG$12="Actual",SUMIFS(ActualsTable[Month 31],ActualsTable[Expense Item2],$B132),SUMIFS(Expenses!CF$8:CF$69,Expenses!$O$8:$O$69,$B132)+SUMIFS(Headcount!AP$395:AP$1442,Headcount!$J$395:$J$1442,$B132))</f>
        <v>0</v>
      </c>
      <c r="AH132" s="137">
        <f>IF(AH$12="Actual",SUMIFS(ActualsTable[Month 32],ActualsTable[Expense Item2],$B132),SUMIFS(Expenses!CG$8:CG$69,Expenses!$O$8:$O$69,$B132)+SUMIFS(Headcount!AQ$395:AQ$1442,Headcount!$J$395:$J$1442,$B132))</f>
        <v>0</v>
      </c>
      <c r="AI132" s="137">
        <f>IF(AI$12="Actual",SUMIFS(ActualsTable[Month 33],ActualsTable[Expense Item2],$B132),SUMIFS(Expenses!CH$8:CH$69,Expenses!$O$8:$O$69,$B132)+SUMIFS(Headcount!AR$395:AR$1442,Headcount!$J$395:$J$1442,$B132))</f>
        <v>0</v>
      </c>
      <c r="AJ132" s="137">
        <f>IF(AJ$12="Actual",SUMIFS(ActualsTable[Month 34],ActualsTable[Expense Item2],$B132),SUMIFS(Expenses!CI$8:CI$69,Expenses!$O$8:$O$69,$B132)+SUMIFS(Headcount!AS$395:AS$1442,Headcount!$J$395:$J$1442,$B132))</f>
        <v>0</v>
      </c>
      <c r="AK132" s="137">
        <f>IF(AK$12="Actual",SUMIFS(ActualsTable[Month 35],ActualsTable[Expense Item2],$B132),SUMIFS(Expenses!CJ$8:CJ$69,Expenses!$O$8:$O$69,$B132)+SUMIFS(Headcount!AT$395:AT$1442,Headcount!$J$395:$J$1442,$B132))</f>
        <v>0</v>
      </c>
      <c r="AL132" s="293">
        <f>IF(AL$12="Actual",SUMIFS(ActualsTable[Month 36],ActualsTable[Expense Item2],$B132),SUMIFS(Expenses!CK$8:CK$69,Expenses!$O$8:$O$69,$B132)+SUMIFS(Headcount!AU$395:AU$1442,Headcount!$J$395:$J$1442,$B132))</f>
        <v>0</v>
      </c>
      <c r="AN132" s="319">
        <f t="shared" ref="AN132:AY139" ca="1" si="234">SUM(OFFSET($B132,0,3*AN$9+1,1,3))</f>
        <v>0</v>
      </c>
      <c r="AO132" s="137">
        <f t="shared" ca="1" si="234"/>
        <v>0</v>
      </c>
      <c r="AP132" s="137">
        <f t="shared" ca="1" si="234"/>
        <v>0</v>
      </c>
      <c r="AQ132" s="137">
        <f t="shared" ca="1" si="234"/>
        <v>0</v>
      </c>
      <c r="AR132" s="137">
        <f t="shared" ca="1" si="234"/>
        <v>0</v>
      </c>
      <c r="AS132" s="137">
        <f t="shared" ca="1" si="234"/>
        <v>0</v>
      </c>
      <c r="AT132" s="137">
        <f t="shared" ca="1" si="234"/>
        <v>0</v>
      </c>
      <c r="AU132" s="137">
        <f t="shared" ca="1" si="234"/>
        <v>0</v>
      </c>
      <c r="AV132" s="137">
        <f t="shared" ca="1" si="234"/>
        <v>0</v>
      </c>
      <c r="AW132" s="137">
        <f t="shared" ca="1" si="234"/>
        <v>0</v>
      </c>
      <c r="AX132" s="137">
        <f t="shared" ca="1" si="234"/>
        <v>0</v>
      </c>
      <c r="AY132" s="293">
        <f t="shared" ca="1" si="234"/>
        <v>0</v>
      </c>
      <c r="BA132" s="319">
        <f t="shared" ref="BA132:BC139" ca="1" si="235">SUM(OFFSET($B132,0,12*BA$9+1,1,12))</f>
        <v>0</v>
      </c>
      <c r="BB132" s="137">
        <f t="shared" ca="1" si="235"/>
        <v>0</v>
      </c>
      <c r="BC132" s="293">
        <f t="shared" ca="1" si="235"/>
        <v>0</v>
      </c>
    </row>
    <row r="133" spans="2:55" x14ac:dyDescent="0.35">
      <c r="B133" s="64" t="s">
        <v>164</v>
      </c>
      <c r="C133" s="137">
        <f>IF(C$12="Actual",SUMIFS(ActualsTable[Month 1],ActualsTable[Expense Item2],$B133),SUMIFS(Expenses!BB$8:BB$69,Expenses!$O$8:$O$69,$B133)+SUMIFS(Headcount!L$395:L$1442,Headcount!$J$395:$J$1442,$B133))</f>
        <v>0</v>
      </c>
      <c r="D133" s="137">
        <f>IF(D$12="Actual",SUMIFS(ActualsTable[Month 2],ActualsTable[Expense Item2],$B133),SUMIFS(Expenses!BC$8:BC$69,Expenses!$O$8:$O$69,$B133)+SUMIFS(Headcount!M$395:M$1442,Headcount!$J$395:$J$1442,$B133))</f>
        <v>0</v>
      </c>
      <c r="E133" s="137">
        <f>IF(E$12="Actual",SUMIFS(ActualsTable[Month 3],ActualsTable[Expense Item2],$B133),SUMIFS(Expenses!BD$8:BD$69,Expenses!$O$8:$O$69,$B133)+SUMIFS(Headcount!N$395:N$1442,Headcount!$J$395:$J$1442,$B133))</f>
        <v>0</v>
      </c>
      <c r="F133" s="137">
        <f>IF(F$12="Actual",SUMIFS(ActualsTable[Month 4],ActualsTable[Expense Item2],$B133),SUMIFS(Expenses!BE$8:BE$69,Expenses!$O$8:$O$69,$B133)+SUMIFS(Headcount!O$395:O$1442,Headcount!$J$395:$J$1442,$B133))</f>
        <v>0</v>
      </c>
      <c r="G133" s="137">
        <f>IF(G$12="Actual",SUMIFS(ActualsTable[Month 5],ActualsTable[Expense Item2],$B133),SUMIFS(Expenses!BF$8:BF$69,Expenses!$O$8:$O$69,$B133)+SUMIFS(Headcount!P$395:P$1442,Headcount!$J$395:$J$1442,$B133))</f>
        <v>0</v>
      </c>
      <c r="H133" s="137">
        <f>IF(H$12="Actual",SUMIFS(ActualsTable[Month 6],ActualsTable[Expense Item2],$B133),SUMIFS(Expenses!BG$8:BG$69,Expenses!$O$8:$O$69,$B133)+SUMIFS(Headcount!Q$395:Q$1442,Headcount!$J$395:$J$1442,$B133))</f>
        <v>0</v>
      </c>
      <c r="I133" s="137">
        <f>IF(I$12="Actual",SUMIFS(ActualsTable[Month 7],ActualsTable[Expense Item2],$B133),SUMIFS(Expenses!BH$8:BH$69,Expenses!$O$8:$O$69,$B133)+SUMIFS(Headcount!R$395:R$1442,Headcount!$J$395:$J$1442,$B133))</f>
        <v>0</v>
      </c>
      <c r="J133" s="137">
        <f>IF(J$12="Actual",SUMIFS(ActualsTable[Month 8],ActualsTable[Expense Item2],$B133),SUMIFS(Expenses!BI$8:BI$69,Expenses!$O$8:$O$69,$B133)+SUMIFS(Headcount!S$395:S$1442,Headcount!$J$395:$J$1442,$B133))</f>
        <v>0</v>
      </c>
      <c r="K133" s="137">
        <f>IF(K$12="Actual",SUMIFS(ActualsTable[Month 9],ActualsTable[Expense Item2],$B133),SUMIFS(Expenses!BJ$8:BJ$69,Expenses!$O$8:$O$69,$B133)+SUMIFS(Headcount!T$395:T$1442,Headcount!$J$395:$J$1442,$B133))</f>
        <v>0</v>
      </c>
      <c r="L133" s="137">
        <f>IF(L$12="Actual",SUMIFS(ActualsTable[Month 10],ActualsTable[Expense Item2],$B133),SUMIFS(Expenses!BK$8:BK$69,Expenses!$O$8:$O$69,$B133)+SUMIFS(Headcount!U$395:U$1442,Headcount!$J$395:$J$1442,$B133))</f>
        <v>0</v>
      </c>
      <c r="M133" s="137">
        <f>IF(M$12="Actual",SUMIFS(ActualsTable[Month 11],ActualsTable[Expense Item2],$B133),SUMIFS(Expenses!BL$8:BL$69,Expenses!$O$8:$O$69,$B133)+SUMIFS(Headcount!V$395:V$1442,Headcount!$J$395:$J$1442,$B133))</f>
        <v>0</v>
      </c>
      <c r="N133" s="137">
        <f>IF(N$12="Actual",SUMIFS(ActualsTable[Month 12],ActualsTable[Expense Item2],$B133),SUMIFS(Expenses!BM$8:BM$69,Expenses!$O$8:$O$69,$B133)+SUMIFS(Headcount!W$395:W$1442,Headcount!$J$395:$J$1442,$B133))</f>
        <v>0</v>
      </c>
      <c r="O133" s="137">
        <f>IF(O$12="Actual",SUMIFS(ActualsTable[Month 13],ActualsTable[Expense Item2],$B133),SUMIFS(Expenses!BN$8:BN$69,Expenses!$O$8:$O$69,$B133)+SUMIFS(Headcount!X$395:X$1442,Headcount!$J$395:$J$1442,$B133))</f>
        <v>0</v>
      </c>
      <c r="P133" s="137">
        <f>IF(P$12="Actual",SUMIFS(ActualsTable[Month 14],ActualsTable[Expense Item2],$B133),SUMIFS(Expenses!BO$8:BO$69,Expenses!$O$8:$O$69,$B133)+SUMIFS(Headcount!Y$395:Y$1442,Headcount!$J$395:$J$1442,$B133))</f>
        <v>0</v>
      </c>
      <c r="Q133" s="137">
        <f>IF(Q$12="Actual",SUMIFS(ActualsTable[Month 15],ActualsTable[Expense Item2],$B133),SUMIFS(Expenses!BP$8:BP$69,Expenses!$O$8:$O$69,$B133)+SUMIFS(Headcount!Z$395:Z$1442,Headcount!$J$395:$J$1442,$B133))</f>
        <v>0</v>
      </c>
      <c r="R133" s="137">
        <f>IF(R$12="Actual",SUMIFS(ActualsTable[Month 16],ActualsTable[Expense Item2],$B133),SUMIFS(Expenses!BQ$8:BQ$69,Expenses!$O$8:$O$69,$B133)+SUMIFS(Headcount!AA$395:AA$1442,Headcount!$J$395:$J$1442,$B133))</f>
        <v>0</v>
      </c>
      <c r="S133" s="137">
        <f>IF(S$12="Actual",SUMIFS(ActualsTable[Month 17],ActualsTable[Expense Item2],$B133),SUMIFS(Expenses!BR$8:BR$69,Expenses!$O$8:$O$69,$B133)+SUMIFS(Headcount!AB$395:AB$1442,Headcount!$J$395:$J$1442,$B133))</f>
        <v>0</v>
      </c>
      <c r="T133" s="137">
        <f>IF(T$12="Actual",SUMIFS(ActualsTable[Month 18],ActualsTable[Expense Item2],$B133),SUMIFS(Expenses!BS$8:BS$69,Expenses!$O$8:$O$69,$B133)+SUMIFS(Headcount!AC$395:AC$1442,Headcount!$J$395:$J$1442,$B133))</f>
        <v>0</v>
      </c>
      <c r="U133" s="137">
        <f>IF(U$12="Actual",SUMIFS(ActualsTable[Month 19],ActualsTable[Expense Item2],$B133),SUMIFS(Expenses!BT$8:BT$69,Expenses!$O$8:$O$69,$B133)+SUMIFS(Headcount!AD$395:AD$1442,Headcount!$J$395:$J$1442,$B133))</f>
        <v>0</v>
      </c>
      <c r="V133" s="137">
        <f>IF(V$12="Actual",SUMIFS(ActualsTable[Month 20],ActualsTable[Expense Item2],$B133),SUMIFS(Expenses!BU$8:BU$69,Expenses!$O$8:$O$69,$B133)+SUMIFS(Headcount!AE$395:AE$1442,Headcount!$J$395:$J$1442,$B133))</f>
        <v>0</v>
      </c>
      <c r="W133" s="137">
        <f>IF(W$12="Actual",SUMIFS(ActualsTable[Month 21],ActualsTable[Expense Item2],$B133),SUMIFS(Expenses!BV$8:BV$69,Expenses!$O$8:$O$69,$B133)+SUMIFS(Headcount!AF$395:AF$1442,Headcount!$J$395:$J$1442,$B133))</f>
        <v>0</v>
      </c>
      <c r="X133" s="137">
        <f>IF(X$12="Actual",SUMIFS(ActualsTable[Month 22],ActualsTable[Expense Item2],$B133),SUMIFS(Expenses!BW$8:BW$69,Expenses!$O$8:$O$69,$B133)+SUMIFS(Headcount!AG$395:AG$1442,Headcount!$J$395:$J$1442,$B133))</f>
        <v>0</v>
      </c>
      <c r="Y133" s="137">
        <f>IF(Y$12="Actual",SUMIFS(ActualsTable[Month 23],ActualsTable[Expense Item2],$B133),SUMIFS(Expenses!BX$8:BX$69,Expenses!$O$8:$O$69,$B133)+SUMIFS(Headcount!AH$395:AH$1442,Headcount!$J$395:$J$1442,$B133))</f>
        <v>0</v>
      </c>
      <c r="Z133" s="137">
        <f>IF(Z$12="Actual",SUMIFS(ActualsTable[Month 24],ActualsTable[Expense Item2],$B133),SUMIFS(Expenses!BY$8:BY$69,Expenses!$O$8:$O$69,$B133)+SUMIFS(Headcount!AI$395:AI$1442,Headcount!$J$395:$J$1442,$B133))</f>
        <v>0</v>
      </c>
      <c r="AA133" s="137">
        <f>IF(AA$12="Actual",SUMIFS(ActualsTable[Month 25],ActualsTable[Expense Item2],$B133),SUMIFS(Expenses!BZ$8:BZ$69,Expenses!$O$8:$O$69,$B133)+SUMIFS(Headcount!AJ$395:AJ$1442,Headcount!$J$395:$J$1442,$B133))</f>
        <v>0</v>
      </c>
      <c r="AB133" s="137">
        <f>IF(AB$12="Actual",SUMIFS(ActualsTable[Month 26],ActualsTable[Expense Item2],$B133),SUMIFS(Expenses!CA$8:CA$69,Expenses!$O$8:$O$69,$B133)+SUMIFS(Headcount!AK$395:AK$1442,Headcount!$J$395:$J$1442,$B133))</f>
        <v>0</v>
      </c>
      <c r="AC133" s="137">
        <f>IF(AC$12="Actual",SUMIFS(ActualsTable[Month 27],ActualsTable[Expense Item2],$B133),SUMIFS(Expenses!CB$8:CB$69,Expenses!$O$8:$O$69,$B133)+SUMIFS(Headcount!AL$395:AL$1442,Headcount!$J$395:$J$1442,$B133))</f>
        <v>0</v>
      </c>
      <c r="AD133" s="137">
        <f>IF(AD$12="Actual",SUMIFS(ActualsTable[Month 28],ActualsTable[Expense Item2],$B133),SUMIFS(Expenses!CC$8:CC$69,Expenses!$O$8:$O$69,$B133)+SUMIFS(Headcount!AM$395:AM$1442,Headcount!$J$395:$J$1442,$B133))</f>
        <v>0</v>
      </c>
      <c r="AE133" s="137">
        <f>IF(AE$12="Actual",SUMIFS(ActualsTable[Month 29],ActualsTable[Expense Item2],$B133),SUMIFS(Expenses!CD$8:CD$69,Expenses!$O$8:$O$69,$B133)+SUMIFS(Headcount!AN$395:AN$1442,Headcount!$J$395:$J$1442,$B133))</f>
        <v>0</v>
      </c>
      <c r="AF133" s="137">
        <f>IF(AF$12="Actual",SUMIFS(ActualsTable[Month 30],ActualsTable[Expense Item2],$B133),SUMIFS(Expenses!CE$8:CE$69,Expenses!$O$8:$O$69,$B133)+SUMIFS(Headcount!AO$395:AO$1442,Headcount!$J$395:$J$1442,$B133))</f>
        <v>0</v>
      </c>
      <c r="AG133" s="137">
        <f>IF(AG$12="Actual",SUMIFS(ActualsTable[Month 31],ActualsTable[Expense Item2],$B133),SUMIFS(Expenses!CF$8:CF$69,Expenses!$O$8:$O$69,$B133)+SUMIFS(Headcount!AP$395:AP$1442,Headcount!$J$395:$J$1442,$B133))</f>
        <v>0</v>
      </c>
      <c r="AH133" s="137">
        <f>IF(AH$12="Actual",SUMIFS(ActualsTable[Month 32],ActualsTable[Expense Item2],$B133),SUMIFS(Expenses!CG$8:CG$69,Expenses!$O$8:$O$69,$B133)+SUMIFS(Headcount!AQ$395:AQ$1442,Headcount!$J$395:$J$1442,$B133))</f>
        <v>0</v>
      </c>
      <c r="AI133" s="137">
        <f>IF(AI$12="Actual",SUMIFS(ActualsTable[Month 33],ActualsTable[Expense Item2],$B133),SUMIFS(Expenses!CH$8:CH$69,Expenses!$O$8:$O$69,$B133)+SUMIFS(Headcount!AR$395:AR$1442,Headcount!$J$395:$J$1442,$B133))</f>
        <v>0</v>
      </c>
      <c r="AJ133" s="137">
        <f>IF(AJ$12="Actual",SUMIFS(ActualsTable[Month 34],ActualsTable[Expense Item2],$B133),SUMIFS(Expenses!CI$8:CI$69,Expenses!$O$8:$O$69,$B133)+SUMIFS(Headcount!AS$395:AS$1442,Headcount!$J$395:$J$1442,$B133))</f>
        <v>0</v>
      </c>
      <c r="AK133" s="137">
        <f>IF(AK$12="Actual",SUMIFS(ActualsTable[Month 35],ActualsTable[Expense Item2],$B133),SUMIFS(Expenses!CJ$8:CJ$69,Expenses!$O$8:$O$69,$B133)+SUMIFS(Headcount!AT$395:AT$1442,Headcount!$J$395:$J$1442,$B133))</f>
        <v>0</v>
      </c>
      <c r="AL133" s="293">
        <f>IF(AL$12="Actual",SUMIFS(ActualsTable[Month 36],ActualsTable[Expense Item2],$B133),SUMIFS(Expenses!CK$8:CK$69,Expenses!$O$8:$O$69,$B133)+SUMIFS(Headcount!AU$395:AU$1442,Headcount!$J$395:$J$1442,$B133))</f>
        <v>0</v>
      </c>
      <c r="AN133" s="319">
        <f t="shared" ca="1" si="234"/>
        <v>0</v>
      </c>
      <c r="AO133" s="137">
        <f t="shared" ca="1" si="234"/>
        <v>0</v>
      </c>
      <c r="AP133" s="137">
        <f t="shared" ca="1" si="234"/>
        <v>0</v>
      </c>
      <c r="AQ133" s="137">
        <f t="shared" ca="1" si="234"/>
        <v>0</v>
      </c>
      <c r="AR133" s="137">
        <f t="shared" ca="1" si="234"/>
        <v>0</v>
      </c>
      <c r="AS133" s="137">
        <f t="shared" ca="1" si="234"/>
        <v>0</v>
      </c>
      <c r="AT133" s="137">
        <f t="shared" ca="1" si="234"/>
        <v>0</v>
      </c>
      <c r="AU133" s="137">
        <f t="shared" ca="1" si="234"/>
        <v>0</v>
      </c>
      <c r="AV133" s="137">
        <f t="shared" ca="1" si="234"/>
        <v>0</v>
      </c>
      <c r="AW133" s="137">
        <f t="shared" ca="1" si="234"/>
        <v>0</v>
      </c>
      <c r="AX133" s="137">
        <f t="shared" ca="1" si="234"/>
        <v>0</v>
      </c>
      <c r="AY133" s="293">
        <f t="shared" ca="1" si="234"/>
        <v>0</v>
      </c>
      <c r="BA133" s="319">
        <f t="shared" ca="1" si="235"/>
        <v>0</v>
      </c>
      <c r="BB133" s="137">
        <f t="shared" ca="1" si="235"/>
        <v>0</v>
      </c>
      <c r="BC133" s="293">
        <f t="shared" ca="1" si="235"/>
        <v>0</v>
      </c>
    </row>
    <row r="134" spans="2:55" x14ac:dyDescent="0.35">
      <c r="B134" s="64" t="s">
        <v>165</v>
      </c>
      <c r="C134" s="137">
        <f>IF(C$12="Actual",SUMIFS(ActualsTable[Month 1],ActualsTable[Expense Item2],$B134),SUMIFS(Expenses!BB$8:BB$69,Expenses!$O$8:$O$69,$B134)+SUMIFS(Headcount!L$395:L$1442,Headcount!$J$395:$J$1442,$B134))</f>
        <v>0</v>
      </c>
      <c r="D134" s="137">
        <f>IF(D$12="Actual",SUMIFS(ActualsTable[Month 2],ActualsTable[Expense Item2],$B134),SUMIFS(Expenses!BC$8:BC$69,Expenses!$O$8:$O$69,$B134)+SUMIFS(Headcount!M$395:M$1442,Headcount!$J$395:$J$1442,$B134))</f>
        <v>0</v>
      </c>
      <c r="E134" s="137">
        <f>IF(E$12="Actual",SUMIFS(ActualsTable[Month 3],ActualsTable[Expense Item2],$B134),SUMIFS(Expenses!BD$8:BD$69,Expenses!$O$8:$O$69,$B134)+SUMIFS(Headcount!N$395:N$1442,Headcount!$J$395:$J$1442,$B134))</f>
        <v>0</v>
      </c>
      <c r="F134" s="137">
        <f>IF(F$12="Actual",SUMIFS(ActualsTable[Month 4],ActualsTable[Expense Item2],$B134),SUMIFS(Expenses!BE$8:BE$69,Expenses!$O$8:$O$69,$B134)+SUMIFS(Headcount!O$395:O$1442,Headcount!$J$395:$J$1442,$B134))</f>
        <v>0</v>
      </c>
      <c r="G134" s="137">
        <f>IF(G$12="Actual",SUMIFS(ActualsTable[Month 5],ActualsTable[Expense Item2],$B134),SUMIFS(Expenses!BF$8:BF$69,Expenses!$O$8:$O$69,$B134)+SUMIFS(Headcount!P$395:P$1442,Headcount!$J$395:$J$1442,$B134))</f>
        <v>0</v>
      </c>
      <c r="H134" s="137">
        <f>IF(H$12="Actual",SUMIFS(ActualsTable[Month 6],ActualsTable[Expense Item2],$B134),SUMIFS(Expenses!BG$8:BG$69,Expenses!$O$8:$O$69,$B134)+SUMIFS(Headcount!Q$395:Q$1442,Headcount!$J$395:$J$1442,$B134))</f>
        <v>0</v>
      </c>
      <c r="I134" s="137">
        <f>IF(I$12="Actual",SUMIFS(ActualsTable[Month 7],ActualsTable[Expense Item2],$B134),SUMIFS(Expenses!BH$8:BH$69,Expenses!$O$8:$O$69,$B134)+SUMIFS(Headcount!R$395:R$1442,Headcount!$J$395:$J$1442,$B134))</f>
        <v>0</v>
      </c>
      <c r="J134" s="137">
        <f>IF(J$12="Actual",SUMIFS(ActualsTable[Month 8],ActualsTable[Expense Item2],$B134),SUMIFS(Expenses!BI$8:BI$69,Expenses!$O$8:$O$69,$B134)+SUMIFS(Headcount!S$395:S$1442,Headcount!$J$395:$J$1442,$B134))</f>
        <v>0</v>
      </c>
      <c r="K134" s="137">
        <f>IF(K$12="Actual",SUMIFS(ActualsTable[Month 9],ActualsTable[Expense Item2],$B134),SUMIFS(Expenses!BJ$8:BJ$69,Expenses!$O$8:$O$69,$B134)+SUMIFS(Headcount!T$395:T$1442,Headcount!$J$395:$J$1442,$B134))</f>
        <v>0</v>
      </c>
      <c r="L134" s="137">
        <f>IF(L$12="Actual",SUMIFS(ActualsTable[Month 10],ActualsTable[Expense Item2],$B134),SUMIFS(Expenses!BK$8:BK$69,Expenses!$O$8:$O$69,$B134)+SUMIFS(Headcount!U$395:U$1442,Headcount!$J$395:$J$1442,$B134))</f>
        <v>0</v>
      </c>
      <c r="M134" s="137">
        <f>IF(M$12="Actual",SUMIFS(ActualsTable[Month 11],ActualsTable[Expense Item2],$B134),SUMIFS(Expenses!BL$8:BL$69,Expenses!$O$8:$O$69,$B134)+SUMIFS(Headcount!V$395:V$1442,Headcount!$J$395:$J$1442,$B134))</f>
        <v>0</v>
      </c>
      <c r="N134" s="137">
        <f>IF(N$12="Actual",SUMIFS(ActualsTable[Month 12],ActualsTable[Expense Item2],$B134),SUMIFS(Expenses!BM$8:BM$69,Expenses!$O$8:$O$69,$B134)+SUMIFS(Headcount!W$395:W$1442,Headcount!$J$395:$J$1442,$B134))</f>
        <v>0</v>
      </c>
      <c r="O134" s="137">
        <f>IF(O$12="Actual",SUMIFS(ActualsTable[Month 13],ActualsTable[Expense Item2],$B134),SUMIFS(Expenses!BN$8:BN$69,Expenses!$O$8:$O$69,$B134)+SUMIFS(Headcount!X$395:X$1442,Headcount!$J$395:$J$1442,$B134))</f>
        <v>0</v>
      </c>
      <c r="P134" s="137">
        <f>IF(P$12="Actual",SUMIFS(ActualsTable[Month 14],ActualsTable[Expense Item2],$B134),SUMIFS(Expenses!BO$8:BO$69,Expenses!$O$8:$O$69,$B134)+SUMIFS(Headcount!Y$395:Y$1442,Headcount!$J$395:$J$1442,$B134))</f>
        <v>0</v>
      </c>
      <c r="Q134" s="137">
        <f>IF(Q$12="Actual",SUMIFS(ActualsTable[Month 15],ActualsTable[Expense Item2],$B134),SUMIFS(Expenses!BP$8:BP$69,Expenses!$O$8:$O$69,$B134)+SUMIFS(Headcount!Z$395:Z$1442,Headcount!$J$395:$J$1442,$B134))</f>
        <v>0</v>
      </c>
      <c r="R134" s="137">
        <f>IF(R$12="Actual",SUMIFS(ActualsTable[Month 16],ActualsTable[Expense Item2],$B134),SUMIFS(Expenses!BQ$8:BQ$69,Expenses!$O$8:$O$69,$B134)+SUMIFS(Headcount!AA$395:AA$1442,Headcount!$J$395:$J$1442,$B134))</f>
        <v>0</v>
      </c>
      <c r="S134" s="137">
        <f>IF(S$12="Actual",SUMIFS(ActualsTable[Month 17],ActualsTable[Expense Item2],$B134),SUMIFS(Expenses!BR$8:BR$69,Expenses!$O$8:$O$69,$B134)+SUMIFS(Headcount!AB$395:AB$1442,Headcount!$J$395:$J$1442,$B134))</f>
        <v>0</v>
      </c>
      <c r="T134" s="137">
        <f>IF(T$12="Actual",SUMIFS(ActualsTable[Month 18],ActualsTable[Expense Item2],$B134),SUMIFS(Expenses!BS$8:BS$69,Expenses!$O$8:$O$69,$B134)+SUMIFS(Headcount!AC$395:AC$1442,Headcount!$J$395:$J$1442,$B134))</f>
        <v>0</v>
      </c>
      <c r="U134" s="137">
        <f>IF(U$12="Actual",SUMIFS(ActualsTable[Month 19],ActualsTable[Expense Item2],$B134),SUMIFS(Expenses!BT$8:BT$69,Expenses!$O$8:$O$69,$B134)+SUMIFS(Headcount!AD$395:AD$1442,Headcount!$J$395:$J$1442,$B134))</f>
        <v>0</v>
      </c>
      <c r="V134" s="137">
        <f>IF(V$12="Actual",SUMIFS(ActualsTable[Month 20],ActualsTable[Expense Item2],$B134),SUMIFS(Expenses!BU$8:BU$69,Expenses!$O$8:$O$69,$B134)+SUMIFS(Headcount!AE$395:AE$1442,Headcount!$J$395:$J$1442,$B134))</f>
        <v>0</v>
      </c>
      <c r="W134" s="137">
        <f>IF(W$12="Actual",SUMIFS(ActualsTable[Month 21],ActualsTable[Expense Item2],$B134),SUMIFS(Expenses!BV$8:BV$69,Expenses!$O$8:$O$69,$B134)+SUMIFS(Headcount!AF$395:AF$1442,Headcount!$J$395:$J$1442,$B134))</f>
        <v>0</v>
      </c>
      <c r="X134" s="137">
        <f>IF(X$12="Actual",SUMIFS(ActualsTable[Month 22],ActualsTable[Expense Item2],$B134),SUMIFS(Expenses!BW$8:BW$69,Expenses!$O$8:$O$69,$B134)+SUMIFS(Headcount!AG$395:AG$1442,Headcount!$J$395:$J$1442,$B134))</f>
        <v>0</v>
      </c>
      <c r="Y134" s="137">
        <f>IF(Y$12="Actual",SUMIFS(ActualsTable[Month 23],ActualsTable[Expense Item2],$B134),SUMIFS(Expenses!BX$8:BX$69,Expenses!$O$8:$O$69,$B134)+SUMIFS(Headcount!AH$395:AH$1442,Headcount!$J$395:$J$1442,$B134))</f>
        <v>0</v>
      </c>
      <c r="Z134" s="137">
        <f>IF(Z$12="Actual",SUMIFS(ActualsTable[Month 24],ActualsTable[Expense Item2],$B134),SUMIFS(Expenses!BY$8:BY$69,Expenses!$O$8:$O$69,$B134)+SUMIFS(Headcount!AI$395:AI$1442,Headcount!$J$395:$J$1442,$B134))</f>
        <v>0</v>
      </c>
      <c r="AA134" s="137">
        <f>IF(AA$12="Actual",SUMIFS(ActualsTable[Month 25],ActualsTable[Expense Item2],$B134),SUMIFS(Expenses!BZ$8:BZ$69,Expenses!$O$8:$O$69,$B134)+SUMIFS(Headcount!AJ$395:AJ$1442,Headcount!$J$395:$J$1442,$B134))</f>
        <v>0</v>
      </c>
      <c r="AB134" s="137">
        <f>IF(AB$12="Actual",SUMIFS(ActualsTable[Month 26],ActualsTable[Expense Item2],$B134),SUMIFS(Expenses!CA$8:CA$69,Expenses!$O$8:$O$69,$B134)+SUMIFS(Headcount!AK$395:AK$1442,Headcount!$J$395:$J$1442,$B134))</f>
        <v>0</v>
      </c>
      <c r="AC134" s="137">
        <f>IF(AC$12="Actual",SUMIFS(ActualsTable[Month 27],ActualsTable[Expense Item2],$B134),SUMIFS(Expenses!CB$8:CB$69,Expenses!$O$8:$O$69,$B134)+SUMIFS(Headcount!AL$395:AL$1442,Headcount!$J$395:$J$1442,$B134))</f>
        <v>0</v>
      </c>
      <c r="AD134" s="137">
        <f>IF(AD$12="Actual",SUMIFS(ActualsTable[Month 28],ActualsTable[Expense Item2],$B134),SUMIFS(Expenses!CC$8:CC$69,Expenses!$O$8:$O$69,$B134)+SUMIFS(Headcount!AM$395:AM$1442,Headcount!$J$395:$J$1442,$B134))</f>
        <v>0</v>
      </c>
      <c r="AE134" s="137">
        <f>IF(AE$12="Actual",SUMIFS(ActualsTable[Month 29],ActualsTable[Expense Item2],$B134),SUMIFS(Expenses!CD$8:CD$69,Expenses!$O$8:$O$69,$B134)+SUMIFS(Headcount!AN$395:AN$1442,Headcount!$J$395:$J$1442,$B134))</f>
        <v>0</v>
      </c>
      <c r="AF134" s="137">
        <f>IF(AF$12="Actual",SUMIFS(ActualsTable[Month 30],ActualsTable[Expense Item2],$B134),SUMIFS(Expenses!CE$8:CE$69,Expenses!$O$8:$O$69,$B134)+SUMIFS(Headcount!AO$395:AO$1442,Headcount!$J$395:$J$1442,$B134))</f>
        <v>0</v>
      </c>
      <c r="AG134" s="137">
        <f>IF(AG$12="Actual",SUMIFS(ActualsTable[Month 31],ActualsTable[Expense Item2],$B134),SUMIFS(Expenses!CF$8:CF$69,Expenses!$O$8:$O$69,$B134)+SUMIFS(Headcount!AP$395:AP$1442,Headcount!$J$395:$J$1442,$B134))</f>
        <v>0</v>
      </c>
      <c r="AH134" s="137">
        <f>IF(AH$12="Actual",SUMIFS(ActualsTable[Month 32],ActualsTable[Expense Item2],$B134),SUMIFS(Expenses!CG$8:CG$69,Expenses!$O$8:$O$69,$B134)+SUMIFS(Headcount!AQ$395:AQ$1442,Headcount!$J$395:$J$1442,$B134))</f>
        <v>0</v>
      </c>
      <c r="AI134" s="137">
        <f>IF(AI$12="Actual",SUMIFS(ActualsTable[Month 33],ActualsTable[Expense Item2],$B134),SUMIFS(Expenses!CH$8:CH$69,Expenses!$O$8:$O$69,$B134)+SUMIFS(Headcount!AR$395:AR$1442,Headcount!$J$395:$J$1442,$B134))</f>
        <v>0</v>
      </c>
      <c r="AJ134" s="137">
        <f>IF(AJ$12="Actual",SUMIFS(ActualsTable[Month 34],ActualsTable[Expense Item2],$B134),SUMIFS(Expenses!CI$8:CI$69,Expenses!$O$8:$O$69,$B134)+SUMIFS(Headcount!AS$395:AS$1442,Headcount!$J$395:$J$1442,$B134))</f>
        <v>0</v>
      </c>
      <c r="AK134" s="137">
        <f>IF(AK$12="Actual",SUMIFS(ActualsTable[Month 35],ActualsTable[Expense Item2],$B134),SUMIFS(Expenses!CJ$8:CJ$69,Expenses!$O$8:$O$69,$B134)+SUMIFS(Headcount!AT$395:AT$1442,Headcount!$J$395:$J$1442,$B134))</f>
        <v>0</v>
      </c>
      <c r="AL134" s="293">
        <f>IF(AL$12="Actual",SUMIFS(ActualsTable[Month 36],ActualsTable[Expense Item2],$B134),SUMIFS(Expenses!CK$8:CK$69,Expenses!$O$8:$O$69,$B134)+SUMIFS(Headcount!AU$395:AU$1442,Headcount!$J$395:$J$1442,$B134))</f>
        <v>0</v>
      </c>
      <c r="AN134" s="319">
        <f t="shared" ca="1" si="234"/>
        <v>0</v>
      </c>
      <c r="AO134" s="137">
        <f t="shared" ca="1" si="234"/>
        <v>0</v>
      </c>
      <c r="AP134" s="137">
        <f t="shared" ca="1" si="234"/>
        <v>0</v>
      </c>
      <c r="AQ134" s="137">
        <f t="shared" ca="1" si="234"/>
        <v>0</v>
      </c>
      <c r="AR134" s="137">
        <f t="shared" ca="1" si="234"/>
        <v>0</v>
      </c>
      <c r="AS134" s="137">
        <f t="shared" ca="1" si="234"/>
        <v>0</v>
      </c>
      <c r="AT134" s="137">
        <f t="shared" ca="1" si="234"/>
        <v>0</v>
      </c>
      <c r="AU134" s="137">
        <f t="shared" ca="1" si="234"/>
        <v>0</v>
      </c>
      <c r="AV134" s="137">
        <f t="shared" ca="1" si="234"/>
        <v>0</v>
      </c>
      <c r="AW134" s="137">
        <f t="shared" ca="1" si="234"/>
        <v>0</v>
      </c>
      <c r="AX134" s="137">
        <f t="shared" ca="1" si="234"/>
        <v>0</v>
      </c>
      <c r="AY134" s="293">
        <f t="shared" ca="1" si="234"/>
        <v>0</v>
      </c>
      <c r="BA134" s="319">
        <f t="shared" ca="1" si="235"/>
        <v>0</v>
      </c>
      <c r="BB134" s="137">
        <f t="shared" ca="1" si="235"/>
        <v>0</v>
      </c>
      <c r="BC134" s="293">
        <f t="shared" ca="1" si="235"/>
        <v>0</v>
      </c>
    </row>
    <row r="135" spans="2:55" x14ac:dyDescent="0.35">
      <c r="B135" s="64" t="s">
        <v>166</v>
      </c>
      <c r="C135" s="137">
        <f>IF(C$12="Actual",SUMIFS(ActualsTable[Month 1],ActualsTable[Expense Item2],$B135),SUMIFS(Expenses!BB$8:BB$69,Expenses!$O$8:$O$69,$B135)+SUMIFS(Headcount!L$395:L$1442,Headcount!$J$395:$J$1442,$B135))</f>
        <v>0</v>
      </c>
      <c r="D135" s="137">
        <f>IF(D$12="Actual",SUMIFS(ActualsTable[Month 2],ActualsTable[Expense Item2],$B135),SUMIFS(Expenses!BC$8:BC$69,Expenses!$O$8:$O$69,$B135)+SUMIFS(Headcount!M$395:M$1442,Headcount!$J$395:$J$1442,$B135))</f>
        <v>0</v>
      </c>
      <c r="E135" s="137">
        <f>IF(E$12="Actual",SUMIFS(ActualsTable[Month 3],ActualsTable[Expense Item2],$B135),SUMIFS(Expenses!BD$8:BD$69,Expenses!$O$8:$O$69,$B135)+SUMIFS(Headcount!N$395:N$1442,Headcount!$J$395:$J$1442,$B135))</f>
        <v>0</v>
      </c>
      <c r="F135" s="137">
        <f>IF(F$12="Actual",SUMIFS(ActualsTable[Month 4],ActualsTable[Expense Item2],$B135),SUMIFS(Expenses!BE$8:BE$69,Expenses!$O$8:$O$69,$B135)+SUMIFS(Headcount!O$395:O$1442,Headcount!$J$395:$J$1442,$B135))</f>
        <v>0</v>
      </c>
      <c r="G135" s="137">
        <f>IF(G$12="Actual",SUMIFS(ActualsTable[Month 5],ActualsTable[Expense Item2],$B135),SUMIFS(Expenses!BF$8:BF$69,Expenses!$O$8:$O$69,$B135)+SUMIFS(Headcount!P$395:P$1442,Headcount!$J$395:$J$1442,$B135))</f>
        <v>0</v>
      </c>
      <c r="H135" s="137">
        <f>IF(H$12="Actual",SUMIFS(ActualsTable[Month 6],ActualsTable[Expense Item2],$B135),SUMIFS(Expenses!BG$8:BG$69,Expenses!$O$8:$O$69,$B135)+SUMIFS(Headcount!Q$395:Q$1442,Headcount!$J$395:$J$1442,$B135))</f>
        <v>0</v>
      </c>
      <c r="I135" s="137">
        <f>IF(I$12="Actual",SUMIFS(ActualsTable[Month 7],ActualsTable[Expense Item2],$B135),SUMIFS(Expenses!BH$8:BH$69,Expenses!$O$8:$O$69,$B135)+SUMIFS(Headcount!R$395:R$1442,Headcount!$J$395:$J$1442,$B135))</f>
        <v>0</v>
      </c>
      <c r="J135" s="137">
        <f>IF(J$12="Actual",SUMIFS(ActualsTable[Month 8],ActualsTable[Expense Item2],$B135),SUMIFS(Expenses!BI$8:BI$69,Expenses!$O$8:$O$69,$B135)+SUMIFS(Headcount!S$395:S$1442,Headcount!$J$395:$J$1442,$B135))</f>
        <v>0</v>
      </c>
      <c r="K135" s="137">
        <f>IF(K$12="Actual",SUMIFS(ActualsTable[Month 9],ActualsTable[Expense Item2],$B135),SUMIFS(Expenses!BJ$8:BJ$69,Expenses!$O$8:$O$69,$B135)+SUMIFS(Headcount!T$395:T$1442,Headcount!$J$395:$J$1442,$B135))</f>
        <v>0</v>
      </c>
      <c r="L135" s="137">
        <f>IF(L$12="Actual",SUMIFS(ActualsTable[Month 10],ActualsTable[Expense Item2],$B135),SUMIFS(Expenses!BK$8:BK$69,Expenses!$O$8:$O$69,$B135)+SUMIFS(Headcount!U$395:U$1442,Headcount!$J$395:$J$1442,$B135))</f>
        <v>0</v>
      </c>
      <c r="M135" s="137">
        <f>IF(M$12="Actual",SUMIFS(ActualsTable[Month 11],ActualsTable[Expense Item2],$B135),SUMIFS(Expenses!BL$8:BL$69,Expenses!$O$8:$O$69,$B135)+SUMIFS(Headcount!V$395:V$1442,Headcount!$J$395:$J$1442,$B135))</f>
        <v>0</v>
      </c>
      <c r="N135" s="137">
        <f>IF(N$12="Actual",SUMIFS(ActualsTable[Month 12],ActualsTable[Expense Item2],$B135),SUMIFS(Expenses!BM$8:BM$69,Expenses!$O$8:$O$69,$B135)+SUMIFS(Headcount!W$395:W$1442,Headcount!$J$395:$J$1442,$B135))</f>
        <v>0</v>
      </c>
      <c r="O135" s="137">
        <f>IF(O$12="Actual",SUMIFS(ActualsTable[Month 13],ActualsTable[Expense Item2],$B135),SUMIFS(Expenses!BN$8:BN$69,Expenses!$O$8:$O$69,$B135)+SUMIFS(Headcount!X$395:X$1442,Headcount!$J$395:$J$1442,$B135))</f>
        <v>0</v>
      </c>
      <c r="P135" s="137">
        <f>IF(P$12="Actual",SUMIFS(ActualsTable[Month 14],ActualsTable[Expense Item2],$B135),SUMIFS(Expenses!BO$8:BO$69,Expenses!$O$8:$O$69,$B135)+SUMIFS(Headcount!Y$395:Y$1442,Headcount!$J$395:$J$1442,$B135))</f>
        <v>0</v>
      </c>
      <c r="Q135" s="137">
        <f>IF(Q$12="Actual",SUMIFS(ActualsTable[Month 15],ActualsTable[Expense Item2],$B135),SUMIFS(Expenses!BP$8:BP$69,Expenses!$O$8:$O$69,$B135)+SUMIFS(Headcount!Z$395:Z$1442,Headcount!$J$395:$J$1442,$B135))</f>
        <v>0</v>
      </c>
      <c r="R135" s="137">
        <f>IF(R$12="Actual",SUMIFS(ActualsTable[Month 16],ActualsTable[Expense Item2],$B135),SUMIFS(Expenses!BQ$8:BQ$69,Expenses!$O$8:$O$69,$B135)+SUMIFS(Headcount!AA$395:AA$1442,Headcount!$J$395:$J$1442,$B135))</f>
        <v>0</v>
      </c>
      <c r="S135" s="137">
        <f>IF(S$12="Actual",SUMIFS(ActualsTable[Month 17],ActualsTable[Expense Item2],$B135),SUMIFS(Expenses!BR$8:BR$69,Expenses!$O$8:$O$69,$B135)+SUMIFS(Headcount!AB$395:AB$1442,Headcount!$J$395:$J$1442,$B135))</f>
        <v>0</v>
      </c>
      <c r="T135" s="137">
        <f>IF(T$12="Actual",SUMIFS(ActualsTable[Month 18],ActualsTable[Expense Item2],$B135),SUMIFS(Expenses!BS$8:BS$69,Expenses!$O$8:$O$69,$B135)+SUMIFS(Headcount!AC$395:AC$1442,Headcount!$J$395:$J$1442,$B135))</f>
        <v>0</v>
      </c>
      <c r="U135" s="137">
        <f>IF(U$12="Actual",SUMIFS(ActualsTable[Month 19],ActualsTable[Expense Item2],$B135),SUMIFS(Expenses!BT$8:BT$69,Expenses!$O$8:$O$69,$B135)+SUMIFS(Headcount!AD$395:AD$1442,Headcount!$J$395:$J$1442,$B135))</f>
        <v>0</v>
      </c>
      <c r="V135" s="137">
        <f>IF(V$12="Actual",SUMIFS(ActualsTable[Month 20],ActualsTable[Expense Item2],$B135),SUMIFS(Expenses!BU$8:BU$69,Expenses!$O$8:$O$69,$B135)+SUMIFS(Headcount!AE$395:AE$1442,Headcount!$J$395:$J$1442,$B135))</f>
        <v>0</v>
      </c>
      <c r="W135" s="137">
        <f>IF(W$12="Actual",SUMIFS(ActualsTable[Month 21],ActualsTable[Expense Item2],$B135),SUMIFS(Expenses!BV$8:BV$69,Expenses!$O$8:$O$69,$B135)+SUMIFS(Headcount!AF$395:AF$1442,Headcount!$J$395:$J$1442,$B135))</f>
        <v>0</v>
      </c>
      <c r="X135" s="137">
        <f>IF(X$12="Actual",SUMIFS(ActualsTable[Month 22],ActualsTable[Expense Item2],$B135),SUMIFS(Expenses!BW$8:BW$69,Expenses!$O$8:$O$69,$B135)+SUMIFS(Headcount!AG$395:AG$1442,Headcount!$J$395:$J$1442,$B135))</f>
        <v>0</v>
      </c>
      <c r="Y135" s="137">
        <f>IF(Y$12="Actual",SUMIFS(ActualsTable[Month 23],ActualsTable[Expense Item2],$B135),SUMIFS(Expenses!BX$8:BX$69,Expenses!$O$8:$O$69,$B135)+SUMIFS(Headcount!AH$395:AH$1442,Headcount!$J$395:$J$1442,$B135))</f>
        <v>0</v>
      </c>
      <c r="Z135" s="137">
        <f>IF(Z$12="Actual",SUMIFS(ActualsTable[Month 24],ActualsTable[Expense Item2],$B135),SUMIFS(Expenses!BY$8:BY$69,Expenses!$O$8:$O$69,$B135)+SUMIFS(Headcount!AI$395:AI$1442,Headcount!$J$395:$J$1442,$B135))</f>
        <v>0</v>
      </c>
      <c r="AA135" s="137">
        <f>IF(AA$12="Actual",SUMIFS(ActualsTable[Month 25],ActualsTable[Expense Item2],$B135),SUMIFS(Expenses!BZ$8:BZ$69,Expenses!$O$8:$O$69,$B135)+SUMIFS(Headcount!AJ$395:AJ$1442,Headcount!$J$395:$J$1442,$B135))</f>
        <v>0</v>
      </c>
      <c r="AB135" s="137">
        <f>IF(AB$12="Actual",SUMIFS(ActualsTable[Month 26],ActualsTable[Expense Item2],$B135),SUMIFS(Expenses!CA$8:CA$69,Expenses!$O$8:$O$69,$B135)+SUMIFS(Headcount!AK$395:AK$1442,Headcount!$J$395:$J$1442,$B135))</f>
        <v>0</v>
      </c>
      <c r="AC135" s="137">
        <f>IF(AC$12="Actual",SUMIFS(ActualsTable[Month 27],ActualsTable[Expense Item2],$B135),SUMIFS(Expenses!CB$8:CB$69,Expenses!$O$8:$O$69,$B135)+SUMIFS(Headcount!AL$395:AL$1442,Headcount!$J$395:$J$1442,$B135))</f>
        <v>0</v>
      </c>
      <c r="AD135" s="137">
        <f>IF(AD$12="Actual",SUMIFS(ActualsTable[Month 28],ActualsTable[Expense Item2],$B135),SUMIFS(Expenses!CC$8:CC$69,Expenses!$O$8:$O$69,$B135)+SUMIFS(Headcount!AM$395:AM$1442,Headcount!$J$395:$J$1442,$B135))</f>
        <v>0</v>
      </c>
      <c r="AE135" s="137">
        <f>IF(AE$12="Actual",SUMIFS(ActualsTable[Month 29],ActualsTable[Expense Item2],$B135),SUMIFS(Expenses!CD$8:CD$69,Expenses!$O$8:$O$69,$B135)+SUMIFS(Headcount!AN$395:AN$1442,Headcount!$J$395:$J$1442,$B135))</f>
        <v>0</v>
      </c>
      <c r="AF135" s="137">
        <f>IF(AF$12="Actual",SUMIFS(ActualsTable[Month 30],ActualsTable[Expense Item2],$B135),SUMIFS(Expenses!CE$8:CE$69,Expenses!$O$8:$O$69,$B135)+SUMIFS(Headcount!AO$395:AO$1442,Headcount!$J$395:$J$1442,$B135))</f>
        <v>0</v>
      </c>
      <c r="AG135" s="137">
        <f>IF(AG$12="Actual",SUMIFS(ActualsTable[Month 31],ActualsTable[Expense Item2],$B135),SUMIFS(Expenses!CF$8:CF$69,Expenses!$O$8:$O$69,$B135)+SUMIFS(Headcount!AP$395:AP$1442,Headcount!$J$395:$J$1442,$B135))</f>
        <v>0</v>
      </c>
      <c r="AH135" s="137">
        <f>IF(AH$12="Actual",SUMIFS(ActualsTable[Month 32],ActualsTable[Expense Item2],$B135),SUMIFS(Expenses!CG$8:CG$69,Expenses!$O$8:$O$69,$B135)+SUMIFS(Headcount!AQ$395:AQ$1442,Headcount!$J$395:$J$1442,$B135))</f>
        <v>0</v>
      </c>
      <c r="AI135" s="137">
        <f>IF(AI$12="Actual",SUMIFS(ActualsTable[Month 33],ActualsTable[Expense Item2],$B135),SUMIFS(Expenses!CH$8:CH$69,Expenses!$O$8:$O$69,$B135)+SUMIFS(Headcount!AR$395:AR$1442,Headcount!$J$395:$J$1442,$B135))</f>
        <v>0</v>
      </c>
      <c r="AJ135" s="137">
        <f>IF(AJ$12="Actual",SUMIFS(ActualsTable[Month 34],ActualsTable[Expense Item2],$B135),SUMIFS(Expenses!CI$8:CI$69,Expenses!$O$8:$O$69,$B135)+SUMIFS(Headcount!AS$395:AS$1442,Headcount!$J$395:$J$1442,$B135))</f>
        <v>0</v>
      </c>
      <c r="AK135" s="137">
        <f>IF(AK$12="Actual",SUMIFS(ActualsTable[Month 35],ActualsTable[Expense Item2],$B135),SUMIFS(Expenses!CJ$8:CJ$69,Expenses!$O$8:$O$69,$B135)+SUMIFS(Headcount!AT$395:AT$1442,Headcount!$J$395:$J$1442,$B135))</f>
        <v>0</v>
      </c>
      <c r="AL135" s="293">
        <f>IF(AL$12="Actual",SUMIFS(ActualsTable[Month 36],ActualsTable[Expense Item2],$B135),SUMIFS(Expenses!CK$8:CK$69,Expenses!$O$8:$O$69,$B135)+SUMIFS(Headcount!AU$395:AU$1442,Headcount!$J$395:$J$1442,$B135))</f>
        <v>0</v>
      </c>
      <c r="AN135" s="319">
        <f t="shared" ca="1" si="234"/>
        <v>0</v>
      </c>
      <c r="AO135" s="137">
        <f t="shared" ca="1" si="234"/>
        <v>0</v>
      </c>
      <c r="AP135" s="137">
        <f t="shared" ca="1" si="234"/>
        <v>0</v>
      </c>
      <c r="AQ135" s="137">
        <f t="shared" ca="1" si="234"/>
        <v>0</v>
      </c>
      <c r="AR135" s="137">
        <f t="shared" ca="1" si="234"/>
        <v>0</v>
      </c>
      <c r="AS135" s="137">
        <f t="shared" ca="1" si="234"/>
        <v>0</v>
      </c>
      <c r="AT135" s="137">
        <f t="shared" ca="1" si="234"/>
        <v>0</v>
      </c>
      <c r="AU135" s="137">
        <f t="shared" ca="1" si="234"/>
        <v>0</v>
      </c>
      <c r="AV135" s="137">
        <f t="shared" ca="1" si="234"/>
        <v>0</v>
      </c>
      <c r="AW135" s="137">
        <f t="shared" ca="1" si="234"/>
        <v>0</v>
      </c>
      <c r="AX135" s="137">
        <f t="shared" ca="1" si="234"/>
        <v>0</v>
      </c>
      <c r="AY135" s="293">
        <f t="shared" ca="1" si="234"/>
        <v>0</v>
      </c>
      <c r="BA135" s="319">
        <f t="shared" ca="1" si="235"/>
        <v>0</v>
      </c>
      <c r="BB135" s="137">
        <f t="shared" ca="1" si="235"/>
        <v>0</v>
      </c>
      <c r="BC135" s="293">
        <f t="shared" ca="1" si="235"/>
        <v>0</v>
      </c>
    </row>
    <row r="136" spans="2:55" x14ac:dyDescent="0.35">
      <c r="B136" s="64" t="s">
        <v>167</v>
      </c>
      <c r="C136" s="137">
        <f>IF(C$12="Actual",SUMIFS(ActualsTable[Month 1],ActualsTable[Expense Item2],$B136),SUMIFS(Expenses!BB$8:BB$69,Expenses!$O$8:$O$69,$B136)+SUMIFS(Headcount!L$395:L$1442,Headcount!$J$395:$J$1442,$B136))</f>
        <v>0</v>
      </c>
      <c r="D136" s="137">
        <f>IF(D$12="Actual",SUMIFS(ActualsTable[Month 2],ActualsTable[Expense Item2],$B136),SUMIFS(Expenses!BC$8:BC$69,Expenses!$O$8:$O$69,$B136)+SUMIFS(Headcount!M$395:M$1442,Headcount!$J$395:$J$1442,$B136))</f>
        <v>0</v>
      </c>
      <c r="E136" s="137">
        <f>IF(E$12="Actual",SUMIFS(ActualsTable[Month 3],ActualsTable[Expense Item2],$B136),SUMIFS(Expenses!BD$8:BD$69,Expenses!$O$8:$O$69,$B136)+SUMIFS(Headcount!N$395:N$1442,Headcount!$J$395:$J$1442,$B136))</f>
        <v>0</v>
      </c>
      <c r="F136" s="137">
        <f>IF(F$12="Actual",SUMIFS(ActualsTable[Month 4],ActualsTable[Expense Item2],$B136),SUMIFS(Expenses!BE$8:BE$69,Expenses!$O$8:$O$69,$B136)+SUMIFS(Headcount!O$395:O$1442,Headcount!$J$395:$J$1442,$B136))</f>
        <v>0</v>
      </c>
      <c r="G136" s="137">
        <f>IF(G$12="Actual",SUMIFS(ActualsTable[Month 5],ActualsTable[Expense Item2],$B136),SUMIFS(Expenses!BF$8:BF$69,Expenses!$O$8:$O$69,$B136)+SUMIFS(Headcount!P$395:P$1442,Headcount!$J$395:$J$1442,$B136))</f>
        <v>0</v>
      </c>
      <c r="H136" s="137">
        <f>IF(H$12="Actual",SUMIFS(ActualsTable[Month 6],ActualsTable[Expense Item2],$B136),SUMIFS(Expenses!BG$8:BG$69,Expenses!$O$8:$O$69,$B136)+SUMIFS(Headcount!Q$395:Q$1442,Headcount!$J$395:$J$1442,$B136))</f>
        <v>0</v>
      </c>
      <c r="I136" s="137">
        <f>IF(I$12="Actual",SUMIFS(ActualsTable[Month 7],ActualsTable[Expense Item2],$B136),SUMIFS(Expenses!BH$8:BH$69,Expenses!$O$8:$O$69,$B136)+SUMIFS(Headcount!R$395:R$1442,Headcount!$J$395:$J$1442,$B136))</f>
        <v>0</v>
      </c>
      <c r="J136" s="137">
        <f>IF(J$12="Actual",SUMIFS(ActualsTable[Month 8],ActualsTable[Expense Item2],$B136),SUMIFS(Expenses!BI$8:BI$69,Expenses!$O$8:$O$69,$B136)+SUMIFS(Headcount!S$395:S$1442,Headcount!$J$395:$J$1442,$B136))</f>
        <v>0</v>
      </c>
      <c r="K136" s="137">
        <f>IF(K$12="Actual",SUMIFS(ActualsTable[Month 9],ActualsTable[Expense Item2],$B136),SUMIFS(Expenses!BJ$8:BJ$69,Expenses!$O$8:$O$69,$B136)+SUMIFS(Headcount!T$395:T$1442,Headcount!$J$395:$J$1442,$B136))</f>
        <v>0</v>
      </c>
      <c r="L136" s="137">
        <f>IF(L$12="Actual",SUMIFS(ActualsTable[Month 10],ActualsTable[Expense Item2],$B136),SUMIFS(Expenses!BK$8:BK$69,Expenses!$O$8:$O$69,$B136)+SUMIFS(Headcount!U$395:U$1442,Headcount!$J$395:$J$1442,$B136))</f>
        <v>0</v>
      </c>
      <c r="M136" s="137">
        <f>IF(M$12="Actual",SUMIFS(ActualsTable[Month 11],ActualsTable[Expense Item2],$B136),SUMIFS(Expenses!BL$8:BL$69,Expenses!$O$8:$O$69,$B136)+SUMIFS(Headcount!V$395:V$1442,Headcount!$J$395:$J$1442,$B136))</f>
        <v>0</v>
      </c>
      <c r="N136" s="137">
        <f>IF(N$12="Actual",SUMIFS(ActualsTable[Month 12],ActualsTable[Expense Item2],$B136),SUMIFS(Expenses!BM$8:BM$69,Expenses!$O$8:$O$69,$B136)+SUMIFS(Headcount!W$395:W$1442,Headcount!$J$395:$J$1442,$B136))</f>
        <v>0</v>
      </c>
      <c r="O136" s="137">
        <f>IF(O$12="Actual",SUMIFS(ActualsTable[Month 13],ActualsTable[Expense Item2],$B136),SUMIFS(Expenses!BN$8:BN$69,Expenses!$O$8:$O$69,$B136)+SUMIFS(Headcount!X$395:X$1442,Headcount!$J$395:$J$1442,$B136))</f>
        <v>0</v>
      </c>
      <c r="P136" s="137">
        <f>IF(P$12="Actual",SUMIFS(ActualsTable[Month 14],ActualsTable[Expense Item2],$B136),SUMIFS(Expenses!BO$8:BO$69,Expenses!$O$8:$O$69,$B136)+SUMIFS(Headcount!Y$395:Y$1442,Headcount!$J$395:$J$1442,$B136))</f>
        <v>0</v>
      </c>
      <c r="Q136" s="137">
        <f>IF(Q$12="Actual",SUMIFS(ActualsTable[Month 15],ActualsTable[Expense Item2],$B136),SUMIFS(Expenses!BP$8:BP$69,Expenses!$O$8:$O$69,$B136)+SUMIFS(Headcount!Z$395:Z$1442,Headcount!$J$395:$J$1442,$B136))</f>
        <v>0</v>
      </c>
      <c r="R136" s="137">
        <f>IF(R$12="Actual",SUMIFS(ActualsTable[Month 16],ActualsTable[Expense Item2],$B136),SUMIFS(Expenses!BQ$8:BQ$69,Expenses!$O$8:$O$69,$B136)+SUMIFS(Headcount!AA$395:AA$1442,Headcount!$J$395:$J$1442,$B136))</f>
        <v>0</v>
      </c>
      <c r="S136" s="137">
        <f>IF(S$12="Actual",SUMIFS(ActualsTable[Month 17],ActualsTable[Expense Item2],$B136),SUMIFS(Expenses!BR$8:BR$69,Expenses!$O$8:$O$69,$B136)+SUMIFS(Headcount!AB$395:AB$1442,Headcount!$J$395:$J$1442,$B136))</f>
        <v>0</v>
      </c>
      <c r="T136" s="137">
        <f>IF(T$12="Actual",SUMIFS(ActualsTable[Month 18],ActualsTable[Expense Item2],$B136),SUMIFS(Expenses!BS$8:BS$69,Expenses!$O$8:$O$69,$B136)+SUMIFS(Headcount!AC$395:AC$1442,Headcount!$J$395:$J$1442,$B136))</f>
        <v>0</v>
      </c>
      <c r="U136" s="137">
        <f>IF(U$12="Actual",SUMIFS(ActualsTable[Month 19],ActualsTable[Expense Item2],$B136),SUMIFS(Expenses!BT$8:BT$69,Expenses!$O$8:$O$69,$B136)+SUMIFS(Headcount!AD$395:AD$1442,Headcount!$J$395:$J$1442,$B136))</f>
        <v>0</v>
      </c>
      <c r="V136" s="137">
        <f>IF(V$12="Actual",SUMIFS(ActualsTable[Month 20],ActualsTable[Expense Item2],$B136),SUMIFS(Expenses!BU$8:BU$69,Expenses!$O$8:$O$69,$B136)+SUMIFS(Headcount!AE$395:AE$1442,Headcount!$J$395:$J$1442,$B136))</f>
        <v>0</v>
      </c>
      <c r="W136" s="137">
        <f>IF(W$12="Actual",SUMIFS(ActualsTable[Month 21],ActualsTable[Expense Item2],$B136),SUMIFS(Expenses!BV$8:BV$69,Expenses!$O$8:$O$69,$B136)+SUMIFS(Headcount!AF$395:AF$1442,Headcount!$J$395:$J$1442,$B136))</f>
        <v>0</v>
      </c>
      <c r="X136" s="137">
        <f>IF(X$12="Actual",SUMIFS(ActualsTable[Month 22],ActualsTable[Expense Item2],$B136),SUMIFS(Expenses!BW$8:BW$69,Expenses!$O$8:$O$69,$B136)+SUMIFS(Headcount!AG$395:AG$1442,Headcount!$J$395:$J$1442,$B136))</f>
        <v>0</v>
      </c>
      <c r="Y136" s="137">
        <f>IF(Y$12="Actual",SUMIFS(ActualsTable[Month 23],ActualsTable[Expense Item2],$B136),SUMIFS(Expenses!BX$8:BX$69,Expenses!$O$8:$O$69,$B136)+SUMIFS(Headcount!AH$395:AH$1442,Headcount!$J$395:$J$1442,$B136))</f>
        <v>0</v>
      </c>
      <c r="Z136" s="137">
        <f>IF(Z$12="Actual",SUMIFS(ActualsTable[Month 24],ActualsTable[Expense Item2],$B136),SUMIFS(Expenses!BY$8:BY$69,Expenses!$O$8:$O$69,$B136)+SUMIFS(Headcount!AI$395:AI$1442,Headcount!$J$395:$J$1442,$B136))</f>
        <v>0</v>
      </c>
      <c r="AA136" s="137">
        <f>IF(AA$12="Actual",SUMIFS(ActualsTable[Month 25],ActualsTable[Expense Item2],$B136),SUMIFS(Expenses!BZ$8:BZ$69,Expenses!$O$8:$O$69,$B136)+SUMIFS(Headcount!AJ$395:AJ$1442,Headcount!$J$395:$J$1442,$B136))</f>
        <v>0</v>
      </c>
      <c r="AB136" s="137">
        <f>IF(AB$12="Actual",SUMIFS(ActualsTable[Month 26],ActualsTable[Expense Item2],$B136),SUMIFS(Expenses!CA$8:CA$69,Expenses!$O$8:$O$69,$B136)+SUMIFS(Headcount!AK$395:AK$1442,Headcount!$J$395:$J$1442,$B136))</f>
        <v>0</v>
      </c>
      <c r="AC136" s="137">
        <f>IF(AC$12="Actual",SUMIFS(ActualsTable[Month 27],ActualsTable[Expense Item2],$B136),SUMIFS(Expenses!CB$8:CB$69,Expenses!$O$8:$O$69,$B136)+SUMIFS(Headcount!AL$395:AL$1442,Headcount!$J$395:$J$1442,$B136))</f>
        <v>0</v>
      </c>
      <c r="AD136" s="137">
        <f>IF(AD$12="Actual",SUMIFS(ActualsTable[Month 28],ActualsTable[Expense Item2],$B136),SUMIFS(Expenses!CC$8:CC$69,Expenses!$O$8:$O$69,$B136)+SUMIFS(Headcount!AM$395:AM$1442,Headcount!$J$395:$J$1442,$B136))</f>
        <v>0</v>
      </c>
      <c r="AE136" s="137">
        <f>IF(AE$12="Actual",SUMIFS(ActualsTable[Month 29],ActualsTable[Expense Item2],$B136),SUMIFS(Expenses!CD$8:CD$69,Expenses!$O$8:$O$69,$B136)+SUMIFS(Headcount!AN$395:AN$1442,Headcount!$J$395:$J$1442,$B136))</f>
        <v>0</v>
      </c>
      <c r="AF136" s="137">
        <f>IF(AF$12="Actual",SUMIFS(ActualsTable[Month 30],ActualsTable[Expense Item2],$B136),SUMIFS(Expenses!CE$8:CE$69,Expenses!$O$8:$O$69,$B136)+SUMIFS(Headcount!AO$395:AO$1442,Headcount!$J$395:$J$1442,$B136))</f>
        <v>0</v>
      </c>
      <c r="AG136" s="137">
        <f>IF(AG$12="Actual",SUMIFS(ActualsTable[Month 31],ActualsTable[Expense Item2],$B136),SUMIFS(Expenses!CF$8:CF$69,Expenses!$O$8:$O$69,$B136)+SUMIFS(Headcount!AP$395:AP$1442,Headcount!$J$395:$J$1442,$B136))</f>
        <v>0</v>
      </c>
      <c r="AH136" s="137">
        <f>IF(AH$12="Actual",SUMIFS(ActualsTable[Month 32],ActualsTable[Expense Item2],$B136),SUMIFS(Expenses!CG$8:CG$69,Expenses!$O$8:$O$69,$B136)+SUMIFS(Headcount!AQ$395:AQ$1442,Headcount!$J$395:$J$1442,$B136))</f>
        <v>0</v>
      </c>
      <c r="AI136" s="137">
        <f>IF(AI$12="Actual",SUMIFS(ActualsTable[Month 33],ActualsTable[Expense Item2],$B136),SUMIFS(Expenses!CH$8:CH$69,Expenses!$O$8:$O$69,$B136)+SUMIFS(Headcount!AR$395:AR$1442,Headcount!$J$395:$J$1442,$B136))</f>
        <v>0</v>
      </c>
      <c r="AJ136" s="137">
        <f>IF(AJ$12="Actual",SUMIFS(ActualsTable[Month 34],ActualsTable[Expense Item2],$B136),SUMIFS(Expenses!CI$8:CI$69,Expenses!$O$8:$O$69,$B136)+SUMIFS(Headcount!AS$395:AS$1442,Headcount!$J$395:$J$1442,$B136))</f>
        <v>0</v>
      </c>
      <c r="AK136" s="137">
        <f>IF(AK$12="Actual",SUMIFS(ActualsTable[Month 35],ActualsTable[Expense Item2],$B136),SUMIFS(Expenses!CJ$8:CJ$69,Expenses!$O$8:$O$69,$B136)+SUMIFS(Headcount!AT$395:AT$1442,Headcount!$J$395:$J$1442,$B136))</f>
        <v>0</v>
      </c>
      <c r="AL136" s="293">
        <f>IF(AL$12="Actual",SUMIFS(ActualsTable[Month 36],ActualsTable[Expense Item2],$B136),SUMIFS(Expenses!CK$8:CK$69,Expenses!$O$8:$O$69,$B136)+SUMIFS(Headcount!AU$395:AU$1442,Headcount!$J$395:$J$1442,$B136))</f>
        <v>0</v>
      </c>
      <c r="AN136" s="319">
        <f t="shared" ca="1" si="234"/>
        <v>0</v>
      </c>
      <c r="AO136" s="137">
        <f t="shared" ca="1" si="234"/>
        <v>0</v>
      </c>
      <c r="AP136" s="137">
        <f t="shared" ca="1" si="234"/>
        <v>0</v>
      </c>
      <c r="AQ136" s="137">
        <f t="shared" ca="1" si="234"/>
        <v>0</v>
      </c>
      <c r="AR136" s="137">
        <f t="shared" ca="1" si="234"/>
        <v>0</v>
      </c>
      <c r="AS136" s="137">
        <f t="shared" ca="1" si="234"/>
        <v>0</v>
      </c>
      <c r="AT136" s="137">
        <f t="shared" ca="1" si="234"/>
        <v>0</v>
      </c>
      <c r="AU136" s="137">
        <f t="shared" ca="1" si="234"/>
        <v>0</v>
      </c>
      <c r="AV136" s="137">
        <f t="shared" ca="1" si="234"/>
        <v>0</v>
      </c>
      <c r="AW136" s="137">
        <f t="shared" ca="1" si="234"/>
        <v>0</v>
      </c>
      <c r="AX136" s="137">
        <f t="shared" ca="1" si="234"/>
        <v>0</v>
      </c>
      <c r="AY136" s="293">
        <f t="shared" ca="1" si="234"/>
        <v>0</v>
      </c>
      <c r="BA136" s="319">
        <f t="shared" ca="1" si="235"/>
        <v>0</v>
      </c>
      <c r="BB136" s="137">
        <f t="shared" ca="1" si="235"/>
        <v>0</v>
      </c>
      <c r="BC136" s="293">
        <f t="shared" ca="1" si="235"/>
        <v>0</v>
      </c>
    </row>
    <row r="137" spans="2:55" x14ac:dyDescent="0.35">
      <c r="B137" s="64" t="s">
        <v>168</v>
      </c>
      <c r="C137" s="137">
        <f>IF(C$12="Actual",SUMIFS(ActualsTable[Month 1],ActualsTable[Expense Item2],$B137),SUMIFS(Expenses!BB$8:BB$69,Expenses!$O$8:$O$69,$B137)+SUMIFS(Headcount!L$395:L$1442,Headcount!$J$395:$J$1442,$B137))</f>
        <v>0</v>
      </c>
      <c r="D137" s="137">
        <f>IF(D$12="Actual",SUMIFS(ActualsTable[Month 2],ActualsTable[Expense Item2],$B137),SUMIFS(Expenses!BC$8:BC$69,Expenses!$O$8:$O$69,$B137)+SUMIFS(Headcount!M$395:M$1442,Headcount!$J$395:$J$1442,$B137))</f>
        <v>0</v>
      </c>
      <c r="E137" s="137">
        <f>IF(E$12="Actual",SUMIFS(ActualsTable[Month 3],ActualsTable[Expense Item2],$B137),SUMIFS(Expenses!BD$8:BD$69,Expenses!$O$8:$O$69,$B137)+SUMIFS(Headcount!N$395:N$1442,Headcount!$J$395:$J$1442,$B137))</f>
        <v>0</v>
      </c>
      <c r="F137" s="137">
        <f>IF(F$12="Actual",SUMIFS(ActualsTable[Month 4],ActualsTable[Expense Item2],$B137),SUMIFS(Expenses!BE$8:BE$69,Expenses!$O$8:$O$69,$B137)+SUMIFS(Headcount!O$395:O$1442,Headcount!$J$395:$J$1442,$B137))</f>
        <v>0</v>
      </c>
      <c r="G137" s="137">
        <f>IF(G$12="Actual",SUMIFS(ActualsTable[Month 5],ActualsTable[Expense Item2],$B137),SUMIFS(Expenses!BF$8:BF$69,Expenses!$O$8:$O$69,$B137)+SUMIFS(Headcount!P$395:P$1442,Headcount!$J$395:$J$1442,$B137))</f>
        <v>0</v>
      </c>
      <c r="H137" s="137">
        <f>IF(H$12="Actual",SUMIFS(ActualsTable[Month 6],ActualsTable[Expense Item2],$B137),SUMIFS(Expenses!BG$8:BG$69,Expenses!$O$8:$O$69,$B137)+SUMIFS(Headcount!Q$395:Q$1442,Headcount!$J$395:$J$1442,$B137))</f>
        <v>0</v>
      </c>
      <c r="I137" s="137">
        <f>IF(I$12="Actual",SUMIFS(ActualsTable[Month 7],ActualsTable[Expense Item2],$B137),SUMIFS(Expenses!BH$8:BH$69,Expenses!$O$8:$O$69,$B137)+SUMIFS(Headcount!R$395:R$1442,Headcount!$J$395:$J$1442,$B137))</f>
        <v>0</v>
      </c>
      <c r="J137" s="137">
        <f>IF(J$12="Actual",SUMIFS(ActualsTable[Month 8],ActualsTable[Expense Item2],$B137),SUMIFS(Expenses!BI$8:BI$69,Expenses!$O$8:$O$69,$B137)+SUMIFS(Headcount!S$395:S$1442,Headcount!$J$395:$J$1442,$B137))</f>
        <v>0</v>
      </c>
      <c r="K137" s="137">
        <f>IF(K$12="Actual",SUMIFS(ActualsTable[Month 9],ActualsTable[Expense Item2],$B137),SUMIFS(Expenses!BJ$8:BJ$69,Expenses!$O$8:$O$69,$B137)+SUMIFS(Headcount!T$395:T$1442,Headcount!$J$395:$J$1442,$B137))</f>
        <v>0</v>
      </c>
      <c r="L137" s="137">
        <f>IF(L$12="Actual",SUMIFS(ActualsTable[Month 10],ActualsTable[Expense Item2],$B137),SUMIFS(Expenses!BK$8:BK$69,Expenses!$O$8:$O$69,$B137)+SUMIFS(Headcount!U$395:U$1442,Headcount!$J$395:$J$1442,$B137))</f>
        <v>0</v>
      </c>
      <c r="M137" s="137">
        <f>IF(M$12="Actual",SUMIFS(ActualsTable[Month 11],ActualsTable[Expense Item2],$B137),SUMIFS(Expenses!BL$8:BL$69,Expenses!$O$8:$O$69,$B137)+SUMIFS(Headcount!V$395:V$1442,Headcount!$J$395:$J$1442,$B137))</f>
        <v>0</v>
      </c>
      <c r="N137" s="137">
        <f>IF(N$12="Actual",SUMIFS(ActualsTable[Month 12],ActualsTable[Expense Item2],$B137),SUMIFS(Expenses!BM$8:BM$69,Expenses!$O$8:$O$69,$B137)+SUMIFS(Headcount!W$395:W$1442,Headcount!$J$395:$J$1442,$B137))</f>
        <v>0</v>
      </c>
      <c r="O137" s="137">
        <f>IF(O$12="Actual",SUMIFS(ActualsTable[Month 13],ActualsTable[Expense Item2],$B137),SUMIFS(Expenses!BN$8:BN$69,Expenses!$O$8:$O$69,$B137)+SUMIFS(Headcount!X$395:X$1442,Headcount!$J$395:$J$1442,$B137))</f>
        <v>0</v>
      </c>
      <c r="P137" s="137">
        <f>IF(P$12="Actual",SUMIFS(ActualsTable[Month 14],ActualsTable[Expense Item2],$B137),SUMIFS(Expenses!BO$8:BO$69,Expenses!$O$8:$O$69,$B137)+SUMIFS(Headcount!Y$395:Y$1442,Headcount!$J$395:$J$1442,$B137))</f>
        <v>0</v>
      </c>
      <c r="Q137" s="137">
        <f>IF(Q$12="Actual",SUMIFS(ActualsTable[Month 15],ActualsTable[Expense Item2],$B137),SUMIFS(Expenses!BP$8:BP$69,Expenses!$O$8:$O$69,$B137)+SUMIFS(Headcount!Z$395:Z$1442,Headcount!$J$395:$J$1442,$B137))</f>
        <v>0</v>
      </c>
      <c r="R137" s="137">
        <f>IF(R$12="Actual",SUMIFS(ActualsTable[Month 16],ActualsTable[Expense Item2],$B137),SUMIFS(Expenses!BQ$8:BQ$69,Expenses!$O$8:$O$69,$B137)+SUMIFS(Headcount!AA$395:AA$1442,Headcount!$J$395:$J$1442,$B137))</f>
        <v>0</v>
      </c>
      <c r="S137" s="137">
        <f>IF(S$12="Actual",SUMIFS(ActualsTable[Month 17],ActualsTable[Expense Item2],$B137),SUMIFS(Expenses!BR$8:BR$69,Expenses!$O$8:$O$69,$B137)+SUMIFS(Headcount!AB$395:AB$1442,Headcount!$J$395:$J$1442,$B137))</f>
        <v>0</v>
      </c>
      <c r="T137" s="137">
        <f>IF(T$12="Actual",SUMIFS(ActualsTable[Month 18],ActualsTable[Expense Item2],$B137),SUMIFS(Expenses!BS$8:BS$69,Expenses!$O$8:$O$69,$B137)+SUMIFS(Headcount!AC$395:AC$1442,Headcount!$J$395:$J$1442,$B137))</f>
        <v>0</v>
      </c>
      <c r="U137" s="137">
        <f>IF(U$12="Actual",SUMIFS(ActualsTable[Month 19],ActualsTable[Expense Item2],$B137),SUMIFS(Expenses!BT$8:BT$69,Expenses!$O$8:$O$69,$B137)+SUMIFS(Headcount!AD$395:AD$1442,Headcount!$J$395:$J$1442,$B137))</f>
        <v>0</v>
      </c>
      <c r="V137" s="137">
        <f>IF(V$12="Actual",SUMIFS(ActualsTable[Month 20],ActualsTable[Expense Item2],$B137),SUMIFS(Expenses!BU$8:BU$69,Expenses!$O$8:$O$69,$B137)+SUMIFS(Headcount!AE$395:AE$1442,Headcount!$J$395:$J$1442,$B137))</f>
        <v>0</v>
      </c>
      <c r="W137" s="137">
        <f>IF(W$12="Actual",SUMIFS(ActualsTable[Month 21],ActualsTable[Expense Item2],$B137),SUMIFS(Expenses!BV$8:BV$69,Expenses!$O$8:$O$69,$B137)+SUMIFS(Headcount!AF$395:AF$1442,Headcount!$J$395:$J$1442,$B137))</f>
        <v>0</v>
      </c>
      <c r="X137" s="137">
        <f>IF(X$12="Actual",SUMIFS(ActualsTable[Month 22],ActualsTable[Expense Item2],$B137),SUMIFS(Expenses!BW$8:BW$69,Expenses!$O$8:$O$69,$B137)+SUMIFS(Headcount!AG$395:AG$1442,Headcount!$J$395:$J$1442,$B137))</f>
        <v>0</v>
      </c>
      <c r="Y137" s="137">
        <f>IF(Y$12="Actual",SUMIFS(ActualsTable[Month 23],ActualsTable[Expense Item2],$B137),SUMIFS(Expenses!BX$8:BX$69,Expenses!$O$8:$O$69,$B137)+SUMIFS(Headcount!AH$395:AH$1442,Headcount!$J$395:$J$1442,$B137))</f>
        <v>0</v>
      </c>
      <c r="Z137" s="137">
        <f>IF(Z$12="Actual",SUMIFS(ActualsTable[Month 24],ActualsTable[Expense Item2],$B137),SUMIFS(Expenses!BY$8:BY$69,Expenses!$O$8:$O$69,$B137)+SUMIFS(Headcount!AI$395:AI$1442,Headcount!$J$395:$J$1442,$B137))</f>
        <v>0</v>
      </c>
      <c r="AA137" s="137">
        <f>IF(AA$12="Actual",SUMIFS(ActualsTable[Month 25],ActualsTable[Expense Item2],$B137),SUMIFS(Expenses!BZ$8:BZ$69,Expenses!$O$8:$O$69,$B137)+SUMIFS(Headcount!AJ$395:AJ$1442,Headcount!$J$395:$J$1442,$B137))</f>
        <v>0</v>
      </c>
      <c r="AB137" s="137">
        <f>IF(AB$12="Actual",SUMIFS(ActualsTable[Month 26],ActualsTable[Expense Item2],$B137),SUMIFS(Expenses!CA$8:CA$69,Expenses!$O$8:$O$69,$B137)+SUMIFS(Headcount!AK$395:AK$1442,Headcount!$J$395:$J$1442,$B137))</f>
        <v>0</v>
      </c>
      <c r="AC137" s="137">
        <f>IF(AC$12="Actual",SUMIFS(ActualsTable[Month 27],ActualsTable[Expense Item2],$B137),SUMIFS(Expenses!CB$8:CB$69,Expenses!$O$8:$O$69,$B137)+SUMIFS(Headcount!AL$395:AL$1442,Headcount!$J$395:$J$1442,$B137))</f>
        <v>0</v>
      </c>
      <c r="AD137" s="137">
        <f>IF(AD$12="Actual",SUMIFS(ActualsTable[Month 28],ActualsTable[Expense Item2],$B137),SUMIFS(Expenses!CC$8:CC$69,Expenses!$O$8:$O$69,$B137)+SUMIFS(Headcount!AM$395:AM$1442,Headcount!$J$395:$J$1442,$B137))</f>
        <v>0</v>
      </c>
      <c r="AE137" s="137">
        <f>IF(AE$12="Actual",SUMIFS(ActualsTable[Month 29],ActualsTable[Expense Item2],$B137),SUMIFS(Expenses!CD$8:CD$69,Expenses!$O$8:$O$69,$B137)+SUMIFS(Headcount!AN$395:AN$1442,Headcount!$J$395:$J$1442,$B137))</f>
        <v>0</v>
      </c>
      <c r="AF137" s="137">
        <f>IF(AF$12="Actual",SUMIFS(ActualsTable[Month 30],ActualsTable[Expense Item2],$B137),SUMIFS(Expenses!CE$8:CE$69,Expenses!$O$8:$O$69,$B137)+SUMIFS(Headcount!AO$395:AO$1442,Headcount!$J$395:$J$1442,$B137))</f>
        <v>0</v>
      </c>
      <c r="AG137" s="137">
        <f>IF(AG$12="Actual",SUMIFS(ActualsTable[Month 31],ActualsTable[Expense Item2],$B137),SUMIFS(Expenses!CF$8:CF$69,Expenses!$O$8:$O$69,$B137)+SUMIFS(Headcount!AP$395:AP$1442,Headcount!$J$395:$J$1442,$B137))</f>
        <v>0</v>
      </c>
      <c r="AH137" s="137">
        <f>IF(AH$12="Actual",SUMIFS(ActualsTable[Month 32],ActualsTable[Expense Item2],$B137),SUMIFS(Expenses!CG$8:CG$69,Expenses!$O$8:$O$69,$B137)+SUMIFS(Headcount!AQ$395:AQ$1442,Headcount!$J$395:$J$1442,$B137))</f>
        <v>0</v>
      </c>
      <c r="AI137" s="137">
        <f>IF(AI$12="Actual",SUMIFS(ActualsTable[Month 33],ActualsTable[Expense Item2],$B137),SUMIFS(Expenses!CH$8:CH$69,Expenses!$O$8:$O$69,$B137)+SUMIFS(Headcount!AR$395:AR$1442,Headcount!$J$395:$J$1442,$B137))</f>
        <v>0</v>
      </c>
      <c r="AJ137" s="137">
        <f>IF(AJ$12="Actual",SUMIFS(ActualsTable[Month 34],ActualsTable[Expense Item2],$B137),SUMIFS(Expenses!CI$8:CI$69,Expenses!$O$8:$O$69,$B137)+SUMIFS(Headcount!AS$395:AS$1442,Headcount!$J$395:$J$1442,$B137))</f>
        <v>0</v>
      </c>
      <c r="AK137" s="137">
        <f>IF(AK$12="Actual",SUMIFS(ActualsTable[Month 35],ActualsTable[Expense Item2],$B137),SUMIFS(Expenses!CJ$8:CJ$69,Expenses!$O$8:$O$69,$B137)+SUMIFS(Headcount!AT$395:AT$1442,Headcount!$J$395:$J$1442,$B137))</f>
        <v>0</v>
      </c>
      <c r="AL137" s="293">
        <f>IF(AL$12="Actual",SUMIFS(ActualsTable[Month 36],ActualsTable[Expense Item2],$B137),SUMIFS(Expenses!CK$8:CK$69,Expenses!$O$8:$O$69,$B137)+SUMIFS(Headcount!AU$395:AU$1442,Headcount!$J$395:$J$1442,$B137))</f>
        <v>0</v>
      </c>
      <c r="AN137" s="319">
        <f t="shared" ca="1" si="234"/>
        <v>0</v>
      </c>
      <c r="AO137" s="137">
        <f t="shared" ca="1" si="234"/>
        <v>0</v>
      </c>
      <c r="AP137" s="137">
        <f t="shared" ca="1" si="234"/>
        <v>0</v>
      </c>
      <c r="AQ137" s="137">
        <f t="shared" ca="1" si="234"/>
        <v>0</v>
      </c>
      <c r="AR137" s="137">
        <f t="shared" ca="1" si="234"/>
        <v>0</v>
      </c>
      <c r="AS137" s="137">
        <f t="shared" ca="1" si="234"/>
        <v>0</v>
      </c>
      <c r="AT137" s="137">
        <f t="shared" ca="1" si="234"/>
        <v>0</v>
      </c>
      <c r="AU137" s="137">
        <f t="shared" ca="1" si="234"/>
        <v>0</v>
      </c>
      <c r="AV137" s="137">
        <f t="shared" ca="1" si="234"/>
        <v>0</v>
      </c>
      <c r="AW137" s="137">
        <f t="shared" ca="1" si="234"/>
        <v>0</v>
      </c>
      <c r="AX137" s="137">
        <f t="shared" ca="1" si="234"/>
        <v>0</v>
      </c>
      <c r="AY137" s="293">
        <f t="shared" ca="1" si="234"/>
        <v>0</v>
      </c>
      <c r="BA137" s="319">
        <f t="shared" ca="1" si="235"/>
        <v>0</v>
      </c>
      <c r="BB137" s="137">
        <f t="shared" ca="1" si="235"/>
        <v>0</v>
      </c>
      <c r="BC137" s="293">
        <f t="shared" ca="1" si="235"/>
        <v>0</v>
      </c>
    </row>
    <row r="138" spans="2:55" x14ac:dyDescent="0.35">
      <c r="B138" s="64" t="s">
        <v>169</v>
      </c>
      <c r="C138" s="137">
        <f>IF(C$12="Actual",SUMIFS(ActualsTable[Month 1],ActualsTable[Expense Item2],$B138),SUMIFS(Expenses!BB$8:BB$69,Expenses!$O$8:$O$69,$B138)+SUMIFS(Headcount!L$395:L$1442,Headcount!$J$395:$J$1442,$B138))</f>
        <v>0</v>
      </c>
      <c r="D138" s="137">
        <f>IF(D$12="Actual",SUMIFS(ActualsTable[Month 2],ActualsTable[Expense Item2],$B138),SUMIFS(Expenses!BC$8:BC$69,Expenses!$O$8:$O$69,$B138)+SUMIFS(Headcount!M$395:M$1442,Headcount!$J$395:$J$1442,$B138))</f>
        <v>0</v>
      </c>
      <c r="E138" s="137">
        <f>IF(E$12="Actual",SUMIFS(ActualsTable[Month 3],ActualsTable[Expense Item2],$B138),SUMIFS(Expenses!BD$8:BD$69,Expenses!$O$8:$O$69,$B138)+SUMIFS(Headcount!N$395:N$1442,Headcount!$J$395:$J$1442,$B138))</f>
        <v>0</v>
      </c>
      <c r="F138" s="137">
        <f>IF(F$12="Actual",SUMIFS(ActualsTable[Month 4],ActualsTable[Expense Item2],$B138),SUMIFS(Expenses!BE$8:BE$69,Expenses!$O$8:$O$69,$B138)+SUMIFS(Headcount!O$395:O$1442,Headcount!$J$395:$J$1442,$B138))</f>
        <v>0</v>
      </c>
      <c r="G138" s="137">
        <f>IF(G$12="Actual",SUMIFS(ActualsTable[Month 5],ActualsTable[Expense Item2],$B138),SUMIFS(Expenses!BF$8:BF$69,Expenses!$O$8:$O$69,$B138)+SUMIFS(Headcount!P$395:P$1442,Headcount!$J$395:$J$1442,$B138))</f>
        <v>0</v>
      </c>
      <c r="H138" s="137">
        <f>IF(H$12="Actual",SUMIFS(ActualsTable[Month 6],ActualsTable[Expense Item2],$B138),SUMIFS(Expenses!BG$8:BG$69,Expenses!$O$8:$O$69,$B138)+SUMIFS(Headcount!Q$395:Q$1442,Headcount!$J$395:$J$1442,$B138))</f>
        <v>0</v>
      </c>
      <c r="I138" s="137">
        <f>IF(I$12="Actual",SUMIFS(ActualsTable[Month 7],ActualsTable[Expense Item2],$B138),SUMIFS(Expenses!BH$8:BH$69,Expenses!$O$8:$O$69,$B138)+SUMIFS(Headcount!R$395:R$1442,Headcount!$J$395:$J$1442,$B138))</f>
        <v>0</v>
      </c>
      <c r="J138" s="137">
        <f>IF(J$12="Actual",SUMIFS(ActualsTable[Month 8],ActualsTable[Expense Item2],$B138),SUMIFS(Expenses!BI$8:BI$69,Expenses!$O$8:$O$69,$B138)+SUMIFS(Headcount!S$395:S$1442,Headcount!$J$395:$J$1442,$B138))</f>
        <v>0</v>
      </c>
      <c r="K138" s="137">
        <f>IF(K$12="Actual",SUMIFS(ActualsTable[Month 9],ActualsTable[Expense Item2],$B138),SUMIFS(Expenses!BJ$8:BJ$69,Expenses!$O$8:$O$69,$B138)+SUMIFS(Headcount!T$395:T$1442,Headcount!$J$395:$J$1442,$B138))</f>
        <v>0</v>
      </c>
      <c r="L138" s="137">
        <f>IF(L$12="Actual",SUMIFS(ActualsTable[Month 10],ActualsTable[Expense Item2],$B138),SUMIFS(Expenses!BK$8:BK$69,Expenses!$O$8:$O$69,$B138)+SUMIFS(Headcount!U$395:U$1442,Headcount!$J$395:$J$1442,$B138))</f>
        <v>0</v>
      </c>
      <c r="M138" s="137">
        <f>IF(M$12="Actual",SUMIFS(ActualsTable[Month 11],ActualsTable[Expense Item2],$B138),SUMIFS(Expenses!BL$8:BL$69,Expenses!$O$8:$O$69,$B138)+SUMIFS(Headcount!V$395:V$1442,Headcount!$J$395:$J$1442,$B138))</f>
        <v>0</v>
      </c>
      <c r="N138" s="137">
        <f>IF(N$12="Actual",SUMIFS(ActualsTable[Month 12],ActualsTable[Expense Item2],$B138),SUMIFS(Expenses!BM$8:BM$69,Expenses!$O$8:$O$69,$B138)+SUMIFS(Headcount!W$395:W$1442,Headcount!$J$395:$J$1442,$B138))</f>
        <v>0</v>
      </c>
      <c r="O138" s="137">
        <f>IF(O$12="Actual",SUMIFS(ActualsTable[Month 13],ActualsTable[Expense Item2],$B138),SUMIFS(Expenses!BN$8:BN$69,Expenses!$O$8:$O$69,$B138)+SUMIFS(Headcount!X$395:X$1442,Headcount!$J$395:$J$1442,$B138))</f>
        <v>0</v>
      </c>
      <c r="P138" s="137">
        <f>IF(P$12="Actual",SUMIFS(ActualsTable[Month 14],ActualsTable[Expense Item2],$B138),SUMIFS(Expenses!BO$8:BO$69,Expenses!$O$8:$O$69,$B138)+SUMIFS(Headcount!Y$395:Y$1442,Headcount!$J$395:$J$1442,$B138))</f>
        <v>0</v>
      </c>
      <c r="Q138" s="137">
        <f>IF(Q$12="Actual",SUMIFS(ActualsTable[Month 15],ActualsTable[Expense Item2],$B138),SUMIFS(Expenses!BP$8:BP$69,Expenses!$O$8:$O$69,$B138)+SUMIFS(Headcount!Z$395:Z$1442,Headcount!$J$395:$J$1442,$B138))</f>
        <v>0</v>
      </c>
      <c r="R138" s="137">
        <f>IF(R$12="Actual",SUMIFS(ActualsTable[Month 16],ActualsTable[Expense Item2],$B138),SUMIFS(Expenses!BQ$8:BQ$69,Expenses!$O$8:$O$69,$B138)+SUMIFS(Headcount!AA$395:AA$1442,Headcount!$J$395:$J$1442,$B138))</f>
        <v>0</v>
      </c>
      <c r="S138" s="137">
        <f>IF(S$12="Actual",SUMIFS(ActualsTable[Month 17],ActualsTable[Expense Item2],$B138),SUMIFS(Expenses!BR$8:BR$69,Expenses!$O$8:$O$69,$B138)+SUMIFS(Headcount!AB$395:AB$1442,Headcount!$J$395:$J$1442,$B138))</f>
        <v>0</v>
      </c>
      <c r="T138" s="137">
        <f>IF(T$12="Actual",SUMIFS(ActualsTable[Month 18],ActualsTable[Expense Item2],$B138),SUMIFS(Expenses!BS$8:BS$69,Expenses!$O$8:$O$69,$B138)+SUMIFS(Headcount!AC$395:AC$1442,Headcount!$J$395:$J$1442,$B138))</f>
        <v>0</v>
      </c>
      <c r="U138" s="137">
        <f>IF(U$12="Actual",SUMIFS(ActualsTable[Month 19],ActualsTable[Expense Item2],$B138),SUMIFS(Expenses!BT$8:BT$69,Expenses!$O$8:$O$69,$B138)+SUMIFS(Headcount!AD$395:AD$1442,Headcount!$J$395:$J$1442,$B138))</f>
        <v>0</v>
      </c>
      <c r="V138" s="137">
        <f>IF(V$12="Actual",SUMIFS(ActualsTable[Month 20],ActualsTable[Expense Item2],$B138),SUMIFS(Expenses!BU$8:BU$69,Expenses!$O$8:$O$69,$B138)+SUMIFS(Headcount!AE$395:AE$1442,Headcount!$J$395:$J$1442,$B138))</f>
        <v>0</v>
      </c>
      <c r="W138" s="137">
        <f>IF(W$12="Actual",SUMIFS(ActualsTable[Month 21],ActualsTable[Expense Item2],$B138),SUMIFS(Expenses!BV$8:BV$69,Expenses!$O$8:$O$69,$B138)+SUMIFS(Headcount!AF$395:AF$1442,Headcount!$J$395:$J$1442,$B138))</f>
        <v>0</v>
      </c>
      <c r="X138" s="137">
        <f>IF(X$12="Actual",SUMIFS(ActualsTable[Month 22],ActualsTable[Expense Item2],$B138),SUMIFS(Expenses!BW$8:BW$69,Expenses!$O$8:$O$69,$B138)+SUMIFS(Headcount!AG$395:AG$1442,Headcount!$J$395:$J$1442,$B138))</f>
        <v>0</v>
      </c>
      <c r="Y138" s="137">
        <f>IF(Y$12="Actual",SUMIFS(ActualsTable[Month 23],ActualsTable[Expense Item2],$B138),SUMIFS(Expenses!BX$8:BX$69,Expenses!$O$8:$O$69,$B138)+SUMIFS(Headcount!AH$395:AH$1442,Headcount!$J$395:$J$1442,$B138))</f>
        <v>0</v>
      </c>
      <c r="Z138" s="137">
        <f>IF(Z$12="Actual",SUMIFS(ActualsTable[Month 24],ActualsTable[Expense Item2],$B138),SUMIFS(Expenses!BY$8:BY$69,Expenses!$O$8:$O$69,$B138)+SUMIFS(Headcount!AI$395:AI$1442,Headcount!$J$395:$J$1442,$B138))</f>
        <v>0</v>
      </c>
      <c r="AA138" s="137">
        <f>IF(AA$12="Actual",SUMIFS(ActualsTable[Month 25],ActualsTable[Expense Item2],$B138),SUMIFS(Expenses!BZ$8:BZ$69,Expenses!$O$8:$O$69,$B138)+SUMIFS(Headcount!AJ$395:AJ$1442,Headcount!$J$395:$J$1442,$B138))</f>
        <v>0</v>
      </c>
      <c r="AB138" s="137">
        <f>IF(AB$12="Actual",SUMIFS(ActualsTable[Month 26],ActualsTable[Expense Item2],$B138),SUMIFS(Expenses!CA$8:CA$69,Expenses!$O$8:$O$69,$B138)+SUMIFS(Headcount!AK$395:AK$1442,Headcount!$J$395:$J$1442,$B138))</f>
        <v>0</v>
      </c>
      <c r="AC138" s="137">
        <f>IF(AC$12="Actual",SUMIFS(ActualsTable[Month 27],ActualsTable[Expense Item2],$B138),SUMIFS(Expenses!CB$8:CB$69,Expenses!$O$8:$O$69,$B138)+SUMIFS(Headcount!AL$395:AL$1442,Headcount!$J$395:$J$1442,$B138))</f>
        <v>0</v>
      </c>
      <c r="AD138" s="137">
        <f>IF(AD$12="Actual",SUMIFS(ActualsTable[Month 28],ActualsTable[Expense Item2],$B138),SUMIFS(Expenses!CC$8:CC$69,Expenses!$O$8:$O$69,$B138)+SUMIFS(Headcount!AM$395:AM$1442,Headcount!$J$395:$J$1442,$B138))</f>
        <v>0</v>
      </c>
      <c r="AE138" s="137">
        <f>IF(AE$12="Actual",SUMIFS(ActualsTable[Month 29],ActualsTable[Expense Item2],$B138),SUMIFS(Expenses!CD$8:CD$69,Expenses!$O$8:$O$69,$B138)+SUMIFS(Headcount!AN$395:AN$1442,Headcount!$J$395:$J$1442,$B138))</f>
        <v>0</v>
      </c>
      <c r="AF138" s="137">
        <f>IF(AF$12="Actual",SUMIFS(ActualsTable[Month 30],ActualsTable[Expense Item2],$B138),SUMIFS(Expenses!CE$8:CE$69,Expenses!$O$8:$O$69,$B138)+SUMIFS(Headcount!AO$395:AO$1442,Headcount!$J$395:$J$1442,$B138))</f>
        <v>0</v>
      </c>
      <c r="AG138" s="137">
        <f>IF(AG$12="Actual",SUMIFS(ActualsTable[Month 31],ActualsTable[Expense Item2],$B138),SUMIFS(Expenses!CF$8:CF$69,Expenses!$O$8:$O$69,$B138)+SUMIFS(Headcount!AP$395:AP$1442,Headcount!$J$395:$J$1442,$B138))</f>
        <v>0</v>
      </c>
      <c r="AH138" s="137">
        <f>IF(AH$12="Actual",SUMIFS(ActualsTable[Month 32],ActualsTable[Expense Item2],$B138),SUMIFS(Expenses!CG$8:CG$69,Expenses!$O$8:$O$69,$B138)+SUMIFS(Headcount!AQ$395:AQ$1442,Headcount!$J$395:$J$1442,$B138))</f>
        <v>0</v>
      </c>
      <c r="AI138" s="137">
        <f>IF(AI$12="Actual",SUMIFS(ActualsTable[Month 33],ActualsTable[Expense Item2],$B138),SUMIFS(Expenses!CH$8:CH$69,Expenses!$O$8:$O$69,$B138)+SUMIFS(Headcount!AR$395:AR$1442,Headcount!$J$395:$J$1442,$B138))</f>
        <v>0</v>
      </c>
      <c r="AJ138" s="137">
        <f>IF(AJ$12="Actual",SUMIFS(ActualsTable[Month 34],ActualsTable[Expense Item2],$B138),SUMIFS(Expenses!CI$8:CI$69,Expenses!$O$8:$O$69,$B138)+SUMIFS(Headcount!AS$395:AS$1442,Headcount!$J$395:$J$1442,$B138))</f>
        <v>0</v>
      </c>
      <c r="AK138" s="137">
        <f>IF(AK$12="Actual",SUMIFS(ActualsTable[Month 35],ActualsTable[Expense Item2],$B138),SUMIFS(Expenses!CJ$8:CJ$69,Expenses!$O$8:$O$69,$B138)+SUMIFS(Headcount!AT$395:AT$1442,Headcount!$J$395:$J$1442,$B138))</f>
        <v>0</v>
      </c>
      <c r="AL138" s="293">
        <f>IF(AL$12="Actual",SUMIFS(ActualsTable[Month 36],ActualsTable[Expense Item2],$B138),SUMIFS(Expenses!CK$8:CK$69,Expenses!$O$8:$O$69,$B138)+SUMIFS(Headcount!AU$395:AU$1442,Headcount!$J$395:$J$1442,$B138))</f>
        <v>0</v>
      </c>
      <c r="AN138" s="319">
        <f t="shared" ca="1" si="234"/>
        <v>0</v>
      </c>
      <c r="AO138" s="137">
        <f t="shared" ca="1" si="234"/>
        <v>0</v>
      </c>
      <c r="AP138" s="137">
        <f t="shared" ca="1" si="234"/>
        <v>0</v>
      </c>
      <c r="AQ138" s="137">
        <f t="shared" ca="1" si="234"/>
        <v>0</v>
      </c>
      <c r="AR138" s="137">
        <f t="shared" ca="1" si="234"/>
        <v>0</v>
      </c>
      <c r="AS138" s="137">
        <f t="shared" ca="1" si="234"/>
        <v>0</v>
      </c>
      <c r="AT138" s="137">
        <f t="shared" ca="1" si="234"/>
        <v>0</v>
      </c>
      <c r="AU138" s="137">
        <f t="shared" ca="1" si="234"/>
        <v>0</v>
      </c>
      <c r="AV138" s="137">
        <f t="shared" ca="1" si="234"/>
        <v>0</v>
      </c>
      <c r="AW138" s="137">
        <f t="shared" ca="1" si="234"/>
        <v>0</v>
      </c>
      <c r="AX138" s="137">
        <f t="shared" ca="1" si="234"/>
        <v>0</v>
      </c>
      <c r="AY138" s="293">
        <f t="shared" ca="1" si="234"/>
        <v>0</v>
      </c>
      <c r="BA138" s="319">
        <f t="shared" ca="1" si="235"/>
        <v>0</v>
      </c>
      <c r="BB138" s="137">
        <f t="shared" ca="1" si="235"/>
        <v>0</v>
      </c>
      <c r="BC138" s="293">
        <f t="shared" ca="1" si="235"/>
        <v>0</v>
      </c>
    </row>
    <row r="139" spans="2:55" ht="15" x14ac:dyDescent="0.4">
      <c r="B139" s="64" t="s">
        <v>170</v>
      </c>
      <c r="C139" s="136">
        <f>IF(C$12="Actual",SUMIFS(ActualsTable[Month 1],ActualsTable[Expense Item2],$B139),SUMIFS(Expenses!BB$8:BB$69,Expenses!$O$8:$O$69,$B139)+SUMIFS(Headcount!L$395:L$1442,Headcount!$J$395:$J$1442,$B139))</f>
        <v>0</v>
      </c>
      <c r="D139" s="136">
        <f>IF(D$12="Actual",SUMIFS(ActualsTable[Month 2],ActualsTable[Expense Item2],$B139),SUMIFS(Expenses!BC$8:BC$69,Expenses!$O$8:$O$69,$B139)+SUMIFS(Headcount!M$395:M$1442,Headcount!$J$395:$J$1442,$B139))</f>
        <v>0</v>
      </c>
      <c r="E139" s="136">
        <f>IF(E$12="Actual",SUMIFS(ActualsTable[Month 3],ActualsTable[Expense Item2],$B139),SUMIFS(Expenses!BD$8:BD$69,Expenses!$O$8:$O$69,$B139)+SUMIFS(Headcount!N$395:N$1442,Headcount!$J$395:$J$1442,$B139))</f>
        <v>0</v>
      </c>
      <c r="F139" s="136">
        <f>IF(F$12="Actual",SUMIFS(ActualsTable[Month 4],ActualsTable[Expense Item2],$B139),SUMIFS(Expenses!BE$8:BE$69,Expenses!$O$8:$O$69,$B139)+SUMIFS(Headcount!O$395:O$1442,Headcount!$J$395:$J$1442,$B139))</f>
        <v>0</v>
      </c>
      <c r="G139" s="136">
        <f>IF(G$12="Actual",SUMIFS(ActualsTable[Month 5],ActualsTable[Expense Item2],$B139),SUMIFS(Expenses!BF$8:BF$69,Expenses!$O$8:$O$69,$B139)+SUMIFS(Headcount!P$395:P$1442,Headcount!$J$395:$J$1442,$B139))</f>
        <v>0</v>
      </c>
      <c r="H139" s="136">
        <f>IF(H$12="Actual",SUMIFS(ActualsTable[Month 6],ActualsTable[Expense Item2],$B139),SUMIFS(Expenses!BG$8:BG$69,Expenses!$O$8:$O$69,$B139)+SUMIFS(Headcount!Q$395:Q$1442,Headcount!$J$395:$J$1442,$B139))</f>
        <v>0</v>
      </c>
      <c r="I139" s="136">
        <f>IF(I$12="Actual",SUMIFS(ActualsTable[Month 7],ActualsTable[Expense Item2],$B139),SUMIFS(Expenses!BH$8:BH$69,Expenses!$O$8:$O$69,$B139)+SUMIFS(Headcount!R$395:R$1442,Headcount!$J$395:$J$1442,$B139))</f>
        <v>0</v>
      </c>
      <c r="J139" s="136">
        <f>IF(J$12="Actual",SUMIFS(ActualsTable[Month 8],ActualsTable[Expense Item2],$B139),SUMIFS(Expenses!BI$8:BI$69,Expenses!$O$8:$O$69,$B139)+SUMIFS(Headcount!S$395:S$1442,Headcount!$J$395:$J$1442,$B139))</f>
        <v>0</v>
      </c>
      <c r="K139" s="136">
        <f>IF(K$12="Actual",SUMIFS(ActualsTable[Month 9],ActualsTable[Expense Item2],$B139),SUMIFS(Expenses!BJ$8:BJ$69,Expenses!$O$8:$O$69,$B139)+SUMIFS(Headcount!T$395:T$1442,Headcount!$J$395:$J$1442,$B139))</f>
        <v>0</v>
      </c>
      <c r="L139" s="136">
        <f>IF(L$12="Actual",SUMIFS(ActualsTable[Month 10],ActualsTable[Expense Item2],$B139),SUMIFS(Expenses!BK$8:BK$69,Expenses!$O$8:$O$69,$B139)+SUMIFS(Headcount!U$395:U$1442,Headcount!$J$395:$J$1442,$B139))</f>
        <v>0</v>
      </c>
      <c r="M139" s="136">
        <f>IF(M$12="Actual",SUMIFS(ActualsTable[Month 11],ActualsTable[Expense Item2],$B139),SUMIFS(Expenses!BL$8:BL$69,Expenses!$O$8:$O$69,$B139)+SUMIFS(Headcount!V$395:V$1442,Headcount!$J$395:$J$1442,$B139))</f>
        <v>0</v>
      </c>
      <c r="N139" s="136">
        <f>IF(N$12="Actual",SUMIFS(ActualsTable[Month 12],ActualsTable[Expense Item2],$B139),SUMIFS(Expenses!BM$8:BM$69,Expenses!$O$8:$O$69,$B139)+SUMIFS(Headcount!W$395:W$1442,Headcount!$J$395:$J$1442,$B139))</f>
        <v>0</v>
      </c>
      <c r="O139" s="136">
        <f>IF(O$12="Actual",SUMIFS(ActualsTable[Month 13],ActualsTable[Expense Item2],$B139),SUMIFS(Expenses!BN$8:BN$69,Expenses!$O$8:$O$69,$B139)+SUMIFS(Headcount!X$395:X$1442,Headcount!$J$395:$J$1442,$B139))</f>
        <v>0</v>
      </c>
      <c r="P139" s="136">
        <f>IF(P$12="Actual",SUMIFS(ActualsTable[Month 14],ActualsTable[Expense Item2],$B139),SUMIFS(Expenses!BO$8:BO$69,Expenses!$O$8:$O$69,$B139)+SUMIFS(Headcount!Y$395:Y$1442,Headcount!$J$395:$J$1442,$B139))</f>
        <v>0</v>
      </c>
      <c r="Q139" s="136">
        <f>IF(Q$12="Actual",SUMIFS(ActualsTable[Month 15],ActualsTable[Expense Item2],$B139),SUMIFS(Expenses!BP$8:BP$69,Expenses!$O$8:$O$69,$B139)+SUMIFS(Headcount!Z$395:Z$1442,Headcount!$J$395:$J$1442,$B139))</f>
        <v>0</v>
      </c>
      <c r="R139" s="136">
        <f>IF(R$12="Actual",SUMIFS(ActualsTable[Month 16],ActualsTable[Expense Item2],$B139),SUMIFS(Expenses!BQ$8:BQ$69,Expenses!$O$8:$O$69,$B139)+SUMIFS(Headcount!AA$395:AA$1442,Headcount!$J$395:$J$1442,$B139))</f>
        <v>0</v>
      </c>
      <c r="S139" s="136">
        <f>IF(S$12="Actual",SUMIFS(ActualsTable[Month 17],ActualsTable[Expense Item2],$B139),SUMIFS(Expenses!BR$8:BR$69,Expenses!$O$8:$O$69,$B139)+SUMIFS(Headcount!AB$395:AB$1442,Headcount!$J$395:$J$1442,$B139))</f>
        <v>0</v>
      </c>
      <c r="T139" s="136">
        <f>IF(T$12="Actual",SUMIFS(ActualsTable[Month 18],ActualsTable[Expense Item2],$B139),SUMIFS(Expenses!BS$8:BS$69,Expenses!$O$8:$O$69,$B139)+SUMIFS(Headcount!AC$395:AC$1442,Headcount!$J$395:$J$1442,$B139))</f>
        <v>0</v>
      </c>
      <c r="U139" s="136">
        <f>IF(U$12="Actual",SUMIFS(ActualsTable[Month 19],ActualsTable[Expense Item2],$B139),SUMIFS(Expenses!BT$8:BT$69,Expenses!$O$8:$O$69,$B139)+SUMIFS(Headcount!AD$395:AD$1442,Headcount!$J$395:$J$1442,$B139))</f>
        <v>0</v>
      </c>
      <c r="V139" s="136">
        <f>IF(V$12="Actual",SUMIFS(ActualsTable[Month 20],ActualsTable[Expense Item2],$B139),SUMIFS(Expenses!BU$8:BU$69,Expenses!$O$8:$O$69,$B139)+SUMIFS(Headcount!AE$395:AE$1442,Headcount!$J$395:$J$1442,$B139))</f>
        <v>0</v>
      </c>
      <c r="W139" s="136">
        <f>IF(W$12="Actual",SUMIFS(ActualsTable[Month 21],ActualsTable[Expense Item2],$B139),SUMIFS(Expenses!BV$8:BV$69,Expenses!$O$8:$O$69,$B139)+SUMIFS(Headcount!AF$395:AF$1442,Headcount!$J$395:$J$1442,$B139))</f>
        <v>0</v>
      </c>
      <c r="X139" s="136">
        <f>IF(X$12="Actual",SUMIFS(ActualsTable[Month 22],ActualsTable[Expense Item2],$B139),SUMIFS(Expenses!BW$8:BW$69,Expenses!$O$8:$O$69,$B139)+SUMIFS(Headcount!AG$395:AG$1442,Headcount!$J$395:$J$1442,$B139))</f>
        <v>0</v>
      </c>
      <c r="Y139" s="136">
        <f>IF(Y$12="Actual",SUMIFS(ActualsTable[Month 23],ActualsTable[Expense Item2],$B139),SUMIFS(Expenses!BX$8:BX$69,Expenses!$O$8:$O$69,$B139)+SUMIFS(Headcount!AH$395:AH$1442,Headcount!$J$395:$J$1442,$B139))</f>
        <v>0</v>
      </c>
      <c r="Z139" s="136">
        <f>IF(Z$12="Actual",SUMIFS(ActualsTable[Month 24],ActualsTable[Expense Item2],$B139),SUMIFS(Expenses!BY$8:BY$69,Expenses!$O$8:$O$69,$B139)+SUMIFS(Headcount!AI$395:AI$1442,Headcount!$J$395:$J$1442,$B139))</f>
        <v>0</v>
      </c>
      <c r="AA139" s="136">
        <f>IF(AA$12="Actual",SUMIFS(ActualsTable[Month 25],ActualsTable[Expense Item2],$B139),SUMIFS(Expenses!BZ$8:BZ$69,Expenses!$O$8:$O$69,$B139)+SUMIFS(Headcount!AJ$395:AJ$1442,Headcount!$J$395:$J$1442,$B139))</f>
        <v>0</v>
      </c>
      <c r="AB139" s="136">
        <f>IF(AB$12="Actual",SUMIFS(ActualsTable[Month 26],ActualsTable[Expense Item2],$B139),SUMIFS(Expenses!CA$8:CA$69,Expenses!$O$8:$O$69,$B139)+SUMIFS(Headcount!AK$395:AK$1442,Headcount!$J$395:$J$1442,$B139))</f>
        <v>0</v>
      </c>
      <c r="AC139" s="136">
        <f>IF(AC$12="Actual",SUMIFS(ActualsTable[Month 27],ActualsTable[Expense Item2],$B139),SUMIFS(Expenses!CB$8:CB$69,Expenses!$O$8:$O$69,$B139)+SUMIFS(Headcount!AL$395:AL$1442,Headcount!$J$395:$J$1442,$B139))</f>
        <v>0</v>
      </c>
      <c r="AD139" s="136">
        <f>IF(AD$12="Actual",SUMIFS(ActualsTable[Month 28],ActualsTable[Expense Item2],$B139),SUMIFS(Expenses!CC$8:CC$69,Expenses!$O$8:$O$69,$B139)+SUMIFS(Headcount!AM$395:AM$1442,Headcount!$J$395:$J$1442,$B139))</f>
        <v>0</v>
      </c>
      <c r="AE139" s="136">
        <f>IF(AE$12="Actual",SUMIFS(ActualsTable[Month 29],ActualsTable[Expense Item2],$B139),SUMIFS(Expenses!CD$8:CD$69,Expenses!$O$8:$O$69,$B139)+SUMIFS(Headcount!AN$395:AN$1442,Headcount!$J$395:$J$1442,$B139))</f>
        <v>0</v>
      </c>
      <c r="AF139" s="136">
        <f>IF(AF$12="Actual",SUMIFS(ActualsTable[Month 30],ActualsTable[Expense Item2],$B139),SUMIFS(Expenses!CE$8:CE$69,Expenses!$O$8:$O$69,$B139)+SUMIFS(Headcount!AO$395:AO$1442,Headcount!$J$395:$J$1442,$B139))</f>
        <v>0</v>
      </c>
      <c r="AG139" s="136">
        <f>IF(AG$12="Actual",SUMIFS(ActualsTable[Month 31],ActualsTable[Expense Item2],$B139),SUMIFS(Expenses!CF$8:CF$69,Expenses!$O$8:$O$69,$B139)+SUMIFS(Headcount!AP$395:AP$1442,Headcount!$J$395:$J$1442,$B139))</f>
        <v>0</v>
      </c>
      <c r="AH139" s="136">
        <f>IF(AH$12="Actual",SUMIFS(ActualsTable[Month 32],ActualsTable[Expense Item2],$B139),SUMIFS(Expenses!CG$8:CG$69,Expenses!$O$8:$O$69,$B139)+SUMIFS(Headcount!AQ$395:AQ$1442,Headcount!$J$395:$J$1442,$B139))</f>
        <v>0</v>
      </c>
      <c r="AI139" s="136">
        <f>IF(AI$12="Actual",SUMIFS(ActualsTable[Month 33],ActualsTable[Expense Item2],$B139),SUMIFS(Expenses!CH$8:CH$69,Expenses!$O$8:$O$69,$B139)+SUMIFS(Headcount!AR$395:AR$1442,Headcount!$J$395:$J$1442,$B139))</f>
        <v>0</v>
      </c>
      <c r="AJ139" s="136">
        <f>IF(AJ$12="Actual",SUMIFS(ActualsTable[Month 34],ActualsTable[Expense Item2],$B139),SUMIFS(Expenses!CI$8:CI$69,Expenses!$O$8:$O$69,$B139)+SUMIFS(Headcount!AS$395:AS$1442,Headcount!$J$395:$J$1442,$B139))</f>
        <v>0</v>
      </c>
      <c r="AK139" s="136">
        <f>IF(AK$12="Actual",SUMIFS(ActualsTable[Month 35],ActualsTable[Expense Item2],$B139),SUMIFS(Expenses!CJ$8:CJ$69,Expenses!$O$8:$O$69,$B139)+SUMIFS(Headcount!AT$395:AT$1442,Headcount!$J$395:$J$1442,$B139))</f>
        <v>0</v>
      </c>
      <c r="AL139" s="294">
        <f>IF(AL$12="Actual",SUMIFS(ActualsTable[Month 36],ActualsTable[Expense Item2],$B139),SUMIFS(Expenses!CK$8:CK$69,Expenses!$O$8:$O$69,$B139)+SUMIFS(Headcount!AU$395:AU$1442,Headcount!$J$395:$J$1442,$B139))</f>
        <v>0</v>
      </c>
      <c r="AN139" s="320">
        <f t="shared" ca="1" si="234"/>
        <v>0</v>
      </c>
      <c r="AO139" s="136">
        <f t="shared" ca="1" si="234"/>
        <v>0</v>
      </c>
      <c r="AP139" s="136">
        <f t="shared" ca="1" si="234"/>
        <v>0</v>
      </c>
      <c r="AQ139" s="136">
        <f t="shared" ca="1" si="234"/>
        <v>0</v>
      </c>
      <c r="AR139" s="136">
        <f t="shared" ca="1" si="234"/>
        <v>0</v>
      </c>
      <c r="AS139" s="136">
        <f t="shared" ca="1" si="234"/>
        <v>0</v>
      </c>
      <c r="AT139" s="136">
        <f t="shared" ca="1" si="234"/>
        <v>0</v>
      </c>
      <c r="AU139" s="136">
        <f t="shared" ca="1" si="234"/>
        <v>0</v>
      </c>
      <c r="AV139" s="136">
        <f t="shared" ca="1" si="234"/>
        <v>0</v>
      </c>
      <c r="AW139" s="136">
        <f t="shared" ca="1" si="234"/>
        <v>0</v>
      </c>
      <c r="AX139" s="136">
        <f t="shared" ca="1" si="234"/>
        <v>0</v>
      </c>
      <c r="AY139" s="294">
        <f t="shared" ca="1" si="234"/>
        <v>0</v>
      </c>
      <c r="BA139" s="320">
        <f t="shared" ca="1" si="235"/>
        <v>0</v>
      </c>
      <c r="BB139" s="136">
        <f t="shared" ca="1" si="235"/>
        <v>0</v>
      </c>
      <c r="BC139" s="294">
        <f t="shared" ca="1" si="235"/>
        <v>0</v>
      </c>
    </row>
    <row r="140" spans="2:55" x14ac:dyDescent="0.35">
      <c r="B140" s="84" t="s">
        <v>171</v>
      </c>
      <c r="C140" s="134">
        <f t="shared" ref="C140" si="236">SUM(C129:C131,C109:C110)</f>
        <v>0</v>
      </c>
      <c r="D140" s="134">
        <f t="shared" ref="D140:AL140" si="237">SUM(D129:D131,D109:D110)</f>
        <v>0</v>
      </c>
      <c r="E140" s="134">
        <f t="shared" si="237"/>
        <v>0</v>
      </c>
      <c r="F140" s="134">
        <f t="shared" si="237"/>
        <v>0</v>
      </c>
      <c r="G140" s="134">
        <f t="shared" si="237"/>
        <v>0</v>
      </c>
      <c r="H140" s="134">
        <f t="shared" si="237"/>
        <v>0</v>
      </c>
      <c r="I140" s="134">
        <f t="shared" si="237"/>
        <v>0</v>
      </c>
      <c r="J140" s="134">
        <f t="shared" si="237"/>
        <v>0</v>
      </c>
      <c r="K140" s="134">
        <f t="shared" si="237"/>
        <v>0</v>
      </c>
      <c r="L140" s="134">
        <f t="shared" si="237"/>
        <v>0</v>
      </c>
      <c r="M140" s="134">
        <f t="shared" si="237"/>
        <v>0</v>
      </c>
      <c r="N140" s="134">
        <f t="shared" si="237"/>
        <v>0</v>
      </c>
      <c r="O140" s="134">
        <f t="shared" si="237"/>
        <v>0</v>
      </c>
      <c r="P140" s="134">
        <f t="shared" si="237"/>
        <v>0</v>
      </c>
      <c r="Q140" s="134">
        <f t="shared" si="237"/>
        <v>0</v>
      </c>
      <c r="R140" s="134">
        <f t="shared" si="237"/>
        <v>0</v>
      </c>
      <c r="S140" s="134">
        <f t="shared" si="237"/>
        <v>0</v>
      </c>
      <c r="T140" s="134">
        <f t="shared" si="237"/>
        <v>0</v>
      </c>
      <c r="U140" s="134">
        <f t="shared" si="237"/>
        <v>0</v>
      </c>
      <c r="V140" s="134">
        <f t="shared" si="237"/>
        <v>0</v>
      </c>
      <c r="W140" s="134">
        <f t="shared" si="237"/>
        <v>0</v>
      </c>
      <c r="X140" s="134">
        <f t="shared" si="237"/>
        <v>0</v>
      </c>
      <c r="Y140" s="134">
        <f t="shared" si="237"/>
        <v>0</v>
      </c>
      <c r="Z140" s="134">
        <f t="shared" si="237"/>
        <v>0</v>
      </c>
      <c r="AA140" s="134">
        <f t="shared" si="237"/>
        <v>0</v>
      </c>
      <c r="AB140" s="134">
        <f t="shared" si="237"/>
        <v>0</v>
      </c>
      <c r="AC140" s="134">
        <f t="shared" si="237"/>
        <v>0</v>
      </c>
      <c r="AD140" s="134">
        <f t="shared" si="237"/>
        <v>0</v>
      </c>
      <c r="AE140" s="134">
        <f t="shared" si="237"/>
        <v>0</v>
      </c>
      <c r="AF140" s="134">
        <f t="shared" si="237"/>
        <v>0</v>
      </c>
      <c r="AG140" s="134">
        <f t="shared" si="237"/>
        <v>0</v>
      </c>
      <c r="AH140" s="134">
        <f t="shared" si="237"/>
        <v>0</v>
      </c>
      <c r="AI140" s="134">
        <f t="shared" si="237"/>
        <v>0</v>
      </c>
      <c r="AJ140" s="134">
        <f t="shared" si="237"/>
        <v>0</v>
      </c>
      <c r="AK140" s="134">
        <f t="shared" si="237"/>
        <v>0</v>
      </c>
      <c r="AL140" s="299">
        <f t="shared" si="237"/>
        <v>0</v>
      </c>
      <c r="AN140" s="325">
        <f t="shared" ref="AN140:AT140" ca="1" si="238">SUM(AN129:AN131,AN109:AN110)</f>
        <v>0</v>
      </c>
      <c r="AO140" s="134">
        <f t="shared" ca="1" si="238"/>
        <v>0</v>
      </c>
      <c r="AP140" s="134">
        <f t="shared" ca="1" si="238"/>
        <v>0</v>
      </c>
      <c r="AQ140" s="134">
        <f t="shared" ca="1" si="238"/>
        <v>0</v>
      </c>
      <c r="AR140" s="134">
        <f t="shared" ca="1" si="238"/>
        <v>0</v>
      </c>
      <c r="AS140" s="134">
        <f t="shared" ca="1" si="238"/>
        <v>0</v>
      </c>
      <c r="AT140" s="134">
        <f t="shared" ca="1" si="238"/>
        <v>0</v>
      </c>
      <c r="AU140" s="134">
        <f t="shared" ref="AU140:AY140" ca="1" si="239">SUM(AU129:AU131,AU109:AU110)</f>
        <v>0</v>
      </c>
      <c r="AV140" s="134">
        <f t="shared" ca="1" si="239"/>
        <v>0</v>
      </c>
      <c r="AW140" s="134">
        <f t="shared" ca="1" si="239"/>
        <v>0</v>
      </c>
      <c r="AX140" s="134">
        <f t="shared" ca="1" si="239"/>
        <v>0</v>
      </c>
      <c r="AY140" s="299">
        <f t="shared" ca="1" si="239"/>
        <v>0</v>
      </c>
      <c r="BA140" s="325">
        <f t="shared" ref="BA140" ca="1" si="240">SUM(BA129:BA131,BA109:BA110)</f>
        <v>0</v>
      </c>
      <c r="BB140" s="134">
        <f t="shared" ref="BB140:BC140" ca="1" si="241">SUM(BB129:BB131,BB109:BB110)</f>
        <v>0</v>
      </c>
      <c r="BC140" s="299">
        <f t="shared" ca="1" si="241"/>
        <v>0</v>
      </c>
    </row>
    <row r="141" spans="2:55" x14ac:dyDescent="0.35">
      <c r="B141" s="87"/>
      <c r="C141" s="129"/>
      <c r="D141" s="129"/>
      <c r="E141" s="129"/>
      <c r="F141" s="129"/>
      <c r="G141" s="129"/>
      <c r="H141" s="129"/>
      <c r="I141" s="129"/>
      <c r="J141" s="129"/>
      <c r="K141" s="129"/>
      <c r="L141" s="129"/>
      <c r="M141" s="129"/>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296"/>
      <c r="AN141" s="322"/>
      <c r="AO141" s="129"/>
      <c r="AP141" s="129"/>
      <c r="AQ141" s="129"/>
      <c r="AR141" s="129"/>
      <c r="AS141" s="129"/>
      <c r="AT141" s="129"/>
      <c r="AU141" s="129"/>
      <c r="AV141" s="129"/>
      <c r="AW141" s="129"/>
      <c r="AX141" s="129"/>
      <c r="AY141" s="296"/>
      <c r="BA141" s="322"/>
      <c r="BB141" s="129"/>
      <c r="BC141" s="296"/>
    </row>
    <row r="142" spans="2:55" x14ac:dyDescent="0.35">
      <c r="B142" s="67" t="s">
        <v>172</v>
      </c>
      <c r="C142" s="132"/>
      <c r="D142" s="132"/>
      <c r="E142" s="132"/>
      <c r="F142" s="132"/>
      <c r="G142" s="132"/>
      <c r="H142" s="132"/>
      <c r="I142" s="132"/>
      <c r="J142" s="132"/>
      <c r="K142" s="132"/>
      <c r="L142" s="132"/>
      <c r="M142" s="132"/>
      <c r="N142" s="132"/>
      <c r="O142" s="132"/>
      <c r="P142" s="132"/>
      <c r="Q142" s="132"/>
      <c r="R142" s="132"/>
      <c r="S142" s="132"/>
      <c r="T142" s="132"/>
      <c r="U142" s="132"/>
      <c r="V142" s="132"/>
      <c r="W142" s="132"/>
      <c r="X142" s="132"/>
      <c r="Y142" s="132"/>
      <c r="Z142" s="132"/>
      <c r="AA142" s="132"/>
      <c r="AB142" s="132"/>
      <c r="AC142" s="132"/>
      <c r="AD142" s="132"/>
      <c r="AE142" s="132"/>
      <c r="AF142" s="132"/>
      <c r="AG142" s="132"/>
      <c r="AH142" s="132"/>
      <c r="AI142" s="132"/>
      <c r="AJ142" s="132"/>
      <c r="AK142" s="132"/>
      <c r="AL142" s="290"/>
      <c r="AN142" s="316"/>
      <c r="AO142" s="132"/>
      <c r="AP142" s="132"/>
      <c r="AQ142" s="132"/>
      <c r="AR142" s="132"/>
      <c r="AS142" s="132"/>
      <c r="AT142" s="132"/>
      <c r="AU142" s="132"/>
      <c r="AV142" s="132"/>
      <c r="AW142" s="132"/>
      <c r="AX142" s="132"/>
      <c r="AY142" s="290"/>
      <c r="BA142" s="316"/>
      <c r="BB142" s="132"/>
      <c r="BC142" s="290"/>
    </row>
    <row r="143" spans="2:55" x14ac:dyDescent="0.35">
      <c r="B143" s="63" t="s">
        <v>17</v>
      </c>
      <c r="C143" s="132">
        <f>IF(C$12="Actual",SUMIFS(ActualsTable[Month 1],ActualsTable[Expense Item2],$B143),SUMIFS(Expenses!BB$8:BB$69,Expenses!$O$8:$O$69,$B143)+SUMIFS(Headcount!L$395:L$1442,Headcount!$J$395:$J$1442,$B143))</f>
        <v>0</v>
      </c>
      <c r="D143" s="132">
        <f>IF(D$12="Actual",SUMIFS(ActualsTable[Month 2],ActualsTable[Expense Item2],$B143),SUMIFS(Expenses!BC$8:BC$69,Expenses!$O$8:$O$69,$B143)+SUMIFS(Headcount!M$395:M$1442,Headcount!$J$395:$J$1442,$B143))</f>
        <v>0</v>
      </c>
      <c r="E143" s="132">
        <f>IF(E$12="Actual",SUMIFS(ActualsTable[Month 3],ActualsTable[Expense Item2],$B143),SUMIFS(Expenses!BD$8:BD$69,Expenses!$O$8:$O$69,$B143)+SUMIFS(Headcount!N$395:N$1442,Headcount!$J$395:$J$1442,$B143))</f>
        <v>0</v>
      </c>
      <c r="F143" s="132">
        <f>IF(F$12="Actual",SUMIFS(ActualsTable[Month 4],ActualsTable[Expense Item2],$B143),SUMIFS(Expenses!BE$8:BE$69,Expenses!$O$8:$O$69,$B143)+SUMIFS(Headcount!O$395:O$1442,Headcount!$J$395:$J$1442,$B143))</f>
        <v>0</v>
      </c>
      <c r="G143" s="132">
        <f>IF(G$12="Actual",SUMIFS(ActualsTable[Month 5],ActualsTable[Expense Item2],$B143),SUMIFS(Expenses!BF$8:BF$69,Expenses!$O$8:$O$69,$B143)+SUMIFS(Headcount!P$395:P$1442,Headcount!$J$395:$J$1442,$B143))</f>
        <v>0</v>
      </c>
      <c r="H143" s="132">
        <f>IF(H$12="Actual",SUMIFS(ActualsTable[Month 6],ActualsTable[Expense Item2],$B143),SUMIFS(Expenses!BG$8:BG$69,Expenses!$O$8:$O$69,$B143)+SUMIFS(Headcount!Q$395:Q$1442,Headcount!$J$395:$J$1442,$B143))</f>
        <v>0</v>
      </c>
      <c r="I143" s="132">
        <f>IF(I$12="Actual",SUMIFS(ActualsTable[Month 7],ActualsTable[Expense Item2],$B143),SUMIFS(Expenses!BH$8:BH$69,Expenses!$O$8:$O$69,$B143)+SUMIFS(Headcount!R$395:R$1442,Headcount!$J$395:$J$1442,$B143))</f>
        <v>0</v>
      </c>
      <c r="J143" s="132">
        <f>IF(J$12="Actual",SUMIFS(ActualsTable[Month 8],ActualsTable[Expense Item2],$B143),SUMIFS(Expenses!BI$8:BI$69,Expenses!$O$8:$O$69,$B143)+SUMIFS(Headcount!S$395:S$1442,Headcount!$J$395:$J$1442,$B143))</f>
        <v>0</v>
      </c>
      <c r="K143" s="132">
        <f>IF(K$12="Actual",SUMIFS(ActualsTable[Month 9],ActualsTable[Expense Item2],$B143),SUMIFS(Expenses!BJ$8:BJ$69,Expenses!$O$8:$O$69,$B143)+SUMIFS(Headcount!T$395:T$1442,Headcount!$J$395:$J$1442,$B143))</f>
        <v>0</v>
      </c>
      <c r="L143" s="132">
        <f>IF(L$12="Actual",SUMIFS(ActualsTable[Month 10],ActualsTable[Expense Item2],$B143),SUMIFS(Expenses!BK$8:BK$69,Expenses!$O$8:$O$69,$B143)+SUMIFS(Headcount!U$395:U$1442,Headcount!$J$395:$J$1442,$B143))</f>
        <v>0</v>
      </c>
      <c r="M143" s="132">
        <f>IF(M$12="Actual",SUMIFS(ActualsTable[Month 11],ActualsTable[Expense Item2],$B143),SUMIFS(Expenses!BL$8:BL$69,Expenses!$O$8:$O$69,$B143)+SUMIFS(Headcount!V$395:V$1442,Headcount!$J$395:$J$1442,$B143))</f>
        <v>0</v>
      </c>
      <c r="N143" s="132">
        <f>IF(N$12="Actual",SUMIFS(ActualsTable[Month 12],ActualsTable[Expense Item2],$B143),SUMIFS(Expenses!BM$8:BM$69,Expenses!$O$8:$O$69,$B143)+SUMIFS(Headcount!W$395:W$1442,Headcount!$J$395:$J$1442,$B143))</f>
        <v>0</v>
      </c>
      <c r="O143" s="132">
        <f>IF(O$12="Actual",SUMIFS(ActualsTable[Month 13],ActualsTable[Expense Item2],$B143),SUMIFS(Expenses!BN$8:BN$69,Expenses!$O$8:$O$69,$B143)+SUMIFS(Headcount!X$395:X$1442,Headcount!$J$395:$J$1442,$B143))</f>
        <v>0</v>
      </c>
      <c r="P143" s="132">
        <f>IF(P$12="Actual",SUMIFS(ActualsTable[Month 14],ActualsTable[Expense Item2],$B143),SUMIFS(Expenses!BO$8:BO$69,Expenses!$O$8:$O$69,$B143)+SUMIFS(Headcount!Y$395:Y$1442,Headcount!$J$395:$J$1442,$B143))</f>
        <v>0</v>
      </c>
      <c r="Q143" s="132">
        <f>IF(Q$12="Actual",SUMIFS(ActualsTable[Month 15],ActualsTable[Expense Item2],$B143),SUMIFS(Expenses!BP$8:BP$69,Expenses!$O$8:$O$69,$B143)+SUMIFS(Headcount!Z$395:Z$1442,Headcount!$J$395:$J$1442,$B143))</f>
        <v>0</v>
      </c>
      <c r="R143" s="132">
        <f>IF(R$12="Actual",SUMIFS(ActualsTable[Month 16],ActualsTable[Expense Item2],$B143),SUMIFS(Expenses!BQ$8:BQ$69,Expenses!$O$8:$O$69,$B143)+SUMIFS(Headcount!AA$395:AA$1442,Headcount!$J$395:$J$1442,$B143))</f>
        <v>0</v>
      </c>
      <c r="S143" s="132">
        <f>IF(S$12="Actual",SUMIFS(ActualsTable[Month 17],ActualsTable[Expense Item2],$B143),SUMIFS(Expenses!BR$8:BR$69,Expenses!$O$8:$O$69,$B143)+SUMIFS(Headcount!AB$395:AB$1442,Headcount!$J$395:$J$1442,$B143))</f>
        <v>0</v>
      </c>
      <c r="T143" s="132">
        <f>IF(T$12="Actual",SUMIFS(ActualsTable[Month 18],ActualsTable[Expense Item2],$B143),SUMIFS(Expenses!BS$8:BS$69,Expenses!$O$8:$O$69,$B143)+SUMIFS(Headcount!AC$395:AC$1442,Headcount!$J$395:$J$1442,$B143))</f>
        <v>0</v>
      </c>
      <c r="U143" s="132">
        <f>IF(U$12="Actual",SUMIFS(ActualsTable[Month 19],ActualsTable[Expense Item2],$B143),SUMIFS(Expenses!BT$8:BT$69,Expenses!$O$8:$O$69,$B143)+SUMIFS(Headcount!AD$395:AD$1442,Headcount!$J$395:$J$1442,$B143))</f>
        <v>0</v>
      </c>
      <c r="V143" s="132">
        <f>IF(V$12="Actual",SUMIFS(ActualsTable[Month 20],ActualsTable[Expense Item2],$B143),SUMIFS(Expenses!BU$8:BU$69,Expenses!$O$8:$O$69,$B143)+SUMIFS(Headcount!AE$395:AE$1442,Headcount!$J$395:$J$1442,$B143))</f>
        <v>0</v>
      </c>
      <c r="W143" s="132">
        <f>IF(W$12="Actual",SUMIFS(ActualsTable[Month 21],ActualsTable[Expense Item2],$B143),SUMIFS(Expenses!BV$8:BV$69,Expenses!$O$8:$O$69,$B143)+SUMIFS(Headcount!AF$395:AF$1442,Headcount!$J$395:$J$1442,$B143))</f>
        <v>0</v>
      </c>
      <c r="X143" s="132">
        <f>IF(X$12="Actual",SUMIFS(ActualsTable[Month 22],ActualsTable[Expense Item2],$B143),SUMIFS(Expenses!BW$8:BW$69,Expenses!$O$8:$O$69,$B143)+SUMIFS(Headcount!AG$395:AG$1442,Headcount!$J$395:$J$1442,$B143))</f>
        <v>0</v>
      </c>
      <c r="Y143" s="132">
        <f>IF(Y$12="Actual",SUMIFS(ActualsTable[Month 23],ActualsTable[Expense Item2],$B143),SUMIFS(Expenses!BX$8:BX$69,Expenses!$O$8:$O$69,$B143)+SUMIFS(Headcount!AH$395:AH$1442,Headcount!$J$395:$J$1442,$B143))</f>
        <v>0</v>
      </c>
      <c r="Z143" s="132">
        <f>IF(Z$12="Actual",SUMIFS(ActualsTable[Month 24],ActualsTable[Expense Item2],$B143),SUMIFS(Expenses!BY$8:BY$69,Expenses!$O$8:$O$69,$B143)+SUMIFS(Headcount!AI$395:AI$1442,Headcount!$J$395:$J$1442,$B143))</f>
        <v>0</v>
      </c>
      <c r="AA143" s="132">
        <f>IF(AA$12="Actual",SUMIFS(ActualsTable[Month 25],ActualsTable[Expense Item2],$B143),SUMIFS(Expenses!BZ$8:BZ$69,Expenses!$O$8:$O$69,$B143)+SUMIFS(Headcount!AJ$395:AJ$1442,Headcount!$J$395:$J$1442,$B143))</f>
        <v>0</v>
      </c>
      <c r="AB143" s="132">
        <f>IF(AB$12="Actual",SUMIFS(ActualsTable[Month 26],ActualsTable[Expense Item2],$B143),SUMIFS(Expenses!CA$8:CA$69,Expenses!$O$8:$O$69,$B143)+SUMIFS(Headcount!AK$395:AK$1442,Headcount!$J$395:$J$1442,$B143))</f>
        <v>0</v>
      </c>
      <c r="AC143" s="132">
        <f>IF(AC$12="Actual",SUMIFS(ActualsTable[Month 27],ActualsTable[Expense Item2],$B143),SUMIFS(Expenses!CB$8:CB$69,Expenses!$O$8:$O$69,$B143)+SUMIFS(Headcount!AL$395:AL$1442,Headcount!$J$395:$J$1442,$B143))</f>
        <v>0</v>
      </c>
      <c r="AD143" s="132">
        <f>IF(AD$12="Actual",SUMIFS(ActualsTable[Month 28],ActualsTable[Expense Item2],$B143),SUMIFS(Expenses!CC$8:CC$69,Expenses!$O$8:$O$69,$B143)+SUMIFS(Headcount!AM$395:AM$1442,Headcount!$J$395:$J$1442,$B143))</f>
        <v>0</v>
      </c>
      <c r="AE143" s="132">
        <f>IF(AE$12="Actual",SUMIFS(ActualsTable[Month 29],ActualsTable[Expense Item2],$B143),SUMIFS(Expenses!CD$8:CD$69,Expenses!$O$8:$O$69,$B143)+SUMIFS(Headcount!AN$395:AN$1442,Headcount!$J$395:$J$1442,$B143))</f>
        <v>0</v>
      </c>
      <c r="AF143" s="132">
        <f>IF(AF$12="Actual",SUMIFS(ActualsTable[Month 30],ActualsTable[Expense Item2],$B143),SUMIFS(Expenses!CE$8:CE$69,Expenses!$O$8:$O$69,$B143)+SUMIFS(Headcount!AO$395:AO$1442,Headcount!$J$395:$J$1442,$B143))</f>
        <v>0</v>
      </c>
      <c r="AG143" s="132">
        <f>IF(AG$12="Actual",SUMIFS(ActualsTable[Month 31],ActualsTable[Expense Item2],$B143),SUMIFS(Expenses!CF$8:CF$69,Expenses!$O$8:$O$69,$B143)+SUMIFS(Headcount!AP$395:AP$1442,Headcount!$J$395:$J$1442,$B143))</f>
        <v>0</v>
      </c>
      <c r="AH143" s="132">
        <f>IF(AH$12="Actual",SUMIFS(ActualsTable[Month 32],ActualsTable[Expense Item2],$B143),SUMIFS(Expenses!CG$8:CG$69,Expenses!$O$8:$O$69,$B143)+SUMIFS(Headcount!AQ$395:AQ$1442,Headcount!$J$395:$J$1442,$B143))</f>
        <v>0</v>
      </c>
      <c r="AI143" s="132">
        <f>IF(AI$12="Actual",SUMIFS(ActualsTable[Month 33],ActualsTable[Expense Item2],$B143),SUMIFS(Expenses!CH$8:CH$69,Expenses!$O$8:$O$69,$B143)+SUMIFS(Headcount!AR$395:AR$1442,Headcount!$J$395:$J$1442,$B143))</f>
        <v>0</v>
      </c>
      <c r="AJ143" s="132">
        <f>IF(AJ$12="Actual",SUMIFS(ActualsTable[Month 34],ActualsTable[Expense Item2],$B143),SUMIFS(Expenses!CI$8:CI$69,Expenses!$O$8:$O$69,$B143)+SUMIFS(Headcount!AS$395:AS$1442,Headcount!$J$395:$J$1442,$B143))</f>
        <v>0</v>
      </c>
      <c r="AK143" s="132">
        <f>IF(AK$12="Actual",SUMIFS(ActualsTable[Month 35],ActualsTable[Expense Item2],$B143),SUMIFS(Expenses!CJ$8:CJ$69,Expenses!$O$8:$O$69,$B143)+SUMIFS(Headcount!AT$395:AT$1442,Headcount!$J$395:$J$1442,$B143))</f>
        <v>0</v>
      </c>
      <c r="AL143" s="290">
        <f>IF(AL$12="Actual",SUMIFS(ActualsTable[Month 36],ActualsTable[Expense Item2],$B143),SUMIFS(Expenses!CK$8:CK$69,Expenses!$O$8:$O$69,$B143)+SUMIFS(Headcount!AU$395:AU$1442,Headcount!$J$395:$J$1442,$B143))</f>
        <v>0</v>
      </c>
      <c r="AN143" s="316">
        <f t="shared" ref="AN143:AY143" ca="1" si="242">SUM(OFFSET($B143,0,3*AN$9+1,1,3))</f>
        <v>0</v>
      </c>
      <c r="AO143" s="132">
        <f t="shared" ca="1" si="242"/>
        <v>0</v>
      </c>
      <c r="AP143" s="132">
        <f t="shared" ca="1" si="242"/>
        <v>0</v>
      </c>
      <c r="AQ143" s="132">
        <f t="shared" ca="1" si="242"/>
        <v>0</v>
      </c>
      <c r="AR143" s="132">
        <f t="shared" ca="1" si="242"/>
        <v>0</v>
      </c>
      <c r="AS143" s="132">
        <f t="shared" ca="1" si="242"/>
        <v>0</v>
      </c>
      <c r="AT143" s="132">
        <f t="shared" ca="1" si="242"/>
        <v>0</v>
      </c>
      <c r="AU143" s="132">
        <f t="shared" ca="1" si="242"/>
        <v>0</v>
      </c>
      <c r="AV143" s="132">
        <f t="shared" ca="1" si="242"/>
        <v>0</v>
      </c>
      <c r="AW143" s="132">
        <f t="shared" ca="1" si="242"/>
        <v>0</v>
      </c>
      <c r="AX143" s="132">
        <f t="shared" ca="1" si="242"/>
        <v>0</v>
      </c>
      <c r="AY143" s="290">
        <f t="shared" ca="1" si="242"/>
        <v>0</v>
      </c>
      <c r="BA143" s="316">
        <f ca="1">SUM(OFFSET($B143,0,12*BA$9+1,1,12))</f>
        <v>0</v>
      </c>
      <c r="BB143" s="132">
        <f ca="1">SUM(OFFSET($B143,0,12*BB$9+1,1,12))</f>
        <v>0</v>
      </c>
      <c r="BC143" s="290">
        <f ca="1">SUM(OFFSET($B143,0,12*BC$9+1,1,12))</f>
        <v>0</v>
      </c>
    </row>
    <row r="144" spans="2:55" x14ac:dyDescent="0.35">
      <c r="B144" s="74" t="s">
        <v>173</v>
      </c>
      <c r="C144" s="131">
        <f t="shared" ref="C144:AT144" si="243">SUM(C145,C153)</f>
        <v>0</v>
      </c>
      <c r="D144" s="131">
        <f t="shared" ref="D144:AL144" si="244">SUM(D145,D153)</f>
        <v>0</v>
      </c>
      <c r="E144" s="131">
        <f t="shared" si="244"/>
        <v>0</v>
      </c>
      <c r="F144" s="131">
        <f t="shared" si="244"/>
        <v>0</v>
      </c>
      <c r="G144" s="131">
        <f t="shared" si="244"/>
        <v>0</v>
      </c>
      <c r="H144" s="131">
        <f t="shared" si="244"/>
        <v>0</v>
      </c>
      <c r="I144" s="131">
        <f t="shared" si="244"/>
        <v>0</v>
      </c>
      <c r="J144" s="131">
        <f t="shared" si="244"/>
        <v>0</v>
      </c>
      <c r="K144" s="131">
        <f t="shared" si="244"/>
        <v>0</v>
      </c>
      <c r="L144" s="131">
        <f t="shared" si="244"/>
        <v>0</v>
      </c>
      <c r="M144" s="131">
        <f t="shared" si="244"/>
        <v>0</v>
      </c>
      <c r="N144" s="131">
        <f t="shared" si="244"/>
        <v>0</v>
      </c>
      <c r="O144" s="131">
        <f t="shared" si="244"/>
        <v>0</v>
      </c>
      <c r="P144" s="131">
        <f t="shared" si="244"/>
        <v>0</v>
      </c>
      <c r="Q144" s="131">
        <f t="shared" si="244"/>
        <v>0</v>
      </c>
      <c r="R144" s="131">
        <f t="shared" si="244"/>
        <v>0</v>
      </c>
      <c r="S144" s="131">
        <f t="shared" si="244"/>
        <v>0</v>
      </c>
      <c r="T144" s="131">
        <f t="shared" si="244"/>
        <v>0</v>
      </c>
      <c r="U144" s="131">
        <f t="shared" si="244"/>
        <v>0</v>
      </c>
      <c r="V144" s="131">
        <f t="shared" si="244"/>
        <v>0</v>
      </c>
      <c r="W144" s="131">
        <f t="shared" si="244"/>
        <v>0</v>
      </c>
      <c r="X144" s="131">
        <f t="shared" si="244"/>
        <v>0</v>
      </c>
      <c r="Y144" s="131">
        <f t="shared" si="244"/>
        <v>0</v>
      </c>
      <c r="Z144" s="131">
        <f t="shared" si="244"/>
        <v>0</v>
      </c>
      <c r="AA144" s="131">
        <f t="shared" si="244"/>
        <v>0</v>
      </c>
      <c r="AB144" s="131">
        <f t="shared" si="244"/>
        <v>0</v>
      </c>
      <c r="AC144" s="131">
        <f t="shared" si="244"/>
        <v>0</v>
      </c>
      <c r="AD144" s="131">
        <f t="shared" si="244"/>
        <v>0</v>
      </c>
      <c r="AE144" s="131">
        <f t="shared" si="244"/>
        <v>0</v>
      </c>
      <c r="AF144" s="131">
        <f t="shared" si="244"/>
        <v>0</v>
      </c>
      <c r="AG144" s="131">
        <f t="shared" si="244"/>
        <v>0</v>
      </c>
      <c r="AH144" s="131">
        <f t="shared" si="244"/>
        <v>0</v>
      </c>
      <c r="AI144" s="131">
        <f t="shared" si="244"/>
        <v>0</v>
      </c>
      <c r="AJ144" s="131">
        <f t="shared" si="244"/>
        <v>0</v>
      </c>
      <c r="AK144" s="131">
        <f t="shared" si="244"/>
        <v>0</v>
      </c>
      <c r="AL144" s="291">
        <f t="shared" si="244"/>
        <v>0</v>
      </c>
      <c r="AN144" s="317">
        <f t="shared" ca="1" si="243"/>
        <v>0</v>
      </c>
      <c r="AO144" s="131">
        <f t="shared" ca="1" si="243"/>
        <v>0</v>
      </c>
      <c r="AP144" s="131">
        <f t="shared" ca="1" si="243"/>
        <v>0</v>
      </c>
      <c r="AQ144" s="131">
        <f t="shared" ca="1" si="243"/>
        <v>0</v>
      </c>
      <c r="AR144" s="131">
        <f t="shared" ca="1" si="243"/>
        <v>0</v>
      </c>
      <c r="AS144" s="131">
        <f t="shared" ca="1" si="243"/>
        <v>0</v>
      </c>
      <c r="AT144" s="131">
        <f t="shared" ca="1" si="243"/>
        <v>0</v>
      </c>
      <c r="AU144" s="131">
        <f t="shared" ref="AU144:AY144" ca="1" si="245">SUM(AU145,AU153)</f>
        <v>0</v>
      </c>
      <c r="AV144" s="131">
        <f t="shared" ca="1" si="245"/>
        <v>0</v>
      </c>
      <c r="AW144" s="131">
        <f t="shared" ca="1" si="245"/>
        <v>0</v>
      </c>
      <c r="AX144" s="131">
        <f t="shared" ca="1" si="245"/>
        <v>0</v>
      </c>
      <c r="AY144" s="291">
        <f t="shared" ca="1" si="245"/>
        <v>0</v>
      </c>
      <c r="BA144" s="317">
        <f t="shared" ref="BA144" ca="1" si="246">SUM(BA145,BA153)</f>
        <v>0</v>
      </c>
      <c r="BB144" s="131">
        <f t="shared" ref="BB144:BC144" ca="1" si="247">SUM(BB145,BB153)</f>
        <v>0</v>
      </c>
      <c r="BC144" s="291">
        <f t="shared" ca="1" si="247"/>
        <v>0</v>
      </c>
    </row>
    <row r="145" spans="2:55" x14ac:dyDescent="0.35">
      <c r="B145" s="75" t="s">
        <v>174</v>
      </c>
      <c r="C145" s="131">
        <f t="shared" ref="C145:AN145" si="248">SUM(C146:C152)</f>
        <v>0</v>
      </c>
      <c r="D145" s="131">
        <f t="shared" ref="D145:AL145" si="249">SUM(D146:D152)</f>
        <v>0</v>
      </c>
      <c r="E145" s="131">
        <f t="shared" si="249"/>
        <v>0</v>
      </c>
      <c r="F145" s="131">
        <f t="shared" si="249"/>
        <v>0</v>
      </c>
      <c r="G145" s="131">
        <f t="shared" si="249"/>
        <v>0</v>
      </c>
      <c r="H145" s="131">
        <f t="shared" si="249"/>
        <v>0</v>
      </c>
      <c r="I145" s="131">
        <f t="shared" si="249"/>
        <v>0</v>
      </c>
      <c r="J145" s="131">
        <f t="shared" si="249"/>
        <v>0</v>
      </c>
      <c r="K145" s="131">
        <f t="shared" si="249"/>
        <v>0</v>
      </c>
      <c r="L145" s="131">
        <f t="shared" si="249"/>
        <v>0</v>
      </c>
      <c r="M145" s="131">
        <f t="shared" si="249"/>
        <v>0</v>
      </c>
      <c r="N145" s="131">
        <f t="shared" si="249"/>
        <v>0</v>
      </c>
      <c r="O145" s="131">
        <f t="shared" si="249"/>
        <v>0</v>
      </c>
      <c r="P145" s="131">
        <f t="shared" si="249"/>
        <v>0</v>
      </c>
      <c r="Q145" s="131">
        <f t="shared" si="249"/>
        <v>0</v>
      </c>
      <c r="R145" s="131">
        <f t="shared" si="249"/>
        <v>0</v>
      </c>
      <c r="S145" s="131">
        <f t="shared" si="249"/>
        <v>0</v>
      </c>
      <c r="T145" s="131">
        <f t="shared" si="249"/>
        <v>0</v>
      </c>
      <c r="U145" s="131">
        <f t="shared" si="249"/>
        <v>0</v>
      </c>
      <c r="V145" s="131">
        <f t="shared" si="249"/>
        <v>0</v>
      </c>
      <c r="W145" s="131">
        <f t="shared" si="249"/>
        <v>0</v>
      </c>
      <c r="X145" s="131">
        <f t="shared" si="249"/>
        <v>0</v>
      </c>
      <c r="Y145" s="131">
        <f t="shared" si="249"/>
        <v>0</v>
      </c>
      <c r="Z145" s="131">
        <f t="shared" si="249"/>
        <v>0</v>
      </c>
      <c r="AA145" s="131">
        <f t="shared" si="249"/>
        <v>0</v>
      </c>
      <c r="AB145" s="131">
        <f t="shared" si="249"/>
        <v>0</v>
      </c>
      <c r="AC145" s="131">
        <f t="shared" si="249"/>
        <v>0</v>
      </c>
      <c r="AD145" s="131">
        <f t="shared" si="249"/>
        <v>0</v>
      </c>
      <c r="AE145" s="131">
        <f t="shared" si="249"/>
        <v>0</v>
      </c>
      <c r="AF145" s="131">
        <f t="shared" si="249"/>
        <v>0</v>
      </c>
      <c r="AG145" s="131">
        <f t="shared" si="249"/>
        <v>0</v>
      </c>
      <c r="AH145" s="131">
        <f t="shared" si="249"/>
        <v>0</v>
      </c>
      <c r="AI145" s="131">
        <f t="shared" si="249"/>
        <v>0</v>
      </c>
      <c r="AJ145" s="131">
        <f t="shared" si="249"/>
        <v>0</v>
      </c>
      <c r="AK145" s="131">
        <f t="shared" si="249"/>
        <v>0</v>
      </c>
      <c r="AL145" s="291">
        <f t="shared" si="249"/>
        <v>0</v>
      </c>
      <c r="AN145" s="317">
        <f t="shared" ca="1" si="248"/>
        <v>0</v>
      </c>
      <c r="AO145" s="131">
        <f t="shared" ref="AO145:AT145" ca="1" si="250">SUM(AO146:AO152)</f>
        <v>0</v>
      </c>
      <c r="AP145" s="131">
        <f t="shared" ca="1" si="250"/>
        <v>0</v>
      </c>
      <c r="AQ145" s="131">
        <f t="shared" ca="1" si="250"/>
        <v>0</v>
      </c>
      <c r="AR145" s="131">
        <f t="shared" ca="1" si="250"/>
        <v>0</v>
      </c>
      <c r="AS145" s="131">
        <f t="shared" ca="1" si="250"/>
        <v>0</v>
      </c>
      <c r="AT145" s="131">
        <f t="shared" ca="1" si="250"/>
        <v>0</v>
      </c>
      <c r="AU145" s="131">
        <f t="shared" ref="AU145:AY145" ca="1" si="251">SUM(AU146:AU152)</f>
        <v>0</v>
      </c>
      <c r="AV145" s="131">
        <f t="shared" ca="1" si="251"/>
        <v>0</v>
      </c>
      <c r="AW145" s="131">
        <f t="shared" ca="1" si="251"/>
        <v>0</v>
      </c>
      <c r="AX145" s="131">
        <f t="shared" ca="1" si="251"/>
        <v>0</v>
      </c>
      <c r="AY145" s="291">
        <f t="shared" ca="1" si="251"/>
        <v>0</v>
      </c>
      <c r="BA145" s="317">
        <f t="shared" ref="BA145" ca="1" si="252">SUM(BA146:BA152)</f>
        <v>0</v>
      </c>
      <c r="BB145" s="131">
        <f t="shared" ref="BB145:BC145" ca="1" si="253">SUM(BB146:BB152)</f>
        <v>0</v>
      </c>
      <c r="BC145" s="291">
        <f t="shared" ca="1" si="253"/>
        <v>0</v>
      </c>
    </row>
    <row r="146" spans="2:55" x14ac:dyDescent="0.35">
      <c r="B146" s="76" t="s">
        <v>175</v>
      </c>
      <c r="C146" s="137">
        <f>IF(C$12="Actual",SUMIFS(ActualsTable[Month 1],ActualsTable[Expense Item2],$B146),SUMIFS(Expenses!BB$8:BB$69,Expenses!$O$8:$O$69,$B146)+SUMIFS(Headcount!L$395:L$1442,Headcount!$J$395:$J$1442,$B146))</f>
        <v>0</v>
      </c>
      <c r="D146" s="137">
        <f>IF(D$12="Actual",SUMIFS(ActualsTable[Month 2],ActualsTable[Expense Item2],$B146),SUMIFS(Expenses!BC$8:BC$69,Expenses!$O$8:$O$69,$B146)+SUMIFS(Headcount!M$395:M$1442,Headcount!$J$395:$J$1442,$B146))</f>
        <v>0</v>
      </c>
      <c r="E146" s="137">
        <f>IF(E$12="Actual",SUMIFS(ActualsTable[Month 3],ActualsTable[Expense Item2],$B146),SUMIFS(Expenses!BD$8:BD$69,Expenses!$O$8:$O$69,$B146)+SUMIFS(Headcount!N$395:N$1442,Headcount!$J$395:$J$1442,$B146))</f>
        <v>0</v>
      </c>
      <c r="F146" s="137">
        <f>IF(F$12="Actual",SUMIFS(ActualsTable[Month 4],ActualsTable[Expense Item2],$B146),SUMIFS(Expenses!BE$8:BE$69,Expenses!$O$8:$O$69,$B146)+SUMIFS(Headcount!O$395:O$1442,Headcount!$J$395:$J$1442,$B146))</f>
        <v>0</v>
      </c>
      <c r="G146" s="137">
        <f>IF(G$12="Actual",SUMIFS(ActualsTable[Month 5],ActualsTable[Expense Item2],$B146),SUMIFS(Expenses!BF$8:BF$69,Expenses!$O$8:$O$69,$B146)+SUMIFS(Headcount!P$395:P$1442,Headcount!$J$395:$J$1442,$B146))</f>
        <v>0</v>
      </c>
      <c r="H146" s="137">
        <f>IF(H$12="Actual",SUMIFS(ActualsTable[Month 6],ActualsTable[Expense Item2],$B146),SUMIFS(Expenses!BG$8:BG$69,Expenses!$O$8:$O$69,$B146)+SUMIFS(Headcount!Q$395:Q$1442,Headcount!$J$395:$J$1442,$B146))</f>
        <v>0</v>
      </c>
      <c r="I146" s="137">
        <f>IF(I$12="Actual",SUMIFS(ActualsTable[Month 7],ActualsTable[Expense Item2],$B146),SUMIFS(Expenses!BH$8:BH$69,Expenses!$O$8:$O$69,$B146)+SUMIFS(Headcount!R$395:R$1442,Headcount!$J$395:$J$1442,$B146))</f>
        <v>0</v>
      </c>
      <c r="J146" s="137">
        <f>IF(J$12="Actual",SUMIFS(ActualsTable[Month 8],ActualsTable[Expense Item2],$B146),SUMIFS(Expenses!BI$8:BI$69,Expenses!$O$8:$O$69,$B146)+SUMIFS(Headcount!S$395:S$1442,Headcount!$J$395:$J$1442,$B146))</f>
        <v>0</v>
      </c>
      <c r="K146" s="137">
        <f>IF(K$12="Actual",SUMIFS(ActualsTable[Month 9],ActualsTable[Expense Item2],$B146),SUMIFS(Expenses!BJ$8:BJ$69,Expenses!$O$8:$O$69,$B146)+SUMIFS(Headcount!T$395:T$1442,Headcount!$J$395:$J$1442,$B146))</f>
        <v>0</v>
      </c>
      <c r="L146" s="137">
        <f>IF(L$12="Actual",SUMIFS(ActualsTable[Month 10],ActualsTable[Expense Item2],$B146),SUMIFS(Expenses!BK$8:BK$69,Expenses!$O$8:$O$69,$B146)+SUMIFS(Headcount!U$395:U$1442,Headcount!$J$395:$J$1442,$B146))</f>
        <v>0</v>
      </c>
      <c r="M146" s="137">
        <f>IF(M$12="Actual",SUMIFS(ActualsTable[Month 11],ActualsTable[Expense Item2],$B146),SUMIFS(Expenses!BL$8:BL$69,Expenses!$O$8:$O$69,$B146)+SUMIFS(Headcount!V$395:V$1442,Headcount!$J$395:$J$1442,$B146))</f>
        <v>0</v>
      </c>
      <c r="N146" s="137">
        <f>IF(N$12="Actual",SUMIFS(ActualsTable[Month 12],ActualsTable[Expense Item2],$B146),SUMIFS(Expenses!BM$8:BM$69,Expenses!$O$8:$O$69,$B146)+SUMIFS(Headcount!W$395:W$1442,Headcount!$J$395:$J$1442,$B146))</f>
        <v>0</v>
      </c>
      <c r="O146" s="137">
        <f>IF(O$12="Actual",SUMIFS(ActualsTable[Month 13],ActualsTable[Expense Item2],$B146),SUMIFS(Expenses!BN$8:BN$69,Expenses!$O$8:$O$69,$B146)+SUMIFS(Headcount!X$395:X$1442,Headcount!$J$395:$J$1442,$B146))</f>
        <v>0</v>
      </c>
      <c r="P146" s="137">
        <f>IF(P$12="Actual",SUMIFS(ActualsTable[Month 14],ActualsTable[Expense Item2],$B146),SUMIFS(Expenses!BO$8:BO$69,Expenses!$O$8:$O$69,$B146)+SUMIFS(Headcount!Y$395:Y$1442,Headcount!$J$395:$J$1442,$B146))</f>
        <v>0</v>
      </c>
      <c r="Q146" s="137">
        <f>IF(Q$12="Actual",SUMIFS(ActualsTable[Month 15],ActualsTable[Expense Item2],$B146),SUMIFS(Expenses!BP$8:BP$69,Expenses!$O$8:$O$69,$B146)+SUMIFS(Headcount!Z$395:Z$1442,Headcount!$J$395:$J$1442,$B146))</f>
        <v>0</v>
      </c>
      <c r="R146" s="137">
        <f>IF(R$12="Actual",SUMIFS(ActualsTable[Month 16],ActualsTable[Expense Item2],$B146),SUMIFS(Expenses!BQ$8:BQ$69,Expenses!$O$8:$O$69,$B146)+SUMIFS(Headcount!AA$395:AA$1442,Headcount!$J$395:$J$1442,$B146))</f>
        <v>0</v>
      </c>
      <c r="S146" s="137">
        <f>IF(S$12="Actual",SUMIFS(ActualsTable[Month 17],ActualsTable[Expense Item2],$B146),SUMIFS(Expenses!BR$8:BR$69,Expenses!$O$8:$O$69,$B146)+SUMIFS(Headcount!AB$395:AB$1442,Headcount!$J$395:$J$1442,$B146))</f>
        <v>0</v>
      </c>
      <c r="T146" s="137">
        <f>IF(T$12="Actual",SUMIFS(ActualsTable[Month 18],ActualsTable[Expense Item2],$B146),SUMIFS(Expenses!BS$8:BS$69,Expenses!$O$8:$O$69,$B146)+SUMIFS(Headcount!AC$395:AC$1442,Headcount!$J$395:$J$1442,$B146))</f>
        <v>0</v>
      </c>
      <c r="U146" s="137">
        <f>IF(U$12="Actual",SUMIFS(ActualsTable[Month 19],ActualsTable[Expense Item2],$B146),SUMIFS(Expenses!BT$8:BT$69,Expenses!$O$8:$O$69,$B146)+SUMIFS(Headcount!AD$395:AD$1442,Headcount!$J$395:$J$1442,$B146))</f>
        <v>0</v>
      </c>
      <c r="V146" s="137">
        <f>IF(V$12="Actual",SUMIFS(ActualsTable[Month 20],ActualsTable[Expense Item2],$B146),SUMIFS(Expenses!BU$8:BU$69,Expenses!$O$8:$O$69,$B146)+SUMIFS(Headcount!AE$395:AE$1442,Headcount!$J$395:$J$1442,$B146))</f>
        <v>0</v>
      </c>
      <c r="W146" s="137">
        <f>IF(W$12="Actual",SUMIFS(ActualsTable[Month 21],ActualsTable[Expense Item2],$B146),SUMIFS(Expenses!BV$8:BV$69,Expenses!$O$8:$O$69,$B146)+SUMIFS(Headcount!AF$395:AF$1442,Headcount!$J$395:$J$1442,$B146))</f>
        <v>0</v>
      </c>
      <c r="X146" s="137">
        <f>IF(X$12="Actual",SUMIFS(ActualsTable[Month 22],ActualsTable[Expense Item2],$B146),SUMIFS(Expenses!BW$8:BW$69,Expenses!$O$8:$O$69,$B146)+SUMIFS(Headcount!AG$395:AG$1442,Headcount!$J$395:$J$1442,$B146))</f>
        <v>0</v>
      </c>
      <c r="Y146" s="137">
        <f>IF(Y$12="Actual",SUMIFS(ActualsTable[Month 23],ActualsTable[Expense Item2],$B146),SUMIFS(Expenses!BX$8:BX$69,Expenses!$O$8:$O$69,$B146)+SUMIFS(Headcount!AH$395:AH$1442,Headcount!$J$395:$J$1442,$B146))</f>
        <v>0</v>
      </c>
      <c r="Z146" s="137">
        <f>IF(Z$12="Actual",SUMIFS(ActualsTable[Month 24],ActualsTable[Expense Item2],$B146),SUMIFS(Expenses!BY$8:BY$69,Expenses!$O$8:$O$69,$B146)+SUMIFS(Headcount!AI$395:AI$1442,Headcount!$J$395:$J$1442,$B146))</f>
        <v>0</v>
      </c>
      <c r="AA146" s="137">
        <f>IF(AA$12="Actual",SUMIFS(ActualsTable[Month 25],ActualsTable[Expense Item2],$B146),SUMIFS(Expenses!BZ$8:BZ$69,Expenses!$O$8:$O$69,$B146)+SUMIFS(Headcount!AJ$395:AJ$1442,Headcount!$J$395:$J$1442,$B146))</f>
        <v>0</v>
      </c>
      <c r="AB146" s="137">
        <f>IF(AB$12="Actual",SUMIFS(ActualsTable[Month 26],ActualsTable[Expense Item2],$B146),SUMIFS(Expenses!CA$8:CA$69,Expenses!$O$8:$O$69,$B146)+SUMIFS(Headcount!AK$395:AK$1442,Headcount!$J$395:$J$1442,$B146))</f>
        <v>0</v>
      </c>
      <c r="AC146" s="137">
        <f>IF(AC$12="Actual",SUMIFS(ActualsTable[Month 27],ActualsTable[Expense Item2],$B146),SUMIFS(Expenses!CB$8:CB$69,Expenses!$O$8:$O$69,$B146)+SUMIFS(Headcount!AL$395:AL$1442,Headcount!$J$395:$J$1442,$B146))</f>
        <v>0</v>
      </c>
      <c r="AD146" s="137">
        <f>IF(AD$12="Actual",SUMIFS(ActualsTable[Month 28],ActualsTable[Expense Item2],$B146),SUMIFS(Expenses!CC$8:CC$69,Expenses!$O$8:$O$69,$B146)+SUMIFS(Headcount!AM$395:AM$1442,Headcount!$J$395:$J$1442,$B146))</f>
        <v>0</v>
      </c>
      <c r="AE146" s="137">
        <f>IF(AE$12="Actual",SUMIFS(ActualsTable[Month 29],ActualsTable[Expense Item2],$B146),SUMIFS(Expenses!CD$8:CD$69,Expenses!$O$8:$O$69,$B146)+SUMIFS(Headcount!AN$395:AN$1442,Headcount!$J$395:$J$1442,$B146))</f>
        <v>0</v>
      </c>
      <c r="AF146" s="137">
        <f>IF(AF$12="Actual",SUMIFS(ActualsTable[Month 30],ActualsTable[Expense Item2],$B146),SUMIFS(Expenses!CE$8:CE$69,Expenses!$O$8:$O$69,$B146)+SUMIFS(Headcount!AO$395:AO$1442,Headcount!$J$395:$J$1442,$B146))</f>
        <v>0</v>
      </c>
      <c r="AG146" s="137">
        <f>IF(AG$12="Actual",SUMIFS(ActualsTable[Month 31],ActualsTable[Expense Item2],$B146),SUMIFS(Expenses!CF$8:CF$69,Expenses!$O$8:$O$69,$B146)+SUMIFS(Headcount!AP$395:AP$1442,Headcount!$J$395:$J$1442,$B146))</f>
        <v>0</v>
      </c>
      <c r="AH146" s="137">
        <f>IF(AH$12="Actual",SUMIFS(ActualsTable[Month 32],ActualsTable[Expense Item2],$B146),SUMIFS(Expenses!CG$8:CG$69,Expenses!$O$8:$O$69,$B146)+SUMIFS(Headcount!AQ$395:AQ$1442,Headcount!$J$395:$J$1442,$B146))</f>
        <v>0</v>
      </c>
      <c r="AI146" s="137">
        <f>IF(AI$12="Actual",SUMIFS(ActualsTable[Month 33],ActualsTable[Expense Item2],$B146),SUMIFS(Expenses!CH$8:CH$69,Expenses!$O$8:$O$69,$B146)+SUMIFS(Headcount!AR$395:AR$1442,Headcount!$J$395:$J$1442,$B146))</f>
        <v>0</v>
      </c>
      <c r="AJ146" s="137">
        <f>IF(AJ$12="Actual",SUMIFS(ActualsTable[Month 34],ActualsTable[Expense Item2],$B146),SUMIFS(Expenses!CI$8:CI$69,Expenses!$O$8:$O$69,$B146)+SUMIFS(Headcount!AS$395:AS$1442,Headcount!$J$395:$J$1442,$B146))</f>
        <v>0</v>
      </c>
      <c r="AK146" s="137">
        <f>IF(AK$12="Actual",SUMIFS(ActualsTable[Month 35],ActualsTable[Expense Item2],$B146),SUMIFS(Expenses!CJ$8:CJ$69,Expenses!$O$8:$O$69,$B146)+SUMIFS(Headcount!AT$395:AT$1442,Headcount!$J$395:$J$1442,$B146))</f>
        <v>0</v>
      </c>
      <c r="AL146" s="293">
        <f>IF(AL$12="Actual",SUMIFS(ActualsTable[Month 36],ActualsTable[Expense Item2],$B146),SUMIFS(Expenses!CK$8:CK$69,Expenses!$O$8:$O$69,$B146)+SUMIFS(Headcount!AU$395:AU$1442,Headcount!$J$395:$J$1442,$B146))</f>
        <v>0</v>
      </c>
      <c r="AN146" s="319">
        <f t="shared" ref="AN146:AY152" ca="1" si="254">SUM(OFFSET($B146,0,3*AN$9+1,1,3))</f>
        <v>0</v>
      </c>
      <c r="AO146" s="137">
        <f t="shared" ca="1" si="254"/>
        <v>0</v>
      </c>
      <c r="AP146" s="137">
        <f t="shared" ca="1" si="254"/>
        <v>0</v>
      </c>
      <c r="AQ146" s="137">
        <f t="shared" ca="1" si="254"/>
        <v>0</v>
      </c>
      <c r="AR146" s="137">
        <f t="shared" ca="1" si="254"/>
        <v>0</v>
      </c>
      <c r="AS146" s="137">
        <f t="shared" ca="1" si="254"/>
        <v>0</v>
      </c>
      <c r="AT146" s="137">
        <f t="shared" ca="1" si="254"/>
        <v>0</v>
      </c>
      <c r="AU146" s="137">
        <f t="shared" ca="1" si="254"/>
        <v>0</v>
      </c>
      <c r="AV146" s="137">
        <f t="shared" ca="1" si="254"/>
        <v>0</v>
      </c>
      <c r="AW146" s="137">
        <f t="shared" ca="1" si="254"/>
        <v>0</v>
      </c>
      <c r="AX146" s="137">
        <f t="shared" ca="1" si="254"/>
        <v>0</v>
      </c>
      <c r="AY146" s="293">
        <f t="shared" ca="1" si="254"/>
        <v>0</v>
      </c>
      <c r="BA146" s="319">
        <f t="shared" ref="BA146:BC152" ca="1" si="255">SUM(OFFSET($B146,0,12*BA$9+1,1,12))</f>
        <v>0</v>
      </c>
      <c r="BB146" s="137">
        <f t="shared" ca="1" si="255"/>
        <v>0</v>
      </c>
      <c r="BC146" s="293">
        <f t="shared" ca="1" si="255"/>
        <v>0</v>
      </c>
    </row>
    <row r="147" spans="2:55" x14ac:dyDescent="0.35">
      <c r="B147" s="76" t="s">
        <v>176</v>
      </c>
      <c r="C147" s="137">
        <f>IF(C$12="Actual",SUMIFS(ActualsTable[Month 1],ActualsTable[Expense Item2],$B147),SUMIFS(Expenses!BB$8:BB$69,Expenses!$O$8:$O$69,$B147)+SUMIFS(Headcount!L$395:L$1442,Headcount!$J$395:$J$1442,$B147))</f>
        <v>0</v>
      </c>
      <c r="D147" s="137">
        <f>IF(D$12="Actual",SUMIFS(ActualsTable[Month 2],ActualsTable[Expense Item2],$B147),SUMIFS(Expenses!BC$8:BC$69,Expenses!$O$8:$O$69,$B147)+SUMIFS(Headcount!M$395:M$1442,Headcount!$J$395:$J$1442,$B147))</f>
        <v>0</v>
      </c>
      <c r="E147" s="137">
        <f>IF(E$12="Actual",SUMIFS(ActualsTable[Month 3],ActualsTable[Expense Item2],$B147),SUMIFS(Expenses!BD$8:BD$69,Expenses!$O$8:$O$69,$B147)+SUMIFS(Headcount!N$395:N$1442,Headcount!$J$395:$J$1442,$B147))</f>
        <v>0</v>
      </c>
      <c r="F147" s="137">
        <f>IF(F$12="Actual",SUMIFS(ActualsTable[Month 4],ActualsTable[Expense Item2],$B147),SUMIFS(Expenses!BE$8:BE$69,Expenses!$O$8:$O$69,$B147)+SUMIFS(Headcount!O$395:O$1442,Headcount!$J$395:$J$1442,$B147))</f>
        <v>0</v>
      </c>
      <c r="G147" s="137">
        <f>IF(G$12="Actual",SUMIFS(ActualsTable[Month 5],ActualsTable[Expense Item2],$B147),SUMIFS(Expenses!BF$8:BF$69,Expenses!$O$8:$O$69,$B147)+SUMIFS(Headcount!P$395:P$1442,Headcount!$J$395:$J$1442,$B147))</f>
        <v>0</v>
      </c>
      <c r="H147" s="137">
        <f>IF(H$12="Actual",SUMIFS(ActualsTable[Month 6],ActualsTable[Expense Item2],$B147),SUMIFS(Expenses!BG$8:BG$69,Expenses!$O$8:$O$69,$B147)+SUMIFS(Headcount!Q$395:Q$1442,Headcount!$J$395:$J$1442,$B147))</f>
        <v>0</v>
      </c>
      <c r="I147" s="137">
        <f>IF(I$12="Actual",SUMIFS(ActualsTable[Month 7],ActualsTable[Expense Item2],$B147),SUMIFS(Expenses!BH$8:BH$69,Expenses!$O$8:$O$69,$B147)+SUMIFS(Headcount!R$395:R$1442,Headcount!$J$395:$J$1442,$B147))</f>
        <v>0</v>
      </c>
      <c r="J147" s="137">
        <f>IF(J$12="Actual",SUMIFS(ActualsTable[Month 8],ActualsTable[Expense Item2],$B147),SUMIFS(Expenses!BI$8:BI$69,Expenses!$O$8:$O$69,$B147)+SUMIFS(Headcount!S$395:S$1442,Headcount!$J$395:$J$1442,$B147))</f>
        <v>0</v>
      </c>
      <c r="K147" s="137">
        <f>IF(K$12="Actual",SUMIFS(ActualsTable[Month 9],ActualsTable[Expense Item2],$B147),SUMIFS(Expenses!BJ$8:BJ$69,Expenses!$O$8:$O$69,$B147)+SUMIFS(Headcount!T$395:T$1442,Headcount!$J$395:$J$1442,$B147))</f>
        <v>0</v>
      </c>
      <c r="L147" s="137">
        <f>IF(L$12="Actual",SUMIFS(ActualsTable[Month 10],ActualsTable[Expense Item2],$B147),SUMIFS(Expenses!BK$8:BK$69,Expenses!$O$8:$O$69,$B147)+SUMIFS(Headcount!U$395:U$1442,Headcount!$J$395:$J$1442,$B147))</f>
        <v>0</v>
      </c>
      <c r="M147" s="137">
        <f>IF(M$12="Actual",SUMIFS(ActualsTable[Month 11],ActualsTable[Expense Item2],$B147),SUMIFS(Expenses!BL$8:BL$69,Expenses!$O$8:$O$69,$B147)+SUMIFS(Headcount!V$395:V$1442,Headcount!$J$395:$J$1442,$B147))</f>
        <v>0</v>
      </c>
      <c r="N147" s="137">
        <f>IF(N$12="Actual",SUMIFS(ActualsTable[Month 12],ActualsTable[Expense Item2],$B147),SUMIFS(Expenses!BM$8:BM$69,Expenses!$O$8:$O$69,$B147)+SUMIFS(Headcount!W$395:W$1442,Headcount!$J$395:$J$1442,$B147))</f>
        <v>0</v>
      </c>
      <c r="O147" s="137">
        <f>IF(O$12="Actual",SUMIFS(ActualsTable[Month 13],ActualsTable[Expense Item2],$B147),SUMIFS(Expenses!BN$8:BN$69,Expenses!$O$8:$O$69,$B147)+SUMIFS(Headcount!X$395:X$1442,Headcount!$J$395:$J$1442,$B147))</f>
        <v>0</v>
      </c>
      <c r="P147" s="137">
        <f>IF(P$12="Actual",SUMIFS(ActualsTable[Month 14],ActualsTable[Expense Item2],$B147),SUMIFS(Expenses!BO$8:BO$69,Expenses!$O$8:$O$69,$B147)+SUMIFS(Headcount!Y$395:Y$1442,Headcount!$J$395:$J$1442,$B147))</f>
        <v>0</v>
      </c>
      <c r="Q147" s="137">
        <f>IF(Q$12="Actual",SUMIFS(ActualsTable[Month 15],ActualsTable[Expense Item2],$B147),SUMIFS(Expenses!BP$8:BP$69,Expenses!$O$8:$O$69,$B147)+SUMIFS(Headcount!Z$395:Z$1442,Headcount!$J$395:$J$1442,$B147))</f>
        <v>0</v>
      </c>
      <c r="R147" s="137">
        <f>IF(R$12="Actual",SUMIFS(ActualsTable[Month 16],ActualsTable[Expense Item2],$B147),SUMIFS(Expenses!BQ$8:BQ$69,Expenses!$O$8:$O$69,$B147)+SUMIFS(Headcount!AA$395:AA$1442,Headcount!$J$395:$J$1442,$B147))</f>
        <v>0</v>
      </c>
      <c r="S147" s="137">
        <f>IF(S$12="Actual",SUMIFS(ActualsTable[Month 17],ActualsTable[Expense Item2],$B147),SUMIFS(Expenses!BR$8:BR$69,Expenses!$O$8:$O$69,$B147)+SUMIFS(Headcount!AB$395:AB$1442,Headcount!$J$395:$J$1442,$B147))</f>
        <v>0</v>
      </c>
      <c r="T147" s="137">
        <f>IF(T$12="Actual",SUMIFS(ActualsTable[Month 18],ActualsTable[Expense Item2],$B147),SUMIFS(Expenses!BS$8:BS$69,Expenses!$O$8:$O$69,$B147)+SUMIFS(Headcount!AC$395:AC$1442,Headcount!$J$395:$J$1442,$B147))</f>
        <v>0</v>
      </c>
      <c r="U147" s="137">
        <f>IF(U$12="Actual",SUMIFS(ActualsTable[Month 19],ActualsTable[Expense Item2],$B147),SUMIFS(Expenses!BT$8:BT$69,Expenses!$O$8:$O$69,$B147)+SUMIFS(Headcount!AD$395:AD$1442,Headcount!$J$395:$J$1442,$B147))</f>
        <v>0</v>
      </c>
      <c r="V147" s="137">
        <f>IF(V$12="Actual",SUMIFS(ActualsTable[Month 20],ActualsTable[Expense Item2],$B147),SUMIFS(Expenses!BU$8:BU$69,Expenses!$O$8:$O$69,$B147)+SUMIFS(Headcount!AE$395:AE$1442,Headcount!$J$395:$J$1442,$B147))</f>
        <v>0</v>
      </c>
      <c r="W147" s="137">
        <f>IF(W$12="Actual",SUMIFS(ActualsTable[Month 21],ActualsTable[Expense Item2],$B147),SUMIFS(Expenses!BV$8:BV$69,Expenses!$O$8:$O$69,$B147)+SUMIFS(Headcount!AF$395:AF$1442,Headcount!$J$395:$J$1442,$B147))</f>
        <v>0</v>
      </c>
      <c r="X147" s="137">
        <f>IF(X$12="Actual",SUMIFS(ActualsTable[Month 22],ActualsTable[Expense Item2],$B147),SUMIFS(Expenses!BW$8:BW$69,Expenses!$O$8:$O$69,$B147)+SUMIFS(Headcount!AG$395:AG$1442,Headcount!$J$395:$J$1442,$B147))</f>
        <v>0</v>
      </c>
      <c r="Y147" s="137">
        <f>IF(Y$12="Actual",SUMIFS(ActualsTable[Month 23],ActualsTable[Expense Item2],$B147),SUMIFS(Expenses!BX$8:BX$69,Expenses!$O$8:$O$69,$B147)+SUMIFS(Headcount!AH$395:AH$1442,Headcount!$J$395:$J$1442,$B147))</f>
        <v>0</v>
      </c>
      <c r="Z147" s="137">
        <f>IF(Z$12="Actual",SUMIFS(ActualsTable[Month 24],ActualsTable[Expense Item2],$B147),SUMIFS(Expenses!BY$8:BY$69,Expenses!$O$8:$O$69,$B147)+SUMIFS(Headcount!AI$395:AI$1442,Headcount!$J$395:$J$1442,$B147))</f>
        <v>0</v>
      </c>
      <c r="AA147" s="137">
        <f>IF(AA$12="Actual",SUMIFS(ActualsTable[Month 25],ActualsTable[Expense Item2],$B147),SUMIFS(Expenses!BZ$8:BZ$69,Expenses!$O$8:$O$69,$B147)+SUMIFS(Headcount!AJ$395:AJ$1442,Headcount!$J$395:$J$1442,$B147))</f>
        <v>0</v>
      </c>
      <c r="AB147" s="137">
        <f>IF(AB$12="Actual",SUMIFS(ActualsTable[Month 26],ActualsTable[Expense Item2],$B147),SUMIFS(Expenses!CA$8:CA$69,Expenses!$O$8:$O$69,$B147)+SUMIFS(Headcount!AK$395:AK$1442,Headcount!$J$395:$J$1442,$B147))</f>
        <v>0</v>
      </c>
      <c r="AC147" s="137">
        <f>IF(AC$12="Actual",SUMIFS(ActualsTable[Month 27],ActualsTable[Expense Item2],$B147),SUMIFS(Expenses!CB$8:CB$69,Expenses!$O$8:$O$69,$B147)+SUMIFS(Headcount!AL$395:AL$1442,Headcount!$J$395:$J$1442,$B147))</f>
        <v>0</v>
      </c>
      <c r="AD147" s="137">
        <f>IF(AD$12="Actual",SUMIFS(ActualsTable[Month 28],ActualsTable[Expense Item2],$B147),SUMIFS(Expenses!CC$8:CC$69,Expenses!$O$8:$O$69,$B147)+SUMIFS(Headcount!AM$395:AM$1442,Headcount!$J$395:$J$1442,$B147))</f>
        <v>0</v>
      </c>
      <c r="AE147" s="137">
        <f>IF(AE$12="Actual",SUMIFS(ActualsTable[Month 29],ActualsTable[Expense Item2],$B147),SUMIFS(Expenses!CD$8:CD$69,Expenses!$O$8:$O$69,$B147)+SUMIFS(Headcount!AN$395:AN$1442,Headcount!$J$395:$J$1442,$B147))</f>
        <v>0</v>
      </c>
      <c r="AF147" s="137">
        <f>IF(AF$12="Actual",SUMIFS(ActualsTable[Month 30],ActualsTable[Expense Item2],$B147),SUMIFS(Expenses!CE$8:CE$69,Expenses!$O$8:$O$69,$B147)+SUMIFS(Headcount!AO$395:AO$1442,Headcount!$J$395:$J$1442,$B147))</f>
        <v>0</v>
      </c>
      <c r="AG147" s="137">
        <f>IF(AG$12="Actual",SUMIFS(ActualsTable[Month 31],ActualsTable[Expense Item2],$B147),SUMIFS(Expenses!CF$8:CF$69,Expenses!$O$8:$O$69,$B147)+SUMIFS(Headcount!AP$395:AP$1442,Headcount!$J$395:$J$1442,$B147))</f>
        <v>0</v>
      </c>
      <c r="AH147" s="137">
        <f>IF(AH$12="Actual",SUMIFS(ActualsTable[Month 32],ActualsTable[Expense Item2],$B147),SUMIFS(Expenses!CG$8:CG$69,Expenses!$O$8:$O$69,$B147)+SUMIFS(Headcount!AQ$395:AQ$1442,Headcount!$J$395:$J$1442,$B147))</f>
        <v>0</v>
      </c>
      <c r="AI147" s="137">
        <f>IF(AI$12="Actual",SUMIFS(ActualsTable[Month 33],ActualsTable[Expense Item2],$B147),SUMIFS(Expenses!CH$8:CH$69,Expenses!$O$8:$O$69,$B147)+SUMIFS(Headcount!AR$395:AR$1442,Headcount!$J$395:$J$1442,$B147))</f>
        <v>0</v>
      </c>
      <c r="AJ147" s="137">
        <f>IF(AJ$12="Actual",SUMIFS(ActualsTable[Month 34],ActualsTable[Expense Item2],$B147),SUMIFS(Expenses!CI$8:CI$69,Expenses!$O$8:$O$69,$B147)+SUMIFS(Headcount!AS$395:AS$1442,Headcount!$J$395:$J$1442,$B147))</f>
        <v>0</v>
      </c>
      <c r="AK147" s="137">
        <f>IF(AK$12="Actual",SUMIFS(ActualsTable[Month 35],ActualsTable[Expense Item2],$B147),SUMIFS(Expenses!CJ$8:CJ$69,Expenses!$O$8:$O$69,$B147)+SUMIFS(Headcount!AT$395:AT$1442,Headcount!$J$395:$J$1442,$B147))</f>
        <v>0</v>
      </c>
      <c r="AL147" s="293">
        <f>IF(AL$12="Actual",SUMIFS(ActualsTable[Month 36],ActualsTable[Expense Item2],$B147),SUMIFS(Expenses!CK$8:CK$69,Expenses!$O$8:$O$69,$B147)+SUMIFS(Headcount!AU$395:AU$1442,Headcount!$J$395:$J$1442,$B147))</f>
        <v>0</v>
      </c>
      <c r="AN147" s="319">
        <f t="shared" ca="1" si="254"/>
        <v>0</v>
      </c>
      <c r="AO147" s="137">
        <f t="shared" ca="1" si="254"/>
        <v>0</v>
      </c>
      <c r="AP147" s="137">
        <f t="shared" ca="1" si="254"/>
        <v>0</v>
      </c>
      <c r="AQ147" s="137">
        <f t="shared" ca="1" si="254"/>
        <v>0</v>
      </c>
      <c r="AR147" s="137">
        <f t="shared" ca="1" si="254"/>
        <v>0</v>
      </c>
      <c r="AS147" s="137">
        <f t="shared" ca="1" si="254"/>
        <v>0</v>
      </c>
      <c r="AT147" s="137">
        <f t="shared" ca="1" si="254"/>
        <v>0</v>
      </c>
      <c r="AU147" s="137">
        <f t="shared" ca="1" si="254"/>
        <v>0</v>
      </c>
      <c r="AV147" s="137">
        <f t="shared" ca="1" si="254"/>
        <v>0</v>
      </c>
      <c r="AW147" s="137">
        <f t="shared" ca="1" si="254"/>
        <v>0</v>
      </c>
      <c r="AX147" s="137">
        <f t="shared" ca="1" si="254"/>
        <v>0</v>
      </c>
      <c r="AY147" s="293">
        <f t="shared" ca="1" si="254"/>
        <v>0</v>
      </c>
      <c r="BA147" s="319">
        <f t="shared" ca="1" si="255"/>
        <v>0</v>
      </c>
      <c r="BB147" s="137">
        <f t="shared" ca="1" si="255"/>
        <v>0</v>
      </c>
      <c r="BC147" s="293">
        <f t="shared" ca="1" si="255"/>
        <v>0</v>
      </c>
    </row>
    <row r="148" spans="2:55" x14ac:dyDescent="0.35">
      <c r="B148" s="76" t="s">
        <v>177</v>
      </c>
      <c r="C148" s="137">
        <f>IF(C$12="Actual",SUMIFS(ActualsTable[Month 1],ActualsTable[Expense Item2],$B148),SUMIFS(Expenses!BB$8:BB$69,Expenses!$O$8:$O$69,$B148)+SUMIFS(Headcount!L$395:L$1442,Headcount!$J$395:$J$1442,$B148))</f>
        <v>0</v>
      </c>
      <c r="D148" s="137">
        <f>IF(D$12="Actual",SUMIFS(ActualsTable[Month 2],ActualsTable[Expense Item2],$B148),SUMIFS(Expenses!BC$8:BC$69,Expenses!$O$8:$O$69,$B148)+SUMIFS(Headcount!M$395:M$1442,Headcount!$J$395:$J$1442,$B148))</f>
        <v>0</v>
      </c>
      <c r="E148" s="137">
        <f>IF(E$12="Actual",SUMIFS(ActualsTable[Month 3],ActualsTable[Expense Item2],$B148),SUMIFS(Expenses!BD$8:BD$69,Expenses!$O$8:$O$69,$B148)+SUMIFS(Headcount!N$395:N$1442,Headcount!$J$395:$J$1442,$B148))</f>
        <v>0</v>
      </c>
      <c r="F148" s="137">
        <f>IF(F$12="Actual",SUMIFS(ActualsTable[Month 4],ActualsTable[Expense Item2],$B148),SUMIFS(Expenses!BE$8:BE$69,Expenses!$O$8:$O$69,$B148)+SUMIFS(Headcount!O$395:O$1442,Headcount!$J$395:$J$1442,$B148))</f>
        <v>0</v>
      </c>
      <c r="G148" s="137">
        <f>IF(G$12="Actual",SUMIFS(ActualsTable[Month 5],ActualsTable[Expense Item2],$B148),SUMIFS(Expenses!BF$8:BF$69,Expenses!$O$8:$O$69,$B148)+SUMIFS(Headcount!P$395:P$1442,Headcount!$J$395:$J$1442,$B148))</f>
        <v>0</v>
      </c>
      <c r="H148" s="137">
        <f>IF(H$12="Actual",SUMIFS(ActualsTable[Month 6],ActualsTable[Expense Item2],$B148),SUMIFS(Expenses!BG$8:BG$69,Expenses!$O$8:$O$69,$B148)+SUMIFS(Headcount!Q$395:Q$1442,Headcount!$J$395:$J$1442,$B148))</f>
        <v>0</v>
      </c>
      <c r="I148" s="137">
        <f>IF(I$12="Actual",SUMIFS(ActualsTable[Month 7],ActualsTable[Expense Item2],$B148),SUMIFS(Expenses!BH$8:BH$69,Expenses!$O$8:$O$69,$B148)+SUMIFS(Headcount!R$395:R$1442,Headcount!$J$395:$J$1442,$B148))</f>
        <v>0</v>
      </c>
      <c r="J148" s="137">
        <f>IF(J$12="Actual",SUMIFS(ActualsTable[Month 8],ActualsTable[Expense Item2],$B148),SUMIFS(Expenses!BI$8:BI$69,Expenses!$O$8:$O$69,$B148)+SUMIFS(Headcount!S$395:S$1442,Headcount!$J$395:$J$1442,$B148))</f>
        <v>0</v>
      </c>
      <c r="K148" s="137">
        <f>IF(K$12="Actual",SUMIFS(ActualsTable[Month 9],ActualsTable[Expense Item2],$B148),SUMIFS(Expenses!BJ$8:BJ$69,Expenses!$O$8:$O$69,$B148)+SUMIFS(Headcount!T$395:T$1442,Headcount!$J$395:$J$1442,$B148))</f>
        <v>0</v>
      </c>
      <c r="L148" s="137">
        <f>IF(L$12="Actual",SUMIFS(ActualsTable[Month 10],ActualsTable[Expense Item2],$B148),SUMIFS(Expenses!BK$8:BK$69,Expenses!$O$8:$O$69,$B148)+SUMIFS(Headcount!U$395:U$1442,Headcount!$J$395:$J$1442,$B148))</f>
        <v>0</v>
      </c>
      <c r="M148" s="137">
        <f>IF(M$12="Actual",SUMIFS(ActualsTable[Month 11],ActualsTable[Expense Item2],$B148),SUMIFS(Expenses!BL$8:BL$69,Expenses!$O$8:$O$69,$B148)+SUMIFS(Headcount!V$395:V$1442,Headcount!$J$395:$J$1442,$B148))</f>
        <v>0</v>
      </c>
      <c r="N148" s="137">
        <f>IF(N$12="Actual",SUMIFS(ActualsTable[Month 12],ActualsTable[Expense Item2],$B148),SUMIFS(Expenses!BM$8:BM$69,Expenses!$O$8:$O$69,$B148)+SUMIFS(Headcount!W$395:W$1442,Headcount!$J$395:$J$1442,$B148))</f>
        <v>0</v>
      </c>
      <c r="O148" s="137">
        <f>IF(O$12="Actual",SUMIFS(ActualsTable[Month 13],ActualsTable[Expense Item2],$B148),SUMIFS(Expenses!BN$8:BN$69,Expenses!$O$8:$O$69,$B148)+SUMIFS(Headcount!X$395:X$1442,Headcount!$J$395:$J$1442,$B148))</f>
        <v>0</v>
      </c>
      <c r="P148" s="137">
        <f>IF(P$12="Actual",SUMIFS(ActualsTable[Month 14],ActualsTable[Expense Item2],$B148),SUMIFS(Expenses!BO$8:BO$69,Expenses!$O$8:$O$69,$B148)+SUMIFS(Headcount!Y$395:Y$1442,Headcount!$J$395:$J$1442,$B148))</f>
        <v>0</v>
      </c>
      <c r="Q148" s="137">
        <f>IF(Q$12="Actual",SUMIFS(ActualsTable[Month 15],ActualsTable[Expense Item2],$B148),SUMIFS(Expenses!BP$8:BP$69,Expenses!$O$8:$O$69,$B148)+SUMIFS(Headcount!Z$395:Z$1442,Headcount!$J$395:$J$1442,$B148))</f>
        <v>0</v>
      </c>
      <c r="R148" s="137">
        <f>IF(R$12="Actual",SUMIFS(ActualsTable[Month 16],ActualsTable[Expense Item2],$B148),SUMIFS(Expenses!BQ$8:BQ$69,Expenses!$O$8:$O$69,$B148)+SUMIFS(Headcount!AA$395:AA$1442,Headcount!$J$395:$J$1442,$B148))</f>
        <v>0</v>
      </c>
      <c r="S148" s="137">
        <f>IF(S$12="Actual",SUMIFS(ActualsTable[Month 17],ActualsTable[Expense Item2],$B148),SUMIFS(Expenses!BR$8:BR$69,Expenses!$O$8:$O$69,$B148)+SUMIFS(Headcount!AB$395:AB$1442,Headcount!$J$395:$J$1442,$B148))</f>
        <v>0</v>
      </c>
      <c r="T148" s="137">
        <f>IF(T$12="Actual",SUMIFS(ActualsTable[Month 18],ActualsTable[Expense Item2],$B148),SUMIFS(Expenses!BS$8:BS$69,Expenses!$O$8:$O$69,$B148)+SUMIFS(Headcount!AC$395:AC$1442,Headcount!$J$395:$J$1442,$B148))</f>
        <v>0</v>
      </c>
      <c r="U148" s="137">
        <f>IF(U$12="Actual",SUMIFS(ActualsTable[Month 19],ActualsTable[Expense Item2],$B148),SUMIFS(Expenses!BT$8:BT$69,Expenses!$O$8:$O$69,$B148)+SUMIFS(Headcount!AD$395:AD$1442,Headcount!$J$395:$J$1442,$B148))</f>
        <v>0</v>
      </c>
      <c r="V148" s="137">
        <f>IF(V$12="Actual",SUMIFS(ActualsTable[Month 20],ActualsTable[Expense Item2],$B148),SUMIFS(Expenses!BU$8:BU$69,Expenses!$O$8:$O$69,$B148)+SUMIFS(Headcount!AE$395:AE$1442,Headcount!$J$395:$J$1442,$B148))</f>
        <v>0</v>
      </c>
      <c r="W148" s="137">
        <f>IF(W$12="Actual",SUMIFS(ActualsTable[Month 21],ActualsTable[Expense Item2],$B148),SUMIFS(Expenses!BV$8:BV$69,Expenses!$O$8:$O$69,$B148)+SUMIFS(Headcount!AF$395:AF$1442,Headcount!$J$395:$J$1442,$B148))</f>
        <v>0</v>
      </c>
      <c r="X148" s="137">
        <f>IF(X$12="Actual",SUMIFS(ActualsTable[Month 22],ActualsTable[Expense Item2],$B148),SUMIFS(Expenses!BW$8:BW$69,Expenses!$O$8:$O$69,$B148)+SUMIFS(Headcount!AG$395:AG$1442,Headcount!$J$395:$J$1442,$B148))</f>
        <v>0</v>
      </c>
      <c r="Y148" s="137">
        <f>IF(Y$12="Actual",SUMIFS(ActualsTable[Month 23],ActualsTable[Expense Item2],$B148),SUMIFS(Expenses!BX$8:BX$69,Expenses!$O$8:$O$69,$B148)+SUMIFS(Headcount!AH$395:AH$1442,Headcount!$J$395:$J$1442,$B148))</f>
        <v>0</v>
      </c>
      <c r="Z148" s="137">
        <f>IF(Z$12="Actual",SUMIFS(ActualsTable[Month 24],ActualsTable[Expense Item2],$B148),SUMIFS(Expenses!BY$8:BY$69,Expenses!$O$8:$O$69,$B148)+SUMIFS(Headcount!AI$395:AI$1442,Headcount!$J$395:$J$1442,$B148))</f>
        <v>0</v>
      </c>
      <c r="AA148" s="137">
        <f>IF(AA$12="Actual",SUMIFS(ActualsTable[Month 25],ActualsTable[Expense Item2],$B148),SUMIFS(Expenses!BZ$8:BZ$69,Expenses!$O$8:$O$69,$B148)+SUMIFS(Headcount!AJ$395:AJ$1442,Headcount!$J$395:$J$1442,$B148))</f>
        <v>0</v>
      </c>
      <c r="AB148" s="137">
        <f>IF(AB$12="Actual",SUMIFS(ActualsTable[Month 26],ActualsTable[Expense Item2],$B148),SUMIFS(Expenses!CA$8:CA$69,Expenses!$O$8:$O$69,$B148)+SUMIFS(Headcount!AK$395:AK$1442,Headcount!$J$395:$J$1442,$B148))</f>
        <v>0</v>
      </c>
      <c r="AC148" s="137">
        <f>IF(AC$12="Actual",SUMIFS(ActualsTable[Month 27],ActualsTable[Expense Item2],$B148),SUMIFS(Expenses!CB$8:CB$69,Expenses!$O$8:$O$69,$B148)+SUMIFS(Headcount!AL$395:AL$1442,Headcount!$J$395:$J$1442,$B148))</f>
        <v>0</v>
      </c>
      <c r="AD148" s="137">
        <f>IF(AD$12="Actual",SUMIFS(ActualsTable[Month 28],ActualsTable[Expense Item2],$B148),SUMIFS(Expenses!CC$8:CC$69,Expenses!$O$8:$O$69,$B148)+SUMIFS(Headcount!AM$395:AM$1442,Headcount!$J$395:$J$1442,$B148))</f>
        <v>0</v>
      </c>
      <c r="AE148" s="137">
        <f>IF(AE$12="Actual",SUMIFS(ActualsTable[Month 29],ActualsTable[Expense Item2],$B148),SUMIFS(Expenses!CD$8:CD$69,Expenses!$O$8:$O$69,$B148)+SUMIFS(Headcount!AN$395:AN$1442,Headcount!$J$395:$J$1442,$B148))</f>
        <v>0</v>
      </c>
      <c r="AF148" s="137">
        <f>IF(AF$12="Actual",SUMIFS(ActualsTable[Month 30],ActualsTable[Expense Item2],$B148),SUMIFS(Expenses!CE$8:CE$69,Expenses!$O$8:$O$69,$B148)+SUMIFS(Headcount!AO$395:AO$1442,Headcount!$J$395:$J$1442,$B148))</f>
        <v>0</v>
      </c>
      <c r="AG148" s="137">
        <f>IF(AG$12="Actual",SUMIFS(ActualsTable[Month 31],ActualsTable[Expense Item2],$B148),SUMIFS(Expenses!CF$8:CF$69,Expenses!$O$8:$O$69,$B148)+SUMIFS(Headcount!AP$395:AP$1442,Headcount!$J$395:$J$1442,$B148))</f>
        <v>0</v>
      </c>
      <c r="AH148" s="137">
        <f>IF(AH$12="Actual",SUMIFS(ActualsTable[Month 32],ActualsTable[Expense Item2],$B148),SUMIFS(Expenses!CG$8:CG$69,Expenses!$O$8:$O$69,$B148)+SUMIFS(Headcount!AQ$395:AQ$1442,Headcount!$J$395:$J$1442,$B148))</f>
        <v>0</v>
      </c>
      <c r="AI148" s="137">
        <f>IF(AI$12="Actual",SUMIFS(ActualsTable[Month 33],ActualsTable[Expense Item2],$B148),SUMIFS(Expenses!CH$8:CH$69,Expenses!$O$8:$O$69,$B148)+SUMIFS(Headcount!AR$395:AR$1442,Headcount!$J$395:$J$1442,$B148))</f>
        <v>0</v>
      </c>
      <c r="AJ148" s="137">
        <f>IF(AJ$12="Actual",SUMIFS(ActualsTable[Month 34],ActualsTable[Expense Item2],$B148),SUMIFS(Expenses!CI$8:CI$69,Expenses!$O$8:$O$69,$B148)+SUMIFS(Headcount!AS$395:AS$1442,Headcount!$J$395:$J$1442,$B148))</f>
        <v>0</v>
      </c>
      <c r="AK148" s="137">
        <f>IF(AK$12="Actual",SUMIFS(ActualsTable[Month 35],ActualsTable[Expense Item2],$B148),SUMIFS(Expenses!CJ$8:CJ$69,Expenses!$O$8:$O$69,$B148)+SUMIFS(Headcount!AT$395:AT$1442,Headcount!$J$395:$J$1442,$B148))</f>
        <v>0</v>
      </c>
      <c r="AL148" s="293">
        <f>IF(AL$12="Actual",SUMIFS(ActualsTable[Month 36],ActualsTable[Expense Item2],$B148),SUMIFS(Expenses!CK$8:CK$69,Expenses!$O$8:$O$69,$B148)+SUMIFS(Headcount!AU$395:AU$1442,Headcount!$J$395:$J$1442,$B148))</f>
        <v>0</v>
      </c>
      <c r="AN148" s="319">
        <f t="shared" ca="1" si="254"/>
        <v>0</v>
      </c>
      <c r="AO148" s="137">
        <f t="shared" ca="1" si="254"/>
        <v>0</v>
      </c>
      <c r="AP148" s="137">
        <f t="shared" ca="1" si="254"/>
        <v>0</v>
      </c>
      <c r="AQ148" s="137">
        <f t="shared" ca="1" si="254"/>
        <v>0</v>
      </c>
      <c r="AR148" s="137">
        <f t="shared" ca="1" si="254"/>
        <v>0</v>
      </c>
      <c r="AS148" s="137">
        <f t="shared" ca="1" si="254"/>
        <v>0</v>
      </c>
      <c r="AT148" s="137">
        <f t="shared" ca="1" si="254"/>
        <v>0</v>
      </c>
      <c r="AU148" s="137">
        <f t="shared" ca="1" si="254"/>
        <v>0</v>
      </c>
      <c r="AV148" s="137">
        <f t="shared" ca="1" si="254"/>
        <v>0</v>
      </c>
      <c r="AW148" s="137">
        <f t="shared" ca="1" si="254"/>
        <v>0</v>
      </c>
      <c r="AX148" s="137">
        <f t="shared" ca="1" si="254"/>
        <v>0</v>
      </c>
      <c r="AY148" s="293">
        <f t="shared" ca="1" si="254"/>
        <v>0</v>
      </c>
      <c r="BA148" s="319">
        <f t="shared" ca="1" si="255"/>
        <v>0</v>
      </c>
      <c r="BB148" s="137">
        <f t="shared" ca="1" si="255"/>
        <v>0</v>
      </c>
      <c r="BC148" s="293">
        <f t="shared" ca="1" si="255"/>
        <v>0</v>
      </c>
    </row>
    <row r="149" spans="2:55" x14ac:dyDescent="0.35">
      <c r="B149" s="76" t="s">
        <v>178</v>
      </c>
      <c r="C149" s="137">
        <f>IF(C$12="Actual",SUMIFS(ActualsTable[Month 1],ActualsTable[Expense Item2],$B149),SUMIFS(Expenses!BB$8:BB$69,Expenses!$O$8:$O$69,$B149)+SUMIFS(Headcount!L$395:L$1442,Headcount!$J$395:$J$1442,$B149))</f>
        <v>0</v>
      </c>
      <c r="D149" s="137">
        <f>IF(D$12="Actual",SUMIFS(ActualsTable[Month 2],ActualsTable[Expense Item2],$B149),SUMIFS(Expenses!BC$8:BC$69,Expenses!$O$8:$O$69,$B149)+SUMIFS(Headcount!M$395:M$1442,Headcount!$J$395:$J$1442,$B149))</f>
        <v>0</v>
      </c>
      <c r="E149" s="137">
        <f>IF(E$12="Actual",SUMIFS(ActualsTable[Month 3],ActualsTable[Expense Item2],$B149),SUMIFS(Expenses!BD$8:BD$69,Expenses!$O$8:$O$69,$B149)+SUMIFS(Headcount!N$395:N$1442,Headcount!$J$395:$J$1442,$B149))</f>
        <v>0</v>
      </c>
      <c r="F149" s="137">
        <f>IF(F$12="Actual",SUMIFS(ActualsTable[Month 4],ActualsTable[Expense Item2],$B149),SUMIFS(Expenses!BE$8:BE$69,Expenses!$O$8:$O$69,$B149)+SUMIFS(Headcount!O$395:O$1442,Headcount!$J$395:$J$1442,$B149))</f>
        <v>0</v>
      </c>
      <c r="G149" s="137">
        <f>IF(G$12="Actual",SUMIFS(ActualsTable[Month 5],ActualsTable[Expense Item2],$B149),SUMIFS(Expenses!BF$8:BF$69,Expenses!$O$8:$O$69,$B149)+SUMIFS(Headcount!P$395:P$1442,Headcount!$J$395:$J$1442,$B149))</f>
        <v>0</v>
      </c>
      <c r="H149" s="137">
        <f>IF(H$12="Actual",SUMIFS(ActualsTable[Month 6],ActualsTable[Expense Item2],$B149),SUMIFS(Expenses!BG$8:BG$69,Expenses!$O$8:$O$69,$B149)+SUMIFS(Headcount!Q$395:Q$1442,Headcount!$J$395:$J$1442,$B149))</f>
        <v>0</v>
      </c>
      <c r="I149" s="137">
        <f>IF(I$12="Actual",SUMIFS(ActualsTable[Month 7],ActualsTable[Expense Item2],$B149),SUMIFS(Expenses!BH$8:BH$69,Expenses!$O$8:$O$69,$B149)+SUMIFS(Headcount!R$395:R$1442,Headcount!$J$395:$J$1442,$B149))</f>
        <v>0</v>
      </c>
      <c r="J149" s="137">
        <f>IF(J$12="Actual",SUMIFS(ActualsTable[Month 8],ActualsTable[Expense Item2],$B149),SUMIFS(Expenses!BI$8:BI$69,Expenses!$O$8:$O$69,$B149)+SUMIFS(Headcount!S$395:S$1442,Headcount!$J$395:$J$1442,$B149))</f>
        <v>0</v>
      </c>
      <c r="K149" s="137">
        <f>IF(K$12="Actual",SUMIFS(ActualsTable[Month 9],ActualsTable[Expense Item2],$B149),SUMIFS(Expenses!BJ$8:BJ$69,Expenses!$O$8:$O$69,$B149)+SUMIFS(Headcount!T$395:T$1442,Headcount!$J$395:$J$1442,$B149))</f>
        <v>0</v>
      </c>
      <c r="L149" s="137">
        <f>IF(L$12="Actual",SUMIFS(ActualsTable[Month 10],ActualsTable[Expense Item2],$B149),SUMIFS(Expenses!BK$8:BK$69,Expenses!$O$8:$O$69,$B149)+SUMIFS(Headcount!U$395:U$1442,Headcount!$J$395:$J$1442,$B149))</f>
        <v>0</v>
      </c>
      <c r="M149" s="137">
        <f>IF(M$12="Actual",SUMIFS(ActualsTable[Month 11],ActualsTable[Expense Item2],$B149),SUMIFS(Expenses!BL$8:BL$69,Expenses!$O$8:$O$69,$B149)+SUMIFS(Headcount!V$395:V$1442,Headcount!$J$395:$J$1442,$B149))</f>
        <v>0</v>
      </c>
      <c r="N149" s="137">
        <f>IF(N$12="Actual",SUMIFS(ActualsTable[Month 12],ActualsTable[Expense Item2],$B149),SUMIFS(Expenses!BM$8:BM$69,Expenses!$O$8:$O$69,$B149)+SUMIFS(Headcount!W$395:W$1442,Headcount!$J$395:$J$1442,$B149))</f>
        <v>0</v>
      </c>
      <c r="O149" s="137">
        <f>IF(O$12="Actual",SUMIFS(ActualsTable[Month 13],ActualsTable[Expense Item2],$B149),SUMIFS(Expenses!BN$8:BN$69,Expenses!$O$8:$O$69,$B149)+SUMIFS(Headcount!X$395:X$1442,Headcount!$J$395:$J$1442,$B149))</f>
        <v>0</v>
      </c>
      <c r="P149" s="137">
        <f>IF(P$12="Actual",SUMIFS(ActualsTable[Month 14],ActualsTable[Expense Item2],$B149),SUMIFS(Expenses!BO$8:BO$69,Expenses!$O$8:$O$69,$B149)+SUMIFS(Headcount!Y$395:Y$1442,Headcount!$J$395:$J$1442,$B149))</f>
        <v>0</v>
      </c>
      <c r="Q149" s="137">
        <f>IF(Q$12="Actual",SUMIFS(ActualsTable[Month 15],ActualsTable[Expense Item2],$B149),SUMIFS(Expenses!BP$8:BP$69,Expenses!$O$8:$O$69,$B149)+SUMIFS(Headcount!Z$395:Z$1442,Headcount!$J$395:$J$1442,$B149))</f>
        <v>0</v>
      </c>
      <c r="R149" s="137">
        <f>IF(R$12="Actual",SUMIFS(ActualsTable[Month 16],ActualsTable[Expense Item2],$B149),SUMIFS(Expenses!BQ$8:BQ$69,Expenses!$O$8:$O$69,$B149)+SUMIFS(Headcount!AA$395:AA$1442,Headcount!$J$395:$J$1442,$B149))</f>
        <v>0</v>
      </c>
      <c r="S149" s="137">
        <f>IF(S$12="Actual",SUMIFS(ActualsTable[Month 17],ActualsTable[Expense Item2],$B149),SUMIFS(Expenses!BR$8:BR$69,Expenses!$O$8:$O$69,$B149)+SUMIFS(Headcount!AB$395:AB$1442,Headcount!$J$395:$J$1442,$B149))</f>
        <v>0</v>
      </c>
      <c r="T149" s="137">
        <f>IF(T$12="Actual",SUMIFS(ActualsTable[Month 18],ActualsTable[Expense Item2],$B149),SUMIFS(Expenses!BS$8:BS$69,Expenses!$O$8:$O$69,$B149)+SUMIFS(Headcount!AC$395:AC$1442,Headcount!$J$395:$J$1442,$B149))</f>
        <v>0</v>
      </c>
      <c r="U149" s="137">
        <f>IF(U$12="Actual",SUMIFS(ActualsTable[Month 19],ActualsTable[Expense Item2],$B149),SUMIFS(Expenses!BT$8:BT$69,Expenses!$O$8:$O$69,$B149)+SUMIFS(Headcount!AD$395:AD$1442,Headcount!$J$395:$J$1442,$B149))</f>
        <v>0</v>
      </c>
      <c r="V149" s="137">
        <f>IF(V$12="Actual",SUMIFS(ActualsTable[Month 20],ActualsTable[Expense Item2],$B149),SUMIFS(Expenses!BU$8:BU$69,Expenses!$O$8:$O$69,$B149)+SUMIFS(Headcount!AE$395:AE$1442,Headcount!$J$395:$J$1442,$B149))</f>
        <v>0</v>
      </c>
      <c r="W149" s="137">
        <f>IF(W$12="Actual",SUMIFS(ActualsTable[Month 21],ActualsTable[Expense Item2],$B149),SUMIFS(Expenses!BV$8:BV$69,Expenses!$O$8:$O$69,$B149)+SUMIFS(Headcount!AF$395:AF$1442,Headcount!$J$395:$J$1442,$B149))</f>
        <v>0</v>
      </c>
      <c r="X149" s="137">
        <f>IF(X$12="Actual",SUMIFS(ActualsTable[Month 22],ActualsTable[Expense Item2],$B149),SUMIFS(Expenses!BW$8:BW$69,Expenses!$O$8:$O$69,$B149)+SUMIFS(Headcount!AG$395:AG$1442,Headcount!$J$395:$J$1442,$B149))</f>
        <v>0</v>
      </c>
      <c r="Y149" s="137">
        <f>IF(Y$12="Actual",SUMIFS(ActualsTable[Month 23],ActualsTable[Expense Item2],$B149),SUMIFS(Expenses!BX$8:BX$69,Expenses!$O$8:$O$69,$B149)+SUMIFS(Headcount!AH$395:AH$1442,Headcount!$J$395:$J$1442,$B149))</f>
        <v>0</v>
      </c>
      <c r="Z149" s="137">
        <f>IF(Z$12="Actual",SUMIFS(ActualsTable[Month 24],ActualsTable[Expense Item2],$B149),SUMIFS(Expenses!BY$8:BY$69,Expenses!$O$8:$O$69,$B149)+SUMIFS(Headcount!AI$395:AI$1442,Headcount!$J$395:$J$1442,$B149))</f>
        <v>0</v>
      </c>
      <c r="AA149" s="137">
        <f>IF(AA$12="Actual",SUMIFS(ActualsTable[Month 25],ActualsTable[Expense Item2],$B149),SUMIFS(Expenses!BZ$8:BZ$69,Expenses!$O$8:$O$69,$B149)+SUMIFS(Headcount!AJ$395:AJ$1442,Headcount!$J$395:$J$1442,$B149))</f>
        <v>0</v>
      </c>
      <c r="AB149" s="137">
        <f>IF(AB$12="Actual",SUMIFS(ActualsTable[Month 26],ActualsTable[Expense Item2],$B149),SUMIFS(Expenses!CA$8:CA$69,Expenses!$O$8:$O$69,$B149)+SUMIFS(Headcount!AK$395:AK$1442,Headcount!$J$395:$J$1442,$B149))</f>
        <v>0</v>
      </c>
      <c r="AC149" s="137">
        <f>IF(AC$12="Actual",SUMIFS(ActualsTable[Month 27],ActualsTable[Expense Item2],$B149),SUMIFS(Expenses!CB$8:CB$69,Expenses!$O$8:$O$69,$B149)+SUMIFS(Headcount!AL$395:AL$1442,Headcount!$J$395:$J$1442,$B149))</f>
        <v>0</v>
      </c>
      <c r="AD149" s="137">
        <f>IF(AD$12="Actual",SUMIFS(ActualsTable[Month 28],ActualsTable[Expense Item2],$B149),SUMIFS(Expenses!CC$8:CC$69,Expenses!$O$8:$O$69,$B149)+SUMIFS(Headcount!AM$395:AM$1442,Headcount!$J$395:$J$1442,$B149))</f>
        <v>0</v>
      </c>
      <c r="AE149" s="137">
        <f>IF(AE$12="Actual",SUMIFS(ActualsTable[Month 29],ActualsTable[Expense Item2],$B149),SUMIFS(Expenses!CD$8:CD$69,Expenses!$O$8:$O$69,$B149)+SUMIFS(Headcount!AN$395:AN$1442,Headcount!$J$395:$J$1442,$B149))</f>
        <v>0</v>
      </c>
      <c r="AF149" s="137">
        <f>IF(AF$12="Actual",SUMIFS(ActualsTable[Month 30],ActualsTable[Expense Item2],$B149),SUMIFS(Expenses!CE$8:CE$69,Expenses!$O$8:$O$69,$B149)+SUMIFS(Headcount!AO$395:AO$1442,Headcount!$J$395:$J$1442,$B149))</f>
        <v>0</v>
      </c>
      <c r="AG149" s="137">
        <f>IF(AG$12="Actual",SUMIFS(ActualsTable[Month 31],ActualsTable[Expense Item2],$B149),SUMIFS(Expenses!CF$8:CF$69,Expenses!$O$8:$O$69,$B149)+SUMIFS(Headcount!AP$395:AP$1442,Headcount!$J$395:$J$1442,$B149))</f>
        <v>0</v>
      </c>
      <c r="AH149" s="137">
        <f>IF(AH$12="Actual",SUMIFS(ActualsTable[Month 32],ActualsTable[Expense Item2],$B149),SUMIFS(Expenses!CG$8:CG$69,Expenses!$O$8:$O$69,$B149)+SUMIFS(Headcount!AQ$395:AQ$1442,Headcount!$J$395:$J$1442,$B149))</f>
        <v>0</v>
      </c>
      <c r="AI149" s="137">
        <f>IF(AI$12="Actual",SUMIFS(ActualsTable[Month 33],ActualsTable[Expense Item2],$B149),SUMIFS(Expenses!CH$8:CH$69,Expenses!$O$8:$O$69,$B149)+SUMIFS(Headcount!AR$395:AR$1442,Headcount!$J$395:$J$1442,$B149))</f>
        <v>0</v>
      </c>
      <c r="AJ149" s="137">
        <f>IF(AJ$12="Actual",SUMIFS(ActualsTable[Month 34],ActualsTable[Expense Item2],$B149),SUMIFS(Expenses!CI$8:CI$69,Expenses!$O$8:$O$69,$B149)+SUMIFS(Headcount!AS$395:AS$1442,Headcount!$J$395:$J$1442,$B149))</f>
        <v>0</v>
      </c>
      <c r="AK149" s="137">
        <f>IF(AK$12="Actual",SUMIFS(ActualsTable[Month 35],ActualsTable[Expense Item2],$B149),SUMIFS(Expenses!CJ$8:CJ$69,Expenses!$O$8:$O$69,$B149)+SUMIFS(Headcount!AT$395:AT$1442,Headcount!$J$395:$J$1442,$B149))</f>
        <v>0</v>
      </c>
      <c r="AL149" s="293">
        <f>IF(AL$12="Actual",SUMIFS(ActualsTable[Month 36],ActualsTable[Expense Item2],$B149),SUMIFS(Expenses!CK$8:CK$69,Expenses!$O$8:$O$69,$B149)+SUMIFS(Headcount!AU$395:AU$1442,Headcount!$J$395:$J$1442,$B149))</f>
        <v>0</v>
      </c>
      <c r="AN149" s="319">
        <f t="shared" ca="1" si="254"/>
        <v>0</v>
      </c>
      <c r="AO149" s="137">
        <f t="shared" ca="1" si="254"/>
        <v>0</v>
      </c>
      <c r="AP149" s="137">
        <f t="shared" ca="1" si="254"/>
        <v>0</v>
      </c>
      <c r="AQ149" s="137">
        <f t="shared" ca="1" si="254"/>
        <v>0</v>
      </c>
      <c r="AR149" s="137">
        <f t="shared" ca="1" si="254"/>
        <v>0</v>
      </c>
      <c r="AS149" s="137">
        <f t="shared" ca="1" si="254"/>
        <v>0</v>
      </c>
      <c r="AT149" s="137">
        <f t="shared" ca="1" si="254"/>
        <v>0</v>
      </c>
      <c r="AU149" s="137">
        <f t="shared" ca="1" si="254"/>
        <v>0</v>
      </c>
      <c r="AV149" s="137">
        <f t="shared" ca="1" si="254"/>
        <v>0</v>
      </c>
      <c r="AW149" s="137">
        <f t="shared" ca="1" si="254"/>
        <v>0</v>
      </c>
      <c r="AX149" s="137">
        <f t="shared" ca="1" si="254"/>
        <v>0</v>
      </c>
      <c r="AY149" s="293">
        <f t="shared" ca="1" si="254"/>
        <v>0</v>
      </c>
      <c r="BA149" s="319">
        <f t="shared" ca="1" si="255"/>
        <v>0</v>
      </c>
      <c r="BB149" s="137">
        <f t="shared" ca="1" si="255"/>
        <v>0</v>
      </c>
      <c r="BC149" s="293">
        <f t="shared" ca="1" si="255"/>
        <v>0</v>
      </c>
    </row>
    <row r="150" spans="2:55" x14ac:dyDescent="0.35">
      <c r="B150" s="76" t="s">
        <v>179</v>
      </c>
      <c r="C150" s="137">
        <f>IF(C$12="Actual",SUMIFS(ActualsTable[Month 1],ActualsTable[Expense Item2],$B150),SUMIFS(Expenses!BB$8:BB$69,Expenses!$O$8:$O$69,$B150)+SUMIFS(Headcount!L$395:L$1442,Headcount!$J$395:$J$1442,$B150))</f>
        <v>0</v>
      </c>
      <c r="D150" s="137">
        <f>IF(D$12="Actual",SUMIFS(ActualsTable[Month 2],ActualsTable[Expense Item2],$B150),SUMIFS(Expenses!BC$8:BC$69,Expenses!$O$8:$O$69,$B150)+SUMIFS(Headcount!M$395:M$1442,Headcount!$J$395:$J$1442,$B150))</f>
        <v>0</v>
      </c>
      <c r="E150" s="137">
        <f>IF(E$12="Actual",SUMIFS(ActualsTable[Month 3],ActualsTable[Expense Item2],$B150),SUMIFS(Expenses!BD$8:BD$69,Expenses!$O$8:$O$69,$B150)+SUMIFS(Headcount!N$395:N$1442,Headcount!$J$395:$J$1442,$B150))</f>
        <v>0</v>
      </c>
      <c r="F150" s="137">
        <f>IF(F$12="Actual",SUMIFS(ActualsTable[Month 4],ActualsTable[Expense Item2],$B150),SUMIFS(Expenses!BE$8:BE$69,Expenses!$O$8:$O$69,$B150)+SUMIFS(Headcount!O$395:O$1442,Headcount!$J$395:$J$1442,$B150))</f>
        <v>0</v>
      </c>
      <c r="G150" s="137">
        <f>IF(G$12="Actual",SUMIFS(ActualsTable[Month 5],ActualsTable[Expense Item2],$B150),SUMIFS(Expenses!BF$8:BF$69,Expenses!$O$8:$O$69,$B150)+SUMIFS(Headcount!P$395:P$1442,Headcount!$J$395:$J$1442,$B150))</f>
        <v>0</v>
      </c>
      <c r="H150" s="137">
        <f>IF(H$12="Actual",SUMIFS(ActualsTable[Month 6],ActualsTable[Expense Item2],$B150),SUMIFS(Expenses!BG$8:BG$69,Expenses!$O$8:$O$69,$B150)+SUMIFS(Headcount!Q$395:Q$1442,Headcount!$J$395:$J$1442,$B150))</f>
        <v>0</v>
      </c>
      <c r="I150" s="137">
        <f>IF(I$12="Actual",SUMIFS(ActualsTable[Month 7],ActualsTable[Expense Item2],$B150),SUMIFS(Expenses!BH$8:BH$69,Expenses!$O$8:$O$69,$B150)+SUMIFS(Headcount!R$395:R$1442,Headcount!$J$395:$J$1442,$B150))</f>
        <v>0</v>
      </c>
      <c r="J150" s="137">
        <f>IF(J$12="Actual",SUMIFS(ActualsTable[Month 8],ActualsTable[Expense Item2],$B150),SUMIFS(Expenses!BI$8:BI$69,Expenses!$O$8:$O$69,$B150)+SUMIFS(Headcount!S$395:S$1442,Headcount!$J$395:$J$1442,$B150))</f>
        <v>0</v>
      </c>
      <c r="K150" s="137">
        <f>IF(K$12="Actual",SUMIFS(ActualsTable[Month 9],ActualsTable[Expense Item2],$B150),SUMIFS(Expenses!BJ$8:BJ$69,Expenses!$O$8:$O$69,$B150)+SUMIFS(Headcount!T$395:T$1442,Headcount!$J$395:$J$1442,$B150))</f>
        <v>0</v>
      </c>
      <c r="L150" s="137">
        <f>IF(L$12="Actual",SUMIFS(ActualsTable[Month 10],ActualsTable[Expense Item2],$B150),SUMIFS(Expenses!BK$8:BK$69,Expenses!$O$8:$O$69,$B150)+SUMIFS(Headcount!U$395:U$1442,Headcount!$J$395:$J$1442,$B150))</f>
        <v>0</v>
      </c>
      <c r="M150" s="137">
        <f>IF(M$12="Actual",SUMIFS(ActualsTable[Month 11],ActualsTable[Expense Item2],$B150),SUMIFS(Expenses!BL$8:BL$69,Expenses!$O$8:$O$69,$B150)+SUMIFS(Headcount!V$395:V$1442,Headcount!$J$395:$J$1442,$B150))</f>
        <v>0</v>
      </c>
      <c r="N150" s="137">
        <f>IF(N$12="Actual",SUMIFS(ActualsTable[Month 12],ActualsTable[Expense Item2],$B150),SUMIFS(Expenses!BM$8:BM$69,Expenses!$O$8:$O$69,$B150)+SUMIFS(Headcount!W$395:W$1442,Headcount!$J$395:$J$1442,$B150))</f>
        <v>0</v>
      </c>
      <c r="O150" s="137">
        <f>IF(O$12="Actual",SUMIFS(ActualsTable[Month 13],ActualsTable[Expense Item2],$B150),SUMIFS(Expenses!BN$8:BN$69,Expenses!$O$8:$O$69,$B150)+SUMIFS(Headcount!X$395:X$1442,Headcount!$J$395:$J$1442,$B150))</f>
        <v>0</v>
      </c>
      <c r="P150" s="137">
        <f>IF(P$12="Actual",SUMIFS(ActualsTable[Month 14],ActualsTable[Expense Item2],$B150),SUMIFS(Expenses!BO$8:BO$69,Expenses!$O$8:$O$69,$B150)+SUMIFS(Headcount!Y$395:Y$1442,Headcount!$J$395:$J$1442,$B150))</f>
        <v>0</v>
      </c>
      <c r="Q150" s="137">
        <f>IF(Q$12="Actual",SUMIFS(ActualsTable[Month 15],ActualsTable[Expense Item2],$B150),SUMIFS(Expenses!BP$8:BP$69,Expenses!$O$8:$O$69,$B150)+SUMIFS(Headcount!Z$395:Z$1442,Headcount!$J$395:$J$1442,$B150))</f>
        <v>0</v>
      </c>
      <c r="R150" s="137">
        <f>IF(R$12="Actual",SUMIFS(ActualsTable[Month 16],ActualsTable[Expense Item2],$B150),SUMIFS(Expenses!BQ$8:BQ$69,Expenses!$O$8:$O$69,$B150)+SUMIFS(Headcount!AA$395:AA$1442,Headcount!$J$395:$J$1442,$B150))</f>
        <v>0</v>
      </c>
      <c r="S150" s="137">
        <f>IF(S$12="Actual",SUMIFS(ActualsTable[Month 17],ActualsTable[Expense Item2],$B150),SUMIFS(Expenses!BR$8:BR$69,Expenses!$O$8:$O$69,$B150)+SUMIFS(Headcount!AB$395:AB$1442,Headcount!$J$395:$J$1442,$B150))</f>
        <v>0</v>
      </c>
      <c r="T150" s="137">
        <f>IF(T$12="Actual",SUMIFS(ActualsTable[Month 18],ActualsTable[Expense Item2],$B150),SUMIFS(Expenses!BS$8:BS$69,Expenses!$O$8:$O$69,$B150)+SUMIFS(Headcount!AC$395:AC$1442,Headcount!$J$395:$J$1442,$B150))</f>
        <v>0</v>
      </c>
      <c r="U150" s="137">
        <f>IF(U$12="Actual",SUMIFS(ActualsTable[Month 19],ActualsTable[Expense Item2],$B150),SUMIFS(Expenses!BT$8:BT$69,Expenses!$O$8:$O$69,$B150)+SUMIFS(Headcount!AD$395:AD$1442,Headcount!$J$395:$J$1442,$B150))</f>
        <v>0</v>
      </c>
      <c r="V150" s="137">
        <f>IF(V$12="Actual",SUMIFS(ActualsTable[Month 20],ActualsTable[Expense Item2],$B150),SUMIFS(Expenses!BU$8:BU$69,Expenses!$O$8:$O$69,$B150)+SUMIFS(Headcount!AE$395:AE$1442,Headcount!$J$395:$J$1442,$B150))</f>
        <v>0</v>
      </c>
      <c r="W150" s="137">
        <f>IF(W$12="Actual",SUMIFS(ActualsTable[Month 21],ActualsTable[Expense Item2],$B150),SUMIFS(Expenses!BV$8:BV$69,Expenses!$O$8:$O$69,$B150)+SUMIFS(Headcount!AF$395:AF$1442,Headcount!$J$395:$J$1442,$B150))</f>
        <v>0</v>
      </c>
      <c r="X150" s="137">
        <f>IF(X$12="Actual",SUMIFS(ActualsTable[Month 22],ActualsTable[Expense Item2],$B150),SUMIFS(Expenses!BW$8:BW$69,Expenses!$O$8:$O$69,$B150)+SUMIFS(Headcount!AG$395:AG$1442,Headcount!$J$395:$J$1442,$B150))</f>
        <v>0</v>
      </c>
      <c r="Y150" s="137">
        <f>IF(Y$12="Actual",SUMIFS(ActualsTable[Month 23],ActualsTable[Expense Item2],$B150),SUMIFS(Expenses!BX$8:BX$69,Expenses!$O$8:$O$69,$B150)+SUMIFS(Headcount!AH$395:AH$1442,Headcount!$J$395:$J$1442,$B150))</f>
        <v>0</v>
      </c>
      <c r="Z150" s="137">
        <f>IF(Z$12="Actual",SUMIFS(ActualsTable[Month 24],ActualsTable[Expense Item2],$B150),SUMIFS(Expenses!BY$8:BY$69,Expenses!$O$8:$O$69,$B150)+SUMIFS(Headcount!AI$395:AI$1442,Headcount!$J$395:$J$1442,$B150))</f>
        <v>0</v>
      </c>
      <c r="AA150" s="137">
        <f>IF(AA$12="Actual",SUMIFS(ActualsTable[Month 25],ActualsTable[Expense Item2],$B150),SUMIFS(Expenses!BZ$8:BZ$69,Expenses!$O$8:$O$69,$B150)+SUMIFS(Headcount!AJ$395:AJ$1442,Headcount!$J$395:$J$1442,$B150))</f>
        <v>0</v>
      </c>
      <c r="AB150" s="137">
        <f>IF(AB$12="Actual",SUMIFS(ActualsTable[Month 26],ActualsTable[Expense Item2],$B150),SUMIFS(Expenses!CA$8:CA$69,Expenses!$O$8:$O$69,$B150)+SUMIFS(Headcount!AK$395:AK$1442,Headcount!$J$395:$J$1442,$B150))</f>
        <v>0</v>
      </c>
      <c r="AC150" s="137">
        <f>IF(AC$12="Actual",SUMIFS(ActualsTable[Month 27],ActualsTable[Expense Item2],$B150),SUMIFS(Expenses!CB$8:CB$69,Expenses!$O$8:$O$69,$B150)+SUMIFS(Headcount!AL$395:AL$1442,Headcount!$J$395:$J$1442,$B150))</f>
        <v>0</v>
      </c>
      <c r="AD150" s="137">
        <f>IF(AD$12="Actual",SUMIFS(ActualsTable[Month 28],ActualsTable[Expense Item2],$B150),SUMIFS(Expenses!CC$8:CC$69,Expenses!$O$8:$O$69,$B150)+SUMIFS(Headcount!AM$395:AM$1442,Headcount!$J$395:$J$1442,$B150))</f>
        <v>0</v>
      </c>
      <c r="AE150" s="137">
        <f>IF(AE$12="Actual",SUMIFS(ActualsTable[Month 29],ActualsTable[Expense Item2],$B150),SUMIFS(Expenses!CD$8:CD$69,Expenses!$O$8:$O$69,$B150)+SUMIFS(Headcount!AN$395:AN$1442,Headcount!$J$395:$J$1442,$B150))</f>
        <v>0</v>
      </c>
      <c r="AF150" s="137">
        <f>IF(AF$12="Actual",SUMIFS(ActualsTable[Month 30],ActualsTable[Expense Item2],$B150),SUMIFS(Expenses!CE$8:CE$69,Expenses!$O$8:$O$69,$B150)+SUMIFS(Headcount!AO$395:AO$1442,Headcount!$J$395:$J$1442,$B150))</f>
        <v>0</v>
      </c>
      <c r="AG150" s="137">
        <f>IF(AG$12="Actual",SUMIFS(ActualsTable[Month 31],ActualsTable[Expense Item2],$B150),SUMIFS(Expenses!CF$8:CF$69,Expenses!$O$8:$O$69,$B150)+SUMIFS(Headcount!AP$395:AP$1442,Headcount!$J$395:$J$1442,$B150))</f>
        <v>0</v>
      </c>
      <c r="AH150" s="137">
        <f>IF(AH$12="Actual",SUMIFS(ActualsTable[Month 32],ActualsTable[Expense Item2],$B150),SUMIFS(Expenses!CG$8:CG$69,Expenses!$O$8:$O$69,$B150)+SUMIFS(Headcount!AQ$395:AQ$1442,Headcount!$J$395:$J$1442,$B150))</f>
        <v>0</v>
      </c>
      <c r="AI150" s="137">
        <f>IF(AI$12="Actual",SUMIFS(ActualsTable[Month 33],ActualsTable[Expense Item2],$B150),SUMIFS(Expenses!CH$8:CH$69,Expenses!$O$8:$O$69,$B150)+SUMIFS(Headcount!AR$395:AR$1442,Headcount!$J$395:$J$1442,$B150))</f>
        <v>0</v>
      </c>
      <c r="AJ150" s="137">
        <f>IF(AJ$12="Actual",SUMIFS(ActualsTable[Month 34],ActualsTable[Expense Item2],$B150),SUMIFS(Expenses!CI$8:CI$69,Expenses!$O$8:$O$69,$B150)+SUMIFS(Headcount!AS$395:AS$1442,Headcount!$J$395:$J$1442,$B150))</f>
        <v>0</v>
      </c>
      <c r="AK150" s="137">
        <f>IF(AK$12="Actual",SUMIFS(ActualsTable[Month 35],ActualsTable[Expense Item2],$B150),SUMIFS(Expenses!CJ$8:CJ$69,Expenses!$O$8:$O$69,$B150)+SUMIFS(Headcount!AT$395:AT$1442,Headcount!$J$395:$J$1442,$B150))</f>
        <v>0</v>
      </c>
      <c r="AL150" s="293">
        <f>IF(AL$12="Actual",SUMIFS(ActualsTable[Month 36],ActualsTable[Expense Item2],$B150),SUMIFS(Expenses!CK$8:CK$69,Expenses!$O$8:$O$69,$B150)+SUMIFS(Headcount!AU$395:AU$1442,Headcount!$J$395:$J$1442,$B150))</f>
        <v>0</v>
      </c>
      <c r="AN150" s="319">
        <f t="shared" ca="1" si="254"/>
        <v>0</v>
      </c>
      <c r="AO150" s="137">
        <f t="shared" ca="1" si="254"/>
        <v>0</v>
      </c>
      <c r="AP150" s="137">
        <f t="shared" ca="1" si="254"/>
        <v>0</v>
      </c>
      <c r="AQ150" s="137">
        <f t="shared" ca="1" si="254"/>
        <v>0</v>
      </c>
      <c r="AR150" s="137">
        <f t="shared" ca="1" si="254"/>
        <v>0</v>
      </c>
      <c r="AS150" s="137">
        <f t="shared" ca="1" si="254"/>
        <v>0</v>
      </c>
      <c r="AT150" s="137">
        <f t="shared" ca="1" si="254"/>
        <v>0</v>
      </c>
      <c r="AU150" s="137">
        <f t="shared" ca="1" si="254"/>
        <v>0</v>
      </c>
      <c r="AV150" s="137">
        <f t="shared" ca="1" si="254"/>
        <v>0</v>
      </c>
      <c r="AW150" s="137">
        <f t="shared" ca="1" si="254"/>
        <v>0</v>
      </c>
      <c r="AX150" s="137">
        <f t="shared" ca="1" si="254"/>
        <v>0</v>
      </c>
      <c r="AY150" s="293">
        <f t="shared" ca="1" si="254"/>
        <v>0</v>
      </c>
      <c r="BA150" s="319">
        <f t="shared" ca="1" si="255"/>
        <v>0</v>
      </c>
      <c r="BB150" s="137">
        <f t="shared" ca="1" si="255"/>
        <v>0</v>
      </c>
      <c r="BC150" s="293">
        <f t="shared" ca="1" si="255"/>
        <v>0</v>
      </c>
    </row>
    <row r="151" spans="2:55" x14ac:dyDescent="0.35">
      <c r="B151" s="76" t="s">
        <v>180</v>
      </c>
      <c r="C151" s="137">
        <f>IF(C$12="Actual",SUMIFS(ActualsTable[Month 1],ActualsTable[Expense Item2],$B151),SUMIFS(Expenses!BB$8:BB$69,Expenses!$O$8:$O$69,$B151)+SUMIFS(Headcount!L$395:L$1442,Headcount!$J$395:$J$1442,$B151))</f>
        <v>0</v>
      </c>
      <c r="D151" s="137">
        <f>IF(D$12="Actual",SUMIFS(ActualsTable[Month 2],ActualsTable[Expense Item2],$B151),SUMIFS(Expenses!BC$8:BC$69,Expenses!$O$8:$O$69,$B151)+SUMIFS(Headcount!M$395:M$1442,Headcount!$J$395:$J$1442,$B151))</f>
        <v>0</v>
      </c>
      <c r="E151" s="137">
        <f>IF(E$12="Actual",SUMIFS(ActualsTable[Month 3],ActualsTable[Expense Item2],$B151),SUMIFS(Expenses!BD$8:BD$69,Expenses!$O$8:$O$69,$B151)+SUMIFS(Headcount!N$395:N$1442,Headcount!$J$395:$J$1442,$B151))</f>
        <v>0</v>
      </c>
      <c r="F151" s="137">
        <f>IF(F$12="Actual",SUMIFS(ActualsTable[Month 4],ActualsTable[Expense Item2],$B151),SUMIFS(Expenses!BE$8:BE$69,Expenses!$O$8:$O$69,$B151)+SUMIFS(Headcount!O$395:O$1442,Headcount!$J$395:$J$1442,$B151))</f>
        <v>0</v>
      </c>
      <c r="G151" s="137">
        <f>IF(G$12="Actual",SUMIFS(ActualsTable[Month 5],ActualsTable[Expense Item2],$B151),SUMIFS(Expenses!BF$8:BF$69,Expenses!$O$8:$O$69,$B151)+SUMIFS(Headcount!P$395:P$1442,Headcount!$J$395:$J$1442,$B151))</f>
        <v>0</v>
      </c>
      <c r="H151" s="137">
        <f>IF(H$12="Actual",SUMIFS(ActualsTable[Month 6],ActualsTable[Expense Item2],$B151),SUMIFS(Expenses!BG$8:BG$69,Expenses!$O$8:$O$69,$B151)+SUMIFS(Headcount!Q$395:Q$1442,Headcount!$J$395:$J$1442,$B151))</f>
        <v>0</v>
      </c>
      <c r="I151" s="137">
        <f>IF(I$12="Actual",SUMIFS(ActualsTable[Month 7],ActualsTable[Expense Item2],$B151),SUMIFS(Expenses!BH$8:BH$69,Expenses!$O$8:$O$69,$B151)+SUMIFS(Headcount!R$395:R$1442,Headcount!$J$395:$J$1442,$B151))</f>
        <v>0</v>
      </c>
      <c r="J151" s="137">
        <f>IF(J$12="Actual",SUMIFS(ActualsTable[Month 8],ActualsTable[Expense Item2],$B151),SUMIFS(Expenses!BI$8:BI$69,Expenses!$O$8:$O$69,$B151)+SUMIFS(Headcount!S$395:S$1442,Headcount!$J$395:$J$1442,$B151))</f>
        <v>0</v>
      </c>
      <c r="K151" s="137">
        <f>IF(K$12="Actual",SUMIFS(ActualsTable[Month 9],ActualsTable[Expense Item2],$B151),SUMIFS(Expenses!BJ$8:BJ$69,Expenses!$O$8:$O$69,$B151)+SUMIFS(Headcount!T$395:T$1442,Headcount!$J$395:$J$1442,$B151))</f>
        <v>0</v>
      </c>
      <c r="L151" s="137">
        <f>IF(L$12="Actual",SUMIFS(ActualsTable[Month 10],ActualsTable[Expense Item2],$B151),SUMIFS(Expenses!BK$8:BK$69,Expenses!$O$8:$O$69,$B151)+SUMIFS(Headcount!U$395:U$1442,Headcount!$J$395:$J$1442,$B151))</f>
        <v>0</v>
      </c>
      <c r="M151" s="137">
        <f>IF(M$12="Actual",SUMIFS(ActualsTable[Month 11],ActualsTable[Expense Item2],$B151),SUMIFS(Expenses!BL$8:BL$69,Expenses!$O$8:$O$69,$B151)+SUMIFS(Headcount!V$395:V$1442,Headcount!$J$395:$J$1442,$B151))</f>
        <v>0</v>
      </c>
      <c r="N151" s="137">
        <f>IF(N$12="Actual",SUMIFS(ActualsTable[Month 12],ActualsTable[Expense Item2],$B151),SUMIFS(Expenses!BM$8:BM$69,Expenses!$O$8:$O$69,$B151)+SUMIFS(Headcount!W$395:W$1442,Headcount!$J$395:$J$1442,$B151))</f>
        <v>0</v>
      </c>
      <c r="O151" s="137">
        <f>IF(O$12="Actual",SUMIFS(ActualsTable[Month 13],ActualsTable[Expense Item2],$B151),SUMIFS(Expenses!BN$8:BN$69,Expenses!$O$8:$O$69,$B151)+SUMIFS(Headcount!X$395:X$1442,Headcount!$J$395:$J$1442,$B151))</f>
        <v>0</v>
      </c>
      <c r="P151" s="137">
        <f>IF(P$12="Actual",SUMIFS(ActualsTable[Month 14],ActualsTable[Expense Item2],$B151),SUMIFS(Expenses!BO$8:BO$69,Expenses!$O$8:$O$69,$B151)+SUMIFS(Headcount!Y$395:Y$1442,Headcount!$J$395:$J$1442,$B151))</f>
        <v>0</v>
      </c>
      <c r="Q151" s="137">
        <f>IF(Q$12="Actual",SUMIFS(ActualsTable[Month 15],ActualsTable[Expense Item2],$B151),SUMIFS(Expenses!BP$8:BP$69,Expenses!$O$8:$O$69,$B151)+SUMIFS(Headcount!Z$395:Z$1442,Headcount!$J$395:$J$1442,$B151))</f>
        <v>0</v>
      </c>
      <c r="R151" s="137">
        <f>IF(R$12="Actual",SUMIFS(ActualsTable[Month 16],ActualsTable[Expense Item2],$B151),SUMIFS(Expenses!BQ$8:BQ$69,Expenses!$O$8:$O$69,$B151)+SUMIFS(Headcount!AA$395:AA$1442,Headcount!$J$395:$J$1442,$B151))</f>
        <v>0</v>
      </c>
      <c r="S151" s="137">
        <f>IF(S$12="Actual",SUMIFS(ActualsTable[Month 17],ActualsTable[Expense Item2],$B151),SUMIFS(Expenses!BR$8:BR$69,Expenses!$O$8:$O$69,$B151)+SUMIFS(Headcount!AB$395:AB$1442,Headcount!$J$395:$J$1442,$B151))</f>
        <v>0</v>
      </c>
      <c r="T151" s="137">
        <f>IF(T$12="Actual",SUMIFS(ActualsTable[Month 18],ActualsTable[Expense Item2],$B151),SUMIFS(Expenses!BS$8:BS$69,Expenses!$O$8:$O$69,$B151)+SUMIFS(Headcount!AC$395:AC$1442,Headcount!$J$395:$J$1442,$B151))</f>
        <v>0</v>
      </c>
      <c r="U151" s="137">
        <f>IF(U$12="Actual",SUMIFS(ActualsTable[Month 19],ActualsTable[Expense Item2],$B151),SUMIFS(Expenses!BT$8:BT$69,Expenses!$O$8:$O$69,$B151)+SUMIFS(Headcount!AD$395:AD$1442,Headcount!$J$395:$J$1442,$B151))</f>
        <v>0</v>
      </c>
      <c r="V151" s="137">
        <f>IF(V$12="Actual",SUMIFS(ActualsTable[Month 20],ActualsTable[Expense Item2],$B151),SUMIFS(Expenses!BU$8:BU$69,Expenses!$O$8:$O$69,$B151)+SUMIFS(Headcount!AE$395:AE$1442,Headcount!$J$395:$J$1442,$B151))</f>
        <v>0</v>
      </c>
      <c r="W151" s="137">
        <f>IF(W$12="Actual",SUMIFS(ActualsTable[Month 21],ActualsTable[Expense Item2],$B151),SUMIFS(Expenses!BV$8:BV$69,Expenses!$O$8:$O$69,$B151)+SUMIFS(Headcount!AF$395:AF$1442,Headcount!$J$395:$J$1442,$B151))</f>
        <v>0</v>
      </c>
      <c r="X151" s="137">
        <f>IF(X$12="Actual",SUMIFS(ActualsTable[Month 22],ActualsTable[Expense Item2],$B151),SUMIFS(Expenses!BW$8:BW$69,Expenses!$O$8:$O$69,$B151)+SUMIFS(Headcount!AG$395:AG$1442,Headcount!$J$395:$J$1442,$B151))</f>
        <v>0</v>
      </c>
      <c r="Y151" s="137">
        <f>IF(Y$12="Actual",SUMIFS(ActualsTable[Month 23],ActualsTable[Expense Item2],$B151),SUMIFS(Expenses!BX$8:BX$69,Expenses!$O$8:$O$69,$B151)+SUMIFS(Headcount!AH$395:AH$1442,Headcount!$J$395:$J$1442,$B151))</f>
        <v>0</v>
      </c>
      <c r="Z151" s="137">
        <f>IF(Z$12="Actual",SUMIFS(ActualsTable[Month 24],ActualsTable[Expense Item2],$B151),SUMIFS(Expenses!BY$8:BY$69,Expenses!$O$8:$O$69,$B151)+SUMIFS(Headcount!AI$395:AI$1442,Headcount!$J$395:$J$1442,$B151))</f>
        <v>0</v>
      </c>
      <c r="AA151" s="137">
        <f>IF(AA$12="Actual",SUMIFS(ActualsTable[Month 25],ActualsTable[Expense Item2],$B151),SUMIFS(Expenses!BZ$8:BZ$69,Expenses!$O$8:$O$69,$B151)+SUMIFS(Headcount!AJ$395:AJ$1442,Headcount!$J$395:$J$1442,$B151))</f>
        <v>0</v>
      </c>
      <c r="AB151" s="137">
        <f>IF(AB$12="Actual",SUMIFS(ActualsTable[Month 26],ActualsTable[Expense Item2],$B151),SUMIFS(Expenses!CA$8:CA$69,Expenses!$O$8:$O$69,$B151)+SUMIFS(Headcount!AK$395:AK$1442,Headcount!$J$395:$J$1442,$B151))</f>
        <v>0</v>
      </c>
      <c r="AC151" s="137">
        <f>IF(AC$12="Actual",SUMIFS(ActualsTable[Month 27],ActualsTable[Expense Item2],$B151),SUMIFS(Expenses!CB$8:CB$69,Expenses!$O$8:$O$69,$B151)+SUMIFS(Headcount!AL$395:AL$1442,Headcount!$J$395:$J$1442,$B151))</f>
        <v>0</v>
      </c>
      <c r="AD151" s="137">
        <f>IF(AD$12="Actual",SUMIFS(ActualsTable[Month 28],ActualsTable[Expense Item2],$B151),SUMIFS(Expenses!CC$8:CC$69,Expenses!$O$8:$O$69,$B151)+SUMIFS(Headcount!AM$395:AM$1442,Headcount!$J$395:$J$1442,$B151))</f>
        <v>0</v>
      </c>
      <c r="AE151" s="137">
        <f>IF(AE$12="Actual",SUMIFS(ActualsTable[Month 29],ActualsTable[Expense Item2],$B151),SUMIFS(Expenses!CD$8:CD$69,Expenses!$O$8:$O$69,$B151)+SUMIFS(Headcount!AN$395:AN$1442,Headcount!$J$395:$J$1442,$B151))</f>
        <v>0</v>
      </c>
      <c r="AF151" s="137">
        <f>IF(AF$12="Actual",SUMIFS(ActualsTable[Month 30],ActualsTable[Expense Item2],$B151),SUMIFS(Expenses!CE$8:CE$69,Expenses!$O$8:$O$69,$B151)+SUMIFS(Headcount!AO$395:AO$1442,Headcount!$J$395:$J$1442,$B151))</f>
        <v>0</v>
      </c>
      <c r="AG151" s="137">
        <f>IF(AG$12="Actual",SUMIFS(ActualsTable[Month 31],ActualsTable[Expense Item2],$B151),SUMIFS(Expenses!CF$8:CF$69,Expenses!$O$8:$O$69,$B151)+SUMIFS(Headcount!AP$395:AP$1442,Headcount!$J$395:$J$1442,$B151))</f>
        <v>0</v>
      </c>
      <c r="AH151" s="137">
        <f>IF(AH$12="Actual",SUMIFS(ActualsTable[Month 32],ActualsTable[Expense Item2],$B151),SUMIFS(Expenses!CG$8:CG$69,Expenses!$O$8:$O$69,$B151)+SUMIFS(Headcount!AQ$395:AQ$1442,Headcount!$J$395:$J$1442,$B151))</f>
        <v>0</v>
      </c>
      <c r="AI151" s="137">
        <f>IF(AI$12="Actual",SUMIFS(ActualsTable[Month 33],ActualsTable[Expense Item2],$B151),SUMIFS(Expenses!CH$8:CH$69,Expenses!$O$8:$O$69,$B151)+SUMIFS(Headcount!AR$395:AR$1442,Headcount!$J$395:$J$1442,$B151))</f>
        <v>0</v>
      </c>
      <c r="AJ151" s="137">
        <f>IF(AJ$12="Actual",SUMIFS(ActualsTable[Month 34],ActualsTable[Expense Item2],$B151),SUMIFS(Expenses!CI$8:CI$69,Expenses!$O$8:$O$69,$B151)+SUMIFS(Headcount!AS$395:AS$1442,Headcount!$J$395:$J$1442,$B151))</f>
        <v>0</v>
      </c>
      <c r="AK151" s="137">
        <f>IF(AK$12="Actual",SUMIFS(ActualsTable[Month 35],ActualsTable[Expense Item2],$B151),SUMIFS(Expenses!CJ$8:CJ$69,Expenses!$O$8:$O$69,$B151)+SUMIFS(Headcount!AT$395:AT$1442,Headcount!$J$395:$J$1442,$B151))</f>
        <v>0</v>
      </c>
      <c r="AL151" s="293">
        <f>IF(AL$12="Actual",SUMIFS(ActualsTable[Month 36],ActualsTable[Expense Item2],$B151),SUMIFS(Expenses!CK$8:CK$69,Expenses!$O$8:$O$69,$B151)+SUMIFS(Headcount!AU$395:AU$1442,Headcount!$J$395:$J$1442,$B151))</f>
        <v>0</v>
      </c>
      <c r="AN151" s="319">
        <f t="shared" ca="1" si="254"/>
        <v>0</v>
      </c>
      <c r="AO151" s="137">
        <f t="shared" ca="1" si="254"/>
        <v>0</v>
      </c>
      <c r="AP151" s="137">
        <f t="shared" ca="1" si="254"/>
        <v>0</v>
      </c>
      <c r="AQ151" s="137">
        <f t="shared" ca="1" si="254"/>
        <v>0</v>
      </c>
      <c r="AR151" s="137">
        <f t="shared" ca="1" si="254"/>
        <v>0</v>
      </c>
      <c r="AS151" s="137">
        <f t="shared" ca="1" si="254"/>
        <v>0</v>
      </c>
      <c r="AT151" s="137">
        <f t="shared" ca="1" si="254"/>
        <v>0</v>
      </c>
      <c r="AU151" s="137">
        <f t="shared" ca="1" si="254"/>
        <v>0</v>
      </c>
      <c r="AV151" s="137">
        <f t="shared" ca="1" si="254"/>
        <v>0</v>
      </c>
      <c r="AW151" s="137">
        <f t="shared" ca="1" si="254"/>
        <v>0</v>
      </c>
      <c r="AX151" s="137">
        <f t="shared" ca="1" si="254"/>
        <v>0</v>
      </c>
      <c r="AY151" s="293">
        <f t="shared" ca="1" si="254"/>
        <v>0</v>
      </c>
      <c r="BA151" s="319">
        <f t="shared" ca="1" si="255"/>
        <v>0</v>
      </c>
      <c r="BB151" s="137">
        <f t="shared" ca="1" si="255"/>
        <v>0</v>
      </c>
      <c r="BC151" s="293">
        <f t="shared" ca="1" si="255"/>
        <v>0</v>
      </c>
    </row>
    <row r="152" spans="2:55" x14ac:dyDescent="0.35">
      <c r="B152" s="76" t="s">
        <v>181</v>
      </c>
      <c r="C152" s="137">
        <f>IF(C$12="Actual",SUMIFS(ActualsTable[Month 1],ActualsTable[Expense Item2],$B152),SUMIFS(Expenses!BB$8:BB$69,Expenses!$O$8:$O$69,$B152)+SUMIFS(Headcount!L$395:L$1442,Headcount!$J$395:$J$1442,$B152))</f>
        <v>0</v>
      </c>
      <c r="D152" s="137">
        <f>IF(D$12="Actual",SUMIFS(ActualsTable[Month 2],ActualsTable[Expense Item2],$B152),SUMIFS(Expenses!BC$8:BC$69,Expenses!$O$8:$O$69,$B152)+SUMIFS(Headcount!M$395:M$1442,Headcount!$J$395:$J$1442,$B152))</f>
        <v>0</v>
      </c>
      <c r="E152" s="137">
        <f>IF(E$12="Actual",SUMIFS(ActualsTable[Month 3],ActualsTable[Expense Item2],$B152),SUMIFS(Expenses!BD$8:BD$69,Expenses!$O$8:$O$69,$B152)+SUMIFS(Headcount!N$395:N$1442,Headcount!$J$395:$J$1442,$B152))</f>
        <v>0</v>
      </c>
      <c r="F152" s="137">
        <f>IF(F$12="Actual",SUMIFS(ActualsTable[Month 4],ActualsTable[Expense Item2],$B152),SUMIFS(Expenses!BE$8:BE$69,Expenses!$O$8:$O$69,$B152)+SUMIFS(Headcount!O$395:O$1442,Headcount!$J$395:$J$1442,$B152))</f>
        <v>0</v>
      </c>
      <c r="G152" s="137">
        <f>IF(G$12="Actual",SUMIFS(ActualsTable[Month 5],ActualsTable[Expense Item2],$B152),SUMIFS(Expenses!BF$8:BF$69,Expenses!$O$8:$O$69,$B152)+SUMIFS(Headcount!P$395:P$1442,Headcount!$J$395:$J$1442,$B152))</f>
        <v>0</v>
      </c>
      <c r="H152" s="137">
        <f>IF(H$12="Actual",SUMIFS(ActualsTable[Month 6],ActualsTable[Expense Item2],$B152),SUMIFS(Expenses!BG$8:BG$69,Expenses!$O$8:$O$69,$B152)+SUMIFS(Headcount!Q$395:Q$1442,Headcount!$J$395:$J$1442,$B152))</f>
        <v>0</v>
      </c>
      <c r="I152" s="137">
        <f>IF(I$12="Actual",SUMIFS(ActualsTable[Month 7],ActualsTable[Expense Item2],$B152),SUMIFS(Expenses!BH$8:BH$69,Expenses!$O$8:$O$69,$B152)+SUMIFS(Headcount!R$395:R$1442,Headcount!$J$395:$J$1442,$B152))</f>
        <v>0</v>
      </c>
      <c r="J152" s="137">
        <f>IF(J$12="Actual",SUMIFS(ActualsTable[Month 8],ActualsTable[Expense Item2],$B152),SUMIFS(Expenses!BI$8:BI$69,Expenses!$O$8:$O$69,$B152)+SUMIFS(Headcount!S$395:S$1442,Headcount!$J$395:$J$1442,$B152))</f>
        <v>0</v>
      </c>
      <c r="K152" s="137">
        <f>IF(K$12="Actual",SUMIFS(ActualsTable[Month 9],ActualsTable[Expense Item2],$B152),SUMIFS(Expenses!BJ$8:BJ$69,Expenses!$O$8:$O$69,$B152)+SUMIFS(Headcount!T$395:T$1442,Headcount!$J$395:$J$1442,$B152))</f>
        <v>0</v>
      </c>
      <c r="L152" s="137">
        <f>IF(L$12="Actual",SUMIFS(ActualsTable[Month 10],ActualsTable[Expense Item2],$B152),SUMIFS(Expenses!BK$8:BK$69,Expenses!$O$8:$O$69,$B152)+SUMIFS(Headcount!U$395:U$1442,Headcount!$J$395:$J$1442,$B152))</f>
        <v>0</v>
      </c>
      <c r="M152" s="137">
        <f>IF(M$12="Actual",SUMIFS(ActualsTable[Month 11],ActualsTable[Expense Item2],$B152),SUMIFS(Expenses!BL$8:BL$69,Expenses!$O$8:$O$69,$B152)+SUMIFS(Headcount!V$395:V$1442,Headcount!$J$395:$J$1442,$B152))</f>
        <v>0</v>
      </c>
      <c r="N152" s="137">
        <f>IF(N$12="Actual",SUMIFS(ActualsTable[Month 12],ActualsTable[Expense Item2],$B152),SUMIFS(Expenses!BM$8:BM$69,Expenses!$O$8:$O$69,$B152)+SUMIFS(Headcount!W$395:W$1442,Headcount!$J$395:$J$1442,$B152))</f>
        <v>0</v>
      </c>
      <c r="O152" s="137">
        <f>IF(O$12="Actual",SUMIFS(ActualsTable[Month 13],ActualsTable[Expense Item2],$B152),SUMIFS(Expenses!BN$8:BN$69,Expenses!$O$8:$O$69,$B152)+SUMIFS(Headcount!X$395:X$1442,Headcount!$J$395:$J$1442,$B152))</f>
        <v>0</v>
      </c>
      <c r="P152" s="137">
        <f>IF(P$12="Actual",SUMIFS(ActualsTable[Month 14],ActualsTable[Expense Item2],$B152),SUMIFS(Expenses!BO$8:BO$69,Expenses!$O$8:$O$69,$B152)+SUMIFS(Headcount!Y$395:Y$1442,Headcount!$J$395:$J$1442,$B152))</f>
        <v>0</v>
      </c>
      <c r="Q152" s="137">
        <f>IF(Q$12="Actual",SUMIFS(ActualsTable[Month 15],ActualsTable[Expense Item2],$B152),SUMIFS(Expenses!BP$8:BP$69,Expenses!$O$8:$O$69,$B152)+SUMIFS(Headcount!Z$395:Z$1442,Headcount!$J$395:$J$1442,$B152))</f>
        <v>0</v>
      </c>
      <c r="R152" s="137">
        <f>IF(R$12="Actual",SUMIFS(ActualsTable[Month 16],ActualsTable[Expense Item2],$B152),SUMIFS(Expenses!BQ$8:BQ$69,Expenses!$O$8:$O$69,$B152)+SUMIFS(Headcount!AA$395:AA$1442,Headcount!$J$395:$J$1442,$B152))</f>
        <v>0</v>
      </c>
      <c r="S152" s="137">
        <f>IF(S$12="Actual",SUMIFS(ActualsTable[Month 17],ActualsTable[Expense Item2],$B152),SUMIFS(Expenses!BR$8:BR$69,Expenses!$O$8:$O$69,$B152)+SUMIFS(Headcount!AB$395:AB$1442,Headcount!$J$395:$J$1442,$B152))</f>
        <v>0</v>
      </c>
      <c r="T152" s="137">
        <f>IF(T$12="Actual",SUMIFS(ActualsTable[Month 18],ActualsTable[Expense Item2],$B152),SUMIFS(Expenses!BS$8:BS$69,Expenses!$O$8:$O$69,$B152)+SUMIFS(Headcount!AC$395:AC$1442,Headcount!$J$395:$J$1442,$B152))</f>
        <v>0</v>
      </c>
      <c r="U152" s="137">
        <f>IF(U$12="Actual",SUMIFS(ActualsTable[Month 19],ActualsTable[Expense Item2],$B152),SUMIFS(Expenses!BT$8:BT$69,Expenses!$O$8:$O$69,$B152)+SUMIFS(Headcount!AD$395:AD$1442,Headcount!$J$395:$J$1442,$B152))</f>
        <v>0</v>
      </c>
      <c r="V152" s="137">
        <f>IF(V$12="Actual",SUMIFS(ActualsTable[Month 20],ActualsTable[Expense Item2],$B152),SUMIFS(Expenses!BU$8:BU$69,Expenses!$O$8:$O$69,$B152)+SUMIFS(Headcount!AE$395:AE$1442,Headcount!$J$395:$J$1442,$B152))</f>
        <v>0</v>
      </c>
      <c r="W152" s="137">
        <f>IF(W$12="Actual",SUMIFS(ActualsTable[Month 21],ActualsTable[Expense Item2],$B152),SUMIFS(Expenses!BV$8:BV$69,Expenses!$O$8:$O$69,$B152)+SUMIFS(Headcount!AF$395:AF$1442,Headcount!$J$395:$J$1442,$B152))</f>
        <v>0</v>
      </c>
      <c r="X152" s="137">
        <f>IF(X$12="Actual",SUMIFS(ActualsTable[Month 22],ActualsTable[Expense Item2],$B152),SUMIFS(Expenses!BW$8:BW$69,Expenses!$O$8:$O$69,$B152)+SUMIFS(Headcount!AG$395:AG$1442,Headcount!$J$395:$J$1442,$B152))</f>
        <v>0</v>
      </c>
      <c r="Y152" s="137">
        <f>IF(Y$12="Actual",SUMIFS(ActualsTable[Month 23],ActualsTable[Expense Item2],$B152),SUMIFS(Expenses!BX$8:BX$69,Expenses!$O$8:$O$69,$B152)+SUMIFS(Headcount!AH$395:AH$1442,Headcount!$J$395:$J$1442,$B152))</f>
        <v>0</v>
      </c>
      <c r="Z152" s="137">
        <f>IF(Z$12="Actual",SUMIFS(ActualsTable[Month 24],ActualsTable[Expense Item2],$B152),SUMIFS(Expenses!BY$8:BY$69,Expenses!$O$8:$O$69,$B152)+SUMIFS(Headcount!AI$395:AI$1442,Headcount!$J$395:$J$1442,$B152))</f>
        <v>0</v>
      </c>
      <c r="AA152" s="137">
        <f>IF(AA$12="Actual",SUMIFS(ActualsTable[Month 25],ActualsTable[Expense Item2],$B152),SUMIFS(Expenses!BZ$8:BZ$69,Expenses!$O$8:$O$69,$B152)+SUMIFS(Headcount!AJ$395:AJ$1442,Headcount!$J$395:$J$1442,$B152))</f>
        <v>0</v>
      </c>
      <c r="AB152" s="137">
        <f>IF(AB$12="Actual",SUMIFS(ActualsTable[Month 26],ActualsTable[Expense Item2],$B152),SUMIFS(Expenses!CA$8:CA$69,Expenses!$O$8:$O$69,$B152)+SUMIFS(Headcount!AK$395:AK$1442,Headcount!$J$395:$J$1442,$B152))</f>
        <v>0</v>
      </c>
      <c r="AC152" s="137">
        <f>IF(AC$12="Actual",SUMIFS(ActualsTable[Month 27],ActualsTable[Expense Item2],$B152),SUMIFS(Expenses!CB$8:CB$69,Expenses!$O$8:$O$69,$B152)+SUMIFS(Headcount!AL$395:AL$1442,Headcount!$J$395:$J$1442,$B152))</f>
        <v>0</v>
      </c>
      <c r="AD152" s="137">
        <f>IF(AD$12="Actual",SUMIFS(ActualsTable[Month 28],ActualsTable[Expense Item2],$B152),SUMIFS(Expenses!CC$8:CC$69,Expenses!$O$8:$O$69,$B152)+SUMIFS(Headcount!AM$395:AM$1442,Headcount!$J$395:$J$1442,$B152))</f>
        <v>0</v>
      </c>
      <c r="AE152" s="137">
        <f>IF(AE$12="Actual",SUMIFS(ActualsTable[Month 29],ActualsTable[Expense Item2],$B152),SUMIFS(Expenses!CD$8:CD$69,Expenses!$O$8:$O$69,$B152)+SUMIFS(Headcount!AN$395:AN$1442,Headcount!$J$395:$J$1442,$B152))</f>
        <v>0</v>
      </c>
      <c r="AF152" s="137">
        <f>IF(AF$12="Actual",SUMIFS(ActualsTable[Month 30],ActualsTable[Expense Item2],$B152),SUMIFS(Expenses!CE$8:CE$69,Expenses!$O$8:$O$69,$B152)+SUMIFS(Headcount!AO$395:AO$1442,Headcount!$J$395:$J$1442,$B152))</f>
        <v>0</v>
      </c>
      <c r="AG152" s="137">
        <f>IF(AG$12="Actual",SUMIFS(ActualsTable[Month 31],ActualsTable[Expense Item2],$B152),SUMIFS(Expenses!CF$8:CF$69,Expenses!$O$8:$O$69,$B152)+SUMIFS(Headcount!AP$395:AP$1442,Headcount!$J$395:$J$1442,$B152))</f>
        <v>0</v>
      </c>
      <c r="AH152" s="137">
        <f>IF(AH$12="Actual",SUMIFS(ActualsTable[Month 32],ActualsTable[Expense Item2],$B152),SUMIFS(Expenses!CG$8:CG$69,Expenses!$O$8:$O$69,$B152)+SUMIFS(Headcount!AQ$395:AQ$1442,Headcount!$J$395:$J$1442,$B152))</f>
        <v>0</v>
      </c>
      <c r="AI152" s="137">
        <f>IF(AI$12="Actual",SUMIFS(ActualsTable[Month 33],ActualsTable[Expense Item2],$B152),SUMIFS(Expenses!CH$8:CH$69,Expenses!$O$8:$O$69,$B152)+SUMIFS(Headcount!AR$395:AR$1442,Headcount!$J$395:$J$1442,$B152))</f>
        <v>0</v>
      </c>
      <c r="AJ152" s="137">
        <f>IF(AJ$12="Actual",SUMIFS(ActualsTable[Month 34],ActualsTable[Expense Item2],$B152),SUMIFS(Expenses!CI$8:CI$69,Expenses!$O$8:$O$69,$B152)+SUMIFS(Headcount!AS$395:AS$1442,Headcount!$J$395:$J$1442,$B152))</f>
        <v>0</v>
      </c>
      <c r="AK152" s="137">
        <f>IF(AK$12="Actual",SUMIFS(ActualsTable[Month 35],ActualsTable[Expense Item2],$B152),SUMIFS(Expenses!CJ$8:CJ$69,Expenses!$O$8:$O$69,$B152)+SUMIFS(Headcount!AT$395:AT$1442,Headcount!$J$395:$J$1442,$B152))</f>
        <v>0</v>
      </c>
      <c r="AL152" s="293">
        <f>IF(AL$12="Actual",SUMIFS(ActualsTable[Month 36],ActualsTable[Expense Item2],$B152),SUMIFS(Expenses!CK$8:CK$69,Expenses!$O$8:$O$69,$B152)+SUMIFS(Headcount!AU$395:AU$1442,Headcount!$J$395:$J$1442,$B152))</f>
        <v>0</v>
      </c>
      <c r="AN152" s="319">
        <f t="shared" ca="1" si="254"/>
        <v>0</v>
      </c>
      <c r="AO152" s="137">
        <f t="shared" ca="1" si="254"/>
        <v>0</v>
      </c>
      <c r="AP152" s="137">
        <f t="shared" ca="1" si="254"/>
        <v>0</v>
      </c>
      <c r="AQ152" s="137">
        <f t="shared" ca="1" si="254"/>
        <v>0</v>
      </c>
      <c r="AR152" s="137">
        <f t="shared" ca="1" si="254"/>
        <v>0</v>
      </c>
      <c r="AS152" s="137">
        <f t="shared" ca="1" si="254"/>
        <v>0</v>
      </c>
      <c r="AT152" s="137">
        <f t="shared" ca="1" si="254"/>
        <v>0</v>
      </c>
      <c r="AU152" s="137">
        <f t="shared" ca="1" si="254"/>
        <v>0</v>
      </c>
      <c r="AV152" s="137">
        <f t="shared" ca="1" si="254"/>
        <v>0</v>
      </c>
      <c r="AW152" s="137">
        <f t="shared" ca="1" si="254"/>
        <v>0</v>
      </c>
      <c r="AX152" s="137">
        <f t="shared" ca="1" si="254"/>
        <v>0</v>
      </c>
      <c r="AY152" s="293">
        <f t="shared" ca="1" si="254"/>
        <v>0</v>
      </c>
      <c r="BA152" s="319">
        <f t="shared" ca="1" si="255"/>
        <v>0</v>
      </c>
      <c r="BB152" s="137">
        <f t="shared" ca="1" si="255"/>
        <v>0</v>
      </c>
      <c r="BC152" s="293">
        <f t="shared" ca="1" si="255"/>
        <v>0</v>
      </c>
    </row>
    <row r="153" spans="2:55" x14ac:dyDescent="0.35">
      <c r="B153" s="77" t="s">
        <v>182</v>
      </c>
      <c r="C153" s="140">
        <f t="shared" ref="C153:AT153" si="256">SUM(C154,C157)</f>
        <v>0</v>
      </c>
      <c r="D153" s="140">
        <f t="shared" ref="D153:AL153" si="257">SUM(D154,D157)</f>
        <v>0</v>
      </c>
      <c r="E153" s="140">
        <f t="shared" si="257"/>
        <v>0</v>
      </c>
      <c r="F153" s="140">
        <f t="shared" si="257"/>
        <v>0</v>
      </c>
      <c r="G153" s="140">
        <f t="shared" si="257"/>
        <v>0</v>
      </c>
      <c r="H153" s="140">
        <f t="shared" si="257"/>
        <v>0</v>
      </c>
      <c r="I153" s="140">
        <f t="shared" si="257"/>
        <v>0</v>
      </c>
      <c r="J153" s="140">
        <f t="shared" si="257"/>
        <v>0</v>
      </c>
      <c r="K153" s="140">
        <f t="shared" si="257"/>
        <v>0</v>
      </c>
      <c r="L153" s="140">
        <f t="shared" si="257"/>
        <v>0</v>
      </c>
      <c r="M153" s="140">
        <f t="shared" si="257"/>
        <v>0</v>
      </c>
      <c r="N153" s="140">
        <f t="shared" si="257"/>
        <v>0</v>
      </c>
      <c r="O153" s="140">
        <f t="shared" si="257"/>
        <v>0</v>
      </c>
      <c r="P153" s="140">
        <f t="shared" si="257"/>
        <v>0</v>
      </c>
      <c r="Q153" s="140">
        <f t="shared" si="257"/>
        <v>0</v>
      </c>
      <c r="R153" s="140">
        <f t="shared" si="257"/>
        <v>0</v>
      </c>
      <c r="S153" s="140">
        <f t="shared" si="257"/>
        <v>0</v>
      </c>
      <c r="T153" s="140">
        <f t="shared" si="257"/>
        <v>0</v>
      </c>
      <c r="U153" s="140">
        <f t="shared" si="257"/>
        <v>0</v>
      </c>
      <c r="V153" s="140">
        <f t="shared" si="257"/>
        <v>0</v>
      </c>
      <c r="W153" s="140">
        <f t="shared" si="257"/>
        <v>0</v>
      </c>
      <c r="X153" s="140">
        <f t="shared" si="257"/>
        <v>0</v>
      </c>
      <c r="Y153" s="140">
        <f t="shared" si="257"/>
        <v>0</v>
      </c>
      <c r="Z153" s="140">
        <f t="shared" si="257"/>
        <v>0</v>
      </c>
      <c r="AA153" s="140">
        <f t="shared" si="257"/>
        <v>0</v>
      </c>
      <c r="AB153" s="140">
        <f t="shared" si="257"/>
        <v>0</v>
      </c>
      <c r="AC153" s="140">
        <f t="shared" si="257"/>
        <v>0</v>
      </c>
      <c r="AD153" s="140">
        <f t="shared" si="257"/>
        <v>0</v>
      </c>
      <c r="AE153" s="140">
        <f t="shared" si="257"/>
        <v>0</v>
      </c>
      <c r="AF153" s="140">
        <f t="shared" si="257"/>
        <v>0</v>
      </c>
      <c r="AG153" s="140">
        <f t="shared" si="257"/>
        <v>0</v>
      </c>
      <c r="AH153" s="140">
        <f t="shared" si="257"/>
        <v>0</v>
      </c>
      <c r="AI153" s="140">
        <f t="shared" si="257"/>
        <v>0</v>
      </c>
      <c r="AJ153" s="140">
        <f t="shared" si="257"/>
        <v>0</v>
      </c>
      <c r="AK153" s="140">
        <f t="shared" si="257"/>
        <v>0</v>
      </c>
      <c r="AL153" s="301">
        <f t="shared" si="257"/>
        <v>0</v>
      </c>
      <c r="AN153" s="327">
        <f t="shared" ca="1" si="256"/>
        <v>0</v>
      </c>
      <c r="AO153" s="140">
        <f t="shared" ca="1" si="256"/>
        <v>0</v>
      </c>
      <c r="AP153" s="140">
        <f t="shared" ca="1" si="256"/>
        <v>0</v>
      </c>
      <c r="AQ153" s="140">
        <f t="shared" ca="1" si="256"/>
        <v>0</v>
      </c>
      <c r="AR153" s="140">
        <f t="shared" ca="1" si="256"/>
        <v>0</v>
      </c>
      <c r="AS153" s="140">
        <f t="shared" ca="1" si="256"/>
        <v>0</v>
      </c>
      <c r="AT153" s="140">
        <f t="shared" ca="1" si="256"/>
        <v>0</v>
      </c>
      <c r="AU153" s="140">
        <f t="shared" ref="AU153:AY153" ca="1" si="258">SUM(AU154,AU157)</f>
        <v>0</v>
      </c>
      <c r="AV153" s="140">
        <f t="shared" ca="1" si="258"/>
        <v>0</v>
      </c>
      <c r="AW153" s="140">
        <f t="shared" ca="1" si="258"/>
        <v>0</v>
      </c>
      <c r="AX153" s="140">
        <f t="shared" ca="1" si="258"/>
        <v>0</v>
      </c>
      <c r="AY153" s="301">
        <f t="shared" ca="1" si="258"/>
        <v>0</v>
      </c>
      <c r="BA153" s="327">
        <f t="shared" ref="BA153" ca="1" si="259">SUM(BA154,BA157)</f>
        <v>0</v>
      </c>
      <c r="BB153" s="140">
        <f t="shared" ref="BB153:BC153" ca="1" si="260">SUM(BB154,BB157)</f>
        <v>0</v>
      </c>
      <c r="BC153" s="301">
        <f t="shared" ca="1" si="260"/>
        <v>0</v>
      </c>
    </row>
    <row r="154" spans="2:55" x14ac:dyDescent="0.35">
      <c r="B154" s="79" t="s">
        <v>183</v>
      </c>
      <c r="C154" s="131">
        <f t="shared" ref="C154:AN154" si="261">SUM(C155:C156)</f>
        <v>0</v>
      </c>
      <c r="D154" s="131">
        <f t="shared" ref="D154:AL154" si="262">SUM(D155:D156)</f>
        <v>0</v>
      </c>
      <c r="E154" s="131">
        <f t="shared" si="262"/>
        <v>0</v>
      </c>
      <c r="F154" s="131">
        <f t="shared" si="262"/>
        <v>0</v>
      </c>
      <c r="G154" s="131">
        <f t="shared" si="262"/>
        <v>0</v>
      </c>
      <c r="H154" s="131">
        <f t="shared" si="262"/>
        <v>0</v>
      </c>
      <c r="I154" s="131">
        <f t="shared" si="262"/>
        <v>0</v>
      </c>
      <c r="J154" s="131">
        <f t="shared" si="262"/>
        <v>0</v>
      </c>
      <c r="K154" s="131">
        <f t="shared" si="262"/>
        <v>0</v>
      </c>
      <c r="L154" s="131">
        <f t="shared" si="262"/>
        <v>0</v>
      </c>
      <c r="M154" s="131">
        <f t="shared" si="262"/>
        <v>0</v>
      </c>
      <c r="N154" s="131">
        <f t="shared" si="262"/>
        <v>0</v>
      </c>
      <c r="O154" s="131">
        <f t="shared" si="262"/>
        <v>0</v>
      </c>
      <c r="P154" s="131">
        <f t="shared" si="262"/>
        <v>0</v>
      </c>
      <c r="Q154" s="131">
        <f t="shared" si="262"/>
        <v>0</v>
      </c>
      <c r="R154" s="131">
        <f t="shared" si="262"/>
        <v>0</v>
      </c>
      <c r="S154" s="131">
        <f t="shared" si="262"/>
        <v>0</v>
      </c>
      <c r="T154" s="131">
        <f t="shared" si="262"/>
        <v>0</v>
      </c>
      <c r="U154" s="131">
        <f t="shared" si="262"/>
        <v>0</v>
      </c>
      <c r="V154" s="131">
        <f t="shared" si="262"/>
        <v>0</v>
      </c>
      <c r="W154" s="131">
        <f t="shared" si="262"/>
        <v>0</v>
      </c>
      <c r="X154" s="131">
        <f t="shared" si="262"/>
        <v>0</v>
      </c>
      <c r="Y154" s="131">
        <f t="shared" si="262"/>
        <v>0</v>
      </c>
      <c r="Z154" s="131">
        <f t="shared" si="262"/>
        <v>0</v>
      </c>
      <c r="AA154" s="131">
        <f t="shared" si="262"/>
        <v>0</v>
      </c>
      <c r="AB154" s="131">
        <f t="shared" si="262"/>
        <v>0</v>
      </c>
      <c r="AC154" s="131">
        <f t="shared" si="262"/>
        <v>0</v>
      </c>
      <c r="AD154" s="131">
        <f t="shared" si="262"/>
        <v>0</v>
      </c>
      <c r="AE154" s="131">
        <f t="shared" si="262"/>
        <v>0</v>
      </c>
      <c r="AF154" s="131">
        <f t="shared" si="262"/>
        <v>0</v>
      </c>
      <c r="AG154" s="131">
        <f t="shared" si="262"/>
        <v>0</v>
      </c>
      <c r="AH154" s="131">
        <f t="shared" si="262"/>
        <v>0</v>
      </c>
      <c r="AI154" s="131">
        <f t="shared" si="262"/>
        <v>0</v>
      </c>
      <c r="AJ154" s="131">
        <f t="shared" si="262"/>
        <v>0</v>
      </c>
      <c r="AK154" s="131">
        <f t="shared" si="262"/>
        <v>0</v>
      </c>
      <c r="AL154" s="291">
        <f t="shared" si="262"/>
        <v>0</v>
      </c>
      <c r="AN154" s="317">
        <f t="shared" ca="1" si="261"/>
        <v>0</v>
      </c>
      <c r="AO154" s="131">
        <f t="shared" ref="AO154:AT154" ca="1" si="263">SUM(AO155:AO156)</f>
        <v>0</v>
      </c>
      <c r="AP154" s="131">
        <f t="shared" ca="1" si="263"/>
        <v>0</v>
      </c>
      <c r="AQ154" s="131">
        <f t="shared" ca="1" si="263"/>
        <v>0</v>
      </c>
      <c r="AR154" s="131">
        <f t="shared" ca="1" si="263"/>
        <v>0</v>
      </c>
      <c r="AS154" s="131">
        <f t="shared" ca="1" si="263"/>
        <v>0</v>
      </c>
      <c r="AT154" s="131">
        <f t="shared" ca="1" si="263"/>
        <v>0</v>
      </c>
      <c r="AU154" s="131">
        <f t="shared" ref="AU154:AY154" ca="1" si="264">SUM(AU155:AU156)</f>
        <v>0</v>
      </c>
      <c r="AV154" s="131">
        <f t="shared" ca="1" si="264"/>
        <v>0</v>
      </c>
      <c r="AW154" s="131">
        <f t="shared" ca="1" si="264"/>
        <v>0</v>
      </c>
      <c r="AX154" s="131">
        <f t="shared" ca="1" si="264"/>
        <v>0</v>
      </c>
      <c r="AY154" s="291">
        <f t="shared" ca="1" si="264"/>
        <v>0</v>
      </c>
      <c r="BA154" s="317">
        <f t="shared" ref="BA154" ca="1" si="265">SUM(BA155:BA156)</f>
        <v>0</v>
      </c>
      <c r="BB154" s="131">
        <f t="shared" ref="BB154:BC154" ca="1" si="266">SUM(BB155:BB156)</f>
        <v>0</v>
      </c>
      <c r="BC154" s="291">
        <f t="shared" ca="1" si="266"/>
        <v>0</v>
      </c>
    </row>
    <row r="155" spans="2:55" x14ac:dyDescent="0.35">
      <c r="B155" s="80" t="s">
        <v>184</v>
      </c>
      <c r="C155" s="137">
        <f>IF(C$12="Actual",SUMIFS(ActualsTable[Month 1],ActualsTable[Expense Item2],$B155),SUMIFS(Expenses!BB$8:BB$69,Expenses!$O$8:$O$69,$B155)+SUMIFS(Headcount!L$395:L$1442,Headcount!$J$395:$J$1442,$B155))</f>
        <v>0</v>
      </c>
      <c r="D155" s="137">
        <f>IF(D$12="Actual",SUMIFS(ActualsTable[Month 2],ActualsTable[Expense Item2],$B155),SUMIFS(Expenses!BC$8:BC$69,Expenses!$O$8:$O$69,$B155)+SUMIFS(Headcount!M$395:M$1442,Headcount!$J$395:$J$1442,$B155))</f>
        <v>0</v>
      </c>
      <c r="E155" s="137">
        <f>IF(E$12="Actual",SUMIFS(ActualsTable[Month 3],ActualsTable[Expense Item2],$B155),SUMIFS(Expenses!BD$8:BD$69,Expenses!$O$8:$O$69,$B155)+SUMIFS(Headcount!N$395:N$1442,Headcount!$J$395:$J$1442,$B155))</f>
        <v>0</v>
      </c>
      <c r="F155" s="137">
        <f>IF(F$12="Actual",SUMIFS(ActualsTable[Month 4],ActualsTable[Expense Item2],$B155),SUMIFS(Expenses!BE$8:BE$69,Expenses!$O$8:$O$69,$B155)+SUMIFS(Headcount!O$395:O$1442,Headcount!$J$395:$J$1442,$B155))</f>
        <v>0</v>
      </c>
      <c r="G155" s="137">
        <f>IF(G$12="Actual",SUMIFS(ActualsTable[Month 5],ActualsTable[Expense Item2],$B155),SUMIFS(Expenses!BF$8:BF$69,Expenses!$O$8:$O$69,$B155)+SUMIFS(Headcount!P$395:P$1442,Headcount!$J$395:$J$1442,$B155))</f>
        <v>0</v>
      </c>
      <c r="H155" s="137">
        <f>IF(H$12="Actual",SUMIFS(ActualsTable[Month 6],ActualsTable[Expense Item2],$B155),SUMIFS(Expenses!BG$8:BG$69,Expenses!$O$8:$O$69,$B155)+SUMIFS(Headcount!Q$395:Q$1442,Headcount!$J$395:$J$1442,$B155))</f>
        <v>0</v>
      </c>
      <c r="I155" s="137">
        <f>IF(I$12="Actual",SUMIFS(ActualsTable[Month 7],ActualsTable[Expense Item2],$B155),SUMIFS(Expenses!BH$8:BH$69,Expenses!$O$8:$O$69,$B155)+SUMIFS(Headcount!R$395:R$1442,Headcount!$J$395:$J$1442,$B155))</f>
        <v>0</v>
      </c>
      <c r="J155" s="137">
        <f>IF(J$12="Actual",SUMIFS(ActualsTable[Month 8],ActualsTable[Expense Item2],$B155),SUMIFS(Expenses!BI$8:BI$69,Expenses!$O$8:$O$69,$B155)+SUMIFS(Headcount!S$395:S$1442,Headcount!$J$395:$J$1442,$B155))</f>
        <v>0</v>
      </c>
      <c r="K155" s="137">
        <f>IF(K$12="Actual",SUMIFS(ActualsTable[Month 9],ActualsTable[Expense Item2],$B155),SUMIFS(Expenses!BJ$8:BJ$69,Expenses!$O$8:$O$69,$B155)+SUMIFS(Headcount!T$395:T$1442,Headcount!$J$395:$J$1442,$B155))</f>
        <v>0</v>
      </c>
      <c r="L155" s="137">
        <f>IF(L$12="Actual",SUMIFS(ActualsTable[Month 10],ActualsTable[Expense Item2],$B155),SUMIFS(Expenses!BK$8:BK$69,Expenses!$O$8:$O$69,$B155)+SUMIFS(Headcount!U$395:U$1442,Headcount!$J$395:$J$1442,$B155))</f>
        <v>0</v>
      </c>
      <c r="M155" s="137">
        <f>IF(M$12="Actual",SUMIFS(ActualsTable[Month 11],ActualsTable[Expense Item2],$B155),SUMIFS(Expenses!BL$8:BL$69,Expenses!$O$8:$O$69,$B155)+SUMIFS(Headcount!V$395:V$1442,Headcount!$J$395:$J$1442,$B155))</f>
        <v>0</v>
      </c>
      <c r="N155" s="137">
        <f>IF(N$12="Actual",SUMIFS(ActualsTable[Month 12],ActualsTable[Expense Item2],$B155),SUMIFS(Expenses!BM$8:BM$69,Expenses!$O$8:$O$69,$B155)+SUMIFS(Headcount!W$395:W$1442,Headcount!$J$395:$J$1442,$B155))</f>
        <v>0</v>
      </c>
      <c r="O155" s="137">
        <f>IF(O$12="Actual",SUMIFS(ActualsTable[Month 13],ActualsTable[Expense Item2],$B155),SUMIFS(Expenses!BN$8:BN$69,Expenses!$O$8:$O$69,$B155)+SUMIFS(Headcount!X$395:X$1442,Headcount!$J$395:$J$1442,$B155))</f>
        <v>0</v>
      </c>
      <c r="P155" s="137">
        <f>IF(P$12="Actual",SUMIFS(ActualsTable[Month 14],ActualsTable[Expense Item2],$B155),SUMIFS(Expenses!BO$8:BO$69,Expenses!$O$8:$O$69,$B155)+SUMIFS(Headcount!Y$395:Y$1442,Headcount!$J$395:$J$1442,$B155))</f>
        <v>0</v>
      </c>
      <c r="Q155" s="137">
        <f>IF(Q$12="Actual",SUMIFS(ActualsTable[Month 15],ActualsTable[Expense Item2],$B155),SUMIFS(Expenses!BP$8:BP$69,Expenses!$O$8:$O$69,$B155)+SUMIFS(Headcount!Z$395:Z$1442,Headcount!$J$395:$J$1442,$B155))</f>
        <v>0</v>
      </c>
      <c r="R155" s="137">
        <f>IF(R$12="Actual",SUMIFS(ActualsTable[Month 16],ActualsTable[Expense Item2],$B155),SUMIFS(Expenses!BQ$8:BQ$69,Expenses!$O$8:$O$69,$B155)+SUMIFS(Headcount!AA$395:AA$1442,Headcount!$J$395:$J$1442,$B155))</f>
        <v>0</v>
      </c>
      <c r="S155" s="137">
        <f>IF(S$12="Actual",SUMIFS(ActualsTable[Month 17],ActualsTable[Expense Item2],$B155),SUMIFS(Expenses!BR$8:BR$69,Expenses!$O$8:$O$69,$B155)+SUMIFS(Headcount!AB$395:AB$1442,Headcount!$J$395:$J$1442,$B155))</f>
        <v>0</v>
      </c>
      <c r="T155" s="137">
        <f>IF(T$12="Actual",SUMIFS(ActualsTable[Month 18],ActualsTable[Expense Item2],$B155),SUMIFS(Expenses!BS$8:BS$69,Expenses!$O$8:$O$69,$B155)+SUMIFS(Headcount!AC$395:AC$1442,Headcount!$J$395:$J$1442,$B155))</f>
        <v>0</v>
      </c>
      <c r="U155" s="137">
        <f>IF(U$12="Actual",SUMIFS(ActualsTable[Month 19],ActualsTable[Expense Item2],$B155),SUMIFS(Expenses!BT$8:BT$69,Expenses!$O$8:$O$69,$B155)+SUMIFS(Headcount!AD$395:AD$1442,Headcount!$J$395:$J$1442,$B155))</f>
        <v>0</v>
      </c>
      <c r="V155" s="137">
        <f>IF(V$12="Actual",SUMIFS(ActualsTable[Month 20],ActualsTable[Expense Item2],$B155),SUMIFS(Expenses!BU$8:BU$69,Expenses!$O$8:$O$69,$B155)+SUMIFS(Headcount!AE$395:AE$1442,Headcount!$J$395:$J$1442,$B155))</f>
        <v>0</v>
      </c>
      <c r="W155" s="137">
        <f>IF(W$12="Actual",SUMIFS(ActualsTable[Month 21],ActualsTable[Expense Item2],$B155),SUMIFS(Expenses!BV$8:BV$69,Expenses!$O$8:$O$69,$B155)+SUMIFS(Headcount!AF$395:AF$1442,Headcount!$J$395:$J$1442,$B155))</f>
        <v>0</v>
      </c>
      <c r="X155" s="137">
        <f>IF(X$12="Actual",SUMIFS(ActualsTable[Month 22],ActualsTable[Expense Item2],$B155),SUMIFS(Expenses!BW$8:BW$69,Expenses!$O$8:$O$69,$B155)+SUMIFS(Headcount!AG$395:AG$1442,Headcount!$J$395:$J$1442,$B155))</f>
        <v>0</v>
      </c>
      <c r="Y155" s="137">
        <f>IF(Y$12="Actual",SUMIFS(ActualsTable[Month 23],ActualsTable[Expense Item2],$B155),SUMIFS(Expenses!BX$8:BX$69,Expenses!$O$8:$O$69,$B155)+SUMIFS(Headcount!AH$395:AH$1442,Headcount!$J$395:$J$1442,$B155))</f>
        <v>0</v>
      </c>
      <c r="Z155" s="137">
        <f>IF(Z$12="Actual",SUMIFS(ActualsTable[Month 24],ActualsTable[Expense Item2],$B155),SUMIFS(Expenses!BY$8:BY$69,Expenses!$O$8:$O$69,$B155)+SUMIFS(Headcount!AI$395:AI$1442,Headcount!$J$395:$J$1442,$B155))</f>
        <v>0</v>
      </c>
      <c r="AA155" s="137">
        <f>IF(AA$12="Actual",SUMIFS(ActualsTable[Month 25],ActualsTable[Expense Item2],$B155),SUMIFS(Expenses!BZ$8:BZ$69,Expenses!$O$8:$O$69,$B155)+SUMIFS(Headcount!AJ$395:AJ$1442,Headcount!$J$395:$J$1442,$B155))</f>
        <v>0</v>
      </c>
      <c r="AB155" s="137">
        <f>IF(AB$12="Actual",SUMIFS(ActualsTable[Month 26],ActualsTable[Expense Item2],$B155),SUMIFS(Expenses!CA$8:CA$69,Expenses!$O$8:$O$69,$B155)+SUMIFS(Headcount!AK$395:AK$1442,Headcount!$J$395:$J$1442,$B155))</f>
        <v>0</v>
      </c>
      <c r="AC155" s="137">
        <f>IF(AC$12="Actual",SUMIFS(ActualsTable[Month 27],ActualsTable[Expense Item2],$B155),SUMIFS(Expenses!CB$8:CB$69,Expenses!$O$8:$O$69,$B155)+SUMIFS(Headcount!AL$395:AL$1442,Headcount!$J$395:$J$1442,$B155))</f>
        <v>0</v>
      </c>
      <c r="AD155" s="137">
        <f>IF(AD$12="Actual",SUMIFS(ActualsTable[Month 28],ActualsTable[Expense Item2],$B155),SUMIFS(Expenses!CC$8:CC$69,Expenses!$O$8:$O$69,$B155)+SUMIFS(Headcount!AM$395:AM$1442,Headcount!$J$395:$J$1442,$B155))</f>
        <v>0</v>
      </c>
      <c r="AE155" s="137">
        <f>IF(AE$12="Actual",SUMIFS(ActualsTable[Month 29],ActualsTable[Expense Item2],$B155),SUMIFS(Expenses!CD$8:CD$69,Expenses!$O$8:$O$69,$B155)+SUMIFS(Headcount!AN$395:AN$1442,Headcount!$J$395:$J$1442,$B155))</f>
        <v>0</v>
      </c>
      <c r="AF155" s="137">
        <f>IF(AF$12="Actual",SUMIFS(ActualsTable[Month 30],ActualsTable[Expense Item2],$B155),SUMIFS(Expenses!CE$8:CE$69,Expenses!$O$8:$O$69,$B155)+SUMIFS(Headcount!AO$395:AO$1442,Headcount!$J$395:$J$1442,$B155))</f>
        <v>0</v>
      </c>
      <c r="AG155" s="137">
        <f>IF(AG$12="Actual",SUMIFS(ActualsTable[Month 31],ActualsTable[Expense Item2],$B155),SUMIFS(Expenses!CF$8:CF$69,Expenses!$O$8:$O$69,$B155)+SUMIFS(Headcount!AP$395:AP$1442,Headcount!$J$395:$J$1442,$B155))</f>
        <v>0</v>
      </c>
      <c r="AH155" s="137">
        <f>IF(AH$12="Actual",SUMIFS(ActualsTable[Month 32],ActualsTable[Expense Item2],$B155),SUMIFS(Expenses!CG$8:CG$69,Expenses!$O$8:$O$69,$B155)+SUMIFS(Headcount!AQ$395:AQ$1442,Headcount!$J$395:$J$1442,$B155))</f>
        <v>0</v>
      </c>
      <c r="AI155" s="137">
        <f>IF(AI$12="Actual",SUMIFS(ActualsTable[Month 33],ActualsTable[Expense Item2],$B155),SUMIFS(Expenses!CH$8:CH$69,Expenses!$O$8:$O$69,$B155)+SUMIFS(Headcount!AR$395:AR$1442,Headcount!$J$395:$J$1442,$B155))</f>
        <v>0</v>
      </c>
      <c r="AJ155" s="137">
        <f>IF(AJ$12="Actual",SUMIFS(ActualsTable[Month 34],ActualsTable[Expense Item2],$B155),SUMIFS(Expenses!CI$8:CI$69,Expenses!$O$8:$O$69,$B155)+SUMIFS(Headcount!AS$395:AS$1442,Headcount!$J$395:$J$1442,$B155))</f>
        <v>0</v>
      </c>
      <c r="AK155" s="137">
        <f>IF(AK$12="Actual",SUMIFS(ActualsTable[Month 35],ActualsTable[Expense Item2],$B155),SUMIFS(Expenses!CJ$8:CJ$69,Expenses!$O$8:$O$69,$B155)+SUMIFS(Headcount!AT$395:AT$1442,Headcount!$J$395:$J$1442,$B155))</f>
        <v>0</v>
      </c>
      <c r="AL155" s="293">
        <f>IF(AL$12="Actual",SUMIFS(ActualsTable[Month 36],ActualsTable[Expense Item2],$B155),SUMIFS(Expenses!CK$8:CK$69,Expenses!$O$8:$O$69,$B155)+SUMIFS(Headcount!AU$395:AU$1442,Headcount!$J$395:$J$1442,$B155))</f>
        <v>0</v>
      </c>
      <c r="AN155" s="319">
        <f t="shared" ref="AN155:AY156" ca="1" si="267">SUM(OFFSET($B155,0,3*AN$9+1,1,3))</f>
        <v>0</v>
      </c>
      <c r="AO155" s="137">
        <f t="shared" ca="1" si="267"/>
        <v>0</v>
      </c>
      <c r="AP155" s="137">
        <f t="shared" ca="1" si="267"/>
        <v>0</v>
      </c>
      <c r="AQ155" s="137">
        <f t="shared" ca="1" si="267"/>
        <v>0</v>
      </c>
      <c r="AR155" s="137">
        <f t="shared" ca="1" si="267"/>
        <v>0</v>
      </c>
      <c r="AS155" s="137">
        <f t="shared" ca="1" si="267"/>
        <v>0</v>
      </c>
      <c r="AT155" s="137">
        <f t="shared" ca="1" si="267"/>
        <v>0</v>
      </c>
      <c r="AU155" s="137">
        <f t="shared" ca="1" si="267"/>
        <v>0</v>
      </c>
      <c r="AV155" s="137">
        <f t="shared" ca="1" si="267"/>
        <v>0</v>
      </c>
      <c r="AW155" s="137">
        <f t="shared" ca="1" si="267"/>
        <v>0</v>
      </c>
      <c r="AX155" s="137">
        <f t="shared" ca="1" si="267"/>
        <v>0</v>
      </c>
      <c r="AY155" s="293">
        <f t="shared" ca="1" si="267"/>
        <v>0</v>
      </c>
      <c r="BA155" s="319">
        <f t="shared" ref="BA155:BC156" ca="1" si="268">SUM(OFFSET($B155,0,12*BA$9+1,1,12))</f>
        <v>0</v>
      </c>
      <c r="BB155" s="137">
        <f t="shared" ca="1" si="268"/>
        <v>0</v>
      </c>
      <c r="BC155" s="293">
        <f t="shared" ca="1" si="268"/>
        <v>0</v>
      </c>
    </row>
    <row r="156" spans="2:55" x14ac:dyDescent="0.35">
      <c r="B156" s="80" t="s">
        <v>185</v>
      </c>
      <c r="C156" s="137">
        <f>IF(C$12="Actual",SUMIFS(ActualsTable[Month 1],ActualsTable[Expense Item2],$B156),SUMIFS(Expenses!BB$8:BB$69,Expenses!$O$8:$O$69,$B156)+SUMIFS(Headcount!L$395:L$1442,Headcount!$J$395:$J$1442,$B156))</f>
        <v>0</v>
      </c>
      <c r="D156" s="137">
        <f>IF(D$12="Actual",SUMIFS(ActualsTable[Month 2],ActualsTable[Expense Item2],$B156),SUMIFS(Expenses!BC$8:BC$69,Expenses!$O$8:$O$69,$B156)+SUMIFS(Headcount!M$395:M$1442,Headcount!$J$395:$J$1442,$B156))</f>
        <v>0</v>
      </c>
      <c r="E156" s="137">
        <f>IF(E$12="Actual",SUMIFS(ActualsTable[Month 3],ActualsTable[Expense Item2],$B156),SUMIFS(Expenses!BD$8:BD$69,Expenses!$O$8:$O$69,$B156)+SUMIFS(Headcount!N$395:N$1442,Headcount!$J$395:$J$1442,$B156))</f>
        <v>0</v>
      </c>
      <c r="F156" s="137">
        <f>IF(F$12="Actual",SUMIFS(ActualsTable[Month 4],ActualsTable[Expense Item2],$B156),SUMIFS(Expenses!BE$8:BE$69,Expenses!$O$8:$O$69,$B156)+SUMIFS(Headcount!O$395:O$1442,Headcount!$J$395:$J$1442,$B156))</f>
        <v>0</v>
      </c>
      <c r="G156" s="137">
        <f>IF(G$12="Actual",SUMIFS(ActualsTable[Month 5],ActualsTable[Expense Item2],$B156),SUMIFS(Expenses!BF$8:BF$69,Expenses!$O$8:$O$69,$B156)+SUMIFS(Headcount!P$395:P$1442,Headcount!$J$395:$J$1442,$B156))</f>
        <v>0</v>
      </c>
      <c r="H156" s="137">
        <f>IF(H$12="Actual",SUMIFS(ActualsTable[Month 6],ActualsTable[Expense Item2],$B156),SUMIFS(Expenses!BG$8:BG$69,Expenses!$O$8:$O$69,$B156)+SUMIFS(Headcount!Q$395:Q$1442,Headcount!$J$395:$J$1442,$B156))</f>
        <v>0</v>
      </c>
      <c r="I156" s="137">
        <f>IF(I$12="Actual",SUMIFS(ActualsTable[Month 7],ActualsTable[Expense Item2],$B156),SUMIFS(Expenses!BH$8:BH$69,Expenses!$O$8:$O$69,$B156)+SUMIFS(Headcount!R$395:R$1442,Headcount!$J$395:$J$1442,$B156))</f>
        <v>0</v>
      </c>
      <c r="J156" s="137">
        <f>IF(J$12="Actual",SUMIFS(ActualsTable[Month 8],ActualsTable[Expense Item2],$B156),SUMIFS(Expenses!BI$8:BI$69,Expenses!$O$8:$O$69,$B156)+SUMIFS(Headcount!S$395:S$1442,Headcount!$J$395:$J$1442,$B156))</f>
        <v>0</v>
      </c>
      <c r="K156" s="137">
        <f>IF(K$12="Actual",SUMIFS(ActualsTable[Month 9],ActualsTable[Expense Item2],$B156),SUMIFS(Expenses!BJ$8:BJ$69,Expenses!$O$8:$O$69,$B156)+SUMIFS(Headcount!T$395:T$1442,Headcount!$J$395:$J$1442,$B156))</f>
        <v>0</v>
      </c>
      <c r="L156" s="137">
        <f>IF(L$12="Actual",SUMIFS(ActualsTable[Month 10],ActualsTable[Expense Item2],$B156),SUMIFS(Expenses!BK$8:BK$69,Expenses!$O$8:$O$69,$B156)+SUMIFS(Headcount!U$395:U$1442,Headcount!$J$395:$J$1442,$B156))</f>
        <v>0</v>
      </c>
      <c r="M156" s="137">
        <f>IF(M$12="Actual",SUMIFS(ActualsTable[Month 11],ActualsTable[Expense Item2],$B156),SUMIFS(Expenses!BL$8:BL$69,Expenses!$O$8:$O$69,$B156)+SUMIFS(Headcount!V$395:V$1442,Headcount!$J$395:$J$1442,$B156))</f>
        <v>0</v>
      </c>
      <c r="N156" s="137">
        <f>IF(N$12="Actual",SUMIFS(ActualsTable[Month 12],ActualsTable[Expense Item2],$B156),SUMIFS(Expenses!BM$8:BM$69,Expenses!$O$8:$O$69,$B156)+SUMIFS(Headcount!W$395:W$1442,Headcount!$J$395:$J$1442,$B156))</f>
        <v>0</v>
      </c>
      <c r="O156" s="137">
        <f>IF(O$12="Actual",SUMIFS(ActualsTable[Month 13],ActualsTable[Expense Item2],$B156),SUMIFS(Expenses!BN$8:BN$69,Expenses!$O$8:$O$69,$B156)+SUMIFS(Headcount!X$395:X$1442,Headcount!$J$395:$J$1442,$B156))</f>
        <v>0</v>
      </c>
      <c r="P156" s="137">
        <f>IF(P$12="Actual",SUMIFS(ActualsTable[Month 14],ActualsTable[Expense Item2],$B156),SUMIFS(Expenses!BO$8:BO$69,Expenses!$O$8:$O$69,$B156)+SUMIFS(Headcount!Y$395:Y$1442,Headcount!$J$395:$J$1442,$B156))</f>
        <v>0</v>
      </c>
      <c r="Q156" s="137">
        <f>IF(Q$12="Actual",SUMIFS(ActualsTable[Month 15],ActualsTable[Expense Item2],$B156),SUMIFS(Expenses!BP$8:BP$69,Expenses!$O$8:$O$69,$B156)+SUMIFS(Headcount!Z$395:Z$1442,Headcount!$J$395:$J$1442,$B156))</f>
        <v>0</v>
      </c>
      <c r="R156" s="137">
        <f>IF(R$12="Actual",SUMIFS(ActualsTable[Month 16],ActualsTable[Expense Item2],$B156),SUMIFS(Expenses!BQ$8:BQ$69,Expenses!$O$8:$O$69,$B156)+SUMIFS(Headcount!AA$395:AA$1442,Headcount!$J$395:$J$1442,$B156))</f>
        <v>0</v>
      </c>
      <c r="S156" s="137">
        <f>IF(S$12="Actual",SUMIFS(ActualsTable[Month 17],ActualsTable[Expense Item2],$B156),SUMIFS(Expenses!BR$8:BR$69,Expenses!$O$8:$O$69,$B156)+SUMIFS(Headcount!AB$395:AB$1442,Headcount!$J$395:$J$1442,$B156))</f>
        <v>0</v>
      </c>
      <c r="T156" s="137">
        <f>IF(T$12="Actual",SUMIFS(ActualsTable[Month 18],ActualsTable[Expense Item2],$B156),SUMIFS(Expenses!BS$8:BS$69,Expenses!$O$8:$O$69,$B156)+SUMIFS(Headcount!AC$395:AC$1442,Headcount!$J$395:$J$1442,$B156))</f>
        <v>0</v>
      </c>
      <c r="U156" s="137">
        <f>IF(U$12="Actual",SUMIFS(ActualsTable[Month 19],ActualsTable[Expense Item2],$B156),SUMIFS(Expenses!BT$8:BT$69,Expenses!$O$8:$O$69,$B156)+SUMIFS(Headcount!AD$395:AD$1442,Headcount!$J$395:$J$1442,$B156))</f>
        <v>0</v>
      </c>
      <c r="V156" s="137">
        <f>IF(V$12="Actual",SUMIFS(ActualsTable[Month 20],ActualsTable[Expense Item2],$B156),SUMIFS(Expenses!BU$8:BU$69,Expenses!$O$8:$O$69,$B156)+SUMIFS(Headcount!AE$395:AE$1442,Headcount!$J$395:$J$1442,$B156))</f>
        <v>0</v>
      </c>
      <c r="W156" s="137">
        <f>IF(W$12="Actual",SUMIFS(ActualsTable[Month 21],ActualsTable[Expense Item2],$B156),SUMIFS(Expenses!BV$8:BV$69,Expenses!$O$8:$O$69,$B156)+SUMIFS(Headcount!AF$395:AF$1442,Headcount!$J$395:$J$1442,$B156))</f>
        <v>0</v>
      </c>
      <c r="X156" s="137">
        <f>IF(X$12="Actual",SUMIFS(ActualsTable[Month 22],ActualsTable[Expense Item2],$B156),SUMIFS(Expenses!BW$8:BW$69,Expenses!$O$8:$O$69,$B156)+SUMIFS(Headcount!AG$395:AG$1442,Headcount!$J$395:$J$1442,$B156))</f>
        <v>0</v>
      </c>
      <c r="Y156" s="137">
        <f>IF(Y$12="Actual",SUMIFS(ActualsTable[Month 23],ActualsTable[Expense Item2],$B156),SUMIFS(Expenses!BX$8:BX$69,Expenses!$O$8:$O$69,$B156)+SUMIFS(Headcount!AH$395:AH$1442,Headcount!$J$395:$J$1442,$B156))</f>
        <v>0</v>
      </c>
      <c r="Z156" s="137">
        <f>IF(Z$12="Actual",SUMIFS(ActualsTable[Month 24],ActualsTable[Expense Item2],$B156),SUMIFS(Expenses!BY$8:BY$69,Expenses!$O$8:$O$69,$B156)+SUMIFS(Headcount!AI$395:AI$1442,Headcount!$J$395:$J$1442,$B156))</f>
        <v>0</v>
      </c>
      <c r="AA156" s="137">
        <f>IF(AA$12="Actual",SUMIFS(ActualsTable[Month 25],ActualsTable[Expense Item2],$B156),SUMIFS(Expenses!BZ$8:BZ$69,Expenses!$O$8:$O$69,$B156)+SUMIFS(Headcount!AJ$395:AJ$1442,Headcount!$J$395:$J$1442,$B156))</f>
        <v>0</v>
      </c>
      <c r="AB156" s="137">
        <f>IF(AB$12="Actual",SUMIFS(ActualsTable[Month 26],ActualsTable[Expense Item2],$B156),SUMIFS(Expenses!CA$8:CA$69,Expenses!$O$8:$O$69,$B156)+SUMIFS(Headcount!AK$395:AK$1442,Headcount!$J$395:$J$1442,$B156))</f>
        <v>0</v>
      </c>
      <c r="AC156" s="137">
        <f>IF(AC$12="Actual",SUMIFS(ActualsTable[Month 27],ActualsTable[Expense Item2],$B156),SUMIFS(Expenses!CB$8:CB$69,Expenses!$O$8:$O$69,$B156)+SUMIFS(Headcount!AL$395:AL$1442,Headcount!$J$395:$J$1442,$B156))</f>
        <v>0</v>
      </c>
      <c r="AD156" s="137">
        <f>IF(AD$12="Actual",SUMIFS(ActualsTable[Month 28],ActualsTable[Expense Item2],$B156),SUMIFS(Expenses!CC$8:CC$69,Expenses!$O$8:$O$69,$B156)+SUMIFS(Headcount!AM$395:AM$1442,Headcount!$J$395:$J$1442,$B156))</f>
        <v>0</v>
      </c>
      <c r="AE156" s="137">
        <f>IF(AE$12="Actual",SUMIFS(ActualsTable[Month 29],ActualsTable[Expense Item2],$B156),SUMIFS(Expenses!CD$8:CD$69,Expenses!$O$8:$O$69,$B156)+SUMIFS(Headcount!AN$395:AN$1442,Headcount!$J$395:$J$1442,$B156))</f>
        <v>0</v>
      </c>
      <c r="AF156" s="137">
        <f>IF(AF$12="Actual",SUMIFS(ActualsTable[Month 30],ActualsTable[Expense Item2],$B156),SUMIFS(Expenses!CE$8:CE$69,Expenses!$O$8:$O$69,$B156)+SUMIFS(Headcount!AO$395:AO$1442,Headcount!$J$395:$J$1442,$B156))</f>
        <v>0</v>
      </c>
      <c r="AG156" s="137">
        <f>IF(AG$12="Actual",SUMIFS(ActualsTable[Month 31],ActualsTable[Expense Item2],$B156),SUMIFS(Expenses!CF$8:CF$69,Expenses!$O$8:$O$69,$B156)+SUMIFS(Headcount!AP$395:AP$1442,Headcount!$J$395:$J$1442,$B156))</f>
        <v>0</v>
      </c>
      <c r="AH156" s="137">
        <f>IF(AH$12="Actual",SUMIFS(ActualsTable[Month 32],ActualsTable[Expense Item2],$B156),SUMIFS(Expenses!CG$8:CG$69,Expenses!$O$8:$O$69,$B156)+SUMIFS(Headcount!AQ$395:AQ$1442,Headcount!$J$395:$J$1442,$B156))</f>
        <v>0</v>
      </c>
      <c r="AI156" s="137">
        <f>IF(AI$12="Actual",SUMIFS(ActualsTable[Month 33],ActualsTable[Expense Item2],$B156),SUMIFS(Expenses!CH$8:CH$69,Expenses!$O$8:$O$69,$B156)+SUMIFS(Headcount!AR$395:AR$1442,Headcount!$J$395:$J$1442,$B156))</f>
        <v>0</v>
      </c>
      <c r="AJ156" s="137">
        <f>IF(AJ$12="Actual",SUMIFS(ActualsTable[Month 34],ActualsTable[Expense Item2],$B156),SUMIFS(Expenses!CI$8:CI$69,Expenses!$O$8:$O$69,$B156)+SUMIFS(Headcount!AS$395:AS$1442,Headcount!$J$395:$J$1442,$B156))</f>
        <v>0</v>
      </c>
      <c r="AK156" s="137">
        <f>IF(AK$12="Actual",SUMIFS(ActualsTable[Month 35],ActualsTable[Expense Item2],$B156),SUMIFS(Expenses!CJ$8:CJ$69,Expenses!$O$8:$O$69,$B156)+SUMIFS(Headcount!AT$395:AT$1442,Headcount!$J$395:$J$1442,$B156))</f>
        <v>0</v>
      </c>
      <c r="AL156" s="293">
        <f>IF(AL$12="Actual",SUMIFS(ActualsTable[Month 36],ActualsTable[Expense Item2],$B156),SUMIFS(Expenses!CK$8:CK$69,Expenses!$O$8:$O$69,$B156)+SUMIFS(Headcount!AU$395:AU$1442,Headcount!$J$395:$J$1442,$B156))</f>
        <v>0</v>
      </c>
      <c r="AN156" s="319">
        <f t="shared" ca="1" si="267"/>
        <v>0</v>
      </c>
      <c r="AO156" s="137">
        <f t="shared" ca="1" si="267"/>
        <v>0</v>
      </c>
      <c r="AP156" s="137">
        <f t="shared" ca="1" si="267"/>
        <v>0</v>
      </c>
      <c r="AQ156" s="137">
        <f t="shared" ca="1" si="267"/>
        <v>0</v>
      </c>
      <c r="AR156" s="137">
        <f t="shared" ca="1" si="267"/>
        <v>0</v>
      </c>
      <c r="AS156" s="137">
        <f t="shared" ca="1" si="267"/>
        <v>0</v>
      </c>
      <c r="AT156" s="137">
        <f t="shared" ca="1" si="267"/>
        <v>0</v>
      </c>
      <c r="AU156" s="137">
        <f t="shared" ca="1" si="267"/>
        <v>0</v>
      </c>
      <c r="AV156" s="137">
        <f t="shared" ca="1" si="267"/>
        <v>0</v>
      </c>
      <c r="AW156" s="137">
        <f t="shared" ca="1" si="267"/>
        <v>0</v>
      </c>
      <c r="AX156" s="137">
        <f t="shared" ca="1" si="267"/>
        <v>0</v>
      </c>
      <c r="AY156" s="293">
        <f t="shared" ca="1" si="267"/>
        <v>0</v>
      </c>
      <c r="BA156" s="319">
        <f t="shared" ca="1" si="268"/>
        <v>0</v>
      </c>
      <c r="BB156" s="137">
        <f t="shared" ca="1" si="268"/>
        <v>0</v>
      </c>
      <c r="BC156" s="293">
        <f t="shared" ca="1" si="268"/>
        <v>0</v>
      </c>
    </row>
    <row r="157" spans="2:55" x14ac:dyDescent="0.35">
      <c r="B157" s="79" t="s">
        <v>186</v>
      </c>
      <c r="C157" s="131">
        <f t="shared" ref="C157:AN157" si="269">SUM(C158:C162)</f>
        <v>0</v>
      </c>
      <c r="D157" s="131">
        <f t="shared" ref="D157:AL157" si="270">SUM(D158:D162)</f>
        <v>0</v>
      </c>
      <c r="E157" s="131">
        <f t="shared" si="270"/>
        <v>0</v>
      </c>
      <c r="F157" s="131">
        <f t="shared" si="270"/>
        <v>0</v>
      </c>
      <c r="G157" s="131">
        <f t="shared" si="270"/>
        <v>0</v>
      </c>
      <c r="H157" s="131">
        <f t="shared" si="270"/>
        <v>0</v>
      </c>
      <c r="I157" s="131">
        <f t="shared" si="270"/>
        <v>0</v>
      </c>
      <c r="J157" s="131">
        <f t="shared" si="270"/>
        <v>0</v>
      </c>
      <c r="K157" s="131">
        <f t="shared" si="270"/>
        <v>0</v>
      </c>
      <c r="L157" s="131">
        <f t="shared" si="270"/>
        <v>0</v>
      </c>
      <c r="M157" s="131">
        <f t="shared" si="270"/>
        <v>0</v>
      </c>
      <c r="N157" s="131">
        <f t="shared" si="270"/>
        <v>0</v>
      </c>
      <c r="O157" s="131">
        <f t="shared" si="270"/>
        <v>0</v>
      </c>
      <c r="P157" s="131">
        <f t="shared" si="270"/>
        <v>0</v>
      </c>
      <c r="Q157" s="131">
        <f t="shared" si="270"/>
        <v>0</v>
      </c>
      <c r="R157" s="131">
        <f t="shared" si="270"/>
        <v>0</v>
      </c>
      <c r="S157" s="131">
        <f t="shared" si="270"/>
        <v>0</v>
      </c>
      <c r="T157" s="131">
        <f t="shared" si="270"/>
        <v>0</v>
      </c>
      <c r="U157" s="131">
        <f t="shared" si="270"/>
        <v>0</v>
      </c>
      <c r="V157" s="131">
        <f t="shared" si="270"/>
        <v>0</v>
      </c>
      <c r="W157" s="131">
        <f t="shared" si="270"/>
        <v>0</v>
      </c>
      <c r="X157" s="131">
        <f t="shared" si="270"/>
        <v>0</v>
      </c>
      <c r="Y157" s="131">
        <f t="shared" si="270"/>
        <v>0</v>
      </c>
      <c r="Z157" s="131">
        <f t="shared" si="270"/>
        <v>0</v>
      </c>
      <c r="AA157" s="131">
        <f t="shared" si="270"/>
        <v>0</v>
      </c>
      <c r="AB157" s="131">
        <f t="shared" si="270"/>
        <v>0</v>
      </c>
      <c r="AC157" s="131">
        <f t="shared" si="270"/>
        <v>0</v>
      </c>
      <c r="AD157" s="131">
        <f t="shared" si="270"/>
        <v>0</v>
      </c>
      <c r="AE157" s="131">
        <f t="shared" si="270"/>
        <v>0</v>
      </c>
      <c r="AF157" s="131">
        <f t="shared" si="270"/>
        <v>0</v>
      </c>
      <c r="AG157" s="131">
        <f t="shared" si="270"/>
        <v>0</v>
      </c>
      <c r="AH157" s="131">
        <f t="shared" si="270"/>
        <v>0</v>
      </c>
      <c r="AI157" s="131">
        <f t="shared" si="270"/>
        <v>0</v>
      </c>
      <c r="AJ157" s="131">
        <f t="shared" si="270"/>
        <v>0</v>
      </c>
      <c r="AK157" s="131">
        <f t="shared" si="270"/>
        <v>0</v>
      </c>
      <c r="AL157" s="291">
        <f t="shared" si="270"/>
        <v>0</v>
      </c>
      <c r="AN157" s="317">
        <f t="shared" ca="1" si="269"/>
        <v>0</v>
      </c>
      <c r="AO157" s="131">
        <f t="shared" ref="AO157:AT157" ca="1" si="271">SUM(AO158:AO162)</f>
        <v>0</v>
      </c>
      <c r="AP157" s="131">
        <f t="shared" ca="1" si="271"/>
        <v>0</v>
      </c>
      <c r="AQ157" s="131">
        <f t="shared" ca="1" si="271"/>
        <v>0</v>
      </c>
      <c r="AR157" s="131">
        <f t="shared" ca="1" si="271"/>
        <v>0</v>
      </c>
      <c r="AS157" s="131">
        <f t="shared" ca="1" si="271"/>
        <v>0</v>
      </c>
      <c r="AT157" s="131">
        <f t="shared" ca="1" si="271"/>
        <v>0</v>
      </c>
      <c r="AU157" s="131">
        <f t="shared" ref="AU157:AY157" ca="1" si="272">SUM(AU158:AU162)</f>
        <v>0</v>
      </c>
      <c r="AV157" s="131">
        <f t="shared" ca="1" si="272"/>
        <v>0</v>
      </c>
      <c r="AW157" s="131">
        <f t="shared" ca="1" si="272"/>
        <v>0</v>
      </c>
      <c r="AX157" s="131">
        <f t="shared" ca="1" si="272"/>
        <v>0</v>
      </c>
      <c r="AY157" s="291">
        <f t="shared" ca="1" si="272"/>
        <v>0</v>
      </c>
      <c r="BA157" s="317">
        <f t="shared" ref="BA157" ca="1" si="273">SUM(BA158:BA162)</f>
        <v>0</v>
      </c>
      <c r="BB157" s="131">
        <f t="shared" ref="BB157:BC157" ca="1" si="274">SUM(BB158:BB162)</f>
        <v>0</v>
      </c>
      <c r="BC157" s="291">
        <f t="shared" ca="1" si="274"/>
        <v>0</v>
      </c>
    </row>
    <row r="158" spans="2:55" x14ac:dyDescent="0.35">
      <c r="B158" s="80" t="s">
        <v>187</v>
      </c>
      <c r="C158" s="137">
        <f>IF(C$12="Actual",SUMIFS(ActualsTable[Month 1],ActualsTable[Expense Item2],$B158),SUMIFS(Expenses!BB$8:BB$69,Expenses!$O$8:$O$69,$B158)+SUMIFS(Headcount!L$395:L$1442,Headcount!$J$395:$J$1442,$B158))</f>
        <v>0</v>
      </c>
      <c r="D158" s="137">
        <f>IF(D$12="Actual",SUMIFS(ActualsTable[Month 2],ActualsTable[Expense Item2],$B158),SUMIFS(Expenses!BC$8:BC$69,Expenses!$O$8:$O$69,$B158)+SUMIFS(Headcount!M$395:M$1442,Headcount!$J$395:$J$1442,$B158))</f>
        <v>0</v>
      </c>
      <c r="E158" s="137">
        <f>IF(E$12="Actual",SUMIFS(ActualsTable[Month 3],ActualsTable[Expense Item2],$B158),SUMIFS(Expenses!BD$8:BD$69,Expenses!$O$8:$O$69,$B158)+SUMIFS(Headcount!N$395:N$1442,Headcount!$J$395:$J$1442,$B158))</f>
        <v>0</v>
      </c>
      <c r="F158" s="137">
        <f>IF(F$12="Actual",SUMIFS(ActualsTable[Month 4],ActualsTable[Expense Item2],$B158),SUMIFS(Expenses!BE$8:BE$69,Expenses!$O$8:$O$69,$B158)+SUMIFS(Headcount!O$395:O$1442,Headcount!$J$395:$J$1442,$B158))</f>
        <v>0</v>
      </c>
      <c r="G158" s="137">
        <f>IF(G$12="Actual",SUMIFS(ActualsTable[Month 5],ActualsTable[Expense Item2],$B158),SUMIFS(Expenses!BF$8:BF$69,Expenses!$O$8:$O$69,$B158)+SUMIFS(Headcount!P$395:P$1442,Headcount!$J$395:$J$1442,$B158))</f>
        <v>0</v>
      </c>
      <c r="H158" s="137">
        <f>IF(H$12="Actual",SUMIFS(ActualsTable[Month 6],ActualsTable[Expense Item2],$B158),SUMIFS(Expenses!BG$8:BG$69,Expenses!$O$8:$O$69,$B158)+SUMIFS(Headcount!Q$395:Q$1442,Headcount!$J$395:$J$1442,$B158))</f>
        <v>0</v>
      </c>
      <c r="I158" s="137">
        <f>IF(I$12="Actual",SUMIFS(ActualsTable[Month 7],ActualsTable[Expense Item2],$B158),SUMIFS(Expenses!BH$8:BH$69,Expenses!$O$8:$O$69,$B158)+SUMIFS(Headcount!R$395:R$1442,Headcount!$J$395:$J$1442,$B158))</f>
        <v>0</v>
      </c>
      <c r="J158" s="137">
        <f>IF(J$12="Actual",SUMIFS(ActualsTable[Month 8],ActualsTable[Expense Item2],$B158),SUMIFS(Expenses!BI$8:BI$69,Expenses!$O$8:$O$69,$B158)+SUMIFS(Headcount!S$395:S$1442,Headcount!$J$395:$J$1442,$B158))</f>
        <v>0</v>
      </c>
      <c r="K158" s="137">
        <f>IF(K$12="Actual",SUMIFS(ActualsTable[Month 9],ActualsTable[Expense Item2],$B158),SUMIFS(Expenses!BJ$8:BJ$69,Expenses!$O$8:$O$69,$B158)+SUMIFS(Headcount!T$395:T$1442,Headcount!$J$395:$J$1442,$B158))</f>
        <v>0</v>
      </c>
      <c r="L158" s="137">
        <f>IF(L$12="Actual",SUMIFS(ActualsTable[Month 10],ActualsTable[Expense Item2],$B158),SUMIFS(Expenses!BK$8:BK$69,Expenses!$O$8:$O$69,$B158)+SUMIFS(Headcount!U$395:U$1442,Headcount!$J$395:$J$1442,$B158))</f>
        <v>0</v>
      </c>
      <c r="M158" s="137">
        <f>IF(M$12="Actual",SUMIFS(ActualsTable[Month 11],ActualsTable[Expense Item2],$B158),SUMIFS(Expenses!BL$8:BL$69,Expenses!$O$8:$O$69,$B158)+SUMIFS(Headcount!V$395:V$1442,Headcount!$J$395:$J$1442,$B158))</f>
        <v>0</v>
      </c>
      <c r="N158" s="137">
        <f>IF(N$12="Actual",SUMIFS(ActualsTable[Month 12],ActualsTable[Expense Item2],$B158),SUMIFS(Expenses!BM$8:BM$69,Expenses!$O$8:$O$69,$B158)+SUMIFS(Headcount!W$395:W$1442,Headcount!$J$395:$J$1442,$B158))</f>
        <v>0</v>
      </c>
      <c r="O158" s="137">
        <f>IF(O$12="Actual",SUMIFS(ActualsTable[Month 13],ActualsTable[Expense Item2],$B158),SUMIFS(Expenses!BN$8:BN$69,Expenses!$O$8:$O$69,$B158)+SUMIFS(Headcount!X$395:X$1442,Headcount!$J$395:$J$1442,$B158))</f>
        <v>0</v>
      </c>
      <c r="P158" s="137">
        <f>IF(P$12="Actual",SUMIFS(ActualsTable[Month 14],ActualsTable[Expense Item2],$B158),SUMIFS(Expenses!BO$8:BO$69,Expenses!$O$8:$O$69,$B158)+SUMIFS(Headcount!Y$395:Y$1442,Headcount!$J$395:$J$1442,$B158))</f>
        <v>0</v>
      </c>
      <c r="Q158" s="137">
        <f>IF(Q$12="Actual",SUMIFS(ActualsTable[Month 15],ActualsTable[Expense Item2],$B158),SUMIFS(Expenses!BP$8:BP$69,Expenses!$O$8:$O$69,$B158)+SUMIFS(Headcount!Z$395:Z$1442,Headcount!$J$395:$J$1442,$B158))</f>
        <v>0</v>
      </c>
      <c r="R158" s="137">
        <f>IF(R$12="Actual",SUMIFS(ActualsTable[Month 16],ActualsTable[Expense Item2],$B158),SUMIFS(Expenses!BQ$8:BQ$69,Expenses!$O$8:$O$69,$B158)+SUMIFS(Headcount!AA$395:AA$1442,Headcount!$J$395:$J$1442,$B158))</f>
        <v>0</v>
      </c>
      <c r="S158" s="137">
        <f>IF(S$12="Actual",SUMIFS(ActualsTable[Month 17],ActualsTable[Expense Item2],$B158),SUMIFS(Expenses!BR$8:BR$69,Expenses!$O$8:$O$69,$B158)+SUMIFS(Headcount!AB$395:AB$1442,Headcount!$J$395:$J$1442,$B158))</f>
        <v>0</v>
      </c>
      <c r="T158" s="137">
        <f>IF(T$12="Actual",SUMIFS(ActualsTable[Month 18],ActualsTable[Expense Item2],$B158),SUMIFS(Expenses!BS$8:BS$69,Expenses!$O$8:$O$69,$B158)+SUMIFS(Headcount!AC$395:AC$1442,Headcount!$J$395:$J$1442,$B158))</f>
        <v>0</v>
      </c>
      <c r="U158" s="137">
        <f>IF(U$12="Actual",SUMIFS(ActualsTable[Month 19],ActualsTable[Expense Item2],$B158),SUMIFS(Expenses!BT$8:BT$69,Expenses!$O$8:$O$69,$B158)+SUMIFS(Headcount!AD$395:AD$1442,Headcount!$J$395:$J$1442,$B158))</f>
        <v>0</v>
      </c>
      <c r="V158" s="137">
        <f>IF(V$12="Actual",SUMIFS(ActualsTable[Month 20],ActualsTable[Expense Item2],$B158),SUMIFS(Expenses!BU$8:BU$69,Expenses!$O$8:$O$69,$B158)+SUMIFS(Headcount!AE$395:AE$1442,Headcount!$J$395:$J$1442,$B158))</f>
        <v>0</v>
      </c>
      <c r="W158" s="137">
        <f>IF(W$12="Actual",SUMIFS(ActualsTable[Month 21],ActualsTable[Expense Item2],$B158),SUMIFS(Expenses!BV$8:BV$69,Expenses!$O$8:$O$69,$B158)+SUMIFS(Headcount!AF$395:AF$1442,Headcount!$J$395:$J$1442,$B158))</f>
        <v>0</v>
      </c>
      <c r="X158" s="137">
        <f>IF(X$12="Actual",SUMIFS(ActualsTable[Month 22],ActualsTable[Expense Item2],$B158),SUMIFS(Expenses!BW$8:BW$69,Expenses!$O$8:$O$69,$B158)+SUMIFS(Headcount!AG$395:AG$1442,Headcount!$J$395:$J$1442,$B158))</f>
        <v>0</v>
      </c>
      <c r="Y158" s="137">
        <f>IF(Y$12="Actual",SUMIFS(ActualsTable[Month 23],ActualsTable[Expense Item2],$B158),SUMIFS(Expenses!BX$8:BX$69,Expenses!$O$8:$O$69,$B158)+SUMIFS(Headcount!AH$395:AH$1442,Headcount!$J$395:$J$1442,$B158))</f>
        <v>0</v>
      </c>
      <c r="Z158" s="137">
        <f>IF(Z$12="Actual",SUMIFS(ActualsTable[Month 24],ActualsTable[Expense Item2],$B158),SUMIFS(Expenses!BY$8:BY$69,Expenses!$O$8:$O$69,$B158)+SUMIFS(Headcount!AI$395:AI$1442,Headcount!$J$395:$J$1442,$B158))</f>
        <v>0</v>
      </c>
      <c r="AA158" s="137">
        <f>IF(AA$12="Actual",SUMIFS(ActualsTable[Month 25],ActualsTable[Expense Item2],$B158),SUMIFS(Expenses!BZ$8:BZ$69,Expenses!$O$8:$O$69,$B158)+SUMIFS(Headcount!AJ$395:AJ$1442,Headcount!$J$395:$J$1442,$B158))</f>
        <v>0</v>
      </c>
      <c r="AB158" s="137">
        <f>IF(AB$12="Actual",SUMIFS(ActualsTable[Month 26],ActualsTable[Expense Item2],$B158),SUMIFS(Expenses!CA$8:CA$69,Expenses!$O$8:$O$69,$B158)+SUMIFS(Headcount!AK$395:AK$1442,Headcount!$J$395:$J$1442,$B158))</f>
        <v>0</v>
      </c>
      <c r="AC158" s="137">
        <f>IF(AC$12="Actual",SUMIFS(ActualsTable[Month 27],ActualsTable[Expense Item2],$B158),SUMIFS(Expenses!CB$8:CB$69,Expenses!$O$8:$O$69,$B158)+SUMIFS(Headcount!AL$395:AL$1442,Headcount!$J$395:$J$1442,$B158))</f>
        <v>0</v>
      </c>
      <c r="AD158" s="137">
        <f>IF(AD$12="Actual",SUMIFS(ActualsTable[Month 28],ActualsTable[Expense Item2],$B158),SUMIFS(Expenses!CC$8:CC$69,Expenses!$O$8:$O$69,$B158)+SUMIFS(Headcount!AM$395:AM$1442,Headcount!$J$395:$J$1442,$B158))</f>
        <v>0</v>
      </c>
      <c r="AE158" s="137">
        <f>IF(AE$12="Actual",SUMIFS(ActualsTable[Month 29],ActualsTable[Expense Item2],$B158),SUMIFS(Expenses!CD$8:CD$69,Expenses!$O$8:$O$69,$B158)+SUMIFS(Headcount!AN$395:AN$1442,Headcount!$J$395:$J$1442,$B158))</f>
        <v>0</v>
      </c>
      <c r="AF158" s="137">
        <f>IF(AF$12="Actual",SUMIFS(ActualsTable[Month 30],ActualsTable[Expense Item2],$B158),SUMIFS(Expenses!CE$8:CE$69,Expenses!$O$8:$O$69,$B158)+SUMIFS(Headcount!AO$395:AO$1442,Headcount!$J$395:$J$1442,$B158))</f>
        <v>0</v>
      </c>
      <c r="AG158" s="137">
        <f>IF(AG$12="Actual",SUMIFS(ActualsTable[Month 31],ActualsTable[Expense Item2],$B158),SUMIFS(Expenses!CF$8:CF$69,Expenses!$O$8:$O$69,$B158)+SUMIFS(Headcount!AP$395:AP$1442,Headcount!$J$395:$J$1442,$B158))</f>
        <v>0</v>
      </c>
      <c r="AH158" s="137">
        <f>IF(AH$12="Actual",SUMIFS(ActualsTable[Month 32],ActualsTable[Expense Item2],$B158),SUMIFS(Expenses!CG$8:CG$69,Expenses!$O$8:$O$69,$B158)+SUMIFS(Headcount!AQ$395:AQ$1442,Headcount!$J$395:$J$1442,$B158))</f>
        <v>0</v>
      </c>
      <c r="AI158" s="137">
        <f>IF(AI$12="Actual",SUMIFS(ActualsTable[Month 33],ActualsTable[Expense Item2],$B158),SUMIFS(Expenses!CH$8:CH$69,Expenses!$O$8:$O$69,$B158)+SUMIFS(Headcount!AR$395:AR$1442,Headcount!$J$395:$J$1442,$B158))</f>
        <v>0</v>
      </c>
      <c r="AJ158" s="137">
        <f>IF(AJ$12="Actual",SUMIFS(ActualsTable[Month 34],ActualsTable[Expense Item2],$B158),SUMIFS(Expenses!CI$8:CI$69,Expenses!$O$8:$O$69,$B158)+SUMIFS(Headcount!AS$395:AS$1442,Headcount!$J$395:$J$1442,$B158))</f>
        <v>0</v>
      </c>
      <c r="AK158" s="137">
        <f>IF(AK$12="Actual",SUMIFS(ActualsTable[Month 35],ActualsTable[Expense Item2],$B158),SUMIFS(Expenses!CJ$8:CJ$69,Expenses!$O$8:$O$69,$B158)+SUMIFS(Headcount!AT$395:AT$1442,Headcount!$J$395:$J$1442,$B158))</f>
        <v>0</v>
      </c>
      <c r="AL158" s="293">
        <f>IF(AL$12="Actual",SUMIFS(ActualsTable[Month 36],ActualsTable[Expense Item2],$B158),SUMIFS(Expenses!CK$8:CK$69,Expenses!$O$8:$O$69,$B158)+SUMIFS(Headcount!AU$395:AU$1442,Headcount!$J$395:$J$1442,$B158))</f>
        <v>0</v>
      </c>
      <c r="AN158" s="319">
        <f t="shared" ref="AN158:AY165" ca="1" si="275">SUM(OFFSET($B158,0,3*AN$9+1,1,3))</f>
        <v>0</v>
      </c>
      <c r="AO158" s="137">
        <f t="shared" ca="1" si="275"/>
        <v>0</v>
      </c>
      <c r="AP158" s="137">
        <f t="shared" ca="1" si="275"/>
        <v>0</v>
      </c>
      <c r="AQ158" s="137">
        <f t="shared" ca="1" si="275"/>
        <v>0</v>
      </c>
      <c r="AR158" s="137">
        <f t="shared" ca="1" si="275"/>
        <v>0</v>
      </c>
      <c r="AS158" s="137">
        <f t="shared" ca="1" si="275"/>
        <v>0</v>
      </c>
      <c r="AT158" s="137">
        <f t="shared" ca="1" si="275"/>
        <v>0</v>
      </c>
      <c r="AU158" s="137">
        <f t="shared" ca="1" si="275"/>
        <v>0</v>
      </c>
      <c r="AV158" s="137">
        <f t="shared" ca="1" si="275"/>
        <v>0</v>
      </c>
      <c r="AW158" s="137">
        <f t="shared" ca="1" si="275"/>
        <v>0</v>
      </c>
      <c r="AX158" s="137">
        <f t="shared" ca="1" si="275"/>
        <v>0</v>
      </c>
      <c r="AY158" s="293">
        <f t="shared" ca="1" si="275"/>
        <v>0</v>
      </c>
      <c r="BA158" s="319">
        <f t="shared" ref="BA158:BC165" ca="1" si="276">SUM(OFFSET($B158,0,12*BA$9+1,1,12))</f>
        <v>0</v>
      </c>
      <c r="BB158" s="137">
        <f t="shared" ca="1" si="276"/>
        <v>0</v>
      </c>
      <c r="BC158" s="293">
        <f t="shared" ca="1" si="276"/>
        <v>0</v>
      </c>
    </row>
    <row r="159" spans="2:55" x14ac:dyDescent="0.35">
      <c r="B159" s="80" t="s">
        <v>188</v>
      </c>
      <c r="C159" s="137">
        <f>IF(C$12="Actual",SUMIFS(ActualsTable[Month 1],ActualsTable[Expense Item2],$B159),SUMIFS(Expenses!BB$8:BB$69,Expenses!$O$8:$O$69,$B159)+SUMIFS(Headcount!L$395:L$1442,Headcount!$J$395:$J$1442,$B159))</f>
        <v>0</v>
      </c>
      <c r="D159" s="137">
        <f>IF(D$12="Actual",SUMIFS(ActualsTable[Month 2],ActualsTable[Expense Item2],$B159),SUMIFS(Expenses!BC$8:BC$69,Expenses!$O$8:$O$69,$B159)+SUMIFS(Headcount!M$395:M$1442,Headcount!$J$395:$J$1442,$B159))</f>
        <v>0</v>
      </c>
      <c r="E159" s="137">
        <f>IF(E$12="Actual",SUMIFS(ActualsTable[Month 3],ActualsTable[Expense Item2],$B159),SUMIFS(Expenses!BD$8:BD$69,Expenses!$O$8:$O$69,$B159)+SUMIFS(Headcount!N$395:N$1442,Headcount!$J$395:$J$1442,$B159))</f>
        <v>0</v>
      </c>
      <c r="F159" s="137">
        <f>IF(F$12="Actual",SUMIFS(ActualsTable[Month 4],ActualsTable[Expense Item2],$B159),SUMIFS(Expenses!BE$8:BE$69,Expenses!$O$8:$O$69,$B159)+SUMIFS(Headcount!O$395:O$1442,Headcount!$J$395:$J$1442,$B159))</f>
        <v>0</v>
      </c>
      <c r="G159" s="137">
        <f>IF(G$12="Actual",SUMIFS(ActualsTable[Month 5],ActualsTable[Expense Item2],$B159),SUMIFS(Expenses!BF$8:BF$69,Expenses!$O$8:$O$69,$B159)+SUMIFS(Headcount!P$395:P$1442,Headcount!$J$395:$J$1442,$B159))</f>
        <v>0</v>
      </c>
      <c r="H159" s="137">
        <f>IF(H$12="Actual",SUMIFS(ActualsTable[Month 6],ActualsTable[Expense Item2],$B159),SUMIFS(Expenses!BG$8:BG$69,Expenses!$O$8:$O$69,$B159)+SUMIFS(Headcount!Q$395:Q$1442,Headcount!$J$395:$J$1442,$B159))</f>
        <v>0</v>
      </c>
      <c r="I159" s="137">
        <f>IF(I$12="Actual",SUMIFS(ActualsTable[Month 7],ActualsTable[Expense Item2],$B159),SUMIFS(Expenses!BH$8:BH$69,Expenses!$O$8:$O$69,$B159)+SUMIFS(Headcount!R$395:R$1442,Headcount!$J$395:$J$1442,$B159))</f>
        <v>0</v>
      </c>
      <c r="J159" s="137">
        <f>IF(J$12="Actual",SUMIFS(ActualsTable[Month 8],ActualsTable[Expense Item2],$B159),SUMIFS(Expenses!BI$8:BI$69,Expenses!$O$8:$O$69,$B159)+SUMIFS(Headcount!S$395:S$1442,Headcount!$J$395:$J$1442,$B159))</f>
        <v>0</v>
      </c>
      <c r="K159" s="137">
        <f>IF(K$12="Actual",SUMIFS(ActualsTable[Month 9],ActualsTable[Expense Item2],$B159),SUMIFS(Expenses!BJ$8:BJ$69,Expenses!$O$8:$O$69,$B159)+SUMIFS(Headcount!T$395:T$1442,Headcount!$J$395:$J$1442,$B159))</f>
        <v>0</v>
      </c>
      <c r="L159" s="137">
        <f>IF(L$12="Actual",SUMIFS(ActualsTable[Month 10],ActualsTable[Expense Item2],$B159),SUMIFS(Expenses!BK$8:BK$69,Expenses!$O$8:$O$69,$B159)+SUMIFS(Headcount!U$395:U$1442,Headcount!$J$395:$J$1442,$B159))</f>
        <v>0</v>
      </c>
      <c r="M159" s="137">
        <f>IF(M$12="Actual",SUMIFS(ActualsTable[Month 11],ActualsTable[Expense Item2],$B159),SUMIFS(Expenses!BL$8:BL$69,Expenses!$O$8:$O$69,$B159)+SUMIFS(Headcount!V$395:V$1442,Headcount!$J$395:$J$1442,$B159))</f>
        <v>0</v>
      </c>
      <c r="N159" s="137">
        <f>IF(N$12="Actual",SUMIFS(ActualsTable[Month 12],ActualsTable[Expense Item2],$B159),SUMIFS(Expenses!BM$8:BM$69,Expenses!$O$8:$O$69,$B159)+SUMIFS(Headcount!W$395:W$1442,Headcount!$J$395:$J$1442,$B159))</f>
        <v>0</v>
      </c>
      <c r="O159" s="137">
        <f>IF(O$12="Actual",SUMIFS(ActualsTable[Month 13],ActualsTable[Expense Item2],$B159),SUMIFS(Expenses!BN$8:BN$69,Expenses!$O$8:$O$69,$B159)+SUMIFS(Headcount!X$395:X$1442,Headcount!$J$395:$J$1442,$B159))</f>
        <v>0</v>
      </c>
      <c r="P159" s="137">
        <f>IF(P$12="Actual",SUMIFS(ActualsTable[Month 14],ActualsTable[Expense Item2],$B159),SUMIFS(Expenses!BO$8:BO$69,Expenses!$O$8:$O$69,$B159)+SUMIFS(Headcount!Y$395:Y$1442,Headcount!$J$395:$J$1442,$B159))</f>
        <v>0</v>
      </c>
      <c r="Q159" s="137">
        <f>IF(Q$12="Actual",SUMIFS(ActualsTable[Month 15],ActualsTable[Expense Item2],$B159),SUMIFS(Expenses!BP$8:BP$69,Expenses!$O$8:$O$69,$B159)+SUMIFS(Headcount!Z$395:Z$1442,Headcount!$J$395:$J$1442,$B159))</f>
        <v>0</v>
      </c>
      <c r="R159" s="137">
        <f>IF(R$12="Actual",SUMIFS(ActualsTable[Month 16],ActualsTable[Expense Item2],$B159),SUMIFS(Expenses!BQ$8:BQ$69,Expenses!$O$8:$O$69,$B159)+SUMIFS(Headcount!AA$395:AA$1442,Headcount!$J$395:$J$1442,$B159))</f>
        <v>0</v>
      </c>
      <c r="S159" s="137">
        <f>IF(S$12="Actual",SUMIFS(ActualsTable[Month 17],ActualsTable[Expense Item2],$B159),SUMIFS(Expenses!BR$8:BR$69,Expenses!$O$8:$O$69,$B159)+SUMIFS(Headcount!AB$395:AB$1442,Headcount!$J$395:$J$1442,$B159))</f>
        <v>0</v>
      </c>
      <c r="T159" s="137">
        <f>IF(T$12="Actual",SUMIFS(ActualsTable[Month 18],ActualsTable[Expense Item2],$B159),SUMIFS(Expenses!BS$8:BS$69,Expenses!$O$8:$O$69,$B159)+SUMIFS(Headcount!AC$395:AC$1442,Headcount!$J$395:$J$1442,$B159))</f>
        <v>0</v>
      </c>
      <c r="U159" s="137">
        <f>IF(U$12="Actual",SUMIFS(ActualsTable[Month 19],ActualsTable[Expense Item2],$B159),SUMIFS(Expenses!BT$8:BT$69,Expenses!$O$8:$O$69,$B159)+SUMIFS(Headcount!AD$395:AD$1442,Headcount!$J$395:$J$1442,$B159))</f>
        <v>0</v>
      </c>
      <c r="V159" s="137">
        <f>IF(V$12="Actual",SUMIFS(ActualsTable[Month 20],ActualsTable[Expense Item2],$B159),SUMIFS(Expenses!BU$8:BU$69,Expenses!$O$8:$O$69,$B159)+SUMIFS(Headcount!AE$395:AE$1442,Headcount!$J$395:$J$1442,$B159))</f>
        <v>0</v>
      </c>
      <c r="W159" s="137">
        <f>IF(W$12="Actual",SUMIFS(ActualsTable[Month 21],ActualsTable[Expense Item2],$B159),SUMIFS(Expenses!BV$8:BV$69,Expenses!$O$8:$O$69,$B159)+SUMIFS(Headcount!AF$395:AF$1442,Headcount!$J$395:$J$1442,$B159))</f>
        <v>0</v>
      </c>
      <c r="X159" s="137">
        <f>IF(X$12="Actual",SUMIFS(ActualsTable[Month 22],ActualsTable[Expense Item2],$B159),SUMIFS(Expenses!BW$8:BW$69,Expenses!$O$8:$O$69,$B159)+SUMIFS(Headcount!AG$395:AG$1442,Headcount!$J$395:$J$1442,$B159))</f>
        <v>0</v>
      </c>
      <c r="Y159" s="137">
        <f>IF(Y$12="Actual",SUMIFS(ActualsTable[Month 23],ActualsTable[Expense Item2],$B159),SUMIFS(Expenses!BX$8:BX$69,Expenses!$O$8:$O$69,$B159)+SUMIFS(Headcount!AH$395:AH$1442,Headcount!$J$395:$J$1442,$B159))</f>
        <v>0</v>
      </c>
      <c r="Z159" s="137">
        <f>IF(Z$12="Actual",SUMIFS(ActualsTable[Month 24],ActualsTable[Expense Item2],$B159),SUMIFS(Expenses!BY$8:BY$69,Expenses!$O$8:$O$69,$B159)+SUMIFS(Headcount!AI$395:AI$1442,Headcount!$J$395:$J$1442,$B159))</f>
        <v>0</v>
      </c>
      <c r="AA159" s="137">
        <f>IF(AA$12="Actual",SUMIFS(ActualsTable[Month 25],ActualsTable[Expense Item2],$B159),SUMIFS(Expenses!BZ$8:BZ$69,Expenses!$O$8:$O$69,$B159)+SUMIFS(Headcount!AJ$395:AJ$1442,Headcount!$J$395:$J$1442,$B159))</f>
        <v>0</v>
      </c>
      <c r="AB159" s="137">
        <f>IF(AB$12="Actual",SUMIFS(ActualsTable[Month 26],ActualsTable[Expense Item2],$B159),SUMIFS(Expenses!CA$8:CA$69,Expenses!$O$8:$O$69,$B159)+SUMIFS(Headcount!AK$395:AK$1442,Headcount!$J$395:$J$1442,$B159))</f>
        <v>0</v>
      </c>
      <c r="AC159" s="137">
        <f>IF(AC$12="Actual",SUMIFS(ActualsTable[Month 27],ActualsTable[Expense Item2],$B159),SUMIFS(Expenses!CB$8:CB$69,Expenses!$O$8:$O$69,$B159)+SUMIFS(Headcount!AL$395:AL$1442,Headcount!$J$395:$J$1442,$B159))</f>
        <v>0</v>
      </c>
      <c r="AD159" s="137">
        <f>IF(AD$12="Actual",SUMIFS(ActualsTable[Month 28],ActualsTable[Expense Item2],$B159),SUMIFS(Expenses!CC$8:CC$69,Expenses!$O$8:$O$69,$B159)+SUMIFS(Headcount!AM$395:AM$1442,Headcount!$J$395:$J$1442,$B159))</f>
        <v>0</v>
      </c>
      <c r="AE159" s="137">
        <f>IF(AE$12="Actual",SUMIFS(ActualsTable[Month 29],ActualsTable[Expense Item2],$B159),SUMIFS(Expenses!CD$8:CD$69,Expenses!$O$8:$O$69,$B159)+SUMIFS(Headcount!AN$395:AN$1442,Headcount!$J$395:$J$1442,$B159))</f>
        <v>0</v>
      </c>
      <c r="AF159" s="137">
        <f>IF(AF$12="Actual",SUMIFS(ActualsTable[Month 30],ActualsTable[Expense Item2],$B159),SUMIFS(Expenses!CE$8:CE$69,Expenses!$O$8:$O$69,$B159)+SUMIFS(Headcount!AO$395:AO$1442,Headcount!$J$395:$J$1442,$B159))</f>
        <v>0</v>
      </c>
      <c r="AG159" s="137">
        <f>IF(AG$12="Actual",SUMIFS(ActualsTable[Month 31],ActualsTable[Expense Item2],$B159),SUMIFS(Expenses!CF$8:CF$69,Expenses!$O$8:$O$69,$B159)+SUMIFS(Headcount!AP$395:AP$1442,Headcount!$J$395:$J$1442,$B159))</f>
        <v>0</v>
      </c>
      <c r="AH159" s="137">
        <f>IF(AH$12="Actual",SUMIFS(ActualsTable[Month 32],ActualsTable[Expense Item2],$B159),SUMIFS(Expenses!CG$8:CG$69,Expenses!$O$8:$O$69,$B159)+SUMIFS(Headcount!AQ$395:AQ$1442,Headcount!$J$395:$J$1442,$B159))</f>
        <v>0</v>
      </c>
      <c r="AI159" s="137">
        <f>IF(AI$12="Actual",SUMIFS(ActualsTable[Month 33],ActualsTable[Expense Item2],$B159),SUMIFS(Expenses!CH$8:CH$69,Expenses!$O$8:$O$69,$B159)+SUMIFS(Headcount!AR$395:AR$1442,Headcount!$J$395:$J$1442,$B159))</f>
        <v>0</v>
      </c>
      <c r="AJ159" s="137">
        <f>IF(AJ$12="Actual",SUMIFS(ActualsTable[Month 34],ActualsTable[Expense Item2],$B159),SUMIFS(Expenses!CI$8:CI$69,Expenses!$O$8:$O$69,$B159)+SUMIFS(Headcount!AS$395:AS$1442,Headcount!$J$395:$J$1442,$B159))</f>
        <v>0</v>
      </c>
      <c r="AK159" s="137">
        <f>IF(AK$12="Actual",SUMIFS(ActualsTable[Month 35],ActualsTable[Expense Item2],$B159),SUMIFS(Expenses!CJ$8:CJ$69,Expenses!$O$8:$O$69,$B159)+SUMIFS(Headcount!AT$395:AT$1442,Headcount!$J$395:$J$1442,$B159))</f>
        <v>0</v>
      </c>
      <c r="AL159" s="293">
        <f>IF(AL$12="Actual",SUMIFS(ActualsTable[Month 36],ActualsTable[Expense Item2],$B159),SUMIFS(Expenses!CK$8:CK$69,Expenses!$O$8:$O$69,$B159)+SUMIFS(Headcount!AU$395:AU$1442,Headcount!$J$395:$J$1442,$B159))</f>
        <v>0</v>
      </c>
      <c r="AN159" s="319">
        <f t="shared" ca="1" si="275"/>
        <v>0</v>
      </c>
      <c r="AO159" s="137">
        <f t="shared" ca="1" si="275"/>
        <v>0</v>
      </c>
      <c r="AP159" s="137">
        <f t="shared" ca="1" si="275"/>
        <v>0</v>
      </c>
      <c r="AQ159" s="137">
        <f t="shared" ca="1" si="275"/>
        <v>0</v>
      </c>
      <c r="AR159" s="137">
        <f t="shared" ca="1" si="275"/>
        <v>0</v>
      </c>
      <c r="AS159" s="137">
        <f t="shared" ca="1" si="275"/>
        <v>0</v>
      </c>
      <c r="AT159" s="137">
        <f t="shared" ca="1" si="275"/>
        <v>0</v>
      </c>
      <c r="AU159" s="137">
        <f t="shared" ca="1" si="275"/>
        <v>0</v>
      </c>
      <c r="AV159" s="137">
        <f t="shared" ca="1" si="275"/>
        <v>0</v>
      </c>
      <c r="AW159" s="137">
        <f t="shared" ca="1" si="275"/>
        <v>0</v>
      </c>
      <c r="AX159" s="137">
        <f t="shared" ca="1" si="275"/>
        <v>0</v>
      </c>
      <c r="AY159" s="293">
        <f t="shared" ca="1" si="275"/>
        <v>0</v>
      </c>
      <c r="BA159" s="319">
        <f t="shared" ca="1" si="276"/>
        <v>0</v>
      </c>
      <c r="BB159" s="137">
        <f t="shared" ca="1" si="276"/>
        <v>0</v>
      </c>
      <c r="BC159" s="293">
        <f t="shared" ca="1" si="276"/>
        <v>0</v>
      </c>
    </row>
    <row r="160" spans="2:55" x14ac:dyDescent="0.35">
      <c r="B160" s="80" t="s">
        <v>189</v>
      </c>
      <c r="C160" s="137">
        <f>IF(C$12="Actual",SUMIFS(ActualsTable[Month 1],ActualsTable[Expense Item2],$B160),SUMIFS(Expenses!BB$8:BB$69,Expenses!$O$8:$O$69,$B160)+SUMIFS(Headcount!L$395:L$1442,Headcount!$J$395:$J$1442,$B160))</f>
        <v>0</v>
      </c>
      <c r="D160" s="137">
        <f>IF(D$12="Actual",SUMIFS(ActualsTable[Month 2],ActualsTable[Expense Item2],$B160),SUMIFS(Expenses!BC$8:BC$69,Expenses!$O$8:$O$69,$B160)+SUMIFS(Headcount!M$395:M$1442,Headcount!$J$395:$J$1442,$B160))</f>
        <v>0</v>
      </c>
      <c r="E160" s="137">
        <f>IF(E$12="Actual",SUMIFS(ActualsTable[Month 3],ActualsTable[Expense Item2],$B160),SUMIFS(Expenses!BD$8:BD$69,Expenses!$O$8:$O$69,$B160)+SUMIFS(Headcount!N$395:N$1442,Headcount!$J$395:$J$1442,$B160))</f>
        <v>0</v>
      </c>
      <c r="F160" s="137">
        <f>IF(F$12="Actual",SUMIFS(ActualsTable[Month 4],ActualsTable[Expense Item2],$B160),SUMIFS(Expenses!BE$8:BE$69,Expenses!$O$8:$O$69,$B160)+SUMIFS(Headcount!O$395:O$1442,Headcount!$J$395:$J$1442,$B160))</f>
        <v>0</v>
      </c>
      <c r="G160" s="137">
        <f>IF(G$12="Actual",SUMIFS(ActualsTable[Month 5],ActualsTable[Expense Item2],$B160),SUMIFS(Expenses!BF$8:BF$69,Expenses!$O$8:$O$69,$B160)+SUMIFS(Headcount!P$395:P$1442,Headcount!$J$395:$J$1442,$B160))</f>
        <v>0</v>
      </c>
      <c r="H160" s="137">
        <f>IF(H$12="Actual",SUMIFS(ActualsTable[Month 6],ActualsTable[Expense Item2],$B160),SUMIFS(Expenses!BG$8:BG$69,Expenses!$O$8:$O$69,$B160)+SUMIFS(Headcount!Q$395:Q$1442,Headcount!$J$395:$J$1442,$B160))</f>
        <v>0</v>
      </c>
      <c r="I160" s="137">
        <f>IF(I$12="Actual",SUMIFS(ActualsTable[Month 7],ActualsTable[Expense Item2],$B160),SUMIFS(Expenses!BH$8:BH$69,Expenses!$O$8:$O$69,$B160)+SUMIFS(Headcount!R$395:R$1442,Headcount!$J$395:$J$1442,$B160))</f>
        <v>0</v>
      </c>
      <c r="J160" s="137">
        <f>IF(J$12="Actual",SUMIFS(ActualsTable[Month 8],ActualsTable[Expense Item2],$B160),SUMIFS(Expenses!BI$8:BI$69,Expenses!$O$8:$O$69,$B160)+SUMIFS(Headcount!S$395:S$1442,Headcount!$J$395:$J$1442,$B160))</f>
        <v>0</v>
      </c>
      <c r="K160" s="137">
        <f>IF(K$12="Actual",SUMIFS(ActualsTable[Month 9],ActualsTable[Expense Item2],$B160),SUMIFS(Expenses!BJ$8:BJ$69,Expenses!$O$8:$O$69,$B160)+SUMIFS(Headcount!T$395:T$1442,Headcount!$J$395:$J$1442,$B160))</f>
        <v>0</v>
      </c>
      <c r="L160" s="137">
        <f>IF(L$12="Actual",SUMIFS(ActualsTable[Month 10],ActualsTable[Expense Item2],$B160),SUMIFS(Expenses!BK$8:BK$69,Expenses!$O$8:$O$69,$B160)+SUMIFS(Headcount!U$395:U$1442,Headcount!$J$395:$J$1442,$B160))</f>
        <v>0</v>
      </c>
      <c r="M160" s="137">
        <f>IF(M$12="Actual",SUMIFS(ActualsTable[Month 11],ActualsTable[Expense Item2],$B160),SUMIFS(Expenses!BL$8:BL$69,Expenses!$O$8:$O$69,$B160)+SUMIFS(Headcount!V$395:V$1442,Headcount!$J$395:$J$1442,$B160))</f>
        <v>0</v>
      </c>
      <c r="N160" s="137">
        <f>IF(N$12="Actual",SUMIFS(ActualsTable[Month 12],ActualsTable[Expense Item2],$B160),SUMIFS(Expenses!BM$8:BM$69,Expenses!$O$8:$O$69,$B160)+SUMIFS(Headcount!W$395:W$1442,Headcount!$J$395:$J$1442,$B160))</f>
        <v>0</v>
      </c>
      <c r="O160" s="137">
        <f>IF(O$12="Actual",SUMIFS(ActualsTable[Month 13],ActualsTable[Expense Item2],$B160),SUMIFS(Expenses!BN$8:BN$69,Expenses!$O$8:$O$69,$B160)+SUMIFS(Headcount!X$395:X$1442,Headcount!$J$395:$J$1442,$B160))</f>
        <v>0</v>
      </c>
      <c r="P160" s="137">
        <f>IF(P$12="Actual",SUMIFS(ActualsTable[Month 14],ActualsTable[Expense Item2],$B160),SUMIFS(Expenses!BO$8:BO$69,Expenses!$O$8:$O$69,$B160)+SUMIFS(Headcount!Y$395:Y$1442,Headcount!$J$395:$J$1442,$B160))</f>
        <v>0</v>
      </c>
      <c r="Q160" s="137">
        <f>IF(Q$12="Actual",SUMIFS(ActualsTable[Month 15],ActualsTable[Expense Item2],$B160),SUMIFS(Expenses!BP$8:BP$69,Expenses!$O$8:$O$69,$B160)+SUMIFS(Headcount!Z$395:Z$1442,Headcount!$J$395:$J$1442,$B160))</f>
        <v>0</v>
      </c>
      <c r="R160" s="137">
        <f>IF(R$12="Actual",SUMIFS(ActualsTable[Month 16],ActualsTable[Expense Item2],$B160),SUMIFS(Expenses!BQ$8:BQ$69,Expenses!$O$8:$O$69,$B160)+SUMIFS(Headcount!AA$395:AA$1442,Headcount!$J$395:$J$1442,$B160))</f>
        <v>0</v>
      </c>
      <c r="S160" s="137">
        <f>IF(S$12="Actual",SUMIFS(ActualsTable[Month 17],ActualsTable[Expense Item2],$B160),SUMIFS(Expenses!BR$8:BR$69,Expenses!$O$8:$O$69,$B160)+SUMIFS(Headcount!AB$395:AB$1442,Headcount!$J$395:$J$1442,$B160))</f>
        <v>0</v>
      </c>
      <c r="T160" s="137">
        <f>IF(T$12="Actual",SUMIFS(ActualsTable[Month 18],ActualsTable[Expense Item2],$B160),SUMIFS(Expenses!BS$8:BS$69,Expenses!$O$8:$O$69,$B160)+SUMIFS(Headcount!AC$395:AC$1442,Headcount!$J$395:$J$1442,$B160))</f>
        <v>0</v>
      </c>
      <c r="U160" s="137">
        <f>IF(U$12="Actual",SUMIFS(ActualsTable[Month 19],ActualsTable[Expense Item2],$B160),SUMIFS(Expenses!BT$8:BT$69,Expenses!$O$8:$O$69,$B160)+SUMIFS(Headcount!AD$395:AD$1442,Headcount!$J$395:$J$1442,$B160))</f>
        <v>0</v>
      </c>
      <c r="V160" s="137">
        <f>IF(V$12="Actual",SUMIFS(ActualsTable[Month 20],ActualsTable[Expense Item2],$B160),SUMIFS(Expenses!BU$8:BU$69,Expenses!$O$8:$O$69,$B160)+SUMIFS(Headcount!AE$395:AE$1442,Headcount!$J$395:$J$1442,$B160))</f>
        <v>0</v>
      </c>
      <c r="W160" s="137">
        <f>IF(W$12="Actual",SUMIFS(ActualsTable[Month 21],ActualsTable[Expense Item2],$B160),SUMIFS(Expenses!BV$8:BV$69,Expenses!$O$8:$O$69,$B160)+SUMIFS(Headcount!AF$395:AF$1442,Headcount!$J$395:$J$1442,$B160))</f>
        <v>0</v>
      </c>
      <c r="X160" s="137">
        <f>IF(X$12="Actual",SUMIFS(ActualsTable[Month 22],ActualsTable[Expense Item2],$B160),SUMIFS(Expenses!BW$8:BW$69,Expenses!$O$8:$O$69,$B160)+SUMIFS(Headcount!AG$395:AG$1442,Headcount!$J$395:$J$1442,$B160))</f>
        <v>0</v>
      </c>
      <c r="Y160" s="137">
        <f>IF(Y$12="Actual",SUMIFS(ActualsTable[Month 23],ActualsTable[Expense Item2],$B160),SUMIFS(Expenses!BX$8:BX$69,Expenses!$O$8:$O$69,$B160)+SUMIFS(Headcount!AH$395:AH$1442,Headcount!$J$395:$J$1442,$B160))</f>
        <v>0</v>
      </c>
      <c r="Z160" s="137">
        <f>IF(Z$12="Actual",SUMIFS(ActualsTable[Month 24],ActualsTable[Expense Item2],$B160),SUMIFS(Expenses!BY$8:BY$69,Expenses!$O$8:$O$69,$B160)+SUMIFS(Headcount!AI$395:AI$1442,Headcount!$J$395:$J$1442,$B160))</f>
        <v>0</v>
      </c>
      <c r="AA160" s="137">
        <f>IF(AA$12="Actual",SUMIFS(ActualsTable[Month 25],ActualsTable[Expense Item2],$B160),SUMIFS(Expenses!BZ$8:BZ$69,Expenses!$O$8:$O$69,$B160)+SUMIFS(Headcount!AJ$395:AJ$1442,Headcount!$J$395:$J$1442,$B160))</f>
        <v>0</v>
      </c>
      <c r="AB160" s="137">
        <f>IF(AB$12="Actual",SUMIFS(ActualsTable[Month 26],ActualsTable[Expense Item2],$B160),SUMIFS(Expenses!CA$8:CA$69,Expenses!$O$8:$O$69,$B160)+SUMIFS(Headcount!AK$395:AK$1442,Headcount!$J$395:$J$1442,$B160))</f>
        <v>0</v>
      </c>
      <c r="AC160" s="137">
        <f>IF(AC$12="Actual",SUMIFS(ActualsTable[Month 27],ActualsTable[Expense Item2],$B160),SUMIFS(Expenses!CB$8:CB$69,Expenses!$O$8:$O$69,$B160)+SUMIFS(Headcount!AL$395:AL$1442,Headcount!$J$395:$J$1442,$B160))</f>
        <v>0</v>
      </c>
      <c r="AD160" s="137">
        <f>IF(AD$12="Actual",SUMIFS(ActualsTable[Month 28],ActualsTable[Expense Item2],$B160),SUMIFS(Expenses!CC$8:CC$69,Expenses!$O$8:$O$69,$B160)+SUMIFS(Headcount!AM$395:AM$1442,Headcount!$J$395:$J$1442,$B160))</f>
        <v>0</v>
      </c>
      <c r="AE160" s="137">
        <f>IF(AE$12="Actual",SUMIFS(ActualsTable[Month 29],ActualsTable[Expense Item2],$B160),SUMIFS(Expenses!CD$8:CD$69,Expenses!$O$8:$O$69,$B160)+SUMIFS(Headcount!AN$395:AN$1442,Headcount!$J$395:$J$1442,$B160))</f>
        <v>0</v>
      </c>
      <c r="AF160" s="137">
        <f>IF(AF$12="Actual",SUMIFS(ActualsTable[Month 30],ActualsTable[Expense Item2],$B160),SUMIFS(Expenses!CE$8:CE$69,Expenses!$O$8:$O$69,$B160)+SUMIFS(Headcount!AO$395:AO$1442,Headcount!$J$395:$J$1442,$B160))</f>
        <v>0</v>
      </c>
      <c r="AG160" s="137">
        <f>IF(AG$12="Actual",SUMIFS(ActualsTable[Month 31],ActualsTable[Expense Item2],$B160),SUMIFS(Expenses!CF$8:CF$69,Expenses!$O$8:$O$69,$B160)+SUMIFS(Headcount!AP$395:AP$1442,Headcount!$J$395:$J$1442,$B160))</f>
        <v>0</v>
      </c>
      <c r="AH160" s="137">
        <f>IF(AH$12="Actual",SUMIFS(ActualsTable[Month 32],ActualsTable[Expense Item2],$B160),SUMIFS(Expenses!CG$8:CG$69,Expenses!$O$8:$O$69,$B160)+SUMIFS(Headcount!AQ$395:AQ$1442,Headcount!$J$395:$J$1442,$B160))</f>
        <v>0</v>
      </c>
      <c r="AI160" s="137">
        <f>IF(AI$12="Actual",SUMIFS(ActualsTable[Month 33],ActualsTable[Expense Item2],$B160),SUMIFS(Expenses!CH$8:CH$69,Expenses!$O$8:$O$69,$B160)+SUMIFS(Headcount!AR$395:AR$1442,Headcount!$J$395:$J$1442,$B160))</f>
        <v>0</v>
      </c>
      <c r="AJ160" s="137">
        <f>IF(AJ$12="Actual",SUMIFS(ActualsTable[Month 34],ActualsTable[Expense Item2],$B160),SUMIFS(Expenses!CI$8:CI$69,Expenses!$O$8:$O$69,$B160)+SUMIFS(Headcount!AS$395:AS$1442,Headcount!$J$395:$J$1442,$B160))</f>
        <v>0</v>
      </c>
      <c r="AK160" s="137">
        <f>IF(AK$12="Actual",SUMIFS(ActualsTable[Month 35],ActualsTable[Expense Item2],$B160),SUMIFS(Expenses!CJ$8:CJ$69,Expenses!$O$8:$O$69,$B160)+SUMIFS(Headcount!AT$395:AT$1442,Headcount!$J$395:$J$1442,$B160))</f>
        <v>0</v>
      </c>
      <c r="AL160" s="293">
        <f>IF(AL$12="Actual",SUMIFS(ActualsTable[Month 36],ActualsTable[Expense Item2],$B160),SUMIFS(Expenses!CK$8:CK$69,Expenses!$O$8:$O$69,$B160)+SUMIFS(Headcount!AU$395:AU$1442,Headcount!$J$395:$J$1442,$B160))</f>
        <v>0</v>
      </c>
      <c r="AN160" s="319">
        <f t="shared" ca="1" si="275"/>
        <v>0</v>
      </c>
      <c r="AO160" s="137">
        <f t="shared" ca="1" si="275"/>
        <v>0</v>
      </c>
      <c r="AP160" s="137">
        <f t="shared" ca="1" si="275"/>
        <v>0</v>
      </c>
      <c r="AQ160" s="137">
        <f t="shared" ca="1" si="275"/>
        <v>0</v>
      </c>
      <c r="AR160" s="137">
        <f t="shared" ca="1" si="275"/>
        <v>0</v>
      </c>
      <c r="AS160" s="137">
        <f t="shared" ca="1" si="275"/>
        <v>0</v>
      </c>
      <c r="AT160" s="137">
        <f t="shared" ca="1" si="275"/>
        <v>0</v>
      </c>
      <c r="AU160" s="137">
        <f t="shared" ca="1" si="275"/>
        <v>0</v>
      </c>
      <c r="AV160" s="137">
        <f t="shared" ca="1" si="275"/>
        <v>0</v>
      </c>
      <c r="AW160" s="137">
        <f t="shared" ca="1" si="275"/>
        <v>0</v>
      </c>
      <c r="AX160" s="137">
        <f t="shared" ca="1" si="275"/>
        <v>0</v>
      </c>
      <c r="AY160" s="293">
        <f t="shared" ca="1" si="275"/>
        <v>0</v>
      </c>
      <c r="BA160" s="319">
        <f t="shared" ca="1" si="276"/>
        <v>0</v>
      </c>
      <c r="BB160" s="137">
        <f t="shared" ca="1" si="276"/>
        <v>0</v>
      </c>
      <c r="BC160" s="293">
        <f t="shared" ca="1" si="276"/>
        <v>0</v>
      </c>
    </row>
    <row r="161" spans="2:55" x14ac:dyDescent="0.35">
      <c r="B161" s="80" t="s">
        <v>190</v>
      </c>
      <c r="C161" s="137">
        <f>IF(C$12="Actual",SUMIFS(ActualsTable[Month 1],ActualsTable[Expense Item2],$B161),SUMIFS(Expenses!BB$8:BB$69,Expenses!$O$8:$O$69,$B161)+SUMIFS(Headcount!L$395:L$1442,Headcount!$J$395:$J$1442,$B161))</f>
        <v>0</v>
      </c>
      <c r="D161" s="137">
        <f>IF(D$12="Actual",SUMIFS(ActualsTable[Month 2],ActualsTable[Expense Item2],$B161),SUMIFS(Expenses!BC$8:BC$69,Expenses!$O$8:$O$69,$B161)+SUMIFS(Headcount!M$395:M$1442,Headcount!$J$395:$J$1442,$B161))</f>
        <v>0</v>
      </c>
      <c r="E161" s="137">
        <f>IF(E$12="Actual",SUMIFS(ActualsTable[Month 3],ActualsTable[Expense Item2],$B161),SUMIFS(Expenses!BD$8:BD$69,Expenses!$O$8:$O$69,$B161)+SUMIFS(Headcount!N$395:N$1442,Headcount!$J$395:$J$1442,$B161))</f>
        <v>0</v>
      </c>
      <c r="F161" s="137">
        <f>IF(F$12="Actual",SUMIFS(ActualsTable[Month 4],ActualsTable[Expense Item2],$B161),SUMIFS(Expenses!BE$8:BE$69,Expenses!$O$8:$O$69,$B161)+SUMIFS(Headcount!O$395:O$1442,Headcount!$J$395:$J$1442,$B161))</f>
        <v>0</v>
      </c>
      <c r="G161" s="137">
        <f>IF(G$12="Actual",SUMIFS(ActualsTable[Month 5],ActualsTable[Expense Item2],$B161),SUMIFS(Expenses!BF$8:BF$69,Expenses!$O$8:$O$69,$B161)+SUMIFS(Headcount!P$395:P$1442,Headcount!$J$395:$J$1442,$B161))</f>
        <v>0</v>
      </c>
      <c r="H161" s="137">
        <f>IF(H$12="Actual",SUMIFS(ActualsTable[Month 6],ActualsTable[Expense Item2],$B161),SUMIFS(Expenses!BG$8:BG$69,Expenses!$O$8:$O$69,$B161)+SUMIFS(Headcount!Q$395:Q$1442,Headcount!$J$395:$J$1442,$B161))</f>
        <v>0</v>
      </c>
      <c r="I161" s="137">
        <f>IF(I$12="Actual",SUMIFS(ActualsTable[Month 7],ActualsTable[Expense Item2],$B161),SUMIFS(Expenses!BH$8:BH$69,Expenses!$O$8:$O$69,$B161)+SUMIFS(Headcount!R$395:R$1442,Headcount!$J$395:$J$1442,$B161))</f>
        <v>0</v>
      </c>
      <c r="J161" s="137">
        <f>IF(J$12="Actual",SUMIFS(ActualsTable[Month 8],ActualsTable[Expense Item2],$B161),SUMIFS(Expenses!BI$8:BI$69,Expenses!$O$8:$O$69,$B161)+SUMIFS(Headcount!S$395:S$1442,Headcount!$J$395:$J$1442,$B161))</f>
        <v>0</v>
      </c>
      <c r="K161" s="137">
        <f>IF(K$12="Actual",SUMIFS(ActualsTable[Month 9],ActualsTable[Expense Item2],$B161),SUMIFS(Expenses!BJ$8:BJ$69,Expenses!$O$8:$O$69,$B161)+SUMIFS(Headcount!T$395:T$1442,Headcount!$J$395:$J$1442,$B161))</f>
        <v>0</v>
      </c>
      <c r="L161" s="137">
        <f>IF(L$12="Actual",SUMIFS(ActualsTable[Month 10],ActualsTable[Expense Item2],$B161),SUMIFS(Expenses!BK$8:BK$69,Expenses!$O$8:$O$69,$B161)+SUMIFS(Headcount!U$395:U$1442,Headcount!$J$395:$J$1442,$B161))</f>
        <v>0</v>
      </c>
      <c r="M161" s="137">
        <f>IF(M$12="Actual",SUMIFS(ActualsTable[Month 11],ActualsTable[Expense Item2],$B161),SUMIFS(Expenses!BL$8:BL$69,Expenses!$O$8:$O$69,$B161)+SUMIFS(Headcount!V$395:V$1442,Headcount!$J$395:$J$1442,$B161))</f>
        <v>0</v>
      </c>
      <c r="N161" s="137">
        <f>IF(N$12="Actual",SUMIFS(ActualsTable[Month 12],ActualsTable[Expense Item2],$B161),SUMIFS(Expenses!BM$8:BM$69,Expenses!$O$8:$O$69,$B161)+SUMIFS(Headcount!W$395:W$1442,Headcount!$J$395:$J$1442,$B161))</f>
        <v>0</v>
      </c>
      <c r="O161" s="137">
        <f>IF(O$12="Actual",SUMIFS(ActualsTable[Month 13],ActualsTable[Expense Item2],$B161),SUMIFS(Expenses!BN$8:BN$69,Expenses!$O$8:$O$69,$B161)+SUMIFS(Headcount!X$395:X$1442,Headcount!$J$395:$J$1442,$B161))</f>
        <v>0</v>
      </c>
      <c r="P161" s="137">
        <f>IF(P$12="Actual",SUMIFS(ActualsTable[Month 14],ActualsTable[Expense Item2],$B161),SUMIFS(Expenses!BO$8:BO$69,Expenses!$O$8:$O$69,$B161)+SUMIFS(Headcount!Y$395:Y$1442,Headcount!$J$395:$J$1442,$B161))</f>
        <v>0</v>
      </c>
      <c r="Q161" s="137">
        <f>IF(Q$12="Actual",SUMIFS(ActualsTable[Month 15],ActualsTable[Expense Item2],$B161),SUMIFS(Expenses!BP$8:BP$69,Expenses!$O$8:$O$69,$B161)+SUMIFS(Headcount!Z$395:Z$1442,Headcount!$J$395:$J$1442,$B161))</f>
        <v>0</v>
      </c>
      <c r="R161" s="137">
        <f>IF(R$12="Actual",SUMIFS(ActualsTable[Month 16],ActualsTable[Expense Item2],$B161),SUMIFS(Expenses!BQ$8:BQ$69,Expenses!$O$8:$O$69,$B161)+SUMIFS(Headcount!AA$395:AA$1442,Headcount!$J$395:$J$1442,$B161))</f>
        <v>0</v>
      </c>
      <c r="S161" s="137">
        <f>IF(S$12="Actual",SUMIFS(ActualsTable[Month 17],ActualsTable[Expense Item2],$B161),SUMIFS(Expenses!BR$8:BR$69,Expenses!$O$8:$O$69,$B161)+SUMIFS(Headcount!AB$395:AB$1442,Headcount!$J$395:$J$1442,$B161))</f>
        <v>0</v>
      </c>
      <c r="T161" s="137">
        <f>IF(T$12="Actual",SUMIFS(ActualsTable[Month 18],ActualsTable[Expense Item2],$B161),SUMIFS(Expenses!BS$8:BS$69,Expenses!$O$8:$O$69,$B161)+SUMIFS(Headcount!AC$395:AC$1442,Headcount!$J$395:$J$1442,$B161))</f>
        <v>0</v>
      </c>
      <c r="U161" s="137">
        <f>IF(U$12="Actual",SUMIFS(ActualsTable[Month 19],ActualsTable[Expense Item2],$B161),SUMIFS(Expenses!BT$8:BT$69,Expenses!$O$8:$O$69,$B161)+SUMIFS(Headcount!AD$395:AD$1442,Headcount!$J$395:$J$1442,$B161))</f>
        <v>0</v>
      </c>
      <c r="V161" s="137">
        <f>IF(V$12="Actual",SUMIFS(ActualsTable[Month 20],ActualsTable[Expense Item2],$B161),SUMIFS(Expenses!BU$8:BU$69,Expenses!$O$8:$O$69,$B161)+SUMIFS(Headcount!AE$395:AE$1442,Headcount!$J$395:$J$1442,$B161))</f>
        <v>0</v>
      </c>
      <c r="W161" s="137">
        <f>IF(W$12="Actual",SUMIFS(ActualsTable[Month 21],ActualsTable[Expense Item2],$B161),SUMIFS(Expenses!BV$8:BV$69,Expenses!$O$8:$O$69,$B161)+SUMIFS(Headcount!AF$395:AF$1442,Headcount!$J$395:$J$1442,$B161))</f>
        <v>0</v>
      </c>
      <c r="X161" s="137">
        <f>IF(X$12="Actual",SUMIFS(ActualsTable[Month 22],ActualsTable[Expense Item2],$B161),SUMIFS(Expenses!BW$8:BW$69,Expenses!$O$8:$O$69,$B161)+SUMIFS(Headcount!AG$395:AG$1442,Headcount!$J$395:$J$1442,$B161))</f>
        <v>0</v>
      </c>
      <c r="Y161" s="137">
        <f>IF(Y$12="Actual",SUMIFS(ActualsTable[Month 23],ActualsTable[Expense Item2],$B161),SUMIFS(Expenses!BX$8:BX$69,Expenses!$O$8:$O$69,$B161)+SUMIFS(Headcount!AH$395:AH$1442,Headcount!$J$395:$J$1442,$B161))</f>
        <v>0</v>
      </c>
      <c r="Z161" s="137">
        <f>IF(Z$12="Actual",SUMIFS(ActualsTable[Month 24],ActualsTable[Expense Item2],$B161),SUMIFS(Expenses!BY$8:BY$69,Expenses!$O$8:$O$69,$B161)+SUMIFS(Headcount!AI$395:AI$1442,Headcount!$J$395:$J$1442,$B161))</f>
        <v>0</v>
      </c>
      <c r="AA161" s="137">
        <f>IF(AA$12="Actual",SUMIFS(ActualsTable[Month 25],ActualsTable[Expense Item2],$B161),SUMIFS(Expenses!BZ$8:BZ$69,Expenses!$O$8:$O$69,$B161)+SUMIFS(Headcount!AJ$395:AJ$1442,Headcount!$J$395:$J$1442,$B161))</f>
        <v>0</v>
      </c>
      <c r="AB161" s="137">
        <f>IF(AB$12="Actual",SUMIFS(ActualsTable[Month 26],ActualsTable[Expense Item2],$B161),SUMIFS(Expenses!CA$8:CA$69,Expenses!$O$8:$O$69,$B161)+SUMIFS(Headcount!AK$395:AK$1442,Headcount!$J$395:$J$1442,$B161))</f>
        <v>0</v>
      </c>
      <c r="AC161" s="137">
        <f>IF(AC$12="Actual",SUMIFS(ActualsTable[Month 27],ActualsTable[Expense Item2],$B161),SUMIFS(Expenses!CB$8:CB$69,Expenses!$O$8:$O$69,$B161)+SUMIFS(Headcount!AL$395:AL$1442,Headcount!$J$395:$J$1442,$B161))</f>
        <v>0</v>
      </c>
      <c r="AD161" s="137">
        <f>IF(AD$12="Actual",SUMIFS(ActualsTable[Month 28],ActualsTable[Expense Item2],$B161),SUMIFS(Expenses!CC$8:CC$69,Expenses!$O$8:$O$69,$B161)+SUMIFS(Headcount!AM$395:AM$1442,Headcount!$J$395:$J$1442,$B161))</f>
        <v>0</v>
      </c>
      <c r="AE161" s="137">
        <f>IF(AE$12="Actual",SUMIFS(ActualsTable[Month 29],ActualsTable[Expense Item2],$B161),SUMIFS(Expenses!CD$8:CD$69,Expenses!$O$8:$O$69,$B161)+SUMIFS(Headcount!AN$395:AN$1442,Headcount!$J$395:$J$1442,$B161))</f>
        <v>0</v>
      </c>
      <c r="AF161" s="137">
        <f>IF(AF$12="Actual",SUMIFS(ActualsTable[Month 30],ActualsTable[Expense Item2],$B161),SUMIFS(Expenses!CE$8:CE$69,Expenses!$O$8:$O$69,$B161)+SUMIFS(Headcount!AO$395:AO$1442,Headcount!$J$395:$J$1442,$B161))</f>
        <v>0</v>
      </c>
      <c r="AG161" s="137">
        <f>IF(AG$12="Actual",SUMIFS(ActualsTable[Month 31],ActualsTable[Expense Item2],$B161),SUMIFS(Expenses!CF$8:CF$69,Expenses!$O$8:$O$69,$B161)+SUMIFS(Headcount!AP$395:AP$1442,Headcount!$J$395:$J$1442,$B161))</f>
        <v>0</v>
      </c>
      <c r="AH161" s="137">
        <f>IF(AH$12="Actual",SUMIFS(ActualsTable[Month 32],ActualsTable[Expense Item2],$B161),SUMIFS(Expenses!CG$8:CG$69,Expenses!$O$8:$O$69,$B161)+SUMIFS(Headcount!AQ$395:AQ$1442,Headcount!$J$395:$J$1442,$B161))</f>
        <v>0</v>
      </c>
      <c r="AI161" s="137">
        <f>IF(AI$12="Actual",SUMIFS(ActualsTable[Month 33],ActualsTable[Expense Item2],$B161),SUMIFS(Expenses!CH$8:CH$69,Expenses!$O$8:$O$69,$B161)+SUMIFS(Headcount!AR$395:AR$1442,Headcount!$J$395:$J$1442,$B161))</f>
        <v>0</v>
      </c>
      <c r="AJ161" s="137">
        <f>IF(AJ$12="Actual",SUMIFS(ActualsTable[Month 34],ActualsTable[Expense Item2],$B161),SUMIFS(Expenses!CI$8:CI$69,Expenses!$O$8:$O$69,$B161)+SUMIFS(Headcount!AS$395:AS$1442,Headcount!$J$395:$J$1442,$B161))</f>
        <v>0</v>
      </c>
      <c r="AK161" s="137">
        <f>IF(AK$12="Actual",SUMIFS(ActualsTable[Month 35],ActualsTable[Expense Item2],$B161),SUMIFS(Expenses!CJ$8:CJ$69,Expenses!$O$8:$O$69,$B161)+SUMIFS(Headcount!AT$395:AT$1442,Headcount!$J$395:$J$1442,$B161))</f>
        <v>0</v>
      </c>
      <c r="AL161" s="293">
        <f>IF(AL$12="Actual",SUMIFS(ActualsTable[Month 36],ActualsTable[Expense Item2],$B161),SUMIFS(Expenses!CK$8:CK$69,Expenses!$O$8:$O$69,$B161)+SUMIFS(Headcount!AU$395:AU$1442,Headcount!$J$395:$J$1442,$B161))</f>
        <v>0</v>
      </c>
      <c r="AN161" s="319">
        <f t="shared" ca="1" si="275"/>
        <v>0</v>
      </c>
      <c r="AO161" s="137">
        <f t="shared" ca="1" si="275"/>
        <v>0</v>
      </c>
      <c r="AP161" s="137">
        <f t="shared" ca="1" si="275"/>
        <v>0</v>
      </c>
      <c r="AQ161" s="137">
        <f t="shared" ca="1" si="275"/>
        <v>0</v>
      </c>
      <c r="AR161" s="137">
        <f t="shared" ca="1" si="275"/>
        <v>0</v>
      </c>
      <c r="AS161" s="137">
        <f t="shared" ca="1" si="275"/>
        <v>0</v>
      </c>
      <c r="AT161" s="137">
        <f t="shared" ca="1" si="275"/>
        <v>0</v>
      </c>
      <c r="AU161" s="137">
        <f t="shared" ca="1" si="275"/>
        <v>0</v>
      </c>
      <c r="AV161" s="137">
        <f t="shared" ca="1" si="275"/>
        <v>0</v>
      </c>
      <c r="AW161" s="137">
        <f t="shared" ca="1" si="275"/>
        <v>0</v>
      </c>
      <c r="AX161" s="137">
        <f t="shared" ca="1" si="275"/>
        <v>0</v>
      </c>
      <c r="AY161" s="293">
        <f t="shared" ca="1" si="275"/>
        <v>0</v>
      </c>
      <c r="BA161" s="319">
        <f t="shared" ca="1" si="276"/>
        <v>0</v>
      </c>
      <c r="BB161" s="137">
        <f t="shared" ca="1" si="276"/>
        <v>0</v>
      </c>
      <c r="BC161" s="293">
        <f t="shared" ca="1" si="276"/>
        <v>0</v>
      </c>
    </row>
    <row r="162" spans="2:55" x14ac:dyDescent="0.35">
      <c r="B162" s="80" t="s">
        <v>191</v>
      </c>
      <c r="C162" s="137">
        <f>IF(C$12="Actual",SUMIFS(ActualsTable[Month 1],ActualsTable[Expense Item2],$B162),SUMIFS(Expenses!BB$8:BB$69,Expenses!$O$8:$O$69,$B162)+SUMIFS(Headcount!L$395:L$1442,Headcount!$J$395:$J$1442,$B162))</f>
        <v>0</v>
      </c>
      <c r="D162" s="137">
        <f>IF(D$12="Actual",SUMIFS(ActualsTable[Month 2],ActualsTable[Expense Item2],$B162),SUMIFS(Expenses!BC$8:BC$69,Expenses!$O$8:$O$69,$B162)+SUMIFS(Headcount!M$395:M$1442,Headcount!$J$395:$J$1442,$B162))</f>
        <v>0</v>
      </c>
      <c r="E162" s="137">
        <f>IF(E$12="Actual",SUMIFS(ActualsTable[Month 3],ActualsTable[Expense Item2],$B162),SUMIFS(Expenses!BD$8:BD$69,Expenses!$O$8:$O$69,$B162)+SUMIFS(Headcount!N$395:N$1442,Headcount!$J$395:$J$1442,$B162))</f>
        <v>0</v>
      </c>
      <c r="F162" s="137">
        <f>IF(F$12="Actual",SUMIFS(ActualsTable[Month 4],ActualsTable[Expense Item2],$B162),SUMIFS(Expenses!BE$8:BE$69,Expenses!$O$8:$O$69,$B162)+SUMIFS(Headcount!O$395:O$1442,Headcount!$J$395:$J$1442,$B162))</f>
        <v>0</v>
      </c>
      <c r="G162" s="137">
        <f>IF(G$12="Actual",SUMIFS(ActualsTable[Month 5],ActualsTable[Expense Item2],$B162),SUMIFS(Expenses!BF$8:BF$69,Expenses!$O$8:$O$69,$B162)+SUMIFS(Headcount!P$395:P$1442,Headcount!$J$395:$J$1442,$B162))</f>
        <v>0</v>
      </c>
      <c r="H162" s="137">
        <f>IF(H$12="Actual",SUMIFS(ActualsTable[Month 6],ActualsTable[Expense Item2],$B162),SUMIFS(Expenses!BG$8:BG$69,Expenses!$O$8:$O$69,$B162)+SUMIFS(Headcount!Q$395:Q$1442,Headcount!$J$395:$J$1442,$B162))</f>
        <v>0</v>
      </c>
      <c r="I162" s="137">
        <f>IF(I$12="Actual",SUMIFS(ActualsTable[Month 7],ActualsTable[Expense Item2],$B162),SUMIFS(Expenses!BH$8:BH$69,Expenses!$O$8:$O$69,$B162)+SUMIFS(Headcount!R$395:R$1442,Headcount!$J$395:$J$1442,$B162))</f>
        <v>0</v>
      </c>
      <c r="J162" s="137">
        <f>IF(J$12="Actual",SUMIFS(ActualsTable[Month 8],ActualsTable[Expense Item2],$B162),SUMIFS(Expenses!BI$8:BI$69,Expenses!$O$8:$O$69,$B162)+SUMIFS(Headcount!S$395:S$1442,Headcount!$J$395:$J$1442,$B162))</f>
        <v>0</v>
      </c>
      <c r="K162" s="137">
        <f>IF(K$12="Actual",SUMIFS(ActualsTable[Month 9],ActualsTable[Expense Item2],$B162),SUMIFS(Expenses!BJ$8:BJ$69,Expenses!$O$8:$O$69,$B162)+SUMIFS(Headcount!T$395:T$1442,Headcount!$J$395:$J$1442,$B162))</f>
        <v>0</v>
      </c>
      <c r="L162" s="137">
        <f>IF(L$12="Actual",SUMIFS(ActualsTable[Month 10],ActualsTable[Expense Item2],$B162),SUMIFS(Expenses!BK$8:BK$69,Expenses!$O$8:$O$69,$B162)+SUMIFS(Headcount!U$395:U$1442,Headcount!$J$395:$J$1442,$B162))</f>
        <v>0</v>
      </c>
      <c r="M162" s="137">
        <f>IF(M$12="Actual",SUMIFS(ActualsTable[Month 11],ActualsTable[Expense Item2],$B162),SUMIFS(Expenses!BL$8:BL$69,Expenses!$O$8:$O$69,$B162)+SUMIFS(Headcount!V$395:V$1442,Headcount!$J$395:$J$1442,$B162))</f>
        <v>0</v>
      </c>
      <c r="N162" s="137">
        <f>IF(N$12="Actual",SUMIFS(ActualsTable[Month 12],ActualsTable[Expense Item2],$B162),SUMIFS(Expenses!BM$8:BM$69,Expenses!$O$8:$O$69,$B162)+SUMIFS(Headcount!W$395:W$1442,Headcount!$J$395:$J$1442,$B162))</f>
        <v>0</v>
      </c>
      <c r="O162" s="137">
        <f>IF(O$12="Actual",SUMIFS(ActualsTable[Month 13],ActualsTable[Expense Item2],$B162),SUMIFS(Expenses!BN$8:BN$69,Expenses!$O$8:$O$69,$B162)+SUMIFS(Headcount!X$395:X$1442,Headcount!$J$395:$J$1442,$B162))</f>
        <v>0</v>
      </c>
      <c r="P162" s="137">
        <f>IF(P$12="Actual",SUMIFS(ActualsTable[Month 14],ActualsTable[Expense Item2],$B162),SUMIFS(Expenses!BO$8:BO$69,Expenses!$O$8:$O$69,$B162)+SUMIFS(Headcount!Y$395:Y$1442,Headcount!$J$395:$J$1442,$B162))</f>
        <v>0</v>
      </c>
      <c r="Q162" s="137">
        <f>IF(Q$12="Actual",SUMIFS(ActualsTable[Month 15],ActualsTable[Expense Item2],$B162),SUMIFS(Expenses!BP$8:BP$69,Expenses!$O$8:$O$69,$B162)+SUMIFS(Headcount!Z$395:Z$1442,Headcount!$J$395:$J$1442,$B162))</f>
        <v>0</v>
      </c>
      <c r="R162" s="137">
        <f>IF(R$12="Actual",SUMIFS(ActualsTable[Month 16],ActualsTable[Expense Item2],$B162),SUMIFS(Expenses!BQ$8:BQ$69,Expenses!$O$8:$O$69,$B162)+SUMIFS(Headcount!AA$395:AA$1442,Headcount!$J$395:$J$1442,$B162))</f>
        <v>0</v>
      </c>
      <c r="S162" s="137">
        <f>IF(S$12="Actual",SUMIFS(ActualsTable[Month 17],ActualsTable[Expense Item2],$B162),SUMIFS(Expenses!BR$8:BR$69,Expenses!$O$8:$O$69,$B162)+SUMIFS(Headcount!AB$395:AB$1442,Headcount!$J$395:$J$1442,$B162))</f>
        <v>0</v>
      </c>
      <c r="T162" s="137">
        <f>IF(T$12="Actual",SUMIFS(ActualsTable[Month 18],ActualsTable[Expense Item2],$B162),SUMIFS(Expenses!BS$8:BS$69,Expenses!$O$8:$O$69,$B162)+SUMIFS(Headcount!AC$395:AC$1442,Headcount!$J$395:$J$1442,$B162))</f>
        <v>0</v>
      </c>
      <c r="U162" s="137">
        <f>IF(U$12="Actual",SUMIFS(ActualsTable[Month 19],ActualsTable[Expense Item2],$B162),SUMIFS(Expenses!BT$8:BT$69,Expenses!$O$8:$O$69,$B162)+SUMIFS(Headcount!AD$395:AD$1442,Headcount!$J$395:$J$1442,$B162))</f>
        <v>0</v>
      </c>
      <c r="V162" s="137">
        <f>IF(V$12="Actual",SUMIFS(ActualsTable[Month 20],ActualsTable[Expense Item2],$B162),SUMIFS(Expenses!BU$8:BU$69,Expenses!$O$8:$O$69,$B162)+SUMIFS(Headcount!AE$395:AE$1442,Headcount!$J$395:$J$1442,$B162))</f>
        <v>0</v>
      </c>
      <c r="W162" s="137">
        <f>IF(W$12="Actual",SUMIFS(ActualsTable[Month 21],ActualsTable[Expense Item2],$B162),SUMIFS(Expenses!BV$8:BV$69,Expenses!$O$8:$O$69,$B162)+SUMIFS(Headcount!AF$395:AF$1442,Headcount!$J$395:$J$1442,$B162))</f>
        <v>0</v>
      </c>
      <c r="X162" s="137">
        <f>IF(X$12="Actual",SUMIFS(ActualsTable[Month 22],ActualsTable[Expense Item2],$B162),SUMIFS(Expenses!BW$8:BW$69,Expenses!$O$8:$O$69,$B162)+SUMIFS(Headcount!AG$395:AG$1442,Headcount!$J$395:$J$1442,$B162))</f>
        <v>0</v>
      </c>
      <c r="Y162" s="137">
        <f>IF(Y$12="Actual",SUMIFS(ActualsTable[Month 23],ActualsTable[Expense Item2],$B162),SUMIFS(Expenses!BX$8:BX$69,Expenses!$O$8:$O$69,$B162)+SUMIFS(Headcount!AH$395:AH$1442,Headcount!$J$395:$J$1442,$B162))</f>
        <v>0</v>
      </c>
      <c r="Z162" s="137">
        <f>IF(Z$12="Actual",SUMIFS(ActualsTable[Month 24],ActualsTable[Expense Item2],$B162),SUMIFS(Expenses!BY$8:BY$69,Expenses!$O$8:$O$69,$B162)+SUMIFS(Headcount!AI$395:AI$1442,Headcount!$J$395:$J$1442,$B162))</f>
        <v>0</v>
      </c>
      <c r="AA162" s="137">
        <f>IF(AA$12="Actual",SUMIFS(ActualsTable[Month 25],ActualsTable[Expense Item2],$B162),SUMIFS(Expenses!BZ$8:BZ$69,Expenses!$O$8:$O$69,$B162)+SUMIFS(Headcount!AJ$395:AJ$1442,Headcount!$J$395:$J$1442,$B162))</f>
        <v>0</v>
      </c>
      <c r="AB162" s="137">
        <f>IF(AB$12="Actual",SUMIFS(ActualsTable[Month 26],ActualsTable[Expense Item2],$B162),SUMIFS(Expenses!CA$8:CA$69,Expenses!$O$8:$O$69,$B162)+SUMIFS(Headcount!AK$395:AK$1442,Headcount!$J$395:$J$1442,$B162))</f>
        <v>0</v>
      </c>
      <c r="AC162" s="137">
        <f>IF(AC$12="Actual",SUMIFS(ActualsTable[Month 27],ActualsTable[Expense Item2],$B162),SUMIFS(Expenses!CB$8:CB$69,Expenses!$O$8:$O$69,$B162)+SUMIFS(Headcount!AL$395:AL$1442,Headcount!$J$395:$J$1442,$B162))</f>
        <v>0</v>
      </c>
      <c r="AD162" s="137">
        <f>IF(AD$12="Actual",SUMIFS(ActualsTable[Month 28],ActualsTable[Expense Item2],$B162),SUMIFS(Expenses!CC$8:CC$69,Expenses!$O$8:$O$69,$B162)+SUMIFS(Headcount!AM$395:AM$1442,Headcount!$J$395:$J$1442,$B162))</f>
        <v>0</v>
      </c>
      <c r="AE162" s="137">
        <f>IF(AE$12="Actual",SUMIFS(ActualsTable[Month 29],ActualsTable[Expense Item2],$B162),SUMIFS(Expenses!CD$8:CD$69,Expenses!$O$8:$O$69,$B162)+SUMIFS(Headcount!AN$395:AN$1442,Headcount!$J$395:$J$1442,$B162))</f>
        <v>0</v>
      </c>
      <c r="AF162" s="137">
        <f>IF(AF$12="Actual",SUMIFS(ActualsTable[Month 30],ActualsTable[Expense Item2],$B162),SUMIFS(Expenses!CE$8:CE$69,Expenses!$O$8:$O$69,$B162)+SUMIFS(Headcount!AO$395:AO$1442,Headcount!$J$395:$J$1442,$B162))</f>
        <v>0</v>
      </c>
      <c r="AG162" s="137">
        <f>IF(AG$12="Actual",SUMIFS(ActualsTable[Month 31],ActualsTable[Expense Item2],$B162),SUMIFS(Expenses!CF$8:CF$69,Expenses!$O$8:$O$69,$B162)+SUMIFS(Headcount!AP$395:AP$1442,Headcount!$J$395:$J$1442,$B162))</f>
        <v>0</v>
      </c>
      <c r="AH162" s="137">
        <f>IF(AH$12="Actual",SUMIFS(ActualsTable[Month 32],ActualsTable[Expense Item2],$B162),SUMIFS(Expenses!CG$8:CG$69,Expenses!$O$8:$O$69,$B162)+SUMIFS(Headcount!AQ$395:AQ$1442,Headcount!$J$395:$J$1442,$B162))</f>
        <v>0</v>
      </c>
      <c r="AI162" s="137">
        <f>IF(AI$12="Actual",SUMIFS(ActualsTable[Month 33],ActualsTable[Expense Item2],$B162),SUMIFS(Expenses!CH$8:CH$69,Expenses!$O$8:$O$69,$B162)+SUMIFS(Headcount!AR$395:AR$1442,Headcount!$J$395:$J$1442,$B162))</f>
        <v>0</v>
      </c>
      <c r="AJ162" s="137">
        <f>IF(AJ$12="Actual",SUMIFS(ActualsTable[Month 34],ActualsTable[Expense Item2],$B162),SUMIFS(Expenses!CI$8:CI$69,Expenses!$O$8:$O$69,$B162)+SUMIFS(Headcount!AS$395:AS$1442,Headcount!$J$395:$J$1442,$B162))</f>
        <v>0</v>
      </c>
      <c r="AK162" s="137">
        <f>IF(AK$12="Actual",SUMIFS(ActualsTable[Month 35],ActualsTable[Expense Item2],$B162),SUMIFS(Expenses!CJ$8:CJ$69,Expenses!$O$8:$O$69,$B162)+SUMIFS(Headcount!AT$395:AT$1442,Headcount!$J$395:$J$1442,$B162))</f>
        <v>0</v>
      </c>
      <c r="AL162" s="293">
        <f>IF(AL$12="Actual",SUMIFS(ActualsTable[Month 36],ActualsTable[Expense Item2],$B162),SUMIFS(Expenses!CK$8:CK$69,Expenses!$O$8:$O$69,$B162)+SUMIFS(Headcount!AU$395:AU$1442,Headcount!$J$395:$J$1442,$B162))</f>
        <v>0</v>
      </c>
      <c r="AN162" s="319">
        <f t="shared" ca="1" si="275"/>
        <v>0</v>
      </c>
      <c r="AO162" s="137">
        <f t="shared" ca="1" si="275"/>
        <v>0</v>
      </c>
      <c r="AP162" s="137">
        <f t="shared" ca="1" si="275"/>
        <v>0</v>
      </c>
      <c r="AQ162" s="137">
        <f t="shared" ca="1" si="275"/>
        <v>0</v>
      </c>
      <c r="AR162" s="137">
        <f t="shared" ca="1" si="275"/>
        <v>0</v>
      </c>
      <c r="AS162" s="137">
        <f t="shared" ca="1" si="275"/>
        <v>0</v>
      </c>
      <c r="AT162" s="137">
        <f t="shared" ca="1" si="275"/>
        <v>0</v>
      </c>
      <c r="AU162" s="137">
        <f t="shared" ca="1" si="275"/>
        <v>0</v>
      </c>
      <c r="AV162" s="137">
        <f t="shared" ca="1" si="275"/>
        <v>0</v>
      </c>
      <c r="AW162" s="137">
        <f t="shared" ca="1" si="275"/>
        <v>0</v>
      </c>
      <c r="AX162" s="137">
        <f t="shared" ca="1" si="275"/>
        <v>0</v>
      </c>
      <c r="AY162" s="293">
        <f t="shared" ca="1" si="275"/>
        <v>0</v>
      </c>
      <c r="BA162" s="319">
        <f t="shared" ca="1" si="276"/>
        <v>0</v>
      </c>
      <c r="BB162" s="137">
        <f t="shared" ca="1" si="276"/>
        <v>0</v>
      </c>
      <c r="BC162" s="293">
        <f t="shared" ca="1" si="276"/>
        <v>0</v>
      </c>
    </row>
    <row r="163" spans="2:55" x14ac:dyDescent="0.35">
      <c r="B163" s="63" t="s">
        <v>192</v>
      </c>
      <c r="C163" s="131">
        <f>IF(C$12="Actual",SUMIFS(ActualsTable[Month 1],ActualsTable[Expense Item2],$B163),SUMIFS(Expenses!BB$8:BB$69,Expenses!$O$8:$O$69,$B163)+SUMIFS(Headcount!L$395:L$1442,Headcount!$J$395:$J$1442,$B163))</f>
        <v>0</v>
      </c>
      <c r="D163" s="131">
        <f>IF(D$12="Actual",SUMIFS(ActualsTable[Month 2],ActualsTable[Expense Item2],$B163),SUMIFS(Expenses!BC$8:BC$69,Expenses!$O$8:$O$69,$B163)+SUMIFS(Headcount!M$395:M$1442,Headcount!$J$395:$J$1442,$B163))</f>
        <v>0</v>
      </c>
      <c r="E163" s="131">
        <f>IF(E$12="Actual",SUMIFS(ActualsTable[Month 3],ActualsTable[Expense Item2],$B163),SUMIFS(Expenses!BD$8:BD$69,Expenses!$O$8:$O$69,$B163)+SUMIFS(Headcount!N$395:N$1442,Headcount!$J$395:$J$1442,$B163))</f>
        <v>0</v>
      </c>
      <c r="F163" s="131">
        <f>IF(F$12="Actual",SUMIFS(ActualsTable[Month 4],ActualsTable[Expense Item2],$B163),SUMIFS(Expenses!BE$8:BE$69,Expenses!$O$8:$O$69,$B163)+SUMIFS(Headcount!O$395:O$1442,Headcount!$J$395:$J$1442,$B163))</f>
        <v>0</v>
      </c>
      <c r="G163" s="131">
        <f>IF(G$12="Actual",SUMIFS(ActualsTable[Month 5],ActualsTable[Expense Item2],$B163),SUMIFS(Expenses!BF$8:BF$69,Expenses!$O$8:$O$69,$B163)+SUMIFS(Headcount!P$395:P$1442,Headcount!$J$395:$J$1442,$B163))</f>
        <v>0</v>
      </c>
      <c r="H163" s="131">
        <f>IF(H$12="Actual",SUMIFS(ActualsTable[Month 6],ActualsTable[Expense Item2],$B163),SUMIFS(Expenses!BG$8:BG$69,Expenses!$O$8:$O$69,$B163)+SUMIFS(Headcount!Q$395:Q$1442,Headcount!$J$395:$J$1442,$B163))</f>
        <v>0</v>
      </c>
      <c r="I163" s="131">
        <f>IF(I$12="Actual",SUMIFS(ActualsTable[Month 7],ActualsTable[Expense Item2],$B163),SUMIFS(Expenses!BH$8:BH$69,Expenses!$O$8:$O$69,$B163)+SUMIFS(Headcount!R$395:R$1442,Headcount!$J$395:$J$1442,$B163))</f>
        <v>0</v>
      </c>
      <c r="J163" s="131">
        <f>IF(J$12="Actual",SUMIFS(ActualsTable[Month 8],ActualsTable[Expense Item2],$B163),SUMIFS(Expenses!BI$8:BI$69,Expenses!$O$8:$O$69,$B163)+SUMIFS(Headcount!S$395:S$1442,Headcount!$J$395:$J$1442,$B163))</f>
        <v>0</v>
      </c>
      <c r="K163" s="131">
        <f>IF(K$12="Actual",SUMIFS(ActualsTable[Month 9],ActualsTable[Expense Item2],$B163),SUMIFS(Expenses!BJ$8:BJ$69,Expenses!$O$8:$O$69,$B163)+SUMIFS(Headcount!T$395:T$1442,Headcount!$J$395:$J$1442,$B163))</f>
        <v>0</v>
      </c>
      <c r="L163" s="131">
        <f>IF(L$12="Actual",SUMIFS(ActualsTable[Month 10],ActualsTable[Expense Item2],$B163),SUMIFS(Expenses!BK$8:BK$69,Expenses!$O$8:$O$69,$B163)+SUMIFS(Headcount!U$395:U$1442,Headcount!$J$395:$J$1442,$B163))</f>
        <v>0</v>
      </c>
      <c r="M163" s="131">
        <f>IF(M$12="Actual",SUMIFS(ActualsTable[Month 11],ActualsTable[Expense Item2],$B163),SUMIFS(Expenses!BL$8:BL$69,Expenses!$O$8:$O$69,$B163)+SUMIFS(Headcount!V$395:V$1442,Headcount!$J$395:$J$1442,$B163))</f>
        <v>0</v>
      </c>
      <c r="N163" s="131">
        <f>IF(N$12="Actual",SUMIFS(ActualsTable[Month 12],ActualsTable[Expense Item2],$B163),SUMIFS(Expenses!BM$8:BM$69,Expenses!$O$8:$O$69,$B163)+SUMIFS(Headcount!W$395:W$1442,Headcount!$J$395:$J$1442,$B163))</f>
        <v>0</v>
      </c>
      <c r="O163" s="131">
        <f>IF(O$12="Actual",SUMIFS(ActualsTable[Month 13],ActualsTable[Expense Item2],$B163),SUMIFS(Expenses!BN$8:BN$69,Expenses!$O$8:$O$69,$B163)+SUMIFS(Headcount!X$395:X$1442,Headcount!$J$395:$J$1442,$B163))</f>
        <v>0</v>
      </c>
      <c r="P163" s="131">
        <f>IF(P$12="Actual",SUMIFS(ActualsTable[Month 14],ActualsTable[Expense Item2],$B163),SUMIFS(Expenses!BO$8:BO$69,Expenses!$O$8:$O$69,$B163)+SUMIFS(Headcount!Y$395:Y$1442,Headcount!$J$395:$J$1442,$B163))</f>
        <v>0</v>
      </c>
      <c r="Q163" s="131">
        <f>IF(Q$12="Actual",SUMIFS(ActualsTable[Month 15],ActualsTable[Expense Item2],$B163),SUMIFS(Expenses!BP$8:BP$69,Expenses!$O$8:$O$69,$B163)+SUMIFS(Headcount!Z$395:Z$1442,Headcount!$J$395:$J$1442,$B163))</f>
        <v>0</v>
      </c>
      <c r="R163" s="131">
        <f>IF(R$12="Actual",SUMIFS(ActualsTable[Month 16],ActualsTable[Expense Item2],$B163),SUMIFS(Expenses!BQ$8:BQ$69,Expenses!$O$8:$O$69,$B163)+SUMIFS(Headcount!AA$395:AA$1442,Headcount!$J$395:$J$1442,$B163))</f>
        <v>0</v>
      </c>
      <c r="S163" s="131">
        <f>IF(S$12="Actual",SUMIFS(ActualsTable[Month 17],ActualsTable[Expense Item2],$B163),SUMIFS(Expenses!BR$8:BR$69,Expenses!$O$8:$O$69,$B163)+SUMIFS(Headcount!AB$395:AB$1442,Headcount!$J$395:$J$1442,$B163))</f>
        <v>0</v>
      </c>
      <c r="T163" s="131">
        <f>IF(T$12="Actual",SUMIFS(ActualsTable[Month 18],ActualsTable[Expense Item2],$B163),SUMIFS(Expenses!BS$8:BS$69,Expenses!$O$8:$O$69,$B163)+SUMIFS(Headcount!AC$395:AC$1442,Headcount!$J$395:$J$1442,$B163))</f>
        <v>0</v>
      </c>
      <c r="U163" s="131">
        <f>IF(U$12="Actual",SUMIFS(ActualsTable[Month 19],ActualsTable[Expense Item2],$B163),SUMIFS(Expenses!BT$8:BT$69,Expenses!$O$8:$O$69,$B163)+SUMIFS(Headcount!AD$395:AD$1442,Headcount!$J$395:$J$1442,$B163))</f>
        <v>0</v>
      </c>
      <c r="V163" s="131">
        <f>IF(V$12="Actual",SUMIFS(ActualsTable[Month 20],ActualsTable[Expense Item2],$B163),SUMIFS(Expenses!BU$8:BU$69,Expenses!$O$8:$O$69,$B163)+SUMIFS(Headcount!AE$395:AE$1442,Headcount!$J$395:$J$1442,$B163))</f>
        <v>0</v>
      </c>
      <c r="W163" s="131">
        <f>IF(W$12="Actual",SUMIFS(ActualsTable[Month 21],ActualsTable[Expense Item2],$B163),SUMIFS(Expenses!BV$8:BV$69,Expenses!$O$8:$O$69,$B163)+SUMIFS(Headcount!AF$395:AF$1442,Headcount!$J$395:$J$1442,$B163))</f>
        <v>0</v>
      </c>
      <c r="X163" s="131">
        <f>IF(X$12="Actual",SUMIFS(ActualsTable[Month 22],ActualsTable[Expense Item2],$B163),SUMIFS(Expenses!BW$8:BW$69,Expenses!$O$8:$O$69,$B163)+SUMIFS(Headcount!AG$395:AG$1442,Headcount!$J$395:$J$1442,$B163))</f>
        <v>0</v>
      </c>
      <c r="Y163" s="131">
        <f>IF(Y$12="Actual",SUMIFS(ActualsTable[Month 23],ActualsTable[Expense Item2],$B163),SUMIFS(Expenses!BX$8:BX$69,Expenses!$O$8:$O$69,$B163)+SUMIFS(Headcount!AH$395:AH$1442,Headcount!$J$395:$J$1442,$B163))</f>
        <v>0</v>
      </c>
      <c r="Z163" s="131">
        <f>IF(Z$12="Actual",SUMIFS(ActualsTable[Month 24],ActualsTable[Expense Item2],$B163),SUMIFS(Expenses!BY$8:BY$69,Expenses!$O$8:$O$69,$B163)+SUMIFS(Headcount!AI$395:AI$1442,Headcount!$J$395:$J$1442,$B163))</f>
        <v>0</v>
      </c>
      <c r="AA163" s="131">
        <f>IF(AA$12="Actual",SUMIFS(ActualsTable[Month 25],ActualsTable[Expense Item2],$B163),SUMIFS(Expenses!BZ$8:BZ$69,Expenses!$O$8:$O$69,$B163)+SUMIFS(Headcount!AJ$395:AJ$1442,Headcount!$J$395:$J$1442,$B163))</f>
        <v>0</v>
      </c>
      <c r="AB163" s="131">
        <f>IF(AB$12="Actual",SUMIFS(ActualsTable[Month 26],ActualsTable[Expense Item2],$B163),SUMIFS(Expenses!CA$8:CA$69,Expenses!$O$8:$O$69,$B163)+SUMIFS(Headcount!AK$395:AK$1442,Headcount!$J$395:$J$1442,$B163))</f>
        <v>0</v>
      </c>
      <c r="AC163" s="131">
        <f>IF(AC$12="Actual",SUMIFS(ActualsTable[Month 27],ActualsTable[Expense Item2],$B163),SUMIFS(Expenses!CB$8:CB$69,Expenses!$O$8:$O$69,$B163)+SUMIFS(Headcount!AL$395:AL$1442,Headcount!$J$395:$J$1442,$B163))</f>
        <v>0</v>
      </c>
      <c r="AD163" s="131">
        <f>IF(AD$12="Actual",SUMIFS(ActualsTable[Month 28],ActualsTable[Expense Item2],$B163),SUMIFS(Expenses!CC$8:CC$69,Expenses!$O$8:$O$69,$B163)+SUMIFS(Headcount!AM$395:AM$1442,Headcount!$J$395:$J$1442,$B163))</f>
        <v>0</v>
      </c>
      <c r="AE163" s="131">
        <f>IF(AE$12="Actual",SUMIFS(ActualsTable[Month 29],ActualsTable[Expense Item2],$B163),SUMIFS(Expenses!CD$8:CD$69,Expenses!$O$8:$O$69,$B163)+SUMIFS(Headcount!AN$395:AN$1442,Headcount!$J$395:$J$1442,$B163))</f>
        <v>0</v>
      </c>
      <c r="AF163" s="131">
        <f>IF(AF$12="Actual",SUMIFS(ActualsTable[Month 30],ActualsTable[Expense Item2],$B163),SUMIFS(Expenses!CE$8:CE$69,Expenses!$O$8:$O$69,$B163)+SUMIFS(Headcount!AO$395:AO$1442,Headcount!$J$395:$J$1442,$B163))</f>
        <v>0</v>
      </c>
      <c r="AG163" s="131">
        <f>IF(AG$12="Actual",SUMIFS(ActualsTable[Month 31],ActualsTable[Expense Item2],$B163),SUMIFS(Expenses!CF$8:CF$69,Expenses!$O$8:$O$69,$B163)+SUMIFS(Headcount!AP$395:AP$1442,Headcount!$J$395:$J$1442,$B163))</f>
        <v>0</v>
      </c>
      <c r="AH163" s="131">
        <f>IF(AH$12="Actual",SUMIFS(ActualsTable[Month 32],ActualsTable[Expense Item2],$B163),SUMIFS(Expenses!CG$8:CG$69,Expenses!$O$8:$O$69,$B163)+SUMIFS(Headcount!AQ$395:AQ$1442,Headcount!$J$395:$J$1442,$B163))</f>
        <v>0</v>
      </c>
      <c r="AI163" s="131">
        <f>IF(AI$12="Actual",SUMIFS(ActualsTable[Month 33],ActualsTable[Expense Item2],$B163),SUMIFS(Expenses!CH$8:CH$69,Expenses!$O$8:$O$69,$B163)+SUMIFS(Headcount!AR$395:AR$1442,Headcount!$J$395:$J$1442,$B163))</f>
        <v>0</v>
      </c>
      <c r="AJ163" s="131">
        <f>IF(AJ$12="Actual",SUMIFS(ActualsTable[Month 34],ActualsTable[Expense Item2],$B163),SUMIFS(Expenses!CI$8:CI$69,Expenses!$O$8:$O$69,$B163)+SUMIFS(Headcount!AS$395:AS$1442,Headcount!$J$395:$J$1442,$B163))</f>
        <v>0</v>
      </c>
      <c r="AK163" s="131">
        <f>IF(AK$12="Actual",SUMIFS(ActualsTable[Month 35],ActualsTable[Expense Item2],$B163),SUMIFS(Expenses!CJ$8:CJ$69,Expenses!$O$8:$O$69,$B163)+SUMIFS(Headcount!AT$395:AT$1442,Headcount!$J$395:$J$1442,$B163))</f>
        <v>0</v>
      </c>
      <c r="AL163" s="291">
        <f>IF(AL$12="Actual",SUMIFS(ActualsTable[Month 36],ActualsTable[Expense Item2],$B163),SUMIFS(Expenses!CK$8:CK$69,Expenses!$O$8:$O$69,$B163)+SUMIFS(Headcount!AU$395:AU$1442,Headcount!$J$395:$J$1442,$B163))</f>
        <v>0</v>
      </c>
      <c r="AN163" s="317">
        <f t="shared" ca="1" si="275"/>
        <v>0</v>
      </c>
      <c r="AO163" s="131">
        <f t="shared" ca="1" si="275"/>
        <v>0</v>
      </c>
      <c r="AP163" s="131">
        <f t="shared" ca="1" si="275"/>
        <v>0</v>
      </c>
      <c r="AQ163" s="131">
        <f t="shared" ca="1" si="275"/>
        <v>0</v>
      </c>
      <c r="AR163" s="131">
        <f t="shared" ca="1" si="275"/>
        <v>0</v>
      </c>
      <c r="AS163" s="131">
        <f t="shared" ca="1" si="275"/>
        <v>0</v>
      </c>
      <c r="AT163" s="131">
        <f t="shared" ca="1" si="275"/>
        <v>0</v>
      </c>
      <c r="AU163" s="131">
        <f t="shared" ca="1" si="275"/>
        <v>0</v>
      </c>
      <c r="AV163" s="131">
        <f t="shared" ca="1" si="275"/>
        <v>0</v>
      </c>
      <c r="AW163" s="131">
        <f t="shared" ca="1" si="275"/>
        <v>0</v>
      </c>
      <c r="AX163" s="131">
        <f t="shared" ca="1" si="275"/>
        <v>0</v>
      </c>
      <c r="AY163" s="291">
        <f t="shared" ca="1" si="275"/>
        <v>0</v>
      </c>
      <c r="BA163" s="317">
        <f t="shared" ca="1" si="276"/>
        <v>0</v>
      </c>
      <c r="BB163" s="131">
        <f t="shared" ca="1" si="276"/>
        <v>0</v>
      </c>
      <c r="BC163" s="291">
        <f t="shared" ca="1" si="276"/>
        <v>0</v>
      </c>
    </row>
    <row r="164" spans="2:55" x14ac:dyDescent="0.35">
      <c r="B164" s="63" t="s">
        <v>193</v>
      </c>
      <c r="C164" s="131">
        <f>IF(C$12="Actual",SUMIFS(ActualsTable[Month 1],ActualsTable[Expense Item2],$B164),SUMIFS(Expenses!BB$8:BB$69,Expenses!$O$8:$O$69,$B164)+SUMIFS(Headcount!L$395:L$1442,Headcount!$J$395:$J$1442,$B164))</f>
        <v>0</v>
      </c>
      <c r="D164" s="131">
        <f>IF(D$12="Actual",SUMIFS(ActualsTable[Month 2],ActualsTable[Expense Item2],$B164),SUMIFS(Expenses!BC$8:BC$69,Expenses!$O$8:$O$69,$B164)+SUMIFS(Headcount!M$395:M$1442,Headcount!$J$395:$J$1442,$B164))</f>
        <v>0</v>
      </c>
      <c r="E164" s="131">
        <f>IF(E$12="Actual",SUMIFS(ActualsTable[Month 3],ActualsTable[Expense Item2],$B164),SUMIFS(Expenses!BD$8:BD$69,Expenses!$O$8:$O$69,$B164)+SUMIFS(Headcount!N$395:N$1442,Headcount!$J$395:$J$1442,$B164))</f>
        <v>0</v>
      </c>
      <c r="F164" s="131">
        <f>IF(F$12="Actual",SUMIFS(ActualsTable[Month 4],ActualsTable[Expense Item2],$B164),SUMIFS(Expenses!BE$8:BE$69,Expenses!$O$8:$O$69,$B164)+SUMIFS(Headcount!O$395:O$1442,Headcount!$J$395:$J$1442,$B164))</f>
        <v>0</v>
      </c>
      <c r="G164" s="131">
        <f>IF(G$12="Actual",SUMIFS(ActualsTable[Month 5],ActualsTable[Expense Item2],$B164),SUMIFS(Expenses!BF$8:BF$69,Expenses!$O$8:$O$69,$B164)+SUMIFS(Headcount!P$395:P$1442,Headcount!$J$395:$J$1442,$B164))</f>
        <v>0</v>
      </c>
      <c r="H164" s="131">
        <f>IF(H$12="Actual",SUMIFS(ActualsTable[Month 6],ActualsTable[Expense Item2],$B164),SUMIFS(Expenses!BG$8:BG$69,Expenses!$O$8:$O$69,$B164)+SUMIFS(Headcount!Q$395:Q$1442,Headcount!$J$395:$J$1442,$B164))</f>
        <v>0</v>
      </c>
      <c r="I164" s="131">
        <f>IF(I$12="Actual",SUMIFS(ActualsTable[Month 7],ActualsTable[Expense Item2],$B164),SUMIFS(Expenses!BH$8:BH$69,Expenses!$O$8:$O$69,$B164)+SUMIFS(Headcount!R$395:R$1442,Headcount!$J$395:$J$1442,$B164))</f>
        <v>0</v>
      </c>
      <c r="J164" s="131">
        <f>IF(J$12="Actual",SUMIFS(ActualsTable[Month 8],ActualsTable[Expense Item2],$B164),SUMIFS(Expenses!BI$8:BI$69,Expenses!$O$8:$O$69,$B164)+SUMIFS(Headcount!S$395:S$1442,Headcount!$J$395:$J$1442,$B164))</f>
        <v>0</v>
      </c>
      <c r="K164" s="131">
        <f>IF(K$12="Actual",SUMIFS(ActualsTable[Month 9],ActualsTable[Expense Item2],$B164),SUMIFS(Expenses!BJ$8:BJ$69,Expenses!$O$8:$O$69,$B164)+SUMIFS(Headcount!T$395:T$1442,Headcount!$J$395:$J$1442,$B164))</f>
        <v>0</v>
      </c>
      <c r="L164" s="131">
        <f>IF(L$12="Actual",SUMIFS(ActualsTable[Month 10],ActualsTable[Expense Item2],$B164),SUMIFS(Expenses!BK$8:BK$69,Expenses!$O$8:$O$69,$B164)+SUMIFS(Headcount!U$395:U$1442,Headcount!$J$395:$J$1442,$B164))</f>
        <v>0</v>
      </c>
      <c r="M164" s="131">
        <f>IF(M$12="Actual",SUMIFS(ActualsTable[Month 11],ActualsTable[Expense Item2],$B164),SUMIFS(Expenses!BL$8:BL$69,Expenses!$O$8:$O$69,$B164)+SUMIFS(Headcount!V$395:V$1442,Headcount!$J$395:$J$1442,$B164))</f>
        <v>0</v>
      </c>
      <c r="N164" s="131">
        <f>IF(N$12="Actual",SUMIFS(ActualsTable[Month 12],ActualsTable[Expense Item2],$B164),SUMIFS(Expenses!BM$8:BM$69,Expenses!$O$8:$O$69,$B164)+SUMIFS(Headcount!W$395:W$1442,Headcount!$J$395:$J$1442,$B164))</f>
        <v>0</v>
      </c>
      <c r="O164" s="131">
        <f>IF(O$12="Actual",SUMIFS(ActualsTable[Month 13],ActualsTable[Expense Item2],$B164),SUMIFS(Expenses!BN$8:BN$69,Expenses!$O$8:$O$69,$B164)+SUMIFS(Headcount!X$395:X$1442,Headcount!$J$395:$J$1442,$B164))</f>
        <v>0</v>
      </c>
      <c r="P164" s="131">
        <f>IF(P$12="Actual",SUMIFS(ActualsTable[Month 14],ActualsTable[Expense Item2],$B164),SUMIFS(Expenses!BO$8:BO$69,Expenses!$O$8:$O$69,$B164)+SUMIFS(Headcount!Y$395:Y$1442,Headcount!$J$395:$J$1442,$B164))</f>
        <v>0</v>
      </c>
      <c r="Q164" s="131">
        <f>IF(Q$12="Actual",SUMIFS(ActualsTable[Month 15],ActualsTable[Expense Item2],$B164),SUMIFS(Expenses!BP$8:BP$69,Expenses!$O$8:$O$69,$B164)+SUMIFS(Headcount!Z$395:Z$1442,Headcount!$J$395:$J$1442,$B164))</f>
        <v>0</v>
      </c>
      <c r="R164" s="131">
        <f>IF(R$12="Actual",SUMIFS(ActualsTable[Month 16],ActualsTable[Expense Item2],$B164),SUMIFS(Expenses!BQ$8:BQ$69,Expenses!$O$8:$O$69,$B164)+SUMIFS(Headcount!AA$395:AA$1442,Headcount!$J$395:$J$1442,$B164))</f>
        <v>0</v>
      </c>
      <c r="S164" s="131">
        <f>IF(S$12="Actual",SUMIFS(ActualsTable[Month 17],ActualsTable[Expense Item2],$B164),SUMIFS(Expenses!BR$8:BR$69,Expenses!$O$8:$O$69,$B164)+SUMIFS(Headcount!AB$395:AB$1442,Headcount!$J$395:$J$1442,$B164))</f>
        <v>0</v>
      </c>
      <c r="T164" s="131">
        <f>IF(T$12="Actual",SUMIFS(ActualsTable[Month 18],ActualsTable[Expense Item2],$B164),SUMIFS(Expenses!BS$8:BS$69,Expenses!$O$8:$O$69,$B164)+SUMIFS(Headcount!AC$395:AC$1442,Headcount!$J$395:$J$1442,$B164))</f>
        <v>0</v>
      </c>
      <c r="U164" s="131">
        <f>IF(U$12="Actual",SUMIFS(ActualsTable[Month 19],ActualsTable[Expense Item2],$B164),SUMIFS(Expenses!BT$8:BT$69,Expenses!$O$8:$O$69,$B164)+SUMIFS(Headcount!AD$395:AD$1442,Headcount!$J$395:$J$1442,$B164))</f>
        <v>0</v>
      </c>
      <c r="V164" s="131">
        <f>IF(V$12="Actual",SUMIFS(ActualsTable[Month 20],ActualsTable[Expense Item2],$B164),SUMIFS(Expenses!BU$8:BU$69,Expenses!$O$8:$O$69,$B164)+SUMIFS(Headcount!AE$395:AE$1442,Headcount!$J$395:$J$1442,$B164))</f>
        <v>0</v>
      </c>
      <c r="W164" s="131">
        <f>IF(W$12="Actual",SUMIFS(ActualsTable[Month 21],ActualsTable[Expense Item2],$B164),SUMIFS(Expenses!BV$8:BV$69,Expenses!$O$8:$O$69,$B164)+SUMIFS(Headcount!AF$395:AF$1442,Headcount!$J$395:$J$1442,$B164))</f>
        <v>0</v>
      </c>
      <c r="X164" s="131">
        <f>IF(X$12="Actual",SUMIFS(ActualsTable[Month 22],ActualsTable[Expense Item2],$B164),SUMIFS(Expenses!BW$8:BW$69,Expenses!$O$8:$O$69,$B164)+SUMIFS(Headcount!AG$395:AG$1442,Headcount!$J$395:$J$1442,$B164))</f>
        <v>0</v>
      </c>
      <c r="Y164" s="131">
        <f>IF(Y$12="Actual",SUMIFS(ActualsTable[Month 23],ActualsTable[Expense Item2],$B164),SUMIFS(Expenses!BX$8:BX$69,Expenses!$O$8:$O$69,$B164)+SUMIFS(Headcount!AH$395:AH$1442,Headcount!$J$395:$J$1442,$B164))</f>
        <v>0</v>
      </c>
      <c r="Z164" s="131">
        <f>IF(Z$12="Actual",SUMIFS(ActualsTable[Month 24],ActualsTable[Expense Item2],$B164),SUMIFS(Expenses!BY$8:BY$69,Expenses!$O$8:$O$69,$B164)+SUMIFS(Headcount!AI$395:AI$1442,Headcount!$J$395:$J$1442,$B164))</f>
        <v>0</v>
      </c>
      <c r="AA164" s="131">
        <f>IF(AA$12="Actual",SUMIFS(ActualsTable[Month 25],ActualsTable[Expense Item2],$B164),SUMIFS(Expenses!BZ$8:BZ$69,Expenses!$O$8:$O$69,$B164)+SUMIFS(Headcount!AJ$395:AJ$1442,Headcount!$J$395:$J$1442,$B164))</f>
        <v>0</v>
      </c>
      <c r="AB164" s="131">
        <f>IF(AB$12="Actual",SUMIFS(ActualsTable[Month 26],ActualsTable[Expense Item2],$B164),SUMIFS(Expenses!CA$8:CA$69,Expenses!$O$8:$O$69,$B164)+SUMIFS(Headcount!AK$395:AK$1442,Headcount!$J$395:$J$1442,$B164))</f>
        <v>0</v>
      </c>
      <c r="AC164" s="131">
        <f>IF(AC$12="Actual",SUMIFS(ActualsTable[Month 27],ActualsTable[Expense Item2],$B164),SUMIFS(Expenses!CB$8:CB$69,Expenses!$O$8:$O$69,$B164)+SUMIFS(Headcount!AL$395:AL$1442,Headcount!$J$395:$J$1442,$B164))</f>
        <v>0</v>
      </c>
      <c r="AD164" s="131">
        <f>IF(AD$12="Actual",SUMIFS(ActualsTable[Month 28],ActualsTable[Expense Item2],$B164),SUMIFS(Expenses!CC$8:CC$69,Expenses!$O$8:$O$69,$B164)+SUMIFS(Headcount!AM$395:AM$1442,Headcount!$J$395:$J$1442,$B164))</f>
        <v>0</v>
      </c>
      <c r="AE164" s="131">
        <f>IF(AE$12="Actual",SUMIFS(ActualsTable[Month 29],ActualsTable[Expense Item2],$B164),SUMIFS(Expenses!CD$8:CD$69,Expenses!$O$8:$O$69,$B164)+SUMIFS(Headcount!AN$395:AN$1442,Headcount!$J$395:$J$1442,$B164))</f>
        <v>0</v>
      </c>
      <c r="AF164" s="131">
        <f>IF(AF$12="Actual",SUMIFS(ActualsTable[Month 30],ActualsTable[Expense Item2],$B164),SUMIFS(Expenses!CE$8:CE$69,Expenses!$O$8:$O$69,$B164)+SUMIFS(Headcount!AO$395:AO$1442,Headcount!$J$395:$J$1442,$B164))</f>
        <v>0</v>
      </c>
      <c r="AG164" s="131">
        <f>IF(AG$12="Actual",SUMIFS(ActualsTable[Month 31],ActualsTable[Expense Item2],$B164),SUMIFS(Expenses!CF$8:CF$69,Expenses!$O$8:$O$69,$B164)+SUMIFS(Headcount!AP$395:AP$1442,Headcount!$J$395:$J$1442,$B164))</f>
        <v>0</v>
      </c>
      <c r="AH164" s="131">
        <f>IF(AH$12="Actual",SUMIFS(ActualsTable[Month 32],ActualsTable[Expense Item2],$B164),SUMIFS(Expenses!CG$8:CG$69,Expenses!$O$8:$O$69,$B164)+SUMIFS(Headcount!AQ$395:AQ$1442,Headcount!$J$395:$J$1442,$B164))</f>
        <v>0</v>
      </c>
      <c r="AI164" s="131">
        <f>IF(AI$12="Actual",SUMIFS(ActualsTable[Month 33],ActualsTable[Expense Item2],$B164),SUMIFS(Expenses!CH$8:CH$69,Expenses!$O$8:$O$69,$B164)+SUMIFS(Headcount!AR$395:AR$1442,Headcount!$J$395:$J$1442,$B164))</f>
        <v>0</v>
      </c>
      <c r="AJ164" s="131">
        <f>IF(AJ$12="Actual",SUMIFS(ActualsTable[Month 34],ActualsTable[Expense Item2],$B164),SUMIFS(Expenses!CI$8:CI$69,Expenses!$O$8:$O$69,$B164)+SUMIFS(Headcount!AS$395:AS$1442,Headcount!$J$395:$J$1442,$B164))</f>
        <v>0</v>
      </c>
      <c r="AK164" s="131">
        <f>IF(AK$12="Actual",SUMIFS(ActualsTable[Month 35],ActualsTable[Expense Item2],$B164),SUMIFS(Expenses!CJ$8:CJ$69,Expenses!$O$8:$O$69,$B164)+SUMIFS(Headcount!AT$395:AT$1442,Headcount!$J$395:$J$1442,$B164))</f>
        <v>0</v>
      </c>
      <c r="AL164" s="291">
        <f>IF(AL$12="Actual",SUMIFS(ActualsTable[Month 36],ActualsTable[Expense Item2],$B164),SUMIFS(Expenses!CK$8:CK$69,Expenses!$O$8:$O$69,$B164)+SUMIFS(Headcount!AU$395:AU$1442,Headcount!$J$395:$J$1442,$B164))</f>
        <v>0</v>
      </c>
      <c r="AN164" s="317">
        <f t="shared" ca="1" si="275"/>
        <v>0</v>
      </c>
      <c r="AO164" s="131">
        <f t="shared" ca="1" si="275"/>
        <v>0</v>
      </c>
      <c r="AP164" s="131">
        <f t="shared" ca="1" si="275"/>
        <v>0</v>
      </c>
      <c r="AQ164" s="131">
        <f t="shared" ca="1" si="275"/>
        <v>0</v>
      </c>
      <c r="AR164" s="131">
        <f t="shared" ca="1" si="275"/>
        <v>0</v>
      </c>
      <c r="AS164" s="131">
        <f t="shared" ca="1" si="275"/>
        <v>0</v>
      </c>
      <c r="AT164" s="131">
        <f t="shared" ca="1" si="275"/>
        <v>0</v>
      </c>
      <c r="AU164" s="131">
        <f t="shared" ca="1" si="275"/>
        <v>0</v>
      </c>
      <c r="AV164" s="131">
        <f t="shared" ca="1" si="275"/>
        <v>0</v>
      </c>
      <c r="AW164" s="131">
        <f t="shared" ca="1" si="275"/>
        <v>0</v>
      </c>
      <c r="AX164" s="131">
        <f t="shared" ca="1" si="275"/>
        <v>0</v>
      </c>
      <c r="AY164" s="291">
        <f t="shared" ca="1" si="275"/>
        <v>0</v>
      </c>
      <c r="BA164" s="317">
        <f t="shared" ca="1" si="276"/>
        <v>0</v>
      </c>
      <c r="BB164" s="131">
        <f t="shared" ca="1" si="276"/>
        <v>0</v>
      </c>
      <c r="BC164" s="291">
        <f t="shared" ca="1" si="276"/>
        <v>0</v>
      </c>
    </row>
    <row r="165" spans="2:55" x14ac:dyDescent="0.35">
      <c r="B165" s="63" t="s">
        <v>194</v>
      </c>
      <c r="C165" s="131">
        <f>IF(C$12="Actual",SUMIFS(ActualsTable[Month 1],ActualsTable[Expense Item2],$B165),SUMIFS(Expenses!BB$8:BB$69,Expenses!$O$8:$O$69,$B165)+SUMIFS(Headcount!L$395:L$1442,Headcount!$J$395:$J$1442,$B165))</f>
        <v>0</v>
      </c>
      <c r="D165" s="131">
        <f>IF(D$12="Actual",SUMIFS(ActualsTable[Month 2],ActualsTable[Expense Item2],$B165),SUMIFS(Expenses!BC$8:BC$69,Expenses!$O$8:$O$69,$B165)+SUMIFS(Headcount!M$395:M$1442,Headcount!$J$395:$J$1442,$B165))</f>
        <v>0</v>
      </c>
      <c r="E165" s="131">
        <f>IF(E$12="Actual",SUMIFS(ActualsTable[Month 3],ActualsTable[Expense Item2],$B165),SUMIFS(Expenses!BD$8:BD$69,Expenses!$O$8:$O$69,$B165)+SUMIFS(Headcount!N$395:N$1442,Headcount!$J$395:$J$1442,$B165))</f>
        <v>0</v>
      </c>
      <c r="F165" s="131">
        <f>IF(F$12="Actual",SUMIFS(ActualsTable[Month 4],ActualsTable[Expense Item2],$B165),SUMIFS(Expenses!BE$8:BE$69,Expenses!$O$8:$O$69,$B165)+SUMIFS(Headcount!O$395:O$1442,Headcount!$J$395:$J$1442,$B165))</f>
        <v>0</v>
      </c>
      <c r="G165" s="131">
        <f>IF(G$12="Actual",SUMIFS(ActualsTable[Month 5],ActualsTable[Expense Item2],$B165),SUMIFS(Expenses!BF$8:BF$69,Expenses!$O$8:$O$69,$B165)+SUMIFS(Headcount!P$395:P$1442,Headcount!$J$395:$J$1442,$B165))</f>
        <v>0</v>
      </c>
      <c r="H165" s="131">
        <f>IF(H$12="Actual",SUMIFS(ActualsTable[Month 6],ActualsTable[Expense Item2],$B165),SUMIFS(Expenses!BG$8:BG$69,Expenses!$O$8:$O$69,$B165)+SUMIFS(Headcount!Q$395:Q$1442,Headcount!$J$395:$J$1442,$B165))</f>
        <v>0</v>
      </c>
      <c r="I165" s="131">
        <f>IF(I$12="Actual",SUMIFS(ActualsTable[Month 7],ActualsTable[Expense Item2],$B165),SUMIFS(Expenses!BH$8:BH$69,Expenses!$O$8:$O$69,$B165)+SUMIFS(Headcount!R$395:R$1442,Headcount!$J$395:$J$1442,$B165))</f>
        <v>0</v>
      </c>
      <c r="J165" s="131">
        <f>IF(J$12="Actual",SUMIFS(ActualsTable[Month 8],ActualsTable[Expense Item2],$B165),SUMIFS(Expenses!BI$8:BI$69,Expenses!$O$8:$O$69,$B165)+SUMIFS(Headcount!S$395:S$1442,Headcount!$J$395:$J$1442,$B165))</f>
        <v>0</v>
      </c>
      <c r="K165" s="131">
        <f>IF(K$12="Actual",SUMIFS(ActualsTable[Month 9],ActualsTable[Expense Item2],$B165),SUMIFS(Expenses!BJ$8:BJ$69,Expenses!$O$8:$O$69,$B165)+SUMIFS(Headcount!T$395:T$1442,Headcount!$J$395:$J$1442,$B165))</f>
        <v>0</v>
      </c>
      <c r="L165" s="131">
        <f>IF(L$12="Actual",SUMIFS(ActualsTable[Month 10],ActualsTable[Expense Item2],$B165),SUMIFS(Expenses!BK$8:BK$69,Expenses!$O$8:$O$69,$B165)+SUMIFS(Headcount!U$395:U$1442,Headcount!$J$395:$J$1442,$B165))</f>
        <v>0</v>
      </c>
      <c r="M165" s="131">
        <f>IF(M$12="Actual",SUMIFS(ActualsTable[Month 11],ActualsTable[Expense Item2],$B165),SUMIFS(Expenses!BL$8:BL$69,Expenses!$O$8:$O$69,$B165)+SUMIFS(Headcount!V$395:V$1442,Headcount!$J$395:$J$1442,$B165))</f>
        <v>0</v>
      </c>
      <c r="N165" s="131">
        <f>IF(N$12="Actual",SUMIFS(ActualsTable[Month 12],ActualsTable[Expense Item2],$B165),SUMIFS(Expenses!BM$8:BM$69,Expenses!$O$8:$O$69,$B165)+SUMIFS(Headcount!W$395:W$1442,Headcount!$J$395:$J$1442,$B165))</f>
        <v>0</v>
      </c>
      <c r="O165" s="131">
        <f>IF(O$12="Actual",SUMIFS(ActualsTable[Month 13],ActualsTable[Expense Item2],$B165),SUMIFS(Expenses!BN$8:BN$69,Expenses!$O$8:$O$69,$B165)+SUMIFS(Headcount!X$395:X$1442,Headcount!$J$395:$J$1442,$B165))</f>
        <v>0</v>
      </c>
      <c r="P165" s="131">
        <f>IF(P$12="Actual",SUMIFS(ActualsTable[Month 14],ActualsTable[Expense Item2],$B165),SUMIFS(Expenses!BO$8:BO$69,Expenses!$O$8:$O$69,$B165)+SUMIFS(Headcount!Y$395:Y$1442,Headcount!$J$395:$J$1442,$B165))</f>
        <v>0</v>
      </c>
      <c r="Q165" s="131">
        <f>IF(Q$12="Actual",SUMIFS(ActualsTable[Month 15],ActualsTable[Expense Item2],$B165),SUMIFS(Expenses!BP$8:BP$69,Expenses!$O$8:$O$69,$B165)+SUMIFS(Headcount!Z$395:Z$1442,Headcount!$J$395:$J$1442,$B165))</f>
        <v>0</v>
      </c>
      <c r="R165" s="131">
        <f>IF(R$12="Actual",SUMIFS(ActualsTable[Month 16],ActualsTable[Expense Item2],$B165),SUMIFS(Expenses!BQ$8:BQ$69,Expenses!$O$8:$O$69,$B165)+SUMIFS(Headcount!AA$395:AA$1442,Headcount!$J$395:$J$1442,$B165))</f>
        <v>0</v>
      </c>
      <c r="S165" s="131">
        <f>IF(S$12="Actual",SUMIFS(ActualsTable[Month 17],ActualsTable[Expense Item2],$B165),SUMIFS(Expenses!BR$8:BR$69,Expenses!$O$8:$O$69,$B165)+SUMIFS(Headcount!AB$395:AB$1442,Headcount!$J$395:$J$1442,$B165))</f>
        <v>0</v>
      </c>
      <c r="T165" s="131">
        <f>IF(T$12="Actual",SUMIFS(ActualsTable[Month 18],ActualsTable[Expense Item2],$B165),SUMIFS(Expenses!BS$8:BS$69,Expenses!$O$8:$O$69,$B165)+SUMIFS(Headcount!AC$395:AC$1442,Headcount!$J$395:$J$1442,$B165))</f>
        <v>0</v>
      </c>
      <c r="U165" s="131">
        <f>IF(U$12="Actual",SUMIFS(ActualsTable[Month 19],ActualsTable[Expense Item2],$B165),SUMIFS(Expenses!BT$8:BT$69,Expenses!$O$8:$O$69,$B165)+SUMIFS(Headcount!AD$395:AD$1442,Headcount!$J$395:$J$1442,$B165))</f>
        <v>0</v>
      </c>
      <c r="V165" s="131">
        <f>IF(V$12="Actual",SUMIFS(ActualsTable[Month 20],ActualsTable[Expense Item2],$B165),SUMIFS(Expenses!BU$8:BU$69,Expenses!$O$8:$O$69,$B165)+SUMIFS(Headcount!AE$395:AE$1442,Headcount!$J$395:$J$1442,$B165))</f>
        <v>0</v>
      </c>
      <c r="W165" s="131">
        <f>IF(W$12="Actual",SUMIFS(ActualsTable[Month 21],ActualsTable[Expense Item2],$B165),SUMIFS(Expenses!BV$8:BV$69,Expenses!$O$8:$O$69,$B165)+SUMIFS(Headcount!AF$395:AF$1442,Headcount!$J$395:$J$1442,$B165))</f>
        <v>0</v>
      </c>
      <c r="X165" s="131">
        <f>IF(X$12="Actual",SUMIFS(ActualsTable[Month 22],ActualsTable[Expense Item2],$B165),SUMIFS(Expenses!BW$8:BW$69,Expenses!$O$8:$O$69,$B165)+SUMIFS(Headcount!AG$395:AG$1442,Headcount!$J$395:$J$1442,$B165))</f>
        <v>0</v>
      </c>
      <c r="Y165" s="131">
        <f>IF(Y$12="Actual",SUMIFS(ActualsTable[Month 23],ActualsTable[Expense Item2],$B165),SUMIFS(Expenses!BX$8:BX$69,Expenses!$O$8:$O$69,$B165)+SUMIFS(Headcount!AH$395:AH$1442,Headcount!$J$395:$J$1442,$B165))</f>
        <v>0</v>
      </c>
      <c r="Z165" s="131">
        <f>IF(Z$12="Actual",SUMIFS(ActualsTable[Month 24],ActualsTable[Expense Item2],$B165),SUMIFS(Expenses!BY$8:BY$69,Expenses!$O$8:$O$69,$B165)+SUMIFS(Headcount!AI$395:AI$1442,Headcount!$J$395:$J$1442,$B165))</f>
        <v>0</v>
      </c>
      <c r="AA165" s="131">
        <f>IF(AA$12="Actual",SUMIFS(ActualsTable[Month 25],ActualsTable[Expense Item2],$B165),SUMIFS(Expenses!BZ$8:BZ$69,Expenses!$O$8:$O$69,$B165)+SUMIFS(Headcount!AJ$395:AJ$1442,Headcount!$J$395:$J$1442,$B165))</f>
        <v>0</v>
      </c>
      <c r="AB165" s="131">
        <f>IF(AB$12="Actual",SUMIFS(ActualsTable[Month 26],ActualsTable[Expense Item2],$B165),SUMIFS(Expenses!CA$8:CA$69,Expenses!$O$8:$O$69,$B165)+SUMIFS(Headcount!AK$395:AK$1442,Headcount!$J$395:$J$1442,$B165))</f>
        <v>0</v>
      </c>
      <c r="AC165" s="131">
        <f>IF(AC$12="Actual",SUMIFS(ActualsTable[Month 27],ActualsTable[Expense Item2],$B165),SUMIFS(Expenses!CB$8:CB$69,Expenses!$O$8:$O$69,$B165)+SUMIFS(Headcount!AL$395:AL$1442,Headcount!$J$395:$J$1442,$B165))</f>
        <v>0</v>
      </c>
      <c r="AD165" s="131">
        <f>IF(AD$12="Actual",SUMIFS(ActualsTable[Month 28],ActualsTable[Expense Item2],$B165),SUMIFS(Expenses!CC$8:CC$69,Expenses!$O$8:$O$69,$B165)+SUMIFS(Headcount!AM$395:AM$1442,Headcount!$J$395:$J$1442,$B165))</f>
        <v>0</v>
      </c>
      <c r="AE165" s="131">
        <f>IF(AE$12="Actual",SUMIFS(ActualsTable[Month 29],ActualsTable[Expense Item2],$B165),SUMIFS(Expenses!CD$8:CD$69,Expenses!$O$8:$O$69,$B165)+SUMIFS(Headcount!AN$395:AN$1442,Headcount!$J$395:$J$1442,$B165))</f>
        <v>0</v>
      </c>
      <c r="AF165" s="131">
        <f>IF(AF$12="Actual",SUMIFS(ActualsTable[Month 30],ActualsTable[Expense Item2],$B165),SUMIFS(Expenses!CE$8:CE$69,Expenses!$O$8:$O$69,$B165)+SUMIFS(Headcount!AO$395:AO$1442,Headcount!$J$395:$J$1442,$B165))</f>
        <v>0</v>
      </c>
      <c r="AG165" s="131">
        <f>IF(AG$12="Actual",SUMIFS(ActualsTable[Month 31],ActualsTable[Expense Item2],$B165),SUMIFS(Expenses!CF$8:CF$69,Expenses!$O$8:$O$69,$B165)+SUMIFS(Headcount!AP$395:AP$1442,Headcount!$J$395:$J$1442,$B165))</f>
        <v>0</v>
      </c>
      <c r="AH165" s="131">
        <f>IF(AH$12="Actual",SUMIFS(ActualsTable[Month 32],ActualsTable[Expense Item2],$B165),SUMIFS(Expenses!CG$8:CG$69,Expenses!$O$8:$O$69,$B165)+SUMIFS(Headcount!AQ$395:AQ$1442,Headcount!$J$395:$J$1442,$B165))</f>
        <v>0</v>
      </c>
      <c r="AI165" s="131">
        <f>IF(AI$12="Actual",SUMIFS(ActualsTable[Month 33],ActualsTable[Expense Item2],$B165),SUMIFS(Expenses!CH$8:CH$69,Expenses!$O$8:$O$69,$B165)+SUMIFS(Headcount!AR$395:AR$1442,Headcount!$J$395:$J$1442,$B165))</f>
        <v>0</v>
      </c>
      <c r="AJ165" s="131">
        <f>IF(AJ$12="Actual",SUMIFS(ActualsTable[Month 34],ActualsTable[Expense Item2],$B165),SUMIFS(Expenses!CI$8:CI$69,Expenses!$O$8:$O$69,$B165)+SUMIFS(Headcount!AS$395:AS$1442,Headcount!$J$395:$J$1442,$B165))</f>
        <v>0</v>
      </c>
      <c r="AK165" s="131">
        <f>IF(AK$12="Actual",SUMIFS(ActualsTable[Month 35],ActualsTable[Expense Item2],$B165),SUMIFS(Expenses!CJ$8:CJ$69,Expenses!$O$8:$O$69,$B165)+SUMIFS(Headcount!AT$395:AT$1442,Headcount!$J$395:$J$1442,$B165))</f>
        <v>0</v>
      </c>
      <c r="AL165" s="291">
        <f>IF(AL$12="Actual",SUMIFS(ActualsTable[Month 36],ActualsTable[Expense Item2],$B165),SUMIFS(Expenses!CK$8:CK$69,Expenses!$O$8:$O$69,$B165)+SUMIFS(Headcount!AU$395:AU$1442,Headcount!$J$395:$J$1442,$B165))</f>
        <v>0</v>
      </c>
      <c r="AN165" s="317">
        <f t="shared" ca="1" si="275"/>
        <v>0</v>
      </c>
      <c r="AO165" s="131">
        <f t="shared" ca="1" si="275"/>
        <v>0</v>
      </c>
      <c r="AP165" s="131">
        <f t="shared" ca="1" si="275"/>
        <v>0</v>
      </c>
      <c r="AQ165" s="131">
        <f t="shared" ca="1" si="275"/>
        <v>0</v>
      </c>
      <c r="AR165" s="131">
        <f t="shared" ca="1" si="275"/>
        <v>0</v>
      </c>
      <c r="AS165" s="131">
        <f t="shared" ca="1" si="275"/>
        <v>0</v>
      </c>
      <c r="AT165" s="131">
        <f t="shared" ca="1" si="275"/>
        <v>0</v>
      </c>
      <c r="AU165" s="131">
        <f t="shared" ca="1" si="275"/>
        <v>0</v>
      </c>
      <c r="AV165" s="131">
        <f t="shared" ca="1" si="275"/>
        <v>0</v>
      </c>
      <c r="AW165" s="131">
        <f t="shared" ca="1" si="275"/>
        <v>0</v>
      </c>
      <c r="AX165" s="131">
        <f t="shared" ca="1" si="275"/>
        <v>0</v>
      </c>
      <c r="AY165" s="291">
        <f t="shared" ca="1" si="275"/>
        <v>0</v>
      </c>
      <c r="BA165" s="317">
        <f t="shared" ca="1" si="276"/>
        <v>0</v>
      </c>
      <c r="BB165" s="131">
        <f t="shared" ca="1" si="276"/>
        <v>0</v>
      </c>
      <c r="BC165" s="291">
        <f t="shared" ca="1" si="276"/>
        <v>0</v>
      </c>
    </row>
    <row r="166" spans="2:55" ht="15" x14ac:dyDescent="0.4">
      <c r="B166" s="85" t="s">
        <v>195</v>
      </c>
      <c r="C166" s="139">
        <f t="shared" ref="C166:AN166" si="277">SUM(C167:C174)</f>
        <v>0</v>
      </c>
      <c r="D166" s="139">
        <f t="shared" ref="D166:AL166" si="278">SUM(D167:D174)</f>
        <v>0</v>
      </c>
      <c r="E166" s="139">
        <f t="shared" si="278"/>
        <v>0</v>
      </c>
      <c r="F166" s="139">
        <f t="shared" si="278"/>
        <v>0</v>
      </c>
      <c r="G166" s="139">
        <f t="shared" si="278"/>
        <v>0</v>
      </c>
      <c r="H166" s="139">
        <f t="shared" si="278"/>
        <v>0</v>
      </c>
      <c r="I166" s="139">
        <f t="shared" si="278"/>
        <v>0</v>
      </c>
      <c r="J166" s="139">
        <f t="shared" si="278"/>
        <v>0</v>
      </c>
      <c r="K166" s="139">
        <f t="shared" si="278"/>
        <v>0</v>
      </c>
      <c r="L166" s="139">
        <f t="shared" si="278"/>
        <v>0</v>
      </c>
      <c r="M166" s="139">
        <f t="shared" si="278"/>
        <v>0</v>
      </c>
      <c r="N166" s="139">
        <f t="shared" si="278"/>
        <v>0</v>
      </c>
      <c r="O166" s="139">
        <f t="shared" si="278"/>
        <v>0</v>
      </c>
      <c r="P166" s="139">
        <f t="shared" si="278"/>
        <v>0</v>
      </c>
      <c r="Q166" s="139">
        <f t="shared" si="278"/>
        <v>0</v>
      </c>
      <c r="R166" s="139">
        <f t="shared" si="278"/>
        <v>0</v>
      </c>
      <c r="S166" s="139">
        <f t="shared" si="278"/>
        <v>0</v>
      </c>
      <c r="T166" s="139">
        <f t="shared" si="278"/>
        <v>0</v>
      </c>
      <c r="U166" s="139">
        <f t="shared" si="278"/>
        <v>0</v>
      </c>
      <c r="V166" s="139">
        <f t="shared" si="278"/>
        <v>0</v>
      </c>
      <c r="W166" s="139">
        <f t="shared" si="278"/>
        <v>0</v>
      </c>
      <c r="X166" s="139">
        <f t="shared" si="278"/>
        <v>0</v>
      </c>
      <c r="Y166" s="139">
        <f t="shared" si="278"/>
        <v>0</v>
      </c>
      <c r="Z166" s="139">
        <f t="shared" si="278"/>
        <v>0</v>
      </c>
      <c r="AA166" s="139">
        <f t="shared" si="278"/>
        <v>0</v>
      </c>
      <c r="AB166" s="139">
        <f t="shared" si="278"/>
        <v>0</v>
      </c>
      <c r="AC166" s="139">
        <f t="shared" si="278"/>
        <v>0</v>
      </c>
      <c r="AD166" s="139">
        <f t="shared" si="278"/>
        <v>0</v>
      </c>
      <c r="AE166" s="139">
        <f t="shared" si="278"/>
        <v>0</v>
      </c>
      <c r="AF166" s="139">
        <f t="shared" si="278"/>
        <v>0</v>
      </c>
      <c r="AG166" s="139">
        <f t="shared" si="278"/>
        <v>0</v>
      </c>
      <c r="AH166" s="139">
        <f t="shared" si="278"/>
        <v>0</v>
      </c>
      <c r="AI166" s="139">
        <f t="shared" si="278"/>
        <v>0</v>
      </c>
      <c r="AJ166" s="139">
        <f t="shared" si="278"/>
        <v>0</v>
      </c>
      <c r="AK166" s="139">
        <f t="shared" si="278"/>
        <v>0</v>
      </c>
      <c r="AL166" s="303">
        <f t="shared" si="278"/>
        <v>0</v>
      </c>
      <c r="AN166" s="329">
        <f t="shared" ca="1" si="277"/>
        <v>0</v>
      </c>
      <c r="AO166" s="139">
        <f t="shared" ref="AO166:AT166" ca="1" si="279">SUM(AO167:AO174)</f>
        <v>0</v>
      </c>
      <c r="AP166" s="139">
        <f t="shared" ca="1" si="279"/>
        <v>0</v>
      </c>
      <c r="AQ166" s="139">
        <f t="shared" ca="1" si="279"/>
        <v>0</v>
      </c>
      <c r="AR166" s="139">
        <f t="shared" ca="1" si="279"/>
        <v>0</v>
      </c>
      <c r="AS166" s="139">
        <f t="shared" ca="1" si="279"/>
        <v>0</v>
      </c>
      <c r="AT166" s="139">
        <f t="shared" ca="1" si="279"/>
        <v>0</v>
      </c>
      <c r="AU166" s="139">
        <f t="shared" ref="AU166:AY166" ca="1" si="280">SUM(AU167:AU174)</f>
        <v>0</v>
      </c>
      <c r="AV166" s="139">
        <f t="shared" ca="1" si="280"/>
        <v>0</v>
      </c>
      <c r="AW166" s="139">
        <f t="shared" ca="1" si="280"/>
        <v>0</v>
      </c>
      <c r="AX166" s="139">
        <f t="shared" ca="1" si="280"/>
        <v>0</v>
      </c>
      <c r="AY166" s="303">
        <f t="shared" ca="1" si="280"/>
        <v>0</v>
      </c>
      <c r="BA166" s="329">
        <f t="shared" ref="BA166" ca="1" si="281">SUM(BA167:BA174)</f>
        <v>0</v>
      </c>
      <c r="BB166" s="139">
        <f t="shared" ref="BB166:BC166" ca="1" si="282">SUM(BB167:BB174)</f>
        <v>0</v>
      </c>
      <c r="BC166" s="303">
        <f t="shared" ca="1" si="282"/>
        <v>0</v>
      </c>
    </row>
    <row r="167" spans="2:55" x14ac:dyDescent="0.35">
      <c r="B167" s="64" t="s">
        <v>196</v>
      </c>
      <c r="C167" s="137">
        <f>IF(C$12="Actual",SUMIFS(ActualsTable[Month 1],ActualsTable[Expense Item2],$B167),SUMIFS(Expenses!BB$8:BB$69,Expenses!$O$8:$O$69,$B167)+SUMIFS(Headcount!L$395:L$1442,Headcount!$J$395:$J$1442,$B167))</f>
        <v>0</v>
      </c>
      <c r="D167" s="137">
        <f>IF(D$12="Actual",SUMIFS(ActualsTable[Month 2],ActualsTable[Expense Item2],$B167),SUMIFS(Expenses!BC$8:BC$69,Expenses!$O$8:$O$69,$B167)+SUMIFS(Headcount!M$395:M$1442,Headcount!$J$395:$J$1442,$B167))</f>
        <v>0</v>
      </c>
      <c r="E167" s="137">
        <f>IF(E$12="Actual",SUMIFS(ActualsTable[Month 3],ActualsTable[Expense Item2],$B167),SUMIFS(Expenses!BD$8:BD$69,Expenses!$O$8:$O$69,$B167)+SUMIFS(Headcount!N$395:N$1442,Headcount!$J$395:$J$1442,$B167))</f>
        <v>0</v>
      </c>
      <c r="F167" s="137">
        <f>IF(F$12="Actual",SUMIFS(ActualsTable[Month 4],ActualsTable[Expense Item2],$B167),SUMIFS(Expenses!BE$8:BE$69,Expenses!$O$8:$O$69,$B167)+SUMIFS(Headcount!O$395:O$1442,Headcount!$J$395:$J$1442,$B167))</f>
        <v>0</v>
      </c>
      <c r="G167" s="137">
        <f>IF(G$12="Actual",SUMIFS(ActualsTable[Month 5],ActualsTable[Expense Item2],$B167),SUMIFS(Expenses!BF$8:BF$69,Expenses!$O$8:$O$69,$B167)+SUMIFS(Headcount!P$395:P$1442,Headcount!$J$395:$J$1442,$B167))</f>
        <v>0</v>
      </c>
      <c r="H167" s="137">
        <f>IF(H$12="Actual",SUMIFS(ActualsTable[Month 6],ActualsTable[Expense Item2],$B167),SUMIFS(Expenses!BG$8:BG$69,Expenses!$O$8:$O$69,$B167)+SUMIFS(Headcount!Q$395:Q$1442,Headcount!$J$395:$J$1442,$B167))</f>
        <v>0</v>
      </c>
      <c r="I167" s="137">
        <f>IF(I$12="Actual",SUMIFS(ActualsTable[Month 7],ActualsTable[Expense Item2],$B167),SUMIFS(Expenses!BH$8:BH$69,Expenses!$O$8:$O$69,$B167)+SUMIFS(Headcount!R$395:R$1442,Headcount!$J$395:$J$1442,$B167))</f>
        <v>0</v>
      </c>
      <c r="J167" s="137">
        <f>IF(J$12="Actual",SUMIFS(ActualsTable[Month 8],ActualsTable[Expense Item2],$B167),SUMIFS(Expenses!BI$8:BI$69,Expenses!$O$8:$O$69,$B167)+SUMIFS(Headcount!S$395:S$1442,Headcount!$J$395:$J$1442,$B167))</f>
        <v>0</v>
      </c>
      <c r="K167" s="137">
        <f>IF(K$12="Actual",SUMIFS(ActualsTable[Month 9],ActualsTable[Expense Item2],$B167),SUMIFS(Expenses!BJ$8:BJ$69,Expenses!$O$8:$O$69,$B167)+SUMIFS(Headcount!T$395:T$1442,Headcount!$J$395:$J$1442,$B167))</f>
        <v>0</v>
      </c>
      <c r="L167" s="137">
        <f>IF(L$12="Actual",SUMIFS(ActualsTable[Month 10],ActualsTable[Expense Item2],$B167),SUMIFS(Expenses!BK$8:BK$69,Expenses!$O$8:$O$69,$B167)+SUMIFS(Headcount!U$395:U$1442,Headcount!$J$395:$J$1442,$B167))</f>
        <v>0</v>
      </c>
      <c r="M167" s="137">
        <f>IF(M$12="Actual",SUMIFS(ActualsTable[Month 11],ActualsTable[Expense Item2],$B167),SUMIFS(Expenses!BL$8:BL$69,Expenses!$O$8:$O$69,$B167)+SUMIFS(Headcount!V$395:V$1442,Headcount!$J$395:$J$1442,$B167))</f>
        <v>0</v>
      </c>
      <c r="N167" s="137">
        <f>IF(N$12="Actual",SUMIFS(ActualsTable[Month 12],ActualsTable[Expense Item2],$B167),SUMIFS(Expenses!BM$8:BM$69,Expenses!$O$8:$O$69,$B167)+SUMIFS(Headcount!W$395:W$1442,Headcount!$J$395:$J$1442,$B167))</f>
        <v>0</v>
      </c>
      <c r="O167" s="137">
        <f>IF(O$12="Actual",SUMIFS(ActualsTable[Month 13],ActualsTable[Expense Item2],$B167),SUMIFS(Expenses!BN$8:BN$69,Expenses!$O$8:$O$69,$B167)+SUMIFS(Headcount!X$395:X$1442,Headcount!$J$395:$J$1442,$B167))</f>
        <v>0</v>
      </c>
      <c r="P167" s="137">
        <f>IF(P$12="Actual",SUMIFS(ActualsTable[Month 14],ActualsTable[Expense Item2],$B167),SUMIFS(Expenses!BO$8:BO$69,Expenses!$O$8:$O$69,$B167)+SUMIFS(Headcount!Y$395:Y$1442,Headcount!$J$395:$J$1442,$B167))</f>
        <v>0</v>
      </c>
      <c r="Q167" s="137">
        <f>IF(Q$12="Actual",SUMIFS(ActualsTable[Month 15],ActualsTable[Expense Item2],$B167),SUMIFS(Expenses!BP$8:BP$69,Expenses!$O$8:$O$69,$B167)+SUMIFS(Headcount!Z$395:Z$1442,Headcount!$J$395:$J$1442,$B167))</f>
        <v>0</v>
      </c>
      <c r="R167" s="137">
        <f>IF(R$12="Actual",SUMIFS(ActualsTable[Month 16],ActualsTable[Expense Item2],$B167),SUMIFS(Expenses!BQ$8:BQ$69,Expenses!$O$8:$O$69,$B167)+SUMIFS(Headcount!AA$395:AA$1442,Headcount!$J$395:$J$1442,$B167))</f>
        <v>0</v>
      </c>
      <c r="S167" s="137">
        <f>IF(S$12="Actual",SUMIFS(ActualsTable[Month 17],ActualsTable[Expense Item2],$B167),SUMIFS(Expenses!BR$8:BR$69,Expenses!$O$8:$O$69,$B167)+SUMIFS(Headcount!AB$395:AB$1442,Headcount!$J$395:$J$1442,$B167))</f>
        <v>0</v>
      </c>
      <c r="T167" s="137">
        <f>IF(T$12="Actual",SUMIFS(ActualsTable[Month 18],ActualsTable[Expense Item2],$B167),SUMIFS(Expenses!BS$8:BS$69,Expenses!$O$8:$O$69,$B167)+SUMIFS(Headcount!AC$395:AC$1442,Headcount!$J$395:$J$1442,$B167))</f>
        <v>0</v>
      </c>
      <c r="U167" s="137">
        <f>IF(U$12="Actual",SUMIFS(ActualsTable[Month 19],ActualsTable[Expense Item2],$B167),SUMIFS(Expenses!BT$8:BT$69,Expenses!$O$8:$O$69,$B167)+SUMIFS(Headcount!AD$395:AD$1442,Headcount!$J$395:$J$1442,$B167))</f>
        <v>0</v>
      </c>
      <c r="V167" s="137">
        <f>IF(V$12="Actual",SUMIFS(ActualsTable[Month 20],ActualsTable[Expense Item2],$B167),SUMIFS(Expenses!BU$8:BU$69,Expenses!$O$8:$O$69,$B167)+SUMIFS(Headcount!AE$395:AE$1442,Headcount!$J$395:$J$1442,$B167))</f>
        <v>0</v>
      </c>
      <c r="W167" s="137">
        <f>IF(W$12="Actual",SUMIFS(ActualsTable[Month 21],ActualsTable[Expense Item2],$B167),SUMIFS(Expenses!BV$8:BV$69,Expenses!$O$8:$O$69,$B167)+SUMIFS(Headcount!AF$395:AF$1442,Headcount!$J$395:$J$1442,$B167))</f>
        <v>0</v>
      </c>
      <c r="X167" s="137">
        <f>IF(X$12="Actual",SUMIFS(ActualsTable[Month 22],ActualsTable[Expense Item2],$B167),SUMIFS(Expenses!BW$8:BW$69,Expenses!$O$8:$O$69,$B167)+SUMIFS(Headcount!AG$395:AG$1442,Headcount!$J$395:$J$1442,$B167))</f>
        <v>0</v>
      </c>
      <c r="Y167" s="137">
        <f>IF(Y$12="Actual",SUMIFS(ActualsTable[Month 23],ActualsTable[Expense Item2],$B167),SUMIFS(Expenses!BX$8:BX$69,Expenses!$O$8:$O$69,$B167)+SUMIFS(Headcount!AH$395:AH$1442,Headcount!$J$395:$J$1442,$B167))</f>
        <v>0</v>
      </c>
      <c r="Z167" s="137">
        <f>IF(Z$12="Actual",SUMIFS(ActualsTable[Month 24],ActualsTable[Expense Item2],$B167),SUMIFS(Expenses!BY$8:BY$69,Expenses!$O$8:$O$69,$B167)+SUMIFS(Headcount!AI$395:AI$1442,Headcount!$J$395:$J$1442,$B167))</f>
        <v>0</v>
      </c>
      <c r="AA167" s="137">
        <f>IF(AA$12="Actual",SUMIFS(ActualsTable[Month 25],ActualsTable[Expense Item2],$B167),SUMIFS(Expenses!BZ$8:BZ$69,Expenses!$O$8:$O$69,$B167)+SUMIFS(Headcount!AJ$395:AJ$1442,Headcount!$J$395:$J$1442,$B167))</f>
        <v>0</v>
      </c>
      <c r="AB167" s="137">
        <f>IF(AB$12="Actual",SUMIFS(ActualsTable[Month 26],ActualsTable[Expense Item2],$B167),SUMIFS(Expenses!CA$8:CA$69,Expenses!$O$8:$O$69,$B167)+SUMIFS(Headcount!AK$395:AK$1442,Headcount!$J$395:$J$1442,$B167))</f>
        <v>0</v>
      </c>
      <c r="AC167" s="137">
        <f>IF(AC$12="Actual",SUMIFS(ActualsTable[Month 27],ActualsTable[Expense Item2],$B167),SUMIFS(Expenses!CB$8:CB$69,Expenses!$O$8:$O$69,$B167)+SUMIFS(Headcount!AL$395:AL$1442,Headcount!$J$395:$J$1442,$B167))</f>
        <v>0</v>
      </c>
      <c r="AD167" s="137">
        <f>IF(AD$12="Actual",SUMIFS(ActualsTable[Month 28],ActualsTable[Expense Item2],$B167),SUMIFS(Expenses!CC$8:CC$69,Expenses!$O$8:$O$69,$B167)+SUMIFS(Headcount!AM$395:AM$1442,Headcount!$J$395:$J$1442,$B167))</f>
        <v>0</v>
      </c>
      <c r="AE167" s="137">
        <f>IF(AE$12="Actual",SUMIFS(ActualsTable[Month 29],ActualsTable[Expense Item2],$B167),SUMIFS(Expenses!CD$8:CD$69,Expenses!$O$8:$O$69,$B167)+SUMIFS(Headcount!AN$395:AN$1442,Headcount!$J$395:$J$1442,$B167))</f>
        <v>0</v>
      </c>
      <c r="AF167" s="137">
        <f>IF(AF$12="Actual",SUMIFS(ActualsTable[Month 30],ActualsTable[Expense Item2],$B167),SUMIFS(Expenses!CE$8:CE$69,Expenses!$O$8:$O$69,$B167)+SUMIFS(Headcount!AO$395:AO$1442,Headcount!$J$395:$J$1442,$B167))</f>
        <v>0</v>
      </c>
      <c r="AG167" s="137">
        <f>IF(AG$12="Actual",SUMIFS(ActualsTable[Month 31],ActualsTable[Expense Item2],$B167),SUMIFS(Expenses!CF$8:CF$69,Expenses!$O$8:$O$69,$B167)+SUMIFS(Headcount!AP$395:AP$1442,Headcount!$J$395:$J$1442,$B167))</f>
        <v>0</v>
      </c>
      <c r="AH167" s="137">
        <f>IF(AH$12="Actual",SUMIFS(ActualsTable[Month 32],ActualsTable[Expense Item2],$B167),SUMIFS(Expenses!CG$8:CG$69,Expenses!$O$8:$O$69,$B167)+SUMIFS(Headcount!AQ$395:AQ$1442,Headcount!$J$395:$J$1442,$B167))</f>
        <v>0</v>
      </c>
      <c r="AI167" s="137">
        <f>IF(AI$12="Actual",SUMIFS(ActualsTable[Month 33],ActualsTable[Expense Item2],$B167),SUMIFS(Expenses!CH$8:CH$69,Expenses!$O$8:$O$69,$B167)+SUMIFS(Headcount!AR$395:AR$1442,Headcount!$J$395:$J$1442,$B167))</f>
        <v>0</v>
      </c>
      <c r="AJ167" s="137">
        <f>IF(AJ$12="Actual",SUMIFS(ActualsTable[Month 34],ActualsTable[Expense Item2],$B167),SUMIFS(Expenses!CI$8:CI$69,Expenses!$O$8:$O$69,$B167)+SUMIFS(Headcount!AS$395:AS$1442,Headcount!$J$395:$J$1442,$B167))</f>
        <v>0</v>
      </c>
      <c r="AK167" s="137">
        <f>IF(AK$12="Actual",SUMIFS(ActualsTable[Month 35],ActualsTable[Expense Item2],$B167),SUMIFS(Expenses!CJ$8:CJ$69,Expenses!$O$8:$O$69,$B167)+SUMIFS(Headcount!AT$395:AT$1442,Headcount!$J$395:$J$1442,$B167))</f>
        <v>0</v>
      </c>
      <c r="AL167" s="293">
        <f>IF(AL$12="Actual",SUMIFS(ActualsTable[Month 36],ActualsTable[Expense Item2],$B167),SUMIFS(Expenses!CK$8:CK$69,Expenses!$O$8:$O$69,$B167)+SUMIFS(Headcount!AU$395:AU$1442,Headcount!$J$395:$J$1442,$B167))</f>
        <v>0</v>
      </c>
      <c r="AN167" s="319">
        <f t="shared" ref="AN167:AY174" ca="1" si="283">SUM(OFFSET($B167,0,3*AN$9+1,1,3))</f>
        <v>0</v>
      </c>
      <c r="AO167" s="137">
        <f t="shared" ca="1" si="283"/>
        <v>0</v>
      </c>
      <c r="AP167" s="137">
        <f t="shared" ca="1" si="283"/>
        <v>0</v>
      </c>
      <c r="AQ167" s="137">
        <f t="shared" ca="1" si="283"/>
        <v>0</v>
      </c>
      <c r="AR167" s="137">
        <f t="shared" ca="1" si="283"/>
        <v>0</v>
      </c>
      <c r="AS167" s="137">
        <f t="shared" ca="1" si="283"/>
        <v>0</v>
      </c>
      <c r="AT167" s="137">
        <f t="shared" ca="1" si="283"/>
        <v>0</v>
      </c>
      <c r="AU167" s="137">
        <f t="shared" ca="1" si="283"/>
        <v>0</v>
      </c>
      <c r="AV167" s="137">
        <f t="shared" ca="1" si="283"/>
        <v>0</v>
      </c>
      <c r="AW167" s="137">
        <f t="shared" ca="1" si="283"/>
        <v>0</v>
      </c>
      <c r="AX167" s="137">
        <f t="shared" ca="1" si="283"/>
        <v>0</v>
      </c>
      <c r="AY167" s="293">
        <f t="shared" ca="1" si="283"/>
        <v>0</v>
      </c>
      <c r="BA167" s="319">
        <f t="shared" ref="BA167:BC174" ca="1" si="284">SUM(OFFSET($B167,0,12*BA$9+1,1,12))</f>
        <v>0</v>
      </c>
      <c r="BB167" s="137">
        <f t="shared" ca="1" si="284"/>
        <v>0</v>
      </c>
      <c r="BC167" s="293">
        <f t="shared" ca="1" si="284"/>
        <v>0</v>
      </c>
    </row>
    <row r="168" spans="2:55" x14ac:dyDescent="0.35">
      <c r="B168" s="64" t="s">
        <v>197</v>
      </c>
      <c r="C168" s="137">
        <f>IF(C$12="Actual",SUMIFS(ActualsTable[Month 1],ActualsTable[Expense Item2],$B168),SUMIFS(Expenses!BB$8:BB$69,Expenses!$O$8:$O$69,$B168)+SUMIFS(Headcount!L$395:L$1442,Headcount!$J$395:$J$1442,$B168))</f>
        <v>0</v>
      </c>
      <c r="D168" s="137">
        <f>IF(D$12="Actual",SUMIFS(ActualsTable[Month 2],ActualsTable[Expense Item2],$B168),SUMIFS(Expenses!BC$8:BC$69,Expenses!$O$8:$O$69,$B168)+SUMIFS(Headcount!M$395:M$1442,Headcount!$J$395:$J$1442,$B168))</f>
        <v>0</v>
      </c>
      <c r="E168" s="137">
        <f>IF(E$12="Actual",SUMIFS(ActualsTable[Month 3],ActualsTable[Expense Item2],$B168),SUMIFS(Expenses!BD$8:BD$69,Expenses!$O$8:$O$69,$B168)+SUMIFS(Headcount!N$395:N$1442,Headcount!$J$395:$J$1442,$B168))</f>
        <v>0</v>
      </c>
      <c r="F168" s="137">
        <f>IF(F$12="Actual",SUMIFS(ActualsTable[Month 4],ActualsTable[Expense Item2],$B168),SUMIFS(Expenses!BE$8:BE$69,Expenses!$O$8:$O$69,$B168)+SUMIFS(Headcount!O$395:O$1442,Headcount!$J$395:$J$1442,$B168))</f>
        <v>0</v>
      </c>
      <c r="G168" s="137">
        <f>IF(G$12="Actual",SUMIFS(ActualsTable[Month 5],ActualsTable[Expense Item2],$B168),SUMIFS(Expenses!BF$8:BF$69,Expenses!$O$8:$O$69,$B168)+SUMIFS(Headcount!P$395:P$1442,Headcount!$J$395:$J$1442,$B168))</f>
        <v>0</v>
      </c>
      <c r="H168" s="137">
        <f>IF(H$12="Actual",SUMIFS(ActualsTable[Month 6],ActualsTable[Expense Item2],$B168),SUMIFS(Expenses!BG$8:BG$69,Expenses!$O$8:$O$69,$B168)+SUMIFS(Headcount!Q$395:Q$1442,Headcount!$J$395:$J$1442,$B168))</f>
        <v>0</v>
      </c>
      <c r="I168" s="137">
        <f>IF(I$12="Actual",SUMIFS(ActualsTable[Month 7],ActualsTable[Expense Item2],$B168),SUMIFS(Expenses!BH$8:BH$69,Expenses!$O$8:$O$69,$B168)+SUMIFS(Headcount!R$395:R$1442,Headcount!$J$395:$J$1442,$B168))</f>
        <v>0</v>
      </c>
      <c r="J168" s="137">
        <f>IF(J$12="Actual",SUMIFS(ActualsTable[Month 8],ActualsTable[Expense Item2],$B168),SUMIFS(Expenses!BI$8:BI$69,Expenses!$O$8:$O$69,$B168)+SUMIFS(Headcount!S$395:S$1442,Headcount!$J$395:$J$1442,$B168))</f>
        <v>0</v>
      </c>
      <c r="K168" s="137">
        <f>IF(K$12="Actual",SUMIFS(ActualsTable[Month 9],ActualsTable[Expense Item2],$B168),SUMIFS(Expenses!BJ$8:BJ$69,Expenses!$O$8:$O$69,$B168)+SUMIFS(Headcount!T$395:T$1442,Headcount!$J$395:$J$1442,$B168))</f>
        <v>0</v>
      </c>
      <c r="L168" s="137">
        <f>IF(L$12="Actual",SUMIFS(ActualsTable[Month 10],ActualsTable[Expense Item2],$B168),SUMIFS(Expenses!BK$8:BK$69,Expenses!$O$8:$O$69,$B168)+SUMIFS(Headcount!U$395:U$1442,Headcount!$J$395:$J$1442,$B168))</f>
        <v>0</v>
      </c>
      <c r="M168" s="137">
        <f>IF(M$12="Actual",SUMIFS(ActualsTable[Month 11],ActualsTable[Expense Item2],$B168),SUMIFS(Expenses!BL$8:BL$69,Expenses!$O$8:$O$69,$B168)+SUMIFS(Headcount!V$395:V$1442,Headcount!$J$395:$J$1442,$B168))</f>
        <v>0</v>
      </c>
      <c r="N168" s="137">
        <f>IF(N$12="Actual",SUMIFS(ActualsTable[Month 12],ActualsTable[Expense Item2],$B168),SUMIFS(Expenses!BM$8:BM$69,Expenses!$O$8:$O$69,$B168)+SUMIFS(Headcount!W$395:W$1442,Headcount!$J$395:$J$1442,$B168))</f>
        <v>0</v>
      </c>
      <c r="O168" s="137">
        <f>IF(O$12="Actual",SUMIFS(ActualsTable[Month 13],ActualsTable[Expense Item2],$B168),SUMIFS(Expenses!BN$8:BN$69,Expenses!$O$8:$O$69,$B168)+SUMIFS(Headcount!X$395:X$1442,Headcount!$J$395:$J$1442,$B168))</f>
        <v>0</v>
      </c>
      <c r="P168" s="137">
        <f>IF(P$12="Actual",SUMIFS(ActualsTable[Month 14],ActualsTable[Expense Item2],$B168),SUMIFS(Expenses!BO$8:BO$69,Expenses!$O$8:$O$69,$B168)+SUMIFS(Headcount!Y$395:Y$1442,Headcount!$J$395:$J$1442,$B168))</f>
        <v>0</v>
      </c>
      <c r="Q168" s="137">
        <f>IF(Q$12="Actual",SUMIFS(ActualsTable[Month 15],ActualsTable[Expense Item2],$B168),SUMIFS(Expenses!BP$8:BP$69,Expenses!$O$8:$O$69,$B168)+SUMIFS(Headcount!Z$395:Z$1442,Headcount!$J$395:$J$1442,$B168))</f>
        <v>0</v>
      </c>
      <c r="R168" s="137">
        <f>IF(R$12="Actual",SUMIFS(ActualsTable[Month 16],ActualsTable[Expense Item2],$B168),SUMIFS(Expenses!BQ$8:BQ$69,Expenses!$O$8:$O$69,$B168)+SUMIFS(Headcount!AA$395:AA$1442,Headcount!$J$395:$J$1442,$B168))</f>
        <v>0</v>
      </c>
      <c r="S168" s="137">
        <f>IF(S$12="Actual",SUMIFS(ActualsTable[Month 17],ActualsTable[Expense Item2],$B168),SUMIFS(Expenses!BR$8:BR$69,Expenses!$O$8:$O$69,$B168)+SUMIFS(Headcount!AB$395:AB$1442,Headcount!$J$395:$J$1442,$B168))</f>
        <v>0</v>
      </c>
      <c r="T168" s="137">
        <f>IF(T$12="Actual",SUMIFS(ActualsTable[Month 18],ActualsTable[Expense Item2],$B168),SUMIFS(Expenses!BS$8:BS$69,Expenses!$O$8:$O$69,$B168)+SUMIFS(Headcount!AC$395:AC$1442,Headcount!$J$395:$J$1442,$B168))</f>
        <v>0</v>
      </c>
      <c r="U168" s="137">
        <f>IF(U$12="Actual",SUMIFS(ActualsTable[Month 19],ActualsTable[Expense Item2],$B168),SUMIFS(Expenses!BT$8:BT$69,Expenses!$O$8:$O$69,$B168)+SUMIFS(Headcount!AD$395:AD$1442,Headcount!$J$395:$J$1442,$B168))</f>
        <v>0</v>
      </c>
      <c r="V168" s="137">
        <f>IF(V$12="Actual",SUMIFS(ActualsTable[Month 20],ActualsTable[Expense Item2],$B168),SUMIFS(Expenses!BU$8:BU$69,Expenses!$O$8:$O$69,$B168)+SUMIFS(Headcount!AE$395:AE$1442,Headcount!$J$395:$J$1442,$B168))</f>
        <v>0</v>
      </c>
      <c r="W168" s="137">
        <f>IF(W$12="Actual",SUMIFS(ActualsTable[Month 21],ActualsTable[Expense Item2],$B168),SUMIFS(Expenses!BV$8:BV$69,Expenses!$O$8:$O$69,$B168)+SUMIFS(Headcount!AF$395:AF$1442,Headcount!$J$395:$J$1442,$B168))</f>
        <v>0</v>
      </c>
      <c r="X168" s="137">
        <f>IF(X$12="Actual",SUMIFS(ActualsTable[Month 22],ActualsTable[Expense Item2],$B168),SUMIFS(Expenses!BW$8:BW$69,Expenses!$O$8:$O$69,$B168)+SUMIFS(Headcount!AG$395:AG$1442,Headcount!$J$395:$J$1442,$B168))</f>
        <v>0</v>
      </c>
      <c r="Y168" s="137">
        <f>IF(Y$12="Actual",SUMIFS(ActualsTable[Month 23],ActualsTable[Expense Item2],$B168),SUMIFS(Expenses!BX$8:BX$69,Expenses!$O$8:$O$69,$B168)+SUMIFS(Headcount!AH$395:AH$1442,Headcount!$J$395:$J$1442,$B168))</f>
        <v>0</v>
      </c>
      <c r="Z168" s="137">
        <f>IF(Z$12="Actual",SUMIFS(ActualsTable[Month 24],ActualsTable[Expense Item2],$B168),SUMIFS(Expenses!BY$8:BY$69,Expenses!$O$8:$O$69,$B168)+SUMIFS(Headcount!AI$395:AI$1442,Headcount!$J$395:$J$1442,$B168))</f>
        <v>0</v>
      </c>
      <c r="AA168" s="137">
        <f>IF(AA$12="Actual",SUMIFS(ActualsTable[Month 25],ActualsTable[Expense Item2],$B168),SUMIFS(Expenses!BZ$8:BZ$69,Expenses!$O$8:$O$69,$B168)+SUMIFS(Headcount!AJ$395:AJ$1442,Headcount!$J$395:$J$1442,$B168))</f>
        <v>0</v>
      </c>
      <c r="AB168" s="137">
        <f>IF(AB$12="Actual",SUMIFS(ActualsTable[Month 26],ActualsTable[Expense Item2],$B168),SUMIFS(Expenses!CA$8:CA$69,Expenses!$O$8:$O$69,$B168)+SUMIFS(Headcount!AK$395:AK$1442,Headcount!$J$395:$J$1442,$B168))</f>
        <v>0</v>
      </c>
      <c r="AC168" s="137">
        <f>IF(AC$12="Actual",SUMIFS(ActualsTable[Month 27],ActualsTable[Expense Item2],$B168),SUMIFS(Expenses!CB$8:CB$69,Expenses!$O$8:$O$69,$B168)+SUMIFS(Headcount!AL$395:AL$1442,Headcount!$J$395:$J$1442,$B168))</f>
        <v>0</v>
      </c>
      <c r="AD168" s="137">
        <f>IF(AD$12="Actual",SUMIFS(ActualsTable[Month 28],ActualsTable[Expense Item2],$B168),SUMIFS(Expenses!CC$8:CC$69,Expenses!$O$8:$O$69,$B168)+SUMIFS(Headcount!AM$395:AM$1442,Headcount!$J$395:$J$1442,$B168))</f>
        <v>0</v>
      </c>
      <c r="AE168" s="137">
        <f>IF(AE$12="Actual",SUMIFS(ActualsTable[Month 29],ActualsTable[Expense Item2],$B168),SUMIFS(Expenses!CD$8:CD$69,Expenses!$O$8:$O$69,$B168)+SUMIFS(Headcount!AN$395:AN$1442,Headcount!$J$395:$J$1442,$B168))</f>
        <v>0</v>
      </c>
      <c r="AF168" s="137">
        <f>IF(AF$12="Actual",SUMIFS(ActualsTable[Month 30],ActualsTable[Expense Item2],$B168),SUMIFS(Expenses!CE$8:CE$69,Expenses!$O$8:$O$69,$B168)+SUMIFS(Headcount!AO$395:AO$1442,Headcount!$J$395:$J$1442,$B168))</f>
        <v>0</v>
      </c>
      <c r="AG168" s="137">
        <f>IF(AG$12="Actual",SUMIFS(ActualsTable[Month 31],ActualsTable[Expense Item2],$B168),SUMIFS(Expenses!CF$8:CF$69,Expenses!$O$8:$O$69,$B168)+SUMIFS(Headcount!AP$395:AP$1442,Headcount!$J$395:$J$1442,$B168))</f>
        <v>0</v>
      </c>
      <c r="AH168" s="137">
        <f>IF(AH$12="Actual",SUMIFS(ActualsTable[Month 32],ActualsTable[Expense Item2],$B168),SUMIFS(Expenses!CG$8:CG$69,Expenses!$O$8:$O$69,$B168)+SUMIFS(Headcount!AQ$395:AQ$1442,Headcount!$J$395:$J$1442,$B168))</f>
        <v>0</v>
      </c>
      <c r="AI168" s="137">
        <f>IF(AI$12="Actual",SUMIFS(ActualsTable[Month 33],ActualsTable[Expense Item2],$B168),SUMIFS(Expenses!CH$8:CH$69,Expenses!$O$8:$O$69,$B168)+SUMIFS(Headcount!AR$395:AR$1442,Headcount!$J$395:$J$1442,$B168))</f>
        <v>0</v>
      </c>
      <c r="AJ168" s="137">
        <f>IF(AJ$12="Actual",SUMIFS(ActualsTable[Month 34],ActualsTable[Expense Item2],$B168),SUMIFS(Expenses!CI$8:CI$69,Expenses!$O$8:$O$69,$B168)+SUMIFS(Headcount!AS$395:AS$1442,Headcount!$J$395:$J$1442,$B168))</f>
        <v>0</v>
      </c>
      <c r="AK168" s="137">
        <f>IF(AK$12="Actual",SUMIFS(ActualsTable[Month 35],ActualsTable[Expense Item2],$B168),SUMIFS(Expenses!CJ$8:CJ$69,Expenses!$O$8:$O$69,$B168)+SUMIFS(Headcount!AT$395:AT$1442,Headcount!$J$395:$J$1442,$B168))</f>
        <v>0</v>
      </c>
      <c r="AL168" s="293">
        <f>IF(AL$12="Actual",SUMIFS(ActualsTable[Month 36],ActualsTable[Expense Item2],$B168),SUMIFS(Expenses!CK$8:CK$69,Expenses!$O$8:$O$69,$B168)+SUMIFS(Headcount!AU$395:AU$1442,Headcount!$J$395:$J$1442,$B168))</f>
        <v>0</v>
      </c>
      <c r="AN168" s="319">
        <f t="shared" ca="1" si="283"/>
        <v>0</v>
      </c>
      <c r="AO168" s="137">
        <f t="shared" ca="1" si="283"/>
        <v>0</v>
      </c>
      <c r="AP168" s="137">
        <f t="shared" ca="1" si="283"/>
        <v>0</v>
      </c>
      <c r="AQ168" s="137">
        <f t="shared" ca="1" si="283"/>
        <v>0</v>
      </c>
      <c r="AR168" s="137">
        <f t="shared" ca="1" si="283"/>
        <v>0</v>
      </c>
      <c r="AS168" s="137">
        <f t="shared" ca="1" si="283"/>
        <v>0</v>
      </c>
      <c r="AT168" s="137">
        <f t="shared" ca="1" si="283"/>
        <v>0</v>
      </c>
      <c r="AU168" s="137">
        <f t="shared" ca="1" si="283"/>
        <v>0</v>
      </c>
      <c r="AV168" s="137">
        <f t="shared" ca="1" si="283"/>
        <v>0</v>
      </c>
      <c r="AW168" s="137">
        <f t="shared" ca="1" si="283"/>
        <v>0</v>
      </c>
      <c r="AX168" s="137">
        <f t="shared" ca="1" si="283"/>
        <v>0</v>
      </c>
      <c r="AY168" s="293">
        <f t="shared" ca="1" si="283"/>
        <v>0</v>
      </c>
      <c r="BA168" s="319">
        <f t="shared" ca="1" si="284"/>
        <v>0</v>
      </c>
      <c r="BB168" s="137">
        <f t="shared" ca="1" si="284"/>
        <v>0</v>
      </c>
      <c r="BC168" s="293">
        <f t="shared" ca="1" si="284"/>
        <v>0</v>
      </c>
    </row>
    <row r="169" spans="2:55" x14ac:dyDescent="0.35">
      <c r="B169" s="64" t="s">
        <v>198</v>
      </c>
      <c r="C169" s="137">
        <f>IF(C$12="Actual",SUMIFS(ActualsTable[Month 1],ActualsTable[Expense Item2],$B169),SUMIFS(Expenses!BB$8:BB$69,Expenses!$O$8:$O$69,$B169)+SUMIFS(Headcount!L$395:L$1442,Headcount!$J$395:$J$1442,$B169))</f>
        <v>0</v>
      </c>
      <c r="D169" s="137">
        <f>IF(D$12="Actual",SUMIFS(ActualsTable[Month 2],ActualsTable[Expense Item2],$B169),SUMIFS(Expenses!BC$8:BC$69,Expenses!$O$8:$O$69,$B169)+SUMIFS(Headcount!M$395:M$1442,Headcount!$J$395:$J$1442,$B169))</f>
        <v>0</v>
      </c>
      <c r="E169" s="137">
        <f>IF(E$12="Actual",SUMIFS(ActualsTable[Month 3],ActualsTable[Expense Item2],$B169),SUMIFS(Expenses!BD$8:BD$69,Expenses!$O$8:$O$69,$B169)+SUMIFS(Headcount!N$395:N$1442,Headcount!$J$395:$J$1442,$B169))</f>
        <v>0</v>
      </c>
      <c r="F169" s="137">
        <f>IF(F$12="Actual",SUMIFS(ActualsTable[Month 4],ActualsTable[Expense Item2],$B169),SUMIFS(Expenses!BE$8:BE$69,Expenses!$O$8:$O$69,$B169)+SUMIFS(Headcount!O$395:O$1442,Headcount!$J$395:$J$1442,$B169))</f>
        <v>0</v>
      </c>
      <c r="G169" s="137">
        <f>IF(G$12="Actual",SUMIFS(ActualsTable[Month 5],ActualsTable[Expense Item2],$B169),SUMIFS(Expenses!BF$8:BF$69,Expenses!$O$8:$O$69,$B169)+SUMIFS(Headcount!P$395:P$1442,Headcount!$J$395:$J$1442,$B169))</f>
        <v>0</v>
      </c>
      <c r="H169" s="137">
        <f>IF(H$12="Actual",SUMIFS(ActualsTable[Month 6],ActualsTable[Expense Item2],$B169),SUMIFS(Expenses!BG$8:BG$69,Expenses!$O$8:$O$69,$B169)+SUMIFS(Headcount!Q$395:Q$1442,Headcount!$J$395:$J$1442,$B169))</f>
        <v>0</v>
      </c>
      <c r="I169" s="137">
        <f>IF(I$12="Actual",SUMIFS(ActualsTable[Month 7],ActualsTable[Expense Item2],$B169),SUMIFS(Expenses!BH$8:BH$69,Expenses!$O$8:$O$69,$B169)+SUMIFS(Headcount!R$395:R$1442,Headcount!$J$395:$J$1442,$B169))</f>
        <v>0</v>
      </c>
      <c r="J169" s="137">
        <f>IF(J$12="Actual",SUMIFS(ActualsTable[Month 8],ActualsTable[Expense Item2],$B169),SUMIFS(Expenses!BI$8:BI$69,Expenses!$O$8:$O$69,$B169)+SUMIFS(Headcount!S$395:S$1442,Headcount!$J$395:$J$1442,$B169))</f>
        <v>0</v>
      </c>
      <c r="K169" s="137">
        <f>IF(K$12="Actual",SUMIFS(ActualsTable[Month 9],ActualsTable[Expense Item2],$B169),SUMIFS(Expenses!BJ$8:BJ$69,Expenses!$O$8:$O$69,$B169)+SUMIFS(Headcount!T$395:T$1442,Headcount!$J$395:$J$1442,$B169))</f>
        <v>0</v>
      </c>
      <c r="L169" s="137">
        <f>IF(L$12="Actual",SUMIFS(ActualsTable[Month 10],ActualsTable[Expense Item2],$B169),SUMIFS(Expenses!BK$8:BK$69,Expenses!$O$8:$O$69,$B169)+SUMIFS(Headcount!U$395:U$1442,Headcount!$J$395:$J$1442,$B169))</f>
        <v>0</v>
      </c>
      <c r="M169" s="137">
        <f>IF(M$12="Actual",SUMIFS(ActualsTable[Month 11],ActualsTable[Expense Item2],$B169),SUMIFS(Expenses!BL$8:BL$69,Expenses!$O$8:$O$69,$B169)+SUMIFS(Headcount!V$395:V$1442,Headcount!$J$395:$J$1442,$B169))</f>
        <v>0</v>
      </c>
      <c r="N169" s="137">
        <f>IF(N$12="Actual",SUMIFS(ActualsTable[Month 12],ActualsTable[Expense Item2],$B169),SUMIFS(Expenses!BM$8:BM$69,Expenses!$O$8:$O$69,$B169)+SUMIFS(Headcount!W$395:W$1442,Headcount!$J$395:$J$1442,$B169))</f>
        <v>0</v>
      </c>
      <c r="O169" s="137">
        <f>IF(O$12="Actual",SUMIFS(ActualsTable[Month 13],ActualsTable[Expense Item2],$B169),SUMIFS(Expenses!BN$8:BN$69,Expenses!$O$8:$O$69,$B169)+SUMIFS(Headcount!X$395:X$1442,Headcount!$J$395:$J$1442,$B169))</f>
        <v>0</v>
      </c>
      <c r="P169" s="137">
        <f>IF(P$12="Actual",SUMIFS(ActualsTable[Month 14],ActualsTable[Expense Item2],$B169),SUMIFS(Expenses!BO$8:BO$69,Expenses!$O$8:$O$69,$B169)+SUMIFS(Headcount!Y$395:Y$1442,Headcount!$J$395:$J$1442,$B169))</f>
        <v>0</v>
      </c>
      <c r="Q169" s="137">
        <f>IF(Q$12="Actual",SUMIFS(ActualsTable[Month 15],ActualsTable[Expense Item2],$B169),SUMIFS(Expenses!BP$8:BP$69,Expenses!$O$8:$O$69,$B169)+SUMIFS(Headcount!Z$395:Z$1442,Headcount!$J$395:$J$1442,$B169))</f>
        <v>0</v>
      </c>
      <c r="R169" s="137">
        <f>IF(R$12="Actual",SUMIFS(ActualsTable[Month 16],ActualsTable[Expense Item2],$B169),SUMIFS(Expenses!BQ$8:BQ$69,Expenses!$O$8:$O$69,$B169)+SUMIFS(Headcount!AA$395:AA$1442,Headcount!$J$395:$J$1442,$B169))</f>
        <v>0</v>
      </c>
      <c r="S169" s="137">
        <f>IF(S$12="Actual",SUMIFS(ActualsTable[Month 17],ActualsTable[Expense Item2],$B169),SUMIFS(Expenses!BR$8:BR$69,Expenses!$O$8:$O$69,$B169)+SUMIFS(Headcount!AB$395:AB$1442,Headcount!$J$395:$J$1442,$B169))</f>
        <v>0</v>
      </c>
      <c r="T169" s="137">
        <f>IF(T$12="Actual",SUMIFS(ActualsTable[Month 18],ActualsTable[Expense Item2],$B169),SUMIFS(Expenses!BS$8:BS$69,Expenses!$O$8:$O$69,$B169)+SUMIFS(Headcount!AC$395:AC$1442,Headcount!$J$395:$J$1442,$B169))</f>
        <v>0</v>
      </c>
      <c r="U169" s="137">
        <f>IF(U$12="Actual",SUMIFS(ActualsTable[Month 19],ActualsTable[Expense Item2],$B169),SUMIFS(Expenses!BT$8:BT$69,Expenses!$O$8:$O$69,$B169)+SUMIFS(Headcount!AD$395:AD$1442,Headcount!$J$395:$J$1442,$B169))</f>
        <v>0</v>
      </c>
      <c r="V169" s="137">
        <f>IF(V$12="Actual",SUMIFS(ActualsTable[Month 20],ActualsTable[Expense Item2],$B169),SUMIFS(Expenses!BU$8:BU$69,Expenses!$O$8:$O$69,$B169)+SUMIFS(Headcount!AE$395:AE$1442,Headcount!$J$395:$J$1442,$B169))</f>
        <v>0</v>
      </c>
      <c r="W169" s="137">
        <f>IF(W$12="Actual",SUMIFS(ActualsTable[Month 21],ActualsTable[Expense Item2],$B169),SUMIFS(Expenses!BV$8:BV$69,Expenses!$O$8:$O$69,$B169)+SUMIFS(Headcount!AF$395:AF$1442,Headcount!$J$395:$J$1442,$B169))</f>
        <v>0</v>
      </c>
      <c r="X169" s="137">
        <f>IF(X$12="Actual",SUMIFS(ActualsTable[Month 22],ActualsTable[Expense Item2],$B169),SUMIFS(Expenses!BW$8:BW$69,Expenses!$O$8:$O$69,$B169)+SUMIFS(Headcount!AG$395:AG$1442,Headcount!$J$395:$J$1442,$B169))</f>
        <v>0</v>
      </c>
      <c r="Y169" s="137">
        <f>IF(Y$12="Actual",SUMIFS(ActualsTable[Month 23],ActualsTable[Expense Item2],$B169),SUMIFS(Expenses!BX$8:BX$69,Expenses!$O$8:$O$69,$B169)+SUMIFS(Headcount!AH$395:AH$1442,Headcount!$J$395:$J$1442,$B169))</f>
        <v>0</v>
      </c>
      <c r="Z169" s="137">
        <f>IF(Z$12="Actual",SUMIFS(ActualsTable[Month 24],ActualsTable[Expense Item2],$B169),SUMIFS(Expenses!BY$8:BY$69,Expenses!$O$8:$O$69,$B169)+SUMIFS(Headcount!AI$395:AI$1442,Headcount!$J$395:$J$1442,$B169))</f>
        <v>0</v>
      </c>
      <c r="AA169" s="137">
        <f>IF(AA$12="Actual",SUMIFS(ActualsTable[Month 25],ActualsTable[Expense Item2],$B169),SUMIFS(Expenses!BZ$8:BZ$69,Expenses!$O$8:$O$69,$B169)+SUMIFS(Headcount!AJ$395:AJ$1442,Headcount!$J$395:$J$1442,$B169))</f>
        <v>0</v>
      </c>
      <c r="AB169" s="137">
        <f>IF(AB$12="Actual",SUMIFS(ActualsTable[Month 26],ActualsTable[Expense Item2],$B169),SUMIFS(Expenses!CA$8:CA$69,Expenses!$O$8:$O$69,$B169)+SUMIFS(Headcount!AK$395:AK$1442,Headcount!$J$395:$J$1442,$B169))</f>
        <v>0</v>
      </c>
      <c r="AC169" s="137">
        <f>IF(AC$12="Actual",SUMIFS(ActualsTable[Month 27],ActualsTable[Expense Item2],$B169),SUMIFS(Expenses!CB$8:CB$69,Expenses!$O$8:$O$69,$B169)+SUMIFS(Headcount!AL$395:AL$1442,Headcount!$J$395:$J$1442,$B169))</f>
        <v>0</v>
      </c>
      <c r="AD169" s="137">
        <f>IF(AD$12="Actual",SUMIFS(ActualsTable[Month 28],ActualsTable[Expense Item2],$B169),SUMIFS(Expenses!CC$8:CC$69,Expenses!$O$8:$O$69,$B169)+SUMIFS(Headcount!AM$395:AM$1442,Headcount!$J$395:$J$1442,$B169))</f>
        <v>0</v>
      </c>
      <c r="AE169" s="137">
        <f>IF(AE$12="Actual",SUMIFS(ActualsTable[Month 29],ActualsTable[Expense Item2],$B169),SUMIFS(Expenses!CD$8:CD$69,Expenses!$O$8:$O$69,$B169)+SUMIFS(Headcount!AN$395:AN$1442,Headcount!$J$395:$J$1442,$B169))</f>
        <v>0</v>
      </c>
      <c r="AF169" s="137">
        <f>IF(AF$12="Actual",SUMIFS(ActualsTable[Month 30],ActualsTable[Expense Item2],$B169),SUMIFS(Expenses!CE$8:CE$69,Expenses!$O$8:$O$69,$B169)+SUMIFS(Headcount!AO$395:AO$1442,Headcount!$J$395:$J$1442,$B169))</f>
        <v>0</v>
      </c>
      <c r="AG169" s="137">
        <f>IF(AG$12="Actual",SUMIFS(ActualsTable[Month 31],ActualsTable[Expense Item2],$B169),SUMIFS(Expenses!CF$8:CF$69,Expenses!$O$8:$O$69,$B169)+SUMIFS(Headcount!AP$395:AP$1442,Headcount!$J$395:$J$1442,$B169))</f>
        <v>0</v>
      </c>
      <c r="AH169" s="137">
        <f>IF(AH$12="Actual",SUMIFS(ActualsTable[Month 32],ActualsTable[Expense Item2],$B169),SUMIFS(Expenses!CG$8:CG$69,Expenses!$O$8:$O$69,$B169)+SUMIFS(Headcount!AQ$395:AQ$1442,Headcount!$J$395:$J$1442,$B169))</f>
        <v>0</v>
      </c>
      <c r="AI169" s="137">
        <f>IF(AI$12="Actual",SUMIFS(ActualsTable[Month 33],ActualsTable[Expense Item2],$B169),SUMIFS(Expenses!CH$8:CH$69,Expenses!$O$8:$O$69,$B169)+SUMIFS(Headcount!AR$395:AR$1442,Headcount!$J$395:$J$1442,$B169))</f>
        <v>0</v>
      </c>
      <c r="AJ169" s="137">
        <f>IF(AJ$12="Actual",SUMIFS(ActualsTable[Month 34],ActualsTable[Expense Item2],$B169),SUMIFS(Expenses!CI$8:CI$69,Expenses!$O$8:$O$69,$B169)+SUMIFS(Headcount!AS$395:AS$1442,Headcount!$J$395:$J$1442,$B169))</f>
        <v>0</v>
      </c>
      <c r="AK169" s="137">
        <f>IF(AK$12="Actual",SUMIFS(ActualsTable[Month 35],ActualsTable[Expense Item2],$B169),SUMIFS(Expenses!CJ$8:CJ$69,Expenses!$O$8:$O$69,$B169)+SUMIFS(Headcount!AT$395:AT$1442,Headcount!$J$395:$J$1442,$B169))</f>
        <v>0</v>
      </c>
      <c r="AL169" s="293">
        <f>IF(AL$12="Actual",SUMIFS(ActualsTable[Month 36],ActualsTable[Expense Item2],$B169),SUMIFS(Expenses!CK$8:CK$69,Expenses!$O$8:$O$69,$B169)+SUMIFS(Headcount!AU$395:AU$1442,Headcount!$J$395:$J$1442,$B169))</f>
        <v>0</v>
      </c>
      <c r="AN169" s="319">
        <f t="shared" ca="1" si="283"/>
        <v>0</v>
      </c>
      <c r="AO169" s="137">
        <f t="shared" ca="1" si="283"/>
        <v>0</v>
      </c>
      <c r="AP169" s="137">
        <f t="shared" ca="1" si="283"/>
        <v>0</v>
      </c>
      <c r="AQ169" s="137">
        <f t="shared" ca="1" si="283"/>
        <v>0</v>
      </c>
      <c r="AR169" s="137">
        <f t="shared" ca="1" si="283"/>
        <v>0</v>
      </c>
      <c r="AS169" s="137">
        <f t="shared" ca="1" si="283"/>
        <v>0</v>
      </c>
      <c r="AT169" s="137">
        <f t="shared" ca="1" si="283"/>
        <v>0</v>
      </c>
      <c r="AU169" s="137">
        <f t="shared" ca="1" si="283"/>
        <v>0</v>
      </c>
      <c r="AV169" s="137">
        <f t="shared" ca="1" si="283"/>
        <v>0</v>
      </c>
      <c r="AW169" s="137">
        <f t="shared" ca="1" si="283"/>
        <v>0</v>
      </c>
      <c r="AX169" s="137">
        <f t="shared" ca="1" si="283"/>
        <v>0</v>
      </c>
      <c r="AY169" s="293">
        <f t="shared" ca="1" si="283"/>
        <v>0</v>
      </c>
      <c r="BA169" s="319">
        <f t="shared" ca="1" si="284"/>
        <v>0</v>
      </c>
      <c r="BB169" s="137">
        <f t="shared" ca="1" si="284"/>
        <v>0</v>
      </c>
      <c r="BC169" s="293">
        <f t="shared" ca="1" si="284"/>
        <v>0</v>
      </c>
    </row>
    <row r="170" spans="2:55" x14ac:dyDescent="0.35">
      <c r="B170" s="64" t="s">
        <v>199</v>
      </c>
      <c r="C170" s="137">
        <f>IF(C$12="Actual",SUMIFS(ActualsTable[Month 1],ActualsTable[Expense Item2],$B170),SUMIFS(Expenses!BB$8:BB$69,Expenses!$O$8:$O$69,$B170)+SUMIFS(Headcount!L$395:L$1442,Headcount!$J$395:$J$1442,$B170))</f>
        <v>0</v>
      </c>
      <c r="D170" s="137">
        <f>IF(D$12="Actual",SUMIFS(ActualsTable[Month 2],ActualsTable[Expense Item2],$B170),SUMIFS(Expenses!BC$8:BC$69,Expenses!$O$8:$O$69,$B170)+SUMIFS(Headcount!M$395:M$1442,Headcount!$J$395:$J$1442,$B170))</f>
        <v>0</v>
      </c>
      <c r="E170" s="137">
        <f>IF(E$12="Actual",SUMIFS(ActualsTable[Month 3],ActualsTable[Expense Item2],$B170),SUMIFS(Expenses!BD$8:BD$69,Expenses!$O$8:$O$69,$B170)+SUMIFS(Headcount!N$395:N$1442,Headcount!$J$395:$J$1442,$B170))</f>
        <v>0</v>
      </c>
      <c r="F170" s="137">
        <f>IF(F$12="Actual",SUMIFS(ActualsTable[Month 4],ActualsTable[Expense Item2],$B170),SUMIFS(Expenses!BE$8:BE$69,Expenses!$O$8:$O$69,$B170)+SUMIFS(Headcount!O$395:O$1442,Headcount!$J$395:$J$1442,$B170))</f>
        <v>0</v>
      </c>
      <c r="G170" s="137">
        <f>IF(G$12="Actual",SUMIFS(ActualsTable[Month 5],ActualsTable[Expense Item2],$B170),SUMIFS(Expenses!BF$8:BF$69,Expenses!$O$8:$O$69,$B170)+SUMIFS(Headcount!P$395:P$1442,Headcount!$J$395:$J$1442,$B170))</f>
        <v>0</v>
      </c>
      <c r="H170" s="137">
        <f>IF(H$12="Actual",SUMIFS(ActualsTable[Month 6],ActualsTable[Expense Item2],$B170),SUMIFS(Expenses!BG$8:BG$69,Expenses!$O$8:$O$69,$B170)+SUMIFS(Headcount!Q$395:Q$1442,Headcount!$J$395:$J$1442,$B170))</f>
        <v>0</v>
      </c>
      <c r="I170" s="137">
        <f>IF(I$12="Actual",SUMIFS(ActualsTable[Month 7],ActualsTable[Expense Item2],$B170),SUMIFS(Expenses!BH$8:BH$69,Expenses!$O$8:$O$69,$B170)+SUMIFS(Headcount!R$395:R$1442,Headcount!$J$395:$J$1442,$B170))</f>
        <v>0</v>
      </c>
      <c r="J170" s="137">
        <f>IF(J$12="Actual",SUMIFS(ActualsTable[Month 8],ActualsTable[Expense Item2],$B170),SUMIFS(Expenses!BI$8:BI$69,Expenses!$O$8:$O$69,$B170)+SUMIFS(Headcount!S$395:S$1442,Headcount!$J$395:$J$1442,$B170))</f>
        <v>0</v>
      </c>
      <c r="K170" s="137">
        <f>IF(K$12="Actual",SUMIFS(ActualsTable[Month 9],ActualsTable[Expense Item2],$B170),SUMIFS(Expenses!BJ$8:BJ$69,Expenses!$O$8:$O$69,$B170)+SUMIFS(Headcount!T$395:T$1442,Headcount!$J$395:$J$1442,$B170))</f>
        <v>0</v>
      </c>
      <c r="L170" s="137">
        <f>IF(L$12="Actual",SUMIFS(ActualsTable[Month 10],ActualsTable[Expense Item2],$B170),SUMIFS(Expenses!BK$8:BK$69,Expenses!$O$8:$O$69,$B170)+SUMIFS(Headcount!U$395:U$1442,Headcount!$J$395:$J$1442,$B170))</f>
        <v>0</v>
      </c>
      <c r="M170" s="137">
        <f>IF(M$12="Actual",SUMIFS(ActualsTable[Month 11],ActualsTable[Expense Item2],$B170),SUMIFS(Expenses!BL$8:BL$69,Expenses!$O$8:$O$69,$B170)+SUMIFS(Headcount!V$395:V$1442,Headcount!$J$395:$J$1442,$B170))</f>
        <v>0</v>
      </c>
      <c r="N170" s="137">
        <f>IF(N$12="Actual",SUMIFS(ActualsTable[Month 12],ActualsTable[Expense Item2],$B170),SUMIFS(Expenses!BM$8:BM$69,Expenses!$O$8:$O$69,$B170)+SUMIFS(Headcount!W$395:W$1442,Headcount!$J$395:$J$1442,$B170))</f>
        <v>0</v>
      </c>
      <c r="O170" s="137">
        <f>IF(O$12="Actual",SUMIFS(ActualsTable[Month 13],ActualsTable[Expense Item2],$B170),SUMIFS(Expenses!BN$8:BN$69,Expenses!$O$8:$O$69,$B170)+SUMIFS(Headcount!X$395:X$1442,Headcount!$J$395:$J$1442,$B170))</f>
        <v>0</v>
      </c>
      <c r="P170" s="137">
        <f>IF(P$12="Actual",SUMIFS(ActualsTable[Month 14],ActualsTable[Expense Item2],$B170),SUMIFS(Expenses!BO$8:BO$69,Expenses!$O$8:$O$69,$B170)+SUMIFS(Headcount!Y$395:Y$1442,Headcount!$J$395:$J$1442,$B170))</f>
        <v>0</v>
      </c>
      <c r="Q170" s="137">
        <f>IF(Q$12="Actual",SUMIFS(ActualsTable[Month 15],ActualsTable[Expense Item2],$B170),SUMIFS(Expenses!BP$8:BP$69,Expenses!$O$8:$O$69,$B170)+SUMIFS(Headcount!Z$395:Z$1442,Headcount!$J$395:$J$1442,$B170))</f>
        <v>0</v>
      </c>
      <c r="R170" s="137">
        <f>IF(R$12="Actual",SUMIFS(ActualsTable[Month 16],ActualsTable[Expense Item2],$B170),SUMIFS(Expenses!BQ$8:BQ$69,Expenses!$O$8:$O$69,$B170)+SUMIFS(Headcount!AA$395:AA$1442,Headcount!$J$395:$J$1442,$B170))</f>
        <v>0</v>
      </c>
      <c r="S170" s="137">
        <f>IF(S$12="Actual",SUMIFS(ActualsTable[Month 17],ActualsTable[Expense Item2],$B170),SUMIFS(Expenses!BR$8:BR$69,Expenses!$O$8:$O$69,$B170)+SUMIFS(Headcount!AB$395:AB$1442,Headcount!$J$395:$J$1442,$B170))</f>
        <v>0</v>
      </c>
      <c r="T170" s="137">
        <f>IF(T$12="Actual",SUMIFS(ActualsTable[Month 18],ActualsTable[Expense Item2],$B170),SUMIFS(Expenses!BS$8:BS$69,Expenses!$O$8:$O$69,$B170)+SUMIFS(Headcount!AC$395:AC$1442,Headcount!$J$395:$J$1442,$B170))</f>
        <v>0</v>
      </c>
      <c r="U170" s="137">
        <f>IF(U$12="Actual",SUMIFS(ActualsTable[Month 19],ActualsTable[Expense Item2],$B170),SUMIFS(Expenses!BT$8:BT$69,Expenses!$O$8:$O$69,$B170)+SUMIFS(Headcount!AD$395:AD$1442,Headcount!$J$395:$J$1442,$B170))</f>
        <v>0</v>
      </c>
      <c r="V170" s="137">
        <f>IF(V$12="Actual",SUMIFS(ActualsTable[Month 20],ActualsTable[Expense Item2],$B170),SUMIFS(Expenses!BU$8:BU$69,Expenses!$O$8:$O$69,$B170)+SUMIFS(Headcount!AE$395:AE$1442,Headcount!$J$395:$J$1442,$B170))</f>
        <v>0</v>
      </c>
      <c r="W170" s="137">
        <f>IF(W$12="Actual",SUMIFS(ActualsTable[Month 21],ActualsTable[Expense Item2],$B170),SUMIFS(Expenses!BV$8:BV$69,Expenses!$O$8:$O$69,$B170)+SUMIFS(Headcount!AF$395:AF$1442,Headcount!$J$395:$J$1442,$B170))</f>
        <v>0</v>
      </c>
      <c r="X170" s="137">
        <f>IF(X$12="Actual",SUMIFS(ActualsTable[Month 22],ActualsTable[Expense Item2],$B170),SUMIFS(Expenses!BW$8:BW$69,Expenses!$O$8:$O$69,$B170)+SUMIFS(Headcount!AG$395:AG$1442,Headcount!$J$395:$J$1442,$B170))</f>
        <v>0</v>
      </c>
      <c r="Y170" s="137">
        <f>IF(Y$12="Actual",SUMIFS(ActualsTable[Month 23],ActualsTable[Expense Item2],$B170),SUMIFS(Expenses!BX$8:BX$69,Expenses!$O$8:$O$69,$B170)+SUMIFS(Headcount!AH$395:AH$1442,Headcount!$J$395:$J$1442,$B170))</f>
        <v>0</v>
      </c>
      <c r="Z170" s="137">
        <f>IF(Z$12="Actual",SUMIFS(ActualsTable[Month 24],ActualsTable[Expense Item2],$B170),SUMIFS(Expenses!BY$8:BY$69,Expenses!$O$8:$O$69,$B170)+SUMIFS(Headcount!AI$395:AI$1442,Headcount!$J$395:$J$1442,$B170))</f>
        <v>0</v>
      </c>
      <c r="AA170" s="137">
        <f>IF(AA$12="Actual",SUMIFS(ActualsTable[Month 25],ActualsTable[Expense Item2],$B170),SUMIFS(Expenses!BZ$8:BZ$69,Expenses!$O$8:$O$69,$B170)+SUMIFS(Headcount!AJ$395:AJ$1442,Headcount!$J$395:$J$1442,$B170))</f>
        <v>0</v>
      </c>
      <c r="AB170" s="137">
        <f>IF(AB$12="Actual",SUMIFS(ActualsTable[Month 26],ActualsTable[Expense Item2],$B170),SUMIFS(Expenses!CA$8:CA$69,Expenses!$O$8:$O$69,$B170)+SUMIFS(Headcount!AK$395:AK$1442,Headcount!$J$395:$J$1442,$B170))</f>
        <v>0</v>
      </c>
      <c r="AC170" s="137">
        <f>IF(AC$12="Actual",SUMIFS(ActualsTable[Month 27],ActualsTable[Expense Item2],$B170),SUMIFS(Expenses!CB$8:CB$69,Expenses!$O$8:$O$69,$B170)+SUMIFS(Headcount!AL$395:AL$1442,Headcount!$J$395:$J$1442,$B170))</f>
        <v>0</v>
      </c>
      <c r="AD170" s="137">
        <f>IF(AD$12="Actual",SUMIFS(ActualsTable[Month 28],ActualsTable[Expense Item2],$B170),SUMIFS(Expenses!CC$8:CC$69,Expenses!$O$8:$O$69,$B170)+SUMIFS(Headcount!AM$395:AM$1442,Headcount!$J$395:$J$1442,$B170))</f>
        <v>0</v>
      </c>
      <c r="AE170" s="137">
        <f>IF(AE$12="Actual",SUMIFS(ActualsTable[Month 29],ActualsTable[Expense Item2],$B170),SUMIFS(Expenses!CD$8:CD$69,Expenses!$O$8:$O$69,$B170)+SUMIFS(Headcount!AN$395:AN$1442,Headcount!$J$395:$J$1442,$B170))</f>
        <v>0</v>
      </c>
      <c r="AF170" s="137">
        <f>IF(AF$12="Actual",SUMIFS(ActualsTable[Month 30],ActualsTable[Expense Item2],$B170),SUMIFS(Expenses!CE$8:CE$69,Expenses!$O$8:$O$69,$B170)+SUMIFS(Headcount!AO$395:AO$1442,Headcount!$J$395:$J$1442,$B170))</f>
        <v>0</v>
      </c>
      <c r="AG170" s="137">
        <f>IF(AG$12="Actual",SUMIFS(ActualsTable[Month 31],ActualsTable[Expense Item2],$B170),SUMIFS(Expenses!CF$8:CF$69,Expenses!$O$8:$O$69,$B170)+SUMIFS(Headcount!AP$395:AP$1442,Headcount!$J$395:$J$1442,$B170))</f>
        <v>0</v>
      </c>
      <c r="AH170" s="137">
        <f>IF(AH$12="Actual",SUMIFS(ActualsTable[Month 32],ActualsTable[Expense Item2],$B170),SUMIFS(Expenses!CG$8:CG$69,Expenses!$O$8:$O$69,$B170)+SUMIFS(Headcount!AQ$395:AQ$1442,Headcount!$J$395:$J$1442,$B170))</f>
        <v>0</v>
      </c>
      <c r="AI170" s="137">
        <f>IF(AI$12="Actual",SUMIFS(ActualsTable[Month 33],ActualsTable[Expense Item2],$B170),SUMIFS(Expenses!CH$8:CH$69,Expenses!$O$8:$O$69,$B170)+SUMIFS(Headcount!AR$395:AR$1442,Headcount!$J$395:$J$1442,$B170))</f>
        <v>0</v>
      </c>
      <c r="AJ170" s="137">
        <f>IF(AJ$12="Actual",SUMIFS(ActualsTable[Month 34],ActualsTable[Expense Item2],$B170),SUMIFS(Expenses!CI$8:CI$69,Expenses!$O$8:$O$69,$B170)+SUMIFS(Headcount!AS$395:AS$1442,Headcount!$J$395:$J$1442,$B170))</f>
        <v>0</v>
      </c>
      <c r="AK170" s="137">
        <f>IF(AK$12="Actual",SUMIFS(ActualsTable[Month 35],ActualsTable[Expense Item2],$B170),SUMIFS(Expenses!CJ$8:CJ$69,Expenses!$O$8:$O$69,$B170)+SUMIFS(Headcount!AT$395:AT$1442,Headcount!$J$395:$J$1442,$B170))</f>
        <v>0</v>
      </c>
      <c r="AL170" s="293">
        <f>IF(AL$12="Actual",SUMIFS(ActualsTable[Month 36],ActualsTable[Expense Item2],$B170),SUMIFS(Expenses!CK$8:CK$69,Expenses!$O$8:$O$69,$B170)+SUMIFS(Headcount!AU$395:AU$1442,Headcount!$J$395:$J$1442,$B170))</f>
        <v>0</v>
      </c>
      <c r="AN170" s="319">
        <f t="shared" ca="1" si="283"/>
        <v>0</v>
      </c>
      <c r="AO170" s="137">
        <f t="shared" ca="1" si="283"/>
        <v>0</v>
      </c>
      <c r="AP170" s="137">
        <f t="shared" ca="1" si="283"/>
        <v>0</v>
      </c>
      <c r="AQ170" s="137">
        <f t="shared" ca="1" si="283"/>
        <v>0</v>
      </c>
      <c r="AR170" s="137">
        <f t="shared" ca="1" si="283"/>
        <v>0</v>
      </c>
      <c r="AS170" s="137">
        <f t="shared" ca="1" si="283"/>
        <v>0</v>
      </c>
      <c r="AT170" s="137">
        <f t="shared" ca="1" si="283"/>
        <v>0</v>
      </c>
      <c r="AU170" s="137">
        <f t="shared" ca="1" si="283"/>
        <v>0</v>
      </c>
      <c r="AV170" s="137">
        <f t="shared" ca="1" si="283"/>
        <v>0</v>
      </c>
      <c r="AW170" s="137">
        <f t="shared" ca="1" si="283"/>
        <v>0</v>
      </c>
      <c r="AX170" s="137">
        <f t="shared" ca="1" si="283"/>
        <v>0</v>
      </c>
      <c r="AY170" s="293">
        <f t="shared" ca="1" si="283"/>
        <v>0</v>
      </c>
      <c r="BA170" s="319">
        <f t="shared" ca="1" si="284"/>
        <v>0</v>
      </c>
      <c r="BB170" s="137">
        <f t="shared" ca="1" si="284"/>
        <v>0</v>
      </c>
      <c r="BC170" s="293">
        <f t="shared" ca="1" si="284"/>
        <v>0</v>
      </c>
    </row>
    <row r="171" spans="2:55" x14ac:dyDescent="0.35">
      <c r="B171" s="64" t="s">
        <v>200</v>
      </c>
      <c r="C171" s="137">
        <f>IF(C$12="Actual",SUMIFS(ActualsTable[Month 1],ActualsTable[Expense Item2],$B171),SUMIFS(Expenses!BB$8:BB$69,Expenses!$O$8:$O$69,$B171)+SUMIFS(Headcount!L$395:L$1442,Headcount!$J$395:$J$1442,$B171))</f>
        <v>0</v>
      </c>
      <c r="D171" s="137">
        <f>IF(D$12="Actual",SUMIFS(ActualsTable[Month 2],ActualsTable[Expense Item2],$B171),SUMIFS(Expenses!BC$8:BC$69,Expenses!$O$8:$O$69,$B171)+SUMIFS(Headcount!M$395:M$1442,Headcount!$J$395:$J$1442,$B171))</f>
        <v>0</v>
      </c>
      <c r="E171" s="137">
        <f>IF(E$12="Actual",SUMIFS(ActualsTable[Month 3],ActualsTable[Expense Item2],$B171),SUMIFS(Expenses!BD$8:BD$69,Expenses!$O$8:$O$69,$B171)+SUMIFS(Headcount!N$395:N$1442,Headcount!$J$395:$J$1442,$B171))</f>
        <v>0</v>
      </c>
      <c r="F171" s="137">
        <f>IF(F$12="Actual",SUMIFS(ActualsTable[Month 4],ActualsTable[Expense Item2],$B171),SUMIFS(Expenses!BE$8:BE$69,Expenses!$O$8:$O$69,$B171)+SUMIFS(Headcount!O$395:O$1442,Headcount!$J$395:$J$1442,$B171))</f>
        <v>0</v>
      </c>
      <c r="G171" s="137">
        <f>IF(G$12="Actual",SUMIFS(ActualsTable[Month 5],ActualsTable[Expense Item2],$B171),SUMIFS(Expenses!BF$8:BF$69,Expenses!$O$8:$O$69,$B171)+SUMIFS(Headcount!P$395:P$1442,Headcount!$J$395:$J$1442,$B171))</f>
        <v>0</v>
      </c>
      <c r="H171" s="137">
        <f>IF(H$12="Actual",SUMIFS(ActualsTable[Month 6],ActualsTable[Expense Item2],$B171),SUMIFS(Expenses!BG$8:BG$69,Expenses!$O$8:$O$69,$B171)+SUMIFS(Headcount!Q$395:Q$1442,Headcount!$J$395:$J$1442,$B171))</f>
        <v>0</v>
      </c>
      <c r="I171" s="137">
        <f>IF(I$12="Actual",SUMIFS(ActualsTable[Month 7],ActualsTable[Expense Item2],$B171),SUMIFS(Expenses!BH$8:BH$69,Expenses!$O$8:$O$69,$B171)+SUMIFS(Headcount!R$395:R$1442,Headcount!$J$395:$J$1442,$B171))</f>
        <v>0</v>
      </c>
      <c r="J171" s="137">
        <f>IF(J$12="Actual",SUMIFS(ActualsTable[Month 8],ActualsTable[Expense Item2],$B171),SUMIFS(Expenses!BI$8:BI$69,Expenses!$O$8:$O$69,$B171)+SUMIFS(Headcount!S$395:S$1442,Headcount!$J$395:$J$1442,$B171))</f>
        <v>0</v>
      </c>
      <c r="K171" s="137">
        <f>IF(K$12="Actual",SUMIFS(ActualsTable[Month 9],ActualsTable[Expense Item2],$B171),SUMIFS(Expenses!BJ$8:BJ$69,Expenses!$O$8:$O$69,$B171)+SUMIFS(Headcount!T$395:T$1442,Headcount!$J$395:$J$1442,$B171))</f>
        <v>0</v>
      </c>
      <c r="L171" s="137">
        <f>IF(L$12="Actual",SUMIFS(ActualsTable[Month 10],ActualsTable[Expense Item2],$B171),SUMIFS(Expenses!BK$8:BK$69,Expenses!$O$8:$O$69,$B171)+SUMIFS(Headcount!U$395:U$1442,Headcount!$J$395:$J$1442,$B171))</f>
        <v>0</v>
      </c>
      <c r="M171" s="137">
        <f>IF(M$12="Actual",SUMIFS(ActualsTable[Month 11],ActualsTable[Expense Item2],$B171),SUMIFS(Expenses!BL$8:BL$69,Expenses!$O$8:$O$69,$B171)+SUMIFS(Headcount!V$395:V$1442,Headcount!$J$395:$J$1442,$B171))</f>
        <v>0</v>
      </c>
      <c r="N171" s="137">
        <f>IF(N$12="Actual",SUMIFS(ActualsTable[Month 12],ActualsTable[Expense Item2],$B171),SUMIFS(Expenses!BM$8:BM$69,Expenses!$O$8:$O$69,$B171)+SUMIFS(Headcount!W$395:W$1442,Headcount!$J$395:$J$1442,$B171))</f>
        <v>0</v>
      </c>
      <c r="O171" s="137">
        <f>IF(O$12="Actual",SUMIFS(ActualsTable[Month 13],ActualsTable[Expense Item2],$B171),SUMIFS(Expenses!BN$8:BN$69,Expenses!$O$8:$O$69,$B171)+SUMIFS(Headcount!X$395:X$1442,Headcount!$J$395:$J$1442,$B171))</f>
        <v>0</v>
      </c>
      <c r="P171" s="137">
        <f>IF(P$12="Actual",SUMIFS(ActualsTable[Month 14],ActualsTable[Expense Item2],$B171),SUMIFS(Expenses!BO$8:BO$69,Expenses!$O$8:$O$69,$B171)+SUMIFS(Headcount!Y$395:Y$1442,Headcount!$J$395:$J$1442,$B171))</f>
        <v>0</v>
      </c>
      <c r="Q171" s="137">
        <f>IF(Q$12="Actual",SUMIFS(ActualsTable[Month 15],ActualsTable[Expense Item2],$B171),SUMIFS(Expenses!BP$8:BP$69,Expenses!$O$8:$O$69,$B171)+SUMIFS(Headcount!Z$395:Z$1442,Headcount!$J$395:$J$1442,$B171))</f>
        <v>0</v>
      </c>
      <c r="R171" s="137">
        <f>IF(R$12="Actual",SUMIFS(ActualsTable[Month 16],ActualsTable[Expense Item2],$B171),SUMIFS(Expenses!BQ$8:BQ$69,Expenses!$O$8:$O$69,$B171)+SUMIFS(Headcount!AA$395:AA$1442,Headcount!$J$395:$J$1442,$B171))</f>
        <v>0</v>
      </c>
      <c r="S171" s="137">
        <f>IF(S$12="Actual",SUMIFS(ActualsTable[Month 17],ActualsTable[Expense Item2],$B171),SUMIFS(Expenses!BR$8:BR$69,Expenses!$O$8:$O$69,$B171)+SUMIFS(Headcount!AB$395:AB$1442,Headcount!$J$395:$J$1442,$B171))</f>
        <v>0</v>
      </c>
      <c r="T171" s="137">
        <f>IF(T$12="Actual",SUMIFS(ActualsTable[Month 18],ActualsTable[Expense Item2],$B171),SUMIFS(Expenses!BS$8:BS$69,Expenses!$O$8:$O$69,$B171)+SUMIFS(Headcount!AC$395:AC$1442,Headcount!$J$395:$J$1442,$B171))</f>
        <v>0</v>
      </c>
      <c r="U171" s="137">
        <f>IF(U$12="Actual",SUMIFS(ActualsTable[Month 19],ActualsTable[Expense Item2],$B171),SUMIFS(Expenses!BT$8:BT$69,Expenses!$O$8:$O$69,$B171)+SUMIFS(Headcount!AD$395:AD$1442,Headcount!$J$395:$J$1442,$B171))</f>
        <v>0</v>
      </c>
      <c r="V171" s="137">
        <f>IF(V$12="Actual",SUMIFS(ActualsTable[Month 20],ActualsTable[Expense Item2],$B171),SUMIFS(Expenses!BU$8:BU$69,Expenses!$O$8:$O$69,$B171)+SUMIFS(Headcount!AE$395:AE$1442,Headcount!$J$395:$J$1442,$B171))</f>
        <v>0</v>
      </c>
      <c r="W171" s="137">
        <f>IF(W$12="Actual",SUMIFS(ActualsTable[Month 21],ActualsTable[Expense Item2],$B171),SUMIFS(Expenses!BV$8:BV$69,Expenses!$O$8:$O$69,$B171)+SUMIFS(Headcount!AF$395:AF$1442,Headcount!$J$395:$J$1442,$B171))</f>
        <v>0</v>
      </c>
      <c r="X171" s="137">
        <f>IF(X$12="Actual",SUMIFS(ActualsTable[Month 22],ActualsTable[Expense Item2],$B171),SUMIFS(Expenses!BW$8:BW$69,Expenses!$O$8:$O$69,$B171)+SUMIFS(Headcount!AG$395:AG$1442,Headcount!$J$395:$J$1442,$B171))</f>
        <v>0</v>
      </c>
      <c r="Y171" s="137">
        <f>IF(Y$12="Actual",SUMIFS(ActualsTable[Month 23],ActualsTable[Expense Item2],$B171),SUMIFS(Expenses!BX$8:BX$69,Expenses!$O$8:$O$69,$B171)+SUMIFS(Headcount!AH$395:AH$1442,Headcount!$J$395:$J$1442,$B171))</f>
        <v>0</v>
      </c>
      <c r="Z171" s="137">
        <f>IF(Z$12="Actual",SUMIFS(ActualsTable[Month 24],ActualsTable[Expense Item2],$B171),SUMIFS(Expenses!BY$8:BY$69,Expenses!$O$8:$O$69,$B171)+SUMIFS(Headcount!AI$395:AI$1442,Headcount!$J$395:$J$1442,$B171))</f>
        <v>0</v>
      </c>
      <c r="AA171" s="137">
        <f>IF(AA$12="Actual",SUMIFS(ActualsTable[Month 25],ActualsTable[Expense Item2],$B171),SUMIFS(Expenses!BZ$8:BZ$69,Expenses!$O$8:$O$69,$B171)+SUMIFS(Headcount!AJ$395:AJ$1442,Headcount!$J$395:$J$1442,$B171))</f>
        <v>0</v>
      </c>
      <c r="AB171" s="137">
        <f>IF(AB$12="Actual",SUMIFS(ActualsTable[Month 26],ActualsTable[Expense Item2],$B171),SUMIFS(Expenses!CA$8:CA$69,Expenses!$O$8:$O$69,$B171)+SUMIFS(Headcount!AK$395:AK$1442,Headcount!$J$395:$J$1442,$B171))</f>
        <v>0</v>
      </c>
      <c r="AC171" s="137">
        <f>IF(AC$12="Actual",SUMIFS(ActualsTable[Month 27],ActualsTable[Expense Item2],$B171),SUMIFS(Expenses!CB$8:CB$69,Expenses!$O$8:$O$69,$B171)+SUMIFS(Headcount!AL$395:AL$1442,Headcount!$J$395:$J$1442,$B171))</f>
        <v>0</v>
      </c>
      <c r="AD171" s="137">
        <f>IF(AD$12="Actual",SUMIFS(ActualsTable[Month 28],ActualsTable[Expense Item2],$B171),SUMIFS(Expenses!CC$8:CC$69,Expenses!$O$8:$O$69,$B171)+SUMIFS(Headcount!AM$395:AM$1442,Headcount!$J$395:$J$1442,$B171))</f>
        <v>0</v>
      </c>
      <c r="AE171" s="137">
        <f>IF(AE$12="Actual",SUMIFS(ActualsTable[Month 29],ActualsTable[Expense Item2],$B171),SUMIFS(Expenses!CD$8:CD$69,Expenses!$O$8:$O$69,$B171)+SUMIFS(Headcount!AN$395:AN$1442,Headcount!$J$395:$J$1442,$B171))</f>
        <v>0</v>
      </c>
      <c r="AF171" s="137">
        <f>IF(AF$12="Actual",SUMIFS(ActualsTable[Month 30],ActualsTable[Expense Item2],$B171),SUMIFS(Expenses!CE$8:CE$69,Expenses!$O$8:$O$69,$B171)+SUMIFS(Headcount!AO$395:AO$1442,Headcount!$J$395:$J$1442,$B171))</f>
        <v>0</v>
      </c>
      <c r="AG171" s="137">
        <f>IF(AG$12="Actual",SUMIFS(ActualsTable[Month 31],ActualsTable[Expense Item2],$B171),SUMIFS(Expenses!CF$8:CF$69,Expenses!$O$8:$O$69,$B171)+SUMIFS(Headcount!AP$395:AP$1442,Headcount!$J$395:$J$1442,$B171))</f>
        <v>0</v>
      </c>
      <c r="AH171" s="137">
        <f>IF(AH$12="Actual",SUMIFS(ActualsTable[Month 32],ActualsTable[Expense Item2],$B171),SUMIFS(Expenses!CG$8:CG$69,Expenses!$O$8:$O$69,$B171)+SUMIFS(Headcount!AQ$395:AQ$1442,Headcount!$J$395:$J$1442,$B171))</f>
        <v>0</v>
      </c>
      <c r="AI171" s="137">
        <f>IF(AI$12="Actual",SUMIFS(ActualsTable[Month 33],ActualsTable[Expense Item2],$B171),SUMIFS(Expenses!CH$8:CH$69,Expenses!$O$8:$O$69,$B171)+SUMIFS(Headcount!AR$395:AR$1442,Headcount!$J$395:$J$1442,$B171))</f>
        <v>0</v>
      </c>
      <c r="AJ171" s="137">
        <f>IF(AJ$12="Actual",SUMIFS(ActualsTable[Month 34],ActualsTable[Expense Item2],$B171),SUMIFS(Expenses!CI$8:CI$69,Expenses!$O$8:$O$69,$B171)+SUMIFS(Headcount!AS$395:AS$1442,Headcount!$J$395:$J$1442,$B171))</f>
        <v>0</v>
      </c>
      <c r="AK171" s="137">
        <f>IF(AK$12="Actual",SUMIFS(ActualsTable[Month 35],ActualsTable[Expense Item2],$B171),SUMIFS(Expenses!CJ$8:CJ$69,Expenses!$O$8:$O$69,$B171)+SUMIFS(Headcount!AT$395:AT$1442,Headcount!$J$395:$J$1442,$B171))</f>
        <v>0</v>
      </c>
      <c r="AL171" s="293">
        <f>IF(AL$12="Actual",SUMIFS(ActualsTable[Month 36],ActualsTable[Expense Item2],$B171),SUMIFS(Expenses!CK$8:CK$69,Expenses!$O$8:$O$69,$B171)+SUMIFS(Headcount!AU$395:AU$1442,Headcount!$J$395:$J$1442,$B171))</f>
        <v>0</v>
      </c>
      <c r="AN171" s="319">
        <f t="shared" ca="1" si="283"/>
        <v>0</v>
      </c>
      <c r="AO171" s="137">
        <f t="shared" ca="1" si="283"/>
        <v>0</v>
      </c>
      <c r="AP171" s="137">
        <f t="shared" ca="1" si="283"/>
        <v>0</v>
      </c>
      <c r="AQ171" s="137">
        <f t="shared" ca="1" si="283"/>
        <v>0</v>
      </c>
      <c r="AR171" s="137">
        <f t="shared" ca="1" si="283"/>
        <v>0</v>
      </c>
      <c r="AS171" s="137">
        <f t="shared" ca="1" si="283"/>
        <v>0</v>
      </c>
      <c r="AT171" s="137">
        <f t="shared" ca="1" si="283"/>
        <v>0</v>
      </c>
      <c r="AU171" s="137">
        <f t="shared" ca="1" si="283"/>
        <v>0</v>
      </c>
      <c r="AV171" s="137">
        <f t="shared" ca="1" si="283"/>
        <v>0</v>
      </c>
      <c r="AW171" s="137">
        <f t="shared" ca="1" si="283"/>
        <v>0</v>
      </c>
      <c r="AX171" s="137">
        <f t="shared" ca="1" si="283"/>
        <v>0</v>
      </c>
      <c r="AY171" s="293">
        <f t="shared" ca="1" si="283"/>
        <v>0</v>
      </c>
      <c r="BA171" s="319">
        <f t="shared" ca="1" si="284"/>
        <v>0</v>
      </c>
      <c r="BB171" s="137">
        <f t="shared" ca="1" si="284"/>
        <v>0</v>
      </c>
      <c r="BC171" s="293">
        <f t="shared" ca="1" si="284"/>
        <v>0</v>
      </c>
    </row>
    <row r="172" spans="2:55" x14ac:dyDescent="0.35">
      <c r="B172" s="64" t="s">
        <v>201</v>
      </c>
      <c r="C172" s="137">
        <f>IF(C$12="Actual",SUMIFS(ActualsTable[Month 1],ActualsTable[Expense Item2],$B172),SUMIFS(Expenses!BB$8:BB$69,Expenses!$O$8:$O$69,$B172)+SUMIFS(Headcount!L$395:L$1442,Headcount!$J$395:$J$1442,$B172))</f>
        <v>0</v>
      </c>
      <c r="D172" s="137">
        <f>IF(D$12="Actual",SUMIFS(ActualsTable[Month 2],ActualsTable[Expense Item2],$B172),SUMIFS(Expenses!BC$8:BC$69,Expenses!$O$8:$O$69,$B172)+SUMIFS(Headcount!M$395:M$1442,Headcount!$J$395:$J$1442,$B172))</f>
        <v>0</v>
      </c>
      <c r="E172" s="137">
        <f>IF(E$12="Actual",SUMIFS(ActualsTable[Month 3],ActualsTable[Expense Item2],$B172),SUMIFS(Expenses!BD$8:BD$69,Expenses!$O$8:$O$69,$B172)+SUMIFS(Headcount!N$395:N$1442,Headcount!$J$395:$J$1442,$B172))</f>
        <v>0</v>
      </c>
      <c r="F172" s="137">
        <f>IF(F$12="Actual",SUMIFS(ActualsTable[Month 4],ActualsTable[Expense Item2],$B172),SUMIFS(Expenses!BE$8:BE$69,Expenses!$O$8:$O$69,$B172)+SUMIFS(Headcount!O$395:O$1442,Headcount!$J$395:$J$1442,$B172))</f>
        <v>0</v>
      </c>
      <c r="G172" s="137">
        <f>IF(G$12="Actual",SUMIFS(ActualsTable[Month 5],ActualsTable[Expense Item2],$B172),SUMIFS(Expenses!BF$8:BF$69,Expenses!$O$8:$O$69,$B172)+SUMIFS(Headcount!P$395:P$1442,Headcount!$J$395:$J$1442,$B172))</f>
        <v>0</v>
      </c>
      <c r="H172" s="137">
        <f>IF(H$12="Actual",SUMIFS(ActualsTable[Month 6],ActualsTable[Expense Item2],$B172),SUMIFS(Expenses!BG$8:BG$69,Expenses!$O$8:$O$69,$B172)+SUMIFS(Headcount!Q$395:Q$1442,Headcount!$J$395:$J$1442,$B172))</f>
        <v>0</v>
      </c>
      <c r="I172" s="137">
        <f>IF(I$12="Actual",SUMIFS(ActualsTable[Month 7],ActualsTable[Expense Item2],$B172),SUMIFS(Expenses!BH$8:BH$69,Expenses!$O$8:$O$69,$B172)+SUMIFS(Headcount!R$395:R$1442,Headcount!$J$395:$J$1442,$B172))</f>
        <v>0</v>
      </c>
      <c r="J172" s="137">
        <f>IF(J$12="Actual",SUMIFS(ActualsTable[Month 8],ActualsTable[Expense Item2],$B172),SUMIFS(Expenses!BI$8:BI$69,Expenses!$O$8:$O$69,$B172)+SUMIFS(Headcount!S$395:S$1442,Headcount!$J$395:$J$1442,$B172))</f>
        <v>0</v>
      </c>
      <c r="K172" s="137">
        <f>IF(K$12="Actual",SUMIFS(ActualsTable[Month 9],ActualsTable[Expense Item2],$B172),SUMIFS(Expenses!BJ$8:BJ$69,Expenses!$O$8:$O$69,$B172)+SUMIFS(Headcount!T$395:T$1442,Headcount!$J$395:$J$1442,$B172))</f>
        <v>0</v>
      </c>
      <c r="L172" s="137">
        <f>IF(L$12="Actual",SUMIFS(ActualsTable[Month 10],ActualsTable[Expense Item2],$B172),SUMIFS(Expenses!BK$8:BK$69,Expenses!$O$8:$O$69,$B172)+SUMIFS(Headcount!U$395:U$1442,Headcount!$J$395:$J$1442,$B172))</f>
        <v>0</v>
      </c>
      <c r="M172" s="137">
        <f>IF(M$12="Actual",SUMIFS(ActualsTable[Month 11],ActualsTable[Expense Item2],$B172),SUMIFS(Expenses!BL$8:BL$69,Expenses!$O$8:$O$69,$B172)+SUMIFS(Headcount!V$395:V$1442,Headcount!$J$395:$J$1442,$B172))</f>
        <v>0</v>
      </c>
      <c r="N172" s="137">
        <f>IF(N$12="Actual",SUMIFS(ActualsTable[Month 12],ActualsTable[Expense Item2],$B172),SUMIFS(Expenses!BM$8:BM$69,Expenses!$O$8:$O$69,$B172)+SUMIFS(Headcount!W$395:W$1442,Headcount!$J$395:$J$1442,$B172))</f>
        <v>0</v>
      </c>
      <c r="O172" s="137">
        <f>IF(O$12="Actual",SUMIFS(ActualsTable[Month 13],ActualsTable[Expense Item2],$B172),SUMIFS(Expenses!BN$8:BN$69,Expenses!$O$8:$O$69,$B172)+SUMIFS(Headcount!X$395:X$1442,Headcount!$J$395:$J$1442,$B172))</f>
        <v>0</v>
      </c>
      <c r="P172" s="137">
        <f>IF(P$12="Actual",SUMIFS(ActualsTable[Month 14],ActualsTable[Expense Item2],$B172),SUMIFS(Expenses!BO$8:BO$69,Expenses!$O$8:$O$69,$B172)+SUMIFS(Headcount!Y$395:Y$1442,Headcount!$J$395:$J$1442,$B172))</f>
        <v>0</v>
      </c>
      <c r="Q172" s="137">
        <f>IF(Q$12="Actual",SUMIFS(ActualsTable[Month 15],ActualsTable[Expense Item2],$B172),SUMIFS(Expenses!BP$8:BP$69,Expenses!$O$8:$O$69,$B172)+SUMIFS(Headcount!Z$395:Z$1442,Headcount!$J$395:$J$1442,$B172))</f>
        <v>0</v>
      </c>
      <c r="R172" s="137">
        <f>IF(R$12="Actual",SUMIFS(ActualsTable[Month 16],ActualsTable[Expense Item2],$B172),SUMIFS(Expenses!BQ$8:BQ$69,Expenses!$O$8:$O$69,$B172)+SUMIFS(Headcount!AA$395:AA$1442,Headcount!$J$395:$J$1442,$B172))</f>
        <v>0</v>
      </c>
      <c r="S172" s="137">
        <f>IF(S$12="Actual",SUMIFS(ActualsTable[Month 17],ActualsTable[Expense Item2],$B172),SUMIFS(Expenses!BR$8:BR$69,Expenses!$O$8:$O$69,$B172)+SUMIFS(Headcount!AB$395:AB$1442,Headcount!$J$395:$J$1442,$B172))</f>
        <v>0</v>
      </c>
      <c r="T172" s="137">
        <f>IF(T$12="Actual",SUMIFS(ActualsTable[Month 18],ActualsTable[Expense Item2],$B172),SUMIFS(Expenses!BS$8:BS$69,Expenses!$O$8:$O$69,$B172)+SUMIFS(Headcount!AC$395:AC$1442,Headcount!$J$395:$J$1442,$B172))</f>
        <v>0</v>
      </c>
      <c r="U172" s="137">
        <f>IF(U$12="Actual",SUMIFS(ActualsTable[Month 19],ActualsTable[Expense Item2],$B172),SUMIFS(Expenses!BT$8:BT$69,Expenses!$O$8:$O$69,$B172)+SUMIFS(Headcount!AD$395:AD$1442,Headcount!$J$395:$J$1442,$B172))</f>
        <v>0</v>
      </c>
      <c r="V172" s="137">
        <f>IF(V$12="Actual",SUMIFS(ActualsTable[Month 20],ActualsTable[Expense Item2],$B172),SUMIFS(Expenses!BU$8:BU$69,Expenses!$O$8:$O$69,$B172)+SUMIFS(Headcount!AE$395:AE$1442,Headcount!$J$395:$J$1442,$B172))</f>
        <v>0</v>
      </c>
      <c r="W172" s="137">
        <f>IF(W$12="Actual",SUMIFS(ActualsTable[Month 21],ActualsTable[Expense Item2],$B172),SUMIFS(Expenses!BV$8:BV$69,Expenses!$O$8:$O$69,$B172)+SUMIFS(Headcount!AF$395:AF$1442,Headcount!$J$395:$J$1442,$B172))</f>
        <v>0</v>
      </c>
      <c r="X172" s="137">
        <f>IF(X$12="Actual",SUMIFS(ActualsTable[Month 22],ActualsTable[Expense Item2],$B172),SUMIFS(Expenses!BW$8:BW$69,Expenses!$O$8:$O$69,$B172)+SUMIFS(Headcount!AG$395:AG$1442,Headcount!$J$395:$J$1442,$B172))</f>
        <v>0</v>
      </c>
      <c r="Y172" s="137">
        <f>IF(Y$12="Actual",SUMIFS(ActualsTable[Month 23],ActualsTable[Expense Item2],$B172),SUMIFS(Expenses!BX$8:BX$69,Expenses!$O$8:$O$69,$B172)+SUMIFS(Headcount!AH$395:AH$1442,Headcount!$J$395:$J$1442,$B172))</f>
        <v>0</v>
      </c>
      <c r="Z172" s="137">
        <f>IF(Z$12="Actual",SUMIFS(ActualsTable[Month 24],ActualsTable[Expense Item2],$B172),SUMIFS(Expenses!BY$8:BY$69,Expenses!$O$8:$O$69,$B172)+SUMIFS(Headcount!AI$395:AI$1442,Headcount!$J$395:$J$1442,$B172))</f>
        <v>0</v>
      </c>
      <c r="AA172" s="137">
        <f>IF(AA$12="Actual",SUMIFS(ActualsTable[Month 25],ActualsTable[Expense Item2],$B172),SUMIFS(Expenses!BZ$8:BZ$69,Expenses!$O$8:$O$69,$B172)+SUMIFS(Headcount!AJ$395:AJ$1442,Headcount!$J$395:$J$1442,$B172))</f>
        <v>0</v>
      </c>
      <c r="AB172" s="137">
        <f>IF(AB$12="Actual",SUMIFS(ActualsTable[Month 26],ActualsTable[Expense Item2],$B172),SUMIFS(Expenses!CA$8:CA$69,Expenses!$O$8:$O$69,$B172)+SUMIFS(Headcount!AK$395:AK$1442,Headcount!$J$395:$J$1442,$B172))</f>
        <v>0</v>
      </c>
      <c r="AC172" s="137">
        <f>IF(AC$12="Actual",SUMIFS(ActualsTable[Month 27],ActualsTable[Expense Item2],$B172),SUMIFS(Expenses!CB$8:CB$69,Expenses!$O$8:$O$69,$B172)+SUMIFS(Headcount!AL$395:AL$1442,Headcount!$J$395:$J$1442,$B172))</f>
        <v>0</v>
      </c>
      <c r="AD172" s="137">
        <f>IF(AD$12="Actual",SUMIFS(ActualsTable[Month 28],ActualsTable[Expense Item2],$B172),SUMIFS(Expenses!CC$8:CC$69,Expenses!$O$8:$O$69,$B172)+SUMIFS(Headcount!AM$395:AM$1442,Headcount!$J$395:$J$1442,$B172))</f>
        <v>0</v>
      </c>
      <c r="AE172" s="137">
        <f>IF(AE$12="Actual",SUMIFS(ActualsTable[Month 29],ActualsTable[Expense Item2],$B172),SUMIFS(Expenses!CD$8:CD$69,Expenses!$O$8:$O$69,$B172)+SUMIFS(Headcount!AN$395:AN$1442,Headcount!$J$395:$J$1442,$B172))</f>
        <v>0</v>
      </c>
      <c r="AF172" s="137">
        <f>IF(AF$12="Actual",SUMIFS(ActualsTable[Month 30],ActualsTable[Expense Item2],$B172),SUMIFS(Expenses!CE$8:CE$69,Expenses!$O$8:$O$69,$B172)+SUMIFS(Headcount!AO$395:AO$1442,Headcount!$J$395:$J$1442,$B172))</f>
        <v>0</v>
      </c>
      <c r="AG172" s="137">
        <f>IF(AG$12="Actual",SUMIFS(ActualsTable[Month 31],ActualsTable[Expense Item2],$B172),SUMIFS(Expenses!CF$8:CF$69,Expenses!$O$8:$O$69,$B172)+SUMIFS(Headcount!AP$395:AP$1442,Headcount!$J$395:$J$1442,$B172))</f>
        <v>0</v>
      </c>
      <c r="AH172" s="137">
        <f>IF(AH$12="Actual",SUMIFS(ActualsTable[Month 32],ActualsTable[Expense Item2],$B172),SUMIFS(Expenses!CG$8:CG$69,Expenses!$O$8:$O$69,$B172)+SUMIFS(Headcount!AQ$395:AQ$1442,Headcount!$J$395:$J$1442,$B172))</f>
        <v>0</v>
      </c>
      <c r="AI172" s="137">
        <f>IF(AI$12="Actual",SUMIFS(ActualsTable[Month 33],ActualsTable[Expense Item2],$B172),SUMIFS(Expenses!CH$8:CH$69,Expenses!$O$8:$O$69,$B172)+SUMIFS(Headcount!AR$395:AR$1442,Headcount!$J$395:$J$1442,$B172))</f>
        <v>0</v>
      </c>
      <c r="AJ172" s="137">
        <f>IF(AJ$12="Actual",SUMIFS(ActualsTable[Month 34],ActualsTable[Expense Item2],$B172),SUMIFS(Expenses!CI$8:CI$69,Expenses!$O$8:$O$69,$B172)+SUMIFS(Headcount!AS$395:AS$1442,Headcount!$J$395:$J$1442,$B172))</f>
        <v>0</v>
      </c>
      <c r="AK172" s="137">
        <f>IF(AK$12="Actual",SUMIFS(ActualsTable[Month 35],ActualsTable[Expense Item2],$B172),SUMIFS(Expenses!CJ$8:CJ$69,Expenses!$O$8:$O$69,$B172)+SUMIFS(Headcount!AT$395:AT$1442,Headcount!$J$395:$J$1442,$B172))</f>
        <v>0</v>
      </c>
      <c r="AL172" s="293">
        <f>IF(AL$12="Actual",SUMIFS(ActualsTable[Month 36],ActualsTable[Expense Item2],$B172),SUMIFS(Expenses!CK$8:CK$69,Expenses!$O$8:$O$69,$B172)+SUMIFS(Headcount!AU$395:AU$1442,Headcount!$J$395:$J$1442,$B172))</f>
        <v>0</v>
      </c>
      <c r="AN172" s="319">
        <f t="shared" ca="1" si="283"/>
        <v>0</v>
      </c>
      <c r="AO172" s="137">
        <f t="shared" ca="1" si="283"/>
        <v>0</v>
      </c>
      <c r="AP172" s="137">
        <f t="shared" ca="1" si="283"/>
        <v>0</v>
      </c>
      <c r="AQ172" s="137">
        <f t="shared" ca="1" si="283"/>
        <v>0</v>
      </c>
      <c r="AR172" s="137">
        <f t="shared" ca="1" si="283"/>
        <v>0</v>
      </c>
      <c r="AS172" s="137">
        <f t="shared" ca="1" si="283"/>
        <v>0</v>
      </c>
      <c r="AT172" s="137">
        <f t="shared" ca="1" si="283"/>
        <v>0</v>
      </c>
      <c r="AU172" s="137">
        <f t="shared" ca="1" si="283"/>
        <v>0</v>
      </c>
      <c r="AV172" s="137">
        <f t="shared" ca="1" si="283"/>
        <v>0</v>
      </c>
      <c r="AW172" s="137">
        <f t="shared" ca="1" si="283"/>
        <v>0</v>
      </c>
      <c r="AX172" s="137">
        <f t="shared" ca="1" si="283"/>
        <v>0</v>
      </c>
      <c r="AY172" s="293">
        <f t="shared" ca="1" si="283"/>
        <v>0</v>
      </c>
      <c r="BA172" s="319">
        <f t="shared" ca="1" si="284"/>
        <v>0</v>
      </c>
      <c r="BB172" s="137">
        <f t="shared" ca="1" si="284"/>
        <v>0</v>
      </c>
      <c r="BC172" s="293">
        <f t="shared" ca="1" si="284"/>
        <v>0</v>
      </c>
    </row>
    <row r="173" spans="2:55" x14ac:dyDescent="0.35">
      <c r="B173" s="64" t="s">
        <v>202</v>
      </c>
      <c r="C173" s="137">
        <f>IF(C$12="Actual",SUMIFS(ActualsTable[Month 1],ActualsTable[Expense Item2],$B173),SUMIFS(Expenses!BB$8:BB$69,Expenses!$O$8:$O$69,$B173)+SUMIFS(Headcount!L$395:L$1442,Headcount!$J$395:$J$1442,$B173))</f>
        <v>0</v>
      </c>
      <c r="D173" s="137">
        <f>IF(D$12="Actual",SUMIFS(ActualsTable[Month 2],ActualsTable[Expense Item2],$B173),SUMIFS(Expenses!BC$8:BC$69,Expenses!$O$8:$O$69,$B173)+SUMIFS(Headcount!M$395:M$1442,Headcount!$J$395:$J$1442,$B173))</f>
        <v>0</v>
      </c>
      <c r="E173" s="137">
        <f>IF(E$12="Actual",SUMIFS(ActualsTable[Month 3],ActualsTable[Expense Item2],$B173),SUMIFS(Expenses!BD$8:BD$69,Expenses!$O$8:$O$69,$B173)+SUMIFS(Headcount!N$395:N$1442,Headcount!$J$395:$J$1442,$B173))</f>
        <v>0</v>
      </c>
      <c r="F173" s="137">
        <f>IF(F$12="Actual",SUMIFS(ActualsTable[Month 4],ActualsTable[Expense Item2],$B173),SUMIFS(Expenses!BE$8:BE$69,Expenses!$O$8:$O$69,$B173)+SUMIFS(Headcount!O$395:O$1442,Headcount!$J$395:$J$1442,$B173))</f>
        <v>0</v>
      </c>
      <c r="G173" s="137">
        <f>IF(G$12="Actual",SUMIFS(ActualsTable[Month 5],ActualsTable[Expense Item2],$B173),SUMIFS(Expenses!BF$8:BF$69,Expenses!$O$8:$O$69,$B173)+SUMIFS(Headcount!P$395:P$1442,Headcount!$J$395:$J$1442,$B173))</f>
        <v>0</v>
      </c>
      <c r="H173" s="137">
        <f>IF(H$12="Actual",SUMIFS(ActualsTable[Month 6],ActualsTable[Expense Item2],$B173),SUMIFS(Expenses!BG$8:BG$69,Expenses!$O$8:$O$69,$B173)+SUMIFS(Headcount!Q$395:Q$1442,Headcount!$J$395:$J$1442,$B173))</f>
        <v>0</v>
      </c>
      <c r="I173" s="137">
        <f>IF(I$12="Actual",SUMIFS(ActualsTable[Month 7],ActualsTable[Expense Item2],$B173),SUMIFS(Expenses!BH$8:BH$69,Expenses!$O$8:$O$69,$B173)+SUMIFS(Headcount!R$395:R$1442,Headcount!$J$395:$J$1442,$B173))</f>
        <v>0</v>
      </c>
      <c r="J173" s="137">
        <f>IF(J$12="Actual",SUMIFS(ActualsTable[Month 8],ActualsTable[Expense Item2],$B173),SUMIFS(Expenses!BI$8:BI$69,Expenses!$O$8:$O$69,$B173)+SUMIFS(Headcount!S$395:S$1442,Headcount!$J$395:$J$1442,$B173))</f>
        <v>0</v>
      </c>
      <c r="K173" s="137">
        <f>IF(K$12="Actual",SUMIFS(ActualsTable[Month 9],ActualsTable[Expense Item2],$B173),SUMIFS(Expenses!BJ$8:BJ$69,Expenses!$O$8:$O$69,$B173)+SUMIFS(Headcount!T$395:T$1442,Headcount!$J$395:$J$1442,$B173))</f>
        <v>0</v>
      </c>
      <c r="L173" s="137">
        <f>IF(L$12="Actual",SUMIFS(ActualsTable[Month 10],ActualsTable[Expense Item2],$B173),SUMIFS(Expenses!BK$8:BK$69,Expenses!$O$8:$O$69,$B173)+SUMIFS(Headcount!U$395:U$1442,Headcount!$J$395:$J$1442,$B173))</f>
        <v>0</v>
      </c>
      <c r="M173" s="137">
        <f>IF(M$12="Actual",SUMIFS(ActualsTable[Month 11],ActualsTable[Expense Item2],$B173),SUMIFS(Expenses!BL$8:BL$69,Expenses!$O$8:$O$69,$B173)+SUMIFS(Headcount!V$395:V$1442,Headcount!$J$395:$J$1442,$B173))</f>
        <v>0</v>
      </c>
      <c r="N173" s="137">
        <f>IF(N$12="Actual",SUMIFS(ActualsTable[Month 12],ActualsTable[Expense Item2],$B173),SUMIFS(Expenses!BM$8:BM$69,Expenses!$O$8:$O$69,$B173)+SUMIFS(Headcount!W$395:W$1442,Headcount!$J$395:$J$1442,$B173))</f>
        <v>0</v>
      </c>
      <c r="O173" s="137">
        <f>IF(O$12="Actual",SUMIFS(ActualsTable[Month 13],ActualsTable[Expense Item2],$B173),SUMIFS(Expenses!BN$8:BN$69,Expenses!$O$8:$O$69,$B173)+SUMIFS(Headcount!X$395:X$1442,Headcount!$J$395:$J$1442,$B173))</f>
        <v>0</v>
      </c>
      <c r="P173" s="137">
        <f>IF(P$12="Actual",SUMIFS(ActualsTable[Month 14],ActualsTable[Expense Item2],$B173),SUMIFS(Expenses!BO$8:BO$69,Expenses!$O$8:$O$69,$B173)+SUMIFS(Headcount!Y$395:Y$1442,Headcount!$J$395:$J$1442,$B173))</f>
        <v>0</v>
      </c>
      <c r="Q173" s="137">
        <f>IF(Q$12="Actual",SUMIFS(ActualsTable[Month 15],ActualsTable[Expense Item2],$B173),SUMIFS(Expenses!BP$8:BP$69,Expenses!$O$8:$O$69,$B173)+SUMIFS(Headcount!Z$395:Z$1442,Headcount!$J$395:$J$1442,$B173))</f>
        <v>0</v>
      </c>
      <c r="R173" s="137">
        <f>IF(R$12="Actual",SUMIFS(ActualsTable[Month 16],ActualsTable[Expense Item2],$B173),SUMIFS(Expenses!BQ$8:BQ$69,Expenses!$O$8:$O$69,$B173)+SUMIFS(Headcount!AA$395:AA$1442,Headcount!$J$395:$J$1442,$B173))</f>
        <v>0</v>
      </c>
      <c r="S173" s="137">
        <f>IF(S$12="Actual",SUMIFS(ActualsTable[Month 17],ActualsTable[Expense Item2],$B173),SUMIFS(Expenses!BR$8:BR$69,Expenses!$O$8:$O$69,$B173)+SUMIFS(Headcount!AB$395:AB$1442,Headcount!$J$395:$J$1442,$B173))</f>
        <v>0</v>
      </c>
      <c r="T173" s="137">
        <f>IF(T$12="Actual",SUMIFS(ActualsTable[Month 18],ActualsTable[Expense Item2],$B173),SUMIFS(Expenses!BS$8:BS$69,Expenses!$O$8:$O$69,$B173)+SUMIFS(Headcount!AC$395:AC$1442,Headcount!$J$395:$J$1442,$B173))</f>
        <v>0</v>
      </c>
      <c r="U173" s="137">
        <f>IF(U$12="Actual",SUMIFS(ActualsTable[Month 19],ActualsTable[Expense Item2],$B173),SUMIFS(Expenses!BT$8:BT$69,Expenses!$O$8:$O$69,$B173)+SUMIFS(Headcount!AD$395:AD$1442,Headcount!$J$395:$J$1442,$B173))</f>
        <v>0</v>
      </c>
      <c r="V173" s="137">
        <f>IF(V$12="Actual",SUMIFS(ActualsTable[Month 20],ActualsTable[Expense Item2],$B173),SUMIFS(Expenses!BU$8:BU$69,Expenses!$O$8:$O$69,$B173)+SUMIFS(Headcount!AE$395:AE$1442,Headcount!$J$395:$J$1442,$B173))</f>
        <v>0</v>
      </c>
      <c r="W173" s="137">
        <f>IF(W$12="Actual",SUMIFS(ActualsTable[Month 21],ActualsTable[Expense Item2],$B173),SUMIFS(Expenses!BV$8:BV$69,Expenses!$O$8:$O$69,$B173)+SUMIFS(Headcount!AF$395:AF$1442,Headcount!$J$395:$J$1442,$B173))</f>
        <v>0</v>
      </c>
      <c r="X173" s="137">
        <f>IF(X$12="Actual",SUMIFS(ActualsTable[Month 22],ActualsTable[Expense Item2],$B173),SUMIFS(Expenses!BW$8:BW$69,Expenses!$O$8:$O$69,$B173)+SUMIFS(Headcount!AG$395:AG$1442,Headcount!$J$395:$J$1442,$B173))</f>
        <v>0</v>
      </c>
      <c r="Y173" s="137">
        <f>IF(Y$12="Actual",SUMIFS(ActualsTable[Month 23],ActualsTable[Expense Item2],$B173),SUMIFS(Expenses!BX$8:BX$69,Expenses!$O$8:$O$69,$B173)+SUMIFS(Headcount!AH$395:AH$1442,Headcount!$J$395:$J$1442,$B173))</f>
        <v>0</v>
      </c>
      <c r="Z173" s="137">
        <f>IF(Z$12="Actual",SUMIFS(ActualsTable[Month 24],ActualsTable[Expense Item2],$B173),SUMIFS(Expenses!BY$8:BY$69,Expenses!$O$8:$O$69,$B173)+SUMIFS(Headcount!AI$395:AI$1442,Headcount!$J$395:$J$1442,$B173))</f>
        <v>0</v>
      </c>
      <c r="AA173" s="137">
        <f>IF(AA$12="Actual",SUMIFS(ActualsTable[Month 25],ActualsTable[Expense Item2],$B173),SUMIFS(Expenses!BZ$8:BZ$69,Expenses!$O$8:$O$69,$B173)+SUMIFS(Headcount!AJ$395:AJ$1442,Headcount!$J$395:$J$1442,$B173))</f>
        <v>0</v>
      </c>
      <c r="AB173" s="137">
        <f>IF(AB$12="Actual",SUMIFS(ActualsTable[Month 26],ActualsTable[Expense Item2],$B173),SUMIFS(Expenses!CA$8:CA$69,Expenses!$O$8:$O$69,$B173)+SUMIFS(Headcount!AK$395:AK$1442,Headcount!$J$395:$J$1442,$B173))</f>
        <v>0</v>
      </c>
      <c r="AC173" s="137">
        <f>IF(AC$12="Actual",SUMIFS(ActualsTable[Month 27],ActualsTable[Expense Item2],$B173),SUMIFS(Expenses!CB$8:CB$69,Expenses!$O$8:$O$69,$B173)+SUMIFS(Headcount!AL$395:AL$1442,Headcount!$J$395:$J$1442,$B173))</f>
        <v>0</v>
      </c>
      <c r="AD173" s="137">
        <f>IF(AD$12="Actual",SUMIFS(ActualsTable[Month 28],ActualsTable[Expense Item2],$B173),SUMIFS(Expenses!CC$8:CC$69,Expenses!$O$8:$O$69,$B173)+SUMIFS(Headcount!AM$395:AM$1442,Headcount!$J$395:$J$1442,$B173))</f>
        <v>0</v>
      </c>
      <c r="AE173" s="137">
        <f>IF(AE$12="Actual",SUMIFS(ActualsTable[Month 29],ActualsTable[Expense Item2],$B173),SUMIFS(Expenses!CD$8:CD$69,Expenses!$O$8:$O$69,$B173)+SUMIFS(Headcount!AN$395:AN$1442,Headcount!$J$395:$J$1442,$B173))</f>
        <v>0</v>
      </c>
      <c r="AF173" s="137">
        <f>IF(AF$12="Actual",SUMIFS(ActualsTable[Month 30],ActualsTable[Expense Item2],$B173),SUMIFS(Expenses!CE$8:CE$69,Expenses!$O$8:$O$69,$B173)+SUMIFS(Headcount!AO$395:AO$1442,Headcount!$J$395:$J$1442,$B173))</f>
        <v>0</v>
      </c>
      <c r="AG173" s="137">
        <f>IF(AG$12="Actual",SUMIFS(ActualsTable[Month 31],ActualsTable[Expense Item2],$B173),SUMIFS(Expenses!CF$8:CF$69,Expenses!$O$8:$O$69,$B173)+SUMIFS(Headcount!AP$395:AP$1442,Headcount!$J$395:$J$1442,$B173))</f>
        <v>0</v>
      </c>
      <c r="AH173" s="137">
        <f>IF(AH$12="Actual",SUMIFS(ActualsTable[Month 32],ActualsTable[Expense Item2],$B173),SUMIFS(Expenses!CG$8:CG$69,Expenses!$O$8:$O$69,$B173)+SUMIFS(Headcount!AQ$395:AQ$1442,Headcount!$J$395:$J$1442,$B173))</f>
        <v>0</v>
      </c>
      <c r="AI173" s="137">
        <f>IF(AI$12="Actual",SUMIFS(ActualsTable[Month 33],ActualsTable[Expense Item2],$B173),SUMIFS(Expenses!CH$8:CH$69,Expenses!$O$8:$O$69,$B173)+SUMIFS(Headcount!AR$395:AR$1442,Headcount!$J$395:$J$1442,$B173))</f>
        <v>0</v>
      </c>
      <c r="AJ173" s="137">
        <f>IF(AJ$12="Actual",SUMIFS(ActualsTable[Month 34],ActualsTable[Expense Item2],$B173),SUMIFS(Expenses!CI$8:CI$69,Expenses!$O$8:$O$69,$B173)+SUMIFS(Headcount!AS$395:AS$1442,Headcount!$J$395:$J$1442,$B173))</f>
        <v>0</v>
      </c>
      <c r="AK173" s="137">
        <f>IF(AK$12="Actual",SUMIFS(ActualsTable[Month 35],ActualsTable[Expense Item2],$B173),SUMIFS(Expenses!CJ$8:CJ$69,Expenses!$O$8:$O$69,$B173)+SUMIFS(Headcount!AT$395:AT$1442,Headcount!$J$395:$J$1442,$B173))</f>
        <v>0</v>
      </c>
      <c r="AL173" s="293">
        <f>IF(AL$12="Actual",SUMIFS(ActualsTable[Month 36],ActualsTable[Expense Item2],$B173),SUMIFS(Expenses!CK$8:CK$69,Expenses!$O$8:$O$69,$B173)+SUMIFS(Headcount!AU$395:AU$1442,Headcount!$J$395:$J$1442,$B173))</f>
        <v>0</v>
      </c>
      <c r="AN173" s="319">
        <f t="shared" ca="1" si="283"/>
        <v>0</v>
      </c>
      <c r="AO173" s="137">
        <f t="shared" ca="1" si="283"/>
        <v>0</v>
      </c>
      <c r="AP173" s="137">
        <f t="shared" ca="1" si="283"/>
        <v>0</v>
      </c>
      <c r="AQ173" s="137">
        <f t="shared" ca="1" si="283"/>
        <v>0</v>
      </c>
      <c r="AR173" s="137">
        <f t="shared" ca="1" si="283"/>
        <v>0</v>
      </c>
      <c r="AS173" s="137">
        <f t="shared" ca="1" si="283"/>
        <v>0</v>
      </c>
      <c r="AT173" s="137">
        <f t="shared" ca="1" si="283"/>
        <v>0</v>
      </c>
      <c r="AU173" s="137">
        <f t="shared" ca="1" si="283"/>
        <v>0</v>
      </c>
      <c r="AV173" s="137">
        <f t="shared" ca="1" si="283"/>
        <v>0</v>
      </c>
      <c r="AW173" s="137">
        <f t="shared" ca="1" si="283"/>
        <v>0</v>
      </c>
      <c r="AX173" s="137">
        <f t="shared" ca="1" si="283"/>
        <v>0</v>
      </c>
      <c r="AY173" s="293">
        <f t="shared" ca="1" si="283"/>
        <v>0</v>
      </c>
      <c r="BA173" s="319">
        <f t="shared" ca="1" si="284"/>
        <v>0</v>
      </c>
      <c r="BB173" s="137">
        <f t="shared" ca="1" si="284"/>
        <v>0</v>
      </c>
      <c r="BC173" s="293">
        <f t="shared" ca="1" si="284"/>
        <v>0</v>
      </c>
    </row>
    <row r="174" spans="2:55" ht="15" x14ac:dyDescent="0.4">
      <c r="B174" s="64" t="s">
        <v>203</v>
      </c>
      <c r="C174" s="136">
        <f>IF(C$12="Actual",SUMIFS(ActualsTable[Month 1],ActualsTable[Expense Item2],$B174),SUMIFS(Expenses!BB$8:BB$69,Expenses!$O$8:$O$69,$B174)+SUMIFS(Headcount!L$395:L$1442,Headcount!$J$395:$J$1442,$B174))</f>
        <v>0</v>
      </c>
      <c r="D174" s="136">
        <f>IF(D$12="Actual",SUMIFS(ActualsTable[Month 2],ActualsTable[Expense Item2],$B174),SUMIFS(Expenses!BC$8:BC$69,Expenses!$O$8:$O$69,$B174)+SUMIFS(Headcount!M$395:M$1442,Headcount!$J$395:$J$1442,$B174))</f>
        <v>0</v>
      </c>
      <c r="E174" s="136">
        <f>IF(E$12="Actual",SUMIFS(ActualsTable[Month 3],ActualsTable[Expense Item2],$B174),SUMIFS(Expenses!BD$8:BD$69,Expenses!$O$8:$O$69,$B174)+SUMIFS(Headcount!N$395:N$1442,Headcount!$J$395:$J$1442,$B174))</f>
        <v>0</v>
      </c>
      <c r="F174" s="136">
        <f>IF(F$12="Actual",SUMIFS(ActualsTable[Month 4],ActualsTable[Expense Item2],$B174),SUMIFS(Expenses!BE$8:BE$69,Expenses!$O$8:$O$69,$B174)+SUMIFS(Headcount!O$395:O$1442,Headcount!$J$395:$J$1442,$B174))</f>
        <v>0</v>
      </c>
      <c r="G174" s="136">
        <f>IF(G$12="Actual",SUMIFS(ActualsTable[Month 5],ActualsTable[Expense Item2],$B174),SUMIFS(Expenses!BF$8:BF$69,Expenses!$O$8:$O$69,$B174)+SUMIFS(Headcount!P$395:P$1442,Headcount!$J$395:$J$1442,$B174))</f>
        <v>0</v>
      </c>
      <c r="H174" s="136">
        <f>IF(H$12="Actual",SUMIFS(ActualsTable[Month 6],ActualsTable[Expense Item2],$B174),SUMIFS(Expenses!BG$8:BG$69,Expenses!$O$8:$O$69,$B174)+SUMIFS(Headcount!Q$395:Q$1442,Headcount!$J$395:$J$1442,$B174))</f>
        <v>0</v>
      </c>
      <c r="I174" s="136">
        <f>IF(I$12="Actual",SUMIFS(ActualsTable[Month 7],ActualsTable[Expense Item2],$B174),SUMIFS(Expenses!BH$8:BH$69,Expenses!$O$8:$O$69,$B174)+SUMIFS(Headcount!R$395:R$1442,Headcount!$J$395:$J$1442,$B174))</f>
        <v>0</v>
      </c>
      <c r="J174" s="136">
        <f>IF(J$12="Actual",SUMIFS(ActualsTable[Month 8],ActualsTable[Expense Item2],$B174),SUMIFS(Expenses!BI$8:BI$69,Expenses!$O$8:$O$69,$B174)+SUMIFS(Headcount!S$395:S$1442,Headcount!$J$395:$J$1442,$B174))</f>
        <v>0</v>
      </c>
      <c r="K174" s="136">
        <f>IF(K$12="Actual",SUMIFS(ActualsTable[Month 9],ActualsTable[Expense Item2],$B174),SUMIFS(Expenses!BJ$8:BJ$69,Expenses!$O$8:$O$69,$B174)+SUMIFS(Headcount!T$395:T$1442,Headcount!$J$395:$J$1442,$B174))</f>
        <v>0</v>
      </c>
      <c r="L174" s="136">
        <f>IF(L$12="Actual",SUMIFS(ActualsTable[Month 10],ActualsTable[Expense Item2],$B174),SUMIFS(Expenses!BK$8:BK$69,Expenses!$O$8:$O$69,$B174)+SUMIFS(Headcount!U$395:U$1442,Headcount!$J$395:$J$1442,$B174))</f>
        <v>0</v>
      </c>
      <c r="M174" s="136">
        <f>IF(M$12="Actual",SUMIFS(ActualsTable[Month 11],ActualsTable[Expense Item2],$B174),SUMIFS(Expenses!BL$8:BL$69,Expenses!$O$8:$O$69,$B174)+SUMIFS(Headcount!V$395:V$1442,Headcount!$J$395:$J$1442,$B174))</f>
        <v>0</v>
      </c>
      <c r="N174" s="136">
        <f>IF(N$12="Actual",SUMIFS(ActualsTable[Month 12],ActualsTable[Expense Item2],$B174),SUMIFS(Expenses!BM$8:BM$69,Expenses!$O$8:$O$69,$B174)+SUMIFS(Headcount!W$395:W$1442,Headcount!$J$395:$J$1442,$B174))</f>
        <v>0</v>
      </c>
      <c r="O174" s="136">
        <f>IF(O$12="Actual",SUMIFS(ActualsTable[Month 13],ActualsTable[Expense Item2],$B174),SUMIFS(Expenses!BN$8:BN$69,Expenses!$O$8:$O$69,$B174)+SUMIFS(Headcount!X$395:X$1442,Headcount!$J$395:$J$1442,$B174))</f>
        <v>0</v>
      </c>
      <c r="P174" s="136">
        <f>IF(P$12="Actual",SUMIFS(ActualsTable[Month 14],ActualsTable[Expense Item2],$B174),SUMIFS(Expenses!BO$8:BO$69,Expenses!$O$8:$O$69,$B174)+SUMIFS(Headcount!Y$395:Y$1442,Headcount!$J$395:$J$1442,$B174))</f>
        <v>0</v>
      </c>
      <c r="Q174" s="136">
        <f>IF(Q$12="Actual",SUMIFS(ActualsTable[Month 15],ActualsTable[Expense Item2],$B174),SUMIFS(Expenses!BP$8:BP$69,Expenses!$O$8:$O$69,$B174)+SUMIFS(Headcount!Z$395:Z$1442,Headcount!$J$395:$J$1442,$B174))</f>
        <v>0</v>
      </c>
      <c r="R174" s="136">
        <f>IF(R$12="Actual",SUMIFS(ActualsTable[Month 16],ActualsTable[Expense Item2],$B174),SUMIFS(Expenses!BQ$8:BQ$69,Expenses!$O$8:$O$69,$B174)+SUMIFS(Headcount!AA$395:AA$1442,Headcount!$J$395:$J$1442,$B174))</f>
        <v>0</v>
      </c>
      <c r="S174" s="136">
        <f>IF(S$12="Actual",SUMIFS(ActualsTable[Month 17],ActualsTable[Expense Item2],$B174),SUMIFS(Expenses!BR$8:BR$69,Expenses!$O$8:$O$69,$B174)+SUMIFS(Headcount!AB$395:AB$1442,Headcount!$J$395:$J$1442,$B174))</f>
        <v>0</v>
      </c>
      <c r="T174" s="136">
        <f>IF(T$12="Actual",SUMIFS(ActualsTable[Month 18],ActualsTable[Expense Item2],$B174),SUMIFS(Expenses!BS$8:BS$69,Expenses!$O$8:$O$69,$B174)+SUMIFS(Headcount!AC$395:AC$1442,Headcount!$J$395:$J$1442,$B174))</f>
        <v>0</v>
      </c>
      <c r="U174" s="136">
        <f>IF(U$12="Actual",SUMIFS(ActualsTable[Month 19],ActualsTable[Expense Item2],$B174),SUMIFS(Expenses!BT$8:BT$69,Expenses!$O$8:$O$69,$B174)+SUMIFS(Headcount!AD$395:AD$1442,Headcount!$J$395:$J$1442,$B174))</f>
        <v>0</v>
      </c>
      <c r="V174" s="136">
        <f>IF(V$12="Actual",SUMIFS(ActualsTable[Month 20],ActualsTable[Expense Item2],$B174),SUMIFS(Expenses!BU$8:BU$69,Expenses!$O$8:$O$69,$B174)+SUMIFS(Headcount!AE$395:AE$1442,Headcount!$J$395:$J$1442,$B174))</f>
        <v>0</v>
      </c>
      <c r="W174" s="136">
        <f>IF(W$12="Actual",SUMIFS(ActualsTable[Month 21],ActualsTable[Expense Item2],$B174),SUMIFS(Expenses!BV$8:BV$69,Expenses!$O$8:$O$69,$B174)+SUMIFS(Headcount!AF$395:AF$1442,Headcount!$J$395:$J$1442,$B174))</f>
        <v>0</v>
      </c>
      <c r="X174" s="136">
        <f>IF(X$12="Actual",SUMIFS(ActualsTable[Month 22],ActualsTable[Expense Item2],$B174),SUMIFS(Expenses!BW$8:BW$69,Expenses!$O$8:$O$69,$B174)+SUMIFS(Headcount!AG$395:AG$1442,Headcount!$J$395:$J$1442,$B174))</f>
        <v>0</v>
      </c>
      <c r="Y174" s="136">
        <f>IF(Y$12="Actual",SUMIFS(ActualsTable[Month 23],ActualsTable[Expense Item2],$B174),SUMIFS(Expenses!BX$8:BX$69,Expenses!$O$8:$O$69,$B174)+SUMIFS(Headcount!AH$395:AH$1442,Headcount!$J$395:$J$1442,$B174))</f>
        <v>0</v>
      </c>
      <c r="Z174" s="136">
        <f>IF(Z$12="Actual",SUMIFS(ActualsTable[Month 24],ActualsTable[Expense Item2],$B174),SUMIFS(Expenses!BY$8:BY$69,Expenses!$O$8:$O$69,$B174)+SUMIFS(Headcount!AI$395:AI$1442,Headcount!$J$395:$J$1442,$B174))</f>
        <v>0</v>
      </c>
      <c r="AA174" s="136">
        <f>IF(AA$12="Actual",SUMIFS(ActualsTable[Month 25],ActualsTable[Expense Item2],$B174),SUMIFS(Expenses!BZ$8:BZ$69,Expenses!$O$8:$O$69,$B174)+SUMIFS(Headcount!AJ$395:AJ$1442,Headcount!$J$395:$J$1442,$B174))</f>
        <v>0</v>
      </c>
      <c r="AB174" s="136">
        <f>IF(AB$12="Actual",SUMIFS(ActualsTable[Month 26],ActualsTable[Expense Item2],$B174),SUMIFS(Expenses!CA$8:CA$69,Expenses!$O$8:$O$69,$B174)+SUMIFS(Headcount!AK$395:AK$1442,Headcount!$J$395:$J$1442,$B174))</f>
        <v>0</v>
      </c>
      <c r="AC174" s="136">
        <f>IF(AC$12="Actual",SUMIFS(ActualsTable[Month 27],ActualsTable[Expense Item2],$B174),SUMIFS(Expenses!CB$8:CB$69,Expenses!$O$8:$O$69,$B174)+SUMIFS(Headcount!AL$395:AL$1442,Headcount!$J$395:$J$1442,$B174))</f>
        <v>0</v>
      </c>
      <c r="AD174" s="136">
        <f>IF(AD$12="Actual",SUMIFS(ActualsTable[Month 28],ActualsTable[Expense Item2],$B174),SUMIFS(Expenses!CC$8:CC$69,Expenses!$O$8:$O$69,$B174)+SUMIFS(Headcount!AM$395:AM$1442,Headcount!$J$395:$J$1442,$B174))</f>
        <v>0</v>
      </c>
      <c r="AE174" s="136">
        <f>IF(AE$12="Actual",SUMIFS(ActualsTable[Month 29],ActualsTable[Expense Item2],$B174),SUMIFS(Expenses!CD$8:CD$69,Expenses!$O$8:$O$69,$B174)+SUMIFS(Headcount!AN$395:AN$1442,Headcount!$J$395:$J$1442,$B174))</f>
        <v>0</v>
      </c>
      <c r="AF174" s="136">
        <f>IF(AF$12="Actual",SUMIFS(ActualsTable[Month 30],ActualsTable[Expense Item2],$B174),SUMIFS(Expenses!CE$8:CE$69,Expenses!$O$8:$O$69,$B174)+SUMIFS(Headcount!AO$395:AO$1442,Headcount!$J$395:$J$1442,$B174))</f>
        <v>0</v>
      </c>
      <c r="AG174" s="136">
        <f>IF(AG$12="Actual",SUMIFS(ActualsTable[Month 31],ActualsTable[Expense Item2],$B174),SUMIFS(Expenses!CF$8:CF$69,Expenses!$O$8:$O$69,$B174)+SUMIFS(Headcount!AP$395:AP$1442,Headcount!$J$395:$J$1442,$B174))</f>
        <v>0</v>
      </c>
      <c r="AH174" s="136">
        <f>IF(AH$12="Actual",SUMIFS(ActualsTable[Month 32],ActualsTable[Expense Item2],$B174),SUMIFS(Expenses!CG$8:CG$69,Expenses!$O$8:$O$69,$B174)+SUMIFS(Headcount!AQ$395:AQ$1442,Headcount!$J$395:$J$1442,$B174))</f>
        <v>0</v>
      </c>
      <c r="AI174" s="136">
        <f>IF(AI$12="Actual",SUMIFS(ActualsTable[Month 33],ActualsTable[Expense Item2],$B174),SUMIFS(Expenses!CH$8:CH$69,Expenses!$O$8:$O$69,$B174)+SUMIFS(Headcount!AR$395:AR$1442,Headcount!$J$395:$J$1442,$B174))</f>
        <v>0</v>
      </c>
      <c r="AJ174" s="136">
        <f>IF(AJ$12="Actual",SUMIFS(ActualsTable[Month 34],ActualsTable[Expense Item2],$B174),SUMIFS(Expenses!CI$8:CI$69,Expenses!$O$8:$O$69,$B174)+SUMIFS(Headcount!AS$395:AS$1442,Headcount!$J$395:$J$1442,$B174))</f>
        <v>0</v>
      </c>
      <c r="AK174" s="136">
        <f>IF(AK$12="Actual",SUMIFS(ActualsTable[Month 35],ActualsTable[Expense Item2],$B174),SUMIFS(Expenses!CJ$8:CJ$69,Expenses!$O$8:$O$69,$B174)+SUMIFS(Headcount!AT$395:AT$1442,Headcount!$J$395:$J$1442,$B174))</f>
        <v>0</v>
      </c>
      <c r="AL174" s="294">
        <f>IF(AL$12="Actual",SUMIFS(ActualsTable[Month 36],ActualsTable[Expense Item2],$B174),SUMIFS(Expenses!CK$8:CK$69,Expenses!$O$8:$O$69,$B174)+SUMIFS(Headcount!AU$395:AU$1442,Headcount!$J$395:$J$1442,$B174))</f>
        <v>0</v>
      </c>
      <c r="AN174" s="320">
        <f t="shared" ca="1" si="283"/>
        <v>0</v>
      </c>
      <c r="AO174" s="136">
        <f t="shared" ca="1" si="283"/>
        <v>0</v>
      </c>
      <c r="AP174" s="136">
        <f t="shared" ca="1" si="283"/>
        <v>0</v>
      </c>
      <c r="AQ174" s="136">
        <f t="shared" ca="1" si="283"/>
        <v>0</v>
      </c>
      <c r="AR174" s="136">
        <f t="shared" ca="1" si="283"/>
        <v>0</v>
      </c>
      <c r="AS174" s="136">
        <f t="shared" ca="1" si="283"/>
        <v>0</v>
      </c>
      <c r="AT174" s="136">
        <f t="shared" ca="1" si="283"/>
        <v>0</v>
      </c>
      <c r="AU174" s="136">
        <f t="shared" ca="1" si="283"/>
        <v>0</v>
      </c>
      <c r="AV174" s="136">
        <f t="shared" ca="1" si="283"/>
        <v>0</v>
      </c>
      <c r="AW174" s="136">
        <f t="shared" ca="1" si="283"/>
        <v>0</v>
      </c>
      <c r="AX174" s="136">
        <f t="shared" ca="1" si="283"/>
        <v>0</v>
      </c>
      <c r="AY174" s="294">
        <f t="shared" ca="1" si="283"/>
        <v>0</v>
      </c>
      <c r="BA174" s="320">
        <f t="shared" ca="1" si="284"/>
        <v>0</v>
      </c>
      <c r="BB174" s="136">
        <f t="shared" ca="1" si="284"/>
        <v>0</v>
      </c>
      <c r="BC174" s="294">
        <f t="shared" ca="1" si="284"/>
        <v>0</v>
      </c>
    </row>
    <row r="175" spans="2:55" x14ac:dyDescent="0.35">
      <c r="B175" s="84" t="s">
        <v>204</v>
      </c>
      <c r="C175" s="134">
        <f t="shared" ref="C175" si="285">SUM(C163:C166,C143:C144)</f>
        <v>0</v>
      </c>
      <c r="D175" s="134">
        <f t="shared" ref="D175:AL175" si="286">SUM(D163:D166,D143:D144)</f>
        <v>0</v>
      </c>
      <c r="E175" s="134">
        <f t="shared" si="286"/>
        <v>0</v>
      </c>
      <c r="F175" s="134">
        <f t="shared" si="286"/>
        <v>0</v>
      </c>
      <c r="G175" s="134">
        <f t="shared" si="286"/>
        <v>0</v>
      </c>
      <c r="H175" s="134">
        <f t="shared" si="286"/>
        <v>0</v>
      </c>
      <c r="I175" s="134">
        <f t="shared" si="286"/>
        <v>0</v>
      </c>
      <c r="J175" s="134">
        <f t="shared" si="286"/>
        <v>0</v>
      </c>
      <c r="K175" s="134">
        <f t="shared" si="286"/>
        <v>0</v>
      </c>
      <c r="L175" s="134">
        <f t="shared" si="286"/>
        <v>0</v>
      </c>
      <c r="M175" s="134">
        <f t="shared" si="286"/>
        <v>0</v>
      </c>
      <c r="N175" s="134">
        <f t="shared" si="286"/>
        <v>0</v>
      </c>
      <c r="O175" s="134">
        <f t="shared" si="286"/>
        <v>0</v>
      </c>
      <c r="P175" s="134">
        <f t="shared" si="286"/>
        <v>0</v>
      </c>
      <c r="Q175" s="134">
        <f t="shared" si="286"/>
        <v>0</v>
      </c>
      <c r="R175" s="134">
        <f t="shared" si="286"/>
        <v>0</v>
      </c>
      <c r="S175" s="134">
        <f t="shared" si="286"/>
        <v>0</v>
      </c>
      <c r="T175" s="134">
        <f t="shared" si="286"/>
        <v>0</v>
      </c>
      <c r="U175" s="134">
        <f t="shared" si="286"/>
        <v>0</v>
      </c>
      <c r="V175" s="134">
        <f t="shared" si="286"/>
        <v>0</v>
      </c>
      <c r="W175" s="134">
        <f t="shared" si="286"/>
        <v>0</v>
      </c>
      <c r="X175" s="134">
        <f t="shared" si="286"/>
        <v>0</v>
      </c>
      <c r="Y175" s="134">
        <f t="shared" si="286"/>
        <v>0</v>
      </c>
      <c r="Z175" s="134">
        <f t="shared" si="286"/>
        <v>0</v>
      </c>
      <c r="AA175" s="134">
        <f t="shared" si="286"/>
        <v>0</v>
      </c>
      <c r="AB175" s="134">
        <f t="shared" si="286"/>
        <v>0</v>
      </c>
      <c r="AC175" s="134">
        <f t="shared" si="286"/>
        <v>0</v>
      </c>
      <c r="AD175" s="134">
        <f t="shared" si="286"/>
        <v>0</v>
      </c>
      <c r="AE175" s="134">
        <f t="shared" si="286"/>
        <v>0</v>
      </c>
      <c r="AF175" s="134">
        <f t="shared" si="286"/>
        <v>0</v>
      </c>
      <c r="AG175" s="134">
        <f t="shared" si="286"/>
        <v>0</v>
      </c>
      <c r="AH175" s="134">
        <f t="shared" si="286"/>
        <v>0</v>
      </c>
      <c r="AI175" s="134">
        <f t="shared" si="286"/>
        <v>0</v>
      </c>
      <c r="AJ175" s="134">
        <f t="shared" si="286"/>
        <v>0</v>
      </c>
      <c r="AK175" s="134">
        <f t="shared" si="286"/>
        <v>0</v>
      </c>
      <c r="AL175" s="299">
        <f t="shared" si="286"/>
        <v>0</v>
      </c>
      <c r="AN175" s="325">
        <f t="shared" ref="AN175:AT175" ca="1" si="287">SUM(AN163:AN166,AN143:AN144)</f>
        <v>0</v>
      </c>
      <c r="AO175" s="134">
        <f t="shared" ca="1" si="287"/>
        <v>0</v>
      </c>
      <c r="AP175" s="134">
        <f t="shared" ca="1" si="287"/>
        <v>0</v>
      </c>
      <c r="AQ175" s="134">
        <f t="shared" ca="1" si="287"/>
        <v>0</v>
      </c>
      <c r="AR175" s="134">
        <f t="shared" ca="1" si="287"/>
        <v>0</v>
      </c>
      <c r="AS175" s="134">
        <f t="shared" ca="1" si="287"/>
        <v>0</v>
      </c>
      <c r="AT175" s="134">
        <f t="shared" ca="1" si="287"/>
        <v>0</v>
      </c>
      <c r="AU175" s="134">
        <f t="shared" ref="AU175:AY175" ca="1" si="288">SUM(AU163:AU166,AU143:AU144)</f>
        <v>0</v>
      </c>
      <c r="AV175" s="134">
        <f t="shared" ca="1" si="288"/>
        <v>0</v>
      </c>
      <c r="AW175" s="134">
        <f t="shared" ca="1" si="288"/>
        <v>0</v>
      </c>
      <c r="AX175" s="134">
        <f t="shared" ca="1" si="288"/>
        <v>0</v>
      </c>
      <c r="AY175" s="299">
        <f t="shared" ca="1" si="288"/>
        <v>0</v>
      </c>
      <c r="BA175" s="325">
        <f t="shared" ref="BA175" ca="1" si="289">SUM(BA163:BA166,BA143:BA144)</f>
        <v>0</v>
      </c>
      <c r="BB175" s="134">
        <f t="shared" ref="BB175:BC175" ca="1" si="290">SUM(BB163:BB166,BB143:BB144)</f>
        <v>0</v>
      </c>
      <c r="BC175" s="299">
        <f t="shared" ca="1" si="290"/>
        <v>0</v>
      </c>
    </row>
    <row r="176" spans="2:55" x14ac:dyDescent="0.35">
      <c r="B176" s="73"/>
      <c r="C176" s="129"/>
      <c r="D176" s="129"/>
      <c r="E176" s="129"/>
      <c r="F176" s="129"/>
      <c r="G176" s="129"/>
      <c r="H176" s="129"/>
      <c r="I176" s="129"/>
      <c r="J176" s="129"/>
      <c r="K176" s="129"/>
      <c r="L176" s="129"/>
      <c r="M176" s="129"/>
      <c r="N176" s="129"/>
      <c r="O176" s="129"/>
      <c r="P176" s="129"/>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296"/>
      <c r="AN176" s="322"/>
      <c r="AO176" s="129"/>
      <c r="AP176" s="129"/>
      <c r="AQ176" s="129"/>
      <c r="AR176" s="129"/>
      <c r="AS176" s="129"/>
      <c r="AT176" s="129"/>
      <c r="AU176" s="129"/>
      <c r="AV176" s="129"/>
      <c r="AW176" s="129"/>
      <c r="AX176" s="129"/>
      <c r="AY176" s="296"/>
      <c r="BA176" s="322"/>
      <c r="BB176" s="129"/>
      <c r="BC176" s="296"/>
    </row>
    <row r="177" spans="2:55" x14ac:dyDescent="0.35">
      <c r="B177" s="67" t="s">
        <v>56</v>
      </c>
      <c r="C177" s="127">
        <f t="shared" ref="C177" si="291">C71-C106-C140-C175</f>
        <v>0</v>
      </c>
      <c r="D177" s="127">
        <f t="shared" ref="D177:AL177" si="292">D71-D106-D140-D175</f>
        <v>0</v>
      </c>
      <c r="E177" s="127">
        <f t="shared" si="292"/>
        <v>0</v>
      </c>
      <c r="F177" s="127">
        <f t="shared" si="292"/>
        <v>0</v>
      </c>
      <c r="G177" s="127">
        <f t="shared" si="292"/>
        <v>0</v>
      </c>
      <c r="H177" s="127">
        <f t="shared" si="292"/>
        <v>0</v>
      </c>
      <c r="I177" s="127">
        <f t="shared" si="292"/>
        <v>0</v>
      </c>
      <c r="J177" s="127">
        <f t="shared" si="292"/>
        <v>0</v>
      </c>
      <c r="K177" s="127">
        <f t="shared" si="292"/>
        <v>0</v>
      </c>
      <c r="L177" s="127">
        <f t="shared" si="292"/>
        <v>0</v>
      </c>
      <c r="M177" s="127">
        <f t="shared" si="292"/>
        <v>0</v>
      </c>
      <c r="N177" s="127">
        <f t="shared" si="292"/>
        <v>0</v>
      </c>
      <c r="O177" s="127">
        <f t="shared" si="292"/>
        <v>0</v>
      </c>
      <c r="P177" s="127">
        <f t="shared" si="292"/>
        <v>0</v>
      </c>
      <c r="Q177" s="127">
        <f t="shared" si="292"/>
        <v>0</v>
      </c>
      <c r="R177" s="127">
        <f t="shared" si="292"/>
        <v>0</v>
      </c>
      <c r="S177" s="127">
        <f t="shared" si="292"/>
        <v>0</v>
      </c>
      <c r="T177" s="127">
        <f t="shared" si="292"/>
        <v>0</v>
      </c>
      <c r="U177" s="127">
        <f t="shared" si="292"/>
        <v>0</v>
      </c>
      <c r="V177" s="127">
        <f t="shared" si="292"/>
        <v>0</v>
      </c>
      <c r="W177" s="127">
        <f t="shared" si="292"/>
        <v>0</v>
      </c>
      <c r="X177" s="127">
        <f t="shared" si="292"/>
        <v>0</v>
      </c>
      <c r="Y177" s="127">
        <f t="shared" si="292"/>
        <v>0</v>
      </c>
      <c r="Z177" s="127">
        <f t="shared" si="292"/>
        <v>0</v>
      </c>
      <c r="AA177" s="127">
        <f t="shared" si="292"/>
        <v>0</v>
      </c>
      <c r="AB177" s="127">
        <f t="shared" si="292"/>
        <v>0</v>
      </c>
      <c r="AC177" s="127">
        <f t="shared" si="292"/>
        <v>0</v>
      </c>
      <c r="AD177" s="127">
        <f t="shared" si="292"/>
        <v>0</v>
      </c>
      <c r="AE177" s="127">
        <f t="shared" si="292"/>
        <v>0</v>
      </c>
      <c r="AF177" s="127">
        <f t="shared" si="292"/>
        <v>0</v>
      </c>
      <c r="AG177" s="127">
        <f t="shared" si="292"/>
        <v>0</v>
      </c>
      <c r="AH177" s="127">
        <f t="shared" si="292"/>
        <v>0</v>
      </c>
      <c r="AI177" s="127">
        <f t="shared" si="292"/>
        <v>0</v>
      </c>
      <c r="AJ177" s="127">
        <f t="shared" si="292"/>
        <v>0</v>
      </c>
      <c r="AK177" s="127">
        <f t="shared" si="292"/>
        <v>0</v>
      </c>
      <c r="AL177" s="295">
        <f t="shared" si="292"/>
        <v>0</v>
      </c>
      <c r="AN177" s="321">
        <f t="shared" ref="AN177:AT177" ca="1" si="293">AN71-AN106-AN140-AN175</f>
        <v>0</v>
      </c>
      <c r="AO177" s="127">
        <f t="shared" ca="1" si="293"/>
        <v>0</v>
      </c>
      <c r="AP177" s="127">
        <f t="shared" ca="1" si="293"/>
        <v>0</v>
      </c>
      <c r="AQ177" s="127">
        <f t="shared" ca="1" si="293"/>
        <v>0</v>
      </c>
      <c r="AR177" s="127">
        <f t="shared" ca="1" si="293"/>
        <v>0</v>
      </c>
      <c r="AS177" s="127">
        <f t="shared" ca="1" si="293"/>
        <v>0</v>
      </c>
      <c r="AT177" s="127">
        <f t="shared" ca="1" si="293"/>
        <v>0</v>
      </c>
      <c r="AU177" s="127">
        <f t="shared" ref="AU177:AY177" ca="1" si="294">AU71-AU106-AU140-AU175</f>
        <v>0</v>
      </c>
      <c r="AV177" s="127">
        <f t="shared" ca="1" si="294"/>
        <v>0</v>
      </c>
      <c r="AW177" s="127">
        <f t="shared" ca="1" si="294"/>
        <v>0</v>
      </c>
      <c r="AX177" s="127">
        <f t="shared" ca="1" si="294"/>
        <v>0</v>
      </c>
      <c r="AY177" s="295">
        <f t="shared" ca="1" si="294"/>
        <v>0</v>
      </c>
      <c r="BA177" s="321">
        <f t="shared" ref="BA177" ca="1" si="295">BA71-BA106-BA140-BA175</f>
        <v>0</v>
      </c>
      <c r="BB177" s="127">
        <f t="shared" ref="BB177:BC177" ca="1" si="296">BB71-BB106-BB140-BB175</f>
        <v>0</v>
      </c>
      <c r="BC177" s="295">
        <f t="shared" ca="1" si="296"/>
        <v>0</v>
      </c>
    </row>
    <row r="178" spans="2:55" x14ac:dyDescent="0.35">
      <c r="B178" s="72" t="s">
        <v>57</v>
      </c>
      <c r="C178" s="126">
        <f t="shared" ref="C178:AT178" si="297">IFERROR(C177/C$28,0)</f>
        <v>0</v>
      </c>
      <c r="D178" s="126">
        <f t="shared" ref="D178:AL178" si="298">IFERROR(D177/D$28,0)</f>
        <v>0</v>
      </c>
      <c r="E178" s="126">
        <f t="shared" si="298"/>
        <v>0</v>
      </c>
      <c r="F178" s="126">
        <f t="shared" si="298"/>
        <v>0</v>
      </c>
      <c r="G178" s="126">
        <f t="shared" si="298"/>
        <v>0</v>
      </c>
      <c r="H178" s="126">
        <f t="shared" si="298"/>
        <v>0</v>
      </c>
      <c r="I178" s="126">
        <f t="shared" si="298"/>
        <v>0</v>
      </c>
      <c r="J178" s="126">
        <f t="shared" si="298"/>
        <v>0</v>
      </c>
      <c r="K178" s="126">
        <f t="shared" si="298"/>
        <v>0</v>
      </c>
      <c r="L178" s="126">
        <f t="shared" si="298"/>
        <v>0</v>
      </c>
      <c r="M178" s="126">
        <f t="shared" si="298"/>
        <v>0</v>
      </c>
      <c r="N178" s="126">
        <f t="shared" si="298"/>
        <v>0</v>
      </c>
      <c r="O178" s="126">
        <f t="shared" si="298"/>
        <v>0</v>
      </c>
      <c r="P178" s="126">
        <f t="shared" si="298"/>
        <v>0</v>
      </c>
      <c r="Q178" s="126">
        <f t="shared" si="298"/>
        <v>0</v>
      </c>
      <c r="R178" s="126">
        <f t="shared" si="298"/>
        <v>0</v>
      </c>
      <c r="S178" s="126">
        <f t="shared" si="298"/>
        <v>0</v>
      </c>
      <c r="T178" s="126">
        <f t="shared" si="298"/>
        <v>0</v>
      </c>
      <c r="U178" s="126">
        <f t="shared" si="298"/>
        <v>0</v>
      </c>
      <c r="V178" s="126">
        <f t="shared" si="298"/>
        <v>0</v>
      </c>
      <c r="W178" s="126">
        <f t="shared" si="298"/>
        <v>0</v>
      </c>
      <c r="X178" s="126">
        <f t="shared" si="298"/>
        <v>0</v>
      </c>
      <c r="Y178" s="126">
        <f t="shared" si="298"/>
        <v>0</v>
      </c>
      <c r="Z178" s="126">
        <f t="shared" si="298"/>
        <v>0</v>
      </c>
      <c r="AA178" s="126">
        <f t="shared" si="298"/>
        <v>0</v>
      </c>
      <c r="AB178" s="126">
        <f t="shared" si="298"/>
        <v>0</v>
      </c>
      <c r="AC178" s="126">
        <f t="shared" si="298"/>
        <v>0</v>
      </c>
      <c r="AD178" s="126">
        <f t="shared" si="298"/>
        <v>0</v>
      </c>
      <c r="AE178" s="126">
        <f t="shared" si="298"/>
        <v>0</v>
      </c>
      <c r="AF178" s="126">
        <f t="shared" si="298"/>
        <v>0</v>
      </c>
      <c r="AG178" s="126">
        <f t="shared" si="298"/>
        <v>0</v>
      </c>
      <c r="AH178" s="126">
        <f t="shared" si="298"/>
        <v>0</v>
      </c>
      <c r="AI178" s="126">
        <f t="shared" si="298"/>
        <v>0</v>
      </c>
      <c r="AJ178" s="126">
        <f t="shared" si="298"/>
        <v>0</v>
      </c>
      <c r="AK178" s="126">
        <f t="shared" si="298"/>
        <v>0</v>
      </c>
      <c r="AL178" s="300">
        <f t="shared" si="298"/>
        <v>0</v>
      </c>
      <c r="AN178" s="326">
        <f t="shared" ca="1" si="297"/>
        <v>0</v>
      </c>
      <c r="AO178" s="126">
        <f t="shared" ca="1" si="297"/>
        <v>0</v>
      </c>
      <c r="AP178" s="126">
        <f t="shared" ca="1" si="297"/>
        <v>0</v>
      </c>
      <c r="AQ178" s="126">
        <f t="shared" ca="1" si="297"/>
        <v>0</v>
      </c>
      <c r="AR178" s="126">
        <f t="shared" ca="1" si="297"/>
        <v>0</v>
      </c>
      <c r="AS178" s="126">
        <f t="shared" ca="1" si="297"/>
        <v>0</v>
      </c>
      <c r="AT178" s="126">
        <f t="shared" ca="1" si="297"/>
        <v>0</v>
      </c>
      <c r="AU178" s="126">
        <f t="shared" ref="AU178:AY178" ca="1" si="299">IFERROR(AU177/AU$28,0)</f>
        <v>0</v>
      </c>
      <c r="AV178" s="126">
        <f t="shared" ca="1" si="299"/>
        <v>0</v>
      </c>
      <c r="AW178" s="126">
        <f t="shared" ca="1" si="299"/>
        <v>0</v>
      </c>
      <c r="AX178" s="126">
        <f t="shared" ca="1" si="299"/>
        <v>0</v>
      </c>
      <c r="AY178" s="300">
        <f t="shared" ca="1" si="299"/>
        <v>0</v>
      </c>
      <c r="BA178" s="326">
        <f t="shared" ref="BA178" ca="1" si="300">IFERROR(BA177/BA$28,0)</f>
        <v>0</v>
      </c>
      <c r="BB178" s="126">
        <f t="shared" ref="BB178:BC178" ca="1" si="301">IFERROR(BB177/BB$28,0)</f>
        <v>0</v>
      </c>
      <c r="BC178" s="300">
        <f t="shared" ca="1" si="301"/>
        <v>0</v>
      </c>
    </row>
    <row r="179" spans="2:55" x14ac:dyDescent="0.35">
      <c r="B179" s="67" t="s">
        <v>58</v>
      </c>
      <c r="C179" s="133">
        <f t="shared" ref="C179" si="302">C177+SUM(C152,C118,C83,C40)</f>
        <v>0</v>
      </c>
      <c r="D179" s="133">
        <f t="shared" ref="D179:AL179" si="303">D177+SUM(D152,D118,D83,D40)</f>
        <v>0</v>
      </c>
      <c r="E179" s="133">
        <f t="shared" si="303"/>
        <v>0</v>
      </c>
      <c r="F179" s="133">
        <f t="shared" si="303"/>
        <v>0</v>
      </c>
      <c r="G179" s="133">
        <f t="shared" si="303"/>
        <v>0</v>
      </c>
      <c r="H179" s="133">
        <f t="shared" si="303"/>
        <v>0</v>
      </c>
      <c r="I179" s="133">
        <f t="shared" si="303"/>
        <v>0</v>
      </c>
      <c r="J179" s="133">
        <f t="shared" si="303"/>
        <v>0</v>
      </c>
      <c r="K179" s="133">
        <f t="shared" si="303"/>
        <v>0</v>
      </c>
      <c r="L179" s="133">
        <f t="shared" si="303"/>
        <v>0</v>
      </c>
      <c r="M179" s="133">
        <f t="shared" si="303"/>
        <v>0</v>
      </c>
      <c r="N179" s="133">
        <f t="shared" si="303"/>
        <v>0</v>
      </c>
      <c r="O179" s="133">
        <f t="shared" si="303"/>
        <v>0</v>
      </c>
      <c r="P179" s="133">
        <f t="shared" si="303"/>
        <v>0</v>
      </c>
      <c r="Q179" s="133">
        <f t="shared" si="303"/>
        <v>0</v>
      </c>
      <c r="R179" s="133">
        <f t="shared" si="303"/>
        <v>0</v>
      </c>
      <c r="S179" s="133">
        <f t="shared" si="303"/>
        <v>0</v>
      </c>
      <c r="T179" s="133">
        <f t="shared" si="303"/>
        <v>0</v>
      </c>
      <c r="U179" s="133">
        <f t="shared" si="303"/>
        <v>0</v>
      </c>
      <c r="V179" s="133">
        <f t="shared" si="303"/>
        <v>0</v>
      </c>
      <c r="W179" s="133">
        <f t="shared" si="303"/>
        <v>0</v>
      </c>
      <c r="X179" s="133">
        <f t="shared" si="303"/>
        <v>0</v>
      </c>
      <c r="Y179" s="133">
        <f t="shared" si="303"/>
        <v>0</v>
      </c>
      <c r="Z179" s="133">
        <f t="shared" si="303"/>
        <v>0</v>
      </c>
      <c r="AA179" s="133">
        <f t="shared" si="303"/>
        <v>0</v>
      </c>
      <c r="AB179" s="133">
        <f t="shared" si="303"/>
        <v>0</v>
      </c>
      <c r="AC179" s="133">
        <f t="shared" si="303"/>
        <v>0</v>
      </c>
      <c r="AD179" s="133">
        <f t="shared" si="303"/>
        <v>0</v>
      </c>
      <c r="AE179" s="133">
        <f t="shared" si="303"/>
        <v>0</v>
      </c>
      <c r="AF179" s="133">
        <f t="shared" si="303"/>
        <v>0</v>
      </c>
      <c r="AG179" s="133">
        <f t="shared" si="303"/>
        <v>0</v>
      </c>
      <c r="AH179" s="133">
        <f t="shared" si="303"/>
        <v>0</v>
      </c>
      <c r="AI179" s="133">
        <f t="shared" si="303"/>
        <v>0</v>
      </c>
      <c r="AJ179" s="133">
        <f t="shared" si="303"/>
        <v>0</v>
      </c>
      <c r="AK179" s="133">
        <f t="shared" si="303"/>
        <v>0</v>
      </c>
      <c r="AL179" s="304">
        <f t="shared" si="303"/>
        <v>0</v>
      </c>
      <c r="AN179" s="330">
        <f t="shared" ref="AN179:AT179" ca="1" si="304">AN177+SUM(AN152,AN118,AN83,AN40)</f>
        <v>0</v>
      </c>
      <c r="AO179" s="133">
        <f t="shared" ca="1" si="304"/>
        <v>0</v>
      </c>
      <c r="AP179" s="133">
        <f t="shared" ca="1" si="304"/>
        <v>0</v>
      </c>
      <c r="AQ179" s="133">
        <f t="shared" ca="1" si="304"/>
        <v>0</v>
      </c>
      <c r="AR179" s="133">
        <f t="shared" ca="1" si="304"/>
        <v>0</v>
      </c>
      <c r="AS179" s="133">
        <f t="shared" ca="1" si="304"/>
        <v>0</v>
      </c>
      <c r="AT179" s="133">
        <f t="shared" ca="1" si="304"/>
        <v>0</v>
      </c>
      <c r="AU179" s="133">
        <f t="shared" ref="AU179:AY179" ca="1" si="305">AU177+SUM(AU152,AU118,AU83,AU40)</f>
        <v>0</v>
      </c>
      <c r="AV179" s="133">
        <f t="shared" ca="1" si="305"/>
        <v>0</v>
      </c>
      <c r="AW179" s="133">
        <f t="shared" ca="1" si="305"/>
        <v>0</v>
      </c>
      <c r="AX179" s="133">
        <f t="shared" ca="1" si="305"/>
        <v>0</v>
      </c>
      <c r="AY179" s="304">
        <f t="shared" ca="1" si="305"/>
        <v>0</v>
      </c>
      <c r="BA179" s="330">
        <f t="shared" ref="BA179" ca="1" si="306">BA177+SUM(BA152,BA118,BA83,BA40)</f>
        <v>0</v>
      </c>
      <c r="BB179" s="133">
        <f t="shared" ref="BB179:BC179" ca="1" si="307">BB177+SUM(BB152,BB118,BB83,BB40)</f>
        <v>0</v>
      </c>
      <c r="BC179" s="304">
        <f t="shared" ca="1" si="307"/>
        <v>0</v>
      </c>
    </row>
    <row r="180" spans="2:55" x14ac:dyDescent="0.35">
      <c r="B180" s="72" t="s">
        <v>59</v>
      </c>
      <c r="C180" s="126">
        <f t="shared" ref="C180" si="308">IFERROR(C179/C$28,0)</f>
        <v>0</v>
      </c>
      <c r="D180" s="126">
        <f t="shared" ref="D180:AL180" si="309">IFERROR(D179/D$28,0)</f>
        <v>0</v>
      </c>
      <c r="E180" s="126">
        <f t="shared" si="309"/>
        <v>0</v>
      </c>
      <c r="F180" s="126">
        <f t="shared" si="309"/>
        <v>0</v>
      </c>
      <c r="G180" s="126">
        <f t="shared" si="309"/>
        <v>0</v>
      </c>
      <c r="H180" s="126">
        <f t="shared" si="309"/>
        <v>0</v>
      </c>
      <c r="I180" s="126">
        <f t="shared" si="309"/>
        <v>0</v>
      </c>
      <c r="J180" s="126">
        <f t="shared" si="309"/>
        <v>0</v>
      </c>
      <c r="K180" s="126">
        <f t="shared" si="309"/>
        <v>0</v>
      </c>
      <c r="L180" s="126">
        <f t="shared" si="309"/>
        <v>0</v>
      </c>
      <c r="M180" s="126">
        <f t="shared" si="309"/>
        <v>0</v>
      </c>
      <c r="N180" s="126">
        <f t="shared" si="309"/>
        <v>0</v>
      </c>
      <c r="O180" s="126">
        <f t="shared" si="309"/>
        <v>0</v>
      </c>
      <c r="P180" s="126">
        <f t="shared" si="309"/>
        <v>0</v>
      </c>
      <c r="Q180" s="126">
        <f t="shared" si="309"/>
        <v>0</v>
      </c>
      <c r="R180" s="126">
        <f t="shared" si="309"/>
        <v>0</v>
      </c>
      <c r="S180" s="126">
        <f t="shared" si="309"/>
        <v>0</v>
      </c>
      <c r="T180" s="126">
        <f t="shared" si="309"/>
        <v>0</v>
      </c>
      <c r="U180" s="126">
        <f t="shared" si="309"/>
        <v>0</v>
      </c>
      <c r="V180" s="126">
        <f t="shared" si="309"/>
        <v>0</v>
      </c>
      <c r="W180" s="126">
        <f t="shared" si="309"/>
        <v>0</v>
      </c>
      <c r="X180" s="126">
        <f t="shared" si="309"/>
        <v>0</v>
      </c>
      <c r="Y180" s="126">
        <f t="shared" si="309"/>
        <v>0</v>
      </c>
      <c r="Z180" s="126">
        <f t="shared" si="309"/>
        <v>0</v>
      </c>
      <c r="AA180" s="126">
        <f t="shared" si="309"/>
        <v>0</v>
      </c>
      <c r="AB180" s="126">
        <f t="shared" si="309"/>
        <v>0</v>
      </c>
      <c r="AC180" s="126">
        <f t="shared" si="309"/>
        <v>0</v>
      </c>
      <c r="AD180" s="126">
        <f t="shared" si="309"/>
        <v>0</v>
      </c>
      <c r="AE180" s="126">
        <f t="shared" si="309"/>
        <v>0</v>
      </c>
      <c r="AF180" s="126">
        <f t="shared" si="309"/>
        <v>0</v>
      </c>
      <c r="AG180" s="126">
        <f t="shared" si="309"/>
        <v>0</v>
      </c>
      <c r="AH180" s="126">
        <f t="shared" si="309"/>
        <v>0</v>
      </c>
      <c r="AI180" s="126">
        <f t="shared" si="309"/>
        <v>0</v>
      </c>
      <c r="AJ180" s="126">
        <f t="shared" si="309"/>
        <v>0</v>
      </c>
      <c r="AK180" s="126">
        <f t="shared" si="309"/>
        <v>0</v>
      </c>
      <c r="AL180" s="300">
        <f t="shared" si="309"/>
        <v>0</v>
      </c>
      <c r="AN180" s="326">
        <f t="shared" ref="AN180:AT180" ca="1" si="310">IFERROR(AN179/AN$28,0)</f>
        <v>0</v>
      </c>
      <c r="AO180" s="126">
        <f t="shared" ca="1" si="310"/>
        <v>0</v>
      </c>
      <c r="AP180" s="126">
        <f t="shared" ca="1" si="310"/>
        <v>0</v>
      </c>
      <c r="AQ180" s="126">
        <f t="shared" ca="1" si="310"/>
        <v>0</v>
      </c>
      <c r="AR180" s="126">
        <f t="shared" ca="1" si="310"/>
        <v>0</v>
      </c>
      <c r="AS180" s="126">
        <f t="shared" ca="1" si="310"/>
        <v>0</v>
      </c>
      <c r="AT180" s="126">
        <f t="shared" ca="1" si="310"/>
        <v>0</v>
      </c>
      <c r="AU180" s="126">
        <f t="shared" ref="AU180:AY180" ca="1" si="311">IFERROR(AU179/AU$28,0)</f>
        <v>0</v>
      </c>
      <c r="AV180" s="126">
        <f t="shared" ca="1" si="311"/>
        <v>0</v>
      </c>
      <c r="AW180" s="126">
        <f t="shared" ca="1" si="311"/>
        <v>0</v>
      </c>
      <c r="AX180" s="126">
        <f t="shared" ca="1" si="311"/>
        <v>0</v>
      </c>
      <c r="AY180" s="300">
        <f t="shared" ca="1" si="311"/>
        <v>0</v>
      </c>
      <c r="BA180" s="326">
        <f t="shared" ref="BA180" ca="1" si="312">IFERROR(BA179/BA$28,0)</f>
        <v>0</v>
      </c>
      <c r="BB180" s="126">
        <f t="shared" ref="BB180:BC180" ca="1" si="313">IFERROR(BB179/BB$28,0)</f>
        <v>0</v>
      </c>
      <c r="BC180" s="300">
        <f t="shared" ca="1" si="313"/>
        <v>0</v>
      </c>
    </row>
    <row r="181" spans="2:55" x14ac:dyDescent="0.35">
      <c r="B181" s="73"/>
      <c r="C181" s="129"/>
      <c r="D181" s="129"/>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296"/>
      <c r="AN181" s="322"/>
      <c r="AO181" s="129"/>
      <c r="AP181" s="129"/>
      <c r="AQ181" s="129"/>
      <c r="AR181" s="129"/>
      <c r="AS181" s="129"/>
      <c r="AT181" s="129"/>
      <c r="AU181" s="129"/>
      <c r="AV181" s="129"/>
      <c r="AW181" s="129"/>
      <c r="AX181" s="129"/>
      <c r="AY181" s="296"/>
      <c r="BA181" s="322"/>
      <c r="BB181" s="129"/>
      <c r="BC181" s="296"/>
    </row>
    <row r="182" spans="2:55" x14ac:dyDescent="0.35">
      <c r="B182" s="63" t="s">
        <v>60</v>
      </c>
      <c r="C182" s="132">
        <f>IF(C$12="Actual",SUMIFS(ActualsTable[Month 1],ActualsTable[Expense Item2],$B182),SUMIFS(Expenses!BB$8:BB$69,Expenses!$O$8:$O$69,$B182)+SUMIFS(Headcount!L$395:L$1442,Headcount!$J$395:$J$1442,$B182))</f>
        <v>0</v>
      </c>
      <c r="D182" s="132">
        <f>IF(D$12="Actual",SUMIFS(ActualsTable[Month 2],ActualsTable[Expense Item2],$B182),SUMIFS(Expenses!BC$8:BC$69,Expenses!$O$8:$O$69,$B182)+SUMIFS(Headcount!M$395:M$1442,Headcount!$J$395:$J$1442,$B182))</f>
        <v>0</v>
      </c>
      <c r="E182" s="132">
        <f>IF(E$12="Actual",SUMIFS(ActualsTable[Month 3],ActualsTable[Expense Item2],$B182),SUMIFS(Expenses!BD$8:BD$69,Expenses!$O$8:$O$69,$B182)+SUMIFS(Headcount!N$395:N$1442,Headcount!$J$395:$J$1442,$B182))</f>
        <v>0</v>
      </c>
      <c r="F182" s="132">
        <f>IF(F$12="Actual",SUMIFS(ActualsTable[Month 4],ActualsTable[Expense Item2],$B182),SUMIFS(Expenses!BE$8:BE$69,Expenses!$O$8:$O$69,$B182)+SUMIFS(Headcount!O$395:O$1442,Headcount!$J$395:$J$1442,$B182))</f>
        <v>0</v>
      </c>
      <c r="G182" s="132">
        <f>IF(G$12="Actual",SUMIFS(ActualsTable[Month 5],ActualsTable[Expense Item2],$B182),SUMIFS(Expenses!BF$8:BF$69,Expenses!$O$8:$O$69,$B182)+SUMIFS(Headcount!P$395:P$1442,Headcount!$J$395:$J$1442,$B182))</f>
        <v>0</v>
      </c>
      <c r="H182" s="132">
        <f>IF(H$12="Actual",SUMIFS(ActualsTable[Month 6],ActualsTable[Expense Item2],$B182),SUMIFS(Expenses!BG$8:BG$69,Expenses!$O$8:$O$69,$B182)+SUMIFS(Headcount!Q$395:Q$1442,Headcount!$J$395:$J$1442,$B182))</f>
        <v>0</v>
      </c>
      <c r="I182" s="132">
        <f>IF(I$12="Actual",SUMIFS(ActualsTable[Month 7],ActualsTable[Expense Item2],$B182),SUMIFS(Expenses!BH$8:BH$69,Expenses!$O$8:$O$69,$B182)+SUMIFS(Headcount!R$395:R$1442,Headcount!$J$395:$J$1442,$B182))</f>
        <v>0</v>
      </c>
      <c r="J182" s="132">
        <f>IF(J$12="Actual",SUMIFS(ActualsTable[Month 8],ActualsTable[Expense Item2],$B182),SUMIFS(Expenses!BI$8:BI$69,Expenses!$O$8:$O$69,$B182)+SUMIFS(Headcount!S$395:S$1442,Headcount!$J$395:$J$1442,$B182))</f>
        <v>0</v>
      </c>
      <c r="K182" s="132">
        <f>IF(K$12="Actual",SUMIFS(ActualsTable[Month 9],ActualsTable[Expense Item2],$B182),SUMIFS(Expenses!BJ$8:BJ$69,Expenses!$O$8:$O$69,$B182)+SUMIFS(Headcount!T$395:T$1442,Headcount!$J$395:$J$1442,$B182))</f>
        <v>0</v>
      </c>
      <c r="L182" s="132">
        <f>IF(L$12="Actual",SUMIFS(ActualsTable[Month 10],ActualsTable[Expense Item2],$B182),SUMIFS(Expenses!BK$8:BK$69,Expenses!$O$8:$O$69,$B182)+SUMIFS(Headcount!U$395:U$1442,Headcount!$J$395:$J$1442,$B182))</f>
        <v>0</v>
      </c>
      <c r="M182" s="132">
        <f>IF(M$12="Actual",SUMIFS(ActualsTable[Month 11],ActualsTable[Expense Item2],$B182),SUMIFS(Expenses!BL$8:BL$69,Expenses!$O$8:$O$69,$B182)+SUMIFS(Headcount!V$395:V$1442,Headcount!$J$395:$J$1442,$B182))</f>
        <v>0</v>
      </c>
      <c r="N182" s="132">
        <f>IF(N$12="Actual",SUMIFS(ActualsTable[Month 12],ActualsTable[Expense Item2],$B182),SUMIFS(Expenses!BM$8:BM$69,Expenses!$O$8:$O$69,$B182)+SUMIFS(Headcount!W$395:W$1442,Headcount!$J$395:$J$1442,$B182))</f>
        <v>0</v>
      </c>
      <c r="O182" s="132">
        <f>IF(O$12="Actual",SUMIFS(ActualsTable[Month 13],ActualsTable[Expense Item2],$B182),SUMIFS(Expenses!BN$8:BN$69,Expenses!$O$8:$O$69,$B182)+SUMIFS(Headcount!X$395:X$1442,Headcount!$J$395:$J$1442,$B182))</f>
        <v>0</v>
      </c>
      <c r="P182" s="132">
        <f>IF(P$12="Actual",SUMIFS(ActualsTable[Month 14],ActualsTable[Expense Item2],$B182),SUMIFS(Expenses!BO$8:BO$69,Expenses!$O$8:$O$69,$B182)+SUMIFS(Headcount!Y$395:Y$1442,Headcount!$J$395:$J$1442,$B182))</f>
        <v>0</v>
      </c>
      <c r="Q182" s="132">
        <f>IF(Q$12="Actual",SUMIFS(ActualsTable[Month 15],ActualsTable[Expense Item2],$B182),SUMIFS(Expenses!BP$8:BP$69,Expenses!$O$8:$O$69,$B182)+SUMIFS(Headcount!Z$395:Z$1442,Headcount!$J$395:$J$1442,$B182))</f>
        <v>0</v>
      </c>
      <c r="R182" s="132">
        <f>IF(R$12="Actual",SUMIFS(ActualsTable[Month 16],ActualsTable[Expense Item2],$B182),SUMIFS(Expenses!BQ$8:BQ$69,Expenses!$O$8:$O$69,$B182)+SUMIFS(Headcount!AA$395:AA$1442,Headcount!$J$395:$J$1442,$B182))</f>
        <v>0</v>
      </c>
      <c r="S182" s="132">
        <f>IF(S$12="Actual",SUMIFS(ActualsTable[Month 17],ActualsTable[Expense Item2],$B182),SUMIFS(Expenses!BR$8:BR$69,Expenses!$O$8:$O$69,$B182)+SUMIFS(Headcount!AB$395:AB$1442,Headcount!$J$395:$J$1442,$B182))</f>
        <v>0</v>
      </c>
      <c r="T182" s="132">
        <f>IF(T$12="Actual",SUMIFS(ActualsTable[Month 18],ActualsTable[Expense Item2],$B182),SUMIFS(Expenses!BS$8:BS$69,Expenses!$O$8:$O$69,$B182)+SUMIFS(Headcount!AC$395:AC$1442,Headcount!$J$395:$J$1442,$B182))</f>
        <v>0</v>
      </c>
      <c r="U182" s="132">
        <f>IF(U$12="Actual",SUMIFS(ActualsTable[Month 19],ActualsTable[Expense Item2],$B182),SUMIFS(Expenses!BT$8:BT$69,Expenses!$O$8:$O$69,$B182)+SUMIFS(Headcount!AD$395:AD$1442,Headcount!$J$395:$J$1442,$B182))</f>
        <v>0</v>
      </c>
      <c r="V182" s="132">
        <f>IF(V$12="Actual",SUMIFS(ActualsTable[Month 20],ActualsTable[Expense Item2],$B182),SUMIFS(Expenses!BU$8:BU$69,Expenses!$O$8:$O$69,$B182)+SUMIFS(Headcount!AE$395:AE$1442,Headcount!$J$395:$J$1442,$B182))</f>
        <v>0</v>
      </c>
      <c r="W182" s="132">
        <f>IF(W$12="Actual",SUMIFS(ActualsTable[Month 21],ActualsTable[Expense Item2],$B182),SUMIFS(Expenses!BV$8:BV$69,Expenses!$O$8:$O$69,$B182)+SUMIFS(Headcount!AF$395:AF$1442,Headcount!$J$395:$J$1442,$B182))</f>
        <v>0</v>
      </c>
      <c r="X182" s="132">
        <f>IF(X$12="Actual",SUMIFS(ActualsTable[Month 22],ActualsTable[Expense Item2],$B182),SUMIFS(Expenses!BW$8:BW$69,Expenses!$O$8:$O$69,$B182)+SUMIFS(Headcount!AG$395:AG$1442,Headcount!$J$395:$J$1442,$B182))</f>
        <v>0</v>
      </c>
      <c r="Y182" s="132">
        <f>IF(Y$12="Actual",SUMIFS(ActualsTable[Month 23],ActualsTable[Expense Item2],$B182),SUMIFS(Expenses!BX$8:BX$69,Expenses!$O$8:$O$69,$B182)+SUMIFS(Headcount!AH$395:AH$1442,Headcount!$J$395:$J$1442,$B182))</f>
        <v>0</v>
      </c>
      <c r="Z182" s="132">
        <f>IF(Z$12="Actual",SUMIFS(ActualsTable[Month 24],ActualsTable[Expense Item2],$B182),SUMIFS(Expenses!BY$8:BY$69,Expenses!$O$8:$O$69,$B182)+SUMIFS(Headcount!AI$395:AI$1442,Headcount!$J$395:$J$1442,$B182))</f>
        <v>0</v>
      </c>
      <c r="AA182" s="132">
        <f>IF(AA$12="Actual",SUMIFS(ActualsTable[Month 25],ActualsTable[Expense Item2],$B182),SUMIFS(Expenses!BZ$8:BZ$69,Expenses!$O$8:$O$69,$B182)+SUMIFS(Headcount!AJ$395:AJ$1442,Headcount!$J$395:$J$1442,$B182))</f>
        <v>0</v>
      </c>
      <c r="AB182" s="132">
        <f>IF(AB$12="Actual",SUMIFS(ActualsTable[Month 26],ActualsTable[Expense Item2],$B182),SUMIFS(Expenses!CA$8:CA$69,Expenses!$O$8:$O$69,$B182)+SUMIFS(Headcount!AK$395:AK$1442,Headcount!$J$395:$J$1442,$B182))</f>
        <v>0</v>
      </c>
      <c r="AC182" s="132">
        <f>IF(AC$12="Actual",SUMIFS(ActualsTable[Month 27],ActualsTable[Expense Item2],$B182),SUMIFS(Expenses!CB$8:CB$69,Expenses!$O$8:$O$69,$B182)+SUMIFS(Headcount!AL$395:AL$1442,Headcount!$J$395:$J$1442,$B182))</f>
        <v>0</v>
      </c>
      <c r="AD182" s="132">
        <f>IF(AD$12="Actual",SUMIFS(ActualsTable[Month 28],ActualsTable[Expense Item2],$B182),SUMIFS(Expenses!CC$8:CC$69,Expenses!$O$8:$O$69,$B182)+SUMIFS(Headcount!AM$395:AM$1442,Headcount!$J$395:$J$1442,$B182))</f>
        <v>0</v>
      </c>
      <c r="AE182" s="132">
        <f>IF(AE$12="Actual",SUMIFS(ActualsTable[Month 29],ActualsTable[Expense Item2],$B182),SUMIFS(Expenses!CD$8:CD$69,Expenses!$O$8:$O$69,$B182)+SUMIFS(Headcount!AN$395:AN$1442,Headcount!$J$395:$J$1442,$B182))</f>
        <v>0</v>
      </c>
      <c r="AF182" s="132">
        <f>IF(AF$12="Actual",SUMIFS(ActualsTable[Month 30],ActualsTable[Expense Item2],$B182),SUMIFS(Expenses!CE$8:CE$69,Expenses!$O$8:$O$69,$B182)+SUMIFS(Headcount!AO$395:AO$1442,Headcount!$J$395:$J$1442,$B182))</f>
        <v>0</v>
      </c>
      <c r="AG182" s="132">
        <f>IF(AG$12="Actual",SUMIFS(ActualsTable[Month 31],ActualsTable[Expense Item2],$B182),SUMIFS(Expenses!CF$8:CF$69,Expenses!$O$8:$O$69,$B182)+SUMIFS(Headcount!AP$395:AP$1442,Headcount!$J$395:$J$1442,$B182))</f>
        <v>0</v>
      </c>
      <c r="AH182" s="132">
        <f>IF(AH$12="Actual",SUMIFS(ActualsTable[Month 32],ActualsTable[Expense Item2],$B182),SUMIFS(Expenses!CG$8:CG$69,Expenses!$O$8:$O$69,$B182)+SUMIFS(Headcount!AQ$395:AQ$1442,Headcount!$J$395:$J$1442,$B182))</f>
        <v>0</v>
      </c>
      <c r="AI182" s="132">
        <f>IF(AI$12="Actual",SUMIFS(ActualsTable[Month 33],ActualsTable[Expense Item2],$B182),SUMIFS(Expenses!CH$8:CH$69,Expenses!$O$8:$O$69,$B182)+SUMIFS(Headcount!AR$395:AR$1442,Headcount!$J$395:$J$1442,$B182))</f>
        <v>0</v>
      </c>
      <c r="AJ182" s="132">
        <f>IF(AJ$12="Actual",SUMIFS(ActualsTable[Month 34],ActualsTable[Expense Item2],$B182),SUMIFS(Expenses!CI$8:CI$69,Expenses!$O$8:$O$69,$B182)+SUMIFS(Headcount!AS$395:AS$1442,Headcount!$J$395:$J$1442,$B182))</f>
        <v>0</v>
      </c>
      <c r="AK182" s="132">
        <f>IF(AK$12="Actual",SUMIFS(ActualsTable[Month 35],ActualsTable[Expense Item2],$B182),SUMIFS(Expenses!CJ$8:CJ$69,Expenses!$O$8:$O$69,$B182)+SUMIFS(Headcount!AT$395:AT$1442,Headcount!$J$395:$J$1442,$B182))</f>
        <v>0</v>
      </c>
      <c r="AL182" s="290">
        <f>IF(AL$12="Actual",SUMIFS(ActualsTable[Month 36],ActualsTable[Expense Item2],$B182),SUMIFS(Expenses!CK$8:CK$69,Expenses!$O$8:$O$69,$B182)+SUMIFS(Headcount!AU$395:AU$1442,Headcount!$J$395:$J$1442,$B182))</f>
        <v>0</v>
      </c>
      <c r="AN182" s="316">
        <f t="shared" ref="AN182:AY182" ca="1" si="314">SUM(OFFSET($B182,0,3*AN$9+1,1,3))</f>
        <v>0</v>
      </c>
      <c r="AO182" s="132">
        <f t="shared" ca="1" si="314"/>
        <v>0</v>
      </c>
      <c r="AP182" s="132">
        <f t="shared" ca="1" si="314"/>
        <v>0</v>
      </c>
      <c r="AQ182" s="132">
        <f t="shared" ca="1" si="314"/>
        <v>0</v>
      </c>
      <c r="AR182" s="132">
        <f t="shared" ca="1" si="314"/>
        <v>0</v>
      </c>
      <c r="AS182" s="132">
        <f t="shared" ca="1" si="314"/>
        <v>0</v>
      </c>
      <c r="AT182" s="132">
        <f t="shared" ca="1" si="314"/>
        <v>0</v>
      </c>
      <c r="AU182" s="132">
        <f t="shared" ca="1" si="314"/>
        <v>0</v>
      </c>
      <c r="AV182" s="132">
        <f t="shared" ca="1" si="314"/>
        <v>0</v>
      </c>
      <c r="AW182" s="132">
        <f t="shared" ca="1" si="314"/>
        <v>0</v>
      </c>
      <c r="AX182" s="132">
        <f t="shared" ca="1" si="314"/>
        <v>0</v>
      </c>
      <c r="AY182" s="290">
        <f t="shared" ca="1" si="314"/>
        <v>0</v>
      </c>
      <c r="BA182" s="316">
        <f ca="1">SUM(OFFSET($B182,0,12*BA$9+1,1,12))</f>
        <v>0</v>
      </c>
      <c r="BB182" s="132">
        <f ca="1">SUM(OFFSET($B182,0,12*BB$9+1,1,12))</f>
        <v>0</v>
      </c>
      <c r="BC182" s="290">
        <f ca="1">SUM(OFFSET($B182,0,12*BC$9+1,1,12))</f>
        <v>0</v>
      </c>
    </row>
    <row r="183" spans="2:55" x14ac:dyDescent="0.35">
      <c r="B183" s="73"/>
      <c r="C183" s="129"/>
      <c r="D183" s="129"/>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296"/>
      <c r="AN183" s="322"/>
      <c r="AO183" s="129"/>
      <c r="AP183" s="129"/>
      <c r="AQ183" s="129"/>
      <c r="AR183" s="129"/>
      <c r="AS183" s="129"/>
      <c r="AT183" s="129"/>
      <c r="AU183" s="129"/>
      <c r="AV183" s="129"/>
      <c r="AW183" s="129"/>
      <c r="AX183" s="129"/>
      <c r="AY183" s="296"/>
      <c r="BA183" s="322"/>
      <c r="BB183" s="129"/>
      <c r="BC183" s="296"/>
    </row>
    <row r="184" spans="2:55" x14ac:dyDescent="0.35">
      <c r="B184" s="67" t="s">
        <v>61</v>
      </c>
      <c r="C184" s="127">
        <f t="shared" ref="C184" si="315">C177-C182</f>
        <v>0</v>
      </c>
      <c r="D184" s="127">
        <f t="shared" ref="D184:AL184" si="316">D177-D182</f>
        <v>0</v>
      </c>
      <c r="E184" s="127">
        <f t="shared" si="316"/>
        <v>0</v>
      </c>
      <c r="F184" s="127">
        <f t="shared" si="316"/>
        <v>0</v>
      </c>
      <c r="G184" s="127">
        <f t="shared" si="316"/>
        <v>0</v>
      </c>
      <c r="H184" s="127">
        <f t="shared" si="316"/>
        <v>0</v>
      </c>
      <c r="I184" s="127">
        <f t="shared" si="316"/>
        <v>0</v>
      </c>
      <c r="J184" s="127">
        <f t="shared" si="316"/>
        <v>0</v>
      </c>
      <c r="K184" s="127">
        <f t="shared" si="316"/>
        <v>0</v>
      </c>
      <c r="L184" s="127">
        <f t="shared" si="316"/>
        <v>0</v>
      </c>
      <c r="M184" s="127">
        <f t="shared" si="316"/>
        <v>0</v>
      </c>
      <c r="N184" s="127">
        <f t="shared" si="316"/>
        <v>0</v>
      </c>
      <c r="O184" s="127">
        <f t="shared" si="316"/>
        <v>0</v>
      </c>
      <c r="P184" s="127">
        <f t="shared" si="316"/>
        <v>0</v>
      </c>
      <c r="Q184" s="127">
        <f t="shared" si="316"/>
        <v>0</v>
      </c>
      <c r="R184" s="127">
        <f t="shared" si="316"/>
        <v>0</v>
      </c>
      <c r="S184" s="127">
        <f t="shared" si="316"/>
        <v>0</v>
      </c>
      <c r="T184" s="127">
        <f t="shared" si="316"/>
        <v>0</v>
      </c>
      <c r="U184" s="127">
        <f t="shared" si="316"/>
        <v>0</v>
      </c>
      <c r="V184" s="127">
        <f t="shared" si="316"/>
        <v>0</v>
      </c>
      <c r="W184" s="127">
        <f t="shared" si="316"/>
        <v>0</v>
      </c>
      <c r="X184" s="127">
        <f t="shared" si="316"/>
        <v>0</v>
      </c>
      <c r="Y184" s="127">
        <f t="shared" si="316"/>
        <v>0</v>
      </c>
      <c r="Z184" s="127">
        <f t="shared" si="316"/>
        <v>0</v>
      </c>
      <c r="AA184" s="127">
        <f t="shared" si="316"/>
        <v>0</v>
      </c>
      <c r="AB184" s="127">
        <f t="shared" si="316"/>
        <v>0</v>
      </c>
      <c r="AC184" s="127">
        <f t="shared" si="316"/>
        <v>0</v>
      </c>
      <c r="AD184" s="127">
        <f t="shared" si="316"/>
        <v>0</v>
      </c>
      <c r="AE184" s="127">
        <f t="shared" si="316"/>
        <v>0</v>
      </c>
      <c r="AF184" s="127">
        <f t="shared" si="316"/>
        <v>0</v>
      </c>
      <c r="AG184" s="127">
        <f t="shared" si="316"/>
        <v>0</v>
      </c>
      <c r="AH184" s="127">
        <f t="shared" si="316"/>
        <v>0</v>
      </c>
      <c r="AI184" s="127">
        <f t="shared" si="316"/>
        <v>0</v>
      </c>
      <c r="AJ184" s="127">
        <f t="shared" si="316"/>
        <v>0</v>
      </c>
      <c r="AK184" s="127">
        <f t="shared" si="316"/>
        <v>0</v>
      </c>
      <c r="AL184" s="295">
        <f t="shared" si="316"/>
        <v>0</v>
      </c>
      <c r="AN184" s="321">
        <f t="shared" ref="AN184:AT184" ca="1" si="317">AN177-AN182</f>
        <v>0</v>
      </c>
      <c r="AO184" s="127">
        <f t="shared" ca="1" si="317"/>
        <v>0</v>
      </c>
      <c r="AP184" s="127">
        <f t="shared" ca="1" si="317"/>
        <v>0</v>
      </c>
      <c r="AQ184" s="127">
        <f t="shared" ca="1" si="317"/>
        <v>0</v>
      </c>
      <c r="AR184" s="127">
        <f t="shared" ca="1" si="317"/>
        <v>0</v>
      </c>
      <c r="AS184" s="127">
        <f t="shared" ca="1" si="317"/>
        <v>0</v>
      </c>
      <c r="AT184" s="127">
        <f t="shared" ca="1" si="317"/>
        <v>0</v>
      </c>
      <c r="AU184" s="127">
        <f t="shared" ref="AU184:AY184" ca="1" si="318">AU177-AU182</f>
        <v>0</v>
      </c>
      <c r="AV184" s="127">
        <f t="shared" ca="1" si="318"/>
        <v>0</v>
      </c>
      <c r="AW184" s="127">
        <f t="shared" ca="1" si="318"/>
        <v>0</v>
      </c>
      <c r="AX184" s="127">
        <f t="shared" ca="1" si="318"/>
        <v>0</v>
      </c>
      <c r="AY184" s="295">
        <f t="shared" ca="1" si="318"/>
        <v>0</v>
      </c>
      <c r="BA184" s="321">
        <f t="shared" ref="BA184" ca="1" si="319">BA177-BA182</f>
        <v>0</v>
      </c>
      <c r="BB184" s="127">
        <f t="shared" ref="BB184:BC184" ca="1" si="320">BB177-BB182</f>
        <v>0</v>
      </c>
      <c r="BC184" s="295">
        <f t="shared" ca="1" si="320"/>
        <v>0</v>
      </c>
    </row>
    <row r="185" spans="2:55" x14ac:dyDescent="0.35">
      <c r="B185" s="72" t="s">
        <v>62</v>
      </c>
      <c r="C185" s="126">
        <f t="shared" ref="C185:AT185" si="321">IFERROR(C184/C$28,0)</f>
        <v>0</v>
      </c>
      <c r="D185" s="126">
        <f t="shared" ref="D185:AL185" si="322">IFERROR(D184/D$28,0)</f>
        <v>0</v>
      </c>
      <c r="E185" s="126">
        <f t="shared" si="322"/>
        <v>0</v>
      </c>
      <c r="F185" s="126">
        <f t="shared" si="322"/>
        <v>0</v>
      </c>
      <c r="G185" s="126">
        <f t="shared" si="322"/>
        <v>0</v>
      </c>
      <c r="H185" s="126">
        <f t="shared" si="322"/>
        <v>0</v>
      </c>
      <c r="I185" s="126">
        <f t="shared" si="322"/>
        <v>0</v>
      </c>
      <c r="J185" s="126">
        <f t="shared" si="322"/>
        <v>0</v>
      </c>
      <c r="K185" s="126">
        <f t="shared" si="322"/>
        <v>0</v>
      </c>
      <c r="L185" s="126">
        <f t="shared" si="322"/>
        <v>0</v>
      </c>
      <c r="M185" s="126">
        <f t="shared" si="322"/>
        <v>0</v>
      </c>
      <c r="N185" s="126">
        <f t="shared" si="322"/>
        <v>0</v>
      </c>
      <c r="O185" s="126">
        <f t="shared" si="322"/>
        <v>0</v>
      </c>
      <c r="P185" s="126">
        <f t="shared" si="322"/>
        <v>0</v>
      </c>
      <c r="Q185" s="126">
        <f t="shared" si="322"/>
        <v>0</v>
      </c>
      <c r="R185" s="126">
        <f t="shared" si="322"/>
        <v>0</v>
      </c>
      <c r="S185" s="126">
        <f t="shared" si="322"/>
        <v>0</v>
      </c>
      <c r="T185" s="126">
        <f t="shared" si="322"/>
        <v>0</v>
      </c>
      <c r="U185" s="126">
        <f t="shared" si="322"/>
        <v>0</v>
      </c>
      <c r="V185" s="126">
        <f t="shared" si="322"/>
        <v>0</v>
      </c>
      <c r="W185" s="126">
        <f t="shared" si="322"/>
        <v>0</v>
      </c>
      <c r="X185" s="126">
        <f t="shared" si="322"/>
        <v>0</v>
      </c>
      <c r="Y185" s="126">
        <f t="shared" si="322"/>
        <v>0</v>
      </c>
      <c r="Z185" s="126">
        <f t="shared" si="322"/>
        <v>0</v>
      </c>
      <c r="AA185" s="126">
        <f t="shared" si="322"/>
        <v>0</v>
      </c>
      <c r="AB185" s="126">
        <f t="shared" si="322"/>
        <v>0</v>
      </c>
      <c r="AC185" s="126">
        <f t="shared" si="322"/>
        <v>0</v>
      </c>
      <c r="AD185" s="126">
        <f t="shared" si="322"/>
        <v>0</v>
      </c>
      <c r="AE185" s="126">
        <f t="shared" si="322"/>
        <v>0</v>
      </c>
      <c r="AF185" s="126">
        <f t="shared" si="322"/>
        <v>0</v>
      </c>
      <c r="AG185" s="126">
        <f t="shared" si="322"/>
        <v>0</v>
      </c>
      <c r="AH185" s="126">
        <f t="shared" si="322"/>
        <v>0</v>
      </c>
      <c r="AI185" s="126">
        <f t="shared" si="322"/>
        <v>0</v>
      </c>
      <c r="AJ185" s="126">
        <f t="shared" si="322"/>
        <v>0</v>
      </c>
      <c r="AK185" s="126">
        <f t="shared" si="322"/>
        <v>0</v>
      </c>
      <c r="AL185" s="300">
        <f t="shared" si="322"/>
        <v>0</v>
      </c>
      <c r="AN185" s="326">
        <f t="shared" ca="1" si="321"/>
        <v>0</v>
      </c>
      <c r="AO185" s="126">
        <f t="shared" ca="1" si="321"/>
        <v>0</v>
      </c>
      <c r="AP185" s="126">
        <f t="shared" ca="1" si="321"/>
        <v>0</v>
      </c>
      <c r="AQ185" s="126">
        <f t="shared" ca="1" si="321"/>
        <v>0</v>
      </c>
      <c r="AR185" s="126">
        <f t="shared" ca="1" si="321"/>
        <v>0</v>
      </c>
      <c r="AS185" s="126">
        <f t="shared" ca="1" si="321"/>
        <v>0</v>
      </c>
      <c r="AT185" s="126">
        <f t="shared" ca="1" si="321"/>
        <v>0</v>
      </c>
      <c r="AU185" s="126">
        <f t="shared" ref="AU185:AY185" ca="1" si="323">IFERROR(AU184/AU$28,0)</f>
        <v>0</v>
      </c>
      <c r="AV185" s="126">
        <f t="shared" ca="1" si="323"/>
        <v>0</v>
      </c>
      <c r="AW185" s="126">
        <f t="shared" ca="1" si="323"/>
        <v>0</v>
      </c>
      <c r="AX185" s="126">
        <f t="shared" ca="1" si="323"/>
        <v>0</v>
      </c>
      <c r="AY185" s="300">
        <f t="shared" ca="1" si="323"/>
        <v>0</v>
      </c>
      <c r="BA185" s="326">
        <f t="shared" ref="BA185" ca="1" si="324">IFERROR(BA184/BA$28,0)</f>
        <v>0</v>
      </c>
      <c r="BB185" s="126">
        <f t="shared" ref="BB185:BC185" ca="1" si="325">IFERROR(BB184/BB$28,0)</f>
        <v>0</v>
      </c>
      <c r="BC185" s="300">
        <f t="shared" ca="1" si="325"/>
        <v>0</v>
      </c>
    </row>
    <row r="186" spans="2:55" x14ac:dyDescent="0.35">
      <c r="B186" s="73"/>
      <c r="C186" s="129"/>
      <c r="D186" s="129"/>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296"/>
      <c r="AN186" s="322"/>
      <c r="AO186" s="129"/>
      <c r="AP186" s="129"/>
      <c r="AQ186" s="129"/>
      <c r="AR186" s="129"/>
      <c r="AS186" s="129"/>
      <c r="AT186" s="129"/>
      <c r="AU186" s="129"/>
      <c r="AV186" s="129"/>
      <c r="AW186" s="129"/>
      <c r="AX186" s="129"/>
      <c r="AY186" s="296"/>
      <c r="BA186" s="322"/>
      <c r="BB186" s="129"/>
      <c r="BC186" s="296"/>
    </row>
    <row r="187" spans="2:55" x14ac:dyDescent="0.35">
      <c r="B187" s="63" t="s">
        <v>63</v>
      </c>
      <c r="C187" s="132">
        <f>IF(C$12="Actual",SUMIFS(ActualsTable[Month 1],ActualsTable[Expense Item2],$B187),SUMIFS(Expenses!BB$8:BB$69,Expenses!$O$8:$O$69,$B187)+SUMIFS(Headcount!L$395:L$1442,Headcount!$J$395:$J$1442,$B187))</f>
        <v>0</v>
      </c>
      <c r="D187" s="132">
        <f>IF(D$12="Actual",SUMIFS(ActualsTable[Month 2],ActualsTable[Expense Item2],$B187),SUMIFS(Expenses!BC$8:BC$69,Expenses!$O$8:$O$69,$B187)+SUMIFS(Headcount!M$395:M$1442,Headcount!$J$395:$J$1442,$B187))</f>
        <v>0</v>
      </c>
      <c r="E187" s="132">
        <f>IF(E$12="Actual",SUMIFS(ActualsTable[Month 3],ActualsTable[Expense Item2],$B187),SUMIFS(Expenses!BD$8:BD$69,Expenses!$O$8:$O$69,$B187)+SUMIFS(Headcount!N$395:N$1442,Headcount!$J$395:$J$1442,$B187))</f>
        <v>0</v>
      </c>
      <c r="F187" s="132">
        <f>IF(F$12="Actual",SUMIFS(ActualsTable[Month 4],ActualsTable[Expense Item2],$B187),SUMIFS(Expenses!BE$8:BE$69,Expenses!$O$8:$O$69,$B187)+SUMIFS(Headcount!O$395:O$1442,Headcount!$J$395:$J$1442,$B187))</f>
        <v>0</v>
      </c>
      <c r="G187" s="132">
        <f>IF(G$12="Actual",SUMIFS(ActualsTable[Month 5],ActualsTable[Expense Item2],$B187),SUMIFS(Expenses!BF$8:BF$69,Expenses!$O$8:$O$69,$B187)+SUMIFS(Headcount!P$395:P$1442,Headcount!$J$395:$J$1442,$B187))</f>
        <v>0</v>
      </c>
      <c r="H187" s="132">
        <f>IF(H$12="Actual",SUMIFS(ActualsTable[Month 6],ActualsTable[Expense Item2],$B187),SUMIFS(Expenses!BG$8:BG$69,Expenses!$O$8:$O$69,$B187)+SUMIFS(Headcount!Q$395:Q$1442,Headcount!$J$395:$J$1442,$B187))</f>
        <v>0</v>
      </c>
      <c r="I187" s="132">
        <f>IF(I$12="Actual",SUMIFS(ActualsTable[Month 7],ActualsTable[Expense Item2],$B187),SUMIFS(Expenses!BH$8:BH$69,Expenses!$O$8:$O$69,$B187)+SUMIFS(Headcount!R$395:R$1442,Headcount!$J$395:$J$1442,$B187))</f>
        <v>0</v>
      </c>
      <c r="J187" s="132">
        <f>IF(J$12="Actual",SUMIFS(ActualsTable[Month 8],ActualsTable[Expense Item2],$B187),SUMIFS(Expenses!BI$8:BI$69,Expenses!$O$8:$O$69,$B187)+SUMIFS(Headcount!S$395:S$1442,Headcount!$J$395:$J$1442,$B187))</f>
        <v>0</v>
      </c>
      <c r="K187" s="132">
        <f>IF(K$12="Actual",SUMIFS(ActualsTable[Month 9],ActualsTable[Expense Item2],$B187),SUMIFS(Expenses!BJ$8:BJ$69,Expenses!$O$8:$O$69,$B187)+SUMIFS(Headcount!T$395:T$1442,Headcount!$J$395:$J$1442,$B187))</f>
        <v>0</v>
      </c>
      <c r="L187" s="132">
        <f>IF(L$12="Actual",SUMIFS(ActualsTable[Month 10],ActualsTable[Expense Item2],$B187),SUMIFS(Expenses!BK$8:BK$69,Expenses!$O$8:$O$69,$B187)+SUMIFS(Headcount!U$395:U$1442,Headcount!$J$395:$J$1442,$B187))</f>
        <v>0</v>
      </c>
      <c r="M187" s="132">
        <f>IF(M$12="Actual",SUMIFS(ActualsTable[Month 11],ActualsTable[Expense Item2],$B187),SUMIFS(Expenses!BL$8:BL$69,Expenses!$O$8:$O$69,$B187)+SUMIFS(Headcount!V$395:V$1442,Headcount!$J$395:$J$1442,$B187))</f>
        <v>0</v>
      </c>
      <c r="N187" s="132">
        <f>IF(N$12="Actual",SUMIFS(ActualsTable[Month 12],ActualsTable[Expense Item2],$B187),SUMIFS(Expenses!BM$8:BM$69,Expenses!$O$8:$O$69,$B187)+SUMIFS(Headcount!W$395:W$1442,Headcount!$J$395:$J$1442,$B187))</f>
        <v>0</v>
      </c>
      <c r="O187" s="132">
        <f>IF(O$12="Actual",SUMIFS(ActualsTable[Month 13],ActualsTable[Expense Item2],$B187),SUMIFS(Expenses!BN$8:BN$69,Expenses!$O$8:$O$69,$B187)+SUMIFS(Headcount!X$395:X$1442,Headcount!$J$395:$J$1442,$B187))</f>
        <v>0</v>
      </c>
      <c r="P187" s="132">
        <f>IF(P$12="Actual",SUMIFS(ActualsTable[Month 14],ActualsTable[Expense Item2],$B187),SUMIFS(Expenses!BO$8:BO$69,Expenses!$O$8:$O$69,$B187)+SUMIFS(Headcount!Y$395:Y$1442,Headcount!$J$395:$J$1442,$B187))</f>
        <v>0</v>
      </c>
      <c r="Q187" s="132">
        <f>IF(Q$12="Actual",SUMIFS(ActualsTable[Month 15],ActualsTable[Expense Item2],$B187),SUMIFS(Expenses!BP$8:BP$69,Expenses!$O$8:$O$69,$B187)+SUMIFS(Headcount!Z$395:Z$1442,Headcount!$J$395:$J$1442,$B187))</f>
        <v>0</v>
      </c>
      <c r="R187" s="132">
        <f>IF(R$12="Actual",SUMIFS(ActualsTable[Month 16],ActualsTable[Expense Item2],$B187),SUMIFS(Expenses!BQ$8:BQ$69,Expenses!$O$8:$O$69,$B187)+SUMIFS(Headcount!AA$395:AA$1442,Headcount!$J$395:$J$1442,$B187))</f>
        <v>0</v>
      </c>
      <c r="S187" s="132">
        <f>IF(S$12="Actual",SUMIFS(ActualsTable[Month 17],ActualsTable[Expense Item2],$B187),SUMIFS(Expenses!BR$8:BR$69,Expenses!$O$8:$O$69,$B187)+SUMIFS(Headcount!AB$395:AB$1442,Headcount!$J$395:$J$1442,$B187))</f>
        <v>0</v>
      </c>
      <c r="T187" s="132">
        <f>IF(T$12="Actual",SUMIFS(ActualsTable[Month 18],ActualsTable[Expense Item2],$B187),SUMIFS(Expenses!BS$8:BS$69,Expenses!$O$8:$O$69,$B187)+SUMIFS(Headcount!AC$395:AC$1442,Headcount!$J$395:$J$1442,$B187))</f>
        <v>0</v>
      </c>
      <c r="U187" s="132">
        <f>IF(U$12="Actual",SUMIFS(ActualsTable[Month 19],ActualsTable[Expense Item2],$B187),SUMIFS(Expenses!BT$8:BT$69,Expenses!$O$8:$O$69,$B187)+SUMIFS(Headcount!AD$395:AD$1442,Headcount!$J$395:$J$1442,$B187))</f>
        <v>0</v>
      </c>
      <c r="V187" s="132">
        <f>IF(V$12="Actual",SUMIFS(ActualsTable[Month 20],ActualsTable[Expense Item2],$B187),SUMIFS(Expenses!BU$8:BU$69,Expenses!$O$8:$O$69,$B187)+SUMIFS(Headcount!AE$395:AE$1442,Headcount!$J$395:$J$1442,$B187))</f>
        <v>0</v>
      </c>
      <c r="W187" s="132">
        <f>IF(W$12="Actual",SUMIFS(ActualsTable[Month 21],ActualsTable[Expense Item2],$B187),SUMIFS(Expenses!BV$8:BV$69,Expenses!$O$8:$O$69,$B187)+SUMIFS(Headcount!AF$395:AF$1442,Headcount!$J$395:$J$1442,$B187))</f>
        <v>0</v>
      </c>
      <c r="X187" s="132">
        <f>IF(X$12="Actual",SUMIFS(ActualsTable[Month 22],ActualsTable[Expense Item2],$B187),SUMIFS(Expenses!BW$8:BW$69,Expenses!$O$8:$O$69,$B187)+SUMIFS(Headcount!AG$395:AG$1442,Headcount!$J$395:$J$1442,$B187))</f>
        <v>0</v>
      </c>
      <c r="Y187" s="132">
        <f>IF(Y$12="Actual",SUMIFS(ActualsTable[Month 23],ActualsTable[Expense Item2],$B187),SUMIFS(Expenses!BX$8:BX$69,Expenses!$O$8:$O$69,$B187)+SUMIFS(Headcount!AH$395:AH$1442,Headcount!$J$395:$J$1442,$B187))</f>
        <v>0</v>
      </c>
      <c r="Z187" s="132">
        <f>IF(Z$12="Actual",SUMIFS(ActualsTable[Month 24],ActualsTable[Expense Item2],$B187),SUMIFS(Expenses!BY$8:BY$69,Expenses!$O$8:$O$69,$B187)+SUMIFS(Headcount!AI$395:AI$1442,Headcount!$J$395:$J$1442,$B187))</f>
        <v>0</v>
      </c>
      <c r="AA187" s="132">
        <f>IF(AA$12="Actual",SUMIFS(ActualsTable[Month 25],ActualsTable[Expense Item2],$B187),SUMIFS(Expenses!BZ$8:BZ$69,Expenses!$O$8:$O$69,$B187)+SUMIFS(Headcount!AJ$395:AJ$1442,Headcount!$J$395:$J$1442,$B187))</f>
        <v>0</v>
      </c>
      <c r="AB187" s="132">
        <f>IF(AB$12="Actual",SUMIFS(ActualsTable[Month 26],ActualsTable[Expense Item2],$B187),SUMIFS(Expenses!CA$8:CA$69,Expenses!$O$8:$O$69,$B187)+SUMIFS(Headcount!AK$395:AK$1442,Headcount!$J$395:$J$1442,$B187))</f>
        <v>0</v>
      </c>
      <c r="AC187" s="132">
        <f>IF(AC$12="Actual",SUMIFS(ActualsTable[Month 27],ActualsTable[Expense Item2],$B187),SUMIFS(Expenses!CB$8:CB$69,Expenses!$O$8:$O$69,$B187)+SUMIFS(Headcount!AL$395:AL$1442,Headcount!$J$395:$J$1442,$B187))</f>
        <v>0</v>
      </c>
      <c r="AD187" s="132">
        <f>IF(AD$12="Actual",SUMIFS(ActualsTable[Month 28],ActualsTable[Expense Item2],$B187),SUMIFS(Expenses!CC$8:CC$69,Expenses!$O$8:$O$69,$B187)+SUMIFS(Headcount!AM$395:AM$1442,Headcount!$J$395:$J$1442,$B187))</f>
        <v>0</v>
      </c>
      <c r="AE187" s="132">
        <f>IF(AE$12="Actual",SUMIFS(ActualsTable[Month 29],ActualsTable[Expense Item2],$B187),SUMIFS(Expenses!CD$8:CD$69,Expenses!$O$8:$O$69,$B187)+SUMIFS(Headcount!AN$395:AN$1442,Headcount!$J$395:$J$1442,$B187))</f>
        <v>0</v>
      </c>
      <c r="AF187" s="132">
        <f>IF(AF$12="Actual",SUMIFS(ActualsTable[Month 30],ActualsTable[Expense Item2],$B187),SUMIFS(Expenses!CE$8:CE$69,Expenses!$O$8:$O$69,$B187)+SUMIFS(Headcount!AO$395:AO$1442,Headcount!$J$395:$J$1442,$B187))</f>
        <v>0</v>
      </c>
      <c r="AG187" s="132">
        <f>IF(AG$12="Actual",SUMIFS(ActualsTable[Month 31],ActualsTable[Expense Item2],$B187),SUMIFS(Expenses!CF$8:CF$69,Expenses!$O$8:$O$69,$B187)+SUMIFS(Headcount!AP$395:AP$1442,Headcount!$J$395:$J$1442,$B187))</f>
        <v>0</v>
      </c>
      <c r="AH187" s="132">
        <f>IF(AH$12="Actual",SUMIFS(ActualsTable[Month 32],ActualsTable[Expense Item2],$B187),SUMIFS(Expenses!CG$8:CG$69,Expenses!$O$8:$O$69,$B187)+SUMIFS(Headcount!AQ$395:AQ$1442,Headcount!$J$395:$J$1442,$B187))</f>
        <v>0</v>
      </c>
      <c r="AI187" s="132">
        <f>IF(AI$12="Actual",SUMIFS(ActualsTable[Month 33],ActualsTable[Expense Item2],$B187),SUMIFS(Expenses!CH$8:CH$69,Expenses!$O$8:$O$69,$B187)+SUMIFS(Headcount!AR$395:AR$1442,Headcount!$J$395:$J$1442,$B187))</f>
        <v>0</v>
      </c>
      <c r="AJ187" s="132">
        <f>IF(AJ$12="Actual",SUMIFS(ActualsTable[Month 34],ActualsTable[Expense Item2],$B187),SUMIFS(Expenses!CI$8:CI$69,Expenses!$O$8:$O$69,$B187)+SUMIFS(Headcount!AS$395:AS$1442,Headcount!$J$395:$J$1442,$B187))</f>
        <v>0</v>
      </c>
      <c r="AK187" s="132">
        <f>IF(AK$12="Actual",SUMIFS(ActualsTable[Month 35],ActualsTable[Expense Item2],$B187),SUMIFS(Expenses!CJ$8:CJ$69,Expenses!$O$8:$O$69,$B187)+SUMIFS(Headcount!AT$395:AT$1442,Headcount!$J$395:$J$1442,$B187))</f>
        <v>0</v>
      </c>
      <c r="AL187" s="290">
        <f>IF(AL$12="Actual",SUMIFS(ActualsTable[Month 36],ActualsTable[Expense Item2],$B187),SUMIFS(Expenses!CK$8:CK$69,Expenses!$O$8:$O$69,$B187)+SUMIFS(Headcount!AU$395:AU$1442,Headcount!$J$395:$J$1442,$B187))</f>
        <v>0</v>
      </c>
      <c r="AN187" s="316">
        <f t="shared" ref="AN187:AY189" ca="1" si="326">SUM(OFFSET($B187,0,3*AN$9+1,1,3))</f>
        <v>0</v>
      </c>
      <c r="AO187" s="132">
        <f t="shared" ca="1" si="326"/>
        <v>0</v>
      </c>
      <c r="AP187" s="132">
        <f t="shared" ca="1" si="326"/>
        <v>0</v>
      </c>
      <c r="AQ187" s="132">
        <f t="shared" ca="1" si="326"/>
        <v>0</v>
      </c>
      <c r="AR187" s="132">
        <f t="shared" ca="1" si="326"/>
        <v>0</v>
      </c>
      <c r="AS187" s="132">
        <f t="shared" ca="1" si="326"/>
        <v>0</v>
      </c>
      <c r="AT187" s="132">
        <f t="shared" ca="1" si="326"/>
        <v>0</v>
      </c>
      <c r="AU187" s="132">
        <f t="shared" ca="1" si="326"/>
        <v>0</v>
      </c>
      <c r="AV187" s="132">
        <f t="shared" ca="1" si="326"/>
        <v>0</v>
      </c>
      <c r="AW187" s="132">
        <f t="shared" ca="1" si="326"/>
        <v>0</v>
      </c>
      <c r="AX187" s="132">
        <f t="shared" ca="1" si="326"/>
        <v>0</v>
      </c>
      <c r="AY187" s="290">
        <f t="shared" ca="1" si="326"/>
        <v>0</v>
      </c>
      <c r="BA187" s="316">
        <f t="shared" ref="BA187:BC189" ca="1" si="327">SUM(OFFSET($B187,0,12*BA$9+1,1,12))</f>
        <v>0</v>
      </c>
      <c r="BB187" s="132">
        <f t="shared" ca="1" si="327"/>
        <v>0</v>
      </c>
      <c r="BC187" s="290">
        <f t="shared" ca="1" si="327"/>
        <v>0</v>
      </c>
    </row>
    <row r="188" spans="2:55" x14ac:dyDescent="0.35">
      <c r="B188" s="63" t="s">
        <v>64</v>
      </c>
      <c r="C188" s="131">
        <f>IF(C$12="Actual",SUMIFS(ActualsTable[Month 1],ActualsTable[Expense Item2],$B188),SUMIFS(Expenses!BB$8:BB$69,Expenses!$O$8:$O$69,$B188)+SUMIFS(Headcount!L$395:L$1442,Headcount!$J$395:$J$1442,$B188))</f>
        <v>0</v>
      </c>
      <c r="D188" s="131">
        <f>IF(D$12="Actual",SUMIFS(ActualsTable[Month 2],ActualsTable[Expense Item2],$B188),SUMIFS(Expenses!BC$8:BC$69,Expenses!$O$8:$O$69,$B188)+SUMIFS(Headcount!M$395:M$1442,Headcount!$J$395:$J$1442,$B188))</f>
        <v>0</v>
      </c>
      <c r="E188" s="131">
        <f>IF(E$12="Actual",SUMIFS(ActualsTable[Month 3],ActualsTable[Expense Item2],$B188),SUMIFS(Expenses!BD$8:BD$69,Expenses!$O$8:$O$69,$B188)+SUMIFS(Headcount!N$395:N$1442,Headcount!$J$395:$J$1442,$B188))</f>
        <v>0</v>
      </c>
      <c r="F188" s="131">
        <f>IF(F$12="Actual",SUMIFS(ActualsTable[Month 4],ActualsTable[Expense Item2],$B188),SUMIFS(Expenses!BE$8:BE$69,Expenses!$O$8:$O$69,$B188)+SUMIFS(Headcount!O$395:O$1442,Headcount!$J$395:$J$1442,$B188))</f>
        <v>0</v>
      </c>
      <c r="G188" s="131">
        <f>IF(G$12="Actual",SUMIFS(ActualsTable[Month 5],ActualsTable[Expense Item2],$B188),SUMIFS(Expenses!BF$8:BF$69,Expenses!$O$8:$O$69,$B188)+SUMIFS(Headcount!P$395:P$1442,Headcount!$J$395:$J$1442,$B188))</f>
        <v>0</v>
      </c>
      <c r="H188" s="131">
        <f>IF(H$12="Actual",SUMIFS(ActualsTable[Month 6],ActualsTable[Expense Item2],$B188),SUMIFS(Expenses!BG$8:BG$69,Expenses!$O$8:$O$69,$B188)+SUMIFS(Headcount!Q$395:Q$1442,Headcount!$J$395:$J$1442,$B188))</f>
        <v>0</v>
      </c>
      <c r="I188" s="131">
        <f>IF(I$12="Actual",SUMIFS(ActualsTable[Month 7],ActualsTable[Expense Item2],$B188),SUMIFS(Expenses!BH$8:BH$69,Expenses!$O$8:$O$69,$B188)+SUMIFS(Headcount!R$395:R$1442,Headcount!$J$395:$J$1442,$B188))</f>
        <v>0</v>
      </c>
      <c r="J188" s="131">
        <f>IF(J$12="Actual",SUMIFS(ActualsTable[Month 8],ActualsTable[Expense Item2],$B188),SUMIFS(Expenses!BI$8:BI$69,Expenses!$O$8:$O$69,$B188)+SUMIFS(Headcount!S$395:S$1442,Headcount!$J$395:$J$1442,$B188))</f>
        <v>0</v>
      </c>
      <c r="K188" s="131">
        <f>IF(K$12="Actual",SUMIFS(ActualsTable[Month 9],ActualsTable[Expense Item2],$B188),SUMIFS(Expenses!BJ$8:BJ$69,Expenses!$O$8:$O$69,$B188)+SUMIFS(Headcount!T$395:T$1442,Headcount!$J$395:$J$1442,$B188))</f>
        <v>0</v>
      </c>
      <c r="L188" s="131">
        <f>IF(L$12="Actual",SUMIFS(ActualsTable[Month 10],ActualsTable[Expense Item2],$B188),SUMIFS(Expenses!BK$8:BK$69,Expenses!$O$8:$O$69,$B188)+SUMIFS(Headcount!U$395:U$1442,Headcount!$J$395:$J$1442,$B188))</f>
        <v>0</v>
      </c>
      <c r="M188" s="131">
        <f>IF(M$12="Actual",SUMIFS(ActualsTable[Month 11],ActualsTable[Expense Item2],$B188),SUMIFS(Expenses!BL$8:BL$69,Expenses!$O$8:$O$69,$B188)+SUMIFS(Headcount!V$395:V$1442,Headcount!$J$395:$J$1442,$B188))</f>
        <v>0</v>
      </c>
      <c r="N188" s="131">
        <f>IF(N$12="Actual",SUMIFS(ActualsTable[Month 12],ActualsTable[Expense Item2],$B188),SUMIFS(Expenses!BM$8:BM$69,Expenses!$O$8:$O$69,$B188)+SUMIFS(Headcount!W$395:W$1442,Headcount!$J$395:$J$1442,$B188))</f>
        <v>0</v>
      </c>
      <c r="O188" s="131">
        <f>IF(O$12="Actual",SUMIFS(ActualsTable[Month 13],ActualsTable[Expense Item2],$B188),SUMIFS(Expenses!BN$8:BN$69,Expenses!$O$8:$O$69,$B188)+SUMIFS(Headcount!X$395:X$1442,Headcount!$J$395:$J$1442,$B188))</f>
        <v>0</v>
      </c>
      <c r="P188" s="131">
        <f>IF(P$12="Actual",SUMIFS(ActualsTable[Month 14],ActualsTable[Expense Item2],$B188),SUMIFS(Expenses!BO$8:BO$69,Expenses!$O$8:$O$69,$B188)+SUMIFS(Headcount!Y$395:Y$1442,Headcount!$J$395:$J$1442,$B188))</f>
        <v>0</v>
      </c>
      <c r="Q188" s="131">
        <f>IF(Q$12="Actual",SUMIFS(ActualsTable[Month 15],ActualsTable[Expense Item2],$B188),SUMIFS(Expenses!BP$8:BP$69,Expenses!$O$8:$O$69,$B188)+SUMIFS(Headcount!Z$395:Z$1442,Headcount!$J$395:$J$1442,$B188))</f>
        <v>0</v>
      </c>
      <c r="R188" s="131">
        <f>IF(R$12="Actual",SUMIFS(ActualsTable[Month 16],ActualsTable[Expense Item2],$B188),SUMIFS(Expenses!BQ$8:BQ$69,Expenses!$O$8:$O$69,$B188)+SUMIFS(Headcount!AA$395:AA$1442,Headcount!$J$395:$J$1442,$B188))</f>
        <v>0</v>
      </c>
      <c r="S188" s="131">
        <f>IF(S$12="Actual",SUMIFS(ActualsTable[Month 17],ActualsTable[Expense Item2],$B188),SUMIFS(Expenses!BR$8:BR$69,Expenses!$O$8:$O$69,$B188)+SUMIFS(Headcount!AB$395:AB$1442,Headcount!$J$395:$J$1442,$B188))</f>
        <v>0</v>
      </c>
      <c r="T188" s="131">
        <f>IF(T$12="Actual",SUMIFS(ActualsTable[Month 18],ActualsTable[Expense Item2],$B188),SUMIFS(Expenses!BS$8:BS$69,Expenses!$O$8:$O$69,$B188)+SUMIFS(Headcount!AC$395:AC$1442,Headcount!$J$395:$J$1442,$B188))</f>
        <v>0</v>
      </c>
      <c r="U188" s="131">
        <f>IF(U$12="Actual",SUMIFS(ActualsTable[Month 19],ActualsTable[Expense Item2],$B188),SUMIFS(Expenses!BT$8:BT$69,Expenses!$O$8:$O$69,$B188)+SUMIFS(Headcount!AD$395:AD$1442,Headcount!$J$395:$J$1442,$B188))</f>
        <v>0</v>
      </c>
      <c r="V188" s="131">
        <f>IF(V$12="Actual",SUMIFS(ActualsTable[Month 20],ActualsTable[Expense Item2],$B188),SUMIFS(Expenses!BU$8:BU$69,Expenses!$O$8:$O$69,$B188)+SUMIFS(Headcount!AE$395:AE$1442,Headcount!$J$395:$J$1442,$B188))</f>
        <v>0</v>
      </c>
      <c r="W188" s="131">
        <f>IF(W$12="Actual",SUMIFS(ActualsTable[Month 21],ActualsTable[Expense Item2],$B188),SUMIFS(Expenses!BV$8:BV$69,Expenses!$O$8:$O$69,$B188)+SUMIFS(Headcount!AF$395:AF$1442,Headcount!$J$395:$J$1442,$B188))</f>
        <v>0</v>
      </c>
      <c r="X188" s="131">
        <f>IF(X$12="Actual",SUMIFS(ActualsTable[Month 22],ActualsTable[Expense Item2],$B188),SUMIFS(Expenses!BW$8:BW$69,Expenses!$O$8:$O$69,$B188)+SUMIFS(Headcount!AG$395:AG$1442,Headcount!$J$395:$J$1442,$B188))</f>
        <v>0</v>
      </c>
      <c r="Y188" s="131">
        <f>IF(Y$12="Actual",SUMIFS(ActualsTable[Month 23],ActualsTable[Expense Item2],$B188),SUMIFS(Expenses!BX$8:BX$69,Expenses!$O$8:$O$69,$B188)+SUMIFS(Headcount!AH$395:AH$1442,Headcount!$J$395:$J$1442,$B188))</f>
        <v>0</v>
      </c>
      <c r="Z188" s="131">
        <f>IF(Z$12="Actual",SUMIFS(ActualsTable[Month 24],ActualsTable[Expense Item2],$B188),SUMIFS(Expenses!BY$8:BY$69,Expenses!$O$8:$O$69,$B188)+SUMIFS(Headcount!AI$395:AI$1442,Headcount!$J$395:$J$1442,$B188))</f>
        <v>0</v>
      </c>
      <c r="AA188" s="131">
        <f>IF(AA$12="Actual",SUMIFS(ActualsTable[Month 25],ActualsTable[Expense Item2],$B188),SUMIFS(Expenses!BZ$8:BZ$69,Expenses!$O$8:$O$69,$B188)+SUMIFS(Headcount!AJ$395:AJ$1442,Headcount!$J$395:$J$1442,$B188))</f>
        <v>0</v>
      </c>
      <c r="AB188" s="131">
        <f>IF(AB$12="Actual",SUMIFS(ActualsTable[Month 26],ActualsTable[Expense Item2],$B188),SUMIFS(Expenses!CA$8:CA$69,Expenses!$O$8:$O$69,$B188)+SUMIFS(Headcount!AK$395:AK$1442,Headcount!$J$395:$J$1442,$B188))</f>
        <v>0</v>
      </c>
      <c r="AC188" s="131">
        <f>IF(AC$12="Actual",SUMIFS(ActualsTable[Month 27],ActualsTable[Expense Item2],$B188),SUMIFS(Expenses!CB$8:CB$69,Expenses!$O$8:$O$69,$B188)+SUMIFS(Headcount!AL$395:AL$1442,Headcount!$J$395:$J$1442,$B188))</f>
        <v>0</v>
      </c>
      <c r="AD188" s="131">
        <f>IF(AD$12="Actual",SUMIFS(ActualsTable[Month 28],ActualsTable[Expense Item2],$B188),SUMIFS(Expenses!CC$8:CC$69,Expenses!$O$8:$O$69,$B188)+SUMIFS(Headcount!AM$395:AM$1442,Headcount!$J$395:$J$1442,$B188))</f>
        <v>0</v>
      </c>
      <c r="AE188" s="131">
        <f>IF(AE$12="Actual",SUMIFS(ActualsTable[Month 29],ActualsTable[Expense Item2],$B188),SUMIFS(Expenses!CD$8:CD$69,Expenses!$O$8:$O$69,$B188)+SUMIFS(Headcount!AN$395:AN$1442,Headcount!$J$395:$J$1442,$B188))</f>
        <v>0</v>
      </c>
      <c r="AF188" s="131">
        <f>IF(AF$12="Actual",SUMIFS(ActualsTable[Month 30],ActualsTable[Expense Item2],$B188),SUMIFS(Expenses!CE$8:CE$69,Expenses!$O$8:$O$69,$B188)+SUMIFS(Headcount!AO$395:AO$1442,Headcount!$J$395:$J$1442,$B188))</f>
        <v>0</v>
      </c>
      <c r="AG188" s="131">
        <f>IF(AG$12="Actual",SUMIFS(ActualsTable[Month 31],ActualsTable[Expense Item2],$B188),SUMIFS(Expenses!CF$8:CF$69,Expenses!$O$8:$O$69,$B188)+SUMIFS(Headcount!AP$395:AP$1442,Headcount!$J$395:$J$1442,$B188))</f>
        <v>0</v>
      </c>
      <c r="AH188" s="131">
        <f>IF(AH$12="Actual",SUMIFS(ActualsTable[Month 32],ActualsTable[Expense Item2],$B188),SUMIFS(Expenses!CG$8:CG$69,Expenses!$O$8:$O$69,$B188)+SUMIFS(Headcount!AQ$395:AQ$1442,Headcount!$J$395:$J$1442,$B188))</f>
        <v>0</v>
      </c>
      <c r="AI188" s="131">
        <f>IF(AI$12="Actual",SUMIFS(ActualsTable[Month 33],ActualsTable[Expense Item2],$B188),SUMIFS(Expenses!CH$8:CH$69,Expenses!$O$8:$O$69,$B188)+SUMIFS(Headcount!AR$395:AR$1442,Headcount!$J$395:$J$1442,$B188))</f>
        <v>0</v>
      </c>
      <c r="AJ188" s="131">
        <f>IF(AJ$12="Actual",SUMIFS(ActualsTable[Month 34],ActualsTable[Expense Item2],$B188),SUMIFS(Expenses!CI$8:CI$69,Expenses!$O$8:$O$69,$B188)+SUMIFS(Headcount!AS$395:AS$1442,Headcount!$J$395:$J$1442,$B188))</f>
        <v>0</v>
      </c>
      <c r="AK188" s="131">
        <f>IF(AK$12="Actual",SUMIFS(ActualsTable[Month 35],ActualsTable[Expense Item2],$B188),SUMIFS(Expenses!CJ$8:CJ$69,Expenses!$O$8:$O$69,$B188)+SUMIFS(Headcount!AT$395:AT$1442,Headcount!$J$395:$J$1442,$B188))</f>
        <v>0</v>
      </c>
      <c r="AL188" s="291">
        <f>IF(AL$12="Actual",SUMIFS(ActualsTable[Month 36],ActualsTable[Expense Item2],$B188),SUMIFS(Expenses!CK$8:CK$69,Expenses!$O$8:$O$69,$B188)+SUMIFS(Headcount!AU$395:AU$1442,Headcount!$J$395:$J$1442,$B188))</f>
        <v>0</v>
      </c>
      <c r="AN188" s="317">
        <f t="shared" ca="1" si="326"/>
        <v>0</v>
      </c>
      <c r="AO188" s="131">
        <f t="shared" ca="1" si="326"/>
        <v>0</v>
      </c>
      <c r="AP188" s="131">
        <f t="shared" ca="1" si="326"/>
        <v>0</v>
      </c>
      <c r="AQ188" s="131">
        <f t="shared" ca="1" si="326"/>
        <v>0</v>
      </c>
      <c r="AR188" s="131">
        <f t="shared" ca="1" si="326"/>
        <v>0</v>
      </c>
      <c r="AS188" s="131">
        <f t="shared" ca="1" si="326"/>
        <v>0</v>
      </c>
      <c r="AT188" s="131">
        <f t="shared" ca="1" si="326"/>
        <v>0</v>
      </c>
      <c r="AU188" s="131">
        <f t="shared" ca="1" si="326"/>
        <v>0</v>
      </c>
      <c r="AV188" s="131">
        <f t="shared" ca="1" si="326"/>
        <v>0</v>
      </c>
      <c r="AW188" s="131">
        <f t="shared" ca="1" si="326"/>
        <v>0</v>
      </c>
      <c r="AX188" s="131">
        <f t="shared" ca="1" si="326"/>
        <v>0</v>
      </c>
      <c r="AY188" s="291">
        <f t="shared" ca="1" si="326"/>
        <v>0</v>
      </c>
      <c r="BA188" s="317">
        <f t="shared" ca="1" si="327"/>
        <v>0</v>
      </c>
      <c r="BB188" s="131">
        <f t="shared" ca="1" si="327"/>
        <v>0</v>
      </c>
      <c r="BC188" s="291">
        <f t="shared" ca="1" si="327"/>
        <v>0</v>
      </c>
    </row>
    <row r="189" spans="2:55" ht="15" x14ac:dyDescent="0.4">
      <c r="B189" s="63" t="s">
        <v>65</v>
      </c>
      <c r="C189" s="130">
        <f>IF(C$12="Actual",SUMIFS(ActualsTable[Month 1],ActualsTable[Expense Item2],$B189),SUMIFS(Expenses!BB$8:BB$69,Expenses!$O$8:$O$69,$B189)+SUMIFS(Headcount!L$395:L$1442,Headcount!$J$395:$J$1442,$B189))</f>
        <v>0</v>
      </c>
      <c r="D189" s="130">
        <f>IF(D$12="Actual",SUMIFS(ActualsTable[Month 2],ActualsTable[Expense Item2],$B189),SUMIFS(Expenses!BC$8:BC$69,Expenses!$O$8:$O$69,$B189)+SUMIFS(Headcount!M$395:M$1442,Headcount!$J$395:$J$1442,$B189))</f>
        <v>0</v>
      </c>
      <c r="E189" s="130">
        <f>IF(E$12="Actual",SUMIFS(ActualsTable[Month 3],ActualsTable[Expense Item2],$B189),SUMIFS(Expenses!BD$8:BD$69,Expenses!$O$8:$O$69,$B189)+SUMIFS(Headcount!N$395:N$1442,Headcount!$J$395:$J$1442,$B189))</f>
        <v>0</v>
      </c>
      <c r="F189" s="130">
        <f>IF(F$12="Actual",SUMIFS(ActualsTable[Month 4],ActualsTable[Expense Item2],$B189),SUMIFS(Expenses!BE$8:BE$69,Expenses!$O$8:$O$69,$B189)+SUMIFS(Headcount!O$395:O$1442,Headcount!$J$395:$J$1442,$B189))</f>
        <v>0</v>
      </c>
      <c r="G189" s="130">
        <f>IF(G$12="Actual",SUMIFS(ActualsTable[Month 5],ActualsTable[Expense Item2],$B189),SUMIFS(Expenses!BF$8:BF$69,Expenses!$O$8:$O$69,$B189)+SUMIFS(Headcount!P$395:P$1442,Headcount!$J$395:$J$1442,$B189))</f>
        <v>0</v>
      </c>
      <c r="H189" s="130">
        <f>IF(H$12="Actual",SUMIFS(ActualsTable[Month 6],ActualsTable[Expense Item2],$B189),SUMIFS(Expenses!BG$8:BG$69,Expenses!$O$8:$O$69,$B189)+SUMIFS(Headcount!Q$395:Q$1442,Headcount!$J$395:$J$1442,$B189))</f>
        <v>0</v>
      </c>
      <c r="I189" s="130">
        <f>IF(I$12="Actual",SUMIFS(ActualsTable[Month 7],ActualsTable[Expense Item2],$B189),SUMIFS(Expenses!BH$8:BH$69,Expenses!$O$8:$O$69,$B189)+SUMIFS(Headcount!R$395:R$1442,Headcount!$J$395:$J$1442,$B189))</f>
        <v>0</v>
      </c>
      <c r="J189" s="130">
        <f>IF(J$12="Actual",SUMIFS(ActualsTable[Month 8],ActualsTable[Expense Item2],$B189),SUMIFS(Expenses!BI$8:BI$69,Expenses!$O$8:$O$69,$B189)+SUMIFS(Headcount!S$395:S$1442,Headcount!$J$395:$J$1442,$B189))</f>
        <v>0</v>
      </c>
      <c r="K189" s="130">
        <f>IF(K$12="Actual",SUMIFS(ActualsTable[Month 9],ActualsTable[Expense Item2],$B189),SUMIFS(Expenses!BJ$8:BJ$69,Expenses!$O$8:$O$69,$B189)+SUMIFS(Headcount!T$395:T$1442,Headcount!$J$395:$J$1442,$B189))</f>
        <v>0</v>
      </c>
      <c r="L189" s="130">
        <f>IF(L$12="Actual",SUMIFS(ActualsTable[Month 10],ActualsTable[Expense Item2],$B189),SUMIFS(Expenses!BK$8:BK$69,Expenses!$O$8:$O$69,$B189)+SUMIFS(Headcount!U$395:U$1442,Headcount!$J$395:$J$1442,$B189))</f>
        <v>0</v>
      </c>
      <c r="M189" s="130">
        <f>IF(M$12="Actual",SUMIFS(ActualsTable[Month 11],ActualsTable[Expense Item2],$B189),SUMIFS(Expenses!BL$8:BL$69,Expenses!$O$8:$O$69,$B189)+SUMIFS(Headcount!V$395:V$1442,Headcount!$J$395:$J$1442,$B189))</f>
        <v>0</v>
      </c>
      <c r="N189" s="130">
        <f>IF(N$12="Actual",SUMIFS(ActualsTable[Month 12],ActualsTable[Expense Item2],$B189),SUMIFS(Expenses!BM$8:BM$69,Expenses!$O$8:$O$69,$B189)+SUMIFS(Headcount!W$395:W$1442,Headcount!$J$395:$J$1442,$B189))</f>
        <v>0</v>
      </c>
      <c r="O189" s="130">
        <f>IF(O$12="Actual",SUMIFS(ActualsTable[Month 13],ActualsTable[Expense Item2],$B189),SUMIFS(Expenses!BN$8:BN$69,Expenses!$O$8:$O$69,$B189)+SUMIFS(Headcount!X$395:X$1442,Headcount!$J$395:$J$1442,$B189))</f>
        <v>0</v>
      </c>
      <c r="P189" s="130">
        <f>IF(P$12="Actual",SUMIFS(ActualsTable[Month 14],ActualsTable[Expense Item2],$B189),SUMIFS(Expenses!BO$8:BO$69,Expenses!$O$8:$O$69,$B189)+SUMIFS(Headcount!Y$395:Y$1442,Headcount!$J$395:$J$1442,$B189))</f>
        <v>0</v>
      </c>
      <c r="Q189" s="130">
        <f>IF(Q$12="Actual",SUMIFS(ActualsTable[Month 15],ActualsTable[Expense Item2],$B189),SUMIFS(Expenses!BP$8:BP$69,Expenses!$O$8:$O$69,$B189)+SUMIFS(Headcount!Z$395:Z$1442,Headcount!$J$395:$J$1442,$B189))</f>
        <v>0</v>
      </c>
      <c r="R189" s="130">
        <f>IF(R$12="Actual",SUMIFS(ActualsTable[Month 16],ActualsTable[Expense Item2],$B189),SUMIFS(Expenses!BQ$8:BQ$69,Expenses!$O$8:$O$69,$B189)+SUMIFS(Headcount!AA$395:AA$1442,Headcount!$J$395:$J$1442,$B189))</f>
        <v>0</v>
      </c>
      <c r="S189" s="130">
        <f>IF(S$12="Actual",SUMIFS(ActualsTable[Month 17],ActualsTable[Expense Item2],$B189),SUMIFS(Expenses!BR$8:BR$69,Expenses!$O$8:$O$69,$B189)+SUMIFS(Headcount!AB$395:AB$1442,Headcount!$J$395:$J$1442,$B189))</f>
        <v>0</v>
      </c>
      <c r="T189" s="130">
        <f>IF(T$12="Actual",SUMIFS(ActualsTable[Month 18],ActualsTable[Expense Item2],$B189),SUMIFS(Expenses!BS$8:BS$69,Expenses!$O$8:$O$69,$B189)+SUMIFS(Headcount!AC$395:AC$1442,Headcount!$J$395:$J$1442,$B189))</f>
        <v>0</v>
      </c>
      <c r="U189" s="130">
        <f>IF(U$12="Actual",SUMIFS(ActualsTable[Month 19],ActualsTable[Expense Item2],$B189),SUMIFS(Expenses!BT$8:BT$69,Expenses!$O$8:$O$69,$B189)+SUMIFS(Headcount!AD$395:AD$1442,Headcount!$J$395:$J$1442,$B189))</f>
        <v>0</v>
      </c>
      <c r="V189" s="130">
        <f>IF(V$12="Actual",SUMIFS(ActualsTable[Month 20],ActualsTable[Expense Item2],$B189),SUMIFS(Expenses!BU$8:BU$69,Expenses!$O$8:$O$69,$B189)+SUMIFS(Headcount!AE$395:AE$1442,Headcount!$J$395:$J$1442,$B189))</f>
        <v>0</v>
      </c>
      <c r="W189" s="130">
        <f>IF(W$12="Actual",SUMIFS(ActualsTable[Month 21],ActualsTable[Expense Item2],$B189),SUMIFS(Expenses!BV$8:BV$69,Expenses!$O$8:$O$69,$B189)+SUMIFS(Headcount!AF$395:AF$1442,Headcount!$J$395:$J$1442,$B189))</f>
        <v>0</v>
      </c>
      <c r="X189" s="130">
        <f>IF(X$12="Actual",SUMIFS(ActualsTable[Month 22],ActualsTable[Expense Item2],$B189),SUMIFS(Expenses!BW$8:BW$69,Expenses!$O$8:$O$69,$B189)+SUMIFS(Headcount!AG$395:AG$1442,Headcount!$J$395:$J$1442,$B189))</f>
        <v>0</v>
      </c>
      <c r="Y189" s="130">
        <f>IF(Y$12="Actual",SUMIFS(ActualsTable[Month 23],ActualsTable[Expense Item2],$B189),SUMIFS(Expenses!BX$8:BX$69,Expenses!$O$8:$O$69,$B189)+SUMIFS(Headcount!AH$395:AH$1442,Headcount!$J$395:$J$1442,$B189))</f>
        <v>0</v>
      </c>
      <c r="Z189" s="130">
        <f>IF(Z$12="Actual",SUMIFS(ActualsTable[Month 24],ActualsTable[Expense Item2],$B189),SUMIFS(Expenses!BY$8:BY$69,Expenses!$O$8:$O$69,$B189)+SUMIFS(Headcount!AI$395:AI$1442,Headcount!$J$395:$J$1442,$B189))</f>
        <v>0</v>
      </c>
      <c r="AA189" s="130">
        <f>IF(AA$12="Actual",SUMIFS(ActualsTable[Month 25],ActualsTable[Expense Item2],$B189),SUMIFS(Expenses!BZ$8:BZ$69,Expenses!$O$8:$O$69,$B189)+SUMIFS(Headcount!AJ$395:AJ$1442,Headcount!$J$395:$J$1442,$B189))</f>
        <v>0</v>
      </c>
      <c r="AB189" s="130">
        <f>IF(AB$12="Actual",SUMIFS(ActualsTable[Month 26],ActualsTable[Expense Item2],$B189),SUMIFS(Expenses!CA$8:CA$69,Expenses!$O$8:$O$69,$B189)+SUMIFS(Headcount!AK$395:AK$1442,Headcount!$J$395:$J$1442,$B189))</f>
        <v>0</v>
      </c>
      <c r="AC189" s="130">
        <f>IF(AC$12="Actual",SUMIFS(ActualsTable[Month 27],ActualsTable[Expense Item2],$B189),SUMIFS(Expenses!CB$8:CB$69,Expenses!$O$8:$O$69,$B189)+SUMIFS(Headcount!AL$395:AL$1442,Headcount!$J$395:$J$1442,$B189))</f>
        <v>0</v>
      </c>
      <c r="AD189" s="130">
        <f>IF(AD$12="Actual",SUMIFS(ActualsTable[Month 28],ActualsTable[Expense Item2],$B189),SUMIFS(Expenses!CC$8:CC$69,Expenses!$O$8:$O$69,$B189)+SUMIFS(Headcount!AM$395:AM$1442,Headcount!$J$395:$J$1442,$B189))</f>
        <v>0</v>
      </c>
      <c r="AE189" s="130">
        <f>IF(AE$12="Actual",SUMIFS(ActualsTable[Month 29],ActualsTable[Expense Item2],$B189),SUMIFS(Expenses!CD$8:CD$69,Expenses!$O$8:$O$69,$B189)+SUMIFS(Headcount!AN$395:AN$1442,Headcount!$J$395:$J$1442,$B189))</f>
        <v>0</v>
      </c>
      <c r="AF189" s="130">
        <f>IF(AF$12="Actual",SUMIFS(ActualsTable[Month 30],ActualsTable[Expense Item2],$B189),SUMIFS(Expenses!CE$8:CE$69,Expenses!$O$8:$O$69,$B189)+SUMIFS(Headcount!AO$395:AO$1442,Headcount!$J$395:$J$1442,$B189))</f>
        <v>0</v>
      </c>
      <c r="AG189" s="130">
        <f>IF(AG$12="Actual",SUMIFS(ActualsTable[Month 31],ActualsTable[Expense Item2],$B189),SUMIFS(Expenses!CF$8:CF$69,Expenses!$O$8:$O$69,$B189)+SUMIFS(Headcount!AP$395:AP$1442,Headcount!$J$395:$J$1442,$B189))</f>
        <v>0</v>
      </c>
      <c r="AH189" s="130">
        <f>IF(AH$12="Actual",SUMIFS(ActualsTable[Month 32],ActualsTable[Expense Item2],$B189),SUMIFS(Expenses!CG$8:CG$69,Expenses!$O$8:$O$69,$B189)+SUMIFS(Headcount!AQ$395:AQ$1442,Headcount!$J$395:$J$1442,$B189))</f>
        <v>0</v>
      </c>
      <c r="AI189" s="130">
        <f>IF(AI$12="Actual",SUMIFS(ActualsTable[Month 33],ActualsTable[Expense Item2],$B189),SUMIFS(Expenses!CH$8:CH$69,Expenses!$O$8:$O$69,$B189)+SUMIFS(Headcount!AR$395:AR$1442,Headcount!$J$395:$J$1442,$B189))</f>
        <v>0</v>
      </c>
      <c r="AJ189" s="130">
        <f>IF(AJ$12="Actual",SUMIFS(ActualsTable[Month 34],ActualsTable[Expense Item2],$B189),SUMIFS(Expenses!CI$8:CI$69,Expenses!$O$8:$O$69,$B189)+SUMIFS(Headcount!AS$395:AS$1442,Headcount!$J$395:$J$1442,$B189))</f>
        <v>0</v>
      </c>
      <c r="AK189" s="130">
        <f>IF(AK$12="Actual",SUMIFS(ActualsTable[Month 35],ActualsTable[Expense Item2],$B189),SUMIFS(Expenses!CJ$8:CJ$69,Expenses!$O$8:$O$69,$B189)+SUMIFS(Headcount!AT$395:AT$1442,Headcount!$J$395:$J$1442,$B189))</f>
        <v>0</v>
      </c>
      <c r="AL189" s="298">
        <f>IF(AL$12="Actual",SUMIFS(ActualsTable[Month 36],ActualsTable[Expense Item2],$B189),SUMIFS(Expenses!CK$8:CK$69,Expenses!$O$8:$O$69,$B189)+SUMIFS(Headcount!AU$395:AU$1442,Headcount!$J$395:$J$1442,$B189))</f>
        <v>0</v>
      </c>
      <c r="AN189" s="324">
        <f t="shared" ca="1" si="326"/>
        <v>0</v>
      </c>
      <c r="AO189" s="130">
        <f t="shared" ca="1" si="326"/>
        <v>0</v>
      </c>
      <c r="AP189" s="130">
        <f t="shared" ca="1" si="326"/>
        <v>0</v>
      </c>
      <c r="AQ189" s="130">
        <f t="shared" ca="1" si="326"/>
        <v>0</v>
      </c>
      <c r="AR189" s="130">
        <f t="shared" ca="1" si="326"/>
        <v>0</v>
      </c>
      <c r="AS189" s="130">
        <f t="shared" ca="1" si="326"/>
        <v>0</v>
      </c>
      <c r="AT189" s="130">
        <f t="shared" ca="1" si="326"/>
        <v>0</v>
      </c>
      <c r="AU189" s="130">
        <f t="shared" ca="1" si="326"/>
        <v>0</v>
      </c>
      <c r="AV189" s="130">
        <f t="shared" ca="1" si="326"/>
        <v>0</v>
      </c>
      <c r="AW189" s="130">
        <f t="shared" ca="1" si="326"/>
        <v>0</v>
      </c>
      <c r="AX189" s="130">
        <f t="shared" ca="1" si="326"/>
        <v>0</v>
      </c>
      <c r="AY189" s="298">
        <f t="shared" ca="1" si="326"/>
        <v>0</v>
      </c>
      <c r="BA189" s="324">
        <f t="shared" ca="1" si="327"/>
        <v>0</v>
      </c>
      <c r="BB189" s="130">
        <f t="shared" ca="1" si="327"/>
        <v>0</v>
      </c>
      <c r="BC189" s="298">
        <f t="shared" ca="1" si="327"/>
        <v>0</v>
      </c>
    </row>
    <row r="190" spans="2:55" x14ac:dyDescent="0.35">
      <c r="B190" s="67" t="s">
        <v>66</v>
      </c>
      <c r="C190" s="127">
        <f t="shared" ref="C190:AN190" si="328">SUM(C187:C189)</f>
        <v>0</v>
      </c>
      <c r="D190" s="127">
        <f t="shared" ref="D190:AL190" si="329">SUM(D187:D189)</f>
        <v>0</v>
      </c>
      <c r="E190" s="127">
        <f t="shared" si="329"/>
        <v>0</v>
      </c>
      <c r="F190" s="127">
        <f t="shared" si="329"/>
        <v>0</v>
      </c>
      <c r="G190" s="127">
        <f t="shared" si="329"/>
        <v>0</v>
      </c>
      <c r="H190" s="127">
        <f t="shared" si="329"/>
        <v>0</v>
      </c>
      <c r="I190" s="127">
        <f t="shared" si="329"/>
        <v>0</v>
      </c>
      <c r="J190" s="127">
        <f t="shared" si="329"/>
        <v>0</v>
      </c>
      <c r="K190" s="127">
        <f t="shared" si="329"/>
        <v>0</v>
      </c>
      <c r="L190" s="127">
        <f t="shared" si="329"/>
        <v>0</v>
      </c>
      <c r="M190" s="127">
        <f t="shared" si="329"/>
        <v>0</v>
      </c>
      <c r="N190" s="127">
        <f t="shared" si="329"/>
        <v>0</v>
      </c>
      <c r="O190" s="127">
        <f t="shared" si="329"/>
        <v>0</v>
      </c>
      <c r="P190" s="127">
        <f t="shared" si="329"/>
        <v>0</v>
      </c>
      <c r="Q190" s="127">
        <f t="shared" si="329"/>
        <v>0</v>
      </c>
      <c r="R190" s="127">
        <f t="shared" si="329"/>
        <v>0</v>
      </c>
      <c r="S190" s="127">
        <f t="shared" si="329"/>
        <v>0</v>
      </c>
      <c r="T190" s="127">
        <f t="shared" si="329"/>
        <v>0</v>
      </c>
      <c r="U190" s="127">
        <f t="shared" si="329"/>
        <v>0</v>
      </c>
      <c r="V190" s="127">
        <f t="shared" si="329"/>
        <v>0</v>
      </c>
      <c r="W190" s="127">
        <f t="shared" si="329"/>
        <v>0</v>
      </c>
      <c r="X190" s="127">
        <f t="shared" si="329"/>
        <v>0</v>
      </c>
      <c r="Y190" s="127">
        <f t="shared" si="329"/>
        <v>0</v>
      </c>
      <c r="Z190" s="127">
        <f t="shared" si="329"/>
        <v>0</v>
      </c>
      <c r="AA190" s="127">
        <f t="shared" si="329"/>
        <v>0</v>
      </c>
      <c r="AB190" s="127">
        <f t="shared" si="329"/>
        <v>0</v>
      </c>
      <c r="AC190" s="127">
        <f t="shared" si="329"/>
        <v>0</v>
      </c>
      <c r="AD190" s="127">
        <f t="shared" si="329"/>
        <v>0</v>
      </c>
      <c r="AE190" s="127">
        <f t="shared" si="329"/>
        <v>0</v>
      </c>
      <c r="AF190" s="127">
        <f t="shared" si="329"/>
        <v>0</v>
      </c>
      <c r="AG190" s="127">
        <f t="shared" si="329"/>
        <v>0</v>
      </c>
      <c r="AH190" s="127">
        <f t="shared" si="329"/>
        <v>0</v>
      </c>
      <c r="AI190" s="127">
        <f t="shared" si="329"/>
        <v>0</v>
      </c>
      <c r="AJ190" s="127">
        <f t="shared" si="329"/>
        <v>0</v>
      </c>
      <c r="AK190" s="127">
        <f t="shared" si="329"/>
        <v>0</v>
      </c>
      <c r="AL190" s="295">
        <f t="shared" si="329"/>
        <v>0</v>
      </c>
      <c r="AN190" s="321">
        <f t="shared" ca="1" si="328"/>
        <v>0</v>
      </c>
      <c r="AO190" s="127">
        <f t="shared" ref="AO190:AT190" ca="1" si="330">SUM(AO187:AO189)</f>
        <v>0</v>
      </c>
      <c r="AP190" s="127">
        <f t="shared" ca="1" si="330"/>
        <v>0</v>
      </c>
      <c r="AQ190" s="127">
        <f t="shared" ca="1" si="330"/>
        <v>0</v>
      </c>
      <c r="AR190" s="127">
        <f t="shared" ca="1" si="330"/>
        <v>0</v>
      </c>
      <c r="AS190" s="127">
        <f t="shared" ca="1" si="330"/>
        <v>0</v>
      </c>
      <c r="AT190" s="127">
        <f t="shared" ca="1" si="330"/>
        <v>0</v>
      </c>
      <c r="AU190" s="127">
        <f t="shared" ref="AU190:AY190" ca="1" si="331">SUM(AU187:AU189)</f>
        <v>0</v>
      </c>
      <c r="AV190" s="127">
        <f t="shared" ca="1" si="331"/>
        <v>0</v>
      </c>
      <c r="AW190" s="127">
        <f t="shared" ca="1" si="331"/>
        <v>0</v>
      </c>
      <c r="AX190" s="127">
        <f t="shared" ca="1" si="331"/>
        <v>0</v>
      </c>
      <c r="AY190" s="295">
        <f t="shared" ca="1" si="331"/>
        <v>0</v>
      </c>
      <c r="BA190" s="321">
        <f t="shared" ref="BA190" ca="1" si="332">SUM(BA187:BA189)</f>
        <v>0</v>
      </c>
      <c r="BB190" s="127">
        <f t="shared" ref="BB190:BC190" ca="1" si="333">SUM(BB187:BB189)</f>
        <v>0</v>
      </c>
      <c r="BC190" s="295">
        <f t="shared" ca="1" si="333"/>
        <v>0</v>
      </c>
    </row>
    <row r="191" spans="2:55" x14ac:dyDescent="0.35">
      <c r="B191" s="73"/>
      <c r="C191" s="129"/>
      <c r="D191" s="129"/>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296"/>
      <c r="AN191" s="322"/>
      <c r="AO191" s="129"/>
      <c r="AP191" s="129"/>
      <c r="AQ191" s="129"/>
      <c r="AR191" s="129"/>
      <c r="AS191" s="129"/>
      <c r="AT191" s="129"/>
      <c r="AU191" s="129"/>
      <c r="AV191" s="129"/>
      <c r="AW191" s="129"/>
      <c r="AX191" s="129"/>
      <c r="AY191" s="296"/>
      <c r="BA191" s="322"/>
      <c r="BB191" s="129"/>
      <c r="BC191" s="296"/>
    </row>
    <row r="192" spans="2:55" x14ac:dyDescent="0.35">
      <c r="B192" s="67" t="s">
        <v>67</v>
      </c>
      <c r="C192" s="127">
        <f t="shared" ref="C192" si="334">C184-C190</f>
        <v>0</v>
      </c>
      <c r="D192" s="127">
        <f t="shared" ref="D192:AL192" si="335">D184-D190</f>
        <v>0</v>
      </c>
      <c r="E192" s="127">
        <f t="shared" si="335"/>
        <v>0</v>
      </c>
      <c r="F192" s="127">
        <f t="shared" si="335"/>
        <v>0</v>
      </c>
      <c r="G192" s="127">
        <f t="shared" si="335"/>
        <v>0</v>
      </c>
      <c r="H192" s="127">
        <f t="shared" si="335"/>
        <v>0</v>
      </c>
      <c r="I192" s="127">
        <f t="shared" si="335"/>
        <v>0</v>
      </c>
      <c r="J192" s="127">
        <f t="shared" si="335"/>
        <v>0</v>
      </c>
      <c r="K192" s="127">
        <f t="shared" si="335"/>
        <v>0</v>
      </c>
      <c r="L192" s="127">
        <f t="shared" si="335"/>
        <v>0</v>
      </c>
      <c r="M192" s="127">
        <f t="shared" si="335"/>
        <v>0</v>
      </c>
      <c r="N192" s="127">
        <f t="shared" si="335"/>
        <v>0</v>
      </c>
      <c r="O192" s="127">
        <f t="shared" si="335"/>
        <v>0</v>
      </c>
      <c r="P192" s="127">
        <f t="shared" si="335"/>
        <v>0</v>
      </c>
      <c r="Q192" s="127">
        <f t="shared" si="335"/>
        <v>0</v>
      </c>
      <c r="R192" s="127">
        <f t="shared" si="335"/>
        <v>0</v>
      </c>
      <c r="S192" s="127">
        <f t="shared" si="335"/>
        <v>0</v>
      </c>
      <c r="T192" s="127">
        <f t="shared" si="335"/>
        <v>0</v>
      </c>
      <c r="U192" s="127">
        <f t="shared" si="335"/>
        <v>0</v>
      </c>
      <c r="V192" s="127">
        <f t="shared" si="335"/>
        <v>0</v>
      </c>
      <c r="W192" s="127">
        <f t="shared" si="335"/>
        <v>0</v>
      </c>
      <c r="X192" s="127">
        <f t="shared" si="335"/>
        <v>0</v>
      </c>
      <c r="Y192" s="127">
        <f t="shared" si="335"/>
        <v>0</v>
      </c>
      <c r="Z192" s="127">
        <f t="shared" si="335"/>
        <v>0</v>
      </c>
      <c r="AA192" s="127">
        <f t="shared" si="335"/>
        <v>0</v>
      </c>
      <c r="AB192" s="127">
        <f t="shared" si="335"/>
        <v>0</v>
      </c>
      <c r="AC192" s="127">
        <f t="shared" si="335"/>
        <v>0</v>
      </c>
      <c r="AD192" s="127">
        <f t="shared" si="335"/>
        <v>0</v>
      </c>
      <c r="AE192" s="127">
        <f t="shared" si="335"/>
        <v>0</v>
      </c>
      <c r="AF192" s="127">
        <f t="shared" si="335"/>
        <v>0</v>
      </c>
      <c r="AG192" s="127">
        <f t="shared" si="335"/>
        <v>0</v>
      </c>
      <c r="AH192" s="127">
        <f t="shared" si="335"/>
        <v>0</v>
      </c>
      <c r="AI192" s="127">
        <f t="shared" si="335"/>
        <v>0</v>
      </c>
      <c r="AJ192" s="127">
        <f t="shared" si="335"/>
        <v>0</v>
      </c>
      <c r="AK192" s="127">
        <f t="shared" si="335"/>
        <v>0</v>
      </c>
      <c r="AL192" s="295">
        <f t="shared" si="335"/>
        <v>0</v>
      </c>
      <c r="AN192" s="321">
        <f t="shared" ref="AN192:AT192" ca="1" si="336">AN184-AN190</f>
        <v>0</v>
      </c>
      <c r="AO192" s="127">
        <f t="shared" ca="1" si="336"/>
        <v>0</v>
      </c>
      <c r="AP192" s="127">
        <f t="shared" ca="1" si="336"/>
        <v>0</v>
      </c>
      <c r="AQ192" s="127">
        <f t="shared" ca="1" si="336"/>
        <v>0</v>
      </c>
      <c r="AR192" s="127">
        <f t="shared" ca="1" si="336"/>
        <v>0</v>
      </c>
      <c r="AS192" s="127">
        <f t="shared" ca="1" si="336"/>
        <v>0</v>
      </c>
      <c r="AT192" s="127">
        <f t="shared" ca="1" si="336"/>
        <v>0</v>
      </c>
      <c r="AU192" s="127">
        <f t="shared" ref="AU192:AY192" ca="1" si="337">AU184-AU190</f>
        <v>0</v>
      </c>
      <c r="AV192" s="127">
        <f t="shared" ca="1" si="337"/>
        <v>0</v>
      </c>
      <c r="AW192" s="127">
        <f t="shared" ca="1" si="337"/>
        <v>0</v>
      </c>
      <c r="AX192" s="127">
        <f t="shared" ca="1" si="337"/>
        <v>0</v>
      </c>
      <c r="AY192" s="295">
        <f t="shared" ca="1" si="337"/>
        <v>0</v>
      </c>
      <c r="BA192" s="321">
        <f t="shared" ref="BA192" ca="1" si="338">BA184-BA190</f>
        <v>0</v>
      </c>
      <c r="BB192" s="127">
        <f t="shared" ref="BB192:BC192" ca="1" si="339">BB184-BB190</f>
        <v>0</v>
      </c>
      <c r="BC192" s="295">
        <f t="shared" ca="1" si="339"/>
        <v>0</v>
      </c>
    </row>
    <row r="193" spans="2:55" x14ac:dyDescent="0.35">
      <c r="B193" s="73"/>
      <c r="C193" s="129"/>
      <c r="D193" s="129"/>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296"/>
      <c r="AN193" s="322"/>
      <c r="AO193" s="129"/>
      <c r="AP193" s="129"/>
      <c r="AQ193" s="129"/>
      <c r="AR193" s="129"/>
      <c r="AS193" s="129"/>
      <c r="AT193" s="129"/>
      <c r="AU193" s="129"/>
      <c r="AV193" s="129"/>
      <c r="AW193" s="129"/>
      <c r="AX193" s="129"/>
      <c r="AY193" s="296"/>
      <c r="BA193" s="322"/>
      <c r="BB193" s="129"/>
      <c r="BC193" s="296"/>
    </row>
    <row r="194" spans="2:55" ht="15" x14ac:dyDescent="0.4">
      <c r="B194" s="63" t="s">
        <v>68</v>
      </c>
      <c r="C194" s="128">
        <f>IF(C$12="Actual",SUMIFS(ActualsTable[Month 1],ActualsTable[Expense Item2],$B194),SUMIFS(Expenses!BB$8:BB$69,Expenses!$O$8:$O$69,$B194)+SUMIFS(Headcount!L$395:L$1442,Headcount!$J$395:$J$1442,$B194))</f>
        <v>0</v>
      </c>
      <c r="D194" s="128">
        <f>IF(D$12="Actual",SUMIFS(ActualsTable[Month 2],ActualsTable[Expense Item2],$B194),SUMIFS(Expenses!BC$8:BC$69,Expenses!$O$8:$O$69,$B194)+SUMIFS(Headcount!M$395:M$1442,Headcount!$J$395:$J$1442,$B194))</f>
        <v>0</v>
      </c>
      <c r="E194" s="128">
        <f>IF(E$12="Actual",SUMIFS(ActualsTable[Month 3],ActualsTable[Expense Item2],$B194),SUMIFS(Expenses!BD$8:BD$69,Expenses!$O$8:$O$69,$B194)+SUMIFS(Headcount!N$395:N$1442,Headcount!$J$395:$J$1442,$B194))</f>
        <v>0</v>
      </c>
      <c r="F194" s="128">
        <f>IF(F$12="Actual",SUMIFS(ActualsTable[Month 4],ActualsTable[Expense Item2],$B194),SUMIFS(Expenses!BE$8:BE$69,Expenses!$O$8:$O$69,$B194)+SUMIFS(Headcount!O$395:O$1442,Headcount!$J$395:$J$1442,$B194))</f>
        <v>0</v>
      </c>
      <c r="G194" s="128">
        <f>IF(G$12="Actual",SUMIFS(ActualsTable[Month 5],ActualsTable[Expense Item2],$B194),SUMIFS(Expenses!BF$8:BF$69,Expenses!$O$8:$O$69,$B194)+SUMIFS(Headcount!P$395:P$1442,Headcount!$J$395:$J$1442,$B194))</f>
        <v>0</v>
      </c>
      <c r="H194" s="128">
        <f>IF(H$12="Actual",SUMIFS(ActualsTable[Month 6],ActualsTable[Expense Item2],$B194),SUMIFS(Expenses!BG$8:BG$69,Expenses!$O$8:$O$69,$B194)+SUMIFS(Headcount!Q$395:Q$1442,Headcount!$J$395:$J$1442,$B194))</f>
        <v>0</v>
      </c>
      <c r="I194" s="128">
        <f>IF(I$12="Actual",SUMIFS(ActualsTable[Month 7],ActualsTable[Expense Item2],$B194),SUMIFS(Expenses!BH$8:BH$69,Expenses!$O$8:$O$69,$B194)+SUMIFS(Headcount!R$395:R$1442,Headcount!$J$395:$J$1442,$B194))</f>
        <v>0</v>
      </c>
      <c r="J194" s="128">
        <f>IF(J$12="Actual",SUMIFS(ActualsTable[Month 8],ActualsTable[Expense Item2],$B194),SUMIFS(Expenses!BI$8:BI$69,Expenses!$O$8:$O$69,$B194)+SUMIFS(Headcount!S$395:S$1442,Headcount!$J$395:$J$1442,$B194))</f>
        <v>0</v>
      </c>
      <c r="K194" s="128">
        <f>IF(K$12="Actual",SUMIFS(ActualsTable[Month 9],ActualsTable[Expense Item2],$B194),SUMIFS(Expenses!BJ$8:BJ$69,Expenses!$O$8:$O$69,$B194)+SUMIFS(Headcount!T$395:T$1442,Headcount!$J$395:$J$1442,$B194))</f>
        <v>0</v>
      </c>
      <c r="L194" s="128">
        <f>IF(L$12="Actual",SUMIFS(ActualsTable[Month 10],ActualsTable[Expense Item2],$B194),SUMIFS(Expenses!BK$8:BK$69,Expenses!$O$8:$O$69,$B194)+SUMIFS(Headcount!U$395:U$1442,Headcount!$J$395:$J$1442,$B194))</f>
        <v>0</v>
      </c>
      <c r="M194" s="128">
        <f>IF(M$12="Actual",SUMIFS(ActualsTable[Month 11],ActualsTable[Expense Item2],$B194),SUMIFS(Expenses!BL$8:BL$69,Expenses!$O$8:$O$69,$B194)+SUMIFS(Headcount!V$395:V$1442,Headcount!$J$395:$J$1442,$B194))</f>
        <v>0</v>
      </c>
      <c r="N194" s="128">
        <f>IF(N$12="Actual",SUMIFS(ActualsTable[Month 12],ActualsTable[Expense Item2],$B194),SUMIFS(Expenses!BM$8:BM$69,Expenses!$O$8:$O$69,$B194)+SUMIFS(Headcount!W$395:W$1442,Headcount!$J$395:$J$1442,$B194))</f>
        <v>0</v>
      </c>
      <c r="O194" s="128">
        <f>IF(O$12="Actual",SUMIFS(ActualsTable[Month 13],ActualsTable[Expense Item2],$B194),SUMIFS(Expenses!BN$8:BN$69,Expenses!$O$8:$O$69,$B194)+SUMIFS(Headcount!X$395:X$1442,Headcount!$J$395:$J$1442,$B194))</f>
        <v>0</v>
      </c>
      <c r="P194" s="128">
        <f>IF(P$12="Actual",SUMIFS(ActualsTable[Month 14],ActualsTable[Expense Item2],$B194),SUMIFS(Expenses!BO$8:BO$69,Expenses!$O$8:$O$69,$B194)+SUMIFS(Headcount!Y$395:Y$1442,Headcount!$J$395:$J$1442,$B194))</f>
        <v>0</v>
      </c>
      <c r="Q194" s="128">
        <f>IF(Q$12="Actual",SUMIFS(ActualsTable[Month 15],ActualsTable[Expense Item2],$B194),SUMIFS(Expenses!BP$8:BP$69,Expenses!$O$8:$O$69,$B194)+SUMIFS(Headcount!Z$395:Z$1442,Headcount!$J$395:$J$1442,$B194))</f>
        <v>0</v>
      </c>
      <c r="R194" s="128">
        <f>IF(R$12="Actual",SUMIFS(ActualsTable[Month 16],ActualsTable[Expense Item2],$B194),SUMIFS(Expenses!BQ$8:BQ$69,Expenses!$O$8:$O$69,$B194)+SUMIFS(Headcount!AA$395:AA$1442,Headcount!$J$395:$J$1442,$B194))</f>
        <v>0</v>
      </c>
      <c r="S194" s="128">
        <f>IF(S$12="Actual",SUMIFS(ActualsTable[Month 17],ActualsTable[Expense Item2],$B194),SUMIFS(Expenses!BR$8:BR$69,Expenses!$O$8:$O$69,$B194)+SUMIFS(Headcount!AB$395:AB$1442,Headcount!$J$395:$J$1442,$B194))</f>
        <v>0</v>
      </c>
      <c r="T194" s="128">
        <f>IF(T$12="Actual",SUMIFS(ActualsTable[Month 18],ActualsTable[Expense Item2],$B194),SUMIFS(Expenses!BS$8:BS$69,Expenses!$O$8:$O$69,$B194)+SUMIFS(Headcount!AC$395:AC$1442,Headcount!$J$395:$J$1442,$B194))</f>
        <v>0</v>
      </c>
      <c r="U194" s="128">
        <f>IF(U$12="Actual",SUMIFS(ActualsTable[Month 19],ActualsTable[Expense Item2],$B194),SUMIFS(Expenses!BT$8:BT$69,Expenses!$O$8:$O$69,$B194)+SUMIFS(Headcount!AD$395:AD$1442,Headcount!$J$395:$J$1442,$B194))</f>
        <v>0</v>
      </c>
      <c r="V194" s="128">
        <f>IF(V$12="Actual",SUMIFS(ActualsTable[Month 20],ActualsTable[Expense Item2],$B194),SUMIFS(Expenses!BU$8:BU$69,Expenses!$O$8:$O$69,$B194)+SUMIFS(Headcount!AE$395:AE$1442,Headcount!$J$395:$J$1442,$B194))</f>
        <v>0</v>
      </c>
      <c r="W194" s="128">
        <f>IF(W$12="Actual",SUMIFS(ActualsTable[Month 21],ActualsTable[Expense Item2],$B194),SUMIFS(Expenses!BV$8:BV$69,Expenses!$O$8:$O$69,$B194)+SUMIFS(Headcount!AF$395:AF$1442,Headcount!$J$395:$J$1442,$B194))</f>
        <v>0</v>
      </c>
      <c r="X194" s="128">
        <f>IF(X$12="Actual",SUMIFS(ActualsTable[Month 22],ActualsTable[Expense Item2],$B194),SUMIFS(Expenses!BW$8:BW$69,Expenses!$O$8:$O$69,$B194)+SUMIFS(Headcount!AG$395:AG$1442,Headcount!$J$395:$J$1442,$B194))</f>
        <v>0</v>
      </c>
      <c r="Y194" s="128">
        <f>IF(Y$12="Actual",SUMIFS(ActualsTable[Month 23],ActualsTable[Expense Item2],$B194),SUMIFS(Expenses!BX$8:BX$69,Expenses!$O$8:$O$69,$B194)+SUMIFS(Headcount!AH$395:AH$1442,Headcount!$J$395:$J$1442,$B194))</f>
        <v>0</v>
      </c>
      <c r="Z194" s="128">
        <f>IF(Z$12="Actual",SUMIFS(ActualsTable[Month 24],ActualsTable[Expense Item2],$B194),SUMIFS(Expenses!BY$8:BY$69,Expenses!$O$8:$O$69,$B194)+SUMIFS(Headcount!AI$395:AI$1442,Headcount!$J$395:$J$1442,$B194))</f>
        <v>0</v>
      </c>
      <c r="AA194" s="128">
        <f>IF(AA$12="Actual",SUMIFS(ActualsTable[Month 25],ActualsTable[Expense Item2],$B194),SUMIFS(Expenses!BZ$8:BZ$69,Expenses!$O$8:$O$69,$B194)+SUMIFS(Headcount!AJ$395:AJ$1442,Headcount!$J$395:$J$1442,$B194))</f>
        <v>0</v>
      </c>
      <c r="AB194" s="128">
        <f>IF(AB$12="Actual",SUMIFS(ActualsTable[Month 26],ActualsTable[Expense Item2],$B194),SUMIFS(Expenses!CA$8:CA$69,Expenses!$O$8:$O$69,$B194)+SUMIFS(Headcount!AK$395:AK$1442,Headcount!$J$395:$J$1442,$B194))</f>
        <v>0</v>
      </c>
      <c r="AC194" s="128">
        <f>IF(AC$12="Actual",SUMIFS(ActualsTable[Month 27],ActualsTable[Expense Item2],$B194),SUMIFS(Expenses!CB$8:CB$69,Expenses!$O$8:$O$69,$B194)+SUMIFS(Headcount!AL$395:AL$1442,Headcount!$J$395:$J$1442,$B194))</f>
        <v>0</v>
      </c>
      <c r="AD194" s="128">
        <f>IF(AD$12="Actual",SUMIFS(ActualsTable[Month 28],ActualsTable[Expense Item2],$B194),SUMIFS(Expenses!CC$8:CC$69,Expenses!$O$8:$O$69,$B194)+SUMIFS(Headcount!AM$395:AM$1442,Headcount!$J$395:$J$1442,$B194))</f>
        <v>0</v>
      </c>
      <c r="AE194" s="128">
        <f>IF(AE$12="Actual",SUMIFS(ActualsTable[Month 29],ActualsTable[Expense Item2],$B194),SUMIFS(Expenses!CD$8:CD$69,Expenses!$O$8:$O$69,$B194)+SUMIFS(Headcount!AN$395:AN$1442,Headcount!$J$395:$J$1442,$B194))</f>
        <v>0</v>
      </c>
      <c r="AF194" s="128">
        <f>IF(AF$12="Actual",SUMIFS(ActualsTable[Month 30],ActualsTable[Expense Item2],$B194),SUMIFS(Expenses!CE$8:CE$69,Expenses!$O$8:$O$69,$B194)+SUMIFS(Headcount!AO$395:AO$1442,Headcount!$J$395:$J$1442,$B194))</f>
        <v>0</v>
      </c>
      <c r="AG194" s="128">
        <f>IF(AG$12="Actual",SUMIFS(ActualsTable[Month 31],ActualsTable[Expense Item2],$B194),SUMIFS(Expenses!CF$8:CF$69,Expenses!$O$8:$O$69,$B194)+SUMIFS(Headcount!AP$395:AP$1442,Headcount!$J$395:$J$1442,$B194))</f>
        <v>0</v>
      </c>
      <c r="AH194" s="128">
        <f>IF(AH$12="Actual",SUMIFS(ActualsTable[Month 32],ActualsTable[Expense Item2],$B194),SUMIFS(Expenses!CG$8:CG$69,Expenses!$O$8:$O$69,$B194)+SUMIFS(Headcount!AQ$395:AQ$1442,Headcount!$J$395:$J$1442,$B194))</f>
        <v>0</v>
      </c>
      <c r="AI194" s="128">
        <f>IF(AI$12="Actual",SUMIFS(ActualsTable[Month 33],ActualsTable[Expense Item2],$B194),SUMIFS(Expenses!CH$8:CH$69,Expenses!$O$8:$O$69,$B194)+SUMIFS(Headcount!AR$395:AR$1442,Headcount!$J$395:$J$1442,$B194))</f>
        <v>0</v>
      </c>
      <c r="AJ194" s="128">
        <f>IF(AJ$12="Actual",SUMIFS(ActualsTable[Month 34],ActualsTable[Expense Item2],$B194),SUMIFS(Expenses!CI$8:CI$69,Expenses!$O$8:$O$69,$B194)+SUMIFS(Headcount!AS$395:AS$1442,Headcount!$J$395:$J$1442,$B194))</f>
        <v>0</v>
      </c>
      <c r="AK194" s="128">
        <f>IF(AK$12="Actual",SUMIFS(ActualsTable[Month 35],ActualsTable[Expense Item2],$B194),SUMIFS(Expenses!CJ$8:CJ$69,Expenses!$O$8:$O$69,$B194)+SUMIFS(Headcount!AT$395:AT$1442,Headcount!$J$395:$J$1442,$B194))</f>
        <v>0</v>
      </c>
      <c r="AL194" s="305">
        <f>IF(AL$12="Actual",SUMIFS(ActualsTable[Month 36],ActualsTable[Expense Item2],$B194),SUMIFS(Expenses!CK$8:CK$69,Expenses!$O$8:$O$69,$B194)+SUMIFS(Headcount!AU$395:AU$1442,Headcount!$J$395:$J$1442,$B194))</f>
        <v>0</v>
      </c>
      <c r="AN194" s="331">
        <f t="shared" ref="AN194:AY194" ca="1" si="340">SUM(OFFSET($B194,0,3*AN$9+1,1,3))</f>
        <v>0</v>
      </c>
      <c r="AO194" s="128">
        <f t="shared" ca="1" si="340"/>
        <v>0</v>
      </c>
      <c r="AP194" s="128">
        <f t="shared" ca="1" si="340"/>
        <v>0</v>
      </c>
      <c r="AQ194" s="128">
        <f t="shared" ca="1" si="340"/>
        <v>0</v>
      </c>
      <c r="AR194" s="128">
        <f t="shared" ca="1" si="340"/>
        <v>0</v>
      </c>
      <c r="AS194" s="128">
        <f t="shared" ca="1" si="340"/>
        <v>0</v>
      </c>
      <c r="AT194" s="128">
        <f t="shared" ca="1" si="340"/>
        <v>0</v>
      </c>
      <c r="AU194" s="128">
        <f t="shared" ca="1" si="340"/>
        <v>0</v>
      </c>
      <c r="AV194" s="128">
        <f t="shared" ca="1" si="340"/>
        <v>0</v>
      </c>
      <c r="AW194" s="128">
        <f t="shared" ca="1" si="340"/>
        <v>0</v>
      </c>
      <c r="AX194" s="128">
        <f t="shared" ca="1" si="340"/>
        <v>0</v>
      </c>
      <c r="AY194" s="305">
        <f t="shared" ca="1" si="340"/>
        <v>0</v>
      </c>
      <c r="BA194" s="331">
        <f ca="1">SUM(OFFSET($B194,0,12*BA$9+1,1,12))</f>
        <v>0</v>
      </c>
      <c r="BB194" s="128">
        <f ca="1">SUM(OFFSET($B194,0,12*BB$9+1,1,12))</f>
        <v>0</v>
      </c>
      <c r="BC194" s="305">
        <f ca="1">SUM(OFFSET($B194,0,12*BC$9+1,1,12))</f>
        <v>0</v>
      </c>
    </row>
    <row r="195" spans="2:55" x14ac:dyDescent="0.35">
      <c r="B195" s="67" t="s">
        <v>69</v>
      </c>
      <c r="C195" s="127">
        <f t="shared" ref="C195:AT195" si="341">C192-C194</f>
        <v>0</v>
      </c>
      <c r="D195" s="127">
        <f t="shared" ref="D195:AL195" si="342">D192-D194</f>
        <v>0</v>
      </c>
      <c r="E195" s="127">
        <f t="shared" si="342"/>
        <v>0</v>
      </c>
      <c r="F195" s="127">
        <f t="shared" si="342"/>
        <v>0</v>
      </c>
      <c r="G195" s="127">
        <f t="shared" si="342"/>
        <v>0</v>
      </c>
      <c r="H195" s="127">
        <f t="shared" si="342"/>
        <v>0</v>
      </c>
      <c r="I195" s="127">
        <f t="shared" si="342"/>
        <v>0</v>
      </c>
      <c r="J195" s="127">
        <f t="shared" si="342"/>
        <v>0</v>
      </c>
      <c r="K195" s="127">
        <f t="shared" si="342"/>
        <v>0</v>
      </c>
      <c r="L195" s="127">
        <f t="shared" si="342"/>
        <v>0</v>
      </c>
      <c r="M195" s="127">
        <f t="shared" si="342"/>
        <v>0</v>
      </c>
      <c r="N195" s="127">
        <f t="shared" si="342"/>
        <v>0</v>
      </c>
      <c r="O195" s="127">
        <f t="shared" si="342"/>
        <v>0</v>
      </c>
      <c r="P195" s="127">
        <f t="shared" si="342"/>
        <v>0</v>
      </c>
      <c r="Q195" s="127">
        <f t="shared" si="342"/>
        <v>0</v>
      </c>
      <c r="R195" s="127">
        <f t="shared" si="342"/>
        <v>0</v>
      </c>
      <c r="S195" s="127">
        <f t="shared" si="342"/>
        <v>0</v>
      </c>
      <c r="T195" s="127">
        <f t="shared" si="342"/>
        <v>0</v>
      </c>
      <c r="U195" s="127">
        <f t="shared" si="342"/>
        <v>0</v>
      </c>
      <c r="V195" s="127">
        <f t="shared" si="342"/>
        <v>0</v>
      </c>
      <c r="W195" s="127">
        <f t="shared" si="342"/>
        <v>0</v>
      </c>
      <c r="X195" s="127">
        <f t="shared" si="342"/>
        <v>0</v>
      </c>
      <c r="Y195" s="127">
        <f t="shared" si="342"/>
        <v>0</v>
      </c>
      <c r="Z195" s="127">
        <f t="shared" si="342"/>
        <v>0</v>
      </c>
      <c r="AA195" s="127">
        <f t="shared" si="342"/>
        <v>0</v>
      </c>
      <c r="AB195" s="127">
        <f t="shared" si="342"/>
        <v>0</v>
      </c>
      <c r="AC195" s="127">
        <f t="shared" si="342"/>
        <v>0</v>
      </c>
      <c r="AD195" s="127">
        <f t="shared" si="342"/>
        <v>0</v>
      </c>
      <c r="AE195" s="127">
        <f t="shared" si="342"/>
        <v>0</v>
      </c>
      <c r="AF195" s="127">
        <f t="shared" si="342"/>
        <v>0</v>
      </c>
      <c r="AG195" s="127">
        <f t="shared" si="342"/>
        <v>0</v>
      </c>
      <c r="AH195" s="127">
        <f t="shared" si="342"/>
        <v>0</v>
      </c>
      <c r="AI195" s="127">
        <f t="shared" si="342"/>
        <v>0</v>
      </c>
      <c r="AJ195" s="127">
        <f t="shared" si="342"/>
        <v>0</v>
      </c>
      <c r="AK195" s="127">
        <f t="shared" si="342"/>
        <v>0</v>
      </c>
      <c r="AL195" s="295">
        <f t="shared" si="342"/>
        <v>0</v>
      </c>
      <c r="AN195" s="321">
        <f t="shared" ca="1" si="341"/>
        <v>0</v>
      </c>
      <c r="AO195" s="127">
        <f t="shared" ca="1" si="341"/>
        <v>0</v>
      </c>
      <c r="AP195" s="127">
        <f t="shared" ca="1" si="341"/>
        <v>0</v>
      </c>
      <c r="AQ195" s="127">
        <f t="shared" ca="1" si="341"/>
        <v>0</v>
      </c>
      <c r="AR195" s="127">
        <f t="shared" ca="1" si="341"/>
        <v>0</v>
      </c>
      <c r="AS195" s="127">
        <f t="shared" ca="1" si="341"/>
        <v>0</v>
      </c>
      <c r="AT195" s="127">
        <f t="shared" ca="1" si="341"/>
        <v>0</v>
      </c>
      <c r="AU195" s="127">
        <f t="shared" ref="AU195:AY195" ca="1" si="343">AU192-AU194</f>
        <v>0</v>
      </c>
      <c r="AV195" s="127">
        <f t="shared" ca="1" si="343"/>
        <v>0</v>
      </c>
      <c r="AW195" s="127">
        <f t="shared" ca="1" si="343"/>
        <v>0</v>
      </c>
      <c r="AX195" s="127">
        <f t="shared" ca="1" si="343"/>
        <v>0</v>
      </c>
      <c r="AY195" s="295">
        <f t="shared" ca="1" si="343"/>
        <v>0</v>
      </c>
      <c r="BA195" s="321">
        <f t="shared" ref="BA195" ca="1" si="344">BA192-BA194</f>
        <v>0</v>
      </c>
      <c r="BB195" s="127">
        <f t="shared" ref="BB195:BC195" ca="1" si="345">BB192-BB194</f>
        <v>0</v>
      </c>
      <c r="BC195" s="295">
        <f t="shared" ca="1" si="345"/>
        <v>0</v>
      </c>
    </row>
    <row r="196" spans="2:55" x14ac:dyDescent="0.35">
      <c r="B196" s="72" t="s">
        <v>70</v>
      </c>
      <c r="C196" s="126">
        <f t="shared" ref="C196" si="346">IFERROR(C195/C$28,0)</f>
        <v>0</v>
      </c>
      <c r="D196" s="126">
        <f t="shared" ref="D196:AL196" si="347">IFERROR(D195/D$28,0)</f>
        <v>0</v>
      </c>
      <c r="E196" s="126">
        <f t="shared" si="347"/>
        <v>0</v>
      </c>
      <c r="F196" s="126">
        <f t="shared" si="347"/>
        <v>0</v>
      </c>
      <c r="G196" s="126">
        <f t="shared" si="347"/>
        <v>0</v>
      </c>
      <c r="H196" s="126">
        <f t="shared" si="347"/>
        <v>0</v>
      </c>
      <c r="I196" s="126">
        <f t="shared" si="347"/>
        <v>0</v>
      </c>
      <c r="J196" s="126">
        <f t="shared" si="347"/>
        <v>0</v>
      </c>
      <c r="K196" s="126">
        <f t="shared" si="347"/>
        <v>0</v>
      </c>
      <c r="L196" s="126">
        <f t="shared" si="347"/>
        <v>0</v>
      </c>
      <c r="M196" s="126">
        <f t="shared" si="347"/>
        <v>0</v>
      </c>
      <c r="N196" s="126">
        <f t="shared" si="347"/>
        <v>0</v>
      </c>
      <c r="O196" s="126">
        <f t="shared" si="347"/>
        <v>0</v>
      </c>
      <c r="P196" s="126">
        <f t="shared" si="347"/>
        <v>0</v>
      </c>
      <c r="Q196" s="126">
        <f t="shared" si="347"/>
        <v>0</v>
      </c>
      <c r="R196" s="126">
        <f t="shared" si="347"/>
        <v>0</v>
      </c>
      <c r="S196" s="126">
        <f t="shared" si="347"/>
        <v>0</v>
      </c>
      <c r="T196" s="126">
        <f t="shared" si="347"/>
        <v>0</v>
      </c>
      <c r="U196" s="126">
        <f t="shared" si="347"/>
        <v>0</v>
      </c>
      <c r="V196" s="126">
        <f t="shared" si="347"/>
        <v>0</v>
      </c>
      <c r="W196" s="126">
        <f t="shared" si="347"/>
        <v>0</v>
      </c>
      <c r="X196" s="126">
        <f t="shared" si="347"/>
        <v>0</v>
      </c>
      <c r="Y196" s="126">
        <f t="shared" si="347"/>
        <v>0</v>
      </c>
      <c r="Z196" s="126">
        <f t="shared" si="347"/>
        <v>0</v>
      </c>
      <c r="AA196" s="126">
        <f t="shared" si="347"/>
        <v>0</v>
      </c>
      <c r="AB196" s="126">
        <f t="shared" si="347"/>
        <v>0</v>
      </c>
      <c r="AC196" s="126">
        <f t="shared" si="347"/>
        <v>0</v>
      </c>
      <c r="AD196" s="126">
        <f t="shared" si="347"/>
        <v>0</v>
      </c>
      <c r="AE196" s="126">
        <f t="shared" si="347"/>
        <v>0</v>
      </c>
      <c r="AF196" s="126">
        <f t="shared" si="347"/>
        <v>0</v>
      </c>
      <c r="AG196" s="126">
        <f t="shared" si="347"/>
        <v>0</v>
      </c>
      <c r="AH196" s="126">
        <f t="shared" si="347"/>
        <v>0</v>
      </c>
      <c r="AI196" s="126">
        <f t="shared" si="347"/>
        <v>0</v>
      </c>
      <c r="AJ196" s="126">
        <f t="shared" si="347"/>
        <v>0</v>
      </c>
      <c r="AK196" s="126">
        <f t="shared" si="347"/>
        <v>0</v>
      </c>
      <c r="AL196" s="300">
        <f t="shared" si="347"/>
        <v>0</v>
      </c>
      <c r="AN196" s="326">
        <f t="shared" ref="AN196:AT196" ca="1" si="348">IFERROR(AN195/AN$28,0)</f>
        <v>0</v>
      </c>
      <c r="AO196" s="126">
        <f t="shared" ca="1" si="348"/>
        <v>0</v>
      </c>
      <c r="AP196" s="126">
        <f t="shared" ca="1" si="348"/>
        <v>0</v>
      </c>
      <c r="AQ196" s="126">
        <f t="shared" ca="1" si="348"/>
        <v>0</v>
      </c>
      <c r="AR196" s="126">
        <f t="shared" ca="1" si="348"/>
        <v>0</v>
      </c>
      <c r="AS196" s="126">
        <f t="shared" ca="1" si="348"/>
        <v>0</v>
      </c>
      <c r="AT196" s="126">
        <f t="shared" ca="1" si="348"/>
        <v>0</v>
      </c>
      <c r="AU196" s="126">
        <f t="shared" ref="AU196:AY196" ca="1" si="349">IFERROR(AU195/AU$28,0)</f>
        <v>0</v>
      </c>
      <c r="AV196" s="126">
        <f t="shared" ca="1" si="349"/>
        <v>0</v>
      </c>
      <c r="AW196" s="126">
        <f t="shared" ca="1" si="349"/>
        <v>0</v>
      </c>
      <c r="AX196" s="126">
        <f t="shared" ca="1" si="349"/>
        <v>0</v>
      </c>
      <c r="AY196" s="300">
        <f t="shared" ca="1" si="349"/>
        <v>0</v>
      </c>
      <c r="BA196" s="326">
        <f t="shared" ref="BA196" ca="1" si="350">IFERROR(BA195/BA$28,0)</f>
        <v>0</v>
      </c>
      <c r="BB196" s="126">
        <f t="shared" ref="BB196:BC196" ca="1" si="351">IFERROR(BB195/BB$28,0)</f>
        <v>0</v>
      </c>
      <c r="BC196" s="300">
        <f t="shared" ca="1" si="351"/>
        <v>0</v>
      </c>
    </row>
    <row r="197" spans="2:55" x14ac:dyDescent="0.35">
      <c r="B197" s="72"/>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c r="AC197" s="125"/>
      <c r="AD197" s="125"/>
      <c r="AE197" s="125"/>
      <c r="AF197" s="125"/>
      <c r="AG197" s="125"/>
      <c r="AH197" s="125"/>
      <c r="AI197" s="125"/>
      <c r="AJ197" s="125"/>
      <c r="AK197" s="125"/>
      <c r="AL197" s="306"/>
      <c r="AN197" s="332"/>
      <c r="AO197" s="125"/>
      <c r="AP197" s="125"/>
      <c r="AQ197" s="125"/>
      <c r="AR197" s="125"/>
      <c r="AS197" s="125"/>
      <c r="AT197" s="125"/>
      <c r="AU197" s="125"/>
      <c r="AV197" s="125"/>
      <c r="AW197" s="125"/>
      <c r="AX197" s="125"/>
      <c r="AY197" s="306"/>
      <c r="BA197" s="332"/>
      <c r="BB197" s="125"/>
      <c r="BC197" s="306"/>
    </row>
    <row r="198" spans="2:55" x14ac:dyDescent="0.35">
      <c r="B198" s="44" t="s">
        <v>71</v>
      </c>
      <c r="C198" s="122">
        <f t="shared" ref="C198" si="352">IFERROR(C194/C192,0)</f>
        <v>0</v>
      </c>
      <c r="D198" s="122">
        <f t="shared" ref="D198:AL198" si="353">IFERROR(D194/D192,0)</f>
        <v>0</v>
      </c>
      <c r="E198" s="122">
        <f t="shared" si="353"/>
        <v>0</v>
      </c>
      <c r="F198" s="122">
        <f t="shared" si="353"/>
        <v>0</v>
      </c>
      <c r="G198" s="122">
        <f t="shared" si="353"/>
        <v>0</v>
      </c>
      <c r="H198" s="122">
        <f t="shared" si="353"/>
        <v>0</v>
      </c>
      <c r="I198" s="122">
        <f t="shared" si="353"/>
        <v>0</v>
      </c>
      <c r="J198" s="122">
        <f t="shared" si="353"/>
        <v>0</v>
      </c>
      <c r="K198" s="122">
        <f t="shared" si="353"/>
        <v>0</v>
      </c>
      <c r="L198" s="122">
        <f t="shared" si="353"/>
        <v>0</v>
      </c>
      <c r="M198" s="122">
        <f t="shared" si="353"/>
        <v>0</v>
      </c>
      <c r="N198" s="122">
        <f t="shared" si="353"/>
        <v>0</v>
      </c>
      <c r="O198" s="122">
        <f t="shared" si="353"/>
        <v>0</v>
      </c>
      <c r="P198" s="122">
        <f t="shared" si="353"/>
        <v>0</v>
      </c>
      <c r="Q198" s="122">
        <f t="shared" si="353"/>
        <v>0</v>
      </c>
      <c r="R198" s="122">
        <f t="shared" si="353"/>
        <v>0</v>
      </c>
      <c r="S198" s="122">
        <f t="shared" si="353"/>
        <v>0</v>
      </c>
      <c r="T198" s="122">
        <f t="shared" si="353"/>
        <v>0</v>
      </c>
      <c r="U198" s="122">
        <f t="shared" si="353"/>
        <v>0</v>
      </c>
      <c r="V198" s="122">
        <f t="shared" si="353"/>
        <v>0</v>
      </c>
      <c r="W198" s="122">
        <f t="shared" si="353"/>
        <v>0</v>
      </c>
      <c r="X198" s="122">
        <f t="shared" si="353"/>
        <v>0</v>
      </c>
      <c r="Y198" s="122">
        <f t="shared" si="353"/>
        <v>0</v>
      </c>
      <c r="Z198" s="122">
        <f t="shared" si="353"/>
        <v>0</v>
      </c>
      <c r="AA198" s="122">
        <f t="shared" si="353"/>
        <v>0</v>
      </c>
      <c r="AB198" s="122">
        <f t="shared" si="353"/>
        <v>0</v>
      </c>
      <c r="AC198" s="122">
        <f t="shared" si="353"/>
        <v>0</v>
      </c>
      <c r="AD198" s="122">
        <f t="shared" si="353"/>
        <v>0</v>
      </c>
      <c r="AE198" s="122">
        <f t="shared" si="353"/>
        <v>0</v>
      </c>
      <c r="AF198" s="122">
        <f t="shared" si="353"/>
        <v>0</v>
      </c>
      <c r="AG198" s="122">
        <f t="shared" si="353"/>
        <v>0</v>
      </c>
      <c r="AH198" s="122">
        <f t="shared" si="353"/>
        <v>0</v>
      </c>
      <c r="AI198" s="122">
        <f t="shared" si="353"/>
        <v>0</v>
      </c>
      <c r="AJ198" s="122">
        <f t="shared" si="353"/>
        <v>0</v>
      </c>
      <c r="AK198" s="122">
        <f t="shared" si="353"/>
        <v>0</v>
      </c>
      <c r="AL198" s="307">
        <f t="shared" si="353"/>
        <v>0</v>
      </c>
      <c r="AN198" s="333">
        <f t="shared" ref="AN198:AT198" ca="1" si="354">IFERROR(AN194/AN192,0)</f>
        <v>0</v>
      </c>
      <c r="AO198" s="122">
        <f t="shared" ca="1" si="354"/>
        <v>0</v>
      </c>
      <c r="AP198" s="122">
        <f t="shared" ca="1" si="354"/>
        <v>0</v>
      </c>
      <c r="AQ198" s="122">
        <f t="shared" ca="1" si="354"/>
        <v>0</v>
      </c>
      <c r="AR198" s="122">
        <f t="shared" ca="1" si="354"/>
        <v>0</v>
      </c>
      <c r="AS198" s="122">
        <f t="shared" ca="1" si="354"/>
        <v>0</v>
      </c>
      <c r="AT198" s="122">
        <f t="shared" ca="1" si="354"/>
        <v>0</v>
      </c>
      <c r="AU198" s="122">
        <f t="shared" ref="AU198:AY198" ca="1" si="355">IFERROR(AU194/AU192,0)</f>
        <v>0</v>
      </c>
      <c r="AV198" s="122">
        <f t="shared" ca="1" si="355"/>
        <v>0</v>
      </c>
      <c r="AW198" s="122">
        <f t="shared" ca="1" si="355"/>
        <v>0</v>
      </c>
      <c r="AX198" s="122">
        <f t="shared" ca="1" si="355"/>
        <v>0</v>
      </c>
      <c r="AY198" s="307">
        <f t="shared" ca="1" si="355"/>
        <v>0</v>
      </c>
      <c r="BA198" s="333">
        <f t="shared" ref="BA198" ca="1" si="356">IFERROR(BA194/BA192,0)</f>
        <v>0</v>
      </c>
      <c r="BB198" s="122">
        <f t="shared" ref="BB198:BC198" ca="1" si="357">IFERROR(BB194/BB192,0)</f>
        <v>0</v>
      </c>
      <c r="BC198" s="307">
        <f t="shared" ca="1" si="357"/>
        <v>0</v>
      </c>
    </row>
    <row r="199" spans="2:55" x14ac:dyDescent="0.35">
      <c r="B199" s="62"/>
      <c r="C199" s="121"/>
      <c r="D199" s="121"/>
      <c r="E199" s="121"/>
      <c r="F199" s="121"/>
      <c r="G199" s="121"/>
      <c r="H199" s="121"/>
      <c r="I199" s="121"/>
      <c r="J199" s="121"/>
      <c r="K199" s="121"/>
      <c r="L199" s="121"/>
      <c r="M199" s="121"/>
      <c r="N199" s="121"/>
      <c r="O199" s="121"/>
      <c r="P199" s="121"/>
      <c r="Q199" s="121"/>
      <c r="R199" s="121"/>
      <c r="S199" s="121"/>
      <c r="T199" s="121"/>
      <c r="U199" s="121"/>
      <c r="V199" s="121"/>
      <c r="W199" s="121"/>
      <c r="X199" s="121"/>
      <c r="Y199" s="121"/>
      <c r="Z199" s="121"/>
      <c r="AA199" s="121"/>
      <c r="AB199" s="121"/>
      <c r="AC199" s="121"/>
      <c r="AD199" s="121"/>
      <c r="AE199" s="121"/>
      <c r="AF199" s="121"/>
      <c r="AG199" s="121"/>
      <c r="AH199" s="121"/>
      <c r="AI199" s="121"/>
      <c r="AJ199" s="121"/>
      <c r="AK199" s="121"/>
      <c r="AL199" s="146"/>
      <c r="AN199" s="62"/>
      <c r="AO199" s="121"/>
      <c r="AP199" s="121"/>
      <c r="AQ199" s="121"/>
      <c r="AR199" s="121"/>
      <c r="AS199" s="121"/>
      <c r="AT199" s="121"/>
      <c r="AU199" s="121"/>
      <c r="AV199" s="121"/>
      <c r="AW199" s="121"/>
      <c r="AX199" s="121"/>
      <c r="AY199" s="146"/>
      <c r="BA199" s="62"/>
      <c r="BB199" s="121"/>
      <c r="BC199" s="146"/>
    </row>
    <row r="200" spans="2:55" x14ac:dyDescent="0.35">
      <c r="B200" s="62" t="s">
        <v>72</v>
      </c>
      <c r="C200" s="123">
        <f>IF(C$12="Actual",SUMIFS(ActualsTable[Month 1],ActualsTable[Expense Item2],$B200),SUM(Headcount!L$186:L$286))</f>
        <v>0</v>
      </c>
      <c r="D200" s="123">
        <f>IF(D$12="Actual",SUMIFS(ActualsTable[Month 2],ActualsTable[Expense Item2],$B200),SUM(Headcount!M$186:M$286))</f>
        <v>0</v>
      </c>
      <c r="E200" s="123">
        <f>IF(E$12="Actual",SUMIFS(ActualsTable[Month 3],ActualsTable[Expense Item2],$B200),SUM(Headcount!N$186:N$286))</f>
        <v>0</v>
      </c>
      <c r="F200" s="123">
        <f>IF(F$12="Actual",SUMIFS(ActualsTable[Month 4],ActualsTable[Expense Item2],$B200),SUM(Headcount!O$186:O$286))</f>
        <v>0</v>
      </c>
      <c r="G200" s="123">
        <f>IF(G$12="Actual",SUMIFS(ActualsTable[Month 5],ActualsTable[Expense Item2],$B200),SUM(Headcount!P$186:P$286))</f>
        <v>0</v>
      </c>
      <c r="H200" s="123">
        <f>IF(H$12="Actual",SUMIFS(ActualsTable[Month 6],ActualsTable[Expense Item2],$B200),SUM(Headcount!Q$186:Q$286))</f>
        <v>0</v>
      </c>
      <c r="I200" s="123">
        <f>IF(I$12="Actual",SUMIFS(ActualsTable[Month 7],ActualsTable[Expense Item2],$B200),SUM(Headcount!R$186:R$286))</f>
        <v>0</v>
      </c>
      <c r="J200" s="123">
        <f>IF(J$12="Actual",SUMIFS(ActualsTable[Month 8],ActualsTable[Expense Item2],$B200),SUM(Headcount!S$186:S$286))</f>
        <v>0</v>
      </c>
      <c r="K200" s="123">
        <f>IF(K$12="Actual",SUMIFS(ActualsTable[Month 9],ActualsTable[Expense Item2],$B200),SUM(Headcount!T$186:T$286))</f>
        <v>0</v>
      </c>
      <c r="L200" s="123">
        <f>IF(L$12="Actual",SUMIFS(ActualsTable[Month 10],ActualsTable[Expense Item2],$B200),SUM(Headcount!U$186:U$286))</f>
        <v>0</v>
      </c>
      <c r="M200" s="123">
        <f>IF(M$12="Actual",SUMIFS(ActualsTable[Month 11],ActualsTable[Expense Item2],$B200),SUM(Headcount!V$186:V$286))</f>
        <v>0</v>
      </c>
      <c r="N200" s="123">
        <f>IF(N$12="Actual",SUMIFS(ActualsTable[Month 12],ActualsTable[Expense Item2],$B200),SUM(Headcount!W$186:W$286))</f>
        <v>0</v>
      </c>
      <c r="O200" s="123">
        <f>IF(O$12="Actual",SUMIFS(ActualsTable[Month 13],ActualsTable[Expense Item2],$B200),SUM(Headcount!X$186:X$286))</f>
        <v>0</v>
      </c>
      <c r="P200" s="123">
        <f>IF(P$12="Actual",SUMIFS(ActualsTable[Month 14],ActualsTable[Expense Item2],$B200),SUM(Headcount!Y$186:Y$286))</f>
        <v>0</v>
      </c>
      <c r="Q200" s="123">
        <f>IF(Q$12="Actual",SUMIFS(ActualsTable[Month 15],ActualsTable[Expense Item2],$B200),SUM(Headcount!Z$186:Z$286))</f>
        <v>0</v>
      </c>
      <c r="R200" s="123">
        <f>IF(R$12="Actual",SUMIFS(ActualsTable[Month 16],ActualsTable[Expense Item2],$B200),SUM(Headcount!AA$186:AA$286))</f>
        <v>0</v>
      </c>
      <c r="S200" s="123">
        <f>IF(S$12="Actual",SUMIFS(ActualsTable[Month 17],ActualsTable[Expense Item2],$B200),SUM(Headcount!AB$186:AB$286))</f>
        <v>0</v>
      </c>
      <c r="T200" s="123">
        <f>IF(T$12="Actual",SUMIFS(ActualsTable[Month 18],ActualsTable[Expense Item2],$B200),SUM(Headcount!AC$186:AC$286))</f>
        <v>0</v>
      </c>
      <c r="U200" s="123">
        <f>IF(U$12="Actual",SUMIFS(ActualsTable[Month 19],ActualsTable[Expense Item2],$B200),SUM(Headcount!AD$186:AD$286))</f>
        <v>0</v>
      </c>
      <c r="V200" s="123">
        <f>IF(V$12="Actual",SUMIFS(ActualsTable[Month 20],ActualsTable[Expense Item2],$B200),SUM(Headcount!AE$186:AE$286))</f>
        <v>0</v>
      </c>
      <c r="W200" s="123">
        <f>IF(W$12="Actual",SUMIFS(ActualsTable[Month 21],ActualsTable[Expense Item2],$B200),SUM(Headcount!AF$186:AF$286))</f>
        <v>0</v>
      </c>
      <c r="X200" s="123">
        <f>IF(X$12="Actual",SUMIFS(ActualsTable[Month 22],ActualsTable[Expense Item2],$B200),SUM(Headcount!AG$186:AG$286))</f>
        <v>0</v>
      </c>
      <c r="Y200" s="123">
        <f>IF(Y$12="Actual",SUMIFS(ActualsTable[Month 23],ActualsTable[Expense Item2],$B200),SUM(Headcount!AH$186:AH$286))</f>
        <v>0</v>
      </c>
      <c r="Z200" s="123">
        <f>IF(Z$12="Actual",SUMIFS(ActualsTable[Month 24],ActualsTable[Expense Item2],$B200),SUM(Headcount!AI$186:AI$286))</f>
        <v>0</v>
      </c>
      <c r="AA200" s="123">
        <f>IF(AA$12="Actual",SUMIFS(ActualsTable[Month 25],ActualsTable[Expense Item2],$B200),SUM(Headcount!AJ$186:AJ$286))</f>
        <v>0</v>
      </c>
      <c r="AB200" s="123">
        <f>IF(AB$12="Actual",SUMIFS(ActualsTable[Month 26],ActualsTable[Expense Item2],$B200),SUM(Headcount!AK$186:AK$286))</f>
        <v>0</v>
      </c>
      <c r="AC200" s="123">
        <f>IF(AC$12="Actual",SUMIFS(ActualsTable[Month 27],ActualsTable[Expense Item2],$B200),SUM(Headcount!AL$186:AL$286))</f>
        <v>0</v>
      </c>
      <c r="AD200" s="123">
        <f>IF(AD$12="Actual",SUMIFS(ActualsTable[Month 28],ActualsTable[Expense Item2],$B200),SUM(Headcount!AM$186:AM$286))</f>
        <v>0</v>
      </c>
      <c r="AE200" s="123">
        <f>IF(AE$12="Actual",SUMIFS(ActualsTable[Month 29],ActualsTable[Expense Item2],$B200),SUM(Headcount!AN$186:AN$286))</f>
        <v>0</v>
      </c>
      <c r="AF200" s="123">
        <f>IF(AF$12="Actual",SUMIFS(ActualsTable[Month 30],ActualsTable[Expense Item2],$B200),SUM(Headcount!AO$186:AO$286))</f>
        <v>0</v>
      </c>
      <c r="AG200" s="123">
        <f>IF(AG$12="Actual",SUMIFS(ActualsTable[Month 31],ActualsTable[Expense Item2],$B200),SUM(Headcount!AP$186:AP$286))</f>
        <v>0</v>
      </c>
      <c r="AH200" s="123">
        <f>IF(AH$12="Actual",SUMIFS(ActualsTable[Month 32],ActualsTable[Expense Item2],$B200),SUM(Headcount!AQ$186:AQ$286))</f>
        <v>0</v>
      </c>
      <c r="AI200" s="123">
        <f>IF(AI$12="Actual",SUMIFS(ActualsTable[Month 33],ActualsTable[Expense Item2],$B200),SUM(Headcount!AR$186:AR$286))</f>
        <v>0</v>
      </c>
      <c r="AJ200" s="123">
        <f>IF(AJ$12="Actual",SUMIFS(ActualsTable[Month 34],ActualsTable[Expense Item2],$B200),SUM(Headcount!AS$186:AS$286))</f>
        <v>0</v>
      </c>
      <c r="AK200" s="123">
        <f>IF(AK$12="Actual",SUMIFS(ActualsTable[Month 35],ActualsTable[Expense Item2],$B200),SUM(Headcount!AT$186:AT$286))</f>
        <v>0</v>
      </c>
      <c r="AL200" s="308">
        <f>IF(AL$12="Actual",SUMIFS(ActualsTable[Month 36],ActualsTable[Expense Item2],$B200),SUM(Headcount!AU$186:AU$286))</f>
        <v>0</v>
      </c>
      <c r="AN200" s="334">
        <f t="shared" ref="AN200:AY200" ca="1" si="358">OFFSET($B200,0,3*AN$9+3,1,1)</f>
        <v>0</v>
      </c>
      <c r="AO200" s="123">
        <f t="shared" ca="1" si="358"/>
        <v>0</v>
      </c>
      <c r="AP200" s="123">
        <f t="shared" ca="1" si="358"/>
        <v>0</v>
      </c>
      <c r="AQ200" s="123">
        <f t="shared" ca="1" si="358"/>
        <v>0</v>
      </c>
      <c r="AR200" s="123">
        <f t="shared" ca="1" si="358"/>
        <v>0</v>
      </c>
      <c r="AS200" s="123">
        <f t="shared" ca="1" si="358"/>
        <v>0</v>
      </c>
      <c r="AT200" s="123">
        <f t="shared" ca="1" si="358"/>
        <v>0</v>
      </c>
      <c r="AU200" s="123">
        <f t="shared" ca="1" si="358"/>
        <v>0</v>
      </c>
      <c r="AV200" s="123">
        <f t="shared" ca="1" si="358"/>
        <v>0</v>
      </c>
      <c r="AW200" s="123">
        <f t="shared" ca="1" si="358"/>
        <v>0</v>
      </c>
      <c r="AX200" s="123">
        <f t="shared" ca="1" si="358"/>
        <v>0</v>
      </c>
      <c r="AY200" s="308">
        <f t="shared" ca="1" si="358"/>
        <v>0</v>
      </c>
      <c r="BA200" s="334">
        <f ca="1">OFFSET($B200,0,12*BA$9+12,1,1)</f>
        <v>0</v>
      </c>
      <c r="BB200" s="123">
        <f ca="1">OFFSET($B200,0,12*BB$9+12,1,1)</f>
        <v>0</v>
      </c>
      <c r="BC200" s="308">
        <f ca="1">OFFSET($B200,0,12*BC$9+12,1,1)</f>
        <v>0</v>
      </c>
    </row>
    <row r="201" spans="2:55" ht="15" thickBot="1" x14ac:dyDescent="0.4">
      <c r="B201" s="89"/>
      <c r="C201" s="119"/>
      <c r="D201" s="119"/>
      <c r="E201" s="119"/>
      <c r="F201" s="119"/>
      <c r="G201" s="119"/>
      <c r="H201" s="119"/>
      <c r="I201" s="119"/>
      <c r="J201" s="119"/>
      <c r="K201" s="119"/>
      <c r="L201" s="119"/>
      <c r="M201" s="119"/>
      <c r="N201" s="119"/>
      <c r="O201" s="119"/>
      <c r="P201" s="119"/>
      <c r="Q201" s="119"/>
      <c r="R201" s="119"/>
      <c r="S201" s="119"/>
      <c r="T201" s="119"/>
      <c r="U201" s="119"/>
      <c r="V201" s="119"/>
      <c r="W201" s="119"/>
      <c r="X201" s="119"/>
      <c r="Y201" s="119"/>
      <c r="Z201" s="119"/>
      <c r="AA201" s="119"/>
      <c r="AB201" s="119"/>
      <c r="AC201" s="119"/>
      <c r="AD201" s="119"/>
      <c r="AE201" s="119"/>
      <c r="AF201" s="119"/>
      <c r="AG201" s="119"/>
      <c r="AH201" s="119"/>
      <c r="AI201" s="119"/>
      <c r="AJ201" s="119"/>
      <c r="AK201" s="119"/>
      <c r="AL201" s="309"/>
      <c r="AN201" s="89"/>
      <c r="AO201" s="119"/>
      <c r="AP201" s="119"/>
      <c r="AQ201" s="119"/>
      <c r="AR201" s="119"/>
      <c r="AS201" s="119"/>
      <c r="AT201" s="119"/>
      <c r="AU201" s="119"/>
      <c r="AV201" s="119"/>
      <c r="AW201" s="119"/>
      <c r="AX201" s="119"/>
      <c r="AY201" s="309"/>
      <c r="BA201" s="89"/>
      <c r="BB201" s="119"/>
      <c r="BC201" s="309"/>
    </row>
  </sheetData>
  <sheetProtection algorithmName="SHA-512" hashValue="nEsRUO5yYE5QK7ATDVovK9nw4p2NhsELZab0Zs8ZDAAvQuMOpjKUb8oUrVFp2yR1xAWbsXfAmESt5E/xU8Lg3A==" saltValue="UT784ZnvoxUF6gmx4XvLQA==" spinCount="100000" sheet="1" objects="1" scenarios="1"/>
  <conditionalFormatting sqref="C11:AL11">
    <cfRule type="expression" dxfId="67" priority="4">
      <formula>C12&lt;&gt;"Forecast"</formula>
    </cfRule>
  </conditionalFormatting>
  <conditionalFormatting sqref="C13:BC13 C21:BC21 C23:BC23 C25:BC25 C28:BC28 C32:BC32 C69:BC69 C71:BC71 C106:BC106 C109:BC109 C140:BC140 C143:BC143 C175:BC175 C177:BC177 C179:BC179 C182:BC182 C184:BC184 C187:BC187 C190:BC190 C192:BC192 C194:BC195">
    <cfRule type="expression" dxfId="66" priority="2" stopIfTrue="1">
      <formula>LocalCurrency="USD"</formula>
    </cfRule>
    <cfRule type="expression" dxfId="65" priority="5" stopIfTrue="1">
      <formula>LocalCurrency="GBP"</formula>
    </cfRule>
    <cfRule type="expression" dxfId="64" priority="6" stopIfTrue="1">
      <formula>LocalCurrency="EUR"</formula>
    </cfRule>
    <cfRule type="expression" dxfId="63" priority="7" stopIfTrue="1">
      <formula>LocalCurrency="HKD"</formula>
    </cfRule>
    <cfRule type="expression" dxfId="62" priority="8" stopIfTrue="1">
      <formula>LocalCurrency="AUD"</formula>
    </cfRule>
    <cfRule type="expression" dxfId="61" priority="9" stopIfTrue="1">
      <formula>LocalCurrency="CHF"</formula>
    </cfRule>
    <cfRule type="expression" dxfId="60" priority="12" stopIfTrue="1">
      <formula>LocalCurrency="ILS"</formula>
    </cfRule>
    <cfRule type="expression" dxfId="59" priority="13" stopIfTrue="1">
      <formula>LocalCurrency="INR"</formula>
    </cfRule>
  </conditionalFormatting>
  <dataValidations disablePrompts="1" count="3">
    <dataValidation type="list" allowBlank="1" showInputMessage="1" showErrorMessage="1" sqref="B12">
      <formula1>"Highlight Differences"</formula1>
    </dataValidation>
    <dataValidation type="list" allowBlank="1" showInputMessage="1" showErrorMessage="1" sqref="C12:AL12">
      <formula1>"Actual,Forecast"</formula1>
    </dataValidation>
    <dataValidation type="list" allowBlank="1" showInputMessage="1" showErrorMessage="1" sqref="C11:AL11">
      <formula1>DV_RevenueScenariosLocal</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E0D79A66-D316-4055-B2CD-D77A3622A95E}">
            <xm:f>AND(NOT(ROUND(C13,0)=ROUND('Detailed P&amp;L'!C14,0)),$B$12="Highlight Differences")</xm:f>
            <x14:dxf>
              <border>
                <left style="thin">
                  <color rgb="FFFF0000"/>
                </left>
                <right style="thin">
                  <color rgb="FFFF0000"/>
                </right>
                <top style="thin">
                  <color rgb="FFFF0000"/>
                </top>
                <bottom style="thin">
                  <color rgb="FFFF0000"/>
                </bottom>
                <vertical/>
                <horizontal/>
              </border>
            </x14:dxf>
          </x14:cfRule>
          <xm:sqref>C13:AL201</xm:sqref>
        </x14:conditionalFormatting>
        <x14:conditionalFormatting xmlns:xm="http://schemas.microsoft.com/office/excel/2006/main">
          <x14:cfRule type="expression" priority="3" id="{0E1EB1F6-20DF-43DF-BF8D-7A258D989F87}">
            <xm:f>AND(NOT(C12='Detailed P&amp;L'!C12),$B$12="Highlight Differences")</xm:f>
            <x14:dxf>
              <border>
                <left style="thin">
                  <color rgb="FFFF0000"/>
                </left>
                <right style="thin">
                  <color rgb="FFFF0000"/>
                </right>
                <top style="thin">
                  <color rgb="FFFF0000"/>
                </top>
                <bottom style="thin">
                  <color rgb="FFFF0000"/>
                </bottom>
                <vertical/>
                <horizontal/>
              </border>
            </x14:dxf>
          </x14:cfRule>
          <xm:sqref>C12:AL12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s">
    <tabColor theme="9"/>
  </sheetPr>
  <dimension ref="A1:AM27"/>
  <sheetViews>
    <sheetView showGridLines="0" zoomScale="85" zoomScaleNormal="85" workbookViewId="0">
      <pane xSplit="3" ySplit="7" topLeftCell="D8" activePane="bottomRight" state="frozen"/>
      <selection pane="topRight"/>
      <selection pane="bottomLeft"/>
      <selection pane="bottomRight" activeCell="D8" sqref="D8"/>
    </sheetView>
  </sheetViews>
  <sheetFormatPr defaultRowHeight="14.5" x14ac:dyDescent="0.35"/>
  <cols>
    <col min="1" max="1" width="3.7265625" customWidth="1"/>
    <col min="2" max="2" width="15.7265625" customWidth="1"/>
    <col min="3" max="3" width="9.81640625" customWidth="1"/>
    <col min="4" max="4" width="12.7265625" customWidth="1"/>
    <col min="5" max="40" width="12.54296875" customWidth="1"/>
  </cols>
  <sheetData>
    <row r="1" spans="1:39" x14ac:dyDescent="0.35">
      <c r="A1" s="286">
        <v>0</v>
      </c>
      <c r="B1" t="s">
        <v>1154</v>
      </c>
      <c r="C1" s="645"/>
      <c r="D1" s="250"/>
      <c r="G1" s="286" t="s">
        <v>4329</v>
      </c>
      <c r="H1" s="661"/>
      <c r="I1" s="661"/>
    </row>
    <row r="2" spans="1:39" x14ac:dyDescent="0.35">
      <c r="A2" s="286">
        <v>0</v>
      </c>
      <c r="B2" s="274" t="s">
        <v>223</v>
      </c>
      <c r="C2" s="646" t="s">
        <v>224</v>
      </c>
      <c r="G2" s="286" t="s">
        <v>4330</v>
      </c>
      <c r="H2" s="661"/>
      <c r="I2" s="661"/>
    </row>
    <row r="3" spans="1:39" x14ac:dyDescent="0.35">
      <c r="A3" s="286"/>
      <c r="B3" t="s">
        <v>1170</v>
      </c>
      <c r="C3" s="647" t="s">
        <v>1091</v>
      </c>
    </row>
    <row r="4" spans="1:39" x14ac:dyDescent="0.35">
      <c r="A4" s="286"/>
      <c r="B4" s="274" t="s">
        <v>3745</v>
      </c>
      <c r="C4" s="646" t="s">
        <v>224</v>
      </c>
    </row>
    <row r="5" spans="1:39" x14ac:dyDescent="0.35">
      <c r="B5" t="s">
        <v>4458</v>
      </c>
      <c r="C5" s="250">
        <f>IF(ISBLANK($C$1),ActualDBDate,$C$1)</f>
        <v>41791</v>
      </c>
    </row>
    <row r="7" spans="1:39" x14ac:dyDescent="0.35">
      <c r="D7" s="559">
        <f>ForecastStartDate[start_date]</f>
        <v>41275</v>
      </c>
      <c r="E7" s="559">
        <f>EDATE(D7,1)</f>
        <v>41306</v>
      </c>
      <c r="F7" s="559">
        <f t="shared" ref="F7:AM7" si="0">EDATE(E7,1)</f>
        <v>41334</v>
      </c>
      <c r="G7" s="559">
        <f t="shared" si="0"/>
        <v>41365</v>
      </c>
      <c r="H7" s="559">
        <f t="shared" si="0"/>
        <v>41395</v>
      </c>
      <c r="I7" s="559">
        <f t="shared" si="0"/>
        <v>41426</v>
      </c>
      <c r="J7" s="559">
        <f t="shared" si="0"/>
        <v>41456</v>
      </c>
      <c r="K7" s="559">
        <f t="shared" si="0"/>
        <v>41487</v>
      </c>
      <c r="L7" s="559">
        <f t="shared" si="0"/>
        <v>41518</v>
      </c>
      <c r="M7" s="559">
        <f t="shared" si="0"/>
        <v>41548</v>
      </c>
      <c r="N7" s="559">
        <f t="shared" si="0"/>
        <v>41579</v>
      </c>
      <c r="O7" s="559">
        <f t="shared" si="0"/>
        <v>41609</v>
      </c>
      <c r="P7" s="559">
        <f t="shared" si="0"/>
        <v>41640</v>
      </c>
      <c r="Q7" s="559">
        <f t="shared" si="0"/>
        <v>41671</v>
      </c>
      <c r="R7" s="559">
        <f t="shared" si="0"/>
        <v>41699</v>
      </c>
      <c r="S7" s="559">
        <f t="shared" si="0"/>
        <v>41730</v>
      </c>
      <c r="T7" s="559">
        <f t="shared" si="0"/>
        <v>41760</v>
      </c>
      <c r="U7" s="559">
        <f t="shared" si="0"/>
        <v>41791</v>
      </c>
      <c r="V7" s="559">
        <f t="shared" si="0"/>
        <v>41821</v>
      </c>
      <c r="W7" s="559">
        <f t="shared" si="0"/>
        <v>41852</v>
      </c>
      <c r="X7" s="559">
        <f t="shared" si="0"/>
        <v>41883</v>
      </c>
      <c r="Y7" s="559">
        <f t="shared" si="0"/>
        <v>41913</v>
      </c>
      <c r="Z7" s="559">
        <f t="shared" si="0"/>
        <v>41944</v>
      </c>
      <c r="AA7" s="559">
        <f t="shared" si="0"/>
        <v>41974</v>
      </c>
      <c r="AB7" s="559">
        <f t="shared" si="0"/>
        <v>42005</v>
      </c>
      <c r="AC7" s="559">
        <f t="shared" si="0"/>
        <v>42036</v>
      </c>
      <c r="AD7" s="559">
        <f t="shared" si="0"/>
        <v>42064</v>
      </c>
      <c r="AE7" s="559">
        <f t="shared" si="0"/>
        <v>42095</v>
      </c>
      <c r="AF7" s="559">
        <f t="shared" si="0"/>
        <v>42125</v>
      </c>
      <c r="AG7" s="559">
        <f t="shared" si="0"/>
        <v>42156</v>
      </c>
      <c r="AH7" s="559">
        <f t="shared" si="0"/>
        <v>42186</v>
      </c>
      <c r="AI7" s="559">
        <f t="shared" si="0"/>
        <v>42217</v>
      </c>
      <c r="AJ7" s="559">
        <f t="shared" si="0"/>
        <v>42248</v>
      </c>
      <c r="AK7" s="559">
        <f t="shared" si="0"/>
        <v>42278</v>
      </c>
      <c r="AL7" s="559">
        <f t="shared" si="0"/>
        <v>42309</v>
      </c>
      <c r="AM7" s="559">
        <f t="shared" si="0"/>
        <v>42339</v>
      </c>
    </row>
    <row r="8" spans="1:39" x14ac:dyDescent="0.35">
      <c r="C8" s="267" t="s">
        <v>1137</v>
      </c>
      <c r="D8" s="643">
        <v>0</v>
      </c>
      <c r="E8" s="643">
        <v>0</v>
      </c>
      <c r="F8" s="643">
        <v>0</v>
      </c>
      <c r="G8" s="643">
        <v>0</v>
      </c>
      <c r="H8" s="643">
        <v>0</v>
      </c>
      <c r="I8" s="643">
        <v>0</v>
      </c>
      <c r="J8" s="643">
        <v>0</v>
      </c>
      <c r="K8" s="643">
        <v>0</v>
      </c>
      <c r="L8" s="643">
        <v>0</v>
      </c>
      <c r="M8" s="643">
        <v>0</v>
      </c>
      <c r="N8" s="643">
        <v>0</v>
      </c>
      <c r="O8" s="643">
        <v>0</v>
      </c>
      <c r="P8" s="643">
        <v>0</v>
      </c>
      <c r="Q8" s="643">
        <v>0</v>
      </c>
      <c r="R8" s="643">
        <v>0</v>
      </c>
      <c r="S8" s="643">
        <v>0</v>
      </c>
      <c r="T8" s="643">
        <v>0</v>
      </c>
      <c r="U8" s="643">
        <v>0</v>
      </c>
      <c r="V8" s="643">
        <v>0</v>
      </c>
      <c r="W8" s="643">
        <v>0</v>
      </c>
      <c r="X8" s="643">
        <v>0</v>
      </c>
      <c r="Y8" s="643">
        <v>0</v>
      </c>
      <c r="Z8" s="643">
        <v>0</v>
      </c>
      <c r="AA8" s="643">
        <v>0</v>
      </c>
      <c r="AB8" s="643">
        <v>0</v>
      </c>
      <c r="AC8" s="643">
        <v>0</v>
      </c>
      <c r="AD8" s="643">
        <v>0</v>
      </c>
      <c r="AE8" s="643">
        <v>0</v>
      </c>
      <c r="AF8" s="643">
        <v>0</v>
      </c>
      <c r="AG8" s="643">
        <v>0</v>
      </c>
      <c r="AH8" s="643">
        <v>0</v>
      </c>
      <c r="AI8" s="643">
        <v>0</v>
      </c>
      <c r="AJ8" s="643">
        <v>0</v>
      </c>
      <c r="AK8" s="643">
        <v>0</v>
      </c>
      <c r="AL8" s="643">
        <v>0</v>
      </c>
      <c r="AM8" s="643">
        <v>0</v>
      </c>
    </row>
    <row r="9" spans="1:39" x14ac:dyDescent="0.35">
      <c r="C9" s="266" t="s">
        <v>1136</v>
      </c>
      <c r="D9" s="643">
        <v>0</v>
      </c>
      <c r="E9" s="643">
        <v>0</v>
      </c>
      <c r="F9" s="643">
        <v>0</v>
      </c>
      <c r="G9" s="643">
        <v>0</v>
      </c>
      <c r="H9" s="643">
        <v>0</v>
      </c>
      <c r="I9" s="643">
        <v>0</v>
      </c>
      <c r="J9" s="643">
        <v>0</v>
      </c>
      <c r="K9" s="643">
        <v>0</v>
      </c>
      <c r="L9" s="643">
        <v>0</v>
      </c>
      <c r="M9" s="643">
        <v>0</v>
      </c>
      <c r="N9" s="644">
        <v>0</v>
      </c>
      <c r="O9" s="644">
        <v>0</v>
      </c>
      <c r="P9" s="644">
        <v>0</v>
      </c>
      <c r="Q9" s="644">
        <v>0</v>
      </c>
      <c r="R9" s="644">
        <v>0</v>
      </c>
      <c r="S9" s="644">
        <v>0</v>
      </c>
      <c r="T9" s="644">
        <v>0</v>
      </c>
      <c r="U9" s="644">
        <v>0</v>
      </c>
      <c r="V9" s="644">
        <v>0</v>
      </c>
      <c r="W9" s="644">
        <v>0</v>
      </c>
      <c r="X9" s="644">
        <v>0</v>
      </c>
      <c r="Y9" s="644">
        <v>0</v>
      </c>
      <c r="Z9" s="644">
        <v>0</v>
      </c>
      <c r="AA9" s="644">
        <v>0</v>
      </c>
      <c r="AB9" s="643">
        <v>0</v>
      </c>
      <c r="AC9" s="643">
        <v>0</v>
      </c>
      <c r="AD9" s="643">
        <v>0</v>
      </c>
      <c r="AE9" s="643">
        <v>0</v>
      </c>
      <c r="AF9" s="643">
        <v>0</v>
      </c>
      <c r="AG9" s="643">
        <v>0</v>
      </c>
      <c r="AH9" s="643">
        <v>0</v>
      </c>
      <c r="AI9" s="643">
        <v>0</v>
      </c>
      <c r="AJ9" s="643">
        <v>0</v>
      </c>
      <c r="AK9" s="643">
        <v>0</v>
      </c>
      <c r="AL9" s="643">
        <v>0</v>
      </c>
      <c r="AM9" s="643">
        <v>0</v>
      </c>
    </row>
    <row r="17" spans="2:3" x14ac:dyDescent="0.35">
      <c r="B17" s="253" t="s">
        <v>4464</v>
      </c>
    </row>
    <row r="18" spans="2:3" x14ac:dyDescent="0.35">
      <c r="B18" s="90" t="s">
        <v>4459</v>
      </c>
    </row>
    <row r="19" spans="2:3" x14ac:dyDescent="0.35">
      <c r="B19" s="668"/>
      <c r="C19" s="668"/>
    </row>
    <row r="20" spans="2:3" x14ac:dyDescent="0.35">
      <c r="B20" s="90" t="s">
        <v>4460</v>
      </c>
    </row>
    <row r="21" spans="2:3" x14ac:dyDescent="0.35">
      <c r="B21" s="668"/>
      <c r="C21" s="668"/>
    </row>
    <row r="22" spans="2:3" x14ac:dyDescent="0.35">
      <c r="B22" s="90" t="s">
        <v>4461</v>
      </c>
    </row>
    <row r="23" spans="2:3" x14ac:dyDescent="0.35">
      <c r="B23" s="668"/>
      <c r="C23" s="668"/>
    </row>
    <row r="24" spans="2:3" x14ac:dyDescent="0.35">
      <c r="B24" s="90" t="s">
        <v>4462</v>
      </c>
    </row>
    <row r="25" spans="2:3" x14ac:dyDescent="0.35">
      <c r="B25" s="668"/>
      <c r="C25" s="668"/>
    </row>
    <row r="26" spans="2:3" x14ac:dyDescent="0.35">
      <c r="B26" s="90" t="s">
        <v>4463</v>
      </c>
    </row>
    <row r="27" spans="2:3" x14ac:dyDescent="0.35">
      <c r="B27" s="668"/>
      <c r="C27" s="668"/>
    </row>
  </sheetData>
  <sheetProtection algorithmName="SHA-512" hashValue="i2Wgu8hUeA2m82EoFORsHwyoud4/6T+972K11HmCDbaehWwE1VoWgcoc3hC/us7WUZ5QfS28bCxy9BLI5NqwlA==" saltValue="Fr2wluskJfto2oHesmVGxg==" spinCount="100000" sheet="1" objects="1" scenarios="1"/>
  <mergeCells count="5">
    <mergeCell ref="B19:C19"/>
    <mergeCell ref="B21:C21"/>
    <mergeCell ref="B23:C23"/>
    <mergeCell ref="B25:C25"/>
    <mergeCell ref="B27:C27"/>
  </mergeCells>
  <conditionalFormatting sqref="D8:AM9">
    <cfRule type="expression" dxfId="56" priority="1">
      <formula>LocalCurrency="INR"</formula>
    </cfRule>
    <cfRule type="expression" dxfId="55" priority="2">
      <formula>LocalCurrency="ILS"</formula>
    </cfRule>
    <cfRule type="expression" dxfId="54" priority="3">
      <formula>LocalCurrency="EUR"</formula>
    </cfRule>
    <cfRule type="expression" dxfId="53" priority="4">
      <formula>LocalCurrency="CHF"</formula>
    </cfRule>
    <cfRule type="expression" dxfId="52" priority="5">
      <formula>LocalCurrency="HKD"</formula>
    </cfRule>
    <cfRule type="expression" dxfId="51" priority="6">
      <formula>LocalCurrency="AUD"</formula>
    </cfRule>
    <cfRule type="expression" dxfId="50" priority="7">
      <formula>LocalCurrency="GBP"</formula>
    </cfRule>
    <cfRule type="expression" dxfId="49" priority="8">
      <formula>LocalCurrency="USD"</formula>
    </cfRule>
  </conditionalFormatting>
  <dataValidations count="3">
    <dataValidation type="date" operator="greaterThanOrEqual" allowBlank="1" showInputMessage="1" showErrorMessage="1" sqref="C1">
      <formula1>ForecastStartDateValue</formula1>
    </dataValidation>
    <dataValidation type="list" showInputMessage="1" showErrorMessage="1" sqref="C2 C4">
      <formula1>DV_CurrencyList</formula1>
    </dataValidation>
    <dataValidation type="date" operator="greaterThan" allowBlank="1" showInputMessage="1" showErrorMessage="1" sqref="H1:I2">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3020" r:id="rId4" name="QueryRefreshButton">
          <controlPr defaultSize="0" autoLine="0" r:id="rId5">
            <anchor moveWithCells="1">
              <from>
                <xdr:col>0</xdr:col>
                <xdr:colOff>152400</xdr:colOff>
                <xdr:row>10</xdr:row>
                <xdr:rowOff>127000</xdr:rowOff>
              </from>
              <to>
                <xdr:col>2</xdr:col>
                <xdr:colOff>228600</xdr:colOff>
                <xdr:row>12</xdr:row>
                <xdr:rowOff>76200</xdr:rowOff>
              </to>
            </anchor>
          </controlPr>
        </control>
      </mc:Choice>
      <mc:Fallback>
        <control shapeId="43020" r:id="rId4" name="QueryRefreshButton"/>
      </mc:Fallback>
    </mc:AlternateContent>
    <mc:AlternateContent xmlns:mc="http://schemas.openxmlformats.org/markup-compatibility/2006">
      <mc:Choice Requires="x14">
        <control shapeId="43014" r:id="rId6" name="PushAllButton">
          <controlPr defaultSize="0" autoLine="0" r:id="rId7">
            <anchor moveWithCells="1">
              <from>
                <xdr:col>0</xdr:col>
                <xdr:colOff>152400</xdr:colOff>
                <xdr:row>5</xdr:row>
                <xdr:rowOff>31750</xdr:rowOff>
              </from>
              <to>
                <xdr:col>1</xdr:col>
                <xdr:colOff>977900</xdr:colOff>
                <xdr:row>6</xdr:row>
                <xdr:rowOff>158750</xdr:rowOff>
              </to>
            </anchor>
          </controlPr>
        </control>
      </mc:Choice>
      <mc:Fallback>
        <control shapeId="43014" r:id="rId6" name="PushAllButton"/>
      </mc:Fallback>
    </mc:AlternateContent>
    <mc:AlternateContent xmlns:mc="http://schemas.openxmlformats.org/markup-compatibility/2006">
      <mc:Choice Requires="x14">
        <control shapeId="43027" r:id="rId8" name="ButtonSettings">
          <controlPr defaultSize="0" autoLine="0" r:id="rId9">
            <anchor moveWithCells="1">
              <from>
                <xdr:col>0</xdr:col>
                <xdr:colOff>152400</xdr:colOff>
                <xdr:row>13</xdr:row>
                <xdr:rowOff>19050</xdr:rowOff>
              </from>
              <to>
                <xdr:col>2</xdr:col>
                <xdr:colOff>228600</xdr:colOff>
                <xdr:row>14</xdr:row>
                <xdr:rowOff>152400</xdr:rowOff>
              </to>
            </anchor>
          </controlPr>
        </control>
      </mc:Choice>
      <mc:Fallback>
        <control shapeId="43027" r:id="rId8" name="ButtonSetting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Expenses">
    <tabColor theme="5"/>
  </sheetPr>
  <dimension ref="A1:CQ122"/>
  <sheetViews>
    <sheetView showGridLines="0" zoomScale="70" zoomScaleNormal="70" workbookViewId="0">
      <pane xSplit="16" ySplit="6" topLeftCell="Q7" activePane="bottomRight" state="frozen"/>
      <selection activeCell="L80" sqref="L80"/>
      <selection pane="topRight" activeCell="L80" sqref="L80"/>
      <selection pane="bottomLeft" activeCell="L80" sqref="L80"/>
      <selection pane="bottomRight" activeCell="Q7" sqref="Q7"/>
    </sheetView>
  </sheetViews>
  <sheetFormatPr defaultRowHeight="14.5" outlineLevelRow="1" outlineLevelCol="1" x14ac:dyDescent="0.35"/>
  <cols>
    <col min="1" max="1" width="20" customWidth="1"/>
    <col min="2" max="2" width="3.7265625" hidden="1" customWidth="1" outlineLevel="1"/>
    <col min="3" max="3" width="8.26953125" customWidth="1" collapsed="1"/>
    <col min="4" max="4" width="14.81640625" customWidth="1"/>
    <col min="5" max="5" width="14.54296875" bestFit="1" customWidth="1"/>
    <col min="6" max="6" width="10.26953125" bestFit="1" customWidth="1"/>
    <col min="7" max="7" width="14" customWidth="1"/>
    <col min="8" max="8" width="17.26953125" customWidth="1"/>
    <col min="9" max="10" width="14.7265625" customWidth="1"/>
    <col min="11" max="11" width="15.7265625" customWidth="1"/>
    <col min="12" max="13" width="13.81640625" customWidth="1"/>
    <col min="14" max="14" width="12" customWidth="1"/>
    <col min="15" max="16" width="13.81640625" hidden="1" customWidth="1" outlineLevel="1"/>
    <col min="17" max="17" width="17.7265625" customWidth="1" collapsed="1"/>
    <col min="18" max="52" width="17.7265625" customWidth="1"/>
    <col min="53" max="53" width="2.7265625" customWidth="1"/>
    <col min="54" max="89" width="17.7265625" customWidth="1"/>
    <col min="92" max="94" width="9.1796875" hidden="1" customWidth="1" outlineLevel="1"/>
    <col min="95" max="95" width="9.1796875" collapsed="1"/>
  </cols>
  <sheetData>
    <row r="1" spans="1:94" x14ac:dyDescent="0.35">
      <c r="G1" s="339" t="s">
        <v>1320</v>
      </c>
      <c r="H1" s="649"/>
      <c r="I1" s="286"/>
    </row>
    <row r="2" spans="1:94" x14ac:dyDescent="0.35">
      <c r="G2" s="339" t="s">
        <v>1321</v>
      </c>
      <c r="H2" s="649" t="s">
        <v>1210</v>
      </c>
      <c r="I2" s="286"/>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B2" s="286"/>
      <c r="BC2" s="286"/>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A2" s="286"/>
      <c r="CB2" s="286"/>
      <c r="CC2" s="286"/>
      <c r="CD2" s="286"/>
      <c r="CE2" s="286"/>
      <c r="CF2" s="286"/>
      <c r="CG2" s="286"/>
      <c r="CH2" s="286"/>
      <c r="CI2" s="286"/>
      <c r="CJ2" s="286"/>
      <c r="CK2" s="286"/>
    </row>
    <row r="3" spans="1:94" x14ac:dyDescent="0.35">
      <c r="Q3" s="559">
        <f>ForecastStartDate[start_date]</f>
        <v>41275</v>
      </c>
      <c r="R3" s="559">
        <f>EDATE(Q3,1)</f>
        <v>41306</v>
      </c>
      <c r="S3" s="559">
        <f t="shared" ref="S3:AZ3" si="0">EDATE(R3,1)</f>
        <v>41334</v>
      </c>
      <c r="T3" s="559">
        <f t="shared" si="0"/>
        <v>41365</v>
      </c>
      <c r="U3" s="559">
        <f t="shared" si="0"/>
        <v>41395</v>
      </c>
      <c r="V3" s="559">
        <f t="shared" si="0"/>
        <v>41426</v>
      </c>
      <c r="W3" s="559">
        <f t="shared" si="0"/>
        <v>41456</v>
      </c>
      <c r="X3" s="559">
        <f t="shared" si="0"/>
        <v>41487</v>
      </c>
      <c r="Y3" s="559">
        <f t="shared" si="0"/>
        <v>41518</v>
      </c>
      <c r="Z3" s="559">
        <f t="shared" si="0"/>
        <v>41548</v>
      </c>
      <c r="AA3" s="559">
        <f t="shared" si="0"/>
        <v>41579</v>
      </c>
      <c r="AB3" s="559">
        <f t="shared" si="0"/>
        <v>41609</v>
      </c>
      <c r="AC3" s="559">
        <f t="shared" si="0"/>
        <v>41640</v>
      </c>
      <c r="AD3" s="559">
        <f t="shared" si="0"/>
        <v>41671</v>
      </c>
      <c r="AE3" s="559">
        <f t="shared" si="0"/>
        <v>41699</v>
      </c>
      <c r="AF3" s="559">
        <f t="shared" si="0"/>
        <v>41730</v>
      </c>
      <c r="AG3" s="559">
        <f t="shared" si="0"/>
        <v>41760</v>
      </c>
      <c r="AH3" s="559">
        <f t="shared" si="0"/>
        <v>41791</v>
      </c>
      <c r="AI3" s="559">
        <f t="shared" si="0"/>
        <v>41821</v>
      </c>
      <c r="AJ3" s="559">
        <f t="shared" si="0"/>
        <v>41852</v>
      </c>
      <c r="AK3" s="559">
        <f t="shared" si="0"/>
        <v>41883</v>
      </c>
      <c r="AL3" s="559">
        <f t="shared" si="0"/>
        <v>41913</v>
      </c>
      <c r="AM3" s="559">
        <f t="shared" si="0"/>
        <v>41944</v>
      </c>
      <c r="AN3" s="559">
        <f t="shared" si="0"/>
        <v>41974</v>
      </c>
      <c r="AO3" s="559">
        <f t="shared" si="0"/>
        <v>42005</v>
      </c>
      <c r="AP3" s="559">
        <f t="shared" si="0"/>
        <v>42036</v>
      </c>
      <c r="AQ3" s="559">
        <f t="shared" si="0"/>
        <v>42064</v>
      </c>
      <c r="AR3" s="559">
        <f t="shared" si="0"/>
        <v>42095</v>
      </c>
      <c r="AS3" s="559">
        <f t="shared" si="0"/>
        <v>42125</v>
      </c>
      <c r="AT3" s="559">
        <f t="shared" si="0"/>
        <v>42156</v>
      </c>
      <c r="AU3" s="559">
        <f t="shared" si="0"/>
        <v>42186</v>
      </c>
      <c r="AV3" s="559">
        <f t="shared" si="0"/>
        <v>42217</v>
      </c>
      <c r="AW3" s="559">
        <f t="shared" si="0"/>
        <v>42248</v>
      </c>
      <c r="AX3" s="559">
        <f t="shared" si="0"/>
        <v>42278</v>
      </c>
      <c r="AY3" s="559">
        <f t="shared" si="0"/>
        <v>42309</v>
      </c>
      <c r="AZ3" s="559">
        <f t="shared" si="0"/>
        <v>42339</v>
      </c>
      <c r="BA3" s="250"/>
      <c r="BB3" s="559">
        <f>ForecastStartDate[start_date]</f>
        <v>41275</v>
      </c>
      <c r="BC3" s="559">
        <f>EDATE(BB3,1)</f>
        <v>41306</v>
      </c>
      <c r="BD3" s="559">
        <f t="shared" ref="BD3:CK3" si="1">EDATE(BC3,1)</f>
        <v>41334</v>
      </c>
      <c r="BE3" s="559">
        <f t="shared" si="1"/>
        <v>41365</v>
      </c>
      <c r="BF3" s="559">
        <f t="shared" si="1"/>
        <v>41395</v>
      </c>
      <c r="BG3" s="559">
        <f t="shared" si="1"/>
        <v>41426</v>
      </c>
      <c r="BH3" s="559">
        <f t="shared" si="1"/>
        <v>41456</v>
      </c>
      <c r="BI3" s="559">
        <f t="shared" si="1"/>
        <v>41487</v>
      </c>
      <c r="BJ3" s="559">
        <f t="shared" si="1"/>
        <v>41518</v>
      </c>
      <c r="BK3" s="559">
        <f t="shared" si="1"/>
        <v>41548</v>
      </c>
      <c r="BL3" s="559">
        <f t="shared" si="1"/>
        <v>41579</v>
      </c>
      <c r="BM3" s="559">
        <f t="shared" si="1"/>
        <v>41609</v>
      </c>
      <c r="BN3" s="559">
        <f t="shared" si="1"/>
        <v>41640</v>
      </c>
      <c r="BO3" s="559">
        <f t="shared" si="1"/>
        <v>41671</v>
      </c>
      <c r="BP3" s="559">
        <f t="shared" si="1"/>
        <v>41699</v>
      </c>
      <c r="BQ3" s="559">
        <f t="shared" si="1"/>
        <v>41730</v>
      </c>
      <c r="BR3" s="559">
        <f t="shared" si="1"/>
        <v>41760</v>
      </c>
      <c r="BS3" s="559">
        <f t="shared" si="1"/>
        <v>41791</v>
      </c>
      <c r="BT3" s="559">
        <f t="shared" si="1"/>
        <v>41821</v>
      </c>
      <c r="BU3" s="559">
        <f t="shared" si="1"/>
        <v>41852</v>
      </c>
      <c r="BV3" s="559">
        <f t="shared" si="1"/>
        <v>41883</v>
      </c>
      <c r="BW3" s="559">
        <f t="shared" si="1"/>
        <v>41913</v>
      </c>
      <c r="BX3" s="559">
        <f t="shared" si="1"/>
        <v>41944</v>
      </c>
      <c r="BY3" s="559">
        <f t="shared" si="1"/>
        <v>41974</v>
      </c>
      <c r="BZ3" s="559">
        <f t="shared" si="1"/>
        <v>42005</v>
      </c>
      <c r="CA3" s="559">
        <f t="shared" si="1"/>
        <v>42036</v>
      </c>
      <c r="CB3" s="559">
        <f t="shared" si="1"/>
        <v>42064</v>
      </c>
      <c r="CC3" s="559">
        <f t="shared" si="1"/>
        <v>42095</v>
      </c>
      <c r="CD3" s="559">
        <f t="shared" si="1"/>
        <v>42125</v>
      </c>
      <c r="CE3" s="559">
        <f t="shared" si="1"/>
        <v>42156</v>
      </c>
      <c r="CF3" s="559">
        <f t="shared" si="1"/>
        <v>42186</v>
      </c>
      <c r="CG3" s="559">
        <f t="shared" si="1"/>
        <v>42217</v>
      </c>
      <c r="CH3" s="559">
        <f t="shared" si="1"/>
        <v>42248</v>
      </c>
      <c r="CI3" s="559">
        <f t="shared" si="1"/>
        <v>42278</v>
      </c>
      <c r="CJ3" s="559">
        <f t="shared" si="1"/>
        <v>42309</v>
      </c>
      <c r="CK3" s="559">
        <f t="shared" si="1"/>
        <v>42339</v>
      </c>
    </row>
    <row r="4" spans="1:94" ht="16" x14ac:dyDescent="0.5">
      <c r="A4" s="265" t="s">
        <v>1150</v>
      </c>
      <c r="B4" s="265" t="s">
        <v>1149</v>
      </c>
      <c r="C4" s="265" t="s">
        <v>1382</v>
      </c>
      <c r="D4" s="265" t="s">
        <v>1218</v>
      </c>
      <c r="E4" s="265" t="s">
        <v>1219</v>
      </c>
      <c r="F4" s="265" t="s">
        <v>218</v>
      </c>
      <c r="G4" s="265" t="s">
        <v>1148</v>
      </c>
      <c r="H4" s="265" t="s">
        <v>208</v>
      </c>
      <c r="I4" s="265" t="s">
        <v>206</v>
      </c>
      <c r="J4" s="265" t="s">
        <v>209</v>
      </c>
      <c r="K4" s="265" t="s">
        <v>207</v>
      </c>
      <c r="L4" s="265" t="s">
        <v>1147</v>
      </c>
      <c r="M4" s="265" t="s">
        <v>1215</v>
      </c>
      <c r="N4" s="265" t="s">
        <v>1146</v>
      </c>
      <c r="O4" s="265" t="s">
        <v>1195</v>
      </c>
      <c r="P4" s="265" t="s">
        <v>2605</v>
      </c>
      <c r="Q4" s="283" t="s">
        <v>1137</v>
      </c>
      <c r="R4" s="283" t="s">
        <v>1137</v>
      </c>
      <c r="S4" s="283" t="s">
        <v>1137</v>
      </c>
      <c r="T4" s="283" t="s">
        <v>1137</v>
      </c>
      <c r="U4" s="283" t="s">
        <v>1137</v>
      </c>
      <c r="V4" s="283" t="s">
        <v>1137</v>
      </c>
      <c r="W4" s="283" t="s">
        <v>1137</v>
      </c>
      <c r="X4" s="283" t="s">
        <v>1137</v>
      </c>
      <c r="Y4" s="283" t="s">
        <v>1137</v>
      </c>
      <c r="Z4" s="283" t="s">
        <v>1137</v>
      </c>
      <c r="AA4" s="283" t="s">
        <v>1137</v>
      </c>
      <c r="AB4" s="283" t="s">
        <v>1137</v>
      </c>
      <c r="AC4" s="283" t="s">
        <v>1137</v>
      </c>
      <c r="AD4" s="283" t="s">
        <v>1137</v>
      </c>
      <c r="AE4" s="283" t="s">
        <v>1137</v>
      </c>
      <c r="AF4" s="283" t="s">
        <v>1137</v>
      </c>
      <c r="AG4" s="283" t="s">
        <v>1137</v>
      </c>
      <c r="AH4" s="283" t="s">
        <v>1137</v>
      </c>
      <c r="AI4" s="283" t="s">
        <v>1137</v>
      </c>
      <c r="AJ4" s="283" t="s">
        <v>1137</v>
      </c>
      <c r="AK4" s="283" t="s">
        <v>1137</v>
      </c>
      <c r="AL4" s="283" t="s">
        <v>1137</v>
      </c>
      <c r="AM4" s="283" t="s">
        <v>1137</v>
      </c>
      <c r="AN4" s="283" t="s">
        <v>1137</v>
      </c>
      <c r="AO4" s="283" t="s">
        <v>1137</v>
      </c>
      <c r="AP4" s="283" t="s">
        <v>1137</v>
      </c>
      <c r="AQ4" s="283" t="s">
        <v>1137</v>
      </c>
      <c r="AR4" s="283" t="s">
        <v>1137</v>
      </c>
      <c r="AS4" s="283" t="s">
        <v>1137</v>
      </c>
      <c r="AT4" s="283" t="s">
        <v>1137</v>
      </c>
      <c r="AU4" s="283" t="s">
        <v>1137</v>
      </c>
      <c r="AV4" s="283" t="s">
        <v>1137</v>
      </c>
      <c r="AW4" s="283" t="s">
        <v>1137</v>
      </c>
      <c r="AX4" s="283" t="s">
        <v>1137</v>
      </c>
      <c r="AY4" s="283" t="s">
        <v>1137</v>
      </c>
      <c r="AZ4" s="283" t="s">
        <v>1137</v>
      </c>
      <c r="BA4" s="254"/>
      <c r="BB4" s="284" t="s">
        <v>1136</v>
      </c>
      <c r="BC4" s="284" t="s">
        <v>1136</v>
      </c>
      <c r="BD4" s="284" t="s">
        <v>1136</v>
      </c>
      <c r="BE4" s="284" t="s">
        <v>1136</v>
      </c>
      <c r="BF4" s="284" t="s">
        <v>1136</v>
      </c>
      <c r="BG4" s="284" t="s">
        <v>1136</v>
      </c>
      <c r="BH4" s="284" t="s">
        <v>1136</v>
      </c>
      <c r="BI4" s="284" t="s">
        <v>1136</v>
      </c>
      <c r="BJ4" s="284" t="s">
        <v>1136</v>
      </c>
      <c r="BK4" s="284" t="s">
        <v>1136</v>
      </c>
      <c r="BL4" s="284" t="s">
        <v>1136</v>
      </c>
      <c r="BM4" s="284" t="s">
        <v>1136</v>
      </c>
      <c r="BN4" s="284" t="s">
        <v>1136</v>
      </c>
      <c r="BO4" s="284" t="s">
        <v>1136</v>
      </c>
      <c r="BP4" s="284" t="s">
        <v>1136</v>
      </c>
      <c r="BQ4" s="284" t="s">
        <v>1136</v>
      </c>
      <c r="BR4" s="284" t="s">
        <v>1136</v>
      </c>
      <c r="BS4" s="284" t="s">
        <v>1136</v>
      </c>
      <c r="BT4" s="284" t="s">
        <v>1136</v>
      </c>
      <c r="BU4" s="284" t="s">
        <v>1136</v>
      </c>
      <c r="BV4" s="284" t="s">
        <v>1136</v>
      </c>
      <c r="BW4" s="284" t="s">
        <v>1136</v>
      </c>
      <c r="BX4" s="284" t="s">
        <v>1136</v>
      </c>
      <c r="BY4" s="284" t="s">
        <v>1136</v>
      </c>
      <c r="BZ4" s="284" t="s">
        <v>1136</v>
      </c>
      <c r="CA4" s="284" t="s">
        <v>1136</v>
      </c>
      <c r="CB4" s="284" t="s">
        <v>1136</v>
      </c>
      <c r="CC4" s="284" t="s">
        <v>1136</v>
      </c>
      <c r="CD4" s="284" t="s">
        <v>1136</v>
      </c>
      <c r="CE4" s="284" t="s">
        <v>1136</v>
      </c>
      <c r="CF4" s="284" t="s">
        <v>1136</v>
      </c>
      <c r="CG4" s="284" t="s">
        <v>1136</v>
      </c>
      <c r="CH4" s="284" t="s">
        <v>1136</v>
      </c>
      <c r="CI4" s="284" t="s">
        <v>1136</v>
      </c>
      <c r="CJ4" s="284" t="s">
        <v>1136</v>
      </c>
      <c r="CK4" s="284" t="s">
        <v>1136</v>
      </c>
      <c r="CN4" s="265" t="s">
        <v>1216</v>
      </c>
      <c r="CO4" s="265" t="s">
        <v>1145</v>
      </c>
      <c r="CP4" s="265" t="s">
        <v>1144</v>
      </c>
    </row>
    <row r="5" spans="1:94" x14ac:dyDescent="0.35">
      <c r="B5">
        <f>MATCH(ActualsDate,$Q$3:$AZ$3,0)</f>
        <v>18</v>
      </c>
      <c r="F5" s="650"/>
      <c r="G5" s="650"/>
      <c r="H5" s="650"/>
      <c r="I5" s="650"/>
      <c r="J5" s="650"/>
      <c r="K5" s="650"/>
      <c r="L5" t="s">
        <v>1323</v>
      </c>
      <c r="Q5" s="652">
        <f>IF($H$1="Inputs Tab",Inputs!D$8,SUMIFS(ActualsTable[Month 1],ActualsTable[Expense Item],""))</f>
        <v>0</v>
      </c>
      <c r="R5" s="652">
        <f>IF($H$1="Inputs Tab",Inputs!E$8,SUMIFS(ActualsTable[Month 2],ActualsTable[Expense Item],""))</f>
        <v>0</v>
      </c>
      <c r="S5" s="652">
        <f>IF($H$1="Inputs Tab",Inputs!F$8,SUMIFS(ActualsTable[Month 3],ActualsTable[Expense Item],""))</f>
        <v>0</v>
      </c>
      <c r="T5" s="652">
        <f>IF($H$1="Inputs Tab",Inputs!G$8,SUMIFS(ActualsTable[Month 4],ActualsTable[Expense Item],""))</f>
        <v>0</v>
      </c>
      <c r="U5" s="652">
        <f>IF($H$1="Inputs Tab",Inputs!H$8,SUMIFS(ActualsTable[Month 5],ActualsTable[Expense Item],""))</f>
        <v>0</v>
      </c>
      <c r="V5" s="652">
        <f>IF($H$1="Inputs Tab",Inputs!I$8,SUMIFS(ActualsTable[Month 6],ActualsTable[Expense Item],""))</f>
        <v>0</v>
      </c>
      <c r="W5" s="652">
        <f>IF($H$1="Inputs Tab",Inputs!J$8,SUMIFS(ActualsTable[Month 7],ActualsTable[Expense Item],""))</f>
        <v>0</v>
      </c>
      <c r="X5" s="652">
        <f>IF($H$1="Inputs Tab",Inputs!K$8,SUMIFS(ActualsTable[Month 8],ActualsTable[Expense Item],""))</f>
        <v>0</v>
      </c>
      <c r="Y5" s="652">
        <f>IF($H$1="Inputs Tab",Inputs!L$8,SUMIFS(ActualsTable[Month 9],ActualsTable[Expense Item],""))</f>
        <v>0</v>
      </c>
      <c r="Z5" s="652">
        <f>IF($H$1="Inputs Tab",Inputs!M$8,SUMIFS(ActualsTable[Month 10],ActualsTable[Expense Item],""))</f>
        <v>0</v>
      </c>
      <c r="AA5" s="652">
        <f>IF($H$1="Inputs Tab",Inputs!N$8,SUMIFS(ActualsTable[Month 11],ActualsTable[Expense Item],""))</f>
        <v>0</v>
      </c>
      <c r="AB5" s="652">
        <f>IF($H$1="Inputs Tab",Inputs!O$8,SUMIFS(ActualsTable[Month 12],ActualsTable[Expense Item],""))</f>
        <v>0</v>
      </c>
      <c r="AC5" s="652">
        <f>IF($H$1="Inputs Tab",Inputs!P$8,SUMIFS(ActualsTable[Month 13],ActualsTable[Expense Item],""))</f>
        <v>0</v>
      </c>
      <c r="AD5" s="652">
        <f>IF($H$1="Inputs Tab",Inputs!Q$8,SUMIFS(ActualsTable[Month 14],ActualsTable[Expense Item],""))</f>
        <v>0</v>
      </c>
      <c r="AE5" s="652">
        <f>IF($H$1="Inputs Tab",Inputs!R$8,SUMIFS(ActualsTable[Month 15],ActualsTable[Expense Item],""))</f>
        <v>0</v>
      </c>
      <c r="AF5" s="652">
        <f>IF($H$1="Inputs Tab",Inputs!S$8,SUMIFS(ActualsTable[Month 16],ActualsTable[Expense Item],""))</f>
        <v>0</v>
      </c>
      <c r="AG5" s="652">
        <f>IF($H$1="Inputs Tab",Inputs!T$8,SUMIFS(ActualsTable[Month 17],ActualsTable[Expense Item],""))</f>
        <v>0</v>
      </c>
      <c r="AH5" s="652">
        <f>IF($H$1="Inputs Tab",Inputs!U$8,SUMIFS(ActualsTable[Month 18],ActualsTable[Expense Item],""))</f>
        <v>0</v>
      </c>
      <c r="AI5" s="652">
        <f>IF($H$1="Inputs Tab",Inputs!V$8,SUMIFS(ActualsTable[Month 19],ActualsTable[Expense Item],""))</f>
        <v>0</v>
      </c>
      <c r="AJ5" s="652">
        <f>IF($H$1="Inputs Tab",Inputs!W$8,SUMIFS(ActualsTable[Month 20],ActualsTable[Expense Item],""))</f>
        <v>0</v>
      </c>
      <c r="AK5" s="652">
        <f>IF($H$1="Inputs Tab",Inputs!X$8,SUMIFS(ActualsTable[Month 21],ActualsTable[Expense Item],""))</f>
        <v>0</v>
      </c>
      <c r="AL5" s="652">
        <f>IF($H$1="Inputs Tab",Inputs!Y$8,SUMIFS(ActualsTable[Month 22],ActualsTable[Expense Item],""))</f>
        <v>0</v>
      </c>
      <c r="AM5" s="652">
        <f>IF($H$1="Inputs Tab",Inputs!Z$8,SUMIFS(ActualsTable[Month 23],ActualsTable[Expense Item],""))</f>
        <v>0</v>
      </c>
      <c r="AN5" s="652">
        <f>IF($H$1="Inputs Tab",Inputs!AA$8,SUMIFS(ActualsTable[Month 24],ActualsTable[Expense Item],""))</f>
        <v>0</v>
      </c>
      <c r="AO5" s="652">
        <f>IF($H$1="Inputs Tab",Inputs!AB$8,SUMIFS(ActualsTable[Month 25],ActualsTable[Expense Item],""))</f>
        <v>0</v>
      </c>
      <c r="AP5" s="652">
        <f>IF($H$1="Inputs Tab",Inputs!AC$8,SUMIFS(ActualsTable[Month 26],ActualsTable[Expense Item],""))</f>
        <v>0</v>
      </c>
      <c r="AQ5" s="652">
        <f>IF($H$1="Inputs Tab",Inputs!AD$8,SUMIFS(ActualsTable[Month 27],ActualsTable[Expense Item],""))</f>
        <v>0</v>
      </c>
      <c r="AR5" s="652">
        <f>IF($H$1="Inputs Tab",Inputs!AE$8,SUMIFS(ActualsTable[Month 28],ActualsTable[Expense Item],""))</f>
        <v>0</v>
      </c>
      <c r="AS5" s="652">
        <f>IF($H$1="Inputs Tab",Inputs!AF$8,SUMIFS(ActualsTable[Month 29],ActualsTable[Expense Item],""))</f>
        <v>0</v>
      </c>
      <c r="AT5" s="652">
        <f>IF($H$1="Inputs Tab",Inputs!AG$8,SUMIFS(ActualsTable[Month 30],ActualsTable[Expense Item],""))</f>
        <v>0</v>
      </c>
      <c r="AU5" s="652">
        <f>IF($H$1="Inputs Tab",Inputs!AH$8,SUMIFS(ActualsTable[Month 31],ActualsTable[Expense Item],""))</f>
        <v>0</v>
      </c>
      <c r="AV5" s="652">
        <f>IF($H$1="Inputs Tab",Inputs!AI$8,SUMIFS(ActualsTable[Month 32],ActualsTable[Expense Item],""))</f>
        <v>0</v>
      </c>
      <c r="AW5" s="652">
        <f>IF($H$1="Inputs Tab",Inputs!AJ$8,SUMIFS(ActualsTable[Month 33],ActualsTable[Expense Item],""))</f>
        <v>0</v>
      </c>
      <c r="AX5" s="652">
        <f>IF($H$1="Inputs Tab",Inputs!AK$8,SUMIFS(ActualsTable[Month 34],ActualsTable[Expense Item],""))</f>
        <v>0</v>
      </c>
      <c r="AY5" s="652">
        <f>IF($H$1="Inputs Tab",Inputs!AL$8,SUMIFS(ActualsTable[Month 35],ActualsTable[Expense Item],""))</f>
        <v>0</v>
      </c>
      <c r="AZ5" s="652">
        <f>IF($H$1="Inputs Tab",Inputs!AM$8,SUMIFS(ActualsTable[Month 36],ActualsTable[Expense Item],""))</f>
        <v>0</v>
      </c>
      <c r="BB5" s="652">
        <f>IF(RevenueSelection="Inputs Tab",Inputs!D$9,SUMIFS(Revenue!M$7:M$58,Revenue!$B$7:$B$58,RevenueSelection))</f>
        <v>0</v>
      </c>
      <c r="BC5" s="652">
        <f>IF(RevenueSelection="Inputs Tab",Inputs!E$9,SUMIFS(Revenue!N$7:N$58,Revenue!$B$7:$B$58,RevenueSelection))</f>
        <v>0</v>
      </c>
      <c r="BD5" s="652">
        <f>IF(RevenueSelection="Inputs Tab",Inputs!F$9,SUMIFS(Revenue!O$7:O$58,Revenue!$B$7:$B$58,RevenueSelection))</f>
        <v>0</v>
      </c>
      <c r="BE5" s="652">
        <f>IF(RevenueSelection="Inputs Tab",Inputs!G$9,SUMIFS(Revenue!P$7:P$58,Revenue!$B$7:$B$58,RevenueSelection))</f>
        <v>0</v>
      </c>
      <c r="BF5" s="652">
        <f>IF(RevenueSelection="Inputs Tab",Inputs!H$9,SUMIFS(Revenue!Q$7:Q$58,Revenue!$B$7:$B$58,RevenueSelection))</f>
        <v>0</v>
      </c>
      <c r="BG5" s="652">
        <f>IF(RevenueSelection="Inputs Tab",Inputs!I$9,SUMIFS(Revenue!R$7:R$58,Revenue!$B$7:$B$58,RevenueSelection))</f>
        <v>0</v>
      </c>
      <c r="BH5" s="652">
        <f>IF(RevenueSelection="Inputs Tab",Inputs!J$9,SUMIFS(Revenue!S$7:S$58,Revenue!$B$7:$B$58,RevenueSelection))</f>
        <v>0</v>
      </c>
      <c r="BI5" s="652">
        <f>IF(RevenueSelection="Inputs Tab",Inputs!K$9,SUMIFS(Revenue!T$7:T$58,Revenue!$B$7:$B$58,RevenueSelection))</f>
        <v>0</v>
      </c>
      <c r="BJ5" s="652">
        <f>IF(RevenueSelection="Inputs Tab",Inputs!L$9,SUMIFS(Revenue!U$7:U$58,Revenue!$B$7:$B$58,RevenueSelection))</f>
        <v>0</v>
      </c>
      <c r="BK5" s="652">
        <f>IF(RevenueSelection="Inputs Tab",Inputs!M$9,SUMIFS(Revenue!V$7:V$58,Revenue!$B$7:$B$58,RevenueSelection))</f>
        <v>0</v>
      </c>
      <c r="BL5" s="652">
        <f>IF(RevenueSelection="Inputs Tab",Inputs!N$9,SUMIFS(Revenue!W$7:W$58,Revenue!$B$7:$B$58,RevenueSelection))</f>
        <v>0</v>
      </c>
      <c r="BM5" s="652">
        <f>IF(RevenueSelection="Inputs Tab",Inputs!O$9,SUMIFS(Revenue!X$7:X$58,Revenue!$B$7:$B$58,RevenueSelection))</f>
        <v>0</v>
      </c>
      <c r="BN5" s="652">
        <f>IF(RevenueSelection="Inputs Tab",Inputs!P$9,SUMIFS(Revenue!Y$7:Y$58,Revenue!$B$7:$B$58,RevenueSelection))</f>
        <v>0</v>
      </c>
      <c r="BO5" s="652">
        <f>IF(RevenueSelection="Inputs Tab",Inputs!Q$9,SUMIFS(Revenue!Z$7:Z$58,Revenue!$B$7:$B$58,RevenueSelection))</f>
        <v>0</v>
      </c>
      <c r="BP5" s="652">
        <f>IF(RevenueSelection="Inputs Tab",Inputs!R$9,SUMIFS(Revenue!AA$7:AA$58,Revenue!$B$7:$B$58,RevenueSelection))</f>
        <v>0</v>
      </c>
      <c r="BQ5" s="652">
        <f>IF(RevenueSelection="Inputs Tab",Inputs!S$9,SUMIFS(Revenue!AB$7:AB$58,Revenue!$B$7:$B$58,RevenueSelection))</f>
        <v>0</v>
      </c>
      <c r="BR5" s="652">
        <f>IF(RevenueSelection="Inputs Tab",Inputs!T$9,SUMIFS(Revenue!AC$7:AC$58,Revenue!$B$7:$B$58,RevenueSelection))</f>
        <v>0</v>
      </c>
      <c r="BS5" s="652">
        <f>IF(RevenueSelection="Inputs Tab",Inputs!U$9,SUMIFS(Revenue!AD$7:AD$58,Revenue!$B$7:$B$58,RevenueSelection))</f>
        <v>0</v>
      </c>
      <c r="BT5" s="652">
        <f>IF(RevenueSelection="Inputs Tab",Inputs!V$9,SUMIFS(Revenue!AE$7:AE$58,Revenue!$B$7:$B$58,RevenueSelection))</f>
        <v>0</v>
      </c>
      <c r="BU5" s="652">
        <f>IF(RevenueSelection="Inputs Tab",Inputs!W$9,SUMIFS(Revenue!AF$7:AF$58,Revenue!$B$7:$B$58,RevenueSelection))</f>
        <v>0</v>
      </c>
      <c r="BV5" s="652">
        <f>IF(RevenueSelection="Inputs Tab",Inputs!X$9,SUMIFS(Revenue!AG$7:AG$58,Revenue!$B$7:$B$58,RevenueSelection))</f>
        <v>0</v>
      </c>
      <c r="BW5" s="652">
        <f>IF(RevenueSelection="Inputs Tab",Inputs!Y$9,SUMIFS(Revenue!AH$7:AH$58,Revenue!$B$7:$B$58,RevenueSelection))</f>
        <v>0</v>
      </c>
      <c r="BX5" s="652">
        <f>IF(RevenueSelection="Inputs Tab",Inputs!Z$9,SUMIFS(Revenue!AI$7:AI$58,Revenue!$B$7:$B$58,RevenueSelection))</f>
        <v>0</v>
      </c>
      <c r="BY5" s="652">
        <f>IF(RevenueSelection="Inputs Tab",Inputs!AA$9,SUMIFS(Revenue!AJ$7:AJ$58,Revenue!$B$7:$B$58,RevenueSelection))</f>
        <v>0</v>
      </c>
      <c r="BZ5" s="652">
        <f>IF(RevenueSelection="Inputs Tab",Inputs!AB$9,SUMIFS(Revenue!AK$7:AK$58,Revenue!$B$7:$B$58,RevenueSelection))</f>
        <v>0</v>
      </c>
      <c r="CA5" s="652">
        <f>IF(RevenueSelection="Inputs Tab",Inputs!AC$9,SUMIFS(Revenue!AL$7:AL$58,Revenue!$B$7:$B$58,RevenueSelection))</f>
        <v>0</v>
      </c>
      <c r="CB5" s="652">
        <f>IF(RevenueSelection="Inputs Tab",Inputs!AD$9,SUMIFS(Revenue!AM$7:AM$58,Revenue!$B$7:$B$58,RevenueSelection))</f>
        <v>0</v>
      </c>
      <c r="CC5" s="652">
        <f>IF(RevenueSelection="Inputs Tab",Inputs!AE$9,SUMIFS(Revenue!AN$7:AN$58,Revenue!$B$7:$B$58,RevenueSelection))</f>
        <v>0</v>
      </c>
      <c r="CD5" s="652">
        <f>IF(RevenueSelection="Inputs Tab",Inputs!AF$9,SUMIFS(Revenue!AO$7:AO$58,Revenue!$B$7:$B$58,RevenueSelection))</f>
        <v>0</v>
      </c>
      <c r="CE5" s="652">
        <f>IF(RevenueSelection="Inputs Tab",Inputs!AG$9,SUMIFS(Revenue!AP$7:AP$58,Revenue!$B$7:$B$58,RevenueSelection))</f>
        <v>0</v>
      </c>
      <c r="CF5" s="652">
        <f>IF(RevenueSelection="Inputs Tab",Inputs!AH$9,SUMIFS(Revenue!AQ$7:AQ$58,Revenue!$B$7:$B$58,RevenueSelection))</f>
        <v>0</v>
      </c>
      <c r="CG5" s="652">
        <f>IF(RevenueSelection="Inputs Tab",Inputs!AI$9,SUMIFS(Revenue!AR$7:AR$58,Revenue!$B$7:$B$58,RevenueSelection))</f>
        <v>0</v>
      </c>
      <c r="CH5" s="652">
        <f>IF(RevenueSelection="Inputs Tab",Inputs!AJ$9,SUMIFS(Revenue!AS$7:AS$58,Revenue!$B$7:$B$58,RevenueSelection))</f>
        <v>0</v>
      </c>
      <c r="CI5" s="652">
        <f>IF(RevenueSelection="Inputs Tab",Inputs!AK$9,SUMIFS(Revenue!AT$7:AT$58,Revenue!$B$7:$B$58,RevenueSelection))</f>
        <v>0</v>
      </c>
      <c r="CJ5" s="652">
        <f>IF(RevenueSelection="Inputs Tab",Inputs!AL$9,SUMIFS(Revenue!AU$7:AU$58,Revenue!$B$7:$B$58,RevenueSelection))</f>
        <v>0</v>
      </c>
      <c r="CK5" s="652">
        <f>IF(RevenueSelection="Inputs Tab",Inputs!AM$9,SUMIFS(Revenue!AV$7:AV$58,Revenue!$B$7:$B$58,RevenueSelection))</f>
        <v>0</v>
      </c>
      <c r="CN5" t="b">
        <f>AND(CN8:CN57)</f>
        <v>0</v>
      </c>
      <c r="CO5" s="253" t="str">
        <f ca="1">MID(CELL("filename",CO5),FIND("[",CELL("filename",CO5))+1,FIND("]",CELL("filename",CO5))-FIND("[",CELL("filename",CO5))-1)</f>
        <v>BG3 - Template.xlsm</v>
      </c>
      <c r="CP5" s="264" t="str">
        <f ca="1">MID(CELL("filename",CP5),FIND("]",CELL("filename",CP5))+1,256)</f>
        <v>Expenses</v>
      </c>
    </row>
    <row r="6" spans="1:94" x14ac:dyDescent="0.35">
      <c r="F6" s="651"/>
      <c r="G6" s="651"/>
      <c r="H6" s="651"/>
      <c r="I6" s="651"/>
      <c r="J6" s="651"/>
      <c r="K6" s="651"/>
      <c r="L6" t="s">
        <v>1272</v>
      </c>
      <c r="P6" t="str">
        <f>IF($I6="","",INDEX(Teams[team_consolidation],MATCH($I$6,Teams[team_name],0)))</f>
        <v/>
      </c>
      <c r="Q6" s="251">
        <f>SUMIFS(ActualsTable[Month 1],ActualsTable[Expense Item],"Headcount")</f>
        <v>0</v>
      </c>
      <c r="R6" s="251">
        <f>SUMIFS(ActualsTable[Month 2],ActualsTable[Expense Item],"Headcount")</f>
        <v>0</v>
      </c>
      <c r="S6" s="251">
        <f>SUMIFS(ActualsTable[Month 3],ActualsTable[Expense Item],"Headcount")</f>
        <v>0</v>
      </c>
      <c r="T6" s="251">
        <f>SUMIFS(ActualsTable[Month 4],ActualsTable[Expense Item],"Headcount")</f>
        <v>0</v>
      </c>
      <c r="U6" s="251">
        <f>SUMIFS(ActualsTable[Month 5],ActualsTable[Expense Item],"Headcount")</f>
        <v>0</v>
      </c>
      <c r="V6" s="251">
        <f>SUMIFS(ActualsTable[Month 6],ActualsTable[Expense Item],"Headcount")</f>
        <v>0</v>
      </c>
      <c r="W6" s="251">
        <f>SUMIFS(ActualsTable[Month 7],ActualsTable[Expense Item],"Headcount")</f>
        <v>0</v>
      </c>
      <c r="X6" s="251">
        <f>SUMIFS(ActualsTable[Month 8],ActualsTable[Expense Item],"Headcount")</f>
        <v>0</v>
      </c>
      <c r="Y6" s="251">
        <f>SUMIFS(ActualsTable[Month 9],ActualsTable[Expense Item],"Headcount")</f>
        <v>0</v>
      </c>
      <c r="Z6" s="251">
        <f>SUMIFS(ActualsTable[Month 10],ActualsTable[Expense Item],"Headcount")</f>
        <v>0</v>
      </c>
      <c r="AA6" s="251">
        <f>SUMIFS(ActualsTable[Month 11],ActualsTable[Expense Item],"Headcount")</f>
        <v>0</v>
      </c>
      <c r="AB6" s="251">
        <f>SUMIFS(ActualsTable[Month 12],ActualsTable[Expense Item],"Headcount")</f>
        <v>0</v>
      </c>
      <c r="AC6" s="251">
        <f>SUMIFS(ActualsTable[Month 13],ActualsTable[Expense Item],"Headcount")</f>
        <v>0</v>
      </c>
      <c r="AD6" s="251">
        <f>SUMIFS(ActualsTable[Month 14],ActualsTable[Expense Item],"Headcount")</f>
        <v>0</v>
      </c>
      <c r="AE6" s="251">
        <f>SUMIFS(ActualsTable[Month 15],ActualsTable[Expense Item],"Headcount")</f>
        <v>0</v>
      </c>
      <c r="AF6" s="251">
        <f>SUMIFS(ActualsTable[Month 16],ActualsTable[Expense Item],"Headcount")</f>
        <v>0</v>
      </c>
      <c r="AG6" s="251">
        <f>SUMIFS(ActualsTable[Month 17],ActualsTable[Expense Item],"Headcount")</f>
        <v>0</v>
      </c>
      <c r="AH6" s="251">
        <f>SUMIFS(ActualsTable[Month 18],ActualsTable[Expense Item],"Headcount")</f>
        <v>0</v>
      </c>
      <c r="AI6" s="251">
        <f>SUMIFS(ActualsTable[Month 19],ActualsTable[Expense Item],"Headcount")</f>
        <v>0</v>
      </c>
      <c r="AJ6" s="251">
        <f>SUMIFS(ActualsTable[Month 20],ActualsTable[Expense Item],"Headcount")</f>
        <v>0</v>
      </c>
      <c r="AK6" s="251">
        <f>SUMIFS(ActualsTable[Month 21],ActualsTable[Expense Item],"Headcount")</f>
        <v>0</v>
      </c>
      <c r="AL6" s="251">
        <f>SUMIFS(ActualsTable[Month 22],ActualsTable[Expense Item],"Headcount")</f>
        <v>0</v>
      </c>
      <c r="AM6" s="251">
        <f>SUMIFS(ActualsTable[Month 23],ActualsTable[Expense Item],"Headcount")</f>
        <v>0</v>
      </c>
      <c r="AN6" s="251">
        <f>SUMIFS(ActualsTable[Month 24],ActualsTable[Expense Item],"Headcount")</f>
        <v>0</v>
      </c>
      <c r="AO6" s="251">
        <f>SUMIFS(ActualsTable[Month 25],ActualsTable[Expense Item],"Headcount")</f>
        <v>0</v>
      </c>
      <c r="AP6" s="251">
        <f>SUMIFS(ActualsTable[Month 26],ActualsTable[Expense Item],"Headcount")</f>
        <v>0</v>
      </c>
      <c r="AQ6" s="251">
        <f>SUMIFS(ActualsTable[Month 27],ActualsTable[Expense Item],"Headcount")</f>
        <v>0</v>
      </c>
      <c r="AR6" s="251">
        <f>SUMIFS(ActualsTable[Month 28],ActualsTable[Expense Item],"Headcount")</f>
        <v>0</v>
      </c>
      <c r="AS6" s="251">
        <f>SUMIFS(ActualsTable[Month 29],ActualsTable[Expense Item],"Headcount")</f>
        <v>0</v>
      </c>
      <c r="AT6" s="251">
        <f>SUMIFS(ActualsTable[Month 30],ActualsTable[Expense Item],"Headcount")</f>
        <v>0</v>
      </c>
      <c r="AU6" s="251">
        <f>SUMIFS(ActualsTable[Month 31],ActualsTable[Expense Item],"Headcount")</f>
        <v>0</v>
      </c>
      <c r="AV6" s="251">
        <f>SUMIFS(ActualsTable[Month 32],ActualsTable[Expense Item],"Headcount")</f>
        <v>0</v>
      </c>
      <c r="AW6" s="251">
        <f>SUMIFS(ActualsTable[Month 33],ActualsTable[Expense Item],"Headcount")</f>
        <v>0</v>
      </c>
      <c r="AX6" s="251">
        <f>SUMIFS(ActualsTable[Month 34],ActualsTable[Expense Item],"Headcount")</f>
        <v>0</v>
      </c>
      <c r="AY6" s="251">
        <f>SUMIFS(ActualsTable[Month 35],ActualsTable[Expense Item],"Headcount")</f>
        <v>0</v>
      </c>
      <c r="AZ6" s="251">
        <f>SUMIFS(ActualsTable[Month 36],ActualsTable[Expense Item],"Headcount")</f>
        <v>0</v>
      </c>
      <c r="BB6" s="251">
        <f>SUM(Headcount!L$186:L$286)</f>
        <v>0</v>
      </c>
      <c r="BC6" s="251">
        <f>SUM(Headcount!M$186:M$286)</f>
        <v>0</v>
      </c>
      <c r="BD6" s="251">
        <f>SUM(Headcount!N$186:N$286)</f>
        <v>0</v>
      </c>
      <c r="BE6" s="251">
        <f>SUM(Headcount!O$186:O$286)</f>
        <v>0</v>
      </c>
      <c r="BF6" s="251">
        <f>SUM(Headcount!P$186:P$286)</f>
        <v>0</v>
      </c>
      <c r="BG6" s="251">
        <f>SUM(Headcount!Q$186:Q$286)</f>
        <v>0</v>
      </c>
      <c r="BH6" s="251">
        <f>SUM(Headcount!R$186:R$286)</f>
        <v>0</v>
      </c>
      <c r="BI6" s="251">
        <f>SUM(Headcount!S$186:S$286)</f>
        <v>0</v>
      </c>
      <c r="BJ6" s="251">
        <f>SUM(Headcount!T$186:T$286)</f>
        <v>0</v>
      </c>
      <c r="BK6" s="251">
        <f>SUM(Headcount!U$186:U$286)</f>
        <v>0</v>
      </c>
      <c r="BL6" s="251">
        <f>SUM(Headcount!V$186:V$286)</f>
        <v>0</v>
      </c>
      <c r="BM6" s="251">
        <f>SUM(Headcount!W$186:W$286)</f>
        <v>0</v>
      </c>
      <c r="BN6" s="251">
        <f>SUM(Headcount!X$186:X$286)</f>
        <v>0</v>
      </c>
      <c r="BO6" s="251">
        <f>SUM(Headcount!Y$186:Y$286)</f>
        <v>0</v>
      </c>
      <c r="BP6" s="251">
        <f>SUM(Headcount!Z$186:Z$286)</f>
        <v>0</v>
      </c>
      <c r="BQ6" s="251">
        <f>SUM(Headcount!AA$186:AA$286)</f>
        <v>0</v>
      </c>
      <c r="BR6" s="251">
        <f>SUM(Headcount!AB$186:AB$286)</f>
        <v>0</v>
      </c>
      <c r="BS6" s="251">
        <f>SUM(Headcount!AC$186:AC$286)</f>
        <v>0</v>
      </c>
      <c r="BT6" s="251">
        <f>SUM(Headcount!AD$186:AD$286)</f>
        <v>0</v>
      </c>
      <c r="BU6" s="251">
        <f>SUM(Headcount!AE$186:AE$286)</f>
        <v>0</v>
      </c>
      <c r="BV6" s="251">
        <f>SUM(Headcount!AF$186:AF$286)</f>
        <v>0</v>
      </c>
      <c r="BW6" s="251">
        <f>SUM(Headcount!AG$186:AG$286)</f>
        <v>0</v>
      </c>
      <c r="BX6" s="251">
        <f>SUM(Headcount!AH$186:AH$286)</f>
        <v>0</v>
      </c>
      <c r="BY6" s="251">
        <f>SUM(Headcount!AI$186:AI$286)</f>
        <v>0</v>
      </c>
      <c r="BZ6" s="251">
        <f>SUM(Headcount!AJ$186:AJ$286)</f>
        <v>0</v>
      </c>
      <c r="CA6" s="251">
        <f>SUM(Headcount!AK$186:AK$286)</f>
        <v>0</v>
      </c>
      <c r="CB6" s="251">
        <f>SUM(Headcount!AL$186:AL$286)</f>
        <v>0</v>
      </c>
      <c r="CC6" s="251">
        <f>SUM(Headcount!AM$186:AM$286)</f>
        <v>0</v>
      </c>
      <c r="CD6" s="251">
        <f>SUM(Headcount!AN$186:AN$286)</f>
        <v>0</v>
      </c>
      <c r="CE6" s="251">
        <f>SUM(Headcount!AO$186:AO$286)</f>
        <v>0</v>
      </c>
      <c r="CF6" s="251">
        <f>SUM(Headcount!AP$186:AP$286)</f>
        <v>0</v>
      </c>
      <c r="CG6" s="251">
        <f>SUM(Headcount!AQ$186:AQ$286)</f>
        <v>0</v>
      </c>
      <c r="CH6" s="251">
        <f>SUM(Headcount!AR$186:AR$286)</f>
        <v>0</v>
      </c>
      <c r="CI6" s="251">
        <f>SUM(Headcount!AS$186:AS$286)</f>
        <v>0</v>
      </c>
      <c r="CJ6" s="251">
        <f>SUM(Headcount!AT$186:AT$286)</f>
        <v>0</v>
      </c>
      <c r="CK6" s="251">
        <f>SUM(Headcount!AU$186:AU$286)</f>
        <v>0</v>
      </c>
      <c r="CO6" s="253"/>
      <c r="CP6" s="264">
        <v>0</v>
      </c>
    </row>
    <row r="7" spans="1:94" s="255" customFormat="1" x14ac:dyDescent="0.35">
      <c r="A7" s="263"/>
      <c r="B7" s="257"/>
      <c r="C7" s="257"/>
      <c r="D7" s="257"/>
      <c r="E7" s="258"/>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O7"/>
    </row>
    <row r="8" spans="1:94" s="255" customFormat="1" x14ac:dyDescent="0.35">
      <c r="A8" s="566" t="s">
        <v>1141</v>
      </c>
      <c r="B8" s="261">
        <f t="shared" ref="B8:B39" si="2">IFERROR(VLOOKUP($A8,ForecastMethodLookup,2,0),COUNTA(ForecastMethods))</f>
        <v>1</v>
      </c>
      <c r="C8" s="566"/>
      <c r="D8" s="261" t="e">
        <f t="array" aca="1" ref="D8" ca="1">IF($B8&lt;5,AVERAGE(OFFSET($Q8,,Input_ActualsOffset-1,,-$C8)/CHOOSE($B8,OFFSET($Q$5,,Input_ActualsOffset-1,1,-$C8),ss($C8,OFFSET(Actuals!$A$1,1,MATCH("Month "&amp;Input_ActualsOffset,ActualsTable[#Headers],0)-1,ROWS(ActualsTable[#Data]),1),ActualsTable[Company],IF($F$5="Y",IF($F8="",$F$6,$F8),"*"),ActualsTable[Business Unit],IF($G$5="Y",IF($G8="",$G$6,$G8),"*"),ActualsTable[Department],IF($H$5="Y",IF($H8="",$H$6,$H8),"*"),ActualsTable[Team],IF($I$5="Y",IF($P8="",$P$6,$P8),"*"),ActualsTable[Product],IF($J$5="Y",IF($J8="",$J$6,$J8),"*"),ActualsTable[Location],IF($K$5="Y",IF($K8="",$K$6,$K8),"*"),ActualsTable[Expense Item],"Headcount"),OFFSET($Q$6,,Input_ActualsOffset-1,,-$C8),1)),"")</f>
        <v>#REF!</v>
      </c>
      <c r="E8" s="640"/>
      <c r="F8" s="555"/>
      <c r="G8" s="555"/>
      <c r="H8" s="555"/>
      <c r="I8" s="555"/>
      <c r="J8" s="555"/>
      <c r="K8" s="555"/>
      <c r="L8" s="555" t="s">
        <v>23</v>
      </c>
      <c r="M8" s="555"/>
      <c r="N8" s="555"/>
      <c r="O8" s="556" t="e">
        <f>IF($L8="","",IF(VLOOKUP(L8,ExpItems[],2,0),L8&amp;" - "&amp;INDEX(DivisionMapping[category_code],MATCH(IF(H8="",$H$6,H8)&amp;IF(G8="",$G$6,G8),DivisionMapping[dept_bu],0)),L8))</f>
        <v>#N/A</v>
      </c>
      <c r="P8" s="556" t="e">
        <f>IF($L8="","",INDEX(Teams[team_consolidation],MATCH(IF($I8="",$I$6,$I8),Teams[team_name],0)))</f>
        <v>#N/A</v>
      </c>
      <c r="Q8" s="657" t="e">
        <f t="array" ref="Q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f>
        <v>#VALUE!</v>
      </c>
      <c r="R8" s="657" t="e">
        <f t="array" ref="R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f>
        <v>#VALUE!</v>
      </c>
      <c r="S8" s="657" t="e">
        <f t="array" ref="S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f>
        <v>#VALUE!</v>
      </c>
      <c r="T8" s="657" t="e">
        <f t="array" ref="T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4]))</f>
        <v>#VALUE!</v>
      </c>
      <c r="U8" s="657" t="e">
        <f t="array" ref="U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5]))</f>
        <v>#VALUE!</v>
      </c>
      <c r="V8" s="657" t="e">
        <f t="array" ref="V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6]))</f>
        <v>#VALUE!</v>
      </c>
      <c r="W8" s="657" t="e">
        <f t="array" ref="W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7]))</f>
        <v>#VALUE!</v>
      </c>
      <c r="X8" s="657" t="e">
        <f t="array" ref="X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8]))</f>
        <v>#VALUE!</v>
      </c>
      <c r="Y8" s="657" t="e">
        <f t="array" ref="Y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9]))</f>
        <v>#VALUE!</v>
      </c>
      <c r="Z8" s="657" t="e">
        <f t="array" ref="Z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10]))</f>
        <v>#VALUE!</v>
      </c>
      <c r="AA8" s="657" t="e">
        <f t="array" ref="AA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11]))</f>
        <v>#VALUE!</v>
      </c>
      <c r="AB8" s="657" t="e">
        <f t="array" ref="AB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12]))</f>
        <v>#VALUE!</v>
      </c>
      <c r="AC8" s="657" t="e">
        <f t="array" ref="AC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13]))</f>
        <v>#VALUE!</v>
      </c>
      <c r="AD8" s="657" t="e">
        <f t="array" ref="AD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14]))</f>
        <v>#VALUE!</v>
      </c>
      <c r="AE8" s="657" t="e">
        <f t="array" ref="AE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15]))</f>
        <v>#VALUE!</v>
      </c>
      <c r="AF8" s="657" t="e">
        <f t="array" ref="AF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16]))</f>
        <v>#VALUE!</v>
      </c>
      <c r="AG8" s="657" t="e">
        <f t="array" ref="AG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17]))</f>
        <v>#VALUE!</v>
      </c>
      <c r="AH8" s="657" t="e">
        <f t="array" ref="AH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18]))</f>
        <v>#VALUE!</v>
      </c>
      <c r="AI8" s="657" t="e">
        <f t="array" ref="AI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19]))</f>
        <v>#VALUE!</v>
      </c>
      <c r="AJ8" s="657" t="e">
        <f t="array" ref="AJ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20]))</f>
        <v>#VALUE!</v>
      </c>
      <c r="AK8" s="657" t="e">
        <f t="array" ref="AK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21]))</f>
        <v>#VALUE!</v>
      </c>
      <c r="AL8" s="657" t="e">
        <f t="array" ref="AL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22]))</f>
        <v>#VALUE!</v>
      </c>
      <c r="AM8" s="657" t="e">
        <f t="array" ref="AM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23]))</f>
        <v>#VALUE!</v>
      </c>
      <c r="AN8" s="657" t="e">
        <f t="array" ref="AN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24]))</f>
        <v>#VALUE!</v>
      </c>
      <c r="AO8" s="657" t="e">
        <f t="array" ref="AO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25]))</f>
        <v>#VALUE!</v>
      </c>
      <c r="AP8" s="657" t="e">
        <f t="array" ref="AP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26]))</f>
        <v>#VALUE!</v>
      </c>
      <c r="AQ8" s="657" t="e">
        <f t="array" ref="AQ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27]))</f>
        <v>#VALUE!</v>
      </c>
      <c r="AR8" s="657" t="e">
        <f t="array" ref="AR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28]))</f>
        <v>#VALUE!</v>
      </c>
      <c r="AS8" s="657" t="e">
        <f t="array" ref="AS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29]))</f>
        <v>#VALUE!</v>
      </c>
      <c r="AT8" s="657" t="e">
        <f t="array" ref="AT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30]))</f>
        <v>#VALUE!</v>
      </c>
      <c r="AU8" s="657" t="e">
        <f t="array" ref="AU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31]))</f>
        <v>#VALUE!</v>
      </c>
      <c r="AV8" s="657" t="e">
        <f t="array" ref="AV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32]))</f>
        <v>#VALUE!</v>
      </c>
      <c r="AW8" s="657" t="e">
        <f t="array" ref="AW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33]))</f>
        <v>#VALUE!</v>
      </c>
      <c r="AX8" s="657" t="e">
        <f t="array" ref="AX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34]))</f>
        <v>#VALUE!</v>
      </c>
      <c r="AY8" s="657" t="e">
        <f t="array" ref="AY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35]))</f>
        <v>#VALUE!</v>
      </c>
      <c r="AZ8" s="657" t="e">
        <f t="array" ref="AZ8">IF($L8="","",SUMPRODUCT(IF($F$5="Y",1*(ActualsTable[Company]=IF($F8="",$F$6,$F8)),1+0*ISBLANK(ActualsTable[Company])),IF($G$5="Y",1*(ActualsTable[Business Unit]=IF($G8="",$G$6,$G8)),1+0*ISBLANK(ActualsTable[Business Unit])),IF($H$5="Y",1*(ActualsTable[Department]=IF($H8="",$H$6,$H8)),1+0*ISBLANK(ActualsTable[Department])),IF($I$5="Y",1*(ActualsTable[Team]=IF($P8="",$P$6,$P8)),1+0*ISBLANK(ActualsTable[Team])),IF($J$5="Y",1*(ActualsTable[Product]=IF($J8="",$J$6,$J8)),1+0*ISBLANK(ActualsTable[Product])),IF($K$5="Y",1*(ActualsTable[Location]=IF($K8="",$K$6,$K8)),1+0*ISBLANK(ActualsTable[Location])),1*(ActualsTable[Expense Item]=$L8),ActualsTable[Month 36]))</f>
        <v>#VALUE!</v>
      </c>
      <c r="BA8" s="257"/>
      <c r="BB8" s="654">
        <f t="array" ref="BB8">IF(OR($L8="",IsHidden(BB8)),"",CHOOSE($B8,N($E8)*BB$5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L$186:L$286)*N($E8),BB$6*N($E8),N($E8),0)+N(BB71))</f>
        <v>0</v>
      </c>
      <c r="BC8" s="654">
        <f t="array" ref="BC8">IF(OR($L8="",IsHidden(BC8)),"",CHOOSE($B8,N($E8)*BC$5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M$186:M$286)*N($E8),BC$6*N($E8),N($E8),0)+N(BC71))</f>
        <v>0</v>
      </c>
      <c r="BD8" s="654">
        <f t="array" ref="BD8">IF(OR($L8="",IsHidden(BD8)),"",CHOOSE($B8,N($E8)*BD$5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N$186:N$286)*N($E8),BD$6*N($E8),N($E8),0)+N(BD71))</f>
        <v>0</v>
      </c>
      <c r="BE8" s="654">
        <f t="array" ref="BE8">IF(OR($L8="",IsHidden(BE8)),"",CHOOSE($B8,N($E8)*BE$5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O$186:O$286)*N($E8),BE$6*N($E8),N($E8),0)+N(BE71))</f>
        <v>0</v>
      </c>
      <c r="BF8" s="654">
        <f t="array" ref="BF8">IF(OR($L8="",IsHidden(BF8)),"",CHOOSE($B8,N($E8)*BF$5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P$186:P$286)*N($E8),BF$6*N($E8),N($E8),0)+N(BF71))</f>
        <v>0</v>
      </c>
      <c r="BG8" s="654">
        <f t="array" ref="BG8">IF(OR($L8="",IsHidden(BG8)),"",CHOOSE($B8,N($E8)*BG$5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Q$186:Q$286)*N($E8),BG$6*N($E8),N($E8),0)+N(BG71))</f>
        <v>0</v>
      </c>
      <c r="BH8" s="654">
        <f t="array" ref="BH8">IF(OR($L8="",IsHidden(BH8)),"",CHOOSE($B8,N($E8)*BH$5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R$186:R$286)*N($E8),BH$6*N($E8),N($E8),0)+N(BH71))</f>
        <v>0</v>
      </c>
      <c r="BI8" s="654">
        <f t="array" ref="BI8">IF(OR($L8="",IsHidden(BI8)),"",CHOOSE($B8,N($E8)*BI$5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S$186:S$286)*N($E8),BI$6*N($E8),N($E8),0)+N(BI71))</f>
        <v>0</v>
      </c>
      <c r="BJ8" s="654">
        <f t="array" ref="BJ8">IF(OR($L8="",IsHidden(BJ8)),"",CHOOSE($B8,N($E8)*BJ$5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T$186:T$286)*N($E8),BJ$6*N($E8),N($E8),0)+N(BJ71))</f>
        <v>0</v>
      </c>
      <c r="BK8" s="654">
        <f t="array" ref="BK8">IF(OR($L8="",IsHidden(BK8)),"",CHOOSE($B8,N($E8)*BK$5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U$186:U$286)*N($E8),BK$6*N($E8),N($E8),0)+N(BK71))</f>
        <v>0</v>
      </c>
      <c r="BL8" s="654">
        <f t="array" ref="BL8">IF(OR($L8="",IsHidden(BL8)),"",CHOOSE($B8,N($E8)*BL$5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V$186:V$286)*N($E8),BL$6*N($E8),N($E8),0)+N(BL71))</f>
        <v>0</v>
      </c>
      <c r="BM8" s="654">
        <f t="array" ref="BM8">IF(OR($L8="",IsHidden(BM8)),"",CHOOSE($B8,N($E8)*BM$5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W$186:W$286)*N($E8),BM$6*N($E8),N($E8),0)+N(BM71))</f>
        <v>0</v>
      </c>
      <c r="BN8" s="654">
        <f t="array" ref="BN8">IF(OR($L8="",IsHidden(BN8)),"",CHOOSE($B8,N($E8)*BN$5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X$186:X$286)*N($E8),BN$6*N($E8),N($E8),0)+N(BN71))</f>
        <v>0</v>
      </c>
      <c r="BO8" s="654">
        <f t="array" ref="BO8">IF(OR($L8="",IsHidden(BO8)),"",CHOOSE($B8,N($E8)*BO$5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Y$186:Y$286)*N($E8),BO$6*N($E8),N($E8),0)+N(BO71))</f>
        <v>0</v>
      </c>
      <c r="BP8" s="654">
        <f t="array" ref="BP8">IF(OR($L8="",IsHidden(BP8)),"",CHOOSE($B8,N($E8)*BP$5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Z$186:Z$286)*N($E8),BP$6*N($E8),N($E8),0)+N(BP71))</f>
        <v>0</v>
      </c>
      <c r="BQ8" s="654">
        <f t="array" ref="BQ8">IF(OR($L8="",IsHidden(BQ8)),"",CHOOSE($B8,N($E8)*BQ$5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A$186:AA$286)*N($E8),BQ$6*N($E8),N($E8),0)+N(BQ71))</f>
        <v>0</v>
      </c>
      <c r="BR8" s="654">
        <f t="array" ref="BR8">IF(OR($L8="",IsHidden(BR8)),"",CHOOSE($B8,N($E8)*BR$5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B$186:AB$286)*N($E8),BR$6*N($E8),N($E8),0)+N(BR71))</f>
        <v>0</v>
      </c>
      <c r="BS8" s="654">
        <f t="array" ref="BS8">IF(OR($L8="",IsHidden(BS8)),"",CHOOSE($B8,N($E8)*BS$5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C$186:AC$286)*N($E8),BS$6*N($E8),N($E8),0)+N(BS71))</f>
        <v>0</v>
      </c>
      <c r="BT8" s="654">
        <f t="array" ref="BT8">IF(OR($L8="",IsHidden(BT8)),"",CHOOSE($B8,N($E8)*BT$5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D$186:AD$286)*N($E8),BT$6*N($E8),N($E8),0)+N(BT71))</f>
        <v>0</v>
      </c>
      <c r="BU8" s="654">
        <f t="array" ref="BU8">IF(OR($L8="",IsHidden(BU8)),"",CHOOSE($B8,N($E8)*BU$5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E$186:AE$286)*N($E8),BU$6*N($E8),N($E8),0)+N(BU71))</f>
        <v>0</v>
      </c>
      <c r="BV8" s="654">
        <f t="array" ref="BV8">IF(OR($L8="",IsHidden(BV8)),"",CHOOSE($B8,N($E8)*BV$5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F$186:AF$286)*N($E8),BV$6*N($E8),N($E8),0)+N(BV71))</f>
        <v>0</v>
      </c>
      <c r="BW8" s="654">
        <f t="array" ref="BW8">IF(OR($L8="",IsHidden(BW8)),"",CHOOSE($B8,N($E8)*BW$5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G$186:AG$286)*N($E8),BW$6*N($E8),N($E8),0)+N(BW71))</f>
        <v>0</v>
      </c>
      <c r="BX8" s="654">
        <f t="array" ref="BX8">IF(OR($L8="",IsHidden(BX8)),"",CHOOSE($B8,N($E8)*BX$5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H$186:AH$286)*N($E8),BX$6*N($E8),N($E8),0)+N(BX71))</f>
        <v>0</v>
      </c>
      <c r="BY8" s="654">
        <f t="array" ref="BY8">IF(OR($L8="",IsHidden(BY8)),"",CHOOSE($B8,N($E8)*BY$5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I$186:AI$286)*N($E8),BY$6*N($E8),N($E8),0)+N(BY71))</f>
        <v>0</v>
      </c>
      <c r="BZ8" s="654">
        <f t="array" ref="BZ8">IF(OR($L8="",IsHidden(BZ8)),"",CHOOSE($B8,N($E8)*BZ$5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J$186:AJ$286)*N($E8),BZ$6*N($E8),N($E8),0)+N(BZ71))</f>
        <v>0</v>
      </c>
      <c r="CA8" s="654">
        <f t="array" ref="CA8">IF(OR($L8="",IsHidden(CA8)),"",CHOOSE($B8,N($E8)*CA$5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K$186:AK$286)*N($E8),CA$6*N($E8),N($E8),0)+N(CA71))</f>
        <v>0</v>
      </c>
      <c r="CB8" s="654">
        <f t="array" ref="CB8">IF(OR($L8="",IsHidden(CB8)),"",CHOOSE($B8,N($E8)*CB$5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L$186:AL$286)*N($E8),CB$6*N($E8),N($E8),0)+N(CB71))</f>
        <v>0</v>
      </c>
      <c r="CC8" s="654">
        <f t="array" ref="CC8">IF(OR($L8="",IsHidden(CC8)),"",CHOOSE($B8,N($E8)*CC$5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M$186:AM$286)*N($E8),CC$6*N($E8),N($E8),0)+N(CC71))</f>
        <v>0</v>
      </c>
      <c r="CD8" s="654">
        <f t="array" ref="CD8">IF(OR($L8="",IsHidden(CD8)),"",CHOOSE($B8,N($E8)*CD$5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N$186:AN$286)*N($E8),CD$6*N($E8),N($E8),0)+N(CD71))</f>
        <v>0</v>
      </c>
      <c r="CE8" s="654">
        <f t="array" ref="CE8">IF(OR($L8="",IsHidden(CE8)),"",CHOOSE($B8,N($E8)*CE$5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O$186:AO$286)*N($E8),CE$6*N($E8),N($E8),0)+N(CE71))</f>
        <v>0</v>
      </c>
      <c r="CF8" s="654">
        <f t="array" ref="CF8">IF(OR($L8="",IsHidden(CF8)),"",CHOOSE($B8,N($E8)*CF$5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P$186:AP$286)*N($E8),CF$6*N($E8),N($E8),0)+N(CF71))</f>
        <v>0</v>
      </c>
      <c r="CG8" s="654">
        <f t="array" ref="CG8">IF(OR($L8="",IsHidden(CG8)),"",CHOOSE($B8,N($E8)*CG$5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Q$186:AQ$286)*N($E8),CG$6*N($E8),N($E8),0)+N(CG71))</f>
        <v>0</v>
      </c>
      <c r="CH8" s="654">
        <f t="array" ref="CH8">IF(OR($L8="",IsHidden(CH8)),"",CHOOSE($B8,N($E8)*CH$5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R$186:AR$286)*N($E8),CH$6*N($E8),N($E8),0)+N(CH71))</f>
        <v>0</v>
      </c>
      <c r="CI8" s="654">
        <f t="array" ref="CI8">IF(OR($L8="",IsHidden(CI8)),"",CHOOSE($B8,N($E8)*CI$5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S$186:AS$286)*N($E8),CI$6*N($E8),N($E8),0)+N(CI71))</f>
        <v>0</v>
      </c>
      <c r="CJ8" s="654">
        <f t="array" ref="CJ8">IF(OR($L8="",IsHidden(CJ8)),"",CHOOSE($B8,N($E8)*CJ$5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T$186:AT$286)*N($E8),CJ$6*N($E8),N($E8),0)+N(CJ71))</f>
        <v>0</v>
      </c>
      <c r="CK8" s="654">
        <f t="array" ref="CK8">IF(OR($L8="",IsHidden(CK8)),"",CHOOSE($B8,N($E8)*CK$5,SUMPRODUCT(IF($F$5="Y",1*(Headcount!$B$186:$B$286=IF($F8="",$F$6,$F8)),1+0*ISBLANK(Headcount!$B$186:$B$286)),IF($G$5="Y",1*(Headcount!$C$186:$C$286=IF($G8="",$G$6,$G8)),1+0*ISBLANK(Headcount!$C$186:$C$286)),IF($H$5="Y",1*(Headcount!$D$186:$D$286=IF($H8="",$H$6,$H8)),1+0*ISBLANK(Headcount!$D$186:$D$286)),IF($I$5="Y",1*(Headcount!$E$186:$E$286=IF($I8="",$I$6,$I8)),1+0*ISBLANK(Headcount!$E$186:$E$286)),IF($J$5="Y",1*(Headcount!$F$186:$F$286=IF($J8="",$J$6,$J8)),1+0*ISBLANK(Headcount!$F$186:$F$286)),IF($K$5="Y",1*(Headcount!$G$186:$G$286=IF($K8="",$K$6,$K8)),1+0*ISBLANK(Headcount!$G$186:$G$286)),Headcount!AU$186:AU$286)*N($E8),CK$6*N($E8),N($E8),0)+N(CK71))</f>
        <v>0</v>
      </c>
      <c r="CL8"/>
      <c r="CN8" s="255" t="b">
        <f t="array" ref="CN8">IF($L8="",TRUE,IF(AND(OR($F8&lt;&gt;"",$F$6&lt;&gt;""),OR($G8&lt;&gt;"",$G$6&lt;&gt;""),OR($H8&lt;&gt;"",$H$6&lt;&gt;""),OR($I8&lt;&gt;"",$I$6&lt;&gt;""),OR($J8&lt;&gt;"",$J$6&lt;&gt;""),OR($K8&lt;&gt;"",$K$6&lt;&gt;""),NOT(ISERROR(BB8:CK8)),NOT(ISNA(MATCH(IF($H8="",$H$6,$H8)&amp;IF($G8="",$G$6,$G8),DeptBU,0)))),TRUE,FALSE))</f>
        <v>0</v>
      </c>
      <c r="CP8" s="255" t="str">
        <f t="shared" ref="CP8:CP39" si="3">IF($L8="","",SUBSTITUTE("SELECT 'Expenses','Expenses',"&amp;ROW()&amp;",'"&amp;Forecast_Currency&amp;"',NULL,'Forecast','"&amp;SUBSTITUTE(IF($F8="",$F$6,$F8),"'","''")&amp;"','"&amp;SUBSTITUTE(IF($G8="",$G$6,$G8),"'","''")&amp;"','"&amp;SUBSTITUTE(IF($H8="",$H$6,$H8),"'","''")&amp;"','"&amp;SUBSTITUTE(IF($I8="",$I$6,$I8),"'","''")&amp;"','"&amp;SUBSTITUTE(IF($J8="",$J$6,$J8),"'","''")&amp;"','"&amp;SUBSTITUTE(IF($K8="",$K$6,$K8),"'","''")&amp;"','"&amp;SUBSTITUTE($L8,"'","''")&amp;"',"&amp;IF($M8="","NULL","'"&amp;SUBSTITUTE($M8,"'","''")&amp;"'")&amp;","&amp;IF($N8="","NULL","'"&amp;SUBSTITUTE($N8,"'","''")&amp;"'")&amp;","&amp;IF($A8="","NULL","'"&amp;SUBSTITUTE($A8,"'","''")&amp;"'")&amp;","&amp;IF($E8="","NULL",$E8)&amp;","&amp;IF($BB8="","NULL",$BB8)&amp;","&amp;IF($BC8="","NULL",$BC8)&amp;","&amp;IF($BD8="","NULL",$BD8)&amp;","&amp;IF($BE8="","NULL",$BE8)&amp;","&amp;IF($BF8="","NULL",$BF8)&amp;","&amp;IF($BG8="","NULL",$BG8)&amp;","&amp;IF($BH8="","NULL",$BH8)&amp;","&amp;IF($BI8="","NULL",$BI8)&amp;","&amp;IF($BJ8="","NULL",$BJ8)&amp;","&amp;IF($BK8="","NULL",$BK8)&amp;","&amp;IF($BL8="","NULL",$BL8)&amp;","&amp;IF($BM8="","NULL",$BM8)&amp;","&amp;IF($BN8="","NULL",$BN8)&amp;","&amp;IF($BO8="","NULL",$BO8)&amp;","&amp;IF($BP8="","NULL",$BP8)&amp;","&amp;IF($BQ8="","NULL",$BQ8)&amp;","&amp;IF($BR8="","NULL",$BR8)&amp;","&amp;IF($BS8="","NULL",$BS8)&amp;","&amp;IF($BT8="","NULL",$BT8)&amp;","&amp;IF($BU8="","NULL",$BU8)&amp;","&amp;IF($BV8="","NULL",$BV8)&amp;","&amp;IF($BW8="","NULL",$BW8)&amp;","&amp;IF($BX8="","NULL",$BX8)&amp;","&amp;IF($BY8="","NULL",$BY8)&amp;","&amp;IF($BZ8="","NULL",$BZ8)&amp;","&amp;IF($CA8="","NULL",$CA8)&amp;","&amp;IF($CB8="","NULL",$CB8)&amp;","&amp;IF($CC8="","NULL",$CC8)&amp;","&amp;IF($CD8="","NULL",$CD8)&amp;","&amp;IF($CE8="","NULL",$CE8)&amp;","&amp;IF($CF8="","NULL",$CF8)&amp;","&amp;IF($CG8="","NULL",$CG8)&amp;","&amp;IF($CH8="","NULL",$CH8)&amp;","&amp;IF($CI8="","NULL",$CI8)&amp;","&amp;IF($CJ8="","NULL",$CJ8)&amp;","&amp;IF($CK8="","NULL",$CK8),"'","''"))</f>
        <v>SELECT ''Expenses'',''Expenses'',8,''USD'',NULL,''Forecast'','''','''','''','''','''','''',''Commissions'',NULL,NULL,''% of Revenue'',NULL,0,0,0,0,0,0,0,0,0,0,0,0,0,0,0,0,0,0,0,0,0,0,0,0,0,0,0,0,0,0,0,0,0,0,0,0</v>
      </c>
    </row>
    <row r="9" spans="1:94" s="255" customFormat="1" x14ac:dyDescent="0.35">
      <c r="A9" s="566" t="s">
        <v>1271</v>
      </c>
      <c r="B9" s="261">
        <f t="shared" si="2"/>
        <v>3</v>
      </c>
      <c r="C9" s="566"/>
      <c r="D9" s="261" t="e">
        <f t="array" aca="1" ref="D9" ca="1">IF($B9&lt;5,AVERAGE(OFFSET($Q9,,Input_ActualsOffset-1,,-$C9)/CHOOSE($B9,OFFSET($Q$5,,Input_ActualsOffset-1,1,-$C9),ss($C9,OFFSET(Actuals!$A$1,1,MATCH("Month "&amp;Input_ActualsOffset,ActualsTable[#Headers],0)-1,ROWS(ActualsTable[#Data]),1),ActualsTable[Company],IF($F$5="Y",IF($F9="",$F$6,$F9),"*"),ActualsTable[Business Unit],IF($G$5="Y",IF($G9="",$G$6,$G9),"*"),ActualsTable[Department],IF($H$5="Y",IF($H9="",$H$6,$H9),"*"),ActualsTable[Team],IF($I$5="Y",IF($P9="",$P$6,$P9),"*"),ActualsTable[Product],IF($J$5="Y",IF($J9="",$J$6,$J9),"*"),ActualsTable[Location],IF($K$5="Y",IF($K9="",$K$6,$K9),"*"),ActualsTable[Expense Item],"Headcount"),OFFSET($Q$6,,Input_ActualsOffset-1,,-$C9),1)),"")</f>
        <v>#REF!</v>
      </c>
      <c r="E9" s="640"/>
      <c r="F9" s="555"/>
      <c r="G9" s="555"/>
      <c r="H9" s="555"/>
      <c r="I9" s="555"/>
      <c r="J9" s="555"/>
      <c r="K9" s="555"/>
      <c r="L9" s="555" t="s">
        <v>25</v>
      </c>
      <c r="M9" s="555"/>
      <c r="N9" s="555"/>
      <c r="O9" s="556" t="e">
        <f>IF($L9="","",IF(VLOOKUP(L9,ExpItems[],2,0),L9&amp;" - "&amp;INDEX(DivisionMapping[category_code],MATCH(IF(H9="",$H$6,H9)&amp;IF(G9="",$G$6,G9),DivisionMapping[dept_bu],0)),L9))</f>
        <v>#N/A</v>
      </c>
      <c r="P9" s="556" t="e">
        <f>IF($L9="","",INDEX(Teams[team_consolidation],MATCH(IF($I9="",$I$6,$I9),Teams[team_name],0)))</f>
        <v>#N/A</v>
      </c>
      <c r="Q9" s="657" t="e">
        <f t="array" ref="Q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f>
        <v>#VALUE!</v>
      </c>
      <c r="R9" s="657" t="e">
        <f t="array" ref="R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f>
        <v>#VALUE!</v>
      </c>
      <c r="S9" s="657" t="e">
        <f t="array" ref="S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f>
        <v>#VALUE!</v>
      </c>
      <c r="T9" s="657" t="e">
        <f t="array" ref="T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4]))</f>
        <v>#VALUE!</v>
      </c>
      <c r="U9" s="657" t="e">
        <f t="array" ref="U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5]))</f>
        <v>#VALUE!</v>
      </c>
      <c r="V9" s="657" t="e">
        <f t="array" ref="V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6]))</f>
        <v>#VALUE!</v>
      </c>
      <c r="W9" s="657" t="e">
        <f t="array" ref="W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7]))</f>
        <v>#VALUE!</v>
      </c>
      <c r="X9" s="657" t="e">
        <f t="array" ref="X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8]))</f>
        <v>#VALUE!</v>
      </c>
      <c r="Y9" s="657" t="e">
        <f t="array" ref="Y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9]))</f>
        <v>#VALUE!</v>
      </c>
      <c r="Z9" s="657" t="e">
        <f t="array" ref="Z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10]))</f>
        <v>#VALUE!</v>
      </c>
      <c r="AA9" s="657" t="e">
        <f t="array" ref="AA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11]))</f>
        <v>#VALUE!</v>
      </c>
      <c r="AB9" s="657" t="e">
        <f t="array" ref="AB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12]))</f>
        <v>#VALUE!</v>
      </c>
      <c r="AC9" s="657" t="e">
        <f t="array" ref="AC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13]))</f>
        <v>#VALUE!</v>
      </c>
      <c r="AD9" s="657" t="e">
        <f t="array" ref="AD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14]))</f>
        <v>#VALUE!</v>
      </c>
      <c r="AE9" s="657" t="e">
        <f t="array" ref="AE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15]))</f>
        <v>#VALUE!</v>
      </c>
      <c r="AF9" s="657" t="e">
        <f t="array" ref="AF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16]))</f>
        <v>#VALUE!</v>
      </c>
      <c r="AG9" s="657" t="e">
        <f t="array" ref="AG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17]))</f>
        <v>#VALUE!</v>
      </c>
      <c r="AH9" s="657" t="e">
        <f t="array" ref="AH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18]))</f>
        <v>#VALUE!</v>
      </c>
      <c r="AI9" s="657" t="e">
        <f t="array" ref="AI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19]))</f>
        <v>#VALUE!</v>
      </c>
      <c r="AJ9" s="657" t="e">
        <f t="array" ref="AJ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20]))</f>
        <v>#VALUE!</v>
      </c>
      <c r="AK9" s="657" t="e">
        <f t="array" ref="AK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21]))</f>
        <v>#VALUE!</v>
      </c>
      <c r="AL9" s="657" t="e">
        <f t="array" ref="AL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22]))</f>
        <v>#VALUE!</v>
      </c>
      <c r="AM9" s="657" t="e">
        <f t="array" ref="AM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23]))</f>
        <v>#VALUE!</v>
      </c>
      <c r="AN9" s="657" t="e">
        <f t="array" ref="AN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24]))</f>
        <v>#VALUE!</v>
      </c>
      <c r="AO9" s="657" t="e">
        <f t="array" ref="AO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25]))</f>
        <v>#VALUE!</v>
      </c>
      <c r="AP9" s="657" t="e">
        <f t="array" ref="AP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26]))</f>
        <v>#VALUE!</v>
      </c>
      <c r="AQ9" s="657" t="e">
        <f t="array" ref="AQ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27]))</f>
        <v>#VALUE!</v>
      </c>
      <c r="AR9" s="657" t="e">
        <f t="array" ref="AR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28]))</f>
        <v>#VALUE!</v>
      </c>
      <c r="AS9" s="657" t="e">
        <f t="array" ref="AS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29]))</f>
        <v>#VALUE!</v>
      </c>
      <c r="AT9" s="657" t="e">
        <f t="array" ref="AT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30]))</f>
        <v>#VALUE!</v>
      </c>
      <c r="AU9" s="657" t="e">
        <f t="array" ref="AU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31]))</f>
        <v>#VALUE!</v>
      </c>
      <c r="AV9" s="657" t="e">
        <f t="array" ref="AV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32]))</f>
        <v>#VALUE!</v>
      </c>
      <c r="AW9" s="657" t="e">
        <f t="array" ref="AW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33]))</f>
        <v>#VALUE!</v>
      </c>
      <c r="AX9" s="657" t="e">
        <f t="array" ref="AX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34]))</f>
        <v>#VALUE!</v>
      </c>
      <c r="AY9" s="657" t="e">
        <f t="array" ref="AY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35]))</f>
        <v>#VALUE!</v>
      </c>
      <c r="AZ9" s="657" t="e">
        <f t="array" ref="AZ9">IF($L9="","",SUMPRODUCT(IF($F$5="Y",1*(ActualsTable[Company]=IF($F9="",$F$6,$F9)),1+0*ISBLANK(ActualsTable[Company])),IF($G$5="Y",1*(ActualsTable[Business Unit]=IF($G9="",$G$6,$G9)),1+0*ISBLANK(ActualsTable[Business Unit])),IF($H$5="Y",1*(ActualsTable[Department]=IF($H9="",$H$6,$H9)),1+0*ISBLANK(ActualsTable[Department])),IF($I$5="Y",1*(ActualsTable[Team]=IF($P9="",$P$6,$P9)),1+0*ISBLANK(ActualsTable[Team])),IF($J$5="Y",1*(ActualsTable[Product]=IF($J9="",$J$6,$J9)),1+0*ISBLANK(ActualsTable[Product])),IF($K$5="Y",1*(ActualsTable[Location]=IF($K9="",$K$6,$K9)),1+0*ISBLANK(ActualsTable[Location])),1*(ActualsTable[Expense Item]=$L9),ActualsTable[Month 36]))</f>
        <v>#VALUE!</v>
      </c>
      <c r="BA9" s="257"/>
      <c r="BB9" s="654">
        <f t="array" ref="BB9">IF(OR($L9="",IsHidden(BB9)),"",CHOOSE($B9,N($E9)*BB$5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L$186:L$286)*N($E9),BB$6*N($E9),N($E9),0)+N(BB72))</f>
        <v>0</v>
      </c>
      <c r="BC9" s="654">
        <f t="array" ref="BC9">IF(OR($L9="",IsHidden(BC9)),"",CHOOSE($B9,N($E9)*BC$5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M$186:M$286)*N($E9),BC$6*N($E9),N($E9),0)+N(BC72))</f>
        <v>0</v>
      </c>
      <c r="BD9" s="654">
        <f t="array" ref="BD9">IF(OR($L9="",IsHidden(BD9)),"",CHOOSE($B9,N($E9)*BD$5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N$186:N$286)*N($E9),BD$6*N($E9),N($E9),0)+N(BD72))</f>
        <v>0</v>
      </c>
      <c r="BE9" s="654">
        <f t="array" ref="BE9">IF(OR($L9="",IsHidden(BE9)),"",CHOOSE($B9,N($E9)*BE$5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O$186:O$286)*N($E9),BE$6*N($E9),N($E9),0)+N(BE72))</f>
        <v>0</v>
      </c>
      <c r="BF9" s="654">
        <f t="array" ref="BF9">IF(OR($L9="",IsHidden(BF9)),"",CHOOSE($B9,N($E9)*BF$5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P$186:P$286)*N($E9),BF$6*N($E9),N($E9),0)+N(BF72))</f>
        <v>0</v>
      </c>
      <c r="BG9" s="654">
        <f t="array" ref="BG9">IF(OR($L9="",IsHidden(BG9)),"",CHOOSE($B9,N($E9)*BG$5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Q$186:Q$286)*N($E9),BG$6*N($E9),N($E9),0)+N(BG72))</f>
        <v>0</v>
      </c>
      <c r="BH9" s="654">
        <f t="array" ref="BH9">IF(OR($L9="",IsHidden(BH9)),"",CHOOSE($B9,N($E9)*BH$5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R$186:R$286)*N($E9),BH$6*N($E9),N($E9),0)+N(BH72))</f>
        <v>0</v>
      </c>
      <c r="BI9" s="654">
        <f t="array" ref="BI9">IF(OR($L9="",IsHidden(BI9)),"",CHOOSE($B9,N($E9)*BI$5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S$186:S$286)*N($E9),BI$6*N($E9),N($E9),0)+N(BI72))</f>
        <v>0</v>
      </c>
      <c r="BJ9" s="654">
        <f t="array" ref="BJ9">IF(OR($L9="",IsHidden(BJ9)),"",CHOOSE($B9,N($E9)*BJ$5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T$186:T$286)*N($E9),BJ$6*N($E9),N($E9),0)+N(BJ72))</f>
        <v>0</v>
      </c>
      <c r="BK9" s="654">
        <f t="array" ref="BK9">IF(OR($L9="",IsHidden(BK9)),"",CHOOSE($B9,N($E9)*BK$5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U$186:U$286)*N($E9),BK$6*N($E9),N($E9),0)+N(BK72))</f>
        <v>0</v>
      </c>
      <c r="BL9" s="654">
        <f t="array" ref="BL9">IF(OR($L9="",IsHidden(BL9)),"",CHOOSE($B9,N($E9)*BL$5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V$186:V$286)*N($E9),BL$6*N($E9),N($E9),0)+N(BL72))</f>
        <v>0</v>
      </c>
      <c r="BM9" s="654">
        <f t="array" ref="BM9">IF(OR($L9="",IsHidden(BM9)),"",CHOOSE($B9,N($E9)*BM$5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W$186:W$286)*N($E9),BM$6*N($E9),N($E9),0)+N(BM72))</f>
        <v>0</v>
      </c>
      <c r="BN9" s="654">
        <f t="array" ref="BN9">IF(OR($L9="",IsHidden(BN9)),"",CHOOSE($B9,N($E9)*BN$5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X$186:X$286)*N($E9),BN$6*N($E9),N($E9),0)+N(BN72))</f>
        <v>0</v>
      </c>
      <c r="BO9" s="654">
        <f t="array" ref="BO9">IF(OR($L9="",IsHidden(BO9)),"",CHOOSE($B9,N($E9)*BO$5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Y$186:Y$286)*N($E9),BO$6*N($E9),N($E9),0)+N(BO72))</f>
        <v>0</v>
      </c>
      <c r="BP9" s="654">
        <f t="array" ref="BP9">IF(OR($L9="",IsHidden(BP9)),"",CHOOSE($B9,N($E9)*BP$5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Z$186:Z$286)*N($E9),BP$6*N($E9),N($E9),0)+N(BP72))</f>
        <v>0</v>
      </c>
      <c r="BQ9" s="654">
        <f t="array" ref="BQ9">IF(OR($L9="",IsHidden(BQ9)),"",CHOOSE($B9,N($E9)*BQ$5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A$186:AA$286)*N($E9),BQ$6*N($E9),N($E9),0)+N(BQ72))</f>
        <v>0</v>
      </c>
      <c r="BR9" s="654">
        <f t="array" ref="BR9">IF(OR($L9="",IsHidden(BR9)),"",CHOOSE($B9,N($E9)*BR$5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B$186:AB$286)*N($E9),BR$6*N($E9),N($E9),0)+N(BR72))</f>
        <v>0</v>
      </c>
      <c r="BS9" s="654">
        <f t="array" ref="BS9">IF(OR($L9="",IsHidden(BS9)),"",CHOOSE($B9,N($E9)*BS$5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C$186:AC$286)*N($E9),BS$6*N($E9),N($E9),0)+N(BS72))</f>
        <v>0</v>
      </c>
      <c r="BT9" s="654">
        <f t="array" ref="BT9">IF(OR($L9="",IsHidden(BT9)),"",CHOOSE($B9,N($E9)*BT$5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D$186:AD$286)*N($E9),BT$6*N($E9),N($E9),0)+N(BT72))</f>
        <v>0</v>
      </c>
      <c r="BU9" s="654">
        <f t="array" ref="BU9">IF(OR($L9="",IsHidden(BU9)),"",CHOOSE($B9,N($E9)*BU$5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E$186:AE$286)*N($E9),BU$6*N($E9),N($E9),0)+N(BU72))</f>
        <v>0</v>
      </c>
      <c r="BV9" s="654">
        <f t="array" ref="BV9">IF(OR($L9="",IsHidden(BV9)),"",CHOOSE($B9,N($E9)*BV$5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F$186:AF$286)*N($E9),BV$6*N($E9),N($E9),0)+N(BV72))</f>
        <v>0</v>
      </c>
      <c r="BW9" s="654">
        <f t="array" ref="BW9">IF(OR($L9="",IsHidden(BW9)),"",CHOOSE($B9,N($E9)*BW$5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G$186:AG$286)*N($E9),BW$6*N($E9),N($E9),0)+N(BW72))</f>
        <v>0</v>
      </c>
      <c r="BX9" s="654">
        <f t="array" ref="BX9">IF(OR($L9="",IsHidden(BX9)),"",CHOOSE($B9,N($E9)*BX$5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H$186:AH$286)*N($E9),BX$6*N($E9),N($E9),0)+N(BX72))</f>
        <v>0</v>
      </c>
      <c r="BY9" s="654">
        <f t="array" ref="BY9">IF(OR($L9="",IsHidden(BY9)),"",CHOOSE($B9,N($E9)*BY$5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I$186:AI$286)*N($E9),BY$6*N($E9),N($E9),0)+N(BY72))</f>
        <v>0</v>
      </c>
      <c r="BZ9" s="654">
        <f t="array" ref="BZ9">IF(OR($L9="",IsHidden(BZ9)),"",CHOOSE($B9,N($E9)*BZ$5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J$186:AJ$286)*N($E9),BZ$6*N($E9),N($E9),0)+N(BZ72))</f>
        <v>0</v>
      </c>
      <c r="CA9" s="654">
        <f t="array" ref="CA9">IF(OR($L9="",IsHidden(CA9)),"",CHOOSE($B9,N($E9)*CA$5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K$186:AK$286)*N($E9),CA$6*N($E9),N($E9),0)+N(CA72))</f>
        <v>0</v>
      </c>
      <c r="CB9" s="654">
        <f t="array" ref="CB9">IF(OR($L9="",IsHidden(CB9)),"",CHOOSE($B9,N($E9)*CB$5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L$186:AL$286)*N($E9),CB$6*N($E9),N($E9),0)+N(CB72))</f>
        <v>0</v>
      </c>
      <c r="CC9" s="654">
        <f t="array" ref="CC9">IF(OR($L9="",IsHidden(CC9)),"",CHOOSE($B9,N($E9)*CC$5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M$186:AM$286)*N($E9),CC$6*N($E9),N($E9),0)+N(CC72))</f>
        <v>0</v>
      </c>
      <c r="CD9" s="654">
        <f t="array" ref="CD9">IF(OR($L9="",IsHidden(CD9)),"",CHOOSE($B9,N($E9)*CD$5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N$186:AN$286)*N($E9),CD$6*N($E9),N($E9),0)+N(CD72))</f>
        <v>0</v>
      </c>
      <c r="CE9" s="654">
        <f t="array" ref="CE9">IF(OR($L9="",IsHidden(CE9)),"",CHOOSE($B9,N($E9)*CE$5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O$186:AO$286)*N($E9),CE$6*N($E9),N($E9),0)+N(CE72))</f>
        <v>0</v>
      </c>
      <c r="CF9" s="654">
        <f t="array" ref="CF9">IF(OR($L9="",IsHidden(CF9)),"",CHOOSE($B9,N($E9)*CF$5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P$186:AP$286)*N($E9),CF$6*N($E9),N($E9),0)+N(CF72))</f>
        <v>0</v>
      </c>
      <c r="CG9" s="654">
        <f t="array" ref="CG9">IF(OR($L9="",IsHidden(CG9)),"",CHOOSE($B9,N($E9)*CG$5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Q$186:AQ$286)*N($E9),CG$6*N($E9),N($E9),0)+N(CG72))</f>
        <v>0</v>
      </c>
      <c r="CH9" s="654">
        <f t="array" ref="CH9">IF(OR($L9="",IsHidden(CH9)),"",CHOOSE($B9,N($E9)*CH$5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R$186:AR$286)*N($E9),CH$6*N($E9),N($E9),0)+N(CH72))</f>
        <v>0</v>
      </c>
      <c r="CI9" s="654">
        <f t="array" ref="CI9">IF(OR($L9="",IsHidden(CI9)),"",CHOOSE($B9,N($E9)*CI$5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S$186:AS$286)*N($E9),CI$6*N($E9),N($E9),0)+N(CI72))</f>
        <v>0</v>
      </c>
      <c r="CJ9" s="654">
        <f t="array" ref="CJ9">IF(OR($L9="",IsHidden(CJ9)),"",CHOOSE($B9,N($E9)*CJ$5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T$186:AT$286)*N($E9),CJ$6*N($E9),N($E9),0)+N(CJ72))</f>
        <v>0</v>
      </c>
      <c r="CK9" s="654">
        <f t="array" ref="CK9">IF(OR($L9="",IsHidden(CK9)),"",CHOOSE($B9,N($E9)*CK$5,SUMPRODUCT(IF($F$5="Y",1*(Headcount!$B$186:$B$286=IF($F9="",$F$6,$F9)),1+0*ISBLANK(Headcount!$B$186:$B$286)),IF($G$5="Y",1*(Headcount!$C$186:$C$286=IF($G9="",$G$6,$G9)),1+0*ISBLANK(Headcount!$C$186:$C$286)),IF($H$5="Y",1*(Headcount!$D$186:$D$286=IF($H9="",$H$6,$H9)),1+0*ISBLANK(Headcount!$D$186:$D$286)),IF($I$5="Y",1*(Headcount!$E$186:$E$286=IF($I9="",$I$6,$I9)),1+0*ISBLANK(Headcount!$E$186:$E$286)),IF($J$5="Y",1*(Headcount!$F$186:$F$286=IF($J9="",$J$6,$J9)),1+0*ISBLANK(Headcount!$F$186:$F$286)),IF($K$5="Y",1*(Headcount!$G$186:$G$286=IF($K9="",$K$6,$K9)),1+0*ISBLANK(Headcount!$G$186:$G$286)),Headcount!AU$186:AU$286)*N($E9),CK$6*N($E9),N($E9),0)+N(CK72))</f>
        <v>0</v>
      </c>
      <c r="CN9" s="255" t="b">
        <f t="array" ref="CN9">IF($L9="",TRUE,IF(AND(OR($F9&lt;&gt;"",$F$6&lt;&gt;""),OR($G9&lt;&gt;"",$G$6&lt;&gt;""),OR($H9&lt;&gt;"",$H$6&lt;&gt;""),OR($I9&lt;&gt;"",$I$6&lt;&gt;""),OR($J9&lt;&gt;"",$J$6&lt;&gt;""),OR($K9&lt;&gt;"",$K$6&lt;&gt;""),NOT(ISERROR(BB9:CK9)),NOT(ISNA(MATCH(IF($H9="",$H$6,$H9)&amp;IF($G9="",$G$6,$G9),DeptBU,0)))),TRUE,FALSE))</f>
        <v>0</v>
      </c>
      <c r="CP9" s="255" t="str">
        <f t="shared" si="3"/>
        <v>SELECT ''Expenses'',''Expenses'',9,''USD'',NULL,''Forecast'','''','''','''','''','''','''',''Contract Labor'',NULL,NULL,''Per Total Heads'',NULL,0,0,0,0,0,0,0,0,0,0,0,0,0,0,0,0,0,0,0,0,0,0,0,0,0,0,0,0,0,0,0,0,0,0,0,0</v>
      </c>
    </row>
    <row r="10" spans="1:94" s="255" customFormat="1" x14ac:dyDescent="0.35">
      <c r="A10" s="566" t="s">
        <v>1142</v>
      </c>
      <c r="B10" s="261">
        <f t="shared" si="2"/>
        <v>2</v>
      </c>
      <c r="C10" s="566"/>
      <c r="D10" s="261" t="e">
        <f t="array" aca="1" ref="D10" ca="1">IF($B10&lt;5,AVERAGE(OFFSET($Q10,,Input_ActualsOffset-1,,-$C10)/CHOOSE($B10,OFFSET($Q$5,,Input_ActualsOffset-1,1,-$C10),ss($C10,OFFSET(Actuals!$A$1,1,MATCH("Month "&amp;Input_ActualsOffset,ActualsTable[#Headers],0)-1,ROWS(ActualsTable[#Data]),1),ActualsTable[Company],IF($F$5="Y",IF($F10="",$F$6,$F10),"*"),ActualsTable[Business Unit],IF($G$5="Y",IF($G10="",$G$6,$G10),"*"),ActualsTable[Department],IF($H$5="Y",IF($H10="",$H$6,$H10),"*"),ActualsTable[Team],IF($I$5="Y",IF($P10="",$P$6,$P10),"*"),ActualsTable[Product],IF($J$5="Y",IF($J10="",$J$6,$J10),"*"),ActualsTable[Location],IF($K$5="Y",IF($K10="",$K$6,$K10),"*"),ActualsTable[Expense Item],"Headcount"),OFFSET($Q$6,,Input_ActualsOffset-1,,-$C10),1)),"")</f>
        <v>#REF!</v>
      </c>
      <c r="E10" s="640"/>
      <c r="F10" s="555"/>
      <c r="G10" s="555"/>
      <c r="H10" s="555"/>
      <c r="I10" s="555"/>
      <c r="J10" s="555"/>
      <c r="K10" s="555"/>
      <c r="L10" s="555" t="s">
        <v>30</v>
      </c>
      <c r="M10" s="555"/>
      <c r="N10" s="555"/>
      <c r="O10" s="556" t="e">
        <f>IF($L10="","",IF(VLOOKUP(L10,ExpItems[],2,0),L10&amp;" - "&amp;INDEX(DivisionMapping[category_code],MATCH(IF(H10="",$H$6,H10)&amp;IF(G10="",$G$6,G10),DivisionMapping[dept_bu],0)),L10))</f>
        <v>#N/A</v>
      </c>
      <c r="P10" s="556" t="e">
        <f>IF($L10="","",INDEX(Teams[team_consolidation],MATCH(IF($I10="",$I$6,$I10),Teams[team_name],0)))</f>
        <v>#N/A</v>
      </c>
      <c r="Q10" s="657" t="e">
        <f t="array" ref="Q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f>
        <v>#VALUE!</v>
      </c>
      <c r="R10" s="657" t="e">
        <f t="array" ref="R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f>
        <v>#VALUE!</v>
      </c>
      <c r="S10" s="657" t="e">
        <f t="array" ref="S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f>
        <v>#VALUE!</v>
      </c>
      <c r="T10" s="657" t="e">
        <f t="array" ref="T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4]))</f>
        <v>#VALUE!</v>
      </c>
      <c r="U10" s="657" t="e">
        <f t="array" ref="U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5]))</f>
        <v>#VALUE!</v>
      </c>
      <c r="V10" s="657" t="e">
        <f t="array" ref="V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6]))</f>
        <v>#VALUE!</v>
      </c>
      <c r="W10" s="657" t="e">
        <f t="array" ref="W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7]))</f>
        <v>#VALUE!</v>
      </c>
      <c r="X10" s="657" t="e">
        <f t="array" ref="X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8]))</f>
        <v>#VALUE!</v>
      </c>
      <c r="Y10" s="657" t="e">
        <f t="array" ref="Y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9]))</f>
        <v>#VALUE!</v>
      </c>
      <c r="Z10" s="657" t="e">
        <f t="array" ref="Z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10]))</f>
        <v>#VALUE!</v>
      </c>
      <c r="AA10" s="657" t="e">
        <f t="array" ref="AA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11]))</f>
        <v>#VALUE!</v>
      </c>
      <c r="AB10" s="657" t="e">
        <f t="array" ref="AB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12]))</f>
        <v>#VALUE!</v>
      </c>
      <c r="AC10" s="657" t="e">
        <f t="array" ref="AC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13]))</f>
        <v>#VALUE!</v>
      </c>
      <c r="AD10" s="657" t="e">
        <f t="array" ref="AD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14]))</f>
        <v>#VALUE!</v>
      </c>
      <c r="AE10" s="657" t="e">
        <f t="array" ref="AE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15]))</f>
        <v>#VALUE!</v>
      </c>
      <c r="AF10" s="657" t="e">
        <f t="array" ref="AF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16]))</f>
        <v>#VALUE!</v>
      </c>
      <c r="AG10" s="657" t="e">
        <f t="array" ref="AG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17]))</f>
        <v>#VALUE!</v>
      </c>
      <c r="AH10" s="657" t="e">
        <f t="array" ref="AH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18]))</f>
        <v>#VALUE!</v>
      </c>
      <c r="AI10" s="657" t="e">
        <f t="array" ref="AI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19]))</f>
        <v>#VALUE!</v>
      </c>
      <c r="AJ10" s="657" t="e">
        <f t="array" ref="AJ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20]))</f>
        <v>#VALUE!</v>
      </c>
      <c r="AK10" s="657" t="e">
        <f t="array" ref="AK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21]))</f>
        <v>#VALUE!</v>
      </c>
      <c r="AL10" s="657" t="e">
        <f t="array" ref="AL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22]))</f>
        <v>#VALUE!</v>
      </c>
      <c r="AM10" s="657" t="e">
        <f t="array" ref="AM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23]))</f>
        <v>#VALUE!</v>
      </c>
      <c r="AN10" s="657" t="e">
        <f t="array" ref="AN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24]))</f>
        <v>#VALUE!</v>
      </c>
      <c r="AO10" s="657" t="e">
        <f t="array" ref="AO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25]))</f>
        <v>#VALUE!</v>
      </c>
      <c r="AP10" s="657" t="e">
        <f t="array" ref="AP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26]))</f>
        <v>#VALUE!</v>
      </c>
      <c r="AQ10" s="657" t="e">
        <f t="array" ref="AQ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27]))</f>
        <v>#VALUE!</v>
      </c>
      <c r="AR10" s="657" t="e">
        <f t="array" ref="AR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28]))</f>
        <v>#VALUE!</v>
      </c>
      <c r="AS10" s="657" t="e">
        <f t="array" ref="AS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29]))</f>
        <v>#VALUE!</v>
      </c>
      <c r="AT10" s="657" t="e">
        <f t="array" ref="AT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30]))</f>
        <v>#VALUE!</v>
      </c>
      <c r="AU10" s="657" t="e">
        <f t="array" ref="AU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31]))</f>
        <v>#VALUE!</v>
      </c>
      <c r="AV10" s="657" t="e">
        <f t="array" ref="AV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32]))</f>
        <v>#VALUE!</v>
      </c>
      <c r="AW10" s="657" t="e">
        <f t="array" ref="AW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33]))</f>
        <v>#VALUE!</v>
      </c>
      <c r="AX10" s="657" t="e">
        <f t="array" ref="AX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34]))</f>
        <v>#VALUE!</v>
      </c>
      <c r="AY10" s="657" t="e">
        <f t="array" ref="AY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35]))</f>
        <v>#VALUE!</v>
      </c>
      <c r="AZ10" s="657" t="e">
        <f t="array" ref="AZ10">IF($L10="","",SUMPRODUCT(IF($F$5="Y",1*(ActualsTable[Company]=IF($F10="",$F$6,$F10)),1+0*ISBLANK(ActualsTable[Company])),IF($G$5="Y",1*(ActualsTable[Business Unit]=IF($G10="",$G$6,$G10)),1+0*ISBLANK(ActualsTable[Business Unit])),IF($H$5="Y",1*(ActualsTable[Department]=IF($H10="",$H$6,$H10)),1+0*ISBLANK(ActualsTable[Department])),IF($I$5="Y",1*(ActualsTable[Team]=IF($P10="",$P$6,$P10)),1+0*ISBLANK(ActualsTable[Team])),IF($J$5="Y",1*(ActualsTable[Product]=IF($J10="",$J$6,$J10)),1+0*ISBLANK(ActualsTable[Product])),IF($K$5="Y",1*(ActualsTable[Location]=IF($K10="",$K$6,$K10)),1+0*ISBLANK(ActualsTable[Location])),1*(ActualsTable[Expense Item]=$L10),ActualsTable[Month 36]))</f>
        <v>#VALUE!</v>
      </c>
      <c r="BA10" s="257"/>
      <c r="BB10" s="654">
        <f t="array" ref="BB10">IF(OR($L10="",IsHidden(BB10)),"",CHOOSE($B10,N($E10)*BB$5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L$186:L$286)*N($E10),BB$6*N($E10),N($E10),0)+N(BB73))</f>
        <v>0</v>
      </c>
      <c r="BC10" s="654">
        <f t="array" ref="BC10">IF(OR($L10="",IsHidden(BC10)),"",CHOOSE($B10,N($E10)*BC$5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M$186:M$286)*N($E10),BC$6*N($E10),N($E10),0)+N(BC73))</f>
        <v>0</v>
      </c>
      <c r="BD10" s="654">
        <f t="array" ref="BD10">IF(OR($L10="",IsHidden(BD10)),"",CHOOSE($B10,N($E10)*BD$5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N$186:N$286)*N($E10),BD$6*N($E10),N($E10),0)+N(BD73))</f>
        <v>0</v>
      </c>
      <c r="BE10" s="654">
        <f t="array" ref="BE10">IF(OR($L10="",IsHidden(BE10)),"",CHOOSE($B10,N($E10)*BE$5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O$186:O$286)*N($E10),BE$6*N($E10),N($E10),0)+N(BE73))</f>
        <v>0</v>
      </c>
      <c r="BF10" s="654">
        <f t="array" ref="BF10">IF(OR($L10="",IsHidden(BF10)),"",CHOOSE($B10,N($E10)*BF$5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P$186:P$286)*N($E10),BF$6*N($E10),N($E10),0)+N(BF73))</f>
        <v>0</v>
      </c>
      <c r="BG10" s="654">
        <f t="array" ref="BG10">IF(OR($L10="",IsHidden(BG10)),"",CHOOSE($B10,N($E10)*BG$5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Q$186:Q$286)*N($E10),BG$6*N($E10),N($E10),0)+N(BG73))</f>
        <v>0</v>
      </c>
      <c r="BH10" s="654">
        <f t="array" ref="BH10">IF(OR($L10="",IsHidden(BH10)),"",CHOOSE($B10,N($E10)*BH$5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R$186:R$286)*N($E10),BH$6*N($E10),N($E10),0)+N(BH73))</f>
        <v>0</v>
      </c>
      <c r="BI10" s="654">
        <f t="array" ref="BI10">IF(OR($L10="",IsHidden(BI10)),"",CHOOSE($B10,N($E10)*BI$5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S$186:S$286)*N($E10),BI$6*N($E10),N($E10),0)+N(BI73))</f>
        <v>0</v>
      </c>
      <c r="BJ10" s="654">
        <f t="array" ref="BJ10">IF(OR($L10="",IsHidden(BJ10)),"",CHOOSE($B10,N($E10)*BJ$5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T$186:T$286)*N($E10),BJ$6*N($E10),N($E10),0)+N(BJ73))</f>
        <v>0</v>
      </c>
      <c r="BK10" s="654">
        <f t="array" ref="BK10">IF(OR($L10="",IsHidden(BK10)),"",CHOOSE($B10,N($E10)*BK$5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U$186:U$286)*N($E10),BK$6*N($E10),N($E10),0)+N(BK73))</f>
        <v>0</v>
      </c>
      <c r="BL10" s="654">
        <f t="array" ref="BL10">IF(OR($L10="",IsHidden(BL10)),"",CHOOSE($B10,N($E10)*BL$5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V$186:V$286)*N($E10),BL$6*N($E10),N($E10),0)+N(BL73))</f>
        <v>0</v>
      </c>
      <c r="BM10" s="654">
        <f t="array" ref="BM10">IF(OR($L10="",IsHidden(BM10)),"",CHOOSE($B10,N($E10)*BM$5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W$186:W$286)*N($E10),BM$6*N($E10),N($E10),0)+N(BM73))</f>
        <v>0</v>
      </c>
      <c r="BN10" s="654">
        <f t="array" ref="BN10">IF(OR($L10="",IsHidden(BN10)),"",CHOOSE($B10,N($E10)*BN$5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X$186:X$286)*N($E10),BN$6*N($E10),N($E10),0)+N(BN73))</f>
        <v>0</v>
      </c>
      <c r="BO10" s="654">
        <f t="array" ref="BO10">IF(OR($L10="",IsHidden(BO10)),"",CHOOSE($B10,N($E10)*BO$5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Y$186:Y$286)*N($E10),BO$6*N($E10),N($E10),0)+N(BO73))</f>
        <v>0</v>
      </c>
      <c r="BP10" s="654">
        <f t="array" ref="BP10">IF(OR($L10="",IsHidden(BP10)),"",CHOOSE($B10,N($E10)*BP$5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Z$186:Z$286)*N($E10),BP$6*N($E10),N($E10),0)+N(BP73))</f>
        <v>0</v>
      </c>
      <c r="BQ10" s="654">
        <f t="array" ref="BQ10">IF(OR($L10="",IsHidden(BQ10)),"",CHOOSE($B10,N($E10)*BQ$5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A$186:AA$286)*N($E10),BQ$6*N($E10),N($E10),0)+N(BQ73))</f>
        <v>0</v>
      </c>
      <c r="BR10" s="654">
        <f t="array" ref="BR10">IF(OR($L10="",IsHidden(BR10)),"",CHOOSE($B10,N($E10)*BR$5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B$186:AB$286)*N($E10),BR$6*N($E10),N($E10),0)+N(BR73))</f>
        <v>0</v>
      </c>
      <c r="BS10" s="654">
        <f t="array" ref="BS10">IF(OR($L10="",IsHidden(BS10)),"",CHOOSE($B10,N($E10)*BS$5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C$186:AC$286)*N($E10),BS$6*N($E10),N($E10),0)+N(BS73))</f>
        <v>0</v>
      </c>
      <c r="BT10" s="654">
        <f t="array" ref="BT10">IF(OR($L10="",IsHidden(BT10)),"",CHOOSE($B10,N($E10)*BT$5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D$186:AD$286)*N($E10),BT$6*N($E10),N($E10),0)+N(BT73))</f>
        <v>0</v>
      </c>
      <c r="BU10" s="654">
        <f t="array" ref="BU10">IF(OR($L10="",IsHidden(BU10)),"",CHOOSE($B10,N($E10)*BU$5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E$186:AE$286)*N($E10),BU$6*N($E10),N($E10),0)+N(BU73))</f>
        <v>0</v>
      </c>
      <c r="BV10" s="654">
        <f t="array" ref="BV10">IF(OR($L10="",IsHidden(BV10)),"",CHOOSE($B10,N($E10)*BV$5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F$186:AF$286)*N($E10),BV$6*N($E10),N($E10),0)+N(BV73))</f>
        <v>0</v>
      </c>
      <c r="BW10" s="654">
        <f t="array" ref="BW10">IF(OR($L10="",IsHidden(BW10)),"",CHOOSE($B10,N($E10)*BW$5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G$186:AG$286)*N($E10),BW$6*N($E10),N($E10),0)+N(BW73))</f>
        <v>0</v>
      </c>
      <c r="BX10" s="654">
        <f t="array" ref="BX10">IF(OR($L10="",IsHidden(BX10)),"",CHOOSE($B10,N($E10)*BX$5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H$186:AH$286)*N($E10),BX$6*N($E10),N($E10),0)+N(BX73))</f>
        <v>0</v>
      </c>
      <c r="BY10" s="654">
        <f t="array" ref="BY10">IF(OR($L10="",IsHidden(BY10)),"",CHOOSE($B10,N($E10)*BY$5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I$186:AI$286)*N($E10),BY$6*N($E10),N($E10),0)+N(BY73))</f>
        <v>0</v>
      </c>
      <c r="BZ10" s="654">
        <f t="array" ref="BZ10">IF(OR($L10="",IsHidden(BZ10)),"",CHOOSE($B10,N($E10)*BZ$5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J$186:AJ$286)*N($E10),BZ$6*N($E10),N($E10),0)+N(BZ73))</f>
        <v>0</v>
      </c>
      <c r="CA10" s="654">
        <f t="array" ref="CA10">IF(OR($L10="",IsHidden(CA10)),"",CHOOSE($B10,N($E10)*CA$5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K$186:AK$286)*N($E10),CA$6*N($E10),N($E10),0)+N(CA73))</f>
        <v>0</v>
      </c>
      <c r="CB10" s="654">
        <f t="array" ref="CB10">IF(OR($L10="",IsHidden(CB10)),"",CHOOSE($B10,N($E10)*CB$5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L$186:AL$286)*N($E10),CB$6*N($E10),N($E10),0)+N(CB73))</f>
        <v>0</v>
      </c>
      <c r="CC10" s="654">
        <f t="array" ref="CC10">IF(OR($L10="",IsHidden(CC10)),"",CHOOSE($B10,N($E10)*CC$5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M$186:AM$286)*N($E10),CC$6*N($E10),N($E10),0)+N(CC73))</f>
        <v>0</v>
      </c>
      <c r="CD10" s="654">
        <f t="array" ref="CD10">IF(OR($L10="",IsHidden(CD10)),"",CHOOSE($B10,N($E10)*CD$5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N$186:AN$286)*N($E10),CD$6*N($E10),N($E10),0)+N(CD73))</f>
        <v>0</v>
      </c>
      <c r="CE10" s="654">
        <f t="array" ref="CE10">IF(OR($L10="",IsHidden(CE10)),"",CHOOSE($B10,N($E10)*CE$5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O$186:AO$286)*N($E10),CE$6*N($E10),N($E10),0)+N(CE73))</f>
        <v>0</v>
      </c>
      <c r="CF10" s="654">
        <f t="array" ref="CF10">IF(OR($L10="",IsHidden(CF10)),"",CHOOSE($B10,N($E10)*CF$5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P$186:AP$286)*N($E10),CF$6*N($E10),N($E10),0)+N(CF73))</f>
        <v>0</v>
      </c>
      <c r="CG10" s="654">
        <f t="array" ref="CG10">IF(OR($L10="",IsHidden(CG10)),"",CHOOSE($B10,N($E10)*CG$5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Q$186:AQ$286)*N($E10),CG$6*N($E10),N($E10),0)+N(CG73))</f>
        <v>0</v>
      </c>
      <c r="CH10" s="654">
        <f t="array" ref="CH10">IF(OR($L10="",IsHidden(CH10)),"",CHOOSE($B10,N($E10)*CH$5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R$186:AR$286)*N($E10),CH$6*N($E10),N($E10),0)+N(CH73))</f>
        <v>0</v>
      </c>
      <c r="CI10" s="654">
        <f t="array" ref="CI10">IF(OR($L10="",IsHidden(CI10)),"",CHOOSE($B10,N($E10)*CI$5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S$186:AS$286)*N($E10),CI$6*N($E10),N($E10),0)+N(CI73))</f>
        <v>0</v>
      </c>
      <c r="CJ10" s="654">
        <f t="array" ref="CJ10">IF(OR($L10="",IsHidden(CJ10)),"",CHOOSE($B10,N($E10)*CJ$5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T$186:AT$286)*N($E10),CJ$6*N($E10),N($E10),0)+N(CJ73))</f>
        <v>0</v>
      </c>
      <c r="CK10" s="654">
        <f t="array" ref="CK10">IF(OR($L10="",IsHidden(CK10)),"",CHOOSE($B10,N($E10)*CK$5,SUMPRODUCT(IF($F$5="Y",1*(Headcount!$B$186:$B$286=IF($F10="",$F$6,$F10)),1+0*ISBLANK(Headcount!$B$186:$B$286)),IF($G$5="Y",1*(Headcount!$C$186:$C$286=IF($G10="",$G$6,$G10)),1+0*ISBLANK(Headcount!$C$186:$C$286)),IF($H$5="Y",1*(Headcount!$D$186:$D$286=IF($H10="",$H$6,$H10)),1+0*ISBLANK(Headcount!$D$186:$D$286)),IF($I$5="Y",1*(Headcount!$E$186:$E$286=IF($I10="",$I$6,$I10)),1+0*ISBLANK(Headcount!$E$186:$E$286)),IF($J$5="Y",1*(Headcount!$F$186:$F$286=IF($J10="",$J$6,$J10)),1+0*ISBLANK(Headcount!$F$186:$F$286)),IF($K$5="Y",1*(Headcount!$G$186:$G$286=IF($K10="",$K$6,$K10)),1+0*ISBLANK(Headcount!$G$186:$G$286)),Headcount!AU$186:AU$286)*N($E10),CK$6*N($E10),N($E10),0)+N(CK73))</f>
        <v>0</v>
      </c>
      <c r="CN10" s="255" t="b">
        <f t="array" ref="CN10">IF($L10="",TRUE,IF(AND(OR($F10&lt;&gt;"",$F$6&lt;&gt;""),OR($G10&lt;&gt;"",$G$6&lt;&gt;""),OR($H10&lt;&gt;"",$H$6&lt;&gt;""),OR($I10&lt;&gt;"",$I$6&lt;&gt;""),OR($J10&lt;&gt;"",$J$6&lt;&gt;""),OR($K10&lt;&gt;"",$K$6&lt;&gt;""),NOT(ISERROR(BB10:CK10)),NOT(ISNA(MATCH(IF($H10="",$H$6,$H10)&amp;IF($G10="",$G$6,$G10),DeptBU,0)))),TRUE,FALSE))</f>
        <v>0</v>
      </c>
      <c r="CP10" s="255" t="str">
        <f t="shared" si="3"/>
        <v>SELECT ''Expenses'',''Expenses'',10,''USD'',NULL,''Forecast'','''','''','''','''','''','''',''Employee Benefits Other'',NULL,NULL,''Per Head'',NULL,0,0,0,0,0,0,0,0,0,0,0,0,0,0,0,0,0,0,0,0,0,0,0,0,0,0,0,0,0,0,0,0,0,0,0,0</v>
      </c>
    </row>
    <row r="11" spans="1:94" s="255" customFormat="1" x14ac:dyDescent="0.35">
      <c r="A11" s="566" t="s">
        <v>1142</v>
      </c>
      <c r="B11" s="261">
        <f t="shared" si="2"/>
        <v>2</v>
      </c>
      <c r="C11" s="566"/>
      <c r="D11" s="261" t="e">
        <f t="array" aca="1" ref="D11" ca="1">IF($B11&lt;5,AVERAGE(OFFSET($Q11,,Input_ActualsOffset-1,,-$C11)/CHOOSE($B11,OFFSET($Q$5,,Input_ActualsOffset-1,1,-$C11),ss($C11,OFFSET(Actuals!$A$1,1,MATCH("Month "&amp;Input_ActualsOffset,ActualsTable[#Headers],0)-1,ROWS(ActualsTable[#Data]),1),ActualsTable[Company],IF($F$5="Y",IF($F11="",$F$6,$F11),"*"),ActualsTable[Business Unit],IF($G$5="Y",IF($G11="",$G$6,$G11),"*"),ActualsTable[Department],IF($H$5="Y",IF($H11="",$H$6,$H11),"*"),ActualsTable[Team],IF($I$5="Y",IF($P11="",$P$6,$P11),"*"),ActualsTable[Product],IF($J$5="Y",IF($J11="",$J$6,$J11),"*"),ActualsTable[Location],IF($K$5="Y",IF($K11="",$K$6,$K11),"*"),ActualsTable[Expense Item],"Headcount"),OFFSET($Q$6,,Input_ActualsOffset-1,,-$C11),1)),"")</f>
        <v>#REF!</v>
      </c>
      <c r="E11" s="640"/>
      <c r="F11" s="555"/>
      <c r="G11" s="555"/>
      <c r="H11" s="555"/>
      <c r="I11" s="555"/>
      <c r="J11" s="555"/>
      <c r="K11" s="555"/>
      <c r="L11" s="555" t="s">
        <v>29</v>
      </c>
      <c r="M11" s="555"/>
      <c r="N11" s="555"/>
      <c r="O11" s="556" t="e">
        <f>IF($L11="","",IF(VLOOKUP(L11,ExpItems[],2,0),L11&amp;" - "&amp;INDEX(DivisionMapping[category_code],MATCH(IF(H11="",$H$6,H11)&amp;IF(G11="",$G$6,G11),DivisionMapping[dept_bu],0)),L11))</f>
        <v>#N/A</v>
      </c>
      <c r="P11" s="556" t="e">
        <f>IF($L11="","",INDEX(Teams[team_consolidation],MATCH(IF($I11="",$I$6,$I11),Teams[team_name],0)))</f>
        <v>#N/A</v>
      </c>
      <c r="Q11" s="657" t="e">
        <f t="array" ref="Q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f>
        <v>#VALUE!</v>
      </c>
      <c r="R11" s="657" t="e">
        <f t="array" ref="R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f>
        <v>#VALUE!</v>
      </c>
      <c r="S11" s="657" t="e">
        <f t="array" ref="S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f>
        <v>#VALUE!</v>
      </c>
      <c r="T11" s="657" t="e">
        <f t="array" ref="T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4]))</f>
        <v>#VALUE!</v>
      </c>
      <c r="U11" s="657" t="e">
        <f t="array" ref="U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5]))</f>
        <v>#VALUE!</v>
      </c>
      <c r="V11" s="657" t="e">
        <f t="array" ref="V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6]))</f>
        <v>#VALUE!</v>
      </c>
      <c r="W11" s="657" t="e">
        <f t="array" ref="W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7]))</f>
        <v>#VALUE!</v>
      </c>
      <c r="X11" s="657" t="e">
        <f t="array" ref="X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8]))</f>
        <v>#VALUE!</v>
      </c>
      <c r="Y11" s="657" t="e">
        <f t="array" ref="Y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9]))</f>
        <v>#VALUE!</v>
      </c>
      <c r="Z11" s="657" t="e">
        <f t="array" ref="Z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10]))</f>
        <v>#VALUE!</v>
      </c>
      <c r="AA11" s="657" t="e">
        <f t="array" ref="AA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11]))</f>
        <v>#VALUE!</v>
      </c>
      <c r="AB11" s="657" t="e">
        <f t="array" ref="AB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12]))</f>
        <v>#VALUE!</v>
      </c>
      <c r="AC11" s="657" t="e">
        <f t="array" ref="AC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13]))</f>
        <v>#VALUE!</v>
      </c>
      <c r="AD11" s="657" t="e">
        <f t="array" ref="AD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14]))</f>
        <v>#VALUE!</v>
      </c>
      <c r="AE11" s="657" t="e">
        <f t="array" ref="AE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15]))</f>
        <v>#VALUE!</v>
      </c>
      <c r="AF11" s="657" t="e">
        <f t="array" ref="AF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16]))</f>
        <v>#VALUE!</v>
      </c>
      <c r="AG11" s="657" t="e">
        <f t="array" ref="AG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17]))</f>
        <v>#VALUE!</v>
      </c>
      <c r="AH11" s="657" t="e">
        <f t="array" ref="AH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18]))</f>
        <v>#VALUE!</v>
      </c>
      <c r="AI11" s="657" t="e">
        <f t="array" ref="AI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19]))</f>
        <v>#VALUE!</v>
      </c>
      <c r="AJ11" s="657" t="e">
        <f t="array" ref="AJ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20]))</f>
        <v>#VALUE!</v>
      </c>
      <c r="AK11" s="657" t="e">
        <f t="array" ref="AK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21]))</f>
        <v>#VALUE!</v>
      </c>
      <c r="AL11" s="657" t="e">
        <f t="array" ref="AL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22]))</f>
        <v>#VALUE!</v>
      </c>
      <c r="AM11" s="657" t="e">
        <f t="array" ref="AM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23]))</f>
        <v>#VALUE!</v>
      </c>
      <c r="AN11" s="657" t="e">
        <f t="array" ref="AN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24]))</f>
        <v>#VALUE!</v>
      </c>
      <c r="AO11" s="657" t="e">
        <f t="array" ref="AO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25]))</f>
        <v>#VALUE!</v>
      </c>
      <c r="AP11" s="657" t="e">
        <f t="array" ref="AP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26]))</f>
        <v>#VALUE!</v>
      </c>
      <c r="AQ11" s="657" t="e">
        <f t="array" ref="AQ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27]))</f>
        <v>#VALUE!</v>
      </c>
      <c r="AR11" s="657" t="e">
        <f t="array" ref="AR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28]))</f>
        <v>#VALUE!</v>
      </c>
      <c r="AS11" s="657" t="e">
        <f t="array" ref="AS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29]))</f>
        <v>#VALUE!</v>
      </c>
      <c r="AT11" s="657" t="e">
        <f t="array" ref="AT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30]))</f>
        <v>#VALUE!</v>
      </c>
      <c r="AU11" s="657" t="e">
        <f t="array" ref="AU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31]))</f>
        <v>#VALUE!</v>
      </c>
      <c r="AV11" s="657" t="e">
        <f t="array" ref="AV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32]))</f>
        <v>#VALUE!</v>
      </c>
      <c r="AW11" s="657" t="e">
        <f t="array" ref="AW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33]))</f>
        <v>#VALUE!</v>
      </c>
      <c r="AX11" s="657" t="e">
        <f t="array" ref="AX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34]))</f>
        <v>#VALUE!</v>
      </c>
      <c r="AY11" s="657" t="e">
        <f t="array" ref="AY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35]))</f>
        <v>#VALUE!</v>
      </c>
      <c r="AZ11" s="657" t="e">
        <f t="array" ref="AZ11">IF($L11="","",SUMPRODUCT(IF($F$5="Y",1*(ActualsTable[Company]=IF($F11="",$F$6,$F11)),1+0*ISBLANK(ActualsTable[Company])),IF($G$5="Y",1*(ActualsTable[Business Unit]=IF($G11="",$G$6,$G11)),1+0*ISBLANK(ActualsTable[Business Unit])),IF($H$5="Y",1*(ActualsTable[Department]=IF($H11="",$H$6,$H11)),1+0*ISBLANK(ActualsTable[Department])),IF($I$5="Y",1*(ActualsTable[Team]=IF($P11="",$P$6,$P11)),1+0*ISBLANK(ActualsTable[Team])),IF($J$5="Y",1*(ActualsTable[Product]=IF($J11="",$J$6,$J11)),1+0*ISBLANK(ActualsTable[Product])),IF($K$5="Y",1*(ActualsTable[Location]=IF($K11="",$K$6,$K11)),1+0*ISBLANK(ActualsTable[Location])),1*(ActualsTable[Expense Item]=$L11),ActualsTable[Month 36]))</f>
        <v>#VALUE!</v>
      </c>
      <c r="BA11" s="257"/>
      <c r="BB11" s="654">
        <f t="array" ref="BB11">IF(OR($L11="",IsHidden(BB11)),"",CHOOSE($B11,N($E11)*BB$5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L$186:L$286)*N($E11),BB$6*N($E11),N($E11),0)+N(BB74))</f>
        <v>0</v>
      </c>
      <c r="BC11" s="654">
        <f t="array" ref="BC11">IF(OR($L11="",IsHidden(BC11)),"",CHOOSE($B11,N($E11)*BC$5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M$186:M$286)*N($E11),BC$6*N($E11),N($E11),0)+N(BC74))</f>
        <v>0</v>
      </c>
      <c r="BD11" s="654">
        <f t="array" ref="BD11">IF(OR($L11="",IsHidden(BD11)),"",CHOOSE($B11,N($E11)*BD$5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N$186:N$286)*N($E11),BD$6*N($E11),N($E11),0)+N(BD74))</f>
        <v>0</v>
      </c>
      <c r="BE11" s="654">
        <f t="array" ref="BE11">IF(OR($L11="",IsHidden(BE11)),"",CHOOSE($B11,N($E11)*BE$5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O$186:O$286)*N($E11),BE$6*N($E11),N($E11),0)+N(BE74))</f>
        <v>0</v>
      </c>
      <c r="BF11" s="654">
        <f t="array" ref="BF11">IF(OR($L11="",IsHidden(BF11)),"",CHOOSE($B11,N($E11)*BF$5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P$186:P$286)*N($E11),BF$6*N($E11),N($E11),0)+N(BF74))</f>
        <v>0</v>
      </c>
      <c r="BG11" s="654">
        <f t="array" ref="BG11">IF(OR($L11="",IsHidden(BG11)),"",CHOOSE($B11,N($E11)*BG$5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Q$186:Q$286)*N($E11),BG$6*N($E11),N($E11),0)+N(BG74))</f>
        <v>0</v>
      </c>
      <c r="BH11" s="654">
        <f t="array" ref="BH11">IF(OR($L11="",IsHidden(BH11)),"",CHOOSE($B11,N($E11)*BH$5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R$186:R$286)*N($E11),BH$6*N($E11),N($E11),0)+N(BH74))</f>
        <v>0</v>
      </c>
      <c r="BI11" s="654">
        <f t="array" ref="BI11">IF(OR($L11="",IsHidden(BI11)),"",CHOOSE($B11,N($E11)*BI$5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S$186:S$286)*N($E11),BI$6*N($E11),N($E11),0)+N(BI74))</f>
        <v>0</v>
      </c>
      <c r="BJ11" s="654">
        <f t="array" ref="BJ11">IF(OR($L11="",IsHidden(BJ11)),"",CHOOSE($B11,N($E11)*BJ$5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T$186:T$286)*N($E11),BJ$6*N($E11),N($E11),0)+N(BJ74))</f>
        <v>0</v>
      </c>
      <c r="BK11" s="654">
        <f t="array" ref="BK11">IF(OR($L11="",IsHidden(BK11)),"",CHOOSE($B11,N($E11)*BK$5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U$186:U$286)*N($E11),BK$6*N($E11),N($E11),0)+N(BK74))</f>
        <v>0</v>
      </c>
      <c r="BL11" s="654">
        <f t="array" ref="BL11">IF(OR($L11="",IsHidden(BL11)),"",CHOOSE($B11,N($E11)*BL$5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V$186:V$286)*N($E11),BL$6*N($E11),N($E11),0)+N(BL74))</f>
        <v>0</v>
      </c>
      <c r="BM11" s="654">
        <f t="array" ref="BM11">IF(OR($L11="",IsHidden(BM11)),"",CHOOSE($B11,N($E11)*BM$5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W$186:W$286)*N($E11),BM$6*N($E11),N($E11),0)+N(BM74))</f>
        <v>0</v>
      </c>
      <c r="BN11" s="654">
        <f t="array" ref="BN11">IF(OR($L11="",IsHidden(BN11)),"",CHOOSE($B11,N($E11)*BN$5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X$186:X$286)*N($E11),BN$6*N($E11),N($E11),0)+N(BN74))</f>
        <v>0</v>
      </c>
      <c r="BO11" s="654">
        <f t="array" ref="BO11">IF(OR($L11="",IsHidden(BO11)),"",CHOOSE($B11,N($E11)*BO$5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Y$186:Y$286)*N($E11),BO$6*N($E11),N($E11),0)+N(BO74))</f>
        <v>0</v>
      </c>
      <c r="BP11" s="654">
        <f t="array" ref="BP11">IF(OR($L11="",IsHidden(BP11)),"",CHOOSE($B11,N($E11)*BP$5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Z$186:Z$286)*N($E11),BP$6*N($E11),N($E11),0)+N(BP74))</f>
        <v>0</v>
      </c>
      <c r="BQ11" s="654">
        <f t="array" ref="BQ11">IF(OR($L11="",IsHidden(BQ11)),"",CHOOSE($B11,N($E11)*BQ$5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A$186:AA$286)*N($E11),BQ$6*N($E11),N($E11),0)+N(BQ74))</f>
        <v>0</v>
      </c>
      <c r="BR11" s="654">
        <f t="array" ref="BR11">IF(OR($L11="",IsHidden(BR11)),"",CHOOSE($B11,N($E11)*BR$5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B$186:AB$286)*N($E11),BR$6*N($E11),N($E11),0)+N(BR74))</f>
        <v>0</v>
      </c>
      <c r="BS11" s="654">
        <f t="array" ref="BS11">IF(OR($L11="",IsHidden(BS11)),"",CHOOSE($B11,N($E11)*BS$5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C$186:AC$286)*N($E11),BS$6*N($E11),N($E11),0)+N(BS74))</f>
        <v>0</v>
      </c>
      <c r="BT11" s="654">
        <f t="array" ref="BT11">IF(OR($L11="",IsHidden(BT11)),"",CHOOSE($B11,N($E11)*BT$5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D$186:AD$286)*N($E11),BT$6*N($E11),N($E11),0)+N(BT74))</f>
        <v>0</v>
      </c>
      <c r="BU11" s="654">
        <f t="array" ref="BU11">IF(OR($L11="",IsHidden(BU11)),"",CHOOSE($B11,N($E11)*BU$5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E$186:AE$286)*N($E11),BU$6*N($E11),N($E11),0)+N(BU74))</f>
        <v>0</v>
      </c>
      <c r="BV11" s="654">
        <f t="array" ref="BV11">IF(OR($L11="",IsHidden(BV11)),"",CHOOSE($B11,N($E11)*BV$5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F$186:AF$286)*N($E11),BV$6*N($E11),N($E11),0)+N(BV74))</f>
        <v>0</v>
      </c>
      <c r="BW11" s="654">
        <f t="array" ref="BW11">IF(OR($L11="",IsHidden(BW11)),"",CHOOSE($B11,N($E11)*BW$5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G$186:AG$286)*N($E11),BW$6*N($E11),N($E11),0)+N(BW74))</f>
        <v>0</v>
      </c>
      <c r="BX11" s="654">
        <f t="array" ref="BX11">IF(OR($L11="",IsHidden(BX11)),"",CHOOSE($B11,N($E11)*BX$5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H$186:AH$286)*N($E11),BX$6*N($E11),N($E11),0)+N(BX74))</f>
        <v>0</v>
      </c>
      <c r="BY11" s="654">
        <f t="array" ref="BY11">IF(OR($L11="",IsHidden(BY11)),"",CHOOSE($B11,N($E11)*BY$5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I$186:AI$286)*N($E11),BY$6*N($E11),N($E11),0)+N(BY74))</f>
        <v>0</v>
      </c>
      <c r="BZ11" s="654">
        <f t="array" ref="BZ11">IF(OR($L11="",IsHidden(BZ11)),"",CHOOSE($B11,N($E11)*BZ$5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J$186:AJ$286)*N($E11),BZ$6*N($E11),N($E11),0)+N(BZ74))</f>
        <v>0</v>
      </c>
      <c r="CA11" s="654">
        <f t="array" ref="CA11">IF(OR($L11="",IsHidden(CA11)),"",CHOOSE($B11,N($E11)*CA$5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K$186:AK$286)*N($E11),CA$6*N($E11),N($E11),0)+N(CA74))</f>
        <v>0</v>
      </c>
      <c r="CB11" s="654">
        <f t="array" ref="CB11">IF(OR($L11="",IsHidden(CB11)),"",CHOOSE($B11,N($E11)*CB$5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L$186:AL$286)*N($E11),CB$6*N($E11),N($E11),0)+N(CB74))</f>
        <v>0</v>
      </c>
      <c r="CC11" s="654">
        <f t="array" ref="CC11">IF(OR($L11="",IsHidden(CC11)),"",CHOOSE($B11,N($E11)*CC$5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M$186:AM$286)*N($E11),CC$6*N($E11),N($E11),0)+N(CC74))</f>
        <v>0</v>
      </c>
      <c r="CD11" s="654">
        <f t="array" ref="CD11">IF(OR($L11="",IsHidden(CD11)),"",CHOOSE($B11,N($E11)*CD$5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N$186:AN$286)*N($E11),CD$6*N($E11),N($E11),0)+N(CD74))</f>
        <v>0</v>
      </c>
      <c r="CE11" s="654">
        <f t="array" ref="CE11">IF(OR($L11="",IsHidden(CE11)),"",CHOOSE($B11,N($E11)*CE$5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O$186:AO$286)*N($E11),CE$6*N($E11),N($E11),0)+N(CE74))</f>
        <v>0</v>
      </c>
      <c r="CF11" s="654">
        <f t="array" ref="CF11">IF(OR($L11="",IsHidden(CF11)),"",CHOOSE($B11,N($E11)*CF$5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P$186:AP$286)*N($E11),CF$6*N($E11),N($E11),0)+N(CF74))</f>
        <v>0</v>
      </c>
      <c r="CG11" s="654">
        <f t="array" ref="CG11">IF(OR($L11="",IsHidden(CG11)),"",CHOOSE($B11,N($E11)*CG$5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Q$186:AQ$286)*N($E11),CG$6*N($E11),N($E11),0)+N(CG74))</f>
        <v>0</v>
      </c>
      <c r="CH11" s="654">
        <f t="array" ref="CH11">IF(OR($L11="",IsHidden(CH11)),"",CHOOSE($B11,N($E11)*CH$5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R$186:AR$286)*N($E11),CH$6*N($E11),N($E11),0)+N(CH74))</f>
        <v>0</v>
      </c>
      <c r="CI11" s="654">
        <f t="array" ref="CI11">IF(OR($L11="",IsHidden(CI11)),"",CHOOSE($B11,N($E11)*CI$5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S$186:AS$286)*N($E11),CI$6*N($E11),N($E11),0)+N(CI74))</f>
        <v>0</v>
      </c>
      <c r="CJ11" s="654">
        <f t="array" ref="CJ11">IF(OR($L11="",IsHidden(CJ11)),"",CHOOSE($B11,N($E11)*CJ$5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T$186:AT$286)*N($E11),CJ$6*N($E11),N($E11),0)+N(CJ74))</f>
        <v>0</v>
      </c>
      <c r="CK11" s="654">
        <f t="array" ref="CK11">IF(OR($L11="",IsHidden(CK11)),"",CHOOSE($B11,N($E11)*CK$5,SUMPRODUCT(IF($F$5="Y",1*(Headcount!$B$186:$B$286=IF($F11="",$F$6,$F11)),1+0*ISBLANK(Headcount!$B$186:$B$286)),IF($G$5="Y",1*(Headcount!$C$186:$C$286=IF($G11="",$G$6,$G11)),1+0*ISBLANK(Headcount!$C$186:$C$286)),IF($H$5="Y",1*(Headcount!$D$186:$D$286=IF($H11="",$H$6,$H11)),1+0*ISBLANK(Headcount!$D$186:$D$286)),IF($I$5="Y",1*(Headcount!$E$186:$E$286=IF($I11="",$I$6,$I11)),1+0*ISBLANK(Headcount!$E$186:$E$286)),IF($J$5="Y",1*(Headcount!$F$186:$F$286=IF($J11="",$J$6,$J11)),1+0*ISBLANK(Headcount!$F$186:$F$286)),IF($K$5="Y",1*(Headcount!$G$186:$G$286=IF($K11="",$K$6,$K11)),1+0*ISBLANK(Headcount!$G$186:$G$286)),Headcount!AU$186:AU$286)*N($E11),CK$6*N($E11),N($E11),0)+N(CK74))</f>
        <v>0</v>
      </c>
      <c r="CN11" s="255" t="b">
        <f t="array" ref="CN11">IF($L11="",TRUE,IF(AND(OR($F11&lt;&gt;"",$F$6&lt;&gt;""),OR($G11&lt;&gt;"",$G$6&lt;&gt;""),OR($H11&lt;&gt;"",$H$6&lt;&gt;""),OR($I11&lt;&gt;"",$I$6&lt;&gt;""),OR($J11&lt;&gt;"",$J$6&lt;&gt;""),OR($K11&lt;&gt;"",$K$6&lt;&gt;""),NOT(ISERROR(BB11:CK11)),NOT(ISNA(MATCH(IF($H11="",$H$6,$H11)&amp;IF($G11="",$G$6,$G11),DeptBU,0)))),TRUE,FALSE))</f>
        <v>0</v>
      </c>
      <c r="CP11" s="255" t="str">
        <f t="shared" si="3"/>
        <v>SELECT ''Expenses'',''Expenses'',11,''USD'',NULL,''Forecast'','''','''','''','''','''','''',''Training'',NULL,NULL,''Per Head'',NULL,0,0,0,0,0,0,0,0,0,0,0,0,0,0,0,0,0,0,0,0,0,0,0,0,0,0,0,0,0,0,0,0,0,0,0,0</v>
      </c>
    </row>
    <row r="12" spans="1:94" s="255" customFormat="1" x14ac:dyDescent="0.35">
      <c r="A12" s="566"/>
      <c r="B12" s="261">
        <f t="shared" si="2"/>
        <v>5</v>
      </c>
      <c r="C12" s="566"/>
      <c r="D12" s="261" t="str">
        <f t="array" aca="1" ref="D12" ca="1">IF($B12&lt;5,AVERAGE(OFFSET($Q12,,Input_ActualsOffset-1,,-$C12)/CHOOSE($B12,OFFSET($Q$5,,Input_ActualsOffset-1,1,-$C12),ss($C12,OFFSET(Actuals!$A$1,1,MATCH("Month "&amp;Input_ActualsOffset,ActualsTable[#Headers],0)-1,ROWS(ActualsTable[#Data]),1),ActualsTable[Company],IF($F$5="Y",IF($F12="",$F$6,$F12),"*"),ActualsTable[Business Unit],IF($G$5="Y",IF($G12="",$G$6,$G12),"*"),ActualsTable[Department],IF($H$5="Y",IF($H12="",$H$6,$H12),"*"),ActualsTable[Team],IF($I$5="Y",IF($P12="",$P$6,$P12),"*"),ActualsTable[Product],IF($J$5="Y",IF($J12="",$J$6,$J12),"*"),ActualsTable[Location],IF($K$5="Y",IF($K12="",$K$6,$K12),"*"),ActualsTable[Expense Item],"Headcount"),OFFSET($Q$6,,Input_ActualsOffset-1,,-$C12),1)),"")</f>
        <v/>
      </c>
      <c r="E12" s="640"/>
      <c r="F12" s="555"/>
      <c r="G12" s="555"/>
      <c r="H12" s="555"/>
      <c r="I12" s="555"/>
      <c r="J12" s="555"/>
      <c r="K12" s="555"/>
      <c r="L12" s="555"/>
      <c r="M12" s="555"/>
      <c r="N12" s="555"/>
      <c r="O12" s="556" t="str">
        <f>IF($L12="","",IF(VLOOKUP(L12,ExpItems[],2,0),L12&amp;" - "&amp;INDEX(DivisionMapping[category_code],MATCH(IF(H12="",$H$6,H12)&amp;IF(G12="",$G$6,G12),DivisionMapping[dept_bu],0)),L12))</f>
        <v/>
      </c>
      <c r="P12" s="556" t="str">
        <f>IF($L12="","",INDEX(Teams[team_consolidation],MATCH(IF($I12="",$I$6,$I12),Teams[team_name],0)))</f>
        <v/>
      </c>
      <c r="Q12" s="657" t="str">
        <f t="array" ref="Q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f>
        <v/>
      </c>
      <c r="R12" s="657" t="str">
        <f t="array" ref="R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f>
        <v/>
      </c>
      <c r="S12" s="657" t="str">
        <f t="array" ref="S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f>
        <v/>
      </c>
      <c r="T12" s="657" t="str">
        <f t="array" ref="T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4]))</f>
        <v/>
      </c>
      <c r="U12" s="657" t="str">
        <f t="array" ref="U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5]))</f>
        <v/>
      </c>
      <c r="V12" s="657" t="str">
        <f t="array" ref="V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6]))</f>
        <v/>
      </c>
      <c r="W12" s="657" t="str">
        <f t="array" ref="W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7]))</f>
        <v/>
      </c>
      <c r="X12" s="657" t="str">
        <f t="array" ref="X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8]))</f>
        <v/>
      </c>
      <c r="Y12" s="657" t="str">
        <f t="array" ref="Y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9]))</f>
        <v/>
      </c>
      <c r="Z12" s="657" t="str">
        <f t="array" ref="Z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10]))</f>
        <v/>
      </c>
      <c r="AA12" s="657" t="str">
        <f t="array" ref="AA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11]))</f>
        <v/>
      </c>
      <c r="AB12" s="657" t="str">
        <f t="array" ref="AB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12]))</f>
        <v/>
      </c>
      <c r="AC12" s="657" t="str">
        <f t="array" ref="AC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13]))</f>
        <v/>
      </c>
      <c r="AD12" s="657" t="str">
        <f t="array" ref="AD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14]))</f>
        <v/>
      </c>
      <c r="AE12" s="657" t="str">
        <f t="array" ref="AE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15]))</f>
        <v/>
      </c>
      <c r="AF12" s="657" t="str">
        <f t="array" ref="AF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16]))</f>
        <v/>
      </c>
      <c r="AG12" s="657" t="str">
        <f t="array" ref="AG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17]))</f>
        <v/>
      </c>
      <c r="AH12" s="657" t="str">
        <f t="array" ref="AH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18]))</f>
        <v/>
      </c>
      <c r="AI12" s="657" t="str">
        <f t="array" ref="AI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19]))</f>
        <v/>
      </c>
      <c r="AJ12" s="657" t="str">
        <f t="array" ref="AJ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20]))</f>
        <v/>
      </c>
      <c r="AK12" s="657" t="str">
        <f t="array" ref="AK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21]))</f>
        <v/>
      </c>
      <c r="AL12" s="657" t="str">
        <f t="array" ref="AL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22]))</f>
        <v/>
      </c>
      <c r="AM12" s="657" t="str">
        <f t="array" ref="AM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23]))</f>
        <v/>
      </c>
      <c r="AN12" s="657" t="str">
        <f t="array" ref="AN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24]))</f>
        <v/>
      </c>
      <c r="AO12" s="657" t="str">
        <f t="array" ref="AO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25]))</f>
        <v/>
      </c>
      <c r="AP12" s="657" t="str">
        <f t="array" ref="AP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26]))</f>
        <v/>
      </c>
      <c r="AQ12" s="657" t="str">
        <f t="array" ref="AQ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27]))</f>
        <v/>
      </c>
      <c r="AR12" s="657" t="str">
        <f t="array" ref="AR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28]))</f>
        <v/>
      </c>
      <c r="AS12" s="657" t="str">
        <f t="array" ref="AS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29]))</f>
        <v/>
      </c>
      <c r="AT12" s="657" t="str">
        <f t="array" ref="AT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30]))</f>
        <v/>
      </c>
      <c r="AU12" s="657" t="str">
        <f t="array" ref="AU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31]))</f>
        <v/>
      </c>
      <c r="AV12" s="657" t="str">
        <f t="array" ref="AV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32]))</f>
        <v/>
      </c>
      <c r="AW12" s="657" t="str">
        <f t="array" ref="AW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33]))</f>
        <v/>
      </c>
      <c r="AX12" s="657" t="str">
        <f t="array" ref="AX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34]))</f>
        <v/>
      </c>
      <c r="AY12" s="657" t="str">
        <f t="array" ref="AY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35]))</f>
        <v/>
      </c>
      <c r="AZ12" s="657" t="str">
        <f t="array" ref="AZ12">IF($L12="","",SUMPRODUCT(IF($F$5="Y",1*(ActualsTable[Company]=IF($F12="",$F$6,$F12)),1+0*ISBLANK(ActualsTable[Company])),IF($G$5="Y",1*(ActualsTable[Business Unit]=IF($G12="",$G$6,$G12)),1+0*ISBLANK(ActualsTable[Business Unit])),IF($H$5="Y",1*(ActualsTable[Department]=IF($H12="",$H$6,$H12)),1+0*ISBLANK(ActualsTable[Department])),IF($I$5="Y",1*(ActualsTable[Team]=IF($P12="",$P$6,$P12)),1+0*ISBLANK(ActualsTable[Team])),IF($J$5="Y",1*(ActualsTable[Product]=IF($J12="",$J$6,$J12)),1+0*ISBLANK(ActualsTable[Product])),IF($K$5="Y",1*(ActualsTable[Location]=IF($K12="",$K$6,$K12)),1+0*ISBLANK(ActualsTable[Location])),1*(ActualsTable[Expense Item]=$L12),ActualsTable[Month 36]))</f>
        <v/>
      </c>
      <c r="BA12" s="257"/>
      <c r="BB12" s="654" t="str">
        <f t="array" ref="BB12">IF(OR($L12="",IsHidden(BB12)),"",CHOOSE($B12,N($E12)*BB$5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L$186:L$286)*N($E12),BB$6*N($E12),N($E12),0)+N(BB75))</f>
        <v/>
      </c>
      <c r="BC12" s="654" t="str">
        <f t="array" ref="BC12">IF(OR($L12="",IsHidden(BC12)),"",CHOOSE($B12,N($E12)*BC$5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M$186:M$286)*N($E12),BC$6*N($E12),N($E12),0)+N(BC75))</f>
        <v/>
      </c>
      <c r="BD12" s="654" t="str">
        <f t="array" ref="BD12">IF(OR($L12="",IsHidden(BD12)),"",CHOOSE($B12,N($E12)*BD$5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N$186:N$286)*N($E12),BD$6*N($E12),N($E12),0)+N(BD75))</f>
        <v/>
      </c>
      <c r="BE12" s="654" t="str">
        <f t="array" ref="BE12">IF(OR($L12="",IsHidden(BE12)),"",CHOOSE($B12,N($E12)*BE$5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O$186:O$286)*N($E12),BE$6*N($E12),N($E12),0)+N(BE75))</f>
        <v/>
      </c>
      <c r="BF12" s="654" t="str">
        <f t="array" ref="BF12">IF(OR($L12="",IsHidden(BF12)),"",CHOOSE($B12,N($E12)*BF$5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P$186:P$286)*N($E12),BF$6*N($E12),N($E12),0)+N(BF75))</f>
        <v/>
      </c>
      <c r="BG12" s="654" t="str">
        <f t="array" ref="BG12">IF(OR($L12="",IsHidden(BG12)),"",CHOOSE($B12,N($E12)*BG$5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Q$186:Q$286)*N($E12),BG$6*N($E12),N($E12),0)+N(BG75))</f>
        <v/>
      </c>
      <c r="BH12" s="654" t="str">
        <f t="array" ref="BH12">IF(OR($L12="",IsHidden(BH12)),"",CHOOSE($B12,N($E12)*BH$5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R$186:R$286)*N($E12),BH$6*N($E12),N($E12),0)+N(BH75))</f>
        <v/>
      </c>
      <c r="BI12" s="654" t="str">
        <f t="array" ref="BI12">IF(OR($L12="",IsHidden(BI12)),"",CHOOSE($B12,N($E12)*BI$5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S$186:S$286)*N($E12),BI$6*N($E12),N($E12),0)+N(BI75))</f>
        <v/>
      </c>
      <c r="BJ12" s="654" t="str">
        <f t="array" ref="BJ12">IF(OR($L12="",IsHidden(BJ12)),"",CHOOSE($B12,N($E12)*BJ$5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T$186:T$286)*N($E12),BJ$6*N($E12),N($E12),0)+N(BJ75))</f>
        <v/>
      </c>
      <c r="BK12" s="654" t="str">
        <f t="array" ref="BK12">IF(OR($L12="",IsHidden(BK12)),"",CHOOSE($B12,N($E12)*BK$5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U$186:U$286)*N($E12),BK$6*N($E12),N($E12),0)+N(BK75))</f>
        <v/>
      </c>
      <c r="BL12" s="654" t="str">
        <f t="array" ref="BL12">IF(OR($L12="",IsHidden(BL12)),"",CHOOSE($B12,N($E12)*BL$5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V$186:V$286)*N($E12),BL$6*N($E12),N($E12),0)+N(BL75))</f>
        <v/>
      </c>
      <c r="BM12" s="654" t="str">
        <f t="array" ref="BM12">IF(OR($L12="",IsHidden(BM12)),"",CHOOSE($B12,N($E12)*BM$5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W$186:W$286)*N($E12),BM$6*N($E12),N($E12),0)+N(BM75))</f>
        <v/>
      </c>
      <c r="BN12" s="654" t="str">
        <f t="array" ref="BN12">IF(OR($L12="",IsHidden(BN12)),"",CHOOSE($B12,N($E12)*BN$5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X$186:X$286)*N($E12),BN$6*N($E12),N($E12),0)+N(BN75))</f>
        <v/>
      </c>
      <c r="BO12" s="654" t="str">
        <f t="array" ref="BO12">IF(OR($L12="",IsHidden(BO12)),"",CHOOSE($B12,N($E12)*BO$5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Y$186:Y$286)*N($E12),BO$6*N($E12),N($E12),0)+N(BO75))</f>
        <v/>
      </c>
      <c r="BP12" s="654" t="str">
        <f t="array" ref="BP12">IF(OR($L12="",IsHidden(BP12)),"",CHOOSE($B12,N($E12)*BP$5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Z$186:Z$286)*N($E12),BP$6*N($E12),N($E12),0)+N(BP75))</f>
        <v/>
      </c>
      <c r="BQ12" s="654" t="str">
        <f t="array" ref="BQ12">IF(OR($L12="",IsHidden(BQ12)),"",CHOOSE($B12,N($E12)*BQ$5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A$186:AA$286)*N($E12),BQ$6*N($E12),N($E12),0)+N(BQ75))</f>
        <v/>
      </c>
      <c r="BR12" s="654" t="str">
        <f t="array" ref="BR12">IF(OR($L12="",IsHidden(BR12)),"",CHOOSE($B12,N($E12)*BR$5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B$186:AB$286)*N($E12),BR$6*N($E12),N($E12),0)+N(BR75))</f>
        <v/>
      </c>
      <c r="BS12" s="654" t="str">
        <f t="array" ref="BS12">IF(OR($L12="",IsHidden(BS12)),"",CHOOSE($B12,N($E12)*BS$5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C$186:AC$286)*N($E12),BS$6*N($E12),N($E12),0)+N(BS75))</f>
        <v/>
      </c>
      <c r="BT12" s="654" t="str">
        <f t="array" ref="BT12">IF(OR($L12="",IsHidden(BT12)),"",CHOOSE($B12,N($E12)*BT$5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D$186:AD$286)*N($E12),BT$6*N($E12),N($E12),0)+N(BT75))</f>
        <v/>
      </c>
      <c r="BU12" s="654" t="str">
        <f t="array" ref="BU12">IF(OR($L12="",IsHidden(BU12)),"",CHOOSE($B12,N($E12)*BU$5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E$186:AE$286)*N($E12),BU$6*N($E12),N($E12),0)+N(BU75))</f>
        <v/>
      </c>
      <c r="BV12" s="654" t="str">
        <f t="array" ref="BV12">IF(OR($L12="",IsHidden(BV12)),"",CHOOSE($B12,N($E12)*BV$5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F$186:AF$286)*N($E12),BV$6*N($E12),N($E12),0)+N(BV75))</f>
        <v/>
      </c>
      <c r="BW12" s="654" t="str">
        <f t="array" ref="BW12">IF(OR($L12="",IsHidden(BW12)),"",CHOOSE($B12,N($E12)*BW$5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G$186:AG$286)*N($E12),BW$6*N($E12),N($E12),0)+N(BW75))</f>
        <v/>
      </c>
      <c r="BX12" s="654" t="str">
        <f t="array" ref="BX12">IF(OR($L12="",IsHidden(BX12)),"",CHOOSE($B12,N($E12)*BX$5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H$186:AH$286)*N($E12),BX$6*N($E12),N($E12),0)+N(BX75))</f>
        <v/>
      </c>
      <c r="BY12" s="654" t="str">
        <f t="array" ref="BY12">IF(OR($L12="",IsHidden(BY12)),"",CHOOSE($B12,N($E12)*BY$5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I$186:AI$286)*N($E12),BY$6*N($E12),N($E12),0)+N(BY75))</f>
        <v/>
      </c>
      <c r="BZ12" s="654" t="str">
        <f t="array" ref="BZ12">IF(OR($L12="",IsHidden(BZ12)),"",CHOOSE($B12,N($E12)*BZ$5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J$186:AJ$286)*N($E12),BZ$6*N($E12),N($E12),0)+N(BZ75))</f>
        <v/>
      </c>
      <c r="CA12" s="654" t="str">
        <f t="array" ref="CA12">IF(OR($L12="",IsHidden(CA12)),"",CHOOSE($B12,N($E12)*CA$5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K$186:AK$286)*N($E12),CA$6*N($E12),N($E12),0)+N(CA75))</f>
        <v/>
      </c>
      <c r="CB12" s="654" t="str">
        <f t="array" ref="CB12">IF(OR($L12="",IsHidden(CB12)),"",CHOOSE($B12,N($E12)*CB$5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L$186:AL$286)*N($E12),CB$6*N($E12),N($E12),0)+N(CB75))</f>
        <v/>
      </c>
      <c r="CC12" s="654" t="str">
        <f t="array" ref="CC12">IF(OR($L12="",IsHidden(CC12)),"",CHOOSE($B12,N($E12)*CC$5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M$186:AM$286)*N($E12),CC$6*N($E12),N($E12),0)+N(CC75))</f>
        <v/>
      </c>
      <c r="CD12" s="654" t="str">
        <f t="array" ref="CD12">IF(OR($L12="",IsHidden(CD12)),"",CHOOSE($B12,N($E12)*CD$5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N$186:AN$286)*N($E12),CD$6*N($E12),N($E12),0)+N(CD75))</f>
        <v/>
      </c>
      <c r="CE12" s="654" t="str">
        <f t="array" ref="CE12">IF(OR($L12="",IsHidden(CE12)),"",CHOOSE($B12,N($E12)*CE$5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O$186:AO$286)*N($E12),CE$6*N($E12),N($E12),0)+N(CE75))</f>
        <v/>
      </c>
      <c r="CF12" s="654" t="str">
        <f t="array" ref="CF12">IF(OR($L12="",IsHidden(CF12)),"",CHOOSE($B12,N($E12)*CF$5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P$186:AP$286)*N($E12),CF$6*N($E12),N($E12),0)+N(CF75))</f>
        <v/>
      </c>
      <c r="CG12" s="654" t="str">
        <f t="array" ref="CG12">IF(OR($L12="",IsHidden(CG12)),"",CHOOSE($B12,N($E12)*CG$5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Q$186:AQ$286)*N($E12),CG$6*N($E12),N($E12),0)+N(CG75))</f>
        <v/>
      </c>
      <c r="CH12" s="654" t="str">
        <f t="array" ref="CH12">IF(OR($L12="",IsHidden(CH12)),"",CHOOSE($B12,N($E12)*CH$5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R$186:AR$286)*N($E12),CH$6*N($E12),N($E12),0)+N(CH75))</f>
        <v/>
      </c>
      <c r="CI12" s="654" t="str">
        <f t="array" ref="CI12">IF(OR($L12="",IsHidden(CI12)),"",CHOOSE($B12,N($E12)*CI$5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S$186:AS$286)*N($E12),CI$6*N($E12),N($E12),0)+N(CI75))</f>
        <v/>
      </c>
      <c r="CJ12" s="654" t="str">
        <f t="array" ref="CJ12">IF(OR($L12="",IsHidden(CJ12)),"",CHOOSE($B12,N($E12)*CJ$5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T$186:AT$286)*N($E12),CJ$6*N($E12),N($E12),0)+N(CJ75))</f>
        <v/>
      </c>
      <c r="CK12" s="654" t="str">
        <f t="array" ref="CK12">IF(OR($L12="",IsHidden(CK12)),"",CHOOSE($B12,N($E12)*CK$5,SUMPRODUCT(IF($F$5="Y",1*(Headcount!$B$186:$B$286=IF($F12="",$F$6,$F12)),1+0*ISBLANK(Headcount!$B$186:$B$286)),IF($G$5="Y",1*(Headcount!$C$186:$C$286=IF($G12="",$G$6,$G12)),1+0*ISBLANK(Headcount!$C$186:$C$286)),IF($H$5="Y",1*(Headcount!$D$186:$D$286=IF($H12="",$H$6,$H12)),1+0*ISBLANK(Headcount!$D$186:$D$286)),IF($I$5="Y",1*(Headcount!$E$186:$E$286=IF($I12="",$I$6,$I12)),1+0*ISBLANK(Headcount!$E$186:$E$286)),IF($J$5="Y",1*(Headcount!$F$186:$F$286=IF($J12="",$J$6,$J12)),1+0*ISBLANK(Headcount!$F$186:$F$286)),IF($K$5="Y",1*(Headcount!$G$186:$G$286=IF($K12="",$K$6,$K12)),1+0*ISBLANK(Headcount!$G$186:$G$286)),Headcount!AU$186:AU$286)*N($E12),CK$6*N($E12),N($E12),0)+N(CK75))</f>
        <v/>
      </c>
      <c r="CN12" s="255" t="b">
        <f t="array" ref="CN12">IF($L12="",TRUE,IF(AND(OR($F12&lt;&gt;"",$F$6&lt;&gt;""),OR($G12&lt;&gt;"",$G$6&lt;&gt;""),OR($H12&lt;&gt;"",$H$6&lt;&gt;""),OR($I12&lt;&gt;"",$I$6&lt;&gt;""),OR($J12&lt;&gt;"",$J$6&lt;&gt;""),OR($K12&lt;&gt;"",$K$6&lt;&gt;""),NOT(ISERROR(BB12:CK12)),NOT(ISNA(MATCH(IF($H12="",$H$6,$H12)&amp;IF($G12="",$G$6,$G12),DeptBU,0)))),TRUE,FALSE))</f>
        <v>1</v>
      </c>
      <c r="CP12" s="255" t="str">
        <f t="shared" si="3"/>
        <v/>
      </c>
    </row>
    <row r="13" spans="1:94" s="255" customFormat="1" x14ac:dyDescent="0.35">
      <c r="A13" s="566" t="s">
        <v>1142</v>
      </c>
      <c r="B13" s="261">
        <f t="shared" si="2"/>
        <v>2</v>
      </c>
      <c r="C13" s="566"/>
      <c r="D13" s="261" t="e">
        <f t="array" aca="1" ref="D13" ca="1">IF($B13&lt;5,AVERAGE(OFFSET($Q13,,Input_ActualsOffset-1,,-$C13)/CHOOSE($B13,OFFSET($Q$5,,Input_ActualsOffset-1,1,-$C13),ss($C13,OFFSET(Actuals!$A$1,1,MATCH("Month "&amp;Input_ActualsOffset,ActualsTable[#Headers],0)-1,ROWS(ActualsTable[#Data]),1),ActualsTable[Company],IF($F$5="Y",IF($F13="",$F$6,$F13),"*"),ActualsTable[Business Unit],IF($G$5="Y",IF($G13="",$G$6,$G13),"*"),ActualsTable[Department],IF($H$5="Y",IF($H13="",$H$6,$H13),"*"),ActualsTable[Team],IF($I$5="Y",IF($P13="",$P$6,$P13),"*"),ActualsTable[Product],IF($J$5="Y",IF($J13="",$J$6,$J13),"*"),ActualsTable[Location],IF($K$5="Y",IF($K13="",$K$6,$K13),"*"),ActualsTable[Expense Item],"Headcount"),OFFSET($Q$6,,Input_ActualsOffset-1,,-$C13),1)),"")</f>
        <v>#REF!</v>
      </c>
      <c r="E13" s="640"/>
      <c r="F13" s="555"/>
      <c r="G13" s="555"/>
      <c r="H13" s="555"/>
      <c r="I13" s="555"/>
      <c r="J13" s="555"/>
      <c r="K13" s="555"/>
      <c r="L13" s="555" t="s">
        <v>45</v>
      </c>
      <c r="M13" s="555"/>
      <c r="N13" s="555"/>
      <c r="O13" s="556" t="e">
        <f>IF($L13="","",IF(VLOOKUP(L13,ExpItems[],2,0),L13&amp;" - "&amp;INDEX(DivisionMapping[category_code],MATCH(IF(H13="",$H$6,H13)&amp;IF(G13="",$G$6,G13),DivisionMapping[dept_bu],0)),L13))</f>
        <v>#N/A</v>
      </c>
      <c r="P13" s="556" t="e">
        <f>IF($L13="","",INDEX(Teams[team_consolidation],MATCH(IF($I13="",$I$6,$I13),Teams[team_name],0)))</f>
        <v>#N/A</v>
      </c>
      <c r="Q13" s="657" t="e">
        <f t="array" ref="Q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f>
        <v>#VALUE!</v>
      </c>
      <c r="R13" s="657" t="e">
        <f t="array" ref="R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f>
        <v>#VALUE!</v>
      </c>
      <c r="S13" s="657" t="e">
        <f t="array" ref="S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f>
        <v>#VALUE!</v>
      </c>
      <c r="T13" s="657" t="e">
        <f t="array" ref="T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4]))</f>
        <v>#VALUE!</v>
      </c>
      <c r="U13" s="657" t="e">
        <f t="array" ref="U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5]))</f>
        <v>#VALUE!</v>
      </c>
      <c r="V13" s="657" t="e">
        <f t="array" ref="V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6]))</f>
        <v>#VALUE!</v>
      </c>
      <c r="W13" s="657" t="e">
        <f t="array" ref="W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7]))</f>
        <v>#VALUE!</v>
      </c>
      <c r="X13" s="657" t="e">
        <f t="array" ref="X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8]))</f>
        <v>#VALUE!</v>
      </c>
      <c r="Y13" s="657" t="e">
        <f t="array" ref="Y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9]))</f>
        <v>#VALUE!</v>
      </c>
      <c r="Z13" s="657" t="e">
        <f t="array" ref="Z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10]))</f>
        <v>#VALUE!</v>
      </c>
      <c r="AA13" s="657" t="e">
        <f t="array" ref="AA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11]))</f>
        <v>#VALUE!</v>
      </c>
      <c r="AB13" s="657" t="e">
        <f t="array" ref="AB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12]))</f>
        <v>#VALUE!</v>
      </c>
      <c r="AC13" s="657" t="e">
        <f t="array" ref="AC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13]))</f>
        <v>#VALUE!</v>
      </c>
      <c r="AD13" s="657" t="e">
        <f t="array" ref="AD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14]))</f>
        <v>#VALUE!</v>
      </c>
      <c r="AE13" s="657" t="e">
        <f t="array" ref="AE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15]))</f>
        <v>#VALUE!</v>
      </c>
      <c r="AF13" s="657" t="e">
        <f t="array" ref="AF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16]))</f>
        <v>#VALUE!</v>
      </c>
      <c r="AG13" s="657" t="e">
        <f t="array" ref="AG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17]))</f>
        <v>#VALUE!</v>
      </c>
      <c r="AH13" s="657" t="e">
        <f t="array" ref="AH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18]))</f>
        <v>#VALUE!</v>
      </c>
      <c r="AI13" s="657" t="e">
        <f t="array" ref="AI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19]))</f>
        <v>#VALUE!</v>
      </c>
      <c r="AJ13" s="657" t="e">
        <f t="array" ref="AJ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20]))</f>
        <v>#VALUE!</v>
      </c>
      <c r="AK13" s="657" t="e">
        <f t="array" ref="AK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21]))</f>
        <v>#VALUE!</v>
      </c>
      <c r="AL13" s="657" t="e">
        <f t="array" ref="AL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22]))</f>
        <v>#VALUE!</v>
      </c>
      <c r="AM13" s="657" t="e">
        <f t="array" ref="AM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23]))</f>
        <v>#VALUE!</v>
      </c>
      <c r="AN13" s="657" t="e">
        <f t="array" ref="AN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24]))</f>
        <v>#VALUE!</v>
      </c>
      <c r="AO13" s="657" t="e">
        <f t="array" ref="AO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25]))</f>
        <v>#VALUE!</v>
      </c>
      <c r="AP13" s="657" t="e">
        <f t="array" ref="AP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26]))</f>
        <v>#VALUE!</v>
      </c>
      <c r="AQ13" s="657" t="e">
        <f t="array" ref="AQ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27]))</f>
        <v>#VALUE!</v>
      </c>
      <c r="AR13" s="657" t="e">
        <f t="array" ref="AR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28]))</f>
        <v>#VALUE!</v>
      </c>
      <c r="AS13" s="657" t="e">
        <f t="array" ref="AS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29]))</f>
        <v>#VALUE!</v>
      </c>
      <c r="AT13" s="657" t="e">
        <f t="array" ref="AT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30]))</f>
        <v>#VALUE!</v>
      </c>
      <c r="AU13" s="657" t="e">
        <f t="array" ref="AU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31]))</f>
        <v>#VALUE!</v>
      </c>
      <c r="AV13" s="657" t="e">
        <f t="array" ref="AV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32]))</f>
        <v>#VALUE!</v>
      </c>
      <c r="AW13" s="657" t="e">
        <f t="array" ref="AW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33]))</f>
        <v>#VALUE!</v>
      </c>
      <c r="AX13" s="657" t="e">
        <f t="array" ref="AX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34]))</f>
        <v>#VALUE!</v>
      </c>
      <c r="AY13" s="657" t="e">
        <f t="array" ref="AY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35]))</f>
        <v>#VALUE!</v>
      </c>
      <c r="AZ13" s="657" t="e">
        <f t="array" ref="AZ13">IF($L13="","",SUMPRODUCT(IF($F$5="Y",1*(ActualsTable[Company]=IF($F13="",$F$6,$F13)),1+0*ISBLANK(ActualsTable[Company])),IF($G$5="Y",1*(ActualsTable[Business Unit]=IF($G13="",$G$6,$G13)),1+0*ISBLANK(ActualsTable[Business Unit])),IF($H$5="Y",1*(ActualsTable[Department]=IF($H13="",$H$6,$H13)),1+0*ISBLANK(ActualsTable[Department])),IF($I$5="Y",1*(ActualsTable[Team]=IF($P13="",$P$6,$P13)),1+0*ISBLANK(ActualsTable[Team])),IF($J$5="Y",1*(ActualsTable[Product]=IF($J13="",$J$6,$J13)),1+0*ISBLANK(ActualsTable[Product])),IF($K$5="Y",1*(ActualsTable[Location]=IF($K13="",$K$6,$K13)),1+0*ISBLANK(ActualsTable[Location])),1*(ActualsTable[Expense Item]=$L13),ActualsTable[Month 36]))</f>
        <v>#VALUE!</v>
      </c>
      <c r="BA13" s="257"/>
      <c r="BB13" s="654">
        <f t="array" ref="BB13">IF(OR($L13="",IsHidden(BB13)),"",CHOOSE($B13,N($E13)*BB$5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L$186:L$286)*N($E13),BB$6*N($E13),N($E13),0)+N(BB76))</f>
        <v>0</v>
      </c>
      <c r="BC13" s="654">
        <f t="array" ref="BC13">IF(OR($L13="",IsHidden(BC13)),"",CHOOSE($B13,N($E13)*BC$5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M$186:M$286)*N($E13),BC$6*N($E13),N($E13),0)+N(BC76))</f>
        <v>0</v>
      </c>
      <c r="BD13" s="654">
        <f t="array" ref="BD13">IF(OR($L13="",IsHidden(BD13)),"",CHOOSE($B13,N($E13)*BD$5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N$186:N$286)*N($E13),BD$6*N($E13),N($E13),0)+N(BD76))</f>
        <v>0</v>
      </c>
      <c r="BE13" s="654">
        <f t="array" ref="BE13">IF(OR($L13="",IsHidden(BE13)),"",CHOOSE($B13,N($E13)*BE$5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O$186:O$286)*N($E13),BE$6*N($E13),N($E13),0)+N(BE76))</f>
        <v>0</v>
      </c>
      <c r="BF13" s="654">
        <f t="array" ref="BF13">IF(OR($L13="",IsHidden(BF13)),"",CHOOSE($B13,N($E13)*BF$5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P$186:P$286)*N($E13),BF$6*N($E13),N($E13),0)+N(BF76))</f>
        <v>0</v>
      </c>
      <c r="BG13" s="654">
        <f t="array" ref="BG13">IF(OR($L13="",IsHidden(BG13)),"",CHOOSE($B13,N($E13)*BG$5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Q$186:Q$286)*N($E13),BG$6*N($E13),N($E13),0)+N(BG76))</f>
        <v>0</v>
      </c>
      <c r="BH13" s="654">
        <f t="array" ref="BH13">IF(OR($L13="",IsHidden(BH13)),"",CHOOSE($B13,N($E13)*BH$5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R$186:R$286)*N($E13),BH$6*N($E13),N($E13),0)+N(BH76))</f>
        <v>0</v>
      </c>
      <c r="BI13" s="654">
        <f t="array" ref="BI13">IF(OR($L13="",IsHidden(BI13)),"",CHOOSE($B13,N($E13)*BI$5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S$186:S$286)*N($E13),BI$6*N($E13),N($E13),0)+N(BI76))</f>
        <v>0</v>
      </c>
      <c r="BJ13" s="654">
        <f t="array" ref="BJ13">IF(OR($L13="",IsHidden(BJ13)),"",CHOOSE($B13,N($E13)*BJ$5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T$186:T$286)*N($E13),BJ$6*N($E13),N($E13),0)+N(BJ76))</f>
        <v>0</v>
      </c>
      <c r="BK13" s="654">
        <f t="array" ref="BK13">IF(OR($L13="",IsHidden(BK13)),"",CHOOSE($B13,N($E13)*BK$5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U$186:U$286)*N($E13),BK$6*N($E13),N($E13),0)+N(BK76))</f>
        <v>0</v>
      </c>
      <c r="BL13" s="654">
        <f t="array" ref="BL13">IF(OR($L13="",IsHidden(BL13)),"",CHOOSE($B13,N($E13)*BL$5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V$186:V$286)*N($E13),BL$6*N($E13),N($E13),0)+N(BL76))</f>
        <v>0</v>
      </c>
      <c r="BM13" s="654">
        <f t="array" ref="BM13">IF(OR($L13="",IsHidden(BM13)),"",CHOOSE($B13,N($E13)*BM$5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W$186:W$286)*N($E13),BM$6*N($E13),N($E13),0)+N(BM76))</f>
        <v>0</v>
      </c>
      <c r="BN13" s="654">
        <f t="array" ref="BN13">IF(OR($L13="",IsHidden(BN13)),"",CHOOSE($B13,N($E13)*BN$5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X$186:X$286)*N($E13),BN$6*N($E13),N($E13),0)+N(BN76))</f>
        <v>0</v>
      </c>
      <c r="BO13" s="654">
        <f t="array" ref="BO13">IF(OR($L13="",IsHidden(BO13)),"",CHOOSE($B13,N($E13)*BO$5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Y$186:Y$286)*N($E13),BO$6*N($E13),N($E13),0)+N(BO76))</f>
        <v>0</v>
      </c>
      <c r="BP13" s="654">
        <f t="array" ref="BP13">IF(OR($L13="",IsHidden(BP13)),"",CHOOSE($B13,N($E13)*BP$5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Z$186:Z$286)*N($E13),BP$6*N($E13),N($E13),0)+N(BP76))</f>
        <v>0</v>
      </c>
      <c r="BQ13" s="654">
        <f t="array" ref="BQ13">IF(OR($L13="",IsHidden(BQ13)),"",CHOOSE($B13,N($E13)*BQ$5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A$186:AA$286)*N($E13),BQ$6*N($E13),N($E13),0)+N(BQ76))</f>
        <v>0</v>
      </c>
      <c r="BR13" s="654">
        <f t="array" ref="BR13">IF(OR($L13="",IsHidden(BR13)),"",CHOOSE($B13,N($E13)*BR$5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B$186:AB$286)*N($E13),BR$6*N($E13),N($E13),0)+N(BR76))</f>
        <v>0</v>
      </c>
      <c r="BS13" s="654">
        <f t="array" ref="BS13">IF(OR($L13="",IsHidden(BS13)),"",CHOOSE($B13,N($E13)*BS$5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C$186:AC$286)*N($E13),BS$6*N($E13),N($E13),0)+N(BS76))</f>
        <v>0</v>
      </c>
      <c r="BT13" s="654">
        <f t="array" ref="BT13">IF(OR($L13="",IsHidden(BT13)),"",CHOOSE($B13,N($E13)*BT$5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D$186:AD$286)*N($E13),BT$6*N($E13),N($E13),0)+N(BT76))</f>
        <v>0</v>
      </c>
      <c r="BU13" s="654">
        <f t="array" ref="BU13">IF(OR($L13="",IsHidden(BU13)),"",CHOOSE($B13,N($E13)*BU$5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E$186:AE$286)*N($E13),BU$6*N($E13),N($E13),0)+N(BU76))</f>
        <v>0</v>
      </c>
      <c r="BV13" s="654">
        <f t="array" ref="BV13">IF(OR($L13="",IsHidden(BV13)),"",CHOOSE($B13,N($E13)*BV$5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F$186:AF$286)*N($E13),BV$6*N($E13),N($E13),0)+N(BV76))</f>
        <v>0</v>
      </c>
      <c r="BW13" s="654">
        <f t="array" ref="BW13">IF(OR($L13="",IsHidden(BW13)),"",CHOOSE($B13,N($E13)*BW$5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G$186:AG$286)*N($E13),BW$6*N($E13),N($E13),0)+N(BW76))</f>
        <v>0</v>
      </c>
      <c r="BX13" s="654">
        <f t="array" ref="BX13">IF(OR($L13="",IsHidden(BX13)),"",CHOOSE($B13,N($E13)*BX$5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H$186:AH$286)*N($E13),BX$6*N($E13),N($E13),0)+N(BX76))</f>
        <v>0</v>
      </c>
      <c r="BY13" s="654">
        <f t="array" ref="BY13">IF(OR($L13="",IsHidden(BY13)),"",CHOOSE($B13,N($E13)*BY$5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I$186:AI$286)*N($E13),BY$6*N($E13),N($E13),0)+N(BY76))</f>
        <v>0</v>
      </c>
      <c r="BZ13" s="654">
        <f t="array" ref="BZ13">IF(OR($L13="",IsHidden(BZ13)),"",CHOOSE($B13,N($E13)*BZ$5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J$186:AJ$286)*N($E13),BZ$6*N($E13),N($E13),0)+N(BZ76))</f>
        <v>0</v>
      </c>
      <c r="CA13" s="654">
        <f t="array" ref="CA13">IF(OR($L13="",IsHidden(CA13)),"",CHOOSE($B13,N($E13)*CA$5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K$186:AK$286)*N($E13),CA$6*N($E13),N($E13),0)+N(CA76))</f>
        <v>0</v>
      </c>
      <c r="CB13" s="654">
        <f t="array" ref="CB13">IF(OR($L13="",IsHidden(CB13)),"",CHOOSE($B13,N($E13)*CB$5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L$186:AL$286)*N($E13),CB$6*N($E13),N($E13),0)+N(CB76))</f>
        <v>0</v>
      </c>
      <c r="CC13" s="654">
        <f t="array" ref="CC13">IF(OR($L13="",IsHidden(CC13)),"",CHOOSE($B13,N($E13)*CC$5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M$186:AM$286)*N($E13),CC$6*N($E13),N($E13),0)+N(CC76))</f>
        <v>0</v>
      </c>
      <c r="CD13" s="654">
        <f t="array" ref="CD13">IF(OR($L13="",IsHidden(CD13)),"",CHOOSE($B13,N($E13)*CD$5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N$186:AN$286)*N($E13),CD$6*N($E13),N($E13),0)+N(CD76))</f>
        <v>0</v>
      </c>
      <c r="CE13" s="654">
        <f t="array" ref="CE13">IF(OR($L13="",IsHidden(CE13)),"",CHOOSE($B13,N($E13)*CE$5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O$186:AO$286)*N($E13),CE$6*N($E13),N($E13),0)+N(CE76))</f>
        <v>0</v>
      </c>
      <c r="CF13" s="654">
        <f t="array" ref="CF13">IF(OR($L13="",IsHidden(CF13)),"",CHOOSE($B13,N($E13)*CF$5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P$186:AP$286)*N($E13),CF$6*N($E13),N($E13),0)+N(CF76))</f>
        <v>0</v>
      </c>
      <c r="CG13" s="654">
        <f t="array" ref="CG13">IF(OR($L13="",IsHidden(CG13)),"",CHOOSE($B13,N($E13)*CG$5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Q$186:AQ$286)*N($E13),CG$6*N($E13),N($E13),0)+N(CG76))</f>
        <v>0</v>
      </c>
      <c r="CH13" s="654">
        <f t="array" ref="CH13">IF(OR($L13="",IsHidden(CH13)),"",CHOOSE($B13,N($E13)*CH$5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R$186:AR$286)*N($E13),CH$6*N($E13),N($E13),0)+N(CH76))</f>
        <v>0</v>
      </c>
      <c r="CI13" s="654">
        <f t="array" ref="CI13">IF(OR($L13="",IsHidden(CI13)),"",CHOOSE($B13,N($E13)*CI$5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S$186:AS$286)*N($E13),CI$6*N($E13),N($E13),0)+N(CI76))</f>
        <v>0</v>
      </c>
      <c r="CJ13" s="654">
        <f t="array" ref="CJ13">IF(OR($L13="",IsHidden(CJ13)),"",CHOOSE($B13,N($E13)*CJ$5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T$186:AT$286)*N($E13),CJ$6*N($E13),N($E13),0)+N(CJ76))</f>
        <v>0</v>
      </c>
      <c r="CK13" s="654">
        <f t="array" ref="CK13">IF(OR($L13="",IsHidden(CK13)),"",CHOOSE($B13,N($E13)*CK$5,SUMPRODUCT(IF($F$5="Y",1*(Headcount!$B$186:$B$286=IF($F13="",$F$6,$F13)),1+0*ISBLANK(Headcount!$B$186:$B$286)),IF($G$5="Y",1*(Headcount!$C$186:$C$286=IF($G13="",$G$6,$G13)),1+0*ISBLANK(Headcount!$C$186:$C$286)),IF($H$5="Y",1*(Headcount!$D$186:$D$286=IF($H13="",$H$6,$H13)),1+0*ISBLANK(Headcount!$D$186:$D$286)),IF($I$5="Y",1*(Headcount!$E$186:$E$286=IF($I13="",$I$6,$I13)),1+0*ISBLANK(Headcount!$E$186:$E$286)),IF($J$5="Y",1*(Headcount!$F$186:$F$286=IF($J13="",$J$6,$J13)),1+0*ISBLANK(Headcount!$F$186:$F$286)),IF($K$5="Y",1*(Headcount!$G$186:$G$286=IF($K13="",$K$6,$K13)),1+0*ISBLANK(Headcount!$G$186:$G$286)),Headcount!AU$186:AU$286)*N($E13),CK$6*N($E13),N($E13),0)+N(CK76))</f>
        <v>0</v>
      </c>
      <c r="CN13" s="255" t="b">
        <f t="array" ref="CN13">IF($L13="",TRUE,IF(AND(OR($F13&lt;&gt;"",$F$6&lt;&gt;""),OR($G13&lt;&gt;"",$G$6&lt;&gt;""),OR($H13&lt;&gt;"",$H$6&lt;&gt;""),OR($I13&lt;&gt;"",$I$6&lt;&gt;""),OR($J13&lt;&gt;"",$J$6&lt;&gt;""),OR($K13&lt;&gt;"",$K$6&lt;&gt;""),NOT(ISERROR(BB13:CK13)),NOT(ISNA(MATCH(IF($H13="",$H$6,$H13)&amp;IF($G13="",$G$6,$G13),DeptBU,0)))),TRUE,FALSE))</f>
        <v>0</v>
      </c>
      <c r="CP13" s="255" t="str">
        <f t="shared" si="3"/>
        <v>SELECT ''Expenses'',''Expenses'',13,''USD'',NULL,''Forecast'','''','''','''','''','''','''',''Travel &amp; Entertainment'',NULL,NULL,''Per Head'',NULL,0,0,0,0,0,0,0,0,0,0,0,0,0,0,0,0,0,0,0,0,0,0,0,0,0,0,0,0,0,0,0,0,0,0,0,0</v>
      </c>
    </row>
    <row r="14" spans="1:94" s="255" customFormat="1" x14ac:dyDescent="0.35">
      <c r="A14" s="566" t="s">
        <v>1142</v>
      </c>
      <c r="B14" s="261">
        <f t="shared" si="2"/>
        <v>2</v>
      </c>
      <c r="C14" s="566"/>
      <c r="D14" s="261" t="e">
        <f t="array" aca="1" ref="D14" ca="1">IF($B14&lt;5,AVERAGE(OFFSET($Q14,,Input_ActualsOffset-1,,-$C14)/CHOOSE($B14,OFFSET($Q$5,,Input_ActualsOffset-1,1,-$C14),ss($C14,OFFSET(Actuals!$A$1,1,MATCH("Month "&amp;Input_ActualsOffset,ActualsTable[#Headers],0)-1,ROWS(ActualsTable[#Data]),1),ActualsTable[Company],IF($F$5="Y",IF($F14="",$F$6,$F14),"*"),ActualsTable[Business Unit],IF($G$5="Y",IF($G14="",$G$6,$G14),"*"),ActualsTable[Department],IF($H$5="Y",IF($H14="",$H$6,$H14),"*"),ActualsTable[Team],IF($I$5="Y",IF($P14="",$P$6,$P14),"*"),ActualsTable[Product],IF($J$5="Y",IF($J14="",$J$6,$J14),"*"),ActualsTable[Location],IF($K$5="Y",IF($K14="",$K$6,$K14),"*"),ActualsTable[Expense Item],"Headcount"),OFFSET($Q$6,,Input_ActualsOffset-1,,-$C14),1)),"")</f>
        <v>#REF!</v>
      </c>
      <c r="E14" s="640"/>
      <c r="F14" s="555"/>
      <c r="G14" s="555"/>
      <c r="H14" s="555"/>
      <c r="I14" s="555"/>
      <c r="J14" s="555"/>
      <c r="K14" s="555"/>
      <c r="L14" s="555" t="s">
        <v>48</v>
      </c>
      <c r="M14" s="555"/>
      <c r="N14" s="555"/>
      <c r="O14" s="556" t="e">
        <f>IF($L14="","",IF(VLOOKUP(L14,ExpItems[],2,0),L14&amp;" - "&amp;INDEX(DivisionMapping[category_code],MATCH(IF(H14="",$H$6,H14)&amp;IF(G14="",$G$6,G14),DivisionMapping[dept_bu],0)),L14))</f>
        <v>#N/A</v>
      </c>
      <c r="P14" s="556" t="e">
        <f>IF($L14="","",INDEX(Teams[team_consolidation],MATCH(IF($I14="",$I$6,$I14),Teams[team_name],0)))</f>
        <v>#N/A</v>
      </c>
      <c r="Q14" s="657" t="e">
        <f t="array" ref="Q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f>
        <v>#VALUE!</v>
      </c>
      <c r="R14" s="657" t="e">
        <f t="array" ref="R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f>
        <v>#VALUE!</v>
      </c>
      <c r="S14" s="657" t="e">
        <f t="array" ref="S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f>
        <v>#VALUE!</v>
      </c>
      <c r="T14" s="657" t="e">
        <f t="array" ref="T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4]))</f>
        <v>#VALUE!</v>
      </c>
      <c r="U14" s="657" t="e">
        <f t="array" ref="U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5]))</f>
        <v>#VALUE!</v>
      </c>
      <c r="V14" s="657" t="e">
        <f t="array" ref="V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6]))</f>
        <v>#VALUE!</v>
      </c>
      <c r="W14" s="657" t="e">
        <f t="array" ref="W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7]))</f>
        <v>#VALUE!</v>
      </c>
      <c r="X14" s="657" t="e">
        <f t="array" ref="X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8]))</f>
        <v>#VALUE!</v>
      </c>
      <c r="Y14" s="657" t="e">
        <f t="array" ref="Y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9]))</f>
        <v>#VALUE!</v>
      </c>
      <c r="Z14" s="657" t="e">
        <f t="array" ref="Z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10]))</f>
        <v>#VALUE!</v>
      </c>
      <c r="AA14" s="657" t="e">
        <f t="array" ref="AA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11]))</f>
        <v>#VALUE!</v>
      </c>
      <c r="AB14" s="657" t="e">
        <f t="array" ref="AB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12]))</f>
        <v>#VALUE!</v>
      </c>
      <c r="AC14" s="657" t="e">
        <f t="array" ref="AC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13]))</f>
        <v>#VALUE!</v>
      </c>
      <c r="AD14" s="657" t="e">
        <f t="array" ref="AD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14]))</f>
        <v>#VALUE!</v>
      </c>
      <c r="AE14" s="657" t="e">
        <f t="array" ref="AE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15]))</f>
        <v>#VALUE!</v>
      </c>
      <c r="AF14" s="657" t="e">
        <f t="array" ref="AF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16]))</f>
        <v>#VALUE!</v>
      </c>
      <c r="AG14" s="657" t="e">
        <f t="array" ref="AG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17]))</f>
        <v>#VALUE!</v>
      </c>
      <c r="AH14" s="657" t="e">
        <f t="array" ref="AH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18]))</f>
        <v>#VALUE!</v>
      </c>
      <c r="AI14" s="657" t="e">
        <f t="array" ref="AI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19]))</f>
        <v>#VALUE!</v>
      </c>
      <c r="AJ14" s="657" t="e">
        <f t="array" ref="AJ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20]))</f>
        <v>#VALUE!</v>
      </c>
      <c r="AK14" s="657" t="e">
        <f t="array" ref="AK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21]))</f>
        <v>#VALUE!</v>
      </c>
      <c r="AL14" s="657" t="e">
        <f t="array" ref="AL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22]))</f>
        <v>#VALUE!</v>
      </c>
      <c r="AM14" s="657" t="e">
        <f t="array" ref="AM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23]))</f>
        <v>#VALUE!</v>
      </c>
      <c r="AN14" s="657" t="e">
        <f t="array" ref="AN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24]))</f>
        <v>#VALUE!</v>
      </c>
      <c r="AO14" s="657" t="e">
        <f t="array" ref="AO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25]))</f>
        <v>#VALUE!</v>
      </c>
      <c r="AP14" s="657" t="e">
        <f t="array" ref="AP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26]))</f>
        <v>#VALUE!</v>
      </c>
      <c r="AQ14" s="657" t="e">
        <f t="array" ref="AQ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27]))</f>
        <v>#VALUE!</v>
      </c>
      <c r="AR14" s="657" t="e">
        <f t="array" ref="AR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28]))</f>
        <v>#VALUE!</v>
      </c>
      <c r="AS14" s="657" t="e">
        <f t="array" ref="AS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29]))</f>
        <v>#VALUE!</v>
      </c>
      <c r="AT14" s="657" t="e">
        <f t="array" ref="AT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30]))</f>
        <v>#VALUE!</v>
      </c>
      <c r="AU14" s="657" t="e">
        <f t="array" ref="AU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31]))</f>
        <v>#VALUE!</v>
      </c>
      <c r="AV14" s="657" t="e">
        <f t="array" ref="AV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32]))</f>
        <v>#VALUE!</v>
      </c>
      <c r="AW14" s="657" t="e">
        <f t="array" ref="AW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33]))</f>
        <v>#VALUE!</v>
      </c>
      <c r="AX14" s="657" t="e">
        <f t="array" ref="AX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34]))</f>
        <v>#VALUE!</v>
      </c>
      <c r="AY14" s="657" t="e">
        <f t="array" ref="AY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35]))</f>
        <v>#VALUE!</v>
      </c>
      <c r="AZ14" s="657" t="e">
        <f t="array" ref="AZ14">IF($L14="","",SUMPRODUCT(IF($F$5="Y",1*(ActualsTable[Company]=IF($F14="",$F$6,$F14)),1+0*ISBLANK(ActualsTable[Company])),IF($G$5="Y",1*(ActualsTable[Business Unit]=IF($G14="",$G$6,$G14)),1+0*ISBLANK(ActualsTable[Business Unit])),IF($H$5="Y",1*(ActualsTable[Department]=IF($H14="",$H$6,$H14)),1+0*ISBLANK(ActualsTable[Department])),IF($I$5="Y",1*(ActualsTable[Team]=IF($P14="",$P$6,$P14)),1+0*ISBLANK(ActualsTable[Team])),IF($J$5="Y",1*(ActualsTable[Product]=IF($J14="",$J$6,$J14)),1+0*ISBLANK(ActualsTable[Product])),IF($K$5="Y",1*(ActualsTable[Location]=IF($K14="",$K$6,$K14)),1+0*ISBLANK(ActualsTable[Location])),1*(ActualsTable[Expense Item]=$L14),ActualsTable[Month 36]))</f>
        <v>#VALUE!</v>
      </c>
      <c r="BA14" s="257"/>
      <c r="BB14" s="654">
        <f t="array" ref="BB14">IF(OR($L14="",IsHidden(BB14)),"",CHOOSE($B14,N($E14)*BB$5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L$186:L$286)*N($E14),BB$6*N($E14),N($E14),0)+N(BB77))</f>
        <v>0</v>
      </c>
      <c r="BC14" s="654">
        <f t="array" ref="BC14">IF(OR($L14="",IsHidden(BC14)),"",CHOOSE($B14,N($E14)*BC$5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M$186:M$286)*N($E14),BC$6*N($E14),N($E14),0)+N(BC77))</f>
        <v>0</v>
      </c>
      <c r="BD14" s="654">
        <f t="array" ref="BD14">IF(OR($L14="",IsHidden(BD14)),"",CHOOSE($B14,N($E14)*BD$5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N$186:N$286)*N($E14),BD$6*N($E14),N($E14),0)+N(BD77))</f>
        <v>0</v>
      </c>
      <c r="BE14" s="654">
        <f t="array" ref="BE14">IF(OR($L14="",IsHidden(BE14)),"",CHOOSE($B14,N($E14)*BE$5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O$186:O$286)*N($E14),BE$6*N($E14),N($E14),0)+N(BE77))</f>
        <v>0</v>
      </c>
      <c r="BF14" s="654">
        <f t="array" ref="BF14">IF(OR($L14="",IsHidden(BF14)),"",CHOOSE($B14,N($E14)*BF$5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P$186:P$286)*N($E14),BF$6*N($E14),N($E14),0)+N(BF77))</f>
        <v>0</v>
      </c>
      <c r="BG14" s="654">
        <f t="array" ref="BG14">IF(OR($L14="",IsHidden(BG14)),"",CHOOSE($B14,N($E14)*BG$5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Q$186:Q$286)*N($E14),BG$6*N($E14),N($E14),0)+N(BG77))</f>
        <v>0</v>
      </c>
      <c r="BH14" s="654">
        <f t="array" ref="BH14">IF(OR($L14="",IsHidden(BH14)),"",CHOOSE($B14,N($E14)*BH$5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R$186:R$286)*N($E14),BH$6*N($E14),N($E14),0)+N(BH77))</f>
        <v>0</v>
      </c>
      <c r="BI14" s="654">
        <f t="array" ref="BI14">IF(OR($L14="",IsHidden(BI14)),"",CHOOSE($B14,N($E14)*BI$5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S$186:S$286)*N($E14),BI$6*N($E14),N($E14),0)+N(BI77))</f>
        <v>0</v>
      </c>
      <c r="BJ14" s="654">
        <f t="array" ref="BJ14">IF(OR($L14="",IsHidden(BJ14)),"",CHOOSE($B14,N($E14)*BJ$5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T$186:T$286)*N($E14),BJ$6*N($E14),N($E14),0)+N(BJ77))</f>
        <v>0</v>
      </c>
      <c r="BK14" s="654">
        <f t="array" ref="BK14">IF(OR($L14="",IsHidden(BK14)),"",CHOOSE($B14,N($E14)*BK$5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U$186:U$286)*N($E14),BK$6*N($E14),N($E14),0)+N(BK77))</f>
        <v>0</v>
      </c>
      <c r="BL14" s="654">
        <f t="array" ref="BL14">IF(OR($L14="",IsHidden(BL14)),"",CHOOSE($B14,N($E14)*BL$5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V$186:V$286)*N($E14),BL$6*N($E14),N($E14),0)+N(BL77))</f>
        <v>0</v>
      </c>
      <c r="BM14" s="654">
        <f t="array" ref="BM14">IF(OR($L14="",IsHidden(BM14)),"",CHOOSE($B14,N($E14)*BM$5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W$186:W$286)*N($E14),BM$6*N($E14),N($E14),0)+N(BM77))</f>
        <v>0</v>
      </c>
      <c r="BN14" s="654">
        <f t="array" ref="BN14">IF(OR($L14="",IsHidden(BN14)),"",CHOOSE($B14,N($E14)*BN$5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X$186:X$286)*N($E14),BN$6*N($E14),N($E14),0)+N(BN77))</f>
        <v>0</v>
      </c>
      <c r="BO14" s="654">
        <f t="array" ref="BO14">IF(OR($L14="",IsHidden(BO14)),"",CHOOSE($B14,N($E14)*BO$5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Y$186:Y$286)*N($E14),BO$6*N($E14),N($E14),0)+N(BO77))</f>
        <v>0</v>
      </c>
      <c r="BP14" s="654">
        <f t="array" ref="BP14">IF(OR($L14="",IsHidden(BP14)),"",CHOOSE($B14,N($E14)*BP$5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Z$186:Z$286)*N($E14),BP$6*N($E14),N($E14),0)+N(BP77))</f>
        <v>0</v>
      </c>
      <c r="BQ14" s="654">
        <f t="array" ref="BQ14">IF(OR($L14="",IsHidden(BQ14)),"",CHOOSE($B14,N($E14)*BQ$5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A$186:AA$286)*N($E14),BQ$6*N($E14),N($E14),0)+N(BQ77))</f>
        <v>0</v>
      </c>
      <c r="BR14" s="654">
        <f t="array" ref="BR14">IF(OR($L14="",IsHidden(BR14)),"",CHOOSE($B14,N($E14)*BR$5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B$186:AB$286)*N($E14),BR$6*N($E14),N($E14),0)+N(BR77))</f>
        <v>0</v>
      </c>
      <c r="BS14" s="654">
        <f t="array" ref="BS14">IF(OR($L14="",IsHidden(BS14)),"",CHOOSE($B14,N($E14)*BS$5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C$186:AC$286)*N($E14),BS$6*N($E14),N($E14),0)+N(BS77))</f>
        <v>0</v>
      </c>
      <c r="BT14" s="654">
        <f t="array" ref="BT14">IF(OR($L14="",IsHidden(BT14)),"",CHOOSE($B14,N($E14)*BT$5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D$186:AD$286)*N($E14),BT$6*N($E14),N($E14),0)+N(BT77))</f>
        <v>0</v>
      </c>
      <c r="BU14" s="654">
        <f t="array" ref="BU14">IF(OR($L14="",IsHidden(BU14)),"",CHOOSE($B14,N($E14)*BU$5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E$186:AE$286)*N($E14),BU$6*N($E14),N($E14),0)+N(BU77))</f>
        <v>0</v>
      </c>
      <c r="BV14" s="654">
        <f t="array" ref="BV14">IF(OR($L14="",IsHidden(BV14)),"",CHOOSE($B14,N($E14)*BV$5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F$186:AF$286)*N($E14),BV$6*N($E14),N($E14),0)+N(BV77))</f>
        <v>0</v>
      </c>
      <c r="BW14" s="654">
        <f t="array" ref="BW14">IF(OR($L14="",IsHidden(BW14)),"",CHOOSE($B14,N($E14)*BW$5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G$186:AG$286)*N($E14),BW$6*N($E14),N($E14),0)+N(BW77))</f>
        <v>0</v>
      </c>
      <c r="BX14" s="654">
        <f t="array" ref="BX14">IF(OR($L14="",IsHidden(BX14)),"",CHOOSE($B14,N($E14)*BX$5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H$186:AH$286)*N($E14),BX$6*N($E14),N($E14),0)+N(BX77))</f>
        <v>0</v>
      </c>
      <c r="BY14" s="654">
        <f t="array" ref="BY14">IF(OR($L14="",IsHidden(BY14)),"",CHOOSE($B14,N($E14)*BY$5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I$186:AI$286)*N($E14),BY$6*N($E14),N($E14),0)+N(BY77))</f>
        <v>0</v>
      </c>
      <c r="BZ14" s="654">
        <f t="array" ref="BZ14">IF(OR($L14="",IsHidden(BZ14)),"",CHOOSE($B14,N($E14)*BZ$5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J$186:AJ$286)*N($E14),BZ$6*N($E14),N($E14),0)+N(BZ77))</f>
        <v>0</v>
      </c>
      <c r="CA14" s="654">
        <f t="array" ref="CA14">IF(OR($L14="",IsHidden(CA14)),"",CHOOSE($B14,N($E14)*CA$5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K$186:AK$286)*N($E14),CA$6*N($E14),N($E14),0)+N(CA77))</f>
        <v>0</v>
      </c>
      <c r="CB14" s="654">
        <f t="array" ref="CB14">IF(OR($L14="",IsHidden(CB14)),"",CHOOSE($B14,N($E14)*CB$5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L$186:AL$286)*N($E14),CB$6*N($E14),N($E14),0)+N(CB77))</f>
        <v>0</v>
      </c>
      <c r="CC14" s="654">
        <f t="array" ref="CC14">IF(OR($L14="",IsHidden(CC14)),"",CHOOSE($B14,N($E14)*CC$5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M$186:AM$286)*N($E14),CC$6*N($E14),N($E14),0)+N(CC77))</f>
        <v>0</v>
      </c>
      <c r="CD14" s="654">
        <f t="array" ref="CD14">IF(OR($L14="",IsHidden(CD14)),"",CHOOSE($B14,N($E14)*CD$5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N$186:AN$286)*N($E14),CD$6*N($E14),N($E14),0)+N(CD77))</f>
        <v>0</v>
      </c>
      <c r="CE14" s="654">
        <f t="array" ref="CE14">IF(OR($L14="",IsHidden(CE14)),"",CHOOSE($B14,N($E14)*CE$5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O$186:AO$286)*N($E14),CE$6*N($E14),N($E14),0)+N(CE77))</f>
        <v>0</v>
      </c>
      <c r="CF14" s="654">
        <f t="array" ref="CF14">IF(OR($L14="",IsHidden(CF14)),"",CHOOSE($B14,N($E14)*CF$5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P$186:AP$286)*N($E14),CF$6*N($E14),N($E14),0)+N(CF77))</f>
        <v>0</v>
      </c>
      <c r="CG14" s="654">
        <f t="array" ref="CG14">IF(OR($L14="",IsHidden(CG14)),"",CHOOSE($B14,N($E14)*CG$5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Q$186:AQ$286)*N($E14),CG$6*N($E14),N($E14),0)+N(CG77))</f>
        <v>0</v>
      </c>
      <c r="CH14" s="654">
        <f t="array" ref="CH14">IF(OR($L14="",IsHidden(CH14)),"",CHOOSE($B14,N($E14)*CH$5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R$186:AR$286)*N($E14),CH$6*N($E14),N($E14),0)+N(CH77))</f>
        <v>0</v>
      </c>
      <c r="CI14" s="654">
        <f t="array" ref="CI14">IF(OR($L14="",IsHidden(CI14)),"",CHOOSE($B14,N($E14)*CI$5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S$186:AS$286)*N($E14),CI$6*N($E14),N($E14),0)+N(CI77))</f>
        <v>0</v>
      </c>
      <c r="CJ14" s="654">
        <f t="array" ref="CJ14">IF(OR($L14="",IsHidden(CJ14)),"",CHOOSE($B14,N($E14)*CJ$5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T$186:AT$286)*N($E14),CJ$6*N($E14),N($E14),0)+N(CJ77))</f>
        <v>0</v>
      </c>
      <c r="CK14" s="654">
        <f t="array" ref="CK14">IF(OR($L14="",IsHidden(CK14)),"",CHOOSE($B14,N($E14)*CK$5,SUMPRODUCT(IF($F$5="Y",1*(Headcount!$B$186:$B$286=IF($F14="",$F$6,$F14)),1+0*ISBLANK(Headcount!$B$186:$B$286)),IF($G$5="Y",1*(Headcount!$C$186:$C$286=IF($G14="",$G$6,$G14)),1+0*ISBLANK(Headcount!$C$186:$C$286)),IF($H$5="Y",1*(Headcount!$D$186:$D$286=IF($H14="",$H$6,$H14)),1+0*ISBLANK(Headcount!$D$186:$D$286)),IF($I$5="Y",1*(Headcount!$E$186:$E$286=IF($I14="",$I$6,$I14)),1+0*ISBLANK(Headcount!$E$186:$E$286)),IF($J$5="Y",1*(Headcount!$F$186:$F$286=IF($J14="",$J$6,$J14)),1+0*ISBLANK(Headcount!$F$186:$F$286)),IF($K$5="Y",1*(Headcount!$G$186:$G$286=IF($K14="",$K$6,$K14)),1+0*ISBLANK(Headcount!$G$186:$G$286)),Headcount!AU$186:AU$286)*N($E14),CK$6*N($E14),N($E14),0)+N(CK77))</f>
        <v>0</v>
      </c>
      <c r="CN14" s="255" t="b">
        <f t="array" ref="CN14">IF($L14="",TRUE,IF(AND(OR($F14&lt;&gt;"",$F$6&lt;&gt;""),OR($G14&lt;&gt;"",$G$6&lt;&gt;""),OR($H14&lt;&gt;"",$H$6&lt;&gt;""),OR($I14&lt;&gt;"",$I$6&lt;&gt;""),OR($J14&lt;&gt;"",$J$6&lt;&gt;""),OR($K14&lt;&gt;"",$K$6&lt;&gt;""),NOT(ISERROR(BB14:CK14)),NOT(ISNA(MATCH(IF($H14="",$H$6,$H14)&amp;IF($G14="",$G$6,$G14),DeptBU,0)))),TRUE,FALSE))</f>
        <v>0</v>
      </c>
      <c r="CP14" s="255" t="str">
        <f t="shared" si="3"/>
        <v>SELECT ''Expenses'',''Expenses'',14,''USD'',NULL,''Forecast'','''','''','''','''','''','''',''Relocation'',NULL,NULL,''Per Head'',NULL,0,0,0,0,0,0,0,0,0,0,0,0,0,0,0,0,0,0,0,0,0,0,0,0,0,0,0,0,0,0,0,0,0,0,0,0</v>
      </c>
    </row>
    <row r="15" spans="1:94" s="255" customFormat="1" x14ac:dyDescent="0.35">
      <c r="A15" s="566" t="s">
        <v>1142</v>
      </c>
      <c r="B15" s="261">
        <f t="shared" si="2"/>
        <v>2</v>
      </c>
      <c r="C15" s="566"/>
      <c r="D15" s="261" t="e">
        <f t="array" aca="1" ref="D15" ca="1">IF($B15&lt;5,AVERAGE(OFFSET($Q15,,Input_ActualsOffset-1,,-$C15)/CHOOSE($B15,OFFSET($Q$5,,Input_ActualsOffset-1,1,-$C15),ss($C15,OFFSET(Actuals!$A$1,1,MATCH("Month "&amp;Input_ActualsOffset,ActualsTable[#Headers],0)-1,ROWS(ActualsTable[#Data]),1),ActualsTable[Company],IF($F$5="Y",IF($F15="",$F$6,$F15),"*"),ActualsTable[Business Unit],IF($G$5="Y",IF($G15="",$G$6,$G15),"*"),ActualsTable[Department],IF($H$5="Y",IF($H15="",$H$6,$H15),"*"),ActualsTable[Team],IF($I$5="Y",IF($P15="",$P$6,$P15),"*"),ActualsTable[Product],IF($J$5="Y",IF($J15="",$J$6,$J15),"*"),ActualsTable[Location],IF($K$5="Y",IF($K15="",$K$6,$K15),"*"),ActualsTable[Expense Item],"Headcount"),OFFSET($Q$6,,Input_ActualsOffset-1,,-$C15),1)),"")</f>
        <v>#REF!</v>
      </c>
      <c r="E15" s="640"/>
      <c r="F15" s="555"/>
      <c r="G15" s="555"/>
      <c r="H15" s="555"/>
      <c r="I15" s="555"/>
      <c r="J15" s="555"/>
      <c r="K15" s="555"/>
      <c r="L15" s="555" t="s">
        <v>52</v>
      </c>
      <c r="M15" s="555"/>
      <c r="N15" s="555"/>
      <c r="O15" s="556" t="e">
        <f>IF($L15="","",IF(VLOOKUP(L15,ExpItems[],2,0),L15&amp;" - "&amp;INDEX(DivisionMapping[category_code],MATCH(IF(H15="",$H$6,H15)&amp;IF(G15="",$G$6,G15),DivisionMapping[dept_bu],0)),L15))</f>
        <v>#N/A</v>
      </c>
      <c r="P15" s="556" t="e">
        <f>IF($L15="","",INDEX(Teams[team_consolidation],MATCH(IF($I15="",$I$6,$I15),Teams[team_name],0)))</f>
        <v>#N/A</v>
      </c>
      <c r="Q15" s="657" t="e">
        <f t="array" ref="Q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f>
        <v>#VALUE!</v>
      </c>
      <c r="R15" s="657" t="e">
        <f t="array" ref="R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f>
        <v>#VALUE!</v>
      </c>
      <c r="S15" s="657" t="e">
        <f t="array" ref="S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f>
        <v>#VALUE!</v>
      </c>
      <c r="T15" s="657" t="e">
        <f t="array" ref="T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4]))</f>
        <v>#VALUE!</v>
      </c>
      <c r="U15" s="657" t="e">
        <f t="array" ref="U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5]))</f>
        <v>#VALUE!</v>
      </c>
      <c r="V15" s="657" t="e">
        <f t="array" ref="V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6]))</f>
        <v>#VALUE!</v>
      </c>
      <c r="W15" s="657" t="e">
        <f t="array" ref="W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7]))</f>
        <v>#VALUE!</v>
      </c>
      <c r="X15" s="657" t="e">
        <f t="array" ref="X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8]))</f>
        <v>#VALUE!</v>
      </c>
      <c r="Y15" s="657" t="e">
        <f t="array" ref="Y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9]))</f>
        <v>#VALUE!</v>
      </c>
      <c r="Z15" s="657" t="e">
        <f t="array" ref="Z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10]))</f>
        <v>#VALUE!</v>
      </c>
      <c r="AA15" s="657" t="e">
        <f t="array" ref="AA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11]))</f>
        <v>#VALUE!</v>
      </c>
      <c r="AB15" s="657" t="e">
        <f t="array" ref="AB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12]))</f>
        <v>#VALUE!</v>
      </c>
      <c r="AC15" s="657" t="e">
        <f t="array" ref="AC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13]))</f>
        <v>#VALUE!</v>
      </c>
      <c r="AD15" s="657" t="e">
        <f t="array" ref="AD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14]))</f>
        <v>#VALUE!</v>
      </c>
      <c r="AE15" s="657" t="e">
        <f t="array" ref="AE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15]))</f>
        <v>#VALUE!</v>
      </c>
      <c r="AF15" s="657" t="e">
        <f t="array" ref="AF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16]))</f>
        <v>#VALUE!</v>
      </c>
      <c r="AG15" s="657" t="e">
        <f t="array" ref="AG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17]))</f>
        <v>#VALUE!</v>
      </c>
      <c r="AH15" s="657" t="e">
        <f t="array" ref="AH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18]))</f>
        <v>#VALUE!</v>
      </c>
      <c r="AI15" s="657" t="e">
        <f t="array" ref="AI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19]))</f>
        <v>#VALUE!</v>
      </c>
      <c r="AJ15" s="657" t="e">
        <f t="array" ref="AJ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20]))</f>
        <v>#VALUE!</v>
      </c>
      <c r="AK15" s="657" t="e">
        <f t="array" ref="AK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21]))</f>
        <v>#VALUE!</v>
      </c>
      <c r="AL15" s="657" t="e">
        <f t="array" ref="AL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22]))</f>
        <v>#VALUE!</v>
      </c>
      <c r="AM15" s="657" t="e">
        <f t="array" ref="AM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23]))</f>
        <v>#VALUE!</v>
      </c>
      <c r="AN15" s="657" t="e">
        <f t="array" ref="AN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24]))</f>
        <v>#VALUE!</v>
      </c>
      <c r="AO15" s="657" t="e">
        <f t="array" ref="AO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25]))</f>
        <v>#VALUE!</v>
      </c>
      <c r="AP15" s="657" t="e">
        <f t="array" ref="AP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26]))</f>
        <v>#VALUE!</v>
      </c>
      <c r="AQ15" s="657" t="e">
        <f t="array" ref="AQ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27]))</f>
        <v>#VALUE!</v>
      </c>
      <c r="AR15" s="657" t="e">
        <f t="array" ref="AR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28]))</f>
        <v>#VALUE!</v>
      </c>
      <c r="AS15" s="657" t="e">
        <f t="array" ref="AS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29]))</f>
        <v>#VALUE!</v>
      </c>
      <c r="AT15" s="657" t="e">
        <f t="array" ref="AT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30]))</f>
        <v>#VALUE!</v>
      </c>
      <c r="AU15" s="657" t="e">
        <f t="array" ref="AU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31]))</f>
        <v>#VALUE!</v>
      </c>
      <c r="AV15" s="657" t="e">
        <f t="array" ref="AV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32]))</f>
        <v>#VALUE!</v>
      </c>
      <c r="AW15" s="657" t="e">
        <f t="array" ref="AW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33]))</f>
        <v>#VALUE!</v>
      </c>
      <c r="AX15" s="657" t="e">
        <f t="array" ref="AX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34]))</f>
        <v>#VALUE!</v>
      </c>
      <c r="AY15" s="657" t="e">
        <f t="array" ref="AY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35]))</f>
        <v>#VALUE!</v>
      </c>
      <c r="AZ15" s="657" t="e">
        <f t="array" ref="AZ15">IF($L15="","",SUMPRODUCT(IF($F$5="Y",1*(ActualsTable[Company]=IF($F15="",$F$6,$F15)),1+0*ISBLANK(ActualsTable[Company])),IF($G$5="Y",1*(ActualsTable[Business Unit]=IF($G15="",$G$6,$G15)),1+0*ISBLANK(ActualsTable[Business Unit])),IF($H$5="Y",1*(ActualsTable[Department]=IF($H15="",$H$6,$H15)),1+0*ISBLANK(ActualsTable[Department])),IF($I$5="Y",1*(ActualsTable[Team]=IF($P15="",$P$6,$P15)),1+0*ISBLANK(ActualsTable[Team])),IF($J$5="Y",1*(ActualsTable[Product]=IF($J15="",$J$6,$J15)),1+0*ISBLANK(ActualsTable[Product])),IF($K$5="Y",1*(ActualsTable[Location]=IF($K15="",$K$6,$K15)),1+0*ISBLANK(ActualsTable[Location])),1*(ActualsTable[Expense Item]=$L15),ActualsTable[Month 36]))</f>
        <v>#VALUE!</v>
      </c>
      <c r="BA15" s="257"/>
      <c r="BB15" s="654">
        <f t="array" ref="BB15">IF(OR($L15="",IsHidden(BB15)),"",CHOOSE($B15,N($E15)*BB$5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L$186:L$286)*N($E15),BB$6*N($E15),N($E15),0)+N(BB78))</f>
        <v>0</v>
      </c>
      <c r="BC15" s="654">
        <f t="array" ref="BC15">IF(OR($L15="",IsHidden(BC15)),"",CHOOSE($B15,N($E15)*BC$5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M$186:M$286)*N($E15),BC$6*N($E15),N($E15),0)+N(BC78))</f>
        <v>0</v>
      </c>
      <c r="BD15" s="654">
        <f t="array" ref="BD15">IF(OR($L15="",IsHidden(BD15)),"",CHOOSE($B15,N($E15)*BD$5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N$186:N$286)*N($E15),BD$6*N($E15),N($E15),0)+N(BD78))</f>
        <v>0</v>
      </c>
      <c r="BE15" s="654">
        <f t="array" ref="BE15">IF(OR($L15="",IsHidden(BE15)),"",CHOOSE($B15,N($E15)*BE$5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O$186:O$286)*N($E15),BE$6*N($E15),N($E15),0)+N(BE78))</f>
        <v>0</v>
      </c>
      <c r="BF15" s="654">
        <f t="array" ref="BF15">IF(OR($L15="",IsHidden(BF15)),"",CHOOSE($B15,N($E15)*BF$5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P$186:P$286)*N($E15),BF$6*N($E15),N($E15),0)+N(BF78))</f>
        <v>0</v>
      </c>
      <c r="BG15" s="654">
        <f t="array" ref="BG15">IF(OR($L15="",IsHidden(BG15)),"",CHOOSE($B15,N($E15)*BG$5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Q$186:Q$286)*N($E15),BG$6*N($E15),N($E15),0)+N(BG78))</f>
        <v>0</v>
      </c>
      <c r="BH15" s="654">
        <f t="array" ref="BH15">IF(OR($L15="",IsHidden(BH15)),"",CHOOSE($B15,N($E15)*BH$5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R$186:R$286)*N($E15),BH$6*N($E15),N($E15),0)+N(BH78))</f>
        <v>0</v>
      </c>
      <c r="BI15" s="654">
        <f t="array" ref="BI15">IF(OR($L15="",IsHidden(BI15)),"",CHOOSE($B15,N($E15)*BI$5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S$186:S$286)*N($E15),BI$6*N($E15),N($E15),0)+N(BI78))</f>
        <v>0</v>
      </c>
      <c r="BJ15" s="654">
        <f t="array" ref="BJ15">IF(OR($L15="",IsHidden(BJ15)),"",CHOOSE($B15,N($E15)*BJ$5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T$186:T$286)*N($E15),BJ$6*N($E15),N($E15),0)+N(BJ78))</f>
        <v>0</v>
      </c>
      <c r="BK15" s="654">
        <f t="array" ref="BK15">IF(OR($L15="",IsHidden(BK15)),"",CHOOSE($B15,N($E15)*BK$5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U$186:U$286)*N($E15),BK$6*N($E15),N($E15),0)+N(BK78))</f>
        <v>0</v>
      </c>
      <c r="BL15" s="654">
        <f t="array" ref="BL15">IF(OR($L15="",IsHidden(BL15)),"",CHOOSE($B15,N($E15)*BL$5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V$186:V$286)*N($E15),BL$6*N($E15),N($E15),0)+N(BL78))</f>
        <v>0</v>
      </c>
      <c r="BM15" s="654">
        <f t="array" ref="BM15">IF(OR($L15="",IsHidden(BM15)),"",CHOOSE($B15,N($E15)*BM$5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W$186:W$286)*N($E15),BM$6*N($E15),N($E15),0)+N(BM78))</f>
        <v>0</v>
      </c>
      <c r="BN15" s="654">
        <f t="array" ref="BN15">IF(OR($L15="",IsHidden(BN15)),"",CHOOSE($B15,N($E15)*BN$5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X$186:X$286)*N($E15),BN$6*N($E15),N($E15),0)+N(BN78))</f>
        <v>0</v>
      </c>
      <c r="BO15" s="654">
        <f t="array" ref="BO15">IF(OR($L15="",IsHidden(BO15)),"",CHOOSE($B15,N($E15)*BO$5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Y$186:Y$286)*N($E15),BO$6*N($E15),N($E15),0)+N(BO78))</f>
        <v>0</v>
      </c>
      <c r="BP15" s="654">
        <f t="array" ref="BP15">IF(OR($L15="",IsHidden(BP15)),"",CHOOSE($B15,N($E15)*BP$5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Z$186:Z$286)*N($E15),BP$6*N($E15),N($E15),0)+N(BP78))</f>
        <v>0</v>
      </c>
      <c r="BQ15" s="654">
        <f t="array" ref="BQ15">IF(OR($L15="",IsHidden(BQ15)),"",CHOOSE($B15,N($E15)*BQ$5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A$186:AA$286)*N($E15),BQ$6*N($E15),N($E15),0)+N(BQ78))</f>
        <v>0</v>
      </c>
      <c r="BR15" s="654">
        <f t="array" ref="BR15">IF(OR($L15="",IsHidden(BR15)),"",CHOOSE($B15,N($E15)*BR$5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B$186:AB$286)*N($E15),BR$6*N($E15),N($E15),0)+N(BR78))</f>
        <v>0</v>
      </c>
      <c r="BS15" s="654">
        <f t="array" ref="BS15">IF(OR($L15="",IsHidden(BS15)),"",CHOOSE($B15,N($E15)*BS$5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C$186:AC$286)*N($E15),BS$6*N($E15),N($E15),0)+N(BS78))</f>
        <v>0</v>
      </c>
      <c r="BT15" s="654">
        <f t="array" ref="BT15">IF(OR($L15="",IsHidden(BT15)),"",CHOOSE($B15,N($E15)*BT$5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D$186:AD$286)*N($E15),BT$6*N($E15),N($E15),0)+N(BT78))</f>
        <v>0</v>
      </c>
      <c r="BU15" s="654">
        <f t="array" ref="BU15">IF(OR($L15="",IsHidden(BU15)),"",CHOOSE($B15,N($E15)*BU$5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E$186:AE$286)*N($E15),BU$6*N($E15),N($E15),0)+N(BU78))</f>
        <v>0</v>
      </c>
      <c r="BV15" s="654">
        <f t="array" ref="BV15">IF(OR($L15="",IsHidden(BV15)),"",CHOOSE($B15,N($E15)*BV$5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F$186:AF$286)*N($E15),BV$6*N($E15),N($E15),0)+N(BV78))</f>
        <v>0</v>
      </c>
      <c r="BW15" s="654">
        <f t="array" ref="BW15">IF(OR($L15="",IsHidden(BW15)),"",CHOOSE($B15,N($E15)*BW$5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G$186:AG$286)*N($E15),BW$6*N($E15),N($E15),0)+N(BW78))</f>
        <v>0</v>
      </c>
      <c r="BX15" s="654">
        <f t="array" ref="BX15">IF(OR($L15="",IsHidden(BX15)),"",CHOOSE($B15,N($E15)*BX$5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H$186:AH$286)*N($E15),BX$6*N($E15),N($E15),0)+N(BX78))</f>
        <v>0</v>
      </c>
      <c r="BY15" s="654">
        <f t="array" ref="BY15">IF(OR($L15="",IsHidden(BY15)),"",CHOOSE($B15,N($E15)*BY$5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I$186:AI$286)*N($E15),BY$6*N($E15),N($E15),0)+N(BY78))</f>
        <v>0</v>
      </c>
      <c r="BZ15" s="654">
        <f t="array" ref="BZ15">IF(OR($L15="",IsHidden(BZ15)),"",CHOOSE($B15,N($E15)*BZ$5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J$186:AJ$286)*N($E15),BZ$6*N($E15),N($E15),0)+N(BZ78))</f>
        <v>0</v>
      </c>
      <c r="CA15" s="654">
        <f t="array" ref="CA15">IF(OR($L15="",IsHidden(CA15)),"",CHOOSE($B15,N($E15)*CA$5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K$186:AK$286)*N($E15),CA$6*N($E15),N($E15),0)+N(CA78))</f>
        <v>0</v>
      </c>
      <c r="CB15" s="654">
        <f t="array" ref="CB15">IF(OR($L15="",IsHidden(CB15)),"",CHOOSE($B15,N($E15)*CB$5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L$186:AL$286)*N($E15),CB$6*N($E15),N($E15),0)+N(CB78))</f>
        <v>0</v>
      </c>
      <c r="CC15" s="654">
        <f t="array" ref="CC15">IF(OR($L15="",IsHidden(CC15)),"",CHOOSE($B15,N($E15)*CC$5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M$186:AM$286)*N($E15),CC$6*N($E15),N($E15),0)+N(CC78))</f>
        <v>0</v>
      </c>
      <c r="CD15" s="654">
        <f t="array" ref="CD15">IF(OR($L15="",IsHidden(CD15)),"",CHOOSE($B15,N($E15)*CD$5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N$186:AN$286)*N($E15),CD$6*N($E15),N($E15),0)+N(CD78))</f>
        <v>0</v>
      </c>
      <c r="CE15" s="654">
        <f t="array" ref="CE15">IF(OR($L15="",IsHidden(CE15)),"",CHOOSE($B15,N($E15)*CE$5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O$186:AO$286)*N($E15),CE$6*N($E15),N($E15),0)+N(CE78))</f>
        <v>0</v>
      </c>
      <c r="CF15" s="654">
        <f t="array" ref="CF15">IF(OR($L15="",IsHidden(CF15)),"",CHOOSE($B15,N($E15)*CF$5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P$186:AP$286)*N($E15),CF$6*N($E15),N($E15),0)+N(CF78))</f>
        <v>0</v>
      </c>
      <c r="CG15" s="654">
        <f t="array" ref="CG15">IF(OR($L15="",IsHidden(CG15)),"",CHOOSE($B15,N($E15)*CG$5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Q$186:AQ$286)*N($E15),CG$6*N($E15),N($E15),0)+N(CG78))</f>
        <v>0</v>
      </c>
      <c r="CH15" s="654">
        <f t="array" ref="CH15">IF(OR($L15="",IsHidden(CH15)),"",CHOOSE($B15,N($E15)*CH$5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R$186:AR$286)*N($E15),CH$6*N($E15),N($E15),0)+N(CH78))</f>
        <v>0</v>
      </c>
      <c r="CI15" s="654">
        <f t="array" ref="CI15">IF(OR($L15="",IsHidden(CI15)),"",CHOOSE($B15,N($E15)*CI$5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S$186:AS$286)*N($E15),CI$6*N($E15),N($E15),0)+N(CI78))</f>
        <v>0</v>
      </c>
      <c r="CJ15" s="654">
        <f t="array" ref="CJ15">IF(OR($L15="",IsHidden(CJ15)),"",CHOOSE($B15,N($E15)*CJ$5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T$186:AT$286)*N($E15),CJ$6*N($E15),N($E15),0)+N(CJ78))</f>
        <v>0</v>
      </c>
      <c r="CK15" s="654">
        <f t="array" ref="CK15">IF(OR($L15="",IsHidden(CK15)),"",CHOOSE($B15,N($E15)*CK$5,SUMPRODUCT(IF($F$5="Y",1*(Headcount!$B$186:$B$286=IF($F15="",$F$6,$F15)),1+0*ISBLANK(Headcount!$B$186:$B$286)),IF($G$5="Y",1*(Headcount!$C$186:$C$286=IF($G15="",$G$6,$G15)),1+0*ISBLANK(Headcount!$C$186:$C$286)),IF($H$5="Y",1*(Headcount!$D$186:$D$286=IF($H15="",$H$6,$H15)),1+0*ISBLANK(Headcount!$D$186:$D$286)),IF($I$5="Y",1*(Headcount!$E$186:$E$286=IF($I15="",$I$6,$I15)),1+0*ISBLANK(Headcount!$E$186:$E$286)),IF($J$5="Y",1*(Headcount!$F$186:$F$286=IF($J15="",$J$6,$J15)),1+0*ISBLANK(Headcount!$F$186:$F$286)),IF($K$5="Y",1*(Headcount!$G$186:$G$286=IF($K15="",$K$6,$K15)),1+0*ISBLANK(Headcount!$G$186:$G$286)),Headcount!AU$186:AU$286)*N($E15),CK$6*N($E15),N($E15),0)+N(CK78))</f>
        <v>0</v>
      </c>
      <c r="CN15" s="255" t="b">
        <f t="array" ref="CN15">IF($L15="",TRUE,IF(AND(OR($F15&lt;&gt;"",$F$6&lt;&gt;""),OR($G15&lt;&gt;"",$G$6&lt;&gt;""),OR($H15&lt;&gt;"",$H$6&lt;&gt;""),OR($I15&lt;&gt;"",$I$6&lt;&gt;""),OR($J15&lt;&gt;"",$J$6&lt;&gt;""),OR($K15&lt;&gt;"",$K$6&lt;&gt;""),NOT(ISERROR(BB15:CK15)),NOT(ISNA(MATCH(IF($H15="",$H$6,$H15)&amp;IF($G15="",$G$6,$G15),DeptBU,0)))),TRUE,FALSE))</f>
        <v>0</v>
      </c>
      <c r="CP15" s="255" t="str">
        <f t="shared" si="3"/>
        <v>SELECT ''Expenses'',''Expenses'',15,''USD'',NULL,''Forecast'','''','''','''','''','''','''',''Telephone / Communications'',NULL,NULL,''Per Head'',NULL,0,0,0,0,0,0,0,0,0,0,0,0,0,0,0,0,0,0,0,0,0,0,0,0,0,0,0,0,0,0,0,0,0,0,0,0</v>
      </c>
    </row>
    <row r="16" spans="1:94" s="255" customFormat="1" x14ac:dyDescent="0.35">
      <c r="A16" s="566"/>
      <c r="B16" s="261">
        <f t="shared" si="2"/>
        <v>5</v>
      </c>
      <c r="C16" s="566"/>
      <c r="D16" s="261" t="str">
        <f t="array" aca="1" ref="D16" ca="1">IF($B16&lt;5,AVERAGE(OFFSET($Q16,,Input_ActualsOffset-1,,-$C16)/CHOOSE($B16,OFFSET($Q$5,,Input_ActualsOffset-1,1,-$C16),ss($C16,OFFSET(Actuals!$A$1,1,MATCH("Month "&amp;Input_ActualsOffset,ActualsTable[#Headers],0)-1,ROWS(ActualsTable[#Data]),1),ActualsTable[Company],IF($F$5="Y",IF($F16="",$F$6,$F16),"*"),ActualsTable[Business Unit],IF($G$5="Y",IF($G16="",$G$6,$G16),"*"),ActualsTable[Department],IF($H$5="Y",IF($H16="",$H$6,$H16),"*"),ActualsTable[Team],IF($I$5="Y",IF($P16="",$P$6,$P16),"*"),ActualsTable[Product],IF($J$5="Y",IF($J16="",$J$6,$J16),"*"),ActualsTable[Location],IF($K$5="Y",IF($K16="",$K$6,$K16),"*"),ActualsTable[Expense Item],"Headcount"),OFFSET($Q$6,,Input_ActualsOffset-1,,-$C16),1)),"")</f>
        <v/>
      </c>
      <c r="E16" s="640"/>
      <c r="F16" s="555"/>
      <c r="G16" s="555"/>
      <c r="H16" s="555"/>
      <c r="I16" s="555"/>
      <c r="J16" s="555"/>
      <c r="K16" s="555"/>
      <c r="L16" s="555"/>
      <c r="M16" s="555"/>
      <c r="N16" s="555"/>
      <c r="O16" s="556" t="str">
        <f>IF($L16="","",IF(VLOOKUP(L16,ExpItems[],2,0),L16&amp;" - "&amp;INDEX(DivisionMapping[category_code],MATCH(IF(H16="",$H$6,H16)&amp;IF(G16="",$G$6,G16),DivisionMapping[dept_bu],0)),L16))</f>
        <v/>
      </c>
      <c r="P16" s="556" t="str">
        <f>IF($L16="","",INDEX(Teams[team_consolidation],MATCH(IF($I16="",$I$6,$I16),Teams[team_name],0)))</f>
        <v/>
      </c>
      <c r="Q16" s="657" t="str">
        <f t="array" ref="Q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f>
        <v/>
      </c>
      <c r="R16" s="657" t="str">
        <f t="array" ref="R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f>
        <v/>
      </c>
      <c r="S16" s="657" t="str">
        <f t="array" ref="S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f>
        <v/>
      </c>
      <c r="T16" s="657" t="str">
        <f t="array" ref="T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4]))</f>
        <v/>
      </c>
      <c r="U16" s="657" t="str">
        <f t="array" ref="U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5]))</f>
        <v/>
      </c>
      <c r="V16" s="657" t="str">
        <f t="array" ref="V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6]))</f>
        <v/>
      </c>
      <c r="W16" s="657" t="str">
        <f t="array" ref="W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7]))</f>
        <v/>
      </c>
      <c r="X16" s="657" t="str">
        <f t="array" ref="X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8]))</f>
        <v/>
      </c>
      <c r="Y16" s="657" t="str">
        <f t="array" ref="Y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9]))</f>
        <v/>
      </c>
      <c r="Z16" s="657" t="str">
        <f t="array" ref="Z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10]))</f>
        <v/>
      </c>
      <c r="AA16" s="657" t="str">
        <f t="array" ref="AA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11]))</f>
        <v/>
      </c>
      <c r="AB16" s="657" t="str">
        <f t="array" ref="AB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12]))</f>
        <v/>
      </c>
      <c r="AC16" s="657" t="str">
        <f t="array" ref="AC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13]))</f>
        <v/>
      </c>
      <c r="AD16" s="657" t="str">
        <f t="array" ref="AD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14]))</f>
        <v/>
      </c>
      <c r="AE16" s="657" t="str">
        <f t="array" ref="AE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15]))</f>
        <v/>
      </c>
      <c r="AF16" s="657" t="str">
        <f t="array" ref="AF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16]))</f>
        <v/>
      </c>
      <c r="AG16" s="657" t="str">
        <f t="array" ref="AG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17]))</f>
        <v/>
      </c>
      <c r="AH16" s="657" t="str">
        <f t="array" ref="AH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18]))</f>
        <v/>
      </c>
      <c r="AI16" s="657" t="str">
        <f t="array" ref="AI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19]))</f>
        <v/>
      </c>
      <c r="AJ16" s="657" t="str">
        <f t="array" ref="AJ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20]))</f>
        <v/>
      </c>
      <c r="AK16" s="657" t="str">
        <f t="array" ref="AK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21]))</f>
        <v/>
      </c>
      <c r="AL16" s="657" t="str">
        <f t="array" ref="AL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22]))</f>
        <v/>
      </c>
      <c r="AM16" s="657" t="str">
        <f t="array" ref="AM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23]))</f>
        <v/>
      </c>
      <c r="AN16" s="657" t="str">
        <f t="array" ref="AN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24]))</f>
        <v/>
      </c>
      <c r="AO16" s="657" t="str">
        <f t="array" ref="AO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25]))</f>
        <v/>
      </c>
      <c r="AP16" s="657" t="str">
        <f t="array" ref="AP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26]))</f>
        <v/>
      </c>
      <c r="AQ16" s="657" t="str">
        <f t="array" ref="AQ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27]))</f>
        <v/>
      </c>
      <c r="AR16" s="657" t="str">
        <f t="array" ref="AR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28]))</f>
        <v/>
      </c>
      <c r="AS16" s="657" t="str">
        <f t="array" ref="AS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29]))</f>
        <v/>
      </c>
      <c r="AT16" s="657" t="str">
        <f t="array" ref="AT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30]))</f>
        <v/>
      </c>
      <c r="AU16" s="657" t="str">
        <f t="array" ref="AU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31]))</f>
        <v/>
      </c>
      <c r="AV16" s="657" t="str">
        <f t="array" ref="AV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32]))</f>
        <v/>
      </c>
      <c r="AW16" s="657" t="str">
        <f t="array" ref="AW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33]))</f>
        <v/>
      </c>
      <c r="AX16" s="657" t="str">
        <f t="array" ref="AX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34]))</f>
        <v/>
      </c>
      <c r="AY16" s="657" t="str">
        <f t="array" ref="AY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35]))</f>
        <v/>
      </c>
      <c r="AZ16" s="657" t="str">
        <f t="array" ref="AZ16">IF($L16="","",SUMPRODUCT(IF($F$5="Y",1*(ActualsTable[Company]=IF($F16="",$F$6,$F16)),1+0*ISBLANK(ActualsTable[Company])),IF($G$5="Y",1*(ActualsTable[Business Unit]=IF($G16="",$G$6,$G16)),1+0*ISBLANK(ActualsTable[Business Unit])),IF($H$5="Y",1*(ActualsTable[Department]=IF($H16="",$H$6,$H16)),1+0*ISBLANK(ActualsTable[Department])),IF($I$5="Y",1*(ActualsTable[Team]=IF($P16="",$P$6,$P16)),1+0*ISBLANK(ActualsTable[Team])),IF($J$5="Y",1*(ActualsTable[Product]=IF($J16="",$J$6,$J16)),1+0*ISBLANK(ActualsTable[Product])),IF($K$5="Y",1*(ActualsTable[Location]=IF($K16="",$K$6,$K16)),1+0*ISBLANK(ActualsTable[Location])),1*(ActualsTable[Expense Item]=$L16),ActualsTable[Month 36]))</f>
        <v/>
      </c>
      <c r="BA16" s="257"/>
      <c r="BB16" s="654" t="str">
        <f t="array" ref="BB16">IF(OR($L16="",IsHidden(BB16)),"",CHOOSE($B16,N($E16)*BB$5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L$186:L$286)*N($E16),BB$6*N($E16),N($E16),0)+N(BB79))</f>
        <v/>
      </c>
      <c r="BC16" s="654" t="str">
        <f t="array" ref="BC16">IF(OR($L16="",IsHidden(BC16)),"",CHOOSE($B16,N($E16)*BC$5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M$186:M$286)*N($E16),BC$6*N($E16),N($E16),0)+N(BC79))</f>
        <v/>
      </c>
      <c r="BD16" s="654" t="str">
        <f t="array" ref="BD16">IF(OR($L16="",IsHidden(BD16)),"",CHOOSE($B16,N($E16)*BD$5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N$186:N$286)*N($E16),BD$6*N($E16),N($E16),0)+N(BD79))</f>
        <v/>
      </c>
      <c r="BE16" s="654" t="str">
        <f t="array" ref="BE16">IF(OR($L16="",IsHidden(BE16)),"",CHOOSE($B16,N($E16)*BE$5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O$186:O$286)*N($E16),BE$6*N($E16),N($E16),0)+N(BE79))</f>
        <v/>
      </c>
      <c r="BF16" s="654" t="str">
        <f t="array" ref="BF16">IF(OR($L16="",IsHidden(BF16)),"",CHOOSE($B16,N($E16)*BF$5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P$186:P$286)*N($E16),BF$6*N($E16),N($E16),0)+N(BF79))</f>
        <v/>
      </c>
      <c r="BG16" s="654" t="str">
        <f t="array" ref="BG16">IF(OR($L16="",IsHidden(BG16)),"",CHOOSE($B16,N($E16)*BG$5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Q$186:Q$286)*N($E16),BG$6*N($E16),N($E16),0)+N(BG79))</f>
        <v/>
      </c>
      <c r="BH16" s="654" t="str">
        <f t="array" ref="BH16">IF(OR($L16="",IsHidden(BH16)),"",CHOOSE($B16,N($E16)*BH$5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R$186:R$286)*N($E16),BH$6*N($E16),N($E16),0)+N(BH79))</f>
        <v/>
      </c>
      <c r="BI16" s="654" t="str">
        <f t="array" ref="BI16">IF(OR($L16="",IsHidden(BI16)),"",CHOOSE($B16,N($E16)*BI$5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S$186:S$286)*N($E16),BI$6*N($E16),N($E16),0)+N(BI79))</f>
        <v/>
      </c>
      <c r="BJ16" s="654" t="str">
        <f t="array" ref="BJ16">IF(OR($L16="",IsHidden(BJ16)),"",CHOOSE($B16,N($E16)*BJ$5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T$186:T$286)*N($E16),BJ$6*N($E16),N($E16),0)+N(BJ79))</f>
        <v/>
      </c>
      <c r="BK16" s="654" t="str">
        <f t="array" ref="BK16">IF(OR($L16="",IsHidden(BK16)),"",CHOOSE($B16,N($E16)*BK$5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U$186:U$286)*N($E16),BK$6*N($E16),N($E16),0)+N(BK79))</f>
        <v/>
      </c>
      <c r="BL16" s="654" t="str">
        <f t="array" ref="BL16">IF(OR($L16="",IsHidden(BL16)),"",CHOOSE($B16,N($E16)*BL$5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V$186:V$286)*N($E16),BL$6*N($E16),N($E16),0)+N(BL79))</f>
        <v/>
      </c>
      <c r="BM16" s="654" t="str">
        <f t="array" ref="BM16">IF(OR($L16="",IsHidden(BM16)),"",CHOOSE($B16,N($E16)*BM$5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W$186:W$286)*N($E16),BM$6*N($E16),N($E16),0)+N(BM79))</f>
        <v/>
      </c>
      <c r="BN16" s="654" t="str">
        <f t="array" ref="BN16">IF(OR($L16="",IsHidden(BN16)),"",CHOOSE($B16,N($E16)*BN$5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X$186:X$286)*N($E16),BN$6*N($E16),N($E16),0)+N(BN79))</f>
        <v/>
      </c>
      <c r="BO16" s="654" t="str">
        <f t="array" ref="BO16">IF(OR($L16="",IsHidden(BO16)),"",CHOOSE($B16,N($E16)*BO$5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Y$186:Y$286)*N($E16),BO$6*N($E16),N($E16),0)+N(BO79))</f>
        <v/>
      </c>
      <c r="BP16" s="654" t="str">
        <f t="array" ref="BP16">IF(OR($L16="",IsHidden(BP16)),"",CHOOSE($B16,N($E16)*BP$5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Z$186:Z$286)*N($E16),BP$6*N($E16),N($E16),0)+N(BP79))</f>
        <v/>
      </c>
      <c r="BQ16" s="654" t="str">
        <f t="array" ref="BQ16">IF(OR($L16="",IsHidden(BQ16)),"",CHOOSE($B16,N($E16)*BQ$5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A$186:AA$286)*N($E16),BQ$6*N($E16),N($E16),0)+N(BQ79))</f>
        <v/>
      </c>
      <c r="BR16" s="654" t="str">
        <f t="array" ref="BR16">IF(OR($L16="",IsHidden(BR16)),"",CHOOSE($B16,N($E16)*BR$5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B$186:AB$286)*N($E16),BR$6*N($E16),N($E16),0)+N(BR79))</f>
        <v/>
      </c>
      <c r="BS16" s="654" t="str">
        <f t="array" ref="BS16">IF(OR($L16="",IsHidden(BS16)),"",CHOOSE($B16,N($E16)*BS$5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C$186:AC$286)*N($E16),BS$6*N($E16),N($E16),0)+N(BS79))</f>
        <v/>
      </c>
      <c r="BT16" s="654" t="str">
        <f t="array" ref="BT16">IF(OR($L16="",IsHidden(BT16)),"",CHOOSE($B16,N($E16)*BT$5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D$186:AD$286)*N($E16),BT$6*N($E16),N($E16),0)+N(BT79))</f>
        <v/>
      </c>
      <c r="BU16" s="654" t="str">
        <f t="array" ref="BU16">IF(OR($L16="",IsHidden(BU16)),"",CHOOSE($B16,N($E16)*BU$5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E$186:AE$286)*N($E16),BU$6*N($E16),N($E16),0)+N(BU79))</f>
        <v/>
      </c>
      <c r="BV16" s="654" t="str">
        <f t="array" ref="BV16">IF(OR($L16="",IsHidden(BV16)),"",CHOOSE($B16,N($E16)*BV$5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F$186:AF$286)*N($E16),BV$6*N($E16),N($E16),0)+N(BV79))</f>
        <v/>
      </c>
      <c r="BW16" s="654" t="str">
        <f t="array" ref="BW16">IF(OR($L16="",IsHidden(BW16)),"",CHOOSE($B16,N($E16)*BW$5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G$186:AG$286)*N($E16),BW$6*N($E16),N($E16),0)+N(BW79))</f>
        <v/>
      </c>
      <c r="BX16" s="654" t="str">
        <f t="array" ref="BX16">IF(OR($L16="",IsHidden(BX16)),"",CHOOSE($B16,N($E16)*BX$5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H$186:AH$286)*N($E16),BX$6*N($E16),N($E16),0)+N(BX79))</f>
        <v/>
      </c>
      <c r="BY16" s="654" t="str">
        <f t="array" ref="BY16">IF(OR($L16="",IsHidden(BY16)),"",CHOOSE($B16,N($E16)*BY$5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I$186:AI$286)*N($E16),BY$6*N($E16),N($E16),0)+N(BY79))</f>
        <v/>
      </c>
      <c r="BZ16" s="654" t="str">
        <f t="array" ref="BZ16">IF(OR($L16="",IsHidden(BZ16)),"",CHOOSE($B16,N($E16)*BZ$5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J$186:AJ$286)*N($E16),BZ$6*N($E16),N($E16),0)+N(BZ79))</f>
        <v/>
      </c>
      <c r="CA16" s="654" t="str">
        <f t="array" ref="CA16">IF(OR($L16="",IsHidden(CA16)),"",CHOOSE($B16,N($E16)*CA$5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K$186:AK$286)*N($E16),CA$6*N($E16),N($E16),0)+N(CA79))</f>
        <v/>
      </c>
      <c r="CB16" s="654" t="str">
        <f t="array" ref="CB16">IF(OR($L16="",IsHidden(CB16)),"",CHOOSE($B16,N($E16)*CB$5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L$186:AL$286)*N($E16),CB$6*N($E16),N($E16),0)+N(CB79))</f>
        <v/>
      </c>
      <c r="CC16" s="654" t="str">
        <f t="array" ref="CC16">IF(OR($L16="",IsHidden(CC16)),"",CHOOSE($B16,N($E16)*CC$5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M$186:AM$286)*N($E16),CC$6*N($E16),N($E16),0)+N(CC79))</f>
        <v/>
      </c>
      <c r="CD16" s="654" t="str">
        <f t="array" ref="CD16">IF(OR($L16="",IsHidden(CD16)),"",CHOOSE($B16,N($E16)*CD$5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N$186:AN$286)*N($E16),CD$6*N($E16),N($E16),0)+N(CD79))</f>
        <v/>
      </c>
      <c r="CE16" s="654" t="str">
        <f t="array" ref="CE16">IF(OR($L16="",IsHidden(CE16)),"",CHOOSE($B16,N($E16)*CE$5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O$186:AO$286)*N($E16),CE$6*N($E16),N($E16),0)+N(CE79))</f>
        <v/>
      </c>
      <c r="CF16" s="654" t="str">
        <f t="array" ref="CF16">IF(OR($L16="",IsHidden(CF16)),"",CHOOSE($B16,N($E16)*CF$5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P$186:AP$286)*N($E16),CF$6*N($E16),N($E16),0)+N(CF79))</f>
        <v/>
      </c>
      <c r="CG16" s="654" t="str">
        <f t="array" ref="CG16">IF(OR($L16="",IsHidden(CG16)),"",CHOOSE($B16,N($E16)*CG$5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Q$186:AQ$286)*N($E16),CG$6*N($E16),N($E16),0)+N(CG79))</f>
        <v/>
      </c>
      <c r="CH16" s="654" t="str">
        <f t="array" ref="CH16">IF(OR($L16="",IsHidden(CH16)),"",CHOOSE($B16,N($E16)*CH$5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R$186:AR$286)*N($E16),CH$6*N($E16),N($E16),0)+N(CH79))</f>
        <v/>
      </c>
      <c r="CI16" s="654" t="str">
        <f t="array" ref="CI16">IF(OR($L16="",IsHidden(CI16)),"",CHOOSE($B16,N($E16)*CI$5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S$186:AS$286)*N($E16),CI$6*N($E16),N($E16),0)+N(CI79))</f>
        <v/>
      </c>
      <c r="CJ16" s="654" t="str">
        <f t="array" ref="CJ16">IF(OR($L16="",IsHidden(CJ16)),"",CHOOSE($B16,N($E16)*CJ$5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T$186:AT$286)*N($E16),CJ$6*N($E16),N($E16),0)+N(CJ79))</f>
        <v/>
      </c>
      <c r="CK16" s="654" t="str">
        <f t="array" ref="CK16">IF(OR($L16="",IsHidden(CK16)),"",CHOOSE($B16,N($E16)*CK$5,SUMPRODUCT(IF($F$5="Y",1*(Headcount!$B$186:$B$286=IF($F16="",$F$6,$F16)),1+0*ISBLANK(Headcount!$B$186:$B$286)),IF($G$5="Y",1*(Headcount!$C$186:$C$286=IF($G16="",$G$6,$G16)),1+0*ISBLANK(Headcount!$C$186:$C$286)),IF($H$5="Y",1*(Headcount!$D$186:$D$286=IF($H16="",$H$6,$H16)),1+0*ISBLANK(Headcount!$D$186:$D$286)),IF($I$5="Y",1*(Headcount!$E$186:$E$286=IF($I16="",$I$6,$I16)),1+0*ISBLANK(Headcount!$E$186:$E$286)),IF($J$5="Y",1*(Headcount!$F$186:$F$286=IF($J16="",$J$6,$J16)),1+0*ISBLANK(Headcount!$F$186:$F$286)),IF($K$5="Y",1*(Headcount!$G$186:$G$286=IF($K16="",$K$6,$K16)),1+0*ISBLANK(Headcount!$G$186:$G$286)),Headcount!AU$186:AU$286)*N($E16),CK$6*N($E16),N($E16),0)+N(CK79))</f>
        <v/>
      </c>
      <c r="CN16" s="255" t="b">
        <f t="array" ref="CN16">IF($L16="",TRUE,IF(AND(OR($F16&lt;&gt;"",$F$6&lt;&gt;""),OR($G16&lt;&gt;"",$G$6&lt;&gt;""),OR($H16&lt;&gt;"",$H$6&lt;&gt;""),OR($I16&lt;&gt;"",$I$6&lt;&gt;""),OR($J16&lt;&gt;"",$J$6&lt;&gt;""),OR($K16&lt;&gt;"",$K$6&lt;&gt;""),NOT(ISERROR(BB16:CK16)),NOT(ISNA(MATCH(IF($H16="",$H$6,$H16)&amp;IF($G16="",$G$6,$G16),DeptBU,0)))),TRUE,FALSE))</f>
        <v>1</v>
      </c>
      <c r="CP16" s="255" t="str">
        <f t="shared" si="3"/>
        <v/>
      </c>
    </row>
    <row r="17" spans="1:94" s="255" customFormat="1" x14ac:dyDescent="0.35">
      <c r="A17" s="566"/>
      <c r="B17" s="261">
        <f t="shared" si="2"/>
        <v>5</v>
      </c>
      <c r="C17" s="566"/>
      <c r="D17" s="261" t="str">
        <f t="array" aca="1" ref="D17" ca="1">IF($B17&lt;5,AVERAGE(OFFSET($Q17,,Input_ActualsOffset-1,,-$C17)/CHOOSE($B17,OFFSET($Q$5,,Input_ActualsOffset-1,1,-$C17),ss($C17,OFFSET(Actuals!$A$1,1,MATCH("Month "&amp;Input_ActualsOffset,ActualsTable[#Headers],0)-1,ROWS(ActualsTable[#Data]),1),ActualsTable[Company],IF($F$5="Y",IF($F17="",$F$6,$F17),"*"),ActualsTable[Business Unit],IF($G$5="Y",IF($G17="",$G$6,$G17),"*"),ActualsTable[Department],IF($H$5="Y",IF($H17="",$H$6,$H17),"*"),ActualsTable[Team],IF($I$5="Y",IF($P17="",$P$6,$P17),"*"),ActualsTable[Product],IF($J$5="Y",IF($J17="",$J$6,$J17),"*"),ActualsTable[Location],IF($K$5="Y",IF($K17="",$K$6,$K17),"*"),ActualsTable[Expense Item],"Headcount"),OFFSET($Q$6,,Input_ActualsOffset-1,,-$C17),1)),"")</f>
        <v/>
      </c>
      <c r="E17" s="640"/>
      <c r="F17" s="555"/>
      <c r="G17" s="555"/>
      <c r="H17" s="555"/>
      <c r="I17" s="555"/>
      <c r="J17" s="555"/>
      <c r="K17" s="555"/>
      <c r="L17" s="555"/>
      <c r="M17" s="555"/>
      <c r="N17" s="555"/>
      <c r="O17" s="556" t="str">
        <f>IF($L17="","",IF(VLOOKUP(L17,ExpItems[],2,0),L17&amp;" - "&amp;INDEX(DivisionMapping[category_code],MATCH(IF(H17="",$H$6,H17)&amp;IF(G17="",$G$6,G17),DivisionMapping[dept_bu],0)),L17))</f>
        <v/>
      </c>
      <c r="P17" s="556" t="str">
        <f>IF($L17="","",INDEX(Teams[team_consolidation],MATCH(IF($I17="",$I$6,$I17),Teams[team_name],0)))</f>
        <v/>
      </c>
      <c r="Q17" s="657" t="str">
        <f t="array" ref="Q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f>
        <v/>
      </c>
      <c r="R17" s="657" t="str">
        <f t="array" ref="R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f>
        <v/>
      </c>
      <c r="S17" s="657" t="str">
        <f t="array" ref="S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f>
        <v/>
      </c>
      <c r="T17" s="657" t="str">
        <f t="array" ref="T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4]))</f>
        <v/>
      </c>
      <c r="U17" s="657" t="str">
        <f t="array" ref="U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5]))</f>
        <v/>
      </c>
      <c r="V17" s="657" t="str">
        <f t="array" ref="V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6]))</f>
        <v/>
      </c>
      <c r="W17" s="657" t="str">
        <f t="array" ref="W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7]))</f>
        <v/>
      </c>
      <c r="X17" s="657" t="str">
        <f t="array" ref="X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8]))</f>
        <v/>
      </c>
      <c r="Y17" s="657" t="str">
        <f t="array" ref="Y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9]))</f>
        <v/>
      </c>
      <c r="Z17" s="657" t="str">
        <f t="array" ref="Z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10]))</f>
        <v/>
      </c>
      <c r="AA17" s="657" t="str">
        <f t="array" ref="AA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11]))</f>
        <v/>
      </c>
      <c r="AB17" s="657" t="str">
        <f t="array" ref="AB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12]))</f>
        <v/>
      </c>
      <c r="AC17" s="657" t="str">
        <f t="array" ref="AC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13]))</f>
        <v/>
      </c>
      <c r="AD17" s="657" t="str">
        <f t="array" ref="AD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14]))</f>
        <v/>
      </c>
      <c r="AE17" s="657" t="str">
        <f t="array" ref="AE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15]))</f>
        <v/>
      </c>
      <c r="AF17" s="657" t="str">
        <f t="array" ref="AF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16]))</f>
        <v/>
      </c>
      <c r="AG17" s="657" t="str">
        <f t="array" ref="AG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17]))</f>
        <v/>
      </c>
      <c r="AH17" s="657" t="str">
        <f t="array" ref="AH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18]))</f>
        <v/>
      </c>
      <c r="AI17" s="657" t="str">
        <f t="array" ref="AI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19]))</f>
        <v/>
      </c>
      <c r="AJ17" s="657" t="str">
        <f t="array" ref="AJ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20]))</f>
        <v/>
      </c>
      <c r="AK17" s="657" t="str">
        <f t="array" ref="AK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21]))</f>
        <v/>
      </c>
      <c r="AL17" s="657" t="str">
        <f t="array" ref="AL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22]))</f>
        <v/>
      </c>
      <c r="AM17" s="657" t="str">
        <f t="array" ref="AM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23]))</f>
        <v/>
      </c>
      <c r="AN17" s="657" t="str">
        <f t="array" ref="AN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24]))</f>
        <v/>
      </c>
      <c r="AO17" s="657" t="str">
        <f t="array" ref="AO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25]))</f>
        <v/>
      </c>
      <c r="AP17" s="657" t="str">
        <f t="array" ref="AP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26]))</f>
        <v/>
      </c>
      <c r="AQ17" s="657" t="str">
        <f t="array" ref="AQ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27]))</f>
        <v/>
      </c>
      <c r="AR17" s="657" t="str">
        <f t="array" ref="AR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28]))</f>
        <v/>
      </c>
      <c r="AS17" s="657" t="str">
        <f t="array" ref="AS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29]))</f>
        <v/>
      </c>
      <c r="AT17" s="657" t="str">
        <f t="array" ref="AT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30]))</f>
        <v/>
      </c>
      <c r="AU17" s="657" t="str">
        <f t="array" ref="AU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31]))</f>
        <v/>
      </c>
      <c r="AV17" s="657" t="str">
        <f t="array" ref="AV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32]))</f>
        <v/>
      </c>
      <c r="AW17" s="657" t="str">
        <f t="array" ref="AW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33]))</f>
        <v/>
      </c>
      <c r="AX17" s="657" t="str">
        <f t="array" ref="AX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34]))</f>
        <v/>
      </c>
      <c r="AY17" s="657" t="str">
        <f t="array" ref="AY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35]))</f>
        <v/>
      </c>
      <c r="AZ17" s="657" t="str">
        <f t="array" ref="AZ17">IF($L17="","",SUMPRODUCT(IF($F$5="Y",1*(ActualsTable[Company]=IF($F17="",$F$6,$F17)),1+0*ISBLANK(ActualsTable[Company])),IF($G$5="Y",1*(ActualsTable[Business Unit]=IF($G17="",$G$6,$G17)),1+0*ISBLANK(ActualsTable[Business Unit])),IF($H$5="Y",1*(ActualsTable[Department]=IF($H17="",$H$6,$H17)),1+0*ISBLANK(ActualsTable[Department])),IF($I$5="Y",1*(ActualsTable[Team]=IF($P17="",$P$6,$P17)),1+0*ISBLANK(ActualsTable[Team])),IF($J$5="Y",1*(ActualsTable[Product]=IF($J17="",$J$6,$J17)),1+0*ISBLANK(ActualsTable[Product])),IF($K$5="Y",1*(ActualsTable[Location]=IF($K17="",$K$6,$K17)),1+0*ISBLANK(ActualsTable[Location])),1*(ActualsTable[Expense Item]=$L17),ActualsTable[Month 36]))</f>
        <v/>
      </c>
      <c r="BA17" s="257"/>
      <c r="BB17" s="654" t="str">
        <f t="array" ref="BB17">IF(OR($L17="",IsHidden(BB17)),"",CHOOSE($B17,N($E17)*BB$5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L$186:L$286)*N($E17),BB$6*N($E17),N($E17),0)+N(BB80))</f>
        <v/>
      </c>
      <c r="BC17" s="654" t="str">
        <f t="array" ref="BC17">IF(OR($L17="",IsHidden(BC17)),"",CHOOSE($B17,N($E17)*BC$5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M$186:M$286)*N($E17),BC$6*N($E17),N($E17),0)+N(BC80))</f>
        <v/>
      </c>
      <c r="BD17" s="654" t="str">
        <f t="array" ref="BD17">IF(OR($L17="",IsHidden(BD17)),"",CHOOSE($B17,N($E17)*BD$5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N$186:N$286)*N($E17),BD$6*N($E17),N($E17),0)+N(BD80))</f>
        <v/>
      </c>
      <c r="BE17" s="654" t="str">
        <f t="array" ref="BE17">IF(OR($L17="",IsHidden(BE17)),"",CHOOSE($B17,N($E17)*BE$5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O$186:O$286)*N($E17),BE$6*N($E17),N($E17),0)+N(BE80))</f>
        <v/>
      </c>
      <c r="BF17" s="654" t="str">
        <f t="array" ref="BF17">IF(OR($L17="",IsHidden(BF17)),"",CHOOSE($B17,N($E17)*BF$5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P$186:P$286)*N($E17),BF$6*N($E17),N($E17),0)+N(BF80))</f>
        <v/>
      </c>
      <c r="BG17" s="654" t="str">
        <f t="array" ref="BG17">IF(OR($L17="",IsHidden(BG17)),"",CHOOSE($B17,N($E17)*BG$5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Q$186:Q$286)*N($E17),BG$6*N($E17),N($E17),0)+N(BG80))</f>
        <v/>
      </c>
      <c r="BH17" s="654" t="str">
        <f t="array" ref="BH17">IF(OR($L17="",IsHidden(BH17)),"",CHOOSE($B17,N($E17)*BH$5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R$186:R$286)*N($E17),BH$6*N($E17),N($E17),0)+N(BH80))</f>
        <v/>
      </c>
      <c r="BI17" s="654" t="str">
        <f t="array" ref="BI17">IF(OR($L17="",IsHidden(BI17)),"",CHOOSE($B17,N($E17)*BI$5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S$186:S$286)*N($E17),BI$6*N($E17),N($E17),0)+N(BI80))</f>
        <v/>
      </c>
      <c r="BJ17" s="654" t="str">
        <f t="array" ref="BJ17">IF(OR($L17="",IsHidden(BJ17)),"",CHOOSE($B17,N($E17)*BJ$5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T$186:T$286)*N($E17),BJ$6*N($E17),N($E17),0)+N(BJ80))</f>
        <v/>
      </c>
      <c r="BK17" s="654" t="str">
        <f t="array" ref="BK17">IF(OR($L17="",IsHidden(BK17)),"",CHOOSE($B17,N($E17)*BK$5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U$186:U$286)*N($E17),BK$6*N($E17),N($E17),0)+N(BK80))</f>
        <v/>
      </c>
      <c r="BL17" s="654" t="str">
        <f t="array" ref="BL17">IF(OR($L17="",IsHidden(BL17)),"",CHOOSE($B17,N($E17)*BL$5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V$186:V$286)*N($E17),BL$6*N($E17),N($E17),0)+N(BL80))</f>
        <v/>
      </c>
      <c r="BM17" s="654" t="str">
        <f t="array" ref="BM17">IF(OR($L17="",IsHidden(BM17)),"",CHOOSE($B17,N($E17)*BM$5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W$186:W$286)*N($E17),BM$6*N($E17),N($E17),0)+N(BM80))</f>
        <v/>
      </c>
      <c r="BN17" s="654" t="str">
        <f t="array" ref="BN17">IF(OR($L17="",IsHidden(BN17)),"",CHOOSE($B17,N($E17)*BN$5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X$186:X$286)*N($E17),BN$6*N($E17),N($E17),0)+N(BN80))</f>
        <v/>
      </c>
      <c r="BO17" s="654" t="str">
        <f t="array" ref="BO17">IF(OR($L17="",IsHidden(BO17)),"",CHOOSE($B17,N($E17)*BO$5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Y$186:Y$286)*N($E17),BO$6*N($E17),N($E17),0)+N(BO80))</f>
        <v/>
      </c>
      <c r="BP17" s="654" t="str">
        <f t="array" ref="BP17">IF(OR($L17="",IsHidden(BP17)),"",CHOOSE($B17,N($E17)*BP$5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Z$186:Z$286)*N($E17),BP$6*N($E17),N($E17),0)+N(BP80))</f>
        <v/>
      </c>
      <c r="BQ17" s="654" t="str">
        <f t="array" ref="BQ17">IF(OR($L17="",IsHidden(BQ17)),"",CHOOSE($B17,N($E17)*BQ$5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A$186:AA$286)*N($E17),BQ$6*N($E17),N($E17),0)+N(BQ80))</f>
        <v/>
      </c>
      <c r="BR17" s="654" t="str">
        <f t="array" ref="BR17">IF(OR($L17="",IsHidden(BR17)),"",CHOOSE($B17,N($E17)*BR$5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B$186:AB$286)*N($E17),BR$6*N($E17),N($E17),0)+N(BR80))</f>
        <v/>
      </c>
      <c r="BS17" s="654" t="str">
        <f t="array" ref="BS17">IF(OR($L17="",IsHidden(BS17)),"",CHOOSE($B17,N($E17)*BS$5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C$186:AC$286)*N($E17),BS$6*N($E17),N($E17),0)+N(BS80))</f>
        <v/>
      </c>
      <c r="BT17" s="654" t="str">
        <f t="array" ref="BT17">IF(OR($L17="",IsHidden(BT17)),"",CHOOSE($B17,N($E17)*BT$5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D$186:AD$286)*N($E17),BT$6*N($E17),N($E17),0)+N(BT80))</f>
        <v/>
      </c>
      <c r="BU17" s="654" t="str">
        <f t="array" ref="BU17">IF(OR($L17="",IsHidden(BU17)),"",CHOOSE($B17,N($E17)*BU$5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E$186:AE$286)*N($E17),BU$6*N($E17),N($E17),0)+N(BU80))</f>
        <v/>
      </c>
      <c r="BV17" s="654" t="str">
        <f t="array" ref="BV17">IF(OR($L17="",IsHidden(BV17)),"",CHOOSE($B17,N($E17)*BV$5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F$186:AF$286)*N($E17),BV$6*N($E17),N($E17),0)+N(BV80))</f>
        <v/>
      </c>
      <c r="BW17" s="654" t="str">
        <f t="array" ref="BW17">IF(OR($L17="",IsHidden(BW17)),"",CHOOSE($B17,N($E17)*BW$5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G$186:AG$286)*N($E17),BW$6*N($E17),N($E17),0)+N(BW80))</f>
        <v/>
      </c>
      <c r="BX17" s="654" t="str">
        <f t="array" ref="BX17">IF(OR($L17="",IsHidden(BX17)),"",CHOOSE($B17,N($E17)*BX$5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H$186:AH$286)*N($E17),BX$6*N($E17),N($E17),0)+N(BX80))</f>
        <v/>
      </c>
      <c r="BY17" s="654" t="str">
        <f t="array" ref="BY17">IF(OR($L17="",IsHidden(BY17)),"",CHOOSE($B17,N($E17)*BY$5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I$186:AI$286)*N($E17),BY$6*N($E17),N($E17),0)+N(BY80))</f>
        <v/>
      </c>
      <c r="BZ17" s="654" t="str">
        <f t="array" ref="BZ17">IF(OR($L17="",IsHidden(BZ17)),"",CHOOSE($B17,N($E17)*BZ$5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J$186:AJ$286)*N($E17),BZ$6*N($E17),N($E17),0)+N(BZ80))</f>
        <v/>
      </c>
      <c r="CA17" s="654" t="str">
        <f t="array" ref="CA17">IF(OR($L17="",IsHidden(CA17)),"",CHOOSE($B17,N($E17)*CA$5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K$186:AK$286)*N($E17),CA$6*N($E17),N($E17),0)+N(CA80))</f>
        <v/>
      </c>
      <c r="CB17" s="654" t="str">
        <f t="array" ref="CB17">IF(OR($L17="",IsHidden(CB17)),"",CHOOSE($B17,N($E17)*CB$5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L$186:AL$286)*N($E17),CB$6*N($E17),N($E17),0)+N(CB80))</f>
        <v/>
      </c>
      <c r="CC17" s="654" t="str">
        <f t="array" ref="CC17">IF(OR($L17="",IsHidden(CC17)),"",CHOOSE($B17,N($E17)*CC$5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M$186:AM$286)*N($E17),CC$6*N($E17),N($E17),0)+N(CC80))</f>
        <v/>
      </c>
      <c r="CD17" s="654" t="str">
        <f t="array" ref="CD17">IF(OR($L17="",IsHidden(CD17)),"",CHOOSE($B17,N($E17)*CD$5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N$186:AN$286)*N($E17),CD$6*N($E17),N($E17),0)+N(CD80))</f>
        <v/>
      </c>
      <c r="CE17" s="654" t="str">
        <f t="array" ref="CE17">IF(OR($L17="",IsHidden(CE17)),"",CHOOSE($B17,N($E17)*CE$5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O$186:AO$286)*N($E17),CE$6*N($E17),N($E17),0)+N(CE80))</f>
        <v/>
      </c>
      <c r="CF17" s="654" t="str">
        <f t="array" ref="CF17">IF(OR($L17="",IsHidden(CF17)),"",CHOOSE($B17,N($E17)*CF$5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P$186:AP$286)*N($E17),CF$6*N($E17),N($E17),0)+N(CF80))</f>
        <v/>
      </c>
      <c r="CG17" s="654" t="str">
        <f t="array" ref="CG17">IF(OR($L17="",IsHidden(CG17)),"",CHOOSE($B17,N($E17)*CG$5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Q$186:AQ$286)*N($E17),CG$6*N($E17),N($E17),0)+N(CG80))</f>
        <v/>
      </c>
      <c r="CH17" s="654" t="str">
        <f t="array" ref="CH17">IF(OR($L17="",IsHidden(CH17)),"",CHOOSE($B17,N($E17)*CH$5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R$186:AR$286)*N($E17),CH$6*N($E17),N($E17),0)+N(CH80))</f>
        <v/>
      </c>
      <c r="CI17" s="654" t="str">
        <f t="array" ref="CI17">IF(OR($L17="",IsHidden(CI17)),"",CHOOSE($B17,N($E17)*CI$5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S$186:AS$286)*N($E17),CI$6*N($E17),N($E17),0)+N(CI80))</f>
        <v/>
      </c>
      <c r="CJ17" s="654" t="str">
        <f t="array" ref="CJ17">IF(OR($L17="",IsHidden(CJ17)),"",CHOOSE($B17,N($E17)*CJ$5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T$186:AT$286)*N($E17),CJ$6*N($E17),N($E17),0)+N(CJ80))</f>
        <v/>
      </c>
      <c r="CK17" s="654" t="str">
        <f t="array" ref="CK17">IF(OR($L17="",IsHidden(CK17)),"",CHOOSE($B17,N($E17)*CK$5,SUMPRODUCT(IF($F$5="Y",1*(Headcount!$B$186:$B$286=IF($F17="",$F$6,$F17)),1+0*ISBLANK(Headcount!$B$186:$B$286)),IF($G$5="Y",1*(Headcount!$C$186:$C$286=IF($G17="",$G$6,$G17)),1+0*ISBLANK(Headcount!$C$186:$C$286)),IF($H$5="Y",1*(Headcount!$D$186:$D$286=IF($H17="",$H$6,$H17)),1+0*ISBLANK(Headcount!$D$186:$D$286)),IF($I$5="Y",1*(Headcount!$E$186:$E$286=IF($I17="",$I$6,$I17)),1+0*ISBLANK(Headcount!$E$186:$E$286)),IF($J$5="Y",1*(Headcount!$F$186:$F$286=IF($J17="",$J$6,$J17)),1+0*ISBLANK(Headcount!$F$186:$F$286)),IF($K$5="Y",1*(Headcount!$G$186:$G$286=IF($K17="",$K$6,$K17)),1+0*ISBLANK(Headcount!$G$186:$G$286)),Headcount!AU$186:AU$286)*N($E17),CK$6*N($E17),N($E17),0)+N(CK80))</f>
        <v/>
      </c>
      <c r="CN17" s="255" t="b">
        <f t="array" ref="CN17">IF($L17="",TRUE,IF(AND(OR($F17&lt;&gt;"",$F$6&lt;&gt;""),OR($G17&lt;&gt;"",$G$6&lt;&gt;""),OR($H17&lt;&gt;"",$H$6&lt;&gt;""),OR($I17&lt;&gt;"",$I$6&lt;&gt;""),OR($J17&lt;&gt;"",$J$6&lt;&gt;""),OR($K17&lt;&gt;"",$K$6&lt;&gt;""),NOT(ISERROR(BB17:CK17)),NOT(ISNA(MATCH(IF($H17="",$H$6,$H17)&amp;IF($G17="",$G$6,$G17),DeptBU,0)))),TRUE,FALSE))</f>
        <v>1</v>
      </c>
      <c r="CP17" s="255" t="str">
        <f t="shared" si="3"/>
        <v/>
      </c>
    </row>
    <row r="18" spans="1:94" s="255" customFormat="1" x14ac:dyDescent="0.35">
      <c r="A18" s="566"/>
      <c r="B18" s="261">
        <f t="shared" si="2"/>
        <v>5</v>
      </c>
      <c r="C18" s="566"/>
      <c r="D18" s="261" t="str">
        <f t="array" aca="1" ref="D18" ca="1">IF($B18&lt;5,AVERAGE(OFFSET($Q18,,Input_ActualsOffset-1,,-$C18)/CHOOSE($B18,OFFSET($Q$5,,Input_ActualsOffset-1,1,-$C18),ss($C18,OFFSET(Actuals!$A$1,1,MATCH("Month "&amp;Input_ActualsOffset,ActualsTable[#Headers],0)-1,ROWS(ActualsTable[#Data]),1),ActualsTable[Company],IF($F$5="Y",IF($F18="",$F$6,$F18),"*"),ActualsTable[Business Unit],IF($G$5="Y",IF($G18="",$G$6,$G18),"*"),ActualsTable[Department],IF($H$5="Y",IF($H18="",$H$6,$H18),"*"),ActualsTable[Team],IF($I$5="Y",IF($P18="",$P$6,$P18),"*"),ActualsTable[Product],IF($J$5="Y",IF($J18="",$J$6,$J18),"*"),ActualsTable[Location],IF($K$5="Y",IF($K18="",$K$6,$K18),"*"),ActualsTable[Expense Item],"Headcount"),OFFSET($Q$6,,Input_ActualsOffset-1,,-$C18),1)),"")</f>
        <v/>
      </c>
      <c r="E18" s="640"/>
      <c r="F18" s="555"/>
      <c r="G18" s="555"/>
      <c r="H18" s="555"/>
      <c r="I18" s="555"/>
      <c r="J18" s="555"/>
      <c r="K18" s="555"/>
      <c r="L18" s="555"/>
      <c r="M18" s="555"/>
      <c r="N18" s="555"/>
      <c r="O18" s="556" t="str">
        <f>IF($L18="","",IF(VLOOKUP(L18,ExpItems[],2,0),L18&amp;" - "&amp;INDEX(DivisionMapping[category_code],MATCH(IF(H18="",$H$6,H18)&amp;IF(G18="",$G$6,G18),DivisionMapping[dept_bu],0)),L18))</f>
        <v/>
      </c>
      <c r="P18" s="556" t="str">
        <f>IF($L18="","",INDEX(Teams[team_consolidation],MATCH(IF($I18="",$I$6,$I18),Teams[team_name],0)))</f>
        <v/>
      </c>
      <c r="Q18" s="657" t="str">
        <f t="array" ref="Q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f>
        <v/>
      </c>
      <c r="R18" s="657" t="str">
        <f t="array" ref="R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f>
        <v/>
      </c>
      <c r="S18" s="657" t="str">
        <f t="array" ref="S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f>
        <v/>
      </c>
      <c r="T18" s="657" t="str">
        <f t="array" ref="T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4]))</f>
        <v/>
      </c>
      <c r="U18" s="657" t="str">
        <f t="array" ref="U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5]))</f>
        <v/>
      </c>
      <c r="V18" s="657" t="str">
        <f t="array" ref="V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6]))</f>
        <v/>
      </c>
      <c r="W18" s="657" t="str">
        <f t="array" ref="W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7]))</f>
        <v/>
      </c>
      <c r="X18" s="657" t="str">
        <f t="array" ref="X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8]))</f>
        <v/>
      </c>
      <c r="Y18" s="657" t="str">
        <f t="array" ref="Y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9]))</f>
        <v/>
      </c>
      <c r="Z18" s="657" t="str">
        <f t="array" ref="Z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10]))</f>
        <v/>
      </c>
      <c r="AA18" s="657" t="str">
        <f t="array" ref="AA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11]))</f>
        <v/>
      </c>
      <c r="AB18" s="657" t="str">
        <f t="array" ref="AB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12]))</f>
        <v/>
      </c>
      <c r="AC18" s="657" t="str">
        <f t="array" ref="AC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13]))</f>
        <v/>
      </c>
      <c r="AD18" s="657" t="str">
        <f t="array" ref="AD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14]))</f>
        <v/>
      </c>
      <c r="AE18" s="657" t="str">
        <f t="array" ref="AE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15]))</f>
        <v/>
      </c>
      <c r="AF18" s="657" t="str">
        <f t="array" ref="AF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16]))</f>
        <v/>
      </c>
      <c r="AG18" s="657" t="str">
        <f t="array" ref="AG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17]))</f>
        <v/>
      </c>
      <c r="AH18" s="657" t="str">
        <f t="array" ref="AH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18]))</f>
        <v/>
      </c>
      <c r="AI18" s="657" t="str">
        <f t="array" ref="AI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19]))</f>
        <v/>
      </c>
      <c r="AJ18" s="657" t="str">
        <f t="array" ref="AJ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20]))</f>
        <v/>
      </c>
      <c r="AK18" s="657" t="str">
        <f t="array" ref="AK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21]))</f>
        <v/>
      </c>
      <c r="AL18" s="657" t="str">
        <f t="array" ref="AL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22]))</f>
        <v/>
      </c>
      <c r="AM18" s="657" t="str">
        <f t="array" ref="AM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23]))</f>
        <v/>
      </c>
      <c r="AN18" s="657" t="str">
        <f t="array" ref="AN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24]))</f>
        <v/>
      </c>
      <c r="AO18" s="657" t="str">
        <f t="array" ref="AO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25]))</f>
        <v/>
      </c>
      <c r="AP18" s="657" t="str">
        <f t="array" ref="AP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26]))</f>
        <v/>
      </c>
      <c r="AQ18" s="657" t="str">
        <f t="array" ref="AQ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27]))</f>
        <v/>
      </c>
      <c r="AR18" s="657" t="str">
        <f t="array" ref="AR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28]))</f>
        <v/>
      </c>
      <c r="AS18" s="657" t="str">
        <f t="array" ref="AS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29]))</f>
        <v/>
      </c>
      <c r="AT18" s="657" t="str">
        <f t="array" ref="AT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30]))</f>
        <v/>
      </c>
      <c r="AU18" s="657" t="str">
        <f t="array" ref="AU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31]))</f>
        <v/>
      </c>
      <c r="AV18" s="657" t="str">
        <f t="array" ref="AV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32]))</f>
        <v/>
      </c>
      <c r="AW18" s="657" t="str">
        <f t="array" ref="AW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33]))</f>
        <v/>
      </c>
      <c r="AX18" s="657" t="str">
        <f t="array" ref="AX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34]))</f>
        <v/>
      </c>
      <c r="AY18" s="657" t="str">
        <f t="array" ref="AY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35]))</f>
        <v/>
      </c>
      <c r="AZ18" s="657" t="str">
        <f t="array" ref="AZ18">IF($L18="","",SUMPRODUCT(IF($F$5="Y",1*(ActualsTable[Company]=IF($F18="",$F$6,$F18)),1+0*ISBLANK(ActualsTable[Company])),IF($G$5="Y",1*(ActualsTable[Business Unit]=IF($G18="",$G$6,$G18)),1+0*ISBLANK(ActualsTable[Business Unit])),IF($H$5="Y",1*(ActualsTable[Department]=IF($H18="",$H$6,$H18)),1+0*ISBLANK(ActualsTable[Department])),IF($I$5="Y",1*(ActualsTable[Team]=IF($P18="",$P$6,$P18)),1+0*ISBLANK(ActualsTable[Team])),IF($J$5="Y",1*(ActualsTable[Product]=IF($J18="",$J$6,$J18)),1+0*ISBLANK(ActualsTable[Product])),IF($K$5="Y",1*(ActualsTable[Location]=IF($K18="",$K$6,$K18)),1+0*ISBLANK(ActualsTable[Location])),1*(ActualsTable[Expense Item]=$L18),ActualsTable[Month 36]))</f>
        <v/>
      </c>
      <c r="BA18" s="257"/>
      <c r="BB18" s="654" t="str">
        <f t="array" ref="BB18">IF(OR($L18="",IsHidden(BB18)),"",CHOOSE($B18,N($E18)*BB$5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L$186:L$286)*N($E18),BB$6*N($E18),N($E18),0)+N(BB81))</f>
        <v/>
      </c>
      <c r="BC18" s="654" t="str">
        <f t="array" ref="BC18">IF(OR($L18="",IsHidden(BC18)),"",CHOOSE($B18,N($E18)*BC$5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M$186:M$286)*N($E18),BC$6*N($E18),N($E18),0)+N(BC81))</f>
        <v/>
      </c>
      <c r="BD18" s="654" t="str">
        <f t="array" ref="BD18">IF(OR($L18="",IsHidden(BD18)),"",CHOOSE($B18,N($E18)*BD$5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N$186:N$286)*N($E18),BD$6*N($E18),N($E18),0)+N(BD81))</f>
        <v/>
      </c>
      <c r="BE18" s="654" t="str">
        <f t="array" ref="BE18">IF(OR($L18="",IsHidden(BE18)),"",CHOOSE($B18,N($E18)*BE$5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O$186:O$286)*N($E18),BE$6*N($E18),N($E18),0)+N(BE81))</f>
        <v/>
      </c>
      <c r="BF18" s="654" t="str">
        <f t="array" ref="BF18">IF(OR($L18="",IsHidden(BF18)),"",CHOOSE($B18,N($E18)*BF$5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P$186:P$286)*N($E18),BF$6*N($E18),N($E18),0)+N(BF81))</f>
        <v/>
      </c>
      <c r="BG18" s="654" t="str">
        <f t="array" ref="BG18">IF(OR($L18="",IsHidden(BG18)),"",CHOOSE($B18,N($E18)*BG$5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Q$186:Q$286)*N($E18),BG$6*N($E18),N($E18),0)+N(BG81))</f>
        <v/>
      </c>
      <c r="BH18" s="654" t="str">
        <f t="array" ref="BH18">IF(OR($L18="",IsHidden(BH18)),"",CHOOSE($B18,N($E18)*BH$5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R$186:R$286)*N($E18),BH$6*N($E18),N($E18),0)+N(BH81))</f>
        <v/>
      </c>
      <c r="BI18" s="654" t="str">
        <f t="array" ref="BI18">IF(OR($L18="",IsHidden(BI18)),"",CHOOSE($B18,N($E18)*BI$5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S$186:S$286)*N($E18),BI$6*N($E18),N($E18),0)+N(BI81))</f>
        <v/>
      </c>
      <c r="BJ18" s="654" t="str">
        <f t="array" ref="BJ18">IF(OR($L18="",IsHidden(BJ18)),"",CHOOSE($B18,N($E18)*BJ$5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T$186:T$286)*N($E18),BJ$6*N($E18),N($E18),0)+N(BJ81))</f>
        <v/>
      </c>
      <c r="BK18" s="654" t="str">
        <f t="array" ref="BK18">IF(OR($L18="",IsHidden(BK18)),"",CHOOSE($B18,N($E18)*BK$5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U$186:U$286)*N($E18),BK$6*N($E18),N($E18),0)+N(BK81))</f>
        <v/>
      </c>
      <c r="BL18" s="654" t="str">
        <f t="array" ref="BL18">IF(OR($L18="",IsHidden(BL18)),"",CHOOSE($B18,N($E18)*BL$5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V$186:V$286)*N($E18),BL$6*N($E18),N($E18),0)+N(BL81))</f>
        <v/>
      </c>
      <c r="BM18" s="654" t="str">
        <f t="array" ref="BM18">IF(OR($L18="",IsHidden(BM18)),"",CHOOSE($B18,N($E18)*BM$5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W$186:W$286)*N($E18),BM$6*N($E18),N($E18),0)+N(BM81))</f>
        <v/>
      </c>
      <c r="BN18" s="654" t="str">
        <f t="array" ref="BN18">IF(OR($L18="",IsHidden(BN18)),"",CHOOSE($B18,N($E18)*BN$5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X$186:X$286)*N($E18),BN$6*N($E18),N($E18),0)+N(BN81))</f>
        <v/>
      </c>
      <c r="BO18" s="654" t="str">
        <f t="array" ref="BO18">IF(OR($L18="",IsHidden(BO18)),"",CHOOSE($B18,N($E18)*BO$5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Y$186:Y$286)*N($E18),BO$6*N($E18),N($E18),0)+N(BO81))</f>
        <v/>
      </c>
      <c r="BP18" s="654" t="str">
        <f t="array" ref="BP18">IF(OR($L18="",IsHidden(BP18)),"",CHOOSE($B18,N($E18)*BP$5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Z$186:Z$286)*N($E18),BP$6*N($E18),N($E18),0)+N(BP81))</f>
        <v/>
      </c>
      <c r="BQ18" s="654" t="str">
        <f t="array" ref="BQ18">IF(OR($L18="",IsHidden(BQ18)),"",CHOOSE($B18,N($E18)*BQ$5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A$186:AA$286)*N($E18),BQ$6*N($E18),N($E18),0)+N(BQ81))</f>
        <v/>
      </c>
      <c r="BR18" s="654" t="str">
        <f t="array" ref="BR18">IF(OR($L18="",IsHidden(BR18)),"",CHOOSE($B18,N($E18)*BR$5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B$186:AB$286)*N($E18),BR$6*N($E18),N($E18),0)+N(BR81))</f>
        <v/>
      </c>
      <c r="BS18" s="654" t="str">
        <f t="array" ref="BS18">IF(OR($L18="",IsHidden(BS18)),"",CHOOSE($B18,N($E18)*BS$5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C$186:AC$286)*N($E18),BS$6*N($E18),N($E18),0)+N(BS81))</f>
        <v/>
      </c>
      <c r="BT18" s="654" t="str">
        <f t="array" ref="BT18">IF(OR($L18="",IsHidden(BT18)),"",CHOOSE($B18,N($E18)*BT$5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D$186:AD$286)*N($E18),BT$6*N($E18),N($E18),0)+N(BT81))</f>
        <v/>
      </c>
      <c r="BU18" s="654" t="str">
        <f t="array" ref="BU18">IF(OR($L18="",IsHidden(BU18)),"",CHOOSE($B18,N($E18)*BU$5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E$186:AE$286)*N($E18),BU$6*N($E18),N($E18),0)+N(BU81))</f>
        <v/>
      </c>
      <c r="BV18" s="654" t="str">
        <f t="array" ref="BV18">IF(OR($L18="",IsHidden(BV18)),"",CHOOSE($B18,N($E18)*BV$5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F$186:AF$286)*N($E18),BV$6*N($E18),N($E18),0)+N(BV81))</f>
        <v/>
      </c>
      <c r="BW18" s="654" t="str">
        <f t="array" ref="BW18">IF(OR($L18="",IsHidden(BW18)),"",CHOOSE($B18,N($E18)*BW$5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G$186:AG$286)*N($E18),BW$6*N($E18),N($E18),0)+N(BW81))</f>
        <v/>
      </c>
      <c r="BX18" s="654" t="str">
        <f t="array" ref="BX18">IF(OR($L18="",IsHidden(BX18)),"",CHOOSE($B18,N($E18)*BX$5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H$186:AH$286)*N($E18),BX$6*N($E18),N($E18),0)+N(BX81))</f>
        <v/>
      </c>
      <c r="BY18" s="654" t="str">
        <f t="array" ref="BY18">IF(OR($L18="",IsHidden(BY18)),"",CHOOSE($B18,N($E18)*BY$5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I$186:AI$286)*N($E18),BY$6*N($E18),N($E18),0)+N(BY81))</f>
        <v/>
      </c>
      <c r="BZ18" s="654" t="str">
        <f t="array" ref="BZ18">IF(OR($L18="",IsHidden(BZ18)),"",CHOOSE($B18,N($E18)*BZ$5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J$186:AJ$286)*N($E18),BZ$6*N($E18),N($E18),0)+N(BZ81))</f>
        <v/>
      </c>
      <c r="CA18" s="654" t="str">
        <f t="array" ref="CA18">IF(OR($L18="",IsHidden(CA18)),"",CHOOSE($B18,N($E18)*CA$5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K$186:AK$286)*N($E18),CA$6*N($E18),N($E18),0)+N(CA81))</f>
        <v/>
      </c>
      <c r="CB18" s="654" t="str">
        <f t="array" ref="CB18">IF(OR($L18="",IsHidden(CB18)),"",CHOOSE($B18,N($E18)*CB$5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L$186:AL$286)*N($E18),CB$6*N($E18),N($E18),0)+N(CB81))</f>
        <v/>
      </c>
      <c r="CC18" s="654" t="str">
        <f t="array" ref="CC18">IF(OR($L18="",IsHidden(CC18)),"",CHOOSE($B18,N($E18)*CC$5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M$186:AM$286)*N($E18),CC$6*N($E18),N($E18),0)+N(CC81))</f>
        <v/>
      </c>
      <c r="CD18" s="654" t="str">
        <f t="array" ref="CD18">IF(OR($L18="",IsHidden(CD18)),"",CHOOSE($B18,N($E18)*CD$5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N$186:AN$286)*N($E18),CD$6*N($E18),N($E18),0)+N(CD81))</f>
        <v/>
      </c>
      <c r="CE18" s="654" t="str">
        <f t="array" ref="CE18">IF(OR($L18="",IsHidden(CE18)),"",CHOOSE($B18,N($E18)*CE$5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O$186:AO$286)*N($E18),CE$6*N($E18),N($E18),0)+N(CE81))</f>
        <v/>
      </c>
      <c r="CF18" s="654" t="str">
        <f t="array" ref="CF18">IF(OR($L18="",IsHidden(CF18)),"",CHOOSE($B18,N($E18)*CF$5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P$186:AP$286)*N($E18),CF$6*N($E18),N($E18),0)+N(CF81))</f>
        <v/>
      </c>
      <c r="CG18" s="654" t="str">
        <f t="array" ref="CG18">IF(OR($L18="",IsHidden(CG18)),"",CHOOSE($B18,N($E18)*CG$5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Q$186:AQ$286)*N($E18),CG$6*N($E18),N($E18),0)+N(CG81))</f>
        <v/>
      </c>
      <c r="CH18" s="654" t="str">
        <f t="array" ref="CH18">IF(OR($L18="",IsHidden(CH18)),"",CHOOSE($B18,N($E18)*CH$5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R$186:AR$286)*N($E18),CH$6*N($E18),N($E18),0)+N(CH81))</f>
        <v/>
      </c>
      <c r="CI18" s="654" t="str">
        <f t="array" ref="CI18">IF(OR($L18="",IsHidden(CI18)),"",CHOOSE($B18,N($E18)*CI$5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S$186:AS$286)*N($E18),CI$6*N($E18),N($E18),0)+N(CI81))</f>
        <v/>
      </c>
      <c r="CJ18" s="654" t="str">
        <f t="array" ref="CJ18">IF(OR($L18="",IsHidden(CJ18)),"",CHOOSE($B18,N($E18)*CJ$5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T$186:AT$286)*N($E18),CJ$6*N($E18),N($E18),0)+N(CJ81))</f>
        <v/>
      </c>
      <c r="CK18" s="654" t="str">
        <f t="array" ref="CK18">IF(OR($L18="",IsHidden(CK18)),"",CHOOSE($B18,N($E18)*CK$5,SUMPRODUCT(IF($F$5="Y",1*(Headcount!$B$186:$B$286=IF($F18="",$F$6,$F18)),1+0*ISBLANK(Headcount!$B$186:$B$286)),IF($G$5="Y",1*(Headcount!$C$186:$C$286=IF($G18="",$G$6,$G18)),1+0*ISBLANK(Headcount!$C$186:$C$286)),IF($H$5="Y",1*(Headcount!$D$186:$D$286=IF($H18="",$H$6,$H18)),1+0*ISBLANK(Headcount!$D$186:$D$286)),IF($I$5="Y",1*(Headcount!$E$186:$E$286=IF($I18="",$I$6,$I18)),1+0*ISBLANK(Headcount!$E$186:$E$286)),IF($J$5="Y",1*(Headcount!$F$186:$F$286=IF($J18="",$J$6,$J18)),1+0*ISBLANK(Headcount!$F$186:$F$286)),IF($K$5="Y",1*(Headcount!$G$186:$G$286=IF($K18="",$K$6,$K18)),1+0*ISBLANK(Headcount!$G$186:$G$286)),Headcount!AU$186:AU$286)*N($E18),CK$6*N($E18),N($E18),0)+N(CK81))</f>
        <v/>
      </c>
      <c r="CN18" s="255" t="b">
        <f t="array" ref="CN18">IF($L18="",TRUE,IF(AND(OR($F18&lt;&gt;"",$F$6&lt;&gt;""),OR($G18&lt;&gt;"",$G$6&lt;&gt;""),OR($H18&lt;&gt;"",$H$6&lt;&gt;""),OR($I18&lt;&gt;"",$I$6&lt;&gt;""),OR($J18&lt;&gt;"",$J$6&lt;&gt;""),OR($K18&lt;&gt;"",$K$6&lt;&gt;""),NOT(ISERROR(BB18:CK18)),NOT(ISNA(MATCH(IF($H18="",$H$6,$H18)&amp;IF($G18="",$G$6,$G18),DeptBU,0)))),TRUE,FALSE))</f>
        <v>1</v>
      </c>
      <c r="CP18" s="255" t="str">
        <f t="shared" si="3"/>
        <v/>
      </c>
    </row>
    <row r="19" spans="1:94" s="255" customFormat="1" x14ac:dyDescent="0.35">
      <c r="A19" s="566" t="s">
        <v>1141</v>
      </c>
      <c r="B19" s="261">
        <f t="shared" si="2"/>
        <v>1</v>
      </c>
      <c r="C19" s="566"/>
      <c r="D19" s="261" t="e">
        <f t="array" aca="1" ref="D19" ca="1">IF($B19&lt;5,AVERAGE(OFFSET($Q19,,Input_ActualsOffset-1,,-$C19)/CHOOSE($B19,OFFSET($Q$5,,Input_ActualsOffset-1,1,-$C19),ss($C19,OFFSET(Actuals!$A$1,1,MATCH("Month "&amp;Input_ActualsOffset,ActualsTable[#Headers],0)-1,ROWS(ActualsTable[#Data]),1),ActualsTable[Company],IF($F$5="Y",IF($F19="",$F$6,$F19),"*"),ActualsTable[Business Unit],IF($G$5="Y",IF($G19="",$G$6,$G19),"*"),ActualsTable[Department],IF($H$5="Y",IF($H19="",$H$6,$H19),"*"),ActualsTable[Team],IF($I$5="Y",IF($P19="",$P$6,$P19),"*"),ActualsTable[Product],IF($J$5="Y",IF($J19="",$J$6,$J19),"*"),ActualsTable[Location],IF($K$5="Y",IF($K19="",$K$6,$K19),"*"),ActualsTable[Expense Item],"Headcount"),OFFSET($Q$6,,Input_ActualsOffset-1,,-$C19),1)),"")</f>
        <v>#REF!</v>
      </c>
      <c r="E19" s="640"/>
      <c r="F19" s="555"/>
      <c r="G19" s="555"/>
      <c r="H19" s="555"/>
      <c r="I19" s="555"/>
      <c r="J19" s="555"/>
      <c r="K19" s="555"/>
      <c r="L19" s="555" t="s">
        <v>18</v>
      </c>
      <c r="M19" s="555"/>
      <c r="N19" s="555"/>
      <c r="O19" s="556" t="str">
        <f>IF($L19="","",IF(VLOOKUP(L19,ExpItems[],2,0),L19&amp;" - "&amp;INDEX(DivisionMapping[category_code],MATCH(IF(H19="",$H$6,H19)&amp;IF(G19="",$G$6,G19),DivisionMapping[dept_bu],0)),L19))</f>
        <v>Marketing Programs</v>
      </c>
      <c r="P19" s="556" t="e">
        <f>IF($L19="","",INDEX(Teams[team_consolidation],MATCH(IF($I19="",$I$6,$I19),Teams[team_name],0)))</f>
        <v>#N/A</v>
      </c>
      <c r="Q19" s="657" t="e">
        <f t="array" ref="Q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f>
        <v>#VALUE!</v>
      </c>
      <c r="R19" s="657" t="e">
        <f t="array" ref="R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f>
        <v>#VALUE!</v>
      </c>
      <c r="S19" s="657" t="e">
        <f t="array" ref="S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f>
        <v>#VALUE!</v>
      </c>
      <c r="T19" s="657" t="e">
        <f t="array" ref="T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4]))</f>
        <v>#VALUE!</v>
      </c>
      <c r="U19" s="657" t="e">
        <f t="array" ref="U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5]))</f>
        <v>#VALUE!</v>
      </c>
      <c r="V19" s="657" t="e">
        <f t="array" ref="V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6]))</f>
        <v>#VALUE!</v>
      </c>
      <c r="W19" s="657" t="e">
        <f t="array" ref="W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7]))</f>
        <v>#VALUE!</v>
      </c>
      <c r="X19" s="657" t="e">
        <f t="array" ref="X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8]))</f>
        <v>#VALUE!</v>
      </c>
      <c r="Y19" s="657" t="e">
        <f t="array" ref="Y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9]))</f>
        <v>#VALUE!</v>
      </c>
      <c r="Z19" s="657" t="e">
        <f t="array" ref="Z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10]))</f>
        <v>#VALUE!</v>
      </c>
      <c r="AA19" s="657" t="e">
        <f t="array" ref="AA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11]))</f>
        <v>#VALUE!</v>
      </c>
      <c r="AB19" s="657" t="e">
        <f t="array" ref="AB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12]))</f>
        <v>#VALUE!</v>
      </c>
      <c r="AC19" s="657" t="e">
        <f t="array" ref="AC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13]))</f>
        <v>#VALUE!</v>
      </c>
      <c r="AD19" s="657" t="e">
        <f t="array" ref="AD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14]))</f>
        <v>#VALUE!</v>
      </c>
      <c r="AE19" s="657" t="e">
        <f t="array" ref="AE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15]))</f>
        <v>#VALUE!</v>
      </c>
      <c r="AF19" s="657" t="e">
        <f t="array" ref="AF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16]))</f>
        <v>#VALUE!</v>
      </c>
      <c r="AG19" s="657" t="e">
        <f t="array" ref="AG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17]))</f>
        <v>#VALUE!</v>
      </c>
      <c r="AH19" s="657" t="e">
        <f t="array" ref="AH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18]))</f>
        <v>#VALUE!</v>
      </c>
      <c r="AI19" s="657" t="e">
        <f t="array" ref="AI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19]))</f>
        <v>#VALUE!</v>
      </c>
      <c r="AJ19" s="657" t="e">
        <f t="array" ref="AJ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20]))</f>
        <v>#VALUE!</v>
      </c>
      <c r="AK19" s="657" t="e">
        <f t="array" ref="AK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21]))</f>
        <v>#VALUE!</v>
      </c>
      <c r="AL19" s="657" t="e">
        <f t="array" ref="AL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22]))</f>
        <v>#VALUE!</v>
      </c>
      <c r="AM19" s="657" t="e">
        <f t="array" ref="AM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23]))</f>
        <v>#VALUE!</v>
      </c>
      <c r="AN19" s="657" t="e">
        <f t="array" ref="AN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24]))</f>
        <v>#VALUE!</v>
      </c>
      <c r="AO19" s="657" t="e">
        <f t="array" ref="AO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25]))</f>
        <v>#VALUE!</v>
      </c>
      <c r="AP19" s="657" t="e">
        <f t="array" ref="AP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26]))</f>
        <v>#VALUE!</v>
      </c>
      <c r="AQ19" s="657" t="e">
        <f t="array" ref="AQ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27]))</f>
        <v>#VALUE!</v>
      </c>
      <c r="AR19" s="657" t="e">
        <f t="array" ref="AR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28]))</f>
        <v>#VALUE!</v>
      </c>
      <c r="AS19" s="657" t="e">
        <f t="array" ref="AS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29]))</f>
        <v>#VALUE!</v>
      </c>
      <c r="AT19" s="657" t="e">
        <f t="array" ref="AT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30]))</f>
        <v>#VALUE!</v>
      </c>
      <c r="AU19" s="657" t="e">
        <f t="array" ref="AU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31]))</f>
        <v>#VALUE!</v>
      </c>
      <c r="AV19" s="657" t="e">
        <f t="array" ref="AV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32]))</f>
        <v>#VALUE!</v>
      </c>
      <c r="AW19" s="657" t="e">
        <f t="array" ref="AW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33]))</f>
        <v>#VALUE!</v>
      </c>
      <c r="AX19" s="657" t="e">
        <f t="array" ref="AX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34]))</f>
        <v>#VALUE!</v>
      </c>
      <c r="AY19" s="657" t="e">
        <f t="array" ref="AY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35]))</f>
        <v>#VALUE!</v>
      </c>
      <c r="AZ19" s="657" t="e">
        <f t="array" ref="AZ19">IF($L19="","",SUMPRODUCT(IF($F$5="Y",1*(ActualsTable[Company]=IF($F19="",$F$6,$F19)),1+0*ISBLANK(ActualsTable[Company])),IF($G$5="Y",1*(ActualsTable[Business Unit]=IF($G19="",$G$6,$G19)),1+0*ISBLANK(ActualsTable[Business Unit])),IF($H$5="Y",1*(ActualsTable[Department]=IF($H19="",$H$6,$H19)),1+0*ISBLANK(ActualsTable[Department])),IF($I$5="Y",1*(ActualsTable[Team]=IF($P19="",$P$6,$P19)),1+0*ISBLANK(ActualsTable[Team])),IF($J$5="Y",1*(ActualsTable[Product]=IF($J19="",$J$6,$J19)),1+0*ISBLANK(ActualsTable[Product])),IF($K$5="Y",1*(ActualsTable[Location]=IF($K19="",$K$6,$K19)),1+0*ISBLANK(ActualsTable[Location])),1*(ActualsTable[Expense Item]=$L19),ActualsTable[Month 36]))</f>
        <v>#VALUE!</v>
      </c>
      <c r="BA19" s="257"/>
      <c r="BB19" s="654">
        <f t="array" ref="BB19">IF(OR($L19="",IsHidden(BB19)),"",CHOOSE($B19,N($E19)*BB$5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L$186:L$286)*N($E19),BB$6*N($E19),N($E19),0)+N(BB82))</f>
        <v>0</v>
      </c>
      <c r="BC19" s="654">
        <f t="array" ref="BC19">IF(OR($L19="",IsHidden(BC19)),"",CHOOSE($B19,N($E19)*BC$5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M$186:M$286)*N($E19),BC$6*N($E19),N($E19),0)+N(BC82))</f>
        <v>0</v>
      </c>
      <c r="BD19" s="654">
        <f t="array" ref="BD19">IF(OR($L19="",IsHidden(BD19)),"",CHOOSE($B19,N($E19)*BD$5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N$186:N$286)*N($E19),BD$6*N($E19),N($E19),0)+N(BD82))</f>
        <v>0</v>
      </c>
      <c r="BE19" s="654">
        <f t="array" ref="BE19">IF(OR($L19="",IsHidden(BE19)),"",CHOOSE($B19,N($E19)*BE$5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O$186:O$286)*N($E19),BE$6*N($E19),N($E19),0)+N(BE82))</f>
        <v>0</v>
      </c>
      <c r="BF19" s="654">
        <f t="array" ref="BF19">IF(OR($L19="",IsHidden(BF19)),"",CHOOSE($B19,N($E19)*BF$5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P$186:P$286)*N($E19),BF$6*N($E19),N($E19),0)+N(BF82))</f>
        <v>0</v>
      </c>
      <c r="BG19" s="654">
        <f t="array" ref="BG19">IF(OR($L19="",IsHidden(BG19)),"",CHOOSE($B19,N($E19)*BG$5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Q$186:Q$286)*N($E19),BG$6*N($E19),N($E19),0)+N(BG82))</f>
        <v>0</v>
      </c>
      <c r="BH19" s="654">
        <f t="array" ref="BH19">IF(OR($L19="",IsHidden(BH19)),"",CHOOSE($B19,N($E19)*BH$5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R$186:R$286)*N($E19),BH$6*N($E19),N($E19),0)+N(BH82))</f>
        <v>0</v>
      </c>
      <c r="BI19" s="654">
        <f t="array" ref="BI19">IF(OR($L19="",IsHidden(BI19)),"",CHOOSE($B19,N($E19)*BI$5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S$186:S$286)*N($E19),BI$6*N($E19),N($E19),0)+N(BI82))</f>
        <v>0</v>
      </c>
      <c r="BJ19" s="654">
        <f t="array" ref="BJ19">IF(OR($L19="",IsHidden(BJ19)),"",CHOOSE($B19,N($E19)*BJ$5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T$186:T$286)*N($E19),BJ$6*N($E19),N($E19),0)+N(BJ82))</f>
        <v>0</v>
      </c>
      <c r="BK19" s="654">
        <f t="array" ref="BK19">IF(OR($L19="",IsHidden(BK19)),"",CHOOSE($B19,N($E19)*BK$5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U$186:U$286)*N($E19),BK$6*N($E19),N($E19),0)+N(BK82))</f>
        <v>0</v>
      </c>
      <c r="BL19" s="654">
        <f t="array" ref="BL19">IF(OR($L19="",IsHidden(BL19)),"",CHOOSE($B19,N($E19)*BL$5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V$186:V$286)*N($E19),BL$6*N($E19),N($E19),0)+N(BL82))</f>
        <v>0</v>
      </c>
      <c r="BM19" s="654">
        <f t="array" ref="BM19">IF(OR($L19="",IsHidden(BM19)),"",CHOOSE($B19,N($E19)*BM$5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W$186:W$286)*N($E19),BM$6*N($E19),N($E19),0)+N(BM82))</f>
        <v>0</v>
      </c>
      <c r="BN19" s="654">
        <f t="array" ref="BN19">IF(OR($L19="",IsHidden(BN19)),"",CHOOSE($B19,N($E19)*BN$5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X$186:X$286)*N($E19),BN$6*N($E19),N($E19),0)+N(BN82))</f>
        <v>0</v>
      </c>
      <c r="BO19" s="654">
        <f t="array" ref="BO19">IF(OR($L19="",IsHidden(BO19)),"",CHOOSE($B19,N($E19)*BO$5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Y$186:Y$286)*N($E19),BO$6*N($E19),N($E19),0)+N(BO82))</f>
        <v>0</v>
      </c>
      <c r="BP19" s="654">
        <f t="array" ref="BP19">IF(OR($L19="",IsHidden(BP19)),"",CHOOSE($B19,N($E19)*BP$5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Z$186:Z$286)*N($E19),BP$6*N($E19),N($E19),0)+N(BP82))</f>
        <v>0</v>
      </c>
      <c r="BQ19" s="654">
        <f t="array" ref="BQ19">IF(OR($L19="",IsHidden(BQ19)),"",CHOOSE($B19,N($E19)*BQ$5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A$186:AA$286)*N($E19),BQ$6*N($E19),N($E19),0)+N(BQ82))</f>
        <v>0</v>
      </c>
      <c r="BR19" s="654">
        <f t="array" ref="BR19">IF(OR($L19="",IsHidden(BR19)),"",CHOOSE($B19,N($E19)*BR$5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B$186:AB$286)*N($E19),BR$6*N($E19),N($E19),0)+N(BR82))</f>
        <v>0</v>
      </c>
      <c r="BS19" s="654">
        <f t="array" ref="BS19">IF(OR($L19="",IsHidden(BS19)),"",CHOOSE($B19,N($E19)*BS$5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C$186:AC$286)*N($E19),BS$6*N($E19),N($E19),0)+N(BS82))</f>
        <v>0</v>
      </c>
      <c r="BT19" s="654">
        <f t="array" ref="BT19">IF(OR($L19="",IsHidden(BT19)),"",CHOOSE($B19,N($E19)*BT$5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D$186:AD$286)*N($E19),BT$6*N($E19),N($E19),0)+N(BT82))</f>
        <v>0</v>
      </c>
      <c r="BU19" s="654">
        <f t="array" ref="BU19">IF(OR($L19="",IsHidden(BU19)),"",CHOOSE($B19,N($E19)*BU$5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E$186:AE$286)*N($E19),BU$6*N($E19),N($E19),0)+N(BU82))</f>
        <v>0</v>
      </c>
      <c r="BV19" s="654">
        <f t="array" ref="BV19">IF(OR($L19="",IsHidden(BV19)),"",CHOOSE($B19,N($E19)*BV$5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F$186:AF$286)*N($E19),BV$6*N($E19),N($E19),0)+N(BV82))</f>
        <v>0</v>
      </c>
      <c r="BW19" s="654">
        <f t="array" ref="BW19">IF(OR($L19="",IsHidden(BW19)),"",CHOOSE($B19,N($E19)*BW$5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G$186:AG$286)*N($E19),BW$6*N($E19),N($E19),0)+N(BW82))</f>
        <v>0</v>
      </c>
      <c r="BX19" s="654">
        <f t="array" ref="BX19">IF(OR($L19="",IsHidden(BX19)),"",CHOOSE($B19,N($E19)*BX$5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H$186:AH$286)*N($E19),BX$6*N($E19),N($E19),0)+N(BX82))</f>
        <v>0</v>
      </c>
      <c r="BY19" s="654">
        <f t="array" ref="BY19">IF(OR($L19="",IsHidden(BY19)),"",CHOOSE($B19,N($E19)*BY$5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I$186:AI$286)*N($E19),BY$6*N($E19),N($E19),0)+N(BY82))</f>
        <v>0</v>
      </c>
      <c r="BZ19" s="654">
        <f t="array" ref="BZ19">IF(OR($L19="",IsHidden(BZ19)),"",CHOOSE($B19,N($E19)*BZ$5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J$186:AJ$286)*N($E19),BZ$6*N($E19),N($E19),0)+N(BZ82))</f>
        <v>0</v>
      </c>
      <c r="CA19" s="654">
        <f t="array" ref="CA19">IF(OR($L19="",IsHidden(CA19)),"",CHOOSE($B19,N($E19)*CA$5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K$186:AK$286)*N($E19),CA$6*N($E19),N($E19),0)+N(CA82))</f>
        <v>0</v>
      </c>
      <c r="CB19" s="654">
        <f t="array" ref="CB19">IF(OR($L19="",IsHidden(CB19)),"",CHOOSE($B19,N($E19)*CB$5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L$186:AL$286)*N($E19),CB$6*N($E19),N($E19),0)+N(CB82))</f>
        <v>0</v>
      </c>
      <c r="CC19" s="654">
        <f t="array" ref="CC19">IF(OR($L19="",IsHidden(CC19)),"",CHOOSE($B19,N($E19)*CC$5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M$186:AM$286)*N($E19),CC$6*N($E19),N($E19),0)+N(CC82))</f>
        <v>0</v>
      </c>
      <c r="CD19" s="654">
        <f t="array" ref="CD19">IF(OR($L19="",IsHidden(CD19)),"",CHOOSE($B19,N($E19)*CD$5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N$186:AN$286)*N($E19),CD$6*N($E19),N($E19),0)+N(CD82))</f>
        <v>0</v>
      </c>
      <c r="CE19" s="654">
        <f t="array" ref="CE19">IF(OR($L19="",IsHidden(CE19)),"",CHOOSE($B19,N($E19)*CE$5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O$186:AO$286)*N($E19),CE$6*N($E19),N($E19),0)+N(CE82))</f>
        <v>0</v>
      </c>
      <c r="CF19" s="654">
        <f t="array" ref="CF19">IF(OR($L19="",IsHidden(CF19)),"",CHOOSE($B19,N($E19)*CF$5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P$186:AP$286)*N($E19),CF$6*N($E19),N($E19),0)+N(CF82))</f>
        <v>0</v>
      </c>
      <c r="CG19" s="654">
        <f t="array" ref="CG19">IF(OR($L19="",IsHidden(CG19)),"",CHOOSE($B19,N($E19)*CG$5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Q$186:AQ$286)*N($E19),CG$6*N($E19),N($E19),0)+N(CG82))</f>
        <v>0</v>
      </c>
      <c r="CH19" s="654">
        <f t="array" ref="CH19">IF(OR($L19="",IsHidden(CH19)),"",CHOOSE($B19,N($E19)*CH$5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R$186:AR$286)*N($E19),CH$6*N($E19),N($E19),0)+N(CH82))</f>
        <v>0</v>
      </c>
      <c r="CI19" s="654">
        <f t="array" ref="CI19">IF(OR($L19="",IsHidden(CI19)),"",CHOOSE($B19,N($E19)*CI$5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S$186:AS$286)*N($E19),CI$6*N($E19),N($E19),0)+N(CI82))</f>
        <v>0</v>
      </c>
      <c r="CJ19" s="654">
        <f t="array" ref="CJ19">IF(OR($L19="",IsHidden(CJ19)),"",CHOOSE($B19,N($E19)*CJ$5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T$186:AT$286)*N($E19),CJ$6*N($E19),N($E19),0)+N(CJ82))</f>
        <v>0</v>
      </c>
      <c r="CK19" s="654">
        <f t="array" ref="CK19">IF(OR($L19="",IsHidden(CK19)),"",CHOOSE($B19,N($E19)*CK$5,SUMPRODUCT(IF($F$5="Y",1*(Headcount!$B$186:$B$286=IF($F19="",$F$6,$F19)),1+0*ISBLANK(Headcount!$B$186:$B$286)),IF($G$5="Y",1*(Headcount!$C$186:$C$286=IF($G19="",$G$6,$G19)),1+0*ISBLANK(Headcount!$C$186:$C$286)),IF($H$5="Y",1*(Headcount!$D$186:$D$286=IF($H19="",$H$6,$H19)),1+0*ISBLANK(Headcount!$D$186:$D$286)),IF($I$5="Y",1*(Headcount!$E$186:$E$286=IF($I19="",$I$6,$I19)),1+0*ISBLANK(Headcount!$E$186:$E$286)),IF($J$5="Y",1*(Headcount!$F$186:$F$286=IF($J19="",$J$6,$J19)),1+0*ISBLANK(Headcount!$F$186:$F$286)),IF($K$5="Y",1*(Headcount!$G$186:$G$286=IF($K19="",$K$6,$K19)),1+0*ISBLANK(Headcount!$G$186:$G$286)),Headcount!AU$186:AU$286)*N($E19),CK$6*N($E19),N($E19),0)+N(CK82))</f>
        <v>0</v>
      </c>
      <c r="CN19" s="255" t="b">
        <f t="array" ref="CN19">IF($L19="",TRUE,IF(AND(OR($F19&lt;&gt;"",$F$6&lt;&gt;""),OR($G19&lt;&gt;"",$G$6&lt;&gt;""),OR($H19&lt;&gt;"",$H$6&lt;&gt;""),OR($I19&lt;&gt;"",$I$6&lt;&gt;""),OR($J19&lt;&gt;"",$J$6&lt;&gt;""),OR($K19&lt;&gt;"",$K$6&lt;&gt;""),NOT(ISERROR(BB19:CK19)),NOT(ISNA(MATCH(IF($H19="",$H$6,$H19)&amp;IF($G19="",$G$6,$G19),DeptBU,0)))),TRUE,FALSE))</f>
        <v>0</v>
      </c>
      <c r="CP19" s="255" t="str">
        <f t="shared" si="3"/>
        <v>SELECT ''Expenses'',''Expenses'',19,''USD'',NULL,''Forecast'','''','''','''','''','''','''',''Marketing Programs'',NULL,NULL,''% of Revenue'',NULL,0,0,0,0,0,0,0,0,0,0,0,0,0,0,0,0,0,0,0,0,0,0,0,0,0,0,0,0,0,0,0,0,0,0,0,0</v>
      </c>
    </row>
    <row r="20" spans="1:94" s="255" customFormat="1" x14ac:dyDescent="0.35">
      <c r="A20" s="566" t="s">
        <v>1141</v>
      </c>
      <c r="B20" s="261">
        <f t="shared" si="2"/>
        <v>1</v>
      </c>
      <c r="C20" s="566"/>
      <c r="D20" s="261" t="e">
        <f t="array" aca="1" ref="D20" ca="1">IF($B20&lt;5,AVERAGE(OFFSET($Q20,,Input_ActualsOffset-1,,-$C20)/CHOOSE($B20,OFFSET($Q$5,,Input_ActualsOffset-1,1,-$C20),ss($C20,OFFSET(Actuals!$A$1,1,MATCH("Month "&amp;Input_ActualsOffset,ActualsTable[#Headers],0)-1,ROWS(ActualsTable[#Data]),1),ActualsTable[Company],IF($F$5="Y",IF($F20="",$F$6,$F20),"*"),ActualsTable[Business Unit],IF($G$5="Y",IF($G20="",$G$6,$G20),"*"),ActualsTable[Department],IF($H$5="Y",IF($H20="",$H$6,$H20),"*"),ActualsTable[Team],IF($I$5="Y",IF($P20="",$P$6,$P20),"*"),ActualsTable[Product],IF($J$5="Y",IF($J20="",$J$6,$J20),"*"),ActualsTable[Location],IF($K$5="Y",IF($K20="",$K$6,$K20),"*"),ActualsTable[Expense Item],"Headcount"),OFFSET($Q$6,,Input_ActualsOffset-1,,-$C20),1)),"")</f>
        <v>#REF!</v>
      </c>
      <c r="E20" s="640"/>
      <c r="F20" s="555"/>
      <c r="G20" s="555"/>
      <c r="H20" s="555"/>
      <c r="I20" s="555"/>
      <c r="J20" s="555"/>
      <c r="K20" s="555"/>
      <c r="L20" s="555" t="s">
        <v>17</v>
      </c>
      <c r="M20" s="555"/>
      <c r="N20" s="555"/>
      <c r="O20" s="556" t="str">
        <f>IF($L20="","",IF(VLOOKUP(L20,ExpItems[],2,0),L20&amp;" - "&amp;INDEX(DivisionMapping[category_code],MATCH(IF(H20="",$H$6,H20)&amp;IF(G20="",$G$6,G20),DivisionMapping[dept_bu],0)),L20))</f>
        <v>Bad Debt</v>
      </c>
      <c r="P20" s="556" t="e">
        <f>IF($L20="","",INDEX(Teams[team_consolidation],MATCH(IF($I20="",$I$6,$I20),Teams[team_name],0)))</f>
        <v>#N/A</v>
      </c>
      <c r="Q20" s="657" t="e">
        <f t="array" ref="Q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f>
        <v>#VALUE!</v>
      </c>
      <c r="R20" s="657" t="e">
        <f t="array" ref="R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f>
        <v>#VALUE!</v>
      </c>
      <c r="S20" s="657" t="e">
        <f t="array" ref="S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f>
        <v>#VALUE!</v>
      </c>
      <c r="T20" s="657" t="e">
        <f t="array" ref="T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4]))</f>
        <v>#VALUE!</v>
      </c>
      <c r="U20" s="657" t="e">
        <f t="array" ref="U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5]))</f>
        <v>#VALUE!</v>
      </c>
      <c r="V20" s="657" t="e">
        <f t="array" ref="V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6]))</f>
        <v>#VALUE!</v>
      </c>
      <c r="W20" s="657" t="e">
        <f t="array" ref="W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7]))</f>
        <v>#VALUE!</v>
      </c>
      <c r="X20" s="657" t="e">
        <f t="array" ref="X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8]))</f>
        <v>#VALUE!</v>
      </c>
      <c r="Y20" s="657" t="e">
        <f t="array" ref="Y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9]))</f>
        <v>#VALUE!</v>
      </c>
      <c r="Z20" s="657" t="e">
        <f t="array" ref="Z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10]))</f>
        <v>#VALUE!</v>
      </c>
      <c r="AA20" s="657" t="e">
        <f t="array" ref="AA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11]))</f>
        <v>#VALUE!</v>
      </c>
      <c r="AB20" s="657" t="e">
        <f t="array" ref="AB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12]))</f>
        <v>#VALUE!</v>
      </c>
      <c r="AC20" s="657" t="e">
        <f t="array" ref="AC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13]))</f>
        <v>#VALUE!</v>
      </c>
      <c r="AD20" s="657" t="e">
        <f t="array" ref="AD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14]))</f>
        <v>#VALUE!</v>
      </c>
      <c r="AE20" s="657" t="e">
        <f t="array" ref="AE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15]))</f>
        <v>#VALUE!</v>
      </c>
      <c r="AF20" s="657" t="e">
        <f t="array" ref="AF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16]))</f>
        <v>#VALUE!</v>
      </c>
      <c r="AG20" s="657" t="e">
        <f t="array" ref="AG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17]))</f>
        <v>#VALUE!</v>
      </c>
      <c r="AH20" s="657" t="e">
        <f t="array" ref="AH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18]))</f>
        <v>#VALUE!</v>
      </c>
      <c r="AI20" s="657" t="e">
        <f t="array" ref="AI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19]))</f>
        <v>#VALUE!</v>
      </c>
      <c r="AJ20" s="657" t="e">
        <f t="array" ref="AJ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20]))</f>
        <v>#VALUE!</v>
      </c>
      <c r="AK20" s="657" t="e">
        <f t="array" ref="AK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21]))</f>
        <v>#VALUE!</v>
      </c>
      <c r="AL20" s="657" t="e">
        <f t="array" ref="AL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22]))</f>
        <v>#VALUE!</v>
      </c>
      <c r="AM20" s="657" t="e">
        <f t="array" ref="AM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23]))</f>
        <v>#VALUE!</v>
      </c>
      <c r="AN20" s="657" t="e">
        <f t="array" ref="AN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24]))</f>
        <v>#VALUE!</v>
      </c>
      <c r="AO20" s="657" t="e">
        <f t="array" ref="AO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25]))</f>
        <v>#VALUE!</v>
      </c>
      <c r="AP20" s="657" t="e">
        <f t="array" ref="AP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26]))</f>
        <v>#VALUE!</v>
      </c>
      <c r="AQ20" s="657" t="e">
        <f t="array" ref="AQ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27]))</f>
        <v>#VALUE!</v>
      </c>
      <c r="AR20" s="657" t="e">
        <f t="array" ref="AR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28]))</f>
        <v>#VALUE!</v>
      </c>
      <c r="AS20" s="657" t="e">
        <f t="array" ref="AS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29]))</f>
        <v>#VALUE!</v>
      </c>
      <c r="AT20" s="657" t="e">
        <f t="array" ref="AT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30]))</f>
        <v>#VALUE!</v>
      </c>
      <c r="AU20" s="657" t="e">
        <f t="array" ref="AU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31]))</f>
        <v>#VALUE!</v>
      </c>
      <c r="AV20" s="657" t="e">
        <f t="array" ref="AV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32]))</f>
        <v>#VALUE!</v>
      </c>
      <c r="AW20" s="657" t="e">
        <f t="array" ref="AW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33]))</f>
        <v>#VALUE!</v>
      </c>
      <c r="AX20" s="657" t="e">
        <f t="array" ref="AX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34]))</f>
        <v>#VALUE!</v>
      </c>
      <c r="AY20" s="657" t="e">
        <f t="array" ref="AY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35]))</f>
        <v>#VALUE!</v>
      </c>
      <c r="AZ20" s="657" t="e">
        <f t="array" ref="AZ20">IF($L20="","",SUMPRODUCT(IF($F$5="Y",1*(ActualsTable[Company]=IF($F20="",$F$6,$F20)),1+0*ISBLANK(ActualsTable[Company])),IF($G$5="Y",1*(ActualsTable[Business Unit]=IF($G20="",$G$6,$G20)),1+0*ISBLANK(ActualsTable[Business Unit])),IF($H$5="Y",1*(ActualsTable[Department]=IF($H20="",$H$6,$H20)),1+0*ISBLANK(ActualsTable[Department])),IF($I$5="Y",1*(ActualsTable[Team]=IF($P20="",$P$6,$P20)),1+0*ISBLANK(ActualsTable[Team])),IF($J$5="Y",1*(ActualsTable[Product]=IF($J20="",$J$6,$J20)),1+0*ISBLANK(ActualsTable[Product])),IF($K$5="Y",1*(ActualsTable[Location]=IF($K20="",$K$6,$K20)),1+0*ISBLANK(ActualsTable[Location])),1*(ActualsTable[Expense Item]=$L20),ActualsTable[Month 36]))</f>
        <v>#VALUE!</v>
      </c>
      <c r="BA20" s="257"/>
      <c r="BB20" s="654">
        <f t="array" ref="BB20">IF(OR($L20="",IsHidden(BB20)),"",CHOOSE($B20,N($E20)*BB$5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L$186:L$286)*N($E20),BB$6*N($E20),N($E20),0)+N(BB83))</f>
        <v>0</v>
      </c>
      <c r="BC20" s="654">
        <f t="array" ref="BC20">IF(OR($L20="",IsHidden(BC20)),"",CHOOSE($B20,N($E20)*BC$5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M$186:M$286)*N($E20),BC$6*N($E20),N($E20),0)+N(BC83))</f>
        <v>0</v>
      </c>
      <c r="BD20" s="654">
        <f t="array" ref="BD20">IF(OR($L20="",IsHidden(BD20)),"",CHOOSE($B20,N($E20)*BD$5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N$186:N$286)*N($E20),BD$6*N($E20),N($E20),0)+N(BD83))</f>
        <v>0</v>
      </c>
      <c r="BE20" s="654">
        <f t="array" ref="BE20">IF(OR($L20="",IsHidden(BE20)),"",CHOOSE($B20,N($E20)*BE$5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O$186:O$286)*N($E20),BE$6*N($E20),N($E20),0)+N(BE83))</f>
        <v>0</v>
      </c>
      <c r="BF20" s="654">
        <f t="array" ref="BF20">IF(OR($L20="",IsHidden(BF20)),"",CHOOSE($B20,N($E20)*BF$5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P$186:P$286)*N($E20),BF$6*N($E20),N($E20),0)+N(BF83))</f>
        <v>0</v>
      </c>
      <c r="BG20" s="654">
        <f t="array" ref="BG20">IF(OR($L20="",IsHidden(BG20)),"",CHOOSE($B20,N($E20)*BG$5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Q$186:Q$286)*N($E20),BG$6*N($E20),N($E20),0)+N(BG83))</f>
        <v>0</v>
      </c>
      <c r="BH20" s="654">
        <f t="array" ref="BH20">IF(OR($L20="",IsHidden(BH20)),"",CHOOSE($B20,N($E20)*BH$5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R$186:R$286)*N($E20),BH$6*N($E20),N($E20),0)+N(BH83))</f>
        <v>0</v>
      </c>
      <c r="BI20" s="654">
        <f t="array" ref="BI20">IF(OR($L20="",IsHidden(BI20)),"",CHOOSE($B20,N($E20)*BI$5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S$186:S$286)*N($E20),BI$6*N($E20),N($E20),0)+N(BI83))</f>
        <v>0</v>
      </c>
      <c r="BJ20" s="654">
        <f t="array" ref="BJ20">IF(OR($L20="",IsHidden(BJ20)),"",CHOOSE($B20,N($E20)*BJ$5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T$186:T$286)*N($E20),BJ$6*N($E20),N($E20),0)+N(BJ83))</f>
        <v>0</v>
      </c>
      <c r="BK20" s="654">
        <f t="array" ref="BK20">IF(OR($L20="",IsHidden(BK20)),"",CHOOSE($B20,N($E20)*BK$5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U$186:U$286)*N($E20),BK$6*N($E20),N($E20),0)+N(BK83))</f>
        <v>0</v>
      </c>
      <c r="BL20" s="654">
        <f t="array" ref="BL20">IF(OR($L20="",IsHidden(BL20)),"",CHOOSE($B20,N($E20)*BL$5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V$186:V$286)*N($E20),BL$6*N($E20),N($E20),0)+N(BL83))</f>
        <v>0</v>
      </c>
      <c r="BM20" s="654">
        <f t="array" ref="BM20">IF(OR($L20="",IsHidden(BM20)),"",CHOOSE($B20,N($E20)*BM$5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W$186:W$286)*N($E20),BM$6*N($E20),N($E20),0)+N(BM83))</f>
        <v>0</v>
      </c>
      <c r="BN20" s="654">
        <f t="array" ref="BN20">IF(OR($L20="",IsHidden(BN20)),"",CHOOSE($B20,N($E20)*BN$5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X$186:X$286)*N($E20),BN$6*N($E20),N($E20),0)+N(BN83))</f>
        <v>0</v>
      </c>
      <c r="BO20" s="654">
        <f t="array" ref="BO20">IF(OR($L20="",IsHidden(BO20)),"",CHOOSE($B20,N($E20)*BO$5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Y$186:Y$286)*N($E20),BO$6*N($E20),N($E20),0)+N(BO83))</f>
        <v>0</v>
      </c>
      <c r="BP20" s="654">
        <f t="array" ref="BP20">IF(OR($L20="",IsHidden(BP20)),"",CHOOSE($B20,N($E20)*BP$5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Z$186:Z$286)*N($E20),BP$6*N($E20),N($E20),0)+N(BP83))</f>
        <v>0</v>
      </c>
      <c r="BQ20" s="654">
        <f t="array" ref="BQ20">IF(OR($L20="",IsHidden(BQ20)),"",CHOOSE($B20,N($E20)*BQ$5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A$186:AA$286)*N($E20),BQ$6*N($E20),N($E20),0)+N(BQ83))</f>
        <v>0</v>
      </c>
      <c r="BR20" s="654">
        <f t="array" ref="BR20">IF(OR($L20="",IsHidden(BR20)),"",CHOOSE($B20,N($E20)*BR$5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B$186:AB$286)*N($E20),BR$6*N($E20),N($E20),0)+N(BR83))</f>
        <v>0</v>
      </c>
      <c r="BS20" s="654">
        <f t="array" ref="BS20">IF(OR($L20="",IsHidden(BS20)),"",CHOOSE($B20,N($E20)*BS$5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C$186:AC$286)*N($E20),BS$6*N($E20),N($E20),0)+N(BS83))</f>
        <v>0</v>
      </c>
      <c r="BT20" s="654">
        <f t="array" ref="BT20">IF(OR($L20="",IsHidden(BT20)),"",CHOOSE($B20,N($E20)*BT$5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D$186:AD$286)*N($E20),BT$6*N($E20),N($E20),0)+N(BT83))</f>
        <v>0</v>
      </c>
      <c r="BU20" s="654">
        <f t="array" ref="BU20">IF(OR($L20="",IsHidden(BU20)),"",CHOOSE($B20,N($E20)*BU$5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E$186:AE$286)*N($E20),BU$6*N($E20),N($E20),0)+N(BU83))</f>
        <v>0</v>
      </c>
      <c r="BV20" s="654">
        <f t="array" ref="BV20">IF(OR($L20="",IsHidden(BV20)),"",CHOOSE($B20,N($E20)*BV$5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F$186:AF$286)*N($E20),BV$6*N($E20),N($E20),0)+N(BV83))</f>
        <v>0</v>
      </c>
      <c r="BW20" s="654">
        <f t="array" ref="BW20">IF(OR($L20="",IsHidden(BW20)),"",CHOOSE($B20,N($E20)*BW$5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G$186:AG$286)*N($E20),BW$6*N($E20),N($E20),0)+N(BW83))</f>
        <v>0</v>
      </c>
      <c r="BX20" s="654">
        <f t="array" ref="BX20">IF(OR($L20="",IsHidden(BX20)),"",CHOOSE($B20,N($E20)*BX$5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H$186:AH$286)*N($E20),BX$6*N($E20),N($E20),0)+N(BX83))</f>
        <v>0</v>
      </c>
      <c r="BY20" s="654">
        <f t="array" ref="BY20">IF(OR($L20="",IsHidden(BY20)),"",CHOOSE($B20,N($E20)*BY$5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I$186:AI$286)*N($E20),BY$6*N($E20),N($E20),0)+N(BY83))</f>
        <v>0</v>
      </c>
      <c r="BZ20" s="654">
        <f t="array" ref="BZ20">IF(OR($L20="",IsHidden(BZ20)),"",CHOOSE($B20,N($E20)*BZ$5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J$186:AJ$286)*N($E20),BZ$6*N($E20),N($E20),0)+N(BZ83))</f>
        <v>0</v>
      </c>
      <c r="CA20" s="654">
        <f t="array" ref="CA20">IF(OR($L20="",IsHidden(CA20)),"",CHOOSE($B20,N($E20)*CA$5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K$186:AK$286)*N($E20),CA$6*N($E20),N($E20),0)+N(CA83))</f>
        <v>0</v>
      </c>
      <c r="CB20" s="654">
        <f t="array" ref="CB20">IF(OR($L20="",IsHidden(CB20)),"",CHOOSE($B20,N($E20)*CB$5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L$186:AL$286)*N($E20),CB$6*N($E20),N($E20),0)+N(CB83))</f>
        <v>0</v>
      </c>
      <c r="CC20" s="654">
        <f t="array" ref="CC20">IF(OR($L20="",IsHidden(CC20)),"",CHOOSE($B20,N($E20)*CC$5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M$186:AM$286)*N($E20),CC$6*N($E20),N($E20),0)+N(CC83))</f>
        <v>0</v>
      </c>
      <c r="CD20" s="654">
        <f t="array" ref="CD20">IF(OR($L20="",IsHidden(CD20)),"",CHOOSE($B20,N($E20)*CD$5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N$186:AN$286)*N($E20),CD$6*N($E20),N($E20),0)+N(CD83))</f>
        <v>0</v>
      </c>
      <c r="CE20" s="654">
        <f t="array" ref="CE20">IF(OR($L20="",IsHidden(CE20)),"",CHOOSE($B20,N($E20)*CE$5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O$186:AO$286)*N($E20),CE$6*N($E20),N($E20),0)+N(CE83))</f>
        <v>0</v>
      </c>
      <c r="CF20" s="654">
        <f t="array" ref="CF20">IF(OR($L20="",IsHidden(CF20)),"",CHOOSE($B20,N($E20)*CF$5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P$186:AP$286)*N($E20),CF$6*N($E20),N($E20),0)+N(CF83))</f>
        <v>0</v>
      </c>
      <c r="CG20" s="654">
        <f t="array" ref="CG20">IF(OR($L20="",IsHidden(CG20)),"",CHOOSE($B20,N($E20)*CG$5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Q$186:AQ$286)*N($E20),CG$6*N($E20),N($E20),0)+N(CG83))</f>
        <v>0</v>
      </c>
      <c r="CH20" s="654">
        <f t="array" ref="CH20">IF(OR($L20="",IsHidden(CH20)),"",CHOOSE($B20,N($E20)*CH$5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R$186:AR$286)*N($E20),CH$6*N($E20),N($E20),0)+N(CH83))</f>
        <v>0</v>
      </c>
      <c r="CI20" s="654">
        <f t="array" ref="CI20">IF(OR($L20="",IsHidden(CI20)),"",CHOOSE($B20,N($E20)*CI$5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S$186:AS$286)*N($E20),CI$6*N($E20),N($E20),0)+N(CI83))</f>
        <v>0</v>
      </c>
      <c r="CJ20" s="654">
        <f t="array" ref="CJ20">IF(OR($L20="",IsHidden(CJ20)),"",CHOOSE($B20,N($E20)*CJ$5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T$186:AT$286)*N($E20),CJ$6*N($E20),N($E20),0)+N(CJ83))</f>
        <v>0</v>
      </c>
      <c r="CK20" s="654">
        <f t="array" ref="CK20">IF(OR($L20="",IsHidden(CK20)),"",CHOOSE($B20,N($E20)*CK$5,SUMPRODUCT(IF($F$5="Y",1*(Headcount!$B$186:$B$286=IF($F20="",$F$6,$F20)),1+0*ISBLANK(Headcount!$B$186:$B$286)),IF($G$5="Y",1*(Headcount!$C$186:$C$286=IF($G20="",$G$6,$G20)),1+0*ISBLANK(Headcount!$C$186:$C$286)),IF($H$5="Y",1*(Headcount!$D$186:$D$286=IF($H20="",$H$6,$H20)),1+0*ISBLANK(Headcount!$D$186:$D$286)),IF($I$5="Y",1*(Headcount!$E$186:$E$286=IF($I20="",$I$6,$I20)),1+0*ISBLANK(Headcount!$E$186:$E$286)),IF($J$5="Y",1*(Headcount!$F$186:$F$286=IF($J20="",$J$6,$J20)),1+0*ISBLANK(Headcount!$F$186:$F$286)),IF($K$5="Y",1*(Headcount!$G$186:$G$286=IF($K20="",$K$6,$K20)),1+0*ISBLANK(Headcount!$G$186:$G$286)),Headcount!AU$186:AU$286)*N($E20),CK$6*N($E20),N($E20),0)+N(CK83))</f>
        <v>0</v>
      </c>
      <c r="CN20" s="255" t="b">
        <f t="array" ref="CN20">IF($L20="",TRUE,IF(AND(OR($F20&lt;&gt;"",$F$6&lt;&gt;""),OR($G20&lt;&gt;"",$G$6&lt;&gt;""),OR($H20&lt;&gt;"",$H$6&lt;&gt;""),OR($I20&lt;&gt;"",$I$6&lt;&gt;""),OR($J20&lt;&gt;"",$J$6&lt;&gt;""),OR($K20&lt;&gt;"",$K$6&lt;&gt;""),NOT(ISERROR(BB20:CK20)),NOT(ISNA(MATCH(IF($H20="",$H$6,$H20)&amp;IF($G20="",$G$6,$G20),DeptBU,0)))),TRUE,FALSE))</f>
        <v>0</v>
      </c>
      <c r="CP20" s="255" t="str">
        <f t="shared" si="3"/>
        <v>SELECT ''Expenses'',''Expenses'',20,''USD'',NULL,''Forecast'','''','''','''','''','''','''',''Bad Debt'',NULL,NULL,''% of Revenue'',NULL,0,0,0,0,0,0,0,0,0,0,0,0,0,0,0,0,0,0,0,0,0,0,0,0,0,0,0,0,0,0,0,0,0,0,0,0</v>
      </c>
    </row>
    <row r="21" spans="1:94" s="255" customFormat="1" x14ac:dyDescent="0.35">
      <c r="A21" s="566" t="s">
        <v>1141</v>
      </c>
      <c r="B21" s="261">
        <f t="shared" si="2"/>
        <v>1</v>
      </c>
      <c r="C21" s="566"/>
      <c r="D21" s="261" t="e">
        <f t="array" aca="1" ref="D21" ca="1">IF($B21&lt;5,AVERAGE(OFFSET($Q21,,Input_ActualsOffset-1,,-$C21)/CHOOSE($B21,OFFSET($Q$5,,Input_ActualsOffset-1,1,-$C21),ss($C21,OFFSET(Actuals!$A$1,1,MATCH("Month "&amp;Input_ActualsOffset,ActualsTable[#Headers],0)-1,ROWS(ActualsTable[#Data]),1),ActualsTable[Company],IF($F$5="Y",IF($F21="",$F$6,$F21),"*"),ActualsTable[Business Unit],IF($G$5="Y",IF($G21="",$G$6,$G21),"*"),ActualsTable[Department],IF($H$5="Y",IF($H21="",$H$6,$H21),"*"),ActualsTable[Team],IF($I$5="Y",IF($P21="",$P$6,$P21),"*"),ActualsTable[Product],IF($J$5="Y",IF($J21="",$J$6,$J21),"*"),ActualsTable[Location],IF($K$5="Y",IF($K21="",$K$6,$K21),"*"),ActualsTable[Expense Item],"Headcount"),OFFSET($Q$6,,Input_ActualsOffset-1,,-$C21),1)),"")</f>
        <v>#REF!</v>
      </c>
      <c r="E21" s="640"/>
      <c r="F21" s="555"/>
      <c r="G21" s="555"/>
      <c r="H21" s="555"/>
      <c r="I21" s="555"/>
      <c r="J21" s="555"/>
      <c r="K21" s="555"/>
      <c r="L21" s="555" t="s">
        <v>43</v>
      </c>
      <c r="M21" s="555"/>
      <c r="N21" s="555"/>
      <c r="O21" s="556" t="str">
        <f>IF($L21="","",IF(VLOOKUP(L21,ExpItems[],2,0),L21&amp;" - "&amp;INDEX(DivisionMapping[category_code],MATCH(IF(H21="",$H$6,H21)&amp;IF(G21="",$G$6,G21),DivisionMapping[dept_bu],0)),L21))</f>
        <v>Licenses</v>
      </c>
      <c r="P21" s="556" t="e">
        <f>IF($L21="","",INDEX(Teams[team_consolidation],MATCH(IF($I21="",$I$6,$I21),Teams[team_name],0)))</f>
        <v>#N/A</v>
      </c>
      <c r="Q21" s="657" t="e">
        <f t="array" ref="Q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f>
        <v>#VALUE!</v>
      </c>
      <c r="R21" s="657" t="e">
        <f t="array" ref="R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f>
        <v>#VALUE!</v>
      </c>
      <c r="S21" s="657" t="e">
        <f t="array" ref="S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f>
        <v>#VALUE!</v>
      </c>
      <c r="T21" s="657" t="e">
        <f t="array" ref="T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4]))</f>
        <v>#VALUE!</v>
      </c>
      <c r="U21" s="657" t="e">
        <f t="array" ref="U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5]))</f>
        <v>#VALUE!</v>
      </c>
      <c r="V21" s="657" t="e">
        <f t="array" ref="V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6]))</f>
        <v>#VALUE!</v>
      </c>
      <c r="W21" s="657" t="e">
        <f t="array" ref="W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7]))</f>
        <v>#VALUE!</v>
      </c>
      <c r="X21" s="657" t="e">
        <f t="array" ref="X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8]))</f>
        <v>#VALUE!</v>
      </c>
      <c r="Y21" s="657" t="e">
        <f t="array" ref="Y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9]))</f>
        <v>#VALUE!</v>
      </c>
      <c r="Z21" s="657" t="e">
        <f t="array" ref="Z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10]))</f>
        <v>#VALUE!</v>
      </c>
      <c r="AA21" s="657" t="e">
        <f t="array" ref="AA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11]))</f>
        <v>#VALUE!</v>
      </c>
      <c r="AB21" s="657" t="e">
        <f t="array" ref="AB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12]))</f>
        <v>#VALUE!</v>
      </c>
      <c r="AC21" s="657" t="e">
        <f t="array" ref="AC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13]))</f>
        <v>#VALUE!</v>
      </c>
      <c r="AD21" s="657" t="e">
        <f t="array" ref="AD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14]))</f>
        <v>#VALUE!</v>
      </c>
      <c r="AE21" s="657" t="e">
        <f t="array" ref="AE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15]))</f>
        <v>#VALUE!</v>
      </c>
      <c r="AF21" s="657" t="e">
        <f t="array" ref="AF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16]))</f>
        <v>#VALUE!</v>
      </c>
      <c r="AG21" s="657" t="e">
        <f t="array" ref="AG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17]))</f>
        <v>#VALUE!</v>
      </c>
      <c r="AH21" s="657" t="e">
        <f t="array" ref="AH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18]))</f>
        <v>#VALUE!</v>
      </c>
      <c r="AI21" s="657" t="e">
        <f t="array" ref="AI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19]))</f>
        <v>#VALUE!</v>
      </c>
      <c r="AJ21" s="657" t="e">
        <f t="array" ref="AJ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20]))</f>
        <v>#VALUE!</v>
      </c>
      <c r="AK21" s="657" t="e">
        <f t="array" ref="AK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21]))</f>
        <v>#VALUE!</v>
      </c>
      <c r="AL21" s="657" t="e">
        <f t="array" ref="AL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22]))</f>
        <v>#VALUE!</v>
      </c>
      <c r="AM21" s="657" t="e">
        <f t="array" ref="AM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23]))</f>
        <v>#VALUE!</v>
      </c>
      <c r="AN21" s="657" t="e">
        <f t="array" ref="AN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24]))</f>
        <v>#VALUE!</v>
      </c>
      <c r="AO21" s="657" t="e">
        <f t="array" ref="AO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25]))</f>
        <v>#VALUE!</v>
      </c>
      <c r="AP21" s="657" t="e">
        <f t="array" ref="AP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26]))</f>
        <v>#VALUE!</v>
      </c>
      <c r="AQ21" s="657" t="e">
        <f t="array" ref="AQ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27]))</f>
        <v>#VALUE!</v>
      </c>
      <c r="AR21" s="657" t="e">
        <f t="array" ref="AR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28]))</f>
        <v>#VALUE!</v>
      </c>
      <c r="AS21" s="657" t="e">
        <f t="array" ref="AS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29]))</f>
        <v>#VALUE!</v>
      </c>
      <c r="AT21" s="657" t="e">
        <f t="array" ref="AT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30]))</f>
        <v>#VALUE!</v>
      </c>
      <c r="AU21" s="657" t="e">
        <f t="array" ref="AU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31]))</f>
        <v>#VALUE!</v>
      </c>
      <c r="AV21" s="657" t="e">
        <f t="array" ref="AV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32]))</f>
        <v>#VALUE!</v>
      </c>
      <c r="AW21" s="657" t="e">
        <f t="array" ref="AW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33]))</f>
        <v>#VALUE!</v>
      </c>
      <c r="AX21" s="657" t="e">
        <f t="array" ref="AX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34]))</f>
        <v>#VALUE!</v>
      </c>
      <c r="AY21" s="657" t="e">
        <f t="array" ref="AY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35]))</f>
        <v>#VALUE!</v>
      </c>
      <c r="AZ21" s="657" t="e">
        <f t="array" ref="AZ21">IF($L21="","",SUMPRODUCT(IF($F$5="Y",1*(ActualsTable[Company]=IF($F21="",$F$6,$F21)),1+0*ISBLANK(ActualsTable[Company])),IF($G$5="Y",1*(ActualsTable[Business Unit]=IF($G21="",$G$6,$G21)),1+0*ISBLANK(ActualsTable[Business Unit])),IF($H$5="Y",1*(ActualsTable[Department]=IF($H21="",$H$6,$H21)),1+0*ISBLANK(ActualsTable[Department])),IF($I$5="Y",1*(ActualsTable[Team]=IF($P21="",$P$6,$P21)),1+0*ISBLANK(ActualsTable[Team])),IF($J$5="Y",1*(ActualsTable[Product]=IF($J21="",$J$6,$J21)),1+0*ISBLANK(ActualsTable[Product])),IF($K$5="Y",1*(ActualsTable[Location]=IF($K21="",$K$6,$K21)),1+0*ISBLANK(ActualsTable[Location])),1*(ActualsTable[Expense Item]=$L21),ActualsTable[Month 36]))</f>
        <v>#VALUE!</v>
      </c>
      <c r="BA21" s="257"/>
      <c r="BB21" s="654">
        <f t="array" ref="BB21">IF(OR($L21="",IsHidden(BB21)),"",CHOOSE($B21,N($E21)*BB$5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L$186:L$286)*N($E21),BB$6*N($E21),N($E21),0)+N(BB84))</f>
        <v>0</v>
      </c>
      <c r="BC21" s="654">
        <f t="array" ref="BC21">IF(OR($L21="",IsHidden(BC21)),"",CHOOSE($B21,N($E21)*BC$5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M$186:M$286)*N($E21),BC$6*N($E21),N($E21),0)+N(BC84))</f>
        <v>0</v>
      </c>
      <c r="BD21" s="654">
        <f t="array" ref="BD21">IF(OR($L21="",IsHidden(BD21)),"",CHOOSE($B21,N($E21)*BD$5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N$186:N$286)*N($E21),BD$6*N($E21),N($E21),0)+N(BD84))</f>
        <v>0</v>
      </c>
      <c r="BE21" s="654">
        <f t="array" ref="BE21">IF(OR($L21="",IsHidden(BE21)),"",CHOOSE($B21,N($E21)*BE$5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O$186:O$286)*N($E21),BE$6*N($E21),N($E21),0)+N(BE84))</f>
        <v>0</v>
      </c>
      <c r="BF21" s="654">
        <f t="array" ref="BF21">IF(OR($L21="",IsHidden(BF21)),"",CHOOSE($B21,N($E21)*BF$5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P$186:P$286)*N($E21),BF$6*N($E21),N($E21),0)+N(BF84))</f>
        <v>0</v>
      </c>
      <c r="BG21" s="654">
        <f t="array" ref="BG21">IF(OR($L21="",IsHidden(BG21)),"",CHOOSE($B21,N($E21)*BG$5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Q$186:Q$286)*N($E21),BG$6*N($E21),N($E21),0)+N(BG84))</f>
        <v>0</v>
      </c>
      <c r="BH21" s="654">
        <f t="array" ref="BH21">IF(OR($L21="",IsHidden(BH21)),"",CHOOSE($B21,N($E21)*BH$5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R$186:R$286)*N($E21),BH$6*N($E21),N($E21),0)+N(BH84))</f>
        <v>0</v>
      </c>
      <c r="BI21" s="654">
        <f t="array" ref="BI21">IF(OR($L21="",IsHidden(BI21)),"",CHOOSE($B21,N($E21)*BI$5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S$186:S$286)*N($E21),BI$6*N($E21),N($E21),0)+N(BI84))</f>
        <v>0</v>
      </c>
      <c r="BJ21" s="654">
        <f t="array" ref="BJ21">IF(OR($L21="",IsHidden(BJ21)),"",CHOOSE($B21,N($E21)*BJ$5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T$186:T$286)*N($E21),BJ$6*N($E21),N($E21),0)+N(BJ84))</f>
        <v>0</v>
      </c>
      <c r="BK21" s="654">
        <f t="array" ref="BK21">IF(OR($L21="",IsHidden(BK21)),"",CHOOSE($B21,N($E21)*BK$5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U$186:U$286)*N($E21),BK$6*N($E21),N($E21),0)+N(BK84))</f>
        <v>0</v>
      </c>
      <c r="BL21" s="654">
        <f t="array" ref="BL21">IF(OR($L21="",IsHidden(BL21)),"",CHOOSE($B21,N($E21)*BL$5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V$186:V$286)*N($E21),BL$6*N($E21),N($E21),0)+N(BL84))</f>
        <v>0</v>
      </c>
      <c r="BM21" s="654">
        <f t="array" ref="BM21">IF(OR($L21="",IsHidden(BM21)),"",CHOOSE($B21,N($E21)*BM$5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W$186:W$286)*N($E21),BM$6*N($E21),N($E21),0)+N(BM84))</f>
        <v>0</v>
      </c>
      <c r="BN21" s="654">
        <f t="array" ref="BN21">IF(OR($L21="",IsHidden(BN21)),"",CHOOSE($B21,N($E21)*BN$5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X$186:X$286)*N($E21),BN$6*N($E21),N($E21),0)+N(BN84))</f>
        <v>0</v>
      </c>
      <c r="BO21" s="654">
        <f t="array" ref="BO21">IF(OR($L21="",IsHidden(BO21)),"",CHOOSE($B21,N($E21)*BO$5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Y$186:Y$286)*N($E21),BO$6*N($E21),N($E21),0)+N(BO84))</f>
        <v>0</v>
      </c>
      <c r="BP21" s="654">
        <f t="array" ref="BP21">IF(OR($L21="",IsHidden(BP21)),"",CHOOSE($B21,N($E21)*BP$5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Z$186:Z$286)*N($E21),BP$6*N($E21),N($E21),0)+N(BP84))</f>
        <v>0</v>
      </c>
      <c r="BQ21" s="654">
        <f t="array" ref="BQ21">IF(OR($L21="",IsHidden(BQ21)),"",CHOOSE($B21,N($E21)*BQ$5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A$186:AA$286)*N($E21),BQ$6*N($E21),N($E21),0)+N(BQ84))</f>
        <v>0</v>
      </c>
      <c r="BR21" s="654">
        <f t="array" ref="BR21">IF(OR($L21="",IsHidden(BR21)),"",CHOOSE($B21,N($E21)*BR$5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B$186:AB$286)*N($E21),BR$6*N($E21),N($E21),0)+N(BR84))</f>
        <v>0</v>
      </c>
      <c r="BS21" s="654">
        <f t="array" ref="BS21">IF(OR($L21="",IsHidden(BS21)),"",CHOOSE($B21,N($E21)*BS$5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C$186:AC$286)*N($E21),BS$6*N($E21),N($E21),0)+N(BS84))</f>
        <v>0</v>
      </c>
      <c r="BT21" s="654">
        <f t="array" ref="BT21">IF(OR($L21="",IsHidden(BT21)),"",CHOOSE($B21,N($E21)*BT$5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D$186:AD$286)*N($E21),BT$6*N($E21),N($E21),0)+N(BT84))</f>
        <v>0</v>
      </c>
      <c r="BU21" s="654">
        <f t="array" ref="BU21">IF(OR($L21="",IsHidden(BU21)),"",CHOOSE($B21,N($E21)*BU$5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E$186:AE$286)*N($E21),BU$6*N($E21),N($E21),0)+N(BU84))</f>
        <v>0</v>
      </c>
      <c r="BV21" s="654">
        <f t="array" ref="BV21">IF(OR($L21="",IsHidden(BV21)),"",CHOOSE($B21,N($E21)*BV$5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F$186:AF$286)*N($E21),BV$6*N($E21),N($E21),0)+N(BV84))</f>
        <v>0</v>
      </c>
      <c r="BW21" s="654">
        <f t="array" ref="BW21">IF(OR($L21="",IsHidden(BW21)),"",CHOOSE($B21,N($E21)*BW$5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G$186:AG$286)*N($E21),BW$6*N($E21),N($E21),0)+N(BW84))</f>
        <v>0</v>
      </c>
      <c r="BX21" s="654">
        <f t="array" ref="BX21">IF(OR($L21="",IsHidden(BX21)),"",CHOOSE($B21,N($E21)*BX$5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H$186:AH$286)*N($E21),BX$6*N($E21),N($E21),0)+N(BX84))</f>
        <v>0</v>
      </c>
      <c r="BY21" s="654">
        <f t="array" ref="BY21">IF(OR($L21="",IsHidden(BY21)),"",CHOOSE($B21,N($E21)*BY$5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I$186:AI$286)*N($E21),BY$6*N($E21),N($E21),0)+N(BY84))</f>
        <v>0</v>
      </c>
      <c r="BZ21" s="654">
        <f t="array" ref="BZ21">IF(OR($L21="",IsHidden(BZ21)),"",CHOOSE($B21,N($E21)*BZ$5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J$186:AJ$286)*N($E21),BZ$6*N($E21),N($E21),0)+N(BZ84))</f>
        <v>0</v>
      </c>
      <c r="CA21" s="654">
        <f t="array" ref="CA21">IF(OR($L21="",IsHidden(CA21)),"",CHOOSE($B21,N($E21)*CA$5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K$186:AK$286)*N($E21),CA$6*N($E21),N($E21),0)+N(CA84))</f>
        <v>0</v>
      </c>
      <c r="CB21" s="654">
        <f t="array" ref="CB21">IF(OR($L21="",IsHidden(CB21)),"",CHOOSE($B21,N($E21)*CB$5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L$186:AL$286)*N($E21),CB$6*N($E21),N($E21),0)+N(CB84))</f>
        <v>0</v>
      </c>
      <c r="CC21" s="654">
        <f t="array" ref="CC21">IF(OR($L21="",IsHidden(CC21)),"",CHOOSE($B21,N($E21)*CC$5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M$186:AM$286)*N($E21),CC$6*N($E21),N($E21),0)+N(CC84))</f>
        <v>0</v>
      </c>
      <c r="CD21" s="654">
        <f t="array" ref="CD21">IF(OR($L21="",IsHidden(CD21)),"",CHOOSE($B21,N($E21)*CD$5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N$186:AN$286)*N($E21),CD$6*N($E21),N($E21),0)+N(CD84))</f>
        <v>0</v>
      </c>
      <c r="CE21" s="654">
        <f t="array" ref="CE21">IF(OR($L21="",IsHidden(CE21)),"",CHOOSE($B21,N($E21)*CE$5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O$186:AO$286)*N($E21),CE$6*N($E21),N($E21),0)+N(CE84))</f>
        <v>0</v>
      </c>
      <c r="CF21" s="654">
        <f t="array" ref="CF21">IF(OR($L21="",IsHidden(CF21)),"",CHOOSE($B21,N($E21)*CF$5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P$186:AP$286)*N($E21),CF$6*N($E21),N($E21),0)+N(CF84))</f>
        <v>0</v>
      </c>
      <c r="CG21" s="654">
        <f t="array" ref="CG21">IF(OR($L21="",IsHidden(CG21)),"",CHOOSE($B21,N($E21)*CG$5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Q$186:AQ$286)*N($E21),CG$6*N($E21),N($E21),0)+N(CG84))</f>
        <v>0</v>
      </c>
      <c r="CH21" s="654">
        <f t="array" ref="CH21">IF(OR($L21="",IsHidden(CH21)),"",CHOOSE($B21,N($E21)*CH$5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R$186:AR$286)*N($E21),CH$6*N($E21),N($E21),0)+N(CH84))</f>
        <v>0</v>
      </c>
      <c r="CI21" s="654">
        <f t="array" ref="CI21">IF(OR($L21="",IsHidden(CI21)),"",CHOOSE($B21,N($E21)*CI$5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S$186:AS$286)*N($E21),CI$6*N($E21),N($E21),0)+N(CI84))</f>
        <v>0</v>
      </c>
      <c r="CJ21" s="654">
        <f t="array" ref="CJ21">IF(OR($L21="",IsHidden(CJ21)),"",CHOOSE($B21,N($E21)*CJ$5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T$186:AT$286)*N($E21),CJ$6*N($E21),N($E21),0)+N(CJ84))</f>
        <v>0</v>
      </c>
      <c r="CK21" s="654">
        <f t="array" ref="CK21">IF(OR($L21="",IsHidden(CK21)),"",CHOOSE($B21,N($E21)*CK$5,SUMPRODUCT(IF($F$5="Y",1*(Headcount!$B$186:$B$286=IF($F21="",$F$6,$F21)),1+0*ISBLANK(Headcount!$B$186:$B$286)),IF($G$5="Y",1*(Headcount!$C$186:$C$286=IF($G21="",$G$6,$G21)),1+0*ISBLANK(Headcount!$C$186:$C$286)),IF($H$5="Y",1*(Headcount!$D$186:$D$286=IF($H21="",$H$6,$H21)),1+0*ISBLANK(Headcount!$D$186:$D$286)),IF($I$5="Y",1*(Headcount!$E$186:$E$286=IF($I21="",$I$6,$I21)),1+0*ISBLANK(Headcount!$E$186:$E$286)),IF($J$5="Y",1*(Headcount!$F$186:$F$286=IF($J21="",$J$6,$J21)),1+0*ISBLANK(Headcount!$F$186:$F$286)),IF($K$5="Y",1*(Headcount!$G$186:$G$286=IF($K21="",$K$6,$K21)),1+0*ISBLANK(Headcount!$G$186:$G$286)),Headcount!AU$186:AU$286)*N($E21),CK$6*N($E21),N($E21),0)+N(CK84))</f>
        <v>0</v>
      </c>
      <c r="CN21" s="255" t="b">
        <f t="array" ref="CN21">IF($L21="",TRUE,IF(AND(OR($F21&lt;&gt;"",$F$6&lt;&gt;""),OR($G21&lt;&gt;"",$G$6&lt;&gt;""),OR($H21&lt;&gt;"",$H$6&lt;&gt;""),OR($I21&lt;&gt;"",$I$6&lt;&gt;""),OR($J21&lt;&gt;"",$J$6&lt;&gt;""),OR($K21&lt;&gt;"",$K$6&lt;&gt;""),NOT(ISERROR(BB21:CK21)),NOT(ISNA(MATCH(IF($H21="",$H$6,$H21)&amp;IF($G21="",$G$6,$G21),DeptBU,0)))),TRUE,FALSE))</f>
        <v>0</v>
      </c>
      <c r="CP21" s="255" t="str">
        <f t="shared" si="3"/>
        <v>SELECT ''Expenses'',''Expenses'',21,''USD'',NULL,''Forecast'','''','''','''','''','''','''',''Licenses'',NULL,NULL,''% of Revenue'',NULL,0,0,0,0,0,0,0,0,0,0,0,0,0,0,0,0,0,0,0,0,0,0,0,0,0,0,0,0,0,0,0,0,0,0,0,0</v>
      </c>
    </row>
    <row r="22" spans="1:94" s="255" customFormat="1" x14ac:dyDescent="0.35">
      <c r="A22" s="566" t="s">
        <v>1141</v>
      </c>
      <c r="B22" s="261">
        <f t="shared" si="2"/>
        <v>1</v>
      </c>
      <c r="C22" s="566"/>
      <c r="D22" s="261" t="e">
        <f t="array" aca="1" ref="D22" ca="1">IF($B22&lt;5,AVERAGE(OFFSET($Q22,,Input_ActualsOffset-1,,-$C22)/CHOOSE($B22,OFFSET($Q$5,,Input_ActualsOffset-1,1,-$C22),ss($C22,OFFSET(Actuals!$A$1,1,MATCH("Month "&amp;Input_ActualsOffset,ActualsTable[#Headers],0)-1,ROWS(ActualsTable[#Data]),1),ActualsTable[Company],IF($F$5="Y",IF($F22="",$F$6,$F22),"*"),ActualsTable[Business Unit],IF($G$5="Y",IF($G22="",$G$6,$G22),"*"),ActualsTable[Department],IF($H$5="Y",IF($H22="",$H$6,$H22),"*"),ActualsTable[Team],IF($I$5="Y",IF($P22="",$P$6,$P22),"*"),ActualsTable[Product],IF($J$5="Y",IF($J22="",$J$6,$J22),"*"),ActualsTable[Location],IF($K$5="Y",IF($K22="",$K$6,$K22),"*"),ActualsTable[Expense Item],"Headcount"),OFFSET($Q$6,,Input_ActualsOffset-1,,-$C22),1)),"")</f>
        <v>#REF!</v>
      </c>
      <c r="E22" s="640"/>
      <c r="F22" s="555"/>
      <c r="G22" s="555"/>
      <c r="H22" s="555"/>
      <c r="I22" s="555"/>
      <c r="J22" s="555"/>
      <c r="K22" s="555"/>
      <c r="L22" s="555" t="s">
        <v>50</v>
      </c>
      <c r="M22" s="555"/>
      <c r="N22" s="555"/>
      <c r="O22" s="556" t="e">
        <f>IF($L22="","",IF(VLOOKUP(L22,ExpItems[],2,0),L22&amp;" - "&amp;INDEX(DivisionMapping[category_code],MATCH(IF(H22="",$H$6,H22)&amp;IF(G22="",$G$6,G22),DivisionMapping[dept_bu],0)),L22))</f>
        <v>#N/A</v>
      </c>
      <c r="P22" s="556" t="e">
        <f>IF($L22="","",INDEX(Teams[team_consolidation],MATCH(IF($I22="",$I$6,$I22),Teams[team_name],0)))</f>
        <v>#N/A</v>
      </c>
      <c r="Q22" s="657" t="e">
        <f t="array" ref="Q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f>
        <v>#VALUE!</v>
      </c>
      <c r="R22" s="657" t="e">
        <f t="array" ref="R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f>
        <v>#VALUE!</v>
      </c>
      <c r="S22" s="657" t="e">
        <f t="array" ref="S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f>
        <v>#VALUE!</v>
      </c>
      <c r="T22" s="657" t="e">
        <f t="array" ref="T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4]))</f>
        <v>#VALUE!</v>
      </c>
      <c r="U22" s="657" t="e">
        <f t="array" ref="U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5]))</f>
        <v>#VALUE!</v>
      </c>
      <c r="V22" s="657" t="e">
        <f t="array" ref="V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6]))</f>
        <v>#VALUE!</v>
      </c>
      <c r="W22" s="657" t="e">
        <f t="array" ref="W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7]))</f>
        <v>#VALUE!</v>
      </c>
      <c r="X22" s="657" t="e">
        <f t="array" ref="X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8]))</f>
        <v>#VALUE!</v>
      </c>
      <c r="Y22" s="657" t="e">
        <f t="array" ref="Y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9]))</f>
        <v>#VALUE!</v>
      </c>
      <c r="Z22" s="657" t="e">
        <f t="array" ref="Z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10]))</f>
        <v>#VALUE!</v>
      </c>
      <c r="AA22" s="657" t="e">
        <f t="array" ref="AA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11]))</f>
        <v>#VALUE!</v>
      </c>
      <c r="AB22" s="657" t="e">
        <f t="array" ref="AB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12]))</f>
        <v>#VALUE!</v>
      </c>
      <c r="AC22" s="657" t="e">
        <f t="array" ref="AC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13]))</f>
        <v>#VALUE!</v>
      </c>
      <c r="AD22" s="657" t="e">
        <f t="array" ref="AD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14]))</f>
        <v>#VALUE!</v>
      </c>
      <c r="AE22" s="657" t="e">
        <f t="array" ref="AE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15]))</f>
        <v>#VALUE!</v>
      </c>
      <c r="AF22" s="657" t="e">
        <f t="array" ref="AF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16]))</f>
        <v>#VALUE!</v>
      </c>
      <c r="AG22" s="657" t="e">
        <f t="array" ref="AG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17]))</f>
        <v>#VALUE!</v>
      </c>
      <c r="AH22" s="657" t="e">
        <f t="array" ref="AH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18]))</f>
        <v>#VALUE!</v>
      </c>
      <c r="AI22" s="657" t="e">
        <f t="array" ref="AI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19]))</f>
        <v>#VALUE!</v>
      </c>
      <c r="AJ22" s="657" t="e">
        <f t="array" ref="AJ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20]))</f>
        <v>#VALUE!</v>
      </c>
      <c r="AK22" s="657" t="e">
        <f t="array" ref="AK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21]))</f>
        <v>#VALUE!</v>
      </c>
      <c r="AL22" s="657" t="e">
        <f t="array" ref="AL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22]))</f>
        <v>#VALUE!</v>
      </c>
      <c r="AM22" s="657" t="e">
        <f t="array" ref="AM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23]))</f>
        <v>#VALUE!</v>
      </c>
      <c r="AN22" s="657" t="e">
        <f t="array" ref="AN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24]))</f>
        <v>#VALUE!</v>
      </c>
      <c r="AO22" s="657" t="e">
        <f t="array" ref="AO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25]))</f>
        <v>#VALUE!</v>
      </c>
      <c r="AP22" s="657" t="e">
        <f t="array" ref="AP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26]))</f>
        <v>#VALUE!</v>
      </c>
      <c r="AQ22" s="657" t="e">
        <f t="array" ref="AQ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27]))</f>
        <v>#VALUE!</v>
      </c>
      <c r="AR22" s="657" t="e">
        <f t="array" ref="AR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28]))</f>
        <v>#VALUE!</v>
      </c>
      <c r="AS22" s="657" t="e">
        <f t="array" ref="AS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29]))</f>
        <v>#VALUE!</v>
      </c>
      <c r="AT22" s="657" t="e">
        <f t="array" ref="AT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30]))</f>
        <v>#VALUE!</v>
      </c>
      <c r="AU22" s="657" t="e">
        <f t="array" ref="AU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31]))</f>
        <v>#VALUE!</v>
      </c>
      <c r="AV22" s="657" t="e">
        <f t="array" ref="AV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32]))</f>
        <v>#VALUE!</v>
      </c>
      <c r="AW22" s="657" t="e">
        <f t="array" ref="AW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33]))</f>
        <v>#VALUE!</v>
      </c>
      <c r="AX22" s="657" t="e">
        <f t="array" ref="AX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34]))</f>
        <v>#VALUE!</v>
      </c>
      <c r="AY22" s="657" t="e">
        <f t="array" ref="AY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35]))</f>
        <v>#VALUE!</v>
      </c>
      <c r="AZ22" s="657" t="e">
        <f t="array" ref="AZ22">IF($L22="","",SUMPRODUCT(IF($F$5="Y",1*(ActualsTable[Company]=IF($F22="",$F$6,$F22)),1+0*ISBLANK(ActualsTable[Company])),IF($G$5="Y",1*(ActualsTable[Business Unit]=IF($G22="",$G$6,$G22)),1+0*ISBLANK(ActualsTable[Business Unit])),IF($H$5="Y",1*(ActualsTable[Department]=IF($H22="",$H$6,$H22)),1+0*ISBLANK(ActualsTable[Department])),IF($I$5="Y",1*(ActualsTable[Team]=IF($P22="",$P$6,$P22)),1+0*ISBLANK(ActualsTable[Team])),IF($J$5="Y",1*(ActualsTable[Product]=IF($J22="",$J$6,$J22)),1+0*ISBLANK(ActualsTable[Product])),IF($K$5="Y",1*(ActualsTable[Location]=IF($K22="",$K$6,$K22)),1+0*ISBLANK(ActualsTable[Location])),1*(ActualsTable[Expense Item]=$L22),ActualsTable[Month 36]))</f>
        <v>#VALUE!</v>
      </c>
      <c r="BA22" s="257"/>
      <c r="BB22" s="654">
        <f t="array" ref="BB22">IF(OR($L22="",IsHidden(BB22)),"",CHOOSE($B22,N($E22)*BB$5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L$186:L$286)*N($E22),BB$6*N($E22),N($E22),0)+N(BB85))</f>
        <v>0</v>
      </c>
      <c r="BC22" s="654">
        <f t="array" ref="BC22">IF(OR($L22="",IsHidden(BC22)),"",CHOOSE($B22,N($E22)*BC$5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M$186:M$286)*N($E22),BC$6*N($E22),N($E22),0)+N(BC85))</f>
        <v>0</v>
      </c>
      <c r="BD22" s="654">
        <f t="array" ref="BD22">IF(OR($L22="",IsHidden(BD22)),"",CHOOSE($B22,N($E22)*BD$5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N$186:N$286)*N($E22),BD$6*N($E22),N($E22),0)+N(BD85))</f>
        <v>0</v>
      </c>
      <c r="BE22" s="654">
        <f t="array" ref="BE22">IF(OR($L22="",IsHidden(BE22)),"",CHOOSE($B22,N($E22)*BE$5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O$186:O$286)*N($E22),BE$6*N($E22),N($E22),0)+N(BE85))</f>
        <v>0</v>
      </c>
      <c r="BF22" s="654">
        <f t="array" ref="BF22">IF(OR($L22="",IsHidden(BF22)),"",CHOOSE($B22,N($E22)*BF$5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P$186:P$286)*N($E22),BF$6*N($E22),N($E22),0)+N(BF85))</f>
        <v>0</v>
      </c>
      <c r="BG22" s="654">
        <f t="array" ref="BG22">IF(OR($L22="",IsHidden(BG22)),"",CHOOSE($B22,N($E22)*BG$5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Q$186:Q$286)*N($E22),BG$6*N($E22),N($E22),0)+N(BG85))</f>
        <v>0</v>
      </c>
      <c r="BH22" s="654">
        <f t="array" ref="BH22">IF(OR($L22="",IsHidden(BH22)),"",CHOOSE($B22,N($E22)*BH$5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R$186:R$286)*N($E22),BH$6*N($E22),N($E22),0)+N(BH85))</f>
        <v>0</v>
      </c>
      <c r="BI22" s="654">
        <f t="array" ref="BI22">IF(OR($L22="",IsHidden(BI22)),"",CHOOSE($B22,N($E22)*BI$5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S$186:S$286)*N($E22),BI$6*N($E22),N($E22),0)+N(BI85))</f>
        <v>0</v>
      </c>
      <c r="BJ22" s="654">
        <f t="array" ref="BJ22">IF(OR($L22="",IsHidden(BJ22)),"",CHOOSE($B22,N($E22)*BJ$5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T$186:T$286)*N($E22),BJ$6*N($E22),N($E22),0)+N(BJ85))</f>
        <v>0</v>
      </c>
      <c r="BK22" s="654">
        <f t="array" ref="BK22">IF(OR($L22="",IsHidden(BK22)),"",CHOOSE($B22,N($E22)*BK$5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U$186:U$286)*N($E22),BK$6*N($E22),N($E22),0)+N(BK85))</f>
        <v>0</v>
      </c>
      <c r="BL22" s="654">
        <f t="array" ref="BL22">IF(OR($L22="",IsHidden(BL22)),"",CHOOSE($B22,N($E22)*BL$5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V$186:V$286)*N($E22),BL$6*N($E22),N($E22),0)+N(BL85))</f>
        <v>0</v>
      </c>
      <c r="BM22" s="654">
        <f t="array" ref="BM22">IF(OR($L22="",IsHidden(BM22)),"",CHOOSE($B22,N($E22)*BM$5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W$186:W$286)*N($E22),BM$6*N($E22),N($E22),0)+N(BM85))</f>
        <v>0</v>
      </c>
      <c r="BN22" s="654">
        <f t="array" ref="BN22">IF(OR($L22="",IsHidden(BN22)),"",CHOOSE($B22,N($E22)*BN$5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X$186:X$286)*N($E22),BN$6*N($E22),N($E22),0)+N(BN85))</f>
        <v>0</v>
      </c>
      <c r="BO22" s="654">
        <f t="array" ref="BO22">IF(OR($L22="",IsHidden(BO22)),"",CHOOSE($B22,N($E22)*BO$5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Y$186:Y$286)*N($E22),BO$6*N($E22),N($E22),0)+N(BO85))</f>
        <v>0</v>
      </c>
      <c r="BP22" s="654">
        <f t="array" ref="BP22">IF(OR($L22="",IsHidden(BP22)),"",CHOOSE($B22,N($E22)*BP$5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Z$186:Z$286)*N($E22),BP$6*N($E22),N($E22),0)+N(BP85))</f>
        <v>0</v>
      </c>
      <c r="BQ22" s="654">
        <f t="array" ref="BQ22">IF(OR($L22="",IsHidden(BQ22)),"",CHOOSE($B22,N($E22)*BQ$5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A$186:AA$286)*N($E22),BQ$6*N($E22),N($E22),0)+N(BQ85))</f>
        <v>0</v>
      </c>
      <c r="BR22" s="654">
        <f t="array" ref="BR22">IF(OR($L22="",IsHidden(BR22)),"",CHOOSE($B22,N($E22)*BR$5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B$186:AB$286)*N($E22),BR$6*N($E22),N($E22),0)+N(BR85))</f>
        <v>0</v>
      </c>
      <c r="BS22" s="654">
        <f t="array" ref="BS22">IF(OR($L22="",IsHidden(BS22)),"",CHOOSE($B22,N($E22)*BS$5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C$186:AC$286)*N($E22),BS$6*N($E22),N($E22),0)+N(BS85))</f>
        <v>0</v>
      </c>
      <c r="BT22" s="654">
        <f t="array" ref="BT22">IF(OR($L22="",IsHidden(BT22)),"",CHOOSE($B22,N($E22)*BT$5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D$186:AD$286)*N($E22),BT$6*N($E22),N($E22),0)+N(BT85))</f>
        <v>0</v>
      </c>
      <c r="BU22" s="654">
        <f t="array" ref="BU22">IF(OR($L22="",IsHidden(BU22)),"",CHOOSE($B22,N($E22)*BU$5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E$186:AE$286)*N($E22),BU$6*N($E22),N($E22),0)+N(BU85))</f>
        <v>0</v>
      </c>
      <c r="BV22" s="654">
        <f t="array" ref="BV22">IF(OR($L22="",IsHidden(BV22)),"",CHOOSE($B22,N($E22)*BV$5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F$186:AF$286)*N($E22),BV$6*N($E22),N($E22),0)+N(BV85))</f>
        <v>0</v>
      </c>
      <c r="BW22" s="654">
        <f t="array" ref="BW22">IF(OR($L22="",IsHidden(BW22)),"",CHOOSE($B22,N($E22)*BW$5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G$186:AG$286)*N($E22),BW$6*N($E22),N($E22),0)+N(BW85))</f>
        <v>0</v>
      </c>
      <c r="BX22" s="654">
        <f t="array" ref="BX22">IF(OR($L22="",IsHidden(BX22)),"",CHOOSE($B22,N($E22)*BX$5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H$186:AH$286)*N($E22),BX$6*N($E22),N($E22),0)+N(BX85))</f>
        <v>0</v>
      </c>
      <c r="BY22" s="654">
        <f t="array" ref="BY22">IF(OR($L22="",IsHidden(BY22)),"",CHOOSE($B22,N($E22)*BY$5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I$186:AI$286)*N($E22),BY$6*N($E22),N($E22),0)+N(BY85))</f>
        <v>0</v>
      </c>
      <c r="BZ22" s="654">
        <f t="array" ref="BZ22">IF(OR($L22="",IsHidden(BZ22)),"",CHOOSE($B22,N($E22)*BZ$5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J$186:AJ$286)*N($E22),BZ$6*N($E22),N($E22),0)+N(BZ85))</f>
        <v>0</v>
      </c>
      <c r="CA22" s="654">
        <f t="array" ref="CA22">IF(OR($L22="",IsHidden(CA22)),"",CHOOSE($B22,N($E22)*CA$5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K$186:AK$286)*N($E22),CA$6*N($E22),N($E22),0)+N(CA85))</f>
        <v>0</v>
      </c>
      <c r="CB22" s="654">
        <f t="array" ref="CB22">IF(OR($L22="",IsHidden(CB22)),"",CHOOSE($B22,N($E22)*CB$5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L$186:AL$286)*N($E22),CB$6*N($E22),N($E22),0)+N(CB85))</f>
        <v>0</v>
      </c>
      <c r="CC22" s="654">
        <f t="array" ref="CC22">IF(OR($L22="",IsHidden(CC22)),"",CHOOSE($B22,N($E22)*CC$5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M$186:AM$286)*N($E22),CC$6*N($E22),N($E22),0)+N(CC85))</f>
        <v>0</v>
      </c>
      <c r="CD22" s="654">
        <f t="array" ref="CD22">IF(OR($L22="",IsHidden(CD22)),"",CHOOSE($B22,N($E22)*CD$5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N$186:AN$286)*N($E22),CD$6*N($E22),N($E22),0)+N(CD85))</f>
        <v>0</v>
      </c>
      <c r="CE22" s="654">
        <f t="array" ref="CE22">IF(OR($L22="",IsHidden(CE22)),"",CHOOSE($B22,N($E22)*CE$5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O$186:AO$286)*N($E22),CE$6*N($E22),N($E22),0)+N(CE85))</f>
        <v>0</v>
      </c>
      <c r="CF22" s="654">
        <f t="array" ref="CF22">IF(OR($L22="",IsHidden(CF22)),"",CHOOSE($B22,N($E22)*CF$5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P$186:AP$286)*N($E22),CF$6*N($E22),N($E22),0)+N(CF85))</f>
        <v>0</v>
      </c>
      <c r="CG22" s="654">
        <f t="array" ref="CG22">IF(OR($L22="",IsHidden(CG22)),"",CHOOSE($B22,N($E22)*CG$5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Q$186:AQ$286)*N($E22),CG$6*N($E22),N($E22),0)+N(CG85))</f>
        <v>0</v>
      </c>
      <c r="CH22" s="654">
        <f t="array" ref="CH22">IF(OR($L22="",IsHidden(CH22)),"",CHOOSE($B22,N($E22)*CH$5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R$186:AR$286)*N($E22),CH$6*N($E22),N($E22),0)+N(CH85))</f>
        <v>0</v>
      </c>
      <c r="CI22" s="654">
        <f t="array" ref="CI22">IF(OR($L22="",IsHidden(CI22)),"",CHOOSE($B22,N($E22)*CI$5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S$186:AS$286)*N($E22),CI$6*N($E22),N($E22),0)+N(CI85))</f>
        <v>0</v>
      </c>
      <c r="CJ22" s="654">
        <f t="array" ref="CJ22">IF(OR($L22="",IsHidden(CJ22)),"",CHOOSE($B22,N($E22)*CJ$5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T$186:AT$286)*N($E22),CJ$6*N($E22),N($E22),0)+N(CJ85))</f>
        <v>0</v>
      </c>
      <c r="CK22" s="654">
        <f t="array" ref="CK22">IF(OR($L22="",IsHidden(CK22)),"",CHOOSE($B22,N($E22)*CK$5,SUMPRODUCT(IF($F$5="Y",1*(Headcount!$B$186:$B$286=IF($F22="",$F$6,$F22)),1+0*ISBLANK(Headcount!$B$186:$B$286)),IF($G$5="Y",1*(Headcount!$C$186:$C$286=IF($G22="",$G$6,$G22)),1+0*ISBLANK(Headcount!$C$186:$C$286)),IF($H$5="Y",1*(Headcount!$D$186:$D$286=IF($H22="",$H$6,$H22)),1+0*ISBLANK(Headcount!$D$186:$D$286)),IF($I$5="Y",1*(Headcount!$E$186:$E$286=IF($I22="",$I$6,$I22)),1+0*ISBLANK(Headcount!$E$186:$E$286)),IF($J$5="Y",1*(Headcount!$F$186:$F$286=IF($J22="",$J$6,$J22)),1+0*ISBLANK(Headcount!$F$186:$F$286)),IF($K$5="Y",1*(Headcount!$G$186:$G$286=IF($K22="",$K$6,$K22)),1+0*ISBLANK(Headcount!$G$186:$G$286)),Headcount!AU$186:AU$286)*N($E22),CK$6*N($E22),N($E22),0)+N(CK85))</f>
        <v>0</v>
      </c>
      <c r="CN22" s="255" t="b">
        <f t="array" ref="CN22">IF($L22="",TRUE,IF(AND(OR($F22&lt;&gt;"",$F$6&lt;&gt;""),OR($G22&lt;&gt;"",$G$6&lt;&gt;""),OR($H22&lt;&gt;"",$H$6&lt;&gt;""),OR($I22&lt;&gt;"",$I$6&lt;&gt;""),OR($J22&lt;&gt;"",$J$6&lt;&gt;""),OR($K22&lt;&gt;"",$K$6&lt;&gt;""),NOT(ISERROR(BB22:CK22)),NOT(ISNA(MATCH(IF($H22="",$H$6,$H22)&amp;IF($G22="",$G$6,$G22),DeptBU,0)))),TRUE,FALSE))</f>
        <v>0</v>
      </c>
      <c r="CP22" s="255" t="str">
        <f t="shared" si="3"/>
        <v>SELECT ''Expenses'',''Expenses'',22,''USD'',NULL,''Forecast'','''','''','''','''','''','''',''Internal Software Licenses'',NULL,NULL,''% of Revenue'',NULL,0,0,0,0,0,0,0,0,0,0,0,0,0,0,0,0,0,0,0,0,0,0,0,0,0,0,0,0,0,0,0,0,0,0,0,0</v>
      </c>
    </row>
    <row r="23" spans="1:94" s="255" customFormat="1" x14ac:dyDescent="0.35">
      <c r="A23" s="566"/>
      <c r="B23" s="261">
        <f t="shared" si="2"/>
        <v>5</v>
      </c>
      <c r="C23" s="566"/>
      <c r="D23" s="261" t="str">
        <f t="array" aca="1" ref="D23" ca="1">IF($B23&lt;5,AVERAGE(OFFSET($Q23,,Input_ActualsOffset-1,,-$C23)/CHOOSE($B23,OFFSET($Q$5,,Input_ActualsOffset-1,1,-$C23),ss($C23,OFFSET(Actuals!$A$1,1,MATCH("Month "&amp;Input_ActualsOffset,ActualsTable[#Headers],0)-1,ROWS(ActualsTable[#Data]),1),ActualsTable[Company],IF($F$5="Y",IF($F23="",$F$6,$F23),"*"),ActualsTable[Business Unit],IF($G$5="Y",IF($G23="",$G$6,$G23),"*"),ActualsTable[Department],IF($H$5="Y",IF($H23="",$H$6,$H23),"*"),ActualsTable[Team],IF($I$5="Y",IF($P23="",$P$6,$P23),"*"),ActualsTable[Product],IF($J$5="Y",IF($J23="",$J$6,$J23),"*"),ActualsTable[Location],IF($K$5="Y",IF($K23="",$K$6,$K23),"*"),ActualsTable[Expense Item],"Headcount"),OFFSET($Q$6,,Input_ActualsOffset-1,,-$C23),1)),"")</f>
        <v/>
      </c>
      <c r="E23" s="640"/>
      <c r="F23" s="555"/>
      <c r="G23" s="555"/>
      <c r="H23" s="555"/>
      <c r="I23" s="555"/>
      <c r="J23" s="555"/>
      <c r="K23" s="555"/>
      <c r="L23" s="555"/>
      <c r="M23" s="555"/>
      <c r="N23" s="555"/>
      <c r="O23" s="556" t="str">
        <f>IF($L23="","",IF(VLOOKUP(L23,ExpItems[],2,0),L23&amp;" - "&amp;INDEX(DivisionMapping[category_code],MATCH(IF(H23="",$H$6,H23)&amp;IF(G23="",$G$6,G23),DivisionMapping[dept_bu],0)),L23))</f>
        <v/>
      </c>
      <c r="P23" s="556" t="str">
        <f>IF($L23="","",INDEX(Teams[team_consolidation],MATCH(IF($I23="",$I$6,$I23),Teams[team_name],0)))</f>
        <v/>
      </c>
      <c r="Q23" s="657" t="str">
        <f t="array" ref="Q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f>
        <v/>
      </c>
      <c r="R23" s="657" t="str">
        <f t="array" ref="R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f>
        <v/>
      </c>
      <c r="S23" s="657" t="str">
        <f t="array" ref="S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f>
        <v/>
      </c>
      <c r="T23" s="657" t="str">
        <f t="array" ref="T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4]))</f>
        <v/>
      </c>
      <c r="U23" s="657" t="str">
        <f t="array" ref="U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5]))</f>
        <v/>
      </c>
      <c r="V23" s="657" t="str">
        <f t="array" ref="V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6]))</f>
        <v/>
      </c>
      <c r="W23" s="657" t="str">
        <f t="array" ref="W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7]))</f>
        <v/>
      </c>
      <c r="X23" s="657" t="str">
        <f t="array" ref="X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8]))</f>
        <v/>
      </c>
      <c r="Y23" s="657" t="str">
        <f t="array" ref="Y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9]))</f>
        <v/>
      </c>
      <c r="Z23" s="657" t="str">
        <f t="array" ref="Z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10]))</f>
        <v/>
      </c>
      <c r="AA23" s="657" t="str">
        <f t="array" ref="AA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11]))</f>
        <v/>
      </c>
      <c r="AB23" s="657" t="str">
        <f t="array" ref="AB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12]))</f>
        <v/>
      </c>
      <c r="AC23" s="657" t="str">
        <f t="array" ref="AC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13]))</f>
        <v/>
      </c>
      <c r="AD23" s="657" t="str">
        <f t="array" ref="AD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14]))</f>
        <v/>
      </c>
      <c r="AE23" s="657" t="str">
        <f t="array" ref="AE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15]))</f>
        <v/>
      </c>
      <c r="AF23" s="657" t="str">
        <f t="array" ref="AF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16]))</f>
        <v/>
      </c>
      <c r="AG23" s="657" t="str">
        <f t="array" ref="AG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17]))</f>
        <v/>
      </c>
      <c r="AH23" s="657" t="str">
        <f t="array" ref="AH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18]))</f>
        <v/>
      </c>
      <c r="AI23" s="657" t="str">
        <f t="array" ref="AI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19]))</f>
        <v/>
      </c>
      <c r="AJ23" s="657" t="str">
        <f t="array" ref="AJ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20]))</f>
        <v/>
      </c>
      <c r="AK23" s="657" t="str">
        <f t="array" ref="AK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21]))</f>
        <v/>
      </c>
      <c r="AL23" s="657" t="str">
        <f t="array" ref="AL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22]))</f>
        <v/>
      </c>
      <c r="AM23" s="657" t="str">
        <f t="array" ref="AM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23]))</f>
        <v/>
      </c>
      <c r="AN23" s="657" t="str">
        <f t="array" ref="AN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24]))</f>
        <v/>
      </c>
      <c r="AO23" s="657" t="str">
        <f t="array" ref="AO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25]))</f>
        <v/>
      </c>
      <c r="AP23" s="657" t="str">
        <f t="array" ref="AP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26]))</f>
        <v/>
      </c>
      <c r="AQ23" s="657" t="str">
        <f t="array" ref="AQ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27]))</f>
        <v/>
      </c>
      <c r="AR23" s="657" t="str">
        <f t="array" ref="AR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28]))</f>
        <v/>
      </c>
      <c r="AS23" s="657" t="str">
        <f t="array" ref="AS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29]))</f>
        <v/>
      </c>
      <c r="AT23" s="657" t="str">
        <f t="array" ref="AT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30]))</f>
        <v/>
      </c>
      <c r="AU23" s="657" t="str">
        <f t="array" ref="AU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31]))</f>
        <v/>
      </c>
      <c r="AV23" s="657" t="str">
        <f t="array" ref="AV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32]))</f>
        <v/>
      </c>
      <c r="AW23" s="657" t="str">
        <f t="array" ref="AW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33]))</f>
        <v/>
      </c>
      <c r="AX23" s="657" t="str">
        <f t="array" ref="AX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34]))</f>
        <v/>
      </c>
      <c r="AY23" s="657" t="str">
        <f t="array" ref="AY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35]))</f>
        <v/>
      </c>
      <c r="AZ23" s="657" t="str">
        <f t="array" ref="AZ23">IF($L23="","",SUMPRODUCT(IF($F$5="Y",1*(ActualsTable[Company]=IF($F23="",$F$6,$F23)),1+0*ISBLANK(ActualsTable[Company])),IF($G$5="Y",1*(ActualsTable[Business Unit]=IF($G23="",$G$6,$G23)),1+0*ISBLANK(ActualsTable[Business Unit])),IF($H$5="Y",1*(ActualsTable[Department]=IF($H23="",$H$6,$H23)),1+0*ISBLANK(ActualsTable[Department])),IF($I$5="Y",1*(ActualsTable[Team]=IF($P23="",$P$6,$P23)),1+0*ISBLANK(ActualsTable[Team])),IF($J$5="Y",1*(ActualsTable[Product]=IF($J23="",$J$6,$J23)),1+0*ISBLANK(ActualsTable[Product])),IF($K$5="Y",1*(ActualsTable[Location]=IF($K23="",$K$6,$K23)),1+0*ISBLANK(ActualsTable[Location])),1*(ActualsTable[Expense Item]=$L23),ActualsTable[Month 36]))</f>
        <v/>
      </c>
      <c r="BA23" s="257"/>
      <c r="BB23" s="654" t="str">
        <f t="array" ref="BB23">IF(OR($L23="",IsHidden(BB23)),"",CHOOSE($B23,N($E23)*BB$5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L$186:L$286)*N($E23),BB$6*N($E23),N($E23),0)+N(BB86))</f>
        <v/>
      </c>
      <c r="BC23" s="654" t="str">
        <f t="array" ref="BC23">IF(OR($L23="",IsHidden(BC23)),"",CHOOSE($B23,N($E23)*BC$5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M$186:M$286)*N($E23),BC$6*N($E23),N($E23),0)+N(BC86))</f>
        <v/>
      </c>
      <c r="BD23" s="654" t="str">
        <f t="array" ref="BD23">IF(OR($L23="",IsHidden(BD23)),"",CHOOSE($B23,N($E23)*BD$5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N$186:N$286)*N($E23),BD$6*N($E23),N($E23),0)+N(BD86))</f>
        <v/>
      </c>
      <c r="BE23" s="654" t="str">
        <f t="array" ref="BE23">IF(OR($L23="",IsHidden(BE23)),"",CHOOSE($B23,N($E23)*BE$5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O$186:O$286)*N($E23),BE$6*N($E23),N($E23),0)+N(BE86))</f>
        <v/>
      </c>
      <c r="BF23" s="654" t="str">
        <f t="array" ref="BF23">IF(OR($L23="",IsHidden(BF23)),"",CHOOSE($B23,N($E23)*BF$5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P$186:P$286)*N($E23),BF$6*N($E23),N($E23),0)+N(BF86))</f>
        <v/>
      </c>
      <c r="BG23" s="654" t="str">
        <f t="array" ref="BG23">IF(OR($L23="",IsHidden(BG23)),"",CHOOSE($B23,N($E23)*BG$5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Q$186:Q$286)*N($E23),BG$6*N($E23),N($E23),0)+N(BG86))</f>
        <v/>
      </c>
      <c r="BH23" s="654" t="str">
        <f t="array" ref="BH23">IF(OR($L23="",IsHidden(BH23)),"",CHOOSE($B23,N($E23)*BH$5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R$186:R$286)*N($E23),BH$6*N($E23),N($E23),0)+N(BH86))</f>
        <v/>
      </c>
      <c r="BI23" s="654" t="str">
        <f t="array" ref="BI23">IF(OR($L23="",IsHidden(BI23)),"",CHOOSE($B23,N($E23)*BI$5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S$186:S$286)*N($E23),BI$6*N($E23),N($E23),0)+N(BI86))</f>
        <v/>
      </c>
      <c r="BJ23" s="654" t="str">
        <f t="array" ref="BJ23">IF(OR($L23="",IsHidden(BJ23)),"",CHOOSE($B23,N($E23)*BJ$5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T$186:T$286)*N($E23),BJ$6*N($E23),N($E23),0)+N(BJ86))</f>
        <v/>
      </c>
      <c r="BK23" s="654" t="str">
        <f t="array" ref="BK23">IF(OR($L23="",IsHidden(BK23)),"",CHOOSE($B23,N($E23)*BK$5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U$186:U$286)*N($E23),BK$6*N($E23),N($E23),0)+N(BK86))</f>
        <v/>
      </c>
      <c r="BL23" s="654" t="str">
        <f t="array" ref="BL23">IF(OR($L23="",IsHidden(BL23)),"",CHOOSE($B23,N($E23)*BL$5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V$186:V$286)*N($E23),BL$6*N($E23),N($E23),0)+N(BL86))</f>
        <v/>
      </c>
      <c r="BM23" s="654" t="str">
        <f t="array" ref="BM23">IF(OR($L23="",IsHidden(BM23)),"",CHOOSE($B23,N($E23)*BM$5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W$186:W$286)*N($E23),BM$6*N($E23),N($E23),0)+N(BM86))</f>
        <v/>
      </c>
      <c r="BN23" s="654" t="str">
        <f t="array" ref="BN23">IF(OR($L23="",IsHidden(BN23)),"",CHOOSE($B23,N($E23)*BN$5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X$186:X$286)*N($E23),BN$6*N($E23),N($E23),0)+N(BN86))</f>
        <v/>
      </c>
      <c r="BO23" s="654" t="str">
        <f t="array" ref="BO23">IF(OR($L23="",IsHidden(BO23)),"",CHOOSE($B23,N($E23)*BO$5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Y$186:Y$286)*N($E23),BO$6*N($E23),N($E23),0)+N(BO86))</f>
        <v/>
      </c>
      <c r="BP23" s="654" t="str">
        <f t="array" ref="BP23">IF(OR($L23="",IsHidden(BP23)),"",CHOOSE($B23,N($E23)*BP$5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Z$186:Z$286)*N($E23),BP$6*N($E23),N($E23),0)+N(BP86))</f>
        <v/>
      </c>
      <c r="BQ23" s="654" t="str">
        <f t="array" ref="BQ23">IF(OR($L23="",IsHidden(BQ23)),"",CHOOSE($B23,N($E23)*BQ$5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A$186:AA$286)*N($E23),BQ$6*N($E23),N($E23),0)+N(BQ86))</f>
        <v/>
      </c>
      <c r="BR23" s="654" t="str">
        <f t="array" ref="BR23">IF(OR($L23="",IsHidden(BR23)),"",CHOOSE($B23,N($E23)*BR$5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B$186:AB$286)*N($E23),BR$6*N($E23),N($E23),0)+N(BR86))</f>
        <v/>
      </c>
      <c r="BS23" s="654" t="str">
        <f t="array" ref="BS23">IF(OR($L23="",IsHidden(BS23)),"",CHOOSE($B23,N($E23)*BS$5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C$186:AC$286)*N($E23),BS$6*N($E23),N($E23),0)+N(BS86))</f>
        <v/>
      </c>
      <c r="BT23" s="654" t="str">
        <f t="array" ref="BT23">IF(OR($L23="",IsHidden(BT23)),"",CHOOSE($B23,N($E23)*BT$5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D$186:AD$286)*N($E23),BT$6*N($E23),N($E23),0)+N(BT86))</f>
        <v/>
      </c>
      <c r="BU23" s="654" t="str">
        <f t="array" ref="BU23">IF(OR($L23="",IsHidden(BU23)),"",CHOOSE($B23,N($E23)*BU$5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E$186:AE$286)*N($E23),BU$6*N($E23),N($E23),0)+N(BU86))</f>
        <v/>
      </c>
      <c r="BV23" s="654" t="str">
        <f t="array" ref="BV23">IF(OR($L23="",IsHidden(BV23)),"",CHOOSE($B23,N($E23)*BV$5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F$186:AF$286)*N($E23),BV$6*N($E23),N($E23),0)+N(BV86))</f>
        <v/>
      </c>
      <c r="BW23" s="654" t="str">
        <f t="array" ref="BW23">IF(OR($L23="",IsHidden(BW23)),"",CHOOSE($B23,N($E23)*BW$5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G$186:AG$286)*N($E23),BW$6*N($E23),N($E23),0)+N(BW86))</f>
        <v/>
      </c>
      <c r="BX23" s="654" t="str">
        <f t="array" ref="BX23">IF(OR($L23="",IsHidden(BX23)),"",CHOOSE($B23,N($E23)*BX$5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H$186:AH$286)*N($E23),BX$6*N($E23),N($E23),0)+N(BX86))</f>
        <v/>
      </c>
      <c r="BY23" s="654" t="str">
        <f t="array" ref="BY23">IF(OR($L23="",IsHidden(BY23)),"",CHOOSE($B23,N($E23)*BY$5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I$186:AI$286)*N($E23),BY$6*N($E23),N($E23),0)+N(BY86))</f>
        <v/>
      </c>
      <c r="BZ23" s="654" t="str">
        <f t="array" ref="BZ23">IF(OR($L23="",IsHidden(BZ23)),"",CHOOSE($B23,N($E23)*BZ$5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J$186:AJ$286)*N($E23),BZ$6*N($E23),N($E23),0)+N(BZ86))</f>
        <v/>
      </c>
      <c r="CA23" s="654" t="str">
        <f t="array" ref="CA23">IF(OR($L23="",IsHidden(CA23)),"",CHOOSE($B23,N($E23)*CA$5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K$186:AK$286)*N($E23),CA$6*N($E23),N($E23),0)+N(CA86))</f>
        <v/>
      </c>
      <c r="CB23" s="654" t="str">
        <f t="array" ref="CB23">IF(OR($L23="",IsHidden(CB23)),"",CHOOSE($B23,N($E23)*CB$5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L$186:AL$286)*N($E23),CB$6*N($E23),N($E23),0)+N(CB86))</f>
        <v/>
      </c>
      <c r="CC23" s="654" t="str">
        <f t="array" ref="CC23">IF(OR($L23="",IsHidden(CC23)),"",CHOOSE($B23,N($E23)*CC$5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M$186:AM$286)*N($E23),CC$6*N($E23),N($E23),0)+N(CC86))</f>
        <v/>
      </c>
      <c r="CD23" s="654" t="str">
        <f t="array" ref="CD23">IF(OR($L23="",IsHidden(CD23)),"",CHOOSE($B23,N($E23)*CD$5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N$186:AN$286)*N($E23),CD$6*N($E23),N($E23),0)+N(CD86))</f>
        <v/>
      </c>
      <c r="CE23" s="654" t="str">
        <f t="array" ref="CE23">IF(OR($L23="",IsHidden(CE23)),"",CHOOSE($B23,N($E23)*CE$5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O$186:AO$286)*N($E23),CE$6*N($E23),N($E23),0)+N(CE86))</f>
        <v/>
      </c>
      <c r="CF23" s="654" t="str">
        <f t="array" ref="CF23">IF(OR($L23="",IsHidden(CF23)),"",CHOOSE($B23,N($E23)*CF$5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P$186:AP$286)*N($E23),CF$6*N($E23),N($E23),0)+N(CF86))</f>
        <v/>
      </c>
      <c r="CG23" s="654" t="str">
        <f t="array" ref="CG23">IF(OR($L23="",IsHidden(CG23)),"",CHOOSE($B23,N($E23)*CG$5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Q$186:AQ$286)*N($E23),CG$6*N($E23),N($E23),0)+N(CG86))</f>
        <v/>
      </c>
      <c r="CH23" s="654" t="str">
        <f t="array" ref="CH23">IF(OR($L23="",IsHidden(CH23)),"",CHOOSE($B23,N($E23)*CH$5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R$186:AR$286)*N($E23),CH$6*N($E23),N($E23),0)+N(CH86))</f>
        <v/>
      </c>
      <c r="CI23" s="654" t="str">
        <f t="array" ref="CI23">IF(OR($L23="",IsHidden(CI23)),"",CHOOSE($B23,N($E23)*CI$5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S$186:AS$286)*N($E23),CI$6*N($E23),N($E23),0)+N(CI86))</f>
        <v/>
      </c>
      <c r="CJ23" s="654" t="str">
        <f t="array" ref="CJ23">IF(OR($L23="",IsHidden(CJ23)),"",CHOOSE($B23,N($E23)*CJ$5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T$186:AT$286)*N($E23),CJ$6*N($E23),N($E23),0)+N(CJ86))</f>
        <v/>
      </c>
      <c r="CK23" s="654" t="str">
        <f t="array" ref="CK23">IF(OR($L23="",IsHidden(CK23)),"",CHOOSE($B23,N($E23)*CK$5,SUMPRODUCT(IF($F$5="Y",1*(Headcount!$B$186:$B$286=IF($F23="",$F$6,$F23)),1+0*ISBLANK(Headcount!$B$186:$B$286)),IF($G$5="Y",1*(Headcount!$C$186:$C$286=IF($G23="",$G$6,$G23)),1+0*ISBLANK(Headcount!$C$186:$C$286)),IF($H$5="Y",1*(Headcount!$D$186:$D$286=IF($H23="",$H$6,$H23)),1+0*ISBLANK(Headcount!$D$186:$D$286)),IF($I$5="Y",1*(Headcount!$E$186:$E$286=IF($I23="",$I$6,$I23)),1+0*ISBLANK(Headcount!$E$186:$E$286)),IF($J$5="Y",1*(Headcount!$F$186:$F$286=IF($J23="",$J$6,$J23)),1+0*ISBLANK(Headcount!$F$186:$F$286)),IF($K$5="Y",1*(Headcount!$G$186:$G$286=IF($K23="",$K$6,$K23)),1+0*ISBLANK(Headcount!$G$186:$G$286)),Headcount!AU$186:AU$286)*N($E23),CK$6*N($E23),N($E23),0)+N(CK86))</f>
        <v/>
      </c>
      <c r="CN23" s="255" t="b">
        <f t="array" ref="CN23">IF($L23="",TRUE,IF(AND(OR($F23&lt;&gt;"",$F$6&lt;&gt;""),OR($G23&lt;&gt;"",$G$6&lt;&gt;""),OR($H23&lt;&gt;"",$H$6&lt;&gt;""),OR($I23&lt;&gt;"",$I$6&lt;&gt;""),OR($J23&lt;&gt;"",$J$6&lt;&gt;""),OR($K23&lt;&gt;"",$K$6&lt;&gt;""),NOT(ISERROR(BB23:CK23)),NOT(ISNA(MATCH(IF($H23="",$H$6,$H23)&amp;IF($G23="",$G$6,$G23),DeptBU,0)))),TRUE,FALSE))</f>
        <v>1</v>
      </c>
      <c r="CP23" s="255" t="str">
        <f t="shared" si="3"/>
        <v/>
      </c>
    </row>
    <row r="24" spans="1:94" s="255" customFormat="1" x14ac:dyDescent="0.35">
      <c r="A24" s="566"/>
      <c r="B24" s="261">
        <f t="shared" si="2"/>
        <v>5</v>
      </c>
      <c r="C24" s="566"/>
      <c r="D24" s="261" t="str">
        <f t="array" aca="1" ref="D24" ca="1">IF($B24&lt;5,AVERAGE(OFFSET($Q24,,Input_ActualsOffset-1,,-$C24)/CHOOSE($B24,OFFSET($Q$5,,Input_ActualsOffset-1,1,-$C24),ss($C24,OFFSET(Actuals!$A$1,1,MATCH("Month "&amp;Input_ActualsOffset,ActualsTable[#Headers],0)-1,ROWS(ActualsTable[#Data]),1),ActualsTable[Company],IF($F$5="Y",IF($F24="",$F$6,$F24),"*"),ActualsTable[Business Unit],IF($G$5="Y",IF($G24="",$G$6,$G24),"*"),ActualsTable[Department],IF($H$5="Y",IF($H24="",$H$6,$H24),"*"),ActualsTable[Team],IF($I$5="Y",IF($P24="",$P$6,$P24),"*"),ActualsTable[Product],IF($J$5="Y",IF($J24="",$J$6,$J24),"*"),ActualsTable[Location],IF($K$5="Y",IF($K24="",$K$6,$K24),"*"),ActualsTable[Expense Item],"Headcount"),OFFSET($Q$6,,Input_ActualsOffset-1,,-$C24),1)),"")</f>
        <v/>
      </c>
      <c r="E24" s="640"/>
      <c r="F24" s="555"/>
      <c r="G24" s="555"/>
      <c r="H24" s="555"/>
      <c r="I24" s="555"/>
      <c r="J24" s="555"/>
      <c r="K24" s="555"/>
      <c r="L24" s="555"/>
      <c r="M24" s="555"/>
      <c r="N24" s="555"/>
      <c r="O24" s="556" t="str">
        <f>IF($L24="","",IF(VLOOKUP(L24,ExpItems[],2,0),L24&amp;" - "&amp;INDEX(DivisionMapping[category_code],MATCH(IF(H24="",$H$6,H24)&amp;IF(G24="",$G$6,G24),DivisionMapping[dept_bu],0)),L24))</f>
        <v/>
      </c>
      <c r="P24" s="556" t="str">
        <f>IF($L24="","",INDEX(Teams[team_consolidation],MATCH(IF($I24="",$I$6,$I24),Teams[team_name],0)))</f>
        <v/>
      </c>
      <c r="Q24" s="657" t="str">
        <f t="array" ref="Q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f>
        <v/>
      </c>
      <c r="R24" s="657" t="str">
        <f t="array" ref="R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f>
        <v/>
      </c>
      <c r="S24" s="657" t="str">
        <f t="array" ref="S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f>
        <v/>
      </c>
      <c r="T24" s="657" t="str">
        <f t="array" ref="T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4]))</f>
        <v/>
      </c>
      <c r="U24" s="657" t="str">
        <f t="array" ref="U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5]))</f>
        <v/>
      </c>
      <c r="V24" s="657" t="str">
        <f t="array" ref="V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6]))</f>
        <v/>
      </c>
      <c r="W24" s="657" t="str">
        <f t="array" ref="W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7]))</f>
        <v/>
      </c>
      <c r="X24" s="657" t="str">
        <f t="array" ref="X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8]))</f>
        <v/>
      </c>
      <c r="Y24" s="657" t="str">
        <f t="array" ref="Y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9]))</f>
        <v/>
      </c>
      <c r="Z24" s="657" t="str">
        <f t="array" ref="Z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10]))</f>
        <v/>
      </c>
      <c r="AA24" s="657" t="str">
        <f t="array" ref="AA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11]))</f>
        <v/>
      </c>
      <c r="AB24" s="657" t="str">
        <f t="array" ref="AB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12]))</f>
        <v/>
      </c>
      <c r="AC24" s="657" t="str">
        <f t="array" ref="AC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13]))</f>
        <v/>
      </c>
      <c r="AD24" s="657" t="str">
        <f t="array" ref="AD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14]))</f>
        <v/>
      </c>
      <c r="AE24" s="657" t="str">
        <f t="array" ref="AE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15]))</f>
        <v/>
      </c>
      <c r="AF24" s="657" t="str">
        <f t="array" ref="AF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16]))</f>
        <v/>
      </c>
      <c r="AG24" s="657" t="str">
        <f t="array" ref="AG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17]))</f>
        <v/>
      </c>
      <c r="AH24" s="657" t="str">
        <f t="array" ref="AH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18]))</f>
        <v/>
      </c>
      <c r="AI24" s="657" t="str">
        <f t="array" ref="AI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19]))</f>
        <v/>
      </c>
      <c r="AJ24" s="657" t="str">
        <f t="array" ref="AJ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20]))</f>
        <v/>
      </c>
      <c r="AK24" s="657" t="str">
        <f t="array" ref="AK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21]))</f>
        <v/>
      </c>
      <c r="AL24" s="657" t="str">
        <f t="array" ref="AL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22]))</f>
        <v/>
      </c>
      <c r="AM24" s="657" t="str">
        <f t="array" ref="AM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23]))</f>
        <v/>
      </c>
      <c r="AN24" s="657" t="str">
        <f t="array" ref="AN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24]))</f>
        <v/>
      </c>
      <c r="AO24" s="657" t="str">
        <f t="array" ref="AO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25]))</f>
        <v/>
      </c>
      <c r="AP24" s="657" t="str">
        <f t="array" ref="AP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26]))</f>
        <v/>
      </c>
      <c r="AQ24" s="657" t="str">
        <f t="array" ref="AQ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27]))</f>
        <v/>
      </c>
      <c r="AR24" s="657" t="str">
        <f t="array" ref="AR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28]))</f>
        <v/>
      </c>
      <c r="AS24" s="657" t="str">
        <f t="array" ref="AS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29]))</f>
        <v/>
      </c>
      <c r="AT24" s="657" t="str">
        <f t="array" ref="AT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30]))</f>
        <v/>
      </c>
      <c r="AU24" s="657" t="str">
        <f t="array" ref="AU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31]))</f>
        <v/>
      </c>
      <c r="AV24" s="657" t="str">
        <f t="array" ref="AV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32]))</f>
        <v/>
      </c>
      <c r="AW24" s="657" t="str">
        <f t="array" ref="AW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33]))</f>
        <v/>
      </c>
      <c r="AX24" s="657" t="str">
        <f t="array" ref="AX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34]))</f>
        <v/>
      </c>
      <c r="AY24" s="657" t="str">
        <f t="array" ref="AY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35]))</f>
        <v/>
      </c>
      <c r="AZ24" s="657" t="str">
        <f t="array" ref="AZ24">IF($L24="","",SUMPRODUCT(IF($F$5="Y",1*(ActualsTable[Company]=IF($F24="",$F$6,$F24)),1+0*ISBLANK(ActualsTable[Company])),IF($G$5="Y",1*(ActualsTable[Business Unit]=IF($G24="",$G$6,$G24)),1+0*ISBLANK(ActualsTable[Business Unit])),IF($H$5="Y",1*(ActualsTable[Department]=IF($H24="",$H$6,$H24)),1+0*ISBLANK(ActualsTable[Department])),IF($I$5="Y",1*(ActualsTable[Team]=IF($P24="",$P$6,$P24)),1+0*ISBLANK(ActualsTable[Team])),IF($J$5="Y",1*(ActualsTable[Product]=IF($J24="",$J$6,$J24)),1+0*ISBLANK(ActualsTable[Product])),IF($K$5="Y",1*(ActualsTable[Location]=IF($K24="",$K$6,$K24)),1+0*ISBLANK(ActualsTable[Location])),1*(ActualsTable[Expense Item]=$L24),ActualsTable[Month 36]))</f>
        <v/>
      </c>
      <c r="BA24" s="257"/>
      <c r="BB24" s="654" t="str">
        <f t="array" ref="BB24">IF(OR($L24="",IsHidden(BB24)),"",CHOOSE($B24,N($E24)*BB$5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L$186:L$286)*N($E24),BB$6*N($E24),N($E24),0)+N(BB87))</f>
        <v/>
      </c>
      <c r="BC24" s="654" t="str">
        <f t="array" ref="BC24">IF(OR($L24="",IsHidden(BC24)),"",CHOOSE($B24,N($E24)*BC$5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M$186:M$286)*N($E24),BC$6*N($E24),N($E24),0)+N(BC87))</f>
        <v/>
      </c>
      <c r="BD24" s="654" t="str">
        <f t="array" ref="BD24">IF(OR($L24="",IsHidden(BD24)),"",CHOOSE($B24,N($E24)*BD$5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N$186:N$286)*N($E24),BD$6*N($E24),N($E24),0)+N(BD87))</f>
        <v/>
      </c>
      <c r="BE24" s="654" t="str">
        <f t="array" ref="BE24">IF(OR($L24="",IsHidden(BE24)),"",CHOOSE($B24,N($E24)*BE$5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O$186:O$286)*N($E24),BE$6*N($E24),N($E24),0)+N(BE87))</f>
        <v/>
      </c>
      <c r="BF24" s="654" t="str">
        <f t="array" ref="BF24">IF(OR($L24="",IsHidden(BF24)),"",CHOOSE($B24,N($E24)*BF$5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P$186:P$286)*N($E24),BF$6*N($E24),N($E24),0)+N(BF87))</f>
        <v/>
      </c>
      <c r="BG24" s="654" t="str">
        <f t="array" ref="BG24">IF(OR($L24="",IsHidden(BG24)),"",CHOOSE($B24,N($E24)*BG$5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Q$186:Q$286)*N($E24),BG$6*N($E24),N($E24),0)+N(BG87))</f>
        <v/>
      </c>
      <c r="BH24" s="654" t="str">
        <f t="array" ref="BH24">IF(OR($L24="",IsHidden(BH24)),"",CHOOSE($B24,N($E24)*BH$5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R$186:R$286)*N($E24),BH$6*N($E24),N($E24),0)+N(BH87))</f>
        <v/>
      </c>
      <c r="BI24" s="654" t="str">
        <f t="array" ref="BI24">IF(OR($L24="",IsHidden(BI24)),"",CHOOSE($B24,N($E24)*BI$5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S$186:S$286)*N($E24),BI$6*N($E24),N($E24),0)+N(BI87))</f>
        <v/>
      </c>
      <c r="BJ24" s="654" t="str">
        <f t="array" ref="BJ24">IF(OR($L24="",IsHidden(BJ24)),"",CHOOSE($B24,N($E24)*BJ$5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T$186:T$286)*N($E24),BJ$6*N($E24),N($E24),0)+N(BJ87))</f>
        <v/>
      </c>
      <c r="BK24" s="654" t="str">
        <f t="array" ref="BK24">IF(OR($L24="",IsHidden(BK24)),"",CHOOSE($B24,N($E24)*BK$5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U$186:U$286)*N($E24),BK$6*N($E24),N($E24),0)+N(BK87))</f>
        <v/>
      </c>
      <c r="BL24" s="654" t="str">
        <f t="array" ref="BL24">IF(OR($L24="",IsHidden(BL24)),"",CHOOSE($B24,N($E24)*BL$5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V$186:V$286)*N($E24),BL$6*N($E24),N($E24),0)+N(BL87))</f>
        <v/>
      </c>
      <c r="BM24" s="654" t="str">
        <f t="array" ref="BM24">IF(OR($L24="",IsHidden(BM24)),"",CHOOSE($B24,N($E24)*BM$5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W$186:W$286)*N($E24),BM$6*N($E24),N($E24),0)+N(BM87))</f>
        <v/>
      </c>
      <c r="BN24" s="654" t="str">
        <f t="array" ref="BN24">IF(OR($L24="",IsHidden(BN24)),"",CHOOSE($B24,N($E24)*BN$5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X$186:X$286)*N($E24),BN$6*N($E24),N($E24),0)+N(BN87))</f>
        <v/>
      </c>
      <c r="BO24" s="654" t="str">
        <f t="array" ref="BO24">IF(OR($L24="",IsHidden(BO24)),"",CHOOSE($B24,N($E24)*BO$5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Y$186:Y$286)*N($E24),BO$6*N($E24),N($E24),0)+N(BO87))</f>
        <v/>
      </c>
      <c r="BP24" s="654" t="str">
        <f t="array" ref="BP24">IF(OR($L24="",IsHidden(BP24)),"",CHOOSE($B24,N($E24)*BP$5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Z$186:Z$286)*N($E24),BP$6*N($E24),N($E24),0)+N(BP87))</f>
        <v/>
      </c>
      <c r="BQ24" s="654" t="str">
        <f t="array" ref="BQ24">IF(OR($L24="",IsHidden(BQ24)),"",CHOOSE($B24,N($E24)*BQ$5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A$186:AA$286)*N($E24),BQ$6*N($E24),N($E24),0)+N(BQ87))</f>
        <v/>
      </c>
      <c r="BR24" s="654" t="str">
        <f t="array" ref="BR24">IF(OR($L24="",IsHidden(BR24)),"",CHOOSE($B24,N($E24)*BR$5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B$186:AB$286)*N($E24),BR$6*N($E24),N($E24),0)+N(BR87))</f>
        <v/>
      </c>
      <c r="BS24" s="654" t="str">
        <f t="array" ref="BS24">IF(OR($L24="",IsHidden(BS24)),"",CHOOSE($B24,N($E24)*BS$5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C$186:AC$286)*N($E24),BS$6*N($E24),N($E24),0)+N(BS87))</f>
        <v/>
      </c>
      <c r="BT24" s="654" t="str">
        <f t="array" ref="BT24">IF(OR($L24="",IsHidden(BT24)),"",CHOOSE($B24,N($E24)*BT$5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D$186:AD$286)*N($E24),BT$6*N($E24),N($E24),0)+N(BT87))</f>
        <v/>
      </c>
      <c r="BU24" s="654" t="str">
        <f t="array" ref="BU24">IF(OR($L24="",IsHidden(BU24)),"",CHOOSE($B24,N($E24)*BU$5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E$186:AE$286)*N($E24),BU$6*N($E24),N($E24),0)+N(BU87))</f>
        <v/>
      </c>
      <c r="BV24" s="654" t="str">
        <f t="array" ref="BV24">IF(OR($L24="",IsHidden(BV24)),"",CHOOSE($B24,N($E24)*BV$5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F$186:AF$286)*N($E24),BV$6*N($E24),N($E24),0)+N(BV87))</f>
        <v/>
      </c>
      <c r="BW24" s="654" t="str">
        <f t="array" ref="BW24">IF(OR($L24="",IsHidden(BW24)),"",CHOOSE($B24,N($E24)*BW$5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G$186:AG$286)*N($E24),BW$6*N($E24),N($E24),0)+N(BW87))</f>
        <v/>
      </c>
      <c r="BX24" s="654" t="str">
        <f t="array" ref="BX24">IF(OR($L24="",IsHidden(BX24)),"",CHOOSE($B24,N($E24)*BX$5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H$186:AH$286)*N($E24),BX$6*N($E24),N($E24),0)+N(BX87))</f>
        <v/>
      </c>
      <c r="BY24" s="654" t="str">
        <f t="array" ref="BY24">IF(OR($L24="",IsHidden(BY24)),"",CHOOSE($B24,N($E24)*BY$5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I$186:AI$286)*N($E24),BY$6*N($E24),N($E24),0)+N(BY87))</f>
        <v/>
      </c>
      <c r="BZ24" s="654" t="str">
        <f t="array" ref="BZ24">IF(OR($L24="",IsHidden(BZ24)),"",CHOOSE($B24,N($E24)*BZ$5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J$186:AJ$286)*N($E24),BZ$6*N($E24),N($E24),0)+N(BZ87))</f>
        <v/>
      </c>
      <c r="CA24" s="654" t="str">
        <f t="array" ref="CA24">IF(OR($L24="",IsHidden(CA24)),"",CHOOSE($B24,N($E24)*CA$5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K$186:AK$286)*N($E24),CA$6*N($E24),N($E24),0)+N(CA87))</f>
        <v/>
      </c>
      <c r="CB24" s="654" t="str">
        <f t="array" ref="CB24">IF(OR($L24="",IsHidden(CB24)),"",CHOOSE($B24,N($E24)*CB$5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L$186:AL$286)*N($E24),CB$6*N($E24),N($E24),0)+N(CB87))</f>
        <v/>
      </c>
      <c r="CC24" s="654" t="str">
        <f t="array" ref="CC24">IF(OR($L24="",IsHidden(CC24)),"",CHOOSE($B24,N($E24)*CC$5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M$186:AM$286)*N($E24),CC$6*N($E24),N($E24),0)+N(CC87))</f>
        <v/>
      </c>
      <c r="CD24" s="654" t="str">
        <f t="array" ref="CD24">IF(OR($L24="",IsHidden(CD24)),"",CHOOSE($B24,N($E24)*CD$5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N$186:AN$286)*N($E24),CD$6*N($E24),N($E24),0)+N(CD87))</f>
        <v/>
      </c>
      <c r="CE24" s="654" t="str">
        <f t="array" ref="CE24">IF(OR($L24="",IsHidden(CE24)),"",CHOOSE($B24,N($E24)*CE$5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O$186:AO$286)*N($E24),CE$6*N($E24),N($E24),0)+N(CE87))</f>
        <v/>
      </c>
      <c r="CF24" s="654" t="str">
        <f t="array" ref="CF24">IF(OR($L24="",IsHidden(CF24)),"",CHOOSE($B24,N($E24)*CF$5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P$186:AP$286)*N($E24),CF$6*N($E24),N($E24),0)+N(CF87))</f>
        <v/>
      </c>
      <c r="CG24" s="654" t="str">
        <f t="array" ref="CG24">IF(OR($L24="",IsHidden(CG24)),"",CHOOSE($B24,N($E24)*CG$5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Q$186:AQ$286)*N($E24),CG$6*N($E24),N($E24),0)+N(CG87))</f>
        <v/>
      </c>
      <c r="CH24" s="654" t="str">
        <f t="array" ref="CH24">IF(OR($L24="",IsHidden(CH24)),"",CHOOSE($B24,N($E24)*CH$5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R$186:AR$286)*N($E24),CH$6*N($E24),N($E24),0)+N(CH87))</f>
        <v/>
      </c>
      <c r="CI24" s="654" t="str">
        <f t="array" ref="CI24">IF(OR($L24="",IsHidden(CI24)),"",CHOOSE($B24,N($E24)*CI$5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S$186:AS$286)*N($E24),CI$6*N($E24),N($E24),0)+N(CI87))</f>
        <v/>
      </c>
      <c r="CJ24" s="654" t="str">
        <f t="array" ref="CJ24">IF(OR($L24="",IsHidden(CJ24)),"",CHOOSE($B24,N($E24)*CJ$5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T$186:AT$286)*N($E24),CJ$6*N($E24),N($E24),0)+N(CJ87))</f>
        <v/>
      </c>
      <c r="CK24" s="654" t="str">
        <f t="array" ref="CK24">IF(OR($L24="",IsHidden(CK24)),"",CHOOSE($B24,N($E24)*CK$5,SUMPRODUCT(IF($F$5="Y",1*(Headcount!$B$186:$B$286=IF($F24="",$F$6,$F24)),1+0*ISBLANK(Headcount!$B$186:$B$286)),IF($G$5="Y",1*(Headcount!$C$186:$C$286=IF($G24="",$G$6,$G24)),1+0*ISBLANK(Headcount!$C$186:$C$286)),IF($H$5="Y",1*(Headcount!$D$186:$D$286=IF($H24="",$H$6,$H24)),1+0*ISBLANK(Headcount!$D$186:$D$286)),IF($I$5="Y",1*(Headcount!$E$186:$E$286=IF($I24="",$I$6,$I24)),1+0*ISBLANK(Headcount!$E$186:$E$286)),IF($J$5="Y",1*(Headcount!$F$186:$F$286=IF($J24="",$J$6,$J24)),1+0*ISBLANK(Headcount!$F$186:$F$286)),IF($K$5="Y",1*(Headcount!$G$186:$G$286=IF($K24="",$K$6,$K24)),1+0*ISBLANK(Headcount!$G$186:$G$286)),Headcount!AU$186:AU$286)*N($E24),CK$6*N($E24),N($E24),0)+N(CK87))</f>
        <v/>
      </c>
      <c r="CN24" s="255" t="b">
        <f t="array" ref="CN24">IF($L24="",TRUE,IF(AND(OR($F24&lt;&gt;"",$F$6&lt;&gt;""),OR($G24&lt;&gt;"",$G$6&lt;&gt;""),OR($H24&lt;&gt;"",$H$6&lt;&gt;""),OR($I24&lt;&gt;"",$I$6&lt;&gt;""),OR($J24&lt;&gt;"",$J$6&lt;&gt;""),OR($K24&lt;&gt;"",$K$6&lt;&gt;""),NOT(ISERROR(BB24:CK24)),NOT(ISNA(MATCH(IF($H24="",$H$6,$H24)&amp;IF($G24="",$G$6,$G24),DeptBU,0)))),TRUE,FALSE))</f>
        <v>1</v>
      </c>
      <c r="CP24" s="255" t="str">
        <f t="shared" si="3"/>
        <v/>
      </c>
    </row>
    <row r="25" spans="1:94" s="255" customFormat="1" x14ac:dyDescent="0.35">
      <c r="A25" s="566" t="s">
        <v>1141</v>
      </c>
      <c r="B25" s="261">
        <f t="shared" si="2"/>
        <v>1</v>
      </c>
      <c r="C25" s="566"/>
      <c r="D25" s="261" t="e">
        <f t="array" aca="1" ref="D25" ca="1">IF($B25&lt;5,AVERAGE(OFFSET($Q25,,Input_ActualsOffset-1,,-$C25)/CHOOSE($B25,OFFSET($Q$5,,Input_ActualsOffset-1,1,-$C25),ss($C25,OFFSET(Actuals!$A$1,1,MATCH("Month "&amp;Input_ActualsOffset,ActualsTable[#Headers],0)-1,ROWS(ActualsTable[#Data]),1),ActualsTable[Company],IF($F$5="Y",IF($F25="",$F$6,$F25),"*"),ActualsTable[Business Unit],IF($G$5="Y",IF($G25="",$G$6,$G25),"*"),ActualsTable[Department],IF($H$5="Y",IF($H25="",$H$6,$H25),"*"),ActualsTable[Team],IF($I$5="Y",IF($P25="",$P$6,$P25),"*"),ActualsTable[Product],IF($J$5="Y",IF($J25="",$J$6,$J25),"*"),ActualsTable[Location],IF($K$5="Y",IF($K25="",$K$6,$K25),"*"),ActualsTable[Expense Item],"Headcount"),OFFSET($Q$6,,Input_ActualsOffset-1,,-$C25),1)),"")</f>
        <v>#REF!</v>
      </c>
      <c r="E25" s="640"/>
      <c r="F25" s="555"/>
      <c r="G25" s="555"/>
      <c r="H25" s="555"/>
      <c r="I25" s="555"/>
      <c r="J25" s="555"/>
      <c r="K25" s="555"/>
      <c r="L25" s="555" t="s">
        <v>40</v>
      </c>
      <c r="M25" s="555"/>
      <c r="N25" s="555"/>
      <c r="O25" s="556" t="str">
        <f>IF($L25="","",IF(VLOOKUP(L25,ExpItems[],2,0),L25&amp;" - "&amp;INDEX(DivisionMapping[category_code],MATCH(IF(H25="",$H$6,H25)&amp;IF(G25="",$G$6,G25),DivisionMapping[dept_bu],0)),L25))</f>
        <v>DC Utilities</v>
      </c>
      <c r="P25" s="556" t="e">
        <f>IF($L25="","",INDEX(Teams[team_consolidation],MATCH(IF($I25="",$I$6,$I25),Teams[team_name],0)))</f>
        <v>#N/A</v>
      </c>
      <c r="Q25" s="657" t="e">
        <f t="array" ref="Q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f>
        <v>#VALUE!</v>
      </c>
      <c r="R25" s="657" t="e">
        <f t="array" ref="R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f>
        <v>#VALUE!</v>
      </c>
      <c r="S25" s="657" t="e">
        <f t="array" ref="S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f>
        <v>#VALUE!</v>
      </c>
      <c r="T25" s="657" t="e">
        <f t="array" ref="T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4]))</f>
        <v>#VALUE!</v>
      </c>
      <c r="U25" s="657" t="e">
        <f t="array" ref="U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5]))</f>
        <v>#VALUE!</v>
      </c>
      <c r="V25" s="657" t="e">
        <f t="array" ref="V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6]))</f>
        <v>#VALUE!</v>
      </c>
      <c r="W25" s="657" t="e">
        <f t="array" ref="W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7]))</f>
        <v>#VALUE!</v>
      </c>
      <c r="X25" s="657" t="e">
        <f t="array" ref="X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8]))</f>
        <v>#VALUE!</v>
      </c>
      <c r="Y25" s="657" t="e">
        <f t="array" ref="Y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9]))</f>
        <v>#VALUE!</v>
      </c>
      <c r="Z25" s="657" t="e">
        <f t="array" ref="Z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10]))</f>
        <v>#VALUE!</v>
      </c>
      <c r="AA25" s="657" t="e">
        <f t="array" ref="AA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11]))</f>
        <v>#VALUE!</v>
      </c>
      <c r="AB25" s="657" t="e">
        <f t="array" ref="AB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12]))</f>
        <v>#VALUE!</v>
      </c>
      <c r="AC25" s="657" t="e">
        <f t="array" ref="AC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13]))</f>
        <v>#VALUE!</v>
      </c>
      <c r="AD25" s="657" t="e">
        <f t="array" ref="AD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14]))</f>
        <v>#VALUE!</v>
      </c>
      <c r="AE25" s="657" t="e">
        <f t="array" ref="AE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15]))</f>
        <v>#VALUE!</v>
      </c>
      <c r="AF25" s="657" t="e">
        <f t="array" ref="AF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16]))</f>
        <v>#VALUE!</v>
      </c>
      <c r="AG25" s="657" t="e">
        <f t="array" ref="AG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17]))</f>
        <v>#VALUE!</v>
      </c>
      <c r="AH25" s="657" t="e">
        <f t="array" ref="AH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18]))</f>
        <v>#VALUE!</v>
      </c>
      <c r="AI25" s="657" t="e">
        <f t="array" ref="AI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19]))</f>
        <v>#VALUE!</v>
      </c>
      <c r="AJ25" s="657" t="e">
        <f t="array" ref="AJ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20]))</f>
        <v>#VALUE!</v>
      </c>
      <c r="AK25" s="657" t="e">
        <f t="array" ref="AK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21]))</f>
        <v>#VALUE!</v>
      </c>
      <c r="AL25" s="657" t="e">
        <f t="array" ref="AL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22]))</f>
        <v>#VALUE!</v>
      </c>
      <c r="AM25" s="657" t="e">
        <f t="array" ref="AM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23]))</f>
        <v>#VALUE!</v>
      </c>
      <c r="AN25" s="657" t="e">
        <f t="array" ref="AN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24]))</f>
        <v>#VALUE!</v>
      </c>
      <c r="AO25" s="657" t="e">
        <f t="array" ref="AO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25]))</f>
        <v>#VALUE!</v>
      </c>
      <c r="AP25" s="657" t="e">
        <f t="array" ref="AP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26]))</f>
        <v>#VALUE!</v>
      </c>
      <c r="AQ25" s="657" t="e">
        <f t="array" ref="AQ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27]))</f>
        <v>#VALUE!</v>
      </c>
      <c r="AR25" s="657" t="e">
        <f t="array" ref="AR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28]))</f>
        <v>#VALUE!</v>
      </c>
      <c r="AS25" s="657" t="e">
        <f t="array" ref="AS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29]))</f>
        <v>#VALUE!</v>
      </c>
      <c r="AT25" s="657" t="e">
        <f t="array" ref="AT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30]))</f>
        <v>#VALUE!</v>
      </c>
      <c r="AU25" s="657" t="e">
        <f t="array" ref="AU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31]))</f>
        <v>#VALUE!</v>
      </c>
      <c r="AV25" s="657" t="e">
        <f t="array" ref="AV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32]))</f>
        <v>#VALUE!</v>
      </c>
      <c r="AW25" s="657" t="e">
        <f t="array" ref="AW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33]))</f>
        <v>#VALUE!</v>
      </c>
      <c r="AX25" s="657" t="e">
        <f t="array" ref="AX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34]))</f>
        <v>#VALUE!</v>
      </c>
      <c r="AY25" s="657" t="e">
        <f t="array" ref="AY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35]))</f>
        <v>#VALUE!</v>
      </c>
      <c r="AZ25" s="657" t="e">
        <f t="array" ref="AZ25">IF($L25="","",SUMPRODUCT(IF($F$5="Y",1*(ActualsTable[Company]=IF($F25="",$F$6,$F25)),1+0*ISBLANK(ActualsTable[Company])),IF($G$5="Y",1*(ActualsTable[Business Unit]=IF($G25="",$G$6,$G25)),1+0*ISBLANK(ActualsTable[Business Unit])),IF($H$5="Y",1*(ActualsTable[Department]=IF($H25="",$H$6,$H25)),1+0*ISBLANK(ActualsTable[Department])),IF($I$5="Y",1*(ActualsTable[Team]=IF($P25="",$P$6,$P25)),1+0*ISBLANK(ActualsTable[Team])),IF($J$5="Y",1*(ActualsTable[Product]=IF($J25="",$J$6,$J25)),1+0*ISBLANK(ActualsTable[Product])),IF($K$5="Y",1*(ActualsTable[Location]=IF($K25="",$K$6,$K25)),1+0*ISBLANK(ActualsTable[Location])),1*(ActualsTable[Expense Item]=$L25),ActualsTable[Month 36]))</f>
        <v>#VALUE!</v>
      </c>
      <c r="BA25" s="257"/>
      <c r="BB25" s="654">
        <f t="array" ref="BB25">IF(OR($L25="",IsHidden(BB25)),"",CHOOSE($B25,N($E25)*BB$5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L$186:L$286)*N($E25),BB$6*N($E25),N($E25),0)+N(BB88))</f>
        <v>0</v>
      </c>
      <c r="BC25" s="654">
        <f t="array" ref="BC25">IF(OR($L25="",IsHidden(BC25)),"",CHOOSE($B25,N($E25)*BC$5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M$186:M$286)*N($E25),BC$6*N($E25),N($E25),0)+N(BC88))</f>
        <v>0</v>
      </c>
      <c r="BD25" s="654">
        <f t="array" ref="BD25">IF(OR($L25="",IsHidden(BD25)),"",CHOOSE($B25,N($E25)*BD$5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N$186:N$286)*N($E25),BD$6*N($E25),N($E25),0)+N(BD88))</f>
        <v>0</v>
      </c>
      <c r="BE25" s="654">
        <f t="array" ref="BE25">IF(OR($L25="",IsHidden(BE25)),"",CHOOSE($B25,N($E25)*BE$5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O$186:O$286)*N($E25),BE$6*N($E25),N($E25),0)+N(BE88))</f>
        <v>0</v>
      </c>
      <c r="BF25" s="654">
        <f t="array" ref="BF25">IF(OR($L25="",IsHidden(BF25)),"",CHOOSE($B25,N($E25)*BF$5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P$186:P$286)*N($E25),BF$6*N($E25),N($E25),0)+N(BF88))</f>
        <v>0</v>
      </c>
      <c r="BG25" s="654">
        <f t="array" ref="BG25">IF(OR($L25="",IsHidden(BG25)),"",CHOOSE($B25,N($E25)*BG$5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Q$186:Q$286)*N($E25),BG$6*N($E25),N($E25),0)+N(BG88))</f>
        <v>0</v>
      </c>
      <c r="BH25" s="654">
        <f t="array" ref="BH25">IF(OR($L25="",IsHidden(BH25)),"",CHOOSE($B25,N($E25)*BH$5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R$186:R$286)*N($E25),BH$6*N($E25),N($E25),0)+N(BH88))</f>
        <v>0</v>
      </c>
      <c r="BI25" s="654">
        <f t="array" ref="BI25">IF(OR($L25="",IsHidden(BI25)),"",CHOOSE($B25,N($E25)*BI$5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S$186:S$286)*N($E25),BI$6*N($E25),N($E25),0)+N(BI88))</f>
        <v>0</v>
      </c>
      <c r="BJ25" s="654">
        <f t="array" ref="BJ25">IF(OR($L25="",IsHidden(BJ25)),"",CHOOSE($B25,N($E25)*BJ$5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T$186:T$286)*N($E25),BJ$6*N($E25),N($E25),0)+N(BJ88))</f>
        <v>0</v>
      </c>
      <c r="BK25" s="654">
        <f t="array" ref="BK25">IF(OR($L25="",IsHidden(BK25)),"",CHOOSE($B25,N($E25)*BK$5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U$186:U$286)*N($E25),BK$6*N($E25),N($E25),0)+N(BK88))</f>
        <v>0</v>
      </c>
      <c r="BL25" s="654">
        <f t="array" ref="BL25">IF(OR($L25="",IsHidden(BL25)),"",CHOOSE($B25,N($E25)*BL$5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V$186:V$286)*N($E25),BL$6*N($E25),N($E25),0)+N(BL88))</f>
        <v>0</v>
      </c>
      <c r="BM25" s="654">
        <f t="array" ref="BM25">IF(OR($L25="",IsHidden(BM25)),"",CHOOSE($B25,N($E25)*BM$5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W$186:W$286)*N($E25),BM$6*N($E25),N($E25),0)+N(BM88))</f>
        <v>0</v>
      </c>
      <c r="BN25" s="654">
        <f t="array" ref="BN25">IF(OR($L25="",IsHidden(BN25)),"",CHOOSE($B25,N($E25)*BN$5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X$186:X$286)*N($E25),BN$6*N($E25),N($E25),0)+N(BN88))</f>
        <v>0</v>
      </c>
      <c r="BO25" s="654">
        <f t="array" ref="BO25">IF(OR($L25="",IsHidden(BO25)),"",CHOOSE($B25,N($E25)*BO$5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Y$186:Y$286)*N($E25),BO$6*N($E25),N($E25),0)+N(BO88))</f>
        <v>0</v>
      </c>
      <c r="BP25" s="654">
        <f t="array" ref="BP25">IF(OR($L25="",IsHidden(BP25)),"",CHOOSE($B25,N($E25)*BP$5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Z$186:Z$286)*N($E25),BP$6*N($E25),N($E25),0)+N(BP88))</f>
        <v>0</v>
      </c>
      <c r="BQ25" s="654">
        <f t="array" ref="BQ25">IF(OR($L25="",IsHidden(BQ25)),"",CHOOSE($B25,N($E25)*BQ$5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A$186:AA$286)*N($E25),BQ$6*N($E25),N($E25),0)+N(BQ88))</f>
        <v>0</v>
      </c>
      <c r="BR25" s="654">
        <f t="array" ref="BR25">IF(OR($L25="",IsHidden(BR25)),"",CHOOSE($B25,N($E25)*BR$5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B$186:AB$286)*N($E25),BR$6*N($E25),N($E25),0)+N(BR88))</f>
        <v>0</v>
      </c>
      <c r="BS25" s="654">
        <f t="array" ref="BS25">IF(OR($L25="",IsHidden(BS25)),"",CHOOSE($B25,N($E25)*BS$5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C$186:AC$286)*N($E25),BS$6*N($E25),N($E25),0)+N(BS88))</f>
        <v>0</v>
      </c>
      <c r="BT25" s="654">
        <f t="array" ref="BT25">IF(OR($L25="",IsHidden(BT25)),"",CHOOSE($B25,N($E25)*BT$5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D$186:AD$286)*N($E25),BT$6*N($E25),N($E25),0)+N(BT88))</f>
        <v>0</v>
      </c>
      <c r="BU25" s="654">
        <f t="array" ref="BU25">IF(OR($L25="",IsHidden(BU25)),"",CHOOSE($B25,N($E25)*BU$5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E$186:AE$286)*N($E25),BU$6*N($E25),N($E25),0)+N(BU88))</f>
        <v>0</v>
      </c>
      <c r="BV25" s="654">
        <f t="array" ref="BV25">IF(OR($L25="",IsHidden(BV25)),"",CHOOSE($B25,N($E25)*BV$5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F$186:AF$286)*N($E25),BV$6*N($E25),N($E25),0)+N(BV88))</f>
        <v>0</v>
      </c>
      <c r="BW25" s="654">
        <f t="array" ref="BW25">IF(OR($L25="",IsHidden(BW25)),"",CHOOSE($B25,N($E25)*BW$5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G$186:AG$286)*N($E25),BW$6*N($E25),N($E25),0)+N(BW88))</f>
        <v>0</v>
      </c>
      <c r="BX25" s="654">
        <f t="array" ref="BX25">IF(OR($L25="",IsHidden(BX25)),"",CHOOSE($B25,N($E25)*BX$5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H$186:AH$286)*N($E25),BX$6*N($E25),N($E25),0)+N(BX88))</f>
        <v>0</v>
      </c>
      <c r="BY25" s="654">
        <f t="array" ref="BY25">IF(OR($L25="",IsHidden(BY25)),"",CHOOSE($B25,N($E25)*BY$5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I$186:AI$286)*N($E25),BY$6*N($E25),N($E25),0)+N(BY88))</f>
        <v>0</v>
      </c>
      <c r="BZ25" s="654">
        <f t="array" ref="BZ25">IF(OR($L25="",IsHidden(BZ25)),"",CHOOSE($B25,N($E25)*BZ$5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J$186:AJ$286)*N($E25),BZ$6*N($E25),N($E25),0)+N(BZ88))</f>
        <v>0</v>
      </c>
      <c r="CA25" s="654">
        <f t="array" ref="CA25">IF(OR($L25="",IsHidden(CA25)),"",CHOOSE($B25,N($E25)*CA$5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K$186:AK$286)*N($E25),CA$6*N($E25),N($E25),0)+N(CA88))</f>
        <v>0</v>
      </c>
      <c r="CB25" s="654">
        <f t="array" ref="CB25">IF(OR($L25="",IsHidden(CB25)),"",CHOOSE($B25,N($E25)*CB$5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L$186:AL$286)*N($E25),CB$6*N($E25),N($E25),0)+N(CB88))</f>
        <v>0</v>
      </c>
      <c r="CC25" s="654">
        <f t="array" ref="CC25">IF(OR($L25="",IsHidden(CC25)),"",CHOOSE($B25,N($E25)*CC$5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M$186:AM$286)*N($E25),CC$6*N($E25),N($E25),0)+N(CC88))</f>
        <v>0</v>
      </c>
      <c r="CD25" s="654">
        <f t="array" ref="CD25">IF(OR($L25="",IsHidden(CD25)),"",CHOOSE($B25,N($E25)*CD$5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N$186:AN$286)*N($E25),CD$6*N($E25),N($E25),0)+N(CD88))</f>
        <v>0</v>
      </c>
      <c r="CE25" s="654">
        <f t="array" ref="CE25">IF(OR($L25="",IsHidden(CE25)),"",CHOOSE($B25,N($E25)*CE$5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O$186:AO$286)*N($E25),CE$6*N($E25),N($E25),0)+N(CE88))</f>
        <v>0</v>
      </c>
      <c r="CF25" s="654">
        <f t="array" ref="CF25">IF(OR($L25="",IsHidden(CF25)),"",CHOOSE($B25,N($E25)*CF$5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P$186:AP$286)*N($E25),CF$6*N($E25),N($E25),0)+N(CF88))</f>
        <v>0</v>
      </c>
      <c r="CG25" s="654">
        <f t="array" ref="CG25">IF(OR($L25="",IsHidden(CG25)),"",CHOOSE($B25,N($E25)*CG$5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Q$186:AQ$286)*N($E25),CG$6*N($E25),N($E25),0)+N(CG88))</f>
        <v>0</v>
      </c>
      <c r="CH25" s="654">
        <f t="array" ref="CH25">IF(OR($L25="",IsHidden(CH25)),"",CHOOSE($B25,N($E25)*CH$5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R$186:AR$286)*N($E25),CH$6*N($E25),N($E25),0)+N(CH88))</f>
        <v>0</v>
      </c>
      <c r="CI25" s="654">
        <f t="array" ref="CI25">IF(OR($L25="",IsHidden(CI25)),"",CHOOSE($B25,N($E25)*CI$5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S$186:AS$286)*N($E25),CI$6*N($E25),N($E25),0)+N(CI88))</f>
        <v>0</v>
      </c>
      <c r="CJ25" s="654">
        <f t="array" ref="CJ25">IF(OR($L25="",IsHidden(CJ25)),"",CHOOSE($B25,N($E25)*CJ$5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T$186:AT$286)*N($E25),CJ$6*N($E25),N($E25),0)+N(CJ88))</f>
        <v>0</v>
      </c>
      <c r="CK25" s="654">
        <f t="array" ref="CK25">IF(OR($L25="",IsHidden(CK25)),"",CHOOSE($B25,N($E25)*CK$5,SUMPRODUCT(IF($F$5="Y",1*(Headcount!$B$186:$B$286=IF($F25="",$F$6,$F25)),1+0*ISBLANK(Headcount!$B$186:$B$286)),IF($G$5="Y",1*(Headcount!$C$186:$C$286=IF($G25="",$G$6,$G25)),1+0*ISBLANK(Headcount!$C$186:$C$286)),IF($H$5="Y",1*(Headcount!$D$186:$D$286=IF($H25="",$H$6,$H25)),1+0*ISBLANK(Headcount!$D$186:$D$286)),IF($I$5="Y",1*(Headcount!$E$186:$E$286=IF($I25="",$I$6,$I25)),1+0*ISBLANK(Headcount!$E$186:$E$286)),IF($J$5="Y",1*(Headcount!$F$186:$F$286=IF($J25="",$J$6,$J25)),1+0*ISBLANK(Headcount!$F$186:$F$286)),IF($K$5="Y",1*(Headcount!$G$186:$G$286=IF($K25="",$K$6,$K25)),1+0*ISBLANK(Headcount!$G$186:$G$286)),Headcount!AU$186:AU$286)*N($E25),CK$6*N($E25),N($E25),0)+N(CK88))</f>
        <v>0</v>
      </c>
      <c r="CN25" s="255" t="b">
        <f t="array" ref="CN25">IF($L25="",TRUE,IF(AND(OR($F25&lt;&gt;"",$F$6&lt;&gt;""),OR($G25&lt;&gt;"",$G$6&lt;&gt;""),OR($H25&lt;&gt;"",$H$6&lt;&gt;""),OR($I25&lt;&gt;"",$I$6&lt;&gt;""),OR($J25&lt;&gt;"",$J$6&lt;&gt;""),OR($K25&lt;&gt;"",$K$6&lt;&gt;""),NOT(ISERROR(BB25:CK25)),NOT(ISNA(MATCH(IF($H25="",$H$6,$H25)&amp;IF($G25="",$G$6,$G25),DeptBU,0)))),TRUE,FALSE))</f>
        <v>0</v>
      </c>
      <c r="CP25" s="255" t="str">
        <f t="shared" si="3"/>
        <v>SELECT ''Expenses'',''Expenses'',25,''USD'',NULL,''Forecast'','''','''','''','''','''','''',''DC Utilities'',NULL,NULL,''% of Revenue'',NULL,0,0,0,0,0,0,0,0,0,0,0,0,0,0,0,0,0,0,0,0,0,0,0,0,0,0,0,0,0,0,0,0,0,0,0,0</v>
      </c>
    </row>
    <row r="26" spans="1:94" s="255" customFormat="1" x14ac:dyDescent="0.35">
      <c r="A26" s="566" t="s">
        <v>1141</v>
      </c>
      <c r="B26" s="261">
        <f t="shared" si="2"/>
        <v>1</v>
      </c>
      <c r="C26" s="566"/>
      <c r="D26" s="261" t="e">
        <f t="array" aca="1" ref="D26" ca="1">IF($B26&lt;5,AVERAGE(OFFSET($Q26,,Input_ActualsOffset-1,,-$C26)/CHOOSE($B26,OFFSET($Q$5,,Input_ActualsOffset-1,1,-$C26),ss($C26,OFFSET(Actuals!$A$1,1,MATCH("Month "&amp;Input_ActualsOffset,ActualsTable[#Headers],0)-1,ROWS(ActualsTable[#Data]),1),ActualsTable[Company],IF($F$5="Y",IF($F26="",$F$6,$F26),"*"),ActualsTable[Business Unit],IF($G$5="Y",IF($G26="",$G$6,$G26),"*"),ActualsTable[Department],IF($H$5="Y",IF($H26="",$H$6,$H26),"*"),ActualsTable[Team],IF($I$5="Y",IF($P26="",$P$6,$P26),"*"),ActualsTable[Product],IF($J$5="Y",IF($J26="",$J$6,$J26),"*"),ActualsTable[Location],IF($K$5="Y",IF($K26="",$K$6,$K26),"*"),ActualsTable[Expense Item],"Headcount"),OFFSET($Q$6,,Input_ActualsOffset-1,,-$C26),1)),"")</f>
        <v>#REF!</v>
      </c>
      <c r="E26" s="640"/>
      <c r="F26" s="555"/>
      <c r="G26" s="555"/>
      <c r="H26" s="555"/>
      <c r="I26" s="555"/>
      <c r="J26" s="555"/>
      <c r="K26" s="555"/>
      <c r="L26" s="555" t="s">
        <v>41</v>
      </c>
      <c r="M26" s="555"/>
      <c r="N26" s="555"/>
      <c r="O26" s="556" t="str">
        <f>IF($L26="","",IF(VLOOKUP(L26,ExpItems[],2,0),L26&amp;" - "&amp;INDEX(DivisionMapping[category_code],MATCH(IF(H26="",$H$6,H26)&amp;IF(G26="",$G$6,G26),DivisionMapping[dept_bu],0)),L26))</f>
        <v>DC Maintenance</v>
      </c>
      <c r="P26" s="556" t="e">
        <f>IF($L26="","",INDEX(Teams[team_consolidation],MATCH(IF($I26="",$I$6,$I26),Teams[team_name],0)))</f>
        <v>#N/A</v>
      </c>
      <c r="Q26" s="657" t="e">
        <f t="array" ref="Q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f>
        <v>#VALUE!</v>
      </c>
      <c r="R26" s="657" t="e">
        <f t="array" ref="R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f>
        <v>#VALUE!</v>
      </c>
      <c r="S26" s="657" t="e">
        <f t="array" ref="S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f>
        <v>#VALUE!</v>
      </c>
      <c r="T26" s="657" t="e">
        <f t="array" ref="T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4]))</f>
        <v>#VALUE!</v>
      </c>
      <c r="U26" s="657" t="e">
        <f t="array" ref="U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5]))</f>
        <v>#VALUE!</v>
      </c>
      <c r="V26" s="657" t="e">
        <f t="array" ref="V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6]))</f>
        <v>#VALUE!</v>
      </c>
      <c r="W26" s="657" t="e">
        <f t="array" ref="W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7]))</f>
        <v>#VALUE!</v>
      </c>
      <c r="X26" s="657" t="e">
        <f t="array" ref="X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8]))</f>
        <v>#VALUE!</v>
      </c>
      <c r="Y26" s="657" t="e">
        <f t="array" ref="Y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9]))</f>
        <v>#VALUE!</v>
      </c>
      <c r="Z26" s="657" t="e">
        <f t="array" ref="Z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10]))</f>
        <v>#VALUE!</v>
      </c>
      <c r="AA26" s="657" t="e">
        <f t="array" ref="AA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11]))</f>
        <v>#VALUE!</v>
      </c>
      <c r="AB26" s="657" t="e">
        <f t="array" ref="AB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12]))</f>
        <v>#VALUE!</v>
      </c>
      <c r="AC26" s="657" t="e">
        <f t="array" ref="AC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13]))</f>
        <v>#VALUE!</v>
      </c>
      <c r="AD26" s="657" t="e">
        <f t="array" ref="AD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14]))</f>
        <v>#VALUE!</v>
      </c>
      <c r="AE26" s="657" t="e">
        <f t="array" ref="AE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15]))</f>
        <v>#VALUE!</v>
      </c>
      <c r="AF26" s="657" t="e">
        <f t="array" ref="AF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16]))</f>
        <v>#VALUE!</v>
      </c>
      <c r="AG26" s="657" t="e">
        <f t="array" ref="AG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17]))</f>
        <v>#VALUE!</v>
      </c>
      <c r="AH26" s="657" t="e">
        <f t="array" ref="AH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18]))</f>
        <v>#VALUE!</v>
      </c>
      <c r="AI26" s="657" t="e">
        <f t="array" ref="AI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19]))</f>
        <v>#VALUE!</v>
      </c>
      <c r="AJ26" s="657" t="e">
        <f t="array" ref="AJ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20]))</f>
        <v>#VALUE!</v>
      </c>
      <c r="AK26" s="657" t="e">
        <f t="array" ref="AK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21]))</f>
        <v>#VALUE!</v>
      </c>
      <c r="AL26" s="657" t="e">
        <f t="array" ref="AL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22]))</f>
        <v>#VALUE!</v>
      </c>
      <c r="AM26" s="657" t="e">
        <f t="array" ref="AM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23]))</f>
        <v>#VALUE!</v>
      </c>
      <c r="AN26" s="657" t="e">
        <f t="array" ref="AN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24]))</f>
        <v>#VALUE!</v>
      </c>
      <c r="AO26" s="657" t="e">
        <f t="array" ref="AO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25]))</f>
        <v>#VALUE!</v>
      </c>
      <c r="AP26" s="657" t="e">
        <f t="array" ref="AP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26]))</f>
        <v>#VALUE!</v>
      </c>
      <c r="AQ26" s="657" t="e">
        <f t="array" ref="AQ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27]))</f>
        <v>#VALUE!</v>
      </c>
      <c r="AR26" s="657" t="e">
        <f t="array" ref="AR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28]))</f>
        <v>#VALUE!</v>
      </c>
      <c r="AS26" s="657" t="e">
        <f t="array" ref="AS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29]))</f>
        <v>#VALUE!</v>
      </c>
      <c r="AT26" s="657" t="e">
        <f t="array" ref="AT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30]))</f>
        <v>#VALUE!</v>
      </c>
      <c r="AU26" s="657" t="e">
        <f t="array" ref="AU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31]))</f>
        <v>#VALUE!</v>
      </c>
      <c r="AV26" s="657" t="e">
        <f t="array" ref="AV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32]))</f>
        <v>#VALUE!</v>
      </c>
      <c r="AW26" s="657" t="e">
        <f t="array" ref="AW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33]))</f>
        <v>#VALUE!</v>
      </c>
      <c r="AX26" s="657" t="e">
        <f t="array" ref="AX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34]))</f>
        <v>#VALUE!</v>
      </c>
      <c r="AY26" s="657" t="e">
        <f t="array" ref="AY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35]))</f>
        <v>#VALUE!</v>
      </c>
      <c r="AZ26" s="657" t="e">
        <f t="array" ref="AZ26">IF($L26="","",SUMPRODUCT(IF($F$5="Y",1*(ActualsTable[Company]=IF($F26="",$F$6,$F26)),1+0*ISBLANK(ActualsTable[Company])),IF($G$5="Y",1*(ActualsTable[Business Unit]=IF($G26="",$G$6,$G26)),1+0*ISBLANK(ActualsTable[Business Unit])),IF($H$5="Y",1*(ActualsTable[Department]=IF($H26="",$H$6,$H26)),1+0*ISBLANK(ActualsTable[Department])),IF($I$5="Y",1*(ActualsTable[Team]=IF($P26="",$P$6,$P26)),1+0*ISBLANK(ActualsTable[Team])),IF($J$5="Y",1*(ActualsTable[Product]=IF($J26="",$J$6,$J26)),1+0*ISBLANK(ActualsTable[Product])),IF($K$5="Y",1*(ActualsTable[Location]=IF($K26="",$K$6,$K26)),1+0*ISBLANK(ActualsTable[Location])),1*(ActualsTable[Expense Item]=$L26),ActualsTable[Month 36]))</f>
        <v>#VALUE!</v>
      </c>
      <c r="BA26" s="257"/>
      <c r="BB26" s="654">
        <f t="array" ref="BB26">IF(OR($L26="",IsHidden(BB26)),"",CHOOSE($B26,N($E26)*BB$5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L$186:L$286)*N($E26),BB$6*N($E26),N($E26),0)+N(BB89))</f>
        <v>0</v>
      </c>
      <c r="BC26" s="654">
        <f t="array" ref="BC26">IF(OR($L26="",IsHidden(BC26)),"",CHOOSE($B26,N($E26)*BC$5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M$186:M$286)*N($E26),BC$6*N($E26),N($E26),0)+N(BC89))</f>
        <v>0</v>
      </c>
      <c r="BD26" s="654">
        <f t="array" ref="BD26">IF(OR($L26="",IsHidden(BD26)),"",CHOOSE($B26,N($E26)*BD$5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N$186:N$286)*N($E26),BD$6*N($E26),N($E26),0)+N(BD89))</f>
        <v>0</v>
      </c>
      <c r="BE26" s="654">
        <f t="array" ref="BE26">IF(OR($L26="",IsHidden(BE26)),"",CHOOSE($B26,N($E26)*BE$5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O$186:O$286)*N($E26),BE$6*N($E26),N($E26),0)+N(BE89))</f>
        <v>0</v>
      </c>
      <c r="BF26" s="654">
        <f t="array" ref="BF26">IF(OR($L26="",IsHidden(BF26)),"",CHOOSE($B26,N($E26)*BF$5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P$186:P$286)*N($E26),BF$6*N($E26),N($E26),0)+N(BF89))</f>
        <v>0</v>
      </c>
      <c r="BG26" s="654">
        <f t="array" ref="BG26">IF(OR($L26="",IsHidden(BG26)),"",CHOOSE($B26,N($E26)*BG$5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Q$186:Q$286)*N($E26),BG$6*N($E26),N($E26),0)+N(BG89))</f>
        <v>0</v>
      </c>
      <c r="BH26" s="654">
        <f t="array" ref="BH26">IF(OR($L26="",IsHidden(BH26)),"",CHOOSE($B26,N($E26)*BH$5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R$186:R$286)*N($E26),BH$6*N($E26),N($E26),0)+N(BH89))</f>
        <v>0</v>
      </c>
      <c r="BI26" s="654">
        <f t="array" ref="BI26">IF(OR($L26="",IsHidden(BI26)),"",CHOOSE($B26,N($E26)*BI$5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S$186:S$286)*N($E26),BI$6*N($E26),N($E26),0)+N(BI89))</f>
        <v>0</v>
      </c>
      <c r="BJ26" s="654">
        <f t="array" ref="BJ26">IF(OR($L26="",IsHidden(BJ26)),"",CHOOSE($B26,N($E26)*BJ$5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T$186:T$286)*N($E26),BJ$6*N($E26),N($E26),0)+N(BJ89))</f>
        <v>0</v>
      </c>
      <c r="BK26" s="654">
        <f t="array" ref="BK26">IF(OR($L26="",IsHidden(BK26)),"",CHOOSE($B26,N($E26)*BK$5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U$186:U$286)*N($E26),BK$6*N($E26),N($E26),0)+N(BK89))</f>
        <v>0</v>
      </c>
      <c r="BL26" s="654">
        <f t="array" ref="BL26">IF(OR($L26="",IsHidden(BL26)),"",CHOOSE($B26,N($E26)*BL$5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V$186:V$286)*N($E26),BL$6*N($E26),N($E26),0)+N(BL89))</f>
        <v>0</v>
      </c>
      <c r="BM26" s="654">
        <f t="array" ref="BM26">IF(OR($L26="",IsHidden(BM26)),"",CHOOSE($B26,N($E26)*BM$5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W$186:W$286)*N($E26),BM$6*N($E26),N($E26),0)+N(BM89))</f>
        <v>0</v>
      </c>
      <c r="BN26" s="654">
        <f t="array" ref="BN26">IF(OR($L26="",IsHidden(BN26)),"",CHOOSE($B26,N($E26)*BN$5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X$186:X$286)*N($E26),BN$6*N($E26),N($E26),0)+N(BN89))</f>
        <v>0</v>
      </c>
      <c r="BO26" s="654">
        <f t="array" ref="BO26">IF(OR($L26="",IsHidden(BO26)),"",CHOOSE($B26,N($E26)*BO$5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Y$186:Y$286)*N($E26),BO$6*N($E26),N($E26),0)+N(BO89))</f>
        <v>0</v>
      </c>
      <c r="BP26" s="654">
        <f t="array" ref="BP26">IF(OR($L26="",IsHidden(BP26)),"",CHOOSE($B26,N($E26)*BP$5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Z$186:Z$286)*N($E26),BP$6*N($E26),N($E26),0)+N(BP89))</f>
        <v>0</v>
      </c>
      <c r="BQ26" s="654">
        <f t="array" ref="BQ26">IF(OR($L26="",IsHidden(BQ26)),"",CHOOSE($B26,N($E26)*BQ$5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A$186:AA$286)*N($E26),BQ$6*N($E26),N($E26),0)+N(BQ89))</f>
        <v>0</v>
      </c>
      <c r="BR26" s="654">
        <f t="array" ref="BR26">IF(OR($L26="",IsHidden(BR26)),"",CHOOSE($B26,N($E26)*BR$5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B$186:AB$286)*N($E26),BR$6*N($E26),N($E26),0)+N(BR89))</f>
        <v>0</v>
      </c>
      <c r="BS26" s="654">
        <f t="array" ref="BS26">IF(OR($L26="",IsHidden(BS26)),"",CHOOSE($B26,N($E26)*BS$5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C$186:AC$286)*N($E26),BS$6*N($E26),N($E26),0)+N(BS89))</f>
        <v>0</v>
      </c>
      <c r="BT26" s="654">
        <f t="array" ref="BT26">IF(OR($L26="",IsHidden(BT26)),"",CHOOSE($B26,N($E26)*BT$5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D$186:AD$286)*N($E26),BT$6*N($E26),N($E26),0)+N(BT89))</f>
        <v>0</v>
      </c>
      <c r="BU26" s="654">
        <f t="array" ref="BU26">IF(OR($L26="",IsHidden(BU26)),"",CHOOSE($B26,N($E26)*BU$5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E$186:AE$286)*N($E26),BU$6*N($E26),N($E26),0)+N(BU89))</f>
        <v>0</v>
      </c>
      <c r="BV26" s="654">
        <f t="array" ref="BV26">IF(OR($L26="",IsHidden(BV26)),"",CHOOSE($B26,N($E26)*BV$5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F$186:AF$286)*N($E26),BV$6*N($E26),N($E26),0)+N(BV89))</f>
        <v>0</v>
      </c>
      <c r="BW26" s="654">
        <f t="array" ref="BW26">IF(OR($L26="",IsHidden(BW26)),"",CHOOSE($B26,N($E26)*BW$5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G$186:AG$286)*N($E26),BW$6*N($E26),N($E26),0)+N(BW89))</f>
        <v>0</v>
      </c>
      <c r="BX26" s="654">
        <f t="array" ref="BX26">IF(OR($L26="",IsHidden(BX26)),"",CHOOSE($B26,N($E26)*BX$5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H$186:AH$286)*N($E26),BX$6*N($E26),N($E26),0)+N(BX89))</f>
        <v>0</v>
      </c>
      <c r="BY26" s="654">
        <f t="array" ref="BY26">IF(OR($L26="",IsHidden(BY26)),"",CHOOSE($B26,N($E26)*BY$5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I$186:AI$286)*N($E26),BY$6*N($E26),N($E26),0)+N(BY89))</f>
        <v>0</v>
      </c>
      <c r="BZ26" s="654">
        <f t="array" ref="BZ26">IF(OR($L26="",IsHidden(BZ26)),"",CHOOSE($B26,N($E26)*BZ$5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J$186:AJ$286)*N($E26),BZ$6*N($E26),N($E26),0)+N(BZ89))</f>
        <v>0</v>
      </c>
      <c r="CA26" s="654">
        <f t="array" ref="CA26">IF(OR($L26="",IsHidden(CA26)),"",CHOOSE($B26,N($E26)*CA$5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K$186:AK$286)*N($E26),CA$6*N($E26),N($E26),0)+N(CA89))</f>
        <v>0</v>
      </c>
      <c r="CB26" s="654">
        <f t="array" ref="CB26">IF(OR($L26="",IsHidden(CB26)),"",CHOOSE($B26,N($E26)*CB$5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L$186:AL$286)*N($E26),CB$6*N($E26),N($E26),0)+N(CB89))</f>
        <v>0</v>
      </c>
      <c r="CC26" s="654">
        <f t="array" ref="CC26">IF(OR($L26="",IsHidden(CC26)),"",CHOOSE($B26,N($E26)*CC$5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M$186:AM$286)*N($E26),CC$6*N($E26),N($E26),0)+N(CC89))</f>
        <v>0</v>
      </c>
      <c r="CD26" s="654">
        <f t="array" ref="CD26">IF(OR($L26="",IsHidden(CD26)),"",CHOOSE($B26,N($E26)*CD$5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N$186:AN$286)*N($E26),CD$6*N($E26),N($E26),0)+N(CD89))</f>
        <v>0</v>
      </c>
      <c r="CE26" s="654">
        <f t="array" ref="CE26">IF(OR($L26="",IsHidden(CE26)),"",CHOOSE($B26,N($E26)*CE$5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O$186:AO$286)*N($E26),CE$6*N($E26),N($E26),0)+N(CE89))</f>
        <v>0</v>
      </c>
      <c r="CF26" s="654">
        <f t="array" ref="CF26">IF(OR($L26="",IsHidden(CF26)),"",CHOOSE($B26,N($E26)*CF$5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P$186:AP$286)*N($E26),CF$6*N($E26),N($E26),0)+N(CF89))</f>
        <v>0</v>
      </c>
      <c r="CG26" s="654">
        <f t="array" ref="CG26">IF(OR($L26="",IsHidden(CG26)),"",CHOOSE($B26,N($E26)*CG$5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Q$186:AQ$286)*N($E26),CG$6*N($E26),N($E26),0)+N(CG89))</f>
        <v>0</v>
      </c>
      <c r="CH26" s="654">
        <f t="array" ref="CH26">IF(OR($L26="",IsHidden(CH26)),"",CHOOSE($B26,N($E26)*CH$5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R$186:AR$286)*N($E26),CH$6*N($E26),N($E26),0)+N(CH89))</f>
        <v>0</v>
      </c>
      <c r="CI26" s="654">
        <f t="array" ref="CI26">IF(OR($L26="",IsHidden(CI26)),"",CHOOSE($B26,N($E26)*CI$5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S$186:AS$286)*N($E26),CI$6*N($E26),N($E26),0)+N(CI89))</f>
        <v>0</v>
      </c>
      <c r="CJ26" s="654">
        <f t="array" ref="CJ26">IF(OR($L26="",IsHidden(CJ26)),"",CHOOSE($B26,N($E26)*CJ$5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T$186:AT$286)*N($E26),CJ$6*N($E26),N($E26),0)+N(CJ89))</f>
        <v>0</v>
      </c>
      <c r="CK26" s="654">
        <f t="array" ref="CK26">IF(OR($L26="",IsHidden(CK26)),"",CHOOSE($B26,N($E26)*CK$5,SUMPRODUCT(IF($F$5="Y",1*(Headcount!$B$186:$B$286=IF($F26="",$F$6,$F26)),1+0*ISBLANK(Headcount!$B$186:$B$286)),IF($G$5="Y",1*(Headcount!$C$186:$C$286=IF($G26="",$G$6,$G26)),1+0*ISBLANK(Headcount!$C$186:$C$286)),IF($H$5="Y",1*(Headcount!$D$186:$D$286=IF($H26="",$H$6,$H26)),1+0*ISBLANK(Headcount!$D$186:$D$286)),IF($I$5="Y",1*(Headcount!$E$186:$E$286=IF($I26="",$I$6,$I26)),1+0*ISBLANK(Headcount!$E$186:$E$286)),IF($J$5="Y",1*(Headcount!$F$186:$F$286=IF($J26="",$J$6,$J26)),1+0*ISBLANK(Headcount!$F$186:$F$286)),IF($K$5="Y",1*(Headcount!$G$186:$G$286=IF($K26="",$K$6,$K26)),1+0*ISBLANK(Headcount!$G$186:$G$286)),Headcount!AU$186:AU$286)*N($E26),CK$6*N($E26),N($E26),0)+N(CK89))</f>
        <v>0</v>
      </c>
      <c r="CN26" s="255" t="b">
        <f t="array" ref="CN26">IF($L26="",TRUE,IF(AND(OR($F26&lt;&gt;"",$F$6&lt;&gt;""),OR($G26&lt;&gt;"",$G$6&lt;&gt;""),OR($H26&lt;&gt;"",$H$6&lt;&gt;""),OR($I26&lt;&gt;"",$I$6&lt;&gt;""),OR($J26&lt;&gt;"",$J$6&lt;&gt;""),OR($K26&lt;&gt;"",$K$6&lt;&gt;""),NOT(ISERROR(BB26:CK26)),NOT(ISNA(MATCH(IF($H26="",$H$6,$H26)&amp;IF($G26="",$G$6,$G26),DeptBU,0)))),TRUE,FALSE))</f>
        <v>0</v>
      </c>
      <c r="CP26" s="255" t="str">
        <f t="shared" si="3"/>
        <v>SELECT ''Expenses'',''Expenses'',26,''USD'',NULL,''Forecast'','''','''','''','''','''','''',''DC Maintenance'',NULL,NULL,''% of Revenue'',NULL,0,0,0,0,0,0,0,0,0,0,0,0,0,0,0,0,0,0,0,0,0,0,0,0,0,0,0,0,0,0,0,0,0,0,0,0</v>
      </c>
    </row>
    <row r="27" spans="1:94" s="255" customFormat="1" x14ac:dyDescent="0.35">
      <c r="A27" s="566" t="s">
        <v>1141</v>
      </c>
      <c r="B27" s="261">
        <f t="shared" si="2"/>
        <v>1</v>
      </c>
      <c r="C27" s="566"/>
      <c r="D27" s="261" t="e">
        <f t="array" aca="1" ref="D27" ca="1">IF($B27&lt;5,AVERAGE(OFFSET($Q27,,Input_ActualsOffset-1,,-$C27)/CHOOSE($B27,OFFSET($Q$5,,Input_ActualsOffset-1,1,-$C27),ss($C27,OFFSET(Actuals!$A$1,1,MATCH("Month "&amp;Input_ActualsOffset,ActualsTable[#Headers],0)-1,ROWS(ActualsTable[#Data]),1),ActualsTable[Company],IF($F$5="Y",IF($F27="",$F$6,$F27),"*"),ActualsTable[Business Unit],IF($G$5="Y",IF($G27="",$G$6,$G27),"*"),ActualsTable[Department],IF($H$5="Y",IF($H27="",$H$6,$H27),"*"),ActualsTable[Team],IF($I$5="Y",IF($P27="",$P$6,$P27),"*"),ActualsTable[Product],IF($J$5="Y",IF($J27="",$J$6,$J27),"*"),ActualsTable[Location],IF($K$5="Y",IF($K27="",$K$6,$K27),"*"),ActualsTable[Expense Item],"Headcount"),OFFSET($Q$6,,Input_ActualsOffset-1,,-$C27),1)),"")</f>
        <v>#REF!</v>
      </c>
      <c r="E27" s="640"/>
      <c r="F27" s="555"/>
      <c r="G27" s="555"/>
      <c r="H27" s="555"/>
      <c r="I27" s="555"/>
      <c r="J27" s="555"/>
      <c r="K27" s="555"/>
      <c r="L27" s="555" t="s">
        <v>39</v>
      </c>
      <c r="M27" s="555"/>
      <c r="N27" s="555"/>
      <c r="O27" s="556" t="str">
        <f>IF($L27="","",IF(VLOOKUP(L27,ExpItems[],2,0),L27&amp;" - "&amp;INDEX(DivisionMapping[category_code],MATCH(IF(H27="",$H$6,H27)&amp;IF(G27="",$G$6,G27),DivisionMapping[dept_bu],0)),L27))</f>
        <v>DC Rent</v>
      </c>
      <c r="P27" s="556" t="e">
        <f>IF($L27="","",INDEX(Teams[team_consolidation],MATCH(IF($I27="",$I$6,$I27),Teams[team_name],0)))</f>
        <v>#N/A</v>
      </c>
      <c r="Q27" s="657" t="e">
        <f t="array" ref="Q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f>
        <v>#VALUE!</v>
      </c>
      <c r="R27" s="657" t="e">
        <f t="array" ref="R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f>
        <v>#VALUE!</v>
      </c>
      <c r="S27" s="657" t="e">
        <f t="array" ref="S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f>
        <v>#VALUE!</v>
      </c>
      <c r="T27" s="657" t="e">
        <f t="array" ref="T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4]))</f>
        <v>#VALUE!</v>
      </c>
      <c r="U27" s="657" t="e">
        <f t="array" ref="U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5]))</f>
        <v>#VALUE!</v>
      </c>
      <c r="V27" s="657" t="e">
        <f t="array" ref="V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6]))</f>
        <v>#VALUE!</v>
      </c>
      <c r="W27" s="657" t="e">
        <f t="array" ref="W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7]))</f>
        <v>#VALUE!</v>
      </c>
      <c r="X27" s="657" t="e">
        <f t="array" ref="X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8]))</f>
        <v>#VALUE!</v>
      </c>
      <c r="Y27" s="657" t="e">
        <f t="array" ref="Y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9]))</f>
        <v>#VALUE!</v>
      </c>
      <c r="Z27" s="657" t="e">
        <f t="array" ref="Z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10]))</f>
        <v>#VALUE!</v>
      </c>
      <c r="AA27" s="657" t="e">
        <f t="array" ref="AA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11]))</f>
        <v>#VALUE!</v>
      </c>
      <c r="AB27" s="657" t="e">
        <f t="array" ref="AB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12]))</f>
        <v>#VALUE!</v>
      </c>
      <c r="AC27" s="657" t="e">
        <f t="array" ref="AC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13]))</f>
        <v>#VALUE!</v>
      </c>
      <c r="AD27" s="657" t="e">
        <f t="array" ref="AD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14]))</f>
        <v>#VALUE!</v>
      </c>
      <c r="AE27" s="657" t="e">
        <f t="array" ref="AE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15]))</f>
        <v>#VALUE!</v>
      </c>
      <c r="AF27" s="657" t="e">
        <f t="array" ref="AF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16]))</f>
        <v>#VALUE!</v>
      </c>
      <c r="AG27" s="657" t="e">
        <f t="array" ref="AG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17]))</f>
        <v>#VALUE!</v>
      </c>
      <c r="AH27" s="657" t="e">
        <f t="array" ref="AH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18]))</f>
        <v>#VALUE!</v>
      </c>
      <c r="AI27" s="657" t="e">
        <f t="array" ref="AI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19]))</f>
        <v>#VALUE!</v>
      </c>
      <c r="AJ27" s="657" t="e">
        <f t="array" ref="AJ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20]))</f>
        <v>#VALUE!</v>
      </c>
      <c r="AK27" s="657" t="e">
        <f t="array" ref="AK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21]))</f>
        <v>#VALUE!</v>
      </c>
      <c r="AL27" s="657" t="e">
        <f t="array" ref="AL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22]))</f>
        <v>#VALUE!</v>
      </c>
      <c r="AM27" s="657" t="e">
        <f t="array" ref="AM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23]))</f>
        <v>#VALUE!</v>
      </c>
      <c r="AN27" s="657" t="e">
        <f t="array" ref="AN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24]))</f>
        <v>#VALUE!</v>
      </c>
      <c r="AO27" s="657" t="e">
        <f t="array" ref="AO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25]))</f>
        <v>#VALUE!</v>
      </c>
      <c r="AP27" s="657" t="e">
        <f t="array" ref="AP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26]))</f>
        <v>#VALUE!</v>
      </c>
      <c r="AQ27" s="657" t="e">
        <f t="array" ref="AQ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27]))</f>
        <v>#VALUE!</v>
      </c>
      <c r="AR27" s="657" t="e">
        <f t="array" ref="AR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28]))</f>
        <v>#VALUE!</v>
      </c>
      <c r="AS27" s="657" t="e">
        <f t="array" ref="AS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29]))</f>
        <v>#VALUE!</v>
      </c>
      <c r="AT27" s="657" t="e">
        <f t="array" ref="AT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30]))</f>
        <v>#VALUE!</v>
      </c>
      <c r="AU27" s="657" t="e">
        <f t="array" ref="AU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31]))</f>
        <v>#VALUE!</v>
      </c>
      <c r="AV27" s="657" t="e">
        <f t="array" ref="AV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32]))</f>
        <v>#VALUE!</v>
      </c>
      <c r="AW27" s="657" t="e">
        <f t="array" ref="AW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33]))</f>
        <v>#VALUE!</v>
      </c>
      <c r="AX27" s="657" t="e">
        <f t="array" ref="AX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34]))</f>
        <v>#VALUE!</v>
      </c>
      <c r="AY27" s="657" t="e">
        <f t="array" ref="AY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35]))</f>
        <v>#VALUE!</v>
      </c>
      <c r="AZ27" s="657" t="e">
        <f t="array" ref="AZ27">IF($L27="","",SUMPRODUCT(IF($F$5="Y",1*(ActualsTable[Company]=IF($F27="",$F$6,$F27)),1+0*ISBLANK(ActualsTable[Company])),IF($G$5="Y",1*(ActualsTable[Business Unit]=IF($G27="",$G$6,$G27)),1+0*ISBLANK(ActualsTable[Business Unit])),IF($H$5="Y",1*(ActualsTable[Department]=IF($H27="",$H$6,$H27)),1+0*ISBLANK(ActualsTable[Department])),IF($I$5="Y",1*(ActualsTable[Team]=IF($P27="",$P$6,$P27)),1+0*ISBLANK(ActualsTable[Team])),IF($J$5="Y",1*(ActualsTable[Product]=IF($J27="",$J$6,$J27)),1+0*ISBLANK(ActualsTable[Product])),IF($K$5="Y",1*(ActualsTable[Location]=IF($K27="",$K$6,$K27)),1+0*ISBLANK(ActualsTable[Location])),1*(ActualsTable[Expense Item]=$L27),ActualsTable[Month 36]))</f>
        <v>#VALUE!</v>
      </c>
      <c r="BA27" s="257"/>
      <c r="BB27" s="654">
        <f t="array" ref="BB27">IF(OR($L27="",IsHidden(BB27)),"",CHOOSE($B27,N($E27)*BB$5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L$186:L$286)*N($E27),BB$6*N($E27),N($E27),0)+N(BB90))</f>
        <v>0</v>
      </c>
      <c r="BC27" s="654">
        <f t="array" ref="BC27">IF(OR($L27="",IsHidden(BC27)),"",CHOOSE($B27,N($E27)*BC$5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M$186:M$286)*N($E27),BC$6*N($E27),N($E27),0)+N(BC90))</f>
        <v>0</v>
      </c>
      <c r="BD27" s="654">
        <f t="array" ref="BD27">IF(OR($L27="",IsHidden(BD27)),"",CHOOSE($B27,N($E27)*BD$5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N$186:N$286)*N($E27),BD$6*N($E27),N($E27),0)+N(BD90))</f>
        <v>0</v>
      </c>
      <c r="BE27" s="654">
        <f t="array" ref="BE27">IF(OR($L27="",IsHidden(BE27)),"",CHOOSE($B27,N($E27)*BE$5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O$186:O$286)*N($E27),BE$6*N($E27),N($E27),0)+N(BE90))</f>
        <v>0</v>
      </c>
      <c r="BF27" s="654">
        <f t="array" ref="BF27">IF(OR($L27="",IsHidden(BF27)),"",CHOOSE($B27,N($E27)*BF$5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P$186:P$286)*N($E27),BF$6*N($E27),N($E27),0)+N(BF90))</f>
        <v>0</v>
      </c>
      <c r="BG27" s="654">
        <f t="array" ref="BG27">IF(OR($L27="",IsHidden(BG27)),"",CHOOSE($B27,N($E27)*BG$5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Q$186:Q$286)*N($E27),BG$6*N($E27),N($E27),0)+N(BG90))</f>
        <v>0</v>
      </c>
      <c r="BH27" s="654">
        <f t="array" ref="BH27">IF(OR($L27="",IsHidden(BH27)),"",CHOOSE($B27,N($E27)*BH$5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R$186:R$286)*N($E27),BH$6*N($E27),N($E27),0)+N(BH90))</f>
        <v>0</v>
      </c>
      <c r="BI27" s="654">
        <f t="array" ref="BI27">IF(OR($L27="",IsHidden(BI27)),"",CHOOSE($B27,N($E27)*BI$5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S$186:S$286)*N($E27),BI$6*N($E27),N($E27),0)+N(BI90))</f>
        <v>0</v>
      </c>
      <c r="BJ27" s="654">
        <f t="array" ref="BJ27">IF(OR($L27="",IsHidden(BJ27)),"",CHOOSE($B27,N($E27)*BJ$5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T$186:T$286)*N($E27),BJ$6*N($E27),N($E27),0)+N(BJ90))</f>
        <v>0</v>
      </c>
      <c r="BK27" s="654">
        <f t="array" ref="BK27">IF(OR($L27="",IsHidden(BK27)),"",CHOOSE($B27,N($E27)*BK$5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U$186:U$286)*N($E27),BK$6*N($E27),N($E27),0)+N(BK90))</f>
        <v>0</v>
      </c>
      <c r="BL27" s="654">
        <f t="array" ref="BL27">IF(OR($L27="",IsHidden(BL27)),"",CHOOSE($B27,N($E27)*BL$5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V$186:V$286)*N($E27),BL$6*N($E27),N($E27),0)+N(BL90))</f>
        <v>0</v>
      </c>
      <c r="BM27" s="654">
        <f t="array" ref="BM27">IF(OR($L27="",IsHidden(BM27)),"",CHOOSE($B27,N($E27)*BM$5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W$186:W$286)*N($E27),BM$6*N($E27),N($E27),0)+N(BM90))</f>
        <v>0</v>
      </c>
      <c r="BN27" s="654">
        <f t="array" ref="BN27">IF(OR($L27="",IsHidden(BN27)),"",CHOOSE($B27,N($E27)*BN$5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X$186:X$286)*N($E27),BN$6*N($E27),N($E27),0)+N(BN90))</f>
        <v>0</v>
      </c>
      <c r="BO27" s="654">
        <f t="array" ref="BO27">IF(OR($L27="",IsHidden(BO27)),"",CHOOSE($B27,N($E27)*BO$5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Y$186:Y$286)*N($E27),BO$6*N($E27),N($E27),0)+N(BO90))</f>
        <v>0</v>
      </c>
      <c r="BP27" s="654">
        <f t="array" ref="BP27">IF(OR($L27="",IsHidden(BP27)),"",CHOOSE($B27,N($E27)*BP$5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Z$186:Z$286)*N($E27),BP$6*N($E27),N($E27),0)+N(BP90))</f>
        <v>0</v>
      </c>
      <c r="BQ27" s="654">
        <f t="array" ref="BQ27">IF(OR($L27="",IsHidden(BQ27)),"",CHOOSE($B27,N($E27)*BQ$5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A$186:AA$286)*N($E27),BQ$6*N($E27),N($E27),0)+N(BQ90))</f>
        <v>0</v>
      </c>
      <c r="BR27" s="654">
        <f t="array" ref="BR27">IF(OR($L27="",IsHidden(BR27)),"",CHOOSE($B27,N($E27)*BR$5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B$186:AB$286)*N($E27),BR$6*N($E27),N($E27),0)+N(BR90))</f>
        <v>0</v>
      </c>
      <c r="BS27" s="654">
        <f t="array" ref="BS27">IF(OR($L27="",IsHidden(BS27)),"",CHOOSE($B27,N($E27)*BS$5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C$186:AC$286)*N($E27),BS$6*N($E27),N($E27),0)+N(BS90))</f>
        <v>0</v>
      </c>
      <c r="BT27" s="654">
        <f t="array" ref="BT27">IF(OR($L27="",IsHidden(BT27)),"",CHOOSE($B27,N($E27)*BT$5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D$186:AD$286)*N($E27),BT$6*N($E27),N($E27),0)+N(BT90))</f>
        <v>0</v>
      </c>
      <c r="BU27" s="654">
        <f t="array" ref="BU27">IF(OR($L27="",IsHidden(BU27)),"",CHOOSE($B27,N($E27)*BU$5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E$186:AE$286)*N($E27),BU$6*N($E27),N($E27),0)+N(BU90))</f>
        <v>0</v>
      </c>
      <c r="BV27" s="654">
        <f t="array" ref="BV27">IF(OR($L27="",IsHidden(BV27)),"",CHOOSE($B27,N($E27)*BV$5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F$186:AF$286)*N($E27),BV$6*N($E27),N($E27),0)+N(BV90))</f>
        <v>0</v>
      </c>
      <c r="BW27" s="654">
        <f t="array" ref="BW27">IF(OR($L27="",IsHidden(BW27)),"",CHOOSE($B27,N($E27)*BW$5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G$186:AG$286)*N($E27),BW$6*N($E27),N($E27),0)+N(BW90))</f>
        <v>0</v>
      </c>
      <c r="BX27" s="654">
        <f t="array" ref="BX27">IF(OR($L27="",IsHidden(BX27)),"",CHOOSE($B27,N($E27)*BX$5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H$186:AH$286)*N($E27),BX$6*N($E27),N($E27),0)+N(BX90))</f>
        <v>0</v>
      </c>
      <c r="BY27" s="654">
        <f t="array" ref="BY27">IF(OR($L27="",IsHidden(BY27)),"",CHOOSE($B27,N($E27)*BY$5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I$186:AI$286)*N($E27),BY$6*N($E27),N($E27),0)+N(BY90))</f>
        <v>0</v>
      </c>
      <c r="BZ27" s="654">
        <f t="array" ref="BZ27">IF(OR($L27="",IsHidden(BZ27)),"",CHOOSE($B27,N($E27)*BZ$5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J$186:AJ$286)*N($E27),BZ$6*N($E27),N($E27),0)+N(BZ90))</f>
        <v>0</v>
      </c>
      <c r="CA27" s="654">
        <f t="array" ref="CA27">IF(OR($L27="",IsHidden(CA27)),"",CHOOSE($B27,N($E27)*CA$5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K$186:AK$286)*N($E27),CA$6*N($E27),N($E27),0)+N(CA90))</f>
        <v>0</v>
      </c>
      <c r="CB27" s="654">
        <f t="array" ref="CB27">IF(OR($L27="",IsHidden(CB27)),"",CHOOSE($B27,N($E27)*CB$5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L$186:AL$286)*N($E27),CB$6*N($E27),N($E27),0)+N(CB90))</f>
        <v>0</v>
      </c>
      <c r="CC27" s="654">
        <f t="array" ref="CC27">IF(OR($L27="",IsHidden(CC27)),"",CHOOSE($B27,N($E27)*CC$5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M$186:AM$286)*N($E27),CC$6*N($E27),N($E27),0)+N(CC90))</f>
        <v>0</v>
      </c>
      <c r="CD27" s="654">
        <f t="array" ref="CD27">IF(OR($L27="",IsHidden(CD27)),"",CHOOSE($B27,N($E27)*CD$5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N$186:AN$286)*N($E27),CD$6*N($E27),N($E27),0)+N(CD90))</f>
        <v>0</v>
      </c>
      <c r="CE27" s="654">
        <f t="array" ref="CE27">IF(OR($L27="",IsHidden(CE27)),"",CHOOSE($B27,N($E27)*CE$5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O$186:AO$286)*N($E27),CE$6*N($E27),N($E27),0)+N(CE90))</f>
        <v>0</v>
      </c>
      <c r="CF27" s="654">
        <f t="array" ref="CF27">IF(OR($L27="",IsHidden(CF27)),"",CHOOSE($B27,N($E27)*CF$5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P$186:AP$286)*N($E27),CF$6*N($E27),N($E27),0)+N(CF90))</f>
        <v>0</v>
      </c>
      <c r="CG27" s="654">
        <f t="array" ref="CG27">IF(OR($L27="",IsHidden(CG27)),"",CHOOSE($B27,N($E27)*CG$5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Q$186:AQ$286)*N($E27),CG$6*N($E27),N($E27),0)+N(CG90))</f>
        <v>0</v>
      </c>
      <c r="CH27" s="654">
        <f t="array" ref="CH27">IF(OR($L27="",IsHidden(CH27)),"",CHOOSE($B27,N($E27)*CH$5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R$186:AR$286)*N($E27),CH$6*N($E27),N($E27),0)+N(CH90))</f>
        <v>0</v>
      </c>
      <c r="CI27" s="654">
        <f t="array" ref="CI27">IF(OR($L27="",IsHidden(CI27)),"",CHOOSE($B27,N($E27)*CI$5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S$186:AS$286)*N($E27),CI$6*N($E27),N($E27),0)+N(CI90))</f>
        <v>0</v>
      </c>
      <c r="CJ27" s="654">
        <f t="array" ref="CJ27">IF(OR($L27="",IsHidden(CJ27)),"",CHOOSE($B27,N($E27)*CJ$5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T$186:AT$286)*N($E27),CJ$6*N($E27),N($E27),0)+N(CJ90))</f>
        <v>0</v>
      </c>
      <c r="CK27" s="654">
        <f t="array" ref="CK27">IF(OR($L27="",IsHidden(CK27)),"",CHOOSE($B27,N($E27)*CK$5,SUMPRODUCT(IF($F$5="Y",1*(Headcount!$B$186:$B$286=IF($F27="",$F$6,$F27)),1+0*ISBLANK(Headcount!$B$186:$B$286)),IF($G$5="Y",1*(Headcount!$C$186:$C$286=IF($G27="",$G$6,$G27)),1+0*ISBLANK(Headcount!$C$186:$C$286)),IF($H$5="Y",1*(Headcount!$D$186:$D$286=IF($H27="",$H$6,$H27)),1+0*ISBLANK(Headcount!$D$186:$D$286)),IF($I$5="Y",1*(Headcount!$E$186:$E$286=IF($I27="",$I$6,$I27)),1+0*ISBLANK(Headcount!$E$186:$E$286)),IF($J$5="Y",1*(Headcount!$F$186:$F$286=IF($J27="",$J$6,$J27)),1+0*ISBLANK(Headcount!$F$186:$F$286)),IF($K$5="Y",1*(Headcount!$G$186:$G$286=IF($K27="",$K$6,$K27)),1+0*ISBLANK(Headcount!$G$186:$G$286)),Headcount!AU$186:AU$286)*N($E27),CK$6*N($E27),N($E27),0)+N(CK90))</f>
        <v>0</v>
      </c>
      <c r="CN27" s="255" t="b">
        <f t="array" ref="CN27">IF($L27="",TRUE,IF(AND(OR($F27&lt;&gt;"",$F$6&lt;&gt;""),OR($G27&lt;&gt;"",$G$6&lt;&gt;""),OR($H27&lt;&gt;"",$H$6&lt;&gt;""),OR($I27&lt;&gt;"",$I$6&lt;&gt;""),OR($J27&lt;&gt;"",$J$6&lt;&gt;""),OR($K27&lt;&gt;"",$K$6&lt;&gt;""),NOT(ISERROR(BB27:CK27)),NOT(ISNA(MATCH(IF($H27="",$H$6,$H27)&amp;IF($G27="",$G$6,$G27),DeptBU,0)))),TRUE,FALSE))</f>
        <v>0</v>
      </c>
      <c r="CP27" s="255" t="str">
        <f t="shared" si="3"/>
        <v>SELECT ''Expenses'',''Expenses'',27,''USD'',NULL,''Forecast'','''','''','''','''','''','''',''DC Rent'',NULL,NULL,''% of Revenue'',NULL,0,0,0,0,0,0,0,0,0,0,0,0,0,0,0,0,0,0,0,0,0,0,0,0,0,0,0,0,0,0,0,0,0,0,0,0</v>
      </c>
    </row>
    <row r="28" spans="1:94" s="255" customFormat="1" x14ac:dyDescent="0.35">
      <c r="A28" s="566"/>
      <c r="B28" s="261">
        <f t="shared" si="2"/>
        <v>5</v>
      </c>
      <c r="C28" s="566"/>
      <c r="D28" s="261" t="str">
        <f t="array" aca="1" ref="D28" ca="1">IF($B28&lt;5,AVERAGE(OFFSET($Q28,,Input_ActualsOffset-1,,-$C28)/CHOOSE($B28,OFFSET($Q$5,,Input_ActualsOffset-1,1,-$C28),ss($C28,OFFSET(Actuals!$A$1,1,MATCH("Month "&amp;Input_ActualsOffset,ActualsTable[#Headers],0)-1,ROWS(ActualsTable[#Data]),1),ActualsTable[Company],IF($F$5="Y",IF($F28="",$F$6,$F28),"*"),ActualsTable[Business Unit],IF($G$5="Y",IF($G28="",$G$6,$G28),"*"),ActualsTable[Department],IF($H$5="Y",IF($H28="",$H$6,$H28),"*"),ActualsTable[Team],IF($I$5="Y",IF($P28="",$P$6,$P28),"*"),ActualsTable[Product],IF($J$5="Y",IF($J28="",$J$6,$J28),"*"),ActualsTable[Location],IF($K$5="Y",IF($K28="",$K$6,$K28),"*"),ActualsTable[Expense Item],"Headcount"),OFFSET($Q$6,,Input_ActualsOffset-1,,-$C28),1)),"")</f>
        <v/>
      </c>
      <c r="E28" s="640"/>
      <c r="F28" s="555"/>
      <c r="G28" s="555"/>
      <c r="H28" s="555"/>
      <c r="I28" s="555"/>
      <c r="J28" s="555"/>
      <c r="K28" s="555"/>
      <c r="L28" s="555"/>
      <c r="M28" s="555"/>
      <c r="N28" s="555"/>
      <c r="O28" s="556" t="str">
        <f>IF($L28="","",IF(VLOOKUP(L28,ExpItems[],2,0),L28&amp;" - "&amp;INDEX(DivisionMapping[category_code],MATCH(IF(H28="",$H$6,H28)&amp;IF(G28="",$G$6,G28),DivisionMapping[dept_bu],0)),L28))</f>
        <v/>
      </c>
      <c r="P28" s="556" t="str">
        <f>IF($L28="","",INDEX(Teams[team_consolidation],MATCH(IF($I28="",$I$6,$I28),Teams[team_name],0)))</f>
        <v/>
      </c>
      <c r="Q28" s="657" t="str">
        <f t="array" ref="Q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f>
        <v/>
      </c>
      <c r="R28" s="657" t="str">
        <f t="array" ref="R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f>
        <v/>
      </c>
      <c r="S28" s="657" t="str">
        <f t="array" ref="S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f>
        <v/>
      </c>
      <c r="T28" s="657" t="str">
        <f t="array" ref="T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4]))</f>
        <v/>
      </c>
      <c r="U28" s="657" t="str">
        <f t="array" ref="U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5]))</f>
        <v/>
      </c>
      <c r="V28" s="657" t="str">
        <f t="array" ref="V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6]))</f>
        <v/>
      </c>
      <c r="W28" s="657" t="str">
        <f t="array" ref="W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7]))</f>
        <v/>
      </c>
      <c r="X28" s="657" t="str">
        <f t="array" ref="X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8]))</f>
        <v/>
      </c>
      <c r="Y28" s="657" t="str">
        <f t="array" ref="Y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9]))</f>
        <v/>
      </c>
      <c r="Z28" s="657" t="str">
        <f t="array" ref="Z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10]))</f>
        <v/>
      </c>
      <c r="AA28" s="657" t="str">
        <f t="array" ref="AA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11]))</f>
        <v/>
      </c>
      <c r="AB28" s="657" t="str">
        <f t="array" ref="AB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12]))</f>
        <v/>
      </c>
      <c r="AC28" s="657" t="str">
        <f t="array" ref="AC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13]))</f>
        <v/>
      </c>
      <c r="AD28" s="657" t="str">
        <f t="array" ref="AD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14]))</f>
        <v/>
      </c>
      <c r="AE28" s="657" t="str">
        <f t="array" ref="AE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15]))</f>
        <v/>
      </c>
      <c r="AF28" s="657" t="str">
        <f t="array" ref="AF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16]))</f>
        <v/>
      </c>
      <c r="AG28" s="657" t="str">
        <f t="array" ref="AG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17]))</f>
        <v/>
      </c>
      <c r="AH28" s="657" t="str">
        <f t="array" ref="AH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18]))</f>
        <v/>
      </c>
      <c r="AI28" s="657" t="str">
        <f t="array" ref="AI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19]))</f>
        <v/>
      </c>
      <c r="AJ28" s="657" t="str">
        <f t="array" ref="AJ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20]))</f>
        <v/>
      </c>
      <c r="AK28" s="657" t="str">
        <f t="array" ref="AK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21]))</f>
        <v/>
      </c>
      <c r="AL28" s="657" t="str">
        <f t="array" ref="AL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22]))</f>
        <v/>
      </c>
      <c r="AM28" s="657" t="str">
        <f t="array" ref="AM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23]))</f>
        <v/>
      </c>
      <c r="AN28" s="657" t="str">
        <f t="array" ref="AN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24]))</f>
        <v/>
      </c>
      <c r="AO28" s="657" t="str">
        <f t="array" ref="AO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25]))</f>
        <v/>
      </c>
      <c r="AP28" s="657" t="str">
        <f t="array" ref="AP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26]))</f>
        <v/>
      </c>
      <c r="AQ28" s="657" t="str">
        <f t="array" ref="AQ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27]))</f>
        <v/>
      </c>
      <c r="AR28" s="657" t="str">
        <f t="array" ref="AR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28]))</f>
        <v/>
      </c>
      <c r="AS28" s="657" t="str">
        <f t="array" ref="AS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29]))</f>
        <v/>
      </c>
      <c r="AT28" s="657" t="str">
        <f t="array" ref="AT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30]))</f>
        <v/>
      </c>
      <c r="AU28" s="657" t="str">
        <f t="array" ref="AU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31]))</f>
        <v/>
      </c>
      <c r="AV28" s="657" t="str">
        <f t="array" ref="AV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32]))</f>
        <v/>
      </c>
      <c r="AW28" s="657" t="str">
        <f t="array" ref="AW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33]))</f>
        <v/>
      </c>
      <c r="AX28" s="657" t="str">
        <f t="array" ref="AX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34]))</f>
        <v/>
      </c>
      <c r="AY28" s="657" t="str">
        <f t="array" ref="AY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35]))</f>
        <v/>
      </c>
      <c r="AZ28" s="657" t="str">
        <f t="array" ref="AZ28">IF($L28="","",SUMPRODUCT(IF($F$5="Y",1*(ActualsTable[Company]=IF($F28="",$F$6,$F28)),1+0*ISBLANK(ActualsTable[Company])),IF($G$5="Y",1*(ActualsTable[Business Unit]=IF($G28="",$G$6,$G28)),1+0*ISBLANK(ActualsTable[Business Unit])),IF($H$5="Y",1*(ActualsTable[Department]=IF($H28="",$H$6,$H28)),1+0*ISBLANK(ActualsTable[Department])),IF($I$5="Y",1*(ActualsTable[Team]=IF($P28="",$P$6,$P28)),1+0*ISBLANK(ActualsTable[Team])),IF($J$5="Y",1*(ActualsTable[Product]=IF($J28="",$J$6,$J28)),1+0*ISBLANK(ActualsTable[Product])),IF($K$5="Y",1*(ActualsTable[Location]=IF($K28="",$K$6,$K28)),1+0*ISBLANK(ActualsTable[Location])),1*(ActualsTable[Expense Item]=$L28),ActualsTable[Month 36]))</f>
        <v/>
      </c>
      <c r="BA28" s="257"/>
      <c r="BB28" s="654" t="str">
        <f t="array" ref="BB28">IF(OR($L28="",IsHidden(BB28)),"",CHOOSE($B28,N($E28)*BB$5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L$186:L$286)*N($E28),BB$6*N($E28),N($E28),0)+N(BB91))</f>
        <v/>
      </c>
      <c r="BC28" s="654" t="str">
        <f t="array" ref="BC28">IF(OR($L28="",IsHidden(BC28)),"",CHOOSE($B28,N($E28)*BC$5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M$186:M$286)*N($E28),BC$6*N($E28),N($E28),0)+N(BC91))</f>
        <v/>
      </c>
      <c r="BD28" s="654" t="str">
        <f t="array" ref="BD28">IF(OR($L28="",IsHidden(BD28)),"",CHOOSE($B28,N($E28)*BD$5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N$186:N$286)*N($E28),BD$6*N($E28),N($E28),0)+N(BD91))</f>
        <v/>
      </c>
      <c r="BE28" s="654" t="str">
        <f t="array" ref="BE28">IF(OR($L28="",IsHidden(BE28)),"",CHOOSE($B28,N($E28)*BE$5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O$186:O$286)*N($E28),BE$6*N($E28),N($E28),0)+N(BE91))</f>
        <v/>
      </c>
      <c r="BF28" s="654" t="str">
        <f t="array" ref="BF28">IF(OR($L28="",IsHidden(BF28)),"",CHOOSE($B28,N($E28)*BF$5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P$186:P$286)*N($E28),BF$6*N($E28),N($E28),0)+N(BF91))</f>
        <v/>
      </c>
      <c r="BG28" s="654" t="str">
        <f t="array" ref="BG28">IF(OR($L28="",IsHidden(BG28)),"",CHOOSE($B28,N($E28)*BG$5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Q$186:Q$286)*N($E28),BG$6*N($E28),N($E28),0)+N(BG91))</f>
        <v/>
      </c>
      <c r="BH28" s="654" t="str">
        <f t="array" ref="BH28">IF(OR($L28="",IsHidden(BH28)),"",CHOOSE($B28,N($E28)*BH$5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R$186:R$286)*N($E28),BH$6*N($E28),N($E28),0)+N(BH91))</f>
        <v/>
      </c>
      <c r="BI28" s="654" t="str">
        <f t="array" ref="BI28">IF(OR($L28="",IsHidden(BI28)),"",CHOOSE($B28,N($E28)*BI$5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S$186:S$286)*N($E28),BI$6*N($E28),N($E28),0)+N(BI91))</f>
        <v/>
      </c>
      <c r="BJ28" s="654" t="str">
        <f t="array" ref="BJ28">IF(OR($L28="",IsHidden(BJ28)),"",CHOOSE($B28,N($E28)*BJ$5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T$186:T$286)*N($E28),BJ$6*N($E28),N($E28),0)+N(BJ91))</f>
        <v/>
      </c>
      <c r="BK28" s="654" t="str">
        <f t="array" ref="BK28">IF(OR($L28="",IsHidden(BK28)),"",CHOOSE($B28,N($E28)*BK$5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U$186:U$286)*N($E28),BK$6*N($E28),N($E28),0)+N(BK91))</f>
        <v/>
      </c>
      <c r="BL28" s="654" t="str">
        <f t="array" ref="BL28">IF(OR($L28="",IsHidden(BL28)),"",CHOOSE($B28,N($E28)*BL$5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V$186:V$286)*N($E28),BL$6*N($E28),N($E28),0)+N(BL91))</f>
        <v/>
      </c>
      <c r="BM28" s="654" t="str">
        <f t="array" ref="BM28">IF(OR($L28="",IsHidden(BM28)),"",CHOOSE($B28,N($E28)*BM$5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W$186:W$286)*N($E28),BM$6*N($E28),N($E28),0)+N(BM91))</f>
        <v/>
      </c>
      <c r="BN28" s="654" t="str">
        <f t="array" ref="BN28">IF(OR($L28="",IsHidden(BN28)),"",CHOOSE($B28,N($E28)*BN$5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X$186:X$286)*N($E28),BN$6*N($E28),N($E28),0)+N(BN91))</f>
        <v/>
      </c>
      <c r="BO28" s="654" t="str">
        <f t="array" ref="BO28">IF(OR($L28="",IsHidden(BO28)),"",CHOOSE($B28,N($E28)*BO$5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Y$186:Y$286)*N($E28),BO$6*N($E28),N($E28),0)+N(BO91))</f>
        <v/>
      </c>
      <c r="BP28" s="654" t="str">
        <f t="array" ref="BP28">IF(OR($L28="",IsHidden(BP28)),"",CHOOSE($B28,N($E28)*BP$5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Z$186:Z$286)*N($E28),BP$6*N($E28),N($E28),0)+N(BP91))</f>
        <v/>
      </c>
      <c r="BQ28" s="654" t="str">
        <f t="array" ref="BQ28">IF(OR($L28="",IsHidden(BQ28)),"",CHOOSE($B28,N($E28)*BQ$5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A$186:AA$286)*N($E28),BQ$6*N($E28),N($E28),0)+N(BQ91))</f>
        <v/>
      </c>
      <c r="BR28" s="654" t="str">
        <f t="array" ref="BR28">IF(OR($L28="",IsHidden(BR28)),"",CHOOSE($B28,N($E28)*BR$5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B$186:AB$286)*N($E28),BR$6*N($E28),N($E28),0)+N(BR91))</f>
        <v/>
      </c>
      <c r="BS28" s="654" t="str">
        <f t="array" ref="BS28">IF(OR($L28="",IsHidden(BS28)),"",CHOOSE($B28,N($E28)*BS$5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C$186:AC$286)*N($E28),BS$6*N($E28),N($E28),0)+N(BS91))</f>
        <v/>
      </c>
      <c r="BT28" s="654" t="str">
        <f t="array" ref="BT28">IF(OR($L28="",IsHidden(BT28)),"",CHOOSE($B28,N($E28)*BT$5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D$186:AD$286)*N($E28),BT$6*N($E28),N($E28),0)+N(BT91))</f>
        <v/>
      </c>
      <c r="BU28" s="654" t="str">
        <f t="array" ref="BU28">IF(OR($L28="",IsHidden(BU28)),"",CHOOSE($B28,N($E28)*BU$5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E$186:AE$286)*N($E28),BU$6*N($E28),N($E28),0)+N(BU91))</f>
        <v/>
      </c>
      <c r="BV28" s="654" t="str">
        <f t="array" ref="BV28">IF(OR($L28="",IsHidden(BV28)),"",CHOOSE($B28,N($E28)*BV$5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F$186:AF$286)*N($E28),BV$6*N($E28),N($E28),0)+N(BV91))</f>
        <v/>
      </c>
      <c r="BW28" s="654" t="str">
        <f t="array" ref="BW28">IF(OR($L28="",IsHidden(BW28)),"",CHOOSE($B28,N($E28)*BW$5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G$186:AG$286)*N($E28),BW$6*N($E28),N($E28),0)+N(BW91))</f>
        <v/>
      </c>
      <c r="BX28" s="654" t="str">
        <f t="array" ref="BX28">IF(OR($L28="",IsHidden(BX28)),"",CHOOSE($B28,N($E28)*BX$5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H$186:AH$286)*N($E28),BX$6*N($E28),N($E28),0)+N(BX91))</f>
        <v/>
      </c>
      <c r="BY28" s="654" t="str">
        <f t="array" ref="BY28">IF(OR($L28="",IsHidden(BY28)),"",CHOOSE($B28,N($E28)*BY$5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I$186:AI$286)*N($E28),BY$6*N($E28),N($E28),0)+N(BY91))</f>
        <v/>
      </c>
      <c r="BZ28" s="654" t="str">
        <f t="array" ref="BZ28">IF(OR($L28="",IsHidden(BZ28)),"",CHOOSE($B28,N($E28)*BZ$5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J$186:AJ$286)*N($E28),BZ$6*N($E28),N($E28),0)+N(BZ91))</f>
        <v/>
      </c>
      <c r="CA28" s="654" t="str">
        <f t="array" ref="CA28">IF(OR($L28="",IsHidden(CA28)),"",CHOOSE($B28,N($E28)*CA$5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K$186:AK$286)*N($E28),CA$6*N($E28),N($E28),0)+N(CA91))</f>
        <v/>
      </c>
      <c r="CB28" s="654" t="str">
        <f t="array" ref="CB28">IF(OR($L28="",IsHidden(CB28)),"",CHOOSE($B28,N($E28)*CB$5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L$186:AL$286)*N($E28),CB$6*N($E28),N($E28),0)+N(CB91))</f>
        <v/>
      </c>
      <c r="CC28" s="654" t="str">
        <f t="array" ref="CC28">IF(OR($L28="",IsHidden(CC28)),"",CHOOSE($B28,N($E28)*CC$5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M$186:AM$286)*N($E28),CC$6*N($E28),N($E28),0)+N(CC91))</f>
        <v/>
      </c>
      <c r="CD28" s="654" t="str">
        <f t="array" ref="CD28">IF(OR($L28="",IsHidden(CD28)),"",CHOOSE($B28,N($E28)*CD$5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N$186:AN$286)*N($E28),CD$6*N($E28),N($E28),0)+N(CD91))</f>
        <v/>
      </c>
      <c r="CE28" s="654" t="str">
        <f t="array" ref="CE28">IF(OR($L28="",IsHidden(CE28)),"",CHOOSE($B28,N($E28)*CE$5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O$186:AO$286)*N($E28),CE$6*N($E28),N($E28),0)+N(CE91))</f>
        <v/>
      </c>
      <c r="CF28" s="654" t="str">
        <f t="array" ref="CF28">IF(OR($L28="",IsHidden(CF28)),"",CHOOSE($B28,N($E28)*CF$5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P$186:AP$286)*N($E28),CF$6*N($E28),N($E28),0)+N(CF91))</f>
        <v/>
      </c>
      <c r="CG28" s="654" t="str">
        <f t="array" ref="CG28">IF(OR($L28="",IsHidden(CG28)),"",CHOOSE($B28,N($E28)*CG$5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Q$186:AQ$286)*N($E28),CG$6*N($E28),N($E28),0)+N(CG91))</f>
        <v/>
      </c>
      <c r="CH28" s="654" t="str">
        <f t="array" ref="CH28">IF(OR($L28="",IsHidden(CH28)),"",CHOOSE($B28,N($E28)*CH$5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R$186:AR$286)*N($E28),CH$6*N($E28),N($E28),0)+N(CH91))</f>
        <v/>
      </c>
      <c r="CI28" s="654" t="str">
        <f t="array" ref="CI28">IF(OR($L28="",IsHidden(CI28)),"",CHOOSE($B28,N($E28)*CI$5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S$186:AS$286)*N($E28),CI$6*N($E28),N($E28),0)+N(CI91))</f>
        <v/>
      </c>
      <c r="CJ28" s="654" t="str">
        <f t="array" ref="CJ28">IF(OR($L28="",IsHidden(CJ28)),"",CHOOSE($B28,N($E28)*CJ$5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T$186:AT$286)*N($E28),CJ$6*N($E28),N($E28),0)+N(CJ91))</f>
        <v/>
      </c>
      <c r="CK28" s="654" t="str">
        <f t="array" ref="CK28">IF(OR($L28="",IsHidden(CK28)),"",CHOOSE($B28,N($E28)*CK$5,SUMPRODUCT(IF($F$5="Y",1*(Headcount!$B$186:$B$286=IF($F28="",$F$6,$F28)),1+0*ISBLANK(Headcount!$B$186:$B$286)),IF($G$5="Y",1*(Headcount!$C$186:$C$286=IF($G28="",$G$6,$G28)),1+0*ISBLANK(Headcount!$C$186:$C$286)),IF($H$5="Y",1*(Headcount!$D$186:$D$286=IF($H28="",$H$6,$H28)),1+0*ISBLANK(Headcount!$D$186:$D$286)),IF($I$5="Y",1*(Headcount!$E$186:$E$286=IF($I28="",$I$6,$I28)),1+0*ISBLANK(Headcount!$E$186:$E$286)),IF($J$5="Y",1*(Headcount!$F$186:$F$286=IF($J28="",$J$6,$J28)),1+0*ISBLANK(Headcount!$F$186:$F$286)),IF($K$5="Y",1*(Headcount!$G$186:$G$286=IF($K28="",$K$6,$K28)),1+0*ISBLANK(Headcount!$G$186:$G$286)),Headcount!AU$186:AU$286)*N($E28),CK$6*N($E28),N($E28),0)+N(CK91))</f>
        <v/>
      </c>
      <c r="CN28" s="255" t="b">
        <f t="array" ref="CN28">IF($L28="",TRUE,IF(AND(OR($F28&lt;&gt;"",$F$6&lt;&gt;""),OR($G28&lt;&gt;"",$G$6&lt;&gt;""),OR($H28&lt;&gt;"",$H$6&lt;&gt;""),OR($I28&lt;&gt;"",$I$6&lt;&gt;""),OR($J28&lt;&gt;"",$J$6&lt;&gt;""),OR($K28&lt;&gt;"",$K$6&lt;&gt;""),NOT(ISERROR(BB28:CK28)),NOT(ISNA(MATCH(IF($H28="",$H$6,$H28)&amp;IF($G28="",$G$6,$G28),DeptBU,0)))),TRUE,FALSE))</f>
        <v>1</v>
      </c>
      <c r="CP28" s="255" t="str">
        <f t="shared" si="3"/>
        <v/>
      </c>
    </row>
    <row r="29" spans="1:94" s="255" customFormat="1" x14ac:dyDescent="0.35">
      <c r="A29" s="566" t="s">
        <v>1141</v>
      </c>
      <c r="B29" s="261">
        <f t="shared" si="2"/>
        <v>1</v>
      </c>
      <c r="C29" s="566"/>
      <c r="D29" s="261" t="e">
        <f t="array" aca="1" ref="D29" ca="1">IF($B29&lt;5,AVERAGE(OFFSET($Q29,,Input_ActualsOffset-1,,-$C29)/CHOOSE($B29,OFFSET($Q$5,,Input_ActualsOffset-1,1,-$C29),ss($C29,OFFSET(Actuals!$A$1,1,MATCH("Month "&amp;Input_ActualsOffset,ActualsTable[#Headers],0)-1,ROWS(ActualsTable[#Data]),1),ActualsTable[Company],IF($F$5="Y",IF($F29="",$F$6,$F29),"*"),ActualsTable[Business Unit],IF($G$5="Y",IF($G29="",$G$6,$G29),"*"),ActualsTable[Department],IF($H$5="Y",IF($H29="",$H$6,$H29),"*"),ActualsTable[Team],IF($I$5="Y",IF($P29="",$P$6,$P29),"*"),ActualsTable[Product],IF($J$5="Y",IF($J29="",$J$6,$J29),"*"),ActualsTable[Location],IF($K$5="Y",IF($K29="",$K$6,$K29),"*"),ActualsTable[Expense Item],"Headcount"),OFFSET($Q$6,,Input_ActualsOffset-1,,-$C29),1)),"")</f>
        <v>#REF!</v>
      </c>
      <c r="E29" s="640"/>
      <c r="F29" s="555"/>
      <c r="G29" s="555"/>
      <c r="H29" s="555"/>
      <c r="I29" s="555"/>
      <c r="J29" s="555"/>
      <c r="K29" s="555"/>
      <c r="L29" s="555" t="s">
        <v>53</v>
      </c>
      <c r="M29" s="555"/>
      <c r="N29" s="555"/>
      <c r="O29" s="556" t="e">
        <f>IF($L29="","",IF(VLOOKUP(L29,ExpItems[],2,0),L29&amp;" - "&amp;INDEX(DivisionMapping[category_code],MATCH(IF(H29="",$H$6,H29)&amp;IF(G29="",$G$6,G29),DivisionMapping[dept_bu],0)),L29))</f>
        <v>#N/A</v>
      </c>
      <c r="P29" s="556" t="e">
        <f>IF($L29="","",INDEX(Teams[team_consolidation],MATCH(IF($I29="",$I$6,$I29),Teams[team_name],0)))</f>
        <v>#N/A</v>
      </c>
      <c r="Q29" s="657" t="e">
        <f t="array" ref="Q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f>
        <v>#VALUE!</v>
      </c>
      <c r="R29" s="657" t="e">
        <f t="array" ref="R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f>
        <v>#VALUE!</v>
      </c>
      <c r="S29" s="657" t="e">
        <f t="array" ref="S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f>
        <v>#VALUE!</v>
      </c>
      <c r="T29" s="657" t="e">
        <f t="array" ref="T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4]))</f>
        <v>#VALUE!</v>
      </c>
      <c r="U29" s="657" t="e">
        <f t="array" ref="U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5]))</f>
        <v>#VALUE!</v>
      </c>
      <c r="V29" s="657" t="e">
        <f t="array" ref="V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6]))</f>
        <v>#VALUE!</v>
      </c>
      <c r="W29" s="657" t="e">
        <f t="array" ref="W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7]))</f>
        <v>#VALUE!</v>
      </c>
      <c r="X29" s="657" t="e">
        <f t="array" ref="X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8]))</f>
        <v>#VALUE!</v>
      </c>
      <c r="Y29" s="657" t="e">
        <f t="array" ref="Y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9]))</f>
        <v>#VALUE!</v>
      </c>
      <c r="Z29" s="657" t="e">
        <f t="array" ref="Z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10]))</f>
        <v>#VALUE!</v>
      </c>
      <c r="AA29" s="657" t="e">
        <f t="array" ref="AA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11]))</f>
        <v>#VALUE!</v>
      </c>
      <c r="AB29" s="657" t="e">
        <f t="array" ref="AB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12]))</f>
        <v>#VALUE!</v>
      </c>
      <c r="AC29" s="657" t="e">
        <f t="array" ref="AC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13]))</f>
        <v>#VALUE!</v>
      </c>
      <c r="AD29" s="657" t="e">
        <f t="array" ref="AD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14]))</f>
        <v>#VALUE!</v>
      </c>
      <c r="AE29" s="657" t="e">
        <f t="array" ref="AE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15]))</f>
        <v>#VALUE!</v>
      </c>
      <c r="AF29" s="657" t="e">
        <f t="array" ref="AF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16]))</f>
        <v>#VALUE!</v>
      </c>
      <c r="AG29" s="657" t="e">
        <f t="array" ref="AG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17]))</f>
        <v>#VALUE!</v>
      </c>
      <c r="AH29" s="657" t="e">
        <f t="array" ref="AH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18]))</f>
        <v>#VALUE!</v>
      </c>
      <c r="AI29" s="657" t="e">
        <f t="array" ref="AI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19]))</f>
        <v>#VALUE!</v>
      </c>
      <c r="AJ29" s="657" t="e">
        <f t="array" ref="AJ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20]))</f>
        <v>#VALUE!</v>
      </c>
      <c r="AK29" s="657" t="e">
        <f t="array" ref="AK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21]))</f>
        <v>#VALUE!</v>
      </c>
      <c r="AL29" s="657" t="e">
        <f t="array" ref="AL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22]))</f>
        <v>#VALUE!</v>
      </c>
      <c r="AM29" s="657" t="e">
        <f t="array" ref="AM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23]))</f>
        <v>#VALUE!</v>
      </c>
      <c r="AN29" s="657" t="e">
        <f t="array" ref="AN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24]))</f>
        <v>#VALUE!</v>
      </c>
      <c r="AO29" s="657" t="e">
        <f t="array" ref="AO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25]))</f>
        <v>#VALUE!</v>
      </c>
      <c r="AP29" s="657" t="e">
        <f t="array" ref="AP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26]))</f>
        <v>#VALUE!</v>
      </c>
      <c r="AQ29" s="657" t="e">
        <f t="array" ref="AQ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27]))</f>
        <v>#VALUE!</v>
      </c>
      <c r="AR29" s="657" t="e">
        <f t="array" ref="AR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28]))</f>
        <v>#VALUE!</v>
      </c>
      <c r="AS29" s="657" t="e">
        <f t="array" ref="AS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29]))</f>
        <v>#VALUE!</v>
      </c>
      <c r="AT29" s="657" t="e">
        <f t="array" ref="AT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30]))</f>
        <v>#VALUE!</v>
      </c>
      <c r="AU29" s="657" t="e">
        <f t="array" ref="AU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31]))</f>
        <v>#VALUE!</v>
      </c>
      <c r="AV29" s="657" t="e">
        <f t="array" ref="AV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32]))</f>
        <v>#VALUE!</v>
      </c>
      <c r="AW29" s="657" t="e">
        <f t="array" ref="AW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33]))</f>
        <v>#VALUE!</v>
      </c>
      <c r="AX29" s="657" t="e">
        <f t="array" ref="AX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34]))</f>
        <v>#VALUE!</v>
      </c>
      <c r="AY29" s="657" t="e">
        <f t="array" ref="AY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35]))</f>
        <v>#VALUE!</v>
      </c>
      <c r="AZ29" s="657" t="e">
        <f t="array" ref="AZ29">IF($L29="","",SUMPRODUCT(IF($F$5="Y",1*(ActualsTable[Company]=IF($F29="",$F$6,$F29)),1+0*ISBLANK(ActualsTable[Company])),IF($G$5="Y",1*(ActualsTable[Business Unit]=IF($G29="",$G$6,$G29)),1+0*ISBLANK(ActualsTable[Business Unit])),IF($H$5="Y",1*(ActualsTable[Department]=IF($H29="",$H$6,$H29)),1+0*ISBLANK(ActualsTable[Department])),IF($I$5="Y",1*(ActualsTable[Team]=IF($P29="",$P$6,$P29)),1+0*ISBLANK(ActualsTable[Team])),IF($J$5="Y",1*(ActualsTable[Product]=IF($J29="",$J$6,$J29)),1+0*ISBLANK(ActualsTable[Product])),IF($K$5="Y",1*(ActualsTable[Location]=IF($K29="",$K$6,$K29)),1+0*ISBLANK(ActualsTable[Location])),1*(ActualsTable[Expense Item]=$L29),ActualsTable[Month 36]))</f>
        <v>#VALUE!</v>
      </c>
      <c r="BA29" s="257"/>
      <c r="BB29" s="654">
        <f t="array" ref="BB29">IF(OR($L29="",IsHidden(BB29)),"",CHOOSE($B29,N($E29)*BB$5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L$186:L$286)*N($E29),BB$6*N($E29),N($E29),0)+N(BB92))</f>
        <v>0</v>
      </c>
      <c r="BC29" s="654">
        <f t="array" ref="BC29">IF(OR($L29="",IsHidden(BC29)),"",CHOOSE($B29,N($E29)*BC$5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M$186:M$286)*N($E29),BC$6*N($E29),N($E29),0)+N(BC92))</f>
        <v>0</v>
      </c>
      <c r="BD29" s="654">
        <f t="array" ref="BD29">IF(OR($L29="",IsHidden(BD29)),"",CHOOSE($B29,N($E29)*BD$5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N$186:N$286)*N($E29),BD$6*N($E29),N($E29),0)+N(BD92))</f>
        <v>0</v>
      </c>
      <c r="BE29" s="654">
        <f t="array" ref="BE29">IF(OR($L29="",IsHidden(BE29)),"",CHOOSE($B29,N($E29)*BE$5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O$186:O$286)*N($E29),BE$6*N($E29),N($E29),0)+N(BE92))</f>
        <v>0</v>
      </c>
      <c r="BF29" s="654">
        <f t="array" ref="BF29">IF(OR($L29="",IsHidden(BF29)),"",CHOOSE($B29,N($E29)*BF$5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P$186:P$286)*N($E29),BF$6*N($E29),N($E29),0)+N(BF92))</f>
        <v>0</v>
      </c>
      <c r="BG29" s="654">
        <f t="array" ref="BG29">IF(OR($L29="",IsHidden(BG29)),"",CHOOSE($B29,N($E29)*BG$5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Q$186:Q$286)*N($E29),BG$6*N($E29),N($E29),0)+N(BG92))</f>
        <v>0</v>
      </c>
      <c r="BH29" s="654">
        <f t="array" ref="BH29">IF(OR($L29="",IsHidden(BH29)),"",CHOOSE($B29,N($E29)*BH$5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R$186:R$286)*N($E29),BH$6*N($E29),N($E29),0)+N(BH92))</f>
        <v>0</v>
      </c>
      <c r="BI29" s="654">
        <f t="array" ref="BI29">IF(OR($L29="",IsHidden(BI29)),"",CHOOSE($B29,N($E29)*BI$5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S$186:S$286)*N($E29),BI$6*N($E29),N($E29),0)+N(BI92))</f>
        <v>0</v>
      </c>
      <c r="BJ29" s="654">
        <f t="array" ref="BJ29">IF(OR($L29="",IsHidden(BJ29)),"",CHOOSE($B29,N($E29)*BJ$5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T$186:T$286)*N($E29),BJ$6*N($E29),N($E29),0)+N(BJ92))</f>
        <v>0</v>
      </c>
      <c r="BK29" s="654">
        <f t="array" ref="BK29">IF(OR($L29="",IsHidden(BK29)),"",CHOOSE($B29,N($E29)*BK$5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U$186:U$286)*N($E29),BK$6*N($E29),N($E29),0)+N(BK92))</f>
        <v>0</v>
      </c>
      <c r="BL29" s="654">
        <f t="array" ref="BL29">IF(OR($L29="",IsHidden(BL29)),"",CHOOSE($B29,N($E29)*BL$5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V$186:V$286)*N($E29),BL$6*N($E29),N($E29),0)+N(BL92))</f>
        <v>0</v>
      </c>
      <c r="BM29" s="654">
        <f t="array" ref="BM29">IF(OR($L29="",IsHidden(BM29)),"",CHOOSE($B29,N($E29)*BM$5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W$186:W$286)*N($E29),BM$6*N($E29),N($E29),0)+N(BM92))</f>
        <v>0</v>
      </c>
      <c r="BN29" s="654">
        <f t="array" ref="BN29">IF(OR($L29="",IsHidden(BN29)),"",CHOOSE($B29,N($E29)*BN$5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X$186:X$286)*N($E29),BN$6*N($E29),N($E29),0)+N(BN92))</f>
        <v>0</v>
      </c>
      <c r="BO29" s="654">
        <f t="array" ref="BO29">IF(OR($L29="",IsHidden(BO29)),"",CHOOSE($B29,N($E29)*BO$5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Y$186:Y$286)*N($E29),BO$6*N($E29),N($E29),0)+N(BO92))</f>
        <v>0</v>
      </c>
      <c r="BP29" s="654">
        <f t="array" ref="BP29">IF(OR($L29="",IsHidden(BP29)),"",CHOOSE($B29,N($E29)*BP$5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Z$186:Z$286)*N($E29),BP$6*N($E29),N($E29),0)+N(BP92))</f>
        <v>0</v>
      </c>
      <c r="BQ29" s="654">
        <f t="array" ref="BQ29">IF(OR($L29="",IsHidden(BQ29)),"",CHOOSE($B29,N($E29)*BQ$5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A$186:AA$286)*N($E29),BQ$6*N($E29),N($E29),0)+N(BQ92))</f>
        <v>0</v>
      </c>
      <c r="BR29" s="654">
        <f t="array" ref="BR29">IF(OR($L29="",IsHidden(BR29)),"",CHOOSE($B29,N($E29)*BR$5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B$186:AB$286)*N($E29),BR$6*N($E29),N($E29),0)+N(BR92))</f>
        <v>0</v>
      </c>
      <c r="BS29" s="654">
        <f t="array" ref="BS29">IF(OR($L29="",IsHidden(BS29)),"",CHOOSE($B29,N($E29)*BS$5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C$186:AC$286)*N($E29),BS$6*N($E29),N($E29),0)+N(BS92))</f>
        <v>0</v>
      </c>
      <c r="BT29" s="654">
        <f t="array" ref="BT29">IF(OR($L29="",IsHidden(BT29)),"",CHOOSE($B29,N($E29)*BT$5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D$186:AD$286)*N($E29),BT$6*N($E29),N($E29),0)+N(BT92))</f>
        <v>0</v>
      </c>
      <c r="BU29" s="654">
        <f t="array" ref="BU29">IF(OR($L29="",IsHidden(BU29)),"",CHOOSE($B29,N($E29)*BU$5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E$186:AE$286)*N($E29),BU$6*N($E29),N($E29),0)+N(BU92))</f>
        <v>0</v>
      </c>
      <c r="BV29" s="654">
        <f t="array" ref="BV29">IF(OR($L29="",IsHidden(BV29)),"",CHOOSE($B29,N($E29)*BV$5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F$186:AF$286)*N($E29),BV$6*N($E29),N($E29),0)+N(BV92))</f>
        <v>0</v>
      </c>
      <c r="BW29" s="654">
        <f t="array" ref="BW29">IF(OR($L29="",IsHidden(BW29)),"",CHOOSE($B29,N($E29)*BW$5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G$186:AG$286)*N($E29),BW$6*N($E29),N($E29),0)+N(BW92))</f>
        <v>0</v>
      </c>
      <c r="BX29" s="654">
        <f t="array" ref="BX29">IF(OR($L29="",IsHidden(BX29)),"",CHOOSE($B29,N($E29)*BX$5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H$186:AH$286)*N($E29),BX$6*N($E29),N($E29),0)+N(BX92))</f>
        <v>0</v>
      </c>
      <c r="BY29" s="654">
        <f t="array" ref="BY29">IF(OR($L29="",IsHidden(BY29)),"",CHOOSE($B29,N($E29)*BY$5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I$186:AI$286)*N($E29),BY$6*N($E29),N($E29),0)+N(BY92))</f>
        <v>0</v>
      </c>
      <c r="BZ29" s="654">
        <f t="array" ref="BZ29">IF(OR($L29="",IsHidden(BZ29)),"",CHOOSE($B29,N($E29)*BZ$5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J$186:AJ$286)*N($E29),BZ$6*N($E29),N($E29),0)+N(BZ92))</f>
        <v>0</v>
      </c>
      <c r="CA29" s="654">
        <f t="array" ref="CA29">IF(OR($L29="",IsHidden(CA29)),"",CHOOSE($B29,N($E29)*CA$5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K$186:AK$286)*N($E29),CA$6*N($E29),N($E29),0)+N(CA92))</f>
        <v>0</v>
      </c>
      <c r="CB29" s="654">
        <f t="array" ref="CB29">IF(OR($L29="",IsHidden(CB29)),"",CHOOSE($B29,N($E29)*CB$5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L$186:AL$286)*N($E29),CB$6*N($E29),N($E29),0)+N(CB92))</f>
        <v>0</v>
      </c>
      <c r="CC29" s="654">
        <f t="array" ref="CC29">IF(OR($L29="",IsHidden(CC29)),"",CHOOSE($B29,N($E29)*CC$5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M$186:AM$286)*N($E29),CC$6*N($E29),N($E29),0)+N(CC92))</f>
        <v>0</v>
      </c>
      <c r="CD29" s="654">
        <f t="array" ref="CD29">IF(OR($L29="",IsHidden(CD29)),"",CHOOSE($B29,N($E29)*CD$5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N$186:AN$286)*N($E29),CD$6*N($E29),N($E29),0)+N(CD92))</f>
        <v>0</v>
      </c>
      <c r="CE29" s="654">
        <f t="array" ref="CE29">IF(OR($L29="",IsHidden(CE29)),"",CHOOSE($B29,N($E29)*CE$5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O$186:AO$286)*N($E29),CE$6*N($E29),N($E29),0)+N(CE92))</f>
        <v>0</v>
      </c>
      <c r="CF29" s="654">
        <f t="array" ref="CF29">IF(OR($L29="",IsHidden(CF29)),"",CHOOSE($B29,N($E29)*CF$5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P$186:AP$286)*N($E29),CF$6*N($E29),N($E29),0)+N(CF92))</f>
        <v>0</v>
      </c>
      <c r="CG29" s="654">
        <f t="array" ref="CG29">IF(OR($L29="",IsHidden(CG29)),"",CHOOSE($B29,N($E29)*CG$5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Q$186:AQ$286)*N($E29),CG$6*N($E29),N($E29),0)+N(CG92))</f>
        <v>0</v>
      </c>
      <c r="CH29" s="654">
        <f t="array" ref="CH29">IF(OR($L29="",IsHidden(CH29)),"",CHOOSE($B29,N($E29)*CH$5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R$186:AR$286)*N($E29),CH$6*N($E29),N($E29),0)+N(CH92))</f>
        <v>0</v>
      </c>
      <c r="CI29" s="654">
        <f t="array" ref="CI29">IF(OR($L29="",IsHidden(CI29)),"",CHOOSE($B29,N($E29)*CI$5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S$186:AS$286)*N($E29),CI$6*N($E29),N($E29),0)+N(CI92))</f>
        <v>0</v>
      </c>
      <c r="CJ29" s="654">
        <f t="array" ref="CJ29">IF(OR($L29="",IsHidden(CJ29)),"",CHOOSE($B29,N($E29)*CJ$5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T$186:AT$286)*N($E29),CJ$6*N($E29),N($E29),0)+N(CJ92))</f>
        <v>0</v>
      </c>
      <c r="CK29" s="654">
        <f t="array" ref="CK29">IF(OR($L29="",IsHidden(CK29)),"",CHOOSE($B29,N($E29)*CK$5,SUMPRODUCT(IF($F$5="Y",1*(Headcount!$B$186:$B$286=IF($F29="",$F$6,$F29)),1+0*ISBLANK(Headcount!$B$186:$B$286)),IF($G$5="Y",1*(Headcount!$C$186:$C$286=IF($G29="",$G$6,$G29)),1+0*ISBLANK(Headcount!$C$186:$C$286)),IF($H$5="Y",1*(Headcount!$D$186:$D$286=IF($H29="",$H$6,$H29)),1+0*ISBLANK(Headcount!$D$186:$D$286)),IF($I$5="Y",1*(Headcount!$E$186:$E$286=IF($I29="",$I$6,$I29)),1+0*ISBLANK(Headcount!$E$186:$E$286)),IF($J$5="Y",1*(Headcount!$F$186:$F$286=IF($J29="",$J$6,$J29)),1+0*ISBLANK(Headcount!$F$186:$F$286)),IF($K$5="Y",1*(Headcount!$G$186:$G$286=IF($K29="",$K$6,$K29)),1+0*ISBLANK(Headcount!$G$186:$G$286)),Headcount!AU$186:AU$286)*N($E29),CK$6*N($E29),N($E29),0)+N(CK92))</f>
        <v>0</v>
      </c>
      <c r="CN29" s="255" t="b">
        <f t="array" ref="CN29">IF($L29="",TRUE,IF(AND(OR($F29&lt;&gt;"",$F$6&lt;&gt;""),OR($G29&lt;&gt;"",$G$6&lt;&gt;""),OR($H29&lt;&gt;"",$H$6&lt;&gt;""),OR($I29&lt;&gt;"",$I$6&lt;&gt;""),OR($J29&lt;&gt;"",$J$6&lt;&gt;""),OR($K29&lt;&gt;"",$K$6&lt;&gt;""),NOT(ISERROR(BB29:CK29)),NOT(ISNA(MATCH(IF($H29="",$H$6,$H29)&amp;IF($G29="",$G$6,$G29),DeptBU,0)))),TRUE,FALSE))</f>
        <v>0</v>
      </c>
      <c r="CP29" s="255" t="str">
        <f t="shared" si="3"/>
        <v>SELECT ''Expenses'',''Expenses'',29,''USD'',NULL,''Forecast'','''','''','''','''','''','''',''Utilities'',NULL,NULL,''% of Revenue'',NULL,0,0,0,0,0,0,0,0,0,0,0,0,0,0,0,0,0,0,0,0,0,0,0,0,0,0,0,0,0,0,0,0,0,0,0,0</v>
      </c>
    </row>
    <row r="30" spans="1:94" s="255" customFormat="1" x14ac:dyDescent="0.35">
      <c r="A30" s="566" t="s">
        <v>1152</v>
      </c>
      <c r="B30" s="261">
        <f t="shared" si="2"/>
        <v>4</v>
      </c>
      <c r="C30" s="566"/>
      <c r="D30" s="261" t="e">
        <f t="array" aca="1" ref="D30" ca="1">IF($B30&lt;5,AVERAGE(OFFSET($Q30,,Input_ActualsOffset-1,,-$C30)/CHOOSE($B30,OFFSET($Q$5,,Input_ActualsOffset-1,1,-$C30),ss($C30,OFFSET(Actuals!$A$1,1,MATCH("Month "&amp;Input_ActualsOffset,ActualsTable[#Headers],0)-1,ROWS(ActualsTable[#Data]),1),ActualsTable[Company],IF($F$5="Y",IF($F30="",$F$6,$F30),"*"),ActualsTable[Business Unit],IF($G$5="Y",IF($G30="",$G$6,$G30),"*"),ActualsTable[Department],IF($H$5="Y",IF($H30="",$H$6,$H30),"*"),ActualsTable[Team],IF($I$5="Y",IF($P30="",$P$6,$P30),"*"),ActualsTable[Product],IF($J$5="Y",IF($J30="",$J$6,$J30),"*"),ActualsTable[Location],IF($K$5="Y",IF($K30="",$K$6,$K30),"*"),ActualsTable[Expense Item],"Headcount"),OFFSET($Q$6,,Input_ActualsOffset-1,,-$C30),1)),"")</f>
        <v>#REF!</v>
      </c>
      <c r="E30" s="640"/>
      <c r="F30" s="555"/>
      <c r="G30" s="555"/>
      <c r="H30" s="555"/>
      <c r="I30" s="555"/>
      <c r="J30" s="555"/>
      <c r="K30" s="555"/>
      <c r="L30" s="555" t="s">
        <v>46</v>
      </c>
      <c r="M30" s="555"/>
      <c r="N30" s="555"/>
      <c r="O30" s="556" t="e">
        <f>IF($L30="","",IF(VLOOKUP(L30,ExpItems[],2,0),L30&amp;" - "&amp;INDEX(DivisionMapping[category_code],MATCH(IF(H30="",$H$6,H30)&amp;IF(G30="",$G$6,G30),DivisionMapping[dept_bu],0)),L30))</f>
        <v>#N/A</v>
      </c>
      <c r="P30" s="556" t="e">
        <f>IF($L30="","",INDEX(Teams[team_consolidation],MATCH(IF($I30="",$I$6,$I30),Teams[team_name],0)))</f>
        <v>#N/A</v>
      </c>
      <c r="Q30" s="657" t="e">
        <f t="array" ref="Q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f>
        <v>#VALUE!</v>
      </c>
      <c r="R30" s="657" t="e">
        <f t="array" ref="R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f>
        <v>#VALUE!</v>
      </c>
      <c r="S30" s="657" t="e">
        <f t="array" ref="S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f>
        <v>#VALUE!</v>
      </c>
      <c r="T30" s="657" t="e">
        <f t="array" ref="T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4]))</f>
        <v>#VALUE!</v>
      </c>
      <c r="U30" s="657" t="e">
        <f t="array" ref="U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5]))</f>
        <v>#VALUE!</v>
      </c>
      <c r="V30" s="657" t="e">
        <f t="array" ref="V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6]))</f>
        <v>#VALUE!</v>
      </c>
      <c r="W30" s="657" t="e">
        <f t="array" ref="W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7]))</f>
        <v>#VALUE!</v>
      </c>
      <c r="X30" s="657" t="e">
        <f t="array" ref="X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8]))</f>
        <v>#VALUE!</v>
      </c>
      <c r="Y30" s="657" t="e">
        <f t="array" ref="Y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9]))</f>
        <v>#VALUE!</v>
      </c>
      <c r="Z30" s="657" t="e">
        <f t="array" ref="Z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10]))</f>
        <v>#VALUE!</v>
      </c>
      <c r="AA30" s="657" t="e">
        <f t="array" ref="AA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11]))</f>
        <v>#VALUE!</v>
      </c>
      <c r="AB30" s="657" t="e">
        <f t="array" ref="AB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12]))</f>
        <v>#VALUE!</v>
      </c>
      <c r="AC30" s="657" t="e">
        <f t="array" ref="AC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13]))</f>
        <v>#VALUE!</v>
      </c>
      <c r="AD30" s="657" t="e">
        <f t="array" ref="AD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14]))</f>
        <v>#VALUE!</v>
      </c>
      <c r="AE30" s="657" t="e">
        <f t="array" ref="AE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15]))</f>
        <v>#VALUE!</v>
      </c>
      <c r="AF30" s="657" t="e">
        <f t="array" ref="AF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16]))</f>
        <v>#VALUE!</v>
      </c>
      <c r="AG30" s="657" t="e">
        <f t="array" ref="AG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17]))</f>
        <v>#VALUE!</v>
      </c>
      <c r="AH30" s="657" t="e">
        <f t="array" ref="AH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18]))</f>
        <v>#VALUE!</v>
      </c>
      <c r="AI30" s="657" t="e">
        <f t="array" ref="AI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19]))</f>
        <v>#VALUE!</v>
      </c>
      <c r="AJ30" s="657" t="e">
        <f t="array" ref="AJ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20]))</f>
        <v>#VALUE!</v>
      </c>
      <c r="AK30" s="657" t="e">
        <f t="array" ref="AK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21]))</f>
        <v>#VALUE!</v>
      </c>
      <c r="AL30" s="657" t="e">
        <f t="array" ref="AL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22]))</f>
        <v>#VALUE!</v>
      </c>
      <c r="AM30" s="657" t="e">
        <f t="array" ref="AM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23]))</f>
        <v>#VALUE!</v>
      </c>
      <c r="AN30" s="657" t="e">
        <f t="array" ref="AN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24]))</f>
        <v>#VALUE!</v>
      </c>
      <c r="AO30" s="657" t="e">
        <f t="array" ref="AO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25]))</f>
        <v>#VALUE!</v>
      </c>
      <c r="AP30" s="657" t="e">
        <f t="array" ref="AP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26]))</f>
        <v>#VALUE!</v>
      </c>
      <c r="AQ30" s="657" t="e">
        <f t="array" ref="AQ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27]))</f>
        <v>#VALUE!</v>
      </c>
      <c r="AR30" s="657" t="e">
        <f t="array" ref="AR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28]))</f>
        <v>#VALUE!</v>
      </c>
      <c r="AS30" s="657" t="e">
        <f t="array" ref="AS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29]))</f>
        <v>#VALUE!</v>
      </c>
      <c r="AT30" s="657" t="e">
        <f t="array" ref="AT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30]))</f>
        <v>#VALUE!</v>
      </c>
      <c r="AU30" s="657" t="e">
        <f t="array" ref="AU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31]))</f>
        <v>#VALUE!</v>
      </c>
      <c r="AV30" s="657" t="e">
        <f t="array" ref="AV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32]))</f>
        <v>#VALUE!</v>
      </c>
      <c r="AW30" s="657" t="e">
        <f t="array" ref="AW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33]))</f>
        <v>#VALUE!</v>
      </c>
      <c r="AX30" s="657" t="e">
        <f t="array" ref="AX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34]))</f>
        <v>#VALUE!</v>
      </c>
      <c r="AY30" s="657" t="e">
        <f t="array" ref="AY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35]))</f>
        <v>#VALUE!</v>
      </c>
      <c r="AZ30" s="657" t="e">
        <f t="array" ref="AZ30">IF($L30="","",SUMPRODUCT(IF($F$5="Y",1*(ActualsTable[Company]=IF($F30="",$F$6,$F30)),1+0*ISBLANK(ActualsTable[Company])),IF($G$5="Y",1*(ActualsTable[Business Unit]=IF($G30="",$G$6,$G30)),1+0*ISBLANK(ActualsTable[Business Unit])),IF($H$5="Y",1*(ActualsTable[Department]=IF($H30="",$H$6,$H30)),1+0*ISBLANK(ActualsTable[Department])),IF($I$5="Y",1*(ActualsTable[Team]=IF($P30="",$P$6,$P30)),1+0*ISBLANK(ActualsTable[Team])),IF($J$5="Y",1*(ActualsTable[Product]=IF($J30="",$J$6,$J30)),1+0*ISBLANK(ActualsTable[Product])),IF($K$5="Y",1*(ActualsTable[Location]=IF($K30="",$K$6,$K30)),1+0*ISBLANK(ActualsTable[Location])),1*(ActualsTable[Expense Item]=$L30),ActualsTable[Month 36]))</f>
        <v>#VALUE!</v>
      </c>
      <c r="BA30" s="257"/>
      <c r="BB30" s="654">
        <f t="array" ref="BB30">IF(OR($L30="",IsHidden(BB30)),"",CHOOSE($B30,N($E30)*BB$5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L$186:L$286)*N($E30),BB$6*N($E30),N($E30),0)+N(BB93))</f>
        <v>0</v>
      </c>
      <c r="BC30" s="654">
        <f t="array" ref="BC30">IF(OR($L30="",IsHidden(BC30)),"",CHOOSE($B30,N($E30)*BC$5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M$186:M$286)*N($E30),BC$6*N($E30),N($E30),0)+N(BC93))</f>
        <v>0</v>
      </c>
      <c r="BD30" s="654">
        <f t="array" ref="BD30">IF(OR($L30="",IsHidden(BD30)),"",CHOOSE($B30,N($E30)*BD$5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N$186:N$286)*N($E30),BD$6*N($E30),N($E30),0)+N(BD93))</f>
        <v>0</v>
      </c>
      <c r="BE30" s="654">
        <f t="array" ref="BE30">IF(OR($L30="",IsHidden(BE30)),"",CHOOSE($B30,N($E30)*BE$5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O$186:O$286)*N($E30),BE$6*N($E30),N($E30),0)+N(BE93))</f>
        <v>0</v>
      </c>
      <c r="BF30" s="654">
        <f t="array" ref="BF30">IF(OR($L30="",IsHidden(BF30)),"",CHOOSE($B30,N($E30)*BF$5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P$186:P$286)*N($E30),BF$6*N($E30),N($E30),0)+N(BF93))</f>
        <v>0</v>
      </c>
      <c r="BG30" s="654">
        <f t="array" ref="BG30">IF(OR($L30="",IsHidden(BG30)),"",CHOOSE($B30,N($E30)*BG$5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Q$186:Q$286)*N($E30),BG$6*N($E30),N($E30),0)+N(BG93))</f>
        <v>0</v>
      </c>
      <c r="BH30" s="654">
        <f t="array" ref="BH30">IF(OR($L30="",IsHidden(BH30)),"",CHOOSE($B30,N($E30)*BH$5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R$186:R$286)*N($E30),BH$6*N($E30),N($E30),0)+N(BH93))</f>
        <v>0</v>
      </c>
      <c r="BI30" s="654">
        <f t="array" ref="BI30">IF(OR($L30="",IsHidden(BI30)),"",CHOOSE($B30,N($E30)*BI$5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S$186:S$286)*N($E30),BI$6*N($E30),N($E30),0)+N(BI93))</f>
        <v>0</v>
      </c>
      <c r="BJ30" s="654">
        <f t="array" ref="BJ30">IF(OR($L30="",IsHidden(BJ30)),"",CHOOSE($B30,N($E30)*BJ$5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T$186:T$286)*N($E30),BJ$6*N($E30),N($E30),0)+N(BJ93))</f>
        <v>0</v>
      </c>
      <c r="BK30" s="654">
        <f t="array" ref="BK30">IF(OR($L30="",IsHidden(BK30)),"",CHOOSE($B30,N($E30)*BK$5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U$186:U$286)*N($E30),BK$6*N($E30),N($E30),0)+N(BK93))</f>
        <v>0</v>
      </c>
      <c r="BL30" s="654">
        <f t="array" ref="BL30">IF(OR($L30="",IsHidden(BL30)),"",CHOOSE($B30,N($E30)*BL$5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V$186:V$286)*N($E30),BL$6*N($E30),N($E30),0)+N(BL93))</f>
        <v>0</v>
      </c>
      <c r="BM30" s="654">
        <f t="array" ref="BM30">IF(OR($L30="",IsHidden(BM30)),"",CHOOSE($B30,N($E30)*BM$5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W$186:W$286)*N($E30),BM$6*N($E30),N($E30),0)+N(BM93))</f>
        <v>0</v>
      </c>
      <c r="BN30" s="654">
        <f t="array" ref="BN30">IF(OR($L30="",IsHidden(BN30)),"",CHOOSE($B30,N($E30)*BN$5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X$186:X$286)*N($E30),BN$6*N($E30),N($E30),0)+N(BN93))</f>
        <v>0</v>
      </c>
      <c r="BO30" s="654">
        <f t="array" ref="BO30">IF(OR($L30="",IsHidden(BO30)),"",CHOOSE($B30,N($E30)*BO$5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Y$186:Y$286)*N($E30),BO$6*N($E30),N($E30),0)+N(BO93))</f>
        <v>0</v>
      </c>
      <c r="BP30" s="654">
        <f t="array" ref="BP30">IF(OR($L30="",IsHidden(BP30)),"",CHOOSE($B30,N($E30)*BP$5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Z$186:Z$286)*N($E30),BP$6*N($E30),N($E30),0)+N(BP93))</f>
        <v>0</v>
      </c>
      <c r="BQ30" s="654">
        <f t="array" ref="BQ30">IF(OR($L30="",IsHidden(BQ30)),"",CHOOSE($B30,N($E30)*BQ$5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A$186:AA$286)*N($E30),BQ$6*N($E30),N($E30),0)+N(BQ93))</f>
        <v>0</v>
      </c>
      <c r="BR30" s="654">
        <f t="array" ref="BR30">IF(OR($L30="",IsHidden(BR30)),"",CHOOSE($B30,N($E30)*BR$5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B$186:AB$286)*N($E30),BR$6*N($E30),N($E30),0)+N(BR93))</f>
        <v>0</v>
      </c>
      <c r="BS30" s="654">
        <f t="array" ref="BS30">IF(OR($L30="",IsHidden(BS30)),"",CHOOSE($B30,N($E30)*BS$5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C$186:AC$286)*N($E30),BS$6*N($E30),N($E30),0)+N(BS93))</f>
        <v>0</v>
      </c>
      <c r="BT30" s="654">
        <f t="array" ref="BT30">IF(OR($L30="",IsHidden(BT30)),"",CHOOSE($B30,N($E30)*BT$5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D$186:AD$286)*N($E30),BT$6*N($E30),N($E30),0)+N(BT93))</f>
        <v>0</v>
      </c>
      <c r="BU30" s="654">
        <f t="array" ref="BU30">IF(OR($L30="",IsHidden(BU30)),"",CHOOSE($B30,N($E30)*BU$5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E$186:AE$286)*N($E30),BU$6*N($E30),N($E30),0)+N(BU93))</f>
        <v>0</v>
      </c>
      <c r="BV30" s="654">
        <f t="array" ref="BV30">IF(OR($L30="",IsHidden(BV30)),"",CHOOSE($B30,N($E30)*BV$5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F$186:AF$286)*N($E30),BV$6*N($E30),N($E30),0)+N(BV93))</f>
        <v>0</v>
      </c>
      <c r="BW30" s="654">
        <f t="array" ref="BW30">IF(OR($L30="",IsHidden(BW30)),"",CHOOSE($B30,N($E30)*BW$5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G$186:AG$286)*N($E30),BW$6*N($E30),N($E30),0)+N(BW93))</f>
        <v>0</v>
      </c>
      <c r="BX30" s="654">
        <f t="array" ref="BX30">IF(OR($L30="",IsHidden(BX30)),"",CHOOSE($B30,N($E30)*BX$5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H$186:AH$286)*N($E30),BX$6*N($E30),N($E30),0)+N(BX93))</f>
        <v>0</v>
      </c>
      <c r="BY30" s="654">
        <f t="array" ref="BY30">IF(OR($L30="",IsHidden(BY30)),"",CHOOSE($B30,N($E30)*BY$5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I$186:AI$286)*N($E30),BY$6*N($E30),N($E30),0)+N(BY93))</f>
        <v>0</v>
      </c>
      <c r="BZ30" s="654">
        <f t="array" ref="BZ30">IF(OR($L30="",IsHidden(BZ30)),"",CHOOSE($B30,N($E30)*BZ$5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J$186:AJ$286)*N($E30),BZ$6*N($E30),N($E30),0)+N(BZ93))</f>
        <v>0</v>
      </c>
      <c r="CA30" s="654">
        <f t="array" ref="CA30">IF(OR($L30="",IsHidden(CA30)),"",CHOOSE($B30,N($E30)*CA$5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K$186:AK$286)*N($E30),CA$6*N($E30),N($E30),0)+N(CA93))</f>
        <v>0</v>
      </c>
      <c r="CB30" s="654">
        <f t="array" ref="CB30">IF(OR($L30="",IsHidden(CB30)),"",CHOOSE($B30,N($E30)*CB$5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L$186:AL$286)*N($E30),CB$6*N($E30),N($E30),0)+N(CB93))</f>
        <v>0</v>
      </c>
      <c r="CC30" s="654">
        <f t="array" ref="CC30">IF(OR($L30="",IsHidden(CC30)),"",CHOOSE($B30,N($E30)*CC$5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M$186:AM$286)*N($E30),CC$6*N($E30),N($E30),0)+N(CC93))</f>
        <v>0</v>
      </c>
      <c r="CD30" s="654">
        <f t="array" ref="CD30">IF(OR($L30="",IsHidden(CD30)),"",CHOOSE($B30,N($E30)*CD$5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N$186:AN$286)*N($E30),CD$6*N($E30),N($E30),0)+N(CD93))</f>
        <v>0</v>
      </c>
      <c r="CE30" s="654">
        <f t="array" ref="CE30">IF(OR($L30="",IsHidden(CE30)),"",CHOOSE($B30,N($E30)*CE$5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O$186:AO$286)*N($E30),CE$6*N($E30),N($E30),0)+N(CE93))</f>
        <v>0</v>
      </c>
      <c r="CF30" s="654">
        <f t="array" ref="CF30">IF(OR($L30="",IsHidden(CF30)),"",CHOOSE($B30,N($E30)*CF$5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P$186:AP$286)*N($E30),CF$6*N($E30),N($E30),0)+N(CF93))</f>
        <v>0</v>
      </c>
      <c r="CG30" s="654">
        <f t="array" ref="CG30">IF(OR($L30="",IsHidden(CG30)),"",CHOOSE($B30,N($E30)*CG$5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Q$186:AQ$286)*N($E30),CG$6*N($E30),N($E30),0)+N(CG93))</f>
        <v>0</v>
      </c>
      <c r="CH30" s="654">
        <f t="array" ref="CH30">IF(OR($L30="",IsHidden(CH30)),"",CHOOSE($B30,N($E30)*CH$5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R$186:AR$286)*N($E30),CH$6*N($E30),N($E30),0)+N(CH93))</f>
        <v>0</v>
      </c>
      <c r="CI30" s="654">
        <f t="array" ref="CI30">IF(OR($L30="",IsHidden(CI30)),"",CHOOSE($B30,N($E30)*CI$5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S$186:AS$286)*N($E30),CI$6*N($E30),N($E30),0)+N(CI93))</f>
        <v>0</v>
      </c>
      <c r="CJ30" s="654">
        <f t="array" ref="CJ30">IF(OR($L30="",IsHidden(CJ30)),"",CHOOSE($B30,N($E30)*CJ$5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T$186:AT$286)*N($E30),CJ$6*N($E30),N($E30),0)+N(CJ93))</f>
        <v>0</v>
      </c>
      <c r="CK30" s="654">
        <f t="array" ref="CK30">IF(OR($L30="",IsHidden(CK30)),"",CHOOSE($B30,N($E30)*CK$5,SUMPRODUCT(IF($F$5="Y",1*(Headcount!$B$186:$B$286=IF($F30="",$F$6,$F30)),1+0*ISBLANK(Headcount!$B$186:$B$286)),IF($G$5="Y",1*(Headcount!$C$186:$C$286=IF($G30="",$G$6,$G30)),1+0*ISBLANK(Headcount!$C$186:$C$286)),IF($H$5="Y",1*(Headcount!$D$186:$D$286=IF($H30="",$H$6,$H30)),1+0*ISBLANK(Headcount!$D$186:$D$286)),IF($I$5="Y",1*(Headcount!$E$186:$E$286=IF($I30="",$I$6,$I30)),1+0*ISBLANK(Headcount!$E$186:$E$286)),IF($J$5="Y",1*(Headcount!$F$186:$F$286=IF($J30="",$J$6,$J30)),1+0*ISBLANK(Headcount!$F$186:$F$286)),IF($K$5="Y",1*(Headcount!$G$186:$G$286=IF($K30="",$K$6,$K30)),1+0*ISBLANK(Headcount!$G$186:$G$286)),Headcount!AU$186:AU$286)*N($E30),CK$6*N($E30),N($E30),0)+N(CK93))</f>
        <v>0</v>
      </c>
      <c r="CN30" s="255" t="b">
        <f t="array" ref="CN30">IF($L30="",TRUE,IF(AND(OR($F30&lt;&gt;"",$F$6&lt;&gt;""),OR($G30&lt;&gt;"",$G$6&lt;&gt;""),OR($H30&lt;&gt;"",$H$6&lt;&gt;""),OR($I30&lt;&gt;"",$I$6&lt;&gt;""),OR($J30&lt;&gt;"",$J$6&lt;&gt;""),OR($K30&lt;&gt;"",$K$6&lt;&gt;""),NOT(ISERROR(BB30:CK30)),NOT(ISNA(MATCH(IF($H30="",$H$6,$H30)&amp;IF($G30="",$G$6,$G30),DeptBU,0)))),TRUE,FALSE))</f>
        <v>0</v>
      </c>
      <c r="CP30" s="255" t="str">
        <f t="shared" si="3"/>
        <v>SELECT ''Expenses'',''Expenses'',30,''USD'',NULL,''Forecast'','''','''','''','''','''','''',''Office Rent'',NULL,NULL,''Total Method'',NULL,0,0,0,0,0,0,0,0,0,0,0,0,0,0,0,0,0,0,0,0,0,0,0,0,0,0,0,0,0,0,0,0,0,0,0,0</v>
      </c>
    </row>
    <row r="31" spans="1:94" s="255" customFormat="1" x14ac:dyDescent="0.35">
      <c r="A31" s="566" t="s">
        <v>1151</v>
      </c>
      <c r="B31" s="261">
        <f t="shared" si="2"/>
        <v>5</v>
      </c>
      <c r="C31" s="566"/>
      <c r="D31" s="261" t="str">
        <f t="array" aca="1" ref="D31" ca="1">IF($B31&lt;5,AVERAGE(OFFSET($Q31,,Input_ActualsOffset-1,,-$C31)/CHOOSE($B31,OFFSET($Q$5,,Input_ActualsOffset-1,1,-$C31),ss($C31,OFFSET(Actuals!$A$1,1,MATCH("Month "&amp;Input_ActualsOffset,ActualsTable[#Headers],0)-1,ROWS(ActualsTable[#Data]),1),ActualsTable[Company],IF($F$5="Y",IF($F31="",$F$6,$F31),"*"),ActualsTable[Business Unit],IF($G$5="Y",IF($G31="",$G$6,$G31),"*"),ActualsTable[Department],IF($H$5="Y",IF($H31="",$H$6,$H31),"*"),ActualsTable[Team],IF($I$5="Y",IF($P31="",$P$6,$P31),"*"),ActualsTable[Product],IF($J$5="Y",IF($J31="",$J$6,$J31),"*"),ActualsTable[Location],IF($K$5="Y",IF($K31="",$K$6,$K31),"*"),ActualsTable[Expense Item],"Headcount"),OFFSET($Q$6,,Input_ActualsOffset-1,,-$C31),1)),"")</f>
        <v/>
      </c>
      <c r="E31" s="640"/>
      <c r="F31" s="555"/>
      <c r="G31" s="555"/>
      <c r="H31" s="555"/>
      <c r="I31" s="555"/>
      <c r="J31" s="555"/>
      <c r="K31" s="555"/>
      <c r="L31" s="555" t="s">
        <v>44</v>
      </c>
      <c r="M31" s="555"/>
      <c r="N31" s="555"/>
      <c r="O31" s="556" t="e">
        <f>IF($L31="","",IF(VLOOKUP(L31,ExpItems[],2,0),L31&amp;" - "&amp;INDEX(DivisionMapping[category_code],MATCH(IF(H31="",$H$6,H31)&amp;IF(G31="",$G$6,G31),DivisionMapping[dept_bu],0)),L31))</f>
        <v>#N/A</v>
      </c>
      <c r="P31" s="556" t="e">
        <f>IF($L31="","",INDEX(Teams[team_consolidation],MATCH(IF($I31="",$I$6,$I31),Teams[team_name],0)))</f>
        <v>#N/A</v>
      </c>
      <c r="Q31" s="657" t="e">
        <f t="array" ref="Q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f>
        <v>#VALUE!</v>
      </c>
      <c r="R31" s="657" t="e">
        <f t="array" ref="R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f>
        <v>#VALUE!</v>
      </c>
      <c r="S31" s="657" t="e">
        <f t="array" ref="S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f>
        <v>#VALUE!</v>
      </c>
      <c r="T31" s="657" t="e">
        <f t="array" ref="T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4]))</f>
        <v>#VALUE!</v>
      </c>
      <c r="U31" s="657" t="e">
        <f t="array" ref="U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5]))</f>
        <v>#VALUE!</v>
      </c>
      <c r="V31" s="657" t="e">
        <f t="array" ref="V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6]))</f>
        <v>#VALUE!</v>
      </c>
      <c r="W31" s="657" t="e">
        <f t="array" ref="W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7]))</f>
        <v>#VALUE!</v>
      </c>
      <c r="X31" s="657" t="e">
        <f t="array" ref="X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8]))</f>
        <v>#VALUE!</v>
      </c>
      <c r="Y31" s="657" t="e">
        <f t="array" ref="Y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9]))</f>
        <v>#VALUE!</v>
      </c>
      <c r="Z31" s="657" t="e">
        <f t="array" ref="Z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10]))</f>
        <v>#VALUE!</v>
      </c>
      <c r="AA31" s="657" t="e">
        <f t="array" ref="AA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11]))</f>
        <v>#VALUE!</v>
      </c>
      <c r="AB31" s="657" t="e">
        <f t="array" ref="AB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12]))</f>
        <v>#VALUE!</v>
      </c>
      <c r="AC31" s="657" t="e">
        <f t="array" ref="AC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13]))</f>
        <v>#VALUE!</v>
      </c>
      <c r="AD31" s="657" t="e">
        <f t="array" ref="AD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14]))</f>
        <v>#VALUE!</v>
      </c>
      <c r="AE31" s="657" t="e">
        <f t="array" ref="AE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15]))</f>
        <v>#VALUE!</v>
      </c>
      <c r="AF31" s="657" t="e">
        <f t="array" ref="AF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16]))</f>
        <v>#VALUE!</v>
      </c>
      <c r="AG31" s="657" t="e">
        <f t="array" ref="AG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17]))</f>
        <v>#VALUE!</v>
      </c>
      <c r="AH31" s="657" t="e">
        <f t="array" ref="AH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18]))</f>
        <v>#VALUE!</v>
      </c>
      <c r="AI31" s="657" t="e">
        <f t="array" ref="AI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19]))</f>
        <v>#VALUE!</v>
      </c>
      <c r="AJ31" s="657" t="e">
        <f t="array" ref="AJ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20]))</f>
        <v>#VALUE!</v>
      </c>
      <c r="AK31" s="657" t="e">
        <f t="array" ref="AK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21]))</f>
        <v>#VALUE!</v>
      </c>
      <c r="AL31" s="657" t="e">
        <f t="array" ref="AL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22]))</f>
        <v>#VALUE!</v>
      </c>
      <c r="AM31" s="657" t="e">
        <f t="array" ref="AM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23]))</f>
        <v>#VALUE!</v>
      </c>
      <c r="AN31" s="657" t="e">
        <f t="array" ref="AN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24]))</f>
        <v>#VALUE!</v>
      </c>
      <c r="AO31" s="657" t="e">
        <f t="array" ref="AO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25]))</f>
        <v>#VALUE!</v>
      </c>
      <c r="AP31" s="657" t="e">
        <f t="array" ref="AP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26]))</f>
        <v>#VALUE!</v>
      </c>
      <c r="AQ31" s="657" t="e">
        <f t="array" ref="AQ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27]))</f>
        <v>#VALUE!</v>
      </c>
      <c r="AR31" s="657" t="e">
        <f t="array" ref="AR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28]))</f>
        <v>#VALUE!</v>
      </c>
      <c r="AS31" s="657" t="e">
        <f t="array" ref="AS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29]))</f>
        <v>#VALUE!</v>
      </c>
      <c r="AT31" s="657" t="e">
        <f t="array" ref="AT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30]))</f>
        <v>#VALUE!</v>
      </c>
      <c r="AU31" s="657" t="e">
        <f t="array" ref="AU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31]))</f>
        <v>#VALUE!</v>
      </c>
      <c r="AV31" s="657" t="e">
        <f t="array" ref="AV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32]))</f>
        <v>#VALUE!</v>
      </c>
      <c r="AW31" s="657" t="e">
        <f t="array" ref="AW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33]))</f>
        <v>#VALUE!</v>
      </c>
      <c r="AX31" s="657" t="e">
        <f t="array" ref="AX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34]))</f>
        <v>#VALUE!</v>
      </c>
      <c r="AY31" s="657" t="e">
        <f t="array" ref="AY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35]))</f>
        <v>#VALUE!</v>
      </c>
      <c r="AZ31" s="657" t="e">
        <f t="array" ref="AZ31">IF($L31="","",SUMPRODUCT(IF($F$5="Y",1*(ActualsTable[Company]=IF($F31="",$F$6,$F31)),1+0*ISBLANK(ActualsTable[Company])),IF($G$5="Y",1*(ActualsTable[Business Unit]=IF($G31="",$G$6,$G31)),1+0*ISBLANK(ActualsTable[Business Unit])),IF($H$5="Y",1*(ActualsTable[Department]=IF($H31="",$H$6,$H31)),1+0*ISBLANK(ActualsTable[Department])),IF($I$5="Y",1*(ActualsTable[Team]=IF($P31="",$P$6,$P31)),1+0*ISBLANK(ActualsTable[Team])),IF($J$5="Y",1*(ActualsTable[Product]=IF($J31="",$J$6,$J31)),1+0*ISBLANK(ActualsTable[Product])),IF($K$5="Y",1*(ActualsTable[Location]=IF($K31="",$K$6,$K31)),1+0*ISBLANK(ActualsTable[Location])),1*(ActualsTable[Expense Item]=$L31),ActualsTable[Month 36]))</f>
        <v>#VALUE!</v>
      </c>
      <c r="BA31" s="257"/>
      <c r="BB31" s="654">
        <f t="array" ref="BB31">IF(OR($L31="",IsHidden(BB31)),"",CHOOSE($B31,N($E31)*BB$5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L$186:L$286)*N($E31),BB$6*N($E31),N($E31),0)+N(BB94))</f>
        <v>0</v>
      </c>
      <c r="BC31" s="654">
        <f t="array" ref="BC31">IF(OR($L31="",IsHidden(BC31)),"",CHOOSE($B31,N($E31)*BC$5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M$186:M$286)*N($E31),BC$6*N($E31),N($E31),0)+N(BC94))</f>
        <v>0</v>
      </c>
      <c r="BD31" s="654">
        <f t="array" ref="BD31">IF(OR($L31="",IsHidden(BD31)),"",CHOOSE($B31,N($E31)*BD$5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N$186:N$286)*N($E31),BD$6*N($E31),N($E31),0)+N(BD94))</f>
        <v>0</v>
      </c>
      <c r="BE31" s="654">
        <f t="array" ref="BE31">IF(OR($L31="",IsHidden(BE31)),"",CHOOSE($B31,N($E31)*BE$5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O$186:O$286)*N($E31),BE$6*N($E31),N($E31),0)+N(BE94))</f>
        <v>0</v>
      </c>
      <c r="BF31" s="654">
        <f t="array" ref="BF31">IF(OR($L31="",IsHidden(BF31)),"",CHOOSE($B31,N($E31)*BF$5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P$186:P$286)*N($E31),BF$6*N($E31),N($E31),0)+N(BF94))</f>
        <v>0</v>
      </c>
      <c r="BG31" s="654">
        <f t="array" ref="BG31">IF(OR($L31="",IsHidden(BG31)),"",CHOOSE($B31,N($E31)*BG$5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Q$186:Q$286)*N($E31),BG$6*N($E31),N($E31),0)+N(BG94))</f>
        <v>0</v>
      </c>
      <c r="BH31" s="654">
        <f t="array" ref="BH31">IF(OR($L31="",IsHidden(BH31)),"",CHOOSE($B31,N($E31)*BH$5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R$186:R$286)*N($E31),BH$6*N($E31),N($E31),0)+N(BH94))</f>
        <v>0</v>
      </c>
      <c r="BI31" s="654">
        <f t="array" ref="BI31">IF(OR($L31="",IsHidden(BI31)),"",CHOOSE($B31,N($E31)*BI$5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S$186:S$286)*N($E31),BI$6*N($E31),N($E31),0)+N(BI94))</f>
        <v>0</v>
      </c>
      <c r="BJ31" s="654">
        <f t="array" ref="BJ31">IF(OR($L31="",IsHidden(BJ31)),"",CHOOSE($B31,N($E31)*BJ$5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T$186:T$286)*N($E31),BJ$6*N($E31),N($E31),0)+N(BJ94))</f>
        <v>0</v>
      </c>
      <c r="BK31" s="654">
        <f t="array" ref="BK31">IF(OR($L31="",IsHidden(BK31)),"",CHOOSE($B31,N($E31)*BK$5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U$186:U$286)*N($E31),BK$6*N($E31),N($E31),0)+N(BK94))</f>
        <v>0</v>
      </c>
      <c r="BL31" s="654">
        <f t="array" ref="BL31">IF(OR($L31="",IsHidden(BL31)),"",CHOOSE($B31,N($E31)*BL$5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V$186:V$286)*N($E31),BL$6*N($E31),N($E31),0)+N(BL94))</f>
        <v>0</v>
      </c>
      <c r="BM31" s="654">
        <f t="array" ref="BM31">IF(OR($L31="",IsHidden(BM31)),"",CHOOSE($B31,N($E31)*BM$5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W$186:W$286)*N($E31),BM$6*N($E31),N($E31),0)+N(BM94))</f>
        <v>0</v>
      </c>
      <c r="BN31" s="654">
        <f t="array" ref="BN31">IF(OR($L31="",IsHidden(BN31)),"",CHOOSE($B31,N($E31)*BN$5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X$186:X$286)*N($E31),BN$6*N($E31),N($E31),0)+N(BN94))</f>
        <v>0</v>
      </c>
      <c r="BO31" s="654">
        <f t="array" ref="BO31">IF(OR($L31="",IsHidden(BO31)),"",CHOOSE($B31,N($E31)*BO$5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Y$186:Y$286)*N($E31),BO$6*N($E31),N($E31),0)+N(BO94))</f>
        <v>0</v>
      </c>
      <c r="BP31" s="654">
        <f t="array" ref="BP31">IF(OR($L31="",IsHidden(BP31)),"",CHOOSE($B31,N($E31)*BP$5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Z$186:Z$286)*N($E31),BP$6*N($E31),N($E31),0)+N(BP94))</f>
        <v>0</v>
      </c>
      <c r="BQ31" s="654">
        <f t="array" ref="BQ31">IF(OR($L31="",IsHidden(BQ31)),"",CHOOSE($B31,N($E31)*BQ$5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A$186:AA$286)*N($E31),BQ$6*N($E31),N($E31),0)+N(BQ94))</f>
        <v>0</v>
      </c>
      <c r="BR31" s="654">
        <f t="array" ref="BR31">IF(OR($L31="",IsHidden(BR31)),"",CHOOSE($B31,N($E31)*BR$5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B$186:AB$286)*N($E31),BR$6*N($E31),N($E31),0)+N(BR94))</f>
        <v>0</v>
      </c>
      <c r="BS31" s="654">
        <f t="array" ref="BS31">IF(OR($L31="",IsHidden(BS31)),"",CHOOSE($B31,N($E31)*BS$5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C$186:AC$286)*N($E31),BS$6*N($E31),N($E31),0)+N(BS94))</f>
        <v>0</v>
      </c>
      <c r="BT31" s="654">
        <f t="array" ref="BT31">IF(OR($L31="",IsHidden(BT31)),"",CHOOSE($B31,N($E31)*BT$5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D$186:AD$286)*N($E31),BT$6*N($E31),N($E31),0)+N(BT94))</f>
        <v>0</v>
      </c>
      <c r="BU31" s="654">
        <f t="array" ref="BU31">IF(OR($L31="",IsHidden(BU31)),"",CHOOSE($B31,N($E31)*BU$5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E$186:AE$286)*N($E31),BU$6*N($E31),N($E31),0)+N(BU94))</f>
        <v>0</v>
      </c>
      <c r="BV31" s="654">
        <f t="array" ref="BV31">IF(OR($L31="",IsHidden(BV31)),"",CHOOSE($B31,N($E31)*BV$5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F$186:AF$286)*N($E31),BV$6*N($E31),N($E31),0)+N(BV94))</f>
        <v>0</v>
      </c>
      <c r="BW31" s="654">
        <f t="array" ref="BW31">IF(OR($L31="",IsHidden(BW31)),"",CHOOSE($B31,N($E31)*BW$5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G$186:AG$286)*N($E31),BW$6*N($E31),N($E31),0)+N(BW94))</f>
        <v>0</v>
      </c>
      <c r="BX31" s="654">
        <f t="array" ref="BX31">IF(OR($L31="",IsHidden(BX31)),"",CHOOSE($B31,N($E31)*BX$5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H$186:AH$286)*N($E31),BX$6*N($E31),N($E31),0)+N(BX94))</f>
        <v>0</v>
      </c>
      <c r="BY31" s="654">
        <f t="array" ref="BY31">IF(OR($L31="",IsHidden(BY31)),"",CHOOSE($B31,N($E31)*BY$5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I$186:AI$286)*N($E31),BY$6*N($E31),N($E31),0)+N(BY94))</f>
        <v>0</v>
      </c>
      <c r="BZ31" s="654">
        <f t="array" ref="BZ31">IF(OR($L31="",IsHidden(BZ31)),"",CHOOSE($B31,N($E31)*BZ$5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J$186:AJ$286)*N($E31),BZ$6*N($E31),N($E31),0)+N(BZ94))</f>
        <v>0</v>
      </c>
      <c r="CA31" s="654">
        <f t="array" ref="CA31">IF(OR($L31="",IsHidden(CA31)),"",CHOOSE($B31,N($E31)*CA$5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K$186:AK$286)*N($E31),CA$6*N($E31),N($E31),0)+N(CA94))</f>
        <v>0</v>
      </c>
      <c r="CB31" s="654">
        <f t="array" ref="CB31">IF(OR($L31="",IsHidden(CB31)),"",CHOOSE($B31,N($E31)*CB$5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L$186:AL$286)*N($E31),CB$6*N($E31),N($E31),0)+N(CB94))</f>
        <v>0</v>
      </c>
      <c r="CC31" s="654">
        <f t="array" ref="CC31">IF(OR($L31="",IsHidden(CC31)),"",CHOOSE($B31,N($E31)*CC$5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M$186:AM$286)*N($E31),CC$6*N($E31),N($E31),0)+N(CC94))</f>
        <v>0</v>
      </c>
      <c r="CD31" s="654">
        <f t="array" ref="CD31">IF(OR($L31="",IsHidden(CD31)),"",CHOOSE($B31,N($E31)*CD$5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N$186:AN$286)*N($E31),CD$6*N($E31),N($E31),0)+N(CD94))</f>
        <v>0</v>
      </c>
      <c r="CE31" s="654">
        <f t="array" ref="CE31">IF(OR($L31="",IsHidden(CE31)),"",CHOOSE($B31,N($E31)*CE$5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O$186:AO$286)*N($E31),CE$6*N($E31),N($E31),0)+N(CE94))</f>
        <v>0</v>
      </c>
      <c r="CF31" s="654">
        <f t="array" ref="CF31">IF(OR($L31="",IsHidden(CF31)),"",CHOOSE($B31,N($E31)*CF$5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P$186:AP$286)*N($E31),CF$6*N($E31),N($E31),0)+N(CF94))</f>
        <v>0</v>
      </c>
      <c r="CG31" s="654">
        <f t="array" ref="CG31">IF(OR($L31="",IsHidden(CG31)),"",CHOOSE($B31,N($E31)*CG$5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Q$186:AQ$286)*N($E31),CG$6*N($E31),N($E31),0)+N(CG94))</f>
        <v>0</v>
      </c>
      <c r="CH31" s="654">
        <f t="array" ref="CH31">IF(OR($L31="",IsHidden(CH31)),"",CHOOSE($B31,N($E31)*CH$5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R$186:AR$286)*N($E31),CH$6*N($E31),N($E31),0)+N(CH94))</f>
        <v>0</v>
      </c>
      <c r="CI31" s="654">
        <f t="array" ref="CI31">IF(OR($L31="",IsHidden(CI31)),"",CHOOSE($B31,N($E31)*CI$5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S$186:AS$286)*N($E31),CI$6*N($E31),N($E31),0)+N(CI94))</f>
        <v>0</v>
      </c>
      <c r="CJ31" s="654">
        <f t="array" ref="CJ31">IF(OR($L31="",IsHidden(CJ31)),"",CHOOSE($B31,N($E31)*CJ$5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T$186:AT$286)*N($E31),CJ$6*N($E31),N($E31),0)+N(CJ94))</f>
        <v>0</v>
      </c>
      <c r="CK31" s="654">
        <f t="array" ref="CK31">IF(OR($L31="",IsHidden(CK31)),"",CHOOSE($B31,N($E31)*CK$5,SUMPRODUCT(IF($F$5="Y",1*(Headcount!$B$186:$B$286=IF($F31="",$F$6,$F31)),1+0*ISBLANK(Headcount!$B$186:$B$286)),IF($G$5="Y",1*(Headcount!$C$186:$C$286=IF($G31="",$G$6,$G31)),1+0*ISBLANK(Headcount!$C$186:$C$286)),IF($H$5="Y",1*(Headcount!$D$186:$D$286=IF($H31="",$H$6,$H31)),1+0*ISBLANK(Headcount!$D$186:$D$286)),IF($I$5="Y",1*(Headcount!$E$186:$E$286=IF($I31="",$I$6,$I31)),1+0*ISBLANK(Headcount!$E$186:$E$286)),IF($J$5="Y",1*(Headcount!$F$186:$F$286=IF($J31="",$J$6,$J31)),1+0*ISBLANK(Headcount!$F$186:$F$286)),IF($K$5="Y",1*(Headcount!$G$186:$G$286=IF($K31="",$K$6,$K31)),1+0*ISBLANK(Headcount!$G$186:$G$286)),Headcount!AU$186:AU$286)*N($E31),CK$6*N($E31),N($E31),0)+N(CK94))</f>
        <v>0</v>
      </c>
      <c r="CN31" s="255" t="b">
        <f t="array" ref="CN31">IF($L31="",TRUE,IF(AND(OR($F31&lt;&gt;"",$F$6&lt;&gt;""),OR($G31&lt;&gt;"",$G$6&lt;&gt;""),OR($H31&lt;&gt;"",$H$6&lt;&gt;""),OR($I31&lt;&gt;"",$I$6&lt;&gt;""),OR($J31&lt;&gt;"",$J$6&lt;&gt;""),OR($K31&lt;&gt;"",$K$6&lt;&gt;""),NOT(ISERROR(BB31:CK31)),NOT(ISNA(MATCH(IF($H31="",$H$6,$H31)&amp;IF($G31="",$G$6,$G31),DeptBU,0)))),TRUE,FALSE))</f>
        <v>0</v>
      </c>
      <c r="CP31" s="255" t="str">
        <f t="shared" si="3"/>
        <v>SELECT ''Expenses'',''Expenses'',31,''USD'',NULL,''Forecast'','''','''','''','''','''','''',''Professional Fees'',NULL,NULL,''Manual'',NULL,0,0,0,0,0,0,0,0,0,0,0,0,0,0,0,0,0,0,0,0,0,0,0,0,0,0,0,0,0,0,0,0,0,0,0,0</v>
      </c>
    </row>
    <row r="32" spans="1:94" s="255" customFormat="1" x14ac:dyDescent="0.35">
      <c r="A32" s="566" t="s">
        <v>1151</v>
      </c>
      <c r="B32" s="261">
        <f t="shared" si="2"/>
        <v>5</v>
      </c>
      <c r="C32" s="566"/>
      <c r="D32" s="261" t="str">
        <f t="array" aca="1" ref="D32" ca="1">IF($B32&lt;5,AVERAGE(OFFSET($Q32,,Input_ActualsOffset-1,,-$C32)/CHOOSE($B32,OFFSET($Q$5,,Input_ActualsOffset-1,1,-$C32),ss($C32,OFFSET(Actuals!$A$1,1,MATCH("Month "&amp;Input_ActualsOffset,ActualsTable[#Headers],0)-1,ROWS(ActualsTable[#Data]),1),ActualsTable[Company],IF($F$5="Y",IF($F32="",$F$6,$F32),"*"),ActualsTable[Business Unit],IF($G$5="Y",IF($G32="",$G$6,$G32),"*"),ActualsTable[Department],IF($H$5="Y",IF($H32="",$H$6,$H32),"*"),ActualsTable[Team],IF($I$5="Y",IF($P32="",$P$6,$P32),"*"),ActualsTable[Product],IF($J$5="Y",IF($J32="",$J$6,$J32),"*"),ActualsTable[Location],IF($K$5="Y",IF($K32="",$K$6,$K32),"*"),ActualsTable[Expense Item],"Headcount"),OFFSET($Q$6,,Input_ActualsOffset-1,,-$C32),1)),"")</f>
        <v/>
      </c>
      <c r="E32" s="640"/>
      <c r="F32" s="555"/>
      <c r="G32" s="555"/>
      <c r="H32" s="555"/>
      <c r="I32" s="555"/>
      <c r="J32" s="555"/>
      <c r="K32" s="555"/>
      <c r="L32" s="555" t="s">
        <v>47</v>
      </c>
      <c r="M32" s="555"/>
      <c r="N32" s="555"/>
      <c r="O32" s="556" t="e">
        <f>IF($L32="","",IF(VLOOKUP(L32,ExpItems[],2,0),L32&amp;" - "&amp;INDEX(DivisionMapping[category_code],MATCH(IF(H32="",$H$6,H32)&amp;IF(G32="",$G$6,G32),DivisionMapping[dept_bu],0)),L32))</f>
        <v>#N/A</v>
      </c>
      <c r="P32" s="556" t="e">
        <f>IF($L32="","",INDEX(Teams[team_consolidation],MATCH(IF($I32="",$I$6,$I32),Teams[team_name],0)))</f>
        <v>#N/A</v>
      </c>
      <c r="Q32" s="657" t="e">
        <f t="array" ref="Q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f>
        <v>#VALUE!</v>
      </c>
      <c r="R32" s="657" t="e">
        <f t="array" ref="R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f>
        <v>#VALUE!</v>
      </c>
      <c r="S32" s="657" t="e">
        <f t="array" ref="S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f>
        <v>#VALUE!</v>
      </c>
      <c r="T32" s="657" t="e">
        <f t="array" ref="T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4]))</f>
        <v>#VALUE!</v>
      </c>
      <c r="U32" s="657" t="e">
        <f t="array" ref="U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5]))</f>
        <v>#VALUE!</v>
      </c>
      <c r="V32" s="657" t="e">
        <f t="array" ref="V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6]))</f>
        <v>#VALUE!</v>
      </c>
      <c r="W32" s="657" t="e">
        <f t="array" ref="W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7]))</f>
        <v>#VALUE!</v>
      </c>
      <c r="X32" s="657" t="e">
        <f t="array" ref="X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8]))</f>
        <v>#VALUE!</v>
      </c>
      <c r="Y32" s="657" t="e">
        <f t="array" ref="Y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9]))</f>
        <v>#VALUE!</v>
      </c>
      <c r="Z32" s="657" t="e">
        <f t="array" ref="Z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10]))</f>
        <v>#VALUE!</v>
      </c>
      <c r="AA32" s="657" t="e">
        <f t="array" ref="AA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11]))</f>
        <v>#VALUE!</v>
      </c>
      <c r="AB32" s="657" t="e">
        <f t="array" ref="AB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12]))</f>
        <v>#VALUE!</v>
      </c>
      <c r="AC32" s="657" t="e">
        <f t="array" ref="AC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13]))</f>
        <v>#VALUE!</v>
      </c>
      <c r="AD32" s="657" t="e">
        <f t="array" ref="AD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14]))</f>
        <v>#VALUE!</v>
      </c>
      <c r="AE32" s="657" t="e">
        <f t="array" ref="AE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15]))</f>
        <v>#VALUE!</v>
      </c>
      <c r="AF32" s="657" t="e">
        <f t="array" ref="AF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16]))</f>
        <v>#VALUE!</v>
      </c>
      <c r="AG32" s="657" t="e">
        <f t="array" ref="AG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17]))</f>
        <v>#VALUE!</v>
      </c>
      <c r="AH32" s="657" t="e">
        <f t="array" ref="AH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18]))</f>
        <v>#VALUE!</v>
      </c>
      <c r="AI32" s="657" t="e">
        <f t="array" ref="AI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19]))</f>
        <v>#VALUE!</v>
      </c>
      <c r="AJ32" s="657" t="e">
        <f t="array" ref="AJ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20]))</f>
        <v>#VALUE!</v>
      </c>
      <c r="AK32" s="657" t="e">
        <f t="array" ref="AK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21]))</f>
        <v>#VALUE!</v>
      </c>
      <c r="AL32" s="657" t="e">
        <f t="array" ref="AL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22]))</f>
        <v>#VALUE!</v>
      </c>
      <c r="AM32" s="657" t="e">
        <f t="array" ref="AM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23]))</f>
        <v>#VALUE!</v>
      </c>
      <c r="AN32" s="657" t="e">
        <f t="array" ref="AN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24]))</f>
        <v>#VALUE!</v>
      </c>
      <c r="AO32" s="657" t="e">
        <f t="array" ref="AO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25]))</f>
        <v>#VALUE!</v>
      </c>
      <c r="AP32" s="657" t="e">
        <f t="array" ref="AP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26]))</f>
        <v>#VALUE!</v>
      </c>
      <c r="AQ32" s="657" t="e">
        <f t="array" ref="AQ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27]))</f>
        <v>#VALUE!</v>
      </c>
      <c r="AR32" s="657" t="e">
        <f t="array" ref="AR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28]))</f>
        <v>#VALUE!</v>
      </c>
      <c r="AS32" s="657" t="e">
        <f t="array" ref="AS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29]))</f>
        <v>#VALUE!</v>
      </c>
      <c r="AT32" s="657" t="e">
        <f t="array" ref="AT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30]))</f>
        <v>#VALUE!</v>
      </c>
      <c r="AU32" s="657" t="e">
        <f t="array" ref="AU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31]))</f>
        <v>#VALUE!</v>
      </c>
      <c r="AV32" s="657" t="e">
        <f t="array" ref="AV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32]))</f>
        <v>#VALUE!</v>
      </c>
      <c r="AW32" s="657" t="e">
        <f t="array" ref="AW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33]))</f>
        <v>#VALUE!</v>
      </c>
      <c r="AX32" s="657" t="e">
        <f t="array" ref="AX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34]))</f>
        <v>#VALUE!</v>
      </c>
      <c r="AY32" s="657" t="e">
        <f t="array" ref="AY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35]))</f>
        <v>#VALUE!</v>
      </c>
      <c r="AZ32" s="657" t="e">
        <f t="array" ref="AZ32">IF($L32="","",SUMPRODUCT(IF($F$5="Y",1*(ActualsTable[Company]=IF($F32="",$F$6,$F32)),1+0*ISBLANK(ActualsTable[Company])),IF($G$5="Y",1*(ActualsTable[Business Unit]=IF($G32="",$G$6,$G32)),1+0*ISBLANK(ActualsTable[Business Unit])),IF($H$5="Y",1*(ActualsTable[Department]=IF($H32="",$H$6,$H32)),1+0*ISBLANK(ActualsTable[Department])),IF($I$5="Y",1*(ActualsTable[Team]=IF($P32="",$P$6,$P32)),1+0*ISBLANK(ActualsTable[Team])),IF($J$5="Y",1*(ActualsTable[Product]=IF($J32="",$J$6,$J32)),1+0*ISBLANK(ActualsTable[Product])),IF($K$5="Y",1*(ActualsTable[Location]=IF($K32="",$K$6,$K32)),1+0*ISBLANK(ActualsTable[Location])),1*(ActualsTable[Expense Item]=$L32),ActualsTable[Month 36]))</f>
        <v>#VALUE!</v>
      </c>
      <c r="BA32" s="257"/>
      <c r="BB32" s="654">
        <f t="array" ref="BB32">IF(OR($L32="",IsHidden(BB32)),"",CHOOSE($B32,N($E32)*BB$5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L$186:L$286)*N($E32),BB$6*N($E32),N($E32),0)+N(BB95))</f>
        <v>0</v>
      </c>
      <c r="BC32" s="654">
        <f t="array" ref="BC32">IF(OR($L32="",IsHidden(BC32)),"",CHOOSE($B32,N($E32)*BC$5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M$186:M$286)*N($E32),BC$6*N($E32),N($E32),0)+N(BC95))</f>
        <v>0</v>
      </c>
      <c r="BD32" s="654">
        <f t="array" ref="BD32">IF(OR($L32="",IsHidden(BD32)),"",CHOOSE($B32,N($E32)*BD$5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N$186:N$286)*N($E32),BD$6*N($E32),N($E32),0)+N(BD95))</f>
        <v>0</v>
      </c>
      <c r="BE32" s="654">
        <f t="array" ref="BE32">IF(OR($L32="",IsHidden(BE32)),"",CHOOSE($B32,N($E32)*BE$5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O$186:O$286)*N($E32),BE$6*N($E32),N($E32),0)+N(BE95))</f>
        <v>0</v>
      </c>
      <c r="BF32" s="654">
        <f t="array" ref="BF32">IF(OR($L32="",IsHidden(BF32)),"",CHOOSE($B32,N($E32)*BF$5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P$186:P$286)*N($E32),BF$6*N($E32),N($E32),0)+N(BF95))</f>
        <v>0</v>
      </c>
      <c r="BG32" s="654">
        <f t="array" ref="BG32">IF(OR($L32="",IsHidden(BG32)),"",CHOOSE($B32,N($E32)*BG$5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Q$186:Q$286)*N($E32),BG$6*N($E32),N($E32),0)+N(BG95))</f>
        <v>0</v>
      </c>
      <c r="BH32" s="654">
        <f t="array" ref="BH32">IF(OR($L32="",IsHidden(BH32)),"",CHOOSE($B32,N($E32)*BH$5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R$186:R$286)*N($E32),BH$6*N($E32),N($E32),0)+N(BH95))</f>
        <v>0</v>
      </c>
      <c r="BI32" s="654">
        <f t="array" ref="BI32">IF(OR($L32="",IsHidden(BI32)),"",CHOOSE($B32,N($E32)*BI$5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S$186:S$286)*N($E32),BI$6*N($E32),N($E32),0)+N(BI95))</f>
        <v>0</v>
      </c>
      <c r="BJ32" s="654">
        <f t="array" ref="BJ32">IF(OR($L32="",IsHidden(BJ32)),"",CHOOSE($B32,N($E32)*BJ$5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T$186:T$286)*N($E32),BJ$6*N($E32),N($E32),0)+N(BJ95))</f>
        <v>0</v>
      </c>
      <c r="BK32" s="654">
        <f t="array" ref="BK32">IF(OR($L32="",IsHidden(BK32)),"",CHOOSE($B32,N($E32)*BK$5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U$186:U$286)*N($E32),BK$6*N($E32),N($E32),0)+N(BK95))</f>
        <v>0</v>
      </c>
      <c r="BL32" s="654">
        <f t="array" ref="BL32">IF(OR($L32="",IsHidden(BL32)),"",CHOOSE($B32,N($E32)*BL$5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V$186:V$286)*N($E32),BL$6*N($E32),N($E32),0)+N(BL95))</f>
        <v>0</v>
      </c>
      <c r="BM32" s="654">
        <f t="array" ref="BM32">IF(OR($L32="",IsHidden(BM32)),"",CHOOSE($B32,N($E32)*BM$5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W$186:W$286)*N($E32),BM$6*N($E32),N($E32),0)+N(BM95))</f>
        <v>0</v>
      </c>
      <c r="BN32" s="654">
        <f t="array" ref="BN32">IF(OR($L32="",IsHidden(BN32)),"",CHOOSE($B32,N($E32)*BN$5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X$186:X$286)*N($E32),BN$6*N($E32),N($E32),0)+N(BN95))</f>
        <v>0</v>
      </c>
      <c r="BO32" s="654">
        <f t="array" ref="BO32">IF(OR($L32="",IsHidden(BO32)),"",CHOOSE($B32,N($E32)*BO$5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Y$186:Y$286)*N($E32),BO$6*N($E32),N($E32),0)+N(BO95))</f>
        <v>0</v>
      </c>
      <c r="BP32" s="654">
        <f t="array" ref="BP32">IF(OR($L32="",IsHidden(BP32)),"",CHOOSE($B32,N($E32)*BP$5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Z$186:Z$286)*N($E32),BP$6*N($E32),N($E32),0)+N(BP95))</f>
        <v>0</v>
      </c>
      <c r="BQ32" s="654">
        <f t="array" ref="BQ32">IF(OR($L32="",IsHidden(BQ32)),"",CHOOSE($B32,N($E32)*BQ$5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A$186:AA$286)*N($E32),BQ$6*N($E32),N($E32),0)+N(BQ95))</f>
        <v>0</v>
      </c>
      <c r="BR32" s="654">
        <f t="array" ref="BR32">IF(OR($L32="",IsHidden(BR32)),"",CHOOSE($B32,N($E32)*BR$5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B$186:AB$286)*N($E32),BR$6*N($E32),N($E32),0)+N(BR95))</f>
        <v>0</v>
      </c>
      <c r="BS32" s="654">
        <f t="array" ref="BS32">IF(OR($L32="",IsHidden(BS32)),"",CHOOSE($B32,N($E32)*BS$5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C$186:AC$286)*N($E32),BS$6*N($E32),N($E32),0)+N(BS95))</f>
        <v>0</v>
      </c>
      <c r="BT32" s="654">
        <f t="array" ref="BT32">IF(OR($L32="",IsHidden(BT32)),"",CHOOSE($B32,N($E32)*BT$5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D$186:AD$286)*N($E32),BT$6*N($E32),N($E32),0)+N(BT95))</f>
        <v>0</v>
      </c>
      <c r="BU32" s="654">
        <f t="array" ref="BU32">IF(OR($L32="",IsHidden(BU32)),"",CHOOSE($B32,N($E32)*BU$5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E$186:AE$286)*N($E32),BU$6*N($E32),N($E32),0)+N(BU95))</f>
        <v>0</v>
      </c>
      <c r="BV32" s="654">
        <f t="array" ref="BV32">IF(OR($L32="",IsHidden(BV32)),"",CHOOSE($B32,N($E32)*BV$5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F$186:AF$286)*N($E32),BV$6*N($E32),N($E32),0)+N(BV95))</f>
        <v>0</v>
      </c>
      <c r="BW32" s="654">
        <f t="array" ref="BW32">IF(OR($L32="",IsHidden(BW32)),"",CHOOSE($B32,N($E32)*BW$5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G$186:AG$286)*N($E32),BW$6*N($E32),N($E32),0)+N(BW95))</f>
        <v>0</v>
      </c>
      <c r="BX32" s="654">
        <f t="array" ref="BX32">IF(OR($L32="",IsHidden(BX32)),"",CHOOSE($B32,N($E32)*BX$5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H$186:AH$286)*N($E32),BX$6*N($E32),N($E32),0)+N(BX95))</f>
        <v>0</v>
      </c>
      <c r="BY32" s="654">
        <f t="array" ref="BY32">IF(OR($L32="",IsHidden(BY32)),"",CHOOSE($B32,N($E32)*BY$5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I$186:AI$286)*N($E32),BY$6*N($E32),N($E32),0)+N(BY95))</f>
        <v>0</v>
      </c>
      <c r="BZ32" s="654">
        <f t="array" ref="BZ32">IF(OR($L32="",IsHidden(BZ32)),"",CHOOSE($B32,N($E32)*BZ$5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J$186:AJ$286)*N($E32),BZ$6*N($E32),N($E32),0)+N(BZ95))</f>
        <v>0</v>
      </c>
      <c r="CA32" s="654">
        <f t="array" ref="CA32">IF(OR($L32="",IsHidden(CA32)),"",CHOOSE($B32,N($E32)*CA$5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K$186:AK$286)*N($E32),CA$6*N($E32),N($E32),0)+N(CA95))</f>
        <v>0</v>
      </c>
      <c r="CB32" s="654">
        <f t="array" ref="CB32">IF(OR($L32="",IsHidden(CB32)),"",CHOOSE($B32,N($E32)*CB$5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L$186:AL$286)*N($E32),CB$6*N($E32),N($E32),0)+N(CB95))</f>
        <v>0</v>
      </c>
      <c r="CC32" s="654">
        <f t="array" ref="CC32">IF(OR($L32="",IsHidden(CC32)),"",CHOOSE($B32,N($E32)*CC$5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M$186:AM$286)*N($E32),CC$6*N($E32),N($E32),0)+N(CC95))</f>
        <v>0</v>
      </c>
      <c r="CD32" s="654">
        <f t="array" ref="CD32">IF(OR($L32="",IsHidden(CD32)),"",CHOOSE($B32,N($E32)*CD$5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N$186:AN$286)*N($E32),CD$6*N($E32),N($E32),0)+N(CD95))</f>
        <v>0</v>
      </c>
      <c r="CE32" s="654">
        <f t="array" ref="CE32">IF(OR($L32="",IsHidden(CE32)),"",CHOOSE($B32,N($E32)*CE$5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O$186:AO$286)*N($E32),CE$6*N($E32),N($E32),0)+N(CE95))</f>
        <v>0</v>
      </c>
      <c r="CF32" s="654">
        <f t="array" ref="CF32">IF(OR($L32="",IsHidden(CF32)),"",CHOOSE($B32,N($E32)*CF$5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P$186:AP$286)*N($E32),CF$6*N($E32),N($E32),0)+N(CF95))</f>
        <v>0</v>
      </c>
      <c r="CG32" s="654">
        <f t="array" ref="CG32">IF(OR($L32="",IsHidden(CG32)),"",CHOOSE($B32,N($E32)*CG$5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Q$186:AQ$286)*N($E32),CG$6*N($E32),N($E32),0)+N(CG95))</f>
        <v>0</v>
      </c>
      <c r="CH32" s="654">
        <f t="array" ref="CH32">IF(OR($L32="",IsHidden(CH32)),"",CHOOSE($B32,N($E32)*CH$5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R$186:AR$286)*N($E32),CH$6*N($E32),N($E32),0)+N(CH95))</f>
        <v>0</v>
      </c>
      <c r="CI32" s="654">
        <f t="array" ref="CI32">IF(OR($L32="",IsHidden(CI32)),"",CHOOSE($B32,N($E32)*CI$5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S$186:AS$286)*N($E32),CI$6*N($E32),N($E32),0)+N(CI95))</f>
        <v>0</v>
      </c>
      <c r="CJ32" s="654">
        <f t="array" ref="CJ32">IF(OR($L32="",IsHidden(CJ32)),"",CHOOSE($B32,N($E32)*CJ$5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T$186:AT$286)*N($E32),CJ$6*N($E32),N($E32),0)+N(CJ95))</f>
        <v>0</v>
      </c>
      <c r="CK32" s="654">
        <f t="array" ref="CK32">IF(OR($L32="",IsHidden(CK32)),"",CHOOSE($B32,N($E32)*CK$5,SUMPRODUCT(IF($F$5="Y",1*(Headcount!$B$186:$B$286=IF($F32="",$F$6,$F32)),1+0*ISBLANK(Headcount!$B$186:$B$286)),IF($G$5="Y",1*(Headcount!$C$186:$C$286=IF($G32="",$G$6,$G32)),1+0*ISBLANK(Headcount!$C$186:$C$286)),IF($H$5="Y",1*(Headcount!$D$186:$D$286=IF($H32="",$H$6,$H32)),1+0*ISBLANK(Headcount!$D$186:$D$286)),IF($I$5="Y",1*(Headcount!$E$186:$E$286=IF($I32="",$I$6,$I32)),1+0*ISBLANK(Headcount!$E$186:$E$286)),IF($J$5="Y",1*(Headcount!$F$186:$F$286=IF($J32="",$J$6,$J32)),1+0*ISBLANK(Headcount!$F$186:$F$286)),IF($K$5="Y",1*(Headcount!$G$186:$G$286=IF($K32="",$K$6,$K32)),1+0*ISBLANK(Headcount!$G$186:$G$286)),Headcount!AU$186:AU$286)*N($E32),CK$6*N($E32),N($E32),0)+N(CK95))</f>
        <v>0</v>
      </c>
      <c r="CN32" s="255" t="b">
        <f t="array" ref="CN32">IF($L32="",TRUE,IF(AND(OR($F32&lt;&gt;"",$F$6&lt;&gt;""),OR($G32&lt;&gt;"",$G$6&lt;&gt;""),OR($H32&lt;&gt;"",$H$6&lt;&gt;""),OR($I32&lt;&gt;"",$I$6&lt;&gt;""),OR($J32&lt;&gt;"",$J$6&lt;&gt;""),OR($K32&lt;&gt;"",$K$6&lt;&gt;""),NOT(ISERROR(BB32:CK32)),NOT(ISNA(MATCH(IF($H32="",$H$6,$H32)&amp;IF($G32="",$G$6,$G32),DeptBU,0)))),TRUE,FALSE))</f>
        <v>0</v>
      </c>
      <c r="CP32" s="255" t="str">
        <f t="shared" si="3"/>
        <v>SELECT ''Expenses'',''Expenses'',32,''USD'',NULL,''Forecast'','''','''','''','''','''','''',''Other'',NULL,NULL,''Manual'',NULL,0,0,0,0,0,0,0,0,0,0,0,0,0,0,0,0,0,0,0,0,0,0,0,0,0,0,0,0,0,0,0,0,0,0,0,0</v>
      </c>
    </row>
    <row r="33" spans="1:94" s="255" customFormat="1" x14ac:dyDescent="0.35">
      <c r="A33" s="566" t="s">
        <v>1151</v>
      </c>
      <c r="B33" s="261">
        <f t="shared" si="2"/>
        <v>5</v>
      </c>
      <c r="C33" s="566"/>
      <c r="D33" s="261" t="str">
        <f t="array" aca="1" ref="D33" ca="1">IF($B33&lt;5,AVERAGE(OFFSET($Q33,,Input_ActualsOffset-1,,-$C33)/CHOOSE($B33,OFFSET($Q$5,,Input_ActualsOffset-1,1,-$C33),ss($C33,OFFSET(Actuals!$A$1,1,MATCH("Month "&amp;Input_ActualsOffset,ActualsTable[#Headers],0)-1,ROWS(ActualsTable[#Data]),1),ActualsTable[Company],IF($F$5="Y",IF($F33="",$F$6,$F33),"*"),ActualsTable[Business Unit],IF($G$5="Y",IF($G33="",$G$6,$G33),"*"),ActualsTable[Department],IF($H$5="Y",IF($H33="",$H$6,$H33),"*"),ActualsTable[Team],IF($I$5="Y",IF($P33="",$P$6,$P33),"*"),ActualsTable[Product],IF($J$5="Y",IF($J33="",$J$6,$J33),"*"),ActualsTable[Location],IF($K$5="Y",IF($K33="",$K$6,$K33),"*"),ActualsTable[Expense Item],"Headcount"),OFFSET($Q$6,,Input_ActualsOffset-1,,-$C33),1)),"")</f>
        <v/>
      </c>
      <c r="E33" s="640"/>
      <c r="F33" s="555"/>
      <c r="G33" s="555"/>
      <c r="H33" s="555"/>
      <c r="I33" s="555"/>
      <c r="J33" s="555"/>
      <c r="K33" s="555"/>
      <c r="L33" s="555" t="s">
        <v>51</v>
      </c>
      <c r="M33" s="555"/>
      <c r="N33" s="555"/>
      <c r="O33" s="556" t="e">
        <f>IF($L33="","",IF(VLOOKUP(L33,ExpItems[],2,0),L33&amp;" - "&amp;INDEX(DivisionMapping[category_code],MATCH(IF(H33="",$H$6,H33)&amp;IF(G33="",$G$6,G33),DivisionMapping[dept_bu],0)),L33))</f>
        <v>#N/A</v>
      </c>
      <c r="P33" s="556" t="e">
        <f>IF($L33="","",INDEX(Teams[team_consolidation],MATCH(IF($I33="",$I$6,$I33),Teams[team_name],0)))</f>
        <v>#N/A</v>
      </c>
      <c r="Q33" s="657" t="e">
        <f t="array" ref="Q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f>
        <v>#VALUE!</v>
      </c>
      <c r="R33" s="657" t="e">
        <f t="array" ref="R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f>
        <v>#VALUE!</v>
      </c>
      <c r="S33" s="657" t="e">
        <f t="array" ref="S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f>
        <v>#VALUE!</v>
      </c>
      <c r="T33" s="657" t="e">
        <f t="array" ref="T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4]))</f>
        <v>#VALUE!</v>
      </c>
      <c r="U33" s="657" t="e">
        <f t="array" ref="U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5]))</f>
        <v>#VALUE!</v>
      </c>
      <c r="V33" s="657" t="e">
        <f t="array" ref="V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6]))</f>
        <v>#VALUE!</v>
      </c>
      <c r="W33" s="657" t="e">
        <f t="array" ref="W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7]))</f>
        <v>#VALUE!</v>
      </c>
      <c r="X33" s="657" t="e">
        <f t="array" ref="X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8]))</f>
        <v>#VALUE!</v>
      </c>
      <c r="Y33" s="657" t="e">
        <f t="array" ref="Y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9]))</f>
        <v>#VALUE!</v>
      </c>
      <c r="Z33" s="657" t="e">
        <f t="array" ref="Z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10]))</f>
        <v>#VALUE!</v>
      </c>
      <c r="AA33" s="657" t="e">
        <f t="array" ref="AA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11]))</f>
        <v>#VALUE!</v>
      </c>
      <c r="AB33" s="657" t="e">
        <f t="array" ref="AB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12]))</f>
        <v>#VALUE!</v>
      </c>
      <c r="AC33" s="657" t="e">
        <f t="array" ref="AC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13]))</f>
        <v>#VALUE!</v>
      </c>
      <c r="AD33" s="657" t="e">
        <f t="array" ref="AD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14]))</f>
        <v>#VALUE!</v>
      </c>
      <c r="AE33" s="657" t="e">
        <f t="array" ref="AE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15]))</f>
        <v>#VALUE!</v>
      </c>
      <c r="AF33" s="657" t="e">
        <f t="array" ref="AF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16]))</f>
        <v>#VALUE!</v>
      </c>
      <c r="AG33" s="657" t="e">
        <f t="array" ref="AG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17]))</f>
        <v>#VALUE!</v>
      </c>
      <c r="AH33" s="657" t="e">
        <f t="array" ref="AH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18]))</f>
        <v>#VALUE!</v>
      </c>
      <c r="AI33" s="657" t="e">
        <f t="array" ref="AI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19]))</f>
        <v>#VALUE!</v>
      </c>
      <c r="AJ33" s="657" t="e">
        <f t="array" ref="AJ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20]))</f>
        <v>#VALUE!</v>
      </c>
      <c r="AK33" s="657" t="e">
        <f t="array" ref="AK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21]))</f>
        <v>#VALUE!</v>
      </c>
      <c r="AL33" s="657" t="e">
        <f t="array" ref="AL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22]))</f>
        <v>#VALUE!</v>
      </c>
      <c r="AM33" s="657" t="e">
        <f t="array" ref="AM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23]))</f>
        <v>#VALUE!</v>
      </c>
      <c r="AN33" s="657" t="e">
        <f t="array" ref="AN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24]))</f>
        <v>#VALUE!</v>
      </c>
      <c r="AO33" s="657" t="e">
        <f t="array" ref="AO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25]))</f>
        <v>#VALUE!</v>
      </c>
      <c r="AP33" s="657" t="e">
        <f t="array" ref="AP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26]))</f>
        <v>#VALUE!</v>
      </c>
      <c r="AQ33" s="657" t="e">
        <f t="array" ref="AQ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27]))</f>
        <v>#VALUE!</v>
      </c>
      <c r="AR33" s="657" t="e">
        <f t="array" ref="AR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28]))</f>
        <v>#VALUE!</v>
      </c>
      <c r="AS33" s="657" t="e">
        <f t="array" ref="AS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29]))</f>
        <v>#VALUE!</v>
      </c>
      <c r="AT33" s="657" t="e">
        <f t="array" ref="AT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30]))</f>
        <v>#VALUE!</v>
      </c>
      <c r="AU33" s="657" t="e">
        <f t="array" ref="AU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31]))</f>
        <v>#VALUE!</v>
      </c>
      <c r="AV33" s="657" t="e">
        <f t="array" ref="AV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32]))</f>
        <v>#VALUE!</v>
      </c>
      <c r="AW33" s="657" t="e">
        <f t="array" ref="AW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33]))</f>
        <v>#VALUE!</v>
      </c>
      <c r="AX33" s="657" t="e">
        <f t="array" ref="AX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34]))</f>
        <v>#VALUE!</v>
      </c>
      <c r="AY33" s="657" t="e">
        <f t="array" ref="AY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35]))</f>
        <v>#VALUE!</v>
      </c>
      <c r="AZ33" s="657" t="e">
        <f t="array" ref="AZ33">IF($L33="","",SUMPRODUCT(IF($F$5="Y",1*(ActualsTable[Company]=IF($F33="",$F$6,$F33)),1+0*ISBLANK(ActualsTable[Company])),IF($G$5="Y",1*(ActualsTable[Business Unit]=IF($G33="",$G$6,$G33)),1+0*ISBLANK(ActualsTable[Business Unit])),IF($H$5="Y",1*(ActualsTable[Department]=IF($H33="",$H$6,$H33)),1+0*ISBLANK(ActualsTable[Department])),IF($I$5="Y",1*(ActualsTable[Team]=IF($P33="",$P$6,$P33)),1+0*ISBLANK(ActualsTable[Team])),IF($J$5="Y",1*(ActualsTable[Product]=IF($J33="",$J$6,$J33)),1+0*ISBLANK(ActualsTable[Product])),IF($K$5="Y",1*(ActualsTable[Location]=IF($K33="",$K$6,$K33)),1+0*ISBLANK(ActualsTable[Location])),1*(ActualsTable[Expense Item]=$L33),ActualsTable[Month 36]))</f>
        <v>#VALUE!</v>
      </c>
      <c r="BA33" s="257"/>
      <c r="BB33" s="654">
        <f t="array" ref="BB33">IF(OR($L33="",IsHidden(BB33)),"",CHOOSE($B33,N($E33)*BB$5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L$186:L$286)*N($E33),BB$6*N($E33),N($E33),0)+N(BB96))</f>
        <v>0</v>
      </c>
      <c r="BC33" s="654">
        <f t="array" ref="BC33">IF(OR($L33="",IsHidden(BC33)),"",CHOOSE($B33,N($E33)*BC$5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M$186:M$286)*N($E33),BC$6*N($E33),N($E33),0)+N(BC96))</f>
        <v>0</v>
      </c>
      <c r="BD33" s="654">
        <f t="array" ref="BD33">IF(OR($L33="",IsHidden(BD33)),"",CHOOSE($B33,N($E33)*BD$5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N$186:N$286)*N($E33),BD$6*N($E33),N($E33),0)+N(BD96))</f>
        <v>0</v>
      </c>
      <c r="BE33" s="654">
        <f t="array" ref="BE33">IF(OR($L33="",IsHidden(BE33)),"",CHOOSE($B33,N($E33)*BE$5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O$186:O$286)*N($E33),BE$6*N($E33),N($E33),0)+N(BE96))</f>
        <v>0</v>
      </c>
      <c r="BF33" s="654">
        <f t="array" ref="BF33">IF(OR($L33="",IsHidden(BF33)),"",CHOOSE($B33,N($E33)*BF$5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P$186:P$286)*N($E33),BF$6*N($E33),N($E33),0)+N(BF96))</f>
        <v>0</v>
      </c>
      <c r="BG33" s="654">
        <f t="array" ref="BG33">IF(OR($L33="",IsHidden(BG33)),"",CHOOSE($B33,N($E33)*BG$5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Q$186:Q$286)*N($E33),BG$6*N($E33),N($E33),0)+N(BG96))</f>
        <v>0</v>
      </c>
      <c r="BH33" s="654">
        <f t="array" ref="BH33">IF(OR($L33="",IsHidden(BH33)),"",CHOOSE($B33,N($E33)*BH$5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R$186:R$286)*N($E33),BH$6*N($E33),N($E33),0)+N(BH96))</f>
        <v>0</v>
      </c>
      <c r="BI33" s="654">
        <f t="array" ref="BI33">IF(OR($L33="",IsHidden(BI33)),"",CHOOSE($B33,N($E33)*BI$5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S$186:S$286)*N($E33),BI$6*N($E33),N($E33),0)+N(BI96))</f>
        <v>0</v>
      </c>
      <c r="BJ33" s="654">
        <f t="array" ref="BJ33">IF(OR($L33="",IsHidden(BJ33)),"",CHOOSE($B33,N($E33)*BJ$5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T$186:T$286)*N($E33),BJ$6*N($E33),N($E33),0)+N(BJ96))</f>
        <v>0</v>
      </c>
      <c r="BK33" s="654">
        <f t="array" ref="BK33">IF(OR($L33="",IsHidden(BK33)),"",CHOOSE($B33,N($E33)*BK$5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U$186:U$286)*N($E33),BK$6*N($E33),N($E33),0)+N(BK96))</f>
        <v>0</v>
      </c>
      <c r="BL33" s="654">
        <f t="array" ref="BL33">IF(OR($L33="",IsHidden(BL33)),"",CHOOSE($B33,N($E33)*BL$5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V$186:V$286)*N($E33),BL$6*N($E33),N($E33),0)+N(BL96))</f>
        <v>0</v>
      </c>
      <c r="BM33" s="654">
        <f t="array" ref="BM33">IF(OR($L33="",IsHidden(BM33)),"",CHOOSE($B33,N($E33)*BM$5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W$186:W$286)*N($E33),BM$6*N($E33),N($E33),0)+N(BM96))</f>
        <v>0</v>
      </c>
      <c r="BN33" s="654">
        <f t="array" ref="BN33">IF(OR($L33="",IsHidden(BN33)),"",CHOOSE($B33,N($E33)*BN$5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X$186:X$286)*N($E33),BN$6*N($E33),N($E33),0)+N(BN96))</f>
        <v>0</v>
      </c>
      <c r="BO33" s="654">
        <f t="array" ref="BO33">IF(OR($L33="",IsHidden(BO33)),"",CHOOSE($B33,N($E33)*BO$5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Y$186:Y$286)*N($E33),BO$6*N($E33),N($E33),0)+N(BO96))</f>
        <v>0</v>
      </c>
      <c r="BP33" s="654">
        <f t="array" ref="BP33">IF(OR($L33="",IsHidden(BP33)),"",CHOOSE($B33,N($E33)*BP$5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Z$186:Z$286)*N($E33),BP$6*N($E33),N($E33),0)+N(BP96))</f>
        <v>0</v>
      </c>
      <c r="BQ33" s="654">
        <f t="array" ref="BQ33">IF(OR($L33="",IsHidden(BQ33)),"",CHOOSE($B33,N($E33)*BQ$5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A$186:AA$286)*N($E33),BQ$6*N($E33),N($E33),0)+N(BQ96))</f>
        <v>0</v>
      </c>
      <c r="BR33" s="654">
        <f t="array" ref="BR33">IF(OR($L33="",IsHidden(BR33)),"",CHOOSE($B33,N($E33)*BR$5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B$186:AB$286)*N($E33),BR$6*N($E33),N($E33),0)+N(BR96))</f>
        <v>0</v>
      </c>
      <c r="BS33" s="654">
        <f t="array" ref="BS33">IF(OR($L33="",IsHidden(BS33)),"",CHOOSE($B33,N($E33)*BS$5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C$186:AC$286)*N($E33),BS$6*N($E33),N($E33),0)+N(BS96))</f>
        <v>0</v>
      </c>
      <c r="BT33" s="654">
        <f t="array" ref="BT33">IF(OR($L33="",IsHidden(BT33)),"",CHOOSE($B33,N($E33)*BT$5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D$186:AD$286)*N($E33),BT$6*N($E33),N($E33),0)+N(BT96))</f>
        <v>0</v>
      </c>
      <c r="BU33" s="654">
        <f t="array" ref="BU33">IF(OR($L33="",IsHidden(BU33)),"",CHOOSE($B33,N($E33)*BU$5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E$186:AE$286)*N($E33),BU$6*N($E33),N($E33),0)+N(BU96))</f>
        <v>0</v>
      </c>
      <c r="BV33" s="654">
        <f t="array" ref="BV33">IF(OR($L33="",IsHidden(BV33)),"",CHOOSE($B33,N($E33)*BV$5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F$186:AF$286)*N($E33),BV$6*N($E33),N($E33),0)+N(BV96))</f>
        <v>0</v>
      </c>
      <c r="BW33" s="654">
        <f t="array" ref="BW33">IF(OR($L33="",IsHidden(BW33)),"",CHOOSE($B33,N($E33)*BW$5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G$186:AG$286)*N($E33),BW$6*N($E33),N($E33),0)+N(BW96))</f>
        <v>0</v>
      </c>
      <c r="BX33" s="654">
        <f t="array" ref="BX33">IF(OR($L33="",IsHidden(BX33)),"",CHOOSE($B33,N($E33)*BX$5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H$186:AH$286)*N($E33),BX$6*N($E33),N($E33),0)+N(BX96))</f>
        <v>0</v>
      </c>
      <c r="BY33" s="654">
        <f t="array" ref="BY33">IF(OR($L33="",IsHidden(BY33)),"",CHOOSE($B33,N($E33)*BY$5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I$186:AI$286)*N($E33),BY$6*N($E33),N($E33),0)+N(BY96))</f>
        <v>0</v>
      </c>
      <c r="BZ33" s="654">
        <f t="array" ref="BZ33">IF(OR($L33="",IsHidden(BZ33)),"",CHOOSE($B33,N($E33)*BZ$5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J$186:AJ$286)*N($E33),BZ$6*N($E33),N($E33),0)+N(BZ96))</f>
        <v>0</v>
      </c>
      <c r="CA33" s="654">
        <f t="array" ref="CA33">IF(OR($L33="",IsHidden(CA33)),"",CHOOSE($B33,N($E33)*CA$5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K$186:AK$286)*N($E33),CA$6*N($E33),N($E33),0)+N(CA96))</f>
        <v>0</v>
      </c>
      <c r="CB33" s="654">
        <f t="array" ref="CB33">IF(OR($L33="",IsHidden(CB33)),"",CHOOSE($B33,N($E33)*CB$5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L$186:AL$286)*N($E33),CB$6*N($E33),N($E33),0)+N(CB96))</f>
        <v>0</v>
      </c>
      <c r="CC33" s="654">
        <f t="array" ref="CC33">IF(OR($L33="",IsHidden(CC33)),"",CHOOSE($B33,N($E33)*CC$5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M$186:AM$286)*N($E33),CC$6*N($E33),N($E33),0)+N(CC96))</f>
        <v>0</v>
      </c>
      <c r="CD33" s="654">
        <f t="array" ref="CD33">IF(OR($L33="",IsHidden(CD33)),"",CHOOSE($B33,N($E33)*CD$5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N$186:AN$286)*N($E33),CD$6*N($E33),N($E33),0)+N(CD96))</f>
        <v>0</v>
      </c>
      <c r="CE33" s="654">
        <f t="array" ref="CE33">IF(OR($L33="",IsHidden(CE33)),"",CHOOSE($B33,N($E33)*CE$5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O$186:AO$286)*N($E33),CE$6*N($E33),N($E33),0)+N(CE96))</f>
        <v>0</v>
      </c>
      <c r="CF33" s="654">
        <f t="array" ref="CF33">IF(OR($L33="",IsHidden(CF33)),"",CHOOSE($B33,N($E33)*CF$5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P$186:AP$286)*N($E33),CF$6*N($E33),N($E33),0)+N(CF96))</f>
        <v>0</v>
      </c>
      <c r="CG33" s="654">
        <f t="array" ref="CG33">IF(OR($L33="",IsHidden(CG33)),"",CHOOSE($B33,N($E33)*CG$5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Q$186:AQ$286)*N($E33),CG$6*N($E33),N($E33),0)+N(CG96))</f>
        <v>0</v>
      </c>
      <c r="CH33" s="654">
        <f t="array" ref="CH33">IF(OR($L33="",IsHidden(CH33)),"",CHOOSE($B33,N($E33)*CH$5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R$186:AR$286)*N($E33),CH$6*N($E33),N($E33),0)+N(CH96))</f>
        <v>0</v>
      </c>
      <c r="CI33" s="654">
        <f t="array" ref="CI33">IF(OR($L33="",IsHidden(CI33)),"",CHOOSE($B33,N($E33)*CI$5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S$186:AS$286)*N($E33),CI$6*N($E33),N($E33),0)+N(CI96))</f>
        <v>0</v>
      </c>
      <c r="CJ33" s="654">
        <f t="array" ref="CJ33">IF(OR($L33="",IsHidden(CJ33)),"",CHOOSE($B33,N($E33)*CJ$5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T$186:AT$286)*N($E33),CJ$6*N($E33),N($E33),0)+N(CJ96))</f>
        <v>0</v>
      </c>
      <c r="CK33" s="654">
        <f t="array" ref="CK33">IF(OR($L33="",IsHidden(CK33)),"",CHOOSE($B33,N($E33)*CK$5,SUMPRODUCT(IF($F$5="Y",1*(Headcount!$B$186:$B$286=IF($F33="",$F$6,$F33)),1+0*ISBLANK(Headcount!$B$186:$B$286)),IF($G$5="Y",1*(Headcount!$C$186:$C$286=IF($G33="",$G$6,$G33)),1+0*ISBLANK(Headcount!$C$186:$C$286)),IF($H$5="Y",1*(Headcount!$D$186:$D$286=IF($H33="",$H$6,$H33)),1+0*ISBLANK(Headcount!$D$186:$D$286)),IF($I$5="Y",1*(Headcount!$E$186:$E$286=IF($I33="",$I$6,$I33)),1+0*ISBLANK(Headcount!$E$186:$E$286)),IF($J$5="Y",1*(Headcount!$F$186:$F$286=IF($J33="",$J$6,$J33)),1+0*ISBLANK(Headcount!$F$186:$F$286)),IF($K$5="Y",1*(Headcount!$G$186:$G$286=IF($K33="",$K$6,$K33)),1+0*ISBLANK(Headcount!$G$186:$G$286)),Headcount!AU$186:AU$286)*N($E33),CK$6*N($E33),N($E33),0)+N(CK96))</f>
        <v>0</v>
      </c>
      <c r="CN33" s="255" t="b">
        <f t="array" ref="CN33">IF($L33="",TRUE,IF(AND(OR($F33&lt;&gt;"",$F$6&lt;&gt;""),OR($G33&lt;&gt;"",$G$6&lt;&gt;""),OR($H33&lt;&gt;"",$H$6&lt;&gt;""),OR($I33&lt;&gt;"",$I$6&lt;&gt;""),OR($J33&lt;&gt;"",$J$6&lt;&gt;""),OR($K33&lt;&gt;"",$K$6&lt;&gt;""),NOT(ISERROR(BB33:CK33)),NOT(ISNA(MATCH(IF($H33="",$H$6,$H33)&amp;IF($G33="",$G$6,$G33),DeptBU,0)))),TRUE,FALSE))</f>
        <v>0</v>
      </c>
      <c r="CP33" s="255" t="str">
        <f t="shared" si="3"/>
        <v>SELECT ''Expenses'',''Expenses'',33,''USD'',NULL,''Forecast'','''','''','''','''','''','''',''Intercompany Charges'',NULL,NULL,''Manual'',NULL,0,0,0,0,0,0,0,0,0,0,0,0,0,0,0,0,0,0,0,0,0,0,0,0,0,0,0,0,0,0,0,0,0,0,0,0</v>
      </c>
    </row>
    <row r="34" spans="1:94" s="255" customFormat="1" x14ac:dyDescent="0.35">
      <c r="A34" s="566"/>
      <c r="B34" s="261">
        <f t="shared" si="2"/>
        <v>5</v>
      </c>
      <c r="C34" s="566"/>
      <c r="D34" s="261" t="str">
        <f t="array" aca="1" ref="D34" ca="1">IF($B34&lt;5,AVERAGE(OFFSET($Q34,,Input_ActualsOffset-1,,-$C34)/CHOOSE($B34,OFFSET($Q$5,,Input_ActualsOffset-1,1,-$C34),ss($C34,OFFSET(Actuals!$A$1,1,MATCH("Month "&amp;Input_ActualsOffset,ActualsTable[#Headers],0)-1,ROWS(ActualsTable[#Data]),1),ActualsTable[Company],IF($F$5="Y",IF($F34="",$F$6,$F34),"*"),ActualsTable[Business Unit],IF($G$5="Y",IF($G34="",$G$6,$G34),"*"),ActualsTable[Department],IF($H$5="Y",IF($H34="",$H$6,$H34),"*"),ActualsTable[Team],IF($I$5="Y",IF($P34="",$P$6,$P34),"*"),ActualsTable[Product],IF($J$5="Y",IF($J34="",$J$6,$J34),"*"),ActualsTable[Location],IF($K$5="Y",IF($K34="",$K$6,$K34),"*"),ActualsTable[Expense Item],"Headcount"),OFFSET($Q$6,,Input_ActualsOffset-1,,-$C34),1)),"")</f>
        <v/>
      </c>
      <c r="E34" s="640"/>
      <c r="F34" s="555"/>
      <c r="G34" s="555"/>
      <c r="H34" s="555"/>
      <c r="I34" s="555"/>
      <c r="J34" s="555"/>
      <c r="K34" s="555"/>
      <c r="L34" s="555"/>
      <c r="M34" s="555"/>
      <c r="N34" s="555"/>
      <c r="O34" s="556" t="str">
        <f>IF($L34="","",IF(VLOOKUP(L34,ExpItems[],2,0),L34&amp;" - "&amp;INDEX(DivisionMapping[category_code],MATCH(IF(H34="",$H$6,H34)&amp;IF(G34="",$G$6,G34),DivisionMapping[dept_bu],0)),L34))</f>
        <v/>
      </c>
      <c r="P34" s="556" t="str">
        <f>IF($L34="","",INDEX(Teams[team_consolidation],MATCH(IF($I34="",$I$6,$I34),Teams[team_name],0)))</f>
        <v/>
      </c>
      <c r="Q34" s="657" t="str">
        <f t="array" ref="Q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f>
        <v/>
      </c>
      <c r="R34" s="657" t="str">
        <f t="array" ref="R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f>
        <v/>
      </c>
      <c r="S34" s="657" t="str">
        <f t="array" ref="S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f>
        <v/>
      </c>
      <c r="T34" s="657" t="str">
        <f t="array" ref="T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4]))</f>
        <v/>
      </c>
      <c r="U34" s="657" t="str">
        <f t="array" ref="U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5]))</f>
        <v/>
      </c>
      <c r="V34" s="657" t="str">
        <f t="array" ref="V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6]))</f>
        <v/>
      </c>
      <c r="W34" s="657" t="str">
        <f t="array" ref="W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7]))</f>
        <v/>
      </c>
      <c r="X34" s="657" t="str">
        <f t="array" ref="X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8]))</f>
        <v/>
      </c>
      <c r="Y34" s="657" t="str">
        <f t="array" ref="Y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9]))</f>
        <v/>
      </c>
      <c r="Z34" s="657" t="str">
        <f t="array" ref="Z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10]))</f>
        <v/>
      </c>
      <c r="AA34" s="657" t="str">
        <f t="array" ref="AA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11]))</f>
        <v/>
      </c>
      <c r="AB34" s="657" t="str">
        <f t="array" ref="AB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12]))</f>
        <v/>
      </c>
      <c r="AC34" s="657" t="str">
        <f t="array" ref="AC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13]))</f>
        <v/>
      </c>
      <c r="AD34" s="657" t="str">
        <f t="array" ref="AD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14]))</f>
        <v/>
      </c>
      <c r="AE34" s="657" t="str">
        <f t="array" ref="AE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15]))</f>
        <v/>
      </c>
      <c r="AF34" s="657" t="str">
        <f t="array" ref="AF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16]))</f>
        <v/>
      </c>
      <c r="AG34" s="657" t="str">
        <f t="array" ref="AG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17]))</f>
        <v/>
      </c>
      <c r="AH34" s="657" t="str">
        <f t="array" ref="AH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18]))</f>
        <v/>
      </c>
      <c r="AI34" s="657" t="str">
        <f t="array" ref="AI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19]))</f>
        <v/>
      </c>
      <c r="AJ34" s="657" t="str">
        <f t="array" ref="AJ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20]))</f>
        <v/>
      </c>
      <c r="AK34" s="657" t="str">
        <f t="array" ref="AK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21]))</f>
        <v/>
      </c>
      <c r="AL34" s="657" t="str">
        <f t="array" ref="AL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22]))</f>
        <v/>
      </c>
      <c r="AM34" s="657" t="str">
        <f t="array" ref="AM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23]))</f>
        <v/>
      </c>
      <c r="AN34" s="657" t="str">
        <f t="array" ref="AN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24]))</f>
        <v/>
      </c>
      <c r="AO34" s="657" t="str">
        <f t="array" ref="AO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25]))</f>
        <v/>
      </c>
      <c r="AP34" s="657" t="str">
        <f t="array" ref="AP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26]))</f>
        <v/>
      </c>
      <c r="AQ34" s="657" t="str">
        <f t="array" ref="AQ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27]))</f>
        <v/>
      </c>
      <c r="AR34" s="657" t="str">
        <f t="array" ref="AR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28]))</f>
        <v/>
      </c>
      <c r="AS34" s="657" t="str">
        <f t="array" ref="AS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29]))</f>
        <v/>
      </c>
      <c r="AT34" s="657" t="str">
        <f t="array" ref="AT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30]))</f>
        <v/>
      </c>
      <c r="AU34" s="657" t="str">
        <f t="array" ref="AU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31]))</f>
        <v/>
      </c>
      <c r="AV34" s="657" t="str">
        <f t="array" ref="AV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32]))</f>
        <v/>
      </c>
      <c r="AW34" s="657" t="str">
        <f t="array" ref="AW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33]))</f>
        <v/>
      </c>
      <c r="AX34" s="657" t="str">
        <f t="array" ref="AX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34]))</f>
        <v/>
      </c>
      <c r="AY34" s="657" t="str">
        <f t="array" ref="AY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35]))</f>
        <v/>
      </c>
      <c r="AZ34" s="657" t="str">
        <f t="array" ref="AZ34">IF($L34="","",SUMPRODUCT(IF($F$5="Y",1*(ActualsTable[Company]=IF($F34="",$F$6,$F34)),1+0*ISBLANK(ActualsTable[Company])),IF($G$5="Y",1*(ActualsTable[Business Unit]=IF($G34="",$G$6,$G34)),1+0*ISBLANK(ActualsTable[Business Unit])),IF($H$5="Y",1*(ActualsTable[Department]=IF($H34="",$H$6,$H34)),1+0*ISBLANK(ActualsTable[Department])),IF($I$5="Y",1*(ActualsTable[Team]=IF($P34="",$P$6,$P34)),1+0*ISBLANK(ActualsTable[Team])),IF($J$5="Y",1*(ActualsTable[Product]=IF($J34="",$J$6,$J34)),1+0*ISBLANK(ActualsTable[Product])),IF($K$5="Y",1*(ActualsTable[Location]=IF($K34="",$K$6,$K34)),1+0*ISBLANK(ActualsTable[Location])),1*(ActualsTable[Expense Item]=$L34),ActualsTable[Month 36]))</f>
        <v/>
      </c>
      <c r="BA34" s="257"/>
      <c r="BB34" s="654" t="str">
        <f t="array" ref="BB34">IF(OR($L34="",IsHidden(BB34)),"",CHOOSE($B34,N($E34)*BB$5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L$186:L$286)*N($E34),BB$6*N($E34),N($E34),0)+N(BB97))</f>
        <v/>
      </c>
      <c r="BC34" s="654" t="str">
        <f t="array" ref="BC34">IF(OR($L34="",IsHidden(BC34)),"",CHOOSE($B34,N($E34)*BC$5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M$186:M$286)*N($E34),BC$6*N($E34),N($E34),0)+N(BC97))</f>
        <v/>
      </c>
      <c r="BD34" s="654" t="str">
        <f t="array" ref="BD34">IF(OR($L34="",IsHidden(BD34)),"",CHOOSE($B34,N($E34)*BD$5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N$186:N$286)*N($E34),BD$6*N($E34),N($E34),0)+N(BD97))</f>
        <v/>
      </c>
      <c r="BE34" s="654" t="str">
        <f t="array" ref="BE34">IF(OR($L34="",IsHidden(BE34)),"",CHOOSE($B34,N($E34)*BE$5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O$186:O$286)*N($E34),BE$6*N($E34),N($E34),0)+N(BE97))</f>
        <v/>
      </c>
      <c r="BF34" s="654" t="str">
        <f t="array" ref="BF34">IF(OR($L34="",IsHidden(BF34)),"",CHOOSE($B34,N($E34)*BF$5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P$186:P$286)*N($E34),BF$6*N($E34),N($E34),0)+N(BF97))</f>
        <v/>
      </c>
      <c r="BG34" s="654" t="str">
        <f t="array" ref="BG34">IF(OR($L34="",IsHidden(BG34)),"",CHOOSE($B34,N($E34)*BG$5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Q$186:Q$286)*N($E34),BG$6*N($E34),N($E34),0)+N(BG97))</f>
        <v/>
      </c>
      <c r="BH34" s="654" t="str">
        <f t="array" ref="BH34">IF(OR($L34="",IsHidden(BH34)),"",CHOOSE($B34,N($E34)*BH$5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R$186:R$286)*N($E34),BH$6*N($E34),N($E34),0)+N(BH97))</f>
        <v/>
      </c>
      <c r="BI34" s="654" t="str">
        <f t="array" ref="BI34">IF(OR($L34="",IsHidden(BI34)),"",CHOOSE($B34,N($E34)*BI$5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S$186:S$286)*N($E34),BI$6*N($E34),N($E34),0)+N(BI97))</f>
        <v/>
      </c>
      <c r="BJ34" s="654" t="str">
        <f t="array" ref="BJ34">IF(OR($L34="",IsHidden(BJ34)),"",CHOOSE($B34,N($E34)*BJ$5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T$186:T$286)*N($E34),BJ$6*N($E34),N($E34),0)+N(BJ97))</f>
        <v/>
      </c>
      <c r="BK34" s="654" t="str">
        <f t="array" ref="BK34">IF(OR($L34="",IsHidden(BK34)),"",CHOOSE($B34,N($E34)*BK$5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U$186:U$286)*N($E34),BK$6*N($E34),N($E34),0)+N(BK97))</f>
        <v/>
      </c>
      <c r="BL34" s="654" t="str">
        <f t="array" ref="BL34">IF(OR($L34="",IsHidden(BL34)),"",CHOOSE($B34,N($E34)*BL$5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V$186:V$286)*N($E34),BL$6*N($E34),N($E34),0)+N(BL97))</f>
        <v/>
      </c>
      <c r="BM34" s="654" t="str">
        <f t="array" ref="BM34">IF(OR($L34="",IsHidden(BM34)),"",CHOOSE($B34,N($E34)*BM$5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W$186:W$286)*N($E34),BM$6*N($E34),N($E34),0)+N(BM97))</f>
        <v/>
      </c>
      <c r="BN34" s="654" t="str">
        <f t="array" ref="BN34">IF(OR($L34="",IsHidden(BN34)),"",CHOOSE($B34,N($E34)*BN$5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X$186:X$286)*N($E34),BN$6*N($E34),N($E34),0)+N(BN97))</f>
        <v/>
      </c>
      <c r="BO34" s="654" t="str">
        <f t="array" ref="BO34">IF(OR($L34="",IsHidden(BO34)),"",CHOOSE($B34,N($E34)*BO$5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Y$186:Y$286)*N($E34),BO$6*N($E34),N($E34),0)+N(BO97))</f>
        <v/>
      </c>
      <c r="BP34" s="654" t="str">
        <f t="array" ref="BP34">IF(OR($L34="",IsHidden(BP34)),"",CHOOSE($B34,N($E34)*BP$5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Z$186:Z$286)*N($E34),BP$6*N($E34),N($E34),0)+N(BP97))</f>
        <v/>
      </c>
      <c r="BQ34" s="654" t="str">
        <f t="array" ref="BQ34">IF(OR($L34="",IsHidden(BQ34)),"",CHOOSE($B34,N($E34)*BQ$5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A$186:AA$286)*N($E34),BQ$6*N($E34),N($E34),0)+N(BQ97))</f>
        <v/>
      </c>
      <c r="BR34" s="654" t="str">
        <f t="array" ref="BR34">IF(OR($L34="",IsHidden(BR34)),"",CHOOSE($B34,N($E34)*BR$5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B$186:AB$286)*N($E34),BR$6*N($E34),N($E34),0)+N(BR97))</f>
        <v/>
      </c>
      <c r="BS34" s="654" t="str">
        <f t="array" ref="BS34">IF(OR($L34="",IsHidden(BS34)),"",CHOOSE($B34,N($E34)*BS$5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C$186:AC$286)*N($E34),BS$6*N($E34),N($E34),0)+N(BS97))</f>
        <v/>
      </c>
      <c r="BT34" s="654" t="str">
        <f t="array" ref="BT34">IF(OR($L34="",IsHidden(BT34)),"",CHOOSE($B34,N($E34)*BT$5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D$186:AD$286)*N($E34),BT$6*N($E34),N($E34),0)+N(BT97))</f>
        <v/>
      </c>
      <c r="BU34" s="654" t="str">
        <f t="array" ref="BU34">IF(OR($L34="",IsHidden(BU34)),"",CHOOSE($B34,N($E34)*BU$5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E$186:AE$286)*N($E34),BU$6*N($E34),N($E34),0)+N(BU97))</f>
        <v/>
      </c>
      <c r="BV34" s="654" t="str">
        <f t="array" ref="BV34">IF(OR($L34="",IsHidden(BV34)),"",CHOOSE($B34,N($E34)*BV$5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F$186:AF$286)*N($E34),BV$6*N($E34),N($E34),0)+N(BV97))</f>
        <v/>
      </c>
      <c r="BW34" s="654" t="str">
        <f t="array" ref="BW34">IF(OR($L34="",IsHidden(BW34)),"",CHOOSE($B34,N($E34)*BW$5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G$186:AG$286)*N($E34),BW$6*N($E34),N($E34),0)+N(BW97))</f>
        <v/>
      </c>
      <c r="BX34" s="654" t="str">
        <f t="array" ref="BX34">IF(OR($L34="",IsHidden(BX34)),"",CHOOSE($B34,N($E34)*BX$5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H$186:AH$286)*N($E34),BX$6*N($E34),N($E34),0)+N(BX97))</f>
        <v/>
      </c>
      <c r="BY34" s="654" t="str">
        <f t="array" ref="BY34">IF(OR($L34="",IsHidden(BY34)),"",CHOOSE($B34,N($E34)*BY$5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I$186:AI$286)*N($E34),BY$6*N($E34),N($E34),0)+N(BY97))</f>
        <v/>
      </c>
      <c r="BZ34" s="654" t="str">
        <f t="array" ref="BZ34">IF(OR($L34="",IsHidden(BZ34)),"",CHOOSE($B34,N($E34)*BZ$5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J$186:AJ$286)*N($E34),BZ$6*N($E34),N($E34),0)+N(BZ97))</f>
        <v/>
      </c>
      <c r="CA34" s="654" t="str">
        <f t="array" ref="CA34">IF(OR($L34="",IsHidden(CA34)),"",CHOOSE($B34,N($E34)*CA$5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K$186:AK$286)*N($E34),CA$6*N($E34),N($E34),0)+N(CA97))</f>
        <v/>
      </c>
      <c r="CB34" s="654" t="str">
        <f t="array" ref="CB34">IF(OR($L34="",IsHidden(CB34)),"",CHOOSE($B34,N($E34)*CB$5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L$186:AL$286)*N($E34),CB$6*N($E34),N($E34),0)+N(CB97))</f>
        <v/>
      </c>
      <c r="CC34" s="654" t="str">
        <f t="array" ref="CC34">IF(OR($L34="",IsHidden(CC34)),"",CHOOSE($B34,N($E34)*CC$5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M$186:AM$286)*N($E34),CC$6*N($E34),N($E34),0)+N(CC97))</f>
        <v/>
      </c>
      <c r="CD34" s="654" t="str">
        <f t="array" ref="CD34">IF(OR($L34="",IsHidden(CD34)),"",CHOOSE($B34,N($E34)*CD$5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N$186:AN$286)*N($E34),CD$6*N($E34),N($E34),0)+N(CD97))</f>
        <v/>
      </c>
      <c r="CE34" s="654" t="str">
        <f t="array" ref="CE34">IF(OR($L34="",IsHidden(CE34)),"",CHOOSE($B34,N($E34)*CE$5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O$186:AO$286)*N($E34),CE$6*N($E34),N($E34),0)+N(CE97))</f>
        <v/>
      </c>
      <c r="CF34" s="654" t="str">
        <f t="array" ref="CF34">IF(OR($L34="",IsHidden(CF34)),"",CHOOSE($B34,N($E34)*CF$5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P$186:AP$286)*N($E34),CF$6*N($E34),N($E34),0)+N(CF97))</f>
        <v/>
      </c>
      <c r="CG34" s="654" t="str">
        <f t="array" ref="CG34">IF(OR($L34="",IsHidden(CG34)),"",CHOOSE($B34,N($E34)*CG$5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Q$186:AQ$286)*N($E34),CG$6*N($E34),N($E34),0)+N(CG97))</f>
        <v/>
      </c>
      <c r="CH34" s="654" t="str">
        <f t="array" ref="CH34">IF(OR($L34="",IsHidden(CH34)),"",CHOOSE($B34,N($E34)*CH$5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R$186:AR$286)*N($E34),CH$6*N($E34),N($E34),0)+N(CH97))</f>
        <v/>
      </c>
      <c r="CI34" s="654" t="str">
        <f t="array" ref="CI34">IF(OR($L34="",IsHidden(CI34)),"",CHOOSE($B34,N($E34)*CI$5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S$186:AS$286)*N($E34),CI$6*N($E34),N($E34),0)+N(CI97))</f>
        <v/>
      </c>
      <c r="CJ34" s="654" t="str">
        <f t="array" ref="CJ34">IF(OR($L34="",IsHidden(CJ34)),"",CHOOSE($B34,N($E34)*CJ$5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T$186:AT$286)*N($E34),CJ$6*N($E34),N($E34),0)+N(CJ97))</f>
        <v/>
      </c>
      <c r="CK34" s="654" t="str">
        <f t="array" ref="CK34">IF(OR($L34="",IsHidden(CK34)),"",CHOOSE($B34,N($E34)*CK$5,SUMPRODUCT(IF($F$5="Y",1*(Headcount!$B$186:$B$286=IF($F34="",$F$6,$F34)),1+0*ISBLANK(Headcount!$B$186:$B$286)),IF($G$5="Y",1*(Headcount!$C$186:$C$286=IF($G34="",$G$6,$G34)),1+0*ISBLANK(Headcount!$C$186:$C$286)),IF($H$5="Y",1*(Headcount!$D$186:$D$286=IF($H34="",$H$6,$H34)),1+0*ISBLANK(Headcount!$D$186:$D$286)),IF($I$5="Y",1*(Headcount!$E$186:$E$286=IF($I34="",$I$6,$I34)),1+0*ISBLANK(Headcount!$E$186:$E$286)),IF($J$5="Y",1*(Headcount!$F$186:$F$286=IF($J34="",$J$6,$J34)),1+0*ISBLANK(Headcount!$F$186:$F$286)),IF($K$5="Y",1*(Headcount!$G$186:$G$286=IF($K34="",$K$6,$K34)),1+0*ISBLANK(Headcount!$G$186:$G$286)),Headcount!AU$186:AU$286)*N($E34),CK$6*N($E34),N($E34),0)+N(CK97))</f>
        <v/>
      </c>
      <c r="CN34" s="255" t="b">
        <f t="array" ref="CN34">IF($L34="",TRUE,IF(AND(OR($F34&lt;&gt;"",$F$6&lt;&gt;""),OR($G34&lt;&gt;"",$G$6&lt;&gt;""),OR($H34&lt;&gt;"",$H$6&lt;&gt;""),OR($I34&lt;&gt;"",$I$6&lt;&gt;""),OR($J34&lt;&gt;"",$J$6&lt;&gt;""),OR($K34&lt;&gt;"",$K$6&lt;&gt;""),NOT(ISERROR(BB34:CK34)),NOT(ISNA(MATCH(IF($H34="",$H$6,$H34)&amp;IF($G34="",$G$6,$G34),DeptBU,0)))),TRUE,FALSE))</f>
        <v>1</v>
      </c>
      <c r="CP34" s="255" t="str">
        <f t="shared" si="3"/>
        <v/>
      </c>
    </row>
    <row r="35" spans="1:94" s="255" customFormat="1" x14ac:dyDescent="0.35">
      <c r="A35" s="566"/>
      <c r="B35" s="261">
        <f t="shared" si="2"/>
        <v>5</v>
      </c>
      <c r="C35" s="566"/>
      <c r="D35" s="261" t="str">
        <f t="array" aca="1" ref="D35" ca="1">IF($B35&lt;5,AVERAGE(OFFSET($Q35,,Input_ActualsOffset-1,,-$C35)/CHOOSE($B35,OFFSET($Q$5,,Input_ActualsOffset-1,1,-$C35),ss($C35,OFFSET(Actuals!$A$1,1,MATCH("Month "&amp;Input_ActualsOffset,ActualsTable[#Headers],0)-1,ROWS(ActualsTable[#Data]),1),ActualsTable[Company],IF($F$5="Y",IF($F35="",$F$6,$F35),"*"),ActualsTable[Business Unit],IF($G$5="Y",IF($G35="",$G$6,$G35),"*"),ActualsTable[Department],IF($H$5="Y",IF($H35="",$H$6,$H35),"*"),ActualsTable[Team],IF($I$5="Y",IF($P35="",$P$6,$P35),"*"),ActualsTable[Product],IF($J$5="Y",IF($J35="",$J$6,$J35),"*"),ActualsTable[Location],IF($K$5="Y",IF($K35="",$K$6,$K35),"*"),ActualsTable[Expense Item],"Headcount"),OFFSET($Q$6,,Input_ActualsOffset-1,,-$C35),1)),"")</f>
        <v/>
      </c>
      <c r="E35" s="640"/>
      <c r="F35" s="555"/>
      <c r="G35" s="555"/>
      <c r="H35" s="555"/>
      <c r="I35" s="555"/>
      <c r="J35" s="555"/>
      <c r="K35" s="555"/>
      <c r="L35" s="555"/>
      <c r="M35" s="555"/>
      <c r="N35" s="555"/>
      <c r="O35" s="556" t="str">
        <f>IF($L35="","",IF(VLOOKUP(L35,ExpItems[],2,0),L35&amp;" - "&amp;INDEX(DivisionMapping[category_code],MATCH(IF(H35="",$H$6,H35)&amp;IF(G35="",$G$6,G35),DivisionMapping[dept_bu],0)),L35))</f>
        <v/>
      </c>
      <c r="P35" s="556" t="str">
        <f>IF($L35="","",INDEX(Teams[team_consolidation],MATCH(IF($I35="",$I$6,$I35),Teams[team_name],0)))</f>
        <v/>
      </c>
      <c r="Q35" s="657" t="str">
        <f t="array" ref="Q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f>
        <v/>
      </c>
      <c r="R35" s="657" t="str">
        <f t="array" ref="R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f>
        <v/>
      </c>
      <c r="S35" s="657" t="str">
        <f t="array" ref="S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f>
        <v/>
      </c>
      <c r="T35" s="657" t="str">
        <f t="array" ref="T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4]))</f>
        <v/>
      </c>
      <c r="U35" s="657" t="str">
        <f t="array" ref="U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5]))</f>
        <v/>
      </c>
      <c r="V35" s="657" t="str">
        <f t="array" ref="V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6]))</f>
        <v/>
      </c>
      <c r="W35" s="657" t="str">
        <f t="array" ref="W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7]))</f>
        <v/>
      </c>
      <c r="X35" s="657" t="str">
        <f t="array" ref="X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8]))</f>
        <v/>
      </c>
      <c r="Y35" s="657" t="str">
        <f t="array" ref="Y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9]))</f>
        <v/>
      </c>
      <c r="Z35" s="657" t="str">
        <f t="array" ref="Z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10]))</f>
        <v/>
      </c>
      <c r="AA35" s="657" t="str">
        <f t="array" ref="AA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11]))</f>
        <v/>
      </c>
      <c r="AB35" s="657" t="str">
        <f t="array" ref="AB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12]))</f>
        <v/>
      </c>
      <c r="AC35" s="657" t="str">
        <f t="array" ref="AC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13]))</f>
        <v/>
      </c>
      <c r="AD35" s="657" t="str">
        <f t="array" ref="AD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14]))</f>
        <v/>
      </c>
      <c r="AE35" s="657" t="str">
        <f t="array" ref="AE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15]))</f>
        <v/>
      </c>
      <c r="AF35" s="657" t="str">
        <f t="array" ref="AF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16]))</f>
        <v/>
      </c>
      <c r="AG35" s="657" t="str">
        <f t="array" ref="AG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17]))</f>
        <v/>
      </c>
      <c r="AH35" s="657" t="str">
        <f t="array" ref="AH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18]))</f>
        <v/>
      </c>
      <c r="AI35" s="657" t="str">
        <f t="array" ref="AI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19]))</f>
        <v/>
      </c>
      <c r="AJ35" s="657" t="str">
        <f t="array" ref="AJ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20]))</f>
        <v/>
      </c>
      <c r="AK35" s="657" t="str">
        <f t="array" ref="AK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21]))</f>
        <v/>
      </c>
      <c r="AL35" s="657" t="str">
        <f t="array" ref="AL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22]))</f>
        <v/>
      </c>
      <c r="AM35" s="657" t="str">
        <f t="array" ref="AM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23]))</f>
        <v/>
      </c>
      <c r="AN35" s="657" t="str">
        <f t="array" ref="AN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24]))</f>
        <v/>
      </c>
      <c r="AO35" s="657" t="str">
        <f t="array" ref="AO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25]))</f>
        <v/>
      </c>
      <c r="AP35" s="657" t="str">
        <f t="array" ref="AP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26]))</f>
        <v/>
      </c>
      <c r="AQ35" s="657" t="str">
        <f t="array" ref="AQ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27]))</f>
        <v/>
      </c>
      <c r="AR35" s="657" t="str">
        <f t="array" ref="AR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28]))</f>
        <v/>
      </c>
      <c r="AS35" s="657" t="str">
        <f t="array" ref="AS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29]))</f>
        <v/>
      </c>
      <c r="AT35" s="657" t="str">
        <f t="array" ref="AT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30]))</f>
        <v/>
      </c>
      <c r="AU35" s="657" t="str">
        <f t="array" ref="AU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31]))</f>
        <v/>
      </c>
      <c r="AV35" s="657" t="str">
        <f t="array" ref="AV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32]))</f>
        <v/>
      </c>
      <c r="AW35" s="657" t="str">
        <f t="array" ref="AW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33]))</f>
        <v/>
      </c>
      <c r="AX35" s="657" t="str">
        <f t="array" ref="AX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34]))</f>
        <v/>
      </c>
      <c r="AY35" s="657" t="str">
        <f t="array" ref="AY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35]))</f>
        <v/>
      </c>
      <c r="AZ35" s="657" t="str">
        <f t="array" ref="AZ35">IF($L35="","",SUMPRODUCT(IF($F$5="Y",1*(ActualsTable[Company]=IF($F35="",$F$6,$F35)),1+0*ISBLANK(ActualsTable[Company])),IF($G$5="Y",1*(ActualsTable[Business Unit]=IF($G35="",$G$6,$G35)),1+0*ISBLANK(ActualsTable[Business Unit])),IF($H$5="Y",1*(ActualsTable[Department]=IF($H35="",$H$6,$H35)),1+0*ISBLANK(ActualsTable[Department])),IF($I$5="Y",1*(ActualsTable[Team]=IF($P35="",$P$6,$P35)),1+0*ISBLANK(ActualsTable[Team])),IF($J$5="Y",1*(ActualsTable[Product]=IF($J35="",$J$6,$J35)),1+0*ISBLANK(ActualsTable[Product])),IF($K$5="Y",1*(ActualsTable[Location]=IF($K35="",$K$6,$K35)),1+0*ISBLANK(ActualsTable[Location])),1*(ActualsTable[Expense Item]=$L35),ActualsTable[Month 36]))</f>
        <v/>
      </c>
      <c r="BA35" s="257"/>
      <c r="BB35" s="654" t="str">
        <f t="array" ref="BB35">IF(OR($L35="",IsHidden(BB35)),"",CHOOSE($B35,N($E35)*BB$5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L$186:L$286)*N($E35),BB$6*N($E35),N($E35),0)+N(BB98))</f>
        <v/>
      </c>
      <c r="BC35" s="654" t="str">
        <f t="array" ref="BC35">IF(OR($L35="",IsHidden(BC35)),"",CHOOSE($B35,N($E35)*BC$5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M$186:M$286)*N($E35),BC$6*N($E35),N($E35),0)+N(BC98))</f>
        <v/>
      </c>
      <c r="BD35" s="654" t="str">
        <f t="array" ref="BD35">IF(OR($L35="",IsHidden(BD35)),"",CHOOSE($B35,N($E35)*BD$5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N$186:N$286)*N($E35),BD$6*N($E35),N($E35),0)+N(BD98))</f>
        <v/>
      </c>
      <c r="BE35" s="654" t="str">
        <f t="array" ref="BE35">IF(OR($L35="",IsHidden(BE35)),"",CHOOSE($B35,N($E35)*BE$5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O$186:O$286)*N($E35),BE$6*N($E35),N($E35),0)+N(BE98))</f>
        <v/>
      </c>
      <c r="BF35" s="654" t="str">
        <f t="array" ref="BF35">IF(OR($L35="",IsHidden(BF35)),"",CHOOSE($B35,N($E35)*BF$5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P$186:P$286)*N($E35),BF$6*N($E35),N($E35),0)+N(BF98))</f>
        <v/>
      </c>
      <c r="BG35" s="654" t="str">
        <f t="array" ref="BG35">IF(OR($L35="",IsHidden(BG35)),"",CHOOSE($B35,N($E35)*BG$5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Q$186:Q$286)*N($E35),BG$6*N($E35),N($E35),0)+N(BG98))</f>
        <v/>
      </c>
      <c r="BH35" s="654" t="str">
        <f t="array" ref="BH35">IF(OR($L35="",IsHidden(BH35)),"",CHOOSE($B35,N($E35)*BH$5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R$186:R$286)*N($E35),BH$6*N($E35),N($E35),0)+N(BH98))</f>
        <v/>
      </c>
      <c r="BI35" s="654" t="str">
        <f t="array" ref="BI35">IF(OR($L35="",IsHidden(BI35)),"",CHOOSE($B35,N($E35)*BI$5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S$186:S$286)*N($E35),BI$6*N($E35),N($E35),0)+N(BI98))</f>
        <v/>
      </c>
      <c r="BJ35" s="654" t="str">
        <f t="array" ref="BJ35">IF(OR($L35="",IsHidden(BJ35)),"",CHOOSE($B35,N($E35)*BJ$5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T$186:T$286)*N($E35),BJ$6*N($E35),N($E35),0)+N(BJ98))</f>
        <v/>
      </c>
      <c r="BK35" s="654" t="str">
        <f t="array" ref="BK35">IF(OR($L35="",IsHidden(BK35)),"",CHOOSE($B35,N($E35)*BK$5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U$186:U$286)*N($E35),BK$6*N($E35),N($E35),0)+N(BK98))</f>
        <v/>
      </c>
      <c r="BL35" s="654" t="str">
        <f t="array" ref="BL35">IF(OR($L35="",IsHidden(BL35)),"",CHOOSE($B35,N($E35)*BL$5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V$186:V$286)*N($E35),BL$6*N($E35),N($E35),0)+N(BL98))</f>
        <v/>
      </c>
      <c r="BM35" s="654" t="str">
        <f t="array" ref="BM35">IF(OR($L35="",IsHidden(BM35)),"",CHOOSE($B35,N($E35)*BM$5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W$186:W$286)*N($E35),BM$6*N($E35),N($E35),0)+N(BM98))</f>
        <v/>
      </c>
      <c r="BN35" s="654" t="str">
        <f t="array" ref="BN35">IF(OR($L35="",IsHidden(BN35)),"",CHOOSE($B35,N($E35)*BN$5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X$186:X$286)*N($E35),BN$6*N($E35),N($E35),0)+N(BN98))</f>
        <v/>
      </c>
      <c r="BO35" s="654" t="str">
        <f t="array" ref="BO35">IF(OR($L35="",IsHidden(BO35)),"",CHOOSE($B35,N($E35)*BO$5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Y$186:Y$286)*N($E35),BO$6*N($E35),N($E35),0)+N(BO98))</f>
        <v/>
      </c>
      <c r="BP35" s="654" t="str">
        <f t="array" ref="BP35">IF(OR($L35="",IsHidden(BP35)),"",CHOOSE($B35,N($E35)*BP$5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Z$186:Z$286)*N($E35),BP$6*N($E35),N($E35),0)+N(BP98))</f>
        <v/>
      </c>
      <c r="BQ35" s="654" t="str">
        <f t="array" ref="BQ35">IF(OR($L35="",IsHidden(BQ35)),"",CHOOSE($B35,N($E35)*BQ$5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A$186:AA$286)*N($E35),BQ$6*N($E35),N($E35),0)+N(BQ98))</f>
        <v/>
      </c>
      <c r="BR35" s="654" t="str">
        <f t="array" ref="BR35">IF(OR($L35="",IsHidden(BR35)),"",CHOOSE($B35,N($E35)*BR$5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B$186:AB$286)*N($E35),BR$6*N($E35),N($E35),0)+N(BR98))</f>
        <v/>
      </c>
      <c r="BS35" s="654" t="str">
        <f t="array" ref="BS35">IF(OR($L35="",IsHidden(BS35)),"",CHOOSE($B35,N($E35)*BS$5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C$186:AC$286)*N($E35),BS$6*N($E35),N($E35),0)+N(BS98))</f>
        <v/>
      </c>
      <c r="BT35" s="654" t="str">
        <f t="array" ref="BT35">IF(OR($L35="",IsHidden(BT35)),"",CHOOSE($B35,N($E35)*BT$5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D$186:AD$286)*N($E35),BT$6*N($E35),N($E35),0)+N(BT98))</f>
        <v/>
      </c>
      <c r="BU35" s="654" t="str">
        <f t="array" ref="BU35">IF(OR($L35="",IsHidden(BU35)),"",CHOOSE($B35,N($E35)*BU$5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E$186:AE$286)*N($E35),BU$6*N($E35),N($E35),0)+N(BU98))</f>
        <v/>
      </c>
      <c r="BV35" s="654" t="str">
        <f t="array" ref="BV35">IF(OR($L35="",IsHidden(BV35)),"",CHOOSE($B35,N($E35)*BV$5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F$186:AF$286)*N($E35),BV$6*N($E35),N($E35),0)+N(BV98))</f>
        <v/>
      </c>
      <c r="BW35" s="654" t="str">
        <f t="array" ref="BW35">IF(OR($L35="",IsHidden(BW35)),"",CHOOSE($B35,N($E35)*BW$5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G$186:AG$286)*N($E35),BW$6*N($E35),N($E35),0)+N(BW98))</f>
        <v/>
      </c>
      <c r="BX35" s="654" t="str">
        <f t="array" ref="BX35">IF(OR($L35="",IsHidden(BX35)),"",CHOOSE($B35,N($E35)*BX$5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H$186:AH$286)*N($E35),BX$6*N($E35),N($E35),0)+N(BX98))</f>
        <v/>
      </c>
      <c r="BY35" s="654" t="str">
        <f t="array" ref="BY35">IF(OR($L35="",IsHidden(BY35)),"",CHOOSE($B35,N($E35)*BY$5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I$186:AI$286)*N($E35),BY$6*N($E35),N($E35),0)+N(BY98))</f>
        <v/>
      </c>
      <c r="BZ35" s="654" t="str">
        <f t="array" ref="BZ35">IF(OR($L35="",IsHidden(BZ35)),"",CHOOSE($B35,N($E35)*BZ$5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J$186:AJ$286)*N($E35),BZ$6*N($E35),N($E35),0)+N(BZ98))</f>
        <v/>
      </c>
      <c r="CA35" s="654" t="str">
        <f t="array" ref="CA35">IF(OR($L35="",IsHidden(CA35)),"",CHOOSE($B35,N($E35)*CA$5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K$186:AK$286)*N($E35),CA$6*N($E35),N($E35),0)+N(CA98))</f>
        <v/>
      </c>
      <c r="CB35" s="654" t="str">
        <f t="array" ref="CB35">IF(OR($L35="",IsHidden(CB35)),"",CHOOSE($B35,N($E35)*CB$5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L$186:AL$286)*N($E35),CB$6*N($E35),N($E35),0)+N(CB98))</f>
        <v/>
      </c>
      <c r="CC35" s="654" t="str">
        <f t="array" ref="CC35">IF(OR($L35="",IsHidden(CC35)),"",CHOOSE($B35,N($E35)*CC$5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M$186:AM$286)*N($E35),CC$6*N($E35),N($E35),0)+N(CC98))</f>
        <v/>
      </c>
      <c r="CD35" s="654" t="str">
        <f t="array" ref="CD35">IF(OR($L35="",IsHidden(CD35)),"",CHOOSE($B35,N($E35)*CD$5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N$186:AN$286)*N($E35),CD$6*N($E35),N($E35),0)+N(CD98))</f>
        <v/>
      </c>
      <c r="CE35" s="654" t="str">
        <f t="array" ref="CE35">IF(OR($L35="",IsHidden(CE35)),"",CHOOSE($B35,N($E35)*CE$5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O$186:AO$286)*N($E35),CE$6*N($E35),N($E35),0)+N(CE98))</f>
        <v/>
      </c>
      <c r="CF35" s="654" t="str">
        <f t="array" ref="CF35">IF(OR($L35="",IsHidden(CF35)),"",CHOOSE($B35,N($E35)*CF$5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P$186:AP$286)*N($E35),CF$6*N($E35),N($E35),0)+N(CF98))</f>
        <v/>
      </c>
      <c r="CG35" s="654" t="str">
        <f t="array" ref="CG35">IF(OR($L35="",IsHidden(CG35)),"",CHOOSE($B35,N($E35)*CG$5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Q$186:AQ$286)*N($E35),CG$6*N($E35),N($E35),0)+N(CG98))</f>
        <v/>
      </c>
      <c r="CH35" s="654" t="str">
        <f t="array" ref="CH35">IF(OR($L35="",IsHidden(CH35)),"",CHOOSE($B35,N($E35)*CH$5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R$186:AR$286)*N($E35),CH$6*N($E35),N($E35),0)+N(CH98))</f>
        <v/>
      </c>
      <c r="CI35" s="654" t="str">
        <f t="array" ref="CI35">IF(OR($L35="",IsHidden(CI35)),"",CHOOSE($B35,N($E35)*CI$5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S$186:AS$286)*N($E35),CI$6*N($E35),N($E35),0)+N(CI98))</f>
        <v/>
      </c>
      <c r="CJ35" s="654" t="str">
        <f t="array" ref="CJ35">IF(OR($L35="",IsHidden(CJ35)),"",CHOOSE($B35,N($E35)*CJ$5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T$186:AT$286)*N($E35),CJ$6*N($E35),N($E35),0)+N(CJ98))</f>
        <v/>
      </c>
      <c r="CK35" s="654" t="str">
        <f t="array" ref="CK35">IF(OR($L35="",IsHidden(CK35)),"",CHOOSE($B35,N($E35)*CK$5,SUMPRODUCT(IF($F$5="Y",1*(Headcount!$B$186:$B$286=IF($F35="",$F$6,$F35)),1+0*ISBLANK(Headcount!$B$186:$B$286)),IF($G$5="Y",1*(Headcount!$C$186:$C$286=IF($G35="",$G$6,$G35)),1+0*ISBLANK(Headcount!$C$186:$C$286)),IF($H$5="Y",1*(Headcount!$D$186:$D$286=IF($H35="",$H$6,$H35)),1+0*ISBLANK(Headcount!$D$186:$D$286)),IF($I$5="Y",1*(Headcount!$E$186:$E$286=IF($I35="",$I$6,$I35)),1+0*ISBLANK(Headcount!$E$186:$E$286)),IF($J$5="Y",1*(Headcount!$F$186:$F$286=IF($J35="",$J$6,$J35)),1+0*ISBLANK(Headcount!$F$186:$F$286)),IF($K$5="Y",1*(Headcount!$G$186:$G$286=IF($K35="",$K$6,$K35)),1+0*ISBLANK(Headcount!$G$186:$G$286)),Headcount!AU$186:AU$286)*N($E35),CK$6*N($E35),N($E35),0)+N(CK98))</f>
        <v/>
      </c>
      <c r="CN35" s="255" t="b">
        <f t="array" ref="CN35">IF($L35="",TRUE,IF(AND(OR($F35&lt;&gt;"",$F$6&lt;&gt;""),OR($G35&lt;&gt;"",$G$6&lt;&gt;""),OR($H35&lt;&gt;"",$H$6&lt;&gt;""),OR($I35&lt;&gt;"",$I$6&lt;&gt;""),OR($J35&lt;&gt;"",$J$6&lt;&gt;""),OR($K35&lt;&gt;"",$K$6&lt;&gt;""),NOT(ISERROR(BB35:CK35)),NOT(ISNA(MATCH(IF($H35="",$H$6,$H35)&amp;IF($G35="",$G$6,$G35),DeptBU,0)))),TRUE,FALSE))</f>
        <v>1</v>
      </c>
      <c r="CP35" s="255" t="str">
        <f t="shared" si="3"/>
        <v/>
      </c>
    </row>
    <row r="36" spans="1:94" s="255" customFormat="1" x14ac:dyDescent="0.35">
      <c r="A36" s="566"/>
      <c r="B36" s="261">
        <f t="shared" si="2"/>
        <v>5</v>
      </c>
      <c r="C36" s="566"/>
      <c r="D36" s="261" t="str">
        <f t="array" aca="1" ref="D36" ca="1">IF($B36&lt;5,AVERAGE(OFFSET($Q36,,Input_ActualsOffset-1,,-$C36)/CHOOSE($B36,OFFSET($Q$5,,Input_ActualsOffset-1,1,-$C36),ss($C36,OFFSET(Actuals!$A$1,1,MATCH("Month "&amp;Input_ActualsOffset,ActualsTable[#Headers],0)-1,ROWS(ActualsTable[#Data]),1),ActualsTable[Company],IF($F$5="Y",IF($F36="",$F$6,$F36),"*"),ActualsTable[Business Unit],IF($G$5="Y",IF($G36="",$G$6,$G36),"*"),ActualsTable[Department],IF($H$5="Y",IF($H36="",$H$6,$H36),"*"),ActualsTable[Team],IF($I$5="Y",IF($P36="",$P$6,$P36),"*"),ActualsTable[Product],IF($J$5="Y",IF($J36="",$J$6,$J36),"*"),ActualsTable[Location],IF($K$5="Y",IF($K36="",$K$6,$K36),"*"),ActualsTable[Expense Item],"Headcount"),OFFSET($Q$6,,Input_ActualsOffset-1,,-$C36),1)),"")</f>
        <v/>
      </c>
      <c r="E36" s="640"/>
      <c r="F36" s="555"/>
      <c r="G36" s="555"/>
      <c r="H36" s="555"/>
      <c r="I36" s="555"/>
      <c r="J36" s="555"/>
      <c r="K36" s="555"/>
      <c r="L36" s="555"/>
      <c r="M36" s="555"/>
      <c r="N36" s="555"/>
      <c r="O36" s="556" t="str">
        <f>IF($L36="","",IF(VLOOKUP(L36,ExpItems[],2,0),L36&amp;" - "&amp;INDEX(DivisionMapping[category_code],MATCH(IF(H36="",$H$6,H36)&amp;IF(G36="",$G$6,G36),DivisionMapping[dept_bu],0)),L36))</f>
        <v/>
      </c>
      <c r="P36" s="556" t="str">
        <f>IF($L36="","",INDEX(Teams[team_consolidation],MATCH(IF($I36="",$I$6,$I36),Teams[team_name],0)))</f>
        <v/>
      </c>
      <c r="Q36" s="657" t="str">
        <f t="array" ref="Q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f>
        <v/>
      </c>
      <c r="R36" s="657" t="str">
        <f t="array" ref="R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f>
        <v/>
      </c>
      <c r="S36" s="657" t="str">
        <f t="array" ref="S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f>
        <v/>
      </c>
      <c r="T36" s="657" t="str">
        <f t="array" ref="T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4]))</f>
        <v/>
      </c>
      <c r="U36" s="657" t="str">
        <f t="array" ref="U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5]))</f>
        <v/>
      </c>
      <c r="V36" s="657" t="str">
        <f t="array" ref="V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6]))</f>
        <v/>
      </c>
      <c r="W36" s="657" t="str">
        <f t="array" ref="W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7]))</f>
        <v/>
      </c>
      <c r="X36" s="657" t="str">
        <f t="array" ref="X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8]))</f>
        <v/>
      </c>
      <c r="Y36" s="657" t="str">
        <f t="array" ref="Y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9]))</f>
        <v/>
      </c>
      <c r="Z36" s="657" t="str">
        <f t="array" ref="Z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10]))</f>
        <v/>
      </c>
      <c r="AA36" s="657" t="str">
        <f t="array" ref="AA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11]))</f>
        <v/>
      </c>
      <c r="AB36" s="657" t="str">
        <f t="array" ref="AB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12]))</f>
        <v/>
      </c>
      <c r="AC36" s="657" t="str">
        <f t="array" ref="AC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13]))</f>
        <v/>
      </c>
      <c r="AD36" s="657" t="str">
        <f t="array" ref="AD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14]))</f>
        <v/>
      </c>
      <c r="AE36" s="657" t="str">
        <f t="array" ref="AE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15]))</f>
        <v/>
      </c>
      <c r="AF36" s="657" t="str">
        <f t="array" ref="AF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16]))</f>
        <v/>
      </c>
      <c r="AG36" s="657" t="str">
        <f t="array" ref="AG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17]))</f>
        <v/>
      </c>
      <c r="AH36" s="657" t="str">
        <f t="array" ref="AH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18]))</f>
        <v/>
      </c>
      <c r="AI36" s="657" t="str">
        <f t="array" ref="AI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19]))</f>
        <v/>
      </c>
      <c r="AJ36" s="657" t="str">
        <f t="array" ref="AJ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20]))</f>
        <v/>
      </c>
      <c r="AK36" s="657" t="str">
        <f t="array" ref="AK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21]))</f>
        <v/>
      </c>
      <c r="AL36" s="657" t="str">
        <f t="array" ref="AL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22]))</f>
        <v/>
      </c>
      <c r="AM36" s="657" t="str">
        <f t="array" ref="AM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23]))</f>
        <v/>
      </c>
      <c r="AN36" s="657" t="str">
        <f t="array" ref="AN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24]))</f>
        <v/>
      </c>
      <c r="AO36" s="657" t="str">
        <f t="array" ref="AO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25]))</f>
        <v/>
      </c>
      <c r="AP36" s="657" t="str">
        <f t="array" ref="AP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26]))</f>
        <v/>
      </c>
      <c r="AQ36" s="657" t="str">
        <f t="array" ref="AQ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27]))</f>
        <v/>
      </c>
      <c r="AR36" s="657" t="str">
        <f t="array" ref="AR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28]))</f>
        <v/>
      </c>
      <c r="AS36" s="657" t="str">
        <f t="array" ref="AS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29]))</f>
        <v/>
      </c>
      <c r="AT36" s="657" t="str">
        <f t="array" ref="AT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30]))</f>
        <v/>
      </c>
      <c r="AU36" s="657" t="str">
        <f t="array" ref="AU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31]))</f>
        <v/>
      </c>
      <c r="AV36" s="657" t="str">
        <f t="array" ref="AV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32]))</f>
        <v/>
      </c>
      <c r="AW36" s="657" t="str">
        <f t="array" ref="AW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33]))</f>
        <v/>
      </c>
      <c r="AX36" s="657" t="str">
        <f t="array" ref="AX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34]))</f>
        <v/>
      </c>
      <c r="AY36" s="657" t="str">
        <f t="array" ref="AY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35]))</f>
        <v/>
      </c>
      <c r="AZ36" s="657" t="str">
        <f t="array" ref="AZ36">IF($L36="","",SUMPRODUCT(IF($F$5="Y",1*(ActualsTable[Company]=IF($F36="",$F$6,$F36)),1+0*ISBLANK(ActualsTable[Company])),IF($G$5="Y",1*(ActualsTable[Business Unit]=IF($G36="",$G$6,$G36)),1+0*ISBLANK(ActualsTable[Business Unit])),IF($H$5="Y",1*(ActualsTable[Department]=IF($H36="",$H$6,$H36)),1+0*ISBLANK(ActualsTable[Department])),IF($I$5="Y",1*(ActualsTable[Team]=IF($P36="",$P$6,$P36)),1+0*ISBLANK(ActualsTable[Team])),IF($J$5="Y",1*(ActualsTable[Product]=IF($J36="",$J$6,$J36)),1+0*ISBLANK(ActualsTable[Product])),IF($K$5="Y",1*(ActualsTable[Location]=IF($K36="",$K$6,$K36)),1+0*ISBLANK(ActualsTable[Location])),1*(ActualsTable[Expense Item]=$L36),ActualsTable[Month 36]))</f>
        <v/>
      </c>
      <c r="BA36" s="257"/>
      <c r="BB36" s="654" t="str">
        <f t="array" ref="BB36">IF(OR($L36="",IsHidden(BB36)),"",CHOOSE($B36,N($E36)*BB$5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L$186:L$286)*N($E36),BB$6*N($E36),N($E36),0)+N(BB99))</f>
        <v/>
      </c>
      <c r="BC36" s="654" t="str">
        <f t="array" ref="BC36">IF(OR($L36="",IsHidden(BC36)),"",CHOOSE($B36,N($E36)*BC$5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M$186:M$286)*N($E36),BC$6*N($E36),N($E36),0)+N(BC99))</f>
        <v/>
      </c>
      <c r="BD36" s="654" t="str">
        <f t="array" ref="BD36">IF(OR($L36="",IsHidden(BD36)),"",CHOOSE($B36,N($E36)*BD$5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N$186:N$286)*N($E36),BD$6*N($E36),N($E36),0)+N(BD99))</f>
        <v/>
      </c>
      <c r="BE36" s="654" t="str">
        <f t="array" ref="BE36">IF(OR($L36="",IsHidden(BE36)),"",CHOOSE($B36,N($E36)*BE$5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O$186:O$286)*N($E36),BE$6*N($E36),N($E36),0)+N(BE99))</f>
        <v/>
      </c>
      <c r="BF36" s="654" t="str">
        <f t="array" ref="BF36">IF(OR($L36="",IsHidden(BF36)),"",CHOOSE($B36,N($E36)*BF$5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P$186:P$286)*N($E36),BF$6*N($E36),N($E36),0)+N(BF99))</f>
        <v/>
      </c>
      <c r="BG36" s="654" t="str">
        <f t="array" ref="BG36">IF(OR($L36="",IsHidden(BG36)),"",CHOOSE($B36,N($E36)*BG$5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Q$186:Q$286)*N($E36),BG$6*N($E36),N($E36),0)+N(BG99))</f>
        <v/>
      </c>
      <c r="BH36" s="654" t="str">
        <f t="array" ref="BH36">IF(OR($L36="",IsHidden(BH36)),"",CHOOSE($B36,N($E36)*BH$5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R$186:R$286)*N($E36),BH$6*N($E36),N($E36),0)+N(BH99))</f>
        <v/>
      </c>
      <c r="BI36" s="654" t="str">
        <f t="array" ref="BI36">IF(OR($L36="",IsHidden(BI36)),"",CHOOSE($B36,N($E36)*BI$5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S$186:S$286)*N($E36),BI$6*N($E36),N($E36),0)+N(BI99))</f>
        <v/>
      </c>
      <c r="BJ36" s="654" t="str">
        <f t="array" ref="BJ36">IF(OR($L36="",IsHidden(BJ36)),"",CHOOSE($B36,N($E36)*BJ$5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T$186:T$286)*N($E36),BJ$6*N($E36),N($E36),0)+N(BJ99))</f>
        <v/>
      </c>
      <c r="BK36" s="654" t="str">
        <f t="array" ref="BK36">IF(OR($L36="",IsHidden(BK36)),"",CHOOSE($B36,N($E36)*BK$5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U$186:U$286)*N($E36),BK$6*N($E36),N($E36),0)+N(BK99))</f>
        <v/>
      </c>
      <c r="BL36" s="654" t="str">
        <f t="array" ref="BL36">IF(OR($L36="",IsHidden(BL36)),"",CHOOSE($B36,N($E36)*BL$5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V$186:V$286)*N($E36),BL$6*N($E36),N($E36),0)+N(BL99))</f>
        <v/>
      </c>
      <c r="BM36" s="654" t="str">
        <f t="array" ref="BM36">IF(OR($L36="",IsHidden(BM36)),"",CHOOSE($B36,N($E36)*BM$5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W$186:W$286)*N($E36),BM$6*N($E36),N($E36),0)+N(BM99))</f>
        <v/>
      </c>
      <c r="BN36" s="654" t="str">
        <f t="array" ref="BN36">IF(OR($L36="",IsHidden(BN36)),"",CHOOSE($B36,N($E36)*BN$5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X$186:X$286)*N($E36),BN$6*N($E36),N($E36),0)+N(BN99))</f>
        <v/>
      </c>
      <c r="BO36" s="654" t="str">
        <f t="array" ref="BO36">IF(OR($L36="",IsHidden(BO36)),"",CHOOSE($B36,N($E36)*BO$5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Y$186:Y$286)*N($E36),BO$6*N($E36),N($E36),0)+N(BO99))</f>
        <v/>
      </c>
      <c r="BP36" s="654" t="str">
        <f t="array" ref="BP36">IF(OR($L36="",IsHidden(BP36)),"",CHOOSE($B36,N($E36)*BP$5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Z$186:Z$286)*N($E36),BP$6*N($E36),N($E36),0)+N(BP99))</f>
        <v/>
      </c>
      <c r="BQ36" s="654" t="str">
        <f t="array" ref="BQ36">IF(OR($L36="",IsHidden(BQ36)),"",CHOOSE($B36,N($E36)*BQ$5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A$186:AA$286)*N($E36),BQ$6*N($E36),N($E36),0)+N(BQ99))</f>
        <v/>
      </c>
      <c r="BR36" s="654" t="str">
        <f t="array" ref="BR36">IF(OR($L36="",IsHidden(BR36)),"",CHOOSE($B36,N($E36)*BR$5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B$186:AB$286)*N($E36),BR$6*N($E36),N($E36),0)+N(BR99))</f>
        <v/>
      </c>
      <c r="BS36" s="654" t="str">
        <f t="array" ref="BS36">IF(OR($L36="",IsHidden(BS36)),"",CHOOSE($B36,N($E36)*BS$5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C$186:AC$286)*N($E36),BS$6*N($E36),N($E36),0)+N(BS99))</f>
        <v/>
      </c>
      <c r="BT36" s="654" t="str">
        <f t="array" ref="BT36">IF(OR($L36="",IsHidden(BT36)),"",CHOOSE($B36,N($E36)*BT$5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D$186:AD$286)*N($E36),BT$6*N($E36),N($E36),0)+N(BT99))</f>
        <v/>
      </c>
      <c r="BU36" s="654" t="str">
        <f t="array" ref="BU36">IF(OR($L36="",IsHidden(BU36)),"",CHOOSE($B36,N($E36)*BU$5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E$186:AE$286)*N($E36),BU$6*N($E36),N($E36),0)+N(BU99))</f>
        <v/>
      </c>
      <c r="BV36" s="654" t="str">
        <f t="array" ref="BV36">IF(OR($L36="",IsHidden(BV36)),"",CHOOSE($B36,N($E36)*BV$5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F$186:AF$286)*N($E36),BV$6*N($E36),N($E36),0)+N(BV99))</f>
        <v/>
      </c>
      <c r="BW36" s="654" t="str">
        <f t="array" ref="BW36">IF(OR($L36="",IsHidden(BW36)),"",CHOOSE($B36,N($E36)*BW$5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G$186:AG$286)*N($E36),BW$6*N($E36),N($E36),0)+N(BW99))</f>
        <v/>
      </c>
      <c r="BX36" s="654" t="str">
        <f t="array" ref="BX36">IF(OR($L36="",IsHidden(BX36)),"",CHOOSE($B36,N($E36)*BX$5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H$186:AH$286)*N($E36),BX$6*N($E36),N($E36),0)+N(BX99))</f>
        <v/>
      </c>
      <c r="BY36" s="654" t="str">
        <f t="array" ref="BY36">IF(OR($L36="",IsHidden(BY36)),"",CHOOSE($B36,N($E36)*BY$5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I$186:AI$286)*N($E36),BY$6*N($E36),N($E36),0)+N(BY99))</f>
        <v/>
      </c>
      <c r="BZ36" s="654" t="str">
        <f t="array" ref="BZ36">IF(OR($L36="",IsHidden(BZ36)),"",CHOOSE($B36,N($E36)*BZ$5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J$186:AJ$286)*N($E36),BZ$6*N($E36),N($E36),0)+N(BZ99))</f>
        <v/>
      </c>
      <c r="CA36" s="654" t="str">
        <f t="array" ref="CA36">IF(OR($L36="",IsHidden(CA36)),"",CHOOSE($B36,N($E36)*CA$5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K$186:AK$286)*N($E36),CA$6*N($E36),N($E36),0)+N(CA99))</f>
        <v/>
      </c>
      <c r="CB36" s="654" t="str">
        <f t="array" ref="CB36">IF(OR($L36="",IsHidden(CB36)),"",CHOOSE($B36,N($E36)*CB$5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L$186:AL$286)*N($E36),CB$6*N($E36),N($E36),0)+N(CB99))</f>
        <v/>
      </c>
      <c r="CC36" s="654" t="str">
        <f t="array" ref="CC36">IF(OR($L36="",IsHidden(CC36)),"",CHOOSE($B36,N($E36)*CC$5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M$186:AM$286)*N($E36),CC$6*N($E36),N($E36),0)+N(CC99))</f>
        <v/>
      </c>
      <c r="CD36" s="654" t="str">
        <f t="array" ref="CD36">IF(OR($L36="",IsHidden(CD36)),"",CHOOSE($B36,N($E36)*CD$5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N$186:AN$286)*N($E36),CD$6*N($E36),N($E36),0)+N(CD99))</f>
        <v/>
      </c>
      <c r="CE36" s="654" t="str">
        <f t="array" ref="CE36">IF(OR($L36="",IsHidden(CE36)),"",CHOOSE($B36,N($E36)*CE$5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O$186:AO$286)*N($E36),CE$6*N($E36),N($E36),0)+N(CE99))</f>
        <v/>
      </c>
      <c r="CF36" s="654" t="str">
        <f t="array" ref="CF36">IF(OR($L36="",IsHidden(CF36)),"",CHOOSE($B36,N($E36)*CF$5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P$186:AP$286)*N($E36),CF$6*N($E36),N($E36),0)+N(CF99))</f>
        <v/>
      </c>
      <c r="CG36" s="654" t="str">
        <f t="array" ref="CG36">IF(OR($L36="",IsHidden(CG36)),"",CHOOSE($B36,N($E36)*CG$5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Q$186:AQ$286)*N($E36),CG$6*N($E36),N($E36),0)+N(CG99))</f>
        <v/>
      </c>
      <c r="CH36" s="654" t="str">
        <f t="array" ref="CH36">IF(OR($L36="",IsHidden(CH36)),"",CHOOSE($B36,N($E36)*CH$5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R$186:AR$286)*N($E36),CH$6*N($E36),N($E36),0)+N(CH99))</f>
        <v/>
      </c>
      <c r="CI36" s="654" t="str">
        <f t="array" ref="CI36">IF(OR($L36="",IsHidden(CI36)),"",CHOOSE($B36,N($E36)*CI$5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S$186:AS$286)*N($E36),CI$6*N($E36),N($E36),0)+N(CI99))</f>
        <v/>
      </c>
      <c r="CJ36" s="654" t="str">
        <f t="array" ref="CJ36">IF(OR($L36="",IsHidden(CJ36)),"",CHOOSE($B36,N($E36)*CJ$5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T$186:AT$286)*N($E36),CJ$6*N($E36),N($E36),0)+N(CJ99))</f>
        <v/>
      </c>
      <c r="CK36" s="654" t="str">
        <f t="array" ref="CK36">IF(OR($L36="",IsHidden(CK36)),"",CHOOSE($B36,N($E36)*CK$5,SUMPRODUCT(IF($F$5="Y",1*(Headcount!$B$186:$B$286=IF($F36="",$F$6,$F36)),1+0*ISBLANK(Headcount!$B$186:$B$286)),IF($G$5="Y",1*(Headcount!$C$186:$C$286=IF($G36="",$G$6,$G36)),1+0*ISBLANK(Headcount!$C$186:$C$286)),IF($H$5="Y",1*(Headcount!$D$186:$D$286=IF($H36="",$H$6,$H36)),1+0*ISBLANK(Headcount!$D$186:$D$286)),IF($I$5="Y",1*(Headcount!$E$186:$E$286=IF($I36="",$I$6,$I36)),1+0*ISBLANK(Headcount!$E$186:$E$286)),IF($J$5="Y",1*(Headcount!$F$186:$F$286=IF($J36="",$J$6,$J36)),1+0*ISBLANK(Headcount!$F$186:$F$286)),IF($K$5="Y",1*(Headcount!$G$186:$G$286=IF($K36="",$K$6,$K36)),1+0*ISBLANK(Headcount!$G$186:$G$286)),Headcount!AU$186:AU$286)*N($E36),CK$6*N($E36),N($E36),0)+N(CK99))</f>
        <v/>
      </c>
      <c r="CN36" s="255" t="b">
        <f t="array" ref="CN36">IF($L36="",TRUE,IF(AND(OR($F36&lt;&gt;"",$F$6&lt;&gt;""),OR($G36&lt;&gt;"",$G$6&lt;&gt;""),OR($H36&lt;&gt;"",$H$6&lt;&gt;""),OR($I36&lt;&gt;"",$I$6&lt;&gt;""),OR($J36&lt;&gt;"",$J$6&lt;&gt;""),OR($K36&lt;&gt;"",$K$6&lt;&gt;""),NOT(ISERROR(BB36:CK36)),NOT(ISNA(MATCH(IF($H36="",$H$6,$H36)&amp;IF($G36="",$G$6,$G36),DeptBU,0)))),TRUE,FALSE))</f>
        <v>1</v>
      </c>
      <c r="CP36" s="255" t="str">
        <f t="shared" si="3"/>
        <v/>
      </c>
    </row>
    <row r="37" spans="1:94" s="255" customFormat="1" x14ac:dyDescent="0.35">
      <c r="A37" s="566"/>
      <c r="B37" s="261">
        <f t="shared" si="2"/>
        <v>5</v>
      </c>
      <c r="C37" s="566"/>
      <c r="D37" s="261" t="str">
        <f t="array" aca="1" ref="D37" ca="1">IF($B37&lt;5,AVERAGE(OFFSET($Q37,,Input_ActualsOffset-1,,-$C37)/CHOOSE($B37,OFFSET($Q$5,,Input_ActualsOffset-1,1,-$C37),ss($C37,OFFSET(Actuals!$A$1,1,MATCH("Month "&amp;Input_ActualsOffset,ActualsTable[#Headers],0)-1,ROWS(ActualsTable[#Data]),1),ActualsTable[Company],IF($F$5="Y",IF($F37="",$F$6,$F37),"*"),ActualsTable[Business Unit],IF($G$5="Y",IF($G37="",$G$6,$G37),"*"),ActualsTable[Department],IF($H$5="Y",IF($H37="",$H$6,$H37),"*"),ActualsTable[Team],IF($I$5="Y",IF($P37="",$P$6,$P37),"*"),ActualsTable[Product],IF($J$5="Y",IF($J37="",$J$6,$J37),"*"),ActualsTable[Location],IF($K$5="Y",IF($K37="",$K$6,$K37),"*"),ActualsTable[Expense Item],"Headcount"),OFFSET($Q$6,,Input_ActualsOffset-1,,-$C37),1)),"")</f>
        <v/>
      </c>
      <c r="E37" s="640"/>
      <c r="F37" s="555"/>
      <c r="G37" s="555"/>
      <c r="H37" s="555"/>
      <c r="I37" s="555"/>
      <c r="J37" s="555"/>
      <c r="K37" s="555"/>
      <c r="L37" s="555"/>
      <c r="M37" s="555"/>
      <c r="N37" s="555"/>
      <c r="O37" s="556" t="str">
        <f>IF($L37="","",IF(VLOOKUP(L37,ExpItems[],2,0),L37&amp;" - "&amp;INDEX(DivisionMapping[category_code],MATCH(IF(H37="",$H$6,H37)&amp;IF(G37="",$G$6,G37),DivisionMapping[dept_bu],0)),L37))</f>
        <v/>
      </c>
      <c r="P37" s="556" t="str">
        <f>IF($L37="","",INDEX(Teams[team_consolidation],MATCH(IF($I37="",$I$6,$I37),Teams[team_name],0)))</f>
        <v/>
      </c>
      <c r="Q37" s="657" t="str">
        <f t="array" ref="Q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f>
        <v/>
      </c>
      <c r="R37" s="657" t="str">
        <f t="array" ref="R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f>
        <v/>
      </c>
      <c r="S37" s="657" t="str">
        <f t="array" ref="S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f>
        <v/>
      </c>
      <c r="T37" s="657" t="str">
        <f t="array" ref="T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4]))</f>
        <v/>
      </c>
      <c r="U37" s="657" t="str">
        <f t="array" ref="U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5]))</f>
        <v/>
      </c>
      <c r="V37" s="657" t="str">
        <f t="array" ref="V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6]))</f>
        <v/>
      </c>
      <c r="W37" s="657" t="str">
        <f t="array" ref="W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7]))</f>
        <v/>
      </c>
      <c r="X37" s="657" t="str">
        <f t="array" ref="X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8]))</f>
        <v/>
      </c>
      <c r="Y37" s="657" t="str">
        <f t="array" ref="Y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9]))</f>
        <v/>
      </c>
      <c r="Z37" s="657" t="str">
        <f t="array" ref="Z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10]))</f>
        <v/>
      </c>
      <c r="AA37" s="657" t="str">
        <f t="array" ref="AA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11]))</f>
        <v/>
      </c>
      <c r="AB37" s="657" t="str">
        <f t="array" ref="AB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12]))</f>
        <v/>
      </c>
      <c r="AC37" s="657" t="str">
        <f t="array" ref="AC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13]))</f>
        <v/>
      </c>
      <c r="AD37" s="657" t="str">
        <f t="array" ref="AD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14]))</f>
        <v/>
      </c>
      <c r="AE37" s="657" t="str">
        <f t="array" ref="AE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15]))</f>
        <v/>
      </c>
      <c r="AF37" s="657" t="str">
        <f t="array" ref="AF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16]))</f>
        <v/>
      </c>
      <c r="AG37" s="657" t="str">
        <f t="array" ref="AG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17]))</f>
        <v/>
      </c>
      <c r="AH37" s="657" t="str">
        <f t="array" ref="AH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18]))</f>
        <v/>
      </c>
      <c r="AI37" s="657" t="str">
        <f t="array" ref="AI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19]))</f>
        <v/>
      </c>
      <c r="AJ37" s="657" t="str">
        <f t="array" ref="AJ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20]))</f>
        <v/>
      </c>
      <c r="AK37" s="657" t="str">
        <f t="array" ref="AK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21]))</f>
        <v/>
      </c>
      <c r="AL37" s="657" t="str">
        <f t="array" ref="AL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22]))</f>
        <v/>
      </c>
      <c r="AM37" s="657" t="str">
        <f t="array" ref="AM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23]))</f>
        <v/>
      </c>
      <c r="AN37" s="657" t="str">
        <f t="array" ref="AN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24]))</f>
        <v/>
      </c>
      <c r="AO37" s="657" t="str">
        <f t="array" ref="AO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25]))</f>
        <v/>
      </c>
      <c r="AP37" s="657" t="str">
        <f t="array" ref="AP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26]))</f>
        <v/>
      </c>
      <c r="AQ37" s="657" t="str">
        <f t="array" ref="AQ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27]))</f>
        <v/>
      </c>
      <c r="AR37" s="657" t="str">
        <f t="array" ref="AR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28]))</f>
        <v/>
      </c>
      <c r="AS37" s="657" t="str">
        <f t="array" ref="AS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29]))</f>
        <v/>
      </c>
      <c r="AT37" s="657" t="str">
        <f t="array" ref="AT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30]))</f>
        <v/>
      </c>
      <c r="AU37" s="657" t="str">
        <f t="array" ref="AU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31]))</f>
        <v/>
      </c>
      <c r="AV37" s="657" t="str">
        <f t="array" ref="AV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32]))</f>
        <v/>
      </c>
      <c r="AW37" s="657" t="str">
        <f t="array" ref="AW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33]))</f>
        <v/>
      </c>
      <c r="AX37" s="657" t="str">
        <f t="array" ref="AX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34]))</f>
        <v/>
      </c>
      <c r="AY37" s="657" t="str">
        <f t="array" ref="AY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35]))</f>
        <v/>
      </c>
      <c r="AZ37" s="657" t="str">
        <f t="array" ref="AZ37">IF($L37="","",SUMPRODUCT(IF($F$5="Y",1*(ActualsTable[Company]=IF($F37="",$F$6,$F37)),1+0*ISBLANK(ActualsTable[Company])),IF($G$5="Y",1*(ActualsTable[Business Unit]=IF($G37="",$G$6,$G37)),1+0*ISBLANK(ActualsTable[Business Unit])),IF($H$5="Y",1*(ActualsTable[Department]=IF($H37="",$H$6,$H37)),1+0*ISBLANK(ActualsTable[Department])),IF($I$5="Y",1*(ActualsTable[Team]=IF($P37="",$P$6,$P37)),1+0*ISBLANK(ActualsTable[Team])),IF($J$5="Y",1*(ActualsTable[Product]=IF($J37="",$J$6,$J37)),1+0*ISBLANK(ActualsTable[Product])),IF($K$5="Y",1*(ActualsTable[Location]=IF($K37="",$K$6,$K37)),1+0*ISBLANK(ActualsTable[Location])),1*(ActualsTable[Expense Item]=$L37),ActualsTable[Month 36]))</f>
        <v/>
      </c>
      <c r="BA37" s="257"/>
      <c r="BB37" s="654" t="str">
        <f t="array" ref="BB37">IF(OR($L37="",IsHidden(BB37)),"",CHOOSE($B37,N($E37)*BB$5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L$186:L$286)*N($E37),BB$6*N($E37),N($E37),0)+N(BB100))</f>
        <v/>
      </c>
      <c r="BC37" s="654" t="str">
        <f t="array" ref="BC37">IF(OR($L37="",IsHidden(BC37)),"",CHOOSE($B37,N($E37)*BC$5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M$186:M$286)*N($E37),BC$6*N($E37),N($E37),0)+N(BC100))</f>
        <v/>
      </c>
      <c r="BD37" s="654" t="str">
        <f t="array" ref="BD37">IF(OR($L37="",IsHidden(BD37)),"",CHOOSE($B37,N($E37)*BD$5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N$186:N$286)*N($E37),BD$6*N($E37),N($E37),0)+N(BD100))</f>
        <v/>
      </c>
      <c r="BE37" s="654" t="str">
        <f t="array" ref="BE37">IF(OR($L37="",IsHidden(BE37)),"",CHOOSE($B37,N($E37)*BE$5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O$186:O$286)*N($E37),BE$6*N($E37),N($E37),0)+N(BE100))</f>
        <v/>
      </c>
      <c r="BF37" s="654" t="str">
        <f t="array" ref="BF37">IF(OR($L37="",IsHidden(BF37)),"",CHOOSE($B37,N($E37)*BF$5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P$186:P$286)*N($E37),BF$6*N($E37),N($E37),0)+N(BF100))</f>
        <v/>
      </c>
      <c r="BG37" s="654" t="str">
        <f t="array" ref="BG37">IF(OR($L37="",IsHidden(BG37)),"",CHOOSE($B37,N($E37)*BG$5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Q$186:Q$286)*N($E37),BG$6*N($E37),N($E37),0)+N(BG100))</f>
        <v/>
      </c>
      <c r="BH37" s="654" t="str">
        <f t="array" ref="BH37">IF(OR($L37="",IsHidden(BH37)),"",CHOOSE($B37,N($E37)*BH$5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R$186:R$286)*N($E37),BH$6*N($E37),N($E37),0)+N(BH100))</f>
        <v/>
      </c>
      <c r="BI37" s="654" t="str">
        <f t="array" ref="BI37">IF(OR($L37="",IsHidden(BI37)),"",CHOOSE($B37,N($E37)*BI$5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S$186:S$286)*N($E37),BI$6*N($E37),N($E37),0)+N(BI100))</f>
        <v/>
      </c>
      <c r="BJ37" s="654" t="str">
        <f t="array" ref="BJ37">IF(OR($L37="",IsHidden(BJ37)),"",CHOOSE($B37,N($E37)*BJ$5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T$186:T$286)*N($E37),BJ$6*N($E37),N($E37),0)+N(BJ100))</f>
        <v/>
      </c>
      <c r="BK37" s="654" t="str">
        <f t="array" ref="BK37">IF(OR($L37="",IsHidden(BK37)),"",CHOOSE($B37,N($E37)*BK$5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U$186:U$286)*N($E37),BK$6*N($E37),N($E37),0)+N(BK100))</f>
        <v/>
      </c>
      <c r="BL37" s="654" t="str">
        <f t="array" ref="BL37">IF(OR($L37="",IsHidden(BL37)),"",CHOOSE($B37,N($E37)*BL$5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V$186:V$286)*N($E37),BL$6*N($E37),N($E37),0)+N(BL100))</f>
        <v/>
      </c>
      <c r="BM37" s="654" t="str">
        <f t="array" ref="BM37">IF(OR($L37="",IsHidden(BM37)),"",CHOOSE($B37,N($E37)*BM$5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W$186:W$286)*N($E37),BM$6*N($E37),N($E37),0)+N(BM100))</f>
        <v/>
      </c>
      <c r="BN37" s="654" t="str">
        <f t="array" ref="BN37">IF(OR($L37="",IsHidden(BN37)),"",CHOOSE($B37,N($E37)*BN$5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X$186:X$286)*N($E37),BN$6*N($E37),N($E37),0)+N(BN100))</f>
        <v/>
      </c>
      <c r="BO37" s="654" t="str">
        <f t="array" ref="BO37">IF(OR($L37="",IsHidden(BO37)),"",CHOOSE($B37,N($E37)*BO$5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Y$186:Y$286)*N($E37),BO$6*N($E37),N($E37),0)+N(BO100))</f>
        <v/>
      </c>
      <c r="BP37" s="654" t="str">
        <f t="array" ref="BP37">IF(OR($L37="",IsHidden(BP37)),"",CHOOSE($B37,N($E37)*BP$5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Z$186:Z$286)*N($E37),BP$6*N($E37),N($E37),0)+N(BP100))</f>
        <v/>
      </c>
      <c r="BQ37" s="654" t="str">
        <f t="array" ref="BQ37">IF(OR($L37="",IsHidden(BQ37)),"",CHOOSE($B37,N($E37)*BQ$5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A$186:AA$286)*N($E37),BQ$6*N($E37),N($E37),0)+N(BQ100))</f>
        <v/>
      </c>
      <c r="BR37" s="654" t="str">
        <f t="array" ref="BR37">IF(OR($L37="",IsHidden(BR37)),"",CHOOSE($B37,N($E37)*BR$5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B$186:AB$286)*N($E37),BR$6*N($E37),N($E37),0)+N(BR100))</f>
        <v/>
      </c>
      <c r="BS37" s="654" t="str">
        <f t="array" ref="BS37">IF(OR($L37="",IsHidden(BS37)),"",CHOOSE($B37,N($E37)*BS$5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C$186:AC$286)*N($E37),BS$6*N($E37),N($E37),0)+N(BS100))</f>
        <v/>
      </c>
      <c r="BT37" s="654" t="str">
        <f t="array" ref="BT37">IF(OR($L37="",IsHidden(BT37)),"",CHOOSE($B37,N($E37)*BT$5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D$186:AD$286)*N($E37),BT$6*N($E37),N($E37),0)+N(BT100))</f>
        <v/>
      </c>
      <c r="BU37" s="654" t="str">
        <f t="array" ref="BU37">IF(OR($L37="",IsHidden(BU37)),"",CHOOSE($B37,N($E37)*BU$5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E$186:AE$286)*N($E37),BU$6*N($E37),N($E37),0)+N(BU100))</f>
        <v/>
      </c>
      <c r="BV37" s="654" t="str">
        <f t="array" ref="BV37">IF(OR($L37="",IsHidden(BV37)),"",CHOOSE($B37,N($E37)*BV$5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F$186:AF$286)*N($E37),BV$6*N($E37),N($E37),0)+N(BV100))</f>
        <v/>
      </c>
      <c r="BW37" s="654" t="str">
        <f t="array" ref="BW37">IF(OR($L37="",IsHidden(BW37)),"",CHOOSE($B37,N($E37)*BW$5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G$186:AG$286)*N($E37),BW$6*N($E37),N($E37),0)+N(BW100))</f>
        <v/>
      </c>
      <c r="BX37" s="654" t="str">
        <f t="array" ref="BX37">IF(OR($L37="",IsHidden(BX37)),"",CHOOSE($B37,N($E37)*BX$5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H$186:AH$286)*N($E37),BX$6*N($E37),N($E37),0)+N(BX100))</f>
        <v/>
      </c>
      <c r="BY37" s="654" t="str">
        <f t="array" ref="BY37">IF(OR($L37="",IsHidden(BY37)),"",CHOOSE($B37,N($E37)*BY$5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I$186:AI$286)*N($E37),BY$6*N($E37),N($E37),0)+N(BY100))</f>
        <v/>
      </c>
      <c r="BZ37" s="654" t="str">
        <f t="array" ref="BZ37">IF(OR($L37="",IsHidden(BZ37)),"",CHOOSE($B37,N($E37)*BZ$5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J$186:AJ$286)*N($E37),BZ$6*N($E37),N($E37),0)+N(BZ100))</f>
        <v/>
      </c>
      <c r="CA37" s="654" t="str">
        <f t="array" ref="CA37">IF(OR($L37="",IsHidden(CA37)),"",CHOOSE($B37,N($E37)*CA$5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K$186:AK$286)*N($E37),CA$6*N($E37),N($E37),0)+N(CA100))</f>
        <v/>
      </c>
      <c r="CB37" s="654" t="str">
        <f t="array" ref="CB37">IF(OR($L37="",IsHidden(CB37)),"",CHOOSE($B37,N($E37)*CB$5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L$186:AL$286)*N($E37),CB$6*N($E37),N($E37),0)+N(CB100))</f>
        <v/>
      </c>
      <c r="CC37" s="654" t="str">
        <f t="array" ref="CC37">IF(OR($L37="",IsHidden(CC37)),"",CHOOSE($B37,N($E37)*CC$5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M$186:AM$286)*N($E37),CC$6*N($E37),N($E37),0)+N(CC100))</f>
        <v/>
      </c>
      <c r="CD37" s="654" t="str">
        <f t="array" ref="CD37">IF(OR($L37="",IsHidden(CD37)),"",CHOOSE($B37,N($E37)*CD$5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N$186:AN$286)*N($E37),CD$6*N($E37),N($E37),0)+N(CD100))</f>
        <v/>
      </c>
      <c r="CE37" s="654" t="str">
        <f t="array" ref="CE37">IF(OR($L37="",IsHidden(CE37)),"",CHOOSE($B37,N($E37)*CE$5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O$186:AO$286)*N($E37),CE$6*N($E37),N($E37),0)+N(CE100))</f>
        <v/>
      </c>
      <c r="CF37" s="654" t="str">
        <f t="array" ref="CF37">IF(OR($L37="",IsHidden(CF37)),"",CHOOSE($B37,N($E37)*CF$5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P$186:AP$286)*N($E37),CF$6*N($E37),N($E37),0)+N(CF100))</f>
        <v/>
      </c>
      <c r="CG37" s="654" t="str">
        <f t="array" ref="CG37">IF(OR($L37="",IsHidden(CG37)),"",CHOOSE($B37,N($E37)*CG$5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Q$186:AQ$286)*N($E37),CG$6*N($E37),N($E37),0)+N(CG100))</f>
        <v/>
      </c>
      <c r="CH37" s="654" t="str">
        <f t="array" ref="CH37">IF(OR($L37="",IsHidden(CH37)),"",CHOOSE($B37,N($E37)*CH$5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R$186:AR$286)*N($E37),CH$6*N($E37),N($E37),0)+N(CH100))</f>
        <v/>
      </c>
      <c r="CI37" s="654" t="str">
        <f t="array" ref="CI37">IF(OR($L37="",IsHidden(CI37)),"",CHOOSE($B37,N($E37)*CI$5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S$186:AS$286)*N($E37),CI$6*N($E37),N($E37),0)+N(CI100))</f>
        <v/>
      </c>
      <c r="CJ37" s="654" t="str">
        <f t="array" ref="CJ37">IF(OR($L37="",IsHidden(CJ37)),"",CHOOSE($B37,N($E37)*CJ$5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T$186:AT$286)*N($E37),CJ$6*N($E37),N($E37),0)+N(CJ100))</f>
        <v/>
      </c>
      <c r="CK37" s="654" t="str">
        <f t="array" ref="CK37">IF(OR($L37="",IsHidden(CK37)),"",CHOOSE($B37,N($E37)*CK$5,SUMPRODUCT(IF($F$5="Y",1*(Headcount!$B$186:$B$286=IF($F37="",$F$6,$F37)),1+0*ISBLANK(Headcount!$B$186:$B$286)),IF($G$5="Y",1*(Headcount!$C$186:$C$286=IF($G37="",$G$6,$G37)),1+0*ISBLANK(Headcount!$C$186:$C$286)),IF($H$5="Y",1*(Headcount!$D$186:$D$286=IF($H37="",$H$6,$H37)),1+0*ISBLANK(Headcount!$D$186:$D$286)),IF($I$5="Y",1*(Headcount!$E$186:$E$286=IF($I37="",$I$6,$I37)),1+0*ISBLANK(Headcount!$E$186:$E$286)),IF($J$5="Y",1*(Headcount!$F$186:$F$286=IF($J37="",$J$6,$J37)),1+0*ISBLANK(Headcount!$F$186:$F$286)),IF($K$5="Y",1*(Headcount!$G$186:$G$286=IF($K37="",$K$6,$K37)),1+0*ISBLANK(Headcount!$G$186:$G$286)),Headcount!AU$186:AU$286)*N($E37),CK$6*N($E37),N($E37),0)+N(CK100))</f>
        <v/>
      </c>
      <c r="CN37" s="255" t="b">
        <f t="array" ref="CN37">IF($L37="",TRUE,IF(AND(OR($F37&lt;&gt;"",$F$6&lt;&gt;""),OR($G37&lt;&gt;"",$G$6&lt;&gt;""),OR($H37&lt;&gt;"",$H$6&lt;&gt;""),OR($I37&lt;&gt;"",$I$6&lt;&gt;""),OR($J37&lt;&gt;"",$J$6&lt;&gt;""),OR($K37&lt;&gt;"",$K$6&lt;&gt;""),NOT(ISERROR(BB37:CK37)),NOT(ISNA(MATCH(IF($H37="",$H$6,$H37)&amp;IF($G37="",$G$6,$G37),DeptBU,0)))),TRUE,FALSE))</f>
        <v>1</v>
      </c>
      <c r="CP37" s="255" t="str">
        <f t="shared" si="3"/>
        <v/>
      </c>
    </row>
    <row r="38" spans="1:94" s="255" customFormat="1" x14ac:dyDescent="0.35">
      <c r="A38" s="566"/>
      <c r="B38" s="261">
        <f t="shared" si="2"/>
        <v>5</v>
      </c>
      <c r="C38" s="566"/>
      <c r="D38" s="261" t="str">
        <f t="array" aca="1" ref="D38" ca="1">IF($B38&lt;5,AVERAGE(OFFSET($Q38,,Input_ActualsOffset-1,,-$C38)/CHOOSE($B38,OFFSET($Q$5,,Input_ActualsOffset-1,1,-$C38),ss($C38,OFFSET(Actuals!$A$1,1,MATCH("Month "&amp;Input_ActualsOffset,ActualsTable[#Headers],0)-1,ROWS(ActualsTable[#Data]),1),ActualsTable[Company],IF($F$5="Y",IF($F38="",$F$6,$F38),"*"),ActualsTable[Business Unit],IF($G$5="Y",IF($G38="",$G$6,$G38),"*"),ActualsTable[Department],IF($H$5="Y",IF($H38="",$H$6,$H38),"*"),ActualsTable[Team],IF($I$5="Y",IF($P38="",$P$6,$P38),"*"),ActualsTable[Product],IF($J$5="Y",IF($J38="",$J$6,$J38),"*"),ActualsTable[Location],IF($K$5="Y",IF($K38="",$K$6,$K38),"*"),ActualsTable[Expense Item],"Headcount"),OFFSET($Q$6,,Input_ActualsOffset-1,,-$C38),1)),"")</f>
        <v/>
      </c>
      <c r="E38" s="640"/>
      <c r="F38" s="555"/>
      <c r="G38" s="555"/>
      <c r="H38" s="555"/>
      <c r="I38" s="555"/>
      <c r="J38" s="555"/>
      <c r="K38" s="555"/>
      <c r="L38" s="555"/>
      <c r="M38" s="555"/>
      <c r="N38" s="555"/>
      <c r="O38" s="556" t="str">
        <f>IF($L38="","",IF(VLOOKUP(L38,ExpItems[],2,0),L38&amp;" - "&amp;INDEX(DivisionMapping[category_code],MATCH(IF(H38="",$H$6,H38)&amp;IF(G38="",$G$6,G38),DivisionMapping[dept_bu],0)),L38))</f>
        <v/>
      </c>
      <c r="P38" s="556" t="str">
        <f>IF($L38="","",INDEX(Teams[team_consolidation],MATCH(IF($I38="",$I$6,$I38),Teams[team_name],0)))</f>
        <v/>
      </c>
      <c r="Q38" s="657" t="str">
        <f t="array" ref="Q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f>
        <v/>
      </c>
      <c r="R38" s="657" t="str">
        <f t="array" ref="R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f>
        <v/>
      </c>
      <c r="S38" s="657" t="str">
        <f t="array" ref="S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f>
        <v/>
      </c>
      <c r="T38" s="657" t="str">
        <f t="array" ref="T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4]))</f>
        <v/>
      </c>
      <c r="U38" s="657" t="str">
        <f t="array" ref="U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5]))</f>
        <v/>
      </c>
      <c r="V38" s="657" t="str">
        <f t="array" ref="V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6]))</f>
        <v/>
      </c>
      <c r="W38" s="657" t="str">
        <f t="array" ref="W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7]))</f>
        <v/>
      </c>
      <c r="X38" s="657" t="str">
        <f t="array" ref="X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8]))</f>
        <v/>
      </c>
      <c r="Y38" s="657" t="str">
        <f t="array" ref="Y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9]))</f>
        <v/>
      </c>
      <c r="Z38" s="657" t="str">
        <f t="array" ref="Z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10]))</f>
        <v/>
      </c>
      <c r="AA38" s="657" t="str">
        <f t="array" ref="AA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11]))</f>
        <v/>
      </c>
      <c r="AB38" s="657" t="str">
        <f t="array" ref="AB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12]))</f>
        <v/>
      </c>
      <c r="AC38" s="657" t="str">
        <f t="array" ref="AC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13]))</f>
        <v/>
      </c>
      <c r="AD38" s="657" t="str">
        <f t="array" ref="AD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14]))</f>
        <v/>
      </c>
      <c r="AE38" s="657" t="str">
        <f t="array" ref="AE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15]))</f>
        <v/>
      </c>
      <c r="AF38" s="657" t="str">
        <f t="array" ref="AF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16]))</f>
        <v/>
      </c>
      <c r="AG38" s="657" t="str">
        <f t="array" ref="AG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17]))</f>
        <v/>
      </c>
      <c r="AH38" s="657" t="str">
        <f t="array" ref="AH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18]))</f>
        <v/>
      </c>
      <c r="AI38" s="657" t="str">
        <f t="array" ref="AI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19]))</f>
        <v/>
      </c>
      <c r="AJ38" s="657" t="str">
        <f t="array" ref="AJ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20]))</f>
        <v/>
      </c>
      <c r="AK38" s="657" t="str">
        <f t="array" ref="AK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21]))</f>
        <v/>
      </c>
      <c r="AL38" s="657" t="str">
        <f t="array" ref="AL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22]))</f>
        <v/>
      </c>
      <c r="AM38" s="657" t="str">
        <f t="array" ref="AM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23]))</f>
        <v/>
      </c>
      <c r="AN38" s="657" t="str">
        <f t="array" ref="AN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24]))</f>
        <v/>
      </c>
      <c r="AO38" s="657" t="str">
        <f t="array" ref="AO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25]))</f>
        <v/>
      </c>
      <c r="AP38" s="657" t="str">
        <f t="array" ref="AP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26]))</f>
        <v/>
      </c>
      <c r="AQ38" s="657" t="str">
        <f t="array" ref="AQ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27]))</f>
        <v/>
      </c>
      <c r="AR38" s="657" t="str">
        <f t="array" ref="AR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28]))</f>
        <v/>
      </c>
      <c r="AS38" s="657" t="str">
        <f t="array" ref="AS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29]))</f>
        <v/>
      </c>
      <c r="AT38" s="657" t="str">
        <f t="array" ref="AT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30]))</f>
        <v/>
      </c>
      <c r="AU38" s="657" t="str">
        <f t="array" ref="AU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31]))</f>
        <v/>
      </c>
      <c r="AV38" s="657" t="str">
        <f t="array" ref="AV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32]))</f>
        <v/>
      </c>
      <c r="AW38" s="657" t="str">
        <f t="array" ref="AW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33]))</f>
        <v/>
      </c>
      <c r="AX38" s="657" t="str">
        <f t="array" ref="AX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34]))</f>
        <v/>
      </c>
      <c r="AY38" s="657" t="str">
        <f t="array" ref="AY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35]))</f>
        <v/>
      </c>
      <c r="AZ38" s="657" t="str">
        <f t="array" ref="AZ38">IF($L38="","",SUMPRODUCT(IF($F$5="Y",1*(ActualsTable[Company]=IF($F38="",$F$6,$F38)),1+0*ISBLANK(ActualsTable[Company])),IF($G$5="Y",1*(ActualsTable[Business Unit]=IF($G38="",$G$6,$G38)),1+0*ISBLANK(ActualsTable[Business Unit])),IF($H$5="Y",1*(ActualsTable[Department]=IF($H38="",$H$6,$H38)),1+0*ISBLANK(ActualsTable[Department])),IF($I$5="Y",1*(ActualsTable[Team]=IF($P38="",$P$6,$P38)),1+0*ISBLANK(ActualsTable[Team])),IF($J$5="Y",1*(ActualsTable[Product]=IF($J38="",$J$6,$J38)),1+0*ISBLANK(ActualsTable[Product])),IF($K$5="Y",1*(ActualsTable[Location]=IF($K38="",$K$6,$K38)),1+0*ISBLANK(ActualsTable[Location])),1*(ActualsTable[Expense Item]=$L38),ActualsTable[Month 36]))</f>
        <v/>
      </c>
      <c r="BA38" s="257"/>
      <c r="BB38" s="654" t="str">
        <f t="array" ref="BB38">IF(OR($L38="",IsHidden(BB38)),"",CHOOSE($B38,N($E38)*BB$5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L$186:L$286)*N($E38),BB$6*N($E38),N($E38),0)+N(BB101))</f>
        <v/>
      </c>
      <c r="BC38" s="654" t="str">
        <f t="array" ref="BC38">IF(OR($L38="",IsHidden(BC38)),"",CHOOSE($B38,N($E38)*BC$5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M$186:M$286)*N($E38),BC$6*N($E38),N($E38),0)+N(BC101))</f>
        <v/>
      </c>
      <c r="BD38" s="654" t="str">
        <f t="array" ref="BD38">IF(OR($L38="",IsHidden(BD38)),"",CHOOSE($B38,N($E38)*BD$5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N$186:N$286)*N($E38),BD$6*N($E38),N($E38),0)+N(BD101))</f>
        <v/>
      </c>
      <c r="BE38" s="654" t="str">
        <f t="array" ref="BE38">IF(OR($L38="",IsHidden(BE38)),"",CHOOSE($B38,N($E38)*BE$5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O$186:O$286)*N($E38),BE$6*N($E38),N($E38),0)+N(BE101))</f>
        <v/>
      </c>
      <c r="BF38" s="654" t="str">
        <f t="array" ref="BF38">IF(OR($L38="",IsHidden(BF38)),"",CHOOSE($B38,N($E38)*BF$5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P$186:P$286)*N($E38),BF$6*N($E38),N($E38),0)+N(BF101))</f>
        <v/>
      </c>
      <c r="BG38" s="654" t="str">
        <f t="array" ref="BG38">IF(OR($L38="",IsHidden(BG38)),"",CHOOSE($B38,N($E38)*BG$5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Q$186:Q$286)*N($E38),BG$6*N($E38),N($E38),0)+N(BG101))</f>
        <v/>
      </c>
      <c r="BH38" s="654" t="str">
        <f t="array" ref="BH38">IF(OR($L38="",IsHidden(BH38)),"",CHOOSE($B38,N($E38)*BH$5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R$186:R$286)*N($E38),BH$6*N($E38),N($E38),0)+N(BH101))</f>
        <v/>
      </c>
      <c r="BI38" s="654" t="str">
        <f t="array" ref="BI38">IF(OR($L38="",IsHidden(BI38)),"",CHOOSE($B38,N($E38)*BI$5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S$186:S$286)*N($E38),BI$6*N($E38),N($E38),0)+N(BI101))</f>
        <v/>
      </c>
      <c r="BJ38" s="654" t="str">
        <f t="array" ref="BJ38">IF(OR($L38="",IsHidden(BJ38)),"",CHOOSE($B38,N($E38)*BJ$5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T$186:T$286)*N($E38),BJ$6*N($E38),N($E38),0)+N(BJ101))</f>
        <v/>
      </c>
      <c r="BK38" s="654" t="str">
        <f t="array" ref="BK38">IF(OR($L38="",IsHidden(BK38)),"",CHOOSE($B38,N($E38)*BK$5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U$186:U$286)*N($E38),BK$6*N($E38),N($E38),0)+N(BK101))</f>
        <v/>
      </c>
      <c r="BL38" s="654" t="str">
        <f t="array" ref="BL38">IF(OR($L38="",IsHidden(BL38)),"",CHOOSE($B38,N($E38)*BL$5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V$186:V$286)*N($E38),BL$6*N($E38),N($E38),0)+N(BL101))</f>
        <v/>
      </c>
      <c r="BM38" s="654" t="str">
        <f t="array" ref="BM38">IF(OR($L38="",IsHidden(BM38)),"",CHOOSE($B38,N($E38)*BM$5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W$186:W$286)*N($E38),BM$6*N($E38),N($E38),0)+N(BM101))</f>
        <v/>
      </c>
      <c r="BN38" s="654" t="str">
        <f t="array" ref="BN38">IF(OR($L38="",IsHidden(BN38)),"",CHOOSE($B38,N($E38)*BN$5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X$186:X$286)*N($E38),BN$6*N($E38),N($E38),0)+N(BN101))</f>
        <v/>
      </c>
      <c r="BO38" s="654" t="str">
        <f t="array" ref="BO38">IF(OR($L38="",IsHidden(BO38)),"",CHOOSE($B38,N($E38)*BO$5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Y$186:Y$286)*N($E38),BO$6*N($E38),N($E38),0)+N(BO101))</f>
        <v/>
      </c>
      <c r="BP38" s="654" t="str">
        <f t="array" ref="BP38">IF(OR($L38="",IsHidden(BP38)),"",CHOOSE($B38,N($E38)*BP$5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Z$186:Z$286)*N($E38),BP$6*N($E38),N($E38),0)+N(BP101))</f>
        <v/>
      </c>
      <c r="BQ38" s="654" t="str">
        <f t="array" ref="BQ38">IF(OR($L38="",IsHidden(BQ38)),"",CHOOSE($B38,N($E38)*BQ$5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A$186:AA$286)*N($E38),BQ$6*N($E38),N($E38),0)+N(BQ101))</f>
        <v/>
      </c>
      <c r="BR38" s="654" t="str">
        <f t="array" ref="BR38">IF(OR($L38="",IsHidden(BR38)),"",CHOOSE($B38,N($E38)*BR$5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B$186:AB$286)*N($E38),BR$6*N($E38),N($E38),0)+N(BR101))</f>
        <v/>
      </c>
      <c r="BS38" s="654" t="str">
        <f t="array" ref="BS38">IF(OR($L38="",IsHidden(BS38)),"",CHOOSE($B38,N($E38)*BS$5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C$186:AC$286)*N($E38),BS$6*N($E38),N($E38),0)+N(BS101))</f>
        <v/>
      </c>
      <c r="BT38" s="654" t="str">
        <f t="array" ref="BT38">IF(OR($L38="",IsHidden(BT38)),"",CHOOSE($B38,N($E38)*BT$5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D$186:AD$286)*N($E38),BT$6*N($E38),N($E38),0)+N(BT101))</f>
        <v/>
      </c>
      <c r="BU38" s="654" t="str">
        <f t="array" ref="BU38">IF(OR($L38="",IsHidden(BU38)),"",CHOOSE($B38,N($E38)*BU$5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E$186:AE$286)*N($E38),BU$6*N($E38),N($E38),0)+N(BU101))</f>
        <v/>
      </c>
      <c r="BV38" s="654" t="str">
        <f t="array" ref="BV38">IF(OR($L38="",IsHidden(BV38)),"",CHOOSE($B38,N($E38)*BV$5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F$186:AF$286)*N($E38),BV$6*N($E38),N($E38),0)+N(BV101))</f>
        <v/>
      </c>
      <c r="BW38" s="654" t="str">
        <f t="array" ref="BW38">IF(OR($L38="",IsHidden(BW38)),"",CHOOSE($B38,N($E38)*BW$5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G$186:AG$286)*N($E38),BW$6*N($E38),N($E38),0)+N(BW101))</f>
        <v/>
      </c>
      <c r="BX38" s="654" t="str">
        <f t="array" ref="BX38">IF(OR($L38="",IsHidden(BX38)),"",CHOOSE($B38,N($E38)*BX$5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H$186:AH$286)*N($E38),BX$6*N($E38),N($E38),0)+N(BX101))</f>
        <v/>
      </c>
      <c r="BY38" s="654" t="str">
        <f t="array" ref="BY38">IF(OR($L38="",IsHidden(BY38)),"",CHOOSE($B38,N($E38)*BY$5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I$186:AI$286)*N($E38),BY$6*N($E38),N($E38),0)+N(BY101))</f>
        <v/>
      </c>
      <c r="BZ38" s="654" t="str">
        <f t="array" ref="BZ38">IF(OR($L38="",IsHidden(BZ38)),"",CHOOSE($B38,N($E38)*BZ$5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J$186:AJ$286)*N($E38),BZ$6*N($E38),N($E38),0)+N(BZ101))</f>
        <v/>
      </c>
      <c r="CA38" s="654" t="str">
        <f t="array" ref="CA38">IF(OR($L38="",IsHidden(CA38)),"",CHOOSE($B38,N($E38)*CA$5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K$186:AK$286)*N($E38),CA$6*N($E38),N($E38),0)+N(CA101))</f>
        <v/>
      </c>
      <c r="CB38" s="654" t="str">
        <f t="array" ref="CB38">IF(OR($L38="",IsHidden(CB38)),"",CHOOSE($B38,N($E38)*CB$5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L$186:AL$286)*N($E38),CB$6*N($E38),N($E38),0)+N(CB101))</f>
        <v/>
      </c>
      <c r="CC38" s="654" t="str">
        <f t="array" ref="CC38">IF(OR($L38="",IsHidden(CC38)),"",CHOOSE($B38,N($E38)*CC$5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M$186:AM$286)*N($E38),CC$6*N($E38),N($E38),0)+N(CC101))</f>
        <v/>
      </c>
      <c r="CD38" s="654" t="str">
        <f t="array" ref="CD38">IF(OR($L38="",IsHidden(CD38)),"",CHOOSE($B38,N($E38)*CD$5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N$186:AN$286)*N($E38),CD$6*N($E38),N($E38),0)+N(CD101))</f>
        <v/>
      </c>
      <c r="CE38" s="654" t="str">
        <f t="array" ref="CE38">IF(OR($L38="",IsHidden(CE38)),"",CHOOSE($B38,N($E38)*CE$5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O$186:AO$286)*N($E38),CE$6*N($E38),N($E38),0)+N(CE101))</f>
        <v/>
      </c>
      <c r="CF38" s="654" t="str">
        <f t="array" ref="CF38">IF(OR($L38="",IsHidden(CF38)),"",CHOOSE($B38,N($E38)*CF$5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P$186:AP$286)*N($E38),CF$6*N($E38),N($E38),0)+N(CF101))</f>
        <v/>
      </c>
      <c r="CG38" s="654" t="str">
        <f t="array" ref="CG38">IF(OR($L38="",IsHidden(CG38)),"",CHOOSE($B38,N($E38)*CG$5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Q$186:AQ$286)*N($E38),CG$6*N($E38),N($E38),0)+N(CG101))</f>
        <v/>
      </c>
      <c r="CH38" s="654" t="str">
        <f t="array" ref="CH38">IF(OR($L38="",IsHidden(CH38)),"",CHOOSE($B38,N($E38)*CH$5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R$186:AR$286)*N($E38),CH$6*N($E38),N($E38),0)+N(CH101))</f>
        <v/>
      </c>
      <c r="CI38" s="654" t="str">
        <f t="array" ref="CI38">IF(OR($L38="",IsHidden(CI38)),"",CHOOSE($B38,N($E38)*CI$5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S$186:AS$286)*N($E38),CI$6*N($E38),N($E38),0)+N(CI101))</f>
        <v/>
      </c>
      <c r="CJ38" s="654" t="str">
        <f t="array" ref="CJ38">IF(OR($L38="",IsHidden(CJ38)),"",CHOOSE($B38,N($E38)*CJ$5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T$186:AT$286)*N($E38),CJ$6*N($E38),N($E38),0)+N(CJ101))</f>
        <v/>
      </c>
      <c r="CK38" s="654" t="str">
        <f t="array" ref="CK38">IF(OR($L38="",IsHidden(CK38)),"",CHOOSE($B38,N($E38)*CK$5,SUMPRODUCT(IF($F$5="Y",1*(Headcount!$B$186:$B$286=IF($F38="",$F$6,$F38)),1+0*ISBLANK(Headcount!$B$186:$B$286)),IF($G$5="Y",1*(Headcount!$C$186:$C$286=IF($G38="",$G$6,$G38)),1+0*ISBLANK(Headcount!$C$186:$C$286)),IF($H$5="Y",1*(Headcount!$D$186:$D$286=IF($H38="",$H$6,$H38)),1+0*ISBLANK(Headcount!$D$186:$D$286)),IF($I$5="Y",1*(Headcount!$E$186:$E$286=IF($I38="",$I$6,$I38)),1+0*ISBLANK(Headcount!$E$186:$E$286)),IF($J$5="Y",1*(Headcount!$F$186:$F$286=IF($J38="",$J$6,$J38)),1+0*ISBLANK(Headcount!$F$186:$F$286)),IF($K$5="Y",1*(Headcount!$G$186:$G$286=IF($K38="",$K$6,$K38)),1+0*ISBLANK(Headcount!$G$186:$G$286)),Headcount!AU$186:AU$286)*N($E38),CK$6*N($E38),N($E38),0)+N(CK101))</f>
        <v/>
      </c>
      <c r="CN38" s="255" t="b">
        <f t="array" ref="CN38">IF($L38="",TRUE,IF(AND(OR($F38&lt;&gt;"",$F$6&lt;&gt;""),OR($G38&lt;&gt;"",$G$6&lt;&gt;""),OR($H38&lt;&gt;"",$H$6&lt;&gt;""),OR($I38&lt;&gt;"",$I$6&lt;&gt;""),OR($J38&lt;&gt;"",$J$6&lt;&gt;""),OR($K38&lt;&gt;"",$K$6&lt;&gt;""),NOT(ISERROR(BB38:CK38)),NOT(ISNA(MATCH(IF($H38="",$H$6,$H38)&amp;IF($G38="",$G$6,$G38),DeptBU,0)))),TRUE,FALSE))</f>
        <v>1</v>
      </c>
      <c r="CP38" s="255" t="str">
        <f t="shared" si="3"/>
        <v/>
      </c>
    </row>
    <row r="39" spans="1:94" s="255" customFormat="1" x14ac:dyDescent="0.35">
      <c r="A39" s="566"/>
      <c r="B39" s="261">
        <f t="shared" si="2"/>
        <v>5</v>
      </c>
      <c r="C39" s="566"/>
      <c r="D39" s="261" t="str">
        <f t="array" aca="1" ref="D39" ca="1">IF($B39&lt;5,AVERAGE(OFFSET($Q39,,Input_ActualsOffset-1,,-$C39)/CHOOSE($B39,OFFSET($Q$5,,Input_ActualsOffset-1,1,-$C39),ss($C39,OFFSET(Actuals!$A$1,1,MATCH("Month "&amp;Input_ActualsOffset,ActualsTable[#Headers],0)-1,ROWS(ActualsTable[#Data]),1),ActualsTable[Company],IF($F$5="Y",IF($F39="",$F$6,$F39),"*"),ActualsTable[Business Unit],IF($G$5="Y",IF($G39="",$G$6,$G39),"*"),ActualsTable[Department],IF($H$5="Y",IF($H39="",$H$6,$H39),"*"),ActualsTable[Team],IF($I$5="Y",IF($P39="",$P$6,$P39),"*"),ActualsTable[Product],IF($J$5="Y",IF($J39="",$J$6,$J39),"*"),ActualsTable[Location],IF($K$5="Y",IF($K39="",$K$6,$K39),"*"),ActualsTable[Expense Item],"Headcount"),OFFSET($Q$6,,Input_ActualsOffset-1,,-$C39),1)),"")</f>
        <v/>
      </c>
      <c r="E39" s="640"/>
      <c r="F39" s="555"/>
      <c r="G39" s="555"/>
      <c r="H39" s="555"/>
      <c r="I39" s="555"/>
      <c r="J39" s="555"/>
      <c r="K39" s="555"/>
      <c r="L39" s="555"/>
      <c r="M39" s="555"/>
      <c r="N39" s="555"/>
      <c r="O39" s="556" t="str">
        <f>IF($L39="","",IF(VLOOKUP(L39,ExpItems[],2,0),L39&amp;" - "&amp;INDEX(DivisionMapping[category_code],MATCH(IF(H39="",$H$6,H39)&amp;IF(G39="",$G$6,G39),DivisionMapping[dept_bu],0)),L39))</f>
        <v/>
      </c>
      <c r="P39" s="556" t="str">
        <f>IF($L39="","",INDEX(Teams[team_consolidation],MATCH(IF($I39="",$I$6,$I39),Teams[team_name],0)))</f>
        <v/>
      </c>
      <c r="Q39" s="657" t="str">
        <f t="array" ref="Q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f>
        <v/>
      </c>
      <c r="R39" s="657" t="str">
        <f t="array" ref="R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f>
        <v/>
      </c>
      <c r="S39" s="657" t="str">
        <f t="array" ref="S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f>
        <v/>
      </c>
      <c r="T39" s="657" t="str">
        <f t="array" ref="T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4]))</f>
        <v/>
      </c>
      <c r="U39" s="657" t="str">
        <f t="array" ref="U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5]))</f>
        <v/>
      </c>
      <c r="V39" s="657" t="str">
        <f t="array" ref="V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6]))</f>
        <v/>
      </c>
      <c r="W39" s="657" t="str">
        <f t="array" ref="W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7]))</f>
        <v/>
      </c>
      <c r="X39" s="657" t="str">
        <f t="array" ref="X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8]))</f>
        <v/>
      </c>
      <c r="Y39" s="657" t="str">
        <f t="array" ref="Y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9]))</f>
        <v/>
      </c>
      <c r="Z39" s="657" t="str">
        <f t="array" ref="Z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10]))</f>
        <v/>
      </c>
      <c r="AA39" s="657" t="str">
        <f t="array" ref="AA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11]))</f>
        <v/>
      </c>
      <c r="AB39" s="657" t="str">
        <f t="array" ref="AB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12]))</f>
        <v/>
      </c>
      <c r="AC39" s="657" t="str">
        <f t="array" ref="AC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13]))</f>
        <v/>
      </c>
      <c r="AD39" s="657" t="str">
        <f t="array" ref="AD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14]))</f>
        <v/>
      </c>
      <c r="AE39" s="657" t="str">
        <f t="array" ref="AE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15]))</f>
        <v/>
      </c>
      <c r="AF39" s="657" t="str">
        <f t="array" ref="AF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16]))</f>
        <v/>
      </c>
      <c r="AG39" s="657" t="str">
        <f t="array" ref="AG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17]))</f>
        <v/>
      </c>
      <c r="AH39" s="657" t="str">
        <f t="array" ref="AH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18]))</f>
        <v/>
      </c>
      <c r="AI39" s="657" t="str">
        <f t="array" ref="AI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19]))</f>
        <v/>
      </c>
      <c r="AJ39" s="657" t="str">
        <f t="array" ref="AJ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20]))</f>
        <v/>
      </c>
      <c r="AK39" s="657" t="str">
        <f t="array" ref="AK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21]))</f>
        <v/>
      </c>
      <c r="AL39" s="657" t="str">
        <f t="array" ref="AL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22]))</f>
        <v/>
      </c>
      <c r="AM39" s="657" t="str">
        <f t="array" ref="AM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23]))</f>
        <v/>
      </c>
      <c r="AN39" s="657" t="str">
        <f t="array" ref="AN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24]))</f>
        <v/>
      </c>
      <c r="AO39" s="657" t="str">
        <f t="array" ref="AO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25]))</f>
        <v/>
      </c>
      <c r="AP39" s="657" t="str">
        <f t="array" ref="AP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26]))</f>
        <v/>
      </c>
      <c r="AQ39" s="657" t="str">
        <f t="array" ref="AQ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27]))</f>
        <v/>
      </c>
      <c r="AR39" s="657" t="str">
        <f t="array" ref="AR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28]))</f>
        <v/>
      </c>
      <c r="AS39" s="657" t="str">
        <f t="array" ref="AS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29]))</f>
        <v/>
      </c>
      <c r="AT39" s="657" t="str">
        <f t="array" ref="AT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30]))</f>
        <v/>
      </c>
      <c r="AU39" s="657" t="str">
        <f t="array" ref="AU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31]))</f>
        <v/>
      </c>
      <c r="AV39" s="657" t="str">
        <f t="array" ref="AV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32]))</f>
        <v/>
      </c>
      <c r="AW39" s="657" t="str">
        <f t="array" ref="AW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33]))</f>
        <v/>
      </c>
      <c r="AX39" s="657" t="str">
        <f t="array" ref="AX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34]))</f>
        <v/>
      </c>
      <c r="AY39" s="657" t="str">
        <f t="array" ref="AY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35]))</f>
        <v/>
      </c>
      <c r="AZ39" s="657" t="str">
        <f t="array" ref="AZ39">IF($L39="","",SUMPRODUCT(IF($F$5="Y",1*(ActualsTable[Company]=IF($F39="",$F$6,$F39)),1+0*ISBLANK(ActualsTable[Company])),IF($G$5="Y",1*(ActualsTable[Business Unit]=IF($G39="",$G$6,$G39)),1+0*ISBLANK(ActualsTable[Business Unit])),IF($H$5="Y",1*(ActualsTable[Department]=IF($H39="",$H$6,$H39)),1+0*ISBLANK(ActualsTable[Department])),IF($I$5="Y",1*(ActualsTable[Team]=IF($P39="",$P$6,$P39)),1+0*ISBLANK(ActualsTable[Team])),IF($J$5="Y",1*(ActualsTable[Product]=IF($J39="",$J$6,$J39)),1+0*ISBLANK(ActualsTable[Product])),IF($K$5="Y",1*(ActualsTable[Location]=IF($K39="",$K$6,$K39)),1+0*ISBLANK(ActualsTable[Location])),1*(ActualsTable[Expense Item]=$L39),ActualsTable[Month 36]))</f>
        <v/>
      </c>
      <c r="BA39" s="257"/>
      <c r="BB39" s="654" t="str">
        <f t="array" ref="BB39">IF(OR($L39="",IsHidden(BB39)),"",CHOOSE($B39,N($E39)*BB$5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L$186:L$286)*N($E39),BB$6*N($E39),N($E39),0)+N(BB102))</f>
        <v/>
      </c>
      <c r="BC39" s="654" t="str">
        <f t="array" ref="BC39">IF(OR($L39="",IsHidden(BC39)),"",CHOOSE($B39,N($E39)*BC$5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M$186:M$286)*N($E39),BC$6*N($E39),N($E39),0)+N(BC102))</f>
        <v/>
      </c>
      <c r="BD39" s="654" t="str">
        <f t="array" ref="BD39">IF(OR($L39="",IsHidden(BD39)),"",CHOOSE($B39,N($E39)*BD$5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N$186:N$286)*N($E39),BD$6*N($E39),N($E39),0)+N(BD102))</f>
        <v/>
      </c>
      <c r="BE39" s="654" t="str">
        <f t="array" ref="BE39">IF(OR($L39="",IsHidden(BE39)),"",CHOOSE($B39,N($E39)*BE$5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O$186:O$286)*N($E39),BE$6*N($E39),N($E39),0)+N(BE102))</f>
        <v/>
      </c>
      <c r="BF39" s="654" t="str">
        <f t="array" ref="BF39">IF(OR($L39="",IsHidden(BF39)),"",CHOOSE($B39,N($E39)*BF$5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P$186:P$286)*N($E39),BF$6*N($E39),N($E39),0)+N(BF102))</f>
        <v/>
      </c>
      <c r="BG39" s="654" t="str">
        <f t="array" ref="BG39">IF(OR($L39="",IsHidden(BG39)),"",CHOOSE($B39,N($E39)*BG$5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Q$186:Q$286)*N($E39),BG$6*N($E39),N($E39),0)+N(BG102))</f>
        <v/>
      </c>
      <c r="BH39" s="654" t="str">
        <f t="array" ref="BH39">IF(OR($L39="",IsHidden(BH39)),"",CHOOSE($B39,N($E39)*BH$5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R$186:R$286)*N($E39),BH$6*N($E39),N($E39),0)+N(BH102))</f>
        <v/>
      </c>
      <c r="BI39" s="654" t="str">
        <f t="array" ref="BI39">IF(OR($L39="",IsHidden(BI39)),"",CHOOSE($B39,N($E39)*BI$5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S$186:S$286)*N($E39),BI$6*N($E39),N($E39),0)+N(BI102))</f>
        <v/>
      </c>
      <c r="BJ39" s="654" t="str">
        <f t="array" ref="BJ39">IF(OR($L39="",IsHidden(BJ39)),"",CHOOSE($B39,N($E39)*BJ$5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T$186:T$286)*N($E39),BJ$6*N($E39),N($E39),0)+N(BJ102))</f>
        <v/>
      </c>
      <c r="BK39" s="654" t="str">
        <f t="array" ref="BK39">IF(OR($L39="",IsHidden(BK39)),"",CHOOSE($B39,N($E39)*BK$5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U$186:U$286)*N($E39),BK$6*N($E39),N($E39),0)+N(BK102))</f>
        <v/>
      </c>
      <c r="BL39" s="654" t="str">
        <f t="array" ref="BL39">IF(OR($L39="",IsHidden(BL39)),"",CHOOSE($B39,N($E39)*BL$5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V$186:V$286)*N($E39),BL$6*N($E39),N($E39),0)+N(BL102))</f>
        <v/>
      </c>
      <c r="BM39" s="654" t="str">
        <f t="array" ref="BM39">IF(OR($L39="",IsHidden(BM39)),"",CHOOSE($B39,N($E39)*BM$5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W$186:W$286)*N($E39),BM$6*N($E39),N($E39),0)+N(BM102))</f>
        <v/>
      </c>
      <c r="BN39" s="654" t="str">
        <f t="array" ref="BN39">IF(OR($L39="",IsHidden(BN39)),"",CHOOSE($B39,N($E39)*BN$5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X$186:X$286)*N($E39),BN$6*N($E39),N($E39),0)+N(BN102))</f>
        <v/>
      </c>
      <c r="BO39" s="654" t="str">
        <f t="array" ref="BO39">IF(OR($L39="",IsHidden(BO39)),"",CHOOSE($B39,N($E39)*BO$5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Y$186:Y$286)*N($E39),BO$6*N($E39),N($E39),0)+N(BO102))</f>
        <v/>
      </c>
      <c r="BP39" s="654" t="str">
        <f t="array" ref="BP39">IF(OR($L39="",IsHidden(BP39)),"",CHOOSE($B39,N($E39)*BP$5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Z$186:Z$286)*N($E39),BP$6*N($E39),N($E39),0)+N(BP102))</f>
        <v/>
      </c>
      <c r="BQ39" s="654" t="str">
        <f t="array" ref="BQ39">IF(OR($L39="",IsHidden(BQ39)),"",CHOOSE($B39,N($E39)*BQ$5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A$186:AA$286)*N($E39),BQ$6*N($E39),N($E39),0)+N(BQ102))</f>
        <v/>
      </c>
      <c r="BR39" s="654" t="str">
        <f t="array" ref="BR39">IF(OR($L39="",IsHidden(BR39)),"",CHOOSE($B39,N($E39)*BR$5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B$186:AB$286)*N($E39),BR$6*N($E39),N($E39),0)+N(BR102))</f>
        <v/>
      </c>
      <c r="BS39" s="654" t="str">
        <f t="array" ref="BS39">IF(OR($L39="",IsHidden(BS39)),"",CHOOSE($B39,N($E39)*BS$5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C$186:AC$286)*N($E39),BS$6*N($E39),N($E39),0)+N(BS102))</f>
        <v/>
      </c>
      <c r="BT39" s="654" t="str">
        <f t="array" ref="BT39">IF(OR($L39="",IsHidden(BT39)),"",CHOOSE($B39,N($E39)*BT$5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D$186:AD$286)*N($E39),BT$6*N($E39),N($E39),0)+N(BT102))</f>
        <v/>
      </c>
      <c r="BU39" s="654" t="str">
        <f t="array" ref="BU39">IF(OR($L39="",IsHidden(BU39)),"",CHOOSE($B39,N($E39)*BU$5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E$186:AE$286)*N($E39),BU$6*N($E39),N($E39),0)+N(BU102))</f>
        <v/>
      </c>
      <c r="BV39" s="654" t="str">
        <f t="array" ref="BV39">IF(OR($L39="",IsHidden(BV39)),"",CHOOSE($B39,N($E39)*BV$5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F$186:AF$286)*N($E39),BV$6*N($E39),N($E39),0)+N(BV102))</f>
        <v/>
      </c>
      <c r="BW39" s="654" t="str">
        <f t="array" ref="BW39">IF(OR($L39="",IsHidden(BW39)),"",CHOOSE($B39,N($E39)*BW$5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G$186:AG$286)*N($E39),BW$6*N($E39),N($E39),0)+N(BW102))</f>
        <v/>
      </c>
      <c r="BX39" s="654" t="str">
        <f t="array" ref="BX39">IF(OR($L39="",IsHidden(BX39)),"",CHOOSE($B39,N($E39)*BX$5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H$186:AH$286)*N($E39),BX$6*N($E39),N($E39),0)+N(BX102))</f>
        <v/>
      </c>
      <c r="BY39" s="654" t="str">
        <f t="array" ref="BY39">IF(OR($L39="",IsHidden(BY39)),"",CHOOSE($B39,N($E39)*BY$5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I$186:AI$286)*N($E39),BY$6*N($E39),N($E39),0)+N(BY102))</f>
        <v/>
      </c>
      <c r="BZ39" s="654" t="str">
        <f t="array" ref="BZ39">IF(OR($L39="",IsHidden(BZ39)),"",CHOOSE($B39,N($E39)*BZ$5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J$186:AJ$286)*N($E39),BZ$6*N($E39),N($E39),0)+N(BZ102))</f>
        <v/>
      </c>
      <c r="CA39" s="654" t="str">
        <f t="array" ref="CA39">IF(OR($L39="",IsHidden(CA39)),"",CHOOSE($B39,N($E39)*CA$5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K$186:AK$286)*N($E39),CA$6*N($E39),N($E39),0)+N(CA102))</f>
        <v/>
      </c>
      <c r="CB39" s="654" t="str">
        <f t="array" ref="CB39">IF(OR($L39="",IsHidden(CB39)),"",CHOOSE($B39,N($E39)*CB$5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L$186:AL$286)*N($E39),CB$6*N($E39),N($E39),0)+N(CB102))</f>
        <v/>
      </c>
      <c r="CC39" s="654" t="str">
        <f t="array" ref="CC39">IF(OR($L39="",IsHidden(CC39)),"",CHOOSE($B39,N($E39)*CC$5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M$186:AM$286)*N($E39),CC$6*N($E39),N($E39),0)+N(CC102))</f>
        <v/>
      </c>
      <c r="CD39" s="654" t="str">
        <f t="array" ref="CD39">IF(OR($L39="",IsHidden(CD39)),"",CHOOSE($B39,N($E39)*CD$5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N$186:AN$286)*N($E39),CD$6*N($E39),N($E39),0)+N(CD102))</f>
        <v/>
      </c>
      <c r="CE39" s="654" t="str">
        <f t="array" ref="CE39">IF(OR($L39="",IsHidden(CE39)),"",CHOOSE($B39,N($E39)*CE$5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O$186:AO$286)*N($E39),CE$6*N($E39),N($E39),0)+N(CE102))</f>
        <v/>
      </c>
      <c r="CF39" s="654" t="str">
        <f t="array" ref="CF39">IF(OR($L39="",IsHidden(CF39)),"",CHOOSE($B39,N($E39)*CF$5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P$186:AP$286)*N($E39),CF$6*N($E39),N($E39),0)+N(CF102))</f>
        <v/>
      </c>
      <c r="CG39" s="654" t="str">
        <f t="array" ref="CG39">IF(OR($L39="",IsHidden(CG39)),"",CHOOSE($B39,N($E39)*CG$5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Q$186:AQ$286)*N($E39),CG$6*N($E39),N($E39),0)+N(CG102))</f>
        <v/>
      </c>
      <c r="CH39" s="654" t="str">
        <f t="array" ref="CH39">IF(OR($L39="",IsHidden(CH39)),"",CHOOSE($B39,N($E39)*CH$5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R$186:AR$286)*N($E39),CH$6*N($E39),N($E39),0)+N(CH102))</f>
        <v/>
      </c>
      <c r="CI39" s="654" t="str">
        <f t="array" ref="CI39">IF(OR($L39="",IsHidden(CI39)),"",CHOOSE($B39,N($E39)*CI$5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S$186:AS$286)*N($E39),CI$6*N($E39),N($E39),0)+N(CI102))</f>
        <v/>
      </c>
      <c r="CJ39" s="654" t="str">
        <f t="array" ref="CJ39">IF(OR($L39="",IsHidden(CJ39)),"",CHOOSE($B39,N($E39)*CJ$5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T$186:AT$286)*N($E39),CJ$6*N($E39),N($E39),0)+N(CJ102))</f>
        <v/>
      </c>
      <c r="CK39" s="654" t="str">
        <f t="array" ref="CK39">IF(OR($L39="",IsHidden(CK39)),"",CHOOSE($B39,N($E39)*CK$5,SUMPRODUCT(IF($F$5="Y",1*(Headcount!$B$186:$B$286=IF($F39="",$F$6,$F39)),1+0*ISBLANK(Headcount!$B$186:$B$286)),IF($G$5="Y",1*(Headcount!$C$186:$C$286=IF($G39="",$G$6,$G39)),1+0*ISBLANK(Headcount!$C$186:$C$286)),IF($H$5="Y",1*(Headcount!$D$186:$D$286=IF($H39="",$H$6,$H39)),1+0*ISBLANK(Headcount!$D$186:$D$286)),IF($I$5="Y",1*(Headcount!$E$186:$E$286=IF($I39="",$I$6,$I39)),1+0*ISBLANK(Headcount!$E$186:$E$286)),IF($J$5="Y",1*(Headcount!$F$186:$F$286=IF($J39="",$J$6,$J39)),1+0*ISBLANK(Headcount!$F$186:$F$286)),IF($K$5="Y",1*(Headcount!$G$186:$G$286=IF($K39="",$K$6,$K39)),1+0*ISBLANK(Headcount!$G$186:$G$286)),Headcount!AU$186:AU$286)*N($E39),CK$6*N($E39),N($E39),0)+N(CK102))</f>
        <v/>
      </c>
      <c r="CN39" s="255" t="b">
        <f t="array" ref="CN39">IF($L39="",TRUE,IF(AND(OR($F39&lt;&gt;"",$F$6&lt;&gt;""),OR($G39&lt;&gt;"",$G$6&lt;&gt;""),OR($H39&lt;&gt;"",$H$6&lt;&gt;""),OR($I39&lt;&gt;"",$I$6&lt;&gt;""),OR($J39&lt;&gt;"",$J$6&lt;&gt;""),OR($K39&lt;&gt;"",$K$6&lt;&gt;""),NOT(ISERROR(BB39:CK39)),NOT(ISNA(MATCH(IF($H39="",$H$6,$H39)&amp;IF($G39="",$G$6,$G39),DeptBU,0)))),TRUE,FALSE))</f>
        <v>1</v>
      </c>
      <c r="CP39" s="255" t="str">
        <f t="shared" si="3"/>
        <v/>
      </c>
    </row>
    <row r="40" spans="1:94" s="255" customFormat="1" x14ac:dyDescent="0.35">
      <c r="A40" s="566"/>
      <c r="B40" s="261">
        <f t="shared" ref="B40:B57" si="4">IFERROR(VLOOKUP($A40,ForecastMethodLookup,2,0),COUNTA(ForecastMethods))</f>
        <v>5</v>
      </c>
      <c r="C40" s="566"/>
      <c r="D40" s="261" t="str">
        <f t="array" aca="1" ref="D40" ca="1">IF($B40&lt;5,AVERAGE(OFFSET($Q40,,Input_ActualsOffset-1,,-$C40)/CHOOSE($B40,OFFSET($Q$5,,Input_ActualsOffset-1,1,-$C40),ss($C40,OFFSET(Actuals!$A$1,1,MATCH("Month "&amp;Input_ActualsOffset,ActualsTable[#Headers],0)-1,ROWS(ActualsTable[#Data]),1),ActualsTable[Company],IF($F$5="Y",IF($F40="",$F$6,$F40),"*"),ActualsTable[Business Unit],IF($G$5="Y",IF($G40="",$G$6,$G40),"*"),ActualsTable[Department],IF($H$5="Y",IF($H40="",$H$6,$H40),"*"),ActualsTable[Team],IF($I$5="Y",IF($P40="",$P$6,$P40),"*"),ActualsTable[Product],IF($J$5="Y",IF($J40="",$J$6,$J40),"*"),ActualsTable[Location],IF($K$5="Y",IF($K40="",$K$6,$K40),"*"),ActualsTable[Expense Item],"Headcount"),OFFSET($Q$6,,Input_ActualsOffset-1,,-$C40),1)),"")</f>
        <v/>
      </c>
      <c r="E40" s="640"/>
      <c r="F40" s="555"/>
      <c r="G40" s="555"/>
      <c r="H40" s="555"/>
      <c r="I40" s="555"/>
      <c r="J40" s="555"/>
      <c r="K40" s="555"/>
      <c r="L40" s="555"/>
      <c r="M40" s="555"/>
      <c r="N40" s="555"/>
      <c r="O40" s="556" t="str">
        <f>IF($L40="","",IF(VLOOKUP(L40,ExpItems[],2,0),L40&amp;" - "&amp;INDEX(DivisionMapping[category_code],MATCH(IF(H40="",$H$6,H40)&amp;IF(G40="",$G$6,G40),DivisionMapping[dept_bu],0)),L40))</f>
        <v/>
      </c>
      <c r="P40" s="556" t="str">
        <f>IF($L40="","",INDEX(Teams[team_consolidation],MATCH(IF($I40="",$I$6,$I40),Teams[team_name],0)))</f>
        <v/>
      </c>
      <c r="Q40" s="657" t="str">
        <f t="array" ref="Q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f>
        <v/>
      </c>
      <c r="R40" s="657" t="str">
        <f t="array" ref="R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f>
        <v/>
      </c>
      <c r="S40" s="657" t="str">
        <f t="array" ref="S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f>
        <v/>
      </c>
      <c r="T40" s="657" t="str">
        <f t="array" ref="T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4]))</f>
        <v/>
      </c>
      <c r="U40" s="657" t="str">
        <f t="array" ref="U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5]))</f>
        <v/>
      </c>
      <c r="V40" s="657" t="str">
        <f t="array" ref="V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6]))</f>
        <v/>
      </c>
      <c r="W40" s="657" t="str">
        <f t="array" ref="W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7]))</f>
        <v/>
      </c>
      <c r="X40" s="657" t="str">
        <f t="array" ref="X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8]))</f>
        <v/>
      </c>
      <c r="Y40" s="657" t="str">
        <f t="array" ref="Y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9]))</f>
        <v/>
      </c>
      <c r="Z40" s="657" t="str">
        <f t="array" ref="Z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10]))</f>
        <v/>
      </c>
      <c r="AA40" s="657" t="str">
        <f t="array" ref="AA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11]))</f>
        <v/>
      </c>
      <c r="AB40" s="657" t="str">
        <f t="array" ref="AB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12]))</f>
        <v/>
      </c>
      <c r="AC40" s="657" t="str">
        <f t="array" ref="AC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13]))</f>
        <v/>
      </c>
      <c r="AD40" s="657" t="str">
        <f t="array" ref="AD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14]))</f>
        <v/>
      </c>
      <c r="AE40" s="657" t="str">
        <f t="array" ref="AE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15]))</f>
        <v/>
      </c>
      <c r="AF40" s="657" t="str">
        <f t="array" ref="AF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16]))</f>
        <v/>
      </c>
      <c r="AG40" s="657" t="str">
        <f t="array" ref="AG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17]))</f>
        <v/>
      </c>
      <c r="AH40" s="657" t="str">
        <f t="array" ref="AH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18]))</f>
        <v/>
      </c>
      <c r="AI40" s="657" t="str">
        <f t="array" ref="AI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19]))</f>
        <v/>
      </c>
      <c r="AJ40" s="657" t="str">
        <f t="array" ref="AJ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20]))</f>
        <v/>
      </c>
      <c r="AK40" s="657" t="str">
        <f t="array" ref="AK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21]))</f>
        <v/>
      </c>
      <c r="AL40" s="657" t="str">
        <f t="array" ref="AL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22]))</f>
        <v/>
      </c>
      <c r="AM40" s="657" t="str">
        <f t="array" ref="AM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23]))</f>
        <v/>
      </c>
      <c r="AN40" s="657" t="str">
        <f t="array" ref="AN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24]))</f>
        <v/>
      </c>
      <c r="AO40" s="657" t="str">
        <f t="array" ref="AO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25]))</f>
        <v/>
      </c>
      <c r="AP40" s="657" t="str">
        <f t="array" ref="AP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26]))</f>
        <v/>
      </c>
      <c r="AQ40" s="657" t="str">
        <f t="array" ref="AQ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27]))</f>
        <v/>
      </c>
      <c r="AR40" s="657" t="str">
        <f t="array" ref="AR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28]))</f>
        <v/>
      </c>
      <c r="AS40" s="657" t="str">
        <f t="array" ref="AS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29]))</f>
        <v/>
      </c>
      <c r="AT40" s="657" t="str">
        <f t="array" ref="AT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30]))</f>
        <v/>
      </c>
      <c r="AU40" s="657" t="str">
        <f t="array" ref="AU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31]))</f>
        <v/>
      </c>
      <c r="AV40" s="657" t="str">
        <f t="array" ref="AV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32]))</f>
        <v/>
      </c>
      <c r="AW40" s="657" t="str">
        <f t="array" ref="AW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33]))</f>
        <v/>
      </c>
      <c r="AX40" s="657" t="str">
        <f t="array" ref="AX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34]))</f>
        <v/>
      </c>
      <c r="AY40" s="657" t="str">
        <f t="array" ref="AY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35]))</f>
        <v/>
      </c>
      <c r="AZ40" s="657" t="str">
        <f t="array" ref="AZ40">IF($L40="","",SUMPRODUCT(IF($F$5="Y",1*(ActualsTable[Company]=IF($F40="",$F$6,$F40)),1+0*ISBLANK(ActualsTable[Company])),IF($G$5="Y",1*(ActualsTable[Business Unit]=IF($G40="",$G$6,$G40)),1+0*ISBLANK(ActualsTable[Business Unit])),IF($H$5="Y",1*(ActualsTable[Department]=IF($H40="",$H$6,$H40)),1+0*ISBLANK(ActualsTable[Department])),IF($I$5="Y",1*(ActualsTable[Team]=IF($P40="",$P$6,$P40)),1+0*ISBLANK(ActualsTable[Team])),IF($J$5="Y",1*(ActualsTable[Product]=IF($J40="",$J$6,$J40)),1+0*ISBLANK(ActualsTable[Product])),IF($K$5="Y",1*(ActualsTable[Location]=IF($K40="",$K$6,$K40)),1+0*ISBLANK(ActualsTable[Location])),1*(ActualsTable[Expense Item]=$L40),ActualsTable[Month 36]))</f>
        <v/>
      </c>
      <c r="BA40" s="257"/>
      <c r="BB40" s="654" t="str">
        <f t="array" ref="BB40">IF(OR($L40="",IsHidden(BB40)),"",CHOOSE($B40,N($E40)*BB$5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L$186:L$286)*N($E40),BB$6*N($E40),N($E40),0)+N(BB103))</f>
        <v/>
      </c>
      <c r="BC40" s="654" t="str">
        <f t="array" ref="BC40">IF(OR($L40="",IsHidden(BC40)),"",CHOOSE($B40,N($E40)*BC$5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M$186:M$286)*N($E40),BC$6*N($E40),N($E40),0)+N(BC103))</f>
        <v/>
      </c>
      <c r="BD40" s="654" t="str">
        <f t="array" ref="BD40">IF(OR($L40="",IsHidden(BD40)),"",CHOOSE($B40,N($E40)*BD$5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N$186:N$286)*N($E40),BD$6*N($E40),N($E40),0)+N(BD103))</f>
        <v/>
      </c>
      <c r="BE40" s="654" t="str">
        <f t="array" ref="BE40">IF(OR($L40="",IsHidden(BE40)),"",CHOOSE($B40,N($E40)*BE$5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O$186:O$286)*N($E40),BE$6*N($E40),N($E40),0)+N(BE103))</f>
        <v/>
      </c>
      <c r="BF40" s="654" t="str">
        <f t="array" ref="BF40">IF(OR($L40="",IsHidden(BF40)),"",CHOOSE($B40,N($E40)*BF$5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P$186:P$286)*N($E40),BF$6*N($E40),N($E40),0)+N(BF103))</f>
        <v/>
      </c>
      <c r="BG40" s="654" t="str">
        <f t="array" ref="BG40">IF(OR($L40="",IsHidden(BG40)),"",CHOOSE($B40,N($E40)*BG$5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Q$186:Q$286)*N($E40),BG$6*N($E40),N($E40),0)+N(BG103))</f>
        <v/>
      </c>
      <c r="BH40" s="654" t="str">
        <f t="array" ref="BH40">IF(OR($L40="",IsHidden(BH40)),"",CHOOSE($B40,N($E40)*BH$5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R$186:R$286)*N($E40),BH$6*N($E40),N($E40),0)+N(BH103))</f>
        <v/>
      </c>
      <c r="BI40" s="654" t="str">
        <f t="array" ref="BI40">IF(OR($L40="",IsHidden(BI40)),"",CHOOSE($B40,N($E40)*BI$5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S$186:S$286)*N($E40),BI$6*N($E40),N($E40),0)+N(BI103))</f>
        <v/>
      </c>
      <c r="BJ40" s="654" t="str">
        <f t="array" ref="BJ40">IF(OR($L40="",IsHidden(BJ40)),"",CHOOSE($B40,N($E40)*BJ$5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T$186:T$286)*N($E40),BJ$6*N($E40),N($E40),0)+N(BJ103))</f>
        <v/>
      </c>
      <c r="BK40" s="654" t="str">
        <f t="array" ref="BK40">IF(OR($L40="",IsHidden(BK40)),"",CHOOSE($B40,N($E40)*BK$5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U$186:U$286)*N($E40),BK$6*N($E40),N($E40),0)+N(BK103))</f>
        <v/>
      </c>
      <c r="BL40" s="654" t="str">
        <f t="array" ref="BL40">IF(OR($L40="",IsHidden(BL40)),"",CHOOSE($B40,N($E40)*BL$5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V$186:V$286)*N($E40),BL$6*N($E40),N($E40),0)+N(BL103))</f>
        <v/>
      </c>
      <c r="BM40" s="654" t="str">
        <f t="array" ref="BM40">IF(OR($L40="",IsHidden(BM40)),"",CHOOSE($B40,N($E40)*BM$5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W$186:W$286)*N($E40),BM$6*N($E40),N($E40),0)+N(BM103))</f>
        <v/>
      </c>
      <c r="BN40" s="654" t="str">
        <f t="array" ref="BN40">IF(OR($L40="",IsHidden(BN40)),"",CHOOSE($B40,N($E40)*BN$5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X$186:X$286)*N($E40),BN$6*N($E40),N($E40),0)+N(BN103))</f>
        <v/>
      </c>
      <c r="BO40" s="654" t="str">
        <f t="array" ref="BO40">IF(OR($L40="",IsHidden(BO40)),"",CHOOSE($B40,N($E40)*BO$5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Y$186:Y$286)*N($E40),BO$6*N($E40),N($E40),0)+N(BO103))</f>
        <v/>
      </c>
      <c r="BP40" s="654" t="str">
        <f t="array" ref="BP40">IF(OR($L40="",IsHidden(BP40)),"",CHOOSE($B40,N($E40)*BP$5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Z$186:Z$286)*N($E40),BP$6*N($E40),N($E40),0)+N(BP103))</f>
        <v/>
      </c>
      <c r="BQ40" s="654" t="str">
        <f t="array" ref="BQ40">IF(OR($L40="",IsHidden(BQ40)),"",CHOOSE($B40,N($E40)*BQ$5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A$186:AA$286)*N($E40),BQ$6*N($E40),N($E40),0)+N(BQ103))</f>
        <v/>
      </c>
      <c r="BR40" s="654" t="str">
        <f t="array" ref="BR40">IF(OR($L40="",IsHidden(BR40)),"",CHOOSE($B40,N($E40)*BR$5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B$186:AB$286)*N($E40),BR$6*N($E40),N($E40),0)+N(BR103))</f>
        <v/>
      </c>
      <c r="BS40" s="654" t="str">
        <f t="array" ref="BS40">IF(OR($L40="",IsHidden(BS40)),"",CHOOSE($B40,N($E40)*BS$5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C$186:AC$286)*N($E40),BS$6*N($E40),N($E40),0)+N(BS103))</f>
        <v/>
      </c>
      <c r="BT40" s="654" t="str">
        <f t="array" ref="BT40">IF(OR($L40="",IsHidden(BT40)),"",CHOOSE($B40,N($E40)*BT$5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D$186:AD$286)*N($E40),BT$6*N($E40),N($E40),0)+N(BT103))</f>
        <v/>
      </c>
      <c r="BU40" s="654" t="str">
        <f t="array" ref="BU40">IF(OR($L40="",IsHidden(BU40)),"",CHOOSE($B40,N($E40)*BU$5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E$186:AE$286)*N($E40),BU$6*N($E40),N($E40),0)+N(BU103))</f>
        <v/>
      </c>
      <c r="BV40" s="654" t="str">
        <f t="array" ref="BV40">IF(OR($L40="",IsHidden(BV40)),"",CHOOSE($B40,N($E40)*BV$5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F$186:AF$286)*N($E40),BV$6*N($E40),N($E40),0)+N(BV103))</f>
        <v/>
      </c>
      <c r="BW40" s="654" t="str">
        <f t="array" ref="BW40">IF(OR($L40="",IsHidden(BW40)),"",CHOOSE($B40,N($E40)*BW$5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G$186:AG$286)*N($E40),BW$6*N($E40),N($E40),0)+N(BW103))</f>
        <v/>
      </c>
      <c r="BX40" s="654" t="str">
        <f t="array" ref="BX40">IF(OR($L40="",IsHidden(BX40)),"",CHOOSE($B40,N($E40)*BX$5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H$186:AH$286)*N($E40),BX$6*N($E40),N($E40),0)+N(BX103))</f>
        <v/>
      </c>
      <c r="BY40" s="654" t="str">
        <f t="array" ref="BY40">IF(OR($L40="",IsHidden(BY40)),"",CHOOSE($B40,N($E40)*BY$5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I$186:AI$286)*N($E40),BY$6*N($E40),N($E40),0)+N(BY103))</f>
        <v/>
      </c>
      <c r="BZ40" s="654" t="str">
        <f t="array" ref="BZ40">IF(OR($L40="",IsHidden(BZ40)),"",CHOOSE($B40,N($E40)*BZ$5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J$186:AJ$286)*N($E40),BZ$6*N($E40),N($E40),0)+N(BZ103))</f>
        <v/>
      </c>
      <c r="CA40" s="654" t="str">
        <f t="array" ref="CA40">IF(OR($L40="",IsHidden(CA40)),"",CHOOSE($B40,N($E40)*CA$5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K$186:AK$286)*N($E40),CA$6*N($E40),N($E40),0)+N(CA103))</f>
        <v/>
      </c>
      <c r="CB40" s="654" t="str">
        <f t="array" ref="CB40">IF(OR($L40="",IsHidden(CB40)),"",CHOOSE($B40,N($E40)*CB$5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L$186:AL$286)*N($E40),CB$6*N($E40),N($E40),0)+N(CB103))</f>
        <v/>
      </c>
      <c r="CC40" s="654" t="str">
        <f t="array" ref="CC40">IF(OR($L40="",IsHidden(CC40)),"",CHOOSE($B40,N($E40)*CC$5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M$186:AM$286)*N($E40),CC$6*N($E40),N($E40),0)+N(CC103))</f>
        <v/>
      </c>
      <c r="CD40" s="654" t="str">
        <f t="array" ref="CD40">IF(OR($L40="",IsHidden(CD40)),"",CHOOSE($B40,N($E40)*CD$5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N$186:AN$286)*N($E40),CD$6*N($E40),N($E40),0)+N(CD103))</f>
        <v/>
      </c>
      <c r="CE40" s="654" t="str">
        <f t="array" ref="CE40">IF(OR($L40="",IsHidden(CE40)),"",CHOOSE($B40,N($E40)*CE$5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O$186:AO$286)*N($E40),CE$6*N($E40),N($E40),0)+N(CE103))</f>
        <v/>
      </c>
      <c r="CF40" s="654" t="str">
        <f t="array" ref="CF40">IF(OR($L40="",IsHidden(CF40)),"",CHOOSE($B40,N($E40)*CF$5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P$186:AP$286)*N($E40),CF$6*N($E40),N($E40),0)+N(CF103))</f>
        <v/>
      </c>
      <c r="CG40" s="654" t="str">
        <f t="array" ref="CG40">IF(OR($L40="",IsHidden(CG40)),"",CHOOSE($B40,N($E40)*CG$5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Q$186:AQ$286)*N($E40),CG$6*N($E40),N($E40),0)+N(CG103))</f>
        <v/>
      </c>
      <c r="CH40" s="654" t="str">
        <f t="array" ref="CH40">IF(OR($L40="",IsHidden(CH40)),"",CHOOSE($B40,N($E40)*CH$5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R$186:AR$286)*N($E40),CH$6*N($E40),N($E40),0)+N(CH103))</f>
        <v/>
      </c>
      <c r="CI40" s="654" t="str">
        <f t="array" ref="CI40">IF(OR($L40="",IsHidden(CI40)),"",CHOOSE($B40,N($E40)*CI$5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S$186:AS$286)*N($E40),CI$6*N($E40),N($E40),0)+N(CI103))</f>
        <v/>
      </c>
      <c r="CJ40" s="654" t="str">
        <f t="array" ref="CJ40">IF(OR($L40="",IsHidden(CJ40)),"",CHOOSE($B40,N($E40)*CJ$5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T$186:AT$286)*N($E40),CJ$6*N($E40),N($E40),0)+N(CJ103))</f>
        <v/>
      </c>
      <c r="CK40" s="654" t="str">
        <f t="array" ref="CK40">IF(OR($L40="",IsHidden(CK40)),"",CHOOSE($B40,N($E40)*CK$5,SUMPRODUCT(IF($F$5="Y",1*(Headcount!$B$186:$B$286=IF($F40="",$F$6,$F40)),1+0*ISBLANK(Headcount!$B$186:$B$286)),IF($G$5="Y",1*(Headcount!$C$186:$C$286=IF($G40="",$G$6,$G40)),1+0*ISBLANK(Headcount!$C$186:$C$286)),IF($H$5="Y",1*(Headcount!$D$186:$D$286=IF($H40="",$H$6,$H40)),1+0*ISBLANK(Headcount!$D$186:$D$286)),IF($I$5="Y",1*(Headcount!$E$186:$E$286=IF($I40="",$I$6,$I40)),1+0*ISBLANK(Headcount!$E$186:$E$286)),IF($J$5="Y",1*(Headcount!$F$186:$F$286=IF($J40="",$J$6,$J40)),1+0*ISBLANK(Headcount!$F$186:$F$286)),IF($K$5="Y",1*(Headcount!$G$186:$G$286=IF($K40="",$K$6,$K40)),1+0*ISBLANK(Headcount!$G$186:$G$286)),Headcount!AU$186:AU$286)*N($E40),CK$6*N($E40),N($E40),0)+N(CK103))</f>
        <v/>
      </c>
      <c r="CN40" s="255" t="b">
        <f t="array" ref="CN40">IF($L40="",TRUE,IF(AND(OR($F40&lt;&gt;"",$F$6&lt;&gt;""),OR($G40&lt;&gt;"",$G$6&lt;&gt;""),OR($H40&lt;&gt;"",$H$6&lt;&gt;""),OR($I40&lt;&gt;"",$I$6&lt;&gt;""),OR($J40&lt;&gt;"",$J$6&lt;&gt;""),OR($K40&lt;&gt;"",$K$6&lt;&gt;""),NOT(ISERROR(BB40:CK40)),NOT(ISNA(MATCH(IF($H40="",$H$6,$H40)&amp;IF($G40="",$G$6,$G40),DeptBU,0)))),TRUE,FALSE))</f>
        <v>1</v>
      </c>
      <c r="CP40" s="255" t="str">
        <f t="shared" ref="CP40:CP57" si="5">IF($L40="","",SUBSTITUTE("SELECT 'Expenses','Expenses',"&amp;ROW()&amp;",'"&amp;Forecast_Currency&amp;"',NULL,'Forecast','"&amp;SUBSTITUTE(IF($F40="",$F$6,$F40),"'","''")&amp;"','"&amp;SUBSTITUTE(IF($G40="",$G$6,$G40),"'","''")&amp;"','"&amp;SUBSTITUTE(IF($H40="",$H$6,$H40),"'","''")&amp;"','"&amp;SUBSTITUTE(IF($I40="",$I$6,$I40),"'","''")&amp;"','"&amp;SUBSTITUTE(IF($J40="",$J$6,$J40),"'","''")&amp;"','"&amp;SUBSTITUTE(IF($K40="",$K$6,$K40),"'","''")&amp;"','"&amp;SUBSTITUTE($L40,"'","''")&amp;"',"&amp;IF($M40="","NULL","'"&amp;SUBSTITUTE($M40,"'","''")&amp;"'")&amp;","&amp;IF($N40="","NULL","'"&amp;SUBSTITUTE($N40,"'","''")&amp;"'")&amp;","&amp;IF($A40="","NULL","'"&amp;SUBSTITUTE($A40,"'","''")&amp;"'")&amp;","&amp;IF($E40="","NULL",$E40)&amp;","&amp;IF($BB40="","NULL",$BB40)&amp;","&amp;IF($BC40="","NULL",$BC40)&amp;","&amp;IF($BD40="","NULL",$BD40)&amp;","&amp;IF($BE40="","NULL",$BE40)&amp;","&amp;IF($BF40="","NULL",$BF40)&amp;","&amp;IF($BG40="","NULL",$BG40)&amp;","&amp;IF($BH40="","NULL",$BH40)&amp;","&amp;IF($BI40="","NULL",$BI40)&amp;","&amp;IF($BJ40="","NULL",$BJ40)&amp;","&amp;IF($BK40="","NULL",$BK40)&amp;","&amp;IF($BL40="","NULL",$BL40)&amp;","&amp;IF($BM40="","NULL",$BM40)&amp;","&amp;IF($BN40="","NULL",$BN40)&amp;","&amp;IF($BO40="","NULL",$BO40)&amp;","&amp;IF($BP40="","NULL",$BP40)&amp;","&amp;IF($BQ40="","NULL",$BQ40)&amp;","&amp;IF($BR40="","NULL",$BR40)&amp;","&amp;IF($BS40="","NULL",$BS40)&amp;","&amp;IF($BT40="","NULL",$BT40)&amp;","&amp;IF($BU40="","NULL",$BU40)&amp;","&amp;IF($BV40="","NULL",$BV40)&amp;","&amp;IF($BW40="","NULL",$BW40)&amp;","&amp;IF($BX40="","NULL",$BX40)&amp;","&amp;IF($BY40="","NULL",$BY40)&amp;","&amp;IF($BZ40="","NULL",$BZ40)&amp;","&amp;IF($CA40="","NULL",$CA40)&amp;","&amp;IF($CB40="","NULL",$CB40)&amp;","&amp;IF($CC40="","NULL",$CC40)&amp;","&amp;IF($CD40="","NULL",$CD40)&amp;","&amp;IF($CE40="","NULL",$CE40)&amp;","&amp;IF($CF40="","NULL",$CF40)&amp;","&amp;IF($CG40="","NULL",$CG40)&amp;","&amp;IF($CH40="","NULL",$CH40)&amp;","&amp;IF($CI40="","NULL",$CI40)&amp;","&amp;IF($CJ40="","NULL",$CJ40)&amp;","&amp;IF($CK40="","NULL",$CK40),"'","''"))</f>
        <v/>
      </c>
    </row>
    <row r="41" spans="1:94" s="255" customFormat="1" x14ac:dyDescent="0.35">
      <c r="A41" s="566"/>
      <c r="B41" s="261">
        <f t="shared" si="4"/>
        <v>5</v>
      </c>
      <c r="C41" s="566"/>
      <c r="D41" s="261" t="str">
        <f t="array" aca="1" ref="D41" ca="1">IF($B41&lt;5,AVERAGE(OFFSET($Q41,,Input_ActualsOffset-1,,-$C41)/CHOOSE($B41,OFFSET($Q$5,,Input_ActualsOffset-1,1,-$C41),ss($C41,OFFSET(Actuals!$A$1,1,MATCH("Month "&amp;Input_ActualsOffset,ActualsTable[#Headers],0)-1,ROWS(ActualsTable[#Data]),1),ActualsTable[Company],IF($F$5="Y",IF($F41="",$F$6,$F41),"*"),ActualsTable[Business Unit],IF($G$5="Y",IF($G41="",$G$6,$G41),"*"),ActualsTable[Department],IF($H$5="Y",IF($H41="",$H$6,$H41),"*"),ActualsTable[Team],IF($I$5="Y",IF($P41="",$P$6,$P41),"*"),ActualsTable[Product],IF($J$5="Y",IF($J41="",$J$6,$J41),"*"),ActualsTable[Location],IF($K$5="Y",IF($K41="",$K$6,$K41),"*"),ActualsTable[Expense Item],"Headcount"),OFFSET($Q$6,,Input_ActualsOffset-1,,-$C41),1)),"")</f>
        <v/>
      </c>
      <c r="E41" s="640"/>
      <c r="F41" s="555"/>
      <c r="G41" s="555"/>
      <c r="H41" s="555"/>
      <c r="I41" s="555"/>
      <c r="J41" s="555"/>
      <c r="K41" s="555"/>
      <c r="L41" s="555"/>
      <c r="M41" s="555"/>
      <c r="N41" s="555"/>
      <c r="O41" s="556" t="str">
        <f>IF($L41="","",IF(VLOOKUP(L41,ExpItems[],2,0),L41&amp;" - "&amp;INDEX(DivisionMapping[category_code],MATCH(IF(H41="",$H$6,H41)&amp;IF(G41="",$G$6,G41),DivisionMapping[dept_bu],0)),L41))</f>
        <v/>
      </c>
      <c r="P41" s="556" t="str">
        <f>IF($L41="","",INDEX(Teams[team_consolidation],MATCH(IF($I41="",$I$6,$I41),Teams[team_name],0)))</f>
        <v/>
      </c>
      <c r="Q41" s="657" t="str">
        <f t="array" ref="Q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f>
        <v/>
      </c>
      <c r="R41" s="657" t="str">
        <f t="array" ref="R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f>
        <v/>
      </c>
      <c r="S41" s="657" t="str">
        <f t="array" ref="S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f>
        <v/>
      </c>
      <c r="T41" s="657" t="str">
        <f t="array" ref="T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4]))</f>
        <v/>
      </c>
      <c r="U41" s="657" t="str">
        <f t="array" ref="U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5]))</f>
        <v/>
      </c>
      <c r="V41" s="657" t="str">
        <f t="array" ref="V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6]))</f>
        <v/>
      </c>
      <c r="W41" s="657" t="str">
        <f t="array" ref="W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7]))</f>
        <v/>
      </c>
      <c r="X41" s="657" t="str">
        <f t="array" ref="X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8]))</f>
        <v/>
      </c>
      <c r="Y41" s="657" t="str">
        <f t="array" ref="Y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9]))</f>
        <v/>
      </c>
      <c r="Z41" s="657" t="str">
        <f t="array" ref="Z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10]))</f>
        <v/>
      </c>
      <c r="AA41" s="657" t="str">
        <f t="array" ref="AA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11]))</f>
        <v/>
      </c>
      <c r="AB41" s="657" t="str">
        <f t="array" ref="AB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12]))</f>
        <v/>
      </c>
      <c r="AC41" s="657" t="str">
        <f t="array" ref="AC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13]))</f>
        <v/>
      </c>
      <c r="AD41" s="657" t="str">
        <f t="array" ref="AD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14]))</f>
        <v/>
      </c>
      <c r="AE41" s="657" t="str">
        <f t="array" ref="AE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15]))</f>
        <v/>
      </c>
      <c r="AF41" s="657" t="str">
        <f t="array" ref="AF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16]))</f>
        <v/>
      </c>
      <c r="AG41" s="657" t="str">
        <f t="array" ref="AG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17]))</f>
        <v/>
      </c>
      <c r="AH41" s="657" t="str">
        <f t="array" ref="AH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18]))</f>
        <v/>
      </c>
      <c r="AI41" s="657" t="str">
        <f t="array" ref="AI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19]))</f>
        <v/>
      </c>
      <c r="AJ41" s="657" t="str">
        <f t="array" ref="AJ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20]))</f>
        <v/>
      </c>
      <c r="AK41" s="657" t="str">
        <f t="array" ref="AK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21]))</f>
        <v/>
      </c>
      <c r="AL41" s="657" t="str">
        <f t="array" ref="AL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22]))</f>
        <v/>
      </c>
      <c r="AM41" s="657" t="str">
        <f t="array" ref="AM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23]))</f>
        <v/>
      </c>
      <c r="AN41" s="657" t="str">
        <f t="array" ref="AN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24]))</f>
        <v/>
      </c>
      <c r="AO41" s="657" t="str">
        <f t="array" ref="AO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25]))</f>
        <v/>
      </c>
      <c r="AP41" s="657" t="str">
        <f t="array" ref="AP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26]))</f>
        <v/>
      </c>
      <c r="AQ41" s="657" t="str">
        <f t="array" ref="AQ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27]))</f>
        <v/>
      </c>
      <c r="AR41" s="657" t="str">
        <f t="array" ref="AR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28]))</f>
        <v/>
      </c>
      <c r="AS41" s="657" t="str">
        <f t="array" ref="AS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29]))</f>
        <v/>
      </c>
      <c r="AT41" s="657" t="str">
        <f t="array" ref="AT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30]))</f>
        <v/>
      </c>
      <c r="AU41" s="657" t="str">
        <f t="array" ref="AU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31]))</f>
        <v/>
      </c>
      <c r="AV41" s="657" t="str">
        <f t="array" ref="AV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32]))</f>
        <v/>
      </c>
      <c r="AW41" s="657" t="str">
        <f t="array" ref="AW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33]))</f>
        <v/>
      </c>
      <c r="AX41" s="657" t="str">
        <f t="array" ref="AX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34]))</f>
        <v/>
      </c>
      <c r="AY41" s="657" t="str">
        <f t="array" ref="AY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35]))</f>
        <v/>
      </c>
      <c r="AZ41" s="657" t="str">
        <f t="array" ref="AZ41">IF($L41="","",SUMPRODUCT(IF($F$5="Y",1*(ActualsTable[Company]=IF($F41="",$F$6,$F41)),1+0*ISBLANK(ActualsTable[Company])),IF($G$5="Y",1*(ActualsTable[Business Unit]=IF($G41="",$G$6,$G41)),1+0*ISBLANK(ActualsTable[Business Unit])),IF($H$5="Y",1*(ActualsTable[Department]=IF($H41="",$H$6,$H41)),1+0*ISBLANK(ActualsTable[Department])),IF($I$5="Y",1*(ActualsTable[Team]=IF($P41="",$P$6,$P41)),1+0*ISBLANK(ActualsTable[Team])),IF($J$5="Y",1*(ActualsTable[Product]=IF($J41="",$J$6,$J41)),1+0*ISBLANK(ActualsTable[Product])),IF($K$5="Y",1*(ActualsTable[Location]=IF($K41="",$K$6,$K41)),1+0*ISBLANK(ActualsTable[Location])),1*(ActualsTable[Expense Item]=$L41),ActualsTable[Month 36]))</f>
        <v/>
      </c>
      <c r="BA41" s="257"/>
      <c r="BB41" s="654" t="str">
        <f t="array" ref="BB41">IF(OR($L41="",IsHidden(BB41)),"",CHOOSE($B41,N($E41)*BB$5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L$186:L$286)*N($E41),BB$6*N($E41),N($E41),0)+N(BB104))</f>
        <v/>
      </c>
      <c r="BC41" s="654" t="str">
        <f t="array" ref="BC41">IF(OR($L41="",IsHidden(BC41)),"",CHOOSE($B41,N($E41)*BC$5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M$186:M$286)*N($E41),BC$6*N($E41),N($E41),0)+N(BC104))</f>
        <v/>
      </c>
      <c r="BD41" s="654" t="str">
        <f t="array" ref="BD41">IF(OR($L41="",IsHidden(BD41)),"",CHOOSE($B41,N($E41)*BD$5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N$186:N$286)*N($E41),BD$6*N($E41),N($E41),0)+N(BD104))</f>
        <v/>
      </c>
      <c r="BE41" s="654" t="str">
        <f t="array" ref="BE41">IF(OR($L41="",IsHidden(BE41)),"",CHOOSE($B41,N($E41)*BE$5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O$186:O$286)*N($E41),BE$6*N($E41),N($E41),0)+N(BE104))</f>
        <v/>
      </c>
      <c r="BF41" s="654" t="str">
        <f t="array" ref="BF41">IF(OR($L41="",IsHidden(BF41)),"",CHOOSE($B41,N($E41)*BF$5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P$186:P$286)*N($E41),BF$6*N($E41),N($E41),0)+N(BF104))</f>
        <v/>
      </c>
      <c r="BG41" s="654" t="str">
        <f t="array" ref="BG41">IF(OR($L41="",IsHidden(BG41)),"",CHOOSE($B41,N($E41)*BG$5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Q$186:Q$286)*N($E41),BG$6*N($E41),N($E41),0)+N(BG104))</f>
        <v/>
      </c>
      <c r="BH41" s="654" t="str">
        <f t="array" ref="BH41">IF(OR($L41="",IsHidden(BH41)),"",CHOOSE($B41,N($E41)*BH$5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R$186:R$286)*N($E41),BH$6*N($E41),N($E41),0)+N(BH104))</f>
        <v/>
      </c>
      <c r="BI41" s="654" t="str">
        <f t="array" ref="BI41">IF(OR($L41="",IsHidden(BI41)),"",CHOOSE($B41,N($E41)*BI$5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S$186:S$286)*N($E41),BI$6*N($E41),N($E41),0)+N(BI104))</f>
        <v/>
      </c>
      <c r="BJ41" s="654" t="str">
        <f t="array" ref="BJ41">IF(OR($L41="",IsHidden(BJ41)),"",CHOOSE($B41,N($E41)*BJ$5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T$186:T$286)*N($E41),BJ$6*N($E41),N($E41),0)+N(BJ104))</f>
        <v/>
      </c>
      <c r="BK41" s="654" t="str">
        <f t="array" ref="BK41">IF(OR($L41="",IsHidden(BK41)),"",CHOOSE($B41,N($E41)*BK$5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U$186:U$286)*N($E41),BK$6*N($E41),N($E41),0)+N(BK104))</f>
        <v/>
      </c>
      <c r="BL41" s="654" t="str">
        <f t="array" ref="BL41">IF(OR($L41="",IsHidden(BL41)),"",CHOOSE($B41,N($E41)*BL$5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V$186:V$286)*N($E41),BL$6*N($E41),N($E41),0)+N(BL104))</f>
        <v/>
      </c>
      <c r="BM41" s="654" t="str">
        <f t="array" ref="BM41">IF(OR($L41="",IsHidden(BM41)),"",CHOOSE($B41,N($E41)*BM$5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W$186:W$286)*N($E41),BM$6*N($E41),N($E41),0)+N(BM104))</f>
        <v/>
      </c>
      <c r="BN41" s="654" t="str">
        <f t="array" ref="BN41">IF(OR($L41="",IsHidden(BN41)),"",CHOOSE($B41,N($E41)*BN$5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X$186:X$286)*N($E41),BN$6*N($E41),N($E41),0)+N(BN104))</f>
        <v/>
      </c>
      <c r="BO41" s="654" t="str">
        <f t="array" ref="BO41">IF(OR($L41="",IsHidden(BO41)),"",CHOOSE($B41,N($E41)*BO$5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Y$186:Y$286)*N($E41),BO$6*N($E41),N($E41),0)+N(BO104))</f>
        <v/>
      </c>
      <c r="BP41" s="654" t="str">
        <f t="array" ref="BP41">IF(OR($L41="",IsHidden(BP41)),"",CHOOSE($B41,N($E41)*BP$5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Z$186:Z$286)*N($E41),BP$6*N($E41),N($E41),0)+N(BP104))</f>
        <v/>
      </c>
      <c r="BQ41" s="654" t="str">
        <f t="array" ref="BQ41">IF(OR($L41="",IsHidden(BQ41)),"",CHOOSE($B41,N($E41)*BQ$5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A$186:AA$286)*N($E41),BQ$6*N($E41),N($E41),0)+N(BQ104))</f>
        <v/>
      </c>
      <c r="BR41" s="654" t="str">
        <f t="array" ref="BR41">IF(OR($L41="",IsHidden(BR41)),"",CHOOSE($B41,N($E41)*BR$5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B$186:AB$286)*N($E41),BR$6*N($E41),N($E41),0)+N(BR104))</f>
        <v/>
      </c>
      <c r="BS41" s="654" t="str">
        <f t="array" ref="BS41">IF(OR($L41="",IsHidden(BS41)),"",CHOOSE($B41,N($E41)*BS$5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C$186:AC$286)*N($E41),BS$6*N($E41),N($E41),0)+N(BS104))</f>
        <v/>
      </c>
      <c r="BT41" s="654" t="str">
        <f t="array" ref="BT41">IF(OR($L41="",IsHidden(BT41)),"",CHOOSE($B41,N($E41)*BT$5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D$186:AD$286)*N($E41),BT$6*N($E41),N($E41),0)+N(BT104))</f>
        <v/>
      </c>
      <c r="BU41" s="654" t="str">
        <f t="array" ref="BU41">IF(OR($L41="",IsHidden(BU41)),"",CHOOSE($B41,N($E41)*BU$5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E$186:AE$286)*N($E41),BU$6*N($E41),N($E41),0)+N(BU104))</f>
        <v/>
      </c>
      <c r="BV41" s="654" t="str">
        <f t="array" ref="BV41">IF(OR($L41="",IsHidden(BV41)),"",CHOOSE($B41,N($E41)*BV$5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F$186:AF$286)*N($E41),BV$6*N($E41),N($E41),0)+N(BV104))</f>
        <v/>
      </c>
      <c r="BW41" s="654" t="str">
        <f t="array" ref="BW41">IF(OR($L41="",IsHidden(BW41)),"",CHOOSE($B41,N($E41)*BW$5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G$186:AG$286)*N($E41),BW$6*N($E41),N($E41),0)+N(BW104))</f>
        <v/>
      </c>
      <c r="BX41" s="654" t="str">
        <f t="array" ref="BX41">IF(OR($L41="",IsHidden(BX41)),"",CHOOSE($B41,N($E41)*BX$5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H$186:AH$286)*N($E41),BX$6*N($E41),N($E41),0)+N(BX104))</f>
        <v/>
      </c>
      <c r="BY41" s="654" t="str">
        <f t="array" ref="BY41">IF(OR($L41="",IsHidden(BY41)),"",CHOOSE($B41,N($E41)*BY$5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I$186:AI$286)*N($E41),BY$6*N($E41),N($E41),0)+N(BY104))</f>
        <v/>
      </c>
      <c r="BZ41" s="654" t="str">
        <f t="array" ref="BZ41">IF(OR($L41="",IsHidden(BZ41)),"",CHOOSE($B41,N($E41)*BZ$5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J$186:AJ$286)*N($E41),BZ$6*N($E41),N($E41),0)+N(BZ104))</f>
        <v/>
      </c>
      <c r="CA41" s="654" t="str">
        <f t="array" ref="CA41">IF(OR($L41="",IsHidden(CA41)),"",CHOOSE($B41,N($E41)*CA$5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K$186:AK$286)*N($E41),CA$6*N($E41),N($E41),0)+N(CA104))</f>
        <v/>
      </c>
      <c r="CB41" s="654" t="str">
        <f t="array" ref="CB41">IF(OR($L41="",IsHidden(CB41)),"",CHOOSE($B41,N($E41)*CB$5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L$186:AL$286)*N($E41),CB$6*N($E41),N($E41),0)+N(CB104))</f>
        <v/>
      </c>
      <c r="CC41" s="654" t="str">
        <f t="array" ref="CC41">IF(OR($L41="",IsHidden(CC41)),"",CHOOSE($B41,N($E41)*CC$5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M$186:AM$286)*N($E41),CC$6*N($E41),N($E41),0)+N(CC104))</f>
        <v/>
      </c>
      <c r="CD41" s="654" t="str">
        <f t="array" ref="CD41">IF(OR($L41="",IsHidden(CD41)),"",CHOOSE($B41,N($E41)*CD$5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N$186:AN$286)*N($E41),CD$6*N($E41),N($E41),0)+N(CD104))</f>
        <v/>
      </c>
      <c r="CE41" s="654" t="str">
        <f t="array" ref="CE41">IF(OR($L41="",IsHidden(CE41)),"",CHOOSE($B41,N($E41)*CE$5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O$186:AO$286)*N($E41),CE$6*N($E41),N($E41),0)+N(CE104))</f>
        <v/>
      </c>
      <c r="CF41" s="654" t="str">
        <f t="array" ref="CF41">IF(OR($L41="",IsHidden(CF41)),"",CHOOSE($B41,N($E41)*CF$5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P$186:AP$286)*N($E41),CF$6*N($E41),N($E41),0)+N(CF104))</f>
        <v/>
      </c>
      <c r="CG41" s="654" t="str">
        <f t="array" ref="CG41">IF(OR($L41="",IsHidden(CG41)),"",CHOOSE($B41,N($E41)*CG$5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Q$186:AQ$286)*N($E41),CG$6*N($E41),N($E41),0)+N(CG104))</f>
        <v/>
      </c>
      <c r="CH41" s="654" t="str">
        <f t="array" ref="CH41">IF(OR($L41="",IsHidden(CH41)),"",CHOOSE($B41,N($E41)*CH$5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R$186:AR$286)*N($E41),CH$6*N($E41),N($E41),0)+N(CH104))</f>
        <v/>
      </c>
      <c r="CI41" s="654" t="str">
        <f t="array" ref="CI41">IF(OR($L41="",IsHidden(CI41)),"",CHOOSE($B41,N($E41)*CI$5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S$186:AS$286)*N($E41),CI$6*N($E41),N($E41),0)+N(CI104))</f>
        <v/>
      </c>
      <c r="CJ41" s="654" t="str">
        <f t="array" ref="CJ41">IF(OR($L41="",IsHidden(CJ41)),"",CHOOSE($B41,N($E41)*CJ$5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T$186:AT$286)*N($E41),CJ$6*N($E41),N($E41),0)+N(CJ104))</f>
        <v/>
      </c>
      <c r="CK41" s="654" t="str">
        <f t="array" ref="CK41">IF(OR($L41="",IsHidden(CK41)),"",CHOOSE($B41,N($E41)*CK$5,SUMPRODUCT(IF($F$5="Y",1*(Headcount!$B$186:$B$286=IF($F41="",$F$6,$F41)),1+0*ISBLANK(Headcount!$B$186:$B$286)),IF($G$5="Y",1*(Headcount!$C$186:$C$286=IF($G41="",$G$6,$G41)),1+0*ISBLANK(Headcount!$C$186:$C$286)),IF($H$5="Y",1*(Headcount!$D$186:$D$286=IF($H41="",$H$6,$H41)),1+0*ISBLANK(Headcount!$D$186:$D$286)),IF($I$5="Y",1*(Headcount!$E$186:$E$286=IF($I41="",$I$6,$I41)),1+0*ISBLANK(Headcount!$E$186:$E$286)),IF($J$5="Y",1*(Headcount!$F$186:$F$286=IF($J41="",$J$6,$J41)),1+0*ISBLANK(Headcount!$F$186:$F$286)),IF($K$5="Y",1*(Headcount!$G$186:$G$286=IF($K41="",$K$6,$K41)),1+0*ISBLANK(Headcount!$G$186:$G$286)),Headcount!AU$186:AU$286)*N($E41),CK$6*N($E41),N($E41),0)+N(CK104))</f>
        <v/>
      </c>
      <c r="CN41" s="255" t="b">
        <f t="array" ref="CN41">IF($L41="",TRUE,IF(AND(OR($F41&lt;&gt;"",$F$6&lt;&gt;""),OR($G41&lt;&gt;"",$G$6&lt;&gt;""),OR($H41&lt;&gt;"",$H$6&lt;&gt;""),OR($I41&lt;&gt;"",$I$6&lt;&gt;""),OR($J41&lt;&gt;"",$J$6&lt;&gt;""),OR($K41&lt;&gt;"",$K$6&lt;&gt;""),NOT(ISERROR(BB41:CK41)),NOT(ISNA(MATCH(IF($H41="",$H$6,$H41)&amp;IF($G41="",$G$6,$G41),DeptBU,0)))),TRUE,FALSE))</f>
        <v>1</v>
      </c>
      <c r="CP41" s="255" t="str">
        <f t="shared" si="5"/>
        <v/>
      </c>
    </row>
    <row r="42" spans="1:94" s="255" customFormat="1" x14ac:dyDescent="0.35">
      <c r="A42" s="566"/>
      <c r="B42" s="261">
        <f t="shared" si="4"/>
        <v>5</v>
      </c>
      <c r="C42" s="566"/>
      <c r="D42" s="261" t="str">
        <f t="array" aca="1" ref="D42" ca="1">IF($B42&lt;5,AVERAGE(OFFSET($Q42,,Input_ActualsOffset-1,,-$C42)/CHOOSE($B42,OFFSET($Q$5,,Input_ActualsOffset-1,1,-$C42),ss($C42,OFFSET(Actuals!$A$1,1,MATCH("Month "&amp;Input_ActualsOffset,ActualsTable[#Headers],0)-1,ROWS(ActualsTable[#Data]),1),ActualsTable[Company],IF($F$5="Y",IF($F42="",$F$6,$F42),"*"),ActualsTable[Business Unit],IF($G$5="Y",IF($G42="",$G$6,$G42),"*"),ActualsTable[Department],IF($H$5="Y",IF($H42="",$H$6,$H42),"*"),ActualsTable[Team],IF($I$5="Y",IF($P42="",$P$6,$P42),"*"),ActualsTable[Product],IF($J$5="Y",IF($J42="",$J$6,$J42),"*"),ActualsTable[Location],IF($K$5="Y",IF($K42="",$K$6,$K42),"*"),ActualsTable[Expense Item],"Headcount"),OFFSET($Q$6,,Input_ActualsOffset-1,,-$C42),1)),"")</f>
        <v/>
      </c>
      <c r="E42" s="640"/>
      <c r="F42" s="555"/>
      <c r="G42" s="555"/>
      <c r="H42" s="555"/>
      <c r="I42" s="555"/>
      <c r="J42" s="555"/>
      <c r="K42" s="555"/>
      <c r="L42" s="555"/>
      <c r="M42" s="555"/>
      <c r="N42" s="555"/>
      <c r="O42" s="556" t="str">
        <f>IF($L42="","",IF(VLOOKUP(L42,ExpItems[],2,0),L42&amp;" - "&amp;INDEX(DivisionMapping[category_code],MATCH(IF(H42="",$H$6,H42)&amp;IF(G42="",$G$6,G42),DivisionMapping[dept_bu],0)),L42))</f>
        <v/>
      </c>
      <c r="P42" s="556" t="str">
        <f>IF($L42="","",INDEX(Teams[team_consolidation],MATCH(IF($I42="",$I$6,$I42),Teams[team_name],0)))</f>
        <v/>
      </c>
      <c r="Q42" s="657" t="str">
        <f t="array" ref="Q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f>
        <v/>
      </c>
      <c r="R42" s="657" t="str">
        <f t="array" ref="R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f>
        <v/>
      </c>
      <c r="S42" s="657" t="str">
        <f t="array" ref="S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f>
        <v/>
      </c>
      <c r="T42" s="657" t="str">
        <f t="array" ref="T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4]))</f>
        <v/>
      </c>
      <c r="U42" s="657" t="str">
        <f t="array" ref="U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5]))</f>
        <v/>
      </c>
      <c r="V42" s="657" t="str">
        <f t="array" ref="V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6]))</f>
        <v/>
      </c>
      <c r="W42" s="657" t="str">
        <f t="array" ref="W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7]))</f>
        <v/>
      </c>
      <c r="X42" s="657" t="str">
        <f t="array" ref="X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8]))</f>
        <v/>
      </c>
      <c r="Y42" s="657" t="str">
        <f t="array" ref="Y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9]))</f>
        <v/>
      </c>
      <c r="Z42" s="657" t="str">
        <f t="array" ref="Z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10]))</f>
        <v/>
      </c>
      <c r="AA42" s="657" t="str">
        <f t="array" ref="AA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11]))</f>
        <v/>
      </c>
      <c r="AB42" s="657" t="str">
        <f t="array" ref="AB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12]))</f>
        <v/>
      </c>
      <c r="AC42" s="657" t="str">
        <f t="array" ref="AC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13]))</f>
        <v/>
      </c>
      <c r="AD42" s="657" t="str">
        <f t="array" ref="AD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14]))</f>
        <v/>
      </c>
      <c r="AE42" s="657" t="str">
        <f t="array" ref="AE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15]))</f>
        <v/>
      </c>
      <c r="AF42" s="657" t="str">
        <f t="array" ref="AF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16]))</f>
        <v/>
      </c>
      <c r="AG42" s="657" t="str">
        <f t="array" ref="AG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17]))</f>
        <v/>
      </c>
      <c r="AH42" s="657" t="str">
        <f t="array" ref="AH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18]))</f>
        <v/>
      </c>
      <c r="AI42" s="657" t="str">
        <f t="array" ref="AI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19]))</f>
        <v/>
      </c>
      <c r="AJ42" s="657" t="str">
        <f t="array" ref="AJ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20]))</f>
        <v/>
      </c>
      <c r="AK42" s="657" t="str">
        <f t="array" ref="AK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21]))</f>
        <v/>
      </c>
      <c r="AL42" s="657" t="str">
        <f t="array" ref="AL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22]))</f>
        <v/>
      </c>
      <c r="AM42" s="657" t="str">
        <f t="array" ref="AM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23]))</f>
        <v/>
      </c>
      <c r="AN42" s="657" t="str">
        <f t="array" ref="AN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24]))</f>
        <v/>
      </c>
      <c r="AO42" s="657" t="str">
        <f t="array" ref="AO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25]))</f>
        <v/>
      </c>
      <c r="AP42" s="657" t="str">
        <f t="array" ref="AP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26]))</f>
        <v/>
      </c>
      <c r="AQ42" s="657" t="str">
        <f t="array" ref="AQ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27]))</f>
        <v/>
      </c>
      <c r="AR42" s="657" t="str">
        <f t="array" ref="AR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28]))</f>
        <v/>
      </c>
      <c r="AS42" s="657" t="str">
        <f t="array" ref="AS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29]))</f>
        <v/>
      </c>
      <c r="AT42" s="657" t="str">
        <f t="array" ref="AT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30]))</f>
        <v/>
      </c>
      <c r="AU42" s="657" t="str">
        <f t="array" ref="AU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31]))</f>
        <v/>
      </c>
      <c r="AV42" s="657" t="str">
        <f t="array" ref="AV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32]))</f>
        <v/>
      </c>
      <c r="AW42" s="657" t="str">
        <f t="array" ref="AW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33]))</f>
        <v/>
      </c>
      <c r="AX42" s="657" t="str">
        <f t="array" ref="AX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34]))</f>
        <v/>
      </c>
      <c r="AY42" s="657" t="str">
        <f t="array" ref="AY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35]))</f>
        <v/>
      </c>
      <c r="AZ42" s="657" t="str">
        <f t="array" ref="AZ42">IF($L42="","",SUMPRODUCT(IF($F$5="Y",1*(ActualsTable[Company]=IF($F42="",$F$6,$F42)),1+0*ISBLANK(ActualsTable[Company])),IF($G$5="Y",1*(ActualsTable[Business Unit]=IF($G42="",$G$6,$G42)),1+0*ISBLANK(ActualsTable[Business Unit])),IF($H$5="Y",1*(ActualsTable[Department]=IF($H42="",$H$6,$H42)),1+0*ISBLANK(ActualsTable[Department])),IF($I$5="Y",1*(ActualsTable[Team]=IF($P42="",$P$6,$P42)),1+0*ISBLANK(ActualsTable[Team])),IF($J$5="Y",1*(ActualsTable[Product]=IF($J42="",$J$6,$J42)),1+0*ISBLANK(ActualsTable[Product])),IF($K$5="Y",1*(ActualsTable[Location]=IF($K42="",$K$6,$K42)),1+0*ISBLANK(ActualsTable[Location])),1*(ActualsTable[Expense Item]=$L42),ActualsTable[Month 36]))</f>
        <v/>
      </c>
      <c r="BA42" s="257"/>
      <c r="BB42" s="654" t="str">
        <f t="array" ref="BB42">IF(OR($L42="",IsHidden(BB42)),"",CHOOSE($B42,N($E42)*BB$5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L$186:L$286)*N($E42),BB$6*N($E42),N($E42),0)+N(BB105))</f>
        <v/>
      </c>
      <c r="BC42" s="654" t="str">
        <f t="array" ref="BC42">IF(OR($L42="",IsHidden(BC42)),"",CHOOSE($B42,N($E42)*BC$5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M$186:M$286)*N($E42),BC$6*N($E42),N($E42),0)+N(BC105))</f>
        <v/>
      </c>
      <c r="BD42" s="654" t="str">
        <f t="array" ref="BD42">IF(OR($L42="",IsHidden(BD42)),"",CHOOSE($B42,N($E42)*BD$5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N$186:N$286)*N($E42),BD$6*N($E42),N($E42),0)+N(BD105))</f>
        <v/>
      </c>
      <c r="BE42" s="654" t="str">
        <f t="array" ref="BE42">IF(OR($L42="",IsHidden(BE42)),"",CHOOSE($B42,N($E42)*BE$5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O$186:O$286)*N($E42),BE$6*N($E42),N($E42),0)+N(BE105))</f>
        <v/>
      </c>
      <c r="BF42" s="654" t="str">
        <f t="array" ref="BF42">IF(OR($L42="",IsHidden(BF42)),"",CHOOSE($B42,N($E42)*BF$5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P$186:P$286)*N($E42),BF$6*N($E42),N($E42),0)+N(BF105))</f>
        <v/>
      </c>
      <c r="BG42" s="654" t="str">
        <f t="array" ref="BG42">IF(OR($L42="",IsHidden(BG42)),"",CHOOSE($B42,N($E42)*BG$5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Q$186:Q$286)*N($E42),BG$6*N($E42),N($E42),0)+N(BG105))</f>
        <v/>
      </c>
      <c r="BH42" s="654" t="str">
        <f t="array" ref="BH42">IF(OR($L42="",IsHidden(BH42)),"",CHOOSE($B42,N($E42)*BH$5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R$186:R$286)*N($E42),BH$6*N($E42),N($E42),0)+N(BH105))</f>
        <v/>
      </c>
      <c r="BI42" s="654" t="str">
        <f t="array" ref="BI42">IF(OR($L42="",IsHidden(BI42)),"",CHOOSE($B42,N($E42)*BI$5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S$186:S$286)*N($E42),BI$6*N($E42),N($E42),0)+N(BI105))</f>
        <v/>
      </c>
      <c r="BJ42" s="654" t="str">
        <f t="array" ref="BJ42">IF(OR($L42="",IsHidden(BJ42)),"",CHOOSE($B42,N($E42)*BJ$5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T$186:T$286)*N($E42),BJ$6*N($E42),N($E42),0)+N(BJ105))</f>
        <v/>
      </c>
      <c r="BK42" s="654" t="str">
        <f t="array" ref="BK42">IF(OR($L42="",IsHidden(BK42)),"",CHOOSE($B42,N($E42)*BK$5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U$186:U$286)*N($E42),BK$6*N($E42),N($E42),0)+N(BK105))</f>
        <v/>
      </c>
      <c r="BL42" s="654" t="str">
        <f t="array" ref="BL42">IF(OR($L42="",IsHidden(BL42)),"",CHOOSE($B42,N($E42)*BL$5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V$186:V$286)*N($E42),BL$6*N($E42),N($E42),0)+N(BL105))</f>
        <v/>
      </c>
      <c r="BM42" s="654" t="str">
        <f t="array" ref="BM42">IF(OR($L42="",IsHidden(BM42)),"",CHOOSE($B42,N($E42)*BM$5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W$186:W$286)*N($E42),BM$6*N($E42),N($E42),0)+N(BM105))</f>
        <v/>
      </c>
      <c r="BN42" s="654" t="str">
        <f t="array" ref="BN42">IF(OR($L42="",IsHidden(BN42)),"",CHOOSE($B42,N($E42)*BN$5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X$186:X$286)*N($E42),BN$6*N($E42),N($E42),0)+N(BN105))</f>
        <v/>
      </c>
      <c r="BO42" s="654" t="str">
        <f t="array" ref="BO42">IF(OR($L42="",IsHidden(BO42)),"",CHOOSE($B42,N($E42)*BO$5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Y$186:Y$286)*N($E42),BO$6*N($E42),N($E42),0)+N(BO105))</f>
        <v/>
      </c>
      <c r="BP42" s="654" t="str">
        <f t="array" ref="BP42">IF(OR($L42="",IsHidden(BP42)),"",CHOOSE($B42,N($E42)*BP$5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Z$186:Z$286)*N($E42),BP$6*N($E42),N($E42),0)+N(BP105))</f>
        <v/>
      </c>
      <c r="BQ42" s="654" t="str">
        <f t="array" ref="BQ42">IF(OR($L42="",IsHidden(BQ42)),"",CHOOSE($B42,N($E42)*BQ$5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A$186:AA$286)*N($E42),BQ$6*N($E42),N($E42),0)+N(BQ105))</f>
        <v/>
      </c>
      <c r="BR42" s="654" t="str">
        <f t="array" ref="BR42">IF(OR($L42="",IsHidden(BR42)),"",CHOOSE($B42,N($E42)*BR$5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B$186:AB$286)*N($E42),BR$6*N($E42),N($E42),0)+N(BR105))</f>
        <v/>
      </c>
      <c r="BS42" s="654" t="str">
        <f t="array" ref="BS42">IF(OR($L42="",IsHidden(BS42)),"",CHOOSE($B42,N($E42)*BS$5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C$186:AC$286)*N($E42),BS$6*N($E42),N($E42),0)+N(BS105))</f>
        <v/>
      </c>
      <c r="BT42" s="654" t="str">
        <f t="array" ref="BT42">IF(OR($L42="",IsHidden(BT42)),"",CHOOSE($B42,N($E42)*BT$5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D$186:AD$286)*N($E42),BT$6*N($E42),N($E42),0)+N(BT105))</f>
        <v/>
      </c>
      <c r="BU42" s="654" t="str">
        <f t="array" ref="BU42">IF(OR($L42="",IsHidden(BU42)),"",CHOOSE($B42,N($E42)*BU$5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E$186:AE$286)*N($E42),BU$6*N($E42),N($E42),0)+N(BU105))</f>
        <v/>
      </c>
      <c r="BV42" s="654" t="str">
        <f t="array" ref="BV42">IF(OR($L42="",IsHidden(BV42)),"",CHOOSE($B42,N($E42)*BV$5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F$186:AF$286)*N($E42),BV$6*N($E42),N($E42),0)+N(BV105))</f>
        <v/>
      </c>
      <c r="BW42" s="654" t="str">
        <f t="array" ref="BW42">IF(OR($L42="",IsHidden(BW42)),"",CHOOSE($B42,N($E42)*BW$5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G$186:AG$286)*N($E42),BW$6*N($E42),N($E42),0)+N(BW105))</f>
        <v/>
      </c>
      <c r="BX42" s="654" t="str">
        <f t="array" ref="BX42">IF(OR($L42="",IsHidden(BX42)),"",CHOOSE($B42,N($E42)*BX$5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H$186:AH$286)*N($E42),BX$6*N($E42),N($E42),0)+N(BX105))</f>
        <v/>
      </c>
      <c r="BY42" s="654" t="str">
        <f t="array" ref="BY42">IF(OR($L42="",IsHidden(BY42)),"",CHOOSE($B42,N($E42)*BY$5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I$186:AI$286)*N($E42),BY$6*N($E42),N($E42),0)+N(BY105))</f>
        <v/>
      </c>
      <c r="BZ42" s="654" t="str">
        <f t="array" ref="BZ42">IF(OR($L42="",IsHidden(BZ42)),"",CHOOSE($B42,N($E42)*BZ$5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J$186:AJ$286)*N($E42),BZ$6*N($E42),N($E42),0)+N(BZ105))</f>
        <v/>
      </c>
      <c r="CA42" s="654" t="str">
        <f t="array" ref="CA42">IF(OR($L42="",IsHidden(CA42)),"",CHOOSE($B42,N($E42)*CA$5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K$186:AK$286)*N($E42),CA$6*N($E42),N($E42),0)+N(CA105))</f>
        <v/>
      </c>
      <c r="CB42" s="654" t="str">
        <f t="array" ref="CB42">IF(OR($L42="",IsHidden(CB42)),"",CHOOSE($B42,N($E42)*CB$5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L$186:AL$286)*N($E42),CB$6*N($E42),N($E42),0)+N(CB105))</f>
        <v/>
      </c>
      <c r="CC42" s="654" t="str">
        <f t="array" ref="CC42">IF(OR($L42="",IsHidden(CC42)),"",CHOOSE($B42,N($E42)*CC$5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M$186:AM$286)*N($E42),CC$6*N($E42),N($E42),0)+N(CC105))</f>
        <v/>
      </c>
      <c r="CD42" s="654" t="str">
        <f t="array" ref="CD42">IF(OR($L42="",IsHidden(CD42)),"",CHOOSE($B42,N($E42)*CD$5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N$186:AN$286)*N($E42),CD$6*N($E42),N($E42),0)+N(CD105))</f>
        <v/>
      </c>
      <c r="CE42" s="654" t="str">
        <f t="array" ref="CE42">IF(OR($L42="",IsHidden(CE42)),"",CHOOSE($B42,N($E42)*CE$5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O$186:AO$286)*N($E42),CE$6*N($E42),N($E42),0)+N(CE105))</f>
        <v/>
      </c>
      <c r="CF42" s="654" t="str">
        <f t="array" ref="CF42">IF(OR($L42="",IsHidden(CF42)),"",CHOOSE($B42,N($E42)*CF$5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P$186:AP$286)*N($E42),CF$6*N($E42),N($E42),0)+N(CF105))</f>
        <v/>
      </c>
      <c r="CG42" s="654" t="str">
        <f t="array" ref="CG42">IF(OR($L42="",IsHidden(CG42)),"",CHOOSE($B42,N($E42)*CG$5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Q$186:AQ$286)*N($E42),CG$6*N($E42),N($E42),0)+N(CG105))</f>
        <v/>
      </c>
      <c r="CH42" s="654" t="str">
        <f t="array" ref="CH42">IF(OR($L42="",IsHidden(CH42)),"",CHOOSE($B42,N($E42)*CH$5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R$186:AR$286)*N($E42),CH$6*N($E42),N($E42),0)+N(CH105))</f>
        <v/>
      </c>
      <c r="CI42" s="654" t="str">
        <f t="array" ref="CI42">IF(OR($L42="",IsHidden(CI42)),"",CHOOSE($B42,N($E42)*CI$5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S$186:AS$286)*N($E42),CI$6*N($E42),N($E42),0)+N(CI105))</f>
        <v/>
      </c>
      <c r="CJ42" s="654" t="str">
        <f t="array" ref="CJ42">IF(OR($L42="",IsHidden(CJ42)),"",CHOOSE($B42,N($E42)*CJ$5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T$186:AT$286)*N($E42),CJ$6*N($E42),N($E42),0)+N(CJ105))</f>
        <v/>
      </c>
      <c r="CK42" s="654" t="str">
        <f t="array" ref="CK42">IF(OR($L42="",IsHidden(CK42)),"",CHOOSE($B42,N($E42)*CK$5,SUMPRODUCT(IF($F$5="Y",1*(Headcount!$B$186:$B$286=IF($F42="",$F$6,$F42)),1+0*ISBLANK(Headcount!$B$186:$B$286)),IF($G$5="Y",1*(Headcount!$C$186:$C$286=IF($G42="",$G$6,$G42)),1+0*ISBLANK(Headcount!$C$186:$C$286)),IF($H$5="Y",1*(Headcount!$D$186:$D$286=IF($H42="",$H$6,$H42)),1+0*ISBLANK(Headcount!$D$186:$D$286)),IF($I$5="Y",1*(Headcount!$E$186:$E$286=IF($I42="",$I$6,$I42)),1+0*ISBLANK(Headcount!$E$186:$E$286)),IF($J$5="Y",1*(Headcount!$F$186:$F$286=IF($J42="",$J$6,$J42)),1+0*ISBLANK(Headcount!$F$186:$F$286)),IF($K$5="Y",1*(Headcount!$G$186:$G$286=IF($K42="",$K$6,$K42)),1+0*ISBLANK(Headcount!$G$186:$G$286)),Headcount!AU$186:AU$286)*N($E42),CK$6*N($E42),N($E42),0)+N(CK105))</f>
        <v/>
      </c>
      <c r="CN42" s="255" t="b">
        <f t="array" ref="CN42">IF($L42="",TRUE,IF(AND(OR($F42&lt;&gt;"",$F$6&lt;&gt;""),OR($G42&lt;&gt;"",$G$6&lt;&gt;""),OR($H42&lt;&gt;"",$H$6&lt;&gt;""),OR($I42&lt;&gt;"",$I$6&lt;&gt;""),OR($J42&lt;&gt;"",$J$6&lt;&gt;""),OR($K42&lt;&gt;"",$K$6&lt;&gt;""),NOT(ISERROR(BB42:CK42)),NOT(ISNA(MATCH(IF($H42="",$H$6,$H42)&amp;IF($G42="",$G$6,$G42),DeptBU,0)))),TRUE,FALSE))</f>
        <v>1</v>
      </c>
      <c r="CP42" s="255" t="str">
        <f t="shared" si="5"/>
        <v/>
      </c>
    </row>
    <row r="43" spans="1:94" s="335" customFormat="1" x14ac:dyDescent="0.35">
      <c r="A43" s="566"/>
      <c r="B43" s="261">
        <f t="shared" si="4"/>
        <v>5</v>
      </c>
      <c r="C43" s="566"/>
      <c r="D43" s="261" t="str">
        <f t="array" aca="1" ref="D43" ca="1">IF($B43&lt;5,AVERAGE(OFFSET($Q43,,Input_ActualsOffset-1,,-$C43)/CHOOSE($B43,OFFSET($Q$5,,Input_ActualsOffset-1,1,-$C43),ss($C43,OFFSET(Actuals!$A$1,1,MATCH("Month "&amp;Input_ActualsOffset,ActualsTable[#Headers],0)-1,ROWS(ActualsTable[#Data]),1),ActualsTable[Company],IF($F$5="Y",IF($F43="",$F$6,$F43),"*"),ActualsTable[Business Unit],IF($G$5="Y",IF($G43="",$G$6,$G43),"*"),ActualsTable[Department],IF($H$5="Y",IF($H43="",$H$6,$H43),"*"),ActualsTable[Team],IF($I$5="Y",IF($P43="",$P$6,$P43),"*"),ActualsTable[Product],IF($J$5="Y",IF($J43="",$J$6,$J43),"*"),ActualsTable[Location],IF($K$5="Y",IF($K43="",$K$6,$K43),"*"),ActualsTable[Expense Item],"Headcount"),OFFSET($Q$6,,Input_ActualsOffset-1,,-$C43),1)),"")</f>
        <v/>
      </c>
      <c r="E43" s="640"/>
      <c r="F43" s="555"/>
      <c r="G43" s="555"/>
      <c r="H43" s="555"/>
      <c r="I43" s="555"/>
      <c r="J43" s="555"/>
      <c r="K43" s="555"/>
      <c r="L43" s="555"/>
      <c r="M43" s="555"/>
      <c r="N43" s="555"/>
      <c r="O43" s="556" t="str">
        <f>IF($L43="","",IF(VLOOKUP(L43,ExpItems[],2,0),L43&amp;" - "&amp;INDEX(DivisionMapping[category_code],MATCH(IF(H43="",$H$6,H43)&amp;IF(G43="",$G$6,G43),DivisionMapping[dept_bu],0)),L43))</f>
        <v/>
      </c>
      <c r="P43" s="556" t="str">
        <f>IF($L43="","",INDEX(Teams[team_consolidation],MATCH(IF($I43="",$I$6,$I43),Teams[team_name],0)))</f>
        <v/>
      </c>
      <c r="Q43" s="657" t="str">
        <f t="array" ref="Q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f>
        <v/>
      </c>
      <c r="R43" s="657" t="str">
        <f t="array" ref="R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f>
        <v/>
      </c>
      <c r="S43" s="657" t="str">
        <f t="array" ref="S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f>
        <v/>
      </c>
      <c r="T43" s="657" t="str">
        <f t="array" ref="T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4]))</f>
        <v/>
      </c>
      <c r="U43" s="657" t="str">
        <f t="array" ref="U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5]))</f>
        <v/>
      </c>
      <c r="V43" s="657" t="str">
        <f t="array" ref="V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6]))</f>
        <v/>
      </c>
      <c r="W43" s="657" t="str">
        <f t="array" ref="W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7]))</f>
        <v/>
      </c>
      <c r="X43" s="657" t="str">
        <f t="array" ref="X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8]))</f>
        <v/>
      </c>
      <c r="Y43" s="657" t="str">
        <f t="array" ref="Y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9]))</f>
        <v/>
      </c>
      <c r="Z43" s="657" t="str">
        <f t="array" ref="Z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10]))</f>
        <v/>
      </c>
      <c r="AA43" s="657" t="str">
        <f t="array" ref="AA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11]))</f>
        <v/>
      </c>
      <c r="AB43" s="657" t="str">
        <f t="array" ref="AB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12]))</f>
        <v/>
      </c>
      <c r="AC43" s="657" t="str">
        <f t="array" ref="AC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13]))</f>
        <v/>
      </c>
      <c r="AD43" s="657" t="str">
        <f t="array" ref="AD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14]))</f>
        <v/>
      </c>
      <c r="AE43" s="657" t="str">
        <f t="array" ref="AE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15]))</f>
        <v/>
      </c>
      <c r="AF43" s="657" t="str">
        <f t="array" ref="AF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16]))</f>
        <v/>
      </c>
      <c r="AG43" s="657" t="str">
        <f t="array" ref="AG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17]))</f>
        <v/>
      </c>
      <c r="AH43" s="657" t="str">
        <f t="array" ref="AH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18]))</f>
        <v/>
      </c>
      <c r="AI43" s="657" t="str">
        <f t="array" ref="AI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19]))</f>
        <v/>
      </c>
      <c r="AJ43" s="657" t="str">
        <f t="array" ref="AJ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20]))</f>
        <v/>
      </c>
      <c r="AK43" s="657" t="str">
        <f t="array" ref="AK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21]))</f>
        <v/>
      </c>
      <c r="AL43" s="657" t="str">
        <f t="array" ref="AL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22]))</f>
        <v/>
      </c>
      <c r="AM43" s="657" t="str">
        <f t="array" ref="AM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23]))</f>
        <v/>
      </c>
      <c r="AN43" s="657" t="str">
        <f t="array" ref="AN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24]))</f>
        <v/>
      </c>
      <c r="AO43" s="657" t="str">
        <f t="array" ref="AO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25]))</f>
        <v/>
      </c>
      <c r="AP43" s="657" t="str">
        <f t="array" ref="AP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26]))</f>
        <v/>
      </c>
      <c r="AQ43" s="657" t="str">
        <f t="array" ref="AQ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27]))</f>
        <v/>
      </c>
      <c r="AR43" s="657" t="str">
        <f t="array" ref="AR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28]))</f>
        <v/>
      </c>
      <c r="AS43" s="657" t="str">
        <f t="array" ref="AS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29]))</f>
        <v/>
      </c>
      <c r="AT43" s="657" t="str">
        <f t="array" ref="AT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30]))</f>
        <v/>
      </c>
      <c r="AU43" s="657" t="str">
        <f t="array" ref="AU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31]))</f>
        <v/>
      </c>
      <c r="AV43" s="657" t="str">
        <f t="array" ref="AV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32]))</f>
        <v/>
      </c>
      <c r="AW43" s="657" t="str">
        <f t="array" ref="AW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33]))</f>
        <v/>
      </c>
      <c r="AX43" s="657" t="str">
        <f t="array" ref="AX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34]))</f>
        <v/>
      </c>
      <c r="AY43" s="657" t="str">
        <f t="array" ref="AY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35]))</f>
        <v/>
      </c>
      <c r="AZ43" s="657" t="str">
        <f t="array" ref="AZ43">IF($L43="","",SUMPRODUCT(IF($F$5="Y",1*(ActualsTable[Company]=IF($F43="",$F$6,$F43)),1+0*ISBLANK(ActualsTable[Company])),IF($G$5="Y",1*(ActualsTable[Business Unit]=IF($G43="",$G$6,$G43)),1+0*ISBLANK(ActualsTable[Business Unit])),IF($H$5="Y",1*(ActualsTable[Department]=IF($H43="",$H$6,$H43)),1+0*ISBLANK(ActualsTable[Department])),IF($I$5="Y",1*(ActualsTable[Team]=IF($P43="",$P$6,$P43)),1+0*ISBLANK(ActualsTable[Team])),IF($J$5="Y",1*(ActualsTable[Product]=IF($J43="",$J$6,$J43)),1+0*ISBLANK(ActualsTable[Product])),IF($K$5="Y",1*(ActualsTable[Location]=IF($K43="",$K$6,$K43)),1+0*ISBLANK(ActualsTable[Location])),1*(ActualsTable[Expense Item]=$L43),ActualsTable[Month 36]))</f>
        <v/>
      </c>
      <c r="BA43" s="257"/>
      <c r="BB43" s="654" t="str">
        <f t="array" ref="BB43">IF(OR($L43="",IsHidden(BB43)),"",CHOOSE($B43,N($E43)*BB$5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L$186:L$286)*N($E43),BB$6*N($E43),N($E43),0)+N(BB106))</f>
        <v/>
      </c>
      <c r="BC43" s="654" t="str">
        <f t="array" ref="BC43">IF(OR($L43="",IsHidden(BC43)),"",CHOOSE($B43,N($E43)*BC$5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M$186:M$286)*N($E43),BC$6*N($E43),N($E43),0)+N(BC106))</f>
        <v/>
      </c>
      <c r="BD43" s="654" t="str">
        <f t="array" ref="BD43">IF(OR($L43="",IsHidden(BD43)),"",CHOOSE($B43,N($E43)*BD$5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N$186:N$286)*N($E43),BD$6*N($E43),N($E43),0)+N(BD106))</f>
        <v/>
      </c>
      <c r="BE43" s="654" t="str">
        <f t="array" ref="BE43">IF(OR($L43="",IsHidden(BE43)),"",CHOOSE($B43,N($E43)*BE$5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O$186:O$286)*N($E43),BE$6*N($E43),N($E43),0)+N(BE106))</f>
        <v/>
      </c>
      <c r="BF43" s="654" t="str">
        <f t="array" ref="BF43">IF(OR($L43="",IsHidden(BF43)),"",CHOOSE($B43,N($E43)*BF$5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P$186:P$286)*N($E43),BF$6*N($E43),N($E43),0)+N(BF106))</f>
        <v/>
      </c>
      <c r="BG43" s="654" t="str">
        <f t="array" ref="BG43">IF(OR($L43="",IsHidden(BG43)),"",CHOOSE($B43,N($E43)*BG$5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Q$186:Q$286)*N($E43),BG$6*N($E43),N($E43),0)+N(BG106))</f>
        <v/>
      </c>
      <c r="BH43" s="654" t="str">
        <f t="array" ref="BH43">IF(OR($L43="",IsHidden(BH43)),"",CHOOSE($B43,N($E43)*BH$5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R$186:R$286)*N($E43),BH$6*N($E43),N($E43),0)+N(BH106))</f>
        <v/>
      </c>
      <c r="BI43" s="654" t="str">
        <f t="array" ref="BI43">IF(OR($L43="",IsHidden(BI43)),"",CHOOSE($B43,N($E43)*BI$5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S$186:S$286)*N($E43),BI$6*N($E43),N($E43),0)+N(BI106))</f>
        <v/>
      </c>
      <c r="BJ43" s="654" t="str">
        <f t="array" ref="BJ43">IF(OR($L43="",IsHidden(BJ43)),"",CHOOSE($B43,N($E43)*BJ$5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T$186:T$286)*N($E43),BJ$6*N($E43),N($E43),0)+N(BJ106))</f>
        <v/>
      </c>
      <c r="BK43" s="654" t="str">
        <f t="array" ref="BK43">IF(OR($L43="",IsHidden(BK43)),"",CHOOSE($B43,N($E43)*BK$5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U$186:U$286)*N($E43),BK$6*N($E43),N($E43),0)+N(BK106))</f>
        <v/>
      </c>
      <c r="BL43" s="654" t="str">
        <f t="array" ref="BL43">IF(OR($L43="",IsHidden(BL43)),"",CHOOSE($B43,N($E43)*BL$5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V$186:V$286)*N($E43),BL$6*N($E43),N($E43),0)+N(BL106))</f>
        <v/>
      </c>
      <c r="BM43" s="654" t="str">
        <f t="array" ref="BM43">IF(OR($L43="",IsHidden(BM43)),"",CHOOSE($B43,N($E43)*BM$5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W$186:W$286)*N($E43),BM$6*N($E43),N($E43),0)+N(BM106))</f>
        <v/>
      </c>
      <c r="BN43" s="654" t="str">
        <f t="array" ref="BN43">IF(OR($L43="",IsHidden(BN43)),"",CHOOSE($B43,N($E43)*BN$5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X$186:X$286)*N($E43),BN$6*N($E43),N($E43),0)+N(BN106))</f>
        <v/>
      </c>
      <c r="BO43" s="654" t="str">
        <f t="array" ref="BO43">IF(OR($L43="",IsHidden(BO43)),"",CHOOSE($B43,N($E43)*BO$5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Y$186:Y$286)*N($E43),BO$6*N($E43),N($E43),0)+N(BO106))</f>
        <v/>
      </c>
      <c r="BP43" s="654" t="str">
        <f t="array" ref="BP43">IF(OR($L43="",IsHidden(BP43)),"",CHOOSE($B43,N($E43)*BP$5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Z$186:Z$286)*N($E43),BP$6*N($E43),N($E43),0)+N(BP106))</f>
        <v/>
      </c>
      <c r="BQ43" s="654" t="str">
        <f t="array" ref="BQ43">IF(OR($L43="",IsHidden(BQ43)),"",CHOOSE($B43,N($E43)*BQ$5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A$186:AA$286)*N($E43),BQ$6*N($E43),N($E43),0)+N(BQ106))</f>
        <v/>
      </c>
      <c r="BR43" s="654" t="str">
        <f t="array" ref="BR43">IF(OR($L43="",IsHidden(BR43)),"",CHOOSE($B43,N($E43)*BR$5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B$186:AB$286)*N($E43),BR$6*N($E43),N($E43),0)+N(BR106))</f>
        <v/>
      </c>
      <c r="BS43" s="654" t="str">
        <f t="array" ref="BS43">IF(OR($L43="",IsHidden(BS43)),"",CHOOSE($B43,N($E43)*BS$5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C$186:AC$286)*N($E43),BS$6*N($E43),N($E43),0)+N(BS106))</f>
        <v/>
      </c>
      <c r="BT43" s="654" t="str">
        <f t="array" ref="BT43">IF(OR($L43="",IsHidden(BT43)),"",CHOOSE($B43,N($E43)*BT$5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D$186:AD$286)*N($E43),BT$6*N($E43),N($E43),0)+N(BT106))</f>
        <v/>
      </c>
      <c r="BU43" s="654" t="str">
        <f t="array" ref="BU43">IF(OR($L43="",IsHidden(BU43)),"",CHOOSE($B43,N($E43)*BU$5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E$186:AE$286)*N($E43),BU$6*N($E43),N($E43),0)+N(BU106))</f>
        <v/>
      </c>
      <c r="BV43" s="654" t="str">
        <f t="array" ref="BV43">IF(OR($L43="",IsHidden(BV43)),"",CHOOSE($B43,N($E43)*BV$5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F$186:AF$286)*N($E43),BV$6*N($E43),N($E43),0)+N(BV106))</f>
        <v/>
      </c>
      <c r="BW43" s="654" t="str">
        <f t="array" ref="BW43">IF(OR($L43="",IsHidden(BW43)),"",CHOOSE($B43,N($E43)*BW$5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G$186:AG$286)*N($E43),BW$6*N($E43),N($E43),0)+N(BW106))</f>
        <v/>
      </c>
      <c r="BX43" s="654" t="str">
        <f t="array" ref="BX43">IF(OR($L43="",IsHidden(BX43)),"",CHOOSE($B43,N($E43)*BX$5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H$186:AH$286)*N($E43),BX$6*N($E43),N($E43),0)+N(BX106))</f>
        <v/>
      </c>
      <c r="BY43" s="654" t="str">
        <f t="array" ref="BY43">IF(OR($L43="",IsHidden(BY43)),"",CHOOSE($B43,N($E43)*BY$5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I$186:AI$286)*N($E43),BY$6*N($E43),N($E43),0)+N(BY106))</f>
        <v/>
      </c>
      <c r="BZ43" s="654" t="str">
        <f t="array" ref="BZ43">IF(OR($L43="",IsHidden(BZ43)),"",CHOOSE($B43,N($E43)*BZ$5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J$186:AJ$286)*N($E43),BZ$6*N($E43),N($E43),0)+N(BZ106))</f>
        <v/>
      </c>
      <c r="CA43" s="654" t="str">
        <f t="array" ref="CA43">IF(OR($L43="",IsHidden(CA43)),"",CHOOSE($B43,N($E43)*CA$5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K$186:AK$286)*N($E43),CA$6*N($E43),N($E43),0)+N(CA106))</f>
        <v/>
      </c>
      <c r="CB43" s="654" t="str">
        <f t="array" ref="CB43">IF(OR($L43="",IsHidden(CB43)),"",CHOOSE($B43,N($E43)*CB$5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L$186:AL$286)*N($E43),CB$6*N($E43),N($E43),0)+N(CB106))</f>
        <v/>
      </c>
      <c r="CC43" s="654" t="str">
        <f t="array" ref="CC43">IF(OR($L43="",IsHidden(CC43)),"",CHOOSE($B43,N($E43)*CC$5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M$186:AM$286)*N($E43),CC$6*N($E43),N($E43),0)+N(CC106))</f>
        <v/>
      </c>
      <c r="CD43" s="654" t="str">
        <f t="array" ref="CD43">IF(OR($L43="",IsHidden(CD43)),"",CHOOSE($B43,N($E43)*CD$5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N$186:AN$286)*N($E43),CD$6*N($E43),N($E43),0)+N(CD106))</f>
        <v/>
      </c>
      <c r="CE43" s="654" t="str">
        <f t="array" ref="CE43">IF(OR($L43="",IsHidden(CE43)),"",CHOOSE($B43,N($E43)*CE$5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O$186:AO$286)*N($E43),CE$6*N($E43),N($E43),0)+N(CE106))</f>
        <v/>
      </c>
      <c r="CF43" s="654" t="str">
        <f t="array" ref="CF43">IF(OR($L43="",IsHidden(CF43)),"",CHOOSE($B43,N($E43)*CF$5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P$186:AP$286)*N($E43),CF$6*N($E43),N($E43),0)+N(CF106))</f>
        <v/>
      </c>
      <c r="CG43" s="654" t="str">
        <f t="array" ref="CG43">IF(OR($L43="",IsHidden(CG43)),"",CHOOSE($B43,N($E43)*CG$5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Q$186:AQ$286)*N($E43),CG$6*N($E43),N($E43),0)+N(CG106))</f>
        <v/>
      </c>
      <c r="CH43" s="654" t="str">
        <f t="array" ref="CH43">IF(OR($L43="",IsHidden(CH43)),"",CHOOSE($B43,N($E43)*CH$5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R$186:AR$286)*N($E43),CH$6*N($E43),N($E43),0)+N(CH106))</f>
        <v/>
      </c>
      <c r="CI43" s="654" t="str">
        <f t="array" ref="CI43">IF(OR($L43="",IsHidden(CI43)),"",CHOOSE($B43,N($E43)*CI$5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S$186:AS$286)*N($E43),CI$6*N($E43),N($E43),0)+N(CI106))</f>
        <v/>
      </c>
      <c r="CJ43" s="654" t="str">
        <f t="array" ref="CJ43">IF(OR($L43="",IsHidden(CJ43)),"",CHOOSE($B43,N($E43)*CJ$5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T$186:AT$286)*N($E43),CJ$6*N($E43),N($E43),0)+N(CJ106))</f>
        <v/>
      </c>
      <c r="CK43" s="654" t="str">
        <f t="array" ref="CK43">IF(OR($L43="",IsHidden(CK43)),"",CHOOSE($B43,N($E43)*CK$5,SUMPRODUCT(IF($F$5="Y",1*(Headcount!$B$186:$B$286=IF($F43="",$F$6,$F43)),1+0*ISBLANK(Headcount!$B$186:$B$286)),IF($G$5="Y",1*(Headcount!$C$186:$C$286=IF($G43="",$G$6,$G43)),1+0*ISBLANK(Headcount!$C$186:$C$286)),IF($H$5="Y",1*(Headcount!$D$186:$D$286=IF($H43="",$H$6,$H43)),1+0*ISBLANK(Headcount!$D$186:$D$286)),IF($I$5="Y",1*(Headcount!$E$186:$E$286=IF($I43="",$I$6,$I43)),1+0*ISBLANK(Headcount!$E$186:$E$286)),IF($J$5="Y",1*(Headcount!$F$186:$F$286=IF($J43="",$J$6,$J43)),1+0*ISBLANK(Headcount!$F$186:$F$286)),IF($K$5="Y",1*(Headcount!$G$186:$G$286=IF($K43="",$K$6,$K43)),1+0*ISBLANK(Headcount!$G$186:$G$286)),Headcount!AU$186:AU$286)*N($E43),CK$6*N($E43),N($E43),0)+N(CK106))</f>
        <v/>
      </c>
      <c r="CL43" s="255"/>
      <c r="CM43" s="255"/>
      <c r="CN43" s="255" t="b">
        <f t="array" ref="CN43">IF($L43="",TRUE,IF(AND(OR($F43&lt;&gt;"",$F$6&lt;&gt;""),OR($G43&lt;&gt;"",$G$6&lt;&gt;""),OR($H43&lt;&gt;"",$H$6&lt;&gt;""),OR($I43&lt;&gt;"",$I$6&lt;&gt;""),OR($J43&lt;&gt;"",$J$6&lt;&gt;""),OR($K43&lt;&gt;"",$K$6&lt;&gt;""),NOT(ISERROR(BB43:CK43)),NOT(ISNA(MATCH(IF($H43="",$H$6,$H43)&amp;IF($G43="",$G$6,$G43),DeptBU,0)))),TRUE,FALSE))</f>
        <v>1</v>
      </c>
      <c r="CO43" s="255"/>
      <c r="CP43" s="255" t="str">
        <f t="shared" si="5"/>
        <v/>
      </c>
    </row>
    <row r="44" spans="1:94" s="335" customFormat="1" x14ac:dyDescent="0.35">
      <c r="A44" s="566"/>
      <c r="B44" s="261">
        <f t="shared" si="4"/>
        <v>5</v>
      </c>
      <c r="C44" s="566"/>
      <c r="D44" s="261" t="str">
        <f t="array" aca="1" ref="D44" ca="1">IF($B44&lt;5,AVERAGE(OFFSET($Q44,,Input_ActualsOffset-1,,-$C44)/CHOOSE($B44,OFFSET($Q$5,,Input_ActualsOffset-1,1,-$C44),ss($C44,OFFSET(Actuals!$A$1,1,MATCH("Month "&amp;Input_ActualsOffset,ActualsTable[#Headers],0)-1,ROWS(ActualsTable[#Data]),1),ActualsTable[Company],IF($F$5="Y",IF($F44="",$F$6,$F44),"*"),ActualsTable[Business Unit],IF($G$5="Y",IF($G44="",$G$6,$G44),"*"),ActualsTable[Department],IF($H$5="Y",IF($H44="",$H$6,$H44),"*"),ActualsTable[Team],IF($I$5="Y",IF($P44="",$P$6,$P44),"*"),ActualsTable[Product],IF($J$5="Y",IF($J44="",$J$6,$J44),"*"),ActualsTable[Location],IF($K$5="Y",IF($K44="",$K$6,$K44),"*"),ActualsTable[Expense Item],"Headcount"),OFFSET($Q$6,,Input_ActualsOffset-1,,-$C44),1)),"")</f>
        <v/>
      </c>
      <c r="E44" s="640"/>
      <c r="F44" s="555"/>
      <c r="G44" s="555"/>
      <c r="H44" s="555"/>
      <c r="I44" s="555"/>
      <c r="J44" s="555"/>
      <c r="K44" s="555"/>
      <c r="L44" s="555"/>
      <c r="M44" s="555"/>
      <c r="N44" s="555"/>
      <c r="O44" s="556" t="str">
        <f>IF($L44="","",IF(VLOOKUP(L44,ExpItems[],2,0),L44&amp;" - "&amp;INDEX(DivisionMapping[category_code],MATCH(IF(H44="",$H$6,H44)&amp;IF(G44="",$G$6,G44),DivisionMapping[dept_bu],0)),L44))</f>
        <v/>
      </c>
      <c r="P44" s="556" t="str">
        <f>IF($L44="","",INDEX(Teams[team_consolidation],MATCH(IF($I44="",$I$6,$I44),Teams[team_name],0)))</f>
        <v/>
      </c>
      <c r="Q44" s="657" t="str">
        <f t="array" ref="Q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f>
        <v/>
      </c>
      <c r="R44" s="657" t="str">
        <f t="array" ref="R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f>
        <v/>
      </c>
      <c r="S44" s="657" t="str">
        <f t="array" ref="S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f>
        <v/>
      </c>
      <c r="T44" s="657" t="str">
        <f t="array" ref="T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4]))</f>
        <v/>
      </c>
      <c r="U44" s="657" t="str">
        <f t="array" ref="U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5]))</f>
        <v/>
      </c>
      <c r="V44" s="657" t="str">
        <f t="array" ref="V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6]))</f>
        <v/>
      </c>
      <c r="W44" s="657" t="str">
        <f t="array" ref="W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7]))</f>
        <v/>
      </c>
      <c r="X44" s="657" t="str">
        <f t="array" ref="X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8]))</f>
        <v/>
      </c>
      <c r="Y44" s="657" t="str">
        <f t="array" ref="Y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9]))</f>
        <v/>
      </c>
      <c r="Z44" s="657" t="str">
        <f t="array" ref="Z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10]))</f>
        <v/>
      </c>
      <c r="AA44" s="657" t="str">
        <f t="array" ref="AA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11]))</f>
        <v/>
      </c>
      <c r="AB44" s="657" t="str">
        <f t="array" ref="AB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12]))</f>
        <v/>
      </c>
      <c r="AC44" s="657" t="str">
        <f t="array" ref="AC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13]))</f>
        <v/>
      </c>
      <c r="AD44" s="657" t="str">
        <f t="array" ref="AD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14]))</f>
        <v/>
      </c>
      <c r="AE44" s="657" t="str">
        <f t="array" ref="AE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15]))</f>
        <v/>
      </c>
      <c r="AF44" s="657" t="str">
        <f t="array" ref="AF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16]))</f>
        <v/>
      </c>
      <c r="AG44" s="657" t="str">
        <f t="array" ref="AG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17]))</f>
        <v/>
      </c>
      <c r="AH44" s="657" t="str">
        <f t="array" ref="AH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18]))</f>
        <v/>
      </c>
      <c r="AI44" s="657" t="str">
        <f t="array" ref="AI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19]))</f>
        <v/>
      </c>
      <c r="AJ44" s="657" t="str">
        <f t="array" ref="AJ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20]))</f>
        <v/>
      </c>
      <c r="AK44" s="657" t="str">
        <f t="array" ref="AK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21]))</f>
        <v/>
      </c>
      <c r="AL44" s="657" t="str">
        <f t="array" ref="AL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22]))</f>
        <v/>
      </c>
      <c r="AM44" s="657" t="str">
        <f t="array" ref="AM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23]))</f>
        <v/>
      </c>
      <c r="AN44" s="657" t="str">
        <f t="array" ref="AN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24]))</f>
        <v/>
      </c>
      <c r="AO44" s="657" t="str">
        <f t="array" ref="AO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25]))</f>
        <v/>
      </c>
      <c r="AP44" s="657" t="str">
        <f t="array" ref="AP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26]))</f>
        <v/>
      </c>
      <c r="AQ44" s="657" t="str">
        <f t="array" ref="AQ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27]))</f>
        <v/>
      </c>
      <c r="AR44" s="657" t="str">
        <f t="array" ref="AR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28]))</f>
        <v/>
      </c>
      <c r="AS44" s="657" t="str">
        <f t="array" ref="AS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29]))</f>
        <v/>
      </c>
      <c r="AT44" s="657" t="str">
        <f t="array" ref="AT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30]))</f>
        <v/>
      </c>
      <c r="AU44" s="657" t="str">
        <f t="array" ref="AU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31]))</f>
        <v/>
      </c>
      <c r="AV44" s="657" t="str">
        <f t="array" ref="AV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32]))</f>
        <v/>
      </c>
      <c r="AW44" s="657" t="str">
        <f t="array" ref="AW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33]))</f>
        <v/>
      </c>
      <c r="AX44" s="657" t="str">
        <f t="array" ref="AX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34]))</f>
        <v/>
      </c>
      <c r="AY44" s="657" t="str">
        <f t="array" ref="AY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35]))</f>
        <v/>
      </c>
      <c r="AZ44" s="657" t="str">
        <f t="array" ref="AZ44">IF($L44="","",SUMPRODUCT(IF($F$5="Y",1*(ActualsTable[Company]=IF($F44="",$F$6,$F44)),1+0*ISBLANK(ActualsTable[Company])),IF($G$5="Y",1*(ActualsTable[Business Unit]=IF($G44="",$G$6,$G44)),1+0*ISBLANK(ActualsTable[Business Unit])),IF($H$5="Y",1*(ActualsTable[Department]=IF($H44="",$H$6,$H44)),1+0*ISBLANK(ActualsTable[Department])),IF($I$5="Y",1*(ActualsTable[Team]=IF($P44="",$P$6,$P44)),1+0*ISBLANK(ActualsTable[Team])),IF($J$5="Y",1*(ActualsTable[Product]=IF($J44="",$J$6,$J44)),1+0*ISBLANK(ActualsTable[Product])),IF($K$5="Y",1*(ActualsTable[Location]=IF($K44="",$K$6,$K44)),1+0*ISBLANK(ActualsTable[Location])),1*(ActualsTable[Expense Item]=$L44),ActualsTable[Month 36]))</f>
        <v/>
      </c>
      <c r="BA44" s="257"/>
      <c r="BB44" s="654" t="str">
        <f t="array" ref="BB44">IF(OR($L44="",IsHidden(BB44)),"",CHOOSE($B44,N($E44)*BB$5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L$186:L$286)*N($E44),BB$6*N($E44),N($E44),0)+N(BB107))</f>
        <v/>
      </c>
      <c r="BC44" s="654" t="str">
        <f t="array" ref="BC44">IF(OR($L44="",IsHidden(BC44)),"",CHOOSE($B44,N($E44)*BC$5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M$186:M$286)*N($E44),BC$6*N($E44),N($E44),0)+N(BC107))</f>
        <v/>
      </c>
      <c r="BD44" s="654" t="str">
        <f t="array" ref="BD44">IF(OR($L44="",IsHidden(BD44)),"",CHOOSE($B44,N($E44)*BD$5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N$186:N$286)*N($E44),BD$6*N($E44),N($E44),0)+N(BD107))</f>
        <v/>
      </c>
      <c r="BE44" s="654" t="str">
        <f t="array" ref="BE44">IF(OR($L44="",IsHidden(BE44)),"",CHOOSE($B44,N($E44)*BE$5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O$186:O$286)*N($E44),BE$6*N($E44),N($E44),0)+N(BE107))</f>
        <v/>
      </c>
      <c r="BF44" s="654" t="str">
        <f t="array" ref="BF44">IF(OR($L44="",IsHidden(BF44)),"",CHOOSE($B44,N($E44)*BF$5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P$186:P$286)*N($E44),BF$6*N($E44),N($E44),0)+N(BF107))</f>
        <v/>
      </c>
      <c r="BG44" s="654" t="str">
        <f t="array" ref="BG44">IF(OR($L44="",IsHidden(BG44)),"",CHOOSE($B44,N($E44)*BG$5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Q$186:Q$286)*N($E44),BG$6*N($E44),N($E44),0)+N(BG107))</f>
        <v/>
      </c>
      <c r="BH44" s="654" t="str">
        <f t="array" ref="BH44">IF(OR($L44="",IsHidden(BH44)),"",CHOOSE($B44,N($E44)*BH$5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R$186:R$286)*N($E44),BH$6*N($E44),N($E44),0)+N(BH107))</f>
        <v/>
      </c>
      <c r="BI44" s="654" t="str">
        <f t="array" ref="BI44">IF(OR($L44="",IsHidden(BI44)),"",CHOOSE($B44,N($E44)*BI$5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S$186:S$286)*N($E44),BI$6*N($E44),N($E44),0)+N(BI107))</f>
        <v/>
      </c>
      <c r="BJ44" s="654" t="str">
        <f t="array" ref="BJ44">IF(OR($L44="",IsHidden(BJ44)),"",CHOOSE($B44,N($E44)*BJ$5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T$186:T$286)*N($E44),BJ$6*N($E44),N($E44),0)+N(BJ107))</f>
        <v/>
      </c>
      <c r="BK44" s="654" t="str">
        <f t="array" ref="BK44">IF(OR($L44="",IsHidden(BK44)),"",CHOOSE($B44,N($E44)*BK$5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U$186:U$286)*N($E44),BK$6*N($E44),N($E44),0)+N(BK107))</f>
        <v/>
      </c>
      <c r="BL44" s="654" t="str">
        <f t="array" ref="BL44">IF(OR($L44="",IsHidden(BL44)),"",CHOOSE($B44,N($E44)*BL$5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V$186:V$286)*N($E44),BL$6*N($E44),N($E44),0)+N(BL107))</f>
        <v/>
      </c>
      <c r="BM44" s="654" t="str">
        <f t="array" ref="BM44">IF(OR($L44="",IsHidden(BM44)),"",CHOOSE($B44,N($E44)*BM$5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W$186:W$286)*N($E44),BM$6*N($E44),N($E44),0)+N(BM107))</f>
        <v/>
      </c>
      <c r="BN44" s="654" t="str">
        <f t="array" ref="BN44">IF(OR($L44="",IsHidden(BN44)),"",CHOOSE($B44,N($E44)*BN$5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X$186:X$286)*N($E44),BN$6*N($E44),N($E44),0)+N(BN107))</f>
        <v/>
      </c>
      <c r="BO44" s="654" t="str">
        <f t="array" ref="BO44">IF(OR($L44="",IsHidden(BO44)),"",CHOOSE($B44,N($E44)*BO$5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Y$186:Y$286)*N($E44),BO$6*N($E44),N($E44),0)+N(BO107))</f>
        <v/>
      </c>
      <c r="BP44" s="654" t="str">
        <f t="array" ref="BP44">IF(OR($L44="",IsHidden(BP44)),"",CHOOSE($B44,N($E44)*BP$5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Z$186:Z$286)*N($E44),BP$6*N($E44),N($E44),0)+N(BP107))</f>
        <v/>
      </c>
      <c r="BQ44" s="654" t="str">
        <f t="array" ref="BQ44">IF(OR($L44="",IsHidden(BQ44)),"",CHOOSE($B44,N($E44)*BQ$5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A$186:AA$286)*N($E44),BQ$6*N($E44),N($E44),0)+N(BQ107))</f>
        <v/>
      </c>
      <c r="BR44" s="654" t="str">
        <f t="array" ref="BR44">IF(OR($L44="",IsHidden(BR44)),"",CHOOSE($B44,N($E44)*BR$5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B$186:AB$286)*N($E44),BR$6*N($E44),N($E44),0)+N(BR107))</f>
        <v/>
      </c>
      <c r="BS44" s="654" t="str">
        <f t="array" ref="BS44">IF(OR($L44="",IsHidden(BS44)),"",CHOOSE($B44,N($E44)*BS$5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C$186:AC$286)*N($E44),BS$6*N($E44),N($E44),0)+N(BS107))</f>
        <v/>
      </c>
      <c r="BT44" s="654" t="str">
        <f t="array" ref="BT44">IF(OR($L44="",IsHidden(BT44)),"",CHOOSE($B44,N($E44)*BT$5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D$186:AD$286)*N($E44),BT$6*N($E44),N($E44),0)+N(BT107))</f>
        <v/>
      </c>
      <c r="BU44" s="654" t="str">
        <f t="array" ref="BU44">IF(OR($L44="",IsHidden(BU44)),"",CHOOSE($B44,N($E44)*BU$5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E$186:AE$286)*N($E44),BU$6*N($E44),N($E44),0)+N(BU107))</f>
        <v/>
      </c>
      <c r="BV44" s="654" t="str">
        <f t="array" ref="BV44">IF(OR($L44="",IsHidden(BV44)),"",CHOOSE($B44,N($E44)*BV$5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F$186:AF$286)*N($E44),BV$6*N($E44),N($E44),0)+N(BV107))</f>
        <v/>
      </c>
      <c r="BW44" s="654" t="str">
        <f t="array" ref="BW44">IF(OR($L44="",IsHidden(BW44)),"",CHOOSE($B44,N($E44)*BW$5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G$186:AG$286)*N($E44),BW$6*N($E44),N($E44),0)+N(BW107))</f>
        <v/>
      </c>
      <c r="BX44" s="654" t="str">
        <f t="array" ref="BX44">IF(OR($L44="",IsHidden(BX44)),"",CHOOSE($B44,N($E44)*BX$5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H$186:AH$286)*N($E44),BX$6*N($E44),N($E44),0)+N(BX107))</f>
        <v/>
      </c>
      <c r="BY44" s="654" t="str">
        <f t="array" ref="BY44">IF(OR($L44="",IsHidden(BY44)),"",CHOOSE($B44,N($E44)*BY$5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I$186:AI$286)*N($E44),BY$6*N($E44),N($E44),0)+N(BY107))</f>
        <v/>
      </c>
      <c r="BZ44" s="654" t="str">
        <f t="array" ref="BZ44">IF(OR($L44="",IsHidden(BZ44)),"",CHOOSE($B44,N($E44)*BZ$5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J$186:AJ$286)*N($E44),BZ$6*N($E44),N($E44),0)+N(BZ107))</f>
        <v/>
      </c>
      <c r="CA44" s="654" t="str">
        <f t="array" ref="CA44">IF(OR($L44="",IsHidden(CA44)),"",CHOOSE($B44,N($E44)*CA$5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K$186:AK$286)*N($E44),CA$6*N($E44),N($E44),0)+N(CA107))</f>
        <v/>
      </c>
      <c r="CB44" s="654" t="str">
        <f t="array" ref="CB44">IF(OR($L44="",IsHidden(CB44)),"",CHOOSE($B44,N($E44)*CB$5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L$186:AL$286)*N($E44),CB$6*N($E44),N($E44),0)+N(CB107))</f>
        <v/>
      </c>
      <c r="CC44" s="654" t="str">
        <f t="array" ref="CC44">IF(OR($L44="",IsHidden(CC44)),"",CHOOSE($B44,N($E44)*CC$5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M$186:AM$286)*N($E44),CC$6*N($E44),N($E44),0)+N(CC107))</f>
        <v/>
      </c>
      <c r="CD44" s="654" t="str">
        <f t="array" ref="CD44">IF(OR($L44="",IsHidden(CD44)),"",CHOOSE($B44,N($E44)*CD$5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N$186:AN$286)*N($E44),CD$6*N($E44),N($E44),0)+N(CD107))</f>
        <v/>
      </c>
      <c r="CE44" s="654" t="str">
        <f t="array" ref="CE44">IF(OR($L44="",IsHidden(CE44)),"",CHOOSE($B44,N($E44)*CE$5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O$186:AO$286)*N($E44),CE$6*N($E44),N($E44),0)+N(CE107))</f>
        <v/>
      </c>
      <c r="CF44" s="654" t="str">
        <f t="array" ref="CF44">IF(OR($L44="",IsHidden(CF44)),"",CHOOSE($B44,N($E44)*CF$5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P$186:AP$286)*N($E44),CF$6*N($E44),N($E44),0)+N(CF107))</f>
        <v/>
      </c>
      <c r="CG44" s="654" t="str">
        <f t="array" ref="CG44">IF(OR($L44="",IsHidden(CG44)),"",CHOOSE($B44,N($E44)*CG$5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Q$186:AQ$286)*N($E44),CG$6*N($E44),N($E44),0)+N(CG107))</f>
        <v/>
      </c>
      <c r="CH44" s="654" t="str">
        <f t="array" ref="CH44">IF(OR($L44="",IsHidden(CH44)),"",CHOOSE($B44,N($E44)*CH$5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R$186:AR$286)*N($E44),CH$6*N($E44),N($E44),0)+N(CH107))</f>
        <v/>
      </c>
      <c r="CI44" s="654" t="str">
        <f t="array" ref="CI44">IF(OR($L44="",IsHidden(CI44)),"",CHOOSE($B44,N($E44)*CI$5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S$186:AS$286)*N($E44),CI$6*N($E44),N($E44),0)+N(CI107))</f>
        <v/>
      </c>
      <c r="CJ44" s="654" t="str">
        <f t="array" ref="CJ44">IF(OR($L44="",IsHidden(CJ44)),"",CHOOSE($B44,N($E44)*CJ$5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T$186:AT$286)*N($E44),CJ$6*N($E44),N($E44),0)+N(CJ107))</f>
        <v/>
      </c>
      <c r="CK44" s="654" t="str">
        <f t="array" ref="CK44">IF(OR($L44="",IsHidden(CK44)),"",CHOOSE($B44,N($E44)*CK$5,SUMPRODUCT(IF($F$5="Y",1*(Headcount!$B$186:$B$286=IF($F44="",$F$6,$F44)),1+0*ISBLANK(Headcount!$B$186:$B$286)),IF($G$5="Y",1*(Headcount!$C$186:$C$286=IF($G44="",$G$6,$G44)),1+0*ISBLANK(Headcount!$C$186:$C$286)),IF($H$5="Y",1*(Headcount!$D$186:$D$286=IF($H44="",$H$6,$H44)),1+0*ISBLANK(Headcount!$D$186:$D$286)),IF($I$5="Y",1*(Headcount!$E$186:$E$286=IF($I44="",$I$6,$I44)),1+0*ISBLANK(Headcount!$E$186:$E$286)),IF($J$5="Y",1*(Headcount!$F$186:$F$286=IF($J44="",$J$6,$J44)),1+0*ISBLANK(Headcount!$F$186:$F$286)),IF($K$5="Y",1*(Headcount!$G$186:$G$286=IF($K44="",$K$6,$K44)),1+0*ISBLANK(Headcount!$G$186:$G$286)),Headcount!AU$186:AU$286)*N($E44),CK$6*N($E44),N($E44),0)+N(CK107))</f>
        <v/>
      </c>
      <c r="CL44" s="255"/>
      <c r="CM44" s="255"/>
      <c r="CN44" s="255" t="b">
        <f t="array" ref="CN44">IF($L44="",TRUE,IF(AND(OR($F44&lt;&gt;"",$F$6&lt;&gt;""),OR($G44&lt;&gt;"",$G$6&lt;&gt;""),OR($H44&lt;&gt;"",$H$6&lt;&gt;""),OR($I44&lt;&gt;"",$I$6&lt;&gt;""),OR($J44&lt;&gt;"",$J$6&lt;&gt;""),OR($K44&lt;&gt;"",$K$6&lt;&gt;""),NOT(ISERROR(BB44:CK44)),NOT(ISNA(MATCH(IF($H44="",$H$6,$H44)&amp;IF($G44="",$G$6,$G44),DeptBU,0)))),TRUE,FALSE))</f>
        <v>1</v>
      </c>
      <c r="CO44" s="255"/>
      <c r="CP44" s="255" t="str">
        <f t="shared" si="5"/>
        <v/>
      </c>
    </row>
    <row r="45" spans="1:94" s="335" customFormat="1" x14ac:dyDescent="0.35">
      <c r="A45" s="566"/>
      <c r="B45" s="261">
        <f t="shared" si="4"/>
        <v>5</v>
      </c>
      <c r="C45" s="566"/>
      <c r="D45" s="261" t="str">
        <f t="array" aca="1" ref="D45" ca="1">IF($B45&lt;5,AVERAGE(OFFSET($Q45,,Input_ActualsOffset-1,,-$C45)/CHOOSE($B45,OFFSET($Q$5,,Input_ActualsOffset-1,1,-$C45),ss($C45,OFFSET(Actuals!$A$1,1,MATCH("Month "&amp;Input_ActualsOffset,ActualsTable[#Headers],0)-1,ROWS(ActualsTable[#Data]),1),ActualsTable[Company],IF($F$5="Y",IF($F45="",$F$6,$F45),"*"),ActualsTable[Business Unit],IF($G$5="Y",IF($G45="",$G$6,$G45),"*"),ActualsTable[Department],IF($H$5="Y",IF($H45="",$H$6,$H45),"*"),ActualsTable[Team],IF($I$5="Y",IF($P45="",$P$6,$P45),"*"),ActualsTable[Product],IF($J$5="Y",IF($J45="",$J$6,$J45),"*"),ActualsTable[Location],IF($K$5="Y",IF($K45="",$K$6,$K45),"*"),ActualsTable[Expense Item],"Headcount"),OFFSET($Q$6,,Input_ActualsOffset-1,,-$C45),1)),"")</f>
        <v/>
      </c>
      <c r="E45" s="640"/>
      <c r="F45" s="555"/>
      <c r="G45" s="555"/>
      <c r="H45" s="555"/>
      <c r="I45" s="555"/>
      <c r="J45" s="555"/>
      <c r="K45" s="555"/>
      <c r="L45" s="555"/>
      <c r="M45" s="555"/>
      <c r="N45" s="555"/>
      <c r="O45" s="556" t="str">
        <f>IF($L45="","",IF(VLOOKUP(L45,ExpItems[],2,0),L45&amp;" - "&amp;INDEX(DivisionMapping[category_code],MATCH(IF(H45="",$H$6,H45)&amp;IF(G45="",$G$6,G45),DivisionMapping[dept_bu],0)),L45))</f>
        <v/>
      </c>
      <c r="P45" s="556" t="str">
        <f>IF($L45="","",INDEX(Teams[team_consolidation],MATCH(IF($I45="",$I$6,$I45),Teams[team_name],0)))</f>
        <v/>
      </c>
      <c r="Q45" s="657" t="str">
        <f t="array" ref="Q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f>
        <v/>
      </c>
      <c r="R45" s="657" t="str">
        <f t="array" ref="R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f>
        <v/>
      </c>
      <c r="S45" s="657" t="str">
        <f t="array" ref="S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f>
        <v/>
      </c>
      <c r="T45" s="657" t="str">
        <f t="array" ref="T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4]))</f>
        <v/>
      </c>
      <c r="U45" s="657" t="str">
        <f t="array" ref="U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5]))</f>
        <v/>
      </c>
      <c r="V45" s="657" t="str">
        <f t="array" ref="V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6]))</f>
        <v/>
      </c>
      <c r="W45" s="657" t="str">
        <f t="array" ref="W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7]))</f>
        <v/>
      </c>
      <c r="X45" s="657" t="str">
        <f t="array" ref="X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8]))</f>
        <v/>
      </c>
      <c r="Y45" s="657" t="str">
        <f t="array" ref="Y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9]))</f>
        <v/>
      </c>
      <c r="Z45" s="657" t="str">
        <f t="array" ref="Z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10]))</f>
        <v/>
      </c>
      <c r="AA45" s="657" t="str">
        <f t="array" ref="AA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11]))</f>
        <v/>
      </c>
      <c r="AB45" s="657" t="str">
        <f t="array" ref="AB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12]))</f>
        <v/>
      </c>
      <c r="AC45" s="657" t="str">
        <f t="array" ref="AC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13]))</f>
        <v/>
      </c>
      <c r="AD45" s="657" t="str">
        <f t="array" ref="AD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14]))</f>
        <v/>
      </c>
      <c r="AE45" s="657" t="str">
        <f t="array" ref="AE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15]))</f>
        <v/>
      </c>
      <c r="AF45" s="657" t="str">
        <f t="array" ref="AF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16]))</f>
        <v/>
      </c>
      <c r="AG45" s="657" t="str">
        <f t="array" ref="AG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17]))</f>
        <v/>
      </c>
      <c r="AH45" s="657" t="str">
        <f t="array" ref="AH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18]))</f>
        <v/>
      </c>
      <c r="AI45" s="657" t="str">
        <f t="array" ref="AI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19]))</f>
        <v/>
      </c>
      <c r="AJ45" s="657" t="str">
        <f t="array" ref="AJ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20]))</f>
        <v/>
      </c>
      <c r="AK45" s="657" t="str">
        <f t="array" ref="AK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21]))</f>
        <v/>
      </c>
      <c r="AL45" s="657" t="str">
        <f t="array" ref="AL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22]))</f>
        <v/>
      </c>
      <c r="AM45" s="657" t="str">
        <f t="array" ref="AM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23]))</f>
        <v/>
      </c>
      <c r="AN45" s="657" t="str">
        <f t="array" ref="AN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24]))</f>
        <v/>
      </c>
      <c r="AO45" s="657" t="str">
        <f t="array" ref="AO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25]))</f>
        <v/>
      </c>
      <c r="AP45" s="657" t="str">
        <f t="array" ref="AP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26]))</f>
        <v/>
      </c>
      <c r="AQ45" s="657" t="str">
        <f t="array" ref="AQ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27]))</f>
        <v/>
      </c>
      <c r="AR45" s="657" t="str">
        <f t="array" ref="AR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28]))</f>
        <v/>
      </c>
      <c r="AS45" s="657" t="str">
        <f t="array" ref="AS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29]))</f>
        <v/>
      </c>
      <c r="AT45" s="657" t="str">
        <f t="array" ref="AT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30]))</f>
        <v/>
      </c>
      <c r="AU45" s="657" t="str">
        <f t="array" ref="AU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31]))</f>
        <v/>
      </c>
      <c r="AV45" s="657" t="str">
        <f t="array" ref="AV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32]))</f>
        <v/>
      </c>
      <c r="AW45" s="657" t="str">
        <f t="array" ref="AW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33]))</f>
        <v/>
      </c>
      <c r="AX45" s="657" t="str">
        <f t="array" ref="AX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34]))</f>
        <v/>
      </c>
      <c r="AY45" s="657" t="str">
        <f t="array" ref="AY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35]))</f>
        <v/>
      </c>
      <c r="AZ45" s="657" t="str">
        <f t="array" ref="AZ45">IF($L45="","",SUMPRODUCT(IF($F$5="Y",1*(ActualsTable[Company]=IF($F45="",$F$6,$F45)),1+0*ISBLANK(ActualsTable[Company])),IF($G$5="Y",1*(ActualsTable[Business Unit]=IF($G45="",$G$6,$G45)),1+0*ISBLANK(ActualsTable[Business Unit])),IF($H$5="Y",1*(ActualsTable[Department]=IF($H45="",$H$6,$H45)),1+0*ISBLANK(ActualsTable[Department])),IF($I$5="Y",1*(ActualsTable[Team]=IF($P45="",$P$6,$P45)),1+0*ISBLANK(ActualsTable[Team])),IF($J$5="Y",1*(ActualsTable[Product]=IF($J45="",$J$6,$J45)),1+0*ISBLANK(ActualsTable[Product])),IF($K$5="Y",1*(ActualsTable[Location]=IF($K45="",$K$6,$K45)),1+0*ISBLANK(ActualsTable[Location])),1*(ActualsTable[Expense Item]=$L45),ActualsTable[Month 36]))</f>
        <v/>
      </c>
      <c r="BA45" s="257"/>
      <c r="BB45" s="654" t="str">
        <f t="array" ref="BB45">IF(OR($L45="",IsHidden(BB45)),"",CHOOSE($B45,N($E45)*BB$5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L$186:L$286)*N($E45),BB$6*N($E45),N($E45),0)+N(BB108))</f>
        <v/>
      </c>
      <c r="BC45" s="654" t="str">
        <f t="array" ref="BC45">IF(OR($L45="",IsHidden(BC45)),"",CHOOSE($B45,N($E45)*BC$5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M$186:M$286)*N($E45),BC$6*N($E45),N($E45),0)+N(BC108))</f>
        <v/>
      </c>
      <c r="BD45" s="654" t="str">
        <f t="array" ref="BD45">IF(OR($L45="",IsHidden(BD45)),"",CHOOSE($B45,N($E45)*BD$5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N$186:N$286)*N($E45),BD$6*N($E45),N($E45),0)+N(BD108))</f>
        <v/>
      </c>
      <c r="BE45" s="654" t="str">
        <f t="array" ref="BE45">IF(OR($L45="",IsHidden(BE45)),"",CHOOSE($B45,N($E45)*BE$5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O$186:O$286)*N($E45),BE$6*N($E45),N($E45),0)+N(BE108))</f>
        <v/>
      </c>
      <c r="BF45" s="654" t="str">
        <f t="array" ref="BF45">IF(OR($L45="",IsHidden(BF45)),"",CHOOSE($B45,N($E45)*BF$5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P$186:P$286)*N($E45),BF$6*N($E45),N($E45),0)+N(BF108))</f>
        <v/>
      </c>
      <c r="BG45" s="654" t="str">
        <f t="array" ref="BG45">IF(OR($L45="",IsHidden(BG45)),"",CHOOSE($B45,N($E45)*BG$5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Q$186:Q$286)*N($E45),BG$6*N($E45),N($E45),0)+N(BG108))</f>
        <v/>
      </c>
      <c r="BH45" s="654" t="str">
        <f t="array" ref="BH45">IF(OR($L45="",IsHidden(BH45)),"",CHOOSE($B45,N($E45)*BH$5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R$186:R$286)*N($E45),BH$6*N($E45),N($E45),0)+N(BH108))</f>
        <v/>
      </c>
      <c r="BI45" s="654" t="str">
        <f t="array" ref="BI45">IF(OR($L45="",IsHidden(BI45)),"",CHOOSE($B45,N($E45)*BI$5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S$186:S$286)*N($E45),BI$6*N($E45),N($E45),0)+N(BI108))</f>
        <v/>
      </c>
      <c r="BJ45" s="654" t="str">
        <f t="array" ref="BJ45">IF(OR($L45="",IsHidden(BJ45)),"",CHOOSE($B45,N($E45)*BJ$5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T$186:T$286)*N($E45),BJ$6*N($E45),N($E45),0)+N(BJ108))</f>
        <v/>
      </c>
      <c r="BK45" s="654" t="str">
        <f t="array" ref="BK45">IF(OR($L45="",IsHidden(BK45)),"",CHOOSE($B45,N($E45)*BK$5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U$186:U$286)*N($E45),BK$6*N($E45),N($E45),0)+N(BK108))</f>
        <v/>
      </c>
      <c r="BL45" s="654" t="str">
        <f t="array" ref="BL45">IF(OR($L45="",IsHidden(BL45)),"",CHOOSE($B45,N($E45)*BL$5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V$186:V$286)*N($E45),BL$6*N($E45),N($E45),0)+N(BL108))</f>
        <v/>
      </c>
      <c r="BM45" s="654" t="str">
        <f t="array" ref="BM45">IF(OR($L45="",IsHidden(BM45)),"",CHOOSE($B45,N($E45)*BM$5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W$186:W$286)*N($E45),BM$6*N($E45),N($E45),0)+N(BM108))</f>
        <v/>
      </c>
      <c r="BN45" s="654" t="str">
        <f t="array" ref="BN45">IF(OR($L45="",IsHidden(BN45)),"",CHOOSE($B45,N($E45)*BN$5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X$186:X$286)*N($E45),BN$6*N($E45),N($E45),0)+N(BN108))</f>
        <v/>
      </c>
      <c r="BO45" s="654" t="str">
        <f t="array" ref="BO45">IF(OR($L45="",IsHidden(BO45)),"",CHOOSE($B45,N($E45)*BO$5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Y$186:Y$286)*N($E45),BO$6*N($E45),N($E45),0)+N(BO108))</f>
        <v/>
      </c>
      <c r="BP45" s="654" t="str">
        <f t="array" ref="BP45">IF(OR($L45="",IsHidden(BP45)),"",CHOOSE($B45,N($E45)*BP$5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Z$186:Z$286)*N($E45),BP$6*N($E45),N($E45),0)+N(BP108))</f>
        <v/>
      </c>
      <c r="BQ45" s="654" t="str">
        <f t="array" ref="BQ45">IF(OR($L45="",IsHidden(BQ45)),"",CHOOSE($B45,N($E45)*BQ$5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A$186:AA$286)*N($E45),BQ$6*N($E45),N($E45),0)+N(BQ108))</f>
        <v/>
      </c>
      <c r="BR45" s="654" t="str">
        <f t="array" ref="BR45">IF(OR($L45="",IsHidden(BR45)),"",CHOOSE($B45,N($E45)*BR$5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B$186:AB$286)*N($E45),BR$6*N($E45),N($E45),0)+N(BR108))</f>
        <v/>
      </c>
      <c r="BS45" s="654" t="str">
        <f t="array" ref="BS45">IF(OR($L45="",IsHidden(BS45)),"",CHOOSE($B45,N($E45)*BS$5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C$186:AC$286)*N($E45),BS$6*N($E45),N($E45),0)+N(BS108))</f>
        <v/>
      </c>
      <c r="BT45" s="654" t="str">
        <f t="array" ref="BT45">IF(OR($L45="",IsHidden(BT45)),"",CHOOSE($B45,N($E45)*BT$5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D$186:AD$286)*N($E45),BT$6*N($E45),N($E45),0)+N(BT108))</f>
        <v/>
      </c>
      <c r="BU45" s="654" t="str">
        <f t="array" ref="BU45">IF(OR($L45="",IsHidden(BU45)),"",CHOOSE($B45,N($E45)*BU$5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E$186:AE$286)*N($E45),BU$6*N($E45),N($E45),0)+N(BU108))</f>
        <v/>
      </c>
      <c r="BV45" s="654" t="str">
        <f t="array" ref="BV45">IF(OR($L45="",IsHidden(BV45)),"",CHOOSE($B45,N($E45)*BV$5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F$186:AF$286)*N($E45),BV$6*N($E45),N($E45),0)+N(BV108))</f>
        <v/>
      </c>
      <c r="BW45" s="654" t="str">
        <f t="array" ref="BW45">IF(OR($L45="",IsHidden(BW45)),"",CHOOSE($B45,N($E45)*BW$5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G$186:AG$286)*N($E45),BW$6*N($E45),N($E45),0)+N(BW108))</f>
        <v/>
      </c>
      <c r="BX45" s="654" t="str">
        <f t="array" ref="BX45">IF(OR($L45="",IsHidden(BX45)),"",CHOOSE($B45,N($E45)*BX$5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H$186:AH$286)*N($E45),BX$6*N($E45),N($E45),0)+N(BX108))</f>
        <v/>
      </c>
      <c r="BY45" s="654" t="str">
        <f t="array" ref="BY45">IF(OR($L45="",IsHidden(BY45)),"",CHOOSE($B45,N($E45)*BY$5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I$186:AI$286)*N($E45),BY$6*N($E45),N($E45),0)+N(BY108))</f>
        <v/>
      </c>
      <c r="BZ45" s="654" t="str">
        <f t="array" ref="BZ45">IF(OR($L45="",IsHidden(BZ45)),"",CHOOSE($B45,N($E45)*BZ$5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J$186:AJ$286)*N($E45),BZ$6*N($E45),N($E45),0)+N(BZ108))</f>
        <v/>
      </c>
      <c r="CA45" s="654" t="str">
        <f t="array" ref="CA45">IF(OR($L45="",IsHidden(CA45)),"",CHOOSE($B45,N($E45)*CA$5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K$186:AK$286)*N($E45),CA$6*N($E45),N($E45),0)+N(CA108))</f>
        <v/>
      </c>
      <c r="CB45" s="654" t="str">
        <f t="array" ref="CB45">IF(OR($L45="",IsHidden(CB45)),"",CHOOSE($B45,N($E45)*CB$5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L$186:AL$286)*N($E45),CB$6*N($E45),N($E45),0)+N(CB108))</f>
        <v/>
      </c>
      <c r="CC45" s="654" t="str">
        <f t="array" ref="CC45">IF(OR($L45="",IsHidden(CC45)),"",CHOOSE($B45,N($E45)*CC$5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M$186:AM$286)*N($E45),CC$6*N($E45),N($E45),0)+N(CC108))</f>
        <v/>
      </c>
      <c r="CD45" s="654" t="str">
        <f t="array" ref="CD45">IF(OR($L45="",IsHidden(CD45)),"",CHOOSE($B45,N($E45)*CD$5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N$186:AN$286)*N($E45),CD$6*N($E45),N($E45),0)+N(CD108))</f>
        <v/>
      </c>
      <c r="CE45" s="654" t="str">
        <f t="array" ref="CE45">IF(OR($L45="",IsHidden(CE45)),"",CHOOSE($B45,N($E45)*CE$5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O$186:AO$286)*N($E45),CE$6*N($E45),N($E45),0)+N(CE108))</f>
        <v/>
      </c>
      <c r="CF45" s="654" t="str">
        <f t="array" ref="CF45">IF(OR($L45="",IsHidden(CF45)),"",CHOOSE($B45,N($E45)*CF$5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P$186:AP$286)*N($E45),CF$6*N($E45),N($E45),0)+N(CF108))</f>
        <v/>
      </c>
      <c r="CG45" s="654" t="str">
        <f t="array" ref="CG45">IF(OR($L45="",IsHidden(CG45)),"",CHOOSE($B45,N($E45)*CG$5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Q$186:AQ$286)*N($E45),CG$6*N($E45),N($E45),0)+N(CG108))</f>
        <v/>
      </c>
      <c r="CH45" s="654" t="str">
        <f t="array" ref="CH45">IF(OR($L45="",IsHidden(CH45)),"",CHOOSE($B45,N($E45)*CH$5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R$186:AR$286)*N($E45),CH$6*N($E45),N($E45),0)+N(CH108))</f>
        <v/>
      </c>
      <c r="CI45" s="654" t="str">
        <f t="array" ref="CI45">IF(OR($L45="",IsHidden(CI45)),"",CHOOSE($B45,N($E45)*CI$5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S$186:AS$286)*N($E45),CI$6*N($E45),N($E45),0)+N(CI108))</f>
        <v/>
      </c>
      <c r="CJ45" s="654" t="str">
        <f t="array" ref="CJ45">IF(OR($L45="",IsHidden(CJ45)),"",CHOOSE($B45,N($E45)*CJ$5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T$186:AT$286)*N($E45),CJ$6*N($E45),N($E45),0)+N(CJ108))</f>
        <v/>
      </c>
      <c r="CK45" s="654" t="str">
        <f t="array" ref="CK45">IF(OR($L45="",IsHidden(CK45)),"",CHOOSE($B45,N($E45)*CK$5,SUMPRODUCT(IF($F$5="Y",1*(Headcount!$B$186:$B$286=IF($F45="",$F$6,$F45)),1+0*ISBLANK(Headcount!$B$186:$B$286)),IF($G$5="Y",1*(Headcount!$C$186:$C$286=IF($G45="",$G$6,$G45)),1+0*ISBLANK(Headcount!$C$186:$C$286)),IF($H$5="Y",1*(Headcount!$D$186:$D$286=IF($H45="",$H$6,$H45)),1+0*ISBLANK(Headcount!$D$186:$D$286)),IF($I$5="Y",1*(Headcount!$E$186:$E$286=IF($I45="",$I$6,$I45)),1+0*ISBLANK(Headcount!$E$186:$E$286)),IF($J$5="Y",1*(Headcount!$F$186:$F$286=IF($J45="",$J$6,$J45)),1+0*ISBLANK(Headcount!$F$186:$F$286)),IF($K$5="Y",1*(Headcount!$G$186:$G$286=IF($K45="",$K$6,$K45)),1+0*ISBLANK(Headcount!$G$186:$G$286)),Headcount!AU$186:AU$286)*N($E45),CK$6*N($E45),N($E45),0)+N(CK108))</f>
        <v/>
      </c>
      <c r="CL45" s="255"/>
      <c r="CM45" s="255"/>
      <c r="CN45" s="255" t="b">
        <f t="array" ref="CN45">IF($L45="",TRUE,IF(AND(OR($F45&lt;&gt;"",$F$6&lt;&gt;""),OR($G45&lt;&gt;"",$G$6&lt;&gt;""),OR($H45&lt;&gt;"",$H$6&lt;&gt;""),OR($I45&lt;&gt;"",$I$6&lt;&gt;""),OR($J45&lt;&gt;"",$J$6&lt;&gt;""),OR($K45&lt;&gt;"",$K$6&lt;&gt;""),NOT(ISERROR(BB45:CK45)),NOT(ISNA(MATCH(IF($H45="",$H$6,$H45)&amp;IF($G45="",$G$6,$G45),DeptBU,0)))),TRUE,FALSE))</f>
        <v>1</v>
      </c>
      <c r="CO45" s="255"/>
      <c r="CP45" s="255" t="str">
        <f t="shared" si="5"/>
        <v/>
      </c>
    </row>
    <row r="46" spans="1:94" s="335" customFormat="1" x14ac:dyDescent="0.35">
      <c r="A46" s="566"/>
      <c r="B46" s="261">
        <f t="shared" si="4"/>
        <v>5</v>
      </c>
      <c r="C46" s="566"/>
      <c r="D46" s="261" t="str">
        <f t="array" aca="1" ref="D46" ca="1">IF($B46&lt;5,AVERAGE(OFFSET($Q46,,Input_ActualsOffset-1,,-$C46)/CHOOSE($B46,OFFSET($Q$5,,Input_ActualsOffset-1,1,-$C46),ss($C46,OFFSET(Actuals!$A$1,1,MATCH("Month "&amp;Input_ActualsOffset,ActualsTable[#Headers],0)-1,ROWS(ActualsTable[#Data]),1),ActualsTable[Company],IF($F$5="Y",IF($F46="",$F$6,$F46),"*"),ActualsTable[Business Unit],IF($G$5="Y",IF($G46="",$G$6,$G46),"*"),ActualsTable[Department],IF($H$5="Y",IF($H46="",$H$6,$H46),"*"),ActualsTable[Team],IF($I$5="Y",IF($P46="",$P$6,$P46),"*"),ActualsTable[Product],IF($J$5="Y",IF($J46="",$J$6,$J46),"*"),ActualsTable[Location],IF($K$5="Y",IF($K46="",$K$6,$K46),"*"),ActualsTable[Expense Item],"Headcount"),OFFSET($Q$6,,Input_ActualsOffset-1,,-$C46),1)),"")</f>
        <v/>
      </c>
      <c r="E46" s="640"/>
      <c r="F46" s="555"/>
      <c r="G46" s="555"/>
      <c r="H46" s="555"/>
      <c r="I46" s="555"/>
      <c r="J46" s="555"/>
      <c r="K46" s="555"/>
      <c r="L46" s="555"/>
      <c r="M46" s="555"/>
      <c r="N46" s="555"/>
      <c r="O46" s="556" t="str">
        <f>IF($L46="","",IF(VLOOKUP(L46,ExpItems[],2,0),L46&amp;" - "&amp;INDEX(DivisionMapping[category_code],MATCH(IF(H46="",$H$6,H46)&amp;IF(G46="",$G$6,G46),DivisionMapping[dept_bu],0)),L46))</f>
        <v/>
      </c>
      <c r="P46" s="556" t="str">
        <f>IF($L46="","",INDEX(Teams[team_consolidation],MATCH(IF($I46="",$I$6,$I46),Teams[team_name],0)))</f>
        <v/>
      </c>
      <c r="Q46" s="657" t="str">
        <f t="array" ref="Q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f>
        <v/>
      </c>
      <c r="R46" s="657" t="str">
        <f t="array" ref="R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f>
        <v/>
      </c>
      <c r="S46" s="657" t="str">
        <f t="array" ref="S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f>
        <v/>
      </c>
      <c r="T46" s="657" t="str">
        <f t="array" ref="T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4]))</f>
        <v/>
      </c>
      <c r="U46" s="657" t="str">
        <f t="array" ref="U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5]))</f>
        <v/>
      </c>
      <c r="V46" s="657" t="str">
        <f t="array" ref="V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6]))</f>
        <v/>
      </c>
      <c r="W46" s="657" t="str">
        <f t="array" ref="W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7]))</f>
        <v/>
      </c>
      <c r="X46" s="657" t="str">
        <f t="array" ref="X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8]))</f>
        <v/>
      </c>
      <c r="Y46" s="657" t="str">
        <f t="array" ref="Y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9]))</f>
        <v/>
      </c>
      <c r="Z46" s="657" t="str">
        <f t="array" ref="Z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10]))</f>
        <v/>
      </c>
      <c r="AA46" s="657" t="str">
        <f t="array" ref="AA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11]))</f>
        <v/>
      </c>
      <c r="AB46" s="657" t="str">
        <f t="array" ref="AB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12]))</f>
        <v/>
      </c>
      <c r="AC46" s="657" t="str">
        <f t="array" ref="AC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13]))</f>
        <v/>
      </c>
      <c r="AD46" s="657" t="str">
        <f t="array" ref="AD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14]))</f>
        <v/>
      </c>
      <c r="AE46" s="657" t="str">
        <f t="array" ref="AE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15]))</f>
        <v/>
      </c>
      <c r="AF46" s="657" t="str">
        <f t="array" ref="AF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16]))</f>
        <v/>
      </c>
      <c r="AG46" s="657" t="str">
        <f t="array" ref="AG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17]))</f>
        <v/>
      </c>
      <c r="AH46" s="657" t="str">
        <f t="array" ref="AH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18]))</f>
        <v/>
      </c>
      <c r="AI46" s="657" t="str">
        <f t="array" ref="AI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19]))</f>
        <v/>
      </c>
      <c r="AJ46" s="657" t="str">
        <f t="array" ref="AJ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20]))</f>
        <v/>
      </c>
      <c r="AK46" s="657" t="str">
        <f t="array" ref="AK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21]))</f>
        <v/>
      </c>
      <c r="AL46" s="657" t="str">
        <f t="array" ref="AL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22]))</f>
        <v/>
      </c>
      <c r="AM46" s="657" t="str">
        <f t="array" ref="AM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23]))</f>
        <v/>
      </c>
      <c r="AN46" s="657" t="str">
        <f t="array" ref="AN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24]))</f>
        <v/>
      </c>
      <c r="AO46" s="657" t="str">
        <f t="array" ref="AO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25]))</f>
        <v/>
      </c>
      <c r="AP46" s="657" t="str">
        <f t="array" ref="AP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26]))</f>
        <v/>
      </c>
      <c r="AQ46" s="657" t="str">
        <f t="array" ref="AQ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27]))</f>
        <v/>
      </c>
      <c r="AR46" s="657" t="str">
        <f t="array" ref="AR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28]))</f>
        <v/>
      </c>
      <c r="AS46" s="657" t="str">
        <f t="array" ref="AS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29]))</f>
        <v/>
      </c>
      <c r="AT46" s="657" t="str">
        <f t="array" ref="AT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30]))</f>
        <v/>
      </c>
      <c r="AU46" s="657" t="str">
        <f t="array" ref="AU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31]))</f>
        <v/>
      </c>
      <c r="AV46" s="657" t="str">
        <f t="array" ref="AV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32]))</f>
        <v/>
      </c>
      <c r="AW46" s="657" t="str">
        <f t="array" ref="AW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33]))</f>
        <v/>
      </c>
      <c r="AX46" s="657" t="str">
        <f t="array" ref="AX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34]))</f>
        <v/>
      </c>
      <c r="AY46" s="657" t="str">
        <f t="array" ref="AY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35]))</f>
        <v/>
      </c>
      <c r="AZ46" s="657" t="str">
        <f t="array" ref="AZ46">IF($L46="","",SUMPRODUCT(IF($F$5="Y",1*(ActualsTable[Company]=IF($F46="",$F$6,$F46)),1+0*ISBLANK(ActualsTable[Company])),IF($G$5="Y",1*(ActualsTable[Business Unit]=IF($G46="",$G$6,$G46)),1+0*ISBLANK(ActualsTable[Business Unit])),IF($H$5="Y",1*(ActualsTable[Department]=IF($H46="",$H$6,$H46)),1+0*ISBLANK(ActualsTable[Department])),IF($I$5="Y",1*(ActualsTable[Team]=IF($P46="",$P$6,$P46)),1+0*ISBLANK(ActualsTable[Team])),IF($J$5="Y",1*(ActualsTable[Product]=IF($J46="",$J$6,$J46)),1+0*ISBLANK(ActualsTable[Product])),IF($K$5="Y",1*(ActualsTable[Location]=IF($K46="",$K$6,$K46)),1+0*ISBLANK(ActualsTable[Location])),1*(ActualsTable[Expense Item]=$L46),ActualsTable[Month 36]))</f>
        <v/>
      </c>
      <c r="BA46" s="257"/>
      <c r="BB46" s="654" t="str">
        <f t="array" ref="BB46">IF(OR($L46="",IsHidden(BB46)),"",CHOOSE($B46,N($E46)*BB$5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L$186:L$286)*N($E46),BB$6*N($E46),N($E46),0)+N(BB109))</f>
        <v/>
      </c>
      <c r="BC46" s="654" t="str">
        <f t="array" ref="BC46">IF(OR($L46="",IsHidden(BC46)),"",CHOOSE($B46,N($E46)*BC$5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M$186:M$286)*N($E46),BC$6*N($E46),N($E46),0)+N(BC109))</f>
        <v/>
      </c>
      <c r="BD46" s="654" t="str">
        <f t="array" ref="BD46">IF(OR($L46="",IsHidden(BD46)),"",CHOOSE($B46,N($E46)*BD$5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N$186:N$286)*N($E46),BD$6*N($E46),N($E46),0)+N(BD109))</f>
        <v/>
      </c>
      <c r="BE46" s="654" t="str">
        <f t="array" ref="BE46">IF(OR($L46="",IsHidden(BE46)),"",CHOOSE($B46,N($E46)*BE$5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O$186:O$286)*N($E46),BE$6*N($E46),N($E46),0)+N(BE109))</f>
        <v/>
      </c>
      <c r="BF46" s="654" t="str">
        <f t="array" ref="BF46">IF(OR($L46="",IsHidden(BF46)),"",CHOOSE($B46,N($E46)*BF$5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P$186:P$286)*N($E46),BF$6*N($E46),N($E46),0)+N(BF109))</f>
        <v/>
      </c>
      <c r="BG46" s="654" t="str">
        <f t="array" ref="BG46">IF(OR($L46="",IsHidden(BG46)),"",CHOOSE($B46,N($E46)*BG$5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Q$186:Q$286)*N($E46),BG$6*N($E46),N($E46),0)+N(BG109))</f>
        <v/>
      </c>
      <c r="BH46" s="654" t="str">
        <f t="array" ref="BH46">IF(OR($L46="",IsHidden(BH46)),"",CHOOSE($B46,N($E46)*BH$5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R$186:R$286)*N($E46),BH$6*N($E46),N($E46),0)+N(BH109))</f>
        <v/>
      </c>
      <c r="BI46" s="654" t="str">
        <f t="array" ref="BI46">IF(OR($L46="",IsHidden(BI46)),"",CHOOSE($B46,N($E46)*BI$5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S$186:S$286)*N($E46),BI$6*N($E46),N($E46),0)+N(BI109))</f>
        <v/>
      </c>
      <c r="BJ46" s="654" t="str">
        <f t="array" ref="BJ46">IF(OR($L46="",IsHidden(BJ46)),"",CHOOSE($B46,N($E46)*BJ$5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T$186:T$286)*N($E46),BJ$6*N($E46),N($E46),0)+N(BJ109))</f>
        <v/>
      </c>
      <c r="BK46" s="654" t="str">
        <f t="array" ref="BK46">IF(OR($L46="",IsHidden(BK46)),"",CHOOSE($B46,N($E46)*BK$5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U$186:U$286)*N($E46),BK$6*N($E46),N($E46),0)+N(BK109))</f>
        <v/>
      </c>
      <c r="BL46" s="654" t="str">
        <f t="array" ref="BL46">IF(OR($L46="",IsHidden(BL46)),"",CHOOSE($B46,N($E46)*BL$5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V$186:V$286)*N($E46),BL$6*N($E46),N($E46),0)+N(BL109))</f>
        <v/>
      </c>
      <c r="BM46" s="654" t="str">
        <f t="array" ref="BM46">IF(OR($L46="",IsHidden(BM46)),"",CHOOSE($B46,N($E46)*BM$5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W$186:W$286)*N($E46),BM$6*N($E46),N($E46),0)+N(BM109))</f>
        <v/>
      </c>
      <c r="BN46" s="654" t="str">
        <f t="array" ref="BN46">IF(OR($L46="",IsHidden(BN46)),"",CHOOSE($B46,N($E46)*BN$5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X$186:X$286)*N($E46),BN$6*N($E46),N($E46),0)+N(BN109))</f>
        <v/>
      </c>
      <c r="BO46" s="654" t="str">
        <f t="array" ref="BO46">IF(OR($L46="",IsHidden(BO46)),"",CHOOSE($B46,N($E46)*BO$5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Y$186:Y$286)*N($E46),BO$6*N($E46),N($E46),0)+N(BO109))</f>
        <v/>
      </c>
      <c r="BP46" s="654" t="str">
        <f t="array" ref="BP46">IF(OR($L46="",IsHidden(BP46)),"",CHOOSE($B46,N($E46)*BP$5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Z$186:Z$286)*N($E46),BP$6*N($E46),N($E46),0)+N(BP109))</f>
        <v/>
      </c>
      <c r="BQ46" s="654" t="str">
        <f t="array" ref="BQ46">IF(OR($L46="",IsHidden(BQ46)),"",CHOOSE($B46,N($E46)*BQ$5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A$186:AA$286)*N($E46),BQ$6*N($E46),N($E46),0)+N(BQ109))</f>
        <v/>
      </c>
      <c r="BR46" s="654" t="str">
        <f t="array" ref="BR46">IF(OR($L46="",IsHidden(BR46)),"",CHOOSE($B46,N($E46)*BR$5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B$186:AB$286)*N($E46),BR$6*N($E46),N($E46),0)+N(BR109))</f>
        <v/>
      </c>
      <c r="BS46" s="654" t="str">
        <f t="array" ref="BS46">IF(OR($L46="",IsHidden(BS46)),"",CHOOSE($B46,N($E46)*BS$5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C$186:AC$286)*N($E46),BS$6*N($E46),N($E46),0)+N(BS109))</f>
        <v/>
      </c>
      <c r="BT46" s="654" t="str">
        <f t="array" ref="BT46">IF(OR($L46="",IsHidden(BT46)),"",CHOOSE($B46,N($E46)*BT$5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D$186:AD$286)*N($E46),BT$6*N($E46),N($E46),0)+N(BT109))</f>
        <v/>
      </c>
      <c r="BU46" s="654" t="str">
        <f t="array" ref="BU46">IF(OR($L46="",IsHidden(BU46)),"",CHOOSE($B46,N($E46)*BU$5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E$186:AE$286)*N($E46),BU$6*N($E46),N($E46),0)+N(BU109))</f>
        <v/>
      </c>
      <c r="BV46" s="654" t="str">
        <f t="array" ref="BV46">IF(OR($L46="",IsHidden(BV46)),"",CHOOSE($B46,N($E46)*BV$5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F$186:AF$286)*N($E46),BV$6*N($E46),N($E46),0)+N(BV109))</f>
        <v/>
      </c>
      <c r="BW46" s="654" t="str">
        <f t="array" ref="BW46">IF(OR($L46="",IsHidden(BW46)),"",CHOOSE($B46,N($E46)*BW$5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G$186:AG$286)*N($E46),BW$6*N($E46),N($E46),0)+N(BW109))</f>
        <v/>
      </c>
      <c r="BX46" s="654" t="str">
        <f t="array" ref="BX46">IF(OR($L46="",IsHidden(BX46)),"",CHOOSE($B46,N($E46)*BX$5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H$186:AH$286)*N($E46),BX$6*N($E46),N($E46),0)+N(BX109))</f>
        <v/>
      </c>
      <c r="BY46" s="654" t="str">
        <f t="array" ref="BY46">IF(OR($L46="",IsHidden(BY46)),"",CHOOSE($B46,N($E46)*BY$5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I$186:AI$286)*N($E46),BY$6*N($E46),N($E46),0)+N(BY109))</f>
        <v/>
      </c>
      <c r="BZ46" s="654" t="str">
        <f t="array" ref="BZ46">IF(OR($L46="",IsHidden(BZ46)),"",CHOOSE($B46,N($E46)*BZ$5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J$186:AJ$286)*N($E46),BZ$6*N($E46),N($E46),0)+N(BZ109))</f>
        <v/>
      </c>
      <c r="CA46" s="654" t="str">
        <f t="array" ref="CA46">IF(OR($L46="",IsHidden(CA46)),"",CHOOSE($B46,N($E46)*CA$5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K$186:AK$286)*N($E46),CA$6*N($E46),N($E46),0)+N(CA109))</f>
        <v/>
      </c>
      <c r="CB46" s="654" t="str">
        <f t="array" ref="CB46">IF(OR($L46="",IsHidden(CB46)),"",CHOOSE($B46,N($E46)*CB$5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L$186:AL$286)*N($E46),CB$6*N($E46),N($E46),0)+N(CB109))</f>
        <v/>
      </c>
      <c r="CC46" s="654" t="str">
        <f t="array" ref="CC46">IF(OR($L46="",IsHidden(CC46)),"",CHOOSE($B46,N($E46)*CC$5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M$186:AM$286)*N($E46),CC$6*N($E46),N($E46),0)+N(CC109))</f>
        <v/>
      </c>
      <c r="CD46" s="654" t="str">
        <f t="array" ref="CD46">IF(OR($L46="",IsHidden(CD46)),"",CHOOSE($B46,N($E46)*CD$5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N$186:AN$286)*N($E46),CD$6*N($E46),N($E46),0)+N(CD109))</f>
        <v/>
      </c>
      <c r="CE46" s="654" t="str">
        <f t="array" ref="CE46">IF(OR($L46="",IsHidden(CE46)),"",CHOOSE($B46,N($E46)*CE$5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O$186:AO$286)*N($E46),CE$6*N($E46),N($E46),0)+N(CE109))</f>
        <v/>
      </c>
      <c r="CF46" s="654" t="str">
        <f t="array" ref="CF46">IF(OR($L46="",IsHidden(CF46)),"",CHOOSE($B46,N($E46)*CF$5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P$186:AP$286)*N($E46),CF$6*N($E46),N($E46),0)+N(CF109))</f>
        <v/>
      </c>
      <c r="CG46" s="654" t="str">
        <f t="array" ref="CG46">IF(OR($L46="",IsHidden(CG46)),"",CHOOSE($B46,N($E46)*CG$5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Q$186:AQ$286)*N($E46),CG$6*N($E46),N($E46),0)+N(CG109))</f>
        <v/>
      </c>
      <c r="CH46" s="654" t="str">
        <f t="array" ref="CH46">IF(OR($L46="",IsHidden(CH46)),"",CHOOSE($B46,N($E46)*CH$5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R$186:AR$286)*N($E46),CH$6*N($E46),N($E46),0)+N(CH109))</f>
        <v/>
      </c>
      <c r="CI46" s="654" t="str">
        <f t="array" ref="CI46">IF(OR($L46="",IsHidden(CI46)),"",CHOOSE($B46,N($E46)*CI$5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S$186:AS$286)*N($E46),CI$6*N($E46),N($E46),0)+N(CI109))</f>
        <v/>
      </c>
      <c r="CJ46" s="654" t="str">
        <f t="array" ref="CJ46">IF(OR($L46="",IsHidden(CJ46)),"",CHOOSE($B46,N($E46)*CJ$5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T$186:AT$286)*N($E46),CJ$6*N($E46),N($E46),0)+N(CJ109))</f>
        <v/>
      </c>
      <c r="CK46" s="654" t="str">
        <f t="array" ref="CK46">IF(OR($L46="",IsHidden(CK46)),"",CHOOSE($B46,N($E46)*CK$5,SUMPRODUCT(IF($F$5="Y",1*(Headcount!$B$186:$B$286=IF($F46="",$F$6,$F46)),1+0*ISBLANK(Headcount!$B$186:$B$286)),IF($G$5="Y",1*(Headcount!$C$186:$C$286=IF($G46="",$G$6,$G46)),1+0*ISBLANK(Headcount!$C$186:$C$286)),IF($H$5="Y",1*(Headcount!$D$186:$D$286=IF($H46="",$H$6,$H46)),1+0*ISBLANK(Headcount!$D$186:$D$286)),IF($I$5="Y",1*(Headcount!$E$186:$E$286=IF($I46="",$I$6,$I46)),1+0*ISBLANK(Headcount!$E$186:$E$286)),IF($J$5="Y",1*(Headcount!$F$186:$F$286=IF($J46="",$J$6,$J46)),1+0*ISBLANK(Headcount!$F$186:$F$286)),IF($K$5="Y",1*(Headcount!$G$186:$G$286=IF($K46="",$K$6,$K46)),1+0*ISBLANK(Headcount!$G$186:$G$286)),Headcount!AU$186:AU$286)*N($E46),CK$6*N($E46),N($E46),0)+N(CK109))</f>
        <v/>
      </c>
      <c r="CL46" s="255"/>
      <c r="CM46" s="255"/>
      <c r="CN46" s="255" t="b">
        <f t="array" ref="CN46">IF($L46="",TRUE,IF(AND(OR($F46&lt;&gt;"",$F$6&lt;&gt;""),OR($G46&lt;&gt;"",$G$6&lt;&gt;""),OR($H46&lt;&gt;"",$H$6&lt;&gt;""),OR($I46&lt;&gt;"",$I$6&lt;&gt;""),OR($J46&lt;&gt;"",$J$6&lt;&gt;""),OR($K46&lt;&gt;"",$K$6&lt;&gt;""),NOT(ISERROR(BB46:CK46)),NOT(ISNA(MATCH(IF($H46="",$H$6,$H46)&amp;IF($G46="",$G$6,$G46),DeptBU,0)))),TRUE,FALSE))</f>
        <v>1</v>
      </c>
      <c r="CO46" s="255"/>
      <c r="CP46" s="255" t="str">
        <f t="shared" si="5"/>
        <v/>
      </c>
    </row>
    <row r="47" spans="1:94" s="335" customFormat="1" x14ac:dyDescent="0.35">
      <c r="A47" s="566"/>
      <c r="B47" s="261">
        <f t="shared" si="4"/>
        <v>5</v>
      </c>
      <c r="C47" s="566"/>
      <c r="D47" s="261" t="str">
        <f t="array" aca="1" ref="D47" ca="1">IF($B47&lt;5,AVERAGE(OFFSET($Q47,,Input_ActualsOffset-1,,-$C47)/CHOOSE($B47,OFFSET($Q$5,,Input_ActualsOffset-1,1,-$C47),ss($C47,OFFSET(Actuals!$A$1,1,MATCH("Month "&amp;Input_ActualsOffset,ActualsTable[#Headers],0)-1,ROWS(ActualsTable[#Data]),1),ActualsTable[Company],IF($F$5="Y",IF($F47="",$F$6,$F47),"*"),ActualsTable[Business Unit],IF($G$5="Y",IF($G47="",$G$6,$G47),"*"),ActualsTable[Department],IF($H$5="Y",IF($H47="",$H$6,$H47),"*"),ActualsTable[Team],IF($I$5="Y",IF($P47="",$P$6,$P47),"*"),ActualsTable[Product],IF($J$5="Y",IF($J47="",$J$6,$J47),"*"),ActualsTable[Location],IF($K$5="Y",IF($K47="",$K$6,$K47),"*"),ActualsTable[Expense Item],"Headcount"),OFFSET($Q$6,,Input_ActualsOffset-1,,-$C47),1)),"")</f>
        <v/>
      </c>
      <c r="E47" s="640"/>
      <c r="F47" s="555"/>
      <c r="G47" s="555"/>
      <c r="H47" s="555"/>
      <c r="I47" s="555"/>
      <c r="J47" s="555"/>
      <c r="K47" s="555"/>
      <c r="L47" s="555"/>
      <c r="M47" s="555"/>
      <c r="N47" s="555"/>
      <c r="O47" s="556" t="str">
        <f>IF($L47="","",IF(VLOOKUP(L47,ExpItems[],2,0),L47&amp;" - "&amp;INDEX(DivisionMapping[category_code],MATCH(IF(H47="",$H$6,H47)&amp;IF(G47="",$G$6,G47),DivisionMapping[dept_bu],0)),L47))</f>
        <v/>
      </c>
      <c r="P47" s="556" t="str">
        <f>IF($L47="","",INDEX(Teams[team_consolidation],MATCH(IF($I47="",$I$6,$I47),Teams[team_name],0)))</f>
        <v/>
      </c>
      <c r="Q47" s="657" t="str">
        <f t="array" ref="Q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f>
        <v/>
      </c>
      <c r="R47" s="657" t="str">
        <f t="array" ref="R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f>
        <v/>
      </c>
      <c r="S47" s="657" t="str">
        <f t="array" ref="S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f>
        <v/>
      </c>
      <c r="T47" s="657" t="str">
        <f t="array" ref="T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4]))</f>
        <v/>
      </c>
      <c r="U47" s="657" t="str">
        <f t="array" ref="U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5]))</f>
        <v/>
      </c>
      <c r="V47" s="657" t="str">
        <f t="array" ref="V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6]))</f>
        <v/>
      </c>
      <c r="W47" s="657" t="str">
        <f t="array" ref="W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7]))</f>
        <v/>
      </c>
      <c r="X47" s="657" t="str">
        <f t="array" ref="X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8]))</f>
        <v/>
      </c>
      <c r="Y47" s="657" t="str">
        <f t="array" ref="Y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9]))</f>
        <v/>
      </c>
      <c r="Z47" s="657" t="str">
        <f t="array" ref="Z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10]))</f>
        <v/>
      </c>
      <c r="AA47" s="657" t="str">
        <f t="array" ref="AA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11]))</f>
        <v/>
      </c>
      <c r="AB47" s="657" t="str">
        <f t="array" ref="AB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12]))</f>
        <v/>
      </c>
      <c r="AC47" s="657" t="str">
        <f t="array" ref="AC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13]))</f>
        <v/>
      </c>
      <c r="AD47" s="657" t="str">
        <f t="array" ref="AD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14]))</f>
        <v/>
      </c>
      <c r="AE47" s="657" t="str">
        <f t="array" ref="AE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15]))</f>
        <v/>
      </c>
      <c r="AF47" s="657" t="str">
        <f t="array" ref="AF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16]))</f>
        <v/>
      </c>
      <c r="AG47" s="657" t="str">
        <f t="array" ref="AG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17]))</f>
        <v/>
      </c>
      <c r="AH47" s="657" t="str">
        <f t="array" ref="AH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18]))</f>
        <v/>
      </c>
      <c r="AI47" s="657" t="str">
        <f t="array" ref="AI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19]))</f>
        <v/>
      </c>
      <c r="AJ47" s="657" t="str">
        <f t="array" ref="AJ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20]))</f>
        <v/>
      </c>
      <c r="AK47" s="657" t="str">
        <f t="array" ref="AK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21]))</f>
        <v/>
      </c>
      <c r="AL47" s="657" t="str">
        <f t="array" ref="AL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22]))</f>
        <v/>
      </c>
      <c r="AM47" s="657" t="str">
        <f t="array" ref="AM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23]))</f>
        <v/>
      </c>
      <c r="AN47" s="657" t="str">
        <f t="array" ref="AN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24]))</f>
        <v/>
      </c>
      <c r="AO47" s="657" t="str">
        <f t="array" ref="AO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25]))</f>
        <v/>
      </c>
      <c r="AP47" s="657" t="str">
        <f t="array" ref="AP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26]))</f>
        <v/>
      </c>
      <c r="AQ47" s="657" t="str">
        <f t="array" ref="AQ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27]))</f>
        <v/>
      </c>
      <c r="AR47" s="657" t="str">
        <f t="array" ref="AR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28]))</f>
        <v/>
      </c>
      <c r="AS47" s="657" t="str">
        <f t="array" ref="AS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29]))</f>
        <v/>
      </c>
      <c r="AT47" s="657" t="str">
        <f t="array" ref="AT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30]))</f>
        <v/>
      </c>
      <c r="AU47" s="657" t="str">
        <f t="array" ref="AU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31]))</f>
        <v/>
      </c>
      <c r="AV47" s="657" t="str">
        <f t="array" ref="AV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32]))</f>
        <v/>
      </c>
      <c r="AW47" s="657" t="str">
        <f t="array" ref="AW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33]))</f>
        <v/>
      </c>
      <c r="AX47" s="657" t="str">
        <f t="array" ref="AX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34]))</f>
        <v/>
      </c>
      <c r="AY47" s="657" t="str">
        <f t="array" ref="AY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35]))</f>
        <v/>
      </c>
      <c r="AZ47" s="657" t="str">
        <f t="array" ref="AZ47">IF($L47="","",SUMPRODUCT(IF($F$5="Y",1*(ActualsTable[Company]=IF($F47="",$F$6,$F47)),1+0*ISBLANK(ActualsTable[Company])),IF($G$5="Y",1*(ActualsTable[Business Unit]=IF($G47="",$G$6,$G47)),1+0*ISBLANK(ActualsTable[Business Unit])),IF($H$5="Y",1*(ActualsTable[Department]=IF($H47="",$H$6,$H47)),1+0*ISBLANK(ActualsTable[Department])),IF($I$5="Y",1*(ActualsTable[Team]=IF($P47="",$P$6,$P47)),1+0*ISBLANK(ActualsTable[Team])),IF($J$5="Y",1*(ActualsTable[Product]=IF($J47="",$J$6,$J47)),1+0*ISBLANK(ActualsTable[Product])),IF($K$5="Y",1*(ActualsTable[Location]=IF($K47="",$K$6,$K47)),1+0*ISBLANK(ActualsTable[Location])),1*(ActualsTable[Expense Item]=$L47),ActualsTable[Month 36]))</f>
        <v/>
      </c>
      <c r="BA47" s="257"/>
      <c r="BB47" s="654" t="str">
        <f t="array" ref="BB47">IF(OR($L47="",IsHidden(BB47)),"",CHOOSE($B47,N($E47)*BB$5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L$186:L$286)*N($E47),BB$6*N($E47),N($E47),0)+N(BB110))</f>
        <v/>
      </c>
      <c r="BC47" s="654" t="str">
        <f t="array" ref="BC47">IF(OR($L47="",IsHidden(BC47)),"",CHOOSE($B47,N($E47)*BC$5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M$186:M$286)*N($E47),BC$6*N($E47),N($E47),0)+N(BC110))</f>
        <v/>
      </c>
      <c r="BD47" s="654" t="str">
        <f t="array" ref="BD47">IF(OR($L47="",IsHidden(BD47)),"",CHOOSE($B47,N($E47)*BD$5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N$186:N$286)*N($E47),BD$6*N($E47),N($E47),0)+N(BD110))</f>
        <v/>
      </c>
      <c r="BE47" s="654" t="str">
        <f t="array" ref="BE47">IF(OR($L47="",IsHidden(BE47)),"",CHOOSE($B47,N($E47)*BE$5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O$186:O$286)*N($E47),BE$6*N($E47),N($E47),0)+N(BE110))</f>
        <v/>
      </c>
      <c r="BF47" s="654" t="str">
        <f t="array" ref="BF47">IF(OR($L47="",IsHidden(BF47)),"",CHOOSE($B47,N($E47)*BF$5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P$186:P$286)*N($E47),BF$6*N($E47),N($E47),0)+N(BF110))</f>
        <v/>
      </c>
      <c r="BG47" s="654" t="str">
        <f t="array" ref="BG47">IF(OR($L47="",IsHidden(BG47)),"",CHOOSE($B47,N($E47)*BG$5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Q$186:Q$286)*N($E47),BG$6*N($E47),N($E47),0)+N(BG110))</f>
        <v/>
      </c>
      <c r="BH47" s="654" t="str">
        <f t="array" ref="BH47">IF(OR($L47="",IsHidden(BH47)),"",CHOOSE($B47,N($E47)*BH$5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R$186:R$286)*N($E47),BH$6*N($E47),N($E47),0)+N(BH110))</f>
        <v/>
      </c>
      <c r="BI47" s="654" t="str">
        <f t="array" ref="BI47">IF(OR($L47="",IsHidden(BI47)),"",CHOOSE($B47,N($E47)*BI$5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S$186:S$286)*N($E47),BI$6*N($E47),N($E47),0)+N(BI110))</f>
        <v/>
      </c>
      <c r="BJ47" s="654" t="str">
        <f t="array" ref="BJ47">IF(OR($L47="",IsHidden(BJ47)),"",CHOOSE($B47,N($E47)*BJ$5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T$186:T$286)*N($E47),BJ$6*N($E47),N($E47),0)+N(BJ110))</f>
        <v/>
      </c>
      <c r="BK47" s="654" t="str">
        <f t="array" ref="BK47">IF(OR($L47="",IsHidden(BK47)),"",CHOOSE($B47,N($E47)*BK$5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U$186:U$286)*N($E47),BK$6*N($E47),N($E47),0)+N(BK110))</f>
        <v/>
      </c>
      <c r="BL47" s="654" t="str">
        <f t="array" ref="BL47">IF(OR($L47="",IsHidden(BL47)),"",CHOOSE($B47,N($E47)*BL$5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V$186:V$286)*N($E47),BL$6*N($E47),N($E47),0)+N(BL110))</f>
        <v/>
      </c>
      <c r="BM47" s="654" t="str">
        <f t="array" ref="BM47">IF(OR($L47="",IsHidden(BM47)),"",CHOOSE($B47,N($E47)*BM$5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W$186:W$286)*N($E47),BM$6*N($E47),N($E47),0)+N(BM110))</f>
        <v/>
      </c>
      <c r="BN47" s="654" t="str">
        <f t="array" ref="BN47">IF(OR($L47="",IsHidden(BN47)),"",CHOOSE($B47,N($E47)*BN$5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X$186:X$286)*N($E47),BN$6*N($E47),N($E47),0)+N(BN110))</f>
        <v/>
      </c>
      <c r="BO47" s="654" t="str">
        <f t="array" ref="BO47">IF(OR($L47="",IsHidden(BO47)),"",CHOOSE($B47,N($E47)*BO$5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Y$186:Y$286)*N($E47),BO$6*N($E47),N($E47),0)+N(BO110))</f>
        <v/>
      </c>
      <c r="BP47" s="654" t="str">
        <f t="array" ref="BP47">IF(OR($L47="",IsHidden(BP47)),"",CHOOSE($B47,N($E47)*BP$5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Z$186:Z$286)*N($E47),BP$6*N($E47),N($E47),0)+N(BP110))</f>
        <v/>
      </c>
      <c r="BQ47" s="654" t="str">
        <f t="array" ref="BQ47">IF(OR($L47="",IsHidden(BQ47)),"",CHOOSE($B47,N($E47)*BQ$5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A$186:AA$286)*N($E47),BQ$6*N($E47),N($E47),0)+N(BQ110))</f>
        <v/>
      </c>
      <c r="BR47" s="654" t="str">
        <f t="array" ref="BR47">IF(OR($L47="",IsHidden(BR47)),"",CHOOSE($B47,N($E47)*BR$5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B$186:AB$286)*N($E47),BR$6*N($E47),N($E47),0)+N(BR110))</f>
        <v/>
      </c>
      <c r="BS47" s="654" t="str">
        <f t="array" ref="BS47">IF(OR($L47="",IsHidden(BS47)),"",CHOOSE($B47,N($E47)*BS$5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C$186:AC$286)*N($E47),BS$6*N($E47),N($E47),0)+N(BS110))</f>
        <v/>
      </c>
      <c r="BT47" s="654" t="str">
        <f t="array" ref="BT47">IF(OR($L47="",IsHidden(BT47)),"",CHOOSE($B47,N($E47)*BT$5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D$186:AD$286)*N($E47),BT$6*N($E47),N($E47),0)+N(BT110))</f>
        <v/>
      </c>
      <c r="BU47" s="654" t="str">
        <f t="array" ref="BU47">IF(OR($L47="",IsHidden(BU47)),"",CHOOSE($B47,N($E47)*BU$5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E$186:AE$286)*N($E47),BU$6*N($E47),N($E47),0)+N(BU110))</f>
        <v/>
      </c>
      <c r="BV47" s="654" t="str">
        <f t="array" ref="BV47">IF(OR($L47="",IsHidden(BV47)),"",CHOOSE($B47,N($E47)*BV$5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F$186:AF$286)*N($E47),BV$6*N($E47),N($E47),0)+N(BV110))</f>
        <v/>
      </c>
      <c r="BW47" s="654" t="str">
        <f t="array" ref="BW47">IF(OR($L47="",IsHidden(BW47)),"",CHOOSE($B47,N($E47)*BW$5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G$186:AG$286)*N($E47),BW$6*N($E47),N($E47),0)+N(BW110))</f>
        <v/>
      </c>
      <c r="BX47" s="654" t="str">
        <f t="array" ref="BX47">IF(OR($L47="",IsHidden(BX47)),"",CHOOSE($B47,N($E47)*BX$5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H$186:AH$286)*N($E47),BX$6*N($E47),N($E47),0)+N(BX110))</f>
        <v/>
      </c>
      <c r="BY47" s="654" t="str">
        <f t="array" ref="BY47">IF(OR($L47="",IsHidden(BY47)),"",CHOOSE($B47,N($E47)*BY$5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I$186:AI$286)*N($E47),BY$6*N($E47),N($E47),0)+N(BY110))</f>
        <v/>
      </c>
      <c r="BZ47" s="654" t="str">
        <f t="array" ref="BZ47">IF(OR($L47="",IsHidden(BZ47)),"",CHOOSE($B47,N($E47)*BZ$5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J$186:AJ$286)*N($E47),BZ$6*N($E47),N($E47),0)+N(BZ110))</f>
        <v/>
      </c>
      <c r="CA47" s="654" t="str">
        <f t="array" ref="CA47">IF(OR($L47="",IsHidden(CA47)),"",CHOOSE($B47,N($E47)*CA$5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K$186:AK$286)*N($E47),CA$6*N($E47),N($E47),0)+N(CA110))</f>
        <v/>
      </c>
      <c r="CB47" s="654" t="str">
        <f t="array" ref="CB47">IF(OR($L47="",IsHidden(CB47)),"",CHOOSE($B47,N($E47)*CB$5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L$186:AL$286)*N($E47),CB$6*N($E47),N($E47),0)+N(CB110))</f>
        <v/>
      </c>
      <c r="CC47" s="654" t="str">
        <f t="array" ref="CC47">IF(OR($L47="",IsHidden(CC47)),"",CHOOSE($B47,N($E47)*CC$5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M$186:AM$286)*N($E47),CC$6*N($E47),N($E47),0)+N(CC110))</f>
        <v/>
      </c>
      <c r="CD47" s="654" t="str">
        <f t="array" ref="CD47">IF(OR($L47="",IsHidden(CD47)),"",CHOOSE($B47,N($E47)*CD$5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N$186:AN$286)*N($E47),CD$6*N($E47),N($E47),0)+N(CD110))</f>
        <v/>
      </c>
      <c r="CE47" s="654" t="str">
        <f t="array" ref="CE47">IF(OR($L47="",IsHidden(CE47)),"",CHOOSE($B47,N($E47)*CE$5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O$186:AO$286)*N($E47),CE$6*N($E47),N($E47),0)+N(CE110))</f>
        <v/>
      </c>
      <c r="CF47" s="654" t="str">
        <f t="array" ref="CF47">IF(OR($L47="",IsHidden(CF47)),"",CHOOSE($B47,N($E47)*CF$5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P$186:AP$286)*N($E47),CF$6*N($E47),N($E47),0)+N(CF110))</f>
        <v/>
      </c>
      <c r="CG47" s="654" t="str">
        <f t="array" ref="CG47">IF(OR($L47="",IsHidden(CG47)),"",CHOOSE($B47,N($E47)*CG$5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Q$186:AQ$286)*N($E47),CG$6*N($E47),N($E47),0)+N(CG110))</f>
        <v/>
      </c>
      <c r="CH47" s="654" t="str">
        <f t="array" ref="CH47">IF(OR($L47="",IsHidden(CH47)),"",CHOOSE($B47,N($E47)*CH$5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R$186:AR$286)*N($E47),CH$6*N($E47),N($E47),0)+N(CH110))</f>
        <v/>
      </c>
      <c r="CI47" s="654" t="str">
        <f t="array" ref="CI47">IF(OR($L47="",IsHidden(CI47)),"",CHOOSE($B47,N($E47)*CI$5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S$186:AS$286)*N($E47),CI$6*N($E47),N($E47),0)+N(CI110))</f>
        <v/>
      </c>
      <c r="CJ47" s="654" t="str">
        <f t="array" ref="CJ47">IF(OR($L47="",IsHidden(CJ47)),"",CHOOSE($B47,N($E47)*CJ$5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T$186:AT$286)*N($E47),CJ$6*N($E47),N($E47),0)+N(CJ110))</f>
        <v/>
      </c>
      <c r="CK47" s="654" t="str">
        <f t="array" ref="CK47">IF(OR($L47="",IsHidden(CK47)),"",CHOOSE($B47,N($E47)*CK$5,SUMPRODUCT(IF($F$5="Y",1*(Headcount!$B$186:$B$286=IF($F47="",$F$6,$F47)),1+0*ISBLANK(Headcount!$B$186:$B$286)),IF($G$5="Y",1*(Headcount!$C$186:$C$286=IF($G47="",$G$6,$G47)),1+0*ISBLANK(Headcount!$C$186:$C$286)),IF($H$5="Y",1*(Headcount!$D$186:$D$286=IF($H47="",$H$6,$H47)),1+0*ISBLANK(Headcount!$D$186:$D$286)),IF($I$5="Y",1*(Headcount!$E$186:$E$286=IF($I47="",$I$6,$I47)),1+0*ISBLANK(Headcount!$E$186:$E$286)),IF($J$5="Y",1*(Headcount!$F$186:$F$286=IF($J47="",$J$6,$J47)),1+0*ISBLANK(Headcount!$F$186:$F$286)),IF($K$5="Y",1*(Headcount!$G$186:$G$286=IF($K47="",$K$6,$K47)),1+0*ISBLANK(Headcount!$G$186:$G$286)),Headcount!AU$186:AU$286)*N($E47),CK$6*N($E47),N($E47),0)+N(CK110))</f>
        <v/>
      </c>
      <c r="CL47" s="255"/>
      <c r="CM47" s="255"/>
      <c r="CN47" s="255" t="b">
        <f t="array" ref="CN47">IF($L47="",TRUE,IF(AND(OR($F47&lt;&gt;"",$F$6&lt;&gt;""),OR($G47&lt;&gt;"",$G$6&lt;&gt;""),OR($H47&lt;&gt;"",$H$6&lt;&gt;""),OR($I47&lt;&gt;"",$I$6&lt;&gt;""),OR($J47&lt;&gt;"",$J$6&lt;&gt;""),OR($K47&lt;&gt;"",$K$6&lt;&gt;""),NOT(ISERROR(BB47:CK47)),NOT(ISNA(MATCH(IF($H47="",$H$6,$H47)&amp;IF($G47="",$G$6,$G47),DeptBU,0)))),TRUE,FALSE))</f>
        <v>1</v>
      </c>
      <c r="CO47" s="255"/>
      <c r="CP47" s="255" t="str">
        <f t="shared" si="5"/>
        <v/>
      </c>
    </row>
    <row r="48" spans="1:94" s="335" customFormat="1" x14ac:dyDescent="0.35">
      <c r="A48" s="566"/>
      <c r="B48" s="261">
        <f t="shared" si="4"/>
        <v>5</v>
      </c>
      <c r="C48" s="566"/>
      <c r="D48" s="261" t="str">
        <f t="array" aca="1" ref="D48" ca="1">IF($B48&lt;5,AVERAGE(OFFSET($Q48,,Input_ActualsOffset-1,,-$C48)/CHOOSE($B48,OFFSET($Q$5,,Input_ActualsOffset-1,1,-$C48),ss($C48,OFFSET(Actuals!$A$1,1,MATCH("Month "&amp;Input_ActualsOffset,ActualsTable[#Headers],0)-1,ROWS(ActualsTable[#Data]),1),ActualsTable[Company],IF($F$5="Y",IF($F48="",$F$6,$F48),"*"),ActualsTable[Business Unit],IF($G$5="Y",IF($G48="",$G$6,$G48),"*"),ActualsTable[Department],IF($H$5="Y",IF($H48="",$H$6,$H48),"*"),ActualsTable[Team],IF($I$5="Y",IF($P48="",$P$6,$P48),"*"),ActualsTable[Product],IF($J$5="Y",IF($J48="",$J$6,$J48),"*"),ActualsTable[Location],IF($K$5="Y",IF($K48="",$K$6,$K48),"*"),ActualsTable[Expense Item],"Headcount"),OFFSET($Q$6,,Input_ActualsOffset-1,,-$C48),1)),"")</f>
        <v/>
      </c>
      <c r="E48" s="640"/>
      <c r="F48" s="555"/>
      <c r="G48" s="555"/>
      <c r="H48" s="555"/>
      <c r="I48" s="555"/>
      <c r="J48" s="555"/>
      <c r="K48" s="555"/>
      <c r="L48" s="555"/>
      <c r="M48" s="555"/>
      <c r="N48" s="555"/>
      <c r="O48" s="556" t="str">
        <f>IF($L48="","",IF(VLOOKUP(L48,ExpItems[],2,0),L48&amp;" - "&amp;INDEX(DivisionMapping[category_code],MATCH(IF(H48="",$H$6,H48)&amp;IF(G48="",$G$6,G48),DivisionMapping[dept_bu],0)),L48))</f>
        <v/>
      </c>
      <c r="P48" s="556" t="str">
        <f>IF($L48="","",INDEX(Teams[team_consolidation],MATCH(IF($I48="",$I$6,$I48),Teams[team_name],0)))</f>
        <v/>
      </c>
      <c r="Q48" s="657" t="str">
        <f t="array" ref="Q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f>
        <v/>
      </c>
      <c r="R48" s="657" t="str">
        <f t="array" ref="R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f>
        <v/>
      </c>
      <c r="S48" s="657" t="str">
        <f t="array" ref="S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f>
        <v/>
      </c>
      <c r="T48" s="657" t="str">
        <f t="array" ref="T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4]))</f>
        <v/>
      </c>
      <c r="U48" s="657" t="str">
        <f t="array" ref="U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5]))</f>
        <v/>
      </c>
      <c r="V48" s="657" t="str">
        <f t="array" ref="V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6]))</f>
        <v/>
      </c>
      <c r="W48" s="657" t="str">
        <f t="array" ref="W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7]))</f>
        <v/>
      </c>
      <c r="X48" s="657" t="str">
        <f t="array" ref="X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8]))</f>
        <v/>
      </c>
      <c r="Y48" s="657" t="str">
        <f t="array" ref="Y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9]))</f>
        <v/>
      </c>
      <c r="Z48" s="657" t="str">
        <f t="array" ref="Z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10]))</f>
        <v/>
      </c>
      <c r="AA48" s="657" t="str">
        <f t="array" ref="AA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11]))</f>
        <v/>
      </c>
      <c r="AB48" s="657" t="str">
        <f t="array" ref="AB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12]))</f>
        <v/>
      </c>
      <c r="AC48" s="657" t="str">
        <f t="array" ref="AC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13]))</f>
        <v/>
      </c>
      <c r="AD48" s="657" t="str">
        <f t="array" ref="AD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14]))</f>
        <v/>
      </c>
      <c r="AE48" s="657" t="str">
        <f t="array" ref="AE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15]))</f>
        <v/>
      </c>
      <c r="AF48" s="657" t="str">
        <f t="array" ref="AF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16]))</f>
        <v/>
      </c>
      <c r="AG48" s="657" t="str">
        <f t="array" ref="AG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17]))</f>
        <v/>
      </c>
      <c r="AH48" s="657" t="str">
        <f t="array" ref="AH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18]))</f>
        <v/>
      </c>
      <c r="AI48" s="657" t="str">
        <f t="array" ref="AI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19]))</f>
        <v/>
      </c>
      <c r="AJ48" s="657" t="str">
        <f t="array" ref="AJ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20]))</f>
        <v/>
      </c>
      <c r="AK48" s="657" t="str">
        <f t="array" ref="AK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21]))</f>
        <v/>
      </c>
      <c r="AL48" s="657" t="str">
        <f t="array" ref="AL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22]))</f>
        <v/>
      </c>
      <c r="AM48" s="657" t="str">
        <f t="array" ref="AM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23]))</f>
        <v/>
      </c>
      <c r="AN48" s="657" t="str">
        <f t="array" ref="AN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24]))</f>
        <v/>
      </c>
      <c r="AO48" s="657" t="str">
        <f t="array" ref="AO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25]))</f>
        <v/>
      </c>
      <c r="AP48" s="657" t="str">
        <f t="array" ref="AP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26]))</f>
        <v/>
      </c>
      <c r="AQ48" s="657" t="str">
        <f t="array" ref="AQ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27]))</f>
        <v/>
      </c>
      <c r="AR48" s="657" t="str">
        <f t="array" ref="AR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28]))</f>
        <v/>
      </c>
      <c r="AS48" s="657" t="str">
        <f t="array" ref="AS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29]))</f>
        <v/>
      </c>
      <c r="AT48" s="657" t="str">
        <f t="array" ref="AT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30]))</f>
        <v/>
      </c>
      <c r="AU48" s="657" t="str">
        <f t="array" ref="AU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31]))</f>
        <v/>
      </c>
      <c r="AV48" s="657" t="str">
        <f t="array" ref="AV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32]))</f>
        <v/>
      </c>
      <c r="AW48" s="657" t="str">
        <f t="array" ref="AW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33]))</f>
        <v/>
      </c>
      <c r="AX48" s="657" t="str">
        <f t="array" ref="AX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34]))</f>
        <v/>
      </c>
      <c r="AY48" s="657" t="str">
        <f t="array" ref="AY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35]))</f>
        <v/>
      </c>
      <c r="AZ48" s="657" t="str">
        <f t="array" ref="AZ48">IF($L48="","",SUMPRODUCT(IF($F$5="Y",1*(ActualsTable[Company]=IF($F48="",$F$6,$F48)),1+0*ISBLANK(ActualsTable[Company])),IF($G$5="Y",1*(ActualsTable[Business Unit]=IF($G48="",$G$6,$G48)),1+0*ISBLANK(ActualsTable[Business Unit])),IF($H$5="Y",1*(ActualsTable[Department]=IF($H48="",$H$6,$H48)),1+0*ISBLANK(ActualsTable[Department])),IF($I$5="Y",1*(ActualsTable[Team]=IF($P48="",$P$6,$P48)),1+0*ISBLANK(ActualsTable[Team])),IF($J$5="Y",1*(ActualsTable[Product]=IF($J48="",$J$6,$J48)),1+0*ISBLANK(ActualsTable[Product])),IF($K$5="Y",1*(ActualsTable[Location]=IF($K48="",$K$6,$K48)),1+0*ISBLANK(ActualsTable[Location])),1*(ActualsTable[Expense Item]=$L48),ActualsTable[Month 36]))</f>
        <v/>
      </c>
      <c r="BA48" s="257"/>
      <c r="BB48" s="654" t="str">
        <f t="array" ref="BB48">IF(OR($L48="",IsHidden(BB48)),"",CHOOSE($B48,N($E48)*BB$5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L$186:L$286)*N($E48),BB$6*N($E48),N($E48),0)+N(BB111))</f>
        <v/>
      </c>
      <c r="BC48" s="654" t="str">
        <f t="array" ref="BC48">IF(OR($L48="",IsHidden(BC48)),"",CHOOSE($B48,N($E48)*BC$5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M$186:M$286)*N($E48),BC$6*N($E48),N($E48),0)+N(BC111))</f>
        <v/>
      </c>
      <c r="BD48" s="654" t="str">
        <f t="array" ref="BD48">IF(OR($L48="",IsHidden(BD48)),"",CHOOSE($B48,N($E48)*BD$5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N$186:N$286)*N($E48),BD$6*N($E48),N($E48),0)+N(BD111))</f>
        <v/>
      </c>
      <c r="BE48" s="654" t="str">
        <f t="array" ref="BE48">IF(OR($L48="",IsHidden(BE48)),"",CHOOSE($B48,N($E48)*BE$5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O$186:O$286)*N($E48),BE$6*N($E48),N($E48),0)+N(BE111))</f>
        <v/>
      </c>
      <c r="BF48" s="654" t="str">
        <f t="array" ref="BF48">IF(OR($L48="",IsHidden(BF48)),"",CHOOSE($B48,N($E48)*BF$5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P$186:P$286)*N($E48),BF$6*N($E48),N($E48),0)+N(BF111))</f>
        <v/>
      </c>
      <c r="BG48" s="654" t="str">
        <f t="array" ref="BG48">IF(OR($L48="",IsHidden(BG48)),"",CHOOSE($B48,N($E48)*BG$5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Q$186:Q$286)*N($E48),BG$6*N($E48),N($E48),0)+N(BG111))</f>
        <v/>
      </c>
      <c r="BH48" s="654" t="str">
        <f t="array" ref="BH48">IF(OR($L48="",IsHidden(BH48)),"",CHOOSE($B48,N($E48)*BH$5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R$186:R$286)*N($E48),BH$6*N($E48),N($E48),0)+N(BH111))</f>
        <v/>
      </c>
      <c r="BI48" s="654" t="str">
        <f t="array" ref="BI48">IF(OR($L48="",IsHidden(BI48)),"",CHOOSE($B48,N($E48)*BI$5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S$186:S$286)*N($E48),BI$6*N($E48),N($E48),0)+N(BI111))</f>
        <v/>
      </c>
      <c r="BJ48" s="654" t="str">
        <f t="array" ref="BJ48">IF(OR($L48="",IsHidden(BJ48)),"",CHOOSE($B48,N($E48)*BJ$5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T$186:T$286)*N($E48),BJ$6*N($E48),N($E48),0)+N(BJ111))</f>
        <v/>
      </c>
      <c r="BK48" s="654" t="str">
        <f t="array" ref="BK48">IF(OR($L48="",IsHidden(BK48)),"",CHOOSE($B48,N($E48)*BK$5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U$186:U$286)*N($E48),BK$6*N($E48),N($E48),0)+N(BK111))</f>
        <v/>
      </c>
      <c r="BL48" s="654" t="str">
        <f t="array" ref="BL48">IF(OR($L48="",IsHidden(BL48)),"",CHOOSE($B48,N($E48)*BL$5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V$186:V$286)*N($E48),BL$6*N($E48),N($E48),0)+N(BL111))</f>
        <v/>
      </c>
      <c r="BM48" s="654" t="str">
        <f t="array" ref="BM48">IF(OR($L48="",IsHidden(BM48)),"",CHOOSE($B48,N($E48)*BM$5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W$186:W$286)*N($E48),BM$6*N($E48),N($E48),0)+N(BM111))</f>
        <v/>
      </c>
      <c r="BN48" s="654" t="str">
        <f t="array" ref="BN48">IF(OR($L48="",IsHidden(BN48)),"",CHOOSE($B48,N($E48)*BN$5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X$186:X$286)*N($E48),BN$6*N($E48),N($E48),0)+N(BN111))</f>
        <v/>
      </c>
      <c r="BO48" s="654" t="str">
        <f t="array" ref="BO48">IF(OR($L48="",IsHidden(BO48)),"",CHOOSE($B48,N($E48)*BO$5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Y$186:Y$286)*N($E48),BO$6*N($E48),N($E48),0)+N(BO111))</f>
        <v/>
      </c>
      <c r="BP48" s="654" t="str">
        <f t="array" ref="BP48">IF(OR($L48="",IsHidden(BP48)),"",CHOOSE($B48,N($E48)*BP$5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Z$186:Z$286)*N($E48),BP$6*N($E48),N($E48),0)+N(BP111))</f>
        <v/>
      </c>
      <c r="BQ48" s="654" t="str">
        <f t="array" ref="BQ48">IF(OR($L48="",IsHidden(BQ48)),"",CHOOSE($B48,N($E48)*BQ$5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A$186:AA$286)*N($E48),BQ$6*N($E48),N($E48),0)+N(BQ111))</f>
        <v/>
      </c>
      <c r="BR48" s="654" t="str">
        <f t="array" ref="BR48">IF(OR($L48="",IsHidden(BR48)),"",CHOOSE($B48,N($E48)*BR$5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B$186:AB$286)*N($E48),BR$6*N($E48),N($E48),0)+N(BR111))</f>
        <v/>
      </c>
      <c r="BS48" s="654" t="str">
        <f t="array" ref="BS48">IF(OR($L48="",IsHidden(BS48)),"",CHOOSE($B48,N($E48)*BS$5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C$186:AC$286)*N($E48),BS$6*N($E48),N($E48),0)+N(BS111))</f>
        <v/>
      </c>
      <c r="BT48" s="654" t="str">
        <f t="array" ref="BT48">IF(OR($L48="",IsHidden(BT48)),"",CHOOSE($B48,N($E48)*BT$5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D$186:AD$286)*N($E48),BT$6*N($E48),N($E48),0)+N(BT111))</f>
        <v/>
      </c>
      <c r="BU48" s="654" t="str">
        <f t="array" ref="BU48">IF(OR($L48="",IsHidden(BU48)),"",CHOOSE($B48,N($E48)*BU$5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E$186:AE$286)*N($E48),BU$6*N($E48),N($E48),0)+N(BU111))</f>
        <v/>
      </c>
      <c r="BV48" s="654" t="str">
        <f t="array" ref="BV48">IF(OR($L48="",IsHidden(BV48)),"",CHOOSE($B48,N($E48)*BV$5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F$186:AF$286)*N($E48),BV$6*N($E48),N($E48),0)+N(BV111))</f>
        <v/>
      </c>
      <c r="BW48" s="654" t="str">
        <f t="array" ref="BW48">IF(OR($L48="",IsHidden(BW48)),"",CHOOSE($B48,N($E48)*BW$5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G$186:AG$286)*N($E48),BW$6*N($E48),N($E48),0)+N(BW111))</f>
        <v/>
      </c>
      <c r="BX48" s="654" t="str">
        <f t="array" ref="BX48">IF(OR($L48="",IsHidden(BX48)),"",CHOOSE($B48,N($E48)*BX$5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H$186:AH$286)*N($E48),BX$6*N($E48),N($E48),0)+N(BX111))</f>
        <v/>
      </c>
      <c r="BY48" s="654" t="str">
        <f t="array" ref="BY48">IF(OR($L48="",IsHidden(BY48)),"",CHOOSE($B48,N($E48)*BY$5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I$186:AI$286)*N($E48),BY$6*N($E48),N($E48),0)+N(BY111))</f>
        <v/>
      </c>
      <c r="BZ48" s="654" t="str">
        <f t="array" ref="BZ48">IF(OR($L48="",IsHidden(BZ48)),"",CHOOSE($B48,N($E48)*BZ$5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J$186:AJ$286)*N($E48),BZ$6*N($E48),N($E48),0)+N(BZ111))</f>
        <v/>
      </c>
      <c r="CA48" s="654" t="str">
        <f t="array" ref="CA48">IF(OR($L48="",IsHidden(CA48)),"",CHOOSE($B48,N($E48)*CA$5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K$186:AK$286)*N($E48),CA$6*N($E48),N($E48),0)+N(CA111))</f>
        <v/>
      </c>
      <c r="CB48" s="654" t="str">
        <f t="array" ref="CB48">IF(OR($L48="",IsHidden(CB48)),"",CHOOSE($B48,N($E48)*CB$5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L$186:AL$286)*N($E48),CB$6*N($E48),N($E48),0)+N(CB111))</f>
        <v/>
      </c>
      <c r="CC48" s="654" t="str">
        <f t="array" ref="CC48">IF(OR($L48="",IsHidden(CC48)),"",CHOOSE($B48,N($E48)*CC$5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M$186:AM$286)*N($E48),CC$6*N($E48),N($E48),0)+N(CC111))</f>
        <v/>
      </c>
      <c r="CD48" s="654" t="str">
        <f t="array" ref="CD48">IF(OR($L48="",IsHidden(CD48)),"",CHOOSE($B48,N($E48)*CD$5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N$186:AN$286)*N($E48),CD$6*N($E48),N($E48),0)+N(CD111))</f>
        <v/>
      </c>
      <c r="CE48" s="654" t="str">
        <f t="array" ref="CE48">IF(OR($L48="",IsHidden(CE48)),"",CHOOSE($B48,N($E48)*CE$5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O$186:AO$286)*N($E48),CE$6*N($E48),N($E48),0)+N(CE111))</f>
        <v/>
      </c>
      <c r="CF48" s="654" t="str">
        <f t="array" ref="CF48">IF(OR($L48="",IsHidden(CF48)),"",CHOOSE($B48,N($E48)*CF$5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P$186:AP$286)*N($E48),CF$6*N($E48),N($E48),0)+N(CF111))</f>
        <v/>
      </c>
      <c r="CG48" s="654" t="str">
        <f t="array" ref="CG48">IF(OR($L48="",IsHidden(CG48)),"",CHOOSE($B48,N($E48)*CG$5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Q$186:AQ$286)*N($E48),CG$6*N($E48),N($E48),0)+N(CG111))</f>
        <v/>
      </c>
      <c r="CH48" s="654" t="str">
        <f t="array" ref="CH48">IF(OR($L48="",IsHidden(CH48)),"",CHOOSE($B48,N($E48)*CH$5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R$186:AR$286)*N($E48),CH$6*N($E48),N($E48),0)+N(CH111))</f>
        <v/>
      </c>
      <c r="CI48" s="654" t="str">
        <f t="array" ref="CI48">IF(OR($L48="",IsHidden(CI48)),"",CHOOSE($B48,N($E48)*CI$5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S$186:AS$286)*N($E48),CI$6*N($E48),N($E48),0)+N(CI111))</f>
        <v/>
      </c>
      <c r="CJ48" s="654" t="str">
        <f t="array" ref="CJ48">IF(OR($L48="",IsHidden(CJ48)),"",CHOOSE($B48,N($E48)*CJ$5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T$186:AT$286)*N($E48),CJ$6*N($E48),N($E48),0)+N(CJ111))</f>
        <v/>
      </c>
      <c r="CK48" s="654" t="str">
        <f t="array" ref="CK48">IF(OR($L48="",IsHidden(CK48)),"",CHOOSE($B48,N($E48)*CK$5,SUMPRODUCT(IF($F$5="Y",1*(Headcount!$B$186:$B$286=IF($F48="",$F$6,$F48)),1+0*ISBLANK(Headcount!$B$186:$B$286)),IF($G$5="Y",1*(Headcount!$C$186:$C$286=IF($G48="",$G$6,$G48)),1+0*ISBLANK(Headcount!$C$186:$C$286)),IF($H$5="Y",1*(Headcount!$D$186:$D$286=IF($H48="",$H$6,$H48)),1+0*ISBLANK(Headcount!$D$186:$D$286)),IF($I$5="Y",1*(Headcount!$E$186:$E$286=IF($I48="",$I$6,$I48)),1+0*ISBLANK(Headcount!$E$186:$E$286)),IF($J$5="Y",1*(Headcount!$F$186:$F$286=IF($J48="",$J$6,$J48)),1+0*ISBLANK(Headcount!$F$186:$F$286)),IF($K$5="Y",1*(Headcount!$G$186:$G$286=IF($K48="",$K$6,$K48)),1+0*ISBLANK(Headcount!$G$186:$G$286)),Headcount!AU$186:AU$286)*N($E48),CK$6*N($E48),N($E48),0)+N(CK111))</f>
        <v/>
      </c>
      <c r="CL48" s="255"/>
      <c r="CM48" s="255"/>
      <c r="CN48" s="255" t="b">
        <f t="array" ref="CN48">IF($L48="",TRUE,IF(AND(OR($F48&lt;&gt;"",$F$6&lt;&gt;""),OR($G48&lt;&gt;"",$G$6&lt;&gt;""),OR($H48&lt;&gt;"",$H$6&lt;&gt;""),OR($I48&lt;&gt;"",$I$6&lt;&gt;""),OR($J48&lt;&gt;"",$J$6&lt;&gt;""),OR($K48&lt;&gt;"",$K$6&lt;&gt;""),NOT(ISERROR(BB48:CK48)),NOT(ISNA(MATCH(IF($H48="",$H$6,$H48)&amp;IF($G48="",$G$6,$G48),DeptBU,0)))),TRUE,FALSE))</f>
        <v>1</v>
      </c>
      <c r="CO48" s="255"/>
      <c r="CP48" s="255" t="str">
        <f t="shared" si="5"/>
        <v/>
      </c>
    </row>
    <row r="49" spans="1:94" s="335" customFormat="1" x14ac:dyDescent="0.35">
      <c r="A49" s="566"/>
      <c r="B49" s="261">
        <f t="shared" si="4"/>
        <v>5</v>
      </c>
      <c r="C49" s="566"/>
      <c r="D49" s="261" t="str">
        <f t="array" aca="1" ref="D49" ca="1">IF($B49&lt;5,AVERAGE(OFFSET($Q49,,Input_ActualsOffset-1,,-$C49)/CHOOSE($B49,OFFSET($Q$5,,Input_ActualsOffset-1,1,-$C49),ss($C49,OFFSET(Actuals!$A$1,1,MATCH("Month "&amp;Input_ActualsOffset,ActualsTable[#Headers],0)-1,ROWS(ActualsTable[#Data]),1),ActualsTable[Company],IF($F$5="Y",IF($F49="",$F$6,$F49),"*"),ActualsTable[Business Unit],IF($G$5="Y",IF($G49="",$G$6,$G49),"*"),ActualsTable[Department],IF($H$5="Y",IF($H49="",$H$6,$H49),"*"),ActualsTable[Team],IF($I$5="Y",IF($P49="",$P$6,$P49),"*"),ActualsTable[Product],IF($J$5="Y",IF($J49="",$J$6,$J49),"*"),ActualsTable[Location],IF($K$5="Y",IF($K49="",$K$6,$K49),"*"),ActualsTable[Expense Item],"Headcount"),OFFSET($Q$6,,Input_ActualsOffset-1,,-$C49),1)),"")</f>
        <v/>
      </c>
      <c r="E49" s="640"/>
      <c r="F49" s="555"/>
      <c r="G49" s="555"/>
      <c r="H49" s="555"/>
      <c r="I49" s="555"/>
      <c r="J49" s="555"/>
      <c r="K49" s="555"/>
      <c r="L49" s="555"/>
      <c r="M49" s="555"/>
      <c r="N49" s="555"/>
      <c r="O49" s="556" t="str">
        <f>IF($L49="","",IF(VLOOKUP(L49,ExpItems[],2,0),L49&amp;" - "&amp;INDEX(DivisionMapping[category_code],MATCH(IF(H49="",$H$6,H49)&amp;IF(G49="",$G$6,G49),DivisionMapping[dept_bu],0)),L49))</f>
        <v/>
      </c>
      <c r="P49" s="556" t="str">
        <f>IF($L49="","",INDEX(Teams[team_consolidation],MATCH(IF($I49="",$I$6,$I49),Teams[team_name],0)))</f>
        <v/>
      </c>
      <c r="Q49" s="657" t="str">
        <f t="array" ref="Q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f>
        <v/>
      </c>
      <c r="R49" s="657" t="str">
        <f t="array" ref="R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f>
        <v/>
      </c>
      <c r="S49" s="657" t="str">
        <f t="array" ref="S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f>
        <v/>
      </c>
      <c r="T49" s="657" t="str">
        <f t="array" ref="T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4]))</f>
        <v/>
      </c>
      <c r="U49" s="657" t="str">
        <f t="array" ref="U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5]))</f>
        <v/>
      </c>
      <c r="V49" s="657" t="str">
        <f t="array" ref="V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6]))</f>
        <v/>
      </c>
      <c r="W49" s="657" t="str">
        <f t="array" ref="W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7]))</f>
        <v/>
      </c>
      <c r="X49" s="657" t="str">
        <f t="array" ref="X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8]))</f>
        <v/>
      </c>
      <c r="Y49" s="657" t="str">
        <f t="array" ref="Y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9]))</f>
        <v/>
      </c>
      <c r="Z49" s="657" t="str">
        <f t="array" ref="Z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10]))</f>
        <v/>
      </c>
      <c r="AA49" s="657" t="str">
        <f t="array" ref="AA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11]))</f>
        <v/>
      </c>
      <c r="AB49" s="657" t="str">
        <f t="array" ref="AB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12]))</f>
        <v/>
      </c>
      <c r="AC49" s="657" t="str">
        <f t="array" ref="AC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13]))</f>
        <v/>
      </c>
      <c r="AD49" s="657" t="str">
        <f t="array" ref="AD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14]))</f>
        <v/>
      </c>
      <c r="AE49" s="657" t="str">
        <f t="array" ref="AE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15]))</f>
        <v/>
      </c>
      <c r="AF49" s="657" t="str">
        <f t="array" ref="AF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16]))</f>
        <v/>
      </c>
      <c r="AG49" s="657" t="str">
        <f t="array" ref="AG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17]))</f>
        <v/>
      </c>
      <c r="AH49" s="657" t="str">
        <f t="array" ref="AH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18]))</f>
        <v/>
      </c>
      <c r="AI49" s="657" t="str">
        <f t="array" ref="AI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19]))</f>
        <v/>
      </c>
      <c r="AJ49" s="657" t="str">
        <f t="array" ref="AJ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20]))</f>
        <v/>
      </c>
      <c r="AK49" s="657" t="str">
        <f t="array" ref="AK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21]))</f>
        <v/>
      </c>
      <c r="AL49" s="657" t="str">
        <f t="array" ref="AL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22]))</f>
        <v/>
      </c>
      <c r="AM49" s="657" t="str">
        <f t="array" ref="AM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23]))</f>
        <v/>
      </c>
      <c r="AN49" s="657" t="str">
        <f t="array" ref="AN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24]))</f>
        <v/>
      </c>
      <c r="AO49" s="657" t="str">
        <f t="array" ref="AO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25]))</f>
        <v/>
      </c>
      <c r="AP49" s="657" t="str">
        <f t="array" ref="AP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26]))</f>
        <v/>
      </c>
      <c r="AQ49" s="657" t="str">
        <f t="array" ref="AQ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27]))</f>
        <v/>
      </c>
      <c r="AR49" s="657" t="str">
        <f t="array" ref="AR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28]))</f>
        <v/>
      </c>
      <c r="AS49" s="657" t="str">
        <f t="array" ref="AS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29]))</f>
        <v/>
      </c>
      <c r="AT49" s="657" t="str">
        <f t="array" ref="AT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30]))</f>
        <v/>
      </c>
      <c r="AU49" s="657" t="str">
        <f t="array" ref="AU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31]))</f>
        <v/>
      </c>
      <c r="AV49" s="657" t="str">
        <f t="array" ref="AV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32]))</f>
        <v/>
      </c>
      <c r="AW49" s="657" t="str">
        <f t="array" ref="AW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33]))</f>
        <v/>
      </c>
      <c r="AX49" s="657" t="str">
        <f t="array" ref="AX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34]))</f>
        <v/>
      </c>
      <c r="AY49" s="657" t="str">
        <f t="array" ref="AY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35]))</f>
        <v/>
      </c>
      <c r="AZ49" s="657" t="str">
        <f t="array" ref="AZ49">IF($L49="","",SUMPRODUCT(IF($F$5="Y",1*(ActualsTable[Company]=IF($F49="",$F$6,$F49)),1+0*ISBLANK(ActualsTable[Company])),IF($G$5="Y",1*(ActualsTable[Business Unit]=IF($G49="",$G$6,$G49)),1+0*ISBLANK(ActualsTable[Business Unit])),IF($H$5="Y",1*(ActualsTable[Department]=IF($H49="",$H$6,$H49)),1+0*ISBLANK(ActualsTable[Department])),IF($I$5="Y",1*(ActualsTable[Team]=IF($P49="",$P$6,$P49)),1+0*ISBLANK(ActualsTable[Team])),IF($J$5="Y",1*(ActualsTable[Product]=IF($J49="",$J$6,$J49)),1+0*ISBLANK(ActualsTable[Product])),IF($K$5="Y",1*(ActualsTable[Location]=IF($K49="",$K$6,$K49)),1+0*ISBLANK(ActualsTable[Location])),1*(ActualsTable[Expense Item]=$L49),ActualsTable[Month 36]))</f>
        <v/>
      </c>
      <c r="BA49" s="257"/>
      <c r="BB49" s="654" t="str">
        <f t="array" ref="BB49">IF(OR($L49="",IsHidden(BB49)),"",CHOOSE($B49,N($E49)*BB$5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L$186:L$286)*N($E49),BB$6*N($E49),N($E49),0)+N(BB112))</f>
        <v/>
      </c>
      <c r="BC49" s="654" t="str">
        <f t="array" ref="BC49">IF(OR($L49="",IsHidden(BC49)),"",CHOOSE($B49,N($E49)*BC$5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M$186:M$286)*N($E49),BC$6*N($E49),N($E49),0)+N(BC112))</f>
        <v/>
      </c>
      <c r="BD49" s="654" t="str">
        <f t="array" ref="BD49">IF(OR($L49="",IsHidden(BD49)),"",CHOOSE($B49,N($E49)*BD$5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N$186:N$286)*N($E49),BD$6*N($E49),N($E49),0)+N(BD112))</f>
        <v/>
      </c>
      <c r="BE49" s="654" t="str">
        <f t="array" ref="BE49">IF(OR($L49="",IsHidden(BE49)),"",CHOOSE($B49,N($E49)*BE$5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O$186:O$286)*N($E49),BE$6*N($E49),N($E49),0)+N(BE112))</f>
        <v/>
      </c>
      <c r="BF49" s="654" t="str">
        <f t="array" ref="BF49">IF(OR($L49="",IsHidden(BF49)),"",CHOOSE($B49,N($E49)*BF$5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P$186:P$286)*N($E49),BF$6*N($E49),N($E49),0)+N(BF112))</f>
        <v/>
      </c>
      <c r="BG49" s="654" t="str">
        <f t="array" ref="BG49">IF(OR($L49="",IsHidden(BG49)),"",CHOOSE($B49,N($E49)*BG$5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Q$186:Q$286)*N($E49),BG$6*N($E49),N($E49),0)+N(BG112))</f>
        <v/>
      </c>
      <c r="BH49" s="654" t="str">
        <f t="array" ref="BH49">IF(OR($L49="",IsHidden(BH49)),"",CHOOSE($B49,N($E49)*BH$5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R$186:R$286)*N($E49),BH$6*N($E49),N($E49),0)+N(BH112))</f>
        <v/>
      </c>
      <c r="BI49" s="654" t="str">
        <f t="array" ref="BI49">IF(OR($L49="",IsHidden(BI49)),"",CHOOSE($B49,N($E49)*BI$5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S$186:S$286)*N($E49),BI$6*N($E49),N($E49),0)+N(BI112))</f>
        <v/>
      </c>
      <c r="BJ49" s="654" t="str">
        <f t="array" ref="BJ49">IF(OR($L49="",IsHidden(BJ49)),"",CHOOSE($B49,N($E49)*BJ$5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T$186:T$286)*N($E49),BJ$6*N($E49),N($E49),0)+N(BJ112))</f>
        <v/>
      </c>
      <c r="BK49" s="654" t="str">
        <f t="array" ref="BK49">IF(OR($L49="",IsHidden(BK49)),"",CHOOSE($B49,N($E49)*BK$5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U$186:U$286)*N($E49),BK$6*N($E49),N($E49),0)+N(BK112))</f>
        <v/>
      </c>
      <c r="BL49" s="654" t="str">
        <f t="array" ref="BL49">IF(OR($L49="",IsHidden(BL49)),"",CHOOSE($B49,N($E49)*BL$5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V$186:V$286)*N($E49),BL$6*N($E49),N($E49),0)+N(BL112))</f>
        <v/>
      </c>
      <c r="BM49" s="654" t="str">
        <f t="array" ref="BM49">IF(OR($L49="",IsHidden(BM49)),"",CHOOSE($B49,N($E49)*BM$5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W$186:W$286)*N($E49),BM$6*N($E49),N($E49),0)+N(BM112))</f>
        <v/>
      </c>
      <c r="BN49" s="654" t="str">
        <f t="array" ref="BN49">IF(OR($L49="",IsHidden(BN49)),"",CHOOSE($B49,N($E49)*BN$5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X$186:X$286)*N($E49),BN$6*N($E49),N($E49),0)+N(BN112))</f>
        <v/>
      </c>
      <c r="BO49" s="654" t="str">
        <f t="array" ref="BO49">IF(OR($L49="",IsHidden(BO49)),"",CHOOSE($B49,N($E49)*BO$5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Y$186:Y$286)*N($E49),BO$6*N($E49),N($E49),0)+N(BO112))</f>
        <v/>
      </c>
      <c r="BP49" s="654" t="str">
        <f t="array" ref="BP49">IF(OR($L49="",IsHidden(BP49)),"",CHOOSE($B49,N($E49)*BP$5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Z$186:Z$286)*N($E49),BP$6*N($E49),N($E49),0)+N(BP112))</f>
        <v/>
      </c>
      <c r="BQ49" s="654" t="str">
        <f t="array" ref="BQ49">IF(OR($L49="",IsHidden(BQ49)),"",CHOOSE($B49,N($E49)*BQ$5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A$186:AA$286)*N($E49),BQ$6*N($E49),N($E49),0)+N(BQ112))</f>
        <v/>
      </c>
      <c r="BR49" s="654" t="str">
        <f t="array" ref="BR49">IF(OR($L49="",IsHidden(BR49)),"",CHOOSE($B49,N($E49)*BR$5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B$186:AB$286)*N($E49),BR$6*N($E49),N($E49),0)+N(BR112))</f>
        <v/>
      </c>
      <c r="BS49" s="654" t="str">
        <f t="array" ref="BS49">IF(OR($L49="",IsHidden(BS49)),"",CHOOSE($B49,N($E49)*BS$5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C$186:AC$286)*N($E49),BS$6*N($E49),N($E49),0)+N(BS112))</f>
        <v/>
      </c>
      <c r="BT49" s="654" t="str">
        <f t="array" ref="BT49">IF(OR($L49="",IsHidden(BT49)),"",CHOOSE($B49,N($E49)*BT$5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D$186:AD$286)*N($E49),BT$6*N($E49),N($E49),0)+N(BT112))</f>
        <v/>
      </c>
      <c r="BU49" s="654" t="str">
        <f t="array" ref="BU49">IF(OR($L49="",IsHidden(BU49)),"",CHOOSE($B49,N($E49)*BU$5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E$186:AE$286)*N($E49),BU$6*N($E49),N($E49),0)+N(BU112))</f>
        <v/>
      </c>
      <c r="BV49" s="654" t="str">
        <f t="array" ref="BV49">IF(OR($L49="",IsHidden(BV49)),"",CHOOSE($B49,N($E49)*BV$5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F$186:AF$286)*N($E49),BV$6*N($E49),N($E49),0)+N(BV112))</f>
        <v/>
      </c>
      <c r="BW49" s="654" t="str">
        <f t="array" ref="BW49">IF(OR($L49="",IsHidden(BW49)),"",CHOOSE($B49,N($E49)*BW$5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G$186:AG$286)*N($E49),BW$6*N($E49),N($E49),0)+N(BW112))</f>
        <v/>
      </c>
      <c r="BX49" s="654" t="str">
        <f t="array" ref="BX49">IF(OR($L49="",IsHidden(BX49)),"",CHOOSE($B49,N($E49)*BX$5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H$186:AH$286)*N($E49),BX$6*N($E49),N($E49),0)+N(BX112))</f>
        <v/>
      </c>
      <c r="BY49" s="654" t="str">
        <f t="array" ref="BY49">IF(OR($L49="",IsHidden(BY49)),"",CHOOSE($B49,N($E49)*BY$5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I$186:AI$286)*N($E49),BY$6*N($E49),N($E49),0)+N(BY112))</f>
        <v/>
      </c>
      <c r="BZ49" s="654" t="str">
        <f t="array" ref="BZ49">IF(OR($L49="",IsHidden(BZ49)),"",CHOOSE($B49,N($E49)*BZ$5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J$186:AJ$286)*N($E49),BZ$6*N($E49),N($E49),0)+N(BZ112))</f>
        <v/>
      </c>
      <c r="CA49" s="654" t="str">
        <f t="array" ref="CA49">IF(OR($L49="",IsHidden(CA49)),"",CHOOSE($B49,N($E49)*CA$5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K$186:AK$286)*N($E49),CA$6*N($E49),N($E49),0)+N(CA112))</f>
        <v/>
      </c>
      <c r="CB49" s="654" t="str">
        <f t="array" ref="CB49">IF(OR($L49="",IsHidden(CB49)),"",CHOOSE($B49,N($E49)*CB$5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L$186:AL$286)*N($E49),CB$6*N($E49),N($E49),0)+N(CB112))</f>
        <v/>
      </c>
      <c r="CC49" s="654" t="str">
        <f t="array" ref="CC49">IF(OR($L49="",IsHidden(CC49)),"",CHOOSE($B49,N($E49)*CC$5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M$186:AM$286)*N($E49),CC$6*N($E49),N($E49),0)+N(CC112))</f>
        <v/>
      </c>
      <c r="CD49" s="654" t="str">
        <f t="array" ref="CD49">IF(OR($L49="",IsHidden(CD49)),"",CHOOSE($B49,N($E49)*CD$5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N$186:AN$286)*N($E49),CD$6*N($E49),N($E49),0)+N(CD112))</f>
        <v/>
      </c>
      <c r="CE49" s="654" t="str">
        <f t="array" ref="CE49">IF(OR($L49="",IsHidden(CE49)),"",CHOOSE($B49,N($E49)*CE$5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O$186:AO$286)*N($E49),CE$6*N($E49),N($E49),0)+N(CE112))</f>
        <v/>
      </c>
      <c r="CF49" s="654" t="str">
        <f t="array" ref="CF49">IF(OR($L49="",IsHidden(CF49)),"",CHOOSE($B49,N($E49)*CF$5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P$186:AP$286)*N($E49),CF$6*N($E49),N($E49),0)+N(CF112))</f>
        <v/>
      </c>
      <c r="CG49" s="654" t="str">
        <f t="array" ref="CG49">IF(OR($L49="",IsHidden(CG49)),"",CHOOSE($B49,N($E49)*CG$5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Q$186:AQ$286)*N($E49),CG$6*N($E49),N($E49),0)+N(CG112))</f>
        <v/>
      </c>
      <c r="CH49" s="654" t="str">
        <f t="array" ref="CH49">IF(OR($L49="",IsHidden(CH49)),"",CHOOSE($B49,N($E49)*CH$5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R$186:AR$286)*N($E49),CH$6*N($E49),N($E49),0)+N(CH112))</f>
        <v/>
      </c>
      <c r="CI49" s="654" t="str">
        <f t="array" ref="CI49">IF(OR($L49="",IsHidden(CI49)),"",CHOOSE($B49,N($E49)*CI$5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S$186:AS$286)*N($E49),CI$6*N($E49),N($E49),0)+N(CI112))</f>
        <v/>
      </c>
      <c r="CJ49" s="654" t="str">
        <f t="array" ref="CJ49">IF(OR($L49="",IsHidden(CJ49)),"",CHOOSE($B49,N($E49)*CJ$5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T$186:AT$286)*N($E49),CJ$6*N($E49),N($E49),0)+N(CJ112))</f>
        <v/>
      </c>
      <c r="CK49" s="654" t="str">
        <f t="array" ref="CK49">IF(OR($L49="",IsHidden(CK49)),"",CHOOSE($B49,N($E49)*CK$5,SUMPRODUCT(IF($F$5="Y",1*(Headcount!$B$186:$B$286=IF($F49="",$F$6,$F49)),1+0*ISBLANK(Headcount!$B$186:$B$286)),IF($G$5="Y",1*(Headcount!$C$186:$C$286=IF($G49="",$G$6,$G49)),1+0*ISBLANK(Headcount!$C$186:$C$286)),IF($H$5="Y",1*(Headcount!$D$186:$D$286=IF($H49="",$H$6,$H49)),1+0*ISBLANK(Headcount!$D$186:$D$286)),IF($I$5="Y",1*(Headcount!$E$186:$E$286=IF($I49="",$I$6,$I49)),1+0*ISBLANK(Headcount!$E$186:$E$286)),IF($J$5="Y",1*(Headcount!$F$186:$F$286=IF($J49="",$J$6,$J49)),1+0*ISBLANK(Headcount!$F$186:$F$286)),IF($K$5="Y",1*(Headcount!$G$186:$G$286=IF($K49="",$K$6,$K49)),1+0*ISBLANK(Headcount!$G$186:$G$286)),Headcount!AU$186:AU$286)*N($E49),CK$6*N($E49),N($E49),0)+N(CK112))</f>
        <v/>
      </c>
      <c r="CL49" s="255"/>
      <c r="CM49" s="255"/>
      <c r="CN49" s="255" t="b">
        <f t="array" ref="CN49">IF($L49="",TRUE,IF(AND(OR($F49&lt;&gt;"",$F$6&lt;&gt;""),OR($G49&lt;&gt;"",$G$6&lt;&gt;""),OR($H49&lt;&gt;"",$H$6&lt;&gt;""),OR($I49&lt;&gt;"",$I$6&lt;&gt;""),OR($J49&lt;&gt;"",$J$6&lt;&gt;""),OR($K49&lt;&gt;"",$K$6&lt;&gt;""),NOT(ISERROR(BB49:CK49)),NOT(ISNA(MATCH(IF($H49="",$H$6,$H49)&amp;IF($G49="",$G$6,$G49),DeptBU,0)))),TRUE,FALSE))</f>
        <v>1</v>
      </c>
      <c r="CO49" s="255"/>
      <c r="CP49" s="255" t="str">
        <f t="shared" si="5"/>
        <v/>
      </c>
    </row>
    <row r="50" spans="1:94" s="335" customFormat="1" x14ac:dyDescent="0.35">
      <c r="A50" s="566"/>
      <c r="B50" s="261">
        <f t="shared" si="4"/>
        <v>5</v>
      </c>
      <c r="C50" s="566"/>
      <c r="D50" s="261" t="str">
        <f t="array" aca="1" ref="D50" ca="1">IF($B50&lt;5,AVERAGE(OFFSET($Q50,,Input_ActualsOffset-1,,-$C50)/CHOOSE($B50,OFFSET($Q$5,,Input_ActualsOffset-1,1,-$C50),ss($C50,OFFSET(Actuals!$A$1,1,MATCH("Month "&amp;Input_ActualsOffset,ActualsTable[#Headers],0)-1,ROWS(ActualsTable[#Data]),1),ActualsTable[Company],IF($F$5="Y",IF($F50="",$F$6,$F50),"*"),ActualsTable[Business Unit],IF($G$5="Y",IF($G50="",$G$6,$G50),"*"),ActualsTable[Department],IF($H$5="Y",IF($H50="",$H$6,$H50),"*"),ActualsTable[Team],IF($I$5="Y",IF($P50="",$P$6,$P50),"*"),ActualsTable[Product],IF($J$5="Y",IF($J50="",$J$6,$J50),"*"),ActualsTable[Location],IF($K$5="Y",IF($K50="",$K$6,$K50),"*"),ActualsTable[Expense Item],"Headcount"),OFFSET($Q$6,,Input_ActualsOffset-1,,-$C50),1)),"")</f>
        <v/>
      </c>
      <c r="E50" s="640"/>
      <c r="F50" s="555"/>
      <c r="G50" s="555"/>
      <c r="H50" s="555"/>
      <c r="I50" s="555"/>
      <c r="J50" s="555"/>
      <c r="K50" s="555"/>
      <c r="L50" s="555"/>
      <c r="M50" s="555"/>
      <c r="N50" s="555"/>
      <c r="O50" s="556" t="str">
        <f>IF($L50="","",IF(VLOOKUP(L50,ExpItems[],2,0),L50&amp;" - "&amp;INDEX(DivisionMapping[category_code],MATCH(IF(H50="",$H$6,H50)&amp;IF(G50="",$G$6,G50),DivisionMapping[dept_bu],0)),L50))</f>
        <v/>
      </c>
      <c r="P50" s="556" t="str">
        <f>IF($L50="","",INDEX(Teams[team_consolidation],MATCH(IF($I50="",$I$6,$I50),Teams[team_name],0)))</f>
        <v/>
      </c>
      <c r="Q50" s="657" t="str">
        <f t="array" ref="Q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f>
        <v/>
      </c>
      <c r="R50" s="657" t="str">
        <f t="array" ref="R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f>
        <v/>
      </c>
      <c r="S50" s="657" t="str">
        <f t="array" ref="S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f>
        <v/>
      </c>
      <c r="T50" s="657" t="str">
        <f t="array" ref="T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4]))</f>
        <v/>
      </c>
      <c r="U50" s="657" t="str">
        <f t="array" ref="U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5]))</f>
        <v/>
      </c>
      <c r="V50" s="657" t="str">
        <f t="array" ref="V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6]))</f>
        <v/>
      </c>
      <c r="W50" s="657" t="str">
        <f t="array" ref="W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7]))</f>
        <v/>
      </c>
      <c r="X50" s="657" t="str">
        <f t="array" ref="X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8]))</f>
        <v/>
      </c>
      <c r="Y50" s="657" t="str">
        <f t="array" ref="Y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9]))</f>
        <v/>
      </c>
      <c r="Z50" s="657" t="str">
        <f t="array" ref="Z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10]))</f>
        <v/>
      </c>
      <c r="AA50" s="657" t="str">
        <f t="array" ref="AA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11]))</f>
        <v/>
      </c>
      <c r="AB50" s="657" t="str">
        <f t="array" ref="AB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12]))</f>
        <v/>
      </c>
      <c r="AC50" s="657" t="str">
        <f t="array" ref="AC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13]))</f>
        <v/>
      </c>
      <c r="AD50" s="657" t="str">
        <f t="array" ref="AD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14]))</f>
        <v/>
      </c>
      <c r="AE50" s="657" t="str">
        <f t="array" ref="AE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15]))</f>
        <v/>
      </c>
      <c r="AF50" s="657" t="str">
        <f t="array" ref="AF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16]))</f>
        <v/>
      </c>
      <c r="AG50" s="657" t="str">
        <f t="array" ref="AG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17]))</f>
        <v/>
      </c>
      <c r="AH50" s="657" t="str">
        <f t="array" ref="AH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18]))</f>
        <v/>
      </c>
      <c r="AI50" s="657" t="str">
        <f t="array" ref="AI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19]))</f>
        <v/>
      </c>
      <c r="AJ50" s="657" t="str">
        <f t="array" ref="AJ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20]))</f>
        <v/>
      </c>
      <c r="AK50" s="657" t="str">
        <f t="array" ref="AK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21]))</f>
        <v/>
      </c>
      <c r="AL50" s="657" t="str">
        <f t="array" ref="AL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22]))</f>
        <v/>
      </c>
      <c r="AM50" s="657" t="str">
        <f t="array" ref="AM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23]))</f>
        <v/>
      </c>
      <c r="AN50" s="657" t="str">
        <f t="array" ref="AN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24]))</f>
        <v/>
      </c>
      <c r="AO50" s="657" t="str">
        <f t="array" ref="AO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25]))</f>
        <v/>
      </c>
      <c r="AP50" s="657" t="str">
        <f t="array" ref="AP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26]))</f>
        <v/>
      </c>
      <c r="AQ50" s="657" t="str">
        <f t="array" ref="AQ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27]))</f>
        <v/>
      </c>
      <c r="AR50" s="657" t="str">
        <f t="array" ref="AR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28]))</f>
        <v/>
      </c>
      <c r="AS50" s="657" t="str">
        <f t="array" ref="AS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29]))</f>
        <v/>
      </c>
      <c r="AT50" s="657" t="str">
        <f t="array" ref="AT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30]))</f>
        <v/>
      </c>
      <c r="AU50" s="657" t="str">
        <f t="array" ref="AU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31]))</f>
        <v/>
      </c>
      <c r="AV50" s="657" t="str">
        <f t="array" ref="AV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32]))</f>
        <v/>
      </c>
      <c r="AW50" s="657" t="str">
        <f t="array" ref="AW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33]))</f>
        <v/>
      </c>
      <c r="AX50" s="657" t="str">
        <f t="array" ref="AX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34]))</f>
        <v/>
      </c>
      <c r="AY50" s="657" t="str">
        <f t="array" ref="AY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35]))</f>
        <v/>
      </c>
      <c r="AZ50" s="657" t="str">
        <f t="array" ref="AZ50">IF($L50="","",SUMPRODUCT(IF($F$5="Y",1*(ActualsTable[Company]=IF($F50="",$F$6,$F50)),1+0*ISBLANK(ActualsTable[Company])),IF($G$5="Y",1*(ActualsTable[Business Unit]=IF($G50="",$G$6,$G50)),1+0*ISBLANK(ActualsTable[Business Unit])),IF($H$5="Y",1*(ActualsTable[Department]=IF($H50="",$H$6,$H50)),1+0*ISBLANK(ActualsTable[Department])),IF($I$5="Y",1*(ActualsTable[Team]=IF($P50="",$P$6,$P50)),1+0*ISBLANK(ActualsTable[Team])),IF($J$5="Y",1*(ActualsTable[Product]=IF($J50="",$J$6,$J50)),1+0*ISBLANK(ActualsTable[Product])),IF($K$5="Y",1*(ActualsTable[Location]=IF($K50="",$K$6,$K50)),1+0*ISBLANK(ActualsTable[Location])),1*(ActualsTable[Expense Item]=$L50),ActualsTable[Month 36]))</f>
        <v/>
      </c>
      <c r="BA50" s="257"/>
      <c r="BB50" s="654" t="str">
        <f t="array" ref="BB50">IF(OR($L50="",IsHidden(BB50)),"",CHOOSE($B50,N($E50)*BB$5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L$186:L$286)*N($E50),BB$6*N($E50),N($E50),0)+N(BB113))</f>
        <v/>
      </c>
      <c r="BC50" s="654" t="str">
        <f t="array" ref="BC50">IF(OR($L50="",IsHidden(BC50)),"",CHOOSE($B50,N($E50)*BC$5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M$186:M$286)*N($E50),BC$6*N($E50),N($E50),0)+N(BC113))</f>
        <v/>
      </c>
      <c r="BD50" s="654" t="str">
        <f t="array" ref="BD50">IF(OR($L50="",IsHidden(BD50)),"",CHOOSE($B50,N($E50)*BD$5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N$186:N$286)*N($E50),BD$6*N($E50),N($E50),0)+N(BD113))</f>
        <v/>
      </c>
      <c r="BE50" s="654" t="str">
        <f t="array" ref="BE50">IF(OR($L50="",IsHidden(BE50)),"",CHOOSE($B50,N($E50)*BE$5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O$186:O$286)*N($E50),BE$6*N($E50),N($E50),0)+N(BE113))</f>
        <v/>
      </c>
      <c r="BF50" s="654" t="str">
        <f t="array" ref="BF50">IF(OR($L50="",IsHidden(BF50)),"",CHOOSE($B50,N($E50)*BF$5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P$186:P$286)*N($E50),BF$6*N($E50),N($E50),0)+N(BF113))</f>
        <v/>
      </c>
      <c r="BG50" s="654" t="str">
        <f t="array" ref="BG50">IF(OR($L50="",IsHidden(BG50)),"",CHOOSE($B50,N($E50)*BG$5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Q$186:Q$286)*N($E50),BG$6*N($E50),N($E50),0)+N(BG113))</f>
        <v/>
      </c>
      <c r="BH50" s="654" t="str">
        <f t="array" ref="BH50">IF(OR($L50="",IsHidden(BH50)),"",CHOOSE($B50,N($E50)*BH$5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R$186:R$286)*N($E50),BH$6*N($E50),N($E50),0)+N(BH113))</f>
        <v/>
      </c>
      <c r="BI50" s="654" t="str">
        <f t="array" ref="BI50">IF(OR($L50="",IsHidden(BI50)),"",CHOOSE($B50,N($E50)*BI$5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S$186:S$286)*N($E50),BI$6*N($E50),N($E50),0)+N(BI113))</f>
        <v/>
      </c>
      <c r="BJ50" s="654" t="str">
        <f t="array" ref="BJ50">IF(OR($L50="",IsHidden(BJ50)),"",CHOOSE($B50,N($E50)*BJ$5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T$186:T$286)*N($E50),BJ$6*N($E50),N($E50),0)+N(BJ113))</f>
        <v/>
      </c>
      <c r="BK50" s="654" t="str">
        <f t="array" ref="BK50">IF(OR($L50="",IsHidden(BK50)),"",CHOOSE($B50,N($E50)*BK$5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U$186:U$286)*N($E50),BK$6*N($E50),N($E50),0)+N(BK113))</f>
        <v/>
      </c>
      <c r="BL50" s="654" t="str">
        <f t="array" ref="BL50">IF(OR($L50="",IsHidden(BL50)),"",CHOOSE($B50,N($E50)*BL$5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V$186:V$286)*N($E50),BL$6*N($E50),N($E50),0)+N(BL113))</f>
        <v/>
      </c>
      <c r="BM50" s="654" t="str">
        <f t="array" ref="BM50">IF(OR($L50="",IsHidden(BM50)),"",CHOOSE($B50,N($E50)*BM$5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W$186:W$286)*N($E50),BM$6*N($E50),N($E50),0)+N(BM113))</f>
        <v/>
      </c>
      <c r="BN50" s="654" t="str">
        <f t="array" ref="BN50">IF(OR($L50="",IsHidden(BN50)),"",CHOOSE($B50,N($E50)*BN$5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X$186:X$286)*N($E50),BN$6*N($E50),N($E50),0)+N(BN113))</f>
        <v/>
      </c>
      <c r="BO50" s="654" t="str">
        <f t="array" ref="BO50">IF(OR($L50="",IsHidden(BO50)),"",CHOOSE($B50,N($E50)*BO$5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Y$186:Y$286)*N($E50),BO$6*N($E50),N($E50),0)+N(BO113))</f>
        <v/>
      </c>
      <c r="BP50" s="654" t="str">
        <f t="array" ref="BP50">IF(OR($L50="",IsHidden(BP50)),"",CHOOSE($B50,N($E50)*BP$5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Z$186:Z$286)*N($E50),BP$6*N($E50),N($E50),0)+N(BP113))</f>
        <v/>
      </c>
      <c r="BQ50" s="654" t="str">
        <f t="array" ref="BQ50">IF(OR($L50="",IsHidden(BQ50)),"",CHOOSE($B50,N($E50)*BQ$5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A$186:AA$286)*N($E50),BQ$6*N($E50),N($E50),0)+N(BQ113))</f>
        <v/>
      </c>
      <c r="BR50" s="654" t="str">
        <f t="array" ref="BR50">IF(OR($L50="",IsHidden(BR50)),"",CHOOSE($B50,N($E50)*BR$5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B$186:AB$286)*N($E50),BR$6*N($E50),N($E50),0)+N(BR113))</f>
        <v/>
      </c>
      <c r="BS50" s="654" t="str">
        <f t="array" ref="BS50">IF(OR($L50="",IsHidden(BS50)),"",CHOOSE($B50,N($E50)*BS$5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C$186:AC$286)*N($E50),BS$6*N($E50),N($E50),0)+N(BS113))</f>
        <v/>
      </c>
      <c r="BT50" s="654" t="str">
        <f t="array" ref="BT50">IF(OR($L50="",IsHidden(BT50)),"",CHOOSE($B50,N($E50)*BT$5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D$186:AD$286)*N($E50),BT$6*N($E50),N($E50),0)+N(BT113))</f>
        <v/>
      </c>
      <c r="BU50" s="654" t="str">
        <f t="array" ref="BU50">IF(OR($L50="",IsHidden(BU50)),"",CHOOSE($B50,N($E50)*BU$5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E$186:AE$286)*N($E50),BU$6*N($E50),N($E50),0)+N(BU113))</f>
        <v/>
      </c>
      <c r="BV50" s="654" t="str">
        <f t="array" ref="BV50">IF(OR($L50="",IsHidden(BV50)),"",CHOOSE($B50,N($E50)*BV$5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F$186:AF$286)*N($E50),BV$6*N($E50),N($E50),0)+N(BV113))</f>
        <v/>
      </c>
      <c r="BW50" s="654" t="str">
        <f t="array" ref="BW50">IF(OR($L50="",IsHidden(BW50)),"",CHOOSE($B50,N($E50)*BW$5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G$186:AG$286)*N($E50),BW$6*N($E50),N($E50),0)+N(BW113))</f>
        <v/>
      </c>
      <c r="BX50" s="654" t="str">
        <f t="array" ref="BX50">IF(OR($L50="",IsHidden(BX50)),"",CHOOSE($B50,N($E50)*BX$5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H$186:AH$286)*N($E50),BX$6*N($E50),N($E50),0)+N(BX113))</f>
        <v/>
      </c>
      <c r="BY50" s="654" t="str">
        <f t="array" ref="BY50">IF(OR($L50="",IsHidden(BY50)),"",CHOOSE($B50,N($E50)*BY$5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I$186:AI$286)*N($E50),BY$6*N($E50),N($E50),0)+N(BY113))</f>
        <v/>
      </c>
      <c r="BZ50" s="654" t="str">
        <f t="array" ref="BZ50">IF(OR($L50="",IsHidden(BZ50)),"",CHOOSE($B50,N($E50)*BZ$5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J$186:AJ$286)*N($E50),BZ$6*N($E50),N($E50),0)+N(BZ113))</f>
        <v/>
      </c>
      <c r="CA50" s="654" t="str">
        <f t="array" ref="CA50">IF(OR($L50="",IsHidden(CA50)),"",CHOOSE($B50,N($E50)*CA$5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K$186:AK$286)*N($E50),CA$6*N($E50),N($E50),0)+N(CA113))</f>
        <v/>
      </c>
      <c r="CB50" s="654" t="str">
        <f t="array" ref="CB50">IF(OR($L50="",IsHidden(CB50)),"",CHOOSE($B50,N($E50)*CB$5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L$186:AL$286)*N($E50),CB$6*N($E50),N($E50),0)+N(CB113))</f>
        <v/>
      </c>
      <c r="CC50" s="654" t="str">
        <f t="array" ref="CC50">IF(OR($L50="",IsHidden(CC50)),"",CHOOSE($B50,N($E50)*CC$5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M$186:AM$286)*N($E50),CC$6*N($E50),N($E50),0)+N(CC113))</f>
        <v/>
      </c>
      <c r="CD50" s="654" t="str">
        <f t="array" ref="CD50">IF(OR($L50="",IsHidden(CD50)),"",CHOOSE($B50,N($E50)*CD$5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N$186:AN$286)*N($E50),CD$6*N($E50),N($E50),0)+N(CD113))</f>
        <v/>
      </c>
      <c r="CE50" s="654" t="str">
        <f t="array" ref="CE50">IF(OR($L50="",IsHidden(CE50)),"",CHOOSE($B50,N($E50)*CE$5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O$186:AO$286)*N($E50),CE$6*N($E50),N($E50),0)+N(CE113))</f>
        <v/>
      </c>
      <c r="CF50" s="654" t="str">
        <f t="array" ref="CF50">IF(OR($L50="",IsHidden(CF50)),"",CHOOSE($B50,N($E50)*CF$5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P$186:AP$286)*N($E50),CF$6*N($E50),N($E50),0)+N(CF113))</f>
        <v/>
      </c>
      <c r="CG50" s="654" t="str">
        <f t="array" ref="CG50">IF(OR($L50="",IsHidden(CG50)),"",CHOOSE($B50,N($E50)*CG$5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Q$186:AQ$286)*N($E50),CG$6*N($E50),N($E50),0)+N(CG113))</f>
        <v/>
      </c>
      <c r="CH50" s="654" t="str">
        <f t="array" ref="CH50">IF(OR($L50="",IsHidden(CH50)),"",CHOOSE($B50,N($E50)*CH$5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R$186:AR$286)*N($E50),CH$6*N($E50),N($E50),0)+N(CH113))</f>
        <v/>
      </c>
      <c r="CI50" s="654" t="str">
        <f t="array" ref="CI50">IF(OR($L50="",IsHidden(CI50)),"",CHOOSE($B50,N($E50)*CI$5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S$186:AS$286)*N($E50),CI$6*N($E50),N($E50),0)+N(CI113))</f>
        <v/>
      </c>
      <c r="CJ50" s="654" t="str">
        <f t="array" ref="CJ50">IF(OR($L50="",IsHidden(CJ50)),"",CHOOSE($B50,N($E50)*CJ$5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T$186:AT$286)*N($E50),CJ$6*N($E50),N($E50),0)+N(CJ113))</f>
        <v/>
      </c>
      <c r="CK50" s="654" t="str">
        <f t="array" ref="CK50">IF(OR($L50="",IsHidden(CK50)),"",CHOOSE($B50,N($E50)*CK$5,SUMPRODUCT(IF($F$5="Y",1*(Headcount!$B$186:$B$286=IF($F50="",$F$6,$F50)),1+0*ISBLANK(Headcount!$B$186:$B$286)),IF($G$5="Y",1*(Headcount!$C$186:$C$286=IF($G50="",$G$6,$G50)),1+0*ISBLANK(Headcount!$C$186:$C$286)),IF($H$5="Y",1*(Headcount!$D$186:$D$286=IF($H50="",$H$6,$H50)),1+0*ISBLANK(Headcount!$D$186:$D$286)),IF($I$5="Y",1*(Headcount!$E$186:$E$286=IF($I50="",$I$6,$I50)),1+0*ISBLANK(Headcount!$E$186:$E$286)),IF($J$5="Y",1*(Headcount!$F$186:$F$286=IF($J50="",$J$6,$J50)),1+0*ISBLANK(Headcount!$F$186:$F$286)),IF($K$5="Y",1*(Headcount!$G$186:$G$286=IF($K50="",$K$6,$K50)),1+0*ISBLANK(Headcount!$G$186:$G$286)),Headcount!AU$186:AU$286)*N($E50),CK$6*N($E50),N($E50),0)+N(CK113))</f>
        <v/>
      </c>
      <c r="CL50" s="255"/>
      <c r="CM50" s="255"/>
      <c r="CN50" s="255" t="b">
        <f t="array" ref="CN50">IF($L50="",TRUE,IF(AND(OR($F50&lt;&gt;"",$F$6&lt;&gt;""),OR($G50&lt;&gt;"",$G$6&lt;&gt;""),OR($H50&lt;&gt;"",$H$6&lt;&gt;""),OR($I50&lt;&gt;"",$I$6&lt;&gt;""),OR($J50&lt;&gt;"",$J$6&lt;&gt;""),OR($K50&lt;&gt;"",$K$6&lt;&gt;""),NOT(ISERROR(BB50:CK50)),NOT(ISNA(MATCH(IF($H50="",$H$6,$H50)&amp;IF($G50="",$G$6,$G50),DeptBU,0)))),TRUE,FALSE))</f>
        <v>1</v>
      </c>
      <c r="CO50" s="255"/>
      <c r="CP50" s="255" t="str">
        <f t="shared" si="5"/>
        <v/>
      </c>
    </row>
    <row r="51" spans="1:94" s="335" customFormat="1" x14ac:dyDescent="0.35">
      <c r="A51" s="566"/>
      <c r="B51" s="261">
        <f t="shared" si="4"/>
        <v>5</v>
      </c>
      <c r="C51" s="566"/>
      <c r="D51" s="261" t="str">
        <f t="array" aca="1" ref="D51" ca="1">IF($B51&lt;5,AVERAGE(OFFSET($Q51,,Input_ActualsOffset-1,,-$C51)/CHOOSE($B51,OFFSET($Q$5,,Input_ActualsOffset-1,1,-$C51),ss($C51,OFFSET(Actuals!$A$1,1,MATCH("Month "&amp;Input_ActualsOffset,ActualsTable[#Headers],0)-1,ROWS(ActualsTable[#Data]),1),ActualsTable[Company],IF($F$5="Y",IF($F51="",$F$6,$F51),"*"),ActualsTable[Business Unit],IF($G$5="Y",IF($G51="",$G$6,$G51),"*"),ActualsTable[Department],IF($H$5="Y",IF($H51="",$H$6,$H51),"*"),ActualsTable[Team],IF($I$5="Y",IF($P51="",$P$6,$P51),"*"),ActualsTable[Product],IF($J$5="Y",IF($J51="",$J$6,$J51),"*"),ActualsTable[Location],IF($K$5="Y",IF($K51="",$K$6,$K51),"*"),ActualsTable[Expense Item],"Headcount"),OFFSET($Q$6,,Input_ActualsOffset-1,,-$C51),1)),"")</f>
        <v/>
      </c>
      <c r="E51" s="640"/>
      <c r="F51" s="555"/>
      <c r="G51" s="555"/>
      <c r="H51" s="555"/>
      <c r="I51" s="555"/>
      <c r="J51" s="555"/>
      <c r="K51" s="555"/>
      <c r="L51" s="555"/>
      <c r="M51" s="555"/>
      <c r="N51" s="555"/>
      <c r="O51" s="556" t="str">
        <f>IF($L51="","",IF(VLOOKUP(L51,ExpItems[],2,0),L51&amp;" - "&amp;INDEX(DivisionMapping[category_code],MATCH(IF(H51="",$H$6,H51)&amp;IF(G51="",$G$6,G51),DivisionMapping[dept_bu],0)),L51))</f>
        <v/>
      </c>
      <c r="P51" s="556" t="str">
        <f>IF($L51="","",INDEX(Teams[team_consolidation],MATCH(IF($I51="",$I$6,$I51),Teams[team_name],0)))</f>
        <v/>
      </c>
      <c r="Q51" s="657" t="str">
        <f t="array" ref="Q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f>
        <v/>
      </c>
      <c r="R51" s="657" t="str">
        <f t="array" ref="R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f>
        <v/>
      </c>
      <c r="S51" s="657" t="str">
        <f t="array" ref="S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f>
        <v/>
      </c>
      <c r="T51" s="657" t="str">
        <f t="array" ref="T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4]))</f>
        <v/>
      </c>
      <c r="U51" s="657" t="str">
        <f t="array" ref="U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5]))</f>
        <v/>
      </c>
      <c r="V51" s="657" t="str">
        <f t="array" ref="V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6]))</f>
        <v/>
      </c>
      <c r="W51" s="657" t="str">
        <f t="array" ref="W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7]))</f>
        <v/>
      </c>
      <c r="X51" s="657" t="str">
        <f t="array" ref="X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8]))</f>
        <v/>
      </c>
      <c r="Y51" s="657" t="str">
        <f t="array" ref="Y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9]))</f>
        <v/>
      </c>
      <c r="Z51" s="657" t="str">
        <f t="array" ref="Z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10]))</f>
        <v/>
      </c>
      <c r="AA51" s="657" t="str">
        <f t="array" ref="AA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11]))</f>
        <v/>
      </c>
      <c r="AB51" s="657" t="str">
        <f t="array" ref="AB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12]))</f>
        <v/>
      </c>
      <c r="AC51" s="657" t="str">
        <f t="array" ref="AC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13]))</f>
        <v/>
      </c>
      <c r="AD51" s="657" t="str">
        <f t="array" ref="AD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14]))</f>
        <v/>
      </c>
      <c r="AE51" s="657" t="str">
        <f t="array" ref="AE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15]))</f>
        <v/>
      </c>
      <c r="AF51" s="657" t="str">
        <f t="array" ref="AF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16]))</f>
        <v/>
      </c>
      <c r="AG51" s="657" t="str">
        <f t="array" ref="AG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17]))</f>
        <v/>
      </c>
      <c r="AH51" s="657" t="str">
        <f t="array" ref="AH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18]))</f>
        <v/>
      </c>
      <c r="AI51" s="657" t="str">
        <f t="array" ref="AI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19]))</f>
        <v/>
      </c>
      <c r="AJ51" s="657" t="str">
        <f t="array" ref="AJ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20]))</f>
        <v/>
      </c>
      <c r="AK51" s="657" t="str">
        <f t="array" ref="AK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21]))</f>
        <v/>
      </c>
      <c r="AL51" s="657" t="str">
        <f t="array" ref="AL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22]))</f>
        <v/>
      </c>
      <c r="AM51" s="657" t="str">
        <f t="array" ref="AM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23]))</f>
        <v/>
      </c>
      <c r="AN51" s="657" t="str">
        <f t="array" ref="AN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24]))</f>
        <v/>
      </c>
      <c r="AO51" s="657" t="str">
        <f t="array" ref="AO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25]))</f>
        <v/>
      </c>
      <c r="AP51" s="657" t="str">
        <f t="array" ref="AP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26]))</f>
        <v/>
      </c>
      <c r="AQ51" s="657" t="str">
        <f t="array" ref="AQ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27]))</f>
        <v/>
      </c>
      <c r="AR51" s="657" t="str">
        <f t="array" ref="AR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28]))</f>
        <v/>
      </c>
      <c r="AS51" s="657" t="str">
        <f t="array" ref="AS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29]))</f>
        <v/>
      </c>
      <c r="AT51" s="657" t="str">
        <f t="array" ref="AT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30]))</f>
        <v/>
      </c>
      <c r="AU51" s="657" t="str">
        <f t="array" ref="AU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31]))</f>
        <v/>
      </c>
      <c r="AV51" s="657" t="str">
        <f t="array" ref="AV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32]))</f>
        <v/>
      </c>
      <c r="AW51" s="657" t="str">
        <f t="array" ref="AW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33]))</f>
        <v/>
      </c>
      <c r="AX51" s="657" t="str">
        <f t="array" ref="AX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34]))</f>
        <v/>
      </c>
      <c r="AY51" s="657" t="str">
        <f t="array" ref="AY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35]))</f>
        <v/>
      </c>
      <c r="AZ51" s="657" t="str">
        <f t="array" ref="AZ51">IF($L51="","",SUMPRODUCT(IF($F$5="Y",1*(ActualsTable[Company]=IF($F51="",$F$6,$F51)),1+0*ISBLANK(ActualsTable[Company])),IF($G$5="Y",1*(ActualsTable[Business Unit]=IF($G51="",$G$6,$G51)),1+0*ISBLANK(ActualsTable[Business Unit])),IF($H$5="Y",1*(ActualsTable[Department]=IF($H51="",$H$6,$H51)),1+0*ISBLANK(ActualsTable[Department])),IF($I$5="Y",1*(ActualsTable[Team]=IF($P51="",$P$6,$P51)),1+0*ISBLANK(ActualsTable[Team])),IF($J$5="Y",1*(ActualsTable[Product]=IF($J51="",$J$6,$J51)),1+0*ISBLANK(ActualsTable[Product])),IF($K$5="Y",1*(ActualsTable[Location]=IF($K51="",$K$6,$K51)),1+0*ISBLANK(ActualsTable[Location])),1*(ActualsTable[Expense Item]=$L51),ActualsTable[Month 36]))</f>
        <v/>
      </c>
      <c r="BA51" s="257"/>
      <c r="BB51" s="654" t="str">
        <f t="array" ref="BB51">IF(OR($L51="",IsHidden(BB51)),"",CHOOSE($B51,N($E51)*BB$5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L$186:L$286)*N($E51),BB$6*N($E51),N($E51),0)+N(BB114))</f>
        <v/>
      </c>
      <c r="BC51" s="654" t="str">
        <f t="array" ref="BC51">IF(OR($L51="",IsHidden(BC51)),"",CHOOSE($B51,N($E51)*BC$5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M$186:M$286)*N($E51),BC$6*N($E51),N($E51),0)+N(BC114))</f>
        <v/>
      </c>
      <c r="BD51" s="654" t="str">
        <f t="array" ref="BD51">IF(OR($L51="",IsHidden(BD51)),"",CHOOSE($B51,N($E51)*BD$5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N$186:N$286)*N($E51),BD$6*N($E51),N($E51),0)+N(BD114))</f>
        <v/>
      </c>
      <c r="BE51" s="654" t="str">
        <f t="array" ref="BE51">IF(OR($L51="",IsHidden(BE51)),"",CHOOSE($B51,N($E51)*BE$5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O$186:O$286)*N($E51),BE$6*N($E51),N($E51),0)+N(BE114))</f>
        <v/>
      </c>
      <c r="BF51" s="654" t="str">
        <f t="array" ref="BF51">IF(OR($L51="",IsHidden(BF51)),"",CHOOSE($B51,N($E51)*BF$5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P$186:P$286)*N($E51),BF$6*N($E51),N($E51),0)+N(BF114))</f>
        <v/>
      </c>
      <c r="BG51" s="654" t="str">
        <f t="array" ref="BG51">IF(OR($L51="",IsHidden(BG51)),"",CHOOSE($B51,N($E51)*BG$5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Q$186:Q$286)*N($E51),BG$6*N($E51),N($E51),0)+N(BG114))</f>
        <v/>
      </c>
      <c r="BH51" s="654" t="str">
        <f t="array" ref="BH51">IF(OR($L51="",IsHidden(BH51)),"",CHOOSE($B51,N($E51)*BH$5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R$186:R$286)*N($E51),BH$6*N($E51),N($E51),0)+N(BH114))</f>
        <v/>
      </c>
      <c r="BI51" s="654" t="str">
        <f t="array" ref="BI51">IF(OR($L51="",IsHidden(BI51)),"",CHOOSE($B51,N($E51)*BI$5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S$186:S$286)*N($E51),BI$6*N($E51),N($E51),0)+N(BI114))</f>
        <v/>
      </c>
      <c r="BJ51" s="654" t="str">
        <f t="array" ref="BJ51">IF(OR($L51="",IsHidden(BJ51)),"",CHOOSE($B51,N($E51)*BJ$5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T$186:T$286)*N($E51),BJ$6*N($E51),N($E51),0)+N(BJ114))</f>
        <v/>
      </c>
      <c r="BK51" s="654" t="str">
        <f t="array" ref="BK51">IF(OR($L51="",IsHidden(BK51)),"",CHOOSE($B51,N($E51)*BK$5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U$186:U$286)*N($E51),BK$6*N($E51),N($E51),0)+N(BK114))</f>
        <v/>
      </c>
      <c r="BL51" s="654" t="str">
        <f t="array" ref="BL51">IF(OR($L51="",IsHidden(BL51)),"",CHOOSE($B51,N($E51)*BL$5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V$186:V$286)*N($E51),BL$6*N($E51),N($E51),0)+N(BL114))</f>
        <v/>
      </c>
      <c r="BM51" s="654" t="str">
        <f t="array" ref="BM51">IF(OR($L51="",IsHidden(BM51)),"",CHOOSE($B51,N($E51)*BM$5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W$186:W$286)*N($E51),BM$6*N($E51),N($E51),0)+N(BM114))</f>
        <v/>
      </c>
      <c r="BN51" s="654" t="str">
        <f t="array" ref="BN51">IF(OR($L51="",IsHidden(BN51)),"",CHOOSE($B51,N($E51)*BN$5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X$186:X$286)*N($E51),BN$6*N($E51),N($E51),0)+N(BN114))</f>
        <v/>
      </c>
      <c r="BO51" s="654" t="str">
        <f t="array" ref="BO51">IF(OR($L51="",IsHidden(BO51)),"",CHOOSE($B51,N($E51)*BO$5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Y$186:Y$286)*N($E51),BO$6*N($E51),N($E51),0)+N(BO114))</f>
        <v/>
      </c>
      <c r="BP51" s="654" t="str">
        <f t="array" ref="BP51">IF(OR($L51="",IsHidden(BP51)),"",CHOOSE($B51,N($E51)*BP$5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Z$186:Z$286)*N($E51),BP$6*N($E51),N($E51),0)+N(BP114))</f>
        <v/>
      </c>
      <c r="BQ51" s="654" t="str">
        <f t="array" ref="BQ51">IF(OR($L51="",IsHidden(BQ51)),"",CHOOSE($B51,N($E51)*BQ$5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A$186:AA$286)*N($E51),BQ$6*N($E51),N($E51),0)+N(BQ114))</f>
        <v/>
      </c>
      <c r="BR51" s="654" t="str">
        <f t="array" ref="BR51">IF(OR($L51="",IsHidden(BR51)),"",CHOOSE($B51,N($E51)*BR$5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B$186:AB$286)*N($E51),BR$6*N($E51),N($E51),0)+N(BR114))</f>
        <v/>
      </c>
      <c r="BS51" s="654" t="str">
        <f t="array" ref="BS51">IF(OR($L51="",IsHidden(BS51)),"",CHOOSE($B51,N($E51)*BS$5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C$186:AC$286)*N($E51),BS$6*N($E51),N($E51),0)+N(BS114))</f>
        <v/>
      </c>
      <c r="BT51" s="654" t="str">
        <f t="array" ref="BT51">IF(OR($L51="",IsHidden(BT51)),"",CHOOSE($B51,N($E51)*BT$5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D$186:AD$286)*N($E51),BT$6*N($E51),N($E51),0)+N(BT114))</f>
        <v/>
      </c>
      <c r="BU51" s="654" t="str">
        <f t="array" ref="BU51">IF(OR($L51="",IsHidden(BU51)),"",CHOOSE($B51,N($E51)*BU$5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E$186:AE$286)*N($E51),BU$6*N($E51),N($E51),0)+N(BU114))</f>
        <v/>
      </c>
      <c r="BV51" s="654" t="str">
        <f t="array" ref="BV51">IF(OR($L51="",IsHidden(BV51)),"",CHOOSE($B51,N($E51)*BV$5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F$186:AF$286)*N($E51),BV$6*N($E51),N($E51),0)+N(BV114))</f>
        <v/>
      </c>
      <c r="BW51" s="654" t="str">
        <f t="array" ref="BW51">IF(OR($L51="",IsHidden(BW51)),"",CHOOSE($B51,N($E51)*BW$5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G$186:AG$286)*N($E51),BW$6*N($E51),N($E51),0)+N(BW114))</f>
        <v/>
      </c>
      <c r="BX51" s="654" t="str">
        <f t="array" ref="BX51">IF(OR($L51="",IsHidden(BX51)),"",CHOOSE($B51,N($E51)*BX$5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H$186:AH$286)*N($E51),BX$6*N($E51),N($E51),0)+N(BX114))</f>
        <v/>
      </c>
      <c r="BY51" s="654" t="str">
        <f t="array" ref="BY51">IF(OR($L51="",IsHidden(BY51)),"",CHOOSE($B51,N($E51)*BY$5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I$186:AI$286)*N($E51),BY$6*N($E51),N($E51),0)+N(BY114))</f>
        <v/>
      </c>
      <c r="BZ51" s="654" t="str">
        <f t="array" ref="BZ51">IF(OR($L51="",IsHidden(BZ51)),"",CHOOSE($B51,N($E51)*BZ$5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J$186:AJ$286)*N($E51),BZ$6*N($E51),N($E51),0)+N(BZ114))</f>
        <v/>
      </c>
      <c r="CA51" s="654" t="str">
        <f t="array" ref="CA51">IF(OR($L51="",IsHidden(CA51)),"",CHOOSE($B51,N($E51)*CA$5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K$186:AK$286)*N($E51),CA$6*N($E51),N($E51),0)+N(CA114))</f>
        <v/>
      </c>
      <c r="CB51" s="654" t="str">
        <f t="array" ref="CB51">IF(OR($L51="",IsHidden(CB51)),"",CHOOSE($B51,N($E51)*CB$5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L$186:AL$286)*N($E51),CB$6*N($E51),N($E51),0)+N(CB114))</f>
        <v/>
      </c>
      <c r="CC51" s="654" t="str">
        <f t="array" ref="CC51">IF(OR($L51="",IsHidden(CC51)),"",CHOOSE($B51,N($E51)*CC$5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M$186:AM$286)*N($E51),CC$6*N($E51),N($E51),0)+N(CC114))</f>
        <v/>
      </c>
      <c r="CD51" s="654" t="str">
        <f t="array" ref="CD51">IF(OR($L51="",IsHidden(CD51)),"",CHOOSE($B51,N($E51)*CD$5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N$186:AN$286)*N($E51),CD$6*N($E51),N($E51),0)+N(CD114))</f>
        <v/>
      </c>
      <c r="CE51" s="654" t="str">
        <f t="array" ref="CE51">IF(OR($L51="",IsHidden(CE51)),"",CHOOSE($B51,N($E51)*CE$5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O$186:AO$286)*N($E51),CE$6*N($E51),N($E51),0)+N(CE114))</f>
        <v/>
      </c>
      <c r="CF51" s="654" t="str">
        <f t="array" ref="CF51">IF(OR($L51="",IsHidden(CF51)),"",CHOOSE($B51,N($E51)*CF$5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P$186:AP$286)*N($E51),CF$6*N($E51),N($E51),0)+N(CF114))</f>
        <v/>
      </c>
      <c r="CG51" s="654" t="str">
        <f t="array" ref="CG51">IF(OR($L51="",IsHidden(CG51)),"",CHOOSE($B51,N($E51)*CG$5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Q$186:AQ$286)*N($E51),CG$6*N($E51),N($E51),0)+N(CG114))</f>
        <v/>
      </c>
      <c r="CH51" s="654" t="str">
        <f t="array" ref="CH51">IF(OR($L51="",IsHidden(CH51)),"",CHOOSE($B51,N($E51)*CH$5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R$186:AR$286)*N($E51),CH$6*N($E51),N($E51),0)+N(CH114))</f>
        <v/>
      </c>
      <c r="CI51" s="654" t="str">
        <f t="array" ref="CI51">IF(OR($L51="",IsHidden(CI51)),"",CHOOSE($B51,N($E51)*CI$5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S$186:AS$286)*N($E51),CI$6*N($E51),N($E51),0)+N(CI114))</f>
        <v/>
      </c>
      <c r="CJ51" s="654" t="str">
        <f t="array" ref="CJ51">IF(OR($L51="",IsHidden(CJ51)),"",CHOOSE($B51,N($E51)*CJ$5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T$186:AT$286)*N($E51),CJ$6*N($E51),N($E51),0)+N(CJ114))</f>
        <v/>
      </c>
      <c r="CK51" s="654" t="str">
        <f t="array" ref="CK51">IF(OR($L51="",IsHidden(CK51)),"",CHOOSE($B51,N($E51)*CK$5,SUMPRODUCT(IF($F$5="Y",1*(Headcount!$B$186:$B$286=IF($F51="",$F$6,$F51)),1+0*ISBLANK(Headcount!$B$186:$B$286)),IF($G$5="Y",1*(Headcount!$C$186:$C$286=IF($G51="",$G$6,$G51)),1+0*ISBLANK(Headcount!$C$186:$C$286)),IF($H$5="Y",1*(Headcount!$D$186:$D$286=IF($H51="",$H$6,$H51)),1+0*ISBLANK(Headcount!$D$186:$D$286)),IF($I$5="Y",1*(Headcount!$E$186:$E$286=IF($I51="",$I$6,$I51)),1+0*ISBLANK(Headcount!$E$186:$E$286)),IF($J$5="Y",1*(Headcount!$F$186:$F$286=IF($J51="",$J$6,$J51)),1+0*ISBLANK(Headcount!$F$186:$F$286)),IF($K$5="Y",1*(Headcount!$G$186:$G$286=IF($K51="",$K$6,$K51)),1+0*ISBLANK(Headcount!$G$186:$G$286)),Headcount!AU$186:AU$286)*N($E51),CK$6*N($E51),N($E51),0)+N(CK114))</f>
        <v/>
      </c>
      <c r="CL51" s="255"/>
      <c r="CM51" s="255"/>
      <c r="CN51" s="255" t="b">
        <f t="array" ref="CN51">IF($L51="",TRUE,IF(AND(OR($F51&lt;&gt;"",$F$6&lt;&gt;""),OR($G51&lt;&gt;"",$G$6&lt;&gt;""),OR($H51&lt;&gt;"",$H$6&lt;&gt;""),OR($I51&lt;&gt;"",$I$6&lt;&gt;""),OR($J51&lt;&gt;"",$J$6&lt;&gt;""),OR($K51&lt;&gt;"",$K$6&lt;&gt;""),NOT(ISERROR(BB51:CK51)),NOT(ISNA(MATCH(IF($H51="",$H$6,$H51)&amp;IF($G51="",$G$6,$G51),DeptBU,0)))),TRUE,FALSE))</f>
        <v>1</v>
      </c>
      <c r="CO51" s="255"/>
      <c r="CP51" s="255" t="str">
        <f t="shared" si="5"/>
        <v/>
      </c>
    </row>
    <row r="52" spans="1:94" s="335" customFormat="1" x14ac:dyDescent="0.35">
      <c r="A52" s="566"/>
      <c r="B52" s="261">
        <f t="shared" si="4"/>
        <v>5</v>
      </c>
      <c r="C52" s="566"/>
      <c r="D52" s="261" t="str">
        <f t="array" aca="1" ref="D52" ca="1">IF($B52&lt;5,AVERAGE(OFFSET($Q52,,Input_ActualsOffset-1,,-$C52)/CHOOSE($B52,OFFSET($Q$5,,Input_ActualsOffset-1,1,-$C52),ss($C52,OFFSET(Actuals!$A$1,1,MATCH("Month "&amp;Input_ActualsOffset,ActualsTable[#Headers],0)-1,ROWS(ActualsTable[#Data]),1),ActualsTable[Company],IF($F$5="Y",IF($F52="",$F$6,$F52),"*"),ActualsTable[Business Unit],IF($G$5="Y",IF($G52="",$G$6,$G52),"*"),ActualsTable[Department],IF($H$5="Y",IF($H52="",$H$6,$H52),"*"),ActualsTable[Team],IF($I$5="Y",IF($P52="",$P$6,$P52),"*"),ActualsTable[Product],IF($J$5="Y",IF($J52="",$J$6,$J52),"*"),ActualsTable[Location],IF($K$5="Y",IF($K52="",$K$6,$K52),"*"),ActualsTable[Expense Item],"Headcount"),OFFSET($Q$6,,Input_ActualsOffset-1,,-$C52),1)),"")</f>
        <v/>
      </c>
      <c r="E52" s="640"/>
      <c r="F52" s="555"/>
      <c r="G52" s="555"/>
      <c r="H52" s="555"/>
      <c r="I52" s="555"/>
      <c r="J52" s="555"/>
      <c r="K52" s="555"/>
      <c r="L52" s="555"/>
      <c r="M52" s="555"/>
      <c r="N52" s="555"/>
      <c r="O52" s="556" t="str">
        <f>IF($L52="","",IF(VLOOKUP(L52,ExpItems[],2,0),L52&amp;" - "&amp;INDEX(DivisionMapping[category_code],MATCH(IF(H52="",$H$6,H52)&amp;IF(G52="",$G$6,G52),DivisionMapping[dept_bu],0)),L52))</f>
        <v/>
      </c>
      <c r="P52" s="556" t="str">
        <f>IF($L52="","",INDEX(Teams[team_consolidation],MATCH(IF($I52="",$I$6,$I52),Teams[team_name],0)))</f>
        <v/>
      </c>
      <c r="Q52" s="657" t="str">
        <f t="array" ref="Q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f>
        <v/>
      </c>
      <c r="R52" s="657" t="str">
        <f t="array" ref="R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f>
        <v/>
      </c>
      <c r="S52" s="657" t="str">
        <f t="array" ref="S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f>
        <v/>
      </c>
      <c r="T52" s="657" t="str">
        <f t="array" ref="T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4]))</f>
        <v/>
      </c>
      <c r="U52" s="657" t="str">
        <f t="array" ref="U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5]))</f>
        <v/>
      </c>
      <c r="V52" s="657" t="str">
        <f t="array" ref="V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6]))</f>
        <v/>
      </c>
      <c r="W52" s="657" t="str">
        <f t="array" ref="W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7]))</f>
        <v/>
      </c>
      <c r="X52" s="657" t="str">
        <f t="array" ref="X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8]))</f>
        <v/>
      </c>
      <c r="Y52" s="657" t="str">
        <f t="array" ref="Y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9]))</f>
        <v/>
      </c>
      <c r="Z52" s="657" t="str">
        <f t="array" ref="Z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10]))</f>
        <v/>
      </c>
      <c r="AA52" s="657" t="str">
        <f t="array" ref="AA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11]))</f>
        <v/>
      </c>
      <c r="AB52" s="657" t="str">
        <f t="array" ref="AB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12]))</f>
        <v/>
      </c>
      <c r="AC52" s="657" t="str">
        <f t="array" ref="AC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13]))</f>
        <v/>
      </c>
      <c r="AD52" s="657" t="str">
        <f t="array" ref="AD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14]))</f>
        <v/>
      </c>
      <c r="AE52" s="657" t="str">
        <f t="array" ref="AE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15]))</f>
        <v/>
      </c>
      <c r="AF52" s="657" t="str">
        <f t="array" ref="AF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16]))</f>
        <v/>
      </c>
      <c r="AG52" s="657" t="str">
        <f t="array" ref="AG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17]))</f>
        <v/>
      </c>
      <c r="AH52" s="657" t="str">
        <f t="array" ref="AH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18]))</f>
        <v/>
      </c>
      <c r="AI52" s="657" t="str">
        <f t="array" ref="AI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19]))</f>
        <v/>
      </c>
      <c r="AJ52" s="657" t="str">
        <f t="array" ref="AJ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20]))</f>
        <v/>
      </c>
      <c r="AK52" s="657" t="str">
        <f t="array" ref="AK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21]))</f>
        <v/>
      </c>
      <c r="AL52" s="657" t="str">
        <f t="array" ref="AL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22]))</f>
        <v/>
      </c>
      <c r="AM52" s="657" t="str">
        <f t="array" ref="AM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23]))</f>
        <v/>
      </c>
      <c r="AN52" s="657" t="str">
        <f t="array" ref="AN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24]))</f>
        <v/>
      </c>
      <c r="AO52" s="657" t="str">
        <f t="array" ref="AO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25]))</f>
        <v/>
      </c>
      <c r="AP52" s="657" t="str">
        <f t="array" ref="AP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26]))</f>
        <v/>
      </c>
      <c r="AQ52" s="657" t="str">
        <f t="array" ref="AQ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27]))</f>
        <v/>
      </c>
      <c r="AR52" s="657" t="str">
        <f t="array" ref="AR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28]))</f>
        <v/>
      </c>
      <c r="AS52" s="657" t="str">
        <f t="array" ref="AS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29]))</f>
        <v/>
      </c>
      <c r="AT52" s="657" t="str">
        <f t="array" ref="AT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30]))</f>
        <v/>
      </c>
      <c r="AU52" s="657" t="str">
        <f t="array" ref="AU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31]))</f>
        <v/>
      </c>
      <c r="AV52" s="657" t="str">
        <f t="array" ref="AV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32]))</f>
        <v/>
      </c>
      <c r="AW52" s="657" t="str">
        <f t="array" ref="AW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33]))</f>
        <v/>
      </c>
      <c r="AX52" s="657" t="str">
        <f t="array" ref="AX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34]))</f>
        <v/>
      </c>
      <c r="AY52" s="657" t="str">
        <f t="array" ref="AY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35]))</f>
        <v/>
      </c>
      <c r="AZ52" s="657" t="str">
        <f t="array" ref="AZ52">IF($L52="","",SUMPRODUCT(IF($F$5="Y",1*(ActualsTable[Company]=IF($F52="",$F$6,$F52)),1+0*ISBLANK(ActualsTable[Company])),IF($G$5="Y",1*(ActualsTable[Business Unit]=IF($G52="",$G$6,$G52)),1+0*ISBLANK(ActualsTable[Business Unit])),IF($H$5="Y",1*(ActualsTable[Department]=IF($H52="",$H$6,$H52)),1+0*ISBLANK(ActualsTable[Department])),IF($I$5="Y",1*(ActualsTable[Team]=IF($P52="",$P$6,$P52)),1+0*ISBLANK(ActualsTable[Team])),IF($J$5="Y",1*(ActualsTable[Product]=IF($J52="",$J$6,$J52)),1+0*ISBLANK(ActualsTable[Product])),IF($K$5="Y",1*(ActualsTable[Location]=IF($K52="",$K$6,$K52)),1+0*ISBLANK(ActualsTable[Location])),1*(ActualsTable[Expense Item]=$L52),ActualsTable[Month 36]))</f>
        <v/>
      </c>
      <c r="BA52" s="257"/>
      <c r="BB52" s="654" t="str">
        <f t="array" ref="BB52">IF(OR($L52="",IsHidden(BB52)),"",CHOOSE($B52,N($E52)*BB$5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L$186:L$286)*N($E52),BB$6*N($E52),N($E52),0)+N(BB115))</f>
        <v/>
      </c>
      <c r="BC52" s="654" t="str">
        <f t="array" ref="BC52">IF(OR($L52="",IsHidden(BC52)),"",CHOOSE($B52,N($E52)*BC$5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M$186:M$286)*N($E52),BC$6*N($E52),N($E52),0)+N(BC115))</f>
        <v/>
      </c>
      <c r="BD52" s="654" t="str">
        <f t="array" ref="BD52">IF(OR($L52="",IsHidden(BD52)),"",CHOOSE($B52,N($E52)*BD$5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N$186:N$286)*N($E52),BD$6*N($E52),N($E52),0)+N(BD115))</f>
        <v/>
      </c>
      <c r="BE52" s="654" t="str">
        <f t="array" ref="BE52">IF(OR($L52="",IsHidden(BE52)),"",CHOOSE($B52,N($E52)*BE$5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O$186:O$286)*N($E52),BE$6*N($E52),N($E52),0)+N(BE115))</f>
        <v/>
      </c>
      <c r="BF52" s="654" t="str">
        <f t="array" ref="BF52">IF(OR($L52="",IsHidden(BF52)),"",CHOOSE($B52,N($E52)*BF$5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P$186:P$286)*N($E52),BF$6*N($E52),N($E52),0)+N(BF115))</f>
        <v/>
      </c>
      <c r="BG52" s="654" t="str">
        <f t="array" ref="BG52">IF(OR($L52="",IsHidden(BG52)),"",CHOOSE($B52,N($E52)*BG$5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Q$186:Q$286)*N($E52),BG$6*N($E52),N($E52),0)+N(BG115))</f>
        <v/>
      </c>
      <c r="BH52" s="654" t="str">
        <f t="array" ref="BH52">IF(OR($L52="",IsHidden(BH52)),"",CHOOSE($B52,N($E52)*BH$5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R$186:R$286)*N($E52),BH$6*N($E52),N($E52),0)+N(BH115))</f>
        <v/>
      </c>
      <c r="BI52" s="654" t="str">
        <f t="array" ref="BI52">IF(OR($L52="",IsHidden(BI52)),"",CHOOSE($B52,N($E52)*BI$5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S$186:S$286)*N($E52),BI$6*N($E52),N($E52),0)+N(BI115))</f>
        <v/>
      </c>
      <c r="BJ52" s="654" t="str">
        <f t="array" ref="BJ52">IF(OR($L52="",IsHidden(BJ52)),"",CHOOSE($B52,N($E52)*BJ$5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T$186:T$286)*N($E52),BJ$6*N($E52),N($E52),0)+N(BJ115))</f>
        <v/>
      </c>
      <c r="BK52" s="654" t="str">
        <f t="array" ref="BK52">IF(OR($L52="",IsHidden(BK52)),"",CHOOSE($B52,N($E52)*BK$5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U$186:U$286)*N($E52),BK$6*N($E52),N($E52),0)+N(BK115))</f>
        <v/>
      </c>
      <c r="BL52" s="654" t="str">
        <f t="array" ref="BL52">IF(OR($L52="",IsHidden(BL52)),"",CHOOSE($B52,N($E52)*BL$5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V$186:V$286)*N($E52),BL$6*N($E52),N($E52),0)+N(BL115))</f>
        <v/>
      </c>
      <c r="BM52" s="654" t="str">
        <f t="array" ref="BM52">IF(OR($L52="",IsHidden(BM52)),"",CHOOSE($B52,N($E52)*BM$5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W$186:W$286)*N($E52),BM$6*N($E52),N($E52),0)+N(BM115))</f>
        <v/>
      </c>
      <c r="BN52" s="654" t="str">
        <f t="array" ref="BN52">IF(OR($L52="",IsHidden(BN52)),"",CHOOSE($B52,N($E52)*BN$5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X$186:X$286)*N($E52),BN$6*N($E52),N($E52),0)+N(BN115))</f>
        <v/>
      </c>
      <c r="BO52" s="654" t="str">
        <f t="array" ref="BO52">IF(OR($L52="",IsHidden(BO52)),"",CHOOSE($B52,N($E52)*BO$5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Y$186:Y$286)*N($E52),BO$6*N($E52),N($E52),0)+N(BO115))</f>
        <v/>
      </c>
      <c r="BP52" s="654" t="str">
        <f t="array" ref="BP52">IF(OR($L52="",IsHidden(BP52)),"",CHOOSE($B52,N($E52)*BP$5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Z$186:Z$286)*N($E52),BP$6*N($E52),N($E52),0)+N(BP115))</f>
        <v/>
      </c>
      <c r="BQ52" s="654" t="str">
        <f t="array" ref="BQ52">IF(OR($L52="",IsHidden(BQ52)),"",CHOOSE($B52,N($E52)*BQ$5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A$186:AA$286)*N($E52),BQ$6*N($E52),N($E52),0)+N(BQ115))</f>
        <v/>
      </c>
      <c r="BR52" s="654" t="str">
        <f t="array" ref="BR52">IF(OR($L52="",IsHidden(BR52)),"",CHOOSE($B52,N($E52)*BR$5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B$186:AB$286)*N($E52),BR$6*N($E52),N($E52),0)+N(BR115))</f>
        <v/>
      </c>
      <c r="BS52" s="654" t="str">
        <f t="array" ref="BS52">IF(OR($L52="",IsHidden(BS52)),"",CHOOSE($B52,N($E52)*BS$5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C$186:AC$286)*N($E52),BS$6*N($E52),N($E52),0)+N(BS115))</f>
        <v/>
      </c>
      <c r="BT52" s="654" t="str">
        <f t="array" ref="BT52">IF(OR($L52="",IsHidden(BT52)),"",CHOOSE($B52,N($E52)*BT$5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D$186:AD$286)*N($E52),BT$6*N($E52),N($E52),0)+N(BT115))</f>
        <v/>
      </c>
      <c r="BU52" s="654" t="str">
        <f t="array" ref="BU52">IF(OR($L52="",IsHidden(BU52)),"",CHOOSE($B52,N($E52)*BU$5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E$186:AE$286)*N($E52),BU$6*N($E52),N($E52),0)+N(BU115))</f>
        <v/>
      </c>
      <c r="BV52" s="654" t="str">
        <f t="array" ref="BV52">IF(OR($L52="",IsHidden(BV52)),"",CHOOSE($B52,N($E52)*BV$5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F$186:AF$286)*N($E52),BV$6*N($E52),N($E52),0)+N(BV115))</f>
        <v/>
      </c>
      <c r="BW52" s="654" t="str">
        <f t="array" ref="BW52">IF(OR($L52="",IsHidden(BW52)),"",CHOOSE($B52,N($E52)*BW$5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G$186:AG$286)*N($E52),BW$6*N($E52),N($E52),0)+N(BW115))</f>
        <v/>
      </c>
      <c r="BX52" s="654" t="str">
        <f t="array" ref="BX52">IF(OR($L52="",IsHidden(BX52)),"",CHOOSE($B52,N($E52)*BX$5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H$186:AH$286)*N($E52),BX$6*N($E52),N($E52),0)+N(BX115))</f>
        <v/>
      </c>
      <c r="BY52" s="654" t="str">
        <f t="array" ref="BY52">IF(OR($L52="",IsHidden(BY52)),"",CHOOSE($B52,N($E52)*BY$5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I$186:AI$286)*N($E52),BY$6*N($E52),N($E52),0)+N(BY115))</f>
        <v/>
      </c>
      <c r="BZ52" s="654" t="str">
        <f t="array" ref="BZ52">IF(OR($L52="",IsHidden(BZ52)),"",CHOOSE($B52,N($E52)*BZ$5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J$186:AJ$286)*N($E52),BZ$6*N($E52),N($E52),0)+N(BZ115))</f>
        <v/>
      </c>
      <c r="CA52" s="654" t="str">
        <f t="array" ref="CA52">IF(OR($L52="",IsHidden(CA52)),"",CHOOSE($B52,N($E52)*CA$5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K$186:AK$286)*N($E52),CA$6*N($E52),N($E52),0)+N(CA115))</f>
        <v/>
      </c>
      <c r="CB52" s="654" t="str">
        <f t="array" ref="CB52">IF(OR($L52="",IsHidden(CB52)),"",CHOOSE($B52,N($E52)*CB$5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L$186:AL$286)*N($E52),CB$6*N($E52),N($E52),0)+N(CB115))</f>
        <v/>
      </c>
      <c r="CC52" s="654" t="str">
        <f t="array" ref="CC52">IF(OR($L52="",IsHidden(CC52)),"",CHOOSE($B52,N($E52)*CC$5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M$186:AM$286)*N($E52),CC$6*N($E52),N($E52),0)+N(CC115))</f>
        <v/>
      </c>
      <c r="CD52" s="654" t="str">
        <f t="array" ref="CD52">IF(OR($L52="",IsHidden(CD52)),"",CHOOSE($B52,N($E52)*CD$5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N$186:AN$286)*N($E52),CD$6*N($E52),N($E52),0)+N(CD115))</f>
        <v/>
      </c>
      <c r="CE52" s="654" t="str">
        <f t="array" ref="CE52">IF(OR($L52="",IsHidden(CE52)),"",CHOOSE($B52,N($E52)*CE$5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O$186:AO$286)*N($E52),CE$6*N($E52),N($E52),0)+N(CE115))</f>
        <v/>
      </c>
      <c r="CF52" s="654" t="str">
        <f t="array" ref="CF52">IF(OR($L52="",IsHidden(CF52)),"",CHOOSE($B52,N($E52)*CF$5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P$186:AP$286)*N($E52),CF$6*N($E52),N($E52),0)+N(CF115))</f>
        <v/>
      </c>
      <c r="CG52" s="654" t="str">
        <f t="array" ref="CG52">IF(OR($L52="",IsHidden(CG52)),"",CHOOSE($B52,N($E52)*CG$5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Q$186:AQ$286)*N($E52),CG$6*N($E52),N($E52),0)+N(CG115))</f>
        <v/>
      </c>
      <c r="CH52" s="654" t="str">
        <f t="array" ref="CH52">IF(OR($L52="",IsHidden(CH52)),"",CHOOSE($B52,N($E52)*CH$5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R$186:AR$286)*N($E52),CH$6*N($E52),N($E52),0)+N(CH115))</f>
        <v/>
      </c>
      <c r="CI52" s="654" t="str">
        <f t="array" ref="CI52">IF(OR($L52="",IsHidden(CI52)),"",CHOOSE($B52,N($E52)*CI$5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S$186:AS$286)*N($E52),CI$6*N($E52),N($E52),0)+N(CI115))</f>
        <v/>
      </c>
      <c r="CJ52" s="654" t="str">
        <f t="array" ref="CJ52">IF(OR($L52="",IsHidden(CJ52)),"",CHOOSE($B52,N($E52)*CJ$5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T$186:AT$286)*N($E52),CJ$6*N($E52),N($E52),0)+N(CJ115))</f>
        <v/>
      </c>
      <c r="CK52" s="654" t="str">
        <f t="array" ref="CK52">IF(OR($L52="",IsHidden(CK52)),"",CHOOSE($B52,N($E52)*CK$5,SUMPRODUCT(IF($F$5="Y",1*(Headcount!$B$186:$B$286=IF($F52="",$F$6,$F52)),1+0*ISBLANK(Headcount!$B$186:$B$286)),IF($G$5="Y",1*(Headcount!$C$186:$C$286=IF($G52="",$G$6,$G52)),1+0*ISBLANK(Headcount!$C$186:$C$286)),IF($H$5="Y",1*(Headcount!$D$186:$D$286=IF($H52="",$H$6,$H52)),1+0*ISBLANK(Headcount!$D$186:$D$286)),IF($I$5="Y",1*(Headcount!$E$186:$E$286=IF($I52="",$I$6,$I52)),1+0*ISBLANK(Headcount!$E$186:$E$286)),IF($J$5="Y",1*(Headcount!$F$186:$F$286=IF($J52="",$J$6,$J52)),1+0*ISBLANK(Headcount!$F$186:$F$286)),IF($K$5="Y",1*(Headcount!$G$186:$G$286=IF($K52="",$K$6,$K52)),1+0*ISBLANK(Headcount!$G$186:$G$286)),Headcount!AU$186:AU$286)*N($E52),CK$6*N($E52),N($E52),0)+N(CK115))</f>
        <v/>
      </c>
      <c r="CL52" s="255"/>
      <c r="CM52" s="255"/>
      <c r="CN52" s="255" t="b">
        <f t="array" ref="CN52">IF($L52="",TRUE,IF(AND(OR($F52&lt;&gt;"",$F$6&lt;&gt;""),OR($G52&lt;&gt;"",$G$6&lt;&gt;""),OR($H52&lt;&gt;"",$H$6&lt;&gt;""),OR($I52&lt;&gt;"",$I$6&lt;&gt;""),OR($J52&lt;&gt;"",$J$6&lt;&gt;""),OR($K52&lt;&gt;"",$K$6&lt;&gt;""),NOT(ISERROR(BB52:CK52)),NOT(ISNA(MATCH(IF($H52="",$H$6,$H52)&amp;IF($G52="",$G$6,$G52),DeptBU,0)))),TRUE,FALSE))</f>
        <v>1</v>
      </c>
      <c r="CO52" s="255"/>
      <c r="CP52" s="255" t="str">
        <f t="shared" si="5"/>
        <v/>
      </c>
    </row>
    <row r="53" spans="1:94" s="255" customFormat="1" x14ac:dyDescent="0.35">
      <c r="A53" s="566"/>
      <c r="B53" s="261">
        <f t="shared" si="4"/>
        <v>5</v>
      </c>
      <c r="C53" s="566"/>
      <c r="D53" s="261" t="str">
        <f t="array" aca="1" ref="D53" ca="1">IF($B53&lt;5,AVERAGE(OFFSET($Q53,,Input_ActualsOffset-1,,-$C53)/CHOOSE($B53,OFFSET($Q$5,,Input_ActualsOffset-1,1,-$C53),ss($C53,OFFSET(Actuals!$A$1,1,MATCH("Month "&amp;Input_ActualsOffset,ActualsTable[#Headers],0)-1,ROWS(ActualsTable[#Data]),1),ActualsTable[Company],IF($F$5="Y",IF($F53="",$F$6,$F53),"*"),ActualsTable[Business Unit],IF($G$5="Y",IF($G53="",$G$6,$G53),"*"),ActualsTable[Department],IF($H$5="Y",IF($H53="",$H$6,$H53),"*"),ActualsTable[Team],IF($I$5="Y",IF($P53="",$P$6,$P53),"*"),ActualsTable[Product],IF($J$5="Y",IF($J53="",$J$6,$J53),"*"),ActualsTable[Location],IF($K$5="Y",IF($K53="",$K$6,$K53),"*"),ActualsTable[Expense Item],"Headcount"),OFFSET($Q$6,,Input_ActualsOffset-1,,-$C53),1)),"")</f>
        <v/>
      </c>
      <c r="E53" s="640"/>
      <c r="F53" s="555"/>
      <c r="G53" s="555"/>
      <c r="H53" s="555"/>
      <c r="I53" s="555"/>
      <c r="J53" s="555"/>
      <c r="K53" s="555"/>
      <c r="L53" s="555"/>
      <c r="M53" s="555"/>
      <c r="N53" s="555"/>
      <c r="O53" s="556" t="str">
        <f>IF($L53="","",IF(VLOOKUP(L53,ExpItems[],2,0),L53&amp;" - "&amp;INDEX(DivisionMapping[category_code],MATCH(IF(H53="",$H$6,H53)&amp;IF(G53="",$G$6,G53),DivisionMapping[dept_bu],0)),L53))</f>
        <v/>
      </c>
      <c r="P53" s="556" t="str">
        <f>IF($L53="","",INDEX(Teams[team_consolidation],MATCH(IF($I53="",$I$6,$I53),Teams[team_name],0)))</f>
        <v/>
      </c>
      <c r="Q53" s="657" t="str">
        <f t="array" ref="Q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f>
        <v/>
      </c>
      <c r="R53" s="657" t="str">
        <f t="array" ref="R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f>
        <v/>
      </c>
      <c r="S53" s="657" t="str">
        <f t="array" ref="S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f>
        <v/>
      </c>
      <c r="T53" s="657" t="str">
        <f t="array" ref="T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4]))</f>
        <v/>
      </c>
      <c r="U53" s="657" t="str">
        <f t="array" ref="U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5]))</f>
        <v/>
      </c>
      <c r="V53" s="657" t="str">
        <f t="array" ref="V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6]))</f>
        <v/>
      </c>
      <c r="W53" s="657" t="str">
        <f t="array" ref="W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7]))</f>
        <v/>
      </c>
      <c r="X53" s="657" t="str">
        <f t="array" ref="X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8]))</f>
        <v/>
      </c>
      <c r="Y53" s="657" t="str">
        <f t="array" ref="Y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9]))</f>
        <v/>
      </c>
      <c r="Z53" s="657" t="str">
        <f t="array" ref="Z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10]))</f>
        <v/>
      </c>
      <c r="AA53" s="657" t="str">
        <f t="array" ref="AA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11]))</f>
        <v/>
      </c>
      <c r="AB53" s="657" t="str">
        <f t="array" ref="AB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12]))</f>
        <v/>
      </c>
      <c r="AC53" s="657" t="str">
        <f t="array" ref="AC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13]))</f>
        <v/>
      </c>
      <c r="AD53" s="657" t="str">
        <f t="array" ref="AD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14]))</f>
        <v/>
      </c>
      <c r="AE53" s="657" t="str">
        <f t="array" ref="AE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15]))</f>
        <v/>
      </c>
      <c r="AF53" s="657" t="str">
        <f t="array" ref="AF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16]))</f>
        <v/>
      </c>
      <c r="AG53" s="657" t="str">
        <f t="array" ref="AG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17]))</f>
        <v/>
      </c>
      <c r="AH53" s="657" t="str">
        <f t="array" ref="AH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18]))</f>
        <v/>
      </c>
      <c r="AI53" s="657" t="str">
        <f t="array" ref="AI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19]))</f>
        <v/>
      </c>
      <c r="AJ53" s="657" t="str">
        <f t="array" ref="AJ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20]))</f>
        <v/>
      </c>
      <c r="AK53" s="657" t="str">
        <f t="array" ref="AK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21]))</f>
        <v/>
      </c>
      <c r="AL53" s="657" t="str">
        <f t="array" ref="AL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22]))</f>
        <v/>
      </c>
      <c r="AM53" s="657" t="str">
        <f t="array" ref="AM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23]))</f>
        <v/>
      </c>
      <c r="AN53" s="657" t="str">
        <f t="array" ref="AN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24]))</f>
        <v/>
      </c>
      <c r="AO53" s="657" t="str">
        <f t="array" ref="AO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25]))</f>
        <v/>
      </c>
      <c r="AP53" s="657" t="str">
        <f t="array" ref="AP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26]))</f>
        <v/>
      </c>
      <c r="AQ53" s="657" t="str">
        <f t="array" ref="AQ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27]))</f>
        <v/>
      </c>
      <c r="AR53" s="657" t="str">
        <f t="array" ref="AR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28]))</f>
        <v/>
      </c>
      <c r="AS53" s="657" t="str">
        <f t="array" ref="AS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29]))</f>
        <v/>
      </c>
      <c r="AT53" s="657" t="str">
        <f t="array" ref="AT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30]))</f>
        <v/>
      </c>
      <c r="AU53" s="657" t="str">
        <f t="array" ref="AU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31]))</f>
        <v/>
      </c>
      <c r="AV53" s="657" t="str">
        <f t="array" ref="AV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32]))</f>
        <v/>
      </c>
      <c r="AW53" s="657" t="str">
        <f t="array" ref="AW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33]))</f>
        <v/>
      </c>
      <c r="AX53" s="657" t="str">
        <f t="array" ref="AX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34]))</f>
        <v/>
      </c>
      <c r="AY53" s="657" t="str">
        <f t="array" ref="AY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35]))</f>
        <v/>
      </c>
      <c r="AZ53" s="657" t="str">
        <f t="array" ref="AZ53">IF($L53="","",SUMPRODUCT(IF($F$5="Y",1*(ActualsTable[Company]=IF($F53="",$F$6,$F53)),1+0*ISBLANK(ActualsTable[Company])),IF($G$5="Y",1*(ActualsTable[Business Unit]=IF($G53="",$G$6,$G53)),1+0*ISBLANK(ActualsTable[Business Unit])),IF($H$5="Y",1*(ActualsTable[Department]=IF($H53="",$H$6,$H53)),1+0*ISBLANK(ActualsTable[Department])),IF($I$5="Y",1*(ActualsTable[Team]=IF($P53="",$P$6,$P53)),1+0*ISBLANK(ActualsTable[Team])),IF($J$5="Y",1*(ActualsTable[Product]=IF($J53="",$J$6,$J53)),1+0*ISBLANK(ActualsTable[Product])),IF($K$5="Y",1*(ActualsTable[Location]=IF($K53="",$K$6,$K53)),1+0*ISBLANK(ActualsTable[Location])),1*(ActualsTable[Expense Item]=$L53),ActualsTable[Month 36]))</f>
        <v/>
      </c>
      <c r="BA53" s="257"/>
      <c r="BB53" s="654" t="str">
        <f t="array" ref="BB53">IF(OR($L53="",IsHidden(BB53)),"",CHOOSE($B53,N($E53)*BB$5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L$186:L$286)*N($E53),BB$6*N($E53),N($E53),0)+N(BB116))</f>
        <v/>
      </c>
      <c r="BC53" s="654" t="str">
        <f t="array" ref="BC53">IF(OR($L53="",IsHidden(BC53)),"",CHOOSE($B53,N($E53)*BC$5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M$186:M$286)*N($E53),BC$6*N($E53),N($E53),0)+N(BC116))</f>
        <v/>
      </c>
      <c r="BD53" s="654" t="str">
        <f t="array" ref="BD53">IF(OR($L53="",IsHidden(BD53)),"",CHOOSE($B53,N($E53)*BD$5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N$186:N$286)*N($E53),BD$6*N($E53),N($E53),0)+N(BD116))</f>
        <v/>
      </c>
      <c r="BE53" s="654" t="str">
        <f t="array" ref="BE53">IF(OR($L53="",IsHidden(BE53)),"",CHOOSE($B53,N($E53)*BE$5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O$186:O$286)*N($E53),BE$6*N($E53),N($E53),0)+N(BE116))</f>
        <v/>
      </c>
      <c r="BF53" s="654" t="str">
        <f t="array" ref="BF53">IF(OR($L53="",IsHidden(BF53)),"",CHOOSE($B53,N($E53)*BF$5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P$186:P$286)*N($E53),BF$6*N($E53),N($E53),0)+N(BF116))</f>
        <v/>
      </c>
      <c r="BG53" s="654" t="str">
        <f t="array" ref="BG53">IF(OR($L53="",IsHidden(BG53)),"",CHOOSE($B53,N($E53)*BG$5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Q$186:Q$286)*N($E53),BG$6*N($E53),N($E53),0)+N(BG116))</f>
        <v/>
      </c>
      <c r="BH53" s="654" t="str">
        <f t="array" ref="BH53">IF(OR($L53="",IsHidden(BH53)),"",CHOOSE($B53,N($E53)*BH$5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R$186:R$286)*N($E53),BH$6*N($E53),N($E53),0)+N(BH116))</f>
        <v/>
      </c>
      <c r="BI53" s="654" t="str">
        <f t="array" ref="BI53">IF(OR($L53="",IsHidden(BI53)),"",CHOOSE($B53,N($E53)*BI$5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S$186:S$286)*N($E53),BI$6*N($E53),N($E53),0)+N(BI116))</f>
        <v/>
      </c>
      <c r="BJ53" s="654" t="str">
        <f t="array" ref="BJ53">IF(OR($L53="",IsHidden(BJ53)),"",CHOOSE($B53,N($E53)*BJ$5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T$186:T$286)*N($E53),BJ$6*N($E53),N($E53),0)+N(BJ116))</f>
        <v/>
      </c>
      <c r="BK53" s="654" t="str">
        <f t="array" ref="BK53">IF(OR($L53="",IsHidden(BK53)),"",CHOOSE($B53,N($E53)*BK$5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U$186:U$286)*N($E53),BK$6*N($E53),N($E53),0)+N(BK116))</f>
        <v/>
      </c>
      <c r="BL53" s="654" t="str">
        <f t="array" ref="BL53">IF(OR($L53="",IsHidden(BL53)),"",CHOOSE($B53,N($E53)*BL$5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V$186:V$286)*N($E53),BL$6*N($E53),N($E53),0)+N(BL116))</f>
        <v/>
      </c>
      <c r="BM53" s="654" t="str">
        <f t="array" ref="BM53">IF(OR($L53="",IsHidden(BM53)),"",CHOOSE($B53,N($E53)*BM$5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W$186:W$286)*N($E53),BM$6*N($E53),N($E53),0)+N(BM116))</f>
        <v/>
      </c>
      <c r="BN53" s="654" t="str">
        <f t="array" ref="BN53">IF(OR($L53="",IsHidden(BN53)),"",CHOOSE($B53,N($E53)*BN$5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X$186:X$286)*N($E53),BN$6*N($E53),N($E53),0)+N(BN116))</f>
        <v/>
      </c>
      <c r="BO53" s="654" t="str">
        <f t="array" ref="BO53">IF(OR($L53="",IsHidden(BO53)),"",CHOOSE($B53,N($E53)*BO$5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Y$186:Y$286)*N($E53),BO$6*N($E53),N($E53),0)+N(BO116))</f>
        <v/>
      </c>
      <c r="BP53" s="654" t="str">
        <f t="array" ref="BP53">IF(OR($L53="",IsHidden(BP53)),"",CHOOSE($B53,N($E53)*BP$5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Z$186:Z$286)*N($E53),BP$6*N($E53),N($E53),0)+N(BP116))</f>
        <v/>
      </c>
      <c r="BQ53" s="654" t="str">
        <f t="array" ref="BQ53">IF(OR($L53="",IsHidden(BQ53)),"",CHOOSE($B53,N($E53)*BQ$5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A$186:AA$286)*N($E53),BQ$6*N($E53),N($E53),0)+N(BQ116))</f>
        <v/>
      </c>
      <c r="BR53" s="654" t="str">
        <f t="array" ref="BR53">IF(OR($L53="",IsHidden(BR53)),"",CHOOSE($B53,N($E53)*BR$5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B$186:AB$286)*N($E53),BR$6*N($E53),N($E53),0)+N(BR116))</f>
        <v/>
      </c>
      <c r="BS53" s="654" t="str">
        <f t="array" ref="BS53">IF(OR($L53="",IsHidden(BS53)),"",CHOOSE($B53,N($E53)*BS$5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C$186:AC$286)*N($E53),BS$6*N($E53),N($E53),0)+N(BS116))</f>
        <v/>
      </c>
      <c r="BT53" s="654" t="str">
        <f t="array" ref="BT53">IF(OR($L53="",IsHidden(BT53)),"",CHOOSE($B53,N($E53)*BT$5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D$186:AD$286)*N($E53),BT$6*N($E53),N($E53),0)+N(BT116))</f>
        <v/>
      </c>
      <c r="BU53" s="654" t="str">
        <f t="array" ref="BU53">IF(OR($L53="",IsHidden(BU53)),"",CHOOSE($B53,N($E53)*BU$5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E$186:AE$286)*N($E53),BU$6*N($E53),N($E53),0)+N(BU116))</f>
        <v/>
      </c>
      <c r="BV53" s="654" t="str">
        <f t="array" ref="BV53">IF(OR($L53="",IsHidden(BV53)),"",CHOOSE($B53,N($E53)*BV$5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F$186:AF$286)*N($E53),BV$6*N($E53),N($E53),0)+N(BV116))</f>
        <v/>
      </c>
      <c r="BW53" s="654" t="str">
        <f t="array" ref="BW53">IF(OR($L53="",IsHidden(BW53)),"",CHOOSE($B53,N($E53)*BW$5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G$186:AG$286)*N($E53),BW$6*N($E53),N($E53),0)+N(BW116))</f>
        <v/>
      </c>
      <c r="BX53" s="654" t="str">
        <f t="array" ref="BX53">IF(OR($L53="",IsHidden(BX53)),"",CHOOSE($B53,N($E53)*BX$5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H$186:AH$286)*N($E53),BX$6*N($E53),N($E53),0)+N(BX116))</f>
        <v/>
      </c>
      <c r="BY53" s="654" t="str">
        <f t="array" ref="BY53">IF(OR($L53="",IsHidden(BY53)),"",CHOOSE($B53,N($E53)*BY$5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I$186:AI$286)*N($E53),BY$6*N($E53),N($E53),0)+N(BY116))</f>
        <v/>
      </c>
      <c r="BZ53" s="654" t="str">
        <f t="array" ref="BZ53">IF(OR($L53="",IsHidden(BZ53)),"",CHOOSE($B53,N($E53)*BZ$5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J$186:AJ$286)*N($E53),BZ$6*N($E53),N($E53),0)+N(BZ116))</f>
        <v/>
      </c>
      <c r="CA53" s="654" t="str">
        <f t="array" ref="CA53">IF(OR($L53="",IsHidden(CA53)),"",CHOOSE($B53,N($E53)*CA$5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K$186:AK$286)*N($E53),CA$6*N($E53),N($E53),0)+N(CA116))</f>
        <v/>
      </c>
      <c r="CB53" s="654" t="str">
        <f t="array" ref="CB53">IF(OR($L53="",IsHidden(CB53)),"",CHOOSE($B53,N($E53)*CB$5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L$186:AL$286)*N($E53),CB$6*N($E53),N($E53),0)+N(CB116))</f>
        <v/>
      </c>
      <c r="CC53" s="654" t="str">
        <f t="array" ref="CC53">IF(OR($L53="",IsHidden(CC53)),"",CHOOSE($B53,N($E53)*CC$5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M$186:AM$286)*N($E53),CC$6*N($E53),N($E53),0)+N(CC116))</f>
        <v/>
      </c>
      <c r="CD53" s="654" t="str">
        <f t="array" ref="CD53">IF(OR($L53="",IsHidden(CD53)),"",CHOOSE($B53,N($E53)*CD$5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N$186:AN$286)*N($E53),CD$6*N($E53),N($E53),0)+N(CD116))</f>
        <v/>
      </c>
      <c r="CE53" s="654" t="str">
        <f t="array" ref="CE53">IF(OR($L53="",IsHidden(CE53)),"",CHOOSE($B53,N($E53)*CE$5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O$186:AO$286)*N($E53),CE$6*N($E53),N($E53),0)+N(CE116))</f>
        <v/>
      </c>
      <c r="CF53" s="654" t="str">
        <f t="array" ref="CF53">IF(OR($L53="",IsHidden(CF53)),"",CHOOSE($B53,N($E53)*CF$5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P$186:AP$286)*N($E53),CF$6*N($E53),N($E53),0)+N(CF116))</f>
        <v/>
      </c>
      <c r="CG53" s="654" t="str">
        <f t="array" ref="CG53">IF(OR($L53="",IsHidden(CG53)),"",CHOOSE($B53,N($E53)*CG$5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Q$186:AQ$286)*N($E53),CG$6*N($E53),N($E53),0)+N(CG116))</f>
        <v/>
      </c>
      <c r="CH53" s="654" t="str">
        <f t="array" ref="CH53">IF(OR($L53="",IsHidden(CH53)),"",CHOOSE($B53,N($E53)*CH$5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R$186:AR$286)*N($E53),CH$6*N($E53),N($E53),0)+N(CH116))</f>
        <v/>
      </c>
      <c r="CI53" s="654" t="str">
        <f t="array" ref="CI53">IF(OR($L53="",IsHidden(CI53)),"",CHOOSE($B53,N($E53)*CI$5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S$186:AS$286)*N($E53),CI$6*N($E53),N($E53),0)+N(CI116))</f>
        <v/>
      </c>
      <c r="CJ53" s="654" t="str">
        <f t="array" ref="CJ53">IF(OR($L53="",IsHidden(CJ53)),"",CHOOSE($B53,N($E53)*CJ$5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T$186:AT$286)*N($E53),CJ$6*N($E53),N($E53),0)+N(CJ116))</f>
        <v/>
      </c>
      <c r="CK53" s="654" t="str">
        <f t="array" ref="CK53">IF(OR($L53="",IsHidden(CK53)),"",CHOOSE($B53,N($E53)*CK$5,SUMPRODUCT(IF($F$5="Y",1*(Headcount!$B$186:$B$286=IF($F53="",$F$6,$F53)),1+0*ISBLANK(Headcount!$B$186:$B$286)),IF($G$5="Y",1*(Headcount!$C$186:$C$286=IF($G53="",$G$6,$G53)),1+0*ISBLANK(Headcount!$C$186:$C$286)),IF($H$5="Y",1*(Headcount!$D$186:$D$286=IF($H53="",$H$6,$H53)),1+0*ISBLANK(Headcount!$D$186:$D$286)),IF($I$5="Y",1*(Headcount!$E$186:$E$286=IF($I53="",$I$6,$I53)),1+0*ISBLANK(Headcount!$E$186:$E$286)),IF($J$5="Y",1*(Headcount!$F$186:$F$286=IF($J53="",$J$6,$J53)),1+0*ISBLANK(Headcount!$F$186:$F$286)),IF($K$5="Y",1*(Headcount!$G$186:$G$286=IF($K53="",$K$6,$K53)),1+0*ISBLANK(Headcount!$G$186:$G$286)),Headcount!AU$186:AU$286)*N($E53),CK$6*N($E53),N($E53),0)+N(CK116))</f>
        <v/>
      </c>
      <c r="CN53" s="255" t="b">
        <f t="array" ref="CN53">IF($L53="",TRUE,IF(AND(OR($F53&lt;&gt;"",$F$6&lt;&gt;""),OR($G53&lt;&gt;"",$G$6&lt;&gt;""),OR($H53&lt;&gt;"",$H$6&lt;&gt;""),OR($I53&lt;&gt;"",$I$6&lt;&gt;""),OR($J53&lt;&gt;"",$J$6&lt;&gt;""),OR($K53&lt;&gt;"",$K$6&lt;&gt;""),NOT(ISERROR(BB53:CK53)),NOT(ISNA(MATCH(IF($H53="",$H$6,$H53)&amp;IF($G53="",$G$6,$G53),DeptBU,0)))),TRUE,FALSE))</f>
        <v>1</v>
      </c>
      <c r="CP53" s="255" t="str">
        <f t="shared" si="5"/>
        <v/>
      </c>
    </row>
    <row r="54" spans="1:94" s="255" customFormat="1" x14ac:dyDescent="0.35">
      <c r="A54" s="566"/>
      <c r="B54" s="261">
        <f t="shared" si="4"/>
        <v>5</v>
      </c>
      <c r="C54" s="566"/>
      <c r="D54" s="261" t="str">
        <f t="array" aca="1" ref="D54" ca="1">IF($B54&lt;5,AVERAGE(OFFSET($Q54,,Input_ActualsOffset-1,,-$C54)/CHOOSE($B54,OFFSET($Q$5,,Input_ActualsOffset-1,1,-$C54),ss($C54,OFFSET(Actuals!$A$1,1,MATCH("Month "&amp;Input_ActualsOffset,ActualsTable[#Headers],0)-1,ROWS(ActualsTable[#Data]),1),ActualsTable[Company],IF($F$5="Y",IF($F54="",$F$6,$F54),"*"),ActualsTable[Business Unit],IF($G$5="Y",IF($G54="",$G$6,$G54),"*"),ActualsTable[Department],IF($H$5="Y",IF($H54="",$H$6,$H54),"*"),ActualsTable[Team],IF($I$5="Y",IF($P54="",$P$6,$P54),"*"),ActualsTable[Product],IF($J$5="Y",IF($J54="",$J$6,$J54),"*"),ActualsTable[Location],IF($K$5="Y",IF($K54="",$K$6,$K54),"*"),ActualsTable[Expense Item],"Headcount"),OFFSET($Q$6,,Input_ActualsOffset-1,,-$C54),1)),"")</f>
        <v/>
      </c>
      <c r="E54" s="640"/>
      <c r="F54" s="555"/>
      <c r="G54" s="555"/>
      <c r="H54" s="555"/>
      <c r="I54" s="555"/>
      <c r="J54" s="555"/>
      <c r="K54" s="555"/>
      <c r="L54" s="555"/>
      <c r="M54" s="555"/>
      <c r="N54" s="555"/>
      <c r="O54" s="556" t="str">
        <f>IF($L54="","",IF(VLOOKUP(L54,ExpItems[],2,0),L54&amp;" - "&amp;INDEX(DivisionMapping[category_code],MATCH(IF(H54="",$H$6,H54)&amp;IF(G54="",$G$6,G54),DivisionMapping[dept_bu],0)),L54))</f>
        <v/>
      </c>
      <c r="P54" s="556" t="str">
        <f>IF($L54="","",INDEX(Teams[team_consolidation],MATCH(IF($I54="",$I$6,$I54),Teams[team_name],0)))</f>
        <v/>
      </c>
      <c r="Q54" s="657" t="str">
        <f t="array" ref="Q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f>
        <v/>
      </c>
      <c r="R54" s="657" t="str">
        <f t="array" ref="R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f>
        <v/>
      </c>
      <c r="S54" s="657" t="str">
        <f t="array" ref="S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f>
        <v/>
      </c>
      <c r="T54" s="657" t="str">
        <f t="array" ref="T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4]))</f>
        <v/>
      </c>
      <c r="U54" s="657" t="str">
        <f t="array" ref="U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5]))</f>
        <v/>
      </c>
      <c r="V54" s="657" t="str">
        <f t="array" ref="V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6]))</f>
        <v/>
      </c>
      <c r="W54" s="657" t="str">
        <f t="array" ref="W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7]))</f>
        <v/>
      </c>
      <c r="X54" s="657" t="str">
        <f t="array" ref="X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8]))</f>
        <v/>
      </c>
      <c r="Y54" s="657" t="str">
        <f t="array" ref="Y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9]))</f>
        <v/>
      </c>
      <c r="Z54" s="657" t="str">
        <f t="array" ref="Z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10]))</f>
        <v/>
      </c>
      <c r="AA54" s="657" t="str">
        <f t="array" ref="AA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11]))</f>
        <v/>
      </c>
      <c r="AB54" s="657" t="str">
        <f t="array" ref="AB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12]))</f>
        <v/>
      </c>
      <c r="AC54" s="657" t="str">
        <f t="array" ref="AC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13]))</f>
        <v/>
      </c>
      <c r="AD54" s="657" t="str">
        <f t="array" ref="AD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14]))</f>
        <v/>
      </c>
      <c r="AE54" s="657" t="str">
        <f t="array" ref="AE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15]))</f>
        <v/>
      </c>
      <c r="AF54" s="657" t="str">
        <f t="array" ref="AF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16]))</f>
        <v/>
      </c>
      <c r="AG54" s="657" t="str">
        <f t="array" ref="AG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17]))</f>
        <v/>
      </c>
      <c r="AH54" s="657" t="str">
        <f t="array" ref="AH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18]))</f>
        <v/>
      </c>
      <c r="AI54" s="657" t="str">
        <f t="array" ref="AI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19]))</f>
        <v/>
      </c>
      <c r="AJ54" s="657" t="str">
        <f t="array" ref="AJ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20]))</f>
        <v/>
      </c>
      <c r="AK54" s="657" t="str">
        <f t="array" ref="AK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21]))</f>
        <v/>
      </c>
      <c r="AL54" s="657" t="str">
        <f t="array" ref="AL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22]))</f>
        <v/>
      </c>
      <c r="AM54" s="657" t="str">
        <f t="array" ref="AM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23]))</f>
        <v/>
      </c>
      <c r="AN54" s="657" t="str">
        <f t="array" ref="AN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24]))</f>
        <v/>
      </c>
      <c r="AO54" s="657" t="str">
        <f t="array" ref="AO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25]))</f>
        <v/>
      </c>
      <c r="AP54" s="657" t="str">
        <f t="array" ref="AP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26]))</f>
        <v/>
      </c>
      <c r="AQ54" s="657" t="str">
        <f t="array" ref="AQ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27]))</f>
        <v/>
      </c>
      <c r="AR54" s="657" t="str">
        <f t="array" ref="AR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28]))</f>
        <v/>
      </c>
      <c r="AS54" s="657" t="str">
        <f t="array" ref="AS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29]))</f>
        <v/>
      </c>
      <c r="AT54" s="657" t="str">
        <f t="array" ref="AT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30]))</f>
        <v/>
      </c>
      <c r="AU54" s="657" t="str">
        <f t="array" ref="AU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31]))</f>
        <v/>
      </c>
      <c r="AV54" s="657" t="str">
        <f t="array" ref="AV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32]))</f>
        <v/>
      </c>
      <c r="AW54" s="657" t="str">
        <f t="array" ref="AW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33]))</f>
        <v/>
      </c>
      <c r="AX54" s="657" t="str">
        <f t="array" ref="AX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34]))</f>
        <v/>
      </c>
      <c r="AY54" s="657" t="str">
        <f t="array" ref="AY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35]))</f>
        <v/>
      </c>
      <c r="AZ54" s="657" t="str">
        <f t="array" ref="AZ54">IF($L54="","",SUMPRODUCT(IF($F$5="Y",1*(ActualsTable[Company]=IF($F54="",$F$6,$F54)),1+0*ISBLANK(ActualsTable[Company])),IF($G$5="Y",1*(ActualsTable[Business Unit]=IF($G54="",$G$6,$G54)),1+0*ISBLANK(ActualsTable[Business Unit])),IF($H$5="Y",1*(ActualsTable[Department]=IF($H54="",$H$6,$H54)),1+0*ISBLANK(ActualsTable[Department])),IF($I$5="Y",1*(ActualsTable[Team]=IF($P54="",$P$6,$P54)),1+0*ISBLANK(ActualsTable[Team])),IF($J$5="Y",1*(ActualsTable[Product]=IF($J54="",$J$6,$J54)),1+0*ISBLANK(ActualsTable[Product])),IF($K$5="Y",1*(ActualsTable[Location]=IF($K54="",$K$6,$K54)),1+0*ISBLANK(ActualsTable[Location])),1*(ActualsTable[Expense Item]=$L54),ActualsTable[Month 36]))</f>
        <v/>
      </c>
      <c r="BA54" s="257"/>
      <c r="BB54" s="654" t="str">
        <f t="array" ref="BB54">IF(OR($L54="",IsHidden(BB54)),"",CHOOSE($B54,N($E54)*BB$5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L$186:L$286)*N($E54),BB$6*N($E54),N($E54),0)+N(BB117))</f>
        <v/>
      </c>
      <c r="BC54" s="654" t="str">
        <f t="array" ref="BC54">IF(OR($L54="",IsHidden(BC54)),"",CHOOSE($B54,N($E54)*BC$5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M$186:M$286)*N($E54),BC$6*N($E54),N($E54),0)+N(BC117))</f>
        <v/>
      </c>
      <c r="BD54" s="654" t="str">
        <f t="array" ref="BD54">IF(OR($L54="",IsHidden(BD54)),"",CHOOSE($B54,N($E54)*BD$5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N$186:N$286)*N($E54),BD$6*N($E54),N($E54),0)+N(BD117))</f>
        <v/>
      </c>
      <c r="BE54" s="654" t="str">
        <f t="array" ref="BE54">IF(OR($L54="",IsHidden(BE54)),"",CHOOSE($B54,N($E54)*BE$5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O$186:O$286)*N($E54),BE$6*N($E54),N($E54),0)+N(BE117))</f>
        <v/>
      </c>
      <c r="BF54" s="654" t="str">
        <f t="array" ref="BF54">IF(OR($L54="",IsHidden(BF54)),"",CHOOSE($B54,N($E54)*BF$5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P$186:P$286)*N($E54),BF$6*N($E54),N($E54),0)+N(BF117))</f>
        <v/>
      </c>
      <c r="BG54" s="654" t="str">
        <f t="array" ref="BG54">IF(OR($L54="",IsHidden(BG54)),"",CHOOSE($B54,N($E54)*BG$5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Q$186:Q$286)*N($E54),BG$6*N($E54),N($E54),0)+N(BG117))</f>
        <v/>
      </c>
      <c r="BH54" s="654" t="str">
        <f t="array" ref="BH54">IF(OR($L54="",IsHidden(BH54)),"",CHOOSE($B54,N($E54)*BH$5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R$186:R$286)*N($E54),BH$6*N($E54),N($E54),0)+N(BH117))</f>
        <v/>
      </c>
      <c r="BI54" s="654" t="str">
        <f t="array" ref="BI54">IF(OR($L54="",IsHidden(BI54)),"",CHOOSE($B54,N($E54)*BI$5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S$186:S$286)*N($E54),BI$6*N($E54),N($E54),0)+N(BI117))</f>
        <v/>
      </c>
      <c r="BJ54" s="654" t="str">
        <f t="array" ref="BJ54">IF(OR($L54="",IsHidden(BJ54)),"",CHOOSE($B54,N($E54)*BJ$5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T$186:T$286)*N($E54),BJ$6*N($E54),N($E54),0)+N(BJ117))</f>
        <v/>
      </c>
      <c r="BK54" s="654" t="str">
        <f t="array" ref="BK54">IF(OR($L54="",IsHidden(BK54)),"",CHOOSE($B54,N($E54)*BK$5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U$186:U$286)*N($E54),BK$6*N($E54),N($E54),0)+N(BK117))</f>
        <v/>
      </c>
      <c r="BL54" s="654" t="str">
        <f t="array" ref="BL54">IF(OR($L54="",IsHidden(BL54)),"",CHOOSE($B54,N($E54)*BL$5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V$186:V$286)*N($E54),BL$6*N($E54),N($E54),0)+N(BL117))</f>
        <v/>
      </c>
      <c r="BM54" s="654" t="str">
        <f t="array" ref="BM54">IF(OR($L54="",IsHidden(BM54)),"",CHOOSE($B54,N($E54)*BM$5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W$186:W$286)*N($E54),BM$6*N($E54),N($E54),0)+N(BM117))</f>
        <v/>
      </c>
      <c r="BN54" s="654" t="str">
        <f t="array" ref="BN54">IF(OR($L54="",IsHidden(BN54)),"",CHOOSE($B54,N($E54)*BN$5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X$186:X$286)*N($E54),BN$6*N($E54),N($E54),0)+N(BN117))</f>
        <v/>
      </c>
      <c r="BO54" s="654" t="str">
        <f t="array" ref="BO54">IF(OR($L54="",IsHidden(BO54)),"",CHOOSE($B54,N($E54)*BO$5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Y$186:Y$286)*N($E54),BO$6*N($E54),N($E54),0)+N(BO117))</f>
        <v/>
      </c>
      <c r="BP54" s="654" t="str">
        <f t="array" ref="BP54">IF(OR($L54="",IsHidden(BP54)),"",CHOOSE($B54,N($E54)*BP$5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Z$186:Z$286)*N($E54),BP$6*N($E54),N($E54),0)+N(BP117))</f>
        <v/>
      </c>
      <c r="BQ54" s="654" t="str">
        <f t="array" ref="BQ54">IF(OR($L54="",IsHidden(BQ54)),"",CHOOSE($B54,N($E54)*BQ$5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A$186:AA$286)*N($E54),BQ$6*N($E54),N($E54),0)+N(BQ117))</f>
        <v/>
      </c>
      <c r="BR54" s="654" t="str">
        <f t="array" ref="BR54">IF(OR($L54="",IsHidden(BR54)),"",CHOOSE($B54,N($E54)*BR$5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B$186:AB$286)*N($E54),BR$6*N($E54),N($E54),0)+N(BR117))</f>
        <v/>
      </c>
      <c r="BS54" s="654" t="str">
        <f t="array" ref="BS54">IF(OR($L54="",IsHidden(BS54)),"",CHOOSE($B54,N($E54)*BS$5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C$186:AC$286)*N($E54),BS$6*N($E54),N($E54),0)+N(BS117))</f>
        <v/>
      </c>
      <c r="BT54" s="654" t="str">
        <f t="array" ref="BT54">IF(OR($L54="",IsHidden(BT54)),"",CHOOSE($B54,N($E54)*BT$5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D$186:AD$286)*N($E54),BT$6*N($E54),N($E54),0)+N(BT117))</f>
        <v/>
      </c>
      <c r="BU54" s="654" t="str">
        <f t="array" ref="BU54">IF(OR($L54="",IsHidden(BU54)),"",CHOOSE($B54,N($E54)*BU$5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E$186:AE$286)*N($E54),BU$6*N($E54),N($E54),0)+N(BU117))</f>
        <v/>
      </c>
      <c r="BV54" s="654" t="str">
        <f t="array" ref="BV54">IF(OR($L54="",IsHidden(BV54)),"",CHOOSE($B54,N($E54)*BV$5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F$186:AF$286)*N($E54),BV$6*N($E54),N($E54),0)+N(BV117))</f>
        <v/>
      </c>
      <c r="BW54" s="654" t="str">
        <f t="array" ref="BW54">IF(OR($L54="",IsHidden(BW54)),"",CHOOSE($B54,N($E54)*BW$5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G$186:AG$286)*N($E54),BW$6*N($E54),N($E54),0)+N(BW117))</f>
        <v/>
      </c>
      <c r="BX54" s="654" t="str">
        <f t="array" ref="BX54">IF(OR($L54="",IsHidden(BX54)),"",CHOOSE($B54,N($E54)*BX$5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H$186:AH$286)*N($E54),BX$6*N($E54),N($E54),0)+N(BX117))</f>
        <v/>
      </c>
      <c r="BY54" s="654" t="str">
        <f t="array" ref="BY54">IF(OR($L54="",IsHidden(BY54)),"",CHOOSE($B54,N($E54)*BY$5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I$186:AI$286)*N($E54),BY$6*N($E54),N($E54),0)+N(BY117))</f>
        <v/>
      </c>
      <c r="BZ54" s="654" t="str">
        <f t="array" ref="BZ54">IF(OR($L54="",IsHidden(BZ54)),"",CHOOSE($B54,N($E54)*BZ$5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J$186:AJ$286)*N($E54),BZ$6*N($E54),N($E54),0)+N(BZ117))</f>
        <v/>
      </c>
      <c r="CA54" s="654" t="str">
        <f t="array" ref="CA54">IF(OR($L54="",IsHidden(CA54)),"",CHOOSE($B54,N($E54)*CA$5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K$186:AK$286)*N($E54),CA$6*N($E54),N($E54),0)+N(CA117))</f>
        <v/>
      </c>
      <c r="CB54" s="654" t="str">
        <f t="array" ref="CB54">IF(OR($L54="",IsHidden(CB54)),"",CHOOSE($B54,N($E54)*CB$5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L$186:AL$286)*N($E54),CB$6*N($E54),N($E54),0)+N(CB117))</f>
        <v/>
      </c>
      <c r="CC54" s="654" t="str">
        <f t="array" ref="CC54">IF(OR($L54="",IsHidden(CC54)),"",CHOOSE($B54,N($E54)*CC$5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M$186:AM$286)*N($E54),CC$6*N($E54),N($E54),0)+N(CC117))</f>
        <v/>
      </c>
      <c r="CD54" s="654" t="str">
        <f t="array" ref="CD54">IF(OR($L54="",IsHidden(CD54)),"",CHOOSE($B54,N($E54)*CD$5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N$186:AN$286)*N($E54),CD$6*N($E54),N($E54),0)+N(CD117))</f>
        <v/>
      </c>
      <c r="CE54" s="654" t="str">
        <f t="array" ref="CE54">IF(OR($L54="",IsHidden(CE54)),"",CHOOSE($B54,N($E54)*CE$5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O$186:AO$286)*N($E54),CE$6*N($E54),N($E54),0)+N(CE117))</f>
        <v/>
      </c>
      <c r="CF54" s="654" t="str">
        <f t="array" ref="CF54">IF(OR($L54="",IsHidden(CF54)),"",CHOOSE($B54,N($E54)*CF$5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P$186:AP$286)*N($E54),CF$6*N($E54),N($E54),0)+N(CF117))</f>
        <v/>
      </c>
      <c r="CG54" s="654" t="str">
        <f t="array" ref="CG54">IF(OR($L54="",IsHidden(CG54)),"",CHOOSE($B54,N($E54)*CG$5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Q$186:AQ$286)*N($E54),CG$6*N($E54),N($E54),0)+N(CG117))</f>
        <v/>
      </c>
      <c r="CH54" s="654" t="str">
        <f t="array" ref="CH54">IF(OR($L54="",IsHidden(CH54)),"",CHOOSE($B54,N($E54)*CH$5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R$186:AR$286)*N($E54),CH$6*N($E54),N($E54),0)+N(CH117))</f>
        <v/>
      </c>
      <c r="CI54" s="654" t="str">
        <f t="array" ref="CI54">IF(OR($L54="",IsHidden(CI54)),"",CHOOSE($B54,N($E54)*CI$5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S$186:AS$286)*N($E54),CI$6*N($E54),N($E54),0)+N(CI117))</f>
        <v/>
      </c>
      <c r="CJ54" s="654" t="str">
        <f t="array" ref="CJ54">IF(OR($L54="",IsHidden(CJ54)),"",CHOOSE($B54,N($E54)*CJ$5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T$186:AT$286)*N($E54),CJ$6*N($E54),N($E54),0)+N(CJ117))</f>
        <v/>
      </c>
      <c r="CK54" s="654" t="str">
        <f t="array" ref="CK54">IF(OR($L54="",IsHidden(CK54)),"",CHOOSE($B54,N($E54)*CK$5,SUMPRODUCT(IF($F$5="Y",1*(Headcount!$B$186:$B$286=IF($F54="",$F$6,$F54)),1+0*ISBLANK(Headcount!$B$186:$B$286)),IF($G$5="Y",1*(Headcount!$C$186:$C$286=IF($G54="",$G$6,$G54)),1+0*ISBLANK(Headcount!$C$186:$C$286)),IF($H$5="Y",1*(Headcount!$D$186:$D$286=IF($H54="",$H$6,$H54)),1+0*ISBLANK(Headcount!$D$186:$D$286)),IF($I$5="Y",1*(Headcount!$E$186:$E$286=IF($I54="",$I$6,$I54)),1+0*ISBLANK(Headcount!$E$186:$E$286)),IF($J$5="Y",1*(Headcount!$F$186:$F$286=IF($J54="",$J$6,$J54)),1+0*ISBLANK(Headcount!$F$186:$F$286)),IF($K$5="Y",1*(Headcount!$G$186:$G$286=IF($K54="",$K$6,$K54)),1+0*ISBLANK(Headcount!$G$186:$G$286)),Headcount!AU$186:AU$286)*N($E54),CK$6*N($E54),N($E54),0)+N(CK117))</f>
        <v/>
      </c>
      <c r="CN54" s="255" t="b">
        <f t="array" ref="CN54">IF($L54="",TRUE,IF(AND(OR($F54&lt;&gt;"",$F$6&lt;&gt;""),OR($G54&lt;&gt;"",$G$6&lt;&gt;""),OR($H54&lt;&gt;"",$H$6&lt;&gt;""),OR($I54&lt;&gt;"",$I$6&lt;&gt;""),OR($J54&lt;&gt;"",$J$6&lt;&gt;""),OR($K54&lt;&gt;"",$K$6&lt;&gt;""),NOT(ISERROR(BB54:CK54)),NOT(ISNA(MATCH(IF($H54="",$H$6,$H54)&amp;IF($G54="",$G$6,$G54),DeptBU,0)))),TRUE,FALSE))</f>
        <v>1</v>
      </c>
      <c r="CP54" s="255" t="str">
        <f t="shared" si="5"/>
        <v/>
      </c>
    </row>
    <row r="55" spans="1:94" s="255" customFormat="1" x14ac:dyDescent="0.35">
      <c r="A55" s="566"/>
      <c r="B55" s="261">
        <f t="shared" si="4"/>
        <v>5</v>
      </c>
      <c r="C55" s="566"/>
      <c r="D55" s="261" t="str">
        <f t="array" aca="1" ref="D55" ca="1">IF($B55&lt;5,AVERAGE(OFFSET($Q55,,Input_ActualsOffset-1,,-$C55)/CHOOSE($B55,OFFSET($Q$5,,Input_ActualsOffset-1,1,-$C55),ss($C55,OFFSET(Actuals!$A$1,1,MATCH("Month "&amp;Input_ActualsOffset,ActualsTable[#Headers],0)-1,ROWS(ActualsTable[#Data]),1),ActualsTable[Company],IF($F$5="Y",IF($F55="",$F$6,$F55),"*"),ActualsTable[Business Unit],IF($G$5="Y",IF($G55="",$G$6,$G55),"*"),ActualsTable[Department],IF($H$5="Y",IF($H55="",$H$6,$H55),"*"),ActualsTable[Team],IF($I$5="Y",IF($P55="",$P$6,$P55),"*"),ActualsTable[Product],IF($J$5="Y",IF($J55="",$J$6,$J55),"*"),ActualsTable[Location],IF($K$5="Y",IF($K55="",$K$6,$K55),"*"),ActualsTable[Expense Item],"Headcount"),OFFSET($Q$6,,Input_ActualsOffset-1,,-$C55),1)),"")</f>
        <v/>
      </c>
      <c r="E55" s="640"/>
      <c r="F55" s="555"/>
      <c r="G55" s="555"/>
      <c r="H55" s="555"/>
      <c r="I55" s="555"/>
      <c r="J55" s="555"/>
      <c r="K55" s="555"/>
      <c r="L55" s="555"/>
      <c r="M55" s="555"/>
      <c r="N55" s="555"/>
      <c r="O55" s="556" t="str">
        <f>IF($L55="","",IF(VLOOKUP(L55,ExpItems[],2,0),L55&amp;" - "&amp;INDEX(DivisionMapping[category_code],MATCH(IF(H55="",$H$6,H55)&amp;IF(G55="",$G$6,G55),DivisionMapping[dept_bu],0)),L55))</f>
        <v/>
      </c>
      <c r="P55" s="556" t="str">
        <f>IF($L55="","",INDEX(Teams[team_consolidation],MATCH(IF($I55="",$I$6,$I55),Teams[team_name],0)))</f>
        <v/>
      </c>
      <c r="Q55" s="657" t="str">
        <f t="array" ref="Q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f>
        <v/>
      </c>
      <c r="R55" s="657" t="str">
        <f t="array" ref="R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f>
        <v/>
      </c>
      <c r="S55" s="657" t="str">
        <f t="array" ref="S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f>
        <v/>
      </c>
      <c r="T55" s="657" t="str">
        <f t="array" ref="T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4]))</f>
        <v/>
      </c>
      <c r="U55" s="657" t="str">
        <f t="array" ref="U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5]))</f>
        <v/>
      </c>
      <c r="V55" s="657" t="str">
        <f t="array" ref="V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6]))</f>
        <v/>
      </c>
      <c r="W55" s="657" t="str">
        <f t="array" ref="W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7]))</f>
        <v/>
      </c>
      <c r="X55" s="657" t="str">
        <f t="array" ref="X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8]))</f>
        <v/>
      </c>
      <c r="Y55" s="657" t="str">
        <f t="array" ref="Y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9]))</f>
        <v/>
      </c>
      <c r="Z55" s="657" t="str">
        <f t="array" ref="Z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10]))</f>
        <v/>
      </c>
      <c r="AA55" s="657" t="str">
        <f t="array" ref="AA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11]))</f>
        <v/>
      </c>
      <c r="AB55" s="657" t="str">
        <f t="array" ref="AB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12]))</f>
        <v/>
      </c>
      <c r="AC55" s="657" t="str">
        <f t="array" ref="AC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13]))</f>
        <v/>
      </c>
      <c r="AD55" s="657" t="str">
        <f t="array" ref="AD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14]))</f>
        <v/>
      </c>
      <c r="AE55" s="657" t="str">
        <f t="array" ref="AE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15]))</f>
        <v/>
      </c>
      <c r="AF55" s="657" t="str">
        <f t="array" ref="AF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16]))</f>
        <v/>
      </c>
      <c r="AG55" s="657" t="str">
        <f t="array" ref="AG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17]))</f>
        <v/>
      </c>
      <c r="AH55" s="657" t="str">
        <f t="array" ref="AH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18]))</f>
        <v/>
      </c>
      <c r="AI55" s="657" t="str">
        <f t="array" ref="AI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19]))</f>
        <v/>
      </c>
      <c r="AJ55" s="657" t="str">
        <f t="array" ref="AJ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20]))</f>
        <v/>
      </c>
      <c r="AK55" s="657" t="str">
        <f t="array" ref="AK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21]))</f>
        <v/>
      </c>
      <c r="AL55" s="657" t="str">
        <f t="array" ref="AL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22]))</f>
        <v/>
      </c>
      <c r="AM55" s="657" t="str">
        <f t="array" ref="AM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23]))</f>
        <v/>
      </c>
      <c r="AN55" s="657" t="str">
        <f t="array" ref="AN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24]))</f>
        <v/>
      </c>
      <c r="AO55" s="657" t="str">
        <f t="array" ref="AO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25]))</f>
        <v/>
      </c>
      <c r="AP55" s="657" t="str">
        <f t="array" ref="AP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26]))</f>
        <v/>
      </c>
      <c r="AQ55" s="657" t="str">
        <f t="array" ref="AQ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27]))</f>
        <v/>
      </c>
      <c r="AR55" s="657" t="str">
        <f t="array" ref="AR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28]))</f>
        <v/>
      </c>
      <c r="AS55" s="657" t="str">
        <f t="array" ref="AS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29]))</f>
        <v/>
      </c>
      <c r="AT55" s="657" t="str">
        <f t="array" ref="AT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30]))</f>
        <v/>
      </c>
      <c r="AU55" s="657" t="str">
        <f t="array" ref="AU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31]))</f>
        <v/>
      </c>
      <c r="AV55" s="657" t="str">
        <f t="array" ref="AV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32]))</f>
        <v/>
      </c>
      <c r="AW55" s="657" t="str">
        <f t="array" ref="AW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33]))</f>
        <v/>
      </c>
      <c r="AX55" s="657" t="str">
        <f t="array" ref="AX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34]))</f>
        <v/>
      </c>
      <c r="AY55" s="657" t="str">
        <f t="array" ref="AY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35]))</f>
        <v/>
      </c>
      <c r="AZ55" s="657" t="str">
        <f t="array" ref="AZ55">IF($L55="","",SUMPRODUCT(IF($F$5="Y",1*(ActualsTable[Company]=IF($F55="",$F$6,$F55)),1+0*ISBLANK(ActualsTable[Company])),IF($G$5="Y",1*(ActualsTable[Business Unit]=IF($G55="",$G$6,$G55)),1+0*ISBLANK(ActualsTable[Business Unit])),IF($H$5="Y",1*(ActualsTable[Department]=IF($H55="",$H$6,$H55)),1+0*ISBLANK(ActualsTable[Department])),IF($I$5="Y",1*(ActualsTable[Team]=IF($P55="",$P$6,$P55)),1+0*ISBLANK(ActualsTable[Team])),IF($J$5="Y",1*(ActualsTable[Product]=IF($J55="",$J$6,$J55)),1+0*ISBLANK(ActualsTable[Product])),IF($K$5="Y",1*(ActualsTable[Location]=IF($K55="",$K$6,$K55)),1+0*ISBLANK(ActualsTable[Location])),1*(ActualsTable[Expense Item]=$L55),ActualsTable[Month 36]))</f>
        <v/>
      </c>
      <c r="BA55" s="257"/>
      <c r="BB55" s="654" t="str">
        <f t="array" ref="BB55">IF(OR($L55="",IsHidden(BB55)),"",CHOOSE($B55,N($E55)*BB$5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L$186:L$286)*N($E55),BB$6*N($E55),N($E55),0)+N(BB118))</f>
        <v/>
      </c>
      <c r="BC55" s="654" t="str">
        <f t="array" ref="BC55">IF(OR($L55="",IsHidden(BC55)),"",CHOOSE($B55,N($E55)*BC$5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M$186:M$286)*N($E55),BC$6*N($E55),N($E55),0)+N(BC118))</f>
        <v/>
      </c>
      <c r="BD55" s="654" t="str">
        <f t="array" ref="BD55">IF(OR($L55="",IsHidden(BD55)),"",CHOOSE($B55,N($E55)*BD$5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N$186:N$286)*N($E55),BD$6*N($E55),N($E55),0)+N(BD118))</f>
        <v/>
      </c>
      <c r="BE55" s="654" t="str">
        <f t="array" ref="BE55">IF(OR($L55="",IsHidden(BE55)),"",CHOOSE($B55,N($E55)*BE$5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O$186:O$286)*N($E55),BE$6*N($E55),N($E55),0)+N(BE118))</f>
        <v/>
      </c>
      <c r="BF55" s="654" t="str">
        <f t="array" ref="BF55">IF(OR($L55="",IsHidden(BF55)),"",CHOOSE($B55,N($E55)*BF$5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P$186:P$286)*N($E55),BF$6*N($E55),N($E55),0)+N(BF118))</f>
        <v/>
      </c>
      <c r="BG55" s="654" t="str">
        <f t="array" ref="BG55">IF(OR($L55="",IsHidden(BG55)),"",CHOOSE($B55,N($E55)*BG$5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Q$186:Q$286)*N($E55),BG$6*N($E55),N($E55),0)+N(BG118))</f>
        <v/>
      </c>
      <c r="BH55" s="654" t="str">
        <f t="array" ref="BH55">IF(OR($L55="",IsHidden(BH55)),"",CHOOSE($B55,N($E55)*BH$5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R$186:R$286)*N($E55),BH$6*N($E55),N($E55),0)+N(BH118))</f>
        <v/>
      </c>
      <c r="BI55" s="654" t="str">
        <f t="array" ref="BI55">IF(OR($L55="",IsHidden(BI55)),"",CHOOSE($B55,N($E55)*BI$5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S$186:S$286)*N($E55),BI$6*N($E55),N($E55),0)+N(BI118))</f>
        <v/>
      </c>
      <c r="BJ55" s="654" t="str">
        <f t="array" ref="BJ55">IF(OR($L55="",IsHidden(BJ55)),"",CHOOSE($B55,N($E55)*BJ$5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T$186:T$286)*N($E55),BJ$6*N($E55),N($E55),0)+N(BJ118))</f>
        <v/>
      </c>
      <c r="BK55" s="654" t="str">
        <f t="array" ref="BK55">IF(OR($L55="",IsHidden(BK55)),"",CHOOSE($B55,N($E55)*BK$5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U$186:U$286)*N($E55),BK$6*N($E55),N($E55),0)+N(BK118))</f>
        <v/>
      </c>
      <c r="BL55" s="654" t="str">
        <f t="array" ref="BL55">IF(OR($L55="",IsHidden(BL55)),"",CHOOSE($B55,N($E55)*BL$5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V$186:V$286)*N($E55),BL$6*N($E55),N($E55),0)+N(BL118))</f>
        <v/>
      </c>
      <c r="BM55" s="654" t="str">
        <f t="array" ref="BM55">IF(OR($L55="",IsHidden(BM55)),"",CHOOSE($B55,N($E55)*BM$5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W$186:W$286)*N($E55),BM$6*N($E55),N($E55),0)+N(BM118))</f>
        <v/>
      </c>
      <c r="BN55" s="654" t="str">
        <f t="array" ref="BN55">IF(OR($L55="",IsHidden(BN55)),"",CHOOSE($B55,N($E55)*BN$5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X$186:X$286)*N($E55),BN$6*N($E55),N($E55),0)+N(BN118))</f>
        <v/>
      </c>
      <c r="BO55" s="654" t="str">
        <f t="array" ref="BO55">IF(OR($L55="",IsHidden(BO55)),"",CHOOSE($B55,N($E55)*BO$5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Y$186:Y$286)*N($E55),BO$6*N($E55),N($E55),0)+N(BO118))</f>
        <v/>
      </c>
      <c r="BP55" s="654" t="str">
        <f t="array" ref="BP55">IF(OR($L55="",IsHidden(BP55)),"",CHOOSE($B55,N($E55)*BP$5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Z$186:Z$286)*N($E55),BP$6*N($E55),N($E55),0)+N(BP118))</f>
        <v/>
      </c>
      <c r="BQ55" s="654" t="str">
        <f t="array" ref="BQ55">IF(OR($L55="",IsHidden(BQ55)),"",CHOOSE($B55,N($E55)*BQ$5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A$186:AA$286)*N($E55),BQ$6*N($E55),N($E55),0)+N(BQ118))</f>
        <v/>
      </c>
      <c r="BR55" s="654" t="str">
        <f t="array" ref="BR55">IF(OR($L55="",IsHidden(BR55)),"",CHOOSE($B55,N($E55)*BR$5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B$186:AB$286)*N($E55),BR$6*N($E55),N($E55),0)+N(BR118))</f>
        <v/>
      </c>
      <c r="BS55" s="654" t="str">
        <f t="array" ref="BS55">IF(OR($L55="",IsHidden(BS55)),"",CHOOSE($B55,N($E55)*BS$5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C$186:AC$286)*N($E55),BS$6*N($E55),N($E55),0)+N(BS118))</f>
        <v/>
      </c>
      <c r="BT55" s="654" t="str">
        <f t="array" ref="BT55">IF(OR($L55="",IsHidden(BT55)),"",CHOOSE($B55,N($E55)*BT$5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D$186:AD$286)*N($E55),BT$6*N($E55),N($E55),0)+N(BT118))</f>
        <v/>
      </c>
      <c r="BU55" s="654" t="str">
        <f t="array" ref="BU55">IF(OR($L55="",IsHidden(BU55)),"",CHOOSE($B55,N($E55)*BU$5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E$186:AE$286)*N($E55),BU$6*N($E55),N($E55),0)+N(BU118))</f>
        <v/>
      </c>
      <c r="BV55" s="654" t="str">
        <f t="array" ref="BV55">IF(OR($L55="",IsHidden(BV55)),"",CHOOSE($B55,N($E55)*BV$5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F$186:AF$286)*N($E55),BV$6*N($E55),N($E55),0)+N(BV118))</f>
        <v/>
      </c>
      <c r="BW55" s="654" t="str">
        <f t="array" ref="BW55">IF(OR($L55="",IsHidden(BW55)),"",CHOOSE($B55,N($E55)*BW$5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G$186:AG$286)*N($E55),BW$6*N($E55),N($E55),0)+N(BW118))</f>
        <v/>
      </c>
      <c r="BX55" s="654" t="str">
        <f t="array" ref="BX55">IF(OR($L55="",IsHidden(BX55)),"",CHOOSE($B55,N($E55)*BX$5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H$186:AH$286)*N($E55),BX$6*N($E55),N($E55),0)+N(BX118))</f>
        <v/>
      </c>
      <c r="BY55" s="654" t="str">
        <f t="array" ref="BY55">IF(OR($L55="",IsHidden(BY55)),"",CHOOSE($B55,N($E55)*BY$5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I$186:AI$286)*N($E55),BY$6*N($E55),N($E55),0)+N(BY118))</f>
        <v/>
      </c>
      <c r="BZ55" s="654" t="str">
        <f t="array" ref="BZ55">IF(OR($L55="",IsHidden(BZ55)),"",CHOOSE($B55,N($E55)*BZ$5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J$186:AJ$286)*N($E55),BZ$6*N($E55),N($E55),0)+N(BZ118))</f>
        <v/>
      </c>
      <c r="CA55" s="654" t="str">
        <f t="array" ref="CA55">IF(OR($L55="",IsHidden(CA55)),"",CHOOSE($B55,N($E55)*CA$5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K$186:AK$286)*N($E55),CA$6*N($E55),N($E55),0)+N(CA118))</f>
        <v/>
      </c>
      <c r="CB55" s="654" t="str">
        <f t="array" ref="CB55">IF(OR($L55="",IsHidden(CB55)),"",CHOOSE($B55,N($E55)*CB$5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L$186:AL$286)*N($E55),CB$6*N($E55),N($E55),0)+N(CB118))</f>
        <v/>
      </c>
      <c r="CC55" s="654" t="str">
        <f t="array" ref="CC55">IF(OR($L55="",IsHidden(CC55)),"",CHOOSE($B55,N($E55)*CC$5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M$186:AM$286)*N($E55),CC$6*N($E55),N($E55),0)+N(CC118))</f>
        <v/>
      </c>
      <c r="CD55" s="654" t="str">
        <f t="array" ref="CD55">IF(OR($L55="",IsHidden(CD55)),"",CHOOSE($B55,N($E55)*CD$5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N$186:AN$286)*N($E55),CD$6*N($E55),N($E55),0)+N(CD118))</f>
        <v/>
      </c>
      <c r="CE55" s="654" t="str">
        <f t="array" ref="CE55">IF(OR($L55="",IsHidden(CE55)),"",CHOOSE($B55,N($E55)*CE$5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O$186:AO$286)*N($E55),CE$6*N($E55),N($E55),0)+N(CE118))</f>
        <v/>
      </c>
      <c r="CF55" s="654" t="str">
        <f t="array" ref="CF55">IF(OR($L55="",IsHidden(CF55)),"",CHOOSE($B55,N($E55)*CF$5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P$186:AP$286)*N($E55),CF$6*N($E55),N($E55),0)+N(CF118))</f>
        <v/>
      </c>
      <c r="CG55" s="654" t="str">
        <f t="array" ref="CG55">IF(OR($L55="",IsHidden(CG55)),"",CHOOSE($B55,N($E55)*CG$5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Q$186:AQ$286)*N($E55),CG$6*N($E55),N($E55),0)+N(CG118))</f>
        <v/>
      </c>
      <c r="CH55" s="654" t="str">
        <f t="array" ref="CH55">IF(OR($L55="",IsHidden(CH55)),"",CHOOSE($B55,N($E55)*CH$5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R$186:AR$286)*N($E55),CH$6*N($E55),N($E55),0)+N(CH118))</f>
        <v/>
      </c>
      <c r="CI55" s="654" t="str">
        <f t="array" ref="CI55">IF(OR($L55="",IsHidden(CI55)),"",CHOOSE($B55,N($E55)*CI$5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S$186:AS$286)*N($E55),CI$6*N($E55),N($E55),0)+N(CI118))</f>
        <v/>
      </c>
      <c r="CJ55" s="654" t="str">
        <f t="array" ref="CJ55">IF(OR($L55="",IsHidden(CJ55)),"",CHOOSE($B55,N($E55)*CJ$5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T$186:AT$286)*N($E55),CJ$6*N($E55),N($E55),0)+N(CJ118))</f>
        <v/>
      </c>
      <c r="CK55" s="654" t="str">
        <f t="array" ref="CK55">IF(OR($L55="",IsHidden(CK55)),"",CHOOSE($B55,N($E55)*CK$5,SUMPRODUCT(IF($F$5="Y",1*(Headcount!$B$186:$B$286=IF($F55="",$F$6,$F55)),1+0*ISBLANK(Headcount!$B$186:$B$286)),IF($G$5="Y",1*(Headcount!$C$186:$C$286=IF($G55="",$G$6,$G55)),1+0*ISBLANK(Headcount!$C$186:$C$286)),IF($H$5="Y",1*(Headcount!$D$186:$D$286=IF($H55="",$H$6,$H55)),1+0*ISBLANK(Headcount!$D$186:$D$286)),IF($I$5="Y",1*(Headcount!$E$186:$E$286=IF($I55="",$I$6,$I55)),1+0*ISBLANK(Headcount!$E$186:$E$286)),IF($J$5="Y",1*(Headcount!$F$186:$F$286=IF($J55="",$J$6,$J55)),1+0*ISBLANK(Headcount!$F$186:$F$286)),IF($K$5="Y",1*(Headcount!$G$186:$G$286=IF($K55="",$K$6,$K55)),1+0*ISBLANK(Headcount!$G$186:$G$286)),Headcount!AU$186:AU$286)*N($E55),CK$6*N($E55),N($E55),0)+N(CK118))</f>
        <v/>
      </c>
      <c r="CN55" s="255" t="b">
        <f t="array" ref="CN55">IF($L55="",TRUE,IF(AND(OR($F55&lt;&gt;"",$F$6&lt;&gt;""),OR($G55&lt;&gt;"",$G$6&lt;&gt;""),OR($H55&lt;&gt;"",$H$6&lt;&gt;""),OR($I55&lt;&gt;"",$I$6&lt;&gt;""),OR($J55&lt;&gt;"",$J$6&lt;&gt;""),OR($K55&lt;&gt;"",$K$6&lt;&gt;""),NOT(ISERROR(BB55:CK55)),NOT(ISNA(MATCH(IF($H55="",$H$6,$H55)&amp;IF($G55="",$G$6,$G55),DeptBU,0)))),TRUE,FALSE))</f>
        <v>1</v>
      </c>
      <c r="CP55" s="255" t="str">
        <f t="shared" si="5"/>
        <v/>
      </c>
    </row>
    <row r="56" spans="1:94" s="255" customFormat="1" hidden="1" outlineLevel="1" x14ac:dyDescent="0.35">
      <c r="A56" s="566"/>
      <c r="B56" s="261">
        <f t="shared" si="4"/>
        <v>5</v>
      </c>
      <c r="C56" s="566"/>
      <c r="D56" s="261" t="str">
        <f t="array" aca="1" ref="D56" ca="1">IF($B56&lt;5,AVERAGE(OFFSET($Q56,,Input_ActualsOffset-1,,-$C56)/CHOOSE($B56,OFFSET($Q$5,,Input_ActualsOffset-1,1,-$C56),ss($C56,OFFSET(Actuals!$A$1,1,MATCH("Month "&amp;Input_ActualsOffset,ActualsTable[#Headers],0)-1,ROWS(ActualsTable[#Data]),1),ActualsTable[Company],IF($F$5="Y",IF($F56="",$F$6,$F56),"*"),ActualsTable[Business Unit],IF($G$5="Y",IF($G56="",$G$6,$G56),"*"),ActualsTable[Department],IF($H$5="Y",IF($H56="",$H$6,$H56),"*"),ActualsTable[Team],IF($I$5="Y",IF($P56="",$P$6,$P56),"*"),ActualsTable[Product],IF($J$5="Y",IF($J56="",$J$6,$J56),"*"),ActualsTable[Location],IF($K$5="Y",IF($K56="",$K$6,$K56),"*"),ActualsTable[Expense Item],"Headcount"),OFFSET($Q$6,,Input_ActualsOffset-1,,-$C56),1)),"")</f>
        <v/>
      </c>
      <c r="E56" s="640"/>
      <c r="F56" s="555"/>
      <c r="G56" s="555"/>
      <c r="H56" s="555"/>
      <c r="I56" s="555"/>
      <c r="J56" s="555"/>
      <c r="K56" s="555"/>
      <c r="L56" s="555"/>
      <c r="M56" s="555"/>
      <c r="N56" s="555"/>
      <c r="O56" s="556" t="str">
        <f>IF($L56="","",IF(VLOOKUP(L56,ExpItems[],2,0),L56&amp;" - "&amp;INDEX(DivisionMapping[category_code],MATCH(IF(H56="",$H$6,H56)&amp;IF(G56="",$G$6,G56),DivisionMapping[dept_bu],0)),L56))</f>
        <v/>
      </c>
      <c r="P56" s="556" t="str">
        <f>IF($L56="","",INDEX(Teams[team_consolidation],MATCH(IF($I56="",$I$6,$I56),Teams[team_name],0)))</f>
        <v/>
      </c>
      <c r="Q56" s="657" t="str">
        <f t="array" ref="Q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f>
        <v/>
      </c>
      <c r="R56" s="657" t="str">
        <f t="array" ref="R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f>
        <v/>
      </c>
      <c r="S56" s="657" t="str">
        <f t="array" ref="S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f>
        <v/>
      </c>
      <c r="T56" s="657" t="str">
        <f t="array" ref="T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4]))</f>
        <v/>
      </c>
      <c r="U56" s="657" t="str">
        <f t="array" ref="U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5]))</f>
        <v/>
      </c>
      <c r="V56" s="657" t="str">
        <f t="array" ref="V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6]))</f>
        <v/>
      </c>
      <c r="W56" s="657" t="str">
        <f t="array" ref="W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7]))</f>
        <v/>
      </c>
      <c r="X56" s="657" t="str">
        <f t="array" ref="X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8]))</f>
        <v/>
      </c>
      <c r="Y56" s="657" t="str">
        <f t="array" ref="Y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9]))</f>
        <v/>
      </c>
      <c r="Z56" s="657" t="str">
        <f t="array" ref="Z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10]))</f>
        <v/>
      </c>
      <c r="AA56" s="657" t="str">
        <f t="array" ref="AA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11]))</f>
        <v/>
      </c>
      <c r="AB56" s="657" t="str">
        <f t="array" ref="AB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12]))</f>
        <v/>
      </c>
      <c r="AC56" s="657" t="str">
        <f t="array" ref="AC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13]))</f>
        <v/>
      </c>
      <c r="AD56" s="657" t="str">
        <f t="array" ref="AD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14]))</f>
        <v/>
      </c>
      <c r="AE56" s="657" t="str">
        <f t="array" ref="AE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15]))</f>
        <v/>
      </c>
      <c r="AF56" s="657" t="str">
        <f t="array" ref="AF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16]))</f>
        <v/>
      </c>
      <c r="AG56" s="657" t="str">
        <f t="array" ref="AG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17]))</f>
        <v/>
      </c>
      <c r="AH56" s="657" t="str">
        <f t="array" ref="AH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18]))</f>
        <v/>
      </c>
      <c r="AI56" s="657" t="str">
        <f t="array" ref="AI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19]))</f>
        <v/>
      </c>
      <c r="AJ56" s="657" t="str">
        <f t="array" ref="AJ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20]))</f>
        <v/>
      </c>
      <c r="AK56" s="657" t="str">
        <f t="array" ref="AK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21]))</f>
        <v/>
      </c>
      <c r="AL56" s="657" t="str">
        <f t="array" ref="AL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22]))</f>
        <v/>
      </c>
      <c r="AM56" s="657" t="str">
        <f t="array" ref="AM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23]))</f>
        <v/>
      </c>
      <c r="AN56" s="657" t="str">
        <f t="array" ref="AN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24]))</f>
        <v/>
      </c>
      <c r="AO56" s="657" t="str">
        <f t="array" ref="AO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25]))</f>
        <v/>
      </c>
      <c r="AP56" s="657" t="str">
        <f t="array" ref="AP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26]))</f>
        <v/>
      </c>
      <c r="AQ56" s="657" t="str">
        <f t="array" ref="AQ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27]))</f>
        <v/>
      </c>
      <c r="AR56" s="657" t="str">
        <f t="array" ref="AR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28]))</f>
        <v/>
      </c>
      <c r="AS56" s="657" t="str">
        <f t="array" ref="AS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29]))</f>
        <v/>
      </c>
      <c r="AT56" s="657" t="str">
        <f t="array" ref="AT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30]))</f>
        <v/>
      </c>
      <c r="AU56" s="657" t="str">
        <f t="array" ref="AU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31]))</f>
        <v/>
      </c>
      <c r="AV56" s="657" t="str">
        <f t="array" ref="AV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32]))</f>
        <v/>
      </c>
      <c r="AW56" s="657" t="str">
        <f t="array" ref="AW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33]))</f>
        <v/>
      </c>
      <c r="AX56" s="657" t="str">
        <f t="array" ref="AX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34]))</f>
        <v/>
      </c>
      <c r="AY56" s="657" t="str">
        <f t="array" ref="AY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35]))</f>
        <v/>
      </c>
      <c r="AZ56" s="657" t="str">
        <f t="array" ref="AZ56">IF($L56="","",SUMPRODUCT(IF($F$5="Y",1*(ActualsTable[Company]=IF($F56="",$F$6,$F56)),1+0*ISBLANK(ActualsTable[Company])),IF($G$5="Y",1*(ActualsTable[Business Unit]=IF($G56="",$G$6,$G56)),1+0*ISBLANK(ActualsTable[Business Unit])),IF($H$5="Y",1*(ActualsTable[Department]=IF($H56="",$H$6,$H56)),1+0*ISBLANK(ActualsTable[Department])),IF($I$5="Y",1*(ActualsTable[Team]=IF($P56="",$P$6,$P56)),1+0*ISBLANK(ActualsTable[Team])),IF($J$5="Y",1*(ActualsTable[Product]=IF($J56="",$J$6,$J56)),1+0*ISBLANK(ActualsTable[Product])),IF($K$5="Y",1*(ActualsTable[Location]=IF($K56="",$K$6,$K56)),1+0*ISBLANK(ActualsTable[Location])),1*(ActualsTable[Expense Item]=$L56),ActualsTable[Month 36]))</f>
        <v/>
      </c>
      <c r="BA56" s="257"/>
      <c r="BB56" s="654" t="str">
        <f t="array" ref="BB56">IF(OR($L56="",IsHidden(BB56)),"",CHOOSE($B56,N($E56)*BB$5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L$186:L$286)*N($E56),BB$6*N($E56),N($E56),0)+N(BB119))</f>
        <v/>
      </c>
      <c r="BC56" s="654" t="str">
        <f t="array" ref="BC56">IF(OR($L56="",IsHidden(BC56)),"",CHOOSE($B56,N($E56)*BC$5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M$186:M$286)*N($E56),BC$6*N($E56),N($E56),0)+N(BC119))</f>
        <v/>
      </c>
      <c r="BD56" s="654" t="str">
        <f t="array" ref="BD56">IF(OR($L56="",IsHidden(BD56)),"",CHOOSE($B56,N($E56)*BD$5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N$186:N$286)*N($E56),BD$6*N($E56),N($E56),0)+N(BD119))</f>
        <v/>
      </c>
      <c r="BE56" s="654" t="str">
        <f t="array" ref="BE56">IF(OR($L56="",IsHidden(BE56)),"",CHOOSE($B56,N($E56)*BE$5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O$186:O$286)*N($E56),BE$6*N($E56),N($E56),0)+N(BE119))</f>
        <v/>
      </c>
      <c r="BF56" s="654" t="str">
        <f t="array" ref="BF56">IF(OR($L56="",IsHidden(BF56)),"",CHOOSE($B56,N($E56)*BF$5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P$186:P$286)*N($E56),BF$6*N($E56),N($E56),0)+N(BF119))</f>
        <v/>
      </c>
      <c r="BG56" s="654" t="str">
        <f t="array" ref="BG56">IF(OR($L56="",IsHidden(BG56)),"",CHOOSE($B56,N($E56)*BG$5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Q$186:Q$286)*N($E56),BG$6*N($E56),N($E56),0)+N(BG119))</f>
        <v/>
      </c>
      <c r="BH56" s="654" t="str">
        <f t="array" ref="BH56">IF(OR($L56="",IsHidden(BH56)),"",CHOOSE($B56,N($E56)*BH$5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R$186:R$286)*N($E56),BH$6*N($E56),N($E56),0)+N(BH119))</f>
        <v/>
      </c>
      <c r="BI56" s="654" t="str">
        <f t="array" ref="BI56">IF(OR($L56="",IsHidden(BI56)),"",CHOOSE($B56,N($E56)*BI$5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S$186:S$286)*N($E56),BI$6*N($E56),N($E56),0)+N(BI119))</f>
        <v/>
      </c>
      <c r="BJ56" s="654" t="str">
        <f t="array" ref="BJ56">IF(OR($L56="",IsHidden(BJ56)),"",CHOOSE($B56,N($E56)*BJ$5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T$186:T$286)*N($E56),BJ$6*N($E56),N($E56),0)+N(BJ119))</f>
        <v/>
      </c>
      <c r="BK56" s="654" t="str">
        <f t="array" ref="BK56">IF(OR($L56="",IsHidden(BK56)),"",CHOOSE($B56,N($E56)*BK$5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U$186:U$286)*N($E56),BK$6*N($E56),N($E56),0)+N(BK119))</f>
        <v/>
      </c>
      <c r="BL56" s="654" t="str">
        <f t="array" ref="BL56">IF(OR($L56="",IsHidden(BL56)),"",CHOOSE($B56,N($E56)*BL$5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V$186:V$286)*N($E56),BL$6*N($E56),N($E56),0)+N(BL119))</f>
        <v/>
      </c>
      <c r="BM56" s="654" t="str">
        <f t="array" ref="BM56">IF(OR($L56="",IsHidden(BM56)),"",CHOOSE($B56,N($E56)*BM$5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W$186:W$286)*N($E56),BM$6*N($E56),N($E56),0)+N(BM119))</f>
        <v/>
      </c>
      <c r="BN56" s="654" t="str">
        <f t="array" ref="BN56">IF(OR($L56="",IsHidden(BN56)),"",CHOOSE($B56,N($E56)*BN$5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X$186:X$286)*N($E56),BN$6*N($E56),N($E56),0)+N(BN119))</f>
        <v/>
      </c>
      <c r="BO56" s="654" t="str">
        <f t="array" ref="BO56">IF(OR($L56="",IsHidden(BO56)),"",CHOOSE($B56,N($E56)*BO$5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Y$186:Y$286)*N($E56),BO$6*N($E56),N($E56),0)+N(BO119))</f>
        <v/>
      </c>
      <c r="BP56" s="654" t="str">
        <f t="array" ref="BP56">IF(OR($L56="",IsHidden(BP56)),"",CHOOSE($B56,N($E56)*BP$5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Z$186:Z$286)*N($E56),BP$6*N($E56),N($E56),0)+N(BP119))</f>
        <v/>
      </c>
      <c r="BQ56" s="654" t="str">
        <f t="array" ref="BQ56">IF(OR($L56="",IsHidden(BQ56)),"",CHOOSE($B56,N($E56)*BQ$5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A$186:AA$286)*N($E56),BQ$6*N($E56),N($E56),0)+N(BQ119))</f>
        <v/>
      </c>
      <c r="BR56" s="654" t="str">
        <f t="array" ref="BR56">IF(OR($L56="",IsHidden(BR56)),"",CHOOSE($B56,N($E56)*BR$5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B$186:AB$286)*N($E56),BR$6*N($E56),N($E56),0)+N(BR119))</f>
        <v/>
      </c>
      <c r="BS56" s="654" t="str">
        <f t="array" ref="BS56">IF(OR($L56="",IsHidden(BS56)),"",CHOOSE($B56,N($E56)*BS$5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C$186:AC$286)*N($E56),BS$6*N($E56),N($E56),0)+N(BS119))</f>
        <v/>
      </c>
      <c r="BT56" s="654" t="str">
        <f t="array" ref="BT56">IF(OR($L56="",IsHidden(BT56)),"",CHOOSE($B56,N($E56)*BT$5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D$186:AD$286)*N($E56),BT$6*N($E56),N($E56),0)+N(BT119))</f>
        <v/>
      </c>
      <c r="BU56" s="654" t="str">
        <f t="array" ref="BU56">IF(OR($L56="",IsHidden(BU56)),"",CHOOSE($B56,N($E56)*BU$5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E$186:AE$286)*N($E56),BU$6*N($E56),N($E56),0)+N(BU119))</f>
        <v/>
      </c>
      <c r="BV56" s="654" t="str">
        <f t="array" ref="BV56">IF(OR($L56="",IsHidden(BV56)),"",CHOOSE($B56,N($E56)*BV$5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F$186:AF$286)*N($E56),BV$6*N($E56),N($E56),0)+N(BV119))</f>
        <v/>
      </c>
      <c r="BW56" s="654" t="str">
        <f t="array" ref="BW56">IF(OR($L56="",IsHidden(BW56)),"",CHOOSE($B56,N($E56)*BW$5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G$186:AG$286)*N($E56),BW$6*N($E56),N($E56),0)+N(BW119))</f>
        <v/>
      </c>
      <c r="BX56" s="654" t="str">
        <f t="array" ref="BX56">IF(OR($L56="",IsHidden(BX56)),"",CHOOSE($B56,N($E56)*BX$5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H$186:AH$286)*N($E56),BX$6*N($E56),N($E56),0)+N(BX119))</f>
        <v/>
      </c>
      <c r="BY56" s="654" t="str">
        <f t="array" ref="BY56">IF(OR($L56="",IsHidden(BY56)),"",CHOOSE($B56,N($E56)*BY$5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I$186:AI$286)*N($E56),BY$6*N($E56),N($E56),0)+N(BY119))</f>
        <v/>
      </c>
      <c r="BZ56" s="654" t="str">
        <f t="array" ref="BZ56">IF(OR($L56="",IsHidden(BZ56)),"",CHOOSE($B56,N($E56)*BZ$5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J$186:AJ$286)*N($E56),BZ$6*N($E56),N($E56),0)+N(BZ119))</f>
        <v/>
      </c>
      <c r="CA56" s="654" t="str">
        <f t="array" ref="CA56">IF(OR($L56="",IsHidden(CA56)),"",CHOOSE($B56,N($E56)*CA$5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K$186:AK$286)*N($E56),CA$6*N($E56),N($E56),0)+N(CA119))</f>
        <v/>
      </c>
      <c r="CB56" s="654" t="str">
        <f t="array" ref="CB56">IF(OR($L56="",IsHidden(CB56)),"",CHOOSE($B56,N($E56)*CB$5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L$186:AL$286)*N($E56),CB$6*N($E56),N($E56),0)+N(CB119))</f>
        <v/>
      </c>
      <c r="CC56" s="654" t="str">
        <f t="array" ref="CC56">IF(OR($L56="",IsHidden(CC56)),"",CHOOSE($B56,N($E56)*CC$5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M$186:AM$286)*N($E56),CC$6*N($E56),N($E56),0)+N(CC119))</f>
        <v/>
      </c>
      <c r="CD56" s="654" t="str">
        <f t="array" ref="CD56">IF(OR($L56="",IsHidden(CD56)),"",CHOOSE($B56,N($E56)*CD$5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N$186:AN$286)*N($E56),CD$6*N($E56),N($E56),0)+N(CD119))</f>
        <v/>
      </c>
      <c r="CE56" s="654" t="str">
        <f t="array" ref="CE56">IF(OR($L56="",IsHidden(CE56)),"",CHOOSE($B56,N($E56)*CE$5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O$186:AO$286)*N($E56),CE$6*N($E56),N($E56),0)+N(CE119))</f>
        <v/>
      </c>
      <c r="CF56" s="654" t="str">
        <f t="array" ref="CF56">IF(OR($L56="",IsHidden(CF56)),"",CHOOSE($B56,N($E56)*CF$5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P$186:AP$286)*N($E56),CF$6*N($E56),N($E56),0)+N(CF119))</f>
        <v/>
      </c>
      <c r="CG56" s="654" t="str">
        <f t="array" ref="CG56">IF(OR($L56="",IsHidden(CG56)),"",CHOOSE($B56,N($E56)*CG$5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Q$186:AQ$286)*N($E56),CG$6*N($E56),N($E56),0)+N(CG119))</f>
        <v/>
      </c>
      <c r="CH56" s="654" t="str">
        <f t="array" ref="CH56">IF(OR($L56="",IsHidden(CH56)),"",CHOOSE($B56,N($E56)*CH$5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R$186:AR$286)*N($E56),CH$6*N($E56),N($E56),0)+N(CH119))</f>
        <v/>
      </c>
      <c r="CI56" s="654" t="str">
        <f t="array" ref="CI56">IF(OR($L56="",IsHidden(CI56)),"",CHOOSE($B56,N($E56)*CI$5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S$186:AS$286)*N($E56),CI$6*N($E56),N($E56),0)+N(CI119))</f>
        <v/>
      </c>
      <c r="CJ56" s="654" t="str">
        <f t="array" ref="CJ56">IF(OR($L56="",IsHidden(CJ56)),"",CHOOSE($B56,N($E56)*CJ$5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T$186:AT$286)*N($E56),CJ$6*N($E56),N($E56),0)+N(CJ119))</f>
        <v/>
      </c>
      <c r="CK56" s="654" t="str">
        <f t="array" ref="CK56">IF(OR($L56="",IsHidden(CK56)),"",CHOOSE($B56,N($E56)*CK$5,SUMPRODUCT(IF($F$5="Y",1*(Headcount!$B$186:$B$286=IF($F56="",$F$6,$F56)),1+0*ISBLANK(Headcount!$B$186:$B$286)),IF($G$5="Y",1*(Headcount!$C$186:$C$286=IF($G56="",$G$6,$G56)),1+0*ISBLANK(Headcount!$C$186:$C$286)),IF($H$5="Y",1*(Headcount!$D$186:$D$286=IF($H56="",$H$6,$H56)),1+0*ISBLANK(Headcount!$D$186:$D$286)),IF($I$5="Y",1*(Headcount!$E$186:$E$286=IF($I56="",$I$6,$I56)),1+0*ISBLANK(Headcount!$E$186:$E$286)),IF($J$5="Y",1*(Headcount!$F$186:$F$286=IF($J56="",$J$6,$J56)),1+0*ISBLANK(Headcount!$F$186:$F$286)),IF($K$5="Y",1*(Headcount!$G$186:$G$286=IF($K56="",$K$6,$K56)),1+0*ISBLANK(Headcount!$G$186:$G$286)),Headcount!AU$186:AU$286)*N($E56),CK$6*N($E56),N($E56),0)+N(CK119))</f>
        <v/>
      </c>
      <c r="CN56" s="255" t="b">
        <f t="array" ref="CN56">IF($L56="",TRUE,IF(AND(OR($F56&lt;&gt;"",$F$6&lt;&gt;""),OR($G56&lt;&gt;"",$G$6&lt;&gt;""),OR($H56&lt;&gt;"",$H$6&lt;&gt;""),OR($I56&lt;&gt;"",$I$6&lt;&gt;""),OR($J56&lt;&gt;"",$J$6&lt;&gt;""),OR($K56&lt;&gt;"",$K$6&lt;&gt;""),NOT(ISERROR(BB56:CK56)),NOT(ISNA(MATCH(IF($H56="",$H$6,$H56)&amp;IF($G56="",$G$6,$G56),DeptBU,0)))),TRUE,FALSE))</f>
        <v>1</v>
      </c>
      <c r="CP56" s="255" t="str">
        <f t="shared" si="5"/>
        <v/>
      </c>
    </row>
    <row r="57" spans="1:94" s="255" customFormat="1" hidden="1" outlineLevel="1" x14ac:dyDescent="0.35">
      <c r="A57" s="566"/>
      <c r="B57" s="261">
        <f t="shared" si="4"/>
        <v>5</v>
      </c>
      <c r="C57" s="566"/>
      <c r="D57" s="261" t="str">
        <f t="array" aca="1" ref="D57" ca="1">IF($B57&lt;5,AVERAGE(OFFSET($Q57,,Input_ActualsOffset-1,,-$C57)/CHOOSE($B57,OFFSET($Q$5,,Input_ActualsOffset-1,1,-$C57),ss($C57,OFFSET(Actuals!$A$1,1,MATCH("Month "&amp;Input_ActualsOffset,ActualsTable[#Headers],0)-1,ROWS(ActualsTable[#Data]),1),ActualsTable[Company],IF($F$5="Y",IF($F57="",$F$6,$F57),"*"),ActualsTable[Business Unit],IF($G$5="Y",IF($G57="",$G$6,$G57),"*"),ActualsTable[Department],IF($H$5="Y",IF($H57="",$H$6,$H57),"*"),ActualsTable[Team],IF($I$5="Y",IF($P57="",$P$6,$P57),"*"),ActualsTable[Product],IF($J$5="Y",IF($J57="",$J$6,$J57),"*"),ActualsTable[Location],IF($K$5="Y",IF($K57="",$K$6,$K57),"*"),ActualsTable[Expense Item],"Headcount"),OFFSET($Q$6,,Input_ActualsOffset-1,,-$C57),1)),"")</f>
        <v/>
      </c>
      <c r="E57" s="641"/>
      <c r="F57" s="555"/>
      <c r="G57" s="555"/>
      <c r="H57" s="555"/>
      <c r="I57" s="555"/>
      <c r="J57" s="555"/>
      <c r="K57" s="555"/>
      <c r="L57" s="555"/>
      <c r="M57" s="555"/>
      <c r="N57" s="555"/>
      <c r="O57" s="556" t="str">
        <f>IF($L57="","",IF(VLOOKUP(L57,ExpItems[],2,0),L57&amp;" - "&amp;INDEX(DivisionMapping[category_code],MATCH(IF(H57="",$H$6,H57)&amp;IF(G57="",$G$6,G57),DivisionMapping[dept_bu],0)),L57))</f>
        <v/>
      </c>
      <c r="P57" s="556" t="str">
        <f>IF($L57="","",INDEX(Teams[team_consolidation],MATCH(IF($I57="",$I$6,$I57),Teams[team_name],0)))</f>
        <v/>
      </c>
      <c r="Q57" s="657" t="str">
        <f t="array" ref="Q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f>
        <v/>
      </c>
      <c r="R57" s="657" t="str">
        <f t="array" ref="R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f>
        <v/>
      </c>
      <c r="S57" s="657" t="str">
        <f t="array" ref="S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f>
        <v/>
      </c>
      <c r="T57" s="657" t="str">
        <f t="array" ref="T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4]))</f>
        <v/>
      </c>
      <c r="U57" s="657" t="str">
        <f t="array" ref="U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5]))</f>
        <v/>
      </c>
      <c r="V57" s="657" t="str">
        <f t="array" ref="V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6]))</f>
        <v/>
      </c>
      <c r="W57" s="657" t="str">
        <f t="array" ref="W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7]))</f>
        <v/>
      </c>
      <c r="X57" s="657" t="str">
        <f t="array" ref="X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8]))</f>
        <v/>
      </c>
      <c r="Y57" s="657" t="str">
        <f t="array" ref="Y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9]))</f>
        <v/>
      </c>
      <c r="Z57" s="657" t="str">
        <f t="array" ref="Z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10]))</f>
        <v/>
      </c>
      <c r="AA57" s="657" t="str">
        <f t="array" ref="AA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11]))</f>
        <v/>
      </c>
      <c r="AB57" s="657" t="str">
        <f t="array" ref="AB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12]))</f>
        <v/>
      </c>
      <c r="AC57" s="657" t="str">
        <f t="array" ref="AC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13]))</f>
        <v/>
      </c>
      <c r="AD57" s="657" t="str">
        <f t="array" ref="AD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14]))</f>
        <v/>
      </c>
      <c r="AE57" s="657" t="str">
        <f t="array" ref="AE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15]))</f>
        <v/>
      </c>
      <c r="AF57" s="657" t="str">
        <f t="array" ref="AF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16]))</f>
        <v/>
      </c>
      <c r="AG57" s="657" t="str">
        <f t="array" ref="AG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17]))</f>
        <v/>
      </c>
      <c r="AH57" s="657" t="str">
        <f t="array" ref="AH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18]))</f>
        <v/>
      </c>
      <c r="AI57" s="657" t="str">
        <f t="array" ref="AI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19]))</f>
        <v/>
      </c>
      <c r="AJ57" s="657" t="str">
        <f t="array" ref="AJ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20]))</f>
        <v/>
      </c>
      <c r="AK57" s="657" t="str">
        <f t="array" ref="AK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21]))</f>
        <v/>
      </c>
      <c r="AL57" s="657" t="str">
        <f t="array" ref="AL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22]))</f>
        <v/>
      </c>
      <c r="AM57" s="657" t="str">
        <f t="array" ref="AM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23]))</f>
        <v/>
      </c>
      <c r="AN57" s="657" t="str">
        <f t="array" ref="AN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24]))</f>
        <v/>
      </c>
      <c r="AO57" s="657" t="str">
        <f t="array" ref="AO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25]))</f>
        <v/>
      </c>
      <c r="AP57" s="657" t="str">
        <f t="array" ref="AP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26]))</f>
        <v/>
      </c>
      <c r="AQ57" s="657" t="str">
        <f t="array" ref="AQ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27]))</f>
        <v/>
      </c>
      <c r="AR57" s="657" t="str">
        <f t="array" ref="AR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28]))</f>
        <v/>
      </c>
      <c r="AS57" s="657" t="str">
        <f t="array" ref="AS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29]))</f>
        <v/>
      </c>
      <c r="AT57" s="657" t="str">
        <f t="array" ref="AT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30]))</f>
        <v/>
      </c>
      <c r="AU57" s="657" t="str">
        <f t="array" ref="AU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31]))</f>
        <v/>
      </c>
      <c r="AV57" s="657" t="str">
        <f t="array" ref="AV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32]))</f>
        <v/>
      </c>
      <c r="AW57" s="657" t="str">
        <f t="array" ref="AW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33]))</f>
        <v/>
      </c>
      <c r="AX57" s="657" t="str">
        <f t="array" ref="AX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34]))</f>
        <v/>
      </c>
      <c r="AY57" s="657" t="str">
        <f t="array" ref="AY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35]))</f>
        <v/>
      </c>
      <c r="AZ57" s="657" t="str">
        <f t="array" ref="AZ57">IF($L57="","",SUMPRODUCT(IF($F$5="Y",1*(ActualsTable[Company]=IF($F57="",$F$6,$F57)),1+0*ISBLANK(ActualsTable[Company])),IF($G$5="Y",1*(ActualsTable[Business Unit]=IF($G57="",$G$6,$G57)),1+0*ISBLANK(ActualsTable[Business Unit])),IF($H$5="Y",1*(ActualsTable[Department]=IF($H57="",$H$6,$H57)),1+0*ISBLANK(ActualsTable[Department])),IF($I$5="Y",1*(ActualsTable[Team]=IF($P57="",$P$6,$P57)),1+0*ISBLANK(ActualsTable[Team])),IF($J$5="Y",1*(ActualsTable[Product]=IF($J57="",$J$6,$J57)),1+0*ISBLANK(ActualsTable[Product])),IF($K$5="Y",1*(ActualsTable[Location]=IF($K57="",$K$6,$K57)),1+0*ISBLANK(ActualsTable[Location])),1*(ActualsTable[Expense Item]=$L57),ActualsTable[Month 36]))</f>
        <v/>
      </c>
      <c r="BA57" s="257"/>
      <c r="BB57" s="654" t="str">
        <f t="array" ref="BB57">IF(OR($L57="",IsHidden(BB57)),"",CHOOSE($B57,N($E57)*BB$5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L$186:L$286)*N($E57),BB$6*N($E57),N($E57),0)+N(BB120))</f>
        <v/>
      </c>
      <c r="BC57" s="654" t="str">
        <f t="array" ref="BC57">IF(OR($L57="",IsHidden(BC57)),"",CHOOSE($B57,N($E57)*BC$5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M$186:M$286)*N($E57),BC$6*N($E57),N($E57),0)+N(BC120))</f>
        <v/>
      </c>
      <c r="BD57" s="654" t="str">
        <f t="array" ref="BD57">IF(OR($L57="",IsHidden(BD57)),"",CHOOSE($B57,N($E57)*BD$5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N$186:N$286)*N($E57),BD$6*N($E57),N($E57),0)+N(BD120))</f>
        <v/>
      </c>
      <c r="BE57" s="654" t="str">
        <f t="array" ref="BE57">IF(OR($L57="",IsHidden(BE57)),"",CHOOSE($B57,N($E57)*BE$5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O$186:O$286)*N($E57),BE$6*N($E57),N($E57),0)+N(BE120))</f>
        <v/>
      </c>
      <c r="BF57" s="654" t="str">
        <f t="array" ref="BF57">IF(OR($L57="",IsHidden(BF57)),"",CHOOSE($B57,N($E57)*BF$5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P$186:P$286)*N($E57),BF$6*N($E57),N($E57),0)+N(BF120))</f>
        <v/>
      </c>
      <c r="BG57" s="654" t="str">
        <f t="array" ref="BG57">IF(OR($L57="",IsHidden(BG57)),"",CHOOSE($B57,N($E57)*BG$5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Q$186:Q$286)*N($E57),BG$6*N($E57),N($E57),0)+N(BG120))</f>
        <v/>
      </c>
      <c r="BH57" s="654" t="str">
        <f t="array" ref="BH57">IF(OR($L57="",IsHidden(BH57)),"",CHOOSE($B57,N($E57)*BH$5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R$186:R$286)*N($E57),BH$6*N($E57),N($E57),0)+N(BH120))</f>
        <v/>
      </c>
      <c r="BI57" s="654" t="str">
        <f t="array" ref="BI57">IF(OR($L57="",IsHidden(BI57)),"",CHOOSE($B57,N($E57)*BI$5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S$186:S$286)*N($E57),BI$6*N($E57),N($E57),0)+N(BI120))</f>
        <v/>
      </c>
      <c r="BJ57" s="654" t="str">
        <f t="array" ref="BJ57">IF(OR($L57="",IsHidden(BJ57)),"",CHOOSE($B57,N($E57)*BJ$5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T$186:T$286)*N($E57),BJ$6*N($E57),N($E57),0)+N(BJ120))</f>
        <v/>
      </c>
      <c r="BK57" s="654" t="str">
        <f t="array" ref="BK57">IF(OR($L57="",IsHidden(BK57)),"",CHOOSE($B57,N($E57)*BK$5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U$186:U$286)*N($E57),BK$6*N($E57),N($E57),0)+N(BK120))</f>
        <v/>
      </c>
      <c r="BL57" s="654" t="str">
        <f t="array" ref="BL57">IF(OR($L57="",IsHidden(BL57)),"",CHOOSE($B57,N($E57)*BL$5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V$186:V$286)*N($E57),BL$6*N($E57),N($E57),0)+N(BL120))</f>
        <v/>
      </c>
      <c r="BM57" s="654" t="str">
        <f t="array" ref="BM57">IF(OR($L57="",IsHidden(BM57)),"",CHOOSE($B57,N($E57)*BM$5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W$186:W$286)*N($E57),BM$6*N($E57),N($E57),0)+N(BM120))</f>
        <v/>
      </c>
      <c r="BN57" s="654" t="str">
        <f t="array" ref="BN57">IF(OR($L57="",IsHidden(BN57)),"",CHOOSE($B57,N($E57)*BN$5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X$186:X$286)*N($E57),BN$6*N($E57),N($E57),0)+N(BN120))</f>
        <v/>
      </c>
      <c r="BO57" s="654" t="str">
        <f t="array" ref="BO57">IF(OR($L57="",IsHidden(BO57)),"",CHOOSE($B57,N($E57)*BO$5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Y$186:Y$286)*N($E57),BO$6*N($E57),N($E57),0)+N(BO120))</f>
        <v/>
      </c>
      <c r="BP57" s="654" t="str">
        <f t="array" ref="BP57">IF(OR($L57="",IsHidden(BP57)),"",CHOOSE($B57,N($E57)*BP$5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Z$186:Z$286)*N($E57),BP$6*N($E57),N($E57),0)+N(BP120))</f>
        <v/>
      </c>
      <c r="BQ57" s="654" t="str">
        <f t="array" ref="BQ57">IF(OR($L57="",IsHidden(BQ57)),"",CHOOSE($B57,N($E57)*BQ$5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A$186:AA$286)*N($E57),BQ$6*N($E57),N($E57),0)+N(BQ120))</f>
        <v/>
      </c>
      <c r="BR57" s="654" t="str">
        <f t="array" ref="BR57">IF(OR($L57="",IsHidden(BR57)),"",CHOOSE($B57,N($E57)*BR$5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B$186:AB$286)*N($E57),BR$6*N($E57),N($E57),0)+N(BR120))</f>
        <v/>
      </c>
      <c r="BS57" s="654" t="str">
        <f t="array" ref="BS57">IF(OR($L57="",IsHidden(BS57)),"",CHOOSE($B57,N($E57)*BS$5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C$186:AC$286)*N($E57),BS$6*N($E57),N($E57),0)+N(BS120))</f>
        <v/>
      </c>
      <c r="BT57" s="654" t="str">
        <f t="array" ref="BT57">IF(OR($L57="",IsHidden(BT57)),"",CHOOSE($B57,N($E57)*BT$5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D$186:AD$286)*N($E57),BT$6*N($E57),N($E57),0)+N(BT120))</f>
        <v/>
      </c>
      <c r="BU57" s="654" t="str">
        <f t="array" ref="BU57">IF(OR($L57="",IsHidden(BU57)),"",CHOOSE($B57,N($E57)*BU$5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E$186:AE$286)*N($E57),BU$6*N($E57),N($E57),0)+N(BU120))</f>
        <v/>
      </c>
      <c r="BV57" s="654" t="str">
        <f t="array" ref="BV57">IF(OR($L57="",IsHidden(BV57)),"",CHOOSE($B57,N($E57)*BV$5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F$186:AF$286)*N($E57),BV$6*N($E57),N($E57),0)+N(BV120))</f>
        <v/>
      </c>
      <c r="BW57" s="654" t="str">
        <f t="array" ref="BW57">IF(OR($L57="",IsHidden(BW57)),"",CHOOSE($B57,N($E57)*BW$5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G$186:AG$286)*N($E57),BW$6*N($E57),N($E57),0)+N(BW120))</f>
        <v/>
      </c>
      <c r="BX57" s="654" t="str">
        <f t="array" ref="BX57">IF(OR($L57="",IsHidden(BX57)),"",CHOOSE($B57,N($E57)*BX$5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H$186:AH$286)*N($E57),BX$6*N($E57),N($E57),0)+N(BX120))</f>
        <v/>
      </c>
      <c r="BY57" s="654" t="str">
        <f t="array" ref="BY57">IF(OR($L57="",IsHidden(BY57)),"",CHOOSE($B57,N($E57)*BY$5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I$186:AI$286)*N($E57),BY$6*N($E57),N($E57),0)+N(BY120))</f>
        <v/>
      </c>
      <c r="BZ57" s="654" t="str">
        <f t="array" ref="BZ57">IF(OR($L57="",IsHidden(BZ57)),"",CHOOSE($B57,N($E57)*BZ$5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J$186:AJ$286)*N($E57),BZ$6*N($E57),N($E57),0)+N(BZ120))</f>
        <v/>
      </c>
      <c r="CA57" s="654" t="str">
        <f t="array" ref="CA57">IF(OR($L57="",IsHidden(CA57)),"",CHOOSE($B57,N($E57)*CA$5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K$186:AK$286)*N($E57),CA$6*N($E57),N($E57),0)+N(CA120))</f>
        <v/>
      </c>
      <c r="CB57" s="654" t="str">
        <f t="array" ref="CB57">IF(OR($L57="",IsHidden(CB57)),"",CHOOSE($B57,N($E57)*CB$5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L$186:AL$286)*N($E57),CB$6*N($E57),N($E57),0)+N(CB120))</f>
        <v/>
      </c>
      <c r="CC57" s="654" t="str">
        <f t="array" ref="CC57">IF(OR($L57="",IsHidden(CC57)),"",CHOOSE($B57,N($E57)*CC$5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M$186:AM$286)*N($E57),CC$6*N($E57),N($E57),0)+N(CC120))</f>
        <v/>
      </c>
      <c r="CD57" s="654" t="str">
        <f t="array" ref="CD57">IF(OR($L57="",IsHidden(CD57)),"",CHOOSE($B57,N($E57)*CD$5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N$186:AN$286)*N($E57),CD$6*N($E57),N($E57),0)+N(CD120))</f>
        <v/>
      </c>
      <c r="CE57" s="654" t="str">
        <f t="array" ref="CE57">IF(OR($L57="",IsHidden(CE57)),"",CHOOSE($B57,N($E57)*CE$5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O$186:AO$286)*N($E57),CE$6*N($E57),N($E57),0)+N(CE120))</f>
        <v/>
      </c>
      <c r="CF57" s="654" t="str">
        <f t="array" ref="CF57">IF(OR($L57="",IsHidden(CF57)),"",CHOOSE($B57,N($E57)*CF$5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P$186:AP$286)*N($E57),CF$6*N($E57),N($E57),0)+N(CF120))</f>
        <v/>
      </c>
      <c r="CG57" s="654" t="str">
        <f t="array" ref="CG57">IF(OR($L57="",IsHidden(CG57)),"",CHOOSE($B57,N($E57)*CG$5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Q$186:AQ$286)*N($E57),CG$6*N($E57),N($E57),0)+N(CG120))</f>
        <v/>
      </c>
      <c r="CH57" s="654" t="str">
        <f t="array" ref="CH57">IF(OR($L57="",IsHidden(CH57)),"",CHOOSE($B57,N($E57)*CH$5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R$186:AR$286)*N($E57),CH$6*N($E57),N($E57),0)+N(CH120))</f>
        <v/>
      </c>
      <c r="CI57" s="654" t="str">
        <f t="array" ref="CI57">IF(OR($L57="",IsHidden(CI57)),"",CHOOSE($B57,N($E57)*CI$5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S$186:AS$286)*N($E57),CI$6*N($E57),N($E57),0)+N(CI120))</f>
        <v/>
      </c>
      <c r="CJ57" s="654" t="str">
        <f t="array" ref="CJ57">IF(OR($L57="",IsHidden(CJ57)),"",CHOOSE($B57,N($E57)*CJ$5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T$186:AT$286)*N($E57),CJ$6*N($E57),N($E57),0)+N(CJ120))</f>
        <v/>
      </c>
      <c r="CK57" s="654" t="str">
        <f t="array" ref="CK57">IF(OR($L57="",IsHidden(CK57)),"",CHOOSE($B57,N($E57)*CK$5,SUMPRODUCT(IF($F$5="Y",1*(Headcount!$B$186:$B$286=IF($F57="",$F$6,$F57)),1+0*ISBLANK(Headcount!$B$186:$B$286)),IF($G$5="Y",1*(Headcount!$C$186:$C$286=IF($G57="",$G$6,$G57)),1+0*ISBLANK(Headcount!$C$186:$C$286)),IF($H$5="Y",1*(Headcount!$D$186:$D$286=IF($H57="",$H$6,$H57)),1+0*ISBLANK(Headcount!$D$186:$D$286)),IF($I$5="Y",1*(Headcount!$E$186:$E$286=IF($I57="",$I$6,$I57)),1+0*ISBLANK(Headcount!$E$186:$E$286)),IF($J$5="Y",1*(Headcount!$F$186:$F$286=IF($J57="",$J$6,$J57)),1+0*ISBLANK(Headcount!$F$186:$F$286)),IF($K$5="Y",1*(Headcount!$G$186:$G$286=IF($K57="",$K$6,$K57)),1+0*ISBLANK(Headcount!$G$186:$G$286)),Headcount!AU$186:AU$286)*N($E57),CK$6*N($E57),N($E57),0)+N(CK120))</f>
        <v/>
      </c>
      <c r="CN57" s="255" t="b">
        <f t="array" ref="CN57">IF($L57="",TRUE,IF(AND(OR($F57&lt;&gt;"",$F$6&lt;&gt;""),OR($G57&lt;&gt;"",$G$6&lt;&gt;""),OR($H57&lt;&gt;"",$H$6&lt;&gt;""),OR($I57&lt;&gt;"",$I$6&lt;&gt;""),OR($J57&lt;&gt;"",$J$6&lt;&gt;""),OR($K57&lt;&gt;"",$K$6&lt;&gt;""),NOT(ISERROR(BB57:CK57)),NOT(ISNA(MATCH(IF($H57="",$H$6,$H57)&amp;IF($G57="",$G$6,$G57),DeptBU,0)))),TRUE,FALSE))</f>
        <v>1</v>
      </c>
      <c r="CP57" s="255" t="str">
        <f t="shared" si="5"/>
        <v/>
      </c>
    </row>
    <row r="58" spans="1:94" s="255" customFormat="1" collapsed="1" x14ac:dyDescent="0.35">
      <c r="A58" s="261"/>
      <c r="B58" s="261"/>
      <c r="C58" s="261"/>
      <c r="D58" s="261"/>
      <c r="E58" s="260"/>
      <c r="F58" s="257"/>
      <c r="G58" s="257"/>
      <c r="H58" s="257"/>
      <c r="I58" s="257"/>
      <c r="J58" s="257"/>
      <c r="K58" s="257"/>
      <c r="L58" s="257"/>
      <c r="M58" s="257"/>
      <c r="N58" s="257"/>
      <c r="O58" s="257"/>
      <c r="P58" s="257"/>
      <c r="Q58" s="262"/>
      <c r="R58" s="262"/>
      <c r="S58" s="262"/>
      <c r="T58" s="262"/>
      <c r="U58" s="262"/>
      <c r="V58" s="262"/>
      <c r="W58" s="262"/>
      <c r="X58" s="262"/>
      <c r="Y58" s="262"/>
      <c r="Z58" s="262"/>
      <c r="AA58" s="262"/>
      <c r="AB58" s="262"/>
      <c r="AC58" s="262"/>
      <c r="AD58" s="262"/>
      <c r="AE58" s="262"/>
      <c r="AF58" s="262"/>
      <c r="AG58" s="262"/>
      <c r="AH58" s="262"/>
      <c r="AI58" s="262"/>
      <c r="AJ58" s="262"/>
      <c r="AK58" s="262"/>
      <c r="AL58" s="262"/>
      <c r="AM58" s="262"/>
      <c r="AN58" s="262"/>
      <c r="AO58" s="262"/>
      <c r="AP58" s="262"/>
      <c r="AQ58" s="262"/>
      <c r="AR58" s="262"/>
      <c r="AS58" s="262"/>
      <c r="AT58" s="262"/>
      <c r="AU58" s="262"/>
      <c r="AV58" s="262"/>
      <c r="AW58" s="262"/>
      <c r="AX58" s="262"/>
      <c r="AY58" s="262"/>
      <c r="AZ58" s="262"/>
      <c r="BA58" s="257"/>
      <c r="BB58" s="256"/>
      <c r="BC58" s="256"/>
      <c r="BD58" s="256"/>
      <c r="BE58" s="256"/>
      <c r="BF58" s="256"/>
      <c r="BG58" s="256"/>
      <c r="BH58" s="256"/>
      <c r="BI58" s="256"/>
      <c r="BJ58" s="256"/>
      <c r="BK58" s="256"/>
      <c r="BL58" s="256"/>
      <c r="BM58" s="256"/>
      <c r="BN58" s="256"/>
      <c r="BO58" s="256"/>
      <c r="BP58" s="256"/>
      <c r="BQ58" s="256"/>
      <c r="BR58" s="256"/>
      <c r="BS58" s="256"/>
      <c r="BT58" s="256"/>
      <c r="BU58" s="256"/>
      <c r="BV58" s="256"/>
      <c r="BW58" s="256"/>
      <c r="BX58" s="256"/>
      <c r="BY58" s="256"/>
      <c r="BZ58" s="256"/>
      <c r="CA58" s="256"/>
      <c r="CB58" s="256"/>
      <c r="CC58" s="256"/>
      <c r="CD58" s="256"/>
      <c r="CE58" s="256"/>
      <c r="CF58" s="256"/>
      <c r="CG58" s="256"/>
      <c r="CH58" s="256"/>
      <c r="CI58" s="256"/>
      <c r="CJ58" s="256"/>
      <c r="CK58" s="256"/>
    </row>
    <row r="59" spans="1:94" s="255" customFormat="1" x14ac:dyDescent="0.35">
      <c r="A59" s="263" t="s">
        <v>1140</v>
      </c>
      <c r="B59" s="257"/>
      <c r="C59" s="257"/>
      <c r="D59" s="257"/>
      <c r="E59" s="258"/>
      <c r="F59" s="257"/>
      <c r="G59" s="257"/>
      <c r="H59" s="257"/>
      <c r="I59" s="257"/>
      <c r="J59" s="257"/>
      <c r="K59" s="257"/>
      <c r="L59" s="257" t="s">
        <v>1138</v>
      </c>
      <c r="M59" s="257"/>
      <c r="N59" s="257" t="str">
        <f>""</f>
        <v/>
      </c>
      <c r="O59" s="257"/>
      <c r="P59" s="257"/>
      <c r="Q59" s="656" t="e">
        <f>SUM(Q$7:Q58)</f>
        <v>#VALUE!</v>
      </c>
      <c r="R59" s="656" t="e">
        <f>SUM(R$7:R58)</f>
        <v>#VALUE!</v>
      </c>
      <c r="S59" s="656" t="e">
        <f>SUM(S$7:S58)</f>
        <v>#VALUE!</v>
      </c>
      <c r="T59" s="656" t="e">
        <f>SUM(T$7:T58)</f>
        <v>#VALUE!</v>
      </c>
      <c r="U59" s="656" t="e">
        <f>SUM(U$7:U58)</f>
        <v>#VALUE!</v>
      </c>
      <c r="V59" s="656" t="e">
        <f>SUM(V$7:V58)</f>
        <v>#VALUE!</v>
      </c>
      <c r="W59" s="656" t="e">
        <f>SUM(W$7:W58)</f>
        <v>#VALUE!</v>
      </c>
      <c r="X59" s="656" t="e">
        <f>SUM(X$7:X58)</f>
        <v>#VALUE!</v>
      </c>
      <c r="Y59" s="656" t="e">
        <f>SUM(Y$7:Y58)</f>
        <v>#VALUE!</v>
      </c>
      <c r="Z59" s="656" t="e">
        <f>SUM(Z$7:Z58)</f>
        <v>#VALUE!</v>
      </c>
      <c r="AA59" s="656" t="e">
        <f>SUM(AA$7:AA58)</f>
        <v>#VALUE!</v>
      </c>
      <c r="AB59" s="656" t="e">
        <f>SUM(AB$7:AB58)</f>
        <v>#VALUE!</v>
      </c>
      <c r="AC59" s="656" t="e">
        <f>SUM(AC$7:AC58)</f>
        <v>#VALUE!</v>
      </c>
      <c r="AD59" s="656" t="e">
        <f>SUM(AD$7:AD58)</f>
        <v>#VALUE!</v>
      </c>
      <c r="AE59" s="656" t="e">
        <f>SUM(AE$7:AE58)</f>
        <v>#VALUE!</v>
      </c>
      <c r="AF59" s="656" t="e">
        <f>SUM(AF$7:AF58)</f>
        <v>#VALUE!</v>
      </c>
      <c r="AG59" s="656" t="e">
        <f>SUM(AG$7:AG58)</f>
        <v>#VALUE!</v>
      </c>
      <c r="AH59" s="656" t="e">
        <f>SUM(AH$7:AH58)</f>
        <v>#VALUE!</v>
      </c>
      <c r="AI59" s="656" t="e">
        <f>SUM(AI$7:AI58)</f>
        <v>#VALUE!</v>
      </c>
      <c r="AJ59" s="656" t="e">
        <f>SUM(AJ$7:AJ58)</f>
        <v>#VALUE!</v>
      </c>
      <c r="AK59" s="656" t="e">
        <f>SUM(AK$7:AK58)</f>
        <v>#VALUE!</v>
      </c>
      <c r="AL59" s="656" t="e">
        <f>SUM(AL$7:AL58)</f>
        <v>#VALUE!</v>
      </c>
      <c r="AM59" s="656" t="e">
        <f>SUM(AM$7:AM58)</f>
        <v>#VALUE!</v>
      </c>
      <c r="AN59" s="656" t="e">
        <f>SUM(AN$7:AN58)</f>
        <v>#VALUE!</v>
      </c>
      <c r="AO59" s="656" t="e">
        <f>SUM(AO$7:AO58)</f>
        <v>#VALUE!</v>
      </c>
      <c r="AP59" s="656" t="e">
        <f>SUM(AP$7:AP58)</f>
        <v>#VALUE!</v>
      </c>
      <c r="AQ59" s="656" t="e">
        <f>SUM(AQ$7:AQ58)</f>
        <v>#VALUE!</v>
      </c>
      <c r="AR59" s="656" t="e">
        <f>SUM(AR$7:AR58)</f>
        <v>#VALUE!</v>
      </c>
      <c r="AS59" s="656" t="e">
        <f>SUM(AS$7:AS58)</f>
        <v>#VALUE!</v>
      </c>
      <c r="AT59" s="656" t="e">
        <f>SUM(AT$7:AT58)</f>
        <v>#VALUE!</v>
      </c>
      <c r="AU59" s="656" t="e">
        <f>SUM(AU$7:AU58)</f>
        <v>#VALUE!</v>
      </c>
      <c r="AV59" s="656" t="e">
        <f>SUM(AV$7:AV58)</f>
        <v>#VALUE!</v>
      </c>
      <c r="AW59" s="656" t="e">
        <f>SUM(AW$7:AW58)</f>
        <v>#VALUE!</v>
      </c>
      <c r="AX59" s="656" t="e">
        <f>SUM(AX$7:AX58)</f>
        <v>#VALUE!</v>
      </c>
      <c r="AY59" s="656" t="e">
        <f>SUM(AY$7:AY58)</f>
        <v>#VALUE!</v>
      </c>
      <c r="AZ59" s="656" t="e">
        <f>SUM(AZ$7:AZ58)</f>
        <v>#VALUE!</v>
      </c>
      <c r="BA59" s="257"/>
      <c r="BB59" s="654">
        <f>SUM(BB$7:BB58)</f>
        <v>0</v>
      </c>
      <c r="BC59" s="654">
        <f>SUM(BC$7:BC58)</f>
        <v>0</v>
      </c>
      <c r="BD59" s="654">
        <f>SUM(BD$7:BD58)</f>
        <v>0</v>
      </c>
      <c r="BE59" s="654">
        <f>SUM(BE$7:BE58)</f>
        <v>0</v>
      </c>
      <c r="BF59" s="654">
        <f>SUM(BF$7:BF58)</f>
        <v>0</v>
      </c>
      <c r="BG59" s="654">
        <f>SUM(BG$7:BG58)</f>
        <v>0</v>
      </c>
      <c r="BH59" s="654">
        <f>SUM(BH$7:BH58)</f>
        <v>0</v>
      </c>
      <c r="BI59" s="654">
        <f>SUM(BI$7:BI58)</f>
        <v>0</v>
      </c>
      <c r="BJ59" s="654">
        <f>SUM(BJ$7:BJ58)</f>
        <v>0</v>
      </c>
      <c r="BK59" s="654">
        <f>SUM(BK$7:BK58)</f>
        <v>0</v>
      </c>
      <c r="BL59" s="654">
        <f>SUM(BL$7:BL58)</f>
        <v>0</v>
      </c>
      <c r="BM59" s="654">
        <f>SUM(BM$7:BM58)</f>
        <v>0</v>
      </c>
      <c r="BN59" s="654">
        <f>SUM(BN$7:BN58)</f>
        <v>0</v>
      </c>
      <c r="BO59" s="654">
        <f>SUM(BO$7:BO58)</f>
        <v>0</v>
      </c>
      <c r="BP59" s="654">
        <f>SUM(BP$7:BP58)</f>
        <v>0</v>
      </c>
      <c r="BQ59" s="654">
        <f>SUM(BQ$7:BQ58)</f>
        <v>0</v>
      </c>
      <c r="BR59" s="654">
        <f>SUM(BR$7:BR58)</f>
        <v>0</v>
      </c>
      <c r="BS59" s="654">
        <f>SUM(BS$7:BS58)</f>
        <v>0</v>
      </c>
      <c r="BT59" s="654">
        <f>SUM(BT$7:BT58)</f>
        <v>0</v>
      </c>
      <c r="BU59" s="654">
        <f>SUM(BU$7:BU58)</f>
        <v>0</v>
      </c>
      <c r="BV59" s="654">
        <f>SUM(BV$7:BV58)</f>
        <v>0</v>
      </c>
      <c r="BW59" s="654">
        <f>SUM(BW$7:BW58)</f>
        <v>0</v>
      </c>
      <c r="BX59" s="654">
        <f>SUM(BX$7:BX58)</f>
        <v>0</v>
      </c>
      <c r="BY59" s="654">
        <f>SUM(BY$7:BY58)</f>
        <v>0</v>
      </c>
      <c r="BZ59" s="654">
        <f>SUM(BZ$7:BZ58)</f>
        <v>0</v>
      </c>
      <c r="CA59" s="654">
        <f>SUM(CA$7:CA58)</f>
        <v>0</v>
      </c>
      <c r="CB59" s="654">
        <f>SUM(CB$7:CB58)</f>
        <v>0</v>
      </c>
      <c r="CC59" s="654">
        <f>SUM(CC$7:CC58)</f>
        <v>0</v>
      </c>
      <c r="CD59" s="654">
        <f>SUM(CD$7:CD58)</f>
        <v>0</v>
      </c>
      <c r="CE59" s="654">
        <f>SUM(CE$7:CE58)</f>
        <v>0</v>
      </c>
      <c r="CF59" s="654">
        <f>SUM(CF$7:CF58)</f>
        <v>0</v>
      </c>
      <c r="CG59" s="654">
        <f>SUM(CG$7:CG58)</f>
        <v>0</v>
      </c>
      <c r="CH59" s="654">
        <f>SUM(CH$7:CH58)</f>
        <v>0</v>
      </c>
      <c r="CI59" s="654">
        <f>SUM(CI$7:CI58)</f>
        <v>0</v>
      </c>
      <c r="CJ59" s="654">
        <f>SUM(CJ$7:CJ58)</f>
        <v>0</v>
      </c>
      <c r="CK59" s="654">
        <f>SUM(CK$7:CK58)</f>
        <v>0</v>
      </c>
    </row>
    <row r="60" spans="1:94" s="255" customFormat="1" x14ac:dyDescent="0.35">
      <c r="A60" s="263"/>
      <c r="B60" s="257"/>
      <c r="C60" s="257"/>
      <c r="D60" s="257"/>
      <c r="E60" s="258"/>
      <c r="F60" s="257"/>
      <c r="G60" s="257"/>
      <c r="H60" s="257"/>
      <c r="I60" s="257"/>
      <c r="J60" s="257"/>
      <c r="K60" s="257"/>
      <c r="L60" s="257"/>
      <c r="M60" s="257"/>
      <c r="N60" s="257"/>
      <c r="O60" s="257"/>
      <c r="P60" s="257"/>
      <c r="Q60" s="278"/>
      <c r="R60" s="278"/>
      <c r="S60" s="278"/>
      <c r="T60" s="278"/>
      <c r="U60" s="278"/>
      <c r="V60" s="278"/>
      <c r="W60" s="278"/>
      <c r="X60" s="278"/>
      <c r="Y60" s="278"/>
      <c r="Z60" s="278"/>
      <c r="AA60" s="278"/>
      <c r="AB60" s="278"/>
      <c r="AC60" s="278"/>
      <c r="AD60" s="278"/>
      <c r="AE60" s="278"/>
      <c r="AF60" s="278"/>
      <c r="AG60" s="278"/>
      <c r="AH60" s="278"/>
      <c r="AI60" s="278"/>
      <c r="AJ60" s="278"/>
      <c r="AK60" s="278"/>
      <c r="AL60" s="278"/>
      <c r="AM60" s="278"/>
      <c r="AN60" s="278"/>
      <c r="AO60" s="278"/>
      <c r="AP60" s="278"/>
      <c r="AQ60" s="278"/>
      <c r="AR60" s="278"/>
      <c r="AS60" s="278"/>
      <c r="AT60" s="278"/>
      <c r="AU60" s="278"/>
      <c r="AV60" s="278"/>
      <c r="AW60" s="278"/>
      <c r="AX60" s="278"/>
      <c r="AY60" s="278"/>
      <c r="AZ60" s="278"/>
      <c r="BA60" s="257"/>
      <c r="BB60" s="256"/>
      <c r="BC60" s="256"/>
      <c r="BD60" s="256"/>
      <c r="BE60" s="256"/>
      <c r="BF60" s="256"/>
      <c r="BG60" s="256"/>
      <c r="BH60" s="256"/>
      <c r="BI60" s="256"/>
      <c r="BJ60" s="256"/>
      <c r="BK60" s="256"/>
      <c r="BL60" s="256"/>
      <c r="BM60" s="256"/>
      <c r="BN60" s="256"/>
      <c r="BO60" s="256"/>
      <c r="BP60" s="256"/>
      <c r="BQ60" s="256"/>
      <c r="BR60" s="256"/>
      <c r="BS60" s="256"/>
      <c r="BT60" s="256"/>
      <c r="BU60" s="256"/>
      <c r="BV60" s="256"/>
      <c r="BW60" s="256"/>
      <c r="BX60" s="256"/>
      <c r="BY60" s="256"/>
      <c r="BZ60" s="256"/>
      <c r="CA60" s="256"/>
      <c r="CB60" s="256"/>
      <c r="CC60" s="256"/>
      <c r="CD60" s="256"/>
      <c r="CE60" s="256"/>
      <c r="CF60" s="256"/>
      <c r="CG60" s="256"/>
      <c r="CH60" s="256"/>
      <c r="CI60" s="256"/>
      <c r="CJ60" s="256"/>
      <c r="CK60" s="256"/>
    </row>
    <row r="61" spans="1:94" s="255" customFormat="1" x14ac:dyDescent="0.35">
      <c r="A61" s="263"/>
      <c r="B61" s="257"/>
      <c r="C61" s="257"/>
      <c r="D61" s="257"/>
      <c r="E61" s="258"/>
      <c r="F61" s="257"/>
      <c r="G61" s="257"/>
      <c r="H61" s="257"/>
      <c r="I61" s="257"/>
      <c r="J61" s="257"/>
      <c r="K61" s="257"/>
      <c r="L61" s="257" t="str">
        <f>O61</f>
        <v>Payroll Taxes - G&amp;A</v>
      </c>
      <c r="M61" s="257"/>
      <c r="O61" s="257" t="s">
        <v>179</v>
      </c>
      <c r="P61" s="257"/>
      <c r="Q61" s="278"/>
      <c r="R61" s="278"/>
      <c r="S61" s="278"/>
      <c r="T61" s="278"/>
      <c r="U61" s="278"/>
      <c r="V61" s="278"/>
      <c r="W61" s="278"/>
      <c r="X61" s="278"/>
      <c r="Y61" s="278"/>
      <c r="Z61" s="278"/>
      <c r="AA61" s="278"/>
      <c r="AB61" s="278"/>
      <c r="AC61" s="278"/>
      <c r="AD61" s="278"/>
      <c r="AE61" s="278"/>
      <c r="AF61" s="278"/>
      <c r="AG61" s="278"/>
      <c r="AH61" s="278"/>
      <c r="AI61" s="278"/>
      <c r="AJ61" s="278"/>
      <c r="AK61" s="278"/>
      <c r="AL61" s="278"/>
      <c r="AM61" s="278"/>
      <c r="AN61" s="278"/>
      <c r="AO61" s="278"/>
      <c r="AP61" s="278"/>
      <c r="AQ61" s="278"/>
      <c r="AR61" s="278"/>
      <c r="AS61" s="278"/>
      <c r="AT61" s="278"/>
      <c r="AU61" s="278"/>
      <c r="AV61" s="278"/>
      <c r="AW61" s="278"/>
      <c r="AX61" s="278"/>
      <c r="AY61" s="278"/>
      <c r="AZ61" s="278"/>
      <c r="BA61" s="257"/>
      <c r="BB61" s="654">
        <f>SUMIFS(StockComp[Month 1],StockComp[exp_item],$O61)</f>
        <v>0</v>
      </c>
      <c r="BC61" s="654">
        <f>SUMIFS(StockComp[Month 2],StockComp[exp_item],$O61)</f>
        <v>0</v>
      </c>
      <c r="BD61" s="654">
        <f>SUMIFS(StockComp[Month 3],StockComp[exp_item],$O61)</f>
        <v>0</v>
      </c>
      <c r="BE61" s="654">
        <f>SUMIFS(StockComp[Month 4],StockComp[exp_item],$O61)</f>
        <v>0</v>
      </c>
      <c r="BF61" s="654">
        <f>SUMIFS(StockComp[Month 5],StockComp[exp_item],$O61)</f>
        <v>0</v>
      </c>
      <c r="BG61" s="654">
        <f>SUMIFS(StockComp[Month 6],StockComp[exp_item],$O61)</f>
        <v>0</v>
      </c>
      <c r="BH61" s="654">
        <f>SUMIFS(StockComp[Month 7],StockComp[exp_item],$O61)</f>
        <v>0</v>
      </c>
      <c r="BI61" s="654">
        <f>SUMIFS(StockComp[Month 8],StockComp[exp_item],$O61)</f>
        <v>0</v>
      </c>
      <c r="BJ61" s="654">
        <f>SUMIFS(StockComp[Month 9],StockComp[exp_item],$O61)</f>
        <v>0</v>
      </c>
      <c r="BK61" s="654">
        <f>SUMIFS(StockComp[Month 10],StockComp[exp_item],$O61)</f>
        <v>0</v>
      </c>
      <c r="BL61" s="654">
        <f>SUMIFS(StockComp[Month 11],StockComp[exp_item],$O61)</f>
        <v>0</v>
      </c>
      <c r="BM61" s="654">
        <f>SUMIFS(StockComp[Month 12],StockComp[exp_item],$O61)</f>
        <v>0</v>
      </c>
      <c r="BN61" s="654">
        <f>SUMIFS(StockComp[Month 13],StockComp[exp_item],$O61)</f>
        <v>0</v>
      </c>
      <c r="BO61" s="654">
        <f>SUMIFS(StockComp[Month 14],StockComp[exp_item],$O61)</f>
        <v>0</v>
      </c>
      <c r="BP61" s="654">
        <f>SUMIFS(StockComp[Month 15],StockComp[exp_item],$O61)</f>
        <v>0</v>
      </c>
      <c r="BQ61" s="654">
        <f>SUMIFS(StockComp[Month 16],StockComp[exp_item],$O61)</f>
        <v>0</v>
      </c>
      <c r="BR61" s="654">
        <f>SUMIFS(StockComp[Month 17],StockComp[exp_item],$O61)</f>
        <v>0</v>
      </c>
      <c r="BS61" s="654">
        <f>SUMIFS(StockComp[Month 18],StockComp[exp_item],$O61)</f>
        <v>0</v>
      </c>
      <c r="BT61" s="654">
        <f>SUMIFS(StockComp[Month 19],StockComp[exp_item],$O61)</f>
        <v>0</v>
      </c>
      <c r="BU61" s="654">
        <f>SUMIFS(StockComp[Month 20],StockComp[exp_item],$O61)</f>
        <v>0</v>
      </c>
      <c r="BV61" s="654">
        <f>SUMIFS(StockComp[Month 21],StockComp[exp_item],$O61)</f>
        <v>0</v>
      </c>
      <c r="BW61" s="654">
        <f>SUMIFS(StockComp[Month 22],StockComp[exp_item],$O61)</f>
        <v>0</v>
      </c>
      <c r="BX61" s="654">
        <f>SUMIFS(StockComp[Month 23],StockComp[exp_item],$O61)</f>
        <v>0</v>
      </c>
      <c r="BY61" s="654">
        <f>SUMIFS(StockComp[Month 24],StockComp[exp_item],$O61)</f>
        <v>0</v>
      </c>
      <c r="BZ61" s="654">
        <f>SUMIFS(StockComp[Month 25],StockComp[exp_item],$O61)</f>
        <v>0</v>
      </c>
      <c r="CA61" s="654">
        <f>SUMIFS(StockComp[Month 26],StockComp[exp_item],$O61)</f>
        <v>0</v>
      </c>
      <c r="CB61" s="654">
        <f>SUMIFS(StockComp[Month 27],StockComp[exp_item],$O61)</f>
        <v>0</v>
      </c>
      <c r="CC61" s="654">
        <f>SUMIFS(StockComp[Month 28],StockComp[exp_item],$O61)</f>
        <v>0</v>
      </c>
      <c r="CD61" s="654">
        <f>SUMIFS(StockComp[Month 29],StockComp[exp_item],$O61)</f>
        <v>0</v>
      </c>
      <c r="CE61" s="654">
        <f>SUMIFS(StockComp[Month 30],StockComp[exp_item],$O61)</f>
        <v>0</v>
      </c>
      <c r="CF61" s="654">
        <f>SUMIFS(StockComp[Month 31],StockComp[exp_item],$O61)</f>
        <v>0</v>
      </c>
      <c r="CG61" s="654">
        <f>SUMIFS(StockComp[Month 32],StockComp[exp_item],$O61)</f>
        <v>0</v>
      </c>
      <c r="CH61" s="654">
        <f>SUMIFS(StockComp[Month 33],StockComp[exp_item],$O61)</f>
        <v>0</v>
      </c>
      <c r="CI61" s="654">
        <f>SUMIFS(StockComp[Month 34],StockComp[exp_item],$O61)</f>
        <v>0</v>
      </c>
      <c r="CJ61" s="654">
        <f>SUMIFS(StockComp[Month 35],StockComp[exp_item],$O61)</f>
        <v>0</v>
      </c>
      <c r="CK61" s="654">
        <f>SUMIFS(StockComp[Month 36],StockComp[exp_item],$O61)</f>
        <v>0</v>
      </c>
    </row>
    <row r="62" spans="1:94" s="255" customFormat="1" x14ac:dyDescent="0.35">
      <c r="A62" s="263"/>
      <c r="B62" s="257"/>
      <c r="C62" s="257"/>
      <c r="D62" s="257"/>
      <c r="E62" s="258"/>
      <c r="F62" s="257"/>
      <c r="G62" s="257"/>
      <c r="H62" s="257"/>
      <c r="I62" s="257"/>
      <c r="J62" s="257"/>
      <c r="K62" s="257"/>
      <c r="L62" s="257" t="str">
        <f t="shared" ref="L62:L68" si="6">O62</f>
        <v>Payroll Taxes - COR</v>
      </c>
      <c r="M62" s="257"/>
      <c r="N62" s="257"/>
      <c r="O62" s="257" t="s">
        <v>80</v>
      </c>
      <c r="P62" s="257"/>
      <c r="Q62" s="278"/>
      <c r="R62" s="278"/>
      <c r="S62" s="278"/>
      <c r="T62" s="278"/>
      <c r="U62" s="278"/>
      <c r="V62" s="278"/>
      <c r="W62" s="278"/>
      <c r="X62" s="278"/>
      <c r="Y62" s="278"/>
      <c r="Z62" s="278"/>
      <c r="AA62" s="278"/>
      <c r="AB62" s="278"/>
      <c r="AC62" s="278"/>
      <c r="AD62" s="278"/>
      <c r="AE62" s="278"/>
      <c r="AF62" s="278"/>
      <c r="AG62" s="278"/>
      <c r="AH62" s="278"/>
      <c r="AI62" s="278"/>
      <c r="AJ62" s="278"/>
      <c r="AK62" s="278"/>
      <c r="AL62" s="278"/>
      <c r="AM62" s="278"/>
      <c r="AN62" s="278"/>
      <c r="AO62" s="278"/>
      <c r="AP62" s="278"/>
      <c r="AQ62" s="278"/>
      <c r="AR62" s="278"/>
      <c r="AS62" s="278"/>
      <c r="AT62" s="278"/>
      <c r="AU62" s="278"/>
      <c r="AV62" s="278"/>
      <c r="AW62" s="278"/>
      <c r="AX62" s="278"/>
      <c r="AY62" s="278"/>
      <c r="AZ62" s="278"/>
      <c r="BA62" s="257"/>
      <c r="BB62" s="654">
        <f>SUMIFS(StockComp[Month 1],StockComp[exp_item],$O62)</f>
        <v>0</v>
      </c>
      <c r="BC62" s="654">
        <f>SUMIFS(StockComp[Month 2],StockComp[exp_item],$O62)</f>
        <v>0</v>
      </c>
      <c r="BD62" s="654">
        <f>SUMIFS(StockComp[Month 3],StockComp[exp_item],$O62)</f>
        <v>0</v>
      </c>
      <c r="BE62" s="654">
        <f>SUMIFS(StockComp[Month 4],StockComp[exp_item],$O62)</f>
        <v>0</v>
      </c>
      <c r="BF62" s="654">
        <f>SUMIFS(StockComp[Month 5],StockComp[exp_item],$O62)</f>
        <v>0</v>
      </c>
      <c r="BG62" s="654">
        <f>SUMIFS(StockComp[Month 6],StockComp[exp_item],$O62)</f>
        <v>0</v>
      </c>
      <c r="BH62" s="654">
        <f>SUMIFS(StockComp[Month 7],StockComp[exp_item],$O62)</f>
        <v>0</v>
      </c>
      <c r="BI62" s="654">
        <f>SUMIFS(StockComp[Month 8],StockComp[exp_item],$O62)</f>
        <v>0</v>
      </c>
      <c r="BJ62" s="654">
        <f>SUMIFS(StockComp[Month 9],StockComp[exp_item],$O62)</f>
        <v>0</v>
      </c>
      <c r="BK62" s="654">
        <f>SUMIFS(StockComp[Month 10],StockComp[exp_item],$O62)</f>
        <v>0</v>
      </c>
      <c r="BL62" s="654">
        <f>SUMIFS(StockComp[Month 11],StockComp[exp_item],$O62)</f>
        <v>0</v>
      </c>
      <c r="BM62" s="654">
        <f>SUMIFS(StockComp[Month 12],StockComp[exp_item],$O62)</f>
        <v>0</v>
      </c>
      <c r="BN62" s="654">
        <f>SUMIFS(StockComp[Month 13],StockComp[exp_item],$O62)</f>
        <v>0</v>
      </c>
      <c r="BO62" s="654">
        <f>SUMIFS(StockComp[Month 14],StockComp[exp_item],$O62)</f>
        <v>0</v>
      </c>
      <c r="BP62" s="654">
        <f>SUMIFS(StockComp[Month 15],StockComp[exp_item],$O62)</f>
        <v>0</v>
      </c>
      <c r="BQ62" s="654">
        <f>SUMIFS(StockComp[Month 16],StockComp[exp_item],$O62)</f>
        <v>0</v>
      </c>
      <c r="BR62" s="654">
        <f>SUMIFS(StockComp[Month 17],StockComp[exp_item],$O62)</f>
        <v>0</v>
      </c>
      <c r="BS62" s="654">
        <f>SUMIFS(StockComp[Month 18],StockComp[exp_item],$O62)</f>
        <v>0</v>
      </c>
      <c r="BT62" s="654">
        <f>SUMIFS(StockComp[Month 19],StockComp[exp_item],$O62)</f>
        <v>0</v>
      </c>
      <c r="BU62" s="654">
        <f>SUMIFS(StockComp[Month 20],StockComp[exp_item],$O62)</f>
        <v>0</v>
      </c>
      <c r="BV62" s="654">
        <f>SUMIFS(StockComp[Month 21],StockComp[exp_item],$O62)</f>
        <v>0</v>
      </c>
      <c r="BW62" s="654">
        <f>SUMIFS(StockComp[Month 22],StockComp[exp_item],$O62)</f>
        <v>0</v>
      </c>
      <c r="BX62" s="654">
        <f>SUMIFS(StockComp[Month 23],StockComp[exp_item],$O62)</f>
        <v>0</v>
      </c>
      <c r="BY62" s="654">
        <f>SUMIFS(StockComp[Month 24],StockComp[exp_item],$O62)</f>
        <v>0</v>
      </c>
      <c r="BZ62" s="654">
        <f>SUMIFS(StockComp[Month 25],StockComp[exp_item],$O62)</f>
        <v>0</v>
      </c>
      <c r="CA62" s="654">
        <f>SUMIFS(StockComp[Month 26],StockComp[exp_item],$O62)</f>
        <v>0</v>
      </c>
      <c r="CB62" s="654">
        <f>SUMIFS(StockComp[Month 27],StockComp[exp_item],$O62)</f>
        <v>0</v>
      </c>
      <c r="CC62" s="654">
        <f>SUMIFS(StockComp[Month 28],StockComp[exp_item],$O62)</f>
        <v>0</v>
      </c>
      <c r="CD62" s="654">
        <f>SUMIFS(StockComp[Month 29],StockComp[exp_item],$O62)</f>
        <v>0</v>
      </c>
      <c r="CE62" s="654">
        <f>SUMIFS(StockComp[Month 30],StockComp[exp_item],$O62)</f>
        <v>0</v>
      </c>
      <c r="CF62" s="654">
        <f>SUMIFS(StockComp[Month 31],StockComp[exp_item],$O62)</f>
        <v>0</v>
      </c>
      <c r="CG62" s="654">
        <f>SUMIFS(StockComp[Month 32],StockComp[exp_item],$O62)</f>
        <v>0</v>
      </c>
      <c r="CH62" s="654">
        <f>SUMIFS(StockComp[Month 33],StockComp[exp_item],$O62)</f>
        <v>0</v>
      </c>
      <c r="CI62" s="654">
        <f>SUMIFS(StockComp[Month 34],StockComp[exp_item],$O62)</f>
        <v>0</v>
      </c>
      <c r="CJ62" s="654">
        <f>SUMIFS(StockComp[Month 35],StockComp[exp_item],$O62)</f>
        <v>0</v>
      </c>
      <c r="CK62" s="654">
        <f>SUMIFS(StockComp[Month 36],StockComp[exp_item],$O62)</f>
        <v>0</v>
      </c>
    </row>
    <row r="63" spans="1:94" s="255" customFormat="1" x14ac:dyDescent="0.35">
      <c r="A63" s="263"/>
      <c r="B63" s="257"/>
      <c r="C63" s="257"/>
      <c r="D63" s="257"/>
      <c r="E63" s="258"/>
      <c r="F63" s="257"/>
      <c r="G63" s="257"/>
      <c r="H63" s="257"/>
      <c r="I63" s="257"/>
      <c r="J63" s="257"/>
      <c r="K63" s="257"/>
      <c r="L63" s="257" t="str">
        <f t="shared" si="6"/>
        <v>Payroll Taxes - S&amp;M</v>
      </c>
      <c r="M63" s="257"/>
      <c r="N63" s="257"/>
      <c r="O63" s="257" t="s">
        <v>147</v>
      </c>
      <c r="P63" s="257"/>
      <c r="Q63" s="278"/>
      <c r="R63" s="278"/>
      <c r="S63" s="278"/>
      <c r="T63" s="278"/>
      <c r="U63" s="278"/>
      <c r="V63" s="278"/>
      <c r="W63" s="278"/>
      <c r="X63" s="278"/>
      <c r="Y63" s="278"/>
      <c r="Z63" s="278"/>
      <c r="AA63" s="278"/>
      <c r="AB63" s="278"/>
      <c r="AC63" s="278"/>
      <c r="AD63" s="278"/>
      <c r="AE63" s="278"/>
      <c r="AF63" s="278"/>
      <c r="AG63" s="278"/>
      <c r="AH63" s="278"/>
      <c r="AI63" s="278"/>
      <c r="AJ63" s="278"/>
      <c r="AK63" s="278"/>
      <c r="AL63" s="278"/>
      <c r="AM63" s="278"/>
      <c r="AN63" s="278"/>
      <c r="AO63" s="278"/>
      <c r="AP63" s="278"/>
      <c r="AQ63" s="278"/>
      <c r="AR63" s="278"/>
      <c r="AS63" s="278"/>
      <c r="AT63" s="278"/>
      <c r="AU63" s="278"/>
      <c r="AV63" s="278"/>
      <c r="AW63" s="278"/>
      <c r="AX63" s="278"/>
      <c r="AY63" s="278"/>
      <c r="AZ63" s="278"/>
      <c r="BA63" s="257"/>
      <c r="BB63" s="654">
        <f>SUMIFS(StockComp[Month 1],StockComp[exp_item],$O63)</f>
        <v>0</v>
      </c>
      <c r="BC63" s="654">
        <f>SUMIFS(StockComp[Month 2],StockComp[exp_item],$O63)</f>
        <v>0</v>
      </c>
      <c r="BD63" s="654">
        <f>SUMIFS(StockComp[Month 3],StockComp[exp_item],$O63)</f>
        <v>0</v>
      </c>
      <c r="BE63" s="654">
        <f>SUMIFS(StockComp[Month 4],StockComp[exp_item],$O63)</f>
        <v>0</v>
      </c>
      <c r="BF63" s="654">
        <f>SUMIFS(StockComp[Month 5],StockComp[exp_item],$O63)</f>
        <v>0</v>
      </c>
      <c r="BG63" s="654">
        <f>SUMIFS(StockComp[Month 6],StockComp[exp_item],$O63)</f>
        <v>0</v>
      </c>
      <c r="BH63" s="654">
        <f>SUMIFS(StockComp[Month 7],StockComp[exp_item],$O63)</f>
        <v>0</v>
      </c>
      <c r="BI63" s="654">
        <f>SUMIFS(StockComp[Month 8],StockComp[exp_item],$O63)</f>
        <v>0</v>
      </c>
      <c r="BJ63" s="654">
        <f>SUMIFS(StockComp[Month 9],StockComp[exp_item],$O63)</f>
        <v>0</v>
      </c>
      <c r="BK63" s="654">
        <f>SUMIFS(StockComp[Month 10],StockComp[exp_item],$O63)</f>
        <v>0</v>
      </c>
      <c r="BL63" s="654">
        <f>SUMIFS(StockComp[Month 11],StockComp[exp_item],$O63)</f>
        <v>0</v>
      </c>
      <c r="BM63" s="654">
        <f>SUMIFS(StockComp[Month 12],StockComp[exp_item],$O63)</f>
        <v>0</v>
      </c>
      <c r="BN63" s="654">
        <f>SUMIFS(StockComp[Month 13],StockComp[exp_item],$O63)</f>
        <v>0</v>
      </c>
      <c r="BO63" s="654">
        <f>SUMIFS(StockComp[Month 14],StockComp[exp_item],$O63)</f>
        <v>0</v>
      </c>
      <c r="BP63" s="654">
        <f>SUMIFS(StockComp[Month 15],StockComp[exp_item],$O63)</f>
        <v>0</v>
      </c>
      <c r="BQ63" s="654">
        <f>SUMIFS(StockComp[Month 16],StockComp[exp_item],$O63)</f>
        <v>0</v>
      </c>
      <c r="BR63" s="654">
        <f>SUMIFS(StockComp[Month 17],StockComp[exp_item],$O63)</f>
        <v>0</v>
      </c>
      <c r="BS63" s="654">
        <f>SUMIFS(StockComp[Month 18],StockComp[exp_item],$O63)</f>
        <v>0</v>
      </c>
      <c r="BT63" s="654">
        <f>SUMIFS(StockComp[Month 19],StockComp[exp_item],$O63)</f>
        <v>0</v>
      </c>
      <c r="BU63" s="654">
        <f>SUMIFS(StockComp[Month 20],StockComp[exp_item],$O63)</f>
        <v>0</v>
      </c>
      <c r="BV63" s="654">
        <f>SUMIFS(StockComp[Month 21],StockComp[exp_item],$O63)</f>
        <v>0</v>
      </c>
      <c r="BW63" s="654">
        <f>SUMIFS(StockComp[Month 22],StockComp[exp_item],$O63)</f>
        <v>0</v>
      </c>
      <c r="BX63" s="654">
        <f>SUMIFS(StockComp[Month 23],StockComp[exp_item],$O63)</f>
        <v>0</v>
      </c>
      <c r="BY63" s="654">
        <f>SUMIFS(StockComp[Month 24],StockComp[exp_item],$O63)</f>
        <v>0</v>
      </c>
      <c r="BZ63" s="654">
        <f>SUMIFS(StockComp[Month 25],StockComp[exp_item],$O63)</f>
        <v>0</v>
      </c>
      <c r="CA63" s="654">
        <f>SUMIFS(StockComp[Month 26],StockComp[exp_item],$O63)</f>
        <v>0</v>
      </c>
      <c r="CB63" s="654">
        <f>SUMIFS(StockComp[Month 27],StockComp[exp_item],$O63)</f>
        <v>0</v>
      </c>
      <c r="CC63" s="654">
        <f>SUMIFS(StockComp[Month 28],StockComp[exp_item],$O63)</f>
        <v>0</v>
      </c>
      <c r="CD63" s="654">
        <f>SUMIFS(StockComp[Month 29],StockComp[exp_item],$O63)</f>
        <v>0</v>
      </c>
      <c r="CE63" s="654">
        <f>SUMIFS(StockComp[Month 30],StockComp[exp_item],$O63)</f>
        <v>0</v>
      </c>
      <c r="CF63" s="654">
        <f>SUMIFS(StockComp[Month 31],StockComp[exp_item],$O63)</f>
        <v>0</v>
      </c>
      <c r="CG63" s="654">
        <f>SUMIFS(StockComp[Month 32],StockComp[exp_item],$O63)</f>
        <v>0</v>
      </c>
      <c r="CH63" s="654">
        <f>SUMIFS(StockComp[Month 33],StockComp[exp_item],$O63)</f>
        <v>0</v>
      </c>
      <c r="CI63" s="654">
        <f>SUMIFS(StockComp[Month 34],StockComp[exp_item],$O63)</f>
        <v>0</v>
      </c>
      <c r="CJ63" s="654">
        <f>SUMIFS(StockComp[Month 35],StockComp[exp_item],$O63)</f>
        <v>0</v>
      </c>
      <c r="CK63" s="654">
        <f>SUMIFS(StockComp[Month 36],StockComp[exp_item],$O63)</f>
        <v>0</v>
      </c>
    </row>
    <row r="64" spans="1:94" s="255" customFormat="1" x14ac:dyDescent="0.35">
      <c r="A64" s="263"/>
      <c r="B64" s="257"/>
      <c r="C64" s="257"/>
      <c r="D64" s="257"/>
      <c r="E64" s="258"/>
      <c r="F64" s="257"/>
      <c r="G64" s="257"/>
      <c r="H64" s="257"/>
      <c r="I64" s="257"/>
      <c r="J64" s="257"/>
      <c r="K64" s="257"/>
      <c r="L64" s="257" t="str">
        <f t="shared" si="6"/>
        <v>Payroll Taxes - R&amp;D</v>
      </c>
      <c r="M64" s="257"/>
      <c r="N64" s="257"/>
      <c r="O64" s="257" t="s">
        <v>114</v>
      </c>
      <c r="P64" s="257"/>
      <c r="Q64" s="278"/>
      <c r="R64" s="278"/>
      <c r="S64" s="278"/>
      <c r="T64" s="278"/>
      <c r="U64" s="278"/>
      <c r="V64" s="278"/>
      <c r="W64" s="278"/>
      <c r="X64" s="278"/>
      <c r="Y64" s="278"/>
      <c r="Z64" s="278"/>
      <c r="AA64" s="278"/>
      <c r="AB64" s="278"/>
      <c r="AC64" s="278"/>
      <c r="AD64" s="278"/>
      <c r="AE64" s="278"/>
      <c r="AF64" s="278"/>
      <c r="AG64" s="278"/>
      <c r="AH64" s="278"/>
      <c r="AI64" s="278"/>
      <c r="AJ64" s="278"/>
      <c r="AK64" s="278"/>
      <c r="AL64" s="278"/>
      <c r="AM64" s="278"/>
      <c r="AN64" s="278"/>
      <c r="AO64" s="278"/>
      <c r="AP64" s="278"/>
      <c r="AQ64" s="278"/>
      <c r="AR64" s="278"/>
      <c r="AS64" s="278"/>
      <c r="AT64" s="278"/>
      <c r="AU64" s="278"/>
      <c r="AV64" s="278"/>
      <c r="AW64" s="278"/>
      <c r="AX64" s="278"/>
      <c r="AY64" s="278"/>
      <c r="AZ64" s="278"/>
      <c r="BA64" s="257"/>
      <c r="BB64" s="654">
        <f>SUMIFS(StockComp[Month 1],StockComp[exp_item],$O64)</f>
        <v>0</v>
      </c>
      <c r="BC64" s="654">
        <f>SUMIFS(StockComp[Month 2],StockComp[exp_item],$O64)</f>
        <v>0</v>
      </c>
      <c r="BD64" s="654">
        <f>SUMIFS(StockComp[Month 3],StockComp[exp_item],$O64)</f>
        <v>0</v>
      </c>
      <c r="BE64" s="654">
        <f>SUMIFS(StockComp[Month 4],StockComp[exp_item],$O64)</f>
        <v>0</v>
      </c>
      <c r="BF64" s="654">
        <f>SUMIFS(StockComp[Month 5],StockComp[exp_item],$O64)</f>
        <v>0</v>
      </c>
      <c r="BG64" s="654">
        <f>SUMIFS(StockComp[Month 6],StockComp[exp_item],$O64)</f>
        <v>0</v>
      </c>
      <c r="BH64" s="654">
        <f>SUMIFS(StockComp[Month 7],StockComp[exp_item],$O64)</f>
        <v>0</v>
      </c>
      <c r="BI64" s="654">
        <f>SUMIFS(StockComp[Month 8],StockComp[exp_item],$O64)</f>
        <v>0</v>
      </c>
      <c r="BJ64" s="654">
        <f>SUMIFS(StockComp[Month 9],StockComp[exp_item],$O64)</f>
        <v>0</v>
      </c>
      <c r="BK64" s="654">
        <f>SUMIFS(StockComp[Month 10],StockComp[exp_item],$O64)</f>
        <v>0</v>
      </c>
      <c r="BL64" s="654">
        <f>SUMIFS(StockComp[Month 11],StockComp[exp_item],$O64)</f>
        <v>0</v>
      </c>
      <c r="BM64" s="654">
        <f>SUMIFS(StockComp[Month 12],StockComp[exp_item],$O64)</f>
        <v>0</v>
      </c>
      <c r="BN64" s="654">
        <f>SUMIFS(StockComp[Month 13],StockComp[exp_item],$O64)</f>
        <v>0</v>
      </c>
      <c r="BO64" s="654">
        <f>SUMIFS(StockComp[Month 14],StockComp[exp_item],$O64)</f>
        <v>0</v>
      </c>
      <c r="BP64" s="654">
        <f>SUMIFS(StockComp[Month 15],StockComp[exp_item],$O64)</f>
        <v>0</v>
      </c>
      <c r="BQ64" s="654">
        <f>SUMIFS(StockComp[Month 16],StockComp[exp_item],$O64)</f>
        <v>0</v>
      </c>
      <c r="BR64" s="654">
        <f>SUMIFS(StockComp[Month 17],StockComp[exp_item],$O64)</f>
        <v>0</v>
      </c>
      <c r="BS64" s="654">
        <f>SUMIFS(StockComp[Month 18],StockComp[exp_item],$O64)</f>
        <v>0</v>
      </c>
      <c r="BT64" s="654">
        <f>SUMIFS(StockComp[Month 19],StockComp[exp_item],$O64)</f>
        <v>0</v>
      </c>
      <c r="BU64" s="654">
        <f>SUMIFS(StockComp[Month 20],StockComp[exp_item],$O64)</f>
        <v>0</v>
      </c>
      <c r="BV64" s="654">
        <f>SUMIFS(StockComp[Month 21],StockComp[exp_item],$O64)</f>
        <v>0</v>
      </c>
      <c r="BW64" s="654">
        <f>SUMIFS(StockComp[Month 22],StockComp[exp_item],$O64)</f>
        <v>0</v>
      </c>
      <c r="BX64" s="654">
        <f>SUMIFS(StockComp[Month 23],StockComp[exp_item],$O64)</f>
        <v>0</v>
      </c>
      <c r="BY64" s="654">
        <f>SUMIFS(StockComp[Month 24],StockComp[exp_item],$O64)</f>
        <v>0</v>
      </c>
      <c r="BZ64" s="654">
        <f>SUMIFS(StockComp[Month 25],StockComp[exp_item],$O64)</f>
        <v>0</v>
      </c>
      <c r="CA64" s="654">
        <f>SUMIFS(StockComp[Month 26],StockComp[exp_item],$O64)</f>
        <v>0</v>
      </c>
      <c r="CB64" s="654">
        <f>SUMIFS(StockComp[Month 27],StockComp[exp_item],$O64)</f>
        <v>0</v>
      </c>
      <c r="CC64" s="654">
        <f>SUMIFS(StockComp[Month 28],StockComp[exp_item],$O64)</f>
        <v>0</v>
      </c>
      <c r="CD64" s="654">
        <f>SUMIFS(StockComp[Month 29],StockComp[exp_item],$O64)</f>
        <v>0</v>
      </c>
      <c r="CE64" s="654">
        <f>SUMIFS(StockComp[Month 30],StockComp[exp_item],$O64)</f>
        <v>0</v>
      </c>
      <c r="CF64" s="654">
        <f>SUMIFS(StockComp[Month 31],StockComp[exp_item],$O64)</f>
        <v>0</v>
      </c>
      <c r="CG64" s="654">
        <f>SUMIFS(StockComp[Month 32],StockComp[exp_item],$O64)</f>
        <v>0</v>
      </c>
      <c r="CH64" s="654">
        <f>SUMIFS(StockComp[Month 33],StockComp[exp_item],$O64)</f>
        <v>0</v>
      </c>
      <c r="CI64" s="654">
        <f>SUMIFS(StockComp[Month 34],StockComp[exp_item],$O64)</f>
        <v>0</v>
      </c>
      <c r="CJ64" s="654">
        <f>SUMIFS(StockComp[Month 35],StockComp[exp_item],$O64)</f>
        <v>0</v>
      </c>
      <c r="CK64" s="654">
        <f>SUMIFS(StockComp[Month 36],StockComp[exp_item],$O64)</f>
        <v>0</v>
      </c>
    </row>
    <row r="65" spans="1:89" s="255" customFormat="1" x14ac:dyDescent="0.35">
      <c r="A65" s="263"/>
      <c r="B65" s="257"/>
      <c r="C65" s="257"/>
      <c r="D65" s="257"/>
      <c r="E65" s="258"/>
      <c r="F65" s="257"/>
      <c r="G65" s="257"/>
      <c r="H65" s="257"/>
      <c r="I65" s="257"/>
      <c r="J65" s="257"/>
      <c r="K65" s="257"/>
      <c r="L65" s="257" t="str">
        <f t="shared" si="6"/>
        <v>Stock Based Comp - R&amp;D</v>
      </c>
      <c r="M65" s="257"/>
      <c r="N65" s="257"/>
      <c r="O65" s="257" t="s">
        <v>116</v>
      </c>
      <c r="P65" s="257"/>
      <c r="Q65" s="278"/>
      <c r="R65" s="278"/>
      <c r="S65" s="278"/>
      <c r="T65" s="278"/>
      <c r="U65" s="278"/>
      <c r="V65" s="278"/>
      <c r="W65" s="278"/>
      <c r="X65" s="278"/>
      <c r="Y65" s="278"/>
      <c r="Z65" s="278"/>
      <c r="AA65" s="278"/>
      <c r="AB65" s="278"/>
      <c r="AC65" s="278"/>
      <c r="AD65" s="278"/>
      <c r="AE65" s="278"/>
      <c r="AF65" s="278"/>
      <c r="AG65" s="278"/>
      <c r="AH65" s="278"/>
      <c r="AI65" s="278"/>
      <c r="AJ65" s="278"/>
      <c r="AK65" s="278"/>
      <c r="AL65" s="278"/>
      <c r="AM65" s="278"/>
      <c r="AN65" s="278"/>
      <c r="AO65" s="278"/>
      <c r="AP65" s="278"/>
      <c r="AQ65" s="278"/>
      <c r="AR65" s="278"/>
      <c r="AS65" s="278"/>
      <c r="AT65" s="278"/>
      <c r="AU65" s="278"/>
      <c r="AV65" s="278"/>
      <c r="AW65" s="278"/>
      <c r="AX65" s="278"/>
      <c r="AY65" s="278"/>
      <c r="AZ65" s="278"/>
      <c r="BA65" s="257"/>
      <c r="BB65" s="654">
        <f>SUMIFS(StockComp[Month 1],StockComp[exp_item],$O65)</f>
        <v>0</v>
      </c>
      <c r="BC65" s="654">
        <f>SUMIFS(StockComp[Month 2],StockComp[exp_item],$O65)</f>
        <v>0</v>
      </c>
      <c r="BD65" s="654">
        <f>SUMIFS(StockComp[Month 3],StockComp[exp_item],$O65)</f>
        <v>0</v>
      </c>
      <c r="BE65" s="654">
        <f>SUMIFS(StockComp[Month 4],StockComp[exp_item],$O65)</f>
        <v>0</v>
      </c>
      <c r="BF65" s="654">
        <f>SUMIFS(StockComp[Month 5],StockComp[exp_item],$O65)</f>
        <v>0</v>
      </c>
      <c r="BG65" s="654">
        <f>SUMIFS(StockComp[Month 6],StockComp[exp_item],$O65)</f>
        <v>0</v>
      </c>
      <c r="BH65" s="654">
        <f>SUMIFS(StockComp[Month 7],StockComp[exp_item],$O65)</f>
        <v>0</v>
      </c>
      <c r="BI65" s="654">
        <f>SUMIFS(StockComp[Month 8],StockComp[exp_item],$O65)</f>
        <v>0</v>
      </c>
      <c r="BJ65" s="654">
        <f>SUMIFS(StockComp[Month 9],StockComp[exp_item],$O65)</f>
        <v>0</v>
      </c>
      <c r="BK65" s="654">
        <f>SUMIFS(StockComp[Month 10],StockComp[exp_item],$O65)</f>
        <v>0</v>
      </c>
      <c r="BL65" s="654">
        <f>SUMIFS(StockComp[Month 11],StockComp[exp_item],$O65)</f>
        <v>0</v>
      </c>
      <c r="BM65" s="654">
        <f>SUMIFS(StockComp[Month 12],StockComp[exp_item],$O65)</f>
        <v>0</v>
      </c>
      <c r="BN65" s="654">
        <f>SUMIFS(StockComp[Month 13],StockComp[exp_item],$O65)</f>
        <v>0</v>
      </c>
      <c r="BO65" s="654">
        <f>SUMIFS(StockComp[Month 14],StockComp[exp_item],$O65)</f>
        <v>0</v>
      </c>
      <c r="BP65" s="654">
        <f>SUMIFS(StockComp[Month 15],StockComp[exp_item],$O65)</f>
        <v>0</v>
      </c>
      <c r="BQ65" s="654">
        <f>SUMIFS(StockComp[Month 16],StockComp[exp_item],$O65)</f>
        <v>0</v>
      </c>
      <c r="BR65" s="654">
        <f>SUMIFS(StockComp[Month 17],StockComp[exp_item],$O65)</f>
        <v>0</v>
      </c>
      <c r="BS65" s="654">
        <f>SUMIFS(StockComp[Month 18],StockComp[exp_item],$O65)</f>
        <v>0</v>
      </c>
      <c r="BT65" s="654">
        <f>SUMIFS(StockComp[Month 19],StockComp[exp_item],$O65)</f>
        <v>0</v>
      </c>
      <c r="BU65" s="654">
        <f>SUMIFS(StockComp[Month 20],StockComp[exp_item],$O65)</f>
        <v>0</v>
      </c>
      <c r="BV65" s="654">
        <f>SUMIFS(StockComp[Month 21],StockComp[exp_item],$O65)</f>
        <v>0</v>
      </c>
      <c r="BW65" s="654">
        <f>SUMIFS(StockComp[Month 22],StockComp[exp_item],$O65)</f>
        <v>0</v>
      </c>
      <c r="BX65" s="654">
        <f>SUMIFS(StockComp[Month 23],StockComp[exp_item],$O65)</f>
        <v>0</v>
      </c>
      <c r="BY65" s="654">
        <f>SUMIFS(StockComp[Month 24],StockComp[exp_item],$O65)</f>
        <v>0</v>
      </c>
      <c r="BZ65" s="654">
        <f>SUMIFS(StockComp[Month 25],StockComp[exp_item],$O65)</f>
        <v>0</v>
      </c>
      <c r="CA65" s="654">
        <f>SUMIFS(StockComp[Month 26],StockComp[exp_item],$O65)</f>
        <v>0</v>
      </c>
      <c r="CB65" s="654">
        <f>SUMIFS(StockComp[Month 27],StockComp[exp_item],$O65)</f>
        <v>0</v>
      </c>
      <c r="CC65" s="654">
        <f>SUMIFS(StockComp[Month 28],StockComp[exp_item],$O65)</f>
        <v>0</v>
      </c>
      <c r="CD65" s="654">
        <f>SUMIFS(StockComp[Month 29],StockComp[exp_item],$O65)</f>
        <v>0</v>
      </c>
      <c r="CE65" s="654">
        <f>SUMIFS(StockComp[Month 30],StockComp[exp_item],$O65)</f>
        <v>0</v>
      </c>
      <c r="CF65" s="654">
        <f>SUMIFS(StockComp[Month 31],StockComp[exp_item],$O65)</f>
        <v>0</v>
      </c>
      <c r="CG65" s="654">
        <f>SUMIFS(StockComp[Month 32],StockComp[exp_item],$O65)</f>
        <v>0</v>
      </c>
      <c r="CH65" s="654">
        <f>SUMIFS(StockComp[Month 33],StockComp[exp_item],$O65)</f>
        <v>0</v>
      </c>
      <c r="CI65" s="654">
        <f>SUMIFS(StockComp[Month 34],StockComp[exp_item],$O65)</f>
        <v>0</v>
      </c>
      <c r="CJ65" s="654">
        <f>SUMIFS(StockComp[Month 35],StockComp[exp_item],$O65)</f>
        <v>0</v>
      </c>
      <c r="CK65" s="654">
        <f>SUMIFS(StockComp[Month 36],StockComp[exp_item],$O65)</f>
        <v>0</v>
      </c>
    </row>
    <row r="66" spans="1:89" s="255" customFormat="1" x14ac:dyDescent="0.35">
      <c r="A66" s="263"/>
      <c r="B66" s="257"/>
      <c r="C66" s="257"/>
      <c r="D66" s="257"/>
      <c r="E66" s="258"/>
      <c r="F66" s="257"/>
      <c r="G66" s="257"/>
      <c r="H66" s="257"/>
      <c r="I66" s="257"/>
      <c r="J66" s="257"/>
      <c r="K66" s="257"/>
      <c r="L66" s="257" t="str">
        <f t="shared" si="6"/>
        <v>Stock Based Comp - G&amp;A</v>
      </c>
      <c r="M66" s="257"/>
      <c r="N66" s="257"/>
      <c r="O66" s="257" t="s">
        <v>181</v>
      </c>
      <c r="P66" s="257"/>
      <c r="Q66" s="278"/>
      <c r="R66" s="278"/>
      <c r="S66" s="278"/>
      <c r="T66" s="278"/>
      <c r="U66" s="278"/>
      <c r="V66" s="278"/>
      <c r="W66" s="278"/>
      <c r="X66" s="278"/>
      <c r="Y66" s="278"/>
      <c r="Z66" s="278"/>
      <c r="AA66" s="278"/>
      <c r="AB66" s="278"/>
      <c r="AC66" s="278"/>
      <c r="AD66" s="278"/>
      <c r="AE66" s="278"/>
      <c r="AF66" s="278"/>
      <c r="AG66" s="278"/>
      <c r="AH66" s="278"/>
      <c r="AI66" s="278"/>
      <c r="AJ66" s="278"/>
      <c r="AK66" s="278"/>
      <c r="AL66" s="278"/>
      <c r="AM66" s="278"/>
      <c r="AN66" s="278"/>
      <c r="AO66" s="278"/>
      <c r="AP66" s="278"/>
      <c r="AQ66" s="278"/>
      <c r="AR66" s="278"/>
      <c r="AS66" s="278"/>
      <c r="AT66" s="278"/>
      <c r="AU66" s="278"/>
      <c r="AV66" s="278"/>
      <c r="AW66" s="278"/>
      <c r="AX66" s="278"/>
      <c r="AY66" s="278"/>
      <c r="AZ66" s="278"/>
      <c r="BA66" s="257"/>
      <c r="BB66" s="654">
        <f>SUMIFS(StockComp[Month 1],StockComp[exp_item],$O66)</f>
        <v>0</v>
      </c>
      <c r="BC66" s="654">
        <f>SUMIFS(StockComp[Month 2],StockComp[exp_item],$O66)</f>
        <v>0</v>
      </c>
      <c r="BD66" s="654">
        <f>SUMIFS(StockComp[Month 3],StockComp[exp_item],$O66)</f>
        <v>0</v>
      </c>
      <c r="BE66" s="654">
        <f>SUMIFS(StockComp[Month 4],StockComp[exp_item],$O66)</f>
        <v>0</v>
      </c>
      <c r="BF66" s="654">
        <f>SUMIFS(StockComp[Month 5],StockComp[exp_item],$O66)</f>
        <v>0</v>
      </c>
      <c r="BG66" s="654">
        <f>SUMIFS(StockComp[Month 6],StockComp[exp_item],$O66)</f>
        <v>0</v>
      </c>
      <c r="BH66" s="654">
        <f>SUMIFS(StockComp[Month 7],StockComp[exp_item],$O66)</f>
        <v>0</v>
      </c>
      <c r="BI66" s="654">
        <f>SUMIFS(StockComp[Month 8],StockComp[exp_item],$O66)</f>
        <v>0</v>
      </c>
      <c r="BJ66" s="654">
        <f>SUMIFS(StockComp[Month 9],StockComp[exp_item],$O66)</f>
        <v>0</v>
      </c>
      <c r="BK66" s="654">
        <f>SUMIFS(StockComp[Month 10],StockComp[exp_item],$O66)</f>
        <v>0</v>
      </c>
      <c r="BL66" s="654">
        <f>SUMIFS(StockComp[Month 11],StockComp[exp_item],$O66)</f>
        <v>0</v>
      </c>
      <c r="BM66" s="654">
        <f>SUMIFS(StockComp[Month 12],StockComp[exp_item],$O66)</f>
        <v>0</v>
      </c>
      <c r="BN66" s="654">
        <f>SUMIFS(StockComp[Month 13],StockComp[exp_item],$O66)</f>
        <v>0</v>
      </c>
      <c r="BO66" s="654">
        <f>SUMIFS(StockComp[Month 14],StockComp[exp_item],$O66)</f>
        <v>0</v>
      </c>
      <c r="BP66" s="654">
        <f>SUMIFS(StockComp[Month 15],StockComp[exp_item],$O66)</f>
        <v>0</v>
      </c>
      <c r="BQ66" s="654">
        <f>SUMIFS(StockComp[Month 16],StockComp[exp_item],$O66)</f>
        <v>0</v>
      </c>
      <c r="BR66" s="654">
        <f>SUMIFS(StockComp[Month 17],StockComp[exp_item],$O66)</f>
        <v>0</v>
      </c>
      <c r="BS66" s="654">
        <f>SUMIFS(StockComp[Month 18],StockComp[exp_item],$O66)</f>
        <v>0</v>
      </c>
      <c r="BT66" s="654">
        <f>SUMIFS(StockComp[Month 19],StockComp[exp_item],$O66)</f>
        <v>0</v>
      </c>
      <c r="BU66" s="654">
        <f>SUMIFS(StockComp[Month 20],StockComp[exp_item],$O66)</f>
        <v>0</v>
      </c>
      <c r="BV66" s="654">
        <f>SUMIFS(StockComp[Month 21],StockComp[exp_item],$O66)</f>
        <v>0</v>
      </c>
      <c r="BW66" s="654">
        <f>SUMIFS(StockComp[Month 22],StockComp[exp_item],$O66)</f>
        <v>0</v>
      </c>
      <c r="BX66" s="654">
        <f>SUMIFS(StockComp[Month 23],StockComp[exp_item],$O66)</f>
        <v>0</v>
      </c>
      <c r="BY66" s="654">
        <f>SUMIFS(StockComp[Month 24],StockComp[exp_item],$O66)</f>
        <v>0</v>
      </c>
      <c r="BZ66" s="654">
        <f>SUMIFS(StockComp[Month 25],StockComp[exp_item],$O66)</f>
        <v>0</v>
      </c>
      <c r="CA66" s="654">
        <f>SUMIFS(StockComp[Month 26],StockComp[exp_item],$O66)</f>
        <v>0</v>
      </c>
      <c r="CB66" s="654">
        <f>SUMIFS(StockComp[Month 27],StockComp[exp_item],$O66)</f>
        <v>0</v>
      </c>
      <c r="CC66" s="654">
        <f>SUMIFS(StockComp[Month 28],StockComp[exp_item],$O66)</f>
        <v>0</v>
      </c>
      <c r="CD66" s="654">
        <f>SUMIFS(StockComp[Month 29],StockComp[exp_item],$O66)</f>
        <v>0</v>
      </c>
      <c r="CE66" s="654">
        <f>SUMIFS(StockComp[Month 30],StockComp[exp_item],$O66)</f>
        <v>0</v>
      </c>
      <c r="CF66" s="654">
        <f>SUMIFS(StockComp[Month 31],StockComp[exp_item],$O66)</f>
        <v>0</v>
      </c>
      <c r="CG66" s="654">
        <f>SUMIFS(StockComp[Month 32],StockComp[exp_item],$O66)</f>
        <v>0</v>
      </c>
      <c r="CH66" s="654">
        <f>SUMIFS(StockComp[Month 33],StockComp[exp_item],$O66)</f>
        <v>0</v>
      </c>
      <c r="CI66" s="654">
        <f>SUMIFS(StockComp[Month 34],StockComp[exp_item],$O66)</f>
        <v>0</v>
      </c>
      <c r="CJ66" s="654">
        <f>SUMIFS(StockComp[Month 35],StockComp[exp_item],$O66)</f>
        <v>0</v>
      </c>
      <c r="CK66" s="654">
        <f>SUMIFS(StockComp[Month 36],StockComp[exp_item],$O66)</f>
        <v>0</v>
      </c>
    </row>
    <row r="67" spans="1:89" s="255" customFormat="1" x14ac:dyDescent="0.35">
      <c r="A67" s="263"/>
      <c r="B67" s="257"/>
      <c r="C67" s="257"/>
      <c r="D67" s="257"/>
      <c r="E67" s="258"/>
      <c r="F67" s="257"/>
      <c r="G67" s="257"/>
      <c r="H67" s="257"/>
      <c r="I67" s="257"/>
      <c r="J67" s="257"/>
      <c r="K67" s="257"/>
      <c r="L67" s="257" t="str">
        <f t="shared" si="6"/>
        <v>Stock Based Comp - COR</v>
      </c>
      <c r="M67" s="257"/>
      <c r="N67" s="257"/>
      <c r="O67" s="257" t="s">
        <v>82</v>
      </c>
      <c r="P67" s="257"/>
      <c r="Q67" s="278"/>
      <c r="R67" s="278"/>
      <c r="S67" s="278"/>
      <c r="T67" s="278"/>
      <c r="U67" s="278"/>
      <c r="V67" s="278"/>
      <c r="W67" s="278"/>
      <c r="X67" s="278"/>
      <c r="Y67" s="278"/>
      <c r="Z67" s="278"/>
      <c r="AA67" s="278"/>
      <c r="AB67" s="278"/>
      <c r="AC67" s="278"/>
      <c r="AD67" s="278"/>
      <c r="AE67" s="278"/>
      <c r="AF67" s="278"/>
      <c r="AG67" s="278"/>
      <c r="AH67" s="278"/>
      <c r="AI67" s="278"/>
      <c r="AJ67" s="278"/>
      <c r="AK67" s="278"/>
      <c r="AL67" s="278"/>
      <c r="AM67" s="278"/>
      <c r="AN67" s="278"/>
      <c r="AO67" s="278"/>
      <c r="AP67" s="278"/>
      <c r="AQ67" s="278"/>
      <c r="AR67" s="278"/>
      <c r="AS67" s="278"/>
      <c r="AT67" s="278"/>
      <c r="AU67" s="278"/>
      <c r="AV67" s="278"/>
      <c r="AW67" s="278"/>
      <c r="AX67" s="278"/>
      <c r="AY67" s="278"/>
      <c r="AZ67" s="278"/>
      <c r="BA67" s="257"/>
      <c r="BB67" s="654">
        <f>SUMIFS(StockComp[Month 1],StockComp[exp_item],$O67)</f>
        <v>0</v>
      </c>
      <c r="BC67" s="654">
        <f>SUMIFS(StockComp[Month 2],StockComp[exp_item],$O67)</f>
        <v>0</v>
      </c>
      <c r="BD67" s="654">
        <f>SUMIFS(StockComp[Month 3],StockComp[exp_item],$O67)</f>
        <v>0</v>
      </c>
      <c r="BE67" s="654">
        <f>SUMIFS(StockComp[Month 4],StockComp[exp_item],$O67)</f>
        <v>0</v>
      </c>
      <c r="BF67" s="654">
        <f>SUMIFS(StockComp[Month 5],StockComp[exp_item],$O67)</f>
        <v>0</v>
      </c>
      <c r="BG67" s="654">
        <f>SUMIFS(StockComp[Month 6],StockComp[exp_item],$O67)</f>
        <v>0</v>
      </c>
      <c r="BH67" s="654">
        <f>SUMIFS(StockComp[Month 7],StockComp[exp_item],$O67)</f>
        <v>0</v>
      </c>
      <c r="BI67" s="654">
        <f>SUMIFS(StockComp[Month 8],StockComp[exp_item],$O67)</f>
        <v>0</v>
      </c>
      <c r="BJ67" s="654">
        <f>SUMIFS(StockComp[Month 9],StockComp[exp_item],$O67)</f>
        <v>0</v>
      </c>
      <c r="BK67" s="654">
        <f>SUMIFS(StockComp[Month 10],StockComp[exp_item],$O67)</f>
        <v>0</v>
      </c>
      <c r="BL67" s="654">
        <f>SUMIFS(StockComp[Month 11],StockComp[exp_item],$O67)</f>
        <v>0</v>
      </c>
      <c r="BM67" s="654">
        <f>SUMIFS(StockComp[Month 12],StockComp[exp_item],$O67)</f>
        <v>0</v>
      </c>
      <c r="BN67" s="654">
        <f>SUMIFS(StockComp[Month 13],StockComp[exp_item],$O67)</f>
        <v>0</v>
      </c>
      <c r="BO67" s="654">
        <f>SUMIFS(StockComp[Month 14],StockComp[exp_item],$O67)</f>
        <v>0</v>
      </c>
      <c r="BP67" s="654">
        <f>SUMIFS(StockComp[Month 15],StockComp[exp_item],$O67)</f>
        <v>0</v>
      </c>
      <c r="BQ67" s="654">
        <f>SUMIFS(StockComp[Month 16],StockComp[exp_item],$O67)</f>
        <v>0</v>
      </c>
      <c r="BR67" s="654">
        <f>SUMIFS(StockComp[Month 17],StockComp[exp_item],$O67)</f>
        <v>0</v>
      </c>
      <c r="BS67" s="654">
        <f>SUMIFS(StockComp[Month 18],StockComp[exp_item],$O67)</f>
        <v>0</v>
      </c>
      <c r="BT67" s="654">
        <f>SUMIFS(StockComp[Month 19],StockComp[exp_item],$O67)</f>
        <v>0</v>
      </c>
      <c r="BU67" s="654">
        <f>SUMIFS(StockComp[Month 20],StockComp[exp_item],$O67)</f>
        <v>0</v>
      </c>
      <c r="BV67" s="654">
        <f>SUMIFS(StockComp[Month 21],StockComp[exp_item],$O67)</f>
        <v>0</v>
      </c>
      <c r="BW67" s="654">
        <f>SUMIFS(StockComp[Month 22],StockComp[exp_item],$O67)</f>
        <v>0</v>
      </c>
      <c r="BX67" s="654">
        <f>SUMIFS(StockComp[Month 23],StockComp[exp_item],$O67)</f>
        <v>0</v>
      </c>
      <c r="BY67" s="654">
        <f>SUMIFS(StockComp[Month 24],StockComp[exp_item],$O67)</f>
        <v>0</v>
      </c>
      <c r="BZ67" s="654">
        <f>SUMIFS(StockComp[Month 25],StockComp[exp_item],$O67)</f>
        <v>0</v>
      </c>
      <c r="CA67" s="654">
        <f>SUMIFS(StockComp[Month 26],StockComp[exp_item],$O67)</f>
        <v>0</v>
      </c>
      <c r="CB67" s="654">
        <f>SUMIFS(StockComp[Month 27],StockComp[exp_item],$O67)</f>
        <v>0</v>
      </c>
      <c r="CC67" s="654">
        <f>SUMIFS(StockComp[Month 28],StockComp[exp_item],$O67)</f>
        <v>0</v>
      </c>
      <c r="CD67" s="654">
        <f>SUMIFS(StockComp[Month 29],StockComp[exp_item],$O67)</f>
        <v>0</v>
      </c>
      <c r="CE67" s="654">
        <f>SUMIFS(StockComp[Month 30],StockComp[exp_item],$O67)</f>
        <v>0</v>
      </c>
      <c r="CF67" s="654">
        <f>SUMIFS(StockComp[Month 31],StockComp[exp_item],$O67)</f>
        <v>0</v>
      </c>
      <c r="CG67" s="654">
        <f>SUMIFS(StockComp[Month 32],StockComp[exp_item],$O67)</f>
        <v>0</v>
      </c>
      <c r="CH67" s="654">
        <f>SUMIFS(StockComp[Month 33],StockComp[exp_item],$O67)</f>
        <v>0</v>
      </c>
      <c r="CI67" s="654">
        <f>SUMIFS(StockComp[Month 34],StockComp[exp_item],$O67)</f>
        <v>0</v>
      </c>
      <c r="CJ67" s="654">
        <f>SUMIFS(StockComp[Month 35],StockComp[exp_item],$O67)</f>
        <v>0</v>
      </c>
      <c r="CK67" s="654">
        <f>SUMIFS(StockComp[Month 36],StockComp[exp_item],$O67)</f>
        <v>0</v>
      </c>
    </row>
    <row r="68" spans="1:89" s="255" customFormat="1" x14ac:dyDescent="0.35">
      <c r="A68" s="263"/>
      <c r="B68" s="257"/>
      <c r="C68" s="257"/>
      <c r="D68" s="257"/>
      <c r="E68" s="258"/>
      <c r="F68" s="257"/>
      <c r="G68" s="257"/>
      <c r="H68" s="257"/>
      <c r="I68" s="257"/>
      <c r="J68" s="257"/>
      <c r="K68" s="257"/>
      <c r="L68" s="257" t="str">
        <f t="shared" si="6"/>
        <v>Stock Based Comp - S&amp;M</v>
      </c>
      <c r="M68" s="257"/>
      <c r="N68" s="257"/>
      <c r="O68" s="257" t="s">
        <v>149</v>
      </c>
      <c r="P68" s="257"/>
      <c r="Q68" s="278"/>
      <c r="R68" s="278"/>
      <c r="S68" s="278"/>
      <c r="T68" s="278"/>
      <c r="U68" s="278"/>
      <c r="V68" s="278"/>
      <c r="W68" s="278"/>
      <c r="X68" s="278"/>
      <c r="Y68" s="278"/>
      <c r="Z68" s="278"/>
      <c r="AA68" s="278"/>
      <c r="AB68" s="278"/>
      <c r="AC68" s="278"/>
      <c r="AD68" s="278"/>
      <c r="AE68" s="278"/>
      <c r="AF68" s="278"/>
      <c r="AG68" s="278"/>
      <c r="AH68" s="278"/>
      <c r="AI68" s="278"/>
      <c r="AJ68" s="278"/>
      <c r="AK68" s="278"/>
      <c r="AL68" s="278"/>
      <c r="AM68" s="278"/>
      <c r="AN68" s="278"/>
      <c r="AO68" s="278"/>
      <c r="AP68" s="278"/>
      <c r="AQ68" s="278"/>
      <c r="AR68" s="278"/>
      <c r="AS68" s="278"/>
      <c r="AT68" s="278"/>
      <c r="AU68" s="278"/>
      <c r="AV68" s="278"/>
      <c r="AW68" s="278"/>
      <c r="AX68" s="278"/>
      <c r="AY68" s="278"/>
      <c r="AZ68" s="278"/>
      <c r="BA68" s="257"/>
      <c r="BB68" s="654">
        <f>SUMIFS(StockComp[Month 1],StockComp[exp_item],$O68)</f>
        <v>0</v>
      </c>
      <c r="BC68" s="654">
        <f>SUMIFS(StockComp[Month 2],StockComp[exp_item],$O68)</f>
        <v>0</v>
      </c>
      <c r="BD68" s="654">
        <f>SUMIFS(StockComp[Month 3],StockComp[exp_item],$O68)</f>
        <v>0</v>
      </c>
      <c r="BE68" s="654">
        <f>SUMIFS(StockComp[Month 4],StockComp[exp_item],$O68)</f>
        <v>0</v>
      </c>
      <c r="BF68" s="654">
        <f>SUMIFS(StockComp[Month 5],StockComp[exp_item],$O68)</f>
        <v>0</v>
      </c>
      <c r="BG68" s="654">
        <f>SUMIFS(StockComp[Month 6],StockComp[exp_item],$O68)</f>
        <v>0</v>
      </c>
      <c r="BH68" s="654">
        <f>SUMIFS(StockComp[Month 7],StockComp[exp_item],$O68)</f>
        <v>0</v>
      </c>
      <c r="BI68" s="654">
        <f>SUMIFS(StockComp[Month 8],StockComp[exp_item],$O68)</f>
        <v>0</v>
      </c>
      <c r="BJ68" s="654">
        <f>SUMIFS(StockComp[Month 9],StockComp[exp_item],$O68)</f>
        <v>0</v>
      </c>
      <c r="BK68" s="654">
        <f>SUMIFS(StockComp[Month 10],StockComp[exp_item],$O68)</f>
        <v>0</v>
      </c>
      <c r="BL68" s="654">
        <f>SUMIFS(StockComp[Month 11],StockComp[exp_item],$O68)</f>
        <v>0</v>
      </c>
      <c r="BM68" s="654">
        <f>SUMIFS(StockComp[Month 12],StockComp[exp_item],$O68)</f>
        <v>0</v>
      </c>
      <c r="BN68" s="654">
        <f>SUMIFS(StockComp[Month 13],StockComp[exp_item],$O68)</f>
        <v>0</v>
      </c>
      <c r="BO68" s="654">
        <f>SUMIFS(StockComp[Month 14],StockComp[exp_item],$O68)</f>
        <v>0</v>
      </c>
      <c r="BP68" s="654">
        <f>SUMIFS(StockComp[Month 15],StockComp[exp_item],$O68)</f>
        <v>0</v>
      </c>
      <c r="BQ68" s="654">
        <f>SUMIFS(StockComp[Month 16],StockComp[exp_item],$O68)</f>
        <v>0</v>
      </c>
      <c r="BR68" s="654">
        <f>SUMIFS(StockComp[Month 17],StockComp[exp_item],$O68)</f>
        <v>0</v>
      </c>
      <c r="BS68" s="654">
        <f>SUMIFS(StockComp[Month 18],StockComp[exp_item],$O68)</f>
        <v>0</v>
      </c>
      <c r="BT68" s="654">
        <f>SUMIFS(StockComp[Month 19],StockComp[exp_item],$O68)</f>
        <v>0</v>
      </c>
      <c r="BU68" s="654">
        <f>SUMIFS(StockComp[Month 20],StockComp[exp_item],$O68)</f>
        <v>0</v>
      </c>
      <c r="BV68" s="654">
        <f>SUMIFS(StockComp[Month 21],StockComp[exp_item],$O68)</f>
        <v>0</v>
      </c>
      <c r="BW68" s="654">
        <f>SUMIFS(StockComp[Month 22],StockComp[exp_item],$O68)</f>
        <v>0</v>
      </c>
      <c r="BX68" s="654">
        <f>SUMIFS(StockComp[Month 23],StockComp[exp_item],$O68)</f>
        <v>0</v>
      </c>
      <c r="BY68" s="654">
        <f>SUMIFS(StockComp[Month 24],StockComp[exp_item],$O68)</f>
        <v>0</v>
      </c>
      <c r="BZ68" s="654">
        <f>SUMIFS(StockComp[Month 25],StockComp[exp_item],$O68)</f>
        <v>0</v>
      </c>
      <c r="CA68" s="654">
        <f>SUMIFS(StockComp[Month 26],StockComp[exp_item],$O68)</f>
        <v>0</v>
      </c>
      <c r="CB68" s="654">
        <f>SUMIFS(StockComp[Month 27],StockComp[exp_item],$O68)</f>
        <v>0</v>
      </c>
      <c r="CC68" s="654">
        <f>SUMIFS(StockComp[Month 28],StockComp[exp_item],$O68)</f>
        <v>0</v>
      </c>
      <c r="CD68" s="654">
        <f>SUMIFS(StockComp[Month 29],StockComp[exp_item],$O68)</f>
        <v>0</v>
      </c>
      <c r="CE68" s="654">
        <f>SUMIFS(StockComp[Month 30],StockComp[exp_item],$O68)</f>
        <v>0</v>
      </c>
      <c r="CF68" s="654">
        <f>SUMIFS(StockComp[Month 31],StockComp[exp_item],$O68)</f>
        <v>0</v>
      </c>
      <c r="CG68" s="654">
        <f>SUMIFS(StockComp[Month 32],StockComp[exp_item],$O68)</f>
        <v>0</v>
      </c>
      <c r="CH68" s="654">
        <f>SUMIFS(StockComp[Month 33],StockComp[exp_item],$O68)</f>
        <v>0</v>
      </c>
      <c r="CI68" s="654">
        <f>SUMIFS(StockComp[Month 34],StockComp[exp_item],$O68)</f>
        <v>0</v>
      </c>
      <c r="CJ68" s="654">
        <f>SUMIFS(StockComp[Month 35],StockComp[exp_item],$O68)</f>
        <v>0</v>
      </c>
      <c r="CK68" s="654">
        <f>SUMIFS(StockComp[Month 36],StockComp[exp_item],$O68)</f>
        <v>0</v>
      </c>
    </row>
    <row r="69" spans="1:89" x14ac:dyDescent="0.35">
      <c r="A69" s="253"/>
      <c r="E69" s="91"/>
    </row>
    <row r="70" spans="1:89" x14ac:dyDescent="0.35">
      <c r="A70" s="259" t="s">
        <v>1139</v>
      </c>
      <c r="E70" s="91"/>
    </row>
    <row r="71" spans="1:89" s="255" customFormat="1" x14ac:dyDescent="0.35">
      <c r="A71" s="257"/>
      <c r="B71" s="257"/>
      <c r="C71" s="257"/>
      <c r="D71" s="257"/>
      <c r="E71" s="258">
        <f>IF($L71="","",E8)</f>
        <v>0</v>
      </c>
      <c r="F71" s="257">
        <f>IF($L71="","",IF(F8="",F$6,F8))</f>
        <v>0</v>
      </c>
      <c r="G71" s="257">
        <f t="shared" ref="G71:K71" si="7">IF($L71="","",IF(G8="",G$6,G8))</f>
        <v>0</v>
      </c>
      <c r="H71" s="257">
        <f t="shared" si="7"/>
        <v>0</v>
      </c>
      <c r="I71" s="257">
        <f t="shared" si="7"/>
        <v>0</v>
      </c>
      <c r="J71" s="257">
        <f t="shared" si="7"/>
        <v>0</v>
      </c>
      <c r="K71" s="257">
        <f t="shared" si="7"/>
        <v>0</v>
      </c>
      <c r="L71" s="257" t="str">
        <f>IF(L8="","",L8)</f>
        <v>Commissions</v>
      </c>
      <c r="M71" s="257" t="str">
        <f t="shared" ref="M71:N71" si="8">IF(M8="","",M8)</f>
        <v/>
      </c>
      <c r="N71" s="257" t="str">
        <f t="shared" si="8"/>
        <v/>
      </c>
      <c r="O71" s="257"/>
      <c r="P71" s="257"/>
      <c r="Q71" s="565"/>
      <c r="R71" s="565"/>
      <c r="S71" s="565"/>
      <c r="T71" s="565"/>
      <c r="U71" s="565"/>
      <c r="V71" s="565"/>
      <c r="W71" s="565"/>
      <c r="X71" s="565"/>
      <c r="Y71" s="565"/>
      <c r="Z71" s="565"/>
      <c r="AA71" s="565"/>
      <c r="AB71" s="565"/>
      <c r="AC71" s="565"/>
      <c r="AD71" s="565"/>
      <c r="AE71" s="565"/>
      <c r="AF71" s="565"/>
      <c r="AG71" s="565"/>
      <c r="AH71" s="565"/>
      <c r="AI71" s="565"/>
      <c r="AJ71" s="565"/>
      <c r="AK71" s="565"/>
      <c r="AL71" s="565"/>
      <c r="AM71" s="565"/>
      <c r="AN71" s="565"/>
      <c r="AO71" s="565"/>
      <c r="AP71" s="565"/>
      <c r="AQ71" s="565"/>
      <c r="AR71" s="565"/>
      <c r="AS71" s="565"/>
      <c r="AT71" s="565"/>
      <c r="AU71" s="565"/>
      <c r="AV71" s="565"/>
      <c r="AW71" s="565"/>
      <c r="AX71" s="565"/>
      <c r="AY71" s="565"/>
      <c r="AZ71" s="565"/>
      <c r="BA71" s="565"/>
      <c r="BB71" s="655"/>
      <c r="BC71" s="655"/>
      <c r="BD71" s="655"/>
      <c r="BE71" s="655"/>
      <c r="BF71" s="655"/>
      <c r="BG71" s="655"/>
      <c r="BH71" s="655"/>
      <c r="BI71" s="655"/>
      <c r="BJ71" s="655"/>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5"/>
      <c r="CJ71" s="655"/>
      <c r="CK71" s="655"/>
    </row>
    <row r="72" spans="1:89" s="255" customFormat="1" x14ac:dyDescent="0.35">
      <c r="A72" s="257"/>
      <c r="B72" s="257"/>
      <c r="C72" s="257"/>
      <c r="D72" s="257"/>
      <c r="E72" s="258">
        <f t="shared" ref="E72:E120" si="9">IF($L72="","",E9)</f>
        <v>0</v>
      </c>
      <c r="F72" s="257">
        <f t="shared" ref="F72:K72" si="10">IF($L72="","",IF(F9="",F$6,F9))</f>
        <v>0</v>
      </c>
      <c r="G72" s="257">
        <f t="shared" si="10"/>
        <v>0</v>
      </c>
      <c r="H72" s="257">
        <f t="shared" si="10"/>
        <v>0</v>
      </c>
      <c r="I72" s="257">
        <f t="shared" si="10"/>
        <v>0</v>
      </c>
      <c r="J72" s="257">
        <f t="shared" si="10"/>
        <v>0</v>
      </c>
      <c r="K72" s="257">
        <f t="shared" si="10"/>
        <v>0</v>
      </c>
      <c r="L72" s="257" t="str">
        <f t="shared" ref="L72:N72" si="11">IF(L9="","",L9)</f>
        <v>Contract Labor</v>
      </c>
      <c r="M72" s="257" t="str">
        <f t="shared" si="11"/>
        <v/>
      </c>
      <c r="N72" s="257" t="str">
        <f t="shared" si="11"/>
        <v/>
      </c>
      <c r="O72" s="257"/>
      <c r="P72" s="257"/>
      <c r="Q72" s="565"/>
      <c r="R72" s="565"/>
      <c r="S72" s="565"/>
      <c r="T72" s="565"/>
      <c r="U72" s="565"/>
      <c r="V72" s="565"/>
      <c r="W72" s="565"/>
      <c r="X72" s="565"/>
      <c r="Y72" s="565"/>
      <c r="Z72" s="565"/>
      <c r="AA72" s="565"/>
      <c r="AB72" s="565"/>
      <c r="AC72" s="565"/>
      <c r="AD72" s="565"/>
      <c r="AE72" s="565"/>
      <c r="AF72" s="565"/>
      <c r="AG72" s="565"/>
      <c r="AH72" s="565"/>
      <c r="AI72" s="565"/>
      <c r="AJ72" s="565"/>
      <c r="AK72" s="565"/>
      <c r="AL72" s="565"/>
      <c r="AM72" s="565"/>
      <c r="AN72" s="565"/>
      <c r="AO72" s="565"/>
      <c r="AP72" s="565"/>
      <c r="AQ72" s="565"/>
      <c r="AR72" s="565"/>
      <c r="AS72" s="565"/>
      <c r="AT72" s="565"/>
      <c r="AU72" s="565"/>
      <c r="AV72" s="565"/>
      <c r="AW72" s="565"/>
      <c r="AX72" s="565"/>
      <c r="AY72" s="565"/>
      <c r="AZ72" s="565"/>
      <c r="BA72" s="565"/>
      <c r="BB72" s="655"/>
      <c r="BC72" s="655"/>
      <c r="BD72" s="655"/>
      <c r="BE72" s="655"/>
      <c r="BF72" s="655"/>
      <c r="BG72" s="655"/>
      <c r="BH72" s="655"/>
      <c r="BI72" s="655"/>
      <c r="BJ72" s="65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5"/>
      <c r="CJ72" s="655"/>
      <c r="CK72" s="655"/>
    </row>
    <row r="73" spans="1:89" s="255" customFormat="1" x14ac:dyDescent="0.35">
      <c r="A73" s="257"/>
      <c r="B73" s="257"/>
      <c r="C73" s="257"/>
      <c r="D73" s="257"/>
      <c r="E73" s="258">
        <f t="shared" si="9"/>
        <v>0</v>
      </c>
      <c r="F73" s="257">
        <f t="shared" ref="F73:K73" si="12">IF($L73="","",IF(F10="",F$6,F10))</f>
        <v>0</v>
      </c>
      <c r="G73" s="257">
        <f t="shared" si="12"/>
        <v>0</v>
      </c>
      <c r="H73" s="257">
        <f t="shared" si="12"/>
        <v>0</v>
      </c>
      <c r="I73" s="257">
        <f t="shared" si="12"/>
        <v>0</v>
      </c>
      <c r="J73" s="257">
        <f t="shared" si="12"/>
        <v>0</v>
      </c>
      <c r="K73" s="257">
        <f t="shared" si="12"/>
        <v>0</v>
      </c>
      <c r="L73" s="257" t="str">
        <f t="shared" ref="L73:N73" si="13">IF(L10="","",L10)</f>
        <v>Employee Benefits Other</v>
      </c>
      <c r="M73" s="257" t="str">
        <f t="shared" si="13"/>
        <v/>
      </c>
      <c r="N73" s="257" t="str">
        <f t="shared" si="13"/>
        <v/>
      </c>
      <c r="O73" s="257"/>
      <c r="P73" s="257"/>
      <c r="Q73" s="565"/>
      <c r="R73" s="565"/>
      <c r="S73" s="565"/>
      <c r="T73" s="565"/>
      <c r="U73" s="565"/>
      <c r="V73" s="565"/>
      <c r="W73" s="565"/>
      <c r="X73" s="565"/>
      <c r="Y73" s="565"/>
      <c r="Z73" s="565"/>
      <c r="AA73" s="565"/>
      <c r="AB73" s="565"/>
      <c r="AC73" s="565"/>
      <c r="AD73" s="565"/>
      <c r="AE73" s="565"/>
      <c r="AF73" s="565"/>
      <c r="AG73" s="565"/>
      <c r="AH73" s="565"/>
      <c r="AI73" s="565"/>
      <c r="AJ73" s="565"/>
      <c r="AK73" s="565"/>
      <c r="AL73" s="565"/>
      <c r="AM73" s="565"/>
      <c r="AN73" s="565"/>
      <c r="AO73" s="565"/>
      <c r="AP73" s="565"/>
      <c r="AQ73" s="565"/>
      <c r="AR73" s="565"/>
      <c r="AS73" s="565"/>
      <c r="AT73" s="565"/>
      <c r="AU73" s="565"/>
      <c r="AV73" s="565"/>
      <c r="AW73" s="565"/>
      <c r="AX73" s="565"/>
      <c r="AY73" s="565"/>
      <c r="AZ73" s="565"/>
      <c r="BA73" s="56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row>
    <row r="74" spans="1:89" s="255" customFormat="1" x14ac:dyDescent="0.35">
      <c r="A74" s="257"/>
      <c r="B74" s="257"/>
      <c r="C74" s="257"/>
      <c r="D74" s="257"/>
      <c r="E74" s="258">
        <f t="shared" si="9"/>
        <v>0</v>
      </c>
      <c r="F74" s="257">
        <f t="shared" ref="F74:K74" si="14">IF($L74="","",IF(F11="",F$6,F11))</f>
        <v>0</v>
      </c>
      <c r="G74" s="257">
        <f t="shared" si="14"/>
        <v>0</v>
      </c>
      <c r="H74" s="257">
        <f t="shared" si="14"/>
        <v>0</v>
      </c>
      <c r="I74" s="257">
        <f t="shared" si="14"/>
        <v>0</v>
      </c>
      <c r="J74" s="257">
        <f t="shared" si="14"/>
        <v>0</v>
      </c>
      <c r="K74" s="257">
        <f t="shared" si="14"/>
        <v>0</v>
      </c>
      <c r="L74" s="257" t="str">
        <f t="shared" ref="L74:N74" si="15">IF(L11="","",L11)</f>
        <v>Training</v>
      </c>
      <c r="M74" s="257" t="str">
        <f t="shared" si="15"/>
        <v/>
      </c>
      <c r="N74" s="257" t="str">
        <f t="shared" si="15"/>
        <v/>
      </c>
      <c r="O74" s="257"/>
      <c r="P74" s="257"/>
      <c r="Q74" s="565"/>
      <c r="R74" s="565"/>
      <c r="S74" s="565"/>
      <c r="T74" s="565"/>
      <c r="U74" s="565"/>
      <c r="V74" s="565"/>
      <c r="W74" s="565"/>
      <c r="X74" s="565"/>
      <c r="Y74" s="565"/>
      <c r="Z74" s="565"/>
      <c r="AA74" s="565"/>
      <c r="AB74" s="565"/>
      <c r="AC74" s="565"/>
      <c r="AD74" s="565"/>
      <c r="AE74" s="565"/>
      <c r="AF74" s="565"/>
      <c r="AG74" s="565"/>
      <c r="AH74" s="565"/>
      <c r="AI74" s="565"/>
      <c r="AJ74" s="565"/>
      <c r="AK74" s="565"/>
      <c r="AL74" s="565"/>
      <c r="AM74" s="565"/>
      <c r="AN74" s="565"/>
      <c r="AO74" s="565"/>
      <c r="AP74" s="565"/>
      <c r="AQ74" s="565"/>
      <c r="AR74" s="565"/>
      <c r="AS74" s="565"/>
      <c r="AT74" s="565"/>
      <c r="AU74" s="565"/>
      <c r="AV74" s="565"/>
      <c r="AW74" s="565"/>
      <c r="AX74" s="565"/>
      <c r="AY74" s="565"/>
      <c r="AZ74" s="565"/>
      <c r="BA74" s="565"/>
      <c r="BB74" s="655"/>
      <c r="BC74" s="655"/>
      <c r="BD74" s="655"/>
      <c r="BE74" s="655"/>
      <c r="BF74" s="655"/>
      <c r="BG74" s="655"/>
      <c r="BH74" s="655"/>
      <c r="BI74" s="655"/>
      <c r="BJ74" s="655"/>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5"/>
      <c r="CJ74" s="655"/>
      <c r="CK74" s="655"/>
    </row>
    <row r="75" spans="1:89" s="255" customFormat="1" x14ac:dyDescent="0.35">
      <c r="A75" s="257"/>
      <c r="B75" s="257"/>
      <c r="C75" s="257"/>
      <c r="D75" s="257"/>
      <c r="E75" s="258" t="str">
        <f t="shared" si="9"/>
        <v/>
      </c>
      <c r="F75" s="257" t="str">
        <f t="shared" ref="F75:K75" si="16">IF($L75="","",IF(F12="",F$6,F12))</f>
        <v/>
      </c>
      <c r="G75" s="257" t="str">
        <f t="shared" si="16"/>
        <v/>
      </c>
      <c r="H75" s="257" t="str">
        <f t="shared" si="16"/>
        <v/>
      </c>
      <c r="I75" s="257" t="str">
        <f t="shared" si="16"/>
        <v/>
      </c>
      <c r="J75" s="257" t="str">
        <f t="shared" si="16"/>
        <v/>
      </c>
      <c r="K75" s="257" t="str">
        <f t="shared" si="16"/>
        <v/>
      </c>
      <c r="L75" s="257" t="str">
        <f t="shared" ref="L75:N75" si="17">IF(L12="","",L12)</f>
        <v/>
      </c>
      <c r="M75" s="257" t="str">
        <f t="shared" si="17"/>
        <v/>
      </c>
      <c r="N75" s="257" t="str">
        <f t="shared" si="17"/>
        <v/>
      </c>
      <c r="O75" s="257"/>
      <c r="P75" s="257"/>
      <c r="Q75" s="565"/>
      <c r="R75" s="565"/>
      <c r="S75" s="565"/>
      <c r="T75" s="565"/>
      <c r="U75" s="565"/>
      <c r="V75" s="565"/>
      <c r="W75" s="565"/>
      <c r="X75" s="565"/>
      <c r="Y75" s="565"/>
      <c r="Z75" s="565"/>
      <c r="AA75" s="565"/>
      <c r="AB75" s="565"/>
      <c r="AC75" s="565"/>
      <c r="AD75" s="565"/>
      <c r="AE75" s="565"/>
      <c r="AF75" s="565"/>
      <c r="AG75" s="565"/>
      <c r="AH75" s="565"/>
      <c r="AI75" s="565"/>
      <c r="AJ75" s="565"/>
      <c r="AK75" s="565"/>
      <c r="AL75" s="565"/>
      <c r="AM75" s="565"/>
      <c r="AN75" s="565"/>
      <c r="AO75" s="565"/>
      <c r="AP75" s="565"/>
      <c r="AQ75" s="565"/>
      <c r="AR75" s="565"/>
      <c r="AS75" s="565"/>
      <c r="AT75" s="565"/>
      <c r="AU75" s="565"/>
      <c r="AV75" s="565"/>
      <c r="AW75" s="565"/>
      <c r="AX75" s="565"/>
      <c r="AY75" s="565"/>
      <c r="AZ75" s="565"/>
      <c r="BA75" s="565"/>
      <c r="BB75" s="655"/>
      <c r="BC75" s="655"/>
      <c r="BD75" s="655"/>
      <c r="BE75" s="655"/>
      <c r="BF75" s="655"/>
      <c r="BG75" s="655"/>
      <c r="BH75" s="655"/>
      <c r="BI75" s="655"/>
      <c r="BJ75" s="655"/>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5"/>
      <c r="CJ75" s="655"/>
      <c r="CK75" s="655"/>
    </row>
    <row r="76" spans="1:89" s="255" customFormat="1" x14ac:dyDescent="0.35">
      <c r="A76" s="257"/>
      <c r="B76" s="257"/>
      <c r="C76" s="257"/>
      <c r="D76" s="257"/>
      <c r="E76" s="258">
        <f t="shared" si="9"/>
        <v>0</v>
      </c>
      <c r="F76" s="257">
        <f t="shared" ref="F76:K76" si="18">IF($L76="","",IF(F13="",F$6,F13))</f>
        <v>0</v>
      </c>
      <c r="G76" s="257">
        <f t="shared" si="18"/>
        <v>0</v>
      </c>
      <c r="H76" s="257">
        <f t="shared" si="18"/>
        <v>0</v>
      </c>
      <c r="I76" s="257">
        <f t="shared" si="18"/>
        <v>0</v>
      </c>
      <c r="J76" s="257">
        <f t="shared" si="18"/>
        <v>0</v>
      </c>
      <c r="K76" s="257">
        <f t="shared" si="18"/>
        <v>0</v>
      </c>
      <c r="L76" s="257" t="str">
        <f t="shared" ref="L76:N76" si="19">IF(L13="","",L13)</f>
        <v>Travel &amp; Entertainment</v>
      </c>
      <c r="M76" s="257" t="str">
        <f t="shared" si="19"/>
        <v/>
      </c>
      <c r="N76" s="257" t="str">
        <f t="shared" si="19"/>
        <v/>
      </c>
      <c r="O76" s="257"/>
      <c r="P76" s="257"/>
      <c r="Q76" s="565"/>
      <c r="R76" s="565"/>
      <c r="S76" s="565"/>
      <c r="T76" s="565"/>
      <c r="U76" s="565"/>
      <c r="V76" s="565"/>
      <c r="W76" s="565"/>
      <c r="X76" s="565"/>
      <c r="Y76" s="565"/>
      <c r="Z76" s="565"/>
      <c r="AA76" s="565"/>
      <c r="AB76" s="565"/>
      <c r="AC76" s="565"/>
      <c r="AD76" s="565"/>
      <c r="AE76" s="565"/>
      <c r="AF76" s="565"/>
      <c r="AG76" s="565"/>
      <c r="AH76" s="565"/>
      <c r="AI76" s="565"/>
      <c r="AJ76" s="565"/>
      <c r="AK76" s="565"/>
      <c r="AL76" s="565"/>
      <c r="AM76" s="565"/>
      <c r="AN76" s="565"/>
      <c r="AO76" s="565"/>
      <c r="AP76" s="565"/>
      <c r="AQ76" s="565"/>
      <c r="AR76" s="565"/>
      <c r="AS76" s="565"/>
      <c r="AT76" s="565"/>
      <c r="AU76" s="565"/>
      <c r="AV76" s="565"/>
      <c r="AW76" s="565"/>
      <c r="AX76" s="565"/>
      <c r="AY76" s="565"/>
      <c r="AZ76" s="565"/>
      <c r="BA76" s="565"/>
      <c r="BB76" s="655"/>
      <c r="BC76" s="655"/>
      <c r="BD76" s="655"/>
      <c r="BE76" s="655"/>
      <c r="BF76" s="655"/>
      <c r="BG76" s="655"/>
      <c r="BH76" s="655"/>
      <c r="BI76" s="655"/>
      <c r="BJ76" s="655"/>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5"/>
      <c r="CJ76" s="655"/>
      <c r="CK76" s="655"/>
    </row>
    <row r="77" spans="1:89" s="255" customFormat="1" x14ac:dyDescent="0.35">
      <c r="A77" s="257"/>
      <c r="B77" s="257"/>
      <c r="C77" s="257"/>
      <c r="D77" s="257"/>
      <c r="E77" s="258">
        <f t="shared" si="9"/>
        <v>0</v>
      </c>
      <c r="F77" s="257">
        <f t="shared" ref="F77:K77" si="20">IF($L77="","",IF(F14="",F$6,F14))</f>
        <v>0</v>
      </c>
      <c r="G77" s="257">
        <f t="shared" si="20"/>
        <v>0</v>
      </c>
      <c r="H77" s="257">
        <f t="shared" si="20"/>
        <v>0</v>
      </c>
      <c r="I77" s="257">
        <f t="shared" si="20"/>
        <v>0</v>
      </c>
      <c r="J77" s="257">
        <f t="shared" si="20"/>
        <v>0</v>
      </c>
      <c r="K77" s="257">
        <f t="shared" si="20"/>
        <v>0</v>
      </c>
      <c r="L77" s="257" t="str">
        <f t="shared" ref="L77:N77" si="21">IF(L14="","",L14)</f>
        <v>Relocation</v>
      </c>
      <c r="M77" s="257" t="str">
        <f t="shared" si="21"/>
        <v/>
      </c>
      <c r="N77" s="257" t="str">
        <f t="shared" si="21"/>
        <v/>
      </c>
      <c r="O77" s="257"/>
      <c r="P77" s="257"/>
      <c r="Q77" s="565"/>
      <c r="R77" s="565"/>
      <c r="S77" s="565"/>
      <c r="T77" s="565"/>
      <c r="U77" s="565"/>
      <c r="V77" s="565"/>
      <c r="W77" s="565"/>
      <c r="X77" s="565"/>
      <c r="Y77" s="565"/>
      <c r="Z77" s="565"/>
      <c r="AA77" s="565"/>
      <c r="AB77" s="565"/>
      <c r="AC77" s="565"/>
      <c r="AD77" s="565"/>
      <c r="AE77" s="565"/>
      <c r="AF77" s="565"/>
      <c r="AG77" s="565"/>
      <c r="AH77" s="565"/>
      <c r="AI77" s="565"/>
      <c r="AJ77" s="565"/>
      <c r="AK77" s="565"/>
      <c r="AL77" s="565"/>
      <c r="AM77" s="565"/>
      <c r="AN77" s="565"/>
      <c r="AO77" s="565"/>
      <c r="AP77" s="565"/>
      <c r="AQ77" s="565"/>
      <c r="AR77" s="565"/>
      <c r="AS77" s="565"/>
      <c r="AT77" s="565"/>
      <c r="AU77" s="565"/>
      <c r="AV77" s="565"/>
      <c r="AW77" s="565"/>
      <c r="AX77" s="565"/>
      <c r="AY77" s="565"/>
      <c r="AZ77" s="565"/>
      <c r="BA77" s="565"/>
      <c r="BB77" s="655"/>
      <c r="BC77" s="655"/>
      <c r="BD77" s="655"/>
      <c r="BE77" s="655"/>
      <c r="BF77" s="655"/>
      <c r="BG77" s="655"/>
      <c r="BH77" s="655"/>
      <c r="BI77" s="655"/>
      <c r="BJ77" s="655"/>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5"/>
      <c r="CJ77" s="655"/>
      <c r="CK77" s="655"/>
    </row>
    <row r="78" spans="1:89" s="255" customFormat="1" x14ac:dyDescent="0.35">
      <c r="A78" s="257"/>
      <c r="B78" s="257"/>
      <c r="C78" s="257"/>
      <c r="D78" s="257"/>
      <c r="E78" s="258">
        <f t="shared" si="9"/>
        <v>0</v>
      </c>
      <c r="F78" s="257">
        <f t="shared" ref="F78:K78" si="22">IF($L78="","",IF(F15="",F$6,F15))</f>
        <v>0</v>
      </c>
      <c r="G78" s="257">
        <f t="shared" si="22"/>
        <v>0</v>
      </c>
      <c r="H78" s="257">
        <f t="shared" si="22"/>
        <v>0</v>
      </c>
      <c r="I78" s="257">
        <f t="shared" si="22"/>
        <v>0</v>
      </c>
      <c r="J78" s="257">
        <f t="shared" si="22"/>
        <v>0</v>
      </c>
      <c r="K78" s="257">
        <f t="shared" si="22"/>
        <v>0</v>
      </c>
      <c r="L78" s="257" t="str">
        <f t="shared" ref="L78:N78" si="23">IF(L15="","",L15)</f>
        <v>Telephone / Communications</v>
      </c>
      <c r="M78" s="257" t="str">
        <f t="shared" si="23"/>
        <v/>
      </c>
      <c r="N78" s="257" t="str">
        <f t="shared" si="23"/>
        <v/>
      </c>
      <c r="O78" s="257"/>
      <c r="P78" s="257"/>
      <c r="Q78" s="565"/>
      <c r="R78" s="565"/>
      <c r="S78" s="565"/>
      <c r="T78" s="565"/>
      <c r="U78" s="565"/>
      <c r="V78" s="565"/>
      <c r="W78" s="565"/>
      <c r="X78" s="565"/>
      <c r="Y78" s="565"/>
      <c r="Z78" s="565"/>
      <c r="AA78" s="565"/>
      <c r="AB78" s="565"/>
      <c r="AC78" s="565"/>
      <c r="AD78" s="565"/>
      <c r="AE78" s="565"/>
      <c r="AF78" s="565"/>
      <c r="AG78" s="565"/>
      <c r="AH78" s="565"/>
      <c r="AI78" s="565"/>
      <c r="AJ78" s="565"/>
      <c r="AK78" s="565"/>
      <c r="AL78" s="565"/>
      <c r="AM78" s="565"/>
      <c r="AN78" s="565"/>
      <c r="AO78" s="565"/>
      <c r="AP78" s="565"/>
      <c r="AQ78" s="565"/>
      <c r="AR78" s="565"/>
      <c r="AS78" s="565"/>
      <c r="AT78" s="565"/>
      <c r="AU78" s="565"/>
      <c r="AV78" s="565"/>
      <c r="AW78" s="565"/>
      <c r="AX78" s="565"/>
      <c r="AY78" s="565"/>
      <c r="AZ78" s="565"/>
      <c r="BA78" s="565"/>
      <c r="BB78" s="655"/>
      <c r="BC78" s="655"/>
      <c r="BD78" s="655"/>
      <c r="BE78" s="655"/>
      <c r="BF78" s="655"/>
      <c r="BG78" s="655"/>
      <c r="BH78" s="655"/>
      <c r="BI78" s="655"/>
      <c r="BJ78" s="655"/>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5"/>
      <c r="CJ78" s="655"/>
      <c r="CK78" s="655"/>
    </row>
    <row r="79" spans="1:89" s="255" customFormat="1" x14ac:dyDescent="0.35">
      <c r="A79" s="257"/>
      <c r="B79" s="257"/>
      <c r="C79" s="257"/>
      <c r="D79" s="257"/>
      <c r="E79" s="258" t="str">
        <f t="shared" si="9"/>
        <v/>
      </c>
      <c r="F79" s="257" t="str">
        <f t="shared" ref="F79:K79" si="24">IF($L79="","",IF(F16="",F$6,F16))</f>
        <v/>
      </c>
      <c r="G79" s="257" t="str">
        <f t="shared" si="24"/>
        <v/>
      </c>
      <c r="H79" s="257" t="str">
        <f t="shared" si="24"/>
        <v/>
      </c>
      <c r="I79" s="257" t="str">
        <f t="shared" si="24"/>
        <v/>
      </c>
      <c r="J79" s="257" t="str">
        <f t="shared" si="24"/>
        <v/>
      </c>
      <c r="K79" s="257" t="str">
        <f t="shared" si="24"/>
        <v/>
      </c>
      <c r="L79" s="257" t="str">
        <f t="shared" ref="L79:N79" si="25">IF(L16="","",L16)</f>
        <v/>
      </c>
      <c r="M79" s="257" t="str">
        <f t="shared" si="25"/>
        <v/>
      </c>
      <c r="N79" s="257" t="str">
        <f t="shared" si="25"/>
        <v/>
      </c>
      <c r="O79" s="257"/>
      <c r="P79" s="257"/>
      <c r="Q79" s="565"/>
      <c r="R79" s="565"/>
      <c r="S79" s="565"/>
      <c r="T79" s="565"/>
      <c r="U79" s="565"/>
      <c r="V79" s="565"/>
      <c r="W79" s="565"/>
      <c r="X79" s="565"/>
      <c r="Y79" s="565"/>
      <c r="Z79" s="565"/>
      <c r="AA79" s="565"/>
      <c r="AB79" s="565"/>
      <c r="AC79" s="565"/>
      <c r="AD79" s="565"/>
      <c r="AE79" s="565"/>
      <c r="AF79" s="565"/>
      <c r="AG79" s="565"/>
      <c r="AH79" s="565"/>
      <c r="AI79" s="565"/>
      <c r="AJ79" s="565"/>
      <c r="AK79" s="565"/>
      <c r="AL79" s="565"/>
      <c r="AM79" s="565"/>
      <c r="AN79" s="565"/>
      <c r="AO79" s="565"/>
      <c r="AP79" s="565"/>
      <c r="AQ79" s="565"/>
      <c r="AR79" s="565"/>
      <c r="AS79" s="565"/>
      <c r="AT79" s="565"/>
      <c r="AU79" s="565"/>
      <c r="AV79" s="565"/>
      <c r="AW79" s="565"/>
      <c r="AX79" s="565"/>
      <c r="AY79" s="565"/>
      <c r="AZ79" s="565"/>
      <c r="BA79" s="565"/>
      <c r="BB79" s="655"/>
      <c r="BC79" s="655"/>
      <c r="BD79" s="655"/>
      <c r="BE79" s="655"/>
      <c r="BF79" s="655"/>
      <c r="BG79" s="655"/>
      <c r="BH79" s="655"/>
      <c r="BI79" s="655"/>
      <c r="BJ79" s="655"/>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5"/>
      <c r="CJ79" s="655"/>
      <c r="CK79" s="655"/>
    </row>
    <row r="80" spans="1:89" s="255" customFormat="1" x14ac:dyDescent="0.35">
      <c r="A80" s="257"/>
      <c r="B80" s="257"/>
      <c r="C80" s="257"/>
      <c r="D80" s="257"/>
      <c r="E80" s="258" t="str">
        <f t="shared" si="9"/>
        <v/>
      </c>
      <c r="F80" s="257" t="str">
        <f t="shared" ref="F80:K80" si="26">IF($L80="","",IF(F17="",F$6,F17))</f>
        <v/>
      </c>
      <c r="G80" s="257" t="str">
        <f t="shared" si="26"/>
        <v/>
      </c>
      <c r="H80" s="257" t="str">
        <f t="shared" si="26"/>
        <v/>
      </c>
      <c r="I80" s="257" t="str">
        <f t="shared" si="26"/>
        <v/>
      </c>
      <c r="J80" s="257" t="str">
        <f t="shared" si="26"/>
        <v/>
      </c>
      <c r="K80" s="257" t="str">
        <f t="shared" si="26"/>
        <v/>
      </c>
      <c r="L80" s="257" t="str">
        <f t="shared" ref="L80:N80" si="27">IF(L17="","",L17)</f>
        <v/>
      </c>
      <c r="M80" s="257" t="str">
        <f t="shared" si="27"/>
        <v/>
      </c>
      <c r="N80" s="257" t="str">
        <f t="shared" si="27"/>
        <v/>
      </c>
      <c r="O80" s="257"/>
      <c r="P80" s="257"/>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5"/>
      <c r="AT80" s="565"/>
      <c r="AU80" s="565"/>
      <c r="AV80" s="565"/>
      <c r="AW80" s="565"/>
      <c r="AX80" s="565"/>
      <c r="AY80" s="565"/>
      <c r="AZ80" s="565"/>
      <c r="BA80" s="565"/>
      <c r="BB80" s="655"/>
      <c r="BC80" s="655"/>
      <c r="BD80" s="655"/>
      <c r="BE80" s="655"/>
      <c r="BF80" s="655"/>
      <c r="BG80" s="655"/>
      <c r="BH80" s="655"/>
      <c r="BI80" s="655"/>
      <c r="BJ80" s="655"/>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5"/>
      <c r="CJ80" s="655"/>
      <c r="CK80" s="655"/>
    </row>
    <row r="81" spans="1:89" s="255" customFormat="1" x14ac:dyDescent="0.35">
      <c r="A81" s="257"/>
      <c r="B81" s="257"/>
      <c r="C81" s="257"/>
      <c r="D81" s="257"/>
      <c r="E81" s="258" t="str">
        <f t="shared" si="9"/>
        <v/>
      </c>
      <c r="F81" s="257" t="str">
        <f t="shared" ref="F81:K81" si="28">IF($L81="","",IF(F18="",F$6,F18))</f>
        <v/>
      </c>
      <c r="G81" s="257" t="str">
        <f t="shared" si="28"/>
        <v/>
      </c>
      <c r="H81" s="257" t="str">
        <f t="shared" si="28"/>
        <v/>
      </c>
      <c r="I81" s="257" t="str">
        <f t="shared" si="28"/>
        <v/>
      </c>
      <c r="J81" s="257" t="str">
        <f t="shared" si="28"/>
        <v/>
      </c>
      <c r="K81" s="257" t="str">
        <f t="shared" si="28"/>
        <v/>
      </c>
      <c r="L81" s="257" t="str">
        <f t="shared" ref="L81:N81" si="29">IF(L18="","",L18)</f>
        <v/>
      </c>
      <c r="M81" s="257" t="str">
        <f t="shared" si="29"/>
        <v/>
      </c>
      <c r="N81" s="257" t="str">
        <f t="shared" si="29"/>
        <v/>
      </c>
      <c r="O81" s="257"/>
      <c r="P81" s="257"/>
      <c r="Q81" s="565"/>
      <c r="R81" s="565"/>
      <c r="S81" s="565"/>
      <c r="T81" s="565"/>
      <c r="U81" s="565"/>
      <c r="V81" s="565"/>
      <c r="W81" s="565"/>
      <c r="X81" s="565"/>
      <c r="Y81" s="565"/>
      <c r="Z81" s="565"/>
      <c r="AA81" s="565"/>
      <c r="AB81" s="565"/>
      <c r="AC81" s="565"/>
      <c r="AD81" s="565"/>
      <c r="AE81" s="565"/>
      <c r="AF81" s="565"/>
      <c r="AG81" s="565"/>
      <c r="AH81" s="565"/>
      <c r="AI81" s="565"/>
      <c r="AJ81" s="565"/>
      <c r="AK81" s="565"/>
      <c r="AL81" s="565"/>
      <c r="AM81" s="565"/>
      <c r="AN81" s="565"/>
      <c r="AO81" s="565"/>
      <c r="AP81" s="565"/>
      <c r="AQ81" s="565"/>
      <c r="AR81" s="565"/>
      <c r="AS81" s="565"/>
      <c r="AT81" s="565"/>
      <c r="AU81" s="565"/>
      <c r="AV81" s="565"/>
      <c r="AW81" s="565"/>
      <c r="AX81" s="565"/>
      <c r="AY81" s="565"/>
      <c r="AZ81" s="565"/>
      <c r="BA81" s="565"/>
      <c r="BB81" s="655"/>
      <c r="BC81" s="655"/>
      <c r="BD81" s="655"/>
      <c r="BE81" s="655"/>
      <c r="BF81" s="655"/>
      <c r="BG81" s="655"/>
      <c r="BH81" s="655"/>
      <c r="BI81" s="655"/>
      <c r="BJ81" s="655"/>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5"/>
      <c r="CJ81" s="655"/>
      <c r="CK81" s="655"/>
    </row>
    <row r="82" spans="1:89" s="255" customFormat="1" x14ac:dyDescent="0.35">
      <c r="A82" s="257"/>
      <c r="B82" s="257"/>
      <c r="C82" s="257"/>
      <c r="D82" s="257"/>
      <c r="E82" s="258">
        <f t="shared" si="9"/>
        <v>0</v>
      </c>
      <c r="F82" s="257">
        <f t="shared" ref="F82:K82" si="30">IF($L82="","",IF(F19="",F$6,F19))</f>
        <v>0</v>
      </c>
      <c r="G82" s="257">
        <f t="shared" si="30"/>
        <v>0</v>
      </c>
      <c r="H82" s="257">
        <f t="shared" si="30"/>
        <v>0</v>
      </c>
      <c r="I82" s="257">
        <f t="shared" si="30"/>
        <v>0</v>
      </c>
      <c r="J82" s="257">
        <f t="shared" si="30"/>
        <v>0</v>
      </c>
      <c r="K82" s="257">
        <f t="shared" si="30"/>
        <v>0</v>
      </c>
      <c r="L82" s="257" t="str">
        <f t="shared" ref="L82:N82" si="31">IF(L19="","",L19)</f>
        <v>Marketing Programs</v>
      </c>
      <c r="M82" s="257" t="str">
        <f t="shared" si="31"/>
        <v/>
      </c>
      <c r="N82" s="257" t="str">
        <f t="shared" si="31"/>
        <v/>
      </c>
      <c r="O82" s="257"/>
      <c r="P82" s="257"/>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5"/>
      <c r="AT82" s="565"/>
      <c r="AU82" s="565"/>
      <c r="AV82" s="565"/>
      <c r="AW82" s="565"/>
      <c r="AX82" s="565"/>
      <c r="AY82" s="565"/>
      <c r="AZ82" s="565"/>
      <c r="BA82" s="565"/>
      <c r="BB82" s="655"/>
      <c r="BC82" s="655"/>
      <c r="BD82" s="655"/>
      <c r="BE82" s="655"/>
      <c r="BF82" s="655"/>
      <c r="BG82" s="655"/>
      <c r="BH82" s="655"/>
      <c r="BI82" s="655"/>
      <c r="BJ82" s="6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5"/>
      <c r="CJ82" s="655"/>
      <c r="CK82" s="655"/>
    </row>
    <row r="83" spans="1:89" s="255" customFormat="1" x14ac:dyDescent="0.35">
      <c r="A83" s="257"/>
      <c r="B83" s="257"/>
      <c r="C83" s="257"/>
      <c r="D83" s="257"/>
      <c r="E83" s="258">
        <f t="shared" si="9"/>
        <v>0</v>
      </c>
      <c r="F83" s="257">
        <f t="shared" ref="F83:K83" si="32">IF($L83="","",IF(F20="",F$6,F20))</f>
        <v>0</v>
      </c>
      <c r="G83" s="257">
        <f t="shared" si="32"/>
        <v>0</v>
      </c>
      <c r="H83" s="257">
        <f t="shared" si="32"/>
        <v>0</v>
      </c>
      <c r="I83" s="257">
        <f t="shared" si="32"/>
        <v>0</v>
      </c>
      <c r="J83" s="257">
        <f t="shared" si="32"/>
        <v>0</v>
      </c>
      <c r="K83" s="257">
        <f t="shared" si="32"/>
        <v>0</v>
      </c>
      <c r="L83" s="257" t="str">
        <f t="shared" ref="L83:N83" si="33">IF(L20="","",L20)</f>
        <v>Bad Debt</v>
      </c>
      <c r="M83" s="257" t="str">
        <f t="shared" si="33"/>
        <v/>
      </c>
      <c r="N83" s="257" t="str">
        <f t="shared" si="33"/>
        <v/>
      </c>
      <c r="O83" s="257"/>
      <c r="P83" s="257"/>
      <c r="Q83" s="565"/>
      <c r="R83" s="565"/>
      <c r="S83" s="565"/>
      <c r="T83" s="565"/>
      <c r="U83" s="565"/>
      <c r="V83" s="565"/>
      <c r="W83" s="565"/>
      <c r="X83" s="565"/>
      <c r="Y83" s="565"/>
      <c r="Z83" s="565"/>
      <c r="AA83" s="565"/>
      <c r="AB83" s="565"/>
      <c r="AC83" s="565"/>
      <c r="AD83" s="565"/>
      <c r="AE83" s="565"/>
      <c r="AF83" s="565"/>
      <c r="AG83" s="565"/>
      <c r="AH83" s="565"/>
      <c r="AI83" s="565"/>
      <c r="AJ83" s="565"/>
      <c r="AK83" s="565"/>
      <c r="AL83" s="565"/>
      <c r="AM83" s="565"/>
      <c r="AN83" s="565"/>
      <c r="AO83" s="565"/>
      <c r="AP83" s="565"/>
      <c r="AQ83" s="565"/>
      <c r="AR83" s="565"/>
      <c r="AS83" s="565"/>
      <c r="AT83" s="565"/>
      <c r="AU83" s="565"/>
      <c r="AV83" s="565"/>
      <c r="AW83" s="565"/>
      <c r="AX83" s="565"/>
      <c r="AY83" s="565"/>
      <c r="AZ83" s="565"/>
      <c r="BA83" s="565"/>
      <c r="BB83" s="655"/>
      <c r="BC83" s="655"/>
      <c r="BD83" s="655"/>
      <c r="BE83" s="655"/>
      <c r="BF83" s="655"/>
      <c r="BG83" s="655"/>
      <c r="BH83" s="655"/>
      <c r="BI83" s="655"/>
      <c r="BJ83" s="6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5"/>
      <c r="CJ83" s="655"/>
      <c r="CK83" s="655"/>
    </row>
    <row r="84" spans="1:89" s="255" customFormat="1" x14ac:dyDescent="0.35">
      <c r="A84" s="257"/>
      <c r="B84" s="257"/>
      <c r="C84" s="257"/>
      <c r="D84" s="257"/>
      <c r="E84" s="258">
        <f t="shared" si="9"/>
        <v>0</v>
      </c>
      <c r="F84" s="257">
        <f t="shared" ref="F84:K84" si="34">IF($L84="","",IF(F21="",F$6,F21))</f>
        <v>0</v>
      </c>
      <c r="G84" s="257">
        <f t="shared" si="34"/>
        <v>0</v>
      </c>
      <c r="H84" s="257">
        <f t="shared" si="34"/>
        <v>0</v>
      </c>
      <c r="I84" s="257">
        <f t="shared" si="34"/>
        <v>0</v>
      </c>
      <c r="J84" s="257">
        <f t="shared" si="34"/>
        <v>0</v>
      </c>
      <c r="K84" s="257">
        <f t="shared" si="34"/>
        <v>0</v>
      </c>
      <c r="L84" s="257" t="str">
        <f t="shared" ref="L84:N84" si="35">IF(L21="","",L21)</f>
        <v>Licenses</v>
      </c>
      <c r="M84" s="257" t="str">
        <f t="shared" si="35"/>
        <v/>
      </c>
      <c r="N84" s="257" t="str">
        <f t="shared" si="35"/>
        <v/>
      </c>
      <c r="O84" s="257"/>
      <c r="P84" s="257"/>
      <c r="Q84" s="565"/>
      <c r="R84" s="565"/>
      <c r="S84" s="565"/>
      <c r="T84" s="565"/>
      <c r="U84" s="565"/>
      <c r="V84" s="565"/>
      <c r="W84" s="565"/>
      <c r="X84" s="565"/>
      <c r="Y84" s="565"/>
      <c r="Z84" s="565"/>
      <c r="AA84" s="565"/>
      <c r="AB84" s="565"/>
      <c r="AC84" s="565"/>
      <c r="AD84" s="565"/>
      <c r="AE84" s="565"/>
      <c r="AF84" s="565"/>
      <c r="AG84" s="565"/>
      <c r="AH84" s="565"/>
      <c r="AI84" s="565"/>
      <c r="AJ84" s="565"/>
      <c r="AK84" s="565"/>
      <c r="AL84" s="565"/>
      <c r="AM84" s="565"/>
      <c r="AN84" s="565"/>
      <c r="AO84" s="565"/>
      <c r="AP84" s="565"/>
      <c r="AQ84" s="565"/>
      <c r="AR84" s="565"/>
      <c r="AS84" s="565"/>
      <c r="AT84" s="565"/>
      <c r="AU84" s="565"/>
      <c r="AV84" s="565"/>
      <c r="AW84" s="565"/>
      <c r="AX84" s="565"/>
      <c r="AY84" s="565"/>
      <c r="AZ84" s="565"/>
      <c r="BA84" s="565"/>
      <c r="BB84" s="655"/>
      <c r="BC84" s="655"/>
      <c r="BD84" s="655"/>
      <c r="BE84" s="655"/>
      <c r="BF84" s="655"/>
      <c r="BG84" s="655"/>
      <c r="BH84" s="655"/>
      <c r="BI84" s="655"/>
      <c r="BJ84" s="6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5"/>
      <c r="CJ84" s="655"/>
      <c r="CK84" s="655"/>
    </row>
    <row r="85" spans="1:89" s="255" customFormat="1" x14ac:dyDescent="0.35">
      <c r="A85" s="257"/>
      <c r="B85" s="257"/>
      <c r="C85" s="257"/>
      <c r="D85" s="257"/>
      <c r="E85" s="258">
        <f t="shared" si="9"/>
        <v>0</v>
      </c>
      <c r="F85" s="257">
        <f t="shared" ref="F85:K85" si="36">IF($L85="","",IF(F22="",F$6,F22))</f>
        <v>0</v>
      </c>
      <c r="G85" s="257">
        <f t="shared" si="36"/>
        <v>0</v>
      </c>
      <c r="H85" s="257">
        <f t="shared" si="36"/>
        <v>0</v>
      </c>
      <c r="I85" s="257">
        <f t="shared" si="36"/>
        <v>0</v>
      </c>
      <c r="J85" s="257">
        <f t="shared" si="36"/>
        <v>0</v>
      </c>
      <c r="K85" s="257">
        <f t="shared" si="36"/>
        <v>0</v>
      </c>
      <c r="L85" s="257" t="str">
        <f t="shared" ref="L85:N85" si="37">IF(L22="","",L22)</f>
        <v>Internal Software Licenses</v>
      </c>
      <c r="M85" s="257" t="str">
        <f t="shared" si="37"/>
        <v/>
      </c>
      <c r="N85" s="257" t="str">
        <f t="shared" si="37"/>
        <v/>
      </c>
      <c r="O85" s="257"/>
      <c r="P85" s="257"/>
      <c r="Q85" s="565"/>
      <c r="R85" s="565"/>
      <c r="S85" s="565"/>
      <c r="T85" s="565"/>
      <c r="U85" s="565"/>
      <c r="V85" s="565"/>
      <c r="W85" s="565"/>
      <c r="X85" s="565"/>
      <c r="Y85" s="565"/>
      <c r="Z85" s="565"/>
      <c r="AA85" s="565"/>
      <c r="AB85" s="565"/>
      <c r="AC85" s="565"/>
      <c r="AD85" s="565"/>
      <c r="AE85" s="565"/>
      <c r="AF85" s="565"/>
      <c r="AG85" s="565"/>
      <c r="AH85" s="565"/>
      <c r="AI85" s="565"/>
      <c r="AJ85" s="565"/>
      <c r="AK85" s="565"/>
      <c r="AL85" s="565"/>
      <c r="AM85" s="565"/>
      <c r="AN85" s="565"/>
      <c r="AO85" s="565"/>
      <c r="AP85" s="565"/>
      <c r="AQ85" s="565"/>
      <c r="AR85" s="565"/>
      <c r="AS85" s="565"/>
      <c r="AT85" s="565"/>
      <c r="AU85" s="565"/>
      <c r="AV85" s="565"/>
      <c r="AW85" s="565"/>
      <c r="AX85" s="565"/>
      <c r="AY85" s="565"/>
      <c r="AZ85" s="565"/>
      <c r="BA85" s="565"/>
      <c r="BB85" s="655"/>
      <c r="BC85" s="655"/>
      <c r="BD85" s="655"/>
      <c r="BE85" s="655"/>
      <c r="BF85" s="655"/>
      <c r="BG85" s="655"/>
      <c r="BH85" s="655"/>
      <c r="BI85" s="655"/>
      <c r="BJ85" s="655"/>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5"/>
      <c r="CJ85" s="655"/>
      <c r="CK85" s="655"/>
    </row>
    <row r="86" spans="1:89" s="255" customFormat="1" x14ac:dyDescent="0.35">
      <c r="A86" s="257"/>
      <c r="B86" s="257"/>
      <c r="C86" s="257"/>
      <c r="D86" s="257"/>
      <c r="E86" s="258" t="str">
        <f t="shared" si="9"/>
        <v/>
      </c>
      <c r="F86" s="257" t="str">
        <f t="shared" ref="F86:K86" si="38">IF($L86="","",IF(F23="",F$6,F23))</f>
        <v/>
      </c>
      <c r="G86" s="257" t="str">
        <f t="shared" si="38"/>
        <v/>
      </c>
      <c r="H86" s="257" t="str">
        <f t="shared" si="38"/>
        <v/>
      </c>
      <c r="I86" s="257" t="str">
        <f t="shared" si="38"/>
        <v/>
      </c>
      <c r="J86" s="257" t="str">
        <f t="shared" si="38"/>
        <v/>
      </c>
      <c r="K86" s="257" t="str">
        <f t="shared" si="38"/>
        <v/>
      </c>
      <c r="L86" s="257" t="str">
        <f t="shared" ref="L86:N86" si="39">IF(L23="","",L23)</f>
        <v/>
      </c>
      <c r="M86" s="257" t="str">
        <f t="shared" si="39"/>
        <v/>
      </c>
      <c r="N86" s="257" t="str">
        <f t="shared" si="39"/>
        <v/>
      </c>
      <c r="O86" s="257"/>
      <c r="P86" s="257"/>
      <c r="Q86" s="565"/>
      <c r="R86" s="565"/>
      <c r="S86" s="565"/>
      <c r="T86" s="565"/>
      <c r="U86" s="565"/>
      <c r="V86" s="565"/>
      <c r="W86" s="565"/>
      <c r="X86" s="565"/>
      <c r="Y86" s="565"/>
      <c r="Z86" s="565"/>
      <c r="AA86" s="565"/>
      <c r="AB86" s="565"/>
      <c r="AC86" s="565"/>
      <c r="AD86" s="565"/>
      <c r="AE86" s="565"/>
      <c r="AF86" s="565"/>
      <c r="AG86" s="565"/>
      <c r="AH86" s="565"/>
      <c r="AI86" s="565"/>
      <c r="AJ86" s="565"/>
      <c r="AK86" s="565"/>
      <c r="AL86" s="565"/>
      <c r="AM86" s="565"/>
      <c r="AN86" s="565"/>
      <c r="AO86" s="565"/>
      <c r="AP86" s="565"/>
      <c r="AQ86" s="565"/>
      <c r="AR86" s="565"/>
      <c r="AS86" s="565"/>
      <c r="AT86" s="565"/>
      <c r="AU86" s="565"/>
      <c r="AV86" s="565"/>
      <c r="AW86" s="565"/>
      <c r="AX86" s="565"/>
      <c r="AY86" s="565"/>
      <c r="AZ86" s="565"/>
      <c r="BA86" s="565"/>
      <c r="BB86" s="655"/>
      <c r="BC86" s="655"/>
      <c r="BD86" s="655"/>
      <c r="BE86" s="655"/>
      <c r="BF86" s="655"/>
      <c r="BG86" s="655"/>
      <c r="BH86" s="655"/>
      <c r="BI86" s="655"/>
      <c r="BJ86" s="655"/>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row>
    <row r="87" spans="1:89" s="255" customFormat="1" x14ac:dyDescent="0.35">
      <c r="A87" s="257"/>
      <c r="B87" s="257"/>
      <c r="C87" s="257"/>
      <c r="D87" s="257"/>
      <c r="E87" s="258" t="str">
        <f t="shared" si="9"/>
        <v/>
      </c>
      <c r="F87" s="257" t="str">
        <f t="shared" ref="F87:K87" si="40">IF($L87="","",IF(F24="",F$6,F24))</f>
        <v/>
      </c>
      <c r="G87" s="257" t="str">
        <f t="shared" si="40"/>
        <v/>
      </c>
      <c r="H87" s="257" t="str">
        <f t="shared" si="40"/>
        <v/>
      </c>
      <c r="I87" s="257" t="str">
        <f t="shared" si="40"/>
        <v/>
      </c>
      <c r="J87" s="257" t="str">
        <f t="shared" si="40"/>
        <v/>
      </c>
      <c r="K87" s="257" t="str">
        <f t="shared" si="40"/>
        <v/>
      </c>
      <c r="L87" s="257" t="str">
        <f t="shared" ref="L87:N87" si="41">IF(L24="","",L24)</f>
        <v/>
      </c>
      <c r="M87" s="257" t="str">
        <f t="shared" si="41"/>
        <v/>
      </c>
      <c r="N87" s="257" t="str">
        <f t="shared" si="41"/>
        <v/>
      </c>
      <c r="O87" s="257"/>
      <c r="P87" s="257"/>
      <c r="Q87" s="565"/>
      <c r="R87" s="565"/>
      <c r="S87" s="565"/>
      <c r="T87" s="565"/>
      <c r="U87" s="565"/>
      <c r="V87" s="565"/>
      <c r="W87" s="565"/>
      <c r="X87" s="565"/>
      <c r="Y87" s="565"/>
      <c r="Z87" s="565"/>
      <c r="AA87" s="565"/>
      <c r="AB87" s="565"/>
      <c r="AC87" s="565"/>
      <c r="AD87" s="565"/>
      <c r="AE87" s="565"/>
      <c r="AF87" s="565"/>
      <c r="AG87" s="565"/>
      <c r="AH87" s="565"/>
      <c r="AI87" s="565"/>
      <c r="AJ87" s="565"/>
      <c r="AK87" s="565"/>
      <c r="AL87" s="565"/>
      <c r="AM87" s="565"/>
      <c r="AN87" s="565"/>
      <c r="AO87" s="565"/>
      <c r="AP87" s="565"/>
      <c r="AQ87" s="565"/>
      <c r="AR87" s="565"/>
      <c r="AS87" s="565"/>
      <c r="AT87" s="565"/>
      <c r="AU87" s="565"/>
      <c r="AV87" s="565"/>
      <c r="AW87" s="565"/>
      <c r="AX87" s="565"/>
      <c r="AY87" s="565"/>
      <c r="AZ87" s="565"/>
      <c r="BA87" s="565"/>
      <c r="BB87" s="655"/>
      <c r="BC87" s="655"/>
      <c r="BD87" s="655"/>
      <c r="BE87" s="655"/>
      <c r="BF87" s="655"/>
      <c r="BG87" s="655"/>
      <c r="BH87" s="655"/>
      <c r="BI87" s="655"/>
      <c r="BJ87" s="655"/>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row>
    <row r="88" spans="1:89" s="255" customFormat="1" x14ac:dyDescent="0.35">
      <c r="A88" s="257"/>
      <c r="B88" s="257"/>
      <c r="C88" s="257"/>
      <c r="D88" s="257"/>
      <c r="E88" s="258">
        <f t="shared" si="9"/>
        <v>0</v>
      </c>
      <c r="F88" s="257">
        <f t="shared" ref="F88:K88" si="42">IF($L88="","",IF(F25="",F$6,F25))</f>
        <v>0</v>
      </c>
      <c r="G88" s="257">
        <f t="shared" si="42"/>
        <v>0</v>
      </c>
      <c r="H88" s="257">
        <f t="shared" si="42"/>
        <v>0</v>
      </c>
      <c r="I88" s="257">
        <f t="shared" si="42"/>
        <v>0</v>
      </c>
      <c r="J88" s="257">
        <f t="shared" si="42"/>
        <v>0</v>
      </c>
      <c r="K88" s="257">
        <f t="shared" si="42"/>
        <v>0</v>
      </c>
      <c r="L88" s="257" t="str">
        <f t="shared" ref="L88:N88" si="43">IF(L25="","",L25)</f>
        <v>DC Utilities</v>
      </c>
      <c r="M88" s="257" t="str">
        <f t="shared" si="43"/>
        <v/>
      </c>
      <c r="N88" s="257" t="str">
        <f t="shared" si="43"/>
        <v/>
      </c>
      <c r="O88" s="257"/>
      <c r="P88" s="257"/>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5"/>
      <c r="AT88" s="565"/>
      <c r="AU88" s="565"/>
      <c r="AV88" s="565"/>
      <c r="AW88" s="565"/>
      <c r="AX88" s="565"/>
      <c r="AY88" s="565"/>
      <c r="AZ88" s="565"/>
      <c r="BA88" s="565"/>
      <c r="BB88" s="655"/>
      <c r="BC88" s="655"/>
      <c r="BD88" s="655"/>
      <c r="BE88" s="655"/>
      <c r="BF88" s="655"/>
      <c r="BG88" s="655"/>
      <c r="BH88" s="655"/>
      <c r="BI88" s="655"/>
      <c r="BJ88" s="655"/>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row>
    <row r="89" spans="1:89" s="255" customFormat="1" x14ac:dyDescent="0.35">
      <c r="A89" s="257"/>
      <c r="B89" s="257"/>
      <c r="C89" s="257"/>
      <c r="D89" s="257"/>
      <c r="E89" s="258">
        <f t="shared" si="9"/>
        <v>0</v>
      </c>
      <c r="F89" s="257">
        <f t="shared" ref="F89:K89" si="44">IF($L89="","",IF(F26="",F$6,F26))</f>
        <v>0</v>
      </c>
      <c r="G89" s="257">
        <f t="shared" si="44"/>
        <v>0</v>
      </c>
      <c r="H89" s="257">
        <f t="shared" si="44"/>
        <v>0</v>
      </c>
      <c r="I89" s="257">
        <f t="shared" si="44"/>
        <v>0</v>
      </c>
      <c r="J89" s="257">
        <f t="shared" si="44"/>
        <v>0</v>
      </c>
      <c r="K89" s="257">
        <f t="shared" si="44"/>
        <v>0</v>
      </c>
      <c r="L89" s="257" t="str">
        <f t="shared" ref="L89:N89" si="45">IF(L26="","",L26)</f>
        <v>DC Maintenance</v>
      </c>
      <c r="M89" s="257" t="str">
        <f t="shared" si="45"/>
        <v/>
      </c>
      <c r="N89" s="257" t="str">
        <f t="shared" si="45"/>
        <v/>
      </c>
      <c r="O89" s="257"/>
      <c r="P89" s="257"/>
      <c r="Q89" s="565"/>
      <c r="R89" s="565"/>
      <c r="S89" s="565"/>
      <c r="T89" s="565"/>
      <c r="U89" s="565"/>
      <c r="V89" s="565"/>
      <c r="W89" s="565"/>
      <c r="X89" s="565"/>
      <c r="Y89" s="565"/>
      <c r="Z89" s="565"/>
      <c r="AA89" s="565"/>
      <c r="AB89" s="565"/>
      <c r="AC89" s="565"/>
      <c r="AD89" s="565"/>
      <c r="AE89" s="565"/>
      <c r="AF89" s="565"/>
      <c r="AG89" s="565"/>
      <c r="AH89" s="565"/>
      <c r="AI89" s="565"/>
      <c r="AJ89" s="565"/>
      <c r="AK89" s="565"/>
      <c r="AL89" s="565"/>
      <c r="AM89" s="565"/>
      <c r="AN89" s="565"/>
      <c r="AO89" s="565"/>
      <c r="AP89" s="565"/>
      <c r="AQ89" s="565"/>
      <c r="AR89" s="565"/>
      <c r="AS89" s="565"/>
      <c r="AT89" s="565"/>
      <c r="AU89" s="565"/>
      <c r="AV89" s="565"/>
      <c r="AW89" s="565"/>
      <c r="AX89" s="565"/>
      <c r="AY89" s="565"/>
      <c r="AZ89" s="565"/>
      <c r="BA89" s="565"/>
      <c r="BB89" s="655"/>
      <c r="BC89" s="655"/>
      <c r="BD89" s="655"/>
      <c r="BE89" s="655"/>
      <c r="BF89" s="655"/>
      <c r="BG89" s="655"/>
      <c r="BH89" s="655"/>
      <c r="BI89" s="655"/>
      <c r="BJ89" s="655"/>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row>
    <row r="90" spans="1:89" s="255" customFormat="1" x14ac:dyDescent="0.35">
      <c r="A90" s="257"/>
      <c r="B90" s="257"/>
      <c r="C90" s="257"/>
      <c r="D90" s="257"/>
      <c r="E90" s="258">
        <f t="shared" si="9"/>
        <v>0</v>
      </c>
      <c r="F90" s="257">
        <f t="shared" ref="F90:K90" si="46">IF($L90="","",IF(F27="",F$6,F27))</f>
        <v>0</v>
      </c>
      <c r="G90" s="257">
        <f t="shared" si="46"/>
        <v>0</v>
      </c>
      <c r="H90" s="257">
        <f t="shared" si="46"/>
        <v>0</v>
      </c>
      <c r="I90" s="257">
        <f t="shared" si="46"/>
        <v>0</v>
      </c>
      <c r="J90" s="257">
        <f t="shared" si="46"/>
        <v>0</v>
      </c>
      <c r="K90" s="257">
        <f t="shared" si="46"/>
        <v>0</v>
      </c>
      <c r="L90" s="257" t="str">
        <f t="shared" ref="L90:N90" si="47">IF(L27="","",L27)</f>
        <v>DC Rent</v>
      </c>
      <c r="M90" s="257" t="str">
        <f t="shared" si="47"/>
        <v/>
      </c>
      <c r="N90" s="257" t="str">
        <f t="shared" si="47"/>
        <v/>
      </c>
      <c r="O90" s="257"/>
      <c r="P90" s="257"/>
      <c r="Q90" s="565"/>
      <c r="R90" s="565"/>
      <c r="S90" s="565"/>
      <c r="T90" s="565"/>
      <c r="U90" s="565"/>
      <c r="V90" s="565"/>
      <c r="W90" s="565"/>
      <c r="X90" s="565"/>
      <c r="Y90" s="565"/>
      <c r="Z90" s="565"/>
      <c r="AA90" s="565"/>
      <c r="AB90" s="565"/>
      <c r="AC90" s="565"/>
      <c r="AD90" s="565"/>
      <c r="AE90" s="565"/>
      <c r="AF90" s="565"/>
      <c r="AG90" s="565"/>
      <c r="AH90" s="565"/>
      <c r="AI90" s="565"/>
      <c r="AJ90" s="565"/>
      <c r="AK90" s="565"/>
      <c r="AL90" s="565"/>
      <c r="AM90" s="565"/>
      <c r="AN90" s="565"/>
      <c r="AO90" s="565"/>
      <c r="AP90" s="565"/>
      <c r="AQ90" s="565"/>
      <c r="AR90" s="565"/>
      <c r="AS90" s="565"/>
      <c r="AT90" s="565"/>
      <c r="AU90" s="565"/>
      <c r="AV90" s="565"/>
      <c r="AW90" s="565"/>
      <c r="AX90" s="565"/>
      <c r="AY90" s="565"/>
      <c r="AZ90" s="565"/>
      <c r="BA90" s="56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row>
    <row r="91" spans="1:89" s="255" customFormat="1" x14ac:dyDescent="0.35">
      <c r="A91" s="257"/>
      <c r="B91" s="257"/>
      <c r="C91" s="257"/>
      <c r="D91" s="257"/>
      <c r="E91" s="258" t="str">
        <f t="shared" si="9"/>
        <v/>
      </c>
      <c r="F91" s="257" t="str">
        <f t="shared" ref="F91:K91" si="48">IF($L91="","",IF(F28="",F$6,F28))</f>
        <v/>
      </c>
      <c r="G91" s="257" t="str">
        <f t="shared" si="48"/>
        <v/>
      </c>
      <c r="H91" s="257" t="str">
        <f t="shared" si="48"/>
        <v/>
      </c>
      <c r="I91" s="257" t="str">
        <f t="shared" si="48"/>
        <v/>
      </c>
      <c r="J91" s="257" t="str">
        <f t="shared" si="48"/>
        <v/>
      </c>
      <c r="K91" s="257" t="str">
        <f t="shared" si="48"/>
        <v/>
      </c>
      <c r="L91" s="257" t="str">
        <f t="shared" ref="L91:N91" si="49">IF(L28="","",L28)</f>
        <v/>
      </c>
      <c r="M91" s="257" t="str">
        <f t="shared" si="49"/>
        <v/>
      </c>
      <c r="N91" s="257" t="str">
        <f t="shared" si="49"/>
        <v/>
      </c>
      <c r="O91" s="257"/>
      <c r="P91" s="257"/>
      <c r="Q91" s="565"/>
      <c r="R91" s="565"/>
      <c r="S91" s="565"/>
      <c r="T91" s="565"/>
      <c r="U91" s="565"/>
      <c r="V91" s="565"/>
      <c r="W91" s="565"/>
      <c r="X91" s="565"/>
      <c r="Y91" s="565"/>
      <c r="Z91" s="565"/>
      <c r="AA91" s="565"/>
      <c r="AB91" s="565"/>
      <c r="AC91" s="565"/>
      <c r="AD91" s="565"/>
      <c r="AE91" s="565"/>
      <c r="AF91" s="565"/>
      <c r="AG91" s="565"/>
      <c r="AH91" s="565"/>
      <c r="AI91" s="565"/>
      <c r="AJ91" s="565"/>
      <c r="AK91" s="565"/>
      <c r="AL91" s="565"/>
      <c r="AM91" s="565"/>
      <c r="AN91" s="565"/>
      <c r="AO91" s="565"/>
      <c r="AP91" s="565"/>
      <c r="AQ91" s="565"/>
      <c r="AR91" s="565"/>
      <c r="AS91" s="565"/>
      <c r="AT91" s="565"/>
      <c r="AU91" s="565"/>
      <c r="AV91" s="565"/>
      <c r="AW91" s="565"/>
      <c r="AX91" s="565"/>
      <c r="AY91" s="565"/>
      <c r="AZ91" s="565"/>
      <c r="BA91" s="565"/>
      <c r="BB91" s="655"/>
      <c r="BC91" s="655"/>
      <c r="BD91" s="655"/>
      <c r="BE91" s="655"/>
      <c r="BF91" s="655"/>
      <c r="BG91" s="655"/>
      <c r="BH91" s="655"/>
      <c r="BI91" s="655"/>
      <c r="BJ91" s="655"/>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row>
    <row r="92" spans="1:89" s="255" customFormat="1" x14ac:dyDescent="0.35">
      <c r="A92" s="257"/>
      <c r="B92" s="257"/>
      <c r="C92" s="257"/>
      <c r="D92" s="257"/>
      <c r="E92" s="258">
        <f t="shared" si="9"/>
        <v>0</v>
      </c>
      <c r="F92" s="257">
        <f t="shared" ref="F92:K92" si="50">IF($L92="","",IF(F29="",F$6,F29))</f>
        <v>0</v>
      </c>
      <c r="G92" s="257">
        <f t="shared" si="50"/>
        <v>0</v>
      </c>
      <c r="H92" s="257">
        <f t="shared" si="50"/>
        <v>0</v>
      </c>
      <c r="I92" s="257">
        <f t="shared" si="50"/>
        <v>0</v>
      </c>
      <c r="J92" s="257">
        <f t="shared" si="50"/>
        <v>0</v>
      </c>
      <c r="K92" s="257">
        <f t="shared" si="50"/>
        <v>0</v>
      </c>
      <c r="L92" s="257" t="str">
        <f t="shared" ref="L92:N92" si="51">IF(L29="","",L29)</f>
        <v>Utilities</v>
      </c>
      <c r="M92" s="257" t="str">
        <f t="shared" si="51"/>
        <v/>
      </c>
      <c r="N92" s="257" t="str">
        <f t="shared" si="51"/>
        <v/>
      </c>
      <c r="O92" s="257"/>
      <c r="P92" s="257"/>
      <c r="Q92" s="565"/>
      <c r="R92" s="565"/>
      <c r="S92" s="565"/>
      <c r="T92" s="565"/>
      <c r="U92" s="565"/>
      <c r="V92" s="565"/>
      <c r="W92" s="565"/>
      <c r="X92" s="565"/>
      <c r="Y92" s="565"/>
      <c r="Z92" s="565"/>
      <c r="AA92" s="565"/>
      <c r="AB92" s="565"/>
      <c r="AC92" s="565"/>
      <c r="AD92" s="565"/>
      <c r="AE92" s="565"/>
      <c r="AF92" s="565"/>
      <c r="AG92" s="565"/>
      <c r="AH92" s="565"/>
      <c r="AI92" s="565"/>
      <c r="AJ92" s="565"/>
      <c r="AK92" s="565"/>
      <c r="AL92" s="565"/>
      <c r="AM92" s="565"/>
      <c r="AN92" s="565"/>
      <c r="AO92" s="565"/>
      <c r="AP92" s="565"/>
      <c r="AQ92" s="565"/>
      <c r="AR92" s="565"/>
      <c r="AS92" s="565"/>
      <c r="AT92" s="565"/>
      <c r="AU92" s="565"/>
      <c r="AV92" s="565"/>
      <c r="AW92" s="565"/>
      <c r="AX92" s="565"/>
      <c r="AY92" s="565"/>
      <c r="AZ92" s="565"/>
      <c r="BA92" s="565"/>
      <c r="BB92" s="655"/>
      <c r="BC92" s="655"/>
      <c r="BD92" s="655"/>
      <c r="BE92" s="655"/>
      <c r="BF92" s="655"/>
      <c r="BG92" s="655"/>
      <c r="BH92" s="655"/>
      <c r="BI92" s="655"/>
      <c r="BJ92" s="655"/>
      <c r="BK92" s="655"/>
      <c r="BL92" s="655"/>
      <c r="BM92" s="655"/>
      <c r="BN92" s="655"/>
      <c r="BO92" s="655"/>
      <c r="BP92" s="655"/>
      <c r="BQ92" s="655"/>
      <c r="BR92" s="655"/>
      <c r="BS92" s="655"/>
      <c r="BT92" s="655"/>
      <c r="BU92" s="655"/>
      <c r="BV92" s="655"/>
      <c r="BW92" s="655"/>
      <c r="BX92" s="655"/>
      <c r="BY92" s="655"/>
      <c r="BZ92" s="655"/>
      <c r="CA92" s="655"/>
      <c r="CB92" s="655"/>
      <c r="CC92" s="655"/>
      <c r="CD92" s="655"/>
      <c r="CE92" s="655"/>
      <c r="CF92" s="655"/>
      <c r="CG92" s="655"/>
      <c r="CH92" s="655"/>
      <c r="CI92" s="655"/>
      <c r="CJ92" s="655"/>
      <c r="CK92" s="655"/>
    </row>
    <row r="93" spans="1:89" s="255" customFormat="1" x14ac:dyDescent="0.35">
      <c r="A93" s="257"/>
      <c r="B93" s="257"/>
      <c r="C93" s="257"/>
      <c r="D93" s="257"/>
      <c r="E93" s="258">
        <f t="shared" si="9"/>
        <v>0</v>
      </c>
      <c r="F93" s="257">
        <f t="shared" ref="F93:K93" si="52">IF($L93="","",IF(F30="",F$6,F30))</f>
        <v>0</v>
      </c>
      <c r="G93" s="257">
        <f t="shared" si="52"/>
        <v>0</v>
      </c>
      <c r="H93" s="257">
        <f t="shared" si="52"/>
        <v>0</v>
      </c>
      <c r="I93" s="257">
        <f t="shared" si="52"/>
        <v>0</v>
      </c>
      <c r="J93" s="257">
        <f t="shared" si="52"/>
        <v>0</v>
      </c>
      <c r="K93" s="257">
        <f t="shared" si="52"/>
        <v>0</v>
      </c>
      <c r="L93" s="257" t="str">
        <f t="shared" ref="L93:N93" si="53">IF(L30="","",L30)</f>
        <v>Office Rent</v>
      </c>
      <c r="M93" s="257" t="str">
        <f t="shared" si="53"/>
        <v/>
      </c>
      <c r="N93" s="257" t="str">
        <f t="shared" si="53"/>
        <v/>
      </c>
      <c r="O93" s="257"/>
      <c r="P93" s="257"/>
      <c r="Q93" s="565"/>
      <c r="R93" s="565"/>
      <c r="S93" s="565"/>
      <c r="T93" s="565"/>
      <c r="U93" s="565"/>
      <c r="V93" s="565"/>
      <c r="W93" s="565"/>
      <c r="X93" s="565"/>
      <c r="Y93" s="565"/>
      <c r="Z93" s="565"/>
      <c r="AA93" s="565"/>
      <c r="AB93" s="565"/>
      <c r="AC93" s="565"/>
      <c r="AD93" s="565"/>
      <c r="AE93" s="565"/>
      <c r="AF93" s="565"/>
      <c r="AG93" s="565"/>
      <c r="AH93" s="565"/>
      <c r="AI93" s="565"/>
      <c r="AJ93" s="565"/>
      <c r="AK93" s="565"/>
      <c r="AL93" s="565"/>
      <c r="AM93" s="565"/>
      <c r="AN93" s="565"/>
      <c r="AO93" s="565"/>
      <c r="AP93" s="565"/>
      <c r="AQ93" s="565"/>
      <c r="AR93" s="565"/>
      <c r="AS93" s="565"/>
      <c r="AT93" s="565"/>
      <c r="AU93" s="565"/>
      <c r="AV93" s="565"/>
      <c r="AW93" s="565"/>
      <c r="AX93" s="565"/>
      <c r="AY93" s="565"/>
      <c r="AZ93" s="565"/>
      <c r="BA93" s="565"/>
      <c r="BB93" s="655"/>
      <c r="BC93" s="655"/>
      <c r="BD93" s="655"/>
      <c r="BE93" s="655"/>
      <c r="BF93" s="655"/>
      <c r="BG93" s="655"/>
      <c r="BH93" s="655"/>
      <c r="BI93" s="655"/>
      <c r="BJ93" s="655"/>
      <c r="BK93" s="655"/>
      <c r="BL93" s="655"/>
      <c r="BM93" s="655"/>
      <c r="BN93" s="655"/>
      <c r="BO93" s="655"/>
      <c r="BP93" s="655"/>
      <c r="BQ93" s="655"/>
      <c r="BR93" s="655"/>
      <c r="BS93" s="655"/>
      <c r="BT93" s="655"/>
      <c r="BU93" s="655"/>
      <c r="BV93" s="655"/>
      <c r="BW93" s="655"/>
      <c r="BX93" s="655"/>
      <c r="BY93" s="655"/>
      <c r="BZ93" s="655"/>
      <c r="CA93" s="655"/>
      <c r="CB93" s="655"/>
      <c r="CC93" s="655"/>
      <c r="CD93" s="655"/>
      <c r="CE93" s="655"/>
      <c r="CF93" s="655"/>
      <c r="CG93" s="655"/>
      <c r="CH93" s="655"/>
      <c r="CI93" s="655"/>
      <c r="CJ93" s="655"/>
      <c r="CK93" s="655"/>
    </row>
    <row r="94" spans="1:89" s="255" customFormat="1" x14ac:dyDescent="0.35">
      <c r="A94" s="257"/>
      <c r="B94" s="257"/>
      <c r="C94" s="257"/>
      <c r="D94" s="257"/>
      <c r="E94" s="258">
        <f t="shared" si="9"/>
        <v>0</v>
      </c>
      <c r="F94" s="257">
        <f t="shared" ref="F94:K94" si="54">IF($L94="","",IF(F31="",F$6,F31))</f>
        <v>0</v>
      </c>
      <c r="G94" s="257">
        <f t="shared" si="54"/>
        <v>0</v>
      </c>
      <c r="H94" s="257">
        <f t="shared" si="54"/>
        <v>0</v>
      </c>
      <c r="I94" s="257">
        <f t="shared" si="54"/>
        <v>0</v>
      </c>
      <c r="J94" s="257">
        <f t="shared" si="54"/>
        <v>0</v>
      </c>
      <c r="K94" s="257">
        <f t="shared" si="54"/>
        <v>0</v>
      </c>
      <c r="L94" s="257" t="str">
        <f t="shared" ref="L94:N94" si="55">IF(L31="","",L31)</f>
        <v>Professional Fees</v>
      </c>
      <c r="M94" s="257" t="str">
        <f t="shared" si="55"/>
        <v/>
      </c>
      <c r="N94" s="257" t="str">
        <f t="shared" si="55"/>
        <v/>
      </c>
      <c r="O94" s="257"/>
      <c r="P94" s="257"/>
      <c r="Q94" s="565"/>
      <c r="R94" s="565"/>
      <c r="S94" s="565"/>
      <c r="T94" s="565"/>
      <c r="U94" s="565"/>
      <c r="V94" s="565"/>
      <c r="W94" s="565"/>
      <c r="X94" s="565"/>
      <c r="Y94" s="565"/>
      <c r="Z94" s="565"/>
      <c r="AA94" s="565"/>
      <c r="AB94" s="565"/>
      <c r="AC94" s="565"/>
      <c r="AD94" s="565"/>
      <c r="AE94" s="565"/>
      <c r="AF94" s="565"/>
      <c r="AG94" s="565"/>
      <c r="AH94" s="565"/>
      <c r="AI94" s="565"/>
      <c r="AJ94" s="565"/>
      <c r="AK94" s="565"/>
      <c r="AL94" s="565"/>
      <c r="AM94" s="565"/>
      <c r="AN94" s="565"/>
      <c r="AO94" s="565"/>
      <c r="AP94" s="565"/>
      <c r="AQ94" s="565"/>
      <c r="AR94" s="565"/>
      <c r="AS94" s="565"/>
      <c r="AT94" s="565"/>
      <c r="AU94" s="565"/>
      <c r="AV94" s="565"/>
      <c r="AW94" s="565"/>
      <c r="AX94" s="565"/>
      <c r="AY94" s="565"/>
      <c r="AZ94" s="565"/>
      <c r="BA94" s="565"/>
      <c r="BB94" s="655"/>
      <c r="BC94" s="655"/>
      <c r="BD94" s="655"/>
      <c r="BE94" s="655"/>
      <c r="BF94" s="655"/>
      <c r="BG94" s="655"/>
      <c r="BH94" s="655"/>
      <c r="BI94" s="655"/>
      <c r="BJ94" s="655"/>
      <c r="BK94" s="655"/>
      <c r="BL94" s="655"/>
      <c r="BM94" s="655"/>
      <c r="BN94" s="655"/>
      <c r="BO94" s="655"/>
      <c r="BP94" s="655"/>
      <c r="BQ94" s="655"/>
      <c r="BR94" s="655"/>
      <c r="BS94" s="655"/>
      <c r="BT94" s="655"/>
      <c r="BU94" s="655"/>
      <c r="BV94" s="655"/>
      <c r="BW94" s="655"/>
      <c r="BX94" s="655"/>
      <c r="BY94" s="655"/>
      <c r="BZ94" s="655"/>
      <c r="CA94" s="655"/>
      <c r="CB94" s="655"/>
      <c r="CC94" s="655"/>
      <c r="CD94" s="655"/>
      <c r="CE94" s="655"/>
      <c r="CF94" s="655"/>
      <c r="CG94" s="655"/>
      <c r="CH94" s="655"/>
      <c r="CI94" s="655"/>
      <c r="CJ94" s="655"/>
      <c r="CK94" s="655"/>
    </row>
    <row r="95" spans="1:89" s="255" customFormat="1" x14ac:dyDescent="0.35">
      <c r="A95" s="257"/>
      <c r="B95" s="257"/>
      <c r="C95" s="257"/>
      <c r="D95" s="257"/>
      <c r="E95" s="258">
        <f t="shared" si="9"/>
        <v>0</v>
      </c>
      <c r="F95" s="257">
        <f t="shared" ref="F95:K95" si="56">IF($L95="","",IF(F32="",F$6,F32))</f>
        <v>0</v>
      </c>
      <c r="G95" s="257">
        <f t="shared" si="56"/>
        <v>0</v>
      </c>
      <c r="H95" s="257">
        <f t="shared" si="56"/>
        <v>0</v>
      </c>
      <c r="I95" s="257">
        <f t="shared" si="56"/>
        <v>0</v>
      </c>
      <c r="J95" s="257">
        <f t="shared" si="56"/>
        <v>0</v>
      </c>
      <c r="K95" s="257">
        <f t="shared" si="56"/>
        <v>0</v>
      </c>
      <c r="L95" s="257" t="str">
        <f t="shared" ref="L95:N95" si="57">IF(L32="","",L32)</f>
        <v>Other</v>
      </c>
      <c r="M95" s="257" t="str">
        <f t="shared" si="57"/>
        <v/>
      </c>
      <c r="N95" s="257" t="str">
        <f t="shared" si="57"/>
        <v/>
      </c>
      <c r="O95" s="257"/>
      <c r="P95" s="257"/>
      <c r="Q95" s="565"/>
      <c r="R95" s="565"/>
      <c r="S95" s="565"/>
      <c r="T95" s="565"/>
      <c r="U95" s="565"/>
      <c r="V95" s="565"/>
      <c r="W95" s="565"/>
      <c r="X95" s="565"/>
      <c r="Y95" s="565"/>
      <c r="Z95" s="565"/>
      <c r="AA95" s="565"/>
      <c r="AB95" s="565"/>
      <c r="AC95" s="565"/>
      <c r="AD95" s="565"/>
      <c r="AE95" s="565"/>
      <c r="AF95" s="565"/>
      <c r="AG95" s="565"/>
      <c r="AH95" s="565"/>
      <c r="AI95" s="565"/>
      <c r="AJ95" s="565"/>
      <c r="AK95" s="565"/>
      <c r="AL95" s="565"/>
      <c r="AM95" s="565"/>
      <c r="AN95" s="565"/>
      <c r="AO95" s="565"/>
      <c r="AP95" s="565"/>
      <c r="AQ95" s="565"/>
      <c r="AR95" s="565"/>
      <c r="AS95" s="565"/>
      <c r="AT95" s="565"/>
      <c r="AU95" s="565"/>
      <c r="AV95" s="565"/>
      <c r="AW95" s="565"/>
      <c r="AX95" s="565"/>
      <c r="AY95" s="565"/>
      <c r="AZ95" s="565"/>
      <c r="BA95" s="565"/>
      <c r="BB95" s="655"/>
      <c r="BC95" s="655"/>
      <c r="BD95" s="655"/>
      <c r="BE95" s="655"/>
      <c r="BF95" s="655"/>
      <c r="BG95" s="655"/>
      <c r="BH95" s="655"/>
      <c r="BI95" s="655"/>
      <c r="BJ95" s="655"/>
      <c r="BK95" s="655"/>
      <c r="BL95" s="655"/>
      <c r="BM95" s="655"/>
      <c r="BN95" s="655"/>
      <c r="BO95" s="655"/>
      <c r="BP95" s="655"/>
      <c r="BQ95" s="655"/>
      <c r="BR95" s="655"/>
      <c r="BS95" s="655"/>
      <c r="BT95" s="655"/>
      <c r="BU95" s="655"/>
      <c r="BV95" s="655"/>
      <c r="BW95" s="655"/>
      <c r="BX95" s="655"/>
      <c r="BY95" s="655"/>
      <c r="BZ95" s="655"/>
      <c r="CA95" s="655"/>
      <c r="CB95" s="655"/>
      <c r="CC95" s="655"/>
      <c r="CD95" s="655"/>
      <c r="CE95" s="655"/>
      <c r="CF95" s="655"/>
      <c r="CG95" s="655"/>
      <c r="CH95" s="655"/>
      <c r="CI95" s="655"/>
      <c r="CJ95" s="655"/>
      <c r="CK95" s="655"/>
    </row>
    <row r="96" spans="1:89" s="255" customFormat="1" x14ac:dyDescent="0.35">
      <c r="A96" s="257"/>
      <c r="B96" s="257"/>
      <c r="C96" s="257"/>
      <c r="D96" s="257"/>
      <c r="E96" s="258">
        <f t="shared" si="9"/>
        <v>0</v>
      </c>
      <c r="F96" s="257">
        <f t="shared" ref="F96:K96" si="58">IF($L96="","",IF(F33="",F$6,F33))</f>
        <v>0</v>
      </c>
      <c r="G96" s="257">
        <f t="shared" si="58"/>
        <v>0</v>
      </c>
      <c r="H96" s="257">
        <f t="shared" si="58"/>
        <v>0</v>
      </c>
      <c r="I96" s="257">
        <f t="shared" si="58"/>
        <v>0</v>
      </c>
      <c r="J96" s="257">
        <f t="shared" si="58"/>
        <v>0</v>
      </c>
      <c r="K96" s="257">
        <f t="shared" si="58"/>
        <v>0</v>
      </c>
      <c r="L96" s="257" t="str">
        <f t="shared" ref="L96:N96" si="59">IF(L33="","",L33)</f>
        <v>Intercompany Charges</v>
      </c>
      <c r="M96" s="257" t="str">
        <f t="shared" si="59"/>
        <v/>
      </c>
      <c r="N96" s="257" t="str">
        <f t="shared" si="59"/>
        <v/>
      </c>
      <c r="O96" s="257"/>
      <c r="P96" s="257"/>
      <c r="Q96" s="565"/>
      <c r="R96" s="565"/>
      <c r="S96" s="565"/>
      <c r="T96" s="565"/>
      <c r="U96" s="565"/>
      <c r="V96" s="565"/>
      <c r="W96" s="565"/>
      <c r="X96" s="565"/>
      <c r="Y96" s="565"/>
      <c r="Z96" s="565"/>
      <c r="AA96" s="565"/>
      <c r="AB96" s="565"/>
      <c r="AC96" s="565"/>
      <c r="AD96" s="565"/>
      <c r="AE96" s="565"/>
      <c r="AF96" s="565"/>
      <c r="AG96" s="565"/>
      <c r="AH96" s="565"/>
      <c r="AI96" s="565"/>
      <c r="AJ96" s="565"/>
      <c r="AK96" s="565"/>
      <c r="AL96" s="565"/>
      <c r="AM96" s="565"/>
      <c r="AN96" s="565"/>
      <c r="AO96" s="565"/>
      <c r="AP96" s="565"/>
      <c r="AQ96" s="565"/>
      <c r="AR96" s="565"/>
      <c r="AS96" s="565"/>
      <c r="AT96" s="565"/>
      <c r="AU96" s="565"/>
      <c r="AV96" s="565"/>
      <c r="AW96" s="565"/>
      <c r="AX96" s="565"/>
      <c r="AY96" s="565"/>
      <c r="AZ96" s="565"/>
      <c r="BA96" s="565"/>
      <c r="BB96" s="655"/>
      <c r="BC96" s="655"/>
      <c r="BD96" s="655"/>
      <c r="BE96" s="655"/>
      <c r="BF96" s="655"/>
      <c r="BG96" s="655"/>
      <c r="BH96" s="655"/>
      <c r="BI96" s="655"/>
      <c r="BJ96" s="655"/>
      <c r="BK96" s="655"/>
      <c r="BL96" s="655"/>
      <c r="BM96" s="655"/>
      <c r="BN96" s="655"/>
      <c r="BO96" s="655"/>
      <c r="BP96" s="655"/>
      <c r="BQ96" s="655"/>
      <c r="BR96" s="655"/>
      <c r="BS96" s="655"/>
      <c r="BT96" s="655"/>
      <c r="BU96" s="655"/>
      <c r="BV96" s="655"/>
      <c r="BW96" s="655"/>
      <c r="BX96" s="655"/>
      <c r="BY96" s="655"/>
      <c r="BZ96" s="655"/>
      <c r="CA96" s="655"/>
      <c r="CB96" s="655"/>
      <c r="CC96" s="655"/>
      <c r="CD96" s="655"/>
      <c r="CE96" s="655"/>
      <c r="CF96" s="655"/>
      <c r="CG96" s="655"/>
      <c r="CH96" s="655"/>
      <c r="CI96" s="655"/>
      <c r="CJ96" s="655"/>
      <c r="CK96" s="655"/>
    </row>
    <row r="97" spans="1:89" s="255" customFormat="1" x14ac:dyDescent="0.35">
      <c r="A97" s="257"/>
      <c r="B97" s="257"/>
      <c r="C97" s="257"/>
      <c r="D97" s="257"/>
      <c r="E97" s="258" t="str">
        <f t="shared" si="9"/>
        <v/>
      </c>
      <c r="F97" s="257" t="str">
        <f t="shared" ref="F97:K97" si="60">IF($L97="","",IF(F34="",F$6,F34))</f>
        <v/>
      </c>
      <c r="G97" s="257" t="str">
        <f t="shared" si="60"/>
        <v/>
      </c>
      <c r="H97" s="257" t="str">
        <f t="shared" si="60"/>
        <v/>
      </c>
      <c r="I97" s="257" t="str">
        <f t="shared" si="60"/>
        <v/>
      </c>
      <c r="J97" s="257" t="str">
        <f t="shared" si="60"/>
        <v/>
      </c>
      <c r="K97" s="257" t="str">
        <f t="shared" si="60"/>
        <v/>
      </c>
      <c r="L97" s="257" t="str">
        <f t="shared" ref="L97:N97" si="61">IF(L34="","",L34)</f>
        <v/>
      </c>
      <c r="M97" s="257" t="str">
        <f t="shared" si="61"/>
        <v/>
      </c>
      <c r="N97" s="257" t="str">
        <f t="shared" si="61"/>
        <v/>
      </c>
      <c r="O97" s="257"/>
      <c r="P97" s="257"/>
      <c r="Q97" s="565"/>
      <c r="R97" s="565"/>
      <c r="S97" s="565"/>
      <c r="T97" s="565"/>
      <c r="U97" s="565"/>
      <c r="V97" s="565"/>
      <c r="W97" s="565"/>
      <c r="X97" s="565"/>
      <c r="Y97" s="565"/>
      <c r="Z97" s="565"/>
      <c r="AA97" s="565"/>
      <c r="AB97" s="565"/>
      <c r="AC97" s="565"/>
      <c r="AD97" s="565"/>
      <c r="AE97" s="565"/>
      <c r="AF97" s="565"/>
      <c r="AG97" s="565"/>
      <c r="AH97" s="565"/>
      <c r="AI97" s="565"/>
      <c r="AJ97" s="565"/>
      <c r="AK97" s="565"/>
      <c r="AL97" s="565"/>
      <c r="AM97" s="565"/>
      <c r="AN97" s="565"/>
      <c r="AO97" s="565"/>
      <c r="AP97" s="565"/>
      <c r="AQ97" s="565"/>
      <c r="AR97" s="565"/>
      <c r="AS97" s="565"/>
      <c r="AT97" s="565"/>
      <c r="AU97" s="565"/>
      <c r="AV97" s="565"/>
      <c r="AW97" s="565"/>
      <c r="AX97" s="565"/>
      <c r="AY97" s="565"/>
      <c r="AZ97" s="565"/>
      <c r="BA97" s="565"/>
      <c r="BB97" s="655"/>
      <c r="BC97" s="655"/>
      <c r="BD97" s="655"/>
      <c r="BE97" s="655"/>
      <c r="BF97" s="655"/>
      <c r="BG97" s="655"/>
      <c r="BH97" s="655"/>
      <c r="BI97" s="655"/>
      <c r="BJ97" s="655"/>
      <c r="BK97" s="655"/>
      <c r="BL97" s="655"/>
      <c r="BM97" s="655"/>
      <c r="BN97" s="655"/>
      <c r="BO97" s="655"/>
      <c r="BP97" s="655"/>
      <c r="BQ97" s="655"/>
      <c r="BR97" s="655"/>
      <c r="BS97" s="655"/>
      <c r="BT97" s="655"/>
      <c r="BU97" s="655"/>
      <c r="BV97" s="655"/>
      <c r="BW97" s="655"/>
      <c r="BX97" s="655"/>
      <c r="BY97" s="655"/>
      <c r="BZ97" s="655"/>
      <c r="CA97" s="655"/>
      <c r="CB97" s="655"/>
      <c r="CC97" s="655"/>
      <c r="CD97" s="655"/>
      <c r="CE97" s="655"/>
      <c r="CF97" s="655"/>
      <c r="CG97" s="655"/>
      <c r="CH97" s="655"/>
      <c r="CI97" s="655"/>
      <c r="CJ97" s="655"/>
      <c r="CK97" s="655"/>
    </row>
    <row r="98" spans="1:89" s="255" customFormat="1" x14ac:dyDescent="0.35">
      <c r="A98" s="257"/>
      <c r="B98" s="257"/>
      <c r="C98" s="257"/>
      <c r="D98" s="257"/>
      <c r="E98" s="258" t="str">
        <f t="shared" si="9"/>
        <v/>
      </c>
      <c r="F98" s="257" t="str">
        <f t="shared" ref="F98:K98" si="62">IF($L98="","",IF(F35="",F$6,F35))</f>
        <v/>
      </c>
      <c r="G98" s="257" t="str">
        <f t="shared" si="62"/>
        <v/>
      </c>
      <c r="H98" s="257" t="str">
        <f t="shared" si="62"/>
        <v/>
      </c>
      <c r="I98" s="257" t="str">
        <f t="shared" si="62"/>
        <v/>
      </c>
      <c r="J98" s="257" t="str">
        <f t="shared" si="62"/>
        <v/>
      </c>
      <c r="K98" s="257" t="str">
        <f t="shared" si="62"/>
        <v/>
      </c>
      <c r="L98" s="257" t="str">
        <f t="shared" ref="L98:N98" si="63">IF(L35="","",L35)</f>
        <v/>
      </c>
      <c r="M98" s="257" t="str">
        <f t="shared" si="63"/>
        <v/>
      </c>
      <c r="N98" s="257" t="str">
        <f t="shared" si="63"/>
        <v/>
      </c>
      <c r="O98" s="257"/>
      <c r="P98" s="257"/>
      <c r="Q98" s="565"/>
      <c r="R98" s="565"/>
      <c r="S98" s="565"/>
      <c r="T98" s="565"/>
      <c r="U98" s="565"/>
      <c r="V98" s="565"/>
      <c r="W98" s="565"/>
      <c r="X98" s="565"/>
      <c r="Y98" s="565"/>
      <c r="Z98" s="565"/>
      <c r="AA98" s="565"/>
      <c r="AB98" s="565"/>
      <c r="AC98" s="565"/>
      <c r="AD98" s="565"/>
      <c r="AE98" s="565"/>
      <c r="AF98" s="565"/>
      <c r="AG98" s="565"/>
      <c r="AH98" s="565"/>
      <c r="AI98" s="565"/>
      <c r="AJ98" s="565"/>
      <c r="AK98" s="565"/>
      <c r="AL98" s="565"/>
      <c r="AM98" s="565"/>
      <c r="AN98" s="565"/>
      <c r="AO98" s="565"/>
      <c r="AP98" s="565"/>
      <c r="AQ98" s="565"/>
      <c r="AR98" s="565"/>
      <c r="AS98" s="565"/>
      <c r="AT98" s="565"/>
      <c r="AU98" s="565"/>
      <c r="AV98" s="565"/>
      <c r="AW98" s="565"/>
      <c r="AX98" s="565"/>
      <c r="AY98" s="565"/>
      <c r="AZ98" s="565"/>
      <c r="BA98" s="565"/>
      <c r="BB98" s="655"/>
      <c r="BC98" s="655"/>
      <c r="BD98" s="655"/>
      <c r="BE98" s="655"/>
      <c r="BF98" s="655"/>
      <c r="BG98" s="655"/>
      <c r="BH98" s="655"/>
      <c r="BI98" s="655"/>
      <c r="BJ98" s="655"/>
      <c r="BK98" s="655"/>
      <c r="BL98" s="655"/>
      <c r="BM98" s="655"/>
      <c r="BN98" s="655"/>
      <c r="BO98" s="655"/>
      <c r="BP98" s="655"/>
      <c r="BQ98" s="655"/>
      <c r="BR98" s="655"/>
      <c r="BS98" s="655"/>
      <c r="BT98" s="655"/>
      <c r="BU98" s="655"/>
      <c r="BV98" s="655"/>
      <c r="BW98" s="655"/>
      <c r="BX98" s="655"/>
      <c r="BY98" s="655"/>
      <c r="BZ98" s="655"/>
      <c r="CA98" s="655"/>
      <c r="CB98" s="655"/>
      <c r="CC98" s="655"/>
      <c r="CD98" s="655"/>
      <c r="CE98" s="655"/>
      <c r="CF98" s="655"/>
      <c r="CG98" s="655"/>
      <c r="CH98" s="655"/>
      <c r="CI98" s="655"/>
      <c r="CJ98" s="655"/>
      <c r="CK98" s="655"/>
    </row>
    <row r="99" spans="1:89" s="255" customFormat="1" x14ac:dyDescent="0.35">
      <c r="A99" s="257"/>
      <c r="B99" s="257"/>
      <c r="C99" s="257"/>
      <c r="D99" s="257"/>
      <c r="E99" s="258" t="str">
        <f t="shared" si="9"/>
        <v/>
      </c>
      <c r="F99" s="257" t="str">
        <f t="shared" ref="F99:K99" si="64">IF($L99="","",IF(F36="",F$6,F36))</f>
        <v/>
      </c>
      <c r="G99" s="257" t="str">
        <f t="shared" si="64"/>
        <v/>
      </c>
      <c r="H99" s="257" t="str">
        <f t="shared" si="64"/>
        <v/>
      </c>
      <c r="I99" s="257" t="str">
        <f t="shared" si="64"/>
        <v/>
      </c>
      <c r="J99" s="257" t="str">
        <f t="shared" si="64"/>
        <v/>
      </c>
      <c r="K99" s="257" t="str">
        <f t="shared" si="64"/>
        <v/>
      </c>
      <c r="L99" s="257" t="str">
        <f t="shared" ref="L99:N99" si="65">IF(L36="","",L36)</f>
        <v/>
      </c>
      <c r="M99" s="257" t="str">
        <f t="shared" si="65"/>
        <v/>
      </c>
      <c r="N99" s="257" t="str">
        <f t="shared" si="65"/>
        <v/>
      </c>
      <c r="O99" s="257"/>
      <c r="P99" s="257"/>
      <c r="Q99" s="565"/>
      <c r="R99" s="565"/>
      <c r="S99" s="565"/>
      <c r="T99" s="565"/>
      <c r="U99" s="565"/>
      <c r="V99" s="565"/>
      <c r="W99" s="565"/>
      <c r="X99" s="565"/>
      <c r="Y99" s="565"/>
      <c r="Z99" s="565"/>
      <c r="AA99" s="565"/>
      <c r="AB99" s="565"/>
      <c r="AC99" s="565"/>
      <c r="AD99" s="565"/>
      <c r="AE99" s="565"/>
      <c r="AF99" s="565"/>
      <c r="AG99" s="565"/>
      <c r="AH99" s="565"/>
      <c r="AI99" s="565"/>
      <c r="AJ99" s="565"/>
      <c r="AK99" s="565"/>
      <c r="AL99" s="565"/>
      <c r="AM99" s="565"/>
      <c r="AN99" s="565"/>
      <c r="AO99" s="565"/>
      <c r="AP99" s="565"/>
      <c r="AQ99" s="565"/>
      <c r="AR99" s="565"/>
      <c r="AS99" s="565"/>
      <c r="AT99" s="565"/>
      <c r="AU99" s="565"/>
      <c r="AV99" s="565"/>
      <c r="AW99" s="565"/>
      <c r="AX99" s="565"/>
      <c r="AY99" s="565"/>
      <c r="AZ99" s="565"/>
      <c r="BA99" s="565"/>
      <c r="BB99" s="655"/>
      <c r="BC99" s="655"/>
      <c r="BD99" s="655"/>
      <c r="BE99" s="655"/>
      <c r="BF99" s="655"/>
      <c r="BG99" s="655"/>
      <c r="BH99" s="655"/>
      <c r="BI99" s="655"/>
      <c r="BJ99" s="655"/>
      <c r="BK99" s="655"/>
      <c r="BL99" s="655"/>
      <c r="BM99" s="655"/>
      <c r="BN99" s="655"/>
      <c r="BO99" s="655"/>
      <c r="BP99" s="655"/>
      <c r="BQ99" s="655"/>
      <c r="BR99" s="655"/>
      <c r="BS99" s="655"/>
      <c r="BT99" s="655"/>
      <c r="BU99" s="655"/>
      <c r="BV99" s="655"/>
      <c r="BW99" s="655"/>
      <c r="BX99" s="655"/>
      <c r="BY99" s="655"/>
      <c r="BZ99" s="655"/>
      <c r="CA99" s="655"/>
      <c r="CB99" s="655"/>
      <c r="CC99" s="655"/>
      <c r="CD99" s="655"/>
      <c r="CE99" s="655"/>
      <c r="CF99" s="655"/>
      <c r="CG99" s="655"/>
      <c r="CH99" s="655"/>
      <c r="CI99" s="655"/>
      <c r="CJ99" s="655"/>
      <c r="CK99" s="655"/>
    </row>
    <row r="100" spans="1:89" s="255" customFormat="1" x14ac:dyDescent="0.35">
      <c r="A100" s="257"/>
      <c r="B100" s="257"/>
      <c r="C100" s="257"/>
      <c r="D100" s="257"/>
      <c r="E100" s="258" t="str">
        <f t="shared" si="9"/>
        <v/>
      </c>
      <c r="F100" s="257" t="str">
        <f t="shared" ref="F100:K100" si="66">IF($L100="","",IF(F37="",F$6,F37))</f>
        <v/>
      </c>
      <c r="G100" s="257" t="str">
        <f t="shared" si="66"/>
        <v/>
      </c>
      <c r="H100" s="257" t="str">
        <f t="shared" si="66"/>
        <v/>
      </c>
      <c r="I100" s="257" t="str">
        <f t="shared" si="66"/>
        <v/>
      </c>
      <c r="J100" s="257" t="str">
        <f t="shared" si="66"/>
        <v/>
      </c>
      <c r="K100" s="257" t="str">
        <f t="shared" si="66"/>
        <v/>
      </c>
      <c r="L100" s="257" t="str">
        <f t="shared" ref="L100:N100" si="67">IF(L37="","",L37)</f>
        <v/>
      </c>
      <c r="M100" s="257" t="str">
        <f t="shared" si="67"/>
        <v/>
      </c>
      <c r="N100" s="257" t="str">
        <f t="shared" si="67"/>
        <v/>
      </c>
      <c r="O100" s="257"/>
      <c r="P100" s="257"/>
      <c r="Q100" s="565"/>
      <c r="R100" s="565"/>
      <c r="S100" s="565"/>
      <c r="T100" s="565"/>
      <c r="U100" s="565"/>
      <c r="V100" s="565"/>
      <c r="W100" s="565"/>
      <c r="X100" s="565"/>
      <c r="Y100" s="565"/>
      <c r="Z100" s="565"/>
      <c r="AA100" s="565"/>
      <c r="AB100" s="565"/>
      <c r="AC100" s="565"/>
      <c r="AD100" s="565"/>
      <c r="AE100" s="565"/>
      <c r="AF100" s="565"/>
      <c r="AG100" s="565"/>
      <c r="AH100" s="565"/>
      <c r="AI100" s="565"/>
      <c r="AJ100" s="565"/>
      <c r="AK100" s="565"/>
      <c r="AL100" s="565"/>
      <c r="AM100" s="565"/>
      <c r="AN100" s="565"/>
      <c r="AO100" s="565"/>
      <c r="AP100" s="565"/>
      <c r="AQ100" s="565"/>
      <c r="AR100" s="565"/>
      <c r="AS100" s="565"/>
      <c r="AT100" s="565"/>
      <c r="AU100" s="565"/>
      <c r="AV100" s="565"/>
      <c r="AW100" s="565"/>
      <c r="AX100" s="565"/>
      <c r="AY100" s="565"/>
      <c r="AZ100" s="565"/>
      <c r="BA100" s="565"/>
      <c r="BB100" s="655"/>
      <c r="BC100" s="655"/>
      <c r="BD100" s="655"/>
      <c r="BE100" s="655"/>
      <c r="BF100" s="655"/>
      <c r="BG100" s="655"/>
      <c r="BH100" s="655"/>
      <c r="BI100" s="655"/>
      <c r="BJ100" s="655"/>
      <c r="BK100" s="655"/>
      <c r="BL100" s="655"/>
      <c r="BM100" s="655"/>
      <c r="BN100" s="655"/>
      <c r="BO100" s="655"/>
      <c r="BP100" s="655"/>
      <c r="BQ100" s="655"/>
      <c r="BR100" s="655"/>
      <c r="BS100" s="655"/>
      <c r="BT100" s="655"/>
      <c r="BU100" s="655"/>
      <c r="BV100" s="655"/>
      <c r="BW100" s="655"/>
      <c r="BX100" s="655"/>
      <c r="BY100" s="655"/>
      <c r="BZ100" s="655"/>
      <c r="CA100" s="655"/>
      <c r="CB100" s="655"/>
      <c r="CC100" s="655"/>
      <c r="CD100" s="655"/>
      <c r="CE100" s="655"/>
      <c r="CF100" s="655"/>
      <c r="CG100" s="655"/>
      <c r="CH100" s="655"/>
      <c r="CI100" s="655"/>
      <c r="CJ100" s="655"/>
      <c r="CK100" s="655"/>
    </row>
    <row r="101" spans="1:89" s="255" customFormat="1" x14ac:dyDescent="0.35">
      <c r="A101" s="257"/>
      <c r="B101" s="257"/>
      <c r="C101" s="257"/>
      <c r="D101" s="257"/>
      <c r="E101" s="258" t="str">
        <f t="shared" si="9"/>
        <v/>
      </c>
      <c r="F101" s="257" t="str">
        <f t="shared" ref="F101:K101" si="68">IF($L101="","",IF(F38="",F$6,F38))</f>
        <v/>
      </c>
      <c r="G101" s="257" t="str">
        <f t="shared" si="68"/>
        <v/>
      </c>
      <c r="H101" s="257" t="str">
        <f t="shared" si="68"/>
        <v/>
      </c>
      <c r="I101" s="257" t="str">
        <f t="shared" si="68"/>
        <v/>
      </c>
      <c r="J101" s="257" t="str">
        <f t="shared" si="68"/>
        <v/>
      </c>
      <c r="K101" s="257" t="str">
        <f t="shared" si="68"/>
        <v/>
      </c>
      <c r="L101" s="257" t="str">
        <f t="shared" ref="L101:N101" si="69">IF(L38="","",L38)</f>
        <v/>
      </c>
      <c r="M101" s="257" t="str">
        <f t="shared" si="69"/>
        <v/>
      </c>
      <c r="N101" s="257" t="str">
        <f t="shared" si="69"/>
        <v/>
      </c>
      <c r="O101" s="257"/>
      <c r="P101" s="257"/>
      <c r="Q101" s="565"/>
      <c r="R101" s="565"/>
      <c r="S101" s="565"/>
      <c r="T101" s="565"/>
      <c r="U101" s="565"/>
      <c r="V101" s="565"/>
      <c r="W101" s="565"/>
      <c r="X101" s="565"/>
      <c r="Y101" s="565"/>
      <c r="Z101" s="565"/>
      <c r="AA101" s="565"/>
      <c r="AB101" s="565"/>
      <c r="AC101" s="565"/>
      <c r="AD101" s="565"/>
      <c r="AE101" s="565"/>
      <c r="AF101" s="565"/>
      <c r="AG101" s="565"/>
      <c r="AH101" s="565"/>
      <c r="AI101" s="565"/>
      <c r="AJ101" s="565"/>
      <c r="AK101" s="565"/>
      <c r="AL101" s="565"/>
      <c r="AM101" s="565"/>
      <c r="AN101" s="565"/>
      <c r="AO101" s="565"/>
      <c r="AP101" s="565"/>
      <c r="AQ101" s="565"/>
      <c r="AR101" s="565"/>
      <c r="AS101" s="565"/>
      <c r="AT101" s="565"/>
      <c r="AU101" s="565"/>
      <c r="AV101" s="565"/>
      <c r="AW101" s="565"/>
      <c r="AX101" s="565"/>
      <c r="AY101" s="565"/>
      <c r="AZ101" s="565"/>
      <c r="BA101" s="565"/>
      <c r="BB101" s="655"/>
      <c r="BC101" s="655"/>
      <c r="BD101" s="655"/>
      <c r="BE101" s="655"/>
      <c r="BF101" s="655"/>
      <c r="BG101" s="655"/>
      <c r="BH101" s="655"/>
      <c r="BI101" s="655"/>
      <c r="BJ101" s="655"/>
      <c r="BK101" s="655"/>
      <c r="BL101" s="655"/>
      <c r="BM101" s="655"/>
      <c r="BN101" s="655"/>
      <c r="BO101" s="655"/>
      <c r="BP101" s="655"/>
      <c r="BQ101" s="655"/>
      <c r="BR101" s="655"/>
      <c r="BS101" s="655"/>
      <c r="BT101" s="655"/>
      <c r="BU101" s="655"/>
      <c r="BV101" s="655"/>
      <c r="BW101" s="655"/>
      <c r="BX101" s="655"/>
      <c r="BY101" s="655"/>
      <c r="BZ101" s="655"/>
      <c r="CA101" s="655"/>
      <c r="CB101" s="655"/>
      <c r="CC101" s="655"/>
      <c r="CD101" s="655"/>
      <c r="CE101" s="655"/>
      <c r="CF101" s="655"/>
      <c r="CG101" s="655"/>
      <c r="CH101" s="655"/>
      <c r="CI101" s="655"/>
      <c r="CJ101" s="655"/>
      <c r="CK101" s="655"/>
    </row>
    <row r="102" spans="1:89" s="255" customFormat="1" x14ac:dyDescent="0.35">
      <c r="A102" s="257"/>
      <c r="B102" s="257"/>
      <c r="C102" s="257"/>
      <c r="D102" s="257"/>
      <c r="E102" s="258" t="str">
        <f t="shared" si="9"/>
        <v/>
      </c>
      <c r="F102" s="257" t="str">
        <f t="shared" ref="F102:K102" si="70">IF($L102="","",IF(F39="",F$6,F39))</f>
        <v/>
      </c>
      <c r="G102" s="257" t="str">
        <f t="shared" si="70"/>
        <v/>
      </c>
      <c r="H102" s="257" t="str">
        <f t="shared" si="70"/>
        <v/>
      </c>
      <c r="I102" s="257" t="str">
        <f t="shared" si="70"/>
        <v/>
      </c>
      <c r="J102" s="257" t="str">
        <f t="shared" si="70"/>
        <v/>
      </c>
      <c r="K102" s="257" t="str">
        <f t="shared" si="70"/>
        <v/>
      </c>
      <c r="L102" s="257" t="str">
        <f t="shared" ref="L102:N102" si="71">IF(L39="","",L39)</f>
        <v/>
      </c>
      <c r="M102" s="257" t="str">
        <f t="shared" si="71"/>
        <v/>
      </c>
      <c r="N102" s="257" t="str">
        <f t="shared" si="71"/>
        <v/>
      </c>
      <c r="O102" s="257"/>
      <c r="P102" s="257"/>
      <c r="Q102" s="565"/>
      <c r="R102" s="565"/>
      <c r="S102" s="565"/>
      <c r="T102" s="565"/>
      <c r="U102" s="565"/>
      <c r="V102" s="565"/>
      <c r="W102" s="565"/>
      <c r="X102" s="565"/>
      <c r="Y102" s="565"/>
      <c r="Z102" s="565"/>
      <c r="AA102" s="565"/>
      <c r="AB102" s="565"/>
      <c r="AC102" s="565"/>
      <c r="AD102" s="565"/>
      <c r="AE102" s="565"/>
      <c r="AF102" s="565"/>
      <c r="AG102" s="565"/>
      <c r="AH102" s="565"/>
      <c r="AI102" s="565"/>
      <c r="AJ102" s="565"/>
      <c r="AK102" s="565"/>
      <c r="AL102" s="565"/>
      <c r="AM102" s="565"/>
      <c r="AN102" s="565"/>
      <c r="AO102" s="565"/>
      <c r="AP102" s="565"/>
      <c r="AQ102" s="565"/>
      <c r="AR102" s="565"/>
      <c r="AS102" s="565"/>
      <c r="AT102" s="565"/>
      <c r="AU102" s="565"/>
      <c r="AV102" s="565"/>
      <c r="AW102" s="565"/>
      <c r="AX102" s="565"/>
      <c r="AY102" s="565"/>
      <c r="AZ102" s="565"/>
      <c r="BA102" s="565"/>
      <c r="BB102" s="655"/>
      <c r="BC102" s="655"/>
      <c r="BD102" s="655"/>
      <c r="BE102" s="655"/>
      <c r="BF102" s="655"/>
      <c r="BG102" s="655"/>
      <c r="BH102" s="655"/>
      <c r="BI102" s="655"/>
      <c r="BJ102" s="655"/>
      <c r="BK102" s="655"/>
      <c r="BL102" s="655"/>
      <c r="BM102" s="655"/>
      <c r="BN102" s="655"/>
      <c r="BO102" s="655"/>
      <c r="BP102" s="655"/>
      <c r="BQ102" s="655"/>
      <c r="BR102" s="655"/>
      <c r="BS102" s="655"/>
      <c r="BT102" s="655"/>
      <c r="BU102" s="655"/>
      <c r="BV102" s="655"/>
      <c r="BW102" s="655"/>
      <c r="BX102" s="655"/>
      <c r="BY102" s="655"/>
      <c r="BZ102" s="655"/>
      <c r="CA102" s="655"/>
      <c r="CB102" s="655"/>
      <c r="CC102" s="655"/>
      <c r="CD102" s="655"/>
      <c r="CE102" s="655"/>
      <c r="CF102" s="655"/>
      <c r="CG102" s="655"/>
      <c r="CH102" s="655"/>
      <c r="CI102" s="655"/>
      <c r="CJ102" s="655"/>
      <c r="CK102" s="655"/>
    </row>
    <row r="103" spans="1:89" s="255" customFormat="1" x14ac:dyDescent="0.35">
      <c r="A103" s="257"/>
      <c r="B103" s="257"/>
      <c r="C103" s="257"/>
      <c r="D103" s="257"/>
      <c r="E103" s="258" t="str">
        <f t="shared" si="9"/>
        <v/>
      </c>
      <c r="F103" s="257" t="str">
        <f t="shared" ref="F103:K103" si="72">IF($L103="","",IF(F40="",F$6,F40))</f>
        <v/>
      </c>
      <c r="G103" s="257" t="str">
        <f t="shared" si="72"/>
        <v/>
      </c>
      <c r="H103" s="257" t="str">
        <f t="shared" si="72"/>
        <v/>
      </c>
      <c r="I103" s="257" t="str">
        <f t="shared" si="72"/>
        <v/>
      </c>
      <c r="J103" s="257" t="str">
        <f t="shared" si="72"/>
        <v/>
      </c>
      <c r="K103" s="257" t="str">
        <f t="shared" si="72"/>
        <v/>
      </c>
      <c r="L103" s="257" t="str">
        <f t="shared" ref="L103:N103" si="73">IF(L40="","",L40)</f>
        <v/>
      </c>
      <c r="M103" s="257" t="str">
        <f t="shared" si="73"/>
        <v/>
      </c>
      <c r="N103" s="257" t="str">
        <f t="shared" si="73"/>
        <v/>
      </c>
      <c r="O103" s="257"/>
      <c r="P103" s="257"/>
      <c r="Q103" s="565"/>
      <c r="R103" s="565"/>
      <c r="S103" s="565"/>
      <c r="T103" s="565"/>
      <c r="U103" s="565"/>
      <c r="V103" s="565"/>
      <c r="W103" s="565"/>
      <c r="X103" s="565"/>
      <c r="Y103" s="565"/>
      <c r="Z103" s="565"/>
      <c r="AA103" s="565"/>
      <c r="AB103" s="565"/>
      <c r="AC103" s="565"/>
      <c r="AD103" s="565"/>
      <c r="AE103" s="565"/>
      <c r="AF103" s="565"/>
      <c r="AG103" s="565"/>
      <c r="AH103" s="565"/>
      <c r="AI103" s="565"/>
      <c r="AJ103" s="565"/>
      <c r="AK103" s="565"/>
      <c r="AL103" s="565"/>
      <c r="AM103" s="565"/>
      <c r="AN103" s="565"/>
      <c r="AO103" s="565"/>
      <c r="AP103" s="565"/>
      <c r="AQ103" s="565"/>
      <c r="AR103" s="565"/>
      <c r="AS103" s="565"/>
      <c r="AT103" s="565"/>
      <c r="AU103" s="565"/>
      <c r="AV103" s="565"/>
      <c r="AW103" s="565"/>
      <c r="AX103" s="565"/>
      <c r="AY103" s="565"/>
      <c r="AZ103" s="565"/>
      <c r="BA103" s="565"/>
      <c r="BB103" s="655"/>
      <c r="BC103" s="655"/>
      <c r="BD103" s="655"/>
      <c r="BE103" s="655"/>
      <c r="BF103" s="655"/>
      <c r="BG103" s="655"/>
      <c r="BH103" s="655"/>
      <c r="BI103" s="655"/>
      <c r="BJ103" s="655"/>
      <c r="BK103" s="655"/>
      <c r="BL103" s="655"/>
      <c r="BM103" s="655"/>
      <c r="BN103" s="655"/>
      <c r="BO103" s="655"/>
      <c r="BP103" s="655"/>
      <c r="BQ103" s="655"/>
      <c r="BR103" s="655"/>
      <c r="BS103" s="655"/>
      <c r="BT103" s="655"/>
      <c r="BU103" s="655"/>
      <c r="BV103" s="655"/>
      <c r="BW103" s="655"/>
      <c r="BX103" s="655"/>
      <c r="BY103" s="655"/>
      <c r="BZ103" s="655"/>
      <c r="CA103" s="655"/>
      <c r="CB103" s="655"/>
      <c r="CC103" s="655"/>
      <c r="CD103" s="655"/>
      <c r="CE103" s="655"/>
      <c r="CF103" s="655"/>
      <c r="CG103" s="655"/>
      <c r="CH103" s="655"/>
      <c r="CI103" s="655"/>
      <c r="CJ103" s="655"/>
      <c r="CK103" s="655"/>
    </row>
    <row r="104" spans="1:89" s="255" customFormat="1" x14ac:dyDescent="0.35">
      <c r="A104" s="257"/>
      <c r="B104" s="257"/>
      <c r="C104" s="257"/>
      <c r="D104" s="257"/>
      <c r="E104" s="258" t="str">
        <f t="shared" si="9"/>
        <v/>
      </c>
      <c r="F104" s="257" t="str">
        <f t="shared" ref="F104:K104" si="74">IF($L104="","",IF(F41="",F$6,F41))</f>
        <v/>
      </c>
      <c r="G104" s="257" t="str">
        <f t="shared" si="74"/>
        <v/>
      </c>
      <c r="H104" s="257" t="str">
        <f t="shared" si="74"/>
        <v/>
      </c>
      <c r="I104" s="257" t="str">
        <f t="shared" si="74"/>
        <v/>
      </c>
      <c r="J104" s="257" t="str">
        <f t="shared" si="74"/>
        <v/>
      </c>
      <c r="K104" s="257" t="str">
        <f t="shared" si="74"/>
        <v/>
      </c>
      <c r="L104" s="257" t="str">
        <f t="shared" ref="L104:N104" si="75">IF(L41="","",L41)</f>
        <v/>
      </c>
      <c r="M104" s="257" t="str">
        <f t="shared" si="75"/>
        <v/>
      </c>
      <c r="N104" s="257" t="str">
        <f t="shared" si="75"/>
        <v/>
      </c>
      <c r="O104" s="257"/>
      <c r="P104" s="257"/>
      <c r="Q104" s="565"/>
      <c r="R104" s="565"/>
      <c r="S104" s="565"/>
      <c r="T104" s="565"/>
      <c r="U104" s="565"/>
      <c r="V104" s="565"/>
      <c r="W104" s="565"/>
      <c r="X104" s="565"/>
      <c r="Y104" s="565"/>
      <c r="Z104" s="565"/>
      <c r="AA104" s="565"/>
      <c r="AB104" s="565"/>
      <c r="AC104" s="565"/>
      <c r="AD104" s="565"/>
      <c r="AE104" s="565"/>
      <c r="AF104" s="565"/>
      <c r="AG104" s="565"/>
      <c r="AH104" s="565"/>
      <c r="AI104" s="565"/>
      <c r="AJ104" s="565"/>
      <c r="AK104" s="565"/>
      <c r="AL104" s="565"/>
      <c r="AM104" s="565"/>
      <c r="AN104" s="565"/>
      <c r="AO104" s="565"/>
      <c r="AP104" s="565"/>
      <c r="AQ104" s="565"/>
      <c r="AR104" s="565"/>
      <c r="AS104" s="565"/>
      <c r="AT104" s="565"/>
      <c r="AU104" s="565"/>
      <c r="AV104" s="565"/>
      <c r="AW104" s="565"/>
      <c r="AX104" s="565"/>
      <c r="AY104" s="565"/>
      <c r="AZ104" s="565"/>
      <c r="BA104" s="565"/>
      <c r="BB104" s="655"/>
      <c r="BC104" s="655"/>
      <c r="BD104" s="655"/>
      <c r="BE104" s="655"/>
      <c r="BF104" s="655"/>
      <c r="BG104" s="655"/>
      <c r="BH104" s="655"/>
      <c r="BI104" s="655"/>
      <c r="BJ104" s="655"/>
      <c r="BK104" s="655"/>
      <c r="BL104" s="655"/>
      <c r="BM104" s="655"/>
      <c r="BN104" s="655"/>
      <c r="BO104" s="655"/>
      <c r="BP104" s="655"/>
      <c r="BQ104" s="655"/>
      <c r="BR104" s="655"/>
      <c r="BS104" s="655"/>
      <c r="BT104" s="655"/>
      <c r="BU104" s="655"/>
      <c r="BV104" s="655"/>
      <c r="BW104" s="655"/>
      <c r="BX104" s="655"/>
      <c r="BY104" s="655"/>
      <c r="BZ104" s="655"/>
      <c r="CA104" s="655"/>
      <c r="CB104" s="655"/>
      <c r="CC104" s="655"/>
      <c r="CD104" s="655"/>
      <c r="CE104" s="655"/>
      <c r="CF104" s="655"/>
      <c r="CG104" s="655"/>
      <c r="CH104" s="655"/>
      <c r="CI104" s="655"/>
      <c r="CJ104" s="655"/>
      <c r="CK104" s="655"/>
    </row>
    <row r="105" spans="1:89" s="255" customFormat="1" x14ac:dyDescent="0.35">
      <c r="A105" s="257"/>
      <c r="B105" s="257"/>
      <c r="C105" s="257"/>
      <c r="D105" s="257"/>
      <c r="E105" s="258" t="str">
        <f t="shared" si="9"/>
        <v/>
      </c>
      <c r="F105" s="257" t="str">
        <f t="shared" ref="F105:K105" si="76">IF($L105="","",IF(F42="",F$6,F42))</f>
        <v/>
      </c>
      <c r="G105" s="257" t="str">
        <f t="shared" si="76"/>
        <v/>
      </c>
      <c r="H105" s="257" t="str">
        <f t="shared" si="76"/>
        <v/>
      </c>
      <c r="I105" s="257" t="str">
        <f t="shared" si="76"/>
        <v/>
      </c>
      <c r="J105" s="257" t="str">
        <f t="shared" si="76"/>
        <v/>
      </c>
      <c r="K105" s="257" t="str">
        <f t="shared" si="76"/>
        <v/>
      </c>
      <c r="L105" s="257" t="str">
        <f t="shared" ref="L105:N105" si="77">IF(L42="","",L42)</f>
        <v/>
      </c>
      <c r="M105" s="257" t="str">
        <f t="shared" si="77"/>
        <v/>
      </c>
      <c r="N105" s="257" t="str">
        <f t="shared" si="77"/>
        <v/>
      </c>
      <c r="O105" s="257"/>
      <c r="P105" s="257"/>
      <c r="Q105" s="565"/>
      <c r="R105" s="565"/>
      <c r="S105" s="565"/>
      <c r="T105" s="565"/>
      <c r="U105" s="565"/>
      <c r="V105" s="565"/>
      <c r="W105" s="565"/>
      <c r="X105" s="565"/>
      <c r="Y105" s="565"/>
      <c r="Z105" s="565"/>
      <c r="AA105" s="565"/>
      <c r="AB105" s="565"/>
      <c r="AC105" s="565"/>
      <c r="AD105" s="565"/>
      <c r="AE105" s="565"/>
      <c r="AF105" s="565"/>
      <c r="AG105" s="565"/>
      <c r="AH105" s="565"/>
      <c r="AI105" s="565"/>
      <c r="AJ105" s="565"/>
      <c r="AK105" s="565"/>
      <c r="AL105" s="565"/>
      <c r="AM105" s="565"/>
      <c r="AN105" s="565"/>
      <c r="AO105" s="565"/>
      <c r="AP105" s="565"/>
      <c r="AQ105" s="565"/>
      <c r="AR105" s="565"/>
      <c r="AS105" s="565"/>
      <c r="AT105" s="565"/>
      <c r="AU105" s="565"/>
      <c r="AV105" s="565"/>
      <c r="AW105" s="565"/>
      <c r="AX105" s="565"/>
      <c r="AY105" s="565"/>
      <c r="AZ105" s="565"/>
      <c r="BA105" s="565"/>
      <c r="BB105" s="655"/>
      <c r="BC105" s="655"/>
      <c r="BD105" s="655"/>
      <c r="BE105" s="655"/>
      <c r="BF105" s="655"/>
      <c r="BG105" s="655"/>
      <c r="BH105" s="655"/>
      <c r="BI105" s="655"/>
      <c r="BJ105" s="655"/>
      <c r="BK105" s="655"/>
      <c r="BL105" s="655"/>
      <c r="BM105" s="655"/>
      <c r="BN105" s="655"/>
      <c r="BO105" s="655"/>
      <c r="BP105" s="655"/>
      <c r="BQ105" s="655"/>
      <c r="BR105" s="655"/>
      <c r="BS105" s="655"/>
      <c r="BT105" s="655"/>
      <c r="BU105" s="655"/>
      <c r="BV105" s="655"/>
      <c r="BW105" s="655"/>
      <c r="BX105" s="655"/>
      <c r="BY105" s="655"/>
      <c r="BZ105" s="655"/>
      <c r="CA105" s="655"/>
      <c r="CB105" s="655"/>
      <c r="CC105" s="655"/>
      <c r="CD105" s="655"/>
      <c r="CE105" s="655"/>
      <c r="CF105" s="655"/>
      <c r="CG105" s="655"/>
      <c r="CH105" s="655"/>
      <c r="CI105" s="655"/>
      <c r="CJ105" s="655"/>
      <c r="CK105" s="655"/>
    </row>
    <row r="106" spans="1:89" s="255" customFormat="1" x14ac:dyDescent="0.35">
      <c r="A106" s="257"/>
      <c r="B106" s="257"/>
      <c r="C106" s="257"/>
      <c r="D106" s="257"/>
      <c r="E106" s="258" t="str">
        <f t="shared" si="9"/>
        <v/>
      </c>
      <c r="F106" s="257" t="str">
        <f t="shared" ref="F106:K106" si="78">IF($L106="","",IF(F43="",F$6,F43))</f>
        <v/>
      </c>
      <c r="G106" s="257" t="str">
        <f t="shared" si="78"/>
        <v/>
      </c>
      <c r="H106" s="257" t="str">
        <f t="shared" si="78"/>
        <v/>
      </c>
      <c r="I106" s="257" t="str">
        <f t="shared" si="78"/>
        <v/>
      </c>
      <c r="J106" s="257" t="str">
        <f t="shared" si="78"/>
        <v/>
      </c>
      <c r="K106" s="257" t="str">
        <f t="shared" si="78"/>
        <v/>
      </c>
      <c r="L106" s="257" t="str">
        <f t="shared" ref="L106:N106" si="79">IF(L43="","",L43)</f>
        <v/>
      </c>
      <c r="M106" s="257" t="str">
        <f t="shared" si="79"/>
        <v/>
      </c>
      <c r="N106" s="257" t="str">
        <f t="shared" si="79"/>
        <v/>
      </c>
      <c r="O106" s="257"/>
      <c r="P106" s="257"/>
      <c r="Q106" s="565"/>
      <c r="R106" s="565"/>
      <c r="S106" s="565"/>
      <c r="T106" s="565"/>
      <c r="U106" s="565"/>
      <c r="V106" s="565"/>
      <c r="W106" s="565"/>
      <c r="X106" s="565"/>
      <c r="Y106" s="565"/>
      <c r="Z106" s="565"/>
      <c r="AA106" s="565"/>
      <c r="AB106" s="565"/>
      <c r="AC106" s="565"/>
      <c r="AD106" s="565"/>
      <c r="AE106" s="565"/>
      <c r="AF106" s="565"/>
      <c r="AG106" s="565"/>
      <c r="AH106" s="565"/>
      <c r="AI106" s="565"/>
      <c r="AJ106" s="565"/>
      <c r="AK106" s="565"/>
      <c r="AL106" s="565"/>
      <c r="AM106" s="565"/>
      <c r="AN106" s="565"/>
      <c r="AO106" s="565"/>
      <c r="AP106" s="565"/>
      <c r="AQ106" s="565"/>
      <c r="AR106" s="565"/>
      <c r="AS106" s="565"/>
      <c r="AT106" s="565"/>
      <c r="AU106" s="565"/>
      <c r="AV106" s="565"/>
      <c r="AW106" s="565"/>
      <c r="AX106" s="565"/>
      <c r="AY106" s="565"/>
      <c r="AZ106" s="565"/>
      <c r="BA106" s="565"/>
      <c r="BB106" s="655"/>
      <c r="BC106" s="655"/>
      <c r="BD106" s="655"/>
      <c r="BE106" s="655"/>
      <c r="BF106" s="655"/>
      <c r="BG106" s="655"/>
      <c r="BH106" s="655"/>
      <c r="BI106" s="655"/>
      <c r="BJ106" s="655"/>
      <c r="BK106" s="655"/>
      <c r="BL106" s="655"/>
      <c r="BM106" s="655"/>
      <c r="BN106" s="655"/>
      <c r="BO106" s="655"/>
      <c r="BP106" s="655"/>
      <c r="BQ106" s="655"/>
      <c r="BR106" s="655"/>
      <c r="BS106" s="655"/>
      <c r="BT106" s="655"/>
      <c r="BU106" s="655"/>
      <c r="BV106" s="655"/>
      <c r="BW106" s="655"/>
      <c r="BX106" s="655"/>
      <c r="BY106" s="655"/>
      <c r="BZ106" s="655"/>
      <c r="CA106" s="655"/>
      <c r="CB106" s="655"/>
      <c r="CC106" s="655"/>
      <c r="CD106" s="655"/>
      <c r="CE106" s="655"/>
      <c r="CF106" s="655"/>
      <c r="CG106" s="655"/>
      <c r="CH106" s="655"/>
      <c r="CI106" s="655"/>
      <c r="CJ106" s="655"/>
      <c r="CK106" s="655"/>
    </row>
    <row r="107" spans="1:89" s="255" customFormat="1" x14ac:dyDescent="0.35">
      <c r="A107" s="257"/>
      <c r="B107" s="257"/>
      <c r="C107" s="257"/>
      <c r="D107" s="257"/>
      <c r="E107" s="258" t="str">
        <f t="shared" si="9"/>
        <v/>
      </c>
      <c r="F107" s="257" t="str">
        <f t="shared" ref="F107:K107" si="80">IF($L107="","",IF(F44="",F$6,F44))</f>
        <v/>
      </c>
      <c r="G107" s="257" t="str">
        <f t="shared" si="80"/>
        <v/>
      </c>
      <c r="H107" s="257" t="str">
        <f t="shared" si="80"/>
        <v/>
      </c>
      <c r="I107" s="257" t="str">
        <f t="shared" si="80"/>
        <v/>
      </c>
      <c r="J107" s="257" t="str">
        <f t="shared" si="80"/>
        <v/>
      </c>
      <c r="K107" s="257" t="str">
        <f t="shared" si="80"/>
        <v/>
      </c>
      <c r="L107" s="257" t="str">
        <f t="shared" ref="L107:N107" si="81">IF(L44="","",L44)</f>
        <v/>
      </c>
      <c r="M107" s="257" t="str">
        <f t="shared" si="81"/>
        <v/>
      </c>
      <c r="N107" s="257" t="str">
        <f t="shared" si="81"/>
        <v/>
      </c>
      <c r="O107" s="257"/>
      <c r="P107" s="257"/>
      <c r="Q107" s="565"/>
      <c r="R107" s="565"/>
      <c r="S107" s="565"/>
      <c r="T107" s="565"/>
      <c r="U107" s="565"/>
      <c r="V107" s="565"/>
      <c r="W107" s="565"/>
      <c r="X107" s="565"/>
      <c r="Y107" s="565"/>
      <c r="Z107" s="565"/>
      <c r="AA107" s="565"/>
      <c r="AB107" s="565"/>
      <c r="AC107" s="565"/>
      <c r="AD107" s="565"/>
      <c r="AE107" s="565"/>
      <c r="AF107" s="565"/>
      <c r="AG107" s="565"/>
      <c r="AH107" s="565"/>
      <c r="AI107" s="565"/>
      <c r="AJ107" s="565"/>
      <c r="AK107" s="565"/>
      <c r="AL107" s="565"/>
      <c r="AM107" s="565"/>
      <c r="AN107" s="565"/>
      <c r="AO107" s="565"/>
      <c r="AP107" s="565"/>
      <c r="AQ107" s="565"/>
      <c r="AR107" s="565"/>
      <c r="AS107" s="565"/>
      <c r="AT107" s="565"/>
      <c r="AU107" s="565"/>
      <c r="AV107" s="565"/>
      <c r="AW107" s="565"/>
      <c r="AX107" s="565"/>
      <c r="AY107" s="565"/>
      <c r="AZ107" s="565"/>
      <c r="BA107" s="56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row>
    <row r="108" spans="1:89" s="255" customFormat="1" x14ac:dyDescent="0.35">
      <c r="A108" s="257"/>
      <c r="B108" s="257"/>
      <c r="C108" s="257"/>
      <c r="D108" s="257"/>
      <c r="E108" s="258" t="str">
        <f t="shared" si="9"/>
        <v/>
      </c>
      <c r="F108" s="257" t="str">
        <f t="shared" ref="F108:K108" si="82">IF($L108="","",IF(F45="",F$6,F45))</f>
        <v/>
      </c>
      <c r="G108" s="257" t="str">
        <f t="shared" si="82"/>
        <v/>
      </c>
      <c r="H108" s="257" t="str">
        <f t="shared" si="82"/>
        <v/>
      </c>
      <c r="I108" s="257" t="str">
        <f t="shared" si="82"/>
        <v/>
      </c>
      <c r="J108" s="257" t="str">
        <f t="shared" si="82"/>
        <v/>
      </c>
      <c r="K108" s="257" t="str">
        <f t="shared" si="82"/>
        <v/>
      </c>
      <c r="L108" s="257" t="str">
        <f t="shared" ref="L108:N108" si="83">IF(L45="","",L45)</f>
        <v/>
      </c>
      <c r="M108" s="257" t="str">
        <f t="shared" si="83"/>
        <v/>
      </c>
      <c r="N108" s="257" t="str">
        <f t="shared" si="83"/>
        <v/>
      </c>
      <c r="O108" s="257"/>
      <c r="P108" s="257"/>
      <c r="Q108" s="565"/>
      <c r="R108" s="565"/>
      <c r="S108" s="565"/>
      <c r="T108" s="565"/>
      <c r="U108" s="565"/>
      <c r="V108" s="565"/>
      <c r="W108" s="565"/>
      <c r="X108" s="565"/>
      <c r="Y108" s="565"/>
      <c r="Z108" s="565"/>
      <c r="AA108" s="565"/>
      <c r="AB108" s="565"/>
      <c r="AC108" s="565"/>
      <c r="AD108" s="565"/>
      <c r="AE108" s="565"/>
      <c r="AF108" s="565"/>
      <c r="AG108" s="565"/>
      <c r="AH108" s="565"/>
      <c r="AI108" s="565"/>
      <c r="AJ108" s="565"/>
      <c r="AK108" s="565"/>
      <c r="AL108" s="565"/>
      <c r="AM108" s="565"/>
      <c r="AN108" s="565"/>
      <c r="AO108" s="565"/>
      <c r="AP108" s="565"/>
      <c r="AQ108" s="565"/>
      <c r="AR108" s="565"/>
      <c r="AS108" s="565"/>
      <c r="AT108" s="565"/>
      <c r="AU108" s="565"/>
      <c r="AV108" s="565"/>
      <c r="AW108" s="565"/>
      <c r="AX108" s="565"/>
      <c r="AY108" s="565"/>
      <c r="AZ108" s="565"/>
      <c r="BA108" s="565"/>
      <c r="BB108" s="655"/>
      <c r="BC108" s="655"/>
      <c r="BD108" s="655"/>
      <c r="BE108" s="655"/>
      <c r="BF108" s="655"/>
      <c r="BG108" s="655"/>
      <c r="BH108" s="655"/>
      <c r="BI108" s="655"/>
      <c r="BJ108" s="655"/>
      <c r="BK108" s="655"/>
      <c r="BL108" s="655"/>
      <c r="BM108" s="655"/>
      <c r="BN108" s="655"/>
      <c r="BO108" s="655"/>
      <c r="BP108" s="655"/>
      <c r="BQ108" s="655"/>
      <c r="BR108" s="655"/>
      <c r="BS108" s="655"/>
      <c r="BT108" s="655"/>
      <c r="BU108" s="655"/>
      <c r="BV108" s="655"/>
      <c r="BW108" s="655"/>
      <c r="BX108" s="655"/>
      <c r="BY108" s="655"/>
      <c r="BZ108" s="655"/>
      <c r="CA108" s="655"/>
      <c r="CB108" s="655"/>
      <c r="CC108" s="655"/>
      <c r="CD108" s="655"/>
      <c r="CE108" s="655"/>
      <c r="CF108" s="655"/>
      <c r="CG108" s="655"/>
      <c r="CH108" s="655"/>
      <c r="CI108" s="655"/>
      <c r="CJ108" s="655"/>
      <c r="CK108" s="655"/>
    </row>
    <row r="109" spans="1:89" s="255" customFormat="1" x14ac:dyDescent="0.35">
      <c r="A109" s="257"/>
      <c r="B109" s="257"/>
      <c r="C109" s="257"/>
      <c r="D109" s="257"/>
      <c r="E109" s="258" t="str">
        <f t="shared" si="9"/>
        <v/>
      </c>
      <c r="F109" s="257" t="str">
        <f t="shared" ref="F109:K109" si="84">IF($L109="","",IF(F46="",F$6,F46))</f>
        <v/>
      </c>
      <c r="G109" s="257" t="str">
        <f t="shared" si="84"/>
        <v/>
      </c>
      <c r="H109" s="257" t="str">
        <f t="shared" si="84"/>
        <v/>
      </c>
      <c r="I109" s="257" t="str">
        <f t="shared" si="84"/>
        <v/>
      </c>
      <c r="J109" s="257" t="str">
        <f t="shared" si="84"/>
        <v/>
      </c>
      <c r="K109" s="257" t="str">
        <f t="shared" si="84"/>
        <v/>
      </c>
      <c r="L109" s="257" t="str">
        <f t="shared" ref="L109:N109" si="85">IF(L46="","",L46)</f>
        <v/>
      </c>
      <c r="M109" s="257" t="str">
        <f t="shared" si="85"/>
        <v/>
      </c>
      <c r="N109" s="257" t="str">
        <f t="shared" si="85"/>
        <v/>
      </c>
      <c r="O109" s="257"/>
      <c r="P109" s="257"/>
      <c r="Q109" s="565"/>
      <c r="R109" s="565"/>
      <c r="S109" s="565"/>
      <c r="T109" s="565"/>
      <c r="U109" s="565"/>
      <c r="V109" s="565"/>
      <c r="W109" s="565"/>
      <c r="X109" s="565"/>
      <c r="Y109" s="565"/>
      <c r="Z109" s="565"/>
      <c r="AA109" s="565"/>
      <c r="AB109" s="565"/>
      <c r="AC109" s="565"/>
      <c r="AD109" s="565"/>
      <c r="AE109" s="565"/>
      <c r="AF109" s="565"/>
      <c r="AG109" s="565"/>
      <c r="AH109" s="565"/>
      <c r="AI109" s="565"/>
      <c r="AJ109" s="565"/>
      <c r="AK109" s="565"/>
      <c r="AL109" s="565"/>
      <c r="AM109" s="565"/>
      <c r="AN109" s="565"/>
      <c r="AO109" s="565"/>
      <c r="AP109" s="565"/>
      <c r="AQ109" s="565"/>
      <c r="AR109" s="565"/>
      <c r="AS109" s="565"/>
      <c r="AT109" s="565"/>
      <c r="AU109" s="565"/>
      <c r="AV109" s="565"/>
      <c r="AW109" s="565"/>
      <c r="AX109" s="565"/>
      <c r="AY109" s="565"/>
      <c r="AZ109" s="565"/>
      <c r="BA109" s="565"/>
      <c r="BB109" s="655"/>
      <c r="BC109" s="655"/>
      <c r="BD109" s="655"/>
      <c r="BE109" s="655"/>
      <c r="BF109" s="655"/>
      <c r="BG109" s="655"/>
      <c r="BH109" s="655"/>
      <c r="BI109" s="655"/>
      <c r="BJ109" s="655"/>
      <c r="BK109" s="655"/>
      <c r="BL109" s="655"/>
      <c r="BM109" s="655"/>
      <c r="BN109" s="655"/>
      <c r="BO109" s="655"/>
      <c r="BP109" s="655"/>
      <c r="BQ109" s="655"/>
      <c r="BR109" s="655"/>
      <c r="BS109" s="655"/>
      <c r="BT109" s="655"/>
      <c r="BU109" s="655"/>
      <c r="BV109" s="655"/>
      <c r="BW109" s="655"/>
      <c r="BX109" s="655"/>
      <c r="BY109" s="655"/>
      <c r="BZ109" s="655"/>
      <c r="CA109" s="655"/>
      <c r="CB109" s="655"/>
      <c r="CC109" s="655"/>
      <c r="CD109" s="655"/>
      <c r="CE109" s="655"/>
      <c r="CF109" s="655"/>
      <c r="CG109" s="655"/>
      <c r="CH109" s="655"/>
      <c r="CI109" s="655"/>
      <c r="CJ109" s="655"/>
      <c r="CK109" s="655"/>
    </row>
    <row r="110" spans="1:89" s="255" customFormat="1" x14ac:dyDescent="0.35">
      <c r="A110" s="257"/>
      <c r="B110" s="257"/>
      <c r="C110" s="257"/>
      <c r="D110" s="257"/>
      <c r="E110" s="258" t="str">
        <f t="shared" si="9"/>
        <v/>
      </c>
      <c r="F110" s="257" t="str">
        <f t="shared" ref="F110:K110" si="86">IF($L110="","",IF(F47="",F$6,F47))</f>
        <v/>
      </c>
      <c r="G110" s="257" t="str">
        <f t="shared" si="86"/>
        <v/>
      </c>
      <c r="H110" s="257" t="str">
        <f t="shared" si="86"/>
        <v/>
      </c>
      <c r="I110" s="257" t="str">
        <f t="shared" si="86"/>
        <v/>
      </c>
      <c r="J110" s="257" t="str">
        <f t="shared" si="86"/>
        <v/>
      </c>
      <c r="K110" s="257" t="str">
        <f t="shared" si="86"/>
        <v/>
      </c>
      <c r="L110" s="257" t="str">
        <f t="shared" ref="L110:N110" si="87">IF(L47="","",L47)</f>
        <v/>
      </c>
      <c r="M110" s="257" t="str">
        <f t="shared" si="87"/>
        <v/>
      </c>
      <c r="N110" s="257" t="str">
        <f t="shared" si="87"/>
        <v/>
      </c>
      <c r="O110" s="257"/>
      <c r="P110" s="257"/>
      <c r="Q110" s="565"/>
      <c r="R110" s="565"/>
      <c r="S110" s="565"/>
      <c r="T110" s="565"/>
      <c r="U110" s="565"/>
      <c r="V110" s="565"/>
      <c r="W110" s="565"/>
      <c r="X110" s="565"/>
      <c r="Y110" s="565"/>
      <c r="Z110" s="565"/>
      <c r="AA110" s="565"/>
      <c r="AB110" s="565"/>
      <c r="AC110" s="565"/>
      <c r="AD110" s="565"/>
      <c r="AE110" s="565"/>
      <c r="AF110" s="565"/>
      <c r="AG110" s="565"/>
      <c r="AH110" s="565"/>
      <c r="AI110" s="565"/>
      <c r="AJ110" s="565"/>
      <c r="AK110" s="565"/>
      <c r="AL110" s="565"/>
      <c r="AM110" s="565"/>
      <c r="AN110" s="565"/>
      <c r="AO110" s="565"/>
      <c r="AP110" s="565"/>
      <c r="AQ110" s="565"/>
      <c r="AR110" s="565"/>
      <c r="AS110" s="565"/>
      <c r="AT110" s="565"/>
      <c r="AU110" s="565"/>
      <c r="AV110" s="565"/>
      <c r="AW110" s="565"/>
      <c r="AX110" s="565"/>
      <c r="AY110" s="565"/>
      <c r="AZ110" s="565"/>
      <c r="BA110" s="565"/>
      <c r="BB110" s="655"/>
      <c r="BC110" s="655"/>
      <c r="BD110" s="655"/>
      <c r="BE110" s="655"/>
      <c r="BF110" s="655"/>
      <c r="BG110" s="655"/>
      <c r="BH110" s="655"/>
      <c r="BI110" s="655"/>
      <c r="BJ110" s="655"/>
      <c r="BK110" s="655"/>
      <c r="BL110" s="655"/>
      <c r="BM110" s="655"/>
      <c r="BN110" s="655"/>
      <c r="BO110" s="655"/>
      <c r="BP110" s="655"/>
      <c r="BQ110" s="655"/>
      <c r="BR110" s="655"/>
      <c r="BS110" s="655"/>
      <c r="BT110" s="655"/>
      <c r="BU110" s="655"/>
      <c r="BV110" s="655"/>
      <c r="BW110" s="655"/>
      <c r="BX110" s="655"/>
      <c r="BY110" s="655"/>
      <c r="BZ110" s="655"/>
      <c r="CA110" s="655"/>
      <c r="CB110" s="655"/>
      <c r="CC110" s="655"/>
      <c r="CD110" s="655"/>
      <c r="CE110" s="655"/>
      <c r="CF110" s="655"/>
      <c r="CG110" s="655"/>
      <c r="CH110" s="655"/>
      <c r="CI110" s="655"/>
      <c r="CJ110" s="655"/>
      <c r="CK110" s="655"/>
    </row>
    <row r="111" spans="1:89" s="255" customFormat="1" x14ac:dyDescent="0.35">
      <c r="A111" s="257"/>
      <c r="B111" s="257"/>
      <c r="C111" s="257"/>
      <c r="D111" s="257"/>
      <c r="E111" s="258" t="str">
        <f t="shared" si="9"/>
        <v/>
      </c>
      <c r="F111" s="257" t="str">
        <f t="shared" ref="F111:K111" si="88">IF($L111="","",IF(F48="",F$6,F48))</f>
        <v/>
      </c>
      <c r="G111" s="257" t="str">
        <f t="shared" si="88"/>
        <v/>
      </c>
      <c r="H111" s="257" t="str">
        <f t="shared" si="88"/>
        <v/>
      </c>
      <c r="I111" s="257" t="str">
        <f t="shared" si="88"/>
        <v/>
      </c>
      <c r="J111" s="257" t="str">
        <f t="shared" si="88"/>
        <v/>
      </c>
      <c r="K111" s="257" t="str">
        <f t="shared" si="88"/>
        <v/>
      </c>
      <c r="L111" s="257" t="str">
        <f t="shared" ref="L111:N111" si="89">IF(L48="","",L48)</f>
        <v/>
      </c>
      <c r="M111" s="257" t="str">
        <f t="shared" si="89"/>
        <v/>
      </c>
      <c r="N111" s="257" t="str">
        <f t="shared" si="89"/>
        <v/>
      </c>
      <c r="O111" s="257"/>
      <c r="P111" s="257"/>
      <c r="Q111" s="565"/>
      <c r="R111" s="565"/>
      <c r="S111" s="565"/>
      <c r="T111" s="565"/>
      <c r="U111" s="565"/>
      <c r="V111" s="565"/>
      <c r="W111" s="565"/>
      <c r="X111" s="565"/>
      <c r="Y111" s="565"/>
      <c r="Z111" s="565"/>
      <c r="AA111" s="565"/>
      <c r="AB111" s="565"/>
      <c r="AC111" s="565"/>
      <c r="AD111" s="565"/>
      <c r="AE111" s="565"/>
      <c r="AF111" s="565"/>
      <c r="AG111" s="565"/>
      <c r="AH111" s="565"/>
      <c r="AI111" s="565"/>
      <c r="AJ111" s="565"/>
      <c r="AK111" s="565"/>
      <c r="AL111" s="565"/>
      <c r="AM111" s="565"/>
      <c r="AN111" s="565"/>
      <c r="AO111" s="565"/>
      <c r="AP111" s="565"/>
      <c r="AQ111" s="565"/>
      <c r="AR111" s="565"/>
      <c r="AS111" s="565"/>
      <c r="AT111" s="565"/>
      <c r="AU111" s="565"/>
      <c r="AV111" s="565"/>
      <c r="AW111" s="565"/>
      <c r="AX111" s="565"/>
      <c r="AY111" s="565"/>
      <c r="AZ111" s="565"/>
      <c r="BA111" s="565"/>
      <c r="BB111" s="655"/>
      <c r="BC111" s="655"/>
      <c r="BD111" s="655"/>
      <c r="BE111" s="655"/>
      <c r="BF111" s="655"/>
      <c r="BG111" s="655"/>
      <c r="BH111" s="655"/>
      <c r="BI111" s="655"/>
      <c r="BJ111" s="655"/>
      <c r="BK111" s="655"/>
      <c r="BL111" s="655"/>
      <c r="BM111" s="655"/>
      <c r="BN111" s="655"/>
      <c r="BO111" s="655"/>
      <c r="BP111" s="655"/>
      <c r="BQ111" s="655"/>
      <c r="BR111" s="655"/>
      <c r="BS111" s="655"/>
      <c r="BT111" s="655"/>
      <c r="BU111" s="655"/>
      <c r="BV111" s="655"/>
      <c r="BW111" s="655"/>
      <c r="BX111" s="655"/>
      <c r="BY111" s="655"/>
      <c r="BZ111" s="655"/>
      <c r="CA111" s="655"/>
      <c r="CB111" s="655"/>
      <c r="CC111" s="655"/>
      <c r="CD111" s="655"/>
      <c r="CE111" s="655"/>
      <c r="CF111" s="655"/>
      <c r="CG111" s="655"/>
      <c r="CH111" s="655"/>
      <c r="CI111" s="655"/>
      <c r="CJ111" s="655"/>
      <c r="CK111" s="655"/>
    </row>
    <row r="112" spans="1:89" s="255" customFormat="1" x14ac:dyDescent="0.35">
      <c r="A112" s="257"/>
      <c r="B112" s="257"/>
      <c r="C112" s="257"/>
      <c r="D112" s="257"/>
      <c r="E112" s="258" t="str">
        <f t="shared" si="9"/>
        <v/>
      </c>
      <c r="F112" s="257" t="str">
        <f t="shared" ref="F112:K112" si="90">IF($L112="","",IF(F49="",F$6,F49))</f>
        <v/>
      </c>
      <c r="G112" s="257" t="str">
        <f t="shared" si="90"/>
        <v/>
      </c>
      <c r="H112" s="257" t="str">
        <f t="shared" si="90"/>
        <v/>
      </c>
      <c r="I112" s="257" t="str">
        <f t="shared" si="90"/>
        <v/>
      </c>
      <c r="J112" s="257" t="str">
        <f t="shared" si="90"/>
        <v/>
      </c>
      <c r="K112" s="257" t="str">
        <f t="shared" si="90"/>
        <v/>
      </c>
      <c r="L112" s="257" t="str">
        <f t="shared" ref="L112:N112" si="91">IF(L49="","",L49)</f>
        <v/>
      </c>
      <c r="M112" s="257" t="str">
        <f t="shared" si="91"/>
        <v/>
      </c>
      <c r="N112" s="257" t="str">
        <f t="shared" si="91"/>
        <v/>
      </c>
      <c r="O112" s="257"/>
      <c r="P112" s="257"/>
      <c r="Q112" s="565"/>
      <c r="R112" s="565"/>
      <c r="S112" s="565"/>
      <c r="T112" s="565"/>
      <c r="U112" s="565"/>
      <c r="V112" s="565"/>
      <c r="W112" s="565"/>
      <c r="X112" s="565"/>
      <c r="Y112" s="565"/>
      <c r="Z112" s="565"/>
      <c r="AA112" s="565"/>
      <c r="AB112" s="565"/>
      <c r="AC112" s="565"/>
      <c r="AD112" s="565"/>
      <c r="AE112" s="565"/>
      <c r="AF112" s="565"/>
      <c r="AG112" s="565"/>
      <c r="AH112" s="565"/>
      <c r="AI112" s="565"/>
      <c r="AJ112" s="565"/>
      <c r="AK112" s="565"/>
      <c r="AL112" s="565"/>
      <c r="AM112" s="565"/>
      <c r="AN112" s="565"/>
      <c r="AO112" s="565"/>
      <c r="AP112" s="565"/>
      <c r="AQ112" s="565"/>
      <c r="AR112" s="565"/>
      <c r="AS112" s="565"/>
      <c r="AT112" s="565"/>
      <c r="AU112" s="565"/>
      <c r="AV112" s="565"/>
      <c r="AW112" s="565"/>
      <c r="AX112" s="565"/>
      <c r="AY112" s="565"/>
      <c r="AZ112" s="565"/>
      <c r="BA112" s="565"/>
      <c r="BB112" s="655"/>
      <c r="BC112" s="655"/>
      <c r="BD112" s="655"/>
      <c r="BE112" s="655"/>
      <c r="BF112" s="655"/>
      <c r="BG112" s="655"/>
      <c r="BH112" s="655"/>
      <c r="BI112" s="655"/>
      <c r="BJ112" s="655"/>
      <c r="BK112" s="655"/>
      <c r="BL112" s="655"/>
      <c r="BM112" s="655"/>
      <c r="BN112" s="655"/>
      <c r="BO112" s="655"/>
      <c r="BP112" s="655"/>
      <c r="BQ112" s="655"/>
      <c r="BR112" s="655"/>
      <c r="BS112" s="655"/>
      <c r="BT112" s="655"/>
      <c r="BU112" s="655"/>
      <c r="BV112" s="655"/>
      <c r="BW112" s="655"/>
      <c r="BX112" s="655"/>
      <c r="BY112" s="655"/>
      <c r="BZ112" s="655"/>
      <c r="CA112" s="655"/>
      <c r="CB112" s="655"/>
      <c r="CC112" s="655"/>
      <c r="CD112" s="655"/>
      <c r="CE112" s="655"/>
      <c r="CF112" s="655"/>
      <c r="CG112" s="655"/>
      <c r="CH112" s="655"/>
      <c r="CI112" s="655"/>
      <c r="CJ112" s="655"/>
      <c r="CK112" s="655"/>
    </row>
    <row r="113" spans="1:95" s="255" customFormat="1" x14ac:dyDescent="0.35">
      <c r="A113" s="257"/>
      <c r="B113" s="257"/>
      <c r="C113" s="257"/>
      <c r="D113" s="257"/>
      <c r="E113" s="258" t="str">
        <f t="shared" si="9"/>
        <v/>
      </c>
      <c r="F113" s="257" t="str">
        <f t="shared" ref="F113:K113" si="92">IF($L113="","",IF(F50="",F$6,F50))</f>
        <v/>
      </c>
      <c r="G113" s="257" t="str">
        <f t="shared" si="92"/>
        <v/>
      </c>
      <c r="H113" s="257" t="str">
        <f t="shared" si="92"/>
        <v/>
      </c>
      <c r="I113" s="257" t="str">
        <f t="shared" si="92"/>
        <v/>
      </c>
      <c r="J113" s="257" t="str">
        <f t="shared" si="92"/>
        <v/>
      </c>
      <c r="K113" s="257" t="str">
        <f t="shared" si="92"/>
        <v/>
      </c>
      <c r="L113" s="257" t="str">
        <f t="shared" ref="L113:N113" si="93">IF(L50="","",L50)</f>
        <v/>
      </c>
      <c r="M113" s="257" t="str">
        <f t="shared" si="93"/>
        <v/>
      </c>
      <c r="N113" s="257" t="str">
        <f t="shared" si="93"/>
        <v/>
      </c>
      <c r="O113" s="257"/>
      <c r="P113" s="257"/>
      <c r="Q113" s="565"/>
      <c r="R113" s="565"/>
      <c r="S113" s="565"/>
      <c r="T113" s="565"/>
      <c r="U113" s="565"/>
      <c r="V113" s="565"/>
      <c r="W113" s="565"/>
      <c r="X113" s="565"/>
      <c r="Y113" s="565"/>
      <c r="Z113" s="565"/>
      <c r="AA113" s="565"/>
      <c r="AB113" s="565"/>
      <c r="AC113" s="565"/>
      <c r="AD113" s="565"/>
      <c r="AE113" s="565"/>
      <c r="AF113" s="565"/>
      <c r="AG113" s="565"/>
      <c r="AH113" s="565"/>
      <c r="AI113" s="565"/>
      <c r="AJ113" s="565"/>
      <c r="AK113" s="565"/>
      <c r="AL113" s="565"/>
      <c r="AM113" s="565"/>
      <c r="AN113" s="565"/>
      <c r="AO113" s="565"/>
      <c r="AP113" s="565"/>
      <c r="AQ113" s="565"/>
      <c r="AR113" s="565"/>
      <c r="AS113" s="565"/>
      <c r="AT113" s="565"/>
      <c r="AU113" s="565"/>
      <c r="AV113" s="565"/>
      <c r="AW113" s="565"/>
      <c r="AX113" s="565"/>
      <c r="AY113" s="565"/>
      <c r="AZ113" s="565"/>
      <c r="BA113" s="565"/>
      <c r="BB113" s="655"/>
      <c r="BC113" s="655"/>
      <c r="BD113" s="655"/>
      <c r="BE113" s="655"/>
      <c r="BF113" s="655"/>
      <c r="BG113" s="655"/>
      <c r="BH113" s="655"/>
      <c r="BI113" s="655"/>
      <c r="BJ113" s="655"/>
      <c r="BK113" s="655"/>
      <c r="BL113" s="655"/>
      <c r="BM113" s="655"/>
      <c r="BN113" s="655"/>
      <c r="BO113" s="655"/>
      <c r="BP113" s="655"/>
      <c r="BQ113" s="655"/>
      <c r="BR113" s="655"/>
      <c r="BS113" s="655"/>
      <c r="BT113" s="655"/>
      <c r="BU113" s="655"/>
      <c r="BV113" s="655"/>
      <c r="BW113" s="655"/>
      <c r="BX113" s="655"/>
      <c r="BY113" s="655"/>
      <c r="BZ113" s="655"/>
      <c r="CA113" s="655"/>
      <c r="CB113" s="655"/>
      <c r="CC113" s="655"/>
      <c r="CD113" s="655"/>
      <c r="CE113" s="655"/>
      <c r="CF113" s="655"/>
      <c r="CG113" s="655"/>
      <c r="CH113" s="655"/>
      <c r="CI113" s="655"/>
      <c r="CJ113" s="655"/>
      <c r="CK113" s="655"/>
    </row>
    <row r="114" spans="1:95" s="255" customFormat="1" x14ac:dyDescent="0.35">
      <c r="A114" s="257"/>
      <c r="B114" s="257"/>
      <c r="C114" s="257"/>
      <c r="D114" s="257"/>
      <c r="E114" s="258" t="str">
        <f t="shared" si="9"/>
        <v/>
      </c>
      <c r="F114" s="257" t="str">
        <f t="shared" ref="F114:K114" si="94">IF($L114="","",IF(F51="",F$6,F51))</f>
        <v/>
      </c>
      <c r="G114" s="257" t="str">
        <f t="shared" si="94"/>
        <v/>
      </c>
      <c r="H114" s="257" t="str">
        <f t="shared" si="94"/>
        <v/>
      </c>
      <c r="I114" s="257" t="str">
        <f t="shared" si="94"/>
        <v/>
      </c>
      <c r="J114" s="257" t="str">
        <f t="shared" si="94"/>
        <v/>
      </c>
      <c r="K114" s="257" t="str">
        <f t="shared" si="94"/>
        <v/>
      </c>
      <c r="L114" s="257" t="str">
        <f t="shared" ref="L114:N114" si="95">IF(L51="","",L51)</f>
        <v/>
      </c>
      <c r="M114" s="257" t="str">
        <f t="shared" si="95"/>
        <v/>
      </c>
      <c r="N114" s="257" t="str">
        <f t="shared" si="95"/>
        <v/>
      </c>
      <c r="O114" s="257"/>
      <c r="P114" s="257"/>
      <c r="Q114" s="565"/>
      <c r="R114" s="565"/>
      <c r="S114" s="565"/>
      <c r="T114" s="565"/>
      <c r="U114" s="565"/>
      <c r="V114" s="565"/>
      <c r="W114" s="565"/>
      <c r="X114" s="565"/>
      <c r="Y114" s="565"/>
      <c r="Z114" s="565"/>
      <c r="AA114" s="565"/>
      <c r="AB114" s="565"/>
      <c r="AC114" s="565"/>
      <c r="AD114" s="565"/>
      <c r="AE114" s="565"/>
      <c r="AF114" s="565"/>
      <c r="AG114" s="565"/>
      <c r="AH114" s="565"/>
      <c r="AI114" s="565"/>
      <c r="AJ114" s="565"/>
      <c r="AK114" s="565"/>
      <c r="AL114" s="565"/>
      <c r="AM114" s="565"/>
      <c r="AN114" s="565"/>
      <c r="AO114" s="565"/>
      <c r="AP114" s="565"/>
      <c r="AQ114" s="565"/>
      <c r="AR114" s="565"/>
      <c r="AS114" s="565"/>
      <c r="AT114" s="565"/>
      <c r="AU114" s="565"/>
      <c r="AV114" s="565"/>
      <c r="AW114" s="565"/>
      <c r="AX114" s="565"/>
      <c r="AY114" s="565"/>
      <c r="AZ114" s="565"/>
      <c r="BA114" s="565"/>
      <c r="BB114" s="655"/>
      <c r="BC114" s="655"/>
      <c r="BD114" s="655"/>
      <c r="BE114" s="655"/>
      <c r="BF114" s="655"/>
      <c r="BG114" s="655"/>
      <c r="BH114" s="655"/>
      <c r="BI114" s="655"/>
      <c r="BJ114" s="655"/>
      <c r="BK114" s="655"/>
      <c r="BL114" s="655"/>
      <c r="BM114" s="655"/>
      <c r="BN114" s="655"/>
      <c r="BO114" s="655"/>
      <c r="BP114" s="655"/>
      <c r="BQ114" s="655"/>
      <c r="BR114" s="655"/>
      <c r="BS114" s="655"/>
      <c r="BT114" s="655"/>
      <c r="BU114" s="655"/>
      <c r="BV114" s="655"/>
      <c r="BW114" s="655"/>
      <c r="BX114" s="655"/>
      <c r="BY114" s="655"/>
      <c r="BZ114" s="655"/>
      <c r="CA114" s="655"/>
      <c r="CB114" s="655"/>
      <c r="CC114" s="655"/>
      <c r="CD114" s="655"/>
      <c r="CE114" s="655"/>
      <c r="CF114" s="655"/>
      <c r="CG114" s="655"/>
      <c r="CH114" s="655"/>
      <c r="CI114" s="655"/>
      <c r="CJ114" s="655"/>
      <c r="CK114" s="655"/>
    </row>
    <row r="115" spans="1:95" s="255" customFormat="1" x14ac:dyDescent="0.35">
      <c r="A115" s="257"/>
      <c r="B115" s="257"/>
      <c r="C115" s="257"/>
      <c r="D115" s="257"/>
      <c r="E115" s="258" t="str">
        <f t="shared" si="9"/>
        <v/>
      </c>
      <c r="F115" s="257" t="str">
        <f t="shared" ref="F115:K115" si="96">IF($L115="","",IF(F52="",F$6,F52))</f>
        <v/>
      </c>
      <c r="G115" s="257" t="str">
        <f t="shared" si="96"/>
        <v/>
      </c>
      <c r="H115" s="257" t="str">
        <f t="shared" si="96"/>
        <v/>
      </c>
      <c r="I115" s="257" t="str">
        <f t="shared" si="96"/>
        <v/>
      </c>
      <c r="J115" s="257" t="str">
        <f t="shared" si="96"/>
        <v/>
      </c>
      <c r="K115" s="257" t="str">
        <f t="shared" si="96"/>
        <v/>
      </c>
      <c r="L115" s="257" t="str">
        <f t="shared" ref="L115:N115" si="97">IF(L52="","",L52)</f>
        <v/>
      </c>
      <c r="M115" s="257" t="str">
        <f t="shared" si="97"/>
        <v/>
      </c>
      <c r="N115" s="257" t="str">
        <f t="shared" si="97"/>
        <v/>
      </c>
      <c r="O115" s="257"/>
      <c r="P115" s="257"/>
      <c r="Q115" s="565"/>
      <c r="R115" s="565"/>
      <c r="S115" s="565"/>
      <c r="T115" s="565"/>
      <c r="U115" s="565"/>
      <c r="V115" s="565"/>
      <c r="W115" s="565"/>
      <c r="X115" s="565"/>
      <c r="Y115" s="565"/>
      <c r="Z115" s="565"/>
      <c r="AA115" s="565"/>
      <c r="AB115" s="565"/>
      <c r="AC115" s="565"/>
      <c r="AD115" s="565"/>
      <c r="AE115" s="565"/>
      <c r="AF115" s="565"/>
      <c r="AG115" s="565"/>
      <c r="AH115" s="565"/>
      <c r="AI115" s="565"/>
      <c r="AJ115" s="565"/>
      <c r="AK115" s="565"/>
      <c r="AL115" s="565"/>
      <c r="AM115" s="565"/>
      <c r="AN115" s="565"/>
      <c r="AO115" s="565"/>
      <c r="AP115" s="565"/>
      <c r="AQ115" s="565"/>
      <c r="AR115" s="565"/>
      <c r="AS115" s="565"/>
      <c r="AT115" s="565"/>
      <c r="AU115" s="565"/>
      <c r="AV115" s="565"/>
      <c r="AW115" s="565"/>
      <c r="AX115" s="565"/>
      <c r="AY115" s="565"/>
      <c r="AZ115" s="565"/>
      <c r="BA115" s="565"/>
      <c r="BB115" s="655"/>
      <c r="BC115" s="655"/>
      <c r="BD115" s="655"/>
      <c r="BE115" s="655"/>
      <c r="BF115" s="655"/>
      <c r="BG115" s="655"/>
      <c r="BH115" s="655"/>
      <c r="BI115" s="655"/>
      <c r="BJ115" s="655"/>
      <c r="BK115" s="655"/>
      <c r="BL115" s="655"/>
      <c r="BM115" s="655"/>
      <c r="BN115" s="655"/>
      <c r="BO115" s="655"/>
      <c r="BP115" s="655"/>
      <c r="BQ115" s="655"/>
      <c r="BR115" s="655"/>
      <c r="BS115" s="655"/>
      <c r="BT115" s="655"/>
      <c r="BU115" s="655"/>
      <c r="BV115" s="655"/>
      <c r="BW115" s="655"/>
      <c r="BX115" s="655"/>
      <c r="BY115" s="655"/>
      <c r="BZ115" s="655"/>
      <c r="CA115" s="655"/>
      <c r="CB115" s="655"/>
      <c r="CC115" s="655"/>
      <c r="CD115" s="655"/>
      <c r="CE115" s="655"/>
      <c r="CF115" s="655"/>
      <c r="CG115" s="655"/>
      <c r="CH115" s="655"/>
      <c r="CI115" s="655"/>
      <c r="CJ115" s="655"/>
      <c r="CK115" s="655"/>
    </row>
    <row r="116" spans="1:95" s="255" customFormat="1" x14ac:dyDescent="0.35">
      <c r="A116" s="257"/>
      <c r="B116" s="257"/>
      <c r="C116" s="257"/>
      <c r="D116" s="257"/>
      <c r="E116" s="258" t="str">
        <f t="shared" si="9"/>
        <v/>
      </c>
      <c r="F116" s="257" t="str">
        <f t="shared" ref="F116:K116" si="98">IF($L116="","",IF(F53="",F$6,F53))</f>
        <v/>
      </c>
      <c r="G116" s="257" t="str">
        <f t="shared" si="98"/>
        <v/>
      </c>
      <c r="H116" s="257" t="str">
        <f t="shared" si="98"/>
        <v/>
      </c>
      <c r="I116" s="257" t="str">
        <f t="shared" si="98"/>
        <v/>
      </c>
      <c r="J116" s="257" t="str">
        <f t="shared" si="98"/>
        <v/>
      </c>
      <c r="K116" s="257" t="str">
        <f t="shared" si="98"/>
        <v/>
      </c>
      <c r="L116" s="257" t="str">
        <f t="shared" ref="L116:N116" si="99">IF(L53="","",L53)</f>
        <v/>
      </c>
      <c r="M116" s="257" t="str">
        <f t="shared" si="99"/>
        <v/>
      </c>
      <c r="N116" s="257" t="str">
        <f t="shared" si="99"/>
        <v/>
      </c>
      <c r="O116" s="257"/>
      <c r="P116" s="257"/>
      <c r="Q116" s="565"/>
      <c r="R116" s="565"/>
      <c r="S116" s="565"/>
      <c r="T116" s="565"/>
      <c r="U116" s="565"/>
      <c r="V116" s="565"/>
      <c r="W116" s="565"/>
      <c r="X116" s="565"/>
      <c r="Y116" s="565"/>
      <c r="Z116" s="565"/>
      <c r="AA116" s="565"/>
      <c r="AB116" s="565"/>
      <c r="AC116" s="565"/>
      <c r="AD116" s="565"/>
      <c r="AE116" s="565"/>
      <c r="AF116" s="565"/>
      <c r="AG116" s="565"/>
      <c r="AH116" s="565"/>
      <c r="AI116" s="565"/>
      <c r="AJ116" s="565"/>
      <c r="AK116" s="565"/>
      <c r="AL116" s="565"/>
      <c r="AM116" s="565"/>
      <c r="AN116" s="565"/>
      <c r="AO116" s="565"/>
      <c r="AP116" s="565"/>
      <c r="AQ116" s="565"/>
      <c r="AR116" s="565"/>
      <c r="AS116" s="565"/>
      <c r="AT116" s="565"/>
      <c r="AU116" s="565"/>
      <c r="AV116" s="565"/>
      <c r="AW116" s="565"/>
      <c r="AX116" s="565"/>
      <c r="AY116" s="565"/>
      <c r="AZ116" s="565"/>
      <c r="BA116" s="565"/>
      <c r="BB116" s="655"/>
      <c r="BC116" s="655"/>
      <c r="BD116" s="655"/>
      <c r="BE116" s="655"/>
      <c r="BF116" s="655"/>
      <c r="BG116" s="655"/>
      <c r="BH116" s="655"/>
      <c r="BI116" s="655"/>
      <c r="BJ116" s="655"/>
      <c r="BK116" s="655"/>
      <c r="BL116" s="655"/>
      <c r="BM116" s="655"/>
      <c r="BN116" s="655"/>
      <c r="BO116" s="655"/>
      <c r="BP116" s="655"/>
      <c r="BQ116" s="655"/>
      <c r="BR116" s="655"/>
      <c r="BS116" s="655"/>
      <c r="BT116" s="655"/>
      <c r="BU116" s="655"/>
      <c r="BV116" s="655"/>
      <c r="BW116" s="655"/>
      <c r="BX116" s="655"/>
      <c r="BY116" s="655"/>
      <c r="BZ116" s="655"/>
      <c r="CA116" s="655"/>
      <c r="CB116" s="655"/>
      <c r="CC116" s="655"/>
      <c r="CD116" s="655"/>
      <c r="CE116" s="655"/>
      <c r="CF116" s="655"/>
      <c r="CG116" s="655"/>
      <c r="CH116" s="655"/>
      <c r="CI116" s="655"/>
      <c r="CJ116" s="655"/>
      <c r="CK116" s="655"/>
    </row>
    <row r="117" spans="1:95" s="255" customFormat="1" x14ac:dyDescent="0.35">
      <c r="A117" s="257"/>
      <c r="B117" s="257"/>
      <c r="C117" s="257"/>
      <c r="D117" s="257"/>
      <c r="E117" s="258" t="str">
        <f t="shared" si="9"/>
        <v/>
      </c>
      <c r="F117" s="257" t="str">
        <f t="shared" ref="F117:K117" si="100">IF($L117="","",IF(F54="",F$6,F54))</f>
        <v/>
      </c>
      <c r="G117" s="257" t="str">
        <f t="shared" si="100"/>
        <v/>
      </c>
      <c r="H117" s="257" t="str">
        <f t="shared" si="100"/>
        <v/>
      </c>
      <c r="I117" s="257" t="str">
        <f t="shared" si="100"/>
        <v/>
      </c>
      <c r="J117" s="257" t="str">
        <f t="shared" si="100"/>
        <v/>
      </c>
      <c r="K117" s="257" t="str">
        <f t="shared" si="100"/>
        <v/>
      </c>
      <c r="L117" s="257" t="str">
        <f t="shared" ref="L117:N117" si="101">IF(L54="","",L54)</f>
        <v/>
      </c>
      <c r="M117" s="257" t="str">
        <f t="shared" si="101"/>
        <v/>
      </c>
      <c r="N117" s="257" t="str">
        <f t="shared" si="101"/>
        <v/>
      </c>
      <c r="O117" s="257"/>
      <c r="P117" s="257"/>
      <c r="Q117" s="565"/>
      <c r="R117" s="565"/>
      <c r="S117" s="565"/>
      <c r="T117" s="565"/>
      <c r="U117" s="565"/>
      <c r="V117" s="565"/>
      <c r="W117" s="565"/>
      <c r="X117" s="565"/>
      <c r="Y117" s="565"/>
      <c r="Z117" s="565"/>
      <c r="AA117" s="565"/>
      <c r="AB117" s="565"/>
      <c r="AC117" s="565"/>
      <c r="AD117" s="565"/>
      <c r="AE117" s="565"/>
      <c r="AF117" s="565"/>
      <c r="AG117" s="565"/>
      <c r="AH117" s="565"/>
      <c r="AI117" s="565"/>
      <c r="AJ117" s="565"/>
      <c r="AK117" s="565"/>
      <c r="AL117" s="565"/>
      <c r="AM117" s="565"/>
      <c r="AN117" s="565"/>
      <c r="AO117" s="565"/>
      <c r="AP117" s="565"/>
      <c r="AQ117" s="565"/>
      <c r="AR117" s="565"/>
      <c r="AS117" s="565"/>
      <c r="AT117" s="565"/>
      <c r="AU117" s="565"/>
      <c r="AV117" s="565"/>
      <c r="AW117" s="565"/>
      <c r="AX117" s="565"/>
      <c r="AY117" s="565"/>
      <c r="AZ117" s="565"/>
      <c r="BA117" s="565"/>
      <c r="BB117" s="655"/>
      <c r="BC117" s="655"/>
      <c r="BD117" s="655"/>
      <c r="BE117" s="655"/>
      <c r="BF117" s="655"/>
      <c r="BG117" s="655"/>
      <c r="BH117" s="655"/>
      <c r="BI117" s="655"/>
      <c r="BJ117" s="655"/>
      <c r="BK117" s="655"/>
      <c r="BL117" s="655"/>
      <c r="BM117" s="655"/>
      <c r="BN117" s="655"/>
      <c r="BO117" s="655"/>
      <c r="BP117" s="655"/>
      <c r="BQ117" s="655"/>
      <c r="BR117" s="655"/>
      <c r="BS117" s="655"/>
      <c r="BT117" s="655"/>
      <c r="BU117" s="655"/>
      <c r="BV117" s="655"/>
      <c r="BW117" s="655"/>
      <c r="BX117" s="655"/>
      <c r="BY117" s="655"/>
      <c r="BZ117" s="655"/>
      <c r="CA117" s="655"/>
      <c r="CB117" s="655"/>
      <c r="CC117" s="655"/>
      <c r="CD117" s="655"/>
      <c r="CE117" s="655"/>
      <c r="CF117" s="655"/>
      <c r="CG117" s="655"/>
      <c r="CH117" s="655"/>
      <c r="CI117" s="655"/>
      <c r="CJ117" s="655"/>
      <c r="CK117" s="655"/>
    </row>
    <row r="118" spans="1:95" s="255" customFormat="1" x14ac:dyDescent="0.35">
      <c r="A118" s="257"/>
      <c r="B118" s="257"/>
      <c r="C118" s="257"/>
      <c r="D118" s="257"/>
      <c r="E118" s="258" t="str">
        <f t="shared" si="9"/>
        <v/>
      </c>
      <c r="F118" s="257" t="str">
        <f t="shared" ref="F118:K118" si="102">IF($L118="","",IF(F55="",F$6,F55))</f>
        <v/>
      </c>
      <c r="G118" s="257" t="str">
        <f t="shared" si="102"/>
        <v/>
      </c>
      <c r="H118" s="257" t="str">
        <f t="shared" si="102"/>
        <v/>
      </c>
      <c r="I118" s="257" t="str">
        <f t="shared" si="102"/>
        <v/>
      </c>
      <c r="J118" s="257" t="str">
        <f t="shared" si="102"/>
        <v/>
      </c>
      <c r="K118" s="257" t="str">
        <f t="shared" si="102"/>
        <v/>
      </c>
      <c r="L118" s="257" t="str">
        <f t="shared" ref="L118:N118" si="103">IF(L55="","",L55)</f>
        <v/>
      </c>
      <c r="M118" s="257" t="str">
        <f t="shared" si="103"/>
        <v/>
      </c>
      <c r="N118" s="257" t="str">
        <f t="shared" si="103"/>
        <v/>
      </c>
      <c r="O118" s="257"/>
      <c r="P118" s="257"/>
      <c r="Q118" s="565"/>
      <c r="R118" s="565"/>
      <c r="S118" s="565"/>
      <c r="T118" s="565"/>
      <c r="U118" s="565"/>
      <c r="V118" s="565"/>
      <c r="W118" s="565"/>
      <c r="X118" s="565"/>
      <c r="Y118" s="565"/>
      <c r="Z118" s="565"/>
      <c r="AA118" s="565"/>
      <c r="AB118" s="565"/>
      <c r="AC118" s="565"/>
      <c r="AD118" s="565"/>
      <c r="AE118" s="565"/>
      <c r="AF118" s="565"/>
      <c r="AG118" s="565"/>
      <c r="AH118" s="565"/>
      <c r="AI118" s="565"/>
      <c r="AJ118" s="565"/>
      <c r="AK118" s="565"/>
      <c r="AL118" s="565"/>
      <c r="AM118" s="565"/>
      <c r="AN118" s="565"/>
      <c r="AO118" s="565"/>
      <c r="AP118" s="565"/>
      <c r="AQ118" s="565"/>
      <c r="AR118" s="565"/>
      <c r="AS118" s="565"/>
      <c r="AT118" s="565"/>
      <c r="AU118" s="565"/>
      <c r="AV118" s="565"/>
      <c r="AW118" s="565"/>
      <c r="AX118" s="565"/>
      <c r="AY118" s="565"/>
      <c r="AZ118" s="565"/>
      <c r="BA118" s="565"/>
      <c r="BB118" s="655"/>
      <c r="BC118" s="655"/>
      <c r="BD118" s="655"/>
      <c r="BE118" s="655"/>
      <c r="BF118" s="655"/>
      <c r="BG118" s="655"/>
      <c r="BH118" s="655"/>
      <c r="BI118" s="655"/>
      <c r="BJ118" s="655"/>
      <c r="BK118" s="655"/>
      <c r="BL118" s="655"/>
      <c r="BM118" s="655"/>
      <c r="BN118" s="655"/>
      <c r="BO118" s="655"/>
      <c r="BP118" s="655"/>
      <c r="BQ118" s="655"/>
      <c r="BR118" s="655"/>
      <c r="BS118" s="655"/>
      <c r="BT118" s="655"/>
      <c r="BU118" s="655"/>
      <c r="BV118" s="655"/>
      <c r="BW118" s="655"/>
      <c r="BX118" s="655"/>
      <c r="BY118" s="655"/>
      <c r="BZ118" s="655"/>
      <c r="CA118" s="655"/>
      <c r="CB118" s="655"/>
      <c r="CC118" s="655"/>
      <c r="CD118" s="655"/>
      <c r="CE118" s="655"/>
      <c r="CF118" s="655"/>
      <c r="CG118" s="655"/>
      <c r="CH118" s="655"/>
      <c r="CI118" s="655"/>
      <c r="CJ118" s="655"/>
      <c r="CK118" s="655"/>
    </row>
    <row r="119" spans="1:95" s="255" customFormat="1" hidden="1" outlineLevel="1" x14ac:dyDescent="0.35">
      <c r="A119" s="257"/>
      <c r="B119" s="257"/>
      <c r="C119" s="257"/>
      <c r="D119" s="257"/>
      <c r="E119" s="258" t="str">
        <f t="shared" si="9"/>
        <v/>
      </c>
      <c r="F119" s="257" t="str">
        <f t="shared" ref="F119:K119" si="104">IF($L119="","",IF(F56="",F$6,F56))</f>
        <v/>
      </c>
      <c r="G119" s="257" t="str">
        <f t="shared" si="104"/>
        <v/>
      </c>
      <c r="H119" s="257" t="str">
        <f t="shared" si="104"/>
        <v/>
      </c>
      <c r="I119" s="257" t="str">
        <f t="shared" si="104"/>
        <v/>
      </c>
      <c r="J119" s="257" t="str">
        <f t="shared" si="104"/>
        <v/>
      </c>
      <c r="K119" s="257" t="str">
        <f t="shared" si="104"/>
        <v/>
      </c>
      <c r="L119" s="257" t="str">
        <f t="shared" ref="L119:N119" si="105">IF(L56="","",L56)</f>
        <v/>
      </c>
      <c r="M119" s="257" t="str">
        <f t="shared" si="105"/>
        <v/>
      </c>
      <c r="N119" s="257" t="str">
        <f t="shared" si="105"/>
        <v/>
      </c>
      <c r="O119" s="257"/>
      <c r="P119" s="257"/>
      <c r="Q119" s="256"/>
      <c r="R119" s="256"/>
      <c r="S119" s="256"/>
      <c r="T119" s="256"/>
      <c r="U119" s="256"/>
      <c r="V119" s="256"/>
      <c r="W119" s="256"/>
      <c r="X119" s="256"/>
      <c r="Y119" s="256"/>
      <c r="Z119" s="256"/>
      <c r="AA119" s="256"/>
      <c r="AB119" s="256"/>
      <c r="AC119" s="256"/>
      <c r="AD119" s="256"/>
      <c r="AE119" s="256"/>
      <c r="AF119" s="256"/>
      <c r="AG119" s="256"/>
      <c r="AH119" s="256"/>
      <c r="AI119" s="256"/>
      <c r="AJ119" s="256"/>
      <c r="AK119" s="256"/>
      <c r="AL119" s="256"/>
      <c r="AM119" s="256"/>
      <c r="AN119" s="256"/>
      <c r="AO119" s="256"/>
      <c r="AP119" s="256"/>
      <c r="AQ119" s="256"/>
      <c r="AR119" s="256"/>
      <c r="AS119" s="256"/>
      <c r="AT119" s="256"/>
      <c r="AU119" s="256"/>
      <c r="AV119" s="256"/>
      <c r="AW119" s="256"/>
      <c r="AX119" s="256"/>
      <c r="AY119" s="256"/>
      <c r="AZ119" s="256"/>
      <c r="BA119" s="256"/>
      <c r="BB119" s="655"/>
      <c r="BC119" s="655"/>
      <c r="BD119" s="655"/>
      <c r="BE119" s="655"/>
      <c r="BF119" s="655"/>
      <c r="BG119" s="655"/>
      <c r="BH119" s="655"/>
      <c r="BI119" s="655"/>
      <c r="BJ119" s="655"/>
      <c r="BK119" s="655"/>
      <c r="BL119" s="655"/>
      <c r="BM119" s="655"/>
      <c r="BN119" s="655"/>
      <c r="BO119" s="655"/>
      <c r="BP119" s="655"/>
      <c r="BQ119" s="655"/>
      <c r="BR119" s="655"/>
      <c r="BS119" s="655"/>
      <c r="BT119" s="655"/>
      <c r="BU119" s="655"/>
      <c r="BV119" s="655"/>
      <c r="BW119" s="655"/>
      <c r="BX119" s="655"/>
      <c r="BY119" s="655"/>
      <c r="BZ119" s="655"/>
      <c r="CA119" s="655"/>
      <c r="CB119" s="655"/>
      <c r="CC119" s="655"/>
      <c r="CD119" s="655"/>
      <c r="CE119" s="655"/>
      <c r="CF119" s="655"/>
      <c r="CG119" s="655"/>
      <c r="CH119" s="655"/>
      <c r="CI119" s="655"/>
      <c r="CJ119" s="655"/>
      <c r="CK119" s="655"/>
    </row>
    <row r="120" spans="1:95" s="255" customFormat="1" hidden="1" outlineLevel="1" x14ac:dyDescent="0.35">
      <c r="A120" s="257"/>
      <c r="B120" s="257"/>
      <c r="C120" s="257"/>
      <c r="D120" s="257"/>
      <c r="E120" s="258" t="str">
        <f t="shared" si="9"/>
        <v/>
      </c>
      <c r="F120" s="257" t="str">
        <f t="shared" ref="F120:K120" si="106">IF($L120="","",IF(F57="",F$6,F57))</f>
        <v/>
      </c>
      <c r="G120" s="257" t="str">
        <f t="shared" si="106"/>
        <v/>
      </c>
      <c r="H120" s="257" t="str">
        <f t="shared" si="106"/>
        <v/>
      </c>
      <c r="I120" s="257" t="str">
        <f t="shared" si="106"/>
        <v/>
      </c>
      <c r="J120" s="257" t="str">
        <f t="shared" si="106"/>
        <v/>
      </c>
      <c r="K120" s="257" t="str">
        <f t="shared" si="106"/>
        <v/>
      </c>
      <c r="L120" s="257" t="str">
        <f t="shared" ref="L120:N120" si="107">IF(L57="","",L57)</f>
        <v/>
      </c>
      <c r="M120" s="257" t="str">
        <f t="shared" si="107"/>
        <v/>
      </c>
      <c r="N120" s="257" t="str">
        <f t="shared" si="107"/>
        <v/>
      </c>
      <c r="O120" s="257"/>
      <c r="P120" s="257"/>
      <c r="Q120" s="256"/>
      <c r="R120" s="256"/>
      <c r="S120" s="256"/>
      <c r="T120" s="256"/>
      <c r="U120" s="256"/>
      <c r="V120" s="256"/>
      <c r="W120" s="256"/>
      <c r="X120" s="256"/>
      <c r="Y120" s="256"/>
      <c r="Z120" s="256"/>
      <c r="AA120" s="256"/>
      <c r="AB120" s="256"/>
      <c r="AC120" s="256"/>
      <c r="AD120" s="256"/>
      <c r="AE120" s="256"/>
      <c r="AF120" s="256"/>
      <c r="AG120" s="256"/>
      <c r="AH120" s="256"/>
      <c r="AI120" s="256"/>
      <c r="AJ120" s="256"/>
      <c r="AK120" s="256"/>
      <c r="AL120" s="256"/>
      <c r="AM120" s="256"/>
      <c r="AN120" s="256"/>
      <c r="AO120" s="256"/>
      <c r="AP120" s="256"/>
      <c r="AQ120" s="256"/>
      <c r="AR120" s="256"/>
      <c r="AS120" s="256"/>
      <c r="AT120" s="256"/>
      <c r="AU120" s="256"/>
      <c r="AV120" s="256"/>
      <c r="AW120" s="256"/>
      <c r="AX120" s="256"/>
      <c r="AY120" s="256"/>
      <c r="AZ120" s="256"/>
      <c r="BA120" s="256"/>
      <c r="BB120" s="655"/>
      <c r="BC120" s="655"/>
      <c r="BD120" s="655"/>
      <c r="BE120" s="655"/>
      <c r="BF120" s="655"/>
      <c r="BG120" s="655"/>
      <c r="BH120" s="655"/>
      <c r="BI120" s="655"/>
      <c r="BJ120" s="655"/>
      <c r="BK120" s="655"/>
      <c r="BL120" s="655"/>
      <c r="BM120" s="655"/>
      <c r="BN120" s="655"/>
      <c r="BO120" s="655"/>
      <c r="BP120" s="655"/>
      <c r="BQ120" s="655"/>
      <c r="BR120" s="655"/>
      <c r="BS120" s="655"/>
      <c r="BT120" s="655"/>
      <c r="BU120" s="655"/>
      <c r="BV120" s="655"/>
      <c r="BW120" s="655"/>
      <c r="BX120" s="655"/>
      <c r="BY120" s="655"/>
      <c r="BZ120" s="655"/>
      <c r="CA120" s="655"/>
      <c r="CB120" s="655"/>
      <c r="CC120" s="655"/>
      <c r="CD120" s="655"/>
      <c r="CE120" s="655"/>
      <c r="CF120" s="655"/>
      <c r="CG120" s="655"/>
      <c r="CH120" s="655"/>
      <c r="CI120" s="655"/>
      <c r="CJ120" s="655"/>
      <c r="CK120" s="655"/>
    </row>
    <row r="121" spans="1:95" collapsed="1" x14ac:dyDescent="0.35">
      <c r="E121" s="91"/>
    </row>
    <row r="122" spans="1:95" x14ac:dyDescent="0.35">
      <c r="A122" s="285" t="s">
        <v>1157</v>
      </c>
      <c r="B122" s="285" t="s">
        <v>1157</v>
      </c>
      <c r="C122" s="285" t="s">
        <v>1157</v>
      </c>
      <c r="D122" s="285" t="s">
        <v>1157</v>
      </c>
      <c r="E122" s="285" t="s">
        <v>1157</v>
      </c>
      <c r="F122" s="285" t="s">
        <v>1157</v>
      </c>
      <c r="G122" s="285" t="s">
        <v>1157</v>
      </c>
      <c r="H122" s="285" t="s">
        <v>1157</v>
      </c>
      <c r="I122" s="285" t="s">
        <v>1157</v>
      </c>
      <c r="J122" s="285" t="s">
        <v>1157</v>
      </c>
      <c r="K122" s="285" t="s">
        <v>1157</v>
      </c>
      <c r="L122" s="285" t="s">
        <v>1157</v>
      </c>
      <c r="M122" s="285" t="s">
        <v>1157</v>
      </c>
      <c r="N122" s="285" t="s">
        <v>1157</v>
      </c>
      <c r="O122" s="285" t="s">
        <v>1157</v>
      </c>
      <c r="P122" s="285" t="s">
        <v>1157</v>
      </c>
      <c r="Q122" s="285" t="s">
        <v>1157</v>
      </c>
      <c r="R122" s="285" t="s">
        <v>1157</v>
      </c>
      <c r="S122" s="285" t="s">
        <v>1157</v>
      </c>
      <c r="T122" s="285" t="s">
        <v>1157</v>
      </c>
      <c r="U122" s="285" t="s">
        <v>1157</v>
      </c>
      <c r="V122" s="285" t="s">
        <v>1157</v>
      </c>
      <c r="W122" s="285" t="s">
        <v>1157</v>
      </c>
      <c r="X122" s="285" t="s">
        <v>1157</v>
      </c>
      <c r="Y122" s="285" t="s">
        <v>1157</v>
      </c>
      <c r="Z122" s="285" t="s">
        <v>1157</v>
      </c>
      <c r="AA122" s="285" t="s">
        <v>1157</v>
      </c>
      <c r="AB122" s="285" t="s">
        <v>1157</v>
      </c>
      <c r="AC122" s="285" t="s">
        <v>1157</v>
      </c>
      <c r="AD122" s="285" t="s">
        <v>1157</v>
      </c>
      <c r="AE122" s="285" t="s">
        <v>1157</v>
      </c>
      <c r="AF122" s="285" t="s">
        <v>1157</v>
      </c>
      <c r="AG122" s="285" t="s">
        <v>1157</v>
      </c>
      <c r="AH122" s="285" t="s">
        <v>1157</v>
      </c>
      <c r="AI122" s="285" t="s">
        <v>1157</v>
      </c>
      <c r="AJ122" s="285" t="s">
        <v>1157</v>
      </c>
      <c r="AK122" s="285" t="s">
        <v>1157</v>
      </c>
      <c r="AL122" s="285" t="s">
        <v>1157</v>
      </c>
      <c r="AM122" s="285" t="s">
        <v>1157</v>
      </c>
      <c r="AN122" s="285" t="s">
        <v>1157</v>
      </c>
      <c r="AO122" s="285" t="s">
        <v>1157</v>
      </c>
      <c r="AP122" s="285" t="s">
        <v>1157</v>
      </c>
      <c r="AQ122" s="285" t="s">
        <v>1157</v>
      </c>
      <c r="AR122" s="285" t="s">
        <v>1157</v>
      </c>
      <c r="AS122" s="285" t="s">
        <v>1157</v>
      </c>
      <c r="AT122" s="285" t="s">
        <v>1157</v>
      </c>
      <c r="AU122" s="285" t="s">
        <v>1157</v>
      </c>
      <c r="AV122" s="285" t="s">
        <v>1157</v>
      </c>
      <c r="AW122" s="285" t="s">
        <v>1157</v>
      </c>
      <c r="AX122" s="285" t="s">
        <v>1157</v>
      </c>
      <c r="AY122" s="285" t="s">
        <v>1157</v>
      </c>
      <c r="AZ122" s="285" t="s">
        <v>1157</v>
      </c>
      <c r="BA122" s="285" t="s">
        <v>1157</v>
      </c>
      <c r="BB122" s="285" t="s">
        <v>1157</v>
      </c>
      <c r="BC122" s="285" t="s">
        <v>1157</v>
      </c>
      <c r="BD122" s="285" t="s">
        <v>1157</v>
      </c>
      <c r="BE122" s="285" t="s">
        <v>1157</v>
      </c>
      <c r="BF122" s="285" t="s">
        <v>1157</v>
      </c>
      <c r="BG122" s="285" t="s">
        <v>1157</v>
      </c>
      <c r="BH122" s="285" t="s">
        <v>1157</v>
      </c>
      <c r="BI122" s="285" t="s">
        <v>1157</v>
      </c>
      <c r="BJ122" s="285" t="s">
        <v>1157</v>
      </c>
      <c r="BK122" s="285" t="s">
        <v>1157</v>
      </c>
      <c r="BL122" s="285" t="s">
        <v>1157</v>
      </c>
      <c r="BM122" s="285" t="s">
        <v>1157</v>
      </c>
      <c r="BN122" s="285" t="s">
        <v>1157</v>
      </c>
      <c r="BO122" s="285" t="s">
        <v>1157</v>
      </c>
      <c r="BP122" s="285" t="s">
        <v>1157</v>
      </c>
      <c r="BQ122" s="285" t="s">
        <v>1157</v>
      </c>
      <c r="BR122" s="285" t="s">
        <v>1157</v>
      </c>
      <c r="BS122" s="285" t="s">
        <v>1157</v>
      </c>
      <c r="BT122" s="285" t="s">
        <v>1157</v>
      </c>
      <c r="BU122" s="285" t="s">
        <v>1157</v>
      </c>
      <c r="BV122" s="285" t="s">
        <v>1157</v>
      </c>
      <c r="BW122" s="285" t="s">
        <v>1157</v>
      </c>
      <c r="BX122" s="285" t="s">
        <v>1157</v>
      </c>
      <c r="BY122" s="285" t="s">
        <v>1157</v>
      </c>
      <c r="BZ122" s="285" t="s">
        <v>1157</v>
      </c>
      <c r="CA122" s="285" t="s">
        <v>1157</v>
      </c>
      <c r="CB122" s="285" t="s">
        <v>1157</v>
      </c>
      <c r="CC122" s="285" t="s">
        <v>1157</v>
      </c>
      <c r="CD122" s="285" t="s">
        <v>1157</v>
      </c>
      <c r="CE122" s="285" t="s">
        <v>1157</v>
      </c>
      <c r="CF122" s="285" t="s">
        <v>1157</v>
      </c>
      <c r="CG122" s="285" t="s">
        <v>1157</v>
      </c>
      <c r="CH122" s="285" t="s">
        <v>1157</v>
      </c>
      <c r="CI122" s="285" t="s">
        <v>1157</v>
      </c>
      <c r="CJ122" s="285" t="s">
        <v>1157</v>
      </c>
      <c r="CK122" s="285" t="s">
        <v>1157</v>
      </c>
      <c r="CL122" s="285" t="s">
        <v>1157</v>
      </c>
      <c r="CM122" s="285" t="s">
        <v>1157</v>
      </c>
      <c r="CN122" s="285" t="s">
        <v>1157</v>
      </c>
      <c r="CO122" s="285" t="s">
        <v>1157</v>
      </c>
      <c r="CP122" s="285" t="s">
        <v>1157</v>
      </c>
      <c r="CQ122" s="285" t="s">
        <v>1157</v>
      </c>
    </row>
  </sheetData>
  <sheetProtection algorithmName="SHA-512" hashValue="q+PDAiO+NIF9B1dXbQFMPHMiByVveq1POrh7WaSQkywCkUWI/We9MymQO5K6Xvrg+Zc8lSiUU1EsXAqB0iz8fg==" saltValue="Yn0BMMidAqURmMB+KBFLlA==" spinCount="100000" sheet="1" objects="1" scenarios="1"/>
  <conditionalFormatting sqref="BB8:CK57">
    <cfRule type="expression" dxfId="48" priority="57">
      <formula>IF(BB71&lt;&gt;0,TRUE,FALSE)</formula>
    </cfRule>
  </conditionalFormatting>
  <conditionalFormatting sqref="A71:CK120 A8:CK57">
    <cfRule type="expression" dxfId="47" priority="10">
      <formula>NOT(ISEVEN(ROW(A8)))</formula>
    </cfRule>
    <cfRule type="expression" dxfId="46" priority="11">
      <formula>ISEVEN(ROW(A8))</formula>
    </cfRule>
  </conditionalFormatting>
  <conditionalFormatting sqref="G8:H57">
    <cfRule type="expression" dxfId="45" priority="69" stopIfTrue="1">
      <formula>AND($L8&lt;&gt;"",ISNA(MATCH(IF($H8="",$H$6,$H8)&amp;IF($G8="",$G$6,$G8),DeptBU,0)))</formula>
    </cfRule>
  </conditionalFormatting>
  <conditionalFormatting sqref="F8:K57">
    <cfRule type="expression" dxfId="44" priority="75">
      <formula>AND(F8="",F$6="",NOT($CN8))</formula>
    </cfRule>
  </conditionalFormatting>
  <conditionalFormatting sqref="A8:N57">
    <cfRule type="expression" dxfId="43" priority="9">
      <formula>OR(ISERROR($BB8:$CK8))</formula>
    </cfRule>
  </conditionalFormatting>
  <conditionalFormatting sqref="Q5:AZ5 BB61:CK68 BB5:CK5 BB59:CK59 Q59:AZ59">
    <cfRule type="expression" dxfId="42" priority="1">
      <formula>LocalCurrency="AUD"</formula>
    </cfRule>
    <cfRule type="expression" dxfId="41" priority="2">
      <formula>LocalCurrency="INR"</formula>
    </cfRule>
    <cfRule type="expression" dxfId="40" priority="3">
      <formula>LocalCurrency="ILS"</formula>
    </cfRule>
    <cfRule type="expression" dxfId="39" priority="4">
      <formula>LocalCurrency="HKD"</formula>
    </cfRule>
    <cfRule type="expression" dxfId="38" priority="5">
      <formula>LocalCurrency="CHF"</formula>
    </cfRule>
    <cfRule type="expression" dxfId="37" priority="6">
      <formula>LocalCurrency="EUR"</formula>
    </cfRule>
    <cfRule type="expression" dxfId="36" priority="7">
      <formula>LocalCurrency="GBP"</formula>
    </cfRule>
    <cfRule type="expression" dxfId="35" priority="8">
      <formula>LocalCurrency="USD"</formula>
    </cfRule>
  </conditionalFormatting>
  <conditionalFormatting sqref="BB8:CK57 BB71:CK120">
    <cfRule type="expression" dxfId="34" priority="76">
      <formula>LocalCurrency="USD"</formula>
    </cfRule>
    <cfRule type="expression" dxfId="33" priority="77">
      <formula>LocalCurrency="GBP"</formula>
    </cfRule>
    <cfRule type="expression" dxfId="32" priority="78">
      <formula>LocalCurrency="EUR"</formula>
    </cfRule>
    <cfRule type="expression" dxfId="31" priority="79">
      <formula>LocalCurrency="INR"</formula>
    </cfRule>
    <cfRule type="expression" dxfId="30" priority="80">
      <formula>LocalCurrency="ILS"</formula>
    </cfRule>
    <cfRule type="expression" dxfId="29" priority="81">
      <formula>LocalCurrency="HKD"</formula>
    </cfRule>
    <cfRule type="expression" dxfId="28" priority="82">
      <formula>LocalCurrency="AUD"</formula>
    </cfRule>
    <cfRule type="expression" dxfId="27" priority="83">
      <formula>LocalCurrency="CHF"</formula>
    </cfRule>
  </conditionalFormatting>
  <dataValidations count="15">
    <dataValidation type="list" allowBlank="1" showInputMessage="1" showErrorMessage="1" sqref="A8:A58">
      <formula1>ForecastMethods</formula1>
    </dataValidation>
    <dataValidation type="textLength" operator="lessThanOrEqual" allowBlank="1" showInputMessage="1" showErrorMessage="1" errorTitle="Invalid Entry" error="This cell is limited to a length of 255 characters, please try again." sqref="N8:N57">
      <formula1>255</formula1>
    </dataValidation>
    <dataValidation type="list" allowBlank="1" showInputMessage="1" showErrorMessage="1" sqref="L8:L57">
      <formula1>DV_Expense_Items</formula1>
    </dataValidation>
    <dataValidation type="list" allowBlank="1" showInputMessage="1" showErrorMessage="1" sqref="K8:K57 K6">
      <formula1>DV_Locations</formula1>
    </dataValidation>
    <dataValidation type="list" allowBlank="1" showInputMessage="1" showErrorMessage="1" sqref="J8:J57 J6">
      <formula1>DV_Products</formula1>
    </dataValidation>
    <dataValidation type="list" allowBlank="1" showInputMessage="1" showErrorMessage="1" sqref="I8:I57 I6">
      <formula1>DV_Teams</formula1>
    </dataValidation>
    <dataValidation type="list" allowBlank="1" showInputMessage="1" showErrorMessage="1" sqref="H8:H57 H6">
      <formula1>DV_Departments</formula1>
    </dataValidation>
    <dataValidation type="list" allowBlank="1" showInputMessage="1" showErrorMessage="1" sqref="G8:G57 G6">
      <formula1>DV_Business_Units</formula1>
    </dataValidation>
    <dataValidation type="list" allowBlank="1" showInputMessage="1" showErrorMessage="1" sqref="F8:F57 F6">
      <formula1>DV_Companies</formula1>
    </dataValidation>
    <dataValidation type="list" allowBlank="1" showInputMessage="1" showErrorMessage="1" sqref="H2">
      <formula1>DV_RevenueScenariosLocal</formula1>
    </dataValidation>
    <dataValidation type="list" allowBlank="1" showInputMessage="1" showErrorMessage="1" sqref="M8:M57">
      <formula1>DV_Categories</formula1>
    </dataValidation>
    <dataValidation type="list" allowBlank="1" showInputMessage="1" showErrorMessage="1" sqref="F5:K5">
      <formula1>"Y,N"</formula1>
    </dataValidation>
    <dataValidation type="list" allowBlank="1" showInputMessage="1" showErrorMessage="1" sqref="H1">
      <formula1>"Inputs Tab"</formula1>
    </dataValidation>
    <dataValidation type="custom" allowBlank="1" showInputMessage="1" showErrorMessage="1" sqref="E8:E120 BB71:CK120">
      <formula1>ISNUMBER(E8)</formula1>
    </dataValidation>
    <dataValidation type="whole" allowBlank="1" showInputMessage="1" showErrorMessage="1" sqref="C8:C57">
      <formula1>1</formula1>
      <formula2>36</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8" r:id="rId4" name="ColumnsButton">
          <controlPr defaultSize="0" autoLine="0" r:id="rId5">
            <anchor moveWithCells="1">
              <from>
                <xdr:col>0</xdr:col>
                <xdr:colOff>203200</xdr:colOff>
                <xdr:row>0</xdr:row>
                <xdr:rowOff>152400</xdr:rowOff>
              </from>
              <to>
                <xdr:col>0</xdr:col>
                <xdr:colOff>1155700</xdr:colOff>
                <xdr:row>2</xdr:row>
                <xdr:rowOff>127000</xdr:rowOff>
              </to>
            </anchor>
          </controlPr>
        </control>
      </mc:Choice>
      <mc:Fallback>
        <control shapeId="10258" r:id="rId4" name="ColumnsButton"/>
      </mc:Fallback>
    </mc:AlternateContent>
    <mc:AlternateContent xmlns:mc="http://schemas.openxmlformats.org/markup-compatibility/2006">
      <mc:Choice Requires="x14">
        <control shapeId="10252" r:id="rId6" name="AddRecordsButton">
          <controlPr defaultSize="0" autoLine="0" r:id="rId7">
            <anchor moveWithCells="1">
              <from>
                <xdr:col>12</xdr:col>
                <xdr:colOff>241300</xdr:colOff>
                <xdr:row>0</xdr:row>
                <xdr:rowOff>152400</xdr:rowOff>
              </from>
              <to>
                <xdr:col>13</xdr:col>
                <xdr:colOff>546100</xdr:colOff>
                <xdr:row>2</xdr:row>
                <xdr:rowOff>127000</xdr:rowOff>
              </to>
            </anchor>
          </controlPr>
        </control>
      </mc:Choice>
      <mc:Fallback>
        <control shapeId="10252" r:id="rId6" name="AddRecordsButto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Revenue">
    <tabColor theme="5"/>
  </sheetPr>
  <dimension ref="A2:BA59"/>
  <sheetViews>
    <sheetView showGridLines="0" zoomScale="70" zoomScaleNormal="70" workbookViewId="0">
      <pane xSplit="12" ySplit="5" topLeftCell="M6" activePane="bottomRight" state="frozen"/>
      <selection activeCell="L80" sqref="L80"/>
      <selection pane="topRight" activeCell="L80" sqref="L80"/>
      <selection pane="bottomLeft" activeCell="L80" sqref="L80"/>
      <selection pane="bottomRight" activeCell="M6" sqref="M6"/>
    </sheetView>
  </sheetViews>
  <sheetFormatPr defaultRowHeight="14.5" outlineLevelRow="1" outlineLevelCol="1" x14ac:dyDescent="0.35"/>
  <cols>
    <col min="1" max="1" width="3.7265625" customWidth="1"/>
    <col min="2" max="3" width="12.7265625" customWidth="1"/>
    <col min="4" max="6" width="15.7265625" customWidth="1"/>
    <col min="7" max="7" width="12.7265625" customWidth="1"/>
    <col min="8" max="8" width="15.7265625" customWidth="1"/>
    <col min="9" max="9" width="40.7265625" customWidth="1"/>
    <col min="10" max="11" width="15.7265625" customWidth="1"/>
    <col min="12" max="12" width="15.7265625" hidden="1" customWidth="1" outlineLevel="1"/>
    <col min="13" max="13" width="13.7265625" customWidth="1" collapsed="1"/>
    <col min="14" max="48" width="13.7265625" customWidth="1"/>
    <col min="50" max="52" width="9.1796875" hidden="1" customWidth="1" outlineLevel="1"/>
    <col min="53" max="53" width="9.1796875" collapsed="1"/>
  </cols>
  <sheetData>
    <row r="2" spans="1:52" x14ac:dyDescent="0.35">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X2" s="265" t="s">
        <v>1216</v>
      </c>
      <c r="AY2" s="265" t="s">
        <v>1145</v>
      </c>
      <c r="AZ2" s="265" t="s">
        <v>1144</v>
      </c>
    </row>
    <row r="3" spans="1:52" x14ac:dyDescent="0.35">
      <c r="M3" s="559">
        <f>ForecastStartDate[start_date]</f>
        <v>41275</v>
      </c>
      <c r="N3" s="559">
        <f>EDATE(M3,1)</f>
        <v>41306</v>
      </c>
      <c r="O3" s="559">
        <f t="shared" ref="O3:AV3" si="0">EDATE(N3,1)</f>
        <v>41334</v>
      </c>
      <c r="P3" s="559">
        <f t="shared" si="0"/>
        <v>41365</v>
      </c>
      <c r="Q3" s="559">
        <f t="shared" si="0"/>
        <v>41395</v>
      </c>
      <c r="R3" s="559">
        <f t="shared" si="0"/>
        <v>41426</v>
      </c>
      <c r="S3" s="559">
        <f t="shared" si="0"/>
        <v>41456</v>
      </c>
      <c r="T3" s="559">
        <f t="shared" si="0"/>
        <v>41487</v>
      </c>
      <c r="U3" s="559">
        <f t="shared" si="0"/>
        <v>41518</v>
      </c>
      <c r="V3" s="559">
        <f t="shared" si="0"/>
        <v>41548</v>
      </c>
      <c r="W3" s="559">
        <f t="shared" si="0"/>
        <v>41579</v>
      </c>
      <c r="X3" s="559">
        <f t="shared" si="0"/>
        <v>41609</v>
      </c>
      <c r="Y3" s="559">
        <f t="shared" si="0"/>
        <v>41640</v>
      </c>
      <c r="Z3" s="559">
        <f t="shared" si="0"/>
        <v>41671</v>
      </c>
      <c r="AA3" s="559">
        <f t="shared" si="0"/>
        <v>41699</v>
      </c>
      <c r="AB3" s="559">
        <f t="shared" si="0"/>
        <v>41730</v>
      </c>
      <c r="AC3" s="559">
        <f t="shared" si="0"/>
        <v>41760</v>
      </c>
      <c r="AD3" s="559">
        <f t="shared" si="0"/>
        <v>41791</v>
      </c>
      <c r="AE3" s="559">
        <f t="shared" si="0"/>
        <v>41821</v>
      </c>
      <c r="AF3" s="559">
        <f t="shared" si="0"/>
        <v>41852</v>
      </c>
      <c r="AG3" s="559">
        <f t="shared" si="0"/>
        <v>41883</v>
      </c>
      <c r="AH3" s="559">
        <f t="shared" si="0"/>
        <v>41913</v>
      </c>
      <c r="AI3" s="559">
        <f t="shared" si="0"/>
        <v>41944</v>
      </c>
      <c r="AJ3" s="559">
        <f t="shared" si="0"/>
        <v>41974</v>
      </c>
      <c r="AK3" s="559">
        <f t="shared" si="0"/>
        <v>42005</v>
      </c>
      <c r="AL3" s="559">
        <f t="shared" si="0"/>
        <v>42036</v>
      </c>
      <c r="AM3" s="559">
        <f t="shared" si="0"/>
        <v>42064</v>
      </c>
      <c r="AN3" s="559">
        <f t="shared" si="0"/>
        <v>42095</v>
      </c>
      <c r="AO3" s="559">
        <f t="shared" si="0"/>
        <v>42125</v>
      </c>
      <c r="AP3" s="559">
        <f t="shared" si="0"/>
        <v>42156</v>
      </c>
      <c r="AQ3" s="559">
        <f t="shared" si="0"/>
        <v>42186</v>
      </c>
      <c r="AR3" s="559">
        <f t="shared" si="0"/>
        <v>42217</v>
      </c>
      <c r="AS3" s="559">
        <f t="shared" si="0"/>
        <v>42248</v>
      </c>
      <c r="AT3" s="559">
        <f t="shared" si="0"/>
        <v>42278</v>
      </c>
      <c r="AU3" s="559">
        <f t="shared" si="0"/>
        <v>42309</v>
      </c>
      <c r="AV3" s="559">
        <f t="shared" si="0"/>
        <v>42339</v>
      </c>
    </row>
    <row r="4" spans="1:52" ht="16" x14ac:dyDescent="0.5">
      <c r="B4" s="336" t="s">
        <v>1208</v>
      </c>
      <c r="C4" s="336" t="s">
        <v>218</v>
      </c>
      <c r="D4" s="336" t="s">
        <v>1148</v>
      </c>
      <c r="E4" s="336" t="s">
        <v>208</v>
      </c>
      <c r="F4" s="336" t="s">
        <v>206</v>
      </c>
      <c r="G4" s="336" t="s">
        <v>209</v>
      </c>
      <c r="H4" s="336" t="s">
        <v>207</v>
      </c>
      <c r="I4" s="336" t="s">
        <v>1155</v>
      </c>
      <c r="J4" s="336" t="s">
        <v>1215</v>
      </c>
      <c r="K4" s="336" t="s">
        <v>1146</v>
      </c>
      <c r="L4" s="336" t="s">
        <v>1195</v>
      </c>
      <c r="M4" s="284" t="s">
        <v>1136</v>
      </c>
      <c r="N4" s="284" t="s">
        <v>1136</v>
      </c>
      <c r="O4" s="284" t="s">
        <v>1136</v>
      </c>
      <c r="P4" s="284" t="s">
        <v>1136</v>
      </c>
      <c r="Q4" s="284" t="s">
        <v>1136</v>
      </c>
      <c r="R4" s="284" t="s">
        <v>1136</v>
      </c>
      <c r="S4" s="284" t="s">
        <v>1136</v>
      </c>
      <c r="T4" s="284" t="s">
        <v>1136</v>
      </c>
      <c r="U4" s="284" t="s">
        <v>1136</v>
      </c>
      <c r="V4" s="284" t="s">
        <v>1136</v>
      </c>
      <c r="W4" s="284" t="s">
        <v>1136</v>
      </c>
      <c r="X4" s="284" t="s">
        <v>1136</v>
      </c>
      <c r="Y4" s="284" t="s">
        <v>1136</v>
      </c>
      <c r="Z4" s="284" t="s">
        <v>1136</v>
      </c>
      <c r="AA4" s="284" t="s">
        <v>1136</v>
      </c>
      <c r="AB4" s="284" t="s">
        <v>1136</v>
      </c>
      <c r="AC4" s="284" t="s">
        <v>1136</v>
      </c>
      <c r="AD4" s="284" t="s">
        <v>1136</v>
      </c>
      <c r="AE4" s="284" t="s">
        <v>1136</v>
      </c>
      <c r="AF4" s="284" t="s">
        <v>1136</v>
      </c>
      <c r="AG4" s="284" t="s">
        <v>1136</v>
      </c>
      <c r="AH4" s="284" t="s">
        <v>1136</v>
      </c>
      <c r="AI4" s="284" t="s">
        <v>1136</v>
      </c>
      <c r="AJ4" s="284" t="s">
        <v>1136</v>
      </c>
      <c r="AK4" s="284" t="s">
        <v>1136</v>
      </c>
      <c r="AL4" s="284" t="s">
        <v>1136</v>
      </c>
      <c r="AM4" s="284" t="s">
        <v>1136</v>
      </c>
      <c r="AN4" s="284" t="s">
        <v>1136</v>
      </c>
      <c r="AO4" s="284" t="s">
        <v>1136</v>
      </c>
      <c r="AP4" s="284" t="s">
        <v>1136</v>
      </c>
      <c r="AQ4" s="284" t="s">
        <v>1136</v>
      </c>
      <c r="AR4" s="284" t="s">
        <v>1136</v>
      </c>
      <c r="AS4" s="284" t="s">
        <v>1136</v>
      </c>
      <c r="AT4" s="284" t="s">
        <v>1136</v>
      </c>
      <c r="AU4" s="284" t="s">
        <v>1136</v>
      </c>
      <c r="AV4" s="284" t="s">
        <v>1136</v>
      </c>
      <c r="AX4" t="b">
        <f>AND(AX7:AX57)</f>
        <v>1</v>
      </c>
      <c r="AY4" s="253" t="str">
        <f ca="1">MID(CELL("filename",AY4),FIND("[",CELL("filename",AY4))+1,FIND("]",CELL("filename",AY4))-FIND("[",CELL("filename",AY4))-1)</f>
        <v>BG3 - Template.xlsm</v>
      </c>
      <c r="AZ4" s="264" t="str">
        <f ca="1">MID(CELL("filename",AZ4),FIND("]",CELL("filename",AZ4))+1,256)</f>
        <v>Revenue</v>
      </c>
    </row>
    <row r="5" spans="1:52" ht="16" x14ac:dyDescent="0.5">
      <c r="C5" s="648"/>
      <c r="D5" s="648"/>
      <c r="E5" s="648"/>
      <c r="F5" s="648"/>
      <c r="G5" s="648"/>
      <c r="H5" s="648"/>
      <c r="I5" s="557" t="s">
        <v>1272</v>
      </c>
      <c r="J5" s="336"/>
      <c r="K5" s="336"/>
      <c r="L5" s="336"/>
      <c r="M5" s="284"/>
      <c r="N5" s="284"/>
      <c r="O5" s="284"/>
      <c r="P5" s="284"/>
      <c r="Q5" s="284"/>
      <c r="R5" s="284"/>
      <c r="S5" s="284"/>
      <c r="T5" s="284"/>
      <c r="U5" s="284"/>
      <c r="V5" s="284"/>
      <c r="W5" s="284"/>
      <c r="X5" s="284"/>
      <c r="Y5" s="284"/>
      <c r="Z5" s="284"/>
      <c r="AA5" s="284"/>
      <c r="AB5" s="284"/>
      <c r="AC5" s="284"/>
      <c r="AD5" s="284"/>
      <c r="AE5" s="284"/>
      <c r="AF5" s="284"/>
      <c r="AG5" s="284"/>
      <c r="AH5" s="284"/>
      <c r="AI5" s="284"/>
      <c r="AJ5" s="284"/>
      <c r="AK5" s="284"/>
      <c r="AL5" s="284"/>
      <c r="AM5" s="284"/>
      <c r="AN5" s="284"/>
      <c r="AO5" s="284"/>
      <c r="AP5" s="284"/>
      <c r="AQ5" s="284"/>
      <c r="AR5" s="284"/>
      <c r="AS5" s="284"/>
      <c r="AT5" s="284"/>
      <c r="AU5" s="284"/>
      <c r="AV5" s="284"/>
      <c r="AY5" s="253"/>
      <c r="AZ5" s="264">
        <v>0</v>
      </c>
    </row>
    <row r="6" spans="1:52" ht="23.5" x14ac:dyDescent="0.55000000000000004">
      <c r="B6" s="252" t="s">
        <v>1143</v>
      </c>
    </row>
    <row r="7" spans="1:52" x14ac:dyDescent="0.35">
      <c r="A7" s="286"/>
      <c r="B7" s="554"/>
      <c r="C7" s="554"/>
      <c r="D7" s="554"/>
      <c r="E7" s="554"/>
      <c r="F7" s="554"/>
      <c r="G7" s="554"/>
      <c r="H7" s="554"/>
      <c r="I7" s="554"/>
      <c r="J7" s="554"/>
      <c r="K7" s="554"/>
      <c r="L7" s="617" t="str">
        <f>IF($I7="","",IF(AND(INDEX(Products[product_type_code],MATCH(IF($G7="",$G$5,$G7),Products[product_name],0))="PROD_CLD",INDEX(RevItems[hosting_rev],MATCH($I7,RevItems[rev_item],0))="TRUE"),"Cloud Hosting Revenue",$I7))</f>
        <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X7" t="b">
        <f t="array" ref="AX7">IF($I7="",TRUE,AND($B7&lt;&gt;"",OR($C7&lt;&gt;"",$C$5&lt;&gt;""),OR($D7&lt;&gt;"",$D$5&lt;&gt;""),OR($E7&lt;&gt;"",$E$5&lt;&gt;""),OR($F7&lt;&gt;"",$F$5&lt;&gt;""),OR($G7&lt;&gt;"",$G$5&lt;&gt;""),OR($H7&lt;&gt;"",$H$5&lt;&gt;""),NOT(ISERROR($M7:$AV7)),NOT(ISNA(MATCH(IF($E7="",$E$5,$E7)&amp;IF($D7="",$D$5,$D7),DeptBU,0)))))</f>
        <v>1</v>
      </c>
      <c r="AZ7" s="255" t="str">
        <f t="shared" ref="AZ7:AZ38" si="1">IF($I7="","",SUBSTITUTE("SELECT 'Revenue','Revenue',"&amp;ROW()&amp;",'"&amp;Forecast_Currency&amp;"',NULL,'"&amp;SUBSTITUTE($B7,"'","''")&amp;"','"&amp;SUBSTITUTE(IF($C7="",$C$5,$C7),"'","''")&amp;"','"&amp;SUBSTITUTE(IF($D7="",$D$5,$D7),"'","''")&amp;"','"&amp;SUBSTITUTE(IF($E7="",$E$5,$E7),"'","''")&amp;"','"&amp;SUBSTITUTE(IF($F7="",$F$5,$F7),"'","''")&amp;"','"&amp;SUBSTITUTE(IF($G7="",$G$5,$G7),"'","''")&amp;"','"&amp;SUBSTITUTE(IF($H7="",$H$5,$H7),"'","''")&amp;"','"&amp;SUBSTITUTE($I7,"'","''")&amp;"',"&amp;IF($J7="","NULL","'"&amp;SUBSTITUTE($J7,"'","''")&amp;"'")&amp;","&amp;IF($K7="","NULL","'"&amp;SUBSTITUTE($K7,"'","''")&amp;"'")&amp;",NULL,NULL,"&amp;IF($M7="","NULL",$M7)&amp;","&amp;IF($N7="","NULL",$N7)&amp;","&amp;IF($O7="","NULL",$O7)&amp;","&amp;IF($P7="","NULL",$P7)&amp;","&amp;IF($Q7="","NULL",$Q7)&amp;","&amp;IF($R7="","NULL",$R7)&amp;","&amp;IF($S7="","NULL",$S7)&amp;","&amp;IF($T7="","NULL",$T7)&amp;","&amp;IF($U7="","NULL",$U7)&amp;","&amp;IF($V7="","NULL",$V7)&amp;","&amp;IF($W7="","NULL",$W7)&amp;","&amp;IF($X7="","NULL",$X7)&amp;","&amp;IF($Y7="","NULL",$Y7)&amp;","&amp;IF($Z7="","NULL",$Z7)&amp;","&amp;IF($AA7="","NULL",$AA7)&amp;","&amp;IF($AB7="","NULL",$AB7)&amp;","&amp;IF($AC7="","NULL",$AC7)&amp;","&amp;IF($AD7="","NULL",$AD7)&amp;","&amp;IF($AE7="","NULL",$AE7)&amp;","&amp;IF($AF7="","NULL",$AF7)&amp;","&amp;IF($AG7="","NULL",$AG7)&amp;","&amp;IF($AH7="","NULL",$AH7)&amp;","&amp;IF($AI7="","NULL",$AI7)&amp;","&amp;IF($AJ7="","NULL",$AJ7)&amp;","&amp;IF($AK7="","NULL",$AK7)&amp;","&amp;IF($AL7="","NULL",$AL7)&amp;","&amp;IF($AM7="","NULL",$AM7)&amp;","&amp;IF($AN7="","NULL",$AN7)&amp;","&amp;IF($AO7="","NULL",$AO7)&amp;","&amp;IF($AP7="","NULL",$AP7)&amp;","&amp;IF($AQ7="","NULL",$AQ7)&amp;","&amp;IF($AR7="","NULL",$AR7)&amp;","&amp;IF($AS7="","NULL",$AS7)&amp;","&amp;IF($AT7="","NULL",$AT7)&amp;","&amp;IF($AU7="","NULL",$AU7)&amp;","&amp;IF($AV7="","NULL",$AV7),"'","''"))</f>
        <v/>
      </c>
    </row>
    <row r="8" spans="1:52" x14ac:dyDescent="0.35">
      <c r="A8" s="286"/>
      <c r="B8" s="554"/>
      <c r="C8" s="554"/>
      <c r="D8" s="554"/>
      <c r="E8" s="554"/>
      <c r="F8" s="554"/>
      <c r="G8" s="554"/>
      <c r="H8" s="554"/>
      <c r="I8" s="554"/>
      <c r="J8" s="554"/>
      <c r="K8" s="554"/>
      <c r="L8" s="617" t="str">
        <f>IF($I8="","",IF(AND(INDEX(Products[product_type_code],MATCH(IF($G8="",$G$5,$G8),Products[product_name],0))="PROD_CLD",INDEX(RevItems[hosting_rev],MATCH($I8,RevItems[rev_item],0))="TRUE"),"Cloud Hosting Revenue",$I8))</f>
        <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X8" t="b">
        <f t="array" ref="AX8">IF($I8="",TRUE,AND($B8&lt;&gt;"",OR($C8&lt;&gt;"",$C$5&lt;&gt;""),OR($D8&lt;&gt;"",$D$5&lt;&gt;""),OR($E8&lt;&gt;"",$E$5&lt;&gt;""),OR($F8&lt;&gt;"",$F$5&lt;&gt;""),OR($G8&lt;&gt;"",$G$5&lt;&gt;""),OR($H8&lt;&gt;"",$H$5&lt;&gt;""),NOT(ISERROR($M8:$AV8)),NOT(ISNA(MATCH(IF($E8="",$E$5,$E8)&amp;IF($D8="",$D$5,$D8),DeptBU,0)))))</f>
        <v>1</v>
      </c>
      <c r="AZ8" s="255" t="str">
        <f t="shared" si="1"/>
        <v/>
      </c>
    </row>
    <row r="9" spans="1:52" x14ac:dyDescent="0.35">
      <c r="A9" s="286"/>
      <c r="B9" s="554"/>
      <c r="C9" s="554"/>
      <c r="D9" s="554"/>
      <c r="E9" s="554"/>
      <c r="F9" s="554"/>
      <c r="G9" s="554"/>
      <c r="H9" s="554"/>
      <c r="I9" s="554"/>
      <c r="J9" s="554"/>
      <c r="K9" s="554"/>
      <c r="L9" s="617" t="str">
        <f>IF($I9="","",IF(AND(INDEX(Products[product_type_code],MATCH(IF($G9="",$G$5,$G9),Products[product_name],0))="PROD_CLD",INDEX(RevItems[hosting_rev],MATCH($I9,RevItems[rev_item],0))="TRUE"),"Cloud Hosting Revenue",$I9))</f>
        <v/>
      </c>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X9" t="b">
        <f t="array" ref="AX9">IF($I9="",TRUE,AND($B9&lt;&gt;"",OR($C9&lt;&gt;"",$C$5&lt;&gt;""),OR($D9&lt;&gt;"",$D$5&lt;&gt;""),OR($E9&lt;&gt;"",$E$5&lt;&gt;""),OR($F9&lt;&gt;"",$F$5&lt;&gt;""),OR($G9&lt;&gt;"",$G$5&lt;&gt;""),OR($H9&lt;&gt;"",$H$5&lt;&gt;""),NOT(ISERROR($M9:$AV9)),NOT(ISNA(MATCH(IF($E9="",$E$5,$E9)&amp;IF($D9="",$D$5,$D9),DeptBU,0)))))</f>
        <v>1</v>
      </c>
      <c r="AZ9" s="255" t="str">
        <f t="shared" si="1"/>
        <v/>
      </c>
    </row>
    <row r="10" spans="1:52" x14ac:dyDescent="0.35">
      <c r="A10" s="286"/>
      <c r="B10" s="554"/>
      <c r="C10" s="554"/>
      <c r="D10" s="554"/>
      <c r="E10" s="554"/>
      <c r="F10" s="554"/>
      <c r="G10" s="554"/>
      <c r="H10" s="554"/>
      <c r="I10" s="554"/>
      <c r="J10" s="554"/>
      <c r="K10" s="554"/>
      <c r="L10" s="617" t="str">
        <f>IF($I10="","",IF(AND(INDEX(Products[product_type_code],MATCH(IF($G10="",$G$5,$G10),Products[product_name],0))="PROD_CLD",INDEX(RevItems[hosting_rev],MATCH($I10,RevItems[rev_item],0))="TRUE"),"Cloud Hosting Revenue",$I10))</f>
        <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X10" t="b">
        <f t="array" ref="AX10">IF($I10="",TRUE,AND($B10&lt;&gt;"",OR($C10&lt;&gt;"",$C$5&lt;&gt;""),OR($D10&lt;&gt;"",$D$5&lt;&gt;""),OR($E10&lt;&gt;"",$E$5&lt;&gt;""),OR($F10&lt;&gt;"",$F$5&lt;&gt;""),OR($G10&lt;&gt;"",$G$5&lt;&gt;""),OR($H10&lt;&gt;"",$H$5&lt;&gt;""),NOT(ISERROR($M10:$AV10)),NOT(ISNA(MATCH(IF($E10="",$E$5,$E10)&amp;IF($D10="",$D$5,$D10),DeptBU,0)))))</f>
        <v>1</v>
      </c>
      <c r="AZ10" s="255" t="str">
        <f t="shared" si="1"/>
        <v/>
      </c>
    </row>
    <row r="11" spans="1:52" x14ac:dyDescent="0.35">
      <c r="A11" s="286"/>
      <c r="B11" s="554"/>
      <c r="C11" s="554"/>
      <c r="D11" s="554"/>
      <c r="E11" s="554"/>
      <c r="F11" s="554"/>
      <c r="G11" s="554"/>
      <c r="H11" s="554"/>
      <c r="I11" s="554"/>
      <c r="J11" s="554"/>
      <c r="K11" s="554"/>
      <c r="L11" s="617" t="str">
        <f>IF($I11="","",IF(AND(INDEX(Products[product_type_code],MATCH(IF($G11="",$G$5,$G11),Products[product_name],0))="PROD_CLD",INDEX(RevItems[hosting_rev],MATCH($I11,RevItems[rev_item],0))="TRUE"),"Cloud Hosting Revenue",$I11))</f>
        <v/>
      </c>
      <c r="M11" s="554"/>
      <c r="N11" s="554"/>
      <c r="O11" s="554"/>
      <c r="P11" s="554"/>
      <c r="Q11" s="554"/>
      <c r="R11" s="554"/>
      <c r="S11" s="554"/>
      <c r="T11" s="554"/>
      <c r="U11" s="554"/>
      <c r="V11" s="554"/>
      <c r="W11" s="554"/>
      <c r="X11" s="554"/>
      <c r="Y11" s="554"/>
      <c r="Z11" s="554"/>
      <c r="AA11" s="554"/>
      <c r="AB11" s="554"/>
      <c r="AC11" s="554"/>
      <c r="AD11" s="554"/>
      <c r="AE11" s="554"/>
      <c r="AF11" s="554"/>
      <c r="AG11" s="554"/>
      <c r="AH11" s="554"/>
      <c r="AI11" s="554"/>
      <c r="AJ11" s="554"/>
      <c r="AK11" s="554"/>
      <c r="AL11" s="554"/>
      <c r="AM11" s="554"/>
      <c r="AN11" s="554"/>
      <c r="AO11" s="554"/>
      <c r="AP11" s="554"/>
      <c r="AQ11" s="554"/>
      <c r="AR11" s="554"/>
      <c r="AS11" s="554"/>
      <c r="AT11" s="554"/>
      <c r="AU11" s="554"/>
      <c r="AV11" s="554"/>
      <c r="AX11" t="b">
        <f t="array" ref="AX11">IF($I11="",TRUE,AND($B11&lt;&gt;"",OR($C11&lt;&gt;"",$C$5&lt;&gt;""),OR($D11&lt;&gt;"",$D$5&lt;&gt;""),OR($E11&lt;&gt;"",$E$5&lt;&gt;""),OR($F11&lt;&gt;"",$F$5&lt;&gt;""),OR($G11&lt;&gt;"",$G$5&lt;&gt;""),OR($H11&lt;&gt;"",$H$5&lt;&gt;""),NOT(ISERROR($M11:$AV11)),NOT(ISNA(MATCH(IF($E11="",$E$5,$E11)&amp;IF($D11="",$D$5,$D11),DeptBU,0)))))</f>
        <v>1</v>
      </c>
      <c r="AZ11" s="255" t="str">
        <f t="shared" si="1"/>
        <v/>
      </c>
    </row>
    <row r="12" spans="1:52" x14ac:dyDescent="0.35">
      <c r="A12" s="286"/>
      <c r="B12" s="554"/>
      <c r="C12" s="554"/>
      <c r="D12" s="554"/>
      <c r="E12" s="554"/>
      <c r="F12" s="554"/>
      <c r="G12" s="554"/>
      <c r="H12" s="554"/>
      <c r="I12" s="554"/>
      <c r="J12" s="554"/>
      <c r="K12" s="554"/>
      <c r="L12" s="617" t="str">
        <f>IF($I12="","",IF(AND(INDEX(Products[product_type_code],MATCH(IF($G12="",$G$5,$G12),Products[product_name],0))="PROD_CLD",INDEX(RevItems[hosting_rev],MATCH($I12,RevItems[rev_item],0))="TRUE"),"Cloud Hosting Revenue",$I12))</f>
        <v/>
      </c>
      <c r="M12" s="554"/>
      <c r="N12" s="554"/>
      <c r="O12" s="554"/>
      <c r="P12" s="554"/>
      <c r="Q12" s="554"/>
      <c r="R12" s="554"/>
      <c r="S12" s="554"/>
      <c r="T12" s="554"/>
      <c r="U12" s="554"/>
      <c r="V12" s="554"/>
      <c r="W12" s="554"/>
      <c r="X12" s="554"/>
      <c r="Y12" s="554"/>
      <c r="Z12" s="554"/>
      <c r="AA12" s="554"/>
      <c r="AB12" s="554"/>
      <c r="AC12" s="554"/>
      <c r="AD12" s="554"/>
      <c r="AE12" s="554"/>
      <c r="AF12" s="554"/>
      <c r="AG12" s="554"/>
      <c r="AH12" s="554"/>
      <c r="AI12" s="554"/>
      <c r="AJ12" s="554"/>
      <c r="AK12" s="554"/>
      <c r="AL12" s="554"/>
      <c r="AM12" s="554"/>
      <c r="AN12" s="554"/>
      <c r="AO12" s="554"/>
      <c r="AP12" s="554"/>
      <c r="AQ12" s="554"/>
      <c r="AR12" s="554"/>
      <c r="AS12" s="554"/>
      <c r="AT12" s="554"/>
      <c r="AU12" s="554"/>
      <c r="AV12" s="554"/>
      <c r="AX12" t="b">
        <f t="array" ref="AX12">IF($I12="",TRUE,AND($B12&lt;&gt;"",OR($C12&lt;&gt;"",$C$5&lt;&gt;""),OR($D12&lt;&gt;"",$D$5&lt;&gt;""),OR($E12&lt;&gt;"",$E$5&lt;&gt;""),OR($F12&lt;&gt;"",$F$5&lt;&gt;""),OR($G12&lt;&gt;"",$G$5&lt;&gt;""),OR($H12&lt;&gt;"",$H$5&lt;&gt;""),NOT(ISERROR($M12:$AV12)),NOT(ISNA(MATCH(IF($E12="",$E$5,$E12)&amp;IF($D12="",$D$5,$D12),DeptBU,0)))))</f>
        <v>1</v>
      </c>
      <c r="AZ12" s="255" t="str">
        <f t="shared" si="1"/>
        <v/>
      </c>
    </row>
    <row r="13" spans="1:52" x14ac:dyDescent="0.35">
      <c r="A13" s="286"/>
      <c r="B13" s="554"/>
      <c r="C13" s="554"/>
      <c r="D13" s="554"/>
      <c r="E13" s="554"/>
      <c r="F13" s="554"/>
      <c r="G13" s="554"/>
      <c r="H13" s="554"/>
      <c r="I13" s="554"/>
      <c r="J13" s="554"/>
      <c r="K13" s="554"/>
      <c r="L13" s="617" t="str">
        <f>IF($I13="","",IF(AND(INDEX(Products[product_type_code],MATCH(IF($G13="",$G$5,$G13),Products[product_name],0))="PROD_CLD",INDEX(RevItems[hosting_rev],MATCH($I13,RevItems[rev_item],0))="TRUE"),"Cloud Hosting Revenue",$I13))</f>
        <v/>
      </c>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X13" t="b">
        <f t="array" ref="AX13">IF($I13="",TRUE,AND($B13&lt;&gt;"",OR($C13&lt;&gt;"",$C$5&lt;&gt;""),OR($D13&lt;&gt;"",$D$5&lt;&gt;""),OR($E13&lt;&gt;"",$E$5&lt;&gt;""),OR($F13&lt;&gt;"",$F$5&lt;&gt;""),OR($G13&lt;&gt;"",$G$5&lt;&gt;""),OR($H13&lt;&gt;"",$H$5&lt;&gt;""),NOT(ISERROR($M13:$AV13)),NOT(ISNA(MATCH(IF($E13="",$E$5,$E13)&amp;IF($D13="",$D$5,$D13),DeptBU,0)))))</f>
        <v>1</v>
      </c>
      <c r="AZ13" s="255" t="str">
        <f t="shared" si="1"/>
        <v/>
      </c>
    </row>
    <row r="14" spans="1:52" x14ac:dyDescent="0.35">
      <c r="A14" s="286"/>
      <c r="B14" s="554"/>
      <c r="C14" s="554"/>
      <c r="D14" s="554"/>
      <c r="E14" s="554"/>
      <c r="F14" s="554"/>
      <c r="G14" s="554"/>
      <c r="H14" s="554"/>
      <c r="I14" s="554"/>
      <c r="J14" s="554"/>
      <c r="K14" s="554"/>
      <c r="L14" s="617" t="str">
        <f>IF($I14="","",IF(AND(INDEX(Products[product_type_code],MATCH(IF($G14="",$G$5,$G14),Products[product_name],0))="PROD_CLD",INDEX(RevItems[hosting_rev],MATCH($I14,RevItems[rev_item],0))="TRUE"),"Cloud Hosting Revenue",$I14))</f>
        <v/>
      </c>
      <c r="M14" s="554"/>
      <c r="N14" s="554"/>
      <c r="O14" s="554"/>
      <c r="P14" s="554"/>
      <c r="Q14" s="554"/>
      <c r="R14" s="554"/>
      <c r="S14" s="554"/>
      <c r="T14" s="554"/>
      <c r="U14" s="554"/>
      <c r="V14" s="554"/>
      <c r="W14" s="554"/>
      <c r="X14" s="554"/>
      <c r="Y14" s="554"/>
      <c r="Z14" s="554"/>
      <c r="AA14" s="554"/>
      <c r="AB14" s="554"/>
      <c r="AC14" s="554"/>
      <c r="AD14" s="554"/>
      <c r="AE14" s="554"/>
      <c r="AF14" s="554"/>
      <c r="AG14" s="554"/>
      <c r="AH14" s="554"/>
      <c r="AI14" s="554"/>
      <c r="AJ14" s="554"/>
      <c r="AK14" s="554"/>
      <c r="AL14" s="554"/>
      <c r="AM14" s="554"/>
      <c r="AN14" s="554"/>
      <c r="AO14" s="554"/>
      <c r="AP14" s="554"/>
      <c r="AQ14" s="554"/>
      <c r="AR14" s="554"/>
      <c r="AS14" s="554"/>
      <c r="AT14" s="554"/>
      <c r="AU14" s="554"/>
      <c r="AV14" s="554"/>
      <c r="AX14" t="b">
        <f t="array" ref="AX14">IF($I14="",TRUE,AND($B14&lt;&gt;"",OR($C14&lt;&gt;"",$C$5&lt;&gt;""),OR($D14&lt;&gt;"",$D$5&lt;&gt;""),OR($E14&lt;&gt;"",$E$5&lt;&gt;""),OR($F14&lt;&gt;"",$F$5&lt;&gt;""),OR($G14&lt;&gt;"",$G$5&lt;&gt;""),OR($H14&lt;&gt;"",$H$5&lt;&gt;""),NOT(ISERROR($M14:$AV14)),NOT(ISNA(MATCH(IF($E14="",$E$5,$E14)&amp;IF($D14="",$D$5,$D14),DeptBU,0)))))</f>
        <v>1</v>
      </c>
      <c r="AZ14" s="255" t="str">
        <f t="shared" si="1"/>
        <v/>
      </c>
    </row>
    <row r="15" spans="1:52" x14ac:dyDescent="0.35">
      <c r="A15" s="286"/>
      <c r="B15" s="554"/>
      <c r="C15" s="554"/>
      <c r="D15" s="554"/>
      <c r="E15" s="554"/>
      <c r="F15" s="554"/>
      <c r="G15" s="554"/>
      <c r="H15" s="554"/>
      <c r="I15" s="554"/>
      <c r="J15" s="554"/>
      <c r="K15" s="554"/>
      <c r="L15" s="617" t="str">
        <f>IF($I15="","",IF(AND(INDEX(Products[product_type_code],MATCH(IF($G15="",$G$5,$G15),Products[product_name],0))="PROD_CLD",INDEX(RevItems[hosting_rev],MATCH($I15,RevItems[rev_item],0))="TRUE"),"Cloud Hosting Revenue",$I15))</f>
        <v/>
      </c>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X15" t="b">
        <f t="array" ref="AX15">IF($I15="",TRUE,AND($B15&lt;&gt;"",OR($C15&lt;&gt;"",$C$5&lt;&gt;""),OR($D15&lt;&gt;"",$D$5&lt;&gt;""),OR($E15&lt;&gt;"",$E$5&lt;&gt;""),OR($F15&lt;&gt;"",$F$5&lt;&gt;""),OR($G15&lt;&gt;"",$G$5&lt;&gt;""),OR($H15&lt;&gt;"",$H$5&lt;&gt;""),NOT(ISERROR($M15:$AV15)),NOT(ISNA(MATCH(IF($E15="",$E$5,$E15)&amp;IF($D15="",$D$5,$D15),DeptBU,0)))))</f>
        <v>1</v>
      </c>
      <c r="AZ15" s="255" t="str">
        <f t="shared" si="1"/>
        <v/>
      </c>
    </row>
    <row r="16" spans="1:52" x14ac:dyDescent="0.35">
      <c r="A16" s="286"/>
      <c r="B16" s="554"/>
      <c r="C16" s="554"/>
      <c r="D16" s="554"/>
      <c r="E16" s="554"/>
      <c r="F16" s="554"/>
      <c r="G16" s="554"/>
      <c r="H16" s="554"/>
      <c r="I16" s="554"/>
      <c r="J16" s="554"/>
      <c r="K16" s="554"/>
      <c r="L16" s="617" t="str">
        <f>IF($I16="","",IF(AND(INDEX(Products[product_type_code],MATCH(IF($G16="",$G$5,$G16),Products[product_name],0))="PROD_CLD",INDEX(RevItems[hosting_rev],MATCH($I16,RevItems[rev_item],0))="TRUE"),"Cloud Hosting Revenue",$I16))</f>
        <v/>
      </c>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X16" t="b">
        <f t="array" ref="AX16">IF($I16="",TRUE,AND($B16&lt;&gt;"",OR($C16&lt;&gt;"",$C$5&lt;&gt;""),OR($D16&lt;&gt;"",$D$5&lt;&gt;""),OR($E16&lt;&gt;"",$E$5&lt;&gt;""),OR($F16&lt;&gt;"",$F$5&lt;&gt;""),OR($G16&lt;&gt;"",$G$5&lt;&gt;""),OR($H16&lt;&gt;"",$H$5&lt;&gt;""),NOT(ISERROR($M16:$AV16)),NOT(ISNA(MATCH(IF($E16="",$E$5,$E16)&amp;IF($D16="",$D$5,$D16),DeptBU,0)))))</f>
        <v>1</v>
      </c>
      <c r="AZ16" s="255" t="str">
        <f t="shared" si="1"/>
        <v/>
      </c>
    </row>
    <row r="17" spans="1:52" x14ac:dyDescent="0.35">
      <c r="A17" s="286"/>
      <c r="B17" s="554"/>
      <c r="C17" s="554"/>
      <c r="D17" s="554"/>
      <c r="E17" s="554"/>
      <c r="F17" s="554"/>
      <c r="G17" s="554"/>
      <c r="H17" s="554"/>
      <c r="I17" s="554"/>
      <c r="J17" s="554"/>
      <c r="K17" s="554"/>
      <c r="L17" s="617" t="str">
        <f>IF($I17="","",IF(AND(INDEX(Products[product_type_code],MATCH(IF($G17="",$G$5,$G17),Products[product_name],0))="PROD_CLD",INDEX(RevItems[hosting_rev],MATCH($I17,RevItems[rev_item],0))="TRUE"),"Cloud Hosting Revenue",$I17))</f>
        <v/>
      </c>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X17" t="b">
        <f t="array" ref="AX17">IF($I17="",TRUE,AND($B17&lt;&gt;"",OR($C17&lt;&gt;"",$C$5&lt;&gt;""),OR($D17&lt;&gt;"",$D$5&lt;&gt;""),OR($E17&lt;&gt;"",$E$5&lt;&gt;""),OR($F17&lt;&gt;"",$F$5&lt;&gt;""),OR($G17&lt;&gt;"",$G$5&lt;&gt;""),OR($H17&lt;&gt;"",$H$5&lt;&gt;""),NOT(ISERROR($M17:$AV17)),NOT(ISNA(MATCH(IF($E17="",$E$5,$E17)&amp;IF($D17="",$D$5,$D17),DeptBU,0)))))</f>
        <v>1</v>
      </c>
      <c r="AZ17" s="255" t="str">
        <f t="shared" si="1"/>
        <v/>
      </c>
    </row>
    <row r="18" spans="1:52" x14ac:dyDescent="0.35">
      <c r="A18" s="286"/>
      <c r="B18" s="554"/>
      <c r="C18" s="554"/>
      <c r="D18" s="554"/>
      <c r="E18" s="554"/>
      <c r="F18" s="554"/>
      <c r="G18" s="554"/>
      <c r="H18" s="554"/>
      <c r="I18" s="554"/>
      <c r="J18" s="554"/>
      <c r="K18" s="554"/>
      <c r="L18" s="617" t="str">
        <f>IF($I18="","",IF(AND(INDEX(Products[product_type_code],MATCH(IF($G18="",$G$5,$G18),Products[product_name],0))="PROD_CLD",INDEX(RevItems[hosting_rev],MATCH($I18,RevItems[rev_item],0))="TRUE"),"Cloud Hosting Revenue",$I18))</f>
        <v/>
      </c>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X18" t="b">
        <f t="array" ref="AX18">IF($I18="",TRUE,AND($B18&lt;&gt;"",OR($C18&lt;&gt;"",$C$5&lt;&gt;""),OR($D18&lt;&gt;"",$D$5&lt;&gt;""),OR($E18&lt;&gt;"",$E$5&lt;&gt;""),OR($F18&lt;&gt;"",$F$5&lt;&gt;""),OR($G18&lt;&gt;"",$G$5&lt;&gt;""),OR($H18&lt;&gt;"",$H$5&lt;&gt;""),NOT(ISERROR($M18:$AV18)),NOT(ISNA(MATCH(IF($E18="",$E$5,$E18)&amp;IF($D18="",$D$5,$D18),DeptBU,0)))))</f>
        <v>1</v>
      </c>
      <c r="AZ18" s="255" t="str">
        <f t="shared" si="1"/>
        <v/>
      </c>
    </row>
    <row r="19" spans="1:52" x14ac:dyDescent="0.35">
      <c r="A19" s="286"/>
      <c r="B19" s="554"/>
      <c r="C19" s="554"/>
      <c r="D19" s="554"/>
      <c r="E19" s="554"/>
      <c r="F19" s="554"/>
      <c r="G19" s="554"/>
      <c r="H19" s="554"/>
      <c r="I19" s="554"/>
      <c r="J19" s="554"/>
      <c r="K19" s="554"/>
      <c r="L19" s="617" t="str">
        <f>IF($I19="","",IF(AND(INDEX(Products[product_type_code],MATCH(IF($G19="",$G$5,$G19),Products[product_name],0))="PROD_CLD",INDEX(RevItems[hosting_rev],MATCH($I19,RevItems[rev_item],0))="TRUE"),"Cloud Hosting Revenue",$I19))</f>
        <v/>
      </c>
      <c r="M19" s="554"/>
      <c r="N19" s="554"/>
      <c r="O19" s="554"/>
      <c r="P19" s="554"/>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X19" t="b">
        <f t="array" ref="AX19">IF($I19="",TRUE,AND($B19&lt;&gt;"",OR($C19&lt;&gt;"",$C$5&lt;&gt;""),OR($D19&lt;&gt;"",$D$5&lt;&gt;""),OR($E19&lt;&gt;"",$E$5&lt;&gt;""),OR($F19&lt;&gt;"",$F$5&lt;&gt;""),OR($G19&lt;&gt;"",$G$5&lt;&gt;""),OR($H19&lt;&gt;"",$H$5&lt;&gt;""),NOT(ISERROR($M19:$AV19)),NOT(ISNA(MATCH(IF($E19="",$E$5,$E19)&amp;IF($D19="",$D$5,$D19),DeptBU,0)))))</f>
        <v>1</v>
      </c>
      <c r="AZ19" s="255" t="str">
        <f t="shared" si="1"/>
        <v/>
      </c>
    </row>
    <row r="20" spans="1:52" x14ac:dyDescent="0.35">
      <c r="A20" s="286"/>
      <c r="B20" s="554"/>
      <c r="C20" s="554"/>
      <c r="D20" s="554"/>
      <c r="E20" s="554"/>
      <c r="F20" s="554"/>
      <c r="G20" s="554"/>
      <c r="H20" s="554"/>
      <c r="I20" s="554"/>
      <c r="J20" s="554"/>
      <c r="K20" s="554"/>
      <c r="L20" s="617" t="str">
        <f>IF($I20="","",IF(AND(INDEX(Products[product_type_code],MATCH(IF($G20="",$G$5,$G20),Products[product_name],0))="PROD_CLD",INDEX(RevItems[hosting_rev],MATCH($I20,RevItems[rev_item],0))="TRUE"),"Cloud Hosting Revenue",$I20))</f>
        <v/>
      </c>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X20" t="b">
        <f t="array" ref="AX20">IF($I20="",TRUE,AND($B20&lt;&gt;"",OR($C20&lt;&gt;"",$C$5&lt;&gt;""),OR($D20&lt;&gt;"",$D$5&lt;&gt;""),OR($E20&lt;&gt;"",$E$5&lt;&gt;""),OR($F20&lt;&gt;"",$F$5&lt;&gt;""),OR($G20&lt;&gt;"",$G$5&lt;&gt;""),OR($H20&lt;&gt;"",$H$5&lt;&gt;""),NOT(ISERROR($M20:$AV20)),NOT(ISNA(MATCH(IF($E20="",$E$5,$E20)&amp;IF($D20="",$D$5,$D20),DeptBU,0)))))</f>
        <v>1</v>
      </c>
      <c r="AZ20" s="255" t="str">
        <f t="shared" si="1"/>
        <v/>
      </c>
    </row>
    <row r="21" spans="1:52" x14ac:dyDescent="0.35">
      <c r="A21" s="286"/>
      <c r="B21" s="554"/>
      <c r="C21" s="554"/>
      <c r="D21" s="554"/>
      <c r="E21" s="554"/>
      <c r="F21" s="554"/>
      <c r="G21" s="554"/>
      <c r="H21" s="554"/>
      <c r="I21" s="554"/>
      <c r="J21" s="554"/>
      <c r="K21" s="554"/>
      <c r="L21" s="617" t="str">
        <f>IF($I21="","",IF(AND(INDEX(Products[product_type_code],MATCH(IF($G21="",$G$5,$G21),Products[product_name],0))="PROD_CLD",INDEX(RevItems[hosting_rev],MATCH($I21,RevItems[rev_item],0))="TRUE"),"Cloud Hosting Revenue",$I21))</f>
        <v/>
      </c>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X21" t="b">
        <f t="array" ref="AX21">IF($I21="",TRUE,AND($B21&lt;&gt;"",OR($C21&lt;&gt;"",$C$5&lt;&gt;""),OR($D21&lt;&gt;"",$D$5&lt;&gt;""),OR($E21&lt;&gt;"",$E$5&lt;&gt;""),OR($F21&lt;&gt;"",$F$5&lt;&gt;""),OR($G21&lt;&gt;"",$G$5&lt;&gt;""),OR($H21&lt;&gt;"",$H$5&lt;&gt;""),NOT(ISERROR($M21:$AV21)),NOT(ISNA(MATCH(IF($E21="",$E$5,$E21)&amp;IF($D21="",$D$5,$D21),DeptBU,0)))))</f>
        <v>1</v>
      </c>
      <c r="AZ21" s="255" t="str">
        <f t="shared" si="1"/>
        <v/>
      </c>
    </row>
    <row r="22" spans="1:52" x14ac:dyDescent="0.35">
      <c r="A22" s="286"/>
      <c r="B22" s="554"/>
      <c r="C22" s="554"/>
      <c r="D22" s="554"/>
      <c r="E22" s="554"/>
      <c r="F22" s="554"/>
      <c r="G22" s="554"/>
      <c r="H22" s="554"/>
      <c r="I22" s="554"/>
      <c r="J22" s="554"/>
      <c r="K22" s="554"/>
      <c r="L22" s="617" t="str">
        <f>IF($I22="","",IF(AND(INDEX(Products[product_type_code],MATCH(IF($G22="",$G$5,$G22),Products[product_name],0))="PROD_CLD",INDEX(RevItems[hosting_rev],MATCH($I22,RevItems[rev_item],0))="TRUE"),"Cloud Hosting Revenue",$I22))</f>
        <v/>
      </c>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X22" t="b">
        <f t="array" ref="AX22">IF($I22="",TRUE,AND($B22&lt;&gt;"",OR($C22&lt;&gt;"",$C$5&lt;&gt;""),OR($D22&lt;&gt;"",$D$5&lt;&gt;""),OR($E22&lt;&gt;"",$E$5&lt;&gt;""),OR($F22&lt;&gt;"",$F$5&lt;&gt;""),OR($G22&lt;&gt;"",$G$5&lt;&gt;""),OR($H22&lt;&gt;"",$H$5&lt;&gt;""),NOT(ISERROR($M22:$AV22)),NOT(ISNA(MATCH(IF($E22="",$E$5,$E22)&amp;IF($D22="",$D$5,$D22),DeptBU,0)))))</f>
        <v>1</v>
      </c>
      <c r="AZ22" s="255" t="str">
        <f t="shared" si="1"/>
        <v/>
      </c>
    </row>
    <row r="23" spans="1:52" x14ac:dyDescent="0.35">
      <c r="A23" s="286"/>
      <c r="B23" s="554"/>
      <c r="C23" s="554"/>
      <c r="D23" s="554"/>
      <c r="E23" s="554"/>
      <c r="F23" s="554"/>
      <c r="G23" s="554"/>
      <c r="H23" s="554"/>
      <c r="I23" s="554"/>
      <c r="J23" s="554"/>
      <c r="K23" s="554"/>
      <c r="L23" s="617" t="str">
        <f>IF($I23="","",IF(AND(INDEX(Products[product_type_code],MATCH(IF($G23="",$G$5,$G23),Products[product_name],0))="PROD_CLD",INDEX(RevItems[hosting_rev],MATCH($I23,RevItems[rev_item],0))="TRUE"),"Cloud Hosting Revenue",$I23))</f>
        <v/>
      </c>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X23" t="b">
        <f t="array" ref="AX23">IF($I23="",TRUE,AND($B23&lt;&gt;"",OR($C23&lt;&gt;"",$C$5&lt;&gt;""),OR($D23&lt;&gt;"",$D$5&lt;&gt;""),OR($E23&lt;&gt;"",$E$5&lt;&gt;""),OR($F23&lt;&gt;"",$F$5&lt;&gt;""),OR($G23&lt;&gt;"",$G$5&lt;&gt;""),OR($H23&lt;&gt;"",$H$5&lt;&gt;""),NOT(ISERROR($M23:$AV23)),NOT(ISNA(MATCH(IF($E23="",$E$5,$E23)&amp;IF($D23="",$D$5,$D23),DeptBU,0)))))</f>
        <v>1</v>
      </c>
      <c r="AZ23" s="255" t="str">
        <f t="shared" si="1"/>
        <v/>
      </c>
    </row>
    <row r="24" spans="1:52" x14ac:dyDescent="0.35">
      <c r="A24" s="286"/>
      <c r="B24" s="554"/>
      <c r="C24" s="554"/>
      <c r="D24" s="554"/>
      <c r="E24" s="554"/>
      <c r="F24" s="554"/>
      <c r="G24" s="554"/>
      <c r="H24" s="554"/>
      <c r="I24" s="554"/>
      <c r="J24" s="554"/>
      <c r="K24" s="554"/>
      <c r="L24" s="617" t="str">
        <f>IF($I24="","",IF(AND(INDEX(Products[product_type_code],MATCH(IF($G24="",$G$5,$G24),Products[product_name],0))="PROD_CLD",INDEX(RevItems[hosting_rev],MATCH($I24,RevItems[rev_item],0))="TRUE"),"Cloud Hosting Revenue",$I24))</f>
        <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X24" t="b">
        <f t="array" ref="AX24">IF($I24="",TRUE,AND($B24&lt;&gt;"",OR($C24&lt;&gt;"",$C$5&lt;&gt;""),OR($D24&lt;&gt;"",$D$5&lt;&gt;""),OR($E24&lt;&gt;"",$E$5&lt;&gt;""),OR($F24&lt;&gt;"",$F$5&lt;&gt;""),OR($G24&lt;&gt;"",$G$5&lt;&gt;""),OR($H24&lt;&gt;"",$H$5&lt;&gt;""),NOT(ISERROR($M24:$AV24)),NOT(ISNA(MATCH(IF($E24="",$E$5,$E24)&amp;IF($D24="",$D$5,$D24),DeptBU,0)))))</f>
        <v>1</v>
      </c>
      <c r="AZ24" s="255" t="str">
        <f t="shared" si="1"/>
        <v/>
      </c>
    </row>
    <row r="25" spans="1:52" x14ac:dyDescent="0.35">
      <c r="A25" s="286"/>
      <c r="B25" s="554"/>
      <c r="C25" s="554"/>
      <c r="D25" s="554"/>
      <c r="E25" s="554"/>
      <c r="F25" s="554"/>
      <c r="G25" s="554"/>
      <c r="H25" s="554"/>
      <c r="I25" s="554"/>
      <c r="J25" s="554"/>
      <c r="K25" s="554"/>
      <c r="L25" s="617" t="str">
        <f>IF($I25="","",IF(AND(INDEX(Products[product_type_code],MATCH(IF($G25="",$G$5,$G25),Products[product_name],0))="PROD_CLD",INDEX(RevItems[hosting_rev],MATCH($I25,RevItems[rev_item],0))="TRUE"),"Cloud Hosting Revenue",$I25))</f>
        <v/>
      </c>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X25" t="b">
        <f t="array" ref="AX25">IF($I25="",TRUE,AND($B25&lt;&gt;"",OR($C25&lt;&gt;"",$C$5&lt;&gt;""),OR($D25&lt;&gt;"",$D$5&lt;&gt;""),OR($E25&lt;&gt;"",$E$5&lt;&gt;""),OR($F25&lt;&gt;"",$F$5&lt;&gt;""),OR($G25&lt;&gt;"",$G$5&lt;&gt;""),OR($H25&lt;&gt;"",$H$5&lt;&gt;""),NOT(ISERROR($M25:$AV25)),NOT(ISNA(MATCH(IF($E25="",$E$5,$E25)&amp;IF($D25="",$D$5,$D25),DeptBU,0)))))</f>
        <v>1</v>
      </c>
      <c r="AZ25" s="255" t="str">
        <f t="shared" si="1"/>
        <v/>
      </c>
    </row>
    <row r="26" spans="1:52" x14ac:dyDescent="0.35">
      <c r="A26" s="286"/>
      <c r="B26" s="554"/>
      <c r="C26" s="554"/>
      <c r="D26" s="554"/>
      <c r="E26" s="554"/>
      <c r="F26" s="554"/>
      <c r="G26" s="554"/>
      <c r="H26" s="554"/>
      <c r="I26" s="554"/>
      <c r="J26" s="554"/>
      <c r="K26" s="554"/>
      <c r="L26" s="617" t="str">
        <f>IF($I26="","",IF(AND(INDEX(Products[product_type_code],MATCH(IF($G26="",$G$5,$G26),Products[product_name],0))="PROD_CLD",INDEX(RevItems[hosting_rev],MATCH($I26,RevItems[rev_item],0))="TRUE"),"Cloud Hosting Revenue",$I26))</f>
        <v/>
      </c>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X26" t="b">
        <f t="array" ref="AX26">IF($I26="",TRUE,AND($B26&lt;&gt;"",OR($C26&lt;&gt;"",$C$5&lt;&gt;""),OR($D26&lt;&gt;"",$D$5&lt;&gt;""),OR($E26&lt;&gt;"",$E$5&lt;&gt;""),OR($F26&lt;&gt;"",$F$5&lt;&gt;""),OR($G26&lt;&gt;"",$G$5&lt;&gt;""),OR($H26&lt;&gt;"",$H$5&lt;&gt;""),NOT(ISERROR($M26:$AV26)),NOT(ISNA(MATCH(IF($E26="",$E$5,$E26)&amp;IF($D26="",$D$5,$D26),DeptBU,0)))))</f>
        <v>1</v>
      </c>
      <c r="AZ26" s="255" t="str">
        <f t="shared" si="1"/>
        <v/>
      </c>
    </row>
    <row r="27" spans="1:52" x14ac:dyDescent="0.35">
      <c r="A27" s="286"/>
      <c r="B27" s="554"/>
      <c r="C27" s="554"/>
      <c r="D27" s="554"/>
      <c r="E27" s="554"/>
      <c r="F27" s="554"/>
      <c r="G27" s="554"/>
      <c r="H27" s="554"/>
      <c r="I27" s="554"/>
      <c r="J27" s="554"/>
      <c r="K27" s="554"/>
      <c r="L27" s="617" t="str">
        <f>IF($I27="","",IF(AND(INDEX(Products[product_type_code],MATCH(IF($G27="",$G$5,$G27),Products[product_name],0))="PROD_CLD",INDEX(RevItems[hosting_rev],MATCH($I27,RevItems[rev_item],0))="TRUE"),"Cloud Hosting Revenue",$I27))</f>
        <v/>
      </c>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X27" t="b">
        <f t="array" ref="AX27">IF($I27="",TRUE,AND($B27&lt;&gt;"",OR($C27&lt;&gt;"",$C$5&lt;&gt;""),OR($D27&lt;&gt;"",$D$5&lt;&gt;""),OR($E27&lt;&gt;"",$E$5&lt;&gt;""),OR($F27&lt;&gt;"",$F$5&lt;&gt;""),OR($G27&lt;&gt;"",$G$5&lt;&gt;""),OR($H27&lt;&gt;"",$H$5&lt;&gt;""),NOT(ISERROR($M27:$AV27)),NOT(ISNA(MATCH(IF($E27="",$E$5,$E27)&amp;IF($D27="",$D$5,$D27),DeptBU,0)))))</f>
        <v>1</v>
      </c>
      <c r="AZ27" s="255" t="str">
        <f t="shared" si="1"/>
        <v/>
      </c>
    </row>
    <row r="28" spans="1:52" x14ac:dyDescent="0.35">
      <c r="A28" s="286"/>
      <c r="B28" s="554"/>
      <c r="C28" s="554"/>
      <c r="D28" s="554"/>
      <c r="E28" s="554"/>
      <c r="F28" s="554"/>
      <c r="G28" s="554"/>
      <c r="H28" s="554"/>
      <c r="I28" s="554"/>
      <c r="J28" s="554"/>
      <c r="K28" s="554"/>
      <c r="L28" s="617" t="str">
        <f>IF($I28="","",IF(AND(INDEX(Products[product_type_code],MATCH(IF($G28="",$G$5,$G28),Products[product_name],0))="PROD_CLD",INDEX(RevItems[hosting_rev],MATCH($I28,RevItems[rev_item],0))="TRUE"),"Cloud Hosting Revenue",$I28))</f>
        <v/>
      </c>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X28" t="b">
        <f t="array" ref="AX28">IF($I28="",TRUE,AND($B28&lt;&gt;"",OR($C28&lt;&gt;"",$C$5&lt;&gt;""),OR($D28&lt;&gt;"",$D$5&lt;&gt;""),OR($E28&lt;&gt;"",$E$5&lt;&gt;""),OR($F28&lt;&gt;"",$F$5&lt;&gt;""),OR($G28&lt;&gt;"",$G$5&lt;&gt;""),OR($H28&lt;&gt;"",$H$5&lt;&gt;""),NOT(ISERROR($M28:$AV28)),NOT(ISNA(MATCH(IF($E28="",$E$5,$E28)&amp;IF($D28="",$D$5,$D28),DeptBU,0)))))</f>
        <v>1</v>
      </c>
      <c r="AZ28" s="255" t="str">
        <f t="shared" si="1"/>
        <v/>
      </c>
    </row>
    <row r="29" spans="1:52" x14ac:dyDescent="0.35">
      <c r="A29" s="286"/>
      <c r="B29" s="554"/>
      <c r="C29" s="554"/>
      <c r="D29" s="554"/>
      <c r="E29" s="554"/>
      <c r="F29" s="554"/>
      <c r="G29" s="554"/>
      <c r="H29" s="554"/>
      <c r="I29" s="554"/>
      <c r="J29" s="554"/>
      <c r="K29" s="554"/>
      <c r="L29" s="617" t="str">
        <f>IF($I29="","",IF(AND(INDEX(Products[product_type_code],MATCH(IF($G29="",$G$5,$G29),Products[product_name],0))="PROD_CLD",INDEX(RevItems[hosting_rev],MATCH($I29,RevItems[rev_item],0))="TRUE"),"Cloud Hosting Revenue",$I29))</f>
        <v/>
      </c>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X29" t="b">
        <f t="array" ref="AX29">IF($I29="",TRUE,AND($B29&lt;&gt;"",OR($C29&lt;&gt;"",$C$5&lt;&gt;""),OR($D29&lt;&gt;"",$D$5&lt;&gt;""),OR($E29&lt;&gt;"",$E$5&lt;&gt;""),OR($F29&lt;&gt;"",$F$5&lt;&gt;""),OR($G29&lt;&gt;"",$G$5&lt;&gt;""),OR($H29&lt;&gt;"",$H$5&lt;&gt;""),NOT(ISERROR($M29:$AV29)),NOT(ISNA(MATCH(IF($E29="",$E$5,$E29)&amp;IF($D29="",$D$5,$D29),DeptBU,0)))))</f>
        <v>1</v>
      </c>
      <c r="AZ29" s="255" t="str">
        <f t="shared" si="1"/>
        <v/>
      </c>
    </row>
    <row r="30" spans="1:52" x14ac:dyDescent="0.35">
      <c r="A30" s="286"/>
      <c r="B30" s="554"/>
      <c r="C30" s="554"/>
      <c r="D30" s="554"/>
      <c r="E30" s="554"/>
      <c r="F30" s="554"/>
      <c r="G30" s="554"/>
      <c r="H30" s="554"/>
      <c r="I30" s="554"/>
      <c r="J30" s="554"/>
      <c r="K30" s="554"/>
      <c r="L30" s="617" t="str">
        <f>IF($I30="","",IF(AND(INDEX(Products[product_type_code],MATCH(IF($G30="",$G$5,$G30),Products[product_name],0))="PROD_CLD",INDEX(RevItems[hosting_rev],MATCH($I30,RevItems[rev_item],0))="TRUE"),"Cloud Hosting Revenue",$I30))</f>
        <v/>
      </c>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X30" t="b">
        <f t="array" ref="AX30">IF($I30="",TRUE,AND($B30&lt;&gt;"",OR($C30&lt;&gt;"",$C$5&lt;&gt;""),OR($D30&lt;&gt;"",$D$5&lt;&gt;""),OR($E30&lt;&gt;"",$E$5&lt;&gt;""),OR($F30&lt;&gt;"",$F$5&lt;&gt;""),OR($G30&lt;&gt;"",$G$5&lt;&gt;""),OR($H30&lt;&gt;"",$H$5&lt;&gt;""),NOT(ISERROR($M30:$AV30)),NOT(ISNA(MATCH(IF($E30="",$E$5,$E30)&amp;IF($D30="",$D$5,$D30),DeptBU,0)))))</f>
        <v>1</v>
      </c>
      <c r="AZ30" s="255" t="str">
        <f t="shared" si="1"/>
        <v/>
      </c>
    </row>
    <row r="31" spans="1:52" x14ac:dyDescent="0.35">
      <c r="A31" s="286"/>
      <c r="B31" s="554"/>
      <c r="C31" s="554"/>
      <c r="D31" s="554"/>
      <c r="E31" s="554"/>
      <c r="F31" s="554"/>
      <c r="G31" s="554"/>
      <c r="H31" s="554"/>
      <c r="I31" s="554"/>
      <c r="J31" s="554"/>
      <c r="K31" s="554"/>
      <c r="L31" s="617" t="str">
        <f>IF($I31="","",IF(AND(INDEX(Products[product_type_code],MATCH(IF($G31="",$G$5,$G31),Products[product_name],0))="PROD_CLD",INDEX(RevItems[hosting_rev],MATCH($I31,RevItems[rev_item],0))="TRUE"),"Cloud Hosting Revenue",$I31))</f>
        <v/>
      </c>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X31" t="b">
        <f t="array" ref="AX31">IF($I31="",TRUE,AND($B31&lt;&gt;"",OR($C31&lt;&gt;"",$C$5&lt;&gt;""),OR($D31&lt;&gt;"",$D$5&lt;&gt;""),OR($E31&lt;&gt;"",$E$5&lt;&gt;""),OR($F31&lt;&gt;"",$F$5&lt;&gt;""),OR($G31&lt;&gt;"",$G$5&lt;&gt;""),OR($H31&lt;&gt;"",$H$5&lt;&gt;""),NOT(ISERROR($M31:$AV31)),NOT(ISNA(MATCH(IF($E31="",$E$5,$E31)&amp;IF($D31="",$D$5,$D31),DeptBU,0)))))</f>
        <v>1</v>
      </c>
      <c r="AZ31" s="255" t="str">
        <f t="shared" si="1"/>
        <v/>
      </c>
    </row>
    <row r="32" spans="1:52" x14ac:dyDescent="0.35">
      <c r="A32" s="286"/>
      <c r="B32" s="554"/>
      <c r="C32" s="554"/>
      <c r="D32" s="554"/>
      <c r="E32" s="554"/>
      <c r="F32" s="554"/>
      <c r="G32" s="554"/>
      <c r="H32" s="554"/>
      <c r="I32" s="554"/>
      <c r="J32" s="554"/>
      <c r="K32" s="554"/>
      <c r="L32" s="617" t="str">
        <f>IF($I32="","",IF(AND(INDEX(Products[product_type_code],MATCH(IF($G32="",$G$5,$G32),Products[product_name],0))="PROD_CLD",INDEX(RevItems[hosting_rev],MATCH($I32,RevItems[rev_item],0))="TRUE"),"Cloud Hosting Revenue",$I32))</f>
        <v/>
      </c>
      <c r="M32" s="554"/>
      <c r="N32" s="554"/>
      <c r="O32" s="554"/>
      <c r="P32" s="554"/>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c r="AU32" s="554"/>
      <c r="AV32" s="554"/>
      <c r="AX32" t="b">
        <f t="array" ref="AX32">IF($I32="",TRUE,AND($B32&lt;&gt;"",OR($C32&lt;&gt;"",$C$5&lt;&gt;""),OR($D32&lt;&gt;"",$D$5&lt;&gt;""),OR($E32&lt;&gt;"",$E$5&lt;&gt;""),OR($F32&lt;&gt;"",$F$5&lt;&gt;""),OR($G32&lt;&gt;"",$G$5&lt;&gt;""),OR($H32&lt;&gt;"",$H$5&lt;&gt;""),NOT(ISERROR($M32:$AV32)),NOT(ISNA(MATCH(IF($E32="",$E$5,$E32)&amp;IF($D32="",$D$5,$D32),DeptBU,0)))))</f>
        <v>1</v>
      </c>
      <c r="AZ32" s="255" t="str">
        <f t="shared" si="1"/>
        <v/>
      </c>
    </row>
    <row r="33" spans="1:52" x14ac:dyDescent="0.35">
      <c r="A33" s="286"/>
      <c r="B33" s="554"/>
      <c r="C33" s="554"/>
      <c r="D33" s="554"/>
      <c r="E33" s="554"/>
      <c r="F33" s="554"/>
      <c r="G33" s="554"/>
      <c r="H33" s="554"/>
      <c r="I33" s="554"/>
      <c r="J33" s="554"/>
      <c r="K33" s="554"/>
      <c r="L33" s="617" t="str">
        <f>IF($I33="","",IF(AND(INDEX(Products[product_type_code],MATCH(IF($G33="",$G$5,$G33),Products[product_name],0))="PROD_CLD",INDEX(RevItems[hosting_rev],MATCH($I33,RevItems[rev_item],0))="TRUE"),"Cloud Hosting Revenue",$I33))</f>
        <v/>
      </c>
      <c r="M33" s="554"/>
      <c r="N33" s="554"/>
      <c r="O33" s="554"/>
      <c r="P33" s="554"/>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c r="AU33" s="554"/>
      <c r="AV33" s="554"/>
      <c r="AX33" t="b">
        <f t="array" ref="AX33">IF($I33="",TRUE,AND($B33&lt;&gt;"",OR($C33&lt;&gt;"",$C$5&lt;&gt;""),OR($D33&lt;&gt;"",$D$5&lt;&gt;""),OR($E33&lt;&gt;"",$E$5&lt;&gt;""),OR($F33&lt;&gt;"",$F$5&lt;&gt;""),OR($G33&lt;&gt;"",$G$5&lt;&gt;""),OR($H33&lt;&gt;"",$H$5&lt;&gt;""),NOT(ISERROR($M33:$AV33)),NOT(ISNA(MATCH(IF($E33="",$E$5,$E33)&amp;IF($D33="",$D$5,$D33),DeptBU,0)))))</f>
        <v>1</v>
      </c>
      <c r="AZ33" s="255" t="str">
        <f t="shared" si="1"/>
        <v/>
      </c>
    </row>
    <row r="34" spans="1:52" x14ac:dyDescent="0.35">
      <c r="A34" s="286"/>
      <c r="B34" s="554"/>
      <c r="C34" s="554"/>
      <c r="D34" s="554"/>
      <c r="E34" s="554"/>
      <c r="F34" s="554"/>
      <c r="G34" s="554"/>
      <c r="H34" s="554"/>
      <c r="I34" s="554"/>
      <c r="J34" s="554"/>
      <c r="K34" s="554"/>
      <c r="L34" s="617" t="str">
        <f>IF($I34="","",IF(AND(INDEX(Products[product_type_code],MATCH(IF($G34="",$G$5,$G34),Products[product_name],0))="PROD_CLD",INDEX(RevItems[hosting_rev],MATCH($I34,RevItems[rev_item],0))="TRUE"),"Cloud Hosting Revenue",$I34))</f>
        <v/>
      </c>
      <c r="M34" s="554"/>
      <c r="N34" s="554"/>
      <c r="O34" s="554"/>
      <c r="P34" s="554"/>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c r="AU34" s="554"/>
      <c r="AV34" s="554"/>
      <c r="AX34" t="b">
        <f t="array" ref="AX34">IF($I34="",TRUE,AND($B34&lt;&gt;"",OR($C34&lt;&gt;"",$C$5&lt;&gt;""),OR($D34&lt;&gt;"",$D$5&lt;&gt;""),OR($E34&lt;&gt;"",$E$5&lt;&gt;""),OR($F34&lt;&gt;"",$F$5&lt;&gt;""),OR($G34&lt;&gt;"",$G$5&lt;&gt;""),OR($H34&lt;&gt;"",$H$5&lt;&gt;""),NOT(ISERROR($M34:$AV34)),NOT(ISNA(MATCH(IF($E34="",$E$5,$E34)&amp;IF($D34="",$D$5,$D34),DeptBU,0)))))</f>
        <v>1</v>
      </c>
      <c r="AZ34" s="255" t="str">
        <f t="shared" si="1"/>
        <v/>
      </c>
    </row>
    <row r="35" spans="1:52" x14ac:dyDescent="0.35">
      <c r="A35" s="286"/>
      <c r="B35" s="554"/>
      <c r="C35" s="554"/>
      <c r="D35" s="554"/>
      <c r="E35" s="554"/>
      <c r="F35" s="554"/>
      <c r="G35" s="554"/>
      <c r="H35" s="554"/>
      <c r="I35" s="554"/>
      <c r="J35" s="554"/>
      <c r="K35" s="554"/>
      <c r="L35" s="617" t="str">
        <f>IF($I35="","",IF(AND(INDEX(Products[product_type_code],MATCH(IF($G35="",$G$5,$G35),Products[product_name],0))="PROD_CLD",INDEX(RevItems[hosting_rev],MATCH($I35,RevItems[rev_item],0))="TRUE"),"Cloud Hosting Revenue",$I35))</f>
        <v/>
      </c>
      <c r="M35" s="554"/>
      <c r="N35" s="554"/>
      <c r="O35" s="554"/>
      <c r="P35" s="554"/>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c r="AU35" s="554"/>
      <c r="AV35" s="554"/>
      <c r="AX35" t="b">
        <f t="array" ref="AX35">IF($I35="",TRUE,AND($B35&lt;&gt;"",OR($C35&lt;&gt;"",$C$5&lt;&gt;""),OR($D35&lt;&gt;"",$D$5&lt;&gt;""),OR($E35&lt;&gt;"",$E$5&lt;&gt;""),OR($F35&lt;&gt;"",$F$5&lt;&gt;""),OR($G35&lt;&gt;"",$G$5&lt;&gt;""),OR($H35&lt;&gt;"",$H$5&lt;&gt;""),NOT(ISERROR($M35:$AV35)),NOT(ISNA(MATCH(IF($E35="",$E$5,$E35)&amp;IF($D35="",$D$5,$D35),DeptBU,0)))))</f>
        <v>1</v>
      </c>
      <c r="AZ35" s="255" t="str">
        <f t="shared" si="1"/>
        <v/>
      </c>
    </row>
    <row r="36" spans="1:52" x14ac:dyDescent="0.35">
      <c r="A36" s="286"/>
      <c r="B36" s="554"/>
      <c r="C36" s="554"/>
      <c r="D36" s="554"/>
      <c r="E36" s="554"/>
      <c r="F36" s="554"/>
      <c r="G36" s="554"/>
      <c r="H36" s="554"/>
      <c r="I36" s="554"/>
      <c r="J36" s="554"/>
      <c r="K36" s="554"/>
      <c r="L36" s="617" t="str">
        <f>IF($I36="","",IF(AND(INDEX(Products[product_type_code],MATCH(IF($G36="",$G$5,$G36),Products[product_name],0))="PROD_CLD",INDEX(RevItems[hosting_rev],MATCH($I36,RevItems[rev_item],0))="TRUE"),"Cloud Hosting Revenue",$I36))</f>
        <v/>
      </c>
      <c r="M36" s="554"/>
      <c r="N36" s="554"/>
      <c r="O36" s="554"/>
      <c r="P36" s="554"/>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c r="AU36" s="554"/>
      <c r="AV36" s="554"/>
      <c r="AX36" t="b">
        <f t="array" ref="AX36">IF($I36="",TRUE,AND($B36&lt;&gt;"",OR($C36&lt;&gt;"",$C$5&lt;&gt;""),OR($D36&lt;&gt;"",$D$5&lt;&gt;""),OR($E36&lt;&gt;"",$E$5&lt;&gt;""),OR($F36&lt;&gt;"",$F$5&lt;&gt;""),OR($G36&lt;&gt;"",$G$5&lt;&gt;""),OR($H36&lt;&gt;"",$H$5&lt;&gt;""),NOT(ISERROR($M36:$AV36)),NOT(ISNA(MATCH(IF($E36="",$E$5,$E36)&amp;IF($D36="",$D$5,$D36),DeptBU,0)))))</f>
        <v>1</v>
      </c>
      <c r="AZ36" s="255" t="str">
        <f t="shared" si="1"/>
        <v/>
      </c>
    </row>
    <row r="37" spans="1:52" x14ac:dyDescent="0.35">
      <c r="A37" s="286"/>
      <c r="B37" s="554"/>
      <c r="C37" s="554"/>
      <c r="D37" s="554"/>
      <c r="E37" s="554"/>
      <c r="F37" s="554"/>
      <c r="G37" s="554"/>
      <c r="H37" s="554"/>
      <c r="I37" s="554"/>
      <c r="J37" s="554"/>
      <c r="K37" s="554"/>
      <c r="L37" s="617" t="str">
        <f>IF($I37="","",IF(AND(INDEX(Products[product_type_code],MATCH(IF($G37="",$G$5,$G37),Products[product_name],0))="PROD_CLD",INDEX(RevItems[hosting_rev],MATCH($I37,RevItems[rev_item],0))="TRUE"),"Cloud Hosting Revenue",$I37))</f>
        <v/>
      </c>
      <c r="M37" s="554"/>
      <c r="N37" s="554"/>
      <c r="O37" s="554"/>
      <c r="P37" s="554"/>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c r="AU37" s="554"/>
      <c r="AV37" s="554"/>
      <c r="AX37" t="b">
        <f t="array" ref="AX37">IF($I37="",TRUE,AND($B37&lt;&gt;"",OR($C37&lt;&gt;"",$C$5&lt;&gt;""),OR($D37&lt;&gt;"",$D$5&lt;&gt;""),OR($E37&lt;&gt;"",$E$5&lt;&gt;""),OR($F37&lt;&gt;"",$F$5&lt;&gt;""),OR($G37&lt;&gt;"",$G$5&lt;&gt;""),OR($H37&lt;&gt;"",$H$5&lt;&gt;""),NOT(ISERROR($M37:$AV37)),NOT(ISNA(MATCH(IF($E37="",$E$5,$E37)&amp;IF($D37="",$D$5,$D37),DeptBU,0)))))</f>
        <v>1</v>
      </c>
      <c r="AZ37" s="255" t="str">
        <f t="shared" si="1"/>
        <v/>
      </c>
    </row>
    <row r="38" spans="1:52" x14ac:dyDescent="0.35">
      <c r="A38" s="286"/>
      <c r="B38" s="554"/>
      <c r="C38" s="554"/>
      <c r="D38" s="554"/>
      <c r="E38" s="554"/>
      <c r="F38" s="554"/>
      <c r="G38" s="554"/>
      <c r="H38" s="554"/>
      <c r="I38" s="554"/>
      <c r="J38" s="554"/>
      <c r="K38" s="554"/>
      <c r="L38" s="617" t="str">
        <f>IF($I38="","",IF(AND(INDEX(Products[product_type_code],MATCH(IF($G38="",$G$5,$G38),Products[product_name],0))="PROD_CLD",INDEX(RevItems[hosting_rev],MATCH($I38,RevItems[rev_item],0))="TRUE"),"Cloud Hosting Revenue",$I38))</f>
        <v/>
      </c>
      <c r="M38" s="554"/>
      <c r="N38" s="554"/>
      <c r="O38" s="554"/>
      <c r="P38" s="554"/>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c r="AU38" s="554"/>
      <c r="AV38" s="554"/>
      <c r="AX38" t="b">
        <f t="array" ref="AX38">IF($I38="",TRUE,AND($B38&lt;&gt;"",OR($C38&lt;&gt;"",$C$5&lt;&gt;""),OR($D38&lt;&gt;"",$D$5&lt;&gt;""),OR($E38&lt;&gt;"",$E$5&lt;&gt;""),OR($F38&lt;&gt;"",$F$5&lt;&gt;""),OR($G38&lt;&gt;"",$G$5&lt;&gt;""),OR($H38&lt;&gt;"",$H$5&lt;&gt;""),NOT(ISERROR($M38:$AV38)),NOT(ISNA(MATCH(IF($E38="",$E$5,$E38)&amp;IF($D38="",$D$5,$D38),DeptBU,0)))))</f>
        <v>1</v>
      </c>
      <c r="AZ38" s="255" t="str">
        <f t="shared" si="1"/>
        <v/>
      </c>
    </row>
    <row r="39" spans="1:52" x14ac:dyDescent="0.35">
      <c r="A39" s="286"/>
      <c r="B39" s="554"/>
      <c r="C39" s="554"/>
      <c r="D39" s="554"/>
      <c r="E39" s="554"/>
      <c r="F39" s="554"/>
      <c r="G39" s="554"/>
      <c r="H39" s="554"/>
      <c r="I39" s="554"/>
      <c r="J39" s="554"/>
      <c r="K39" s="554"/>
      <c r="L39" s="617" t="str">
        <f>IF($I39="","",IF(AND(INDEX(Products[product_type_code],MATCH(IF($G39="",$G$5,$G39),Products[product_name],0))="PROD_CLD",INDEX(RevItems[hosting_rev],MATCH($I39,RevItems[rev_item],0))="TRUE"),"Cloud Hosting Revenue",$I39))</f>
        <v/>
      </c>
      <c r="M39" s="554"/>
      <c r="N39" s="554"/>
      <c r="O39" s="554"/>
      <c r="P39" s="554"/>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c r="AU39" s="554"/>
      <c r="AV39" s="554"/>
      <c r="AX39" t="b">
        <f t="array" ref="AX39">IF($I39="",TRUE,AND($B39&lt;&gt;"",OR($C39&lt;&gt;"",$C$5&lt;&gt;""),OR($D39&lt;&gt;"",$D$5&lt;&gt;""),OR($E39&lt;&gt;"",$E$5&lt;&gt;""),OR($F39&lt;&gt;"",$F$5&lt;&gt;""),OR($G39&lt;&gt;"",$G$5&lt;&gt;""),OR($H39&lt;&gt;"",$H$5&lt;&gt;""),NOT(ISERROR($M39:$AV39)),NOT(ISNA(MATCH(IF($E39="",$E$5,$E39)&amp;IF($D39="",$D$5,$D39),DeptBU,0)))))</f>
        <v>1</v>
      </c>
      <c r="AZ39" s="255" t="str">
        <f t="shared" ref="AZ39:AZ57" si="2">IF($I39="","",SUBSTITUTE("SELECT 'Revenue','Revenue',"&amp;ROW()&amp;",'"&amp;Forecast_Currency&amp;"',NULL,'"&amp;SUBSTITUTE($B39,"'","''")&amp;"','"&amp;SUBSTITUTE(IF($C39="",$C$5,$C39),"'","''")&amp;"','"&amp;SUBSTITUTE(IF($D39="",$D$5,$D39),"'","''")&amp;"','"&amp;SUBSTITUTE(IF($E39="",$E$5,$E39),"'","''")&amp;"','"&amp;SUBSTITUTE(IF($F39="",$F$5,$F39),"'","''")&amp;"','"&amp;SUBSTITUTE(IF($G39="",$G$5,$G39),"'","''")&amp;"','"&amp;SUBSTITUTE(IF($H39="",$H$5,$H39),"'","''")&amp;"','"&amp;SUBSTITUTE($I39,"'","''")&amp;"',"&amp;IF($J39="","NULL","'"&amp;SUBSTITUTE($J39,"'","''")&amp;"'")&amp;","&amp;IF($K39="","NULL","'"&amp;SUBSTITUTE($K39,"'","''")&amp;"'")&amp;",NULL,NULL,"&amp;IF($M39="","NULL",$M39)&amp;","&amp;IF($N39="","NULL",$N39)&amp;","&amp;IF($O39="","NULL",$O39)&amp;","&amp;IF($P39="","NULL",$P39)&amp;","&amp;IF($Q39="","NULL",$Q39)&amp;","&amp;IF($R39="","NULL",$R39)&amp;","&amp;IF($S39="","NULL",$S39)&amp;","&amp;IF($T39="","NULL",$T39)&amp;","&amp;IF($U39="","NULL",$U39)&amp;","&amp;IF($V39="","NULL",$V39)&amp;","&amp;IF($W39="","NULL",$W39)&amp;","&amp;IF($X39="","NULL",$X39)&amp;","&amp;IF($Y39="","NULL",$Y39)&amp;","&amp;IF($Z39="","NULL",$Z39)&amp;","&amp;IF($AA39="","NULL",$AA39)&amp;","&amp;IF($AB39="","NULL",$AB39)&amp;","&amp;IF($AC39="","NULL",$AC39)&amp;","&amp;IF($AD39="","NULL",$AD39)&amp;","&amp;IF($AE39="","NULL",$AE39)&amp;","&amp;IF($AF39="","NULL",$AF39)&amp;","&amp;IF($AG39="","NULL",$AG39)&amp;","&amp;IF($AH39="","NULL",$AH39)&amp;","&amp;IF($AI39="","NULL",$AI39)&amp;","&amp;IF($AJ39="","NULL",$AJ39)&amp;","&amp;IF($AK39="","NULL",$AK39)&amp;","&amp;IF($AL39="","NULL",$AL39)&amp;","&amp;IF($AM39="","NULL",$AM39)&amp;","&amp;IF($AN39="","NULL",$AN39)&amp;","&amp;IF($AO39="","NULL",$AO39)&amp;","&amp;IF($AP39="","NULL",$AP39)&amp;","&amp;IF($AQ39="","NULL",$AQ39)&amp;","&amp;IF($AR39="","NULL",$AR39)&amp;","&amp;IF($AS39="","NULL",$AS39)&amp;","&amp;IF($AT39="","NULL",$AT39)&amp;","&amp;IF($AU39="","NULL",$AU39)&amp;","&amp;IF($AV39="","NULL",$AV39),"'","''"))</f>
        <v/>
      </c>
    </row>
    <row r="40" spans="1:52" x14ac:dyDescent="0.35">
      <c r="A40" s="286"/>
      <c r="B40" s="554"/>
      <c r="C40" s="554"/>
      <c r="D40" s="554"/>
      <c r="E40" s="554"/>
      <c r="F40" s="554"/>
      <c r="G40" s="554"/>
      <c r="H40" s="554"/>
      <c r="I40" s="554"/>
      <c r="J40" s="554"/>
      <c r="K40" s="554"/>
      <c r="L40" s="617" t="str">
        <f>IF($I40="","",IF(AND(INDEX(Products[product_type_code],MATCH(IF($G40="",$G$5,$G40),Products[product_name],0))="PROD_CLD",INDEX(RevItems[hosting_rev],MATCH($I40,RevItems[rev_item],0))="TRUE"),"Cloud Hosting Revenue",$I40))</f>
        <v/>
      </c>
      <c r="M40" s="554"/>
      <c r="N40" s="554"/>
      <c r="O40" s="554"/>
      <c r="P40" s="554"/>
      <c r="Q40" s="554"/>
      <c r="R40" s="554"/>
      <c r="S40" s="554"/>
      <c r="T40" s="554"/>
      <c r="U40" s="554"/>
      <c r="V40" s="554"/>
      <c r="W40" s="554"/>
      <c r="X40" s="554"/>
      <c r="Y40" s="554"/>
      <c r="Z40" s="554"/>
      <c r="AA40" s="554"/>
      <c r="AB40" s="554"/>
      <c r="AC40" s="554"/>
      <c r="AD40" s="554"/>
      <c r="AE40" s="554"/>
      <c r="AF40" s="554"/>
      <c r="AG40" s="554"/>
      <c r="AH40" s="554"/>
      <c r="AI40" s="554"/>
      <c r="AJ40" s="554"/>
      <c r="AK40" s="554"/>
      <c r="AL40" s="554"/>
      <c r="AM40" s="554"/>
      <c r="AN40" s="554"/>
      <c r="AO40" s="554"/>
      <c r="AP40" s="554"/>
      <c r="AQ40" s="554"/>
      <c r="AR40" s="554"/>
      <c r="AS40" s="554"/>
      <c r="AT40" s="554"/>
      <c r="AU40" s="554"/>
      <c r="AV40" s="554"/>
      <c r="AX40" t="b">
        <f t="array" ref="AX40">IF($I40="",TRUE,AND($B40&lt;&gt;"",OR($C40&lt;&gt;"",$C$5&lt;&gt;""),OR($D40&lt;&gt;"",$D$5&lt;&gt;""),OR($E40&lt;&gt;"",$E$5&lt;&gt;""),OR($F40&lt;&gt;"",$F$5&lt;&gt;""),OR($G40&lt;&gt;"",$G$5&lt;&gt;""),OR($H40&lt;&gt;"",$H$5&lt;&gt;""),NOT(ISERROR($M40:$AV40)),NOT(ISNA(MATCH(IF($E40="",$E$5,$E40)&amp;IF($D40="",$D$5,$D40),DeptBU,0)))))</f>
        <v>1</v>
      </c>
      <c r="AZ40" s="255" t="str">
        <f t="shared" si="2"/>
        <v/>
      </c>
    </row>
    <row r="41" spans="1:52" x14ac:dyDescent="0.35">
      <c r="A41" s="286"/>
      <c r="B41" s="554"/>
      <c r="C41" s="554"/>
      <c r="D41" s="554"/>
      <c r="E41" s="554"/>
      <c r="F41" s="554"/>
      <c r="G41" s="554"/>
      <c r="H41" s="554"/>
      <c r="I41" s="554"/>
      <c r="J41" s="554"/>
      <c r="K41" s="554"/>
      <c r="L41" s="617" t="str">
        <f>IF($I41="","",IF(AND(INDEX(Products[product_type_code],MATCH(IF($G41="",$G$5,$G41),Products[product_name],0))="PROD_CLD",INDEX(RevItems[hosting_rev],MATCH($I41,RevItems[rev_item],0))="TRUE"),"Cloud Hosting Revenue",$I41))</f>
        <v/>
      </c>
      <c r="M41" s="554"/>
      <c r="N41" s="554"/>
      <c r="O41" s="554"/>
      <c r="P41" s="554"/>
      <c r="Q41" s="554"/>
      <c r="R41" s="554"/>
      <c r="S41" s="554"/>
      <c r="T41" s="554"/>
      <c r="U41" s="554"/>
      <c r="V41" s="554"/>
      <c r="W41" s="554"/>
      <c r="X41" s="554"/>
      <c r="Y41" s="554"/>
      <c r="Z41" s="554"/>
      <c r="AA41" s="554"/>
      <c r="AB41" s="554"/>
      <c r="AC41" s="554"/>
      <c r="AD41" s="554"/>
      <c r="AE41" s="554"/>
      <c r="AF41" s="554"/>
      <c r="AG41" s="554"/>
      <c r="AH41" s="554"/>
      <c r="AI41" s="554"/>
      <c r="AJ41" s="554"/>
      <c r="AK41" s="554"/>
      <c r="AL41" s="554"/>
      <c r="AM41" s="554"/>
      <c r="AN41" s="554"/>
      <c r="AO41" s="554"/>
      <c r="AP41" s="554"/>
      <c r="AQ41" s="554"/>
      <c r="AR41" s="554"/>
      <c r="AS41" s="554"/>
      <c r="AT41" s="554"/>
      <c r="AU41" s="554"/>
      <c r="AV41" s="554"/>
      <c r="AX41" t="b">
        <f t="array" ref="AX41">IF($I41="",TRUE,AND($B41&lt;&gt;"",OR($C41&lt;&gt;"",$C$5&lt;&gt;""),OR($D41&lt;&gt;"",$D$5&lt;&gt;""),OR($E41&lt;&gt;"",$E$5&lt;&gt;""),OR($F41&lt;&gt;"",$F$5&lt;&gt;""),OR($G41&lt;&gt;"",$G$5&lt;&gt;""),OR($H41&lt;&gt;"",$H$5&lt;&gt;""),NOT(ISERROR($M41:$AV41)),NOT(ISNA(MATCH(IF($E41="",$E$5,$E41)&amp;IF($D41="",$D$5,$D41),DeptBU,0)))))</f>
        <v>1</v>
      </c>
      <c r="AZ41" s="255" t="str">
        <f t="shared" si="2"/>
        <v/>
      </c>
    </row>
    <row r="42" spans="1:52" x14ac:dyDescent="0.35">
      <c r="A42" s="286"/>
      <c r="B42" s="554"/>
      <c r="C42" s="554"/>
      <c r="D42" s="554"/>
      <c r="E42" s="554"/>
      <c r="F42" s="554"/>
      <c r="G42" s="554"/>
      <c r="H42" s="554"/>
      <c r="I42" s="554"/>
      <c r="J42" s="554"/>
      <c r="K42" s="554"/>
      <c r="L42" s="617" t="str">
        <f>IF($I42="","",IF(AND(INDEX(Products[product_type_code],MATCH(IF($G42="",$G$5,$G42),Products[product_name],0))="PROD_CLD",INDEX(RevItems[hosting_rev],MATCH($I42,RevItems[rev_item],0))="TRUE"),"Cloud Hosting Revenue",$I42))</f>
        <v/>
      </c>
      <c r="M42" s="554"/>
      <c r="N42" s="554"/>
      <c r="O42" s="554"/>
      <c r="P42" s="554"/>
      <c r="Q42" s="554"/>
      <c r="R42" s="554"/>
      <c r="S42" s="554"/>
      <c r="T42" s="554"/>
      <c r="U42" s="554"/>
      <c r="V42" s="554"/>
      <c r="W42" s="554"/>
      <c r="X42" s="554"/>
      <c r="Y42" s="554"/>
      <c r="Z42" s="554"/>
      <c r="AA42" s="554"/>
      <c r="AB42" s="554"/>
      <c r="AC42" s="554"/>
      <c r="AD42" s="554"/>
      <c r="AE42" s="554"/>
      <c r="AF42" s="554"/>
      <c r="AG42" s="554"/>
      <c r="AH42" s="554"/>
      <c r="AI42" s="554"/>
      <c r="AJ42" s="554"/>
      <c r="AK42" s="554"/>
      <c r="AL42" s="554"/>
      <c r="AM42" s="554"/>
      <c r="AN42" s="554"/>
      <c r="AO42" s="554"/>
      <c r="AP42" s="554"/>
      <c r="AQ42" s="554"/>
      <c r="AR42" s="554"/>
      <c r="AS42" s="554"/>
      <c r="AT42" s="554"/>
      <c r="AU42" s="554"/>
      <c r="AV42" s="554"/>
      <c r="AX42" t="b">
        <f t="array" ref="AX42">IF($I42="",TRUE,AND($B42&lt;&gt;"",OR($C42&lt;&gt;"",$C$5&lt;&gt;""),OR($D42&lt;&gt;"",$D$5&lt;&gt;""),OR($E42&lt;&gt;"",$E$5&lt;&gt;""),OR($F42&lt;&gt;"",$F$5&lt;&gt;""),OR($G42&lt;&gt;"",$G$5&lt;&gt;""),OR($H42&lt;&gt;"",$H$5&lt;&gt;""),NOT(ISERROR($M42:$AV42)),NOT(ISNA(MATCH(IF($E42="",$E$5,$E42)&amp;IF($D42="",$D$5,$D42),DeptBU,0)))))</f>
        <v>1</v>
      </c>
      <c r="AZ42" s="255" t="str">
        <f t="shared" si="2"/>
        <v/>
      </c>
    </row>
    <row r="43" spans="1:52" x14ac:dyDescent="0.35">
      <c r="A43" s="286"/>
      <c r="B43" s="554"/>
      <c r="C43" s="554"/>
      <c r="D43" s="554"/>
      <c r="E43" s="554"/>
      <c r="F43" s="554"/>
      <c r="G43" s="554"/>
      <c r="H43" s="554"/>
      <c r="I43" s="554"/>
      <c r="J43" s="554"/>
      <c r="K43" s="554"/>
      <c r="L43" s="617" t="str">
        <f>IF($I43="","",IF(AND(INDEX(Products[product_type_code],MATCH(IF($G43="",$G$5,$G43),Products[product_name],0))="PROD_CLD",INDEX(RevItems[hosting_rev],MATCH($I43,RevItems[rev_item],0))="TRUE"),"Cloud Hosting Revenue",$I43))</f>
        <v/>
      </c>
      <c r="M43" s="554"/>
      <c r="N43" s="554"/>
      <c r="O43" s="554"/>
      <c r="P43" s="554"/>
      <c r="Q43" s="554"/>
      <c r="R43" s="554"/>
      <c r="S43" s="554"/>
      <c r="T43" s="554"/>
      <c r="U43" s="554"/>
      <c r="V43" s="554"/>
      <c r="W43" s="554"/>
      <c r="X43" s="554"/>
      <c r="Y43" s="554"/>
      <c r="Z43" s="554"/>
      <c r="AA43" s="554"/>
      <c r="AB43" s="554"/>
      <c r="AC43" s="554"/>
      <c r="AD43" s="554"/>
      <c r="AE43" s="554"/>
      <c r="AF43" s="554"/>
      <c r="AG43" s="554"/>
      <c r="AH43" s="554"/>
      <c r="AI43" s="554"/>
      <c r="AJ43" s="554"/>
      <c r="AK43" s="554"/>
      <c r="AL43" s="554"/>
      <c r="AM43" s="554"/>
      <c r="AN43" s="554"/>
      <c r="AO43" s="554"/>
      <c r="AP43" s="554"/>
      <c r="AQ43" s="554"/>
      <c r="AR43" s="554"/>
      <c r="AS43" s="554"/>
      <c r="AT43" s="554"/>
      <c r="AU43" s="554"/>
      <c r="AV43" s="554"/>
      <c r="AX43" t="b">
        <f t="array" ref="AX43">IF($I43="",TRUE,AND($B43&lt;&gt;"",OR($C43&lt;&gt;"",$C$5&lt;&gt;""),OR($D43&lt;&gt;"",$D$5&lt;&gt;""),OR($E43&lt;&gt;"",$E$5&lt;&gt;""),OR($F43&lt;&gt;"",$F$5&lt;&gt;""),OR($G43&lt;&gt;"",$G$5&lt;&gt;""),OR($H43&lt;&gt;"",$H$5&lt;&gt;""),NOT(ISERROR($M43:$AV43)),NOT(ISNA(MATCH(IF($E43="",$E$5,$E43)&amp;IF($D43="",$D$5,$D43),DeptBU,0)))))</f>
        <v>1</v>
      </c>
      <c r="AZ43" s="255" t="str">
        <f t="shared" si="2"/>
        <v/>
      </c>
    </row>
    <row r="44" spans="1:52" x14ac:dyDescent="0.35">
      <c r="A44" s="286"/>
      <c r="B44" s="554"/>
      <c r="C44" s="554"/>
      <c r="D44" s="554"/>
      <c r="E44" s="554"/>
      <c r="F44" s="554"/>
      <c r="G44" s="554"/>
      <c r="H44" s="554"/>
      <c r="I44" s="554"/>
      <c r="J44" s="554"/>
      <c r="K44" s="554"/>
      <c r="L44" s="617" t="str">
        <f>IF($I44="","",IF(AND(INDEX(Products[product_type_code],MATCH(IF($G44="",$G$5,$G44),Products[product_name],0))="PROD_CLD",INDEX(RevItems[hosting_rev],MATCH($I44,RevItems[rev_item],0))="TRUE"),"Cloud Hosting Revenue",$I44))</f>
        <v/>
      </c>
      <c r="M44" s="554"/>
      <c r="N44" s="554"/>
      <c r="O44" s="554"/>
      <c r="P44" s="554"/>
      <c r="Q44" s="554"/>
      <c r="R44" s="554"/>
      <c r="S44" s="554"/>
      <c r="T44" s="554"/>
      <c r="U44" s="554"/>
      <c r="V44" s="554"/>
      <c r="W44" s="554"/>
      <c r="X44" s="554"/>
      <c r="Y44" s="554"/>
      <c r="Z44" s="554"/>
      <c r="AA44" s="554"/>
      <c r="AB44" s="554"/>
      <c r="AC44" s="554"/>
      <c r="AD44" s="554"/>
      <c r="AE44" s="554"/>
      <c r="AF44" s="554"/>
      <c r="AG44" s="554"/>
      <c r="AH44" s="554"/>
      <c r="AI44" s="554"/>
      <c r="AJ44" s="554"/>
      <c r="AK44" s="554"/>
      <c r="AL44" s="554"/>
      <c r="AM44" s="554"/>
      <c r="AN44" s="554"/>
      <c r="AO44" s="554"/>
      <c r="AP44" s="554"/>
      <c r="AQ44" s="554"/>
      <c r="AR44" s="554"/>
      <c r="AS44" s="554"/>
      <c r="AT44" s="554"/>
      <c r="AU44" s="554"/>
      <c r="AV44" s="554"/>
      <c r="AX44" t="b">
        <f t="array" ref="AX44">IF($I44="",TRUE,AND($B44&lt;&gt;"",OR($C44&lt;&gt;"",$C$5&lt;&gt;""),OR($D44&lt;&gt;"",$D$5&lt;&gt;""),OR($E44&lt;&gt;"",$E$5&lt;&gt;""),OR($F44&lt;&gt;"",$F$5&lt;&gt;""),OR($G44&lt;&gt;"",$G$5&lt;&gt;""),OR($H44&lt;&gt;"",$H$5&lt;&gt;""),NOT(ISERROR($M44:$AV44)),NOT(ISNA(MATCH(IF($E44="",$E$5,$E44)&amp;IF($D44="",$D$5,$D44),DeptBU,0)))))</f>
        <v>1</v>
      </c>
      <c r="AZ44" s="255" t="str">
        <f t="shared" si="2"/>
        <v/>
      </c>
    </row>
    <row r="45" spans="1:52" x14ac:dyDescent="0.35">
      <c r="A45" s="286"/>
      <c r="B45" s="554"/>
      <c r="C45" s="554"/>
      <c r="D45" s="554"/>
      <c r="E45" s="554"/>
      <c r="F45" s="554"/>
      <c r="G45" s="554"/>
      <c r="H45" s="554"/>
      <c r="I45" s="554"/>
      <c r="J45" s="554"/>
      <c r="K45" s="554"/>
      <c r="L45" s="617" t="str">
        <f>IF($I45="","",IF(AND(INDEX(Products[product_type_code],MATCH(IF($G45="",$G$5,$G45),Products[product_name],0))="PROD_CLD",INDEX(RevItems[hosting_rev],MATCH($I45,RevItems[rev_item],0))="TRUE"),"Cloud Hosting Revenue",$I45))</f>
        <v/>
      </c>
      <c r="M45" s="554"/>
      <c r="N45" s="554"/>
      <c r="O45" s="554"/>
      <c r="P45" s="554"/>
      <c r="Q45" s="554"/>
      <c r="R45" s="554"/>
      <c r="S45" s="554"/>
      <c r="T45" s="554"/>
      <c r="U45" s="554"/>
      <c r="V45" s="554"/>
      <c r="W45" s="554"/>
      <c r="X45" s="554"/>
      <c r="Y45" s="554"/>
      <c r="Z45" s="554"/>
      <c r="AA45" s="554"/>
      <c r="AB45" s="554"/>
      <c r="AC45" s="554"/>
      <c r="AD45" s="554"/>
      <c r="AE45" s="554"/>
      <c r="AF45" s="554"/>
      <c r="AG45" s="554"/>
      <c r="AH45" s="554"/>
      <c r="AI45" s="554"/>
      <c r="AJ45" s="554"/>
      <c r="AK45" s="554"/>
      <c r="AL45" s="554"/>
      <c r="AM45" s="554"/>
      <c r="AN45" s="554"/>
      <c r="AO45" s="554"/>
      <c r="AP45" s="554"/>
      <c r="AQ45" s="554"/>
      <c r="AR45" s="554"/>
      <c r="AS45" s="554"/>
      <c r="AT45" s="554"/>
      <c r="AU45" s="554"/>
      <c r="AV45" s="554"/>
      <c r="AX45" t="b">
        <f t="array" ref="AX45">IF($I45="",TRUE,AND($B45&lt;&gt;"",OR($C45&lt;&gt;"",$C$5&lt;&gt;""),OR($D45&lt;&gt;"",$D$5&lt;&gt;""),OR($E45&lt;&gt;"",$E$5&lt;&gt;""),OR($F45&lt;&gt;"",$F$5&lt;&gt;""),OR($G45&lt;&gt;"",$G$5&lt;&gt;""),OR($H45&lt;&gt;"",$H$5&lt;&gt;""),NOT(ISERROR($M45:$AV45)),NOT(ISNA(MATCH(IF($E45="",$E$5,$E45)&amp;IF($D45="",$D$5,$D45),DeptBU,0)))))</f>
        <v>1</v>
      </c>
      <c r="AZ45" s="255" t="str">
        <f t="shared" si="2"/>
        <v/>
      </c>
    </row>
    <row r="46" spans="1:52" x14ac:dyDescent="0.35">
      <c r="A46" s="286"/>
      <c r="B46" s="554"/>
      <c r="C46" s="554"/>
      <c r="D46" s="554"/>
      <c r="E46" s="554"/>
      <c r="F46" s="554"/>
      <c r="G46" s="554"/>
      <c r="H46" s="554"/>
      <c r="I46" s="554"/>
      <c r="J46" s="554"/>
      <c r="K46" s="554"/>
      <c r="L46" s="617" t="str">
        <f>IF($I46="","",IF(AND(INDEX(Products[product_type_code],MATCH(IF($G46="",$G$5,$G46),Products[product_name],0))="PROD_CLD",INDEX(RevItems[hosting_rev],MATCH($I46,RevItems[rev_item],0))="TRUE"),"Cloud Hosting Revenue",$I46))</f>
        <v/>
      </c>
      <c r="M46" s="554"/>
      <c r="N46" s="554"/>
      <c r="O46" s="554"/>
      <c r="P46" s="554"/>
      <c r="Q46" s="554"/>
      <c r="R46" s="554"/>
      <c r="S46" s="554"/>
      <c r="T46" s="554"/>
      <c r="U46" s="554"/>
      <c r="V46" s="554"/>
      <c r="W46" s="554"/>
      <c r="X46" s="554"/>
      <c r="Y46" s="554"/>
      <c r="Z46" s="554"/>
      <c r="AA46" s="554"/>
      <c r="AB46" s="554"/>
      <c r="AC46" s="554"/>
      <c r="AD46" s="554"/>
      <c r="AE46" s="554"/>
      <c r="AF46" s="554"/>
      <c r="AG46" s="554"/>
      <c r="AH46" s="554"/>
      <c r="AI46" s="554"/>
      <c r="AJ46" s="554"/>
      <c r="AK46" s="554"/>
      <c r="AL46" s="554"/>
      <c r="AM46" s="554"/>
      <c r="AN46" s="554"/>
      <c r="AO46" s="554"/>
      <c r="AP46" s="554"/>
      <c r="AQ46" s="554"/>
      <c r="AR46" s="554"/>
      <c r="AS46" s="554"/>
      <c r="AT46" s="554"/>
      <c r="AU46" s="554"/>
      <c r="AV46" s="554"/>
      <c r="AX46" t="b">
        <f t="array" ref="AX46">IF($I46="",TRUE,AND($B46&lt;&gt;"",OR($C46&lt;&gt;"",$C$5&lt;&gt;""),OR($D46&lt;&gt;"",$D$5&lt;&gt;""),OR($E46&lt;&gt;"",$E$5&lt;&gt;""),OR($F46&lt;&gt;"",$F$5&lt;&gt;""),OR($G46&lt;&gt;"",$G$5&lt;&gt;""),OR($H46&lt;&gt;"",$H$5&lt;&gt;""),NOT(ISERROR($M46:$AV46)),NOT(ISNA(MATCH(IF($E46="",$E$5,$E46)&amp;IF($D46="",$D$5,$D46),DeptBU,0)))))</f>
        <v>1</v>
      </c>
      <c r="AZ46" s="255" t="str">
        <f t="shared" si="2"/>
        <v/>
      </c>
    </row>
    <row r="47" spans="1:52" x14ac:dyDescent="0.35">
      <c r="A47" s="286"/>
      <c r="B47" s="554"/>
      <c r="C47" s="554"/>
      <c r="D47" s="554"/>
      <c r="E47" s="554"/>
      <c r="F47" s="554"/>
      <c r="G47" s="554"/>
      <c r="H47" s="554"/>
      <c r="I47" s="554"/>
      <c r="J47" s="554"/>
      <c r="K47" s="554"/>
      <c r="L47" s="617" t="str">
        <f>IF($I47="","",IF(AND(INDEX(Products[product_type_code],MATCH(IF($G47="",$G$5,$G47),Products[product_name],0))="PROD_CLD",INDEX(RevItems[hosting_rev],MATCH($I47,RevItems[rev_item],0))="TRUE"),"Cloud Hosting Revenue",$I47))</f>
        <v/>
      </c>
      <c r="M47" s="554"/>
      <c r="N47" s="554"/>
      <c r="O47" s="554"/>
      <c r="P47" s="554"/>
      <c r="Q47" s="554"/>
      <c r="R47" s="554"/>
      <c r="S47" s="554"/>
      <c r="T47" s="554"/>
      <c r="U47" s="554"/>
      <c r="V47" s="554"/>
      <c r="W47" s="554"/>
      <c r="X47" s="554"/>
      <c r="Y47" s="554"/>
      <c r="Z47" s="554"/>
      <c r="AA47" s="554"/>
      <c r="AB47" s="554"/>
      <c r="AC47" s="554"/>
      <c r="AD47" s="554"/>
      <c r="AE47" s="554"/>
      <c r="AF47" s="554"/>
      <c r="AG47" s="554"/>
      <c r="AH47" s="554"/>
      <c r="AI47" s="554"/>
      <c r="AJ47" s="554"/>
      <c r="AK47" s="554"/>
      <c r="AL47" s="554"/>
      <c r="AM47" s="554"/>
      <c r="AN47" s="554"/>
      <c r="AO47" s="554"/>
      <c r="AP47" s="554"/>
      <c r="AQ47" s="554"/>
      <c r="AR47" s="554"/>
      <c r="AS47" s="554"/>
      <c r="AT47" s="554"/>
      <c r="AU47" s="554"/>
      <c r="AV47" s="554"/>
      <c r="AX47" t="b">
        <f t="array" ref="AX47">IF($I47="",TRUE,AND($B47&lt;&gt;"",OR($C47&lt;&gt;"",$C$5&lt;&gt;""),OR($D47&lt;&gt;"",$D$5&lt;&gt;""),OR($E47&lt;&gt;"",$E$5&lt;&gt;""),OR($F47&lt;&gt;"",$F$5&lt;&gt;""),OR($G47&lt;&gt;"",$G$5&lt;&gt;""),OR($H47&lt;&gt;"",$H$5&lt;&gt;""),NOT(ISERROR($M47:$AV47)),NOT(ISNA(MATCH(IF($E47="",$E$5,$E47)&amp;IF($D47="",$D$5,$D47),DeptBU,0)))))</f>
        <v>1</v>
      </c>
      <c r="AZ47" s="255" t="str">
        <f t="shared" si="2"/>
        <v/>
      </c>
    </row>
    <row r="48" spans="1:52" x14ac:dyDescent="0.35">
      <c r="A48" s="286"/>
      <c r="B48" s="554"/>
      <c r="C48" s="554"/>
      <c r="D48" s="554"/>
      <c r="E48" s="554"/>
      <c r="F48" s="554"/>
      <c r="G48" s="554"/>
      <c r="H48" s="554"/>
      <c r="I48" s="554"/>
      <c r="J48" s="554"/>
      <c r="K48" s="554"/>
      <c r="L48" s="617" t="str">
        <f>IF($I48="","",IF(AND(INDEX(Products[product_type_code],MATCH(IF($G48="",$G$5,$G48),Products[product_name],0))="PROD_CLD",INDEX(RevItems[hosting_rev],MATCH($I48,RevItems[rev_item],0))="TRUE"),"Cloud Hosting Revenue",$I48))</f>
        <v/>
      </c>
      <c r="M48" s="554"/>
      <c r="N48" s="554"/>
      <c r="O48" s="554"/>
      <c r="P48" s="554"/>
      <c r="Q48" s="554"/>
      <c r="R48" s="554"/>
      <c r="S48" s="554"/>
      <c r="T48" s="554"/>
      <c r="U48" s="554"/>
      <c r="V48" s="554"/>
      <c r="W48" s="554"/>
      <c r="X48" s="554"/>
      <c r="Y48" s="554"/>
      <c r="Z48" s="554"/>
      <c r="AA48" s="554"/>
      <c r="AB48" s="554"/>
      <c r="AC48" s="554"/>
      <c r="AD48" s="554"/>
      <c r="AE48" s="554"/>
      <c r="AF48" s="554"/>
      <c r="AG48" s="554"/>
      <c r="AH48" s="554"/>
      <c r="AI48" s="554"/>
      <c r="AJ48" s="554"/>
      <c r="AK48" s="554"/>
      <c r="AL48" s="554"/>
      <c r="AM48" s="554"/>
      <c r="AN48" s="554"/>
      <c r="AO48" s="554"/>
      <c r="AP48" s="554"/>
      <c r="AQ48" s="554"/>
      <c r="AR48" s="554"/>
      <c r="AS48" s="554"/>
      <c r="AT48" s="554"/>
      <c r="AU48" s="554"/>
      <c r="AV48" s="554"/>
      <c r="AX48" t="b">
        <f t="array" ref="AX48">IF($I48="",TRUE,AND($B48&lt;&gt;"",OR($C48&lt;&gt;"",$C$5&lt;&gt;""),OR($D48&lt;&gt;"",$D$5&lt;&gt;""),OR($E48&lt;&gt;"",$E$5&lt;&gt;""),OR($F48&lt;&gt;"",$F$5&lt;&gt;""),OR($G48&lt;&gt;"",$G$5&lt;&gt;""),OR($H48&lt;&gt;"",$H$5&lt;&gt;""),NOT(ISERROR($M48:$AV48)),NOT(ISNA(MATCH(IF($E48="",$E$5,$E48)&amp;IF($D48="",$D$5,$D48),DeptBU,0)))))</f>
        <v>1</v>
      </c>
      <c r="AZ48" s="255" t="str">
        <f t="shared" si="2"/>
        <v/>
      </c>
    </row>
    <row r="49" spans="1:53" x14ac:dyDescent="0.35">
      <c r="A49" s="286"/>
      <c r="B49" s="554"/>
      <c r="C49" s="554"/>
      <c r="D49" s="554"/>
      <c r="E49" s="554"/>
      <c r="F49" s="554"/>
      <c r="G49" s="554"/>
      <c r="H49" s="554"/>
      <c r="I49" s="554"/>
      <c r="J49" s="554"/>
      <c r="K49" s="554"/>
      <c r="L49" s="617" t="str">
        <f>IF($I49="","",IF(AND(INDEX(Products[product_type_code],MATCH(IF($G49="",$G$5,$G49),Products[product_name],0))="PROD_CLD",INDEX(RevItems[hosting_rev],MATCH($I49,RevItems[rev_item],0))="TRUE"),"Cloud Hosting Revenue",$I49))</f>
        <v/>
      </c>
      <c r="M49" s="554"/>
      <c r="N49" s="554"/>
      <c r="O49" s="554"/>
      <c r="P49" s="554"/>
      <c r="Q49" s="554"/>
      <c r="R49" s="554"/>
      <c r="S49" s="554"/>
      <c r="T49" s="554"/>
      <c r="U49" s="554"/>
      <c r="V49" s="554"/>
      <c r="W49" s="554"/>
      <c r="X49" s="554"/>
      <c r="Y49" s="554"/>
      <c r="Z49" s="554"/>
      <c r="AA49" s="554"/>
      <c r="AB49" s="554"/>
      <c r="AC49" s="554"/>
      <c r="AD49" s="554"/>
      <c r="AE49" s="554"/>
      <c r="AF49" s="554"/>
      <c r="AG49" s="554"/>
      <c r="AH49" s="554"/>
      <c r="AI49" s="554"/>
      <c r="AJ49" s="554"/>
      <c r="AK49" s="554"/>
      <c r="AL49" s="554"/>
      <c r="AM49" s="554"/>
      <c r="AN49" s="554"/>
      <c r="AO49" s="554"/>
      <c r="AP49" s="554"/>
      <c r="AQ49" s="554"/>
      <c r="AR49" s="554"/>
      <c r="AS49" s="554"/>
      <c r="AT49" s="554"/>
      <c r="AU49" s="554"/>
      <c r="AV49" s="554"/>
      <c r="AX49" t="b">
        <f t="array" ref="AX49">IF($I49="",TRUE,AND($B49&lt;&gt;"",OR($C49&lt;&gt;"",$C$5&lt;&gt;""),OR($D49&lt;&gt;"",$D$5&lt;&gt;""),OR($E49&lt;&gt;"",$E$5&lt;&gt;""),OR($F49&lt;&gt;"",$F$5&lt;&gt;""),OR($G49&lt;&gt;"",$G$5&lt;&gt;""),OR($H49&lt;&gt;"",$H$5&lt;&gt;""),NOT(ISERROR($M49:$AV49)),NOT(ISNA(MATCH(IF($E49="",$E$5,$E49)&amp;IF($D49="",$D$5,$D49),DeptBU,0)))))</f>
        <v>1</v>
      </c>
      <c r="AZ49" s="255" t="str">
        <f t="shared" si="2"/>
        <v/>
      </c>
    </row>
    <row r="50" spans="1:53" x14ac:dyDescent="0.35">
      <c r="A50" s="286"/>
      <c r="B50" s="554"/>
      <c r="C50" s="554"/>
      <c r="D50" s="554"/>
      <c r="E50" s="554"/>
      <c r="F50" s="554"/>
      <c r="G50" s="554"/>
      <c r="H50" s="554"/>
      <c r="I50" s="554"/>
      <c r="J50" s="554"/>
      <c r="K50" s="554"/>
      <c r="L50" s="617" t="str">
        <f>IF($I50="","",IF(AND(INDEX(Products[product_type_code],MATCH(IF($G50="",$G$5,$G50),Products[product_name],0))="PROD_CLD",INDEX(RevItems[hosting_rev],MATCH($I50,RevItems[rev_item],0))="TRUE"),"Cloud Hosting Revenue",$I50))</f>
        <v/>
      </c>
      <c r="M50" s="554"/>
      <c r="N50" s="554"/>
      <c r="O50" s="554"/>
      <c r="P50" s="554"/>
      <c r="Q50" s="554"/>
      <c r="R50" s="554"/>
      <c r="S50" s="554"/>
      <c r="T50" s="554"/>
      <c r="U50" s="554"/>
      <c r="V50" s="554"/>
      <c r="W50" s="554"/>
      <c r="X50" s="554"/>
      <c r="Y50" s="554"/>
      <c r="Z50" s="554"/>
      <c r="AA50" s="554"/>
      <c r="AB50" s="554"/>
      <c r="AC50" s="554"/>
      <c r="AD50" s="554"/>
      <c r="AE50" s="554"/>
      <c r="AF50" s="554"/>
      <c r="AG50" s="554"/>
      <c r="AH50" s="554"/>
      <c r="AI50" s="554"/>
      <c r="AJ50" s="554"/>
      <c r="AK50" s="554"/>
      <c r="AL50" s="554"/>
      <c r="AM50" s="554"/>
      <c r="AN50" s="554"/>
      <c r="AO50" s="554"/>
      <c r="AP50" s="554"/>
      <c r="AQ50" s="554"/>
      <c r="AR50" s="554"/>
      <c r="AS50" s="554"/>
      <c r="AT50" s="554"/>
      <c r="AU50" s="554"/>
      <c r="AV50" s="554"/>
      <c r="AX50" t="b">
        <f t="array" ref="AX50">IF($I50="",TRUE,AND($B50&lt;&gt;"",OR($C50&lt;&gt;"",$C$5&lt;&gt;""),OR($D50&lt;&gt;"",$D$5&lt;&gt;""),OR($E50&lt;&gt;"",$E$5&lt;&gt;""),OR($F50&lt;&gt;"",$F$5&lt;&gt;""),OR($G50&lt;&gt;"",$G$5&lt;&gt;""),OR($H50&lt;&gt;"",$H$5&lt;&gt;""),NOT(ISERROR($M50:$AV50)),NOT(ISNA(MATCH(IF($E50="",$E$5,$E50)&amp;IF($D50="",$D$5,$D50),DeptBU,0)))))</f>
        <v>1</v>
      </c>
      <c r="AZ50" s="255" t="str">
        <f t="shared" si="2"/>
        <v/>
      </c>
    </row>
    <row r="51" spans="1:53" x14ac:dyDescent="0.35">
      <c r="A51" s="286"/>
      <c r="B51" s="554"/>
      <c r="C51" s="554"/>
      <c r="D51" s="554"/>
      <c r="E51" s="554"/>
      <c r="F51" s="554"/>
      <c r="G51" s="554"/>
      <c r="H51" s="554"/>
      <c r="I51" s="554"/>
      <c r="J51" s="554"/>
      <c r="K51" s="554"/>
      <c r="L51" s="617" t="str">
        <f>IF($I51="","",IF(AND(INDEX(Products[product_type_code],MATCH(IF($G51="",$G$5,$G51),Products[product_name],0))="PROD_CLD",INDEX(RevItems[hosting_rev],MATCH($I51,RevItems[rev_item],0))="TRUE"),"Cloud Hosting Revenue",$I51))</f>
        <v/>
      </c>
      <c r="M51" s="554"/>
      <c r="N51" s="554"/>
      <c r="O51" s="554"/>
      <c r="P51" s="554"/>
      <c r="Q51" s="554"/>
      <c r="R51" s="554"/>
      <c r="S51" s="554"/>
      <c r="T51" s="554"/>
      <c r="U51" s="554"/>
      <c r="V51" s="554"/>
      <c r="W51" s="554"/>
      <c r="X51" s="554"/>
      <c r="Y51" s="554"/>
      <c r="Z51" s="554"/>
      <c r="AA51" s="554"/>
      <c r="AB51" s="554"/>
      <c r="AC51" s="554"/>
      <c r="AD51" s="554"/>
      <c r="AE51" s="554"/>
      <c r="AF51" s="554"/>
      <c r="AG51" s="554"/>
      <c r="AH51" s="554"/>
      <c r="AI51" s="554"/>
      <c r="AJ51" s="554"/>
      <c r="AK51" s="554"/>
      <c r="AL51" s="554"/>
      <c r="AM51" s="554"/>
      <c r="AN51" s="554"/>
      <c r="AO51" s="554"/>
      <c r="AP51" s="554"/>
      <c r="AQ51" s="554"/>
      <c r="AR51" s="554"/>
      <c r="AS51" s="554"/>
      <c r="AT51" s="554"/>
      <c r="AU51" s="554"/>
      <c r="AV51" s="554"/>
      <c r="AX51" t="b">
        <f t="array" ref="AX51">IF($I51="",TRUE,AND($B51&lt;&gt;"",OR($C51&lt;&gt;"",$C$5&lt;&gt;""),OR($D51&lt;&gt;"",$D$5&lt;&gt;""),OR($E51&lt;&gt;"",$E$5&lt;&gt;""),OR($F51&lt;&gt;"",$F$5&lt;&gt;""),OR($G51&lt;&gt;"",$G$5&lt;&gt;""),OR($H51&lt;&gt;"",$H$5&lt;&gt;""),NOT(ISERROR($M51:$AV51)),NOT(ISNA(MATCH(IF($E51="",$E$5,$E51)&amp;IF($D51="",$D$5,$D51),DeptBU,0)))))</f>
        <v>1</v>
      </c>
      <c r="AZ51" s="255" t="str">
        <f t="shared" si="2"/>
        <v/>
      </c>
    </row>
    <row r="52" spans="1:53" x14ac:dyDescent="0.35">
      <c r="A52" s="286"/>
      <c r="B52" s="554"/>
      <c r="C52" s="554"/>
      <c r="D52" s="554"/>
      <c r="E52" s="554"/>
      <c r="F52" s="554"/>
      <c r="G52" s="554"/>
      <c r="H52" s="554"/>
      <c r="I52" s="554"/>
      <c r="J52" s="554"/>
      <c r="K52" s="554"/>
      <c r="L52" s="617" t="str">
        <f>IF($I52="","",IF(AND(INDEX(Products[product_type_code],MATCH(IF($G52="",$G$5,$G52),Products[product_name],0))="PROD_CLD",INDEX(RevItems[hosting_rev],MATCH($I52,RevItems[rev_item],0))="TRUE"),"Cloud Hosting Revenue",$I52))</f>
        <v/>
      </c>
      <c r="M52" s="554"/>
      <c r="N52" s="554"/>
      <c r="O52" s="554"/>
      <c r="P52" s="554"/>
      <c r="Q52" s="554"/>
      <c r="R52" s="554"/>
      <c r="S52" s="554"/>
      <c r="T52" s="554"/>
      <c r="U52" s="554"/>
      <c r="V52" s="554"/>
      <c r="W52" s="554"/>
      <c r="X52" s="554"/>
      <c r="Y52" s="554"/>
      <c r="Z52" s="554"/>
      <c r="AA52" s="554"/>
      <c r="AB52" s="554"/>
      <c r="AC52" s="554"/>
      <c r="AD52" s="554"/>
      <c r="AE52" s="554"/>
      <c r="AF52" s="554"/>
      <c r="AG52" s="554"/>
      <c r="AH52" s="554"/>
      <c r="AI52" s="554"/>
      <c r="AJ52" s="554"/>
      <c r="AK52" s="554"/>
      <c r="AL52" s="554"/>
      <c r="AM52" s="554"/>
      <c r="AN52" s="554"/>
      <c r="AO52" s="554"/>
      <c r="AP52" s="554"/>
      <c r="AQ52" s="554"/>
      <c r="AR52" s="554"/>
      <c r="AS52" s="554"/>
      <c r="AT52" s="554"/>
      <c r="AU52" s="554"/>
      <c r="AV52" s="554"/>
      <c r="AX52" t="b">
        <f t="array" ref="AX52">IF($I52="",TRUE,AND($B52&lt;&gt;"",OR($C52&lt;&gt;"",$C$5&lt;&gt;""),OR($D52&lt;&gt;"",$D$5&lt;&gt;""),OR($E52&lt;&gt;"",$E$5&lt;&gt;""),OR($F52&lt;&gt;"",$F$5&lt;&gt;""),OR($G52&lt;&gt;"",$G$5&lt;&gt;""),OR($H52&lt;&gt;"",$H$5&lt;&gt;""),NOT(ISERROR($M52:$AV52)),NOT(ISNA(MATCH(IF($E52="",$E$5,$E52)&amp;IF($D52="",$D$5,$D52),DeptBU,0)))))</f>
        <v>1</v>
      </c>
      <c r="AZ52" s="255" t="str">
        <f t="shared" si="2"/>
        <v/>
      </c>
    </row>
    <row r="53" spans="1:53" x14ac:dyDescent="0.35">
      <c r="A53" s="286"/>
      <c r="B53" s="554"/>
      <c r="C53" s="554"/>
      <c r="D53" s="554"/>
      <c r="E53" s="554"/>
      <c r="F53" s="554"/>
      <c r="G53" s="554"/>
      <c r="H53" s="554"/>
      <c r="I53" s="554"/>
      <c r="J53" s="554"/>
      <c r="K53" s="554"/>
      <c r="L53" s="617" t="str">
        <f>IF($I53="","",IF(AND(INDEX(Products[product_type_code],MATCH(IF($G53="",$G$5,$G53),Products[product_name],0))="PROD_CLD",INDEX(RevItems[hosting_rev],MATCH($I53,RevItems[rev_item],0))="TRUE"),"Cloud Hosting Revenue",$I53))</f>
        <v/>
      </c>
      <c r="M53" s="554"/>
      <c r="N53" s="554"/>
      <c r="O53" s="554"/>
      <c r="P53" s="554"/>
      <c r="Q53" s="554"/>
      <c r="R53" s="554"/>
      <c r="S53" s="554"/>
      <c r="T53" s="554"/>
      <c r="U53" s="554"/>
      <c r="V53" s="554"/>
      <c r="W53" s="554"/>
      <c r="X53" s="554"/>
      <c r="Y53" s="554"/>
      <c r="Z53" s="554"/>
      <c r="AA53" s="554"/>
      <c r="AB53" s="554"/>
      <c r="AC53" s="554"/>
      <c r="AD53" s="554"/>
      <c r="AE53" s="554"/>
      <c r="AF53" s="554"/>
      <c r="AG53" s="554"/>
      <c r="AH53" s="554"/>
      <c r="AI53" s="554"/>
      <c r="AJ53" s="554"/>
      <c r="AK53" s="554"/>
      <c r="AL53" s="554"/>
      <c r="AM53" s="554"/>
      <c r="AN53" s="554"/>
      <c r="AO53" s="554"/>
      <c r="AP53" s="554"/>
      <c r="AQ53" s="554"/>
      <c r="AR53" s="554"/>
      <c r="AS53" s="554"/>
      <c r="AT53" s="554"/>
      <c r="AU53" s="554"/>
      <c r="AV53" s="554"/>
      <c r="AX53" t="b">
        <f t="array" ref="AX53">IF($I53="",TRUE,AND($B53&lt;&gt;"",OR($C53&lt;&gt;"",$C$5&lt;&gt;""),OR($D53&lt;&gt;"",$D$5&lt;&gt;""),OR($E53&lt;&gt;"",$E$5&lt;&gt;""),OR($F53&lt;&gt;"",$F$5&lt;&gt;""),OR($G53&lt;&gt;"",$G$5&lt;&gt;""),OR($H53&lt;&gt;"",$H$5&lt;&gt;""),NOT(ISERROR($M53:$AV53)),NOT(ISNA(MATCH(IF($E53="",$E$5,$E53)&amp;IF($D53="",$D$5,$D53),DeptBU,0)))))</f>
        <v>1</v>
      </c>
      <c r="AZ53" s="255" t="str">
        <f t="shared" si="2"/>
        <v/>
      </c>
    </row>
    <row r="54" spans="1:53" x14ac:dyDescent="0.35">
      <c r="A54" s="286"/>
      <c r="B54" s="554"/>
      <c r="C54" s="554"/>
      <c r="D54" s="554"/>
      <c r="E54" s="554"/>
      <c r="F54" s="554"/>
      <c r="G54" s="554"/>
      <c r="H54" s="554"/>
      <c r="I54" s="554"/>
      <c r="J54" s="554"/>
      <c r="K54" s="554"/>
      <c r="L54" s="617" t="str">
        <f>IF($I54="","",IF(AND(INDEX(Products[product_type_code],MATCH(IF($G54="",$G$5,$G54),Products[product_name],0))="PROD_CLD",INDEX(RevItems[hosting_rev],MATCH($I54,RevItems[rev_item],0))="TRUE"),"Cloud Hosting Revenue",$I54))</f>
        <v/>
      </c>
      <c r="M54" s="554"/>
      <c r="N54" s="554"/>
      <c r="O54" s="554"/>
      <c r="P54" s="554"/>
      <c r="Q54" s="554"/>
      <c r="R54" s="554"/>
      <c r="S54" s="554"/>
      <c r="T54" s="554"/>
      <c r="U54" s="554"/>
      <c r="V54" s="554"/>
      <c r="W54" s="554"/>
      <c r="X54" s="554"/>
      <c r="Y54" s="554"/>
      <c r="Z54" s="554"/>
      <c r="AA54" s="554"/>
      <c r="AB54" s="554"/>
      <c r="AC54" s="554"/>
      <c r="AD54" s="554"/>
      <c r="AE54" s="554"/>
      <c r="AF54" s="554"/>
      <c r="AG54" s="554"/>
      <c r="AH54" s="554"/>
      <c r="AI54" s="554"/>
      <c r="AJ54" s="554"/>
      <c r="AK54" s="554"/>
      <c r="AL54" s="554"/>
      <c r="AM54" s="554"/>
      <c r="AN54" s="554"/>
      <c r="AO54" s="554"/>
      <c r="AP54" s="554"/>
      <c r="AQ54" s="554"/>
      <c r="AR54" s="554"/>
      <c r="AS54" s="554"/>
      <c r="AT54" s="554"/>
      <c r="AU54" s="554"/>
      <c r="AV54" s="554"/>
      <c r="AX54" t="b">
        <f t="array" ref="AX54">IF($I54="",TRUE,AND($B54&lt;&gt;"",OR($C54&lt;&gt;"",$C$5&lt;&gt;""),OR($D54&lt;&gt;"",$D$5&lt;&gt;""),OR($E54&lt;&gt;"",$E$5&lt;&gt;""),OR($F54&lt;&gt;"",$F$5&lt;&gt;""),OR($G54&lt;&gt;"",$G$5&lt;&gt;""),OR($H54&lt;&gt;"",$H$5&lt;&gt;""),NOT(ISERROR($M54:$AV54)),NOT(ISNA(MATCH(IF($E54="",$E$5,$E54)&amp;IF($D54="",$D$5,$D54),DeptBU,0)))))</f>
        <v>1</v>
      </c>
      <c r="AZ54" s="255" t="str">
        <f t="shared" si="2"/>
        <v/>
      </c>
    </row>
    <row r="55" spans="1:53" x14ac:dyDescent="0.35">
      <c r="A55" s="286"/>
      <c r="B55" s="554"/>
      <c r="C55" s="554"/>
      <c r="D55" s="554"/>
      <c r="E55" s="554"/>
      <c r="F55" s="554"/>
      <c r="G55" s="554"/>
      <c r="H55" s="554"/>
      <c r="I55" s="554"/>
      <c r="J55" s="554"/>
      <c r="K55" s="554"/>
      <c r="L55" s="617" t="str">
        <f>IF($I55="","",IF(AND(INDEX(Products[product_type_code],MATCH(IF($G55="",$G$5,$G55),Products[product_name],0))="PROD_CLD",INDEX(RevItems[hosting_rev],MATCH($I55,RevItems[rev_item],0))="TRUE"),"Cloud Hosting Revenue",$I55))</f>
        <v/>
      </c>
      <c r="M55" s="554"/>
      <c r="N55" s="554"/>
      <c r="O55" s="554"/>
      <c r="P55" s="554"/>
      <c r="Q55" s="554"/>
      <c r="R55" s="554"/>
      <c r="S55" s="554"/>
      <c r="T55" s="554"/>
      <c r="U55" s="554"/>
      <c r="V55" s="554"/>
      <c r="W55" s="554"/>
      <c r="X55" s="554"/>
      <c r="Y55" s="554"/>
      <c r="Z55" s="554"/>
      <c r="AA55" s="554"/>
      <c r="AB55" s="554"/>
      <c r="AC55" s="554"/>
      <c r="AD55" s="554"/>
      <c r="AE55" s="554"/>
      <c r="AF55" s="554"/>
      <c r="AG55" s="554"/>
      <c r="AH55" s="554"/>
      <c r="AI55" s="554"/>
      <c r="AJ55" s="554"/>
      <c r="AK55" s="554"/>
      <c r="AL55" s="554"/>
      <c r="AM55" s="554"/>
      <c r="AN55" s="554"/>
      <c r="AO55" s="554"/>
      <c r="AP55" s="554"/>
      <c r="AQ55" s="554"/>
      <c r="AR55" s="554"/>
      <c r="AS55" s="554"/>
      <c r="AT55" s="554"/>
      <c r="AU55" s="554"/>
      <c r="AV55" s="554"/>
      <c r="AX55" t="b">
        <f t="array" ref="AX55">IF($I55="",TRUE,AND($B55&lt;&gt;"",OR($C55&lt;&gt;"",$C$5&lt;&gt;""),OR($D55&lt;&gt;"",$D$5&lt;&gt;""),OR($E55&lt;&gt;"",$E$5&lt;&gt;""),OR($F55&lt;&gt;"",$F$5&lt;&gt;""),OR($G55&lt;&gt;"",$G$5&lt;&gt;""),OR($H55&lt;&gt;"",$H$5&lt;&gt;""),NOT(ISERROR($M55:$AV55)),NOT(ISNA(MATCH(IF($E55="",$E$5,$E55)&amp;IF($D55="",$D$5,$D55),DeptBU,0)))))</f>
        <v>1</v>
      </c>
      <c r="AZ55" s="255" t="str">
        <f t="shared" si="2"/>
        <v/>
      </c>
    </row>
    <row r="56" spans="1:53" hidden="1" outlineLevel="1" x14ac:dyDescent="0.35">
      <c r="A56" s="286"/>
      <c r="B56" s="554"/>
      <c r="C56" s="554"/>
      <c r="D56" s="554"/>
      <c r="E56" s="554"/>
      <c r="F56" s="554"/>
      <c r="G56" s="554"/>
      <c r="H56" s="554"/>
      <c r="I56" s="554"/>
      <c r="J56" s="554"/>
      <c r="K56" s="554"/>
      <c r="L56" s="617" t="str">
        <f>IF($I56="","",IF(AND(INDEX(Products[product_type_code],MATCH(IF($G56="",$G$5,$G56),Products[product_name],0))="PROD_CLD",INDEX(RevItems[hosting_rev],MATCH($I56,RevItems[rev_item],0))="TRUE"),"Cloud Hosting Revenue",$I56))</f>
        <v/>
      </c>
      <c r="M56" s="554"/>
      <c r="N56" s="554"/>
      <c r="O56" s="554"/>
      <c r="P56" s="554"/>
      <c r="Q56" s="554"/>
      <c r="R56" s="554"/>
      <c r="S56" s="554"/>
      <c r="T56" s="554"/>
      <c r="U56" s="554"/>
      <c r="V56" s="554"/>
      <c r="W56" s="554"/>
      <c r="X56" s="554"/>
      <c r="Y56" s="554"/>
      <c r="Z56" s="554"/>
      <c r="AA56" s="554"/>
      <c r="AB56" s="554"/>
      <c r="AC56" s="554"/>
      <c r="AD56" s="554"/>
      <c r="AE56" s="554"/>
      <c r="AF56" s="554"/>
      <c r="AG56" s="554"/>
      <c r="AH56" s="554"/>
      <c r="AI56" s="554"/>
      <c r="AJ56" s="554"/>
      <c r="AK56" s="554"/>
      <c r="AL56" s="554"/>
      <c r="AM56" s="554"/>
      <c r="AN56" s="554"/>
      <c r="AO56" s="554"/>
      <c r="AP56" s="554"/>
      <c r="AQ56" s="554"/>
      <c r="AR56" s="554"/>
      <c r="AS56" s="554"/>
      <c r="AT56" s="554"/>
      <c r="AU56" s="554"/>
      <c r="AV56" s="554"/>
      <c r="AX56" t="b">
        <f t="array" ref="AX56">IF($I56="",TRUE,AND($B56&lt;&gt;"",OR($C56&lt;&gt;"",$C$5&lt;&gt;""),OR($D56&lt;&gt;"",$D$5&lt;&gt;""),OR($E56&lt;&gt;"",$E$5&lt;&gt;""),OR($F56&lt;&gt;"",$F$5&lt;&gt;""),OR($G56&lt;&gt;"",$G$5&lt;&gt;""),OR($H56&lt;&gt;"",$H$5&lt;&gt;""),NOT(ISERROR($M56:$AV56)),NOT(ISNA(MATCH(IF($E56="",$E$5,$E56)&amp;IF($D56="",$D$5,$D56),DeptBU,0)))))</f>
        <v>1</v>
      </c>
      <c r="AZ56" s="255" t="str">
        <f t="shared" si="2"/>
        <v/>
      </c>
    </row>
    <row r="57" spans="1:53" hidden="1" outlineLevel="1" x14ac:dyDescent="0.35">
      <c r="A57" s="286"/>
      <c r="B57" s="554"/>
      <c r="C57" s="554"/>
      <c r="D57" s="554"/>
      <c r="E57" s="554"/>
      <c r="F57" s="554"/>
      <c r="G57" s="554"/>
      <c r="H57" s="554"/>
      <c r="I57" s="554"/>
      <c r="J57" s="554"/>
      <c r="K57" s="554"/>
      <c r="L57" s="617" t="str">
        <f>IF($I57="","",IF(AND(INDEX(Products[product_type_code],MATCH(IF($G57="",$G$5,$G57),Products[product_name],0))="PROD_CLD",INDEX(RevItems[hosting_rev],MATCH($I57,RevItems[rev_item],0))="TRUE"),"Cloud Hosting Revenue",$I57))</f>
        <v/>
      </c>
      <c r="M57" s="554"/>
      <c r="N57" s="554"/>
      <c r="O57" s="554"/>
      <c r="P57" s="554"/>
      <c r="Q57" s="554"/>
      <c r="R57" s="554"/>
      <c r="S57" s="554"/>
      <c r="T57" s="554"/>
      <c r="U57" s="554"/>
      <c r="V57" s="554"/>
      <c r="W57" s="554"/>
      <c r="X57" s="554"/>
      <c r="Y57" s="554"/>
      <c r="Z57" s="554"/>
      <c r="AA57" s="554"/>
      <c r="AB57" s="554"/>
      <c r="AC57" s="554"/>
      <c r="AD57" s="554"/>
      <c r="AE57" s="554"/>
      <c r="AF57" s="554"/>
      <c r="AG57" s="554"/>
      <c r="AH57" s="554"/>
      <c r="AI57" s="554"/>
      <c r="AJ57" s="554"/>
      <c r="AK57" s="554"/>
      <c r="AL57" s="554"/>
      <c r="AM57" s="554"/>
      <c r="AN57" s="554"/>
      <c r="AO57" s="554"/>
      <c r="AP57" s="554"/>
      <c r="AQ57" s="554"/>
      <c r="AR57" s="554"/>
      <c r="AS57" s="554"/>
      <c r="AT57" s="554"/>
      <c r="AU57" s="554"/>
      <c r="AV57" s="554"/>
      <c r="AX57" t="b">
        <f t="array" ref="AX57">IF($I57="",TRUE,AND($B57&lt;&gt;"",OR($C57&lt;&gt;"",$C$5&lt;&gt;""),OR($D57&lt;&gt;"",$D$5&lt;&gt;""),OR($E57&lt;&gt;"",$E$5&lt;&gt;""),OR($F57&lt;&gt;"",$F$5&lt;&gt;""),OR($G57&lt;&gt;"",$G$5&lt;&gt;""),OR($H57&lt;&gt;"",$H$5&lt;&gt;""),NOT(ISERROR($M57:$AV57)),NOT(ISNA(MATCH(IF($E57="",$E$5,$E57)&amp;IF($D57="",$D$5,$D57),DeptBU,0)))))</f>
        <v>1</v>
      </c>
      <c r="AZ57" s="255" t="str">
        <f t="shared" si="2"/>
        <v/>
      </c>
    </row>
    <row r="58" spans="1:53" collapsed="1" x14ac:dyDescent="0.35"/>
    <row r="59" spans="1:53" x14ac:dyDescent="0.35">
      <c r="A59" s="285" t="s">
        <v>1157</v>
      </c>
      <c r="B59" s="285" t="s">
        <v>1157</v>
      </c>
      <c r="C59" s="285" t="s">
        <v>1157</v>
      </c>
      <c r="D59" s="285" t="s">
        <v>1157</v>
      </c>
      <c r="E59" s="285" t="s">
        <v>1157</v>
      </c>
      <c r="F59" s="285" t="s">
        <v>1157</v>
      </c>
      <c r="G59" s="285" t="s">
        <v>1157</v>
      </c>
      <c r="H59" s="285" t="s">
        <v>1157</v>
      </c>
      <c r="I59" s="285" t="s">
        <v>1157</v>
      </c>
      <c r="J59" s="285" t="s">
        <v>1157</v>
      </c>
      <c r="K59" s="285" t="s">
        <v>1157</v>
      </c>
      <c r="L59" s="285" t="s">
        <v>1157</v>
      </c>
      <c r="M59" s="285" t="s">
        <v>1157</v>
      </c>
      <c r="N59" s="285" t="s">
        <v>1157</v>
      </c>
      <c r="O59" s="285" t="s">
        <v>1157</v>
      </c>
      <c r="P59" s="285" t="s">
        <v>1157</v>
      </c>
      <c r="Q59" s="285" t="s">
        <v>1157</v>
      </c>
      <c r="R59" s="285" t="s">
        <v>1157</v>
      </c>
      <c r="S59" s="285" t="s">
        <v>1157</v>
      </c>
      <c r="T59" s="285" t="s">
        <v>1157</v>
      </c>
      <c r="U59" s="285" t="s">
        <v>1157</v>
      </c>
      <c r="V59" s="285" t="s">
        <v>1157</v>
      </c>
      <c r="W59" s="285" t="s">
        <v>1157</v>
      </c>
      <c r="X59" s="285" t="s">
        <v>1157</v>
      </c>
      <c r="Y59" s="285" t="s">
        <v>1157</v>
      </c>
      <c r="Z59" s="285" t="s">
        <v>1157</v>
      </c>
      <c r="AA59" s="285" t="s">
        <v>1157</v>
      </c>
      <c r="AB59" s="285" t="s">
        <v>1157</v>
      </c>
      <c r="AC59" s="285" t="s">
        <v>1157</v>
      </c>
      <c r="AD59" s="285" t="s">
        <v>1157</v>
      </c>
      <c r="AE59" s="285" t="s">
        <v>1157</v>
      </c>
      <c r="AF59" s="285" t="s">
        <v>1157</v>
      </c>
      <c r="AG59" s="285" t="s">
        <v>1157</v>
      </c>
      <c r="AH59" s="285" t="s">
        <v>1157</v>
      </c>
      <c r="AI59" s="285" t="s">
        <v>1157</v>
      </c>
      <c r="AJ59" s="285" t="s">
        <v>1157</v>
      </c>
      <c r="AK59" s="285" t="s">
        <v>1157</v>
      </c>
      <c r="AL59" s="285" t="s">
        <v>1157</v>
      </c>
      <c r="AM59" s="285" t="s">
        <v>1157</v>
      </c>
      <c r="AN59" s="285" t="s">
        <v>1157</v>
      </c>
      <c r="AO59" s="285" t="s">
        <v>1157</v>
      </c>
      <c r="AP59" s="285" t="s">
        <v>1157</v>
      </c>
      <c r="AQ59" s="285" t="s">
        <v>1157</v>
      </c>
      <c r="AR59" s="285" t="s">
        <v>1157</v>
      </c>
      <c r="AS59" s="285" t="s">
        <v>1157</v>
      </c>
      <c r="AT59" s="285" t="s">
        <v>1157</v>
      </c>
      <c r="AU59" s="285" t="s">
        <v>1157</v>
      </c>
      <c r="AV59" s="285" t="s">
        <v>1157</v>
      </c>
      <c r="AW59" s="285" t="s">
        <v>1157</v>
      </c>
      <c r="AX59" s="285" t="s">
        <v>1157</v>
      </c>
      <c r="AY59" s="285" t="s">
        <v>1157</v>
      </c>
      <c r="AZ59" s="285" t="s">
        <v>1157</v>
      </c>
      <c r="BA59" s="285" t="s">
        <v>1157</v>
      </c>
    </row>
  </sheetData>
  <sheetProtection algorithmName="SHA-512" hashValue="0+rm5hR3N2K2JPwSpduHjkXqxfWw6mpxc4XjRiAC6nKsfUEYjwVZTEjkC4awy+PgnXGeow6VSiPsLWGfpNQ27A==" saltValue="g7p5bWFXIy0eKyAANd9pzA==" spinCount="100000" sheet="1" objects="1" scenarios="1"/>
  <conditionalFormatting sqref="B7:AV57">
    <cfRule type="expression" dxfId="26" priority="2">
      <formula>NOT(ISEVEN(ROW(B7)))</formula>
    </cfRule>
    <cfRule type="expression" dxfId="25" priority="3">
      <formula>ISEVEN(ROW(B7))</formula>
    </cfRule>
  </conditionalFormatting>
  <conditionalFormatting sqref="B7:H57">
    <cfRule type="expression" dxfId="24" priority="37">
      <formula>AND(B7="",B$5="",NOT($AX7))</formula>
    </cfRule>
  </conditionalFormatting>
  <conditionalFormatting sqref="D7:E57">
    <cfRule type="expression" dxfId="23" priority="36" stopIfTrue="1">
      <formula>AND($I7&lt;&gt;"",ISNA(MATCH(IF($E7="",$E$5,$E7)&amp;IF($D7="",$D$5,$D7),DeptBU,0)))</formula>
    </cfRule>
  </conditionalFormatting>
  <conditionalFormatting sqref="B7:L57">
    <cfRule type="expression" dxfId="22" priority="1">
      <formula>OR(ISERROR($M7:$AV7))</formula>
    </cfRule>
  </conditionalFormatting>
  <dataValidations disablePrompts="1" count="11">
    <dataValidation type="list" allowBlank="1" showInputMessage="1" showErrorMessage="1" sqref="C7:C57 C5">
      <formula1>DV_Companies</formula1>
    </dataValidation>
    <dataValidation type="list" allowBlank="1" showInputMessage="1" showErrorMessage="1" sqref="D7:D57 D5">
      <formula1>DV_Business_Units</formula1>
    </dataValidation>
    <dataValidation type="list" allowBlank="1" showInputMessage="1" showErrorMessage="1" sqref="E7:E57 E5">
      <formula1>DV_Departments</formula1>
    </dataValidation>
    <dataValidation type="list" allowBlank="1" showInputMessage="1" showErrorMessage="1" sqref="F7:F57 F5">
      <formula1>DV_Teams</formula1>
    </dataValidation>
    <dataValidation type="list" allowBlank="1" showInputMessage="1" showErrorMessage="1" sqref="G7:G57 G5">
      <formula1>DV_Products</formula1>
    </dataValidation>
    <dataValidation type="list" allowBlank="1" showInputMessage="1" showErrorMessage="1" sqref="H7:H57 H5">
      <formula1>DV_Locations</formula1>
    </dataValidation>
    <dataValidation type="textLength" operator="lessThanOrEqual" allowBlank="1" showInputMessage="1" showErrorMessage="1" sqref="K7:K57">
      <formula1>255</formula1>
    </dataValidation>
    <dataValidation type="list" allowBlank="1" showInputMessage="1" showErrorMessage="1" sqref="I7:I57">
      <formula1>DV_Revenue_Items</formula1>
    </dataValidation>
    <dataValidation type="list" allowBlank="1" showInputMessage="1" showErrorMessage="1" sqref="B7:B57">
      <formula1>DV_RevenueScenarios</formula1>
    </dataValidation>
    <dataValidation type="list" allowBlank="1" showInputMessage="1" showErrorMessage="1" sqref="J7:J57">
      <formula1>DV_Categories</formula1>
    </dataValidation>
    <dataValidation operator="lessThanOrEqual" showInputMessage="1" showErrorMessage="1" sqref="L7:L57"/>
  </dataValidations>
  <pageMargins left="0.7" right="0.7" top="0.75" bottom="0.75" header="0.3" footer="0.3"/>
  <pageSetup orientation="portrait" r:id="rId1"/>
  <drawing r:id="rId2"/>
  <legacyDrawing r:id="rId3"/>
  <controls>
    <mc:AlternateContent xmlns:mc="http://schemas.openxmlformats.org/markup-compatibility/2006">
      <mc:Choice Requires="x14">
        <control shapeId="27654" r:id="rId4" name="ColumnsButton">
          <controlPr defaultSize="0" autoLine="0" r:id="rId5">
            <anchor moveWithCells="1">
              <from>
                <xdr:col>0</xdr:col>
                <xdr:colOff>203200</xdr:colOff>
                <xdr:row>0</xdr:row>
                <xdr:rowOff>152400</xdr:rowOff>
              </from>
              <to>
                <xdr:col>2</xdr:col>
                <xdr:colOff>6350</xdr:colOff>
                <xdr:row>2</xdr:row>
                <xdr:rowOff>127000</xdr:rowOff>
              </to>
            </anchor>
          </controlPr>
        </control>
      </mc:Choice>
      <mc:Fallback>
        <control shapeId="27654" r:id="rId4" name="ColumnsButton"/>
      </mc:Fallback>
    </mc:AlternateContent>
    <mc:AlternateContent xmlns:mc="http://schemas.openxmlformats.org/markup-compatibility/2006">
      <mc:Choice Requires="x14">
        <control shapeId="27653" r:id="rId6" name="AddRecordsButton">
          <controlPr defaultSize="0" autoLine="0" r:id="rId7">
            <anchor moveWithCells="1">
              <from>
                <xdr:col>9</xdr:col>
                <xdr:colOff>57150</xdr:colOff>
                <xdr:row>0</xdr:row>
                <xdr:rowOff>152400</xdr:rowOff>
              </from>
              <to>
                <xdr:col>10</xdr:col>
                <xdr:colOff>228600</xdr:colOff>
                <xdr:row>2</xdr:row>
                <xdr:rowOff>127000</xdr:rowOff>
              </to>
            </anchor>
          </controlPr>
        </control>
      </mc:Choice>
      <mc:Fallback>
        <control shapeId="27653" r:id="rId6" name="AddRecordsButto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Headcount">
    <tabColor theme="5"/>
  </sheetPr>
  <dimension ref="A1:AZ1443"/>
  <sheetViews>
    <sheetView showGridLines="0" zoomScale="70" zoomScaleNormal="70" workbookViewId="0">
      <pane xSplit="11" ySplit="5" topLeftCell="L80" activePane="bottomRight" state="frozen"/>
      <selection activeCell="L80" sqref="L80"/>
      <selection pane="topRight" activeCell="L80" sqref="L80"/>
      <selection pane="bottomLeft" activeCell="L80" sqref="L80"/>
      <selection pane="bottomRight" activeCell="L80" sqref="L80"/>
    </sheetView>
  </sheetViews>
  <sheetFormatPr defaultRowHeight="14.5" outlineLevelRow="1" outlineLevelCol="1" x14ac:dyDescent="0.35"/>
  <cols>
    <col min="1" max="1" width="3.7265625" customWidth="1"/>
    <col min="2" max="2" width="12.7265625" customWidth="1"/>
    <col min="3" max="5" width="15.7265625" customWidth="1"/>
    <col min="6" max="6" width="12.7265625" customWidth="1"/>
    <col min="7" max="7" width="15.7265625" customWidth="1"/>
    <col min="8" max="8" width="40.7265625" customWidth="1"/>
    <col min="9" max="10" width="15.7265625" customWidth="1"/>
    <col min="11" max="11" width="15.7265625" hidden="1" customWidth="1" outlineLevel="1"/>
    <col min="12" max="12" width="13.7265625" customWidth="1" collapsed="1"/>
    <col min="13" max="47" width="13.7265625" customWidth="1"/>
    <col min="49" max="51" width="9.1796875" hidden="1" customWidth="1" outlineLevel="1"/>
    <col min="52" max="52" width="9.1796875" collapsed="1"/>
  </cols>
  <sheetData>
    <row r="1" spans="1:51" x14ac:dyDescent="0.35">
      <c r="F1" s="286"/>
      <c r="G1" s="286"/>
    </row>
    <row r="2" spans="1:51" x14ac:dyDescent="0.35">
      <c r="L2" s="254"/>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W2" s="265" t="s">
        <v>1216</v>
      </c>
      <c r="AX2" s="265" t="s">
        <v>1145</v>
      </c>
      <c r="AY2" s="265" t="s">
        <v>1144</v>
      </c>
    </row>
    <row r="3" spans="1:51" x14ac:dyDescent="0.35">
      <c r="L3" s="559">
        <f>ForecastStartDate[start_date]</f>
        <v>41275</v>
      </c>
      <c r="M3" s="559">
        <f t="shared" ref="M3:AU3" si="0">DATE(YEAR(L3),MONTH(L3)+1,DAY(L3))</f>
        <v>41306</v>
      </c>
      <c r="N3" s="559">
        <f t="shared" si="0"/>
        <v>41334</v>
      </c>
      <c r="O3" s="559">
        <f t="shared" si="0"/>
        <v>41365</v>
      </c>
      <c r="P3" s="559">
        <f t="shared" si="0"/>
        <v>41395</v>
      </c>
      <c r="Q3" s="559">
        <f t="shared" si="0"/>
        <v>41426</v>
      </c>
      <c r="R3" s="559">
        <f t="shared" si="0"/>
        <v>41456</v>
      </c>
      <c r="S3" s="559">
        <f t="shared" si="0"/>
        <v>41487</v>
      </c>
      <c r="T3" s="559">
        <f t="shared" si="0"/>
        <v>41518</v>
      </c>
      <c r="U3" s="559">
        <f t="shared" si="0"/>
        <v>41548</v>
      </c>
      <c r="V3" s="559">
        <f t="shared" si="0"/>
        <v>41579</v>
      </c>
      <c r="W3" s="559">
        <f t="shared" si="0"/>
        <v>41609</v>
      </c>
      <c r="X3" s="559">
        <f t="shared" si="0"/>
        <v>41640</v>
      </c>
      <c r="Y3" s="559">
        <f t="shared" si="0"/>
        <v>41671</v>
      </c>
      <c r="Z3" s="559">
        <f t="shared" si="0"/>
        <v>41699</v>
      </c>
      <c r="AA3" s="559">
        <f t="shared" si="0"/>
        <v>41730</v>
      </c>
      <c r="AB3" s="559">
        <f t="shared" si="0"/>
        <v>41760</v>
      </c>
      <c r="AC3" s="559">
        <f t="shared" si="0"/>
        <v>41791</v>
      </c>
      <c r="AD3" s="559">
        <f t="shared" si="0"/>
        <v>41821</v>
      </c>
      <c r="AE3" s="559">
        <f t="shared" si="0"/>
        <v>41852</v>
      </c>
      <c r="AF3" s="559">
        <f t="shared" si="0"/>
        <v>41883</v>
      </c>
      <c r="AG3" s="559">
        <f t="shared" si="0"/>
        <v>41913</v>
      </c>
      <c r="AH3" s="559">
        <f t="shared" si="0"/>
        <v>41944</v>
      </c>
      <c r="AI3" s="559">
        <f t="shared" si="0"/>
        <v>41974</v>
      </c>
      <c r="AJ3" s="559">
        <f t="shared" si="0"/>
        <v>42005</v>
      </c>
      <c r="AK3" s="559">
        <f t="shared" si="0"/>
        <v>42036</v>
      </c>
      <c r="AL3" s="559">
        <f t="shared" si="0"/>
        <v>42064</v>
      </c>
      <c r="AM3" s="559">
        <f t="shared" si="0"/>
        <v>42095</v>
      </c>
      <c r="AN3" s="559">
        <f t="shared" si="0"/>
        <v>42125</v>
      </c>
      <c r="AO3" s="559">
        <f t="shared" si="0"/>
        <v>42156</v>
      </c>
      <c r="AP3" s="559">
        <f t="shared" si="0"/>
        <v>42186</v>
      </c>
      <c r="AQ3" s="559">
        <f t="shared" si="0"/>
        <v>42217</v>
      </c>
      <c r="AR3" s="559">
        <f t="shared" si="0"/>
        <v>42248</v>
      </c>
      <c r="AS3" s="559">
        <f t="shared" si="0"/>
        <v>42278</v>
      </c>
      <c r="AT3" s="559">
        <f t="shared" si="0"/>
        <v>42309</v>
      </c>
      <c r="AU3" s="559">
        <f t="shared" si="0"/>
        <v>42339</v>
      </c>
    </row>
    <row r="4" spans="1:51" ht="16" x14ac:dyDescent="0.5">
      <c r="B4" s="336" t="s">
        <v>218</v>
      </c>
      <c r="C4" s="336" t="s">
        <v>1148</v>
      </c>
      <c r="D4" s="336" t="s">
        <v>208</v>
      </c>
      <c r="E4" s="336" t="s">
        <v>206</v>
      </c>
      <c r="F4" s="336" t="s">
        <v>209</v>
      </c>
      <c r="G4" s="336" t="s">
        <v>207</v>
      </c>
      <c r="H4" s="336" t="s">
        <v>1156</v>
      </c>
      <c r="I4" s="336" t="s">
        <v>1215</v>
      </c>
      <c r="J4" s="336" t="s">
        <v>1146</v>
      </c>
      <c r="K4" s="336" t="s">
        <v>2605</v>
      </c>
      <c r="L4" s="284" t="s">
        <v>1136</v>
      </c>
      <c r="M4" s="284" t="s">
        <v>1136</v>
      </c>
      <c r="N4" s="284" t="s">
        <v>1136</v>
      </c>
      <c r="O4" s="284" t="s">
        <v>1136</v>
      </c>
      <c r="P4" s="284" t="s">
        <v>1136</v>
      </c>
      <c r="Q4" s="284" t="s">
        <v>1136</v>
      </c>
      <c r="R4" s="284" t="s">
        <v>1136</v>
      </c>
      <c r="S4" s="284" t="s">
        <v>1136</v>
      </c>
      <c r="T4" s="284" t="s">
        <v>1136</v>
      </c>
      <c r="U4" s="284" t="s">
        <v>1136</v>
      </c>
      <c r="V4" s="284" t="s">
        <v>1136</v>
      </c>
      <c r="W4" s="284" t="s">
        <v>1136</v>
      </c>
      <c r="X4" s="284" t="s">
        <v>1136</v>
      </c>
      <c r="Y4" s="284" t="s">
        <v>1136</v>
      </c>
      <c r="Z4" s="284" t="s">
        <v>1136</v>
      </c>
      <c r="AA4" s="284" t="s">
        <v>1136</v>
      </c>
      <c r="AB4" s="284" t="s">
        <v>1136</v>
      </c>
      <c r="AC4" s="284" t="s">
        <v>1136</v>
      </c>
      <c r="AD4" s="284" t="s">
        <v>1136</v>
      </c>
      <c r="AE4" s="284" t="s">
        <v>1136</v>
      </c>
      <c r="AF4" s="284" t="s">
        <v>1136</v>
      </c>
      <c r="AG4" s="284" t="s">
        <v>1136</v>
      </c>
      <c r="AH4" s="284" t="s">
        <v>1136</v>
      </c>
      <c r="AI4" s="284" t="s">
        <v>1136</v>
      </c>
      <c r="AJ4" s="284" t="s">
        <v>1136</v>
      </c>
      <c r="AK4" s="284" t="s">
        <v>1136</v>
      </c>
      <c r="AL4" s="284" t="s">
        <v>1136</v>
      </c>
      <c r="AM4" s="284" t="s">
        <v>1136</v>
      </c>
      <c r="AN4" s="284" t="s">
        <v>1136</v>
      </c>
      <c r="AO4" s="284" t="s">
        <v>1136</v>
      </c>
      <c r="AP4" s="284" t="s">
        <v>1136</v>
      </c>
      <c r="AQ4" s="284" t="s">
        <v>1136</v>
      </c>
      <c r="AR4" s="284" t="s">
        <v>1136</v>
      </c>
      <c r="AS4" s="284" t="s">
        <v>1136</v>
      </c>
      <c r="AT4" s="284" t="s">
        <v>1136</v>
      </c>
      <c r="AU4" s="284" t="s">
        <v>1136</v>
      </c>
      <c r="AW4" t="b">
        <f>AND(AW81:AW181,AW291:AW391)</f>
        <v>1</v>
      </c>
      <c r="AX4" s="253" t="str">
        <f ca="1">MID(CELL("filename",AX4),FIND("[",CELL("filename",AX4))+1,FIND("]",CELL("filename",AX4))-FIND("[",CELL("filename",AX4))-1)</f>
        <v>BG3 - Template.xlsm</v>
      </c>
      <c r="AY4" s="264" t="str">
        <f ca="1">MID(CELL("filename",AY4),FIND("]",CELL("filename",AY4))+1,256)</f>
        <v>Headcount</v>
      </c>
    </row>
    <row r="5" spans="1:51" x14ac:dyDescent="0.35">
      <c r="B5" s="648"/>
      <c r="C5" s="648"/>
      <c r="D5" s="648"/>
      <c r="E5" s="648"/>
      <c r="F5" s="648"/>
      <c r="G5" s="648"/>
      <c r="H5" s="557" t="s">
        <v>1272</v>
      </c>
      <c r="I5" s="336"/>
      <c r="J5" s="336"/>
      <c r="K5" s="336"/>
      <c r="AX5" s="253"/>
      <c r="AY5" s="264">
        <v>0</v>
      </c>
    </row>
    <row r="6" spans="1:51" x14ac:dyDescent="0.35">
      <c r="A6" s="560"/>
      <c r="G6" s="562"/>
      <c r="J6" s="563"/>
      <c r="K6" s="563"/>
      <c r="L6" s="571"/>
      <c r="M6" s="571"/>
      <c r="N6" s="571"/>
      <c r="O6" s="571"/>
      <c r="P6" s="571"/>
      <c r="Q6" s="571"/>
      <c r="R6" s="571"/>
      <c r="S6" s="571"/>
      <c r="T6" s="571"/>
      <c r="U6" s="571"/>
      <c r="V6" s="571"/>
      <c r="W6" s="571"/>
      <c r="X6" s="571"/>
      <c r="Y6" s="571"/>
      <c r="Z6" s="571"/>
      <c r="AA6" s="571"/>
      <c r="AB6" s="571"/>
      <c r="AC6" s="571"/>
      <c r="AD6" s="571"/>
      <c r="AE6" s="571"/>
      <c r="AF6" s="571"/>
      <c r="AG6" s="571"/>
      <c r="AH6" s="571"/>
      <c r="AI6" s="571"/>
      <c r="AJ6" s="571"/>
      <c r="AK6" s="571"/>
      <c r="AL6" s="571"/>
      <c r="AM6" s="571"/>
      <c r="AN6" s="571"/>
      <c r="AO6" s="571"/>
      <c r="AP6" s="571"/>
      <c r="AQ6" s="571"/>
      <c r="AR6" s="571"/>
      <c r="AS6" s="571"/>
      <c r="AT6" s="571"/>
      <c r="AU6" s="571"/>
      <c r="AX6" s="253"/>
      <c r="AY6" s="264"/>
    </row>
    <row r="7" spans="1:51" x14ac:dyDescent="0.35">
      <c r="A7" s="560"/>
      <c r="G7" s="587" t="s">
        <v>1</v>
      </c>
      <c r="J7" s="563"/>
      <c r="K7" s="563"/>
      <c r="L7" s="571"/>
      <c r="M7" s="571"/>
      <c r="N7" s="571"/>
      <c r="O7" s="571"/>
      <c r="P7" s="571"/>
      <c r="Q7" s="571"/>
      <c r="R7" s="571"/>
      <c r="S7" s="571"/>
      <c r="T7" s="571"/>
      <c r="U7" s="571"/>
      <c r="V7" s="571"/>
      <c r="W7" s="571"/>
      <c r="X7" s="571"/>
      <c r="Y7" s="571"/>
      <c r="Z7" s="571"/>
      <c r="AA7" s="571"/>
      <c r="AB7" s="571"/>
      <c r="AC7" s="571"/>
      <c r="AD7" s="571"/>
      <c r="AE7" s="571"/>
      <c r="AF7" s="571"/>
      <c r="AG7" s="571"/>
      <c r="AH7" s="571"/>
      <c r="AI7" s="571"/>
      <c r="AJ7" s="571"/>
      <c r="AK7" s="571"/>
      <c r="AL7" s="571"/>
      <c r="AM7" s="571"/>
      <c r="AN7" s="571"/>
      <c r="AO7" s="571"/>
      <c r="AP7" s="571"/>
      <c r="AQ7" s="571"/>
      <c r="AR7" s="571"/>
      <c r="AS7" s="571"/>
      <c r="AT7" s="571"/>
      <c r="AU7" s="571"/>
      <c r="AX7" s="253"/>
      <c r="AY7" s="264"/>
    </row>
    <row r="8" spans="1:51" x14ac:dyDescent="0.35">
      <c r="A8" s="560"/>
      <c r="G8" s="562" t="s">
        <v>1166</v>
      </c>
      <c r="K8" s="563" t="s">
        <v>76</v>
      </c>
      <c r="L8" s="572">
        <f t="shared" ref="L8:U11" si="1">SUMIFS(L$396:L$496,$J$396:$J$496,$K8)</f>
        <v>0</v>
      </c>
      <c r="M8" s="572">
        <f t="shared" si="1"/>
        <v>0</v>
      </c>
      <c r="N8" s="572">
        <f t="shared" si="1"/>
        <v>0</v>
      </c>
      <c r="O8" s="572">
        <f t="shared" si="1"/>
        <v>0</v>
      </c>
      <c r="P8" s="572">
        <f t="shared" si="1"/>
        <v>0</v>
      </c>
      <c r="Q8" s="572">
        <f t="shared" si="1"/>
        <v>0</v>
      </c>
      <c r="R8" s="572">
        <f t="shared" si="1"/>
        <v>0</v>
      </c>
      <c r="S8" s="572">
        <f t="shared" si="1"/>
        <v>0</v>
      </c>
      <c r="T8" s="572">
        <f t="shared" si="1"/>
        <v>0</v>
      </c>
      <c r="U8" s="572">
        <f t="shared" si="1"/>
        <v>0</v>
      </c>
      <c r="V8" s="572">
        <f t="shared" ref="V8:AE11" si="2">SUMIFS(V$396:V$496,$J$396:$J$496,$K8)</f>
        <v>0</v>
      </c>
      <c r="W8" s="572">
        <f t="shared" si="2"/>
        <v>0</v>
      </c>
      <c r="X8" s="572">
        <f t="shared" si="2"/>
        <v>0</v>
      </c>
      <c r="Y8" s="572">
        <f t="shared" si="2"/>
        <v>0</v>
      </c>
      <c r="Z8" s="572">
        <f t="shared" si="2"/>
        <v>0</v>
      </c>
      <c r="AA8" s="572">
        <f t="shared" si="2"/>
        <v>0</v>
      </c>
      <c r="AB8" s="572">
        <f t="shared" si="2"/>
        <v>0</v>
      </c>
      <c r="AC8" s="572">
        <f t="shared" si="2"/>
        <v>0</v>
      </c>
      <c r="AD8" s="572">
        <f t="shared" si="2"/>
        <v>0</v>
      </c>
      <c r="AE8" s="572">
        <f t="shared" si="2"/>
        <v>0</v>
      </c>
      <c r="AF8" s="572">
        <f t="shared" ref="AF8:AO11" si="3">SUMIFS(AF$396:AF$496,$J$396:$J$496,$K8)</f>
        <v>0</v>
      </c>
      <c r="AG8" s="572">
        <f t="shared" si="3"/>
        <v>0</v>
      </c>
      <c r="AH8" s="572">
        <f t="shared" si="3"/>
        <v>0</v>
      </c>
      <c r="AI8" s="572">
        <f t="shared" si="3"/>
        <v>0</v>
      </c>
      <c r="AJ8" s="572">
        <f t="shared" si="3"/>
        <v>0</v>
      </c>
      <c r="AK8" s="572">
        <f t="shared" si="3"/>
        <v>0</v>
      </c>
      <c r="AL8" s="572">
        <f t="shared" si="3"/>
        <v>0</v>
      </c>
      <c r="AM8" s="572">
        <f t="shared" si="3"/>
        <v>0</v>
      </c>
      <c r="AN8" s="572">
        <f t="shared" si="3"/>
        <v>0</v>
      </c>
      <c r="AO8" s="572">
        <f t="shared" si="3"/>
        <v>0</v>
      </c>
      <c r="AP8" s="572">
        <f t="shared" ref="AP8:AU11" si="4">SUMIFS(AP$396:AP$496,$J$396:$J$496,$K8)</f>
        <v>0</v>
      </c>
      <c r="AQ8" s="572">
        <f t="shared" si="4"/>
        <v>0</v>
      </c>
      <c r="AR8" s="572">
        <f t="shared" si="4"/>
        <v>0</v>
      </c>
      <c r="AS8" s="572">
        <f t="shared" si="4"/>
        <v>0</v>
      </c>
      <c r="AT8" s="572">
        <f t="shared" si="4"/>
        <v>0</v>
      </c>
      <c r="AU8" s="572">
        <f t="shared" si="4"/>
        <v>0</v>
      </c>
      <c r="AX8" s="253"/>
      <c r="AY8" s="264"/>
    </row>
    <row r="9" spans="1:51" x14ac:dyDescent="0.35">
      <c r="A9" s="560"/>
      <c r="G9" s="562" t="s">
        <v>1167</v>
      </c>
      <c r="K9" s="563" t="s">
        <v>110</v>
      </c>
      <c r="L9" s="574">
        <f t="shared" si="1"/>
        <v>0</v>
      </c>
      <c r="M9" s="574">
        <f t="shared" si="1"/>
        <v>0</v>
      </c>
      <c r="N9" s="574">
        <f t="shared" si="1"/>
        <v>0</v>
      </c>
      <c r="O9" s="574">
        <f t="shared" si="1"/>
        <v>0</v>
      </c>
      <c r="P9" s="574">
        <f t="shared" si="1"/>
        <v>0</v>
      </c>
      <c r="Q9" s="574">
        <f t="shared" si="1"/>
        <v>0</v>
      </c>
      <c r="R9" s="574">
        <f t="shared" si="1"/>
        <v>0</v>
      </c>
      <c r="S9" s="574">
        <f t="shared" si="1"/>
        <v>0</v>
      </c>
      <c r="T9" s="574">
        <f t="shared" si="1"/>
        <v>0</v>
      </c>
      <c r="U9" s="574">
        <f t="shared" si="1"/>
        <v>0</v>
      </c>
      <c r="V9" s="574">
        <f t="shared" si="2"/>
        <v>0</v>
      </c>
      <c r="W9" s="574">
        <f t="shared" si="2"/>
        <v>0</v>
      </c>
      <c r="X9" s="574">
        <f t="shared" si="2"/>
        <v>0</v>
      </c>
      <c r="Y9" s="574">
        <f t="shared" si="2"/>
        <v>0</v>
      </c>
      <c r="Z9" s="574">
        <f t="shared" si="2"/>
        <v>0</v>
      </c>
      <c r="AA9" s="574">
        <f t="shared" si="2"/>
        <v>0</v>
      </c>
      <c r="AB9" s="574">
        <f t="shared" si="2"/>
        <v>0</v>
      </c>
      <c r="AC9" s="574">
        <f t="shared" si="2"/>
        <v>0</v>
      </c>
      <c r="AD9" s="574">
        <f t="shared" si="2"/>
        <v>0</v>
      </c>
      <c r="AE9" s="574">
        <f t="shared" si="2"/>
        <v>0</v>
      </c>
      <c r="AF9" s="574">
        <f t="shared" si="3"/>
        <v>0</v>
      </c>
      <c r="AG9" s="574">
        <f t="shared" si="3"/>
        <v>0</v>
      </c>
      <c r="AH9" s="574">
        <f t="shared" si="3"/>
        <v>0</v>
      </c>
      <c r="AI9" s="574">
        <f t="shared" si="3"/>
        <v>0</v>
      </c>
      <c r="AJ9" s="574">
        <f t="shared" si="3"/>
        <v>0</v>
      </c>
      <c r="AK9" s="574">
        <f t="shared" si="3"/>
        <v>0</v>
      </c>
      <c r="AL9" s="574">
        <f t="shared" si="3"/>
        <v>0</v>
      </c>
      <c r="AM9" s="574">
        <f t="shared" si="3"/>
        <v>0</v>
      </c>
      <c r="AN9" s="574">
        <f t="shared" si="3"/>
        <v>0</v>
      </c>
      <c r="AO9" s="574">
        <f t="shared" si="3"/>
        <v>0</v>
      </c>
      <c r="AP9" s="574">
        <f t="shared" si="4"/>
        <v>0</v>
      </c>
      <c r="AQ9" s="574">
        <f t="shared" si="4"/>
        <v>0</v>
      </c>
      <c r="AR9" s="574">
        <f t="shared" si="4"/>
        <v>0</v>
      </c>
      <c r="AS9" s="574">
        <f t="shared" si="4"/>
        <v>0</v>
      </c>
      <c r="AT9" s="574">
        <f t="shared" si="4"/>
        <v>0</v>
      </c>
      <c r="AU9" s="574">
        <f t="shared" si="4"/>
        <v>0</v>
      </c>
      <c r="AX9" s="253"/>
      <c r="AY9" s="264"/>
    </row>
    <row r="10" spans="1:51" x14ac:dyDescent="0.35">
      <c r="A10" s="560"/>
      <c r="G10" s="562" t="s">
        <v>1168</v>
      </c>
      <c r="K10" s="563" t="s">
        <v>143</v>
      </c>
      <c r="L10" s="574">
        <f t="shared" si="1"/>
        <v>0</v>
      </c>
      <c r="M10" s="574">
        <f t="shared" si="1"/>
        <v>0</v>
      </c>
      <c r="N10" s="574">
        <f t="shared" si="1"/>
        <v>0</v>
      </c>
      <c r="O10" s="574">
        <f t="shared" si="1"/>
        <v>0</v>
      </c>
      <c r="P10" s="574">
        <f t="shared" si="1"/>
        <v>0</v>
      </c>
      <c r="Q10" s="574">
        <f t="shared" si="1"/>
        <v>0</v>
      </c>
      <c r="R10" s="574">
        <f t="shared" si="1"/>
        <v>0</v>
      </c>
      <c r="S10" s="574">
        <f t="shared" si="1"/>
        <v>0</v>
      </c>
      <c r="T10" s="574">
        <f t="shared" si="1"/>
        <v>0</v>
      </c>
      <c r="U10" s="574">
        <f t="shared" si="1"/>
        <v>0</v>
      </c>
      <c r="V10" s="574">
        <f t="shared" si="2"/>
        <v>0</v>
      </c>
      <c r="W10" s="574">
        <f t="shared" si="2"/>
        <v>0</v>
      </c>
      <c r="X10" s="574">
        <f t="shared" si="2"/>
        <v>0</v>
      </c>
      <c r="Y10" s="574">
        <f t="shared" si="2"/>
        <v>0</v>
      </c>
      <c r="Z10" s="574">
        <f t="shared" si="2"/>
        <v>0</v>
      </c>
      <c r="AA10" s="574">
        <f t="shared" si="2"/>
        <v>0</v>
      </c>
      <c r="AB10" s="574">
        <f t="shared" si="2"/>
        <v>0</v>
      </c>
      <c r="AC10" s="574">
        <f t="shared" si="2"/>
        <v>0</v>
      </c>
      <c r="AD10" s="574">
        <f t="shared" si="2"/>
        <v>0</v>
      </c>
      <c r="AE10" s="574">
        <f t="shared" si="2"/>
        <v>0</v>
      </c>
      <c r="AF10" s="574">
        <f t="shared" si="3"/>
        <v>0</v>
      </c>
      <c r="AG10" s="574">
        <f t="shared" si="3"/>
        <v>0</v>
      </c>
      <c r="AH10" s="574">
        <f t="shared" si="3"/>
        <v>0</v>
      </c>
      <c r="AI10" s="574">
        <f t="shared" si="3"/>
        <v>0</v>
      </c>
      <c r="AJ10" s="574">
        <f t="shared" si="3"/>
        <v>0</v>
      </c>
      <c r="AK10" s="574">
        <f t="shared" si="3"/>
        <v>0</v>
      </c>
      <c r="AL10" s="574">
        <f t="shared" si="3"/>
        <v>0</v>
      </c>
      <c r="AM10" s="574">
        <f t="shared" si="3"/>
        <v>0</v>
      </c>
      <c r="AN10" s="574">
        <f t="shared" si="3"/>
        <v>0</v>
      </c>
      <c r="AO10" s="574">
        <f t="shared" si="3"/>
        <v>0</v>
      </c>
      <c r="AP10" s="574">
        <f t="shared" si="4"/>
        <v>0</v>
      </c>
      <c r="AQ10" s="574">
        <f t="shared" si="4"/>
        <v>0</v>
      </c>
      <c r="AR10" s="574">
        <f t="shared" si="4"/>
        <v>0</v>
      </c>
      <c r="AS10" s="574">
        <f t="shared" si="4"/>
        <v>0</v>
      </c>
      <c r="AT10" s="574">
        <f t="shared" si="4"/>
        <v>0</v>
      </c>
      <c r="AU10" s="574">
        <f t="shared" si="4"/>
        <v>0</v>
      </c>
      <c r="AX10" s="253"/>
      <c r="AY10" s="264"/>
    </row>
    <row r="11" spans="1:51" ht="16" x14ac:dyDescent="0.5">
      <c r="A11" s="560"/>
      <c r="G11" s="562" t="s">
        <v>1165</v>
      </c>
      <c r="K11" s="563" t="s">
        <v>175</v>
      </c>
      <c r="L11" s="575">
        <f t="shared" si="1"/>
        <v>0</v>
      </c>
      <c r="M11" s="575">
        <f t="shared" si="1"/>
        <v>0</v>
      </c>
      <c r="N11" s="575">
        <f t="shared" si="1"/>
        <v>0</v>
      </c>
      <c r="O11" s="575">
        <f t="shared" si="1"/>
        <v>0</v>
      </c>
      <c r="P11" s="575">
        <f t="shared" si="1"/>
        <v>0</v>
      </c>
      <c r="Q11" s="575">
        <f t="shared" si="1"/>
        <v>0</v>
      </c>
      <c r="R11" s="575">
        <f t="shared" si="1"/>
        <v>0</v>
      </c>
      <c r="S11" s="575">
        <f t="shared" si="1"/>
        <v>0</v>
      </c>
      <c r="T11" s="575">
        <f t="shared" si="1"/>
        <v>0</v>
      </c>
      <c r="U11" s="575">
        <f t="shared" si="1"/>
        <v>0</v>
      </c>
      <c r="V11" s="575">
        <f t="shared" si="2"/>
        <v>0</v>
      </c>
      <c r="W11" s="575">
        <f t="shared" si="2"/>
        <v>0</v>
      </c>
      <c r="X11" s="575">
        <f t="shared" si="2"/>
        <v>0</v>
      </c>
      <c r="Y11" s="575">
        <f t="shared" si="2"/>
        <v>0</v>
      </c>
      <c r="Z11" s="575">
        <f t="shared" si="2"/>
        <v>0</v>
      </c>
      <c r="AA11" s="575">
        <f t="shared" si="2"/>
        <v>0</v>
      </c>
      <c r="AB11" s="575">
        <f t="shared" si="2"/>
        <v>0</v>
      </c>
      <c r="AC11" s="575">
        <f t="shared" si="2"/>
        <v>0</v>
      </c>
      <c r="AD11" s="575">
        <f t="shared" si="2"/>
        <v>0</v>
      </c>
      <c r="AE11" s="575">
        <f t="shared" si="2"/>
        <v>0</v>
      </c>
      <c r="AF11" s="575">
        <f t="shared" si="3"/>
        <v>0</v>
      </c>
      <c r="AG11" s="575">
        <f t="shared" si="3"/>
        <v>0</v>
      </c>
      <c r="AH11" s="575">
        <f t="shared" si="3"/>
        <v>0</v>
      </c>
      <c r="AI11" s="575">
        <f t="shared" si="3"/>
        <v>0</v>
      </c>
      <c r="AJ11" s="575">
        <f t="shared" si="3"/>
        <v>0</v>
      </c>
      <c r="AK11" s="575">
        <f t="shared" si="3"/>
        <v>0</v>
      </c>
      <c r="AL11" s="575">
        <f t="shared" si="3"/>
        <v>0</v>
      </c>
      <c r="AM11" s="575">
        <f t="shared" si="3"/>
        <v>0</v>
      </c>
      <c r="AN11" s="575">
        <f t="shared" si="3"/>
        <v>0</v>
      </c>
      <c r="AO11" s="575">
        <f t="shared" si="3"/>
        <v>0</v>
      </c>
      <c r="AP11" s="575">
        <f t="shared" si="4"/>
        <v>0</v>
      </c>
      <c r="AQ11" s="575">
        <f t="shared" si="4"/>
        <v>0</v>
      </c>
      <c r="AR11" s="575">
        <f t="shared" si="4"/>
        <v>0</v>
      </c>
      <c r="AS11" s="575">
        <f t="shared" si="4"/>
        <v>0</v>
      </c>
      <c r="AT11" s="575">
        <f t="shared" si="4"/>
        <v>0</v>
      </c>
      <c r="AU11" s="575">
        <f t="shared" si="4"/>
        <v>0</v>
      </c>
      <c r="AX11" s="253"/>
      <c r="AY11" s="264"/>
    </row>
    <row r="12" spans="1:51" x14ac:dyDescent="0.35">
      <c r="A12" s="560"/>
      <c r="G12" s="557" t="s">
        <v>1315</v>
      </c>
      <c r="K12" s="563"/>
      <c r="L12" s="573">
        <f t="shared" ref="L12:AU12" si="5">SUM(L8:L11)</f>
        <v>0</v>
      </c>
      <c r="M12" s="573">
        <f t="shared" si="5"/>
        <v>0</v>
      </c>
      <c r="N12" s="573">
        <f t="shared" si="5"/>
        <v>0</v>
      </c>
      <c r="O12" s="573">
        <f t="shared" si="5"/>
        <v>0</v>
      </c>
      <c r="P12" s="573">
        <f t="shared" si="5"/>
        <v>0</v>
      </c>
      <c r="Q12" s="573">
        <f t="shared" si="5"/>
        <v>0</v>
      </c>
      <c r="R12" s="573">
        <f t="shared" si="5"/>
        <v>0</v>
      </c>
      <c r="S12" s="573">
        <f t="shared" si="5"/>
        <v>0</v>
      </c>
      <c r="T12" s="573">
        <f t="shared" si="5"/>
        <v>0</v>
      </c>
      <c r="U12" s="573">
        <f t="shared" si="5"/>
        <v>0</v>
      </c>
      <c r="V12" s="573">
        <f t="shared" si="5"/>
        <v>0</v>
      </c>
      <c r="W12" s="573">
        <f t="shared" si="5"/>
        <v>0</v>
      </c>
      <c r="X12" s="573">
        <f t="shared" si="5"/>
        <v>0</v>
      </c>
      <c r="Y12" s="573">
        <f t="shared" si="5"/>
        <v>0</v>
      </c>
      <c r="Z12" s="573">
        <f t="shared" si="5"/>
        <v>0</v>
      </c>
      <c r="AA12" s="573">
        <f t="shared" si="5"/>
        <v>0</v>
      </c>
      <c r="AB12" s="573">
        <f t="shared" si="5"/>
        <v>0</v>
      </c>
      <c r="AC12" s="573">
        <f t="shared" si="5"/>
        <v>0</v>
      </c>
      <c r="AD12" s="573">
        <f t="shared" si="5"/>
        <v>0</v>
      </c>
      <c r="AE12" s="573">
        <f t="shared" si="5"/>
        <v>0</v>
      </c>
      <c r="AF12" s="573">
        <f t="shared" si="5"/>
        <v>0</v>
      </c>
      <c r="AG12" s="573">
        <f t="shared" si="5"/>
        <v>0</v>
      </c>
      <c r="AH12" s="573">
        <f t="shared" si="5"/>
        <v>0</v>
      </c>
      <c r="AI12" s="573">
        <f t="shared" si="5"/>
        <v>0</v>
      </c>
      <c r="AJ12" s="573">
        <f t="shared" si="5"/>
        <v>0</v>
      </c>
      <c r="AK12" s="573">
        <f t="shared" si="5"/>
        <v>0</v>
      </c>
      <c r="AL12" s="573">
        <f t="shared" si="5"/>
        <v>0</v>
      </c>
      <c r="AM12" s="573">
        <f t="shared" si="5"/>
        <v>0</v>
      </c>
      <c r="AN12" s="573">
        <f t="shared" si="5"/>
        <v>0</v>
      </c>
      <c r="AO12" s="573">
        <f t="shared" si="5"/>
        <v>0</v>
      </c>
      <c r="AP12" s="573">
        <f t="shared" si="5"/>
        <v>0</v>
      </c>
      <c r="AQ12" s="573">
        <f t="shared" si="5"/>
        <v>0</v>
      </c>
      <c r="AR12" s="573">
        <f t="shared" si="5"/>
        <v>0</v>
      </c>
      <c r="AS12" s="573">
        <f t="shared" si="5"/>
        <v>0</v>
      </c>
      <c r="AT12" s="573">
        <f t="shared" si="5"/>
        <v>0</v>
      </c>
      <c r="AU12" s="573">
        <f t="shared" si="5"/>
        <v>0</v>
      </c>
      <c r="AX12" s="253"/>
      <c r="AY12" s="264"/>
    </row>
    <row r="13" spans="1:51" x14ac:dyDescent="0.35">
      <c r="A13" s="560"/>
      <c r="G13" s="562"/>
      <c r="K13" s="563"/>
      <c r="L13" s="571"/>
      <c r="M13" s="571"/>
      <c r="N13" s="571"/>
      <c r="O13" s="571"/>
      <c r="P13" s="571"/>
      <c r="Q13" s="571"/>
      <c r="R13" s="571"/>
      <c r="S13" s="571"/>
      <c r="T13" s="571"/>
      <c r="U13" s="571"/>
      <c r="V13" s="571"/>
      <c r="W13" s="571"/>
      <c r="X13" s="571"/>
      <c r="Y13" s="571"/>
      <c r="Z13" s="571"/>
      <c r="AA13" s="571"/>
      <c r="AB13" s="571"/>
      <c r="AC13" s="571"/>
      <c r="AD13" s="571"/>
      <c r="AE13" s="571"/>
      <c r="AF13" s="571"/>
      <c r="AG13" s="571"/>
      <c r="AH13" s="571"/>
      <c r="AI13" s="571"/>
      <c r="AJ13" s="571"/>
      <c r="AK13" s="571"/>
      <c r="AL13" s="571"/>
      <c r="AM13" s="571"/>
      <c r="AN13" s="571"/>
      <c r="AO13" s="571"/>
      <c r="AP13" s="571"/>
      <c r="AQ13" s="571"/>
      <c r="AR13" s="571"/>
      <c r="AS13" s="571"/>
      <c r="AT13" s="571"/>
      <c r="AU13" s="571"/>
      <c r="AX13" s="253"/>
      <c r="AY13" s="264"/>
    </row>
    <row r="14" spans="1:51" x14ac:dyDescent="0.35">
      <c r="A14" s="560"/>
      <c r="G14" s="587" t="s">
        <v>21</v>
      </c>
      <c r="K14" s="563"/>
      <c r="L14" s="571"/>
      <c r="M14" s="571"/>
      <c r="N14" s="571"/>
      <c r="O14" s="571"/>
      <c r="P14" s="571"/>
      <c r="Q14" s="571"/>
      <c r="R14" s="571"/>
      <c r="S14" s="571"/>
      <c r="T14" s="571"/>
      <c r="U14" s="571"/>
      <c r="V14" s="571"/>
      <c r="W14" s="571"/>
      <c r="X14" s="571"/>
      <c r="Y14" s="571"/>
      <c r="Z14" s="571"/>
      <c r="AA14" s="571"/>
      <c r="AB14" s="571"/>
      <c r="AC14" s="571"/>
      <c r="AD14" s="571"/>
      <c r="AE14" s="571"/>
      <c r="AF14" s="571"/>
      <c r="AG14" s="571"/>
      <c r="AH14" s="571"/>
      <c r="AI14" s="571"/>
      <c r="AJ14" s="571"/>
      <c r="AK14" s="571"/>
      <c r="AL14" s="571"/>
      <c r="AM14" s="571"/>
      <c r="AN14" s="571"/>
      <c r="AO14" s="571"/>
      <c r="AP14" s="571"/>
      <c r="AQ14" s="571"/>
      <c r="AR14" s="571"/>
      <c r="AS14" s="571"/>
      <c r="AT14" s="571"/>
      <c r="AU14" s="571"/>
      <c r="AX14" s="253"/>
      <c r="AY14" s="264"/>
    </row>
    <row r="15" spans="1:51" x14ac:dyDescent="0.35">
      <c r="A15" s="560"/>
      <c r="G15" s="562" t="s">
        <v>1166</v>
      </c>
      <c r="K15" s="563" t="s">
        <v>77</v>
      </c>
      <c r="L15" s="572">
        <f t="shared" ref="L15:U18" si="6">SUMIFS(L$501:L$601,$J$501:$J$601,$K15)</f>
        <v>0</v>
      </c>
      <c r="M15" s="572">
        <f t="shared" si="6"/>
        <v>0</v>
      </c>
      <c r="N15" s="572">
        <f t="shared" si="6"/>
        <v>0</v>
      </c>
      <c r="O15" s="572">
        <f t="shared" si="6"/>
        <v>0</v>
      </c>
      <c r="P15" s="572">
        <f t="shared" si="6"/>
        <v>0</v>
      </c>
      <c r="Q15" s="572">
        <f t="shared" si="6"/>
        <v>0</v>
      </c>
      <c r="R15" s="572">
        <f t="shared" si="6"/>
        <v>0</v>
      </c>
      <c r="S15" s="572">
        <f t="shared" si="6"/>
        <v>0</v>
      </c>
      <c r="T15" s="572">
        <f t="shared" si="6"/>
        <v>0</v>
      </c>
      <c r="U15" s="572">
        <f t="shared" si="6"/>
        <v>0</v>
      </c>
      <c r="V15" s="572">
        <f t="shared" ref="V15:AE18" si="7">SUMIFS(V$501:V$601,$J$501:$J$601,$K15)</f>
        <v>0</v>
      </c>
      <c r="W15" s="572">
        <f t="shared" si="7"/>
        <v>0</v>
      </c>
      <c r="X15" s="572">
        <f t="shared" si="7"/>
        <v>0</v>
      </c>
      <c r="Y15" s="572">
        <f t="shared" si="7"/>
        <v>0</v>
      </c>
      <c r="Z15" s="572">
        <f t="shared" si="7"/>
        <v>0</v>
      </c>
      <c r="AA15" s="572">
        <f t="shared" si="7"/>
        <v>0</v>
      </c>
      <c r="AB15" s="572">
        <f t="shared" si="7"/>
        <v>0</v>
      </c>
      <c r="AC15" s="572">
        <f t="shared" si="7"/>
        <v>0</v>
      </c>
      <c r="AD15" s="572">
        <f t="shared" si="7"/>
        <v>0</v>
      </c>
      <c r="AE15" s="572">
        <f t="shared" si="7"/>
        <v>0</v>
      </c>
      <c r="AF15" s="572">
        <f t="shared" ref="AF15:AO18" si="8">SUMIFS(AF$501:AF$601,$J$501:$J$601,$K15)</f>
        <v>0</v>
      </c>
      <c r="AG15" s="572">
        <f t="shared" si="8"/>
        <v>0</v>
      </c>
      <c r="AH15" s="572">
        <f t="shared" si="8"/>
        <v>0</v>
      </c>
      <c r="AI15" s="572">
        <f t="shared" si="8"/>
        <v>0</v>
      </c>
      <c r="AJ15" s="572">
        <f t="shared" si="8"/>
        <v>0</v>
      </c>
      <c r="AK15" s="572">
        <f t="shared" si="8"/>
        <v>0</v>
      </c>
      <c r="AL15" s="572">
        <f t="shared" si="8"/>
        <v>0</v>
      </c>
      <c r="AM15" s="572">
        <f t="shared" si="8"/>
        <v>0</v>
      </c>
      <c r="AN15" s="572">
        <f t="shared" si="8"/>
        <v>0</v>
      </c>
      <c r="AO15" s="572">
        <f t="shared" si="8"/>
        <v>0</v>
      </c>
      <c r="AP15" s="572">
        <f t="shared" ref="AP15:AU18" si="9">SUMIFS(AP$501:AP$601,$J$501:$J$601,$K15)</f>
        <v>0</v>
      </c>
      <c r="AQ15" s="572">
        <f t="shared" si="9"/>
        <v>0</v>
      </c>
      <c r="AR15" s="572">
        <f t="shared" si="9"/>
        <v>0</v>
      </c>
      <c r="AS15" s="572">
        <f t="shared" si="9"/>
        <v>0</v>
      </c>
      <c r="AT15" s="572">
        <f t="shared" si="9"/>
        <v>0</v>
      </c>
      <c r="AU15" s="572">
        <f t="shared" si="9"/>
        <v>0</v>
      </c>
      <c r="AX15" s="253"/>
      <c r="AY15" s="264"/>
    </row>
    <row r="16" spans="1:51" x14ac:dyDescent="0.35">
      <c r="A16" s="560"/>
      <c r="G16" s="562" t="s">
        <v>1167</v>
      </c>
      <c r="K16" s="563" t="s">
        <v>111</v>
      </c>
      <c r="L16" s="574">
        <f t="shared" si="6"/>
        <v>0</v>
      </c>
      <c r="M16" s="574">
        <f t="shared" si="6"/>
        <v>0</v>
      </c>
      <c r="N16" s="574">
        <f t="shared" si="6"/>
        <v>0</v>
      </c>
      <c r="O16" s="574">
        <f t="shared" si="6"/>
        <v>0</v>
      </c>
      <c r="P16" s="574">
        <f t="shared" si="6"/>
        <v>0</v>
      </c>
      <c r="Q16" s="574">
        <f t="shared" si="6"/>
        <v>0</v>
      </c>
      <c r="R16" s="574">
        <f t="shared" si="6"/>
        <v>0</v>
      </c>
      <c r="S16" s="574">
        <f t="shared" si="6"/>
        <v>0</v>
      </c>
      <c r="T16" s="574">
        <f t="shared" si="6"/>
        <v>0</v>
      </c>
      <c r="U16" s="574">
        <f t="shared" si="6"/>
        <v>0</v>
      </c>
      <c r="V16" s="574">
        <f t="shared" si="7"/>
        <v>0</v>
      </c>
      <c r="W16" s="574">
        <f t="shared" si="7"/>
        <v>0</v>
      </c>
      <c r="X16" s="574">
        <f t="shared" si="7"/>
        <v>0</v>
      </c>
      <c r="Y16" s="574">
        <f t="shared" si="7"/>
        <v>0</v>
      </c>
      <c r="Z16" s="574">
        <f t="shared" si="7"/>
        <v>0</v>
      </c>
      <c r="AA16" s="574">
        <f t="shared" si="7"/>
        <v>0</v>
      </c>
      <c r="AB16" s="574">
        <f t="shared" si="7"/>
        <v>0</v>
      </c>
      <c r="AC16" s="574">
        <f t="shared" si="7"/>
        <v>0</v>
      </c>
      <c r="AD16" s="574">
        <f t="shared" si="7"/>
        <v>0</v>
      </c>
      <c r="AE16" s="574">
        <f t="shared" si="7"/>
        <v>0</v>
      </c>
      <c r="AF16" s="574">
        <f t="shared" si="8"/>
        <v>0</v>
      </c>
      <c r="AG16" s="574">
        <f t="shared" si="8"/>
        <v>0</v>
      </c>
      <c r="AH16" s="574">
        <f t="shared" si="8"/>
        <v>0</v>
      </c>
      <c r="AI16" s="574">
        <f t="shared" si="8"/>
        <v>0</v>
      </c>
      <c r="AJ16" s="574">
        <f t="shared" si="8"/>
        <v>0</v>
      </c>
      <c r="AK16" s="574">
        <f t="shared" si="8"/>
        <v>0</v>
      </c>
      <c r="AL16" s="574">
        <f t="shared" si="8"/>
        <v>0</v>
      </c>
      <c r="AM16" s="574">
        <f t="shared" si="8"/>
        <v>0</v>
      </c>
      <c r="AN16" s="574">
        <f t="shared" si="8"/>
        <v>0</v>
      </c>
      <c r="AO16" s="574">
        <f t="shared" si="8"/>
        <v>0</v>
      </c>
      <c r="AP16" s="574">
        <f t="shared" si="9"/>
        <v>0</v>
      </c>
      <c r="AQ16" s="574">
        <f t="shared" si="9"/>
        <v>0</v>
      </c>
      <c r="AR16" s="574">
        <f t="shared" si="9"/>
        <v>0</v>
      </c>
      <c r="AS16" s="574">
        <f t="shared" si="9"/>
        <v>0</v>
      </c>
      <c r="AT16" s="574">
        <f t="shared" si="9"/>
        <v>0</v>
      </c>
      <c r="AU16" s="574">
        <f t="shared" si="9"/>
        <v>0</v>
      </c>
      <c r="AX16" s="253"/>
      <c r="AY16" s="264"/>
    </row>
    <row r="17" spans="1:51" x14ac:dyDescent="0.35">
      <c r="A17" s="560"/>
      <c r="G17" s="562" t="s">
        <v>1168</v>
      </c>
      <c r="K17" s="563" t="s">
        <v>144</v>
      </c>
      <c r="L17" s="574">
        <f t="shared" si="6"/>
        <v>0</v>
      </c>
      <c r="M17" s="574">
        <f t="shared" si="6"/>
        <v>0</v>
      </c>
      <c r="N17" s="574">
        <f t="shared" si="6"/>
        <v>0</v>
      </c>
      <c r="O17" s="574">
        <f t="shared" si="6"/>
        <v>0</v>
      </c>
      <c r="P17" s="574">
        <f t="shared" si="6"/>
        <v>0</v>
      </c>
      <c r="Q17" s="574">
        <f t="shared" si="6"/>
        <v>0</v>
      </c>
      <c r="R17" s="574">
        <f t="shared" si="6"/>
        <v>0</v>
      </c>
      <c r="S17" s="574">
        <f t="shared" si="6"/>
        <v>0</v>
      </c>
      <c r="T17" s="574">
        <f t="shared" si="6"/>
        <v>0</v>
      </c>
      <c r="U17" s="574">
        <f t="shared" si="6"/>
        <v>0</v>
      </c>
      <c r="V17" s="574">
        <f t="shared" si="7"/>
        <v>0</v>
      </c>
      <c r="W17" s="574">
        <f t="shared" si="7"/>
        <v>0</v>
      </c>
      <c r="X17" s="574">
        <f t="shared" si="7"/>
        <v>0</v>
      </c>
      <c r="Y17" s="574">
        <f t="shared" si="7"/>
        <v>0</v>
      </c>
      <c r="Z17" s="574">
        <f t="shared" si="7"/>
        <v>0</v>
      </c>
      <c r="AA17" s="574">
        <f t="shared" si="7"/>
        <v>0</v>
      </c>
      <c r="AB17" s="574">
        <f t="shared" si="7"/>
        <v>0</v>
      </c>
      <c r="AC17" s="574">
        <f t="shared" si="7"/>
        <v>0</v>
      </c>
      <c r="AD17" s="574">
        <f t="shared" si="7"/>
        <v>0</v>
      </c>
      <c r="AE17" s="574">
        <f t="shared" si="7"/>
        <v>0</v>
      </c>
      <c r="AF17" s="574">
        <f t="shared" si="8"/>
        <v>0</v>
      </c>
      <c r="AG17" s="574">
        <f t="shared" si="8"/>
        <v>0</v>
      </c>
      <c r="AH17" s="574">
        <f t="shared" si="8"/>
        <v>0</v>
      </c>
      <c r="AI17" s="574">
        <f t="shared" si="8"/>
        <v>0</v>
      </c>
      <c r="AJ17" s="574">
        <f t="shared" si="8"/>
        <v>0</v>
      </c>
      <c r="AK17" s="574">
        <f t="shared" si="8"/>
        <v>0</v>
      </c>
      <c r="AL17" s="574">
        <f t="shared" si="8"/>
        <v>0</v>
      </c>
      <c r="AM17" s="574">
        <f t="shared" si="8"/>
        <v>0</v>
      </c>
      <c r="AN17" s="574">
        <f t="shared" si="8"/>
        <v>0</v>
      </c>
      <c r="AO17" s="574">
        <f t="shared" si="8"/>
        <v>0</v>
      </c>
      <c r="AP17" s="574">
        <f t="shared" si="9"/>
        <v>0</v>
      </c>
      <c r="AQ17" s="574">
        <f t="shared" si="9"/>
        <v>0</v>
      </c>
      <c r="AR17" s="574">
        <f t="shared" si="9"/>
        <v>0</v>
      </c>
      <c r="AS17" s="574">
        <f t="shared" si="9"/>
        <v>0</v>
      </c>
      <c r="AT17" s="574">
        <f t="shared" si="9"/>
        <v>0</v>
      </c>
      <c r="AU17" s="574">
        <f t="shared" si="9"/>
        <v>0</v>
      </c>
      <c r="AX17" s="253"/>
      <c r="AY17" s="264"/>
    </row>
    <row r="18" spans="1:51" ht="16" x14ac:dyDescent="0.5">
      <c r="A18" s="560"/>
      <c r="G18" s="562" t="s">
        <v>1165</v>
      </c>
      <c r="K18" s="563" t="s">
        <v>176</v>
      </c>
      <c r="L18" s="575">
        <f t="shared" si="6"/>
        <v>0</v>
      </c>
      <c r="M18" s="575">
        <f t="shared" si="6"/>
        <v>0</v>
      </c>
      <c r="N18" s="575">
        <f t="shared" si="6"/>
        <v>0</v>
      </c>
      <c r="O18" s="575">
        <f t="shared" si="6"/>
        <v>0</v>
      </c>
      <c r="P18" s="575">
        <f t="shared" si="6"/>
        <v>0</v>
      </c>
      <c r="Q18" s="575">
        <f t="shared" si="6"/>
        <v>0</v>
      </c>
      <c r="R18" s="575">
        <f t="shared" si="6"/>
        <v>0</v>
      </c>
      <c r="S18" s="575">
        <f t="shared" si="6"/>
        <v>0</v>
      </c>
      <c r="T18" s="575">
        <f t="shared" si="6"/>
        <v>0</v>
      </c>
      <c r="U18" s="575">
        <f t="shared" si="6"/>
        <v>0</v>
      </c>
      <c r="V18" s="575">
        <f t="shared" si="7"/>
        <v>0</v>
      </c>
      <c r="W18" s="575">
        <f t="shared" si="7"/>
        <v>0</v>
      </c>
      <c r="X18" s="575">
        <f t="shared" si="7"/>
        <v>0</v>
      </c>
      <c r="Y18" s="575">
        <f t="shared" si="7"/>
        <v>0</v>
      </c>
      <c r="Z18" s="575">
        <f t="shared" si="7"/>
        <v>0</v>
      </c>
      <c r="AA18" s="575">
        <f t="shared" si="7"/>
        <v>0</v>
      </c>
      <c r="AB18" s="575">
        <f t="shared" si="7"/>
        <v>0</v>
      </c>
      <c r="AC18" s="575">
        <f t="shared" si="7"/>
        <v>0</v>
      </c>
      <c r="AD18" s="575">
        <f t="shared" si="7"/>
        <v>0</v>
      </c>
      <c r="AE18" s="575">
        <f t="shared" si="7"/>
        <v>0</v>
      </c>
      <c r="AF18" s="575">
        <f t="shared" si="8"/>
        <v>0</v>
      </c>
      <c r="AG18" s="575">
        <f t="shared" si="8"/>
        <v>0</v>
      </c>
      <c r="AH18" s="575">
        <f t="shared" si="8"/>
        <v>0</v>
      </c>
      <c r="AI18" s="575">
        <f t="shared" si="8"/>
        <v>0</v>
      </c>
      <c r="AJ18" s="575">
        <f t="shared" si="8"/>
        <v>0</v>
      </c>
      <c r="AK18" s="575">
        <f t="shared" si="8"/>
        <v>0</v>
      </c>
      <c r="AL18" s="575">
        <f t="shared" si="8"/>
        <v>0</v>
      </c>
      <c r="AM18" s="575">
        <f t="shared" si="8"/>
        <v>0</v>
      </c>
      <c r="AN18" s="575">
        <f t="shared" si="8"/>
        <v>0</v>
      </c>
      <c r="AO18" s="575">
        <f t="shared" si="8"/>
        <v>0</v>
      </c>
      <c r="AP18" s="575">
        <f t="shared" si="9"/>
        <v>0</v>
      </c>
      <c r="AQ18" s="575">
        <f t="shared" si="9"/>
        <v>0</v>
      </c>
      <c r="AR18" s="575">
        <f t="shared" si="9"/>
        <v>0</v>
      </c>
      <c r="AS18" s="575">
        <f t="shared" si="9"/>
        <v>0</v>
      </c>
      <c r="AT18" s="575">
        <f t="shared" si="9"/>
        <v>0</v>
      </c>
      <c r="AU18" s="575">
        <f t="shared" si="9"/>
        <v>0</v>
      </c>
      <c r="AX18" s="253"/>
      <c r="AY18" s="264"/>
    </row>
    <row r="19" spans="1:51" x14ac:dyDescent="0.35">
      <c r="A19" s="560"/>
      <c r="G19" s="557" t="s">
        <v>1316</v>
      </c>
      <c r="K19" s="563"/>
      <c r="L19" s="573">
        <f t="shared" ref="L19:AU19" si="10">SUM(L15:L18)</f>
        <v>0</v>
      </c>
      <c r="M19" s="573">
        <f t="shared" si="10"/>
        <v>0</v>
      </c>
      <c r="N19" s="573">
        <f t="shared" si="10"/>
        <v>0</v>
      </c>
      <c r="O19" s="573">
        <f t="shared" si="10"/>
        <v>0</v>
      </c>
      <c r="P19" s="573">
        <f t="shared" si="10"/>
        <v>0</v>
      </c>
      <c r="Q19" s="573">
        <f t="shared" si="10"/>
        <v>0</v>
      </c>
      <c r="R19" s="573">
        <f t="shared" si="10"/>
        <v>0</v>
      </c>
      <c r="S19" s="573">
        <f t="shared" si="10"/>
        <v>0</v>
      </c>
      <c r="T19" s="573">
        <f t="shared" si="10"/>
        <v>0</v>
      </c>
      <c r="U19" s="573">
        <f t="shared" si="10"/>
        <v>0</v>
      </c>
      <c r="V19" s="573">
        <f t="shared" si="10"/>
        <v>0</v>
      </c>
      <c r="W19" s="573">
        <f t="shared" si="10"/>
        <v>0</v>
      </c>
      <c r="X19" s="573">
        <f t="shared" si="10"/>
        <v>0</v>
      </c>
      <c r="Y19" s="573">
        <f t="shared" si="10"/>
        <v>0</v>
      </c>
      <c r="Z19" s="573">
        <f t="shared" si="10"/>
        <v>0</v>
      </c>
      <c r="AA19" s="573">
        <f t="shared" si="10"/>
        <v>0</v>
      </c>
      <c r="AB19" s="573">
        <f t="shared" si="10"/>
        <v>0</v>
      </c>
      <c r="AC19" s="573">
        <f t="shared" si="10"/>
        <v>0</v>
      </c>
      <c r="AD19" s="573">
        <f t="shared" si="10"/>
        <v>0</v>
      </c>
      <c r="AE19" s="573">
        <f t="shared" si="10"/>
        <v>0</v>
      </c>
      <c r="AF19" s="573">
        <f t="shared" si="10"/>
        <v>0</v>
      </c>
      <c r="AG19" s="573">
        <f t="shared" si="10"/>
        <v>0</v>
      </c>
      <c r="AH19" s="573">
        <f t="shared" si="10"/>
        <v>0</v>
      </c>
      <c r="AI19" s="573">
        <f t="shared" si="10"/>
        <v>0</v>
      </c>
      <c r="AJ19" s="573">
        <f t="shared" si="10"/>
        <v>0</v>
      </c>
      <c r="AK19" s="573">
        <f t="shared" si="10"/>
        <v>0</v>
      </c>
      <c r="AL19" s="573">
        <f t="shared" si="10"/>
        <v>0</v>
      </c>
      <c r="AM19" s="573">
        <f t="shared" si="10"/>
        <v>0</v>
      </c>
      <c r="AN19" s="573">
        <f t="shared" si="10"/>
        <v>0</v>
      </c>
      <c r="AO19" s="573">
        <f t="shared" si="10"/>
        <v>0</v>
      </c>
      <c r="AP19" s="573">
        <f t="shared" si="10"/>
        <v>0</v>
      </c>
      <c r="AQ19" s="573">
        <f t="shared" si="10"/>
        <v>0</v>
      </c>
      <c r="AR19" s="573">
        <f t="shared" si="10"/>
        <v>0</v>
      </c>
      <c r="AS19" s="573">
        <f t="shared" si="10"/>
        <v>0</v>
      </c>
      <c r="AT19" s="573">
        <f t="shared" si="10"/>
        <v>0</v>
      </c>
      <c r="AU19" s="573">
        <f t="shared" si="10"/>
        <v>0</v>
      </c>
      <c r="AX19" s="253"/>
      <c r="AY19" s="264"/>
    </row>
    <row r="20" spans="1:51" x14ac:dyDescent="0.35">
      <c r="A20" s="560"/>
      <c r="L20" s="571"/>
      <c r="M20" s="571"/>
      <c r="N20" s="571"/>
      <c r="O20" s="571"/>
      <c r="P20" s="571"/>
      <c r="Q20" s="571"/>
      <c r="R20" s="571"/>
      <c r="S20" s="571"/>
      <c r="T20" s="571"/>
      <c r="U20" s="571"/>
      <c r="V20" s="571"/>
      <c r="W20" s="571"/>
      <c r="X20" s="571"/>
      <c r="Y20" s="571"/>
      <c r="Z20" s="571"/>
      <c r="AA20" s="571"/>
      <c r="AB20" s="571"/>
      <c r="AC20" s="571"/>
      <c r="AD20" s="571"/>
      <c r="AE20" s="571"/>
      <c r="AF20" s="571"/>
      <c r="AG20" s="571"/>
      <c r="AH20" s="571"/>
      <c r="AI20" s="571"/>
      <c r="AJ20" s="571"/>
      <c r="AK20" s="571"/>
      <c r="AL20" s="571"/>
      <c r="AM20" s="571"/>
      <c r="AN20" s="571"/>
      <c r="AO20" s="571"/>
      <c r="AP20" s="571"/>
      <c r="AQ20" s="571"/>
      <c r="AR20" s="571"/>
      <c r="AS20" s="571"/>
      <c r="AT20" s="571"/>
      <c r="AU20" s="571"/>
      <c r="AX20" s="253"/>
      <c r="AY20" s="264"/>
    </row>
    <row r="21" spans="1:51" x14ac:dyDescent="0.35">
      <c r="A21" s="560"/>
      <c r="G21" s="587" t="s">
        <v>23</v>
      </c>
      <c r="K21" s="563"/>
      <c r="L21" s="571"/>
      <c r="M21" s="571"/>
      <c r="N21" s="571"/>
      <c r="O21" s="571"/>
      <c r="P21" s="571"/>
      <c r="Q21" s="571"/>
      <c r="R21" s="571"/>
      <c r="S21" s="571"/>
      <c r="T21" s="571"/>
      <c r="U21" s="571"/>
      <c r="V21" s="571"/>
      <c r="W21" s="571"/>
      <c r="X21" s="571"/>
      <c r="Y21" s="571"/>
      <c r="Z21" s="571"/>
      <c r="AA21" s="571"/>
      <c r="AB21" s="571"/>
      <c r="AC21" s="571"/>
      <c r="AD21" s="571"/>
      <c r="AE21" s="571"/>
      <c r="AF21" s="571"/>
      <c r="AG21" s="571"/>
      <c r="AH21" s="571"/>
      <c r="AI21" s="571"/>
      <c r="AJ21" s="571"/>
      <c r="AK21" s="571"/>
      <c r="AL21" s="571"/>
      <c r="AM21" s="571"/>
      <c r="AN21" s="571"/>
      <c r="AO21" s="571"/>
      <c r="AP21" s="571"/>
      <c r="AQ21" s="571"/>
      <c r="AR21" s="571"/>
      <c r="AS21" s="571"/>
      <c r="AT21" s="571"/>
      <c r="AU21" s="571"/>
      <c r="AX21" s="253"/>
      <c r="AY21" s="264"/>
    </row>
    <row r="22" spans="1:51" x14ac:dyDescent="0.35">
      <c r="A22" s="560"/>
      <c r="G22" s="562" t="s">
        <v>1166</v>
      </c>
      <c r="K22" s="563" t="s">
        <v>79</v>
      </c>
      <c r="L22" s="572">
        <f>SUMIFS(L$606:L$707,$J$606:$J$707,$K22)</f>
        <v>0</v>
      </c>
      <c r="M22" s="572">
        <f t="shared" ref="M22:AB25" si="11">SUMIFS(M$606:M$707,$J$606:$J$707,$K22)</f>
        <v>0</v>
      </c>
      <c r="N22" s="572">
        <f t="shared" si="11"/>
        <v>0</v>
      </c>
      <c r="O22" s="572">
        <f t="shared" si="11"/>
        <v>0</v>
      </c>
      <c r="P22" s="572">
        <f t="shared" si="11"/>
        <v>0</v>
      </c>
      <c r="Q22" s="572">
        <f t="shared" si="11"/>
        <v>0</v>
      </c>
      <c r="R22" s="572">
        <f t="shared" si="11"/>
        <v>0</v>
      </c>
      <c r="S22" s="572">
        <f t="shared" si="11"/>
        <v>0</v>
      </c>
      <c r="T22" s="572">
        <f t="shared" si="11"/>
        <v>0</v>
      </c>
      <c r="U22" s="572">
        <f t="shared" si="11"/>
        <v>0</v>
      </c>
      <c r="V22" s="572">
        <f t="shared" si="11"/>
        <v>0</v>
      </c>
      <c r="W22" s="572">
        <f t="shared" si="11"/>
        <v>0</v>
      </c>
      <c r="X22" s="572">
        <f t="shared" si="11"/>
        <v>0</v>
      </c>
      <c r="Y22" s="572">
        <f t="shared" si="11"/>
        <v>0</v>
      </c>
      <c r="Z22" s="572">
        <f t="shared" si="11"/>
        <v>0</v>
      </c>
      <c r="AA22" s="572">
        <f t="shared" si="11"/>
        <v>0</v>
      </c>
      <c r="AB22" s="572">
        <f t="shared" si="11"/>
        <v>0</v>
      </c>
      <c r="AC22" s="572">
        <f t="shared" ref="AC22:AR25" si="12">SUMIFS(AC$606:AC$707,$J$606:$J$707,$K22)</f>
        <v>0</v>
      </c>
      <c r="AD22" s="572">
        <f t="shared" si="12"/>
        <v>0</v>
      </c>
      <c r="AE22" s="572">
        <f t="shared" si="12"/>
        <v>0</v>
      </c>
      <c r="AF22" s="572">
        <f t="shared" si="12"/>
        <v>0</v>
      </c>
      <c r="AG22" s="572">
        <f t="shared" si="12"/>
        <v>0</v>
      </c>
      <c r="AH22" s="572">
        <f t="shared" si="12"/>
        <v>0</v>
      </c>
      <c r="AI22" s="572">
        <f t="shared" si="12"/>
        <v>0</v>
      </c>
      <c r="AJ22" s="572">
        <f t="shared" si="12"/>
        <v>0</v>
      </c>
      <c r="AK22" s="572">
        <f t="shared" si="12"/>
        <v>0</v>
      </c>
      <c r="AL22" s="572">
        <f t="shared" si="12"/>
        <v>0</v>
      </c>
      <c r="AM22" s="572">
        <f t="shared" si="12"/>
        <v>0</v>
      </c>
      <c r="AN22" s="572">
        <f t="shared" si="12"/>
        <v>0</v>
      </c>
      <c r="AO22" s="572">
        <f t="shared" si="12"/>
        <v>0</v>
      </c>
      <c r="AP22" s="572">
        <f t="shared" si="12"/>
        <v>0</v>
      </c>
      <c r="AQ22" s="572">
        <f t="shared" si="12"/>
        <v>0</v>
      </c>
      <c r="AR22" s="572">
        <f t="shared" si="12"/>
        <v>0</v>
      </c>
      <c r="AS22" s="572">
        <f t="shared" ref="AS22:AU25" si="13">SUMIFS(AS$606:AS$707,$J$606:$J$707,$K22)</f>
        <v>0</v>
      </c>
      <c r="AT22" s="572">
        <f t="shared" si="13"/>
        <v>0</v>
      </c>
      <c r="AU22" s="572">
        <f t="shared" si="13"/>
        <v>0</v>
      </c>
      <c r="AX22" s="253"/>
      <c r="AY22" s="264"/>
    </row>
    <row r="23" spans="1:51" x14ac:dyDescent="0.35">
      <c r="A23" s="560"/>
      <c r="G23" s="562" t="s">
        <v>1167</v>
      </c>
      <c r="K23" s="563" t="s">
        <v>113</v>
      </c>
      <c r="L23" s="574">
        <f t="shared" ref="L23:L25" si="14">SUMIFS(L$606:L$707,$J$606:$J$707,$K23)</f>
        <v>0</v>
      </c>
      <c r="M23" s="574">
        <f t="shared" si="11"/>
        <v>0</v>
      </c>
      <c r="N23" s="574">
        <f t="shared" si="11"/>
        <v>0</v>
      </c>
      <c r="O23" s="574">
        <f t="shared" si="11"/>
        <v>0</v>
      </c>
      <c r="P23" s="574">
        <f t="shared" si="11"/>
        <v>0</v>
      </c>
      <c r="Q23" s="574">
        <f t="shared" si="11"/>
        <v>0</v>
      </c>
      <c r="R23" s="574">
        <f t="shared" si="11"/>
        <v>0</v>
      </c>
      <c r="S23" s="574">
        <f t="shared" si="11"/>
        <v>0</v>
      </c>
      <c r="T23" s="574">
        <f t="shared" si="11"/>
        <v>0</v>
      </c>
      <c r="U23" s="574">
        <f t="shared" si="11"/>
        <v>0</v>
      </c>
      <c r="V23" s="574">
        <f t="shared" si="11"/>
        <v>0</v>
      </c>
      <c r="W23" s="574">
        <f t="shared" si="11"/>
        <v>0</v>
      </c>
      <c r="X23" s="574">
        <f t="shared" si="11"/>
        <v>0</v>
      </c>
      <c r="Y23" s="574">
        <f t="shared" si="11"/>
        <v>0</v>
      </c>
      <c r="Z23" s="574">
        <f t="shared" si="11"/>
        <v>0</v>
      </c>
      <c r="AA23" s="574">
        <f t="shared" si="11"/>
        <v>0</v>
      </c>
      <c r="AB23" s="574">
        <f t="shared" si="11"/>
        <v>0</v>
      </c>
      <c r="AC23" s="574">
        <f t="shared" si="12"/>
        <v>0</v>
      </c>
      <c r="AD23" s="574">
        <f t="shared" si="12"/>
        <v>0</v>
      </c>
      <c r="AE23" s="574">
        <f t="shared" si="12"/>
        <v>0</v>
      </c>
      <c r="AF23" s="574">
        <f t="shared" si="12"/>
        <v>0</v>
      </c>
      <c r="AG23" s="574">
        <f t="shared" si="12"/>
        <v>0</v>
      </c>
      <c r="AH23" s="574">
        <f t="shared" si="12"/>
        <v>0</v>
      </c>
      <c r="AI23" s="574">
        <f t="shared" si="12"/>
        <v>0</v>
      </c>
      <c r="AJ23" s="574">
        <f t="shared" si="12"/>
        <v>0</v>
      </c>
      <c r="AK23" s="574">
        <f t="shared" si="12"/>
        <v>0</v>
      </c>
      <c r="AL23" s="574">
        <f t="shared" si="12"/>
        <v>0</v>
      </c>
      <c r="AM23" s="574">
        <f t="shared" si="12"/>
        <v>0</v>
      </c>
      <c r="AN23" s="574">
        <f t="shared" si="12"/>
        <v>0</v>
      </c>
      <c r="AO23" s="574">
        <f t="shared" si="12"/>
        <v>0</v>
      </c>
      <c r="AP23" s="574">
        <f t="shared" si="12"/>
        <v>0</v>
      </c>
      <c r="AQ23" s="574">
        <f t="shared" si="12"/>
        <v>0</v>
      </c>
      <c r="AR23" s="574">
        <f t="shared" si="12"/>
        <v>0</v>
      </c>
      <c r="AS23" s="574">
        <f t="shared" si="13"/>
        <v>0</v>
      </c>
      <c r="AT23" s="574">
        <f t="shared" si="13"/>
        <v>0</v>
      </c>
      <c r="AU23" s="574">
        <f t="shared" si="13"/>
        <v>0</v>
      </c>
      <c r="AX23" s="253"/>
      <c r="AY23" s="264"/>
    </row>
    <row r="24" spans="1:51" x14ac:dyDescent="0.35">
      <c r="A24" s="560"/>
      <c r="G24" s="562" t="s">
        <v>1168</v>
      </c>
      <c r="K24" s="563" t="s">
        <v>146</v>
      </c>
      <c r="L24" s="574">
        <f t="shared" si="14"/>
        <v>0</v>
      </c>
      <c r="M24" s="574">
        <f t="shared" si="11"/>
        <v>0</v>
      </c>
      <c r="N24" s="574">
        <f t="shared" si="11"/>
        <v>0</v>
      </c>
      <c r="O24" s="574">
        <f t="shared" si="11"/>
        <v>0</v>
      </c>
      <c r="P24" s="574">
        <f t="shared" si="11"/>
        <v>0</v>
      </c>
      <c r="Q24" s="574">
        <f t="shared" si="11"/>
        <v>0</v>
      </c>
      <c r="R24" s="574">
        <f t="shared" si="11"/>
        <v>0</v>
      </c>
      <c r="S24" s="574">
        <f t="shared" si="11"/>
        <v>0</v>
      </c>
      <c r="T24" s="574">
        <f t="shared" si="11"/>
        <v>0</v>
      </c>
      <c r="U24" s="574">
        <f t="shared" si="11"/>
        <v>0</v>
      </c>
      <c r="V24" s="574">
        <f t="shared" si="11"/>
        <v>0</v>
      </c>
      <c r="W24" s="574">
        <f t="shared" si="11"/>
        <v>0</v>
      </c>
      <c r="X24" s="574">
        <f t="shared" si="11"/>
        <v>0</v>
      </c>
      <c r="Y24" s="574">
        <f t="shared" si="11"/>
        <v>0</v>
      </c>
      <c r="Z24" s="574">
        <f t="shared" si="11"/>
        <v>0</v>
      </c>
      <c r="AA24" s="574">
        <f t="shared" si="11"/>
        <v>0</v>
      </c>
      <c r="AB24" s="574">
        <f t="shared" si="11"/>
        <v>0</v>
      </c>
      <c r="AC24" s="574">
        <f t="shared" si="12"/>
        <v>0</v>
      </c>
      <c r="AD24" s="574">
        <f t="shared" si="12"/>
        <v>0</v>
      </c>
      <c r="AE24" s="574">
        <f t="shared" si="12"/>
        <v>0</v>
      </c>
      <c r="AF24" s="574">
        <f t="shared" si="12"/>
        <v>0</v>
      </c>
      <c r="AG24" s="574">
        <f t="shared" si="12"/>
        <v>0</v>
      </c>
      <c r="AH24" s="574">
        <f t="shared" si="12"/>
        <v>0</v>
      </c>
      <c r="AI24" s="574">
        <f t="shared" si="12"/>
        <v>0</v>
      </c>
      <c r="AJ24" s="574">
        <f t="shared" si="12"/>
        <v>0</v>
      </c>
      <c r="AK24" s="574">
        <f t="shared" si="12"/>
        <v>0</v>
      </c>
      <c r="AL24" s="574">
        <f t="shared" si="12"/>
        <v>0</v>
      </c>
      <c r="AM24" s="574">
        <f t="shared" si="12"/>
        <v>0</v>
      </c>
      <c r="AN24" s="574">
        <f t="shared" si="12"/>
        <v>0</v>
      </c>
      <c r="AO24" s="574">
        <f t="shared" si="12"/>
        <v>0</v>
      </c>
      <c r="AP24" s="574">
        <f t="shared" si="12"/>
        <v>0</v>
      </c>
      <c r="AQ24" s="574">
        <f t="shared" si="12"/>
        <v>0</v>
      </c>
      <c r="AR24" s="574">
        <f t="shared" si="12"/>
        <v>0</v>
      </c>
      <c r="AS24" s="574">
        <f t="shared" si="13"/>
        <v>0</v>
      </c>
      <c r="AT24" s="574">
        <f t="shared" si="13"/>
        <v>0</v>
      </c>
      <c r="AU24" s="574">
        <f t="shared" si="13"/>
        <v>0</v>
      </c>
      <c r="AX24" s="253"/>
      <c r="AY24" s="264"/>
    </row>
    <row r="25" spans="1:51" ht="16" x14ac:dyDescent="0.5">
      <c r="A25" s="560"/>
      <c r="G25" s="562" t="s">
        <v>1165</v>
      </c>
      <c r="K25" s="563" t="s">
        <v>178</v>
      </c>
      <c r="L25" s="575">
        <f t="shared" si="14"/>
        <v>0</v>
      </c>
      <c r="M25" s="575">
        <f t="shared" si="11"/>
        <v>0</v>
      </c>
      <c r="N25" s="575">
        <f t="shared" si="11"/>
        <v>0</v>
      </c>
      <c r="O25" s="575">
        <f t="shared" si="11"/>
        <v>0</v>
      </c>
      <c r="P25" s="575">
        <f t="shared" si="11"/>
        <v>0</v>
      </c>
      <c r="Q25" s="575">
        <f t="shared" si="11"/>
        <v>0</v>
      </c>
      <c r="R25" s="575">
        <f t="shared" si="11"/>
        <v>0</v>
      </c>
      <c r="S25" s="575">
        <f t="shared" si="11"/>
        <v>0</v>
      </c>
      <c r="T25" s="575">
        <f t="shared" si="11"/>
        <v>0</v>
      </c>
      <c r="U25" s="575">
        <f t="shared" si="11"/>
        <v>0</v>
      </c>
      <c r="V25" s="575">
        <f t="shared" si="11"/>
        <v>0</v>
      </c>
      <c r="W25" s="575">
        <f t="shared" si="11"/>
        <v>0</v>
      </c>
      <c r="X25" s="575">
        <f t="shared" si="11"/>
        <v>0</v>
      </c>
      <c r="Y25" s="575">
        <f t="shared" si="11"/>
        <v>0</v>
      </c>
      <c r="Z25" s="575">
        <f t="shared" si="11"/>
        <v>0</v>
      </c>
      <c r="AA25" s="575">
        <f t="shared" si="11"/>
        <v>0</v>
      </c>
      <c r="AB25" s="575">
        <f t="shared" si="11"/>
        <v>0</v>
      </c>
      <c r="AC25" s="575">
        <f t="shared" si="12"/>
        <v>0</v>
      </c>
      <c r="AD25" s="575">
        <f t="shared" si="12"/>
        <v>0</v>
      </c>
      <c r="AE25" s="575">
        <f t="shared" si="12"/>
        <v>0</v>
      </c>
      <c r="AF25" s="575">
        <f t="shared" si="12"/>
        <v>0</v>
      </c>
      <c r="AG25" s="575">
        <f t="shared" si="12"/>
        <v>0</v>
      </c>
      <c r="AH25" s="575">
        <f t="shared" si="12"/>
        <v>0</v>
      </c>
      <c r="AI25" s="575">
        <f t="shared" si="12"/>
        <v>0</v>
      </c>
      <c r="AJ25" s="575">
        <f t="shared" si="12"/>
        <v>0</v>
      </c>
      <c r="AK25" s="575">
        <f t="shared" si="12"/>
        <v>0</v>
      </c>
      <c r="AL25" s="575">
        <f t="shared" si="12"/>
        <v>0</v>
      </c>
      <c r="AM25" s="575">
        <f t="shared" si="12"/>
        <v>0</v>
      </c>
      <c r="AN25" s="575">
        <f t="shared" si="12"/>
        <v>0</v>
      </c>
      <c r="AO25" s="575">
        <f t="shared" si="12"/>
        <v>0</v>
      </c>
      <c r="AP25" s="575">
        <f t="shared" si="12"/>
        <v>0</v>
      </c>
      <c r="AQ25" s="575">
        <f t="shared" si="12"/>
        <v>0</v>
      </c>
      <c r="AR25" s="575">
        <f t="shared" si="12"/>
        <v>0</v>
      </c>
      <c r="AS25" s="575">
        <f t="shared" si="13"/>
        <v>0</v>
      </c>
      <c r="AT25" s="575">
        <f t="shared" si="13"/>
        <v>0</v>
      </c>
      <c r="AU25" s="575">
        <f t="shared" si="13"/>
        <v>0</v>
      </c>
      <c r="AX25" s="253"/>
      <c r="AY25" s="264"/>
    </row>
    <row r="26" spans="1:51" x14ac:dyDescent="0.35">
      <c r="A26" s="560"/>
      <c r="G26" s="557" t="s">
        <v>2604</v>
      </c>
      <c r="K26" s="563"/>
      <c r="L26" s="573">
        <f>SUM(L22:L25)</f>
        <v>0</v>
      </c>
      <c r="M26" s="573">
        <f t="shared" ref="M26:AU26" si="15">SUM(M22:M25)</f>
        <v>0</v>
      </c>
      <c r="N26" s="573">
        <f t="shared" si="15"/>
        <v>0</v>
      </c>
      <c r="O26" s="573">
        <f t="shared" si="15"/>
        <v>0</v>
      </c>
      <c r="P26" s="573">
        <f t="shared" si="15"/>
        <v>0</v>
      </c>
      <c r="Q26" s="573">
        <f t="shared" si="15"/>
        <v>0</v>
      </c>
      <c r="R26" s="573">
        <f t="shared" si="15"/>
        <v>0</v>
      </c>
      <c r="S26" s="573">
        <f t="shared" si="15"/>
        <v>0</v>
      </c>
      <c r="T26" s="573">
        <f t="shared" si="15"/>
        <v>0</v>
      </c>
      <c r="U26" s="573">
        <f t="shared" si="15"/>
        <v>0</v>
      </c>
      <c r="V26" s="573">
        <f t="shared" si="15"/>
        <v>0</v>
      </c>
      <c r="W26" s="573">
        <f t="shared" si="15"/>
        <v>0</v>
      </c>
      <c r="X26" s="573">
        <f t="shared" si="15"/>
        <v>0</v>
      </c>
      <c r="Y26" s="573">
        <f t="shared" si="15"/>
        <v>0</v>
      </c>
      <c r="Z26" s="573">
        <f t="shared" si="15"/>
        <v>0</v>
      </c>
      <c r="AA26" s="573">
        <f t="shared" si="15"/>
        <v>0</v>
      </c>
      <c r="AB26" s="573">
        <f t="shared" si="15"/>
        <v>0</v>
      </c>
      <c r="AC26" s="573">
        <f t="shared" si="15"/>
        <v>0</v>
      </c>
      <c r="AD26" s="573">
        <f t="shared" si="15"/>
        <v>0</v>
      </c>
      <c r="AE26" s="573">
        <f t="shared" si="15"/>
        <v>0</v>
      </c>
      <c r="AF26" s="573">
        <f t="shared" si="15"/>
        <v>0</v>
      </c>
      <c r="AG26" s="573">
        <f t="shared" si="15"/>
        <v>0</v>
      </c>
      <c r="AH26" s="573">
        <f t="shared" si="15"/>
        <v>0</v>
      </c>
      <c r="AI26" s="573">
        <f t="shared" si="15"/>
        <v>0</v>
      </c>
      <c r="AJ26" s="573">
        <f t="shared" si="15"/>
        <v>0</v>
      </c>
      <c r="AK26" s="573">
        <f t="shared" si="15"/>
        <v>0</v>
      </c>
      <c r="AL26" s="573">
        <f t="shared" si="15"/>
        <v>0</v>
      </c>
      <c r="AM26" s="573">
        <f t="shared" si="15"/>
        <v>0</v>
      </c>
      <c r="AN26" s="573">
        <f t="shared" si="15"/>
        <v>0</v>
      </c>
      <c r="AO26" s="573">
        <f t="shared" si="15"/>
        <v>0</v>
      </c>
      <c r="AP26" s="573">
        <f t="shared" si="15"/>
        <v>0</v>
      </c>
      <c r="AQ26" s="573">
        <f t="shared" si="15"/>
        <v>0</v>
      </c>
      <c r="AR26" s="573">
        <f t="shared" si="15"/>
        <v>0</v>
      </c>
      <c r="AS26" s="573">
        <f t="shared" si="15"/>
        <v>0</v>
      </c>
      <c r="AT26" s="573">
        <f t="shared" si="15"/>
        <v>0</v>
      </c>
      <c r="AU26" s="573">
        <f t="shared" si="15"/>
        <v>0</v>
      </c>
      <c r="AX26" s="253"/>
      <c r="AY26" s="264"/>
    </row>
    <row r="27" spans="1:51" x14ac:dyDescent="0.35">
      <c r="A27" s="560"/>
      <c r="L27" s="571"/>
      <c r="M27" s="571"/>
      <c r="N27" s="571"/>
      <c r="O27" s="571"/>
      <c r="P27" s="571"/>
      <c r="Q27" s="571"/>
      <c r="R27" s="571"/>
      <c r="S27" s="571"/>
      <c r="T27" s="571"/>
      <c r="U27" s="571"/>
      <c r="V27" s="571"/>
      <c r="W27" s="571"/>
      <c r="X27" s="571"/>
      <c r="Y27" s="571"/>
      <c r="Z27" s="571"/>
      <c r="AA27" s="571"/>
      <c r="AB27" s="571"/>
      <c r="AC27" s="571"/>
      <c r="AD27" s="571"/>
      <c r="AE27" s="571"/>
      <c r="AF27" s="571"/>
      <c r="AG27" s="571"/>
      <c r="AH27" s="571"/>
      <c r="AI27" s="571"/>
      <c r="AJ27" s="571"/>
      <c r="AK27" s="571"/>
      <c r="AL27" s="571"/>
      <c r="AM27" s="571"/>
      <c r="AN27" s="571"/>
      <c r="AO27" s="571"/>
      <c r="AP27" s="571"/>
      <c r="AQ27" s="571"/>
      <c r="AR27" s="571"/>
      <c r="AS27" s="571"/>
      <c r="AT27" s="571"/>
      <c r="AU27" s="571"/>
      <c r="AX27" s="253"/>
      <c r="AY27" s="264"/>
    </row>
    <row r="28" spans="1:51" x14ac:dyDescent="0.35">
      <c r="A28" s="560"/>
      <c r="G28" s="587" t="s">
        <v>30</v>
      </c>
      <c r="K28" s="563"/>
      <c r="L28" s="571"/>
      <c r="M28" s="571"/>
      <c r="N28" s="571"/>
      <c r="O28" s="571"/>
      <c r="P28" s="571"/>
      <c r="Q28" s="571"/>
      <c r="R28" s="571"/>
      <c r="S28" s="571"/>
      <c r="T28" s="571"/>
      <c r="U28" s="571"/>
      <c r="V28" s="571"/>
      <c r="W28" s="571"/>
      <c r="X28" s="571"/>
      <c r="Y28" s="571"/>
      <c r="Z28" s="571"/>
      <c r="AA28" s="571"/>
      <c r="AB28" s="571"/>
      <c r="AC28" s="571"/>
      <c r="AD28" s="571"/>
      <c r="AE28" s="571"/>
      <c r="AF28" s="571"/>
      <c r="AG28" s="571"/>
      <c r="AH28" s="571"/>
      <c r="AI28" s="571"/>
      <c r="AJ28" s="571"/>
      <c r="AK28" s="571"/>
      <c r="AL28" s="571"/>
      <c r="AM28" s="571"/>
      <c r="AN28" s="571"/>
      <c r="AO28" s="571"/>
      <c r="AP28" s="571"/>
      <c r="AQ28" s="571"/>
      <c r="AR28" s="571"/>
      <c r="AS28" s="571"/>
      <c r="AT28" s="571"/>
      <c r="AU28" s="571"/>
      <c r="AX28" s="253"/>
      <c r="AY28" s="264"/>
    </row>
    <row r="29" spans="1:51" x14ac:dyDescent="0.35">
      <c r="A29" s="560"/>
      <c r="G29" s="562" t="s">
        <v>1166</v>
      </c>
      <c r="K29" s="563" t="s">
        <v>86</v>
      </c>
      <c r="L29" s="572">
        <f t="shared" ref="L29:U32" si="16">SUMIFS(L$711:L$811,$J$711:$J$811,$K29)</f>
        <v>0</v>
      </c>
      <c r="M29" s="572">
        <f t="shared" si="16"/>
        <v>0</v>
      </c>
      <c r="N29" s="572">
        <f t="shared" si="16"/>
        <v>0</v>
      </c>
      <c r="O29" s="572">
        <f t="shared" si="16"/>
        <v>0</v>
      </c>
      <c r="P29" s="572">
        <f t="shared" si="16"/>
        <v>0</v>
      </c>
      <c r="Q29" s="572">
        <f t="shared" si="16"/>
        <v>0</v>
      </c>
      <c r="R29" s="572">
        <f t="shared" si="16"/>
        <v>0</v>
      </c>
      <c r="S29" s="572">
        <f t="shared" si="16"/>
        <v>0</v>
      </c>
      <c r="T29" s="572">
        <f t="shared" si="16"/>
        <v>0</v>
      </c>
      <c r="U29" s="572">
        <f t="shared" si="16"/>
        <v>0</v>
      </c>
      <c r="V29" s="572">
        <f t="shared" ref="V29:AE32" si="17">SUMIFS(V$711:V$811,$J$711:$J$811,$K29)</f>
        <v>0</v>
      </c>
      <c r="W29" s="572">
        <f t="shared" si="17"/>
        <v>0</v>
      </c>
      <c r="X29" s="572">
        <f t="shared" si="17"/>
        <v>0</v>
      </c>
      <c r="Y29" s="572">
        <f t="shared" si="17"/>
        <v>0</v>
      </c>
      <c r="Z29" s="572">
        <f t="shared" si="17"/>
        <v>0</v>
      </c>
      <c r="AA29" s="572">
        <f t="shared" si="17"/>
        <v>0</v>
      </c>
      <c r="AB29" s="572">
        <f t="shared" si="17"/>
        <v>0</v>
      </c>
      <c r="AC29" s="572">
        <f t="shared" si="17"/>
        <v>0</v>
      </c>
      <c r="AD29" s="572">
        <f t="shared" si="17"/>
        <v>0</v>
      </c>
      <c r="AE29" s="572">
        <f t="shared" si="17"/>
        <v>0</v>
      </c>
      <c r="AF29" s="572">
        <f t="shared" ref="AF29:AO32" si="18">SUMIFS(AF$711:AF$811,$J$711:$J$811,$K29)</f>
        <v>0</v>
      </c>
      <c r="AG29" s="572">
        <f t="shared" si="18"/>
        <v>0</v>
      </c>
      <c r="AH29" s="572">
        <f t="shared" si="18"/>
        <v>0</v>
      </c>
      <c r="AI29" s="572">
        <f t="shared" si="18"/>
        <v>0</v>
      </c>
      <c r="AJ29" s="572">
        <f t="shared" si="18"/>
        <v>0</v>
      </c>
      <c r="AK29" s="572">
        <f t="shared" si="18"/>
        <v>0</v>
      </c>
      <c r="AL29" s="572">
        <f t="shared" si="18"/>
        <v>0</v>
      </c>
      <c r="AM29" s="572">
        <f t="shared" si="18"/>
        <v>0</v>
      </c>
      <c r="AN29" s="572">
        <f t="shared" si="18"/>
        <v>0</v>
      </c>
      <c r="AO29" s="572">
        <f t="shared" si="18"/>
        <v>0</v>
      </c>
      <c r="AP29" s="572">
        <f t="shared" ref="AP29:AU32" si="19">SUMIFS(AP$711:AP$811,$J$711:$J$811,$K29)</f>
        <v>0</v>
      </c>
      <c r="AQ29" s="572">
        <f t="shared" si="19"/>
        <v>0</v>
      </c>
      <c r="AR29" s="572">
        <f t="shared" si="19"/>
        <v>0</v>
      </c>
      <c r="AS29" s="572">
        <f t="shared" si="19"/>
        <v>0</v>
      </c>
      <c r="AT29" s="572">
        <f t="shared" si="19"/>
        <v>0</v>
      </c>
      <c r="AU29" s="572">
        <f t="shared" si="19"/>
        <v>0</v>
      </c>
      <c r="AX29" s="253"/>
      <c r="AY29" s="264"/>
    </row>
    <row r="30" spans="1:51" x14ac:dyDescent="0.35">
      <c r="A30" s="560"/>
      <c r="G30" s="562" t="s">
        <v>1167</v>
      </c>
      <c r="K30" s="563" t="s">
        <v>120</v>
      </c>
      <c r="L30" s="574">
        <f t="shared" si="16"/>
        <v>0</v>
      </c>
      <c r="M30" s="574">
        <f t="shared" si="16"/>
        <v>0</v>
      </c>
      <c r="N30" s="574">
        <f t="shared" si="16"/>
        <v>0</v>
      </c>
      <c r="O30" s="574">
        <f t="shared" si="16"/>
        <v>0</v>
      </c>
      <c r="P30" s="574">
        <f t="shared" si="16"/>
        <v>0</v>
      </c>
      <c r="Q30" s="574">
        <f t="shared" si="16"/>
        <v>0</v>
      </c>
      <c r="R30" s="574">
        <f t="shared" si="16"/>
        <v>0</v>
      </c>
      <c r="S30" s="574">
        <f t="shared" si="16"/>
        <v>0</v>
      </c>
      <c r="T30" s="574">
        <f t="shared" si="16"/>
        <v>0</v>
      </c>
      <c r="U30" s="574">
        <f t="shared" si="16"/>
        <v>0</v>
      </c>
      <c r="V30" s="574">
        <f t="shared" si="17"/>
        <v>0</v>
      </c>
      <c r="W30" s="574">
        <f t="shared" si="17"/>
        <v>0</v>
      </c>
      <c r="X30" s="574">
        <f t="shared" si="17"/>
        <v>0</v>
      </c>
      <c r="Y30" s="574">
        <f t="shared" si="17"/>
        <v>0</v>
      </c>
      <c r="Z30" s="574">
        <f t="shared" si="17"/>
        <v>0</v>
      </c>
      <c r="AA30" s="574">
        <f t="shared" si="17"/>
        <v>0</v>
      </c>
      <c r="AB30" s="574">
        <f t="shared" si="17"/>
        <v>0</v>
      </c>
      <c r="AC30" s="574">
        <f t="shared" si="17"/>
        <v>0</v>
      </c>
      <c r="AD30" s="574">
        <f t="shared" si="17"/>
        <v>0</v>
      </c>
      <c r="AE30" s="574">
        <f t="shared" si="17"/>
        <v>0</v>
      </c>
      <c r="AF30" s="574">
        <f t="shared" si="18"/>
        <v>0</v>
      </c>
      <c r="AG30" s="574">
        <f t="shared" si="18"/>
        <v>0</v>
      </c>
      <c r="AH30" s="574">
        <f t="shared" si="18"/>
        <v>0</v>
      </c>
      <c r="AI30" s="574">
        <f t="shared" si="18"/>
        <v>0</v>
      </c>
      <c r="AJ30" s="574">
        <f t="shared" si="18"/>
        <v>0</v>
      </c>
      <c r="AK30" s="574">
        <f t="shared" si="18"/>
        <v>0</v>
      </c>
      <c r="AL30" s="574">
        <f t="shared" si="18"/>
        <v>0</v>
      </c>
      <c r="AM30" s="574">
        <f t="shared" si="18"/>
        <v>0</v>
      </c>
      <c r="AN30" s="574">
        <f t="shared" si="18"/>
        <v>0</v>
      </c>
      <c r="AO30" s="574">
        <f t="shared" si="18"/>
        <v>0</v>
      </c>
      <c r="AP30" s="574">
        <f t="shared" si="19"/>
        <v>0</v>
      </c>
      <c r="AQ30" s="574">
        <f t="shared" si="19"/>
        <v>0</v>
      </c>
      <c r="AR30" s="574">
        <f t="shared" si="19"/>
        <v>0</v>
      </c>
      <c r="AS30" s="574">
        <f t="shared" si="19"/>
        <v>0</v>
      </c>
      <c r="AT30" s="574">
        <f t="shared" si="19"/>
        <v>0</v>
      </c>
      <c r="AU30" s="574">
        <f t="shared" si="19"/>
        <v>0</v>
      </c>
      <c r="AX30" s="253"/>
      <c r="AY30" s="264"/>
    </row>
    <row r="31" spans="1:51" x14ac:dyDescent="0.35">
      <c r="A31" s="560"/>
      <c r="G31" s="562" t="s">
        <v>1168</v>
      </c>
      <c r="K31" s="563" t="s">
        <v>153</v>
      </c>
      <c r="L31" s="574">
        <f t="shared" si="16"/>
        <v>0</v>
      </c>
      <c r="M31" s="574">
        <f t="shared" si="16"/>
        <v>0</v>
      </c>
      <c r="N31" s="574">
        <f t="shared" si="16"/>
        <v>0</v>
      </c>
      <c r="O31" s="574">
        <f t="shared" si="16"/>
        <v>0</v>
      </c>
      <c r="P31" s="574">
        <f t="shared" si="16"/>
        <v>0</v>
      </c>
      <c r="Q31" s="574">
        <f t="shared" si="16"/>
        <v>0</v>
      </c>
      <c r="R31" s="574">
        <f t="shared" si="16"/>
        <v>0</v>
      </c>
      <c r="S31" s="574">
        <f t="shared" si="16"/>
        <v>0</v>
      </c>
      <c r="T31" s="574">
        <f t="shared" si="16"/>
        <v>0</v>
      </c>
      <c r="U31" s="574">
        <f t="shared" si="16"/>
        <v>0</v>
      </c>
      <c r="V31" s="574">
        <f t="shared" si="17"/>
        <v>0</v>
      </c>
      <c r="W31" s="574">
        <f t="shared" si="17"/>
        <v>0</v>
      </c>
      <c r="X31" s="574">
        <f t="shared" si="17"/>
        <v>0</v>
      </c>
      <c r="Y31" s="574">
        <f t="shared" si="17"/>
        <v>0</v>
      </c>
      <c r="Z31" s="574">
        <f t="shared" si="17"/>
        <v>0</v>
      </c>
      <c r="AA31" s="574">
        <f t="shared" si="17"/>
        <v>0</v>
      </c>
      <c r="AB31" s="574">
        <f t="shared" si="17"/>
        <v>0</v>
      </c>
      <c r="AC31" s="574">
        <f t="shared" si="17"/>
        <v>0</v>
      </c>
      <c r="AD31" s="574">
        <f t="shared" si="17"/>
        <v>0</v>
      </c>
      <c r="AE31" s="574">
        <f t="shared" si="17"/>
        <v>0</v>
      </c>
      <c r="AF31" s="574">
        <f t="shared" si="18"/>
        <v>0</v>
      </c>
      <c r="AG31" s="574">
        <f t="shared" si="18"/>
        <v>0</v>
      </c>
      <c r="AH31" s="574">
        <f t="shared" si="18"/>
        <v>0</v>
      </c>
      <c r="AI31" s="574">
        <f t="shared" si="18"/>
        <v>0</v>
      </c>
      <c r="AJ31" s="574">
        <f t="shared" si="18"/>
        <v>0</v>
      </c>
      <c r="AK31" s="574">
        <f t="shared" si="18"/>
        <v>0</v>
      </c>
      <c r="AL31" s="574">
        <f t="shared" si="18"/>
        <v>0</v>
      </c>
      <c r="AM31" s="574">
        <f t="shared" si="18"/>
        <v>0</v>
      </c>
      <c r="AN31" s="574">
        <f t="shared" si="18"/>
        <v>0</v>
      </c>
      <c r="AO31" s="574">
        <f t="shared" si="18"/>
        <v>0</v>
      </c>
      <c r="AP31" s="574">
        <f t="shared" si="19"/>
        <v>0</v>
      </c>
      <c r="AQ31" s="574">
        <f t="shared" si="19"/>
        <v>0</v>
      </c>
      <c r="AR31" s="574">
        <f t="shared" si="19"/>
        <v>0</v>
      </c>
      <c r="AS31" s="574">
        <f t="shared" si="19"/>
        <v>0</v>
      </c>
      <c r="AT31" s="574">
        <f t="shared" si="19"/>
        <v>0</v>
      </c>
      <c r="AU31" s="574">
        <f t="shared" si="19"/>
        <v>0</v>
      </c>
      <c r="AX31" s="253"/>
      <c r="AY31" s="264"/>
    </row>
    <row r="32" spans="1:51" ht="16" x14ac:dyDescent="0.5">
      <c r="A32" s="560"/>
      <c r="G32" s="562" t="s">
        <v>1165</v>
      </c>
      <c r="K32" s="563" t="s">
        <v>185</v>
      </c>
      <c r="L32" s="575">
        <f t="shared" si="16"/>
        <v>0</v>
      </c>
      <c r="M32" s="575">
        <f t="shared" si="16"/>
        <v>0</v>
      </c>
      <c r="N32" s="575">
        <f t="shared" si="16"/>
        <v>0</v>
      </c>
      <c r="O32" s="575">
        <f t="shared" si="16"/>
        <v>0</v>
      </c>
      <c r="P32" s="575">
        <f t="shared" si="16"/>
        <v>0</v>
      </c>
      <c r="Q32" s="575">
        <f t="shared" si="16"/>
        <v>0</v>
      </c>
      <c r="R32" s="575">
        <f t="shared" si="16"/>
        <v>0</v>
      </c>
      <c r="S32" s="575">
        <f t="shared" si="16"/>
        <v>0</v>
      </c>
      <c r="T32" s="575">
        <f t="shared" si="16"/>
        <v>0</v>
      </c>
      <c r="U32" s="575">
        <f t="shared" si="16"/>
        <v>0</v>
      </c>
      <c r="V32" s="575">
        <f t="shared" si="17"/>
        <v>0</v>
      </c>
      <c r="W32" s="575">
        <f t="shared" si="17"/>
        <v>0</v>
      </c>
      <c r="X32" s="575">
        <f t="shared" si="17"/>
        <v>0</v>
      </c>
      <c r="Y32" s="575">
        <f t="shared" si="17"/>
        <v>0</v>
      </c>
      <c r="Z32" s="575">
        <f t="shared" si="17"/>
        <v>0</v>
      </c>
      <c r="AA32" s="575">
        <f t="shared" si="17"/>
        <v>0</v>
      </c>
      <c r="AB32" s="575">
        <f t="shared" si="17"/>
        <v>0</v>
      </c>
      <c r="AC32" s="575">
        <f t="shared" si="17"/>
        <v>0</v>
      </c>
      <c r="AD32" s="575">
        <f t="shared" si="17"/>
        <v>0</v>
      </c>
      <c r="AE32" s="575">
        <f t="shared" si="17"/>
        <v>0</v>
      </c>
      <c r="AF32" s="575">
        <f t="shared" si="18"/>
        <v>0</v>
      </c>
      <c r="AG32" s="575">
        <f t="shared" si="18"/>
        <v>0</v>
      </c>
      <c r="AH32" s="575">
        <f t="shared" si="18"/>
        <v>0</v>
      </c>
      <c r="AI32" s="575">
        <f t="shared" si="18"/>
        <v>0</v>
      </c>
      <c r="AJ32" s="575">
        <f t="shared" si="18"/>
        <v>0</v>
      </c>
      <c r="AK32" s="575">
        <f t="shared" si="18"/>
        <v>0</v>
      </c>
      <c r="AL32" s="575">
        <f t="shared" si="18"/>
        <v>0</v>
      </c>
      <c r="AM32" s="575">
        <f t="shared" si="18"/>
        <v>0</v>
      </c>
      <c r="AN32" s="575">
        <f t="shared" si="18"/>
        <v>0</v>
      </c>
      <c r="AO32" s="575">
        <f t="shared" si="18"/>
        <v>0</v>
      </c>
      <c r="AP32" s="575">
        <f t="shared" si="19"/>
        <v>0</v>
      </c>
      <c r="AQ32" s="575">
        <f t="shared" si="19"/>
        <v>0</v>
      </c>
      <c r="AR32" s="575">
        <f t="shared" si="19"/>
        <v>0</v>
      </c>
      <c r="AS32" s="575">
        <f t="shared" si="19"/>
        <v>0</v>
      </c>
      <c r="AT32" s="575">
        <f t="shared" si="19"/>
        <v>0</v>
      </c>
      <c r="AU32" s="575">
        <f t="shared" si="19"/>
        <v>0</v>
      </c>
      <c r="AX32" s="253"/>
      <c r="AY32" s="264"/>
    </row>
    <row r="33" spans="1:51" x14ac:dyDescent="0.35">
      <c r="A33" s="560"/>
      <c r="G33" s="557" t="s">
        <v>1309</v>
      </c>
      <c r="K33" s="563"/>
      <c r="L33" s="573">
        <f>SUM(L29:L32)</f>
        <v>0</v>
      </c>
      <c r="M33" s="573">
        <f t="shared" ref="M33:AU33" si="20">SUM(M29:M32)</f>
        <v>0</v>
      </c>
      <c r="N33" s="573">
        <f t="shared" si="20"/>
        <v>0</v>
      </c>
      <c r="O33" s="573">
        <f t="shared" si="20"/>
        <v>0</v>
      </c>
      <c r="P33" s="573">
        <f t="shared" si="20"/>
        <v>0</v>
      </c>
      <c r="Q33" s="573">
        <f t="shared" si="20"/>
        <v>0</v>
      </c>
      <c r="R33" s="573">
        <f t="shared" si="20"/>
        <v>0</v>
      </c>
      <c r="S33" s="573">
        <f t="shared" si="20"/>
        <v>0</v>
      </c>
      <c r="T33" s="573">
        <f t="shared" si="20"/>
        <v>0</v>
      </c>
      <c r="U33" s="573">
        <f t="shared" si="20"/>
        <v>0</v>
      </c>
      <c r="V33" s="573">
        <f t="shared" si="20"/>
        <v>0</v>
      </c>
      <c r="W33" s="573">
        <f t="shared" si="20"/>
        <v>0</v>
      </c>
      <c r="X33" s="573">
        <f t="shared" si="20"/>
        <v>0</v>
      </c>
      <c r="Y33" s="573">
        <f t="shared" si="20"/>
        <v>0</v>
      </c>
      <c r="Z33" s="573">
        <f t="shared" si="20"/>
        <v>0</v>
      </c>
      <c r="AA33" s="573">
        <f t="shared" si="20"/>
        <v>0</v>
      </c>
      <c r="AB33" s="573">
        <f t="shared" si="20"/>
        <v>0</v>
      </c>
      <c r="AC33" s="573">
        <f t="shared" si="20"/>
        <v>0</v>
      </c>
      <c r="AD33" s="573">
        <f t="shared" si="20"/>
        <v>0</v>
      </c>
      <c r="AE33" s="573">
        <f t="shared" si="20"/>
        <v>0</v>
      </c>
      <c r="AF33" s="573">
        <f t="shared" si="20"/>
        <v>0</v>
      </c>
      <c r="AG33" s="573">
        <f t="shared" si="20"/>
        <v>0</v>
      </c>
      <c r="AH33" s="573">
        <f t="shared" si="20"/>
        <v>0</v>
      </c>
      <c r="AI33" s="573">
        <f t="shared" si="20"/>
        <v>0</v>
      </c>
      <c r="AJ33" s="573">
        <f t="shared" si="20"/>
        <v>0</v>
      </c>
      <c r="AK33" s="573">
        <f t="shared" si="20"/>
        <v>0</v>
      </c>
      <c r="AL33" s="573">
        <f t="shared" si="20"/>
        <v>0</v>
      </c>
      <c r="AM33" s="573">
        <f t="shared" si="20"/>
        <v>0</v>
      </c>
      <c r="AN33" s="573">
        <f t="shared" si="20"/>
        <v>0</v>
      </c>
      <c r="AO33" s="573">
        <f t="shared" si="20"/>
        <v>0</v>
      </c>
      <c r="AP33" s="573">
        <f t="shared" si="20"/>
        <v>0</v>
      </c>
      <c r="AQ33" s="573">
        <f t="shared" si="20"/>
        <v>0</v>
      </c>
      <c r="AR33" s="573">
        <f t="shared" si="20"/>
        <v>0</v>
      </c>
      <c r="AS33" s="573">
        <f t="shared" si="20"/>
        <v>0</v>
      </c>
      <c r="AT33" s="573">
        <f t="shared" si="20"/>
        <v>0</v>
      </c>
      <c r="AU33" s="573">
        <f t="shared" si="20"/>
        <v>0</v>
      </c>
      <c r="AX33" s="253"/>
      <c r="AY33" s="264"/>
    </row>
    <row r="34" spans="1:51" x14ac:dyDescent="0.35">
      <c r="A34" s="560"/>
      <c r="G34" s="562"/>
      <c r="K34" s="563"/>
      <c r="L34" s="571"/>
      <c r="M34" s="571"/>
      <c r="N34" s="571"/>
      <c r="O34" s="571"/>
      <c r="P34" s="571"/>
      <c r="Q34" s="571"/>
      <c r="R34" s="571"/>
      <c r="S34" s="571"/>
      <c r="T34" s="571"/>
      <c r="U34" s="571"/>
      <c r="V34" s="571"/>
      <c r="W34" s="571"/>
      <c r="X34" s="571"/>
      <c r="Y34" s="571"/>
      <c r="Z34" s="571"/>
      <c r="AA34" s="571"/>
      <c r="AB34" s="571"/>
      <c r="AC34" s="571"/>
      <c r="AD34" s="571"/>
      <c r="AE34" s="571"/>
      <c r="AF34" s="571"/>
      <c r="AG34" s="571"/>
      <c r="AH34" s="571"/>
      <c r="AI34" s="571"/>
      <c r="AJ34" s="571"/>
      <c r="AK34" s="571"/>
      <c r="AL34" s="571"/>
      <c r="AM34" s="571"/>
      <c r="AN34" s="571"/>
      <c r="AO34" s="571"/>
      <c r="AP34" s="571"/>
      <c r="AQ34" s="571"/>
      <c r="AR34" s="571"/>
      <c r="AS34" s="571"/>
      <c r="AT34" s="571"/>
      <c r="AU34" s="571"/>
      <c r="AX34" s="253"/>
      <c r="AY34" s="264"/>
    </row>
    <row r="35" spans="1:51" x14ac:dyDescent="0.35">
      <c r="A35" s="560"/>
      <c r="G35" s="587" t="s">
        <v>32</v>
      </c>
      <c r="K35" s="286"/>
      <c r="L35" s="571"/>
      <c r="M35" s="571"/>
      <c r="N35" s="571"/>
      <c r="O35" s="571"/>
      <c r="P35" s="571"/>
      <c r="Q35" s="571"/>
      <c r="R35" s="571"/>
      <c r="S35" s="571"/>
      <c r="T35" s="571"/>
      <c r="U35" s="571"/>
      <c r="V35" s="571"/>
      <c r="W35" s="571"/>
      <c r="X35" s="571"/>
      <c r="Y35" s="571"/>
      <c r="Z35" s="571"/>
      <c r="AA35" s="571"/>
      <c r="AB35" s="571"/>
      <c r="AC35" s="571"/>
      <c r="AD35" s="571"/>
      <c r="AE35" s="571"/>
      <c r="AF35" s="571"/>
      <c r="AG35" s="571"/>
      <c r="AH35" s="571"/>
      <c r="AI35" s="571"/>
      <c r="AJ35" s="571"/>
      <c r="AK35" s="571"/>
      <c r="AL35" s="571"/>
      <c r="AM35" s="571"/>
      <c r="AN35" s="571"/>
      <c r="AO35" s="571"/>
      <c r="AP35" s="571"/>
      <c r="AQ35" s="571"/>
      <c r="AR35" s="571"/>
      <c r="AS35" s="571"/>
      <c r="AT35" s="571"/>
      <c r="AU35" s="571"/>
      <c r="AX35" s="253"/>
      <c r="AY35" s="264"/>
    </row>
    <row r="36" spans="1:51" x14ac:dyDescent="0.35">
      <c r="A36" s="560"/>
      <c r="G36" s="562" t="s">
        <v>1166</v>
      </c>
      <c r="K36" s="563" t="s">
        <v>88</v>
      </c>
      <c r="L36" s="572">
        <f t="shared" ref="L36:U39" si="21">SUMIFS(L$816:L$916,$J$816:$J$916,$K36)</f>
        <v>0</v>
      </c>
      <c r="M36" s="572">
        <f t="shared" si="21"/>
        <v>0</v>
      </c>
      <c r="N36" s="572">
        <f t="shared" si="21"/>
        <v>0</v>
      </c>
      <c r="O36" s="572">
        <f t="shared" si="21"/>
        <v>0</v>
      </c>
      <c r="P36" s="572">
        <f t="shared" si="21"/>
        <v>0</v>
      </c>
      <c r="Q36" s="572">
        <f t="shared" si="21"/>
        <v>0</v>
      </c>
      <c r="R36" s="572">
        <f t="shared" si="21"/>
        <v>0</v>
      </c>
      <c r="S36" s="572">
        <f t="shared" si="21"/>
        <v>0</v>
      </c>
      <c r="T36" s="572">
        <f t="shared" si="21"/>
        <v>0</v>
      </c>
      <c r="U36" s="572">
        <f t="shared" si="21"/>
        <v>0</v>
      </c>
      <c r="V36" s="572">
        <f t="shared" ref="V36:AE39" si="22">SUMIFS(V$816:V$916,$J$816:$J$916,$K36)</f>
        <v>0</v>
      </c>
      <c r="W36" s="572">
        <f t="shared" si="22"/>
        <v>0</v>
      </c>
      <c r="X36" s="572">
        <f t="shared" si="22"/>
        <v>0</v>
      </c>
      <c r="Y36" s="572">
        <f t="shared" si="22"/>
        <v>0</v>
      </c>
      <c r="Z36" s="572">
        <f t="shared" si="22"/>
        <v>0</v>
      </c>
      <c r="AA36" s="572">
        <f t="shared" si="22"/>
        <v>0</v>
      </c>
      <c r="AB36" s="572">
        <f t="shared" si="22"/>
        <v>0</v>
      </c>
      <c r="AC36" s="572">
        <f t="shared" si="22"/>
        <v>0</v>
      </c>
      <c r="AD36" s="572">
        <f t="shared" si="22"/>
        <v>0</v>
      </c>
      <c r="AE36" s="572">
        <f t="shared" si="22"/>
        <v>0</v>
      </c>
      <c r="AF36" s="572">
        <f t="shared" ref="AF36:AO39" si="23">SUMIFS(AF$816:AF$916,$J$816:$J$916,$K36)</f>
        <v>0</v>
      </c>
      <c r="AG36" s="572">
        <f t="shared" si="23"/>
        <v>0</v>
      </c>
      <c r="AH36" s="572">
        <f t="shared" si="23"/>
        <v>0</v>
      </c>
      <c r="AI36" s="572">
        <f t="shared" si="23"/>
        <v>0</v>
      </c>
      <c r="AJ36" s="572">
        <f t="shared" si="23"/>
        <v>0</v>
      </c>
      <c r="AK36" s="572">
        <f t="shared" si="23"/>
        <v>0</v>
      </c>
      <c r="AL36" s="572">
        <f t="shared" si="23"/>
        <v>0</v>
      </c>
      <c r="AM36" s="572">
        <f t="shared" si="23"/>
        <v>0</v>
      </c>
      <c r="AN36" s="572">
        <f t="shared" si="23"/>
        <v>0</v>
      </c>
      <c r="AO36" s="572">
        <f t="shared" si="23"/>
        <v>0</v>
      </c>
      <c r="AP36" s="572">
        <f t="shared" ref="AP36:AU39" si="24">SUMIFS(AP$816:AP$916,$J$816:$J$916,$K36)</f>
        <v>0</v>
      </c>
      <c r="AQ36" s="572">
        <f t="shared" si="24"/>
        <v>0</v>
      </c>
      <c r="AR36" s="572">
        <f t="shared" si="24"/>
        <v>0</v>
      </c>
      <c r="AS36" s="572">
        <f t="shared" si="24"/>
        <v>0</v>
      </c>
      <c r="AT36" s="572">
        <f t="shared" si="24"/>
        <v>0</v>
      </c>
      <c r="AU36" s="572">
        <f t="shared" si="24"/>
        <v>0</v>
      </c>
      <c r="AX36" s="253"/>
      <c r="AY36" s="264"/>
    </row>
    <row r="37" spans="1:51" x14ac:dyDescent="0.35">
      <c r="A37" s="560"/>
      <c r="G37" s="562" t="s">
        <v>1167</v>
      </c>
      <c r="K37" s="563" t="s">
        <v>122</v>
      </c>
      <c r="L37" s="574">
        <f t="shared" si="21"/>
        <v>0</v>
      </c>
      <c r="M37" s="574">
        <f t="shared" si="21"/>
        <v>0</v>
      </c>
      <c r="N37" s="574">
        <f t="shared" si="21"/>
        <v>0</v>
      </c>
      <c r="O37" s="574">
        <f t="shared" si="21"/>
        <v>0</v>
      </c>
      <c r="P37" s="574">
        <f t="shared" si="21"/>
        <v>0</v>
      </c>
      <c r="Q37" s="574">
        <f t="shared" si="21"/>
        <v>0</v>
      </c>
      <c r="R37" s="574">
        <f t="shared" si="21"/>
        <v>0</v>
      </c>
      <c r="S37" s="574">
        <f t="shared" si="21"/>
        <v>0</v>
      </c>
      <c r="T37" s="574">
        <f t="shared" si="21"/>
        <v>0</v>
      </c>
      <c r="U37" s="574">
        <f t="shared" si="21"/>
        <v>0</v>
      </c>
      <c r="V37" s="574">
        <f t="shared" si="22"/>
        <v>0</v>
      </c>
      <c r="W37" s="574">
        <f t="shared" si="22"/>
        <v>0</v>
      </c>
      <c r="X37" s="574">
        <f t="shared" si="22"/>
        <v>0</v>
      </c>
      <c r="Y37" s="574">
        <f t="shared" si="22"/>
        <v>0</v>
      </c>
      <c r="Z37" s="574">
        <f t="shared" si="22"/>
        <v>0</v>
      </c>
      <c r="AA37" s="574">
        <f t="shared" si="22"/>
        <v>0</v>
      </c>
      <c r="AB37" s="574">
        <f t="shared" si="22"/>
        <v>0</v>
      </c>
      <c r="AC37" s="574">
        <f t="shared" si="22"/>
        <v>0</v>
      </c>
      <c r="AD37" s="574">
        <f t="shared" si="22"/>
        <v>0</v>
      </c>
      <c r="AE37" s="574">
        <f t="shared" si="22"/>
        <v>0</v>
      </c>
      <c r="AF37" s="574">
        <f t="shared" si="23"/>
        <v>0</v>
      </c>
      <c r="AG37" s="574">
        <f t="shared" si="23"/>
        <v>0</v>
      </c>
      <c r="AH37" s="574">
        <f t="shared" si="23"/>
        <v>0</v>
      </c>
      <c r="AI37" s="574">
        <f t="shared" si="23"/>
        <v>0</v>
      </c>
      <c r="AJ37" s="574">
        <f t="shared" si="23"/>
        <v>0</v>
      </c>
      <c r="AK37" s="574">
        <f t="shared" si="23"/>
        <v>0</v>
      </c>
      <c r="AL37" s="574">
        <f t="shared" si="23"/>
        <v>0</v>
      </c>
      <c r="AM37" s="574">
        <f t="shared" si="23"/>
        <v>0</v>
      </c>
      <c r="AN37" s="574">
        <f t="shared" si="23"/>
        <v>0</v>
      </c>
      <c r="AO37" s="574">
        <f t="shared" si="23"/>
        <v>0</v>
      </c>
      <c r="AP37" s="574">
        <f t="shared" si="24"/>
        <v>0</v>
      </c>
      <c r="AQ37" s="574">
        <f t="shared" si="24"/>
        <v>0</v>
      </c>
      <c r="AR37" s="574">
        <f t="shared" si="24"/>
        <v>0</v>
      </c>
      <c r="AS37" s="574">
        <f t="shared" si="24"/>
        <v>0</v>
      </c>
      <c r="AT37" s="574">
        <f t="shared" si="24"/>
        <v>0</v>
      </c>
      <c r="AU37" s="574">
        <f t="shared" si="24"/>
        <v>0</v>
      </c>
      <c r="AX37" s="253"/>
      <c r="AY37" s="264"/>
    </row>
    <row r="38" spans="1:51" x14ac:dyDescent="0.35">
      <c r="A38" s="560"/>
      <c r="G38" s="562" t="s">
        <v>1168</v>
      </c>
      <c r="K38" s="563" t="s">
        <v>155</v>
      </c>
      <c r="L38" s="574">
        <f t="shared" si="21"/>
        <v>0</v>
      </c>
      <c r="M38" s="574">
        <f t="shared" si="21"/>
        <v>0</v>
      </c>
      <c r="N38" s="574">
        <f t="shared" si="21"/>
        <v>0</v>
      </c>
      <c r="O38" s="574">
        <f t="shared" si="21"/>
        <v>0</v>
      </c>
      <c r="P38" s="574">
        <f t="shared" si="21"/>
        <v>0</v>
      </c>
      <c r="Q38" s="574">
        <f t="shared" si="21"/>
        <v>0</v>
      </c>
      <c r="R38" s="574">
        <f t="shared" si="21"/>
        <v>0</v>
      </c>
      <c r="S38" s="574">
        <f t="shared" si="21"/>
        <v>0</v>
      </c>
      <c r="T38" s="574">
        <f t="shared" si="21"/>
        <v>0</v>
      </c>
      <c r="U38" s="574">
        <f t="shared" si="21"/>
        <v>0</v>
      </c>
      <c r="V38" s="574">
        <f t="shared" si="22"/>
        <v>0</v>
      </c>
      <c r="W38" s="574">
        <f t="shared" si="22"/>
        <v>0</v>
      </c>
      <c r="X38" s="574">
        <f t="shared" si="22"/>
        <v>0</v>
      </c>
      <c r="Y38" s="574">
        <f t="shared" si="22"/>
        <v>0</v>
      </c>
      <c r="Z38" s="574">
        <f t="shared" si="22"/>
        <v>0</v>
      </c>
      <c r="AA38" s="574">
        <f t="shared" si="22"/>
        <v>0</v>
      </c>
      <c r="AB38" s="574">
        <f t="shared" si="22"/>
        <v>0</v>
      </c>
      <c r="AC38" s="574">
        <f t="shared" si="22"/>
        <v>0</v>
      </c>
      <c r="AD38" s="574">
        <f t="shared" si="22"/>
        <v>0</v>
      </c>
      <c r="AE38" s="574">
        <f t="shared" si="22"/>
        <v>0</v>
      </c>
      <c r="AF38" s="574">
        <f t="shared" si="23"/>
        <v>0</v>
      </c>
      <c r="AG38" s="574">
        <f t="shared" si="23"/>
        <v>0</v>
      </c>
      <c r="AH38" s="574">
        <f t="shared" si="23"/>
        <v>0</v>
      </c>
      <c r="AI38" s="574">
        <f t="shared" si="23"/>
        <v>0</v>
      </c>
      <c r="AJ38" s="574">
        <f t="shared" si="23"/>
        <v>0</v>
      </c>
      <c r="AK38" s="574">
        <f t="shared" si="23"/>
        <v>0</v>
      </c>
      <c r="AL38" s="574">
        <f t="shared" si="23"/>
        <v>0</v>
      </c>
      <c r="AM38" s="574">
        <f t="shared" si="23"/>
        <v>0</v>
      </c>
      <c r="AN38" s="574">
        <f t="shared" si="23"/>
        <v>0</v>
      </c>
      <c r="AO38" s="574">
        <f t="shared" si="23"/>
        <v>0</v>
      </c>
      <c r="AP38" s="574">
        <f t="shared" si="24"/>
        <v>0</v>
      </c>
      <c r="AQ38" s="574">
        <f t="shared" si="24"/>
        <v>0</v>
      </c>
      <c r="AR38" s="574">
        <f t="shared" si="24"/>
        <v>0</v>
      </c>
      <c r="AS38" s="574">
        <f t="shared" si="24"/>
        <v>0</v>
      </c>
      <c r="AT38" s="574">
        <f t="shared" si="24"/>
        <v>0</v>
      </c>
      <c r="AU38" s="574">
        <f t="shared" si="24"/>
        <v>0</v>
      </c>
      <c r="AX38" s="253"/>
      <c r="AY38" s="264"/>
    </row>
    <row r="39" spans="1:51" ht="16" x14ac:dyDescent="0.5">
      <c r="A39" s="560"/>
      <c r="G39" s="562" t="s">
        <v>1165</v>
      </c>
      <c r="K39" s="563" t="s">
        <v>187</v>
      </c>
      <c r="L39" s="575">
        <f t="shared" si="21"/>
        <v>0</v>
      </c>
      <c r="M39" s="575">
        <f t="shared" si="21"/>
        <v>0</v>
      </c>
      <c r="N39" s="575">
        <f t="shared" si="21"/>
        <v>0</v>
      </c>
      <c r="O39" s="575">
        <f t="shared" si="21"/>
        <v>0</v>
      </c>
      <c r="P39" s="575">
        <f t="shared" si="21"/>
        <v>0</v>
      </c>
      <c r="Q39" s="575">
        <f t="shared" si="21"/>
        <v>0</v>
      </c>
      <c r="R39" s="575">
        <f t="shared" si="21"/>
        <v>0</v>
      </c>
      <c r="S39" s="575">
        <f t="shared" si="21"/>
        <v>0</v>
      </c>
      <c r="T39" s="575">
        <f t="shared" si="21"/>
        <v>0</v>
      </c>
      <c r="U39" s="575">
        <f t="shared" si="21"/>
        <v>0</v>
      </c>
      <c r="V39" s="575">
        <f t="shared" si="22"/>
        <v>0</v>
      </c>
      <c r="W39" s="575">
        <f t="shared" si="22"/>
        <v>0</v>
      </c>
      <c r="X39" s="575">
        <f t="shared" si="22"/>
        <v>0</v>
      </c>
      <c r="Y39" s="575">
        <f t="shared" si="22"/>
        <v>0</v>
      </c>
      <c r="Z39" s="575">
        <f t="shared" si="22"/>
        <v>0</v>
      </c>
      <c r="AA39" s="575">
        <f t="shared" si="22"/>
        <v>0</v>
      </c>
      <c r="AB39" s="575">
        <f t="shared" si="22"/>
        <v>0</v>
      </c>
      <c r="AC39" s="575">
        <f t="shared" si="22"/>
        <v>0</v>
      </c>
      <c r="AD39" s="575">
        <f t="shared" si="22"/>
        <v>0</v>
      </c>
      <c r="AE39" s="575">
        <f t="shared" si="22"/>
        <v>0</v>
      </c>
      <c r="AF39" s="575">
        <f t="shared" si="23"/>
        <v>0</v>
      </c>
      <c r="AG39" s="575">
        <f t="shared" si="23"/>
        <v>0</v>
      </c>
      <c r="AH39" s="575">
        <f t="shared" si="23"/>
        <v>0</v>
      </c>
      <c r="AI39" s="575">
        <f t="shared" si="23"/>
        <v>0</v>
      </c>
      <c r="AJ39" s="575">
        <f t="shared" si="23"/>
        <v>0</v>
      </c>
      <c r="AK39" s="575">
        <f t="shared" si="23"/>
        <v>0</v>
      </c>
      <c r="AL39" s="575">
        <f t="shared" si="23"/>
        <v>0</v>
      </c>
      <c r="AM39" s="575">
        <f t="shared" si="23"/>
        <v>0</v>
      </c>
      <c r="AN39" s="575">
        <f t="shared" si="23"/>
        <v>0</v>
      </c>
      <c r="AO39" s="575">
        <f t="shared" si="23"/>
        <v>0</v>
      </c>
      <c r="AP39" s="575">
        <f t="shared" si="24"/>
        <v>0</v>
      </c>
      <c r="AQ39" s="575">
        <f t="shared" si="24"/>
        <v>0</v>
      </c>
      <c r="AR39" s="575">
        <f t="shared" si="24"/>
        <v>0</v>
      </c>
      <c r="AS39" s="575">
        <f t="shared" si="24"/>
        <v>0</v>
      </c>
      <c r="AT39" s="575">
        <f t="shared" si="24"/>
        <v>0</v>
      </c>
      <c r="AU39" s="575">
        <f t="shared" si="24"/>
        <v>0</v>
      </c>
      <c r="AX39" s="253"/>
      <c r="AY39" s="264"/>
    </row>
    <row r="40" spans="1:51" x14ac:dyDescent="0.35">
      <c r="A40" s="560"/>
      <c r="G40" s="557" t="s">
        <v>1310</v>
      </c>
      <c r="K40" s="563"/>
      <c r="L40" s="573">
        <f>SUM(L36:L39)</f>
        <v>0</v>
      </c>
      <c r="M40" s="573">
        <f t="shared" ref="M40:AU40" si="25">SUM(M36:M39)</f>
        <v>0</v>
      </c>
      <c r="N40" s="573">
        <f t="shared" si="25"/>
        <v>0</v>
      </c>
      <c r="O40" s="573">
        <f t="shared" si="25"/>
        <v>0</v>
      </c>
      <c r="P40" s="573">
        <f t="shared" si="25"/>
        <v>0</v>
      </c>
      <c r="Q40" s="573">
        <f t="shared" si="25"/>
        <v>0</v>
      </c>
      <c r="R40" s="573">
        <f t="shared" si="25"/>
        <v>0</v>
      </c>
      <c r="S40" s="573">
        <f t="shared" si="25"/>
        <v>0</v>
      </c>
      <c r="T40" s="573">
        <f t="shared" si="25"/>
        <v>0</v>
      </c>
      <c r="U40" s="573">
        <f t="shared" si="25"/>
        <v>0</v>
      </c>
      <c r="V40" s="573">
        <f t="shared" si="25"/>
        <v>0</v>
      </c>
      <c r="W40" s="573">
        <f t="shared" si="25"/>
        <v>0</v>
      </c>
      <c r="X40" s="573">
        <f t="shared" si="25"/>
        <v>0</v>
      </c>
      <c r="Y40" s="573">
        <f t="shared" si="25"/>
        <v>0</v>
      </c>
      <c r="Z40" s="573">
        <f t="shared" si="25"/>
        <v>0</v>
      </c>
      <c r="AA40" s="573">
        <f t="shared" si="25"/>
        <v>0</v>
      </c>
      <c r="AB40" s="573">
        <f t="shared" si="25"/>
        <v>0</v>
      </c>
      <c r="AC40" s="573">
        <f t="shared" si="25"/>
        <v>0</v>
      </c>
      <c r="AD40" s="573">
        <f t="shared" si="25"/>
        <v>0</v>
      </c>
      <c r="AE40" s="573">
        <f t="shared" si="25"/>
        <v>0</v>
      </c>
      <c r="AF40" s="573">
        <f t="shared" si="25"/>
        <v>0</v>
      </c>
      <c r="AG40" s="573">
        <f t="shared" si="25"/>
        <v>0</v>
      </c>
      <c r="AH40" s="573">
        <f t="shared" si="25"/>
        <v>0</v>
      </c>
      <c r="AI40" s="573">
        <f t="shared" si="25"/>
        <v>0</v>
      </c>
      <c r="AJ40" s="573">
        <f t="shared" si="25"/>
        <v>0</v>
      </c>
      <c r="AK40" s="573">
        <f t="shared" si="25"/>
        <v>0</v>
      </c>
      <c r="AL40" s="573">
        <f t="shared" si="25"/>
        <v>0</v>
      </c>
      <c r="AM40" s="573">
        <f t="shared" si="25"/>
        <v>0</v>
      </c>
      <c r="AN40" s="573">
        <f t="shared" si="25"/>
        <v>0</v>
      </c>
      <c r="AO40" s="573">
        <f t="shared" si="25"/>
        <v>0</v>
      </c>
      <c r="AP40" s="573">
        <f t="shared" si="25"/>
        <v>0</v>
      </c>
      <c r="AQ40" s="573">
        <f t="shared" si="25"/>
        <v>0</v>
      </c>
      <c r="AR40" s="573">
        <f t="shared" si="25"/>
        <v>0</v>
      </c>
      <c r="AS40" s="573">
        <f t="shared" si="25"/>
        <v>0</v>
      </c>
      <c r="AT40" s="573">
        <f t="shared" si="25"/>
        <v>0</v>
      </c>
      <c r="AU40" s="573">
        <f t="shared" si="25"/>
        <v>0</v>
      </c>
      <c r="AX40" s="253"/>
      <c r="AY40" s="264"/>
    </row>
    <row r="41" spans="1:51" x14ac:dyDescent="0.35">
      <c r="A41" s="560"/>
      <c r="G41" s="562"/>
      <c r="K41" s="563"/>
      <c r="L41" s="571"/>
      <c r="M41" s="571"/>
      <c r="N41" s="571"/>
      <c r="O41" s="571"/>
      <c r="P41" s="571"/>
      <c r="Q41" s="571"/>
      <c r="R41" s="571"/>
      <c r="S41" s="571"/>
      <c r="T41" s="571"/>
      <c r="U41" s="571"/>
      <c r="V41" s="571"/>
      <c r="W41" s="571"/>
      <c r="X41" s="571"/>
      <c r="Y41" s="571"/>
      <c r="Z41" s="571"/>
      <c r="AA41" s="571"/>
      <c r="AB41" s="571"/>
      <c r="AC41" s="571"/>
      <c r="AD41" s="571"/>
      <c r="AE41" s="571"/>
      <c r="AF41" s="571"/>
      <c r="AG41" s="571"/>
      <c r="AH41" s="571"/>
      <c r="AI41" s="571"/>
      <c r="AJ41" s="571"/>
      <c r="AK41" s="571"/>
      <c r="AL41" s="571"/>
      <c r="AM41" s="571"/>
      <c r="AN41" s="571"/>
      <c r="AO41" s="571"/>
      <c r="AP41" s="571"/>
      <c r="AQ41" s="571"/>
      <c r="AR41" s="571"/>
      <c r="AS41" s="571"/>
      <c r="AT41" s="571"/>
      <c r="AU41" s="571"/>
      <c r="AX41" s="253"/>
      <c r="AY41" s="264"/>
    </row>
    <row r="42" spans="1:51" x14ac:dyDescent="0.35">
      <c r="A42" s="560"/>
      <c r="G42" s="587" t="s">
        <v>33</v>
      </c>
      <c r="K42" s="563"/>
      <c r="L42" s="571"/>
      <c r="M42" s="571"/>
      <c r="N42" s="571"/>
      <c r="O42" s="571"/>
      <c r="P42" s="571"/>
      <c r="Q42" s="571"/>
      <c r="R42" s="571"/>
      <c r="S42" s="571"/>
      <c r="T42" s="571"/>
      <c r="U42" s="571"/>
      <c r="V42" s="571"/>
      <c r="W42" s="571"/>
      <c r="X42" s="571"/>
      <c r="Y42" s="571"/>
      <c r="Z42" s="571"/>
      <c r="AA42" s="571"/>
      <c r="AB42" s="571"/>
      <c r="AC42" s="571"/>
      <c r="AD42" s="571"/>
      <c r="AE42" s="571"/>
      <c r="AF42" s="571"/>
      <c r="AG42" s="571"/>
      <c r="AH42" s="571"/>
      <c r="AI42" s="571"/>
      <c r="AJ42" s="571"/>
      <c r="AK42" s="571"/>
      <c r="AL42" s="571"/>
      <c r="AM42" s="571"/>
      <c r="AN42" s="571"/>
      <c r="AO42" s="571"/>
      <c r="AP42" s="571"/>
      <c r="AQ42" s="571"/>
      <c r="AR42" s="571"/>
      <c r="AS42" s="571"/>
      <c r="AT42" s="571"/>
      <c r="AU42" s="571"/>
      <c r="AX42" s="253"/>
      <c r="AY42" s="264"/>
    </row>
    <row r="43" spans="1:51" x14ac:dyDescent="0.35">
      <c r="A43" s="560"/>
      <c r="G43" s="562" t="s">
        <v>1166</v>
      </c>
      <c r="K43" s="563" t="s">
        <v>89</v>
      </c>
      <c r="L43" s="572">
        <f t="shared" ref="L43:U46" si="26">SUMIFS(L$921:L$1021,$J$921:$J$1021,$K43)</f>
        <v>0</v>
      </c>
      <c r="M43" s="572">
        <f t="shared" si="26"/>
        <v>0</v>
      </c>
      <c r="N43" s="572">
        <f t="shared" si="26"/>
        <v>0</v>
      </c>
      <c r="O43" s="572">
        <f t="shared" si="26"/>
        <v>0</v>
      </c>
      <c r="P43" s="572">
        <f t="shared" si="26"/>
        <v>0</v>
      </c>
      <c r="Q43" s="572">
        <f t="shared" si="26"/>
        <v>0</v>
      </c>
      <c r="R43" s="572">
        <f t="shared" si="26"/>
        <v>0</v>
      </c>
      <c r="S43" s="572">
        <f t="shared" si="26"/>
        <v>0</v>
      </c>
      <c r="T43" s="572">
        <f t="shared" si="26"/>
        <v>0</v>
      </c>
      <c r="U43" s="572">
        <f t="shared" si="26"/>
        <v>0</v>
      </c>
      <c r="V43" s="572">
        <f t="shared" ref="V43:AE46" si="27">SUMIFS(V$921:V$1021,$J$921:$J$1021,$K43)</f>
        <v>0</v>
      </c>
      <c r="W43" s="572">
        <f t="shared" si="27"/>
        <v>0</v>
      </c>
      <c r="X43" s="572">
        <f t="shared" si="27"/>
        <v>0</v>
      </c>
      <c r="Y43" s="572">
        <f t="shared" si="27"/>
        <v>0</v>
      </c>
      <c r="Z43" s="572">
        <f t="shared" si="27"/>
        <v>0</v>
      </c>
      <c r="AA43" s="572">
        <f t="shared" si="27"/>
        <v>0</v>
      </c>
      <c r="AB43" s="572">
        <f t="shared" si="27"/>
        <v>0</v>
      </c>
      <c r="AC43" s="572">
        <f t="shared" si="27"/>
        <v>0</v>
      </c>
      <c r="AD43" s="572">
        <f t="shared" si="27"/>
        <v>0</v>
      </c>
      <c r="AE43" s="572">
        <f t="shared" si="27"/>
        <v>0</v>
      </c>
      <c r="AF43" s="572">
        <f t="shared" ref="AF43:AO46" si="28">SUMIFS(AF$921:AF$1021,$J$921:$J$1021,$K43)</f>
        <v>0</v>
      </c>
      <c r="AG43" s="572">
        <f t="shared" si="28"/>
        <v>0</v>
      </c>
      <c r="AH43" s="572">
        <f t="shared" si="28"/>
        <v>0</v>
      </c>
      <c r="AI43" s="572">
        <f t="shared" si="28"/>
        <v>0</v>
      </c>
      <c r="AJ43" s="572">
        <f t="shared" si="28"/>
        <v>0</v>
      </c>
      <c r="AK43" s="572">
        <f t="shared" si="28"/>
        <v>0</v>
      </c>
      <c r="AL43" s="572">
        <f t="shared" si="28"/>
        <v>0</v>
      </c>
      <c r="AM43" s="572">
        <f t="shared" si="28"/>
        <v>0</v>
      </c>
      <c r="AN43" s="572">
        <f t="shared" si="28"/>
        <v>0</v>
      </c>
      <c r="AO43" s="572">
        <f t="shared" si="28"/>
        <v>0</v>
      </c>
      <c r="AP43" s="572">
        <f t="shared" ref="AP43:AU46" si="29">SUMIFS(AP$921:AP$1021,$J$921:$J$1021,$K43)</f>
        <v>0</v>
      </c>
      <c r="AQ43" s="572">
        <f t="shared" si="29"/>
        <v>0</v>
      </c>
      <c r="AR43" s="572">
        <f t="shared" si="29"/>
        <v>0</v>
      </c>
      <c r="AS43" s="572">
        <f t="shared" si="29"/>
        <v>0</v>
      </c>
      <c r="AT43" s="572">
        <f t="shared" si="29"/>
        <v>0</v>
      </c>
      <c r="AU43" s="572">
        <f t="shared" si="29"/>
        <v>0</v>
      </c>
      <c r="AX43" s="253"/>
      <c r="AY43" s="264"/>
    </row>
    <row r="44" spans="1:51" x14ac:dyDescent="0.35">
      <c r="A44" s="560"/>
      <c r="G44" s="562" t="s">
        <v>1167</v>
      </c>
      <c r="K44" s="563" t="s">
        <v>123</v>
      </c>
      <c r="L44" s="574">
        <f t="shared" si="26"/>
        <v>0</v>
      </c>
      <c r="M44" s="574">
        <f t="shared" si="26"/>
        <v>0</v>
      </c>
      <c r="N44" s="574">
        <f t="shared" si="26"/>
        <v>0</v>
      </c>
      <c r="O44" s="574">
        <f t="shared" si="26"/>
        <v>0</v>
      </c>
      <c r="P44" s="574">
        <f t="shared" si="26"/>
        <v>0</v>
      </c>
      <c r="Q44" s="574">
        <f t="shared" si="26"/>
        <v>0</v>
      </c>
      <c r="R44" s="574">
        <f t="shared" si="26"/>
        <v>0</v>
      </c>
      <c r="S44" s="574">
        <f t="shared" si="26"/>
        <v>0</v>
      </c>
      <c r="T44" s="574">
        <f t="shared" si="26"/>
        <v>0</v>
      </c>
      <c r="U44" s="574">
        <f t="shared" si="26"/>
        <v>0</v>
      </c>
      <c r="V44" s="574">
        <f t="shared" si="27"/>
        <v>0</v>
      </c>
      <c r="W44" s="574">
        <f t="shared" si="27"/>
        <v>0</v>
      </c>
      <c r="X44" s="574">
        <f t="shared" si="27"/>
        <v>0</v>
      </c>
      <c r="Y44" s="574">
        <f t="shared" si="27"/>
        <v>0</v>
      </c>
      <c r="Z44" s="574">
        <f t="shared" si="27"/>
        <v>0</v>
      </c>
      <c r="AA44" s="574">
        <f t="shared" si="27"/>
        <v>0</v>
      </c>
      <c r="AB44" s="574">
        <f t="shared" si="27"/>
        <v>0</v>
      </c>
      <c r="AC44" s="574">
        <f t="shared" si="27"/>
        <v>0</v>
      </c>
      <c r="AD44" s="574">
        <f t="shared" si="27"/>
        <v>0</v>
      </c>
      <c r="AE44" s="574">
        <f t="shared" si="27"/>
        <v>0</v>
      </c>
      <c r="AF44" s="574">
        <f t="shared" si="28"/>
        <v>0</v>
      </c>
      <c r="AG44" s="574">
        <f t="shared" si="28"/>
        <v>0</v>
      </c>
      <c r="AH44" s="574">
        <f t="shared" si="28"/>
        <v>0</v>
      </c>
      <c r="AI44" s="574">
        <f t="shared" si="28"/>
        <v>0</v>
      </c>
      <c r="AJ44" s="574">
        <f t="shared" si="28"/>
        <v>0</v>
      </c>
      <c r="AK44" s="574">
        <f t="shared" si="28"/>
        <v>0</v>
      </c>
      <c r="AL44" s="574">
        <f t="shared" si="28"/>
        <v>0</v>
      </c>
      <c r="AM44" s="574">
        <f t="shared" si="28"/>
        <v>0</v>
      </c>
      <c r="AN44" s="574">
        <f t="shared" si="28"/>
        <v>0</v>
      </c>
      <c r="AO44" s="574">
        <f t="shared" si="28"/>
        <v>0</v>
      </c>
      <c r="AP44" s="574">
        <f t="shared" si="29"/>
        <v>0</v>
      </c>
      <c r="AQ44" s="574">
        <f t="shared" si="29"/>
        <v>0</v>
      </c>
      <c r="AR44" s="574">
        <f t="shared" si="29"/>
        <v>0</v>
      </c>
      <c r="AS44" s="574">
        <f t="shared" si="29"/>
        <v>0</v>
      </c>
      <c r="AT44" s="574">
        <f t="shared" si="29"/>
        <v>0</v>
      </c>
      <c r="AU44" s="574">
        <f t="shared" si="29"/>
        <v>0</v>
      </c>
      <c r="AX44" s="253"/>
      <c r="AY44" s="264"/>
    </row>
    <row r="45" spans="1:51" x14ac:dyDescent="0.35">
      <c r="A45" s="560"/>
      <c r="G45" s="562" t="s">
        <v>1168</v>
      </c>
      <c r="K45" s="563" t="s">
        <v>156</v>
      </c>
      <c r="L45" s="574">
        <f t="shared" si="26"/>
        <v>0</v>
      </c>
      <c r="M45" s="574">
        <f t="shared" si="26"/>
        <v>0</v>
      </c>
      <c r="N45" s="574">
        <f t="shared" si="26"/>
        <v>0</v>
      </c>
      <c r="O45" s="574">
        <f t="shared" si="26"/>
        <v>0</v>
      </c>
      <c r="P45" s="574">
        <f t="shared" si="26"/>
        <v>0</v>
      </c>
      <c r="Q45" s="574">
        <f t="shared" si="26"/>
        <v>0</v>
      </c>
      <c r="R45" s="574">
        <f t="shared" si="26"/>
        <v>0</v>
      </c>
      <c r="S45" s="574">
        <f t="shared" si="26"/>
        <v>0</v>
      </c>
      <c r="T45" s="574">
        <f t="shared" si="26"/>
        <v>0</v>
      </c>
      <c r="U45" s="574">
        <f t="shared" si="26"/>
        <v>0</v>
      </c>
      <c r="V45" s="574">
        <f t="shared" si="27"/>
        <v>0</v>
      </c>
      <c r="W45" s="574">
        <f t="shared" si="27"/>
        <v>0</v>
      </c>
      <c r="X45" s="574">
        <f t="shared" si="27"/>
        <v>0</v>
      </c>
      <c r="Y45" s="574">
        <f t="shared" si="27"/>
        <v>0</v>
      </c>
      <c r="Z45" s="574">
        <f t="shared" si="27"/>
        <v>0</v>
      </c>
      <c r="AA45" s="574">
        <f t="shared" si="27"/>
        <v>0</v>
      </c>
      <c r="AB45" s="574">
        <f t="shared" si="27"/>
        <v>0</v>
      </c>
      <c r="AC45" s="574">
        <f t="shared" si="27"/>
        <v>0</v>
      </c>
      <c r="AD45" s="574">
        <f t="shared" si="27"/>
        <v>0</v>
      </c>
      <c r="AE45" s="574">
        <f t="shared" si="27"/>
        <v>0</v>
      </c>
      <c r="AF45" s="574">
        <f t="shared" si="28"/>
        <v>0</v>
      </c>
      <c r="AG45" s="574">
        <f t="shared" si="28"/>
        <v>0</v>
      </c>
      <c r="AH45" s="574">
        <f t="shared" si="28"/>
        <v>0</v>
      </c>
      <c r="AI45" s="574">
        <f t="shared" si="28"/>
        <v>0</v>
      </c>
      <c r="AJ45" s="574">
        <f t="shared" si="28"/>
        <v>0</v>
      </c>
      <c r="AK45" s="574">
        <f t="shared" si="28"/>
        <v>0</v>
      </c>
      <c r="AL45" s="574">
        <f t="shared" si="28"/>
        <v>0</v>
      </c>
      <c r="AM45" s="574">
        <f t="shared" si="28"/>
        <v>0</v>
      </c>
      <c r="AN45" s="574">
        <f t="shared" si="28"/>
        <v>0</v>
      </c>
      <c r="AO45" s="574">
        <f t="shared" si="28"/>
        <v>0</v>
      </c>
      <c r="AP45" s="574">
        <f t="shared" si="29"/>
        <v>0</v>
      </c>
      <c r="AQ45" s="574">
        <f t="shared" si="29"/>
        <v>0</v>
      </c>
      <c r="AR45" s="574">
        <f t="shared" si="29"/>
        <v>0</v>
      </c>
      <c r="AS45" s="574">
        <f t="shared" si="29"/>
        <v>0</v>
      </c>
      <c r="AT45" s="574">
        <f t="shared" si="29"/>
        <v>0</v>
      </c>
      <c r="AU45" s="574">
        <f t="shared" si="29"/>
        <v>0</v>
      </c>
      <c r="AX45" s="253"/>
      <c r="AY45" s="264"/>
    </row>
    <row r="46" spans="1:51" ht="16" x14ac:dyDescent="0.5">
      <c r="A46" s="560"/>
      <c r="G46" s="562" t="s">
        <v>1165</v>
      </c>
      <c r="K46" s="563" t="s">
        <v>188</v>
      </c>
      <c r="L46" s="575">
        <f t="shared" si="26"/>
        <v>0</v>
      </c>
      <c r="M46" s="575">
        <f t="shared" si="26"/>
        <v>0</v>
      </c>
      <c r="N46" s="575">
        <f t="shared" si="26"/>
        <v>0</v>
      </c>
      <c r="O46" s="575">
        <f t="shared" si="26"/>
        <v>0</v>
      </c>
      <c r="P46" s="575">
        <f t="shared" si="26"/>
        <v>0</v>
      </c>
      <c r="Q46" s="575">
        <f t="shared" si="26"/>
        <v>0</v>
      </c>
      <c r="R46" s="575">
        <f t="shared" si="26"/>
        <v>0</v>
      </c>
      <c r="S46" s="575">
        <f t="shared" si="26"/>
        <v>0</v>
      </c>
      <c r="T46" s="575">
        <f t="shared" si="26"/>
        <v>0</v>
      </c>
      <c r="U46" s="575">
        <f t="shared" si="26"/>
        <v>0</v>
      </c>
      <c r="V46" s="575">
        <f t="shared" si="27"/>
        <v>0</v>
      </c>
      <c r="W46" s="575">
        <f t="shared" si="27"/>
        <v>0</v>
      </c>
      <c r="X46" s="575">
        <f t="shared" si="27"/>
        <v>0</v>
      </c>
      <c r="Y46" s="575">
        <f t="shared" si="27"/>
        <v>0</v>
      </c>
      <c r="Z46" s="575">
        <f t="shared" si="27"/>
        <v>0</v>
      </c>
      <c r="AA46" s="575">
        <f t="shared" si="27"/>
        <v>0</v>
      </c>
      <c r="AB46" s="575">
        <f t="shared" si="27"/>
        <v>0</v>
      </c>
      <c r="AC46" s="575">
        <f t="shared" si="27"/>
        <v>0</v>
      </c>
      <c r="AD46" s="575">
        <f t="shared" si="27"/>
        <v>0</v>
      </c>
      <c r="AE46" s="575">
        <f t="shared" si="27"/>
        <v>0</v>
      </c>
      <c r="AF46" s="575">
        <f t="shared" si="28"/>
        <v>0</v>
      </c>
      <c r="AG46" s="575">
        <f t="shared" si="28"/>
        <v>0</v>
      </c>
      <c r="AH46" s="575">
        <f t="shared" si="28"/>
        <v>0</v>
      </c>
      <c r="AI46" s="575">
        <f t="shared" si="28"/>
        <v>0</v>
      </c>
      <c r="AJ46" s="575">
        <f t="shared" si="28"/>
        <v>0</v>
      </c>
      <c r="AK46" s="575">
        <f t="shared" si="28"/>
        <v>0</v>
      </c>
      <c r="AL46" s="575">
        <f t="shared" si="28"/>
        <v>0</v>
      </c>
      <c r="AM46" s="575">
        <f t="shared" si="28"/>
        <v>0</v>
      </c>
      <c r="AN46" s="575">
        <f t="shared" si="28"/>
        <v>0</v>
      </c>
      <c r="AO46" s="575">
        <f t="shared" si="28"/>
        <v>0</v>
      </c>
      <c r="AP46" s="575">
        <f t="shared" si="29"/>
        <v>0</v>
      </c>
      <c r="AQ46" s="575">
        <f t="shared" si="29"/>
        <v>0</v>
      </c>
      <c r="AR46" s="575">
        <f t="shared" si="29"/>
        <v>0</v>
      </c>
      <c r="AS46" s="575">
        <f t="shared" si="29"/>
        <v>0</v>
      </c>
      <c r="AT46" s="575">
        <f t="shared" si="29"/>
        <v>0</v>
      </c>
      <c r="AU46" s="575">
        <f t="shared" si="29"/>
        <v>0</v>
      </c>
      <c r="AX46" s="253"/>
      <c r="AY46" s="264"/>
    </row>
    <row r="47" spans="1:51" x14ac:dyDescent="0.35">
      <c r="A47" s="560"/>
      <c r="G47" s="557" t="s">
        <v>1311</v>
      </c>
      <c r="K47" s="563"/>
      <c r="L47" s="573">
        <f>SUM(L43:L46)</f>
        <v>0</v>
      </c>
      <c r="M47" s="573">
        <f t="shared" ref="M47:AU47" si="30">SUM(M43:M46)</f>
        <v>0</v>
      </c>
      <c r="N47" s="573">
        <f t="shared" si="30"/>
        <v>0</v>
      </c>
      <c r="O47" s="573">
        <f t="shared" si="30"/>
        <v>0</v>
      </c>
      <c r="P47" s="573">
        <f t="shared" si="30"/>
        <v>0</v>
      </c>
      <c r="Q47" s="573">
        <f t="shared" si="30"/>
        <v>0</v>
      </c>
      <c r="R47" s="573">
        <f t="shared" si="30"/>
        <v>0</v>
      </c>
      <c r="S47" s="573">
        <f t="shared" si="30"/>
        <v>0</v>
      </c>
      <c r="T47" s="573">
        <f t="shared" si="30"/>
        <v>0</v>
      </c>
      <c r="U47" s="573">
        <f t="shared" si="30"/>
        <v>0</v>
      </c>
      <c r="V47" s="573">
        <f t="shared" si="30"/>
        <v>0</v>
      </c>
      <c r="W47" s="573">
        <f t="shared" si="30"/>
        <v>0</v>
      </c>
      <c r="X47" s="573">
        <f t="shared" si="30"/>
        <v>0</v>
      </c>
      <c r="Y47" s="573">
        <f t="shared" si="30"/>
        <v>0</v>
      </c>
      <c r="Z47" s="573">
        <f t="shared" si="30"/>
        <v>0</v>
      </c>
      <c r="AA47" s="573">
        <f t="shared" si="30"/>
        <v>0</v>
      </c>
      <c r="AB47" s="573">
        <f t="shared" si="30"/>
        <v>0</v>
      </c>
      <c r="AC47" s="573">
        <f t="shared" si="30"/>
        <v>0</v>
      </c>
      <c r="AD47" s="573">
        <f t="shared" si="30"/>
        <v>0</v>
      </c>
      <c r="AE47" s="573">
        <f t="shared" si="30"/>
        <v>0</v>
      </c>
      <c r="AF47" s="573">
        <f t="shared" si="30"/>
        <v>0</v>
      </c>
      <c r="AG47" s="573">
        <f t="shared" si="30"/>
        <v>0</v>
      </c>
      <c r="AH47" s="573">
        <f t="shared" si="30"/>
        <v>0</v>
      </c>
      <c r="AI47" s="573">
        <f t="shared" si="30"/>
        <v>0</v>
      </c>
      <c r="AJ47" s="573">
        <f t="shared" si="30"/>
        <v>0</v>
      </c>
      <c r="AK47" s="573">
        <f t="shared" si="30"/>
        <v>0</v>
      </c>
      <c r="AL47" s="573">
        <f t="shared" si="30"/>
        <v>0</v>
      </c>
      <c r="AM47" s="573">
        <f t="shared" si="30"/>
        <v>0</v>
      </c>
      <c r="AN47" s="573">
        <f t="shared" si="30"/>
        <v>0</v>
      </c>
      <c r="AO47" s="573">
        <f t="shared" si="30"/>
        <v>0</v>
      </c>
      <c r="AP47" s="573">
        <f t="shared" si="30"/>
        <v>0</v>
      </c>
      <c r="AQ47" s="573">
        <f t="shared" si="30"/>
        <v>0</v>
      </c>
      <c r="AR47" s="573">
        <f t="shared" si="30"/>
        <v>0</v>
      </c>
      <c r="AS47" s="573">
        <f t="shared" si="30"/>
        <v>0</v>
      </c>
      <c r="AT47" s="573">
        <f t="shared" si="30"/>
        <v>0</v>
      </c>
      <c r="AU47" s="573">
        <f t="shared" si="30"/>
        <v>0</v>
      </c>
      <c r="AX47" s="253"/>
      <c r="AY47" s="264"/>
    </row>
    <row r="48" spans="1:51" x14ac:dyDescent="0.35">
      <c r="A48" s="560"/>
      <c r="G48" s="562"/>
      <c r="K48" s="563"/>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1"/>
      <c r="AO48" s="571"/>
      <c r="AP48" s="571"/>
      <c r="AQ48" s="571"/>
      <c r="AR48" s="571"/>
      <c r="AS48" s="571"/>
      <c r="AT48" s="571"/>
      <c r="AU48" s="571"/>
      <c r="AX48" s="253"/>
      <c r="AY48" s="264"/>
    </row>
    <row r="49" spans="1:51" x14ac:dyDescent="0.35">
      <c r="A49" s="560"/>
      <c r="G49" s="587" t="s">
        <v>34</v>
      </c>
      <c r="K49" s="563"/>
      <c r="L49" s="571"/>
      <c r="M49" s="571"/>
      <c r="N49" s="571"/>
      <c r="O49" s="571"/>
      <c r="P49" s="571"/>
      <c r="Q49" s="571"/>
      <c r="R49" s="571"/>
      <c r="S49" s="571"/>
      <c r="T49" s="571"/>
      <c r="U49" s="571"/>
      <c r="V49" s="571"/>
      <c r="W49" s="571"/>
      <c r="X49" s="571"/>
      <c r="Y49" s="571"/>
      <c r="Z49" s="571"/>
      <c r="AA49" s="571"/>
      <c r="AB49" s="571"/>
      <c r="AC49" s="571"/>
      <c r="AD49" s="571"/>
      <c r="AE49" s="571"/>
      <c r="AF49" s="571"/>
      <c r="AG49" s="571"/>
      <c r="AH49" s="571"/>
      <c r="AI49" s="571"/>
      <c r="AJ49" s="571"/>
      <c r="AK49" s="571"/>
      <c r="AL49" s="571"/>
      <c r="AM49" s="571"/>
      <c r="AN49" s="571"/>
      <c r="AO49" s="571"/>
      <c r="AP49" s="571"/>
      <c r="AQ49" s="571"/>
      <c r="AR49" s="571"/>
      <c r="AS49" s="571"/>
      <c r="AT49" s="571"/>
      <c r="AU49" s="571"/>
      <c r="AX49" s="253"/>
      <c r="AY49" s="264"/>
    </row>
    <row r="50" spans="1:51" x14ac:dyDescent="0.35">
      <c r="A50" s="560"/>
      <c r="G50" s="562" t="s">
        <v>1166</v>
      </c>
      <c r="K50" s="563" t="s">
        <v>90</v>
      </c>
      <c r="L50" s="572">
        <f t="shared" ref="L50:U53" si="31">SUMIFS(L$1026:L$1126,$J$1026:$J$1126,$K50)</f>
        <v>0</v>
      </c>
      <c r="M50" s="572">
        <f t="shared" si="31"/>
        <v>0</v>
      </c>
      <c r="N50" s="572">
        <f t="shared" si="31"/>
        <v>0</v>
      </c>
      <c r="O50" s="572">
        <f t="shared" si="31"/>
        <v>0</v>
      </c>
      <c r="P50" s="572">
        <f t="shared" si="31"/>
        <v>0</v>
      </c>
      <c r="Q50" s="572">
        <f t="shared" si="31"/>
        <v>0</v>
      </c>
      <c r="R50" s="572">
        <f t="shared" si="31"/>
        <v>0</v>
      </c>
      <c r="S50" s="572">
        <f t="shared" si="31"/>
        <v>0</v>
      </c>
      <c r="T50" s="572">
        <f t="shared" si="31"/>
        <v>0</v>
      </c>
      <c r="U50" s="572">
        <f t="shared" si="31"/>
        <v>0</v>
      </c>
      <c r="V50" s="572">
        <f t="shared" ref="V50:AE53" si="32">SUMIFS(V$1026:V$1126,$J$1026:$J$1126,$K50)</f>
        <v>0</v>
      </c>
      <c r="W50" s="572">
        <f t="shared" si="32"/>
        <v>0</v>
      </c>
      <c r="X50" s="572">
        <f t="shared" si="32"/>
        <v>0</v>
      </c>
      <c r="Y50" s="572">
        <f t="shared" si="32"/>
        <v>0</v>
      </c>
      <c r="Z50" s="572">
        <f t="shared" si="32"/>
        <v>0</v>
      </c>
      <c r="AA50" s="572">
        <f t="shared" si="32"/>
        <v>0</v>
      </c>
      <c r="AB50" s="572">
        <f t="shared" si="32"/>
        <v>0</v>
      </c>
      <c r="AC50" s="572">
        <f t="shared" si="32"/>
        <v>0</v>
      </c>
      <c r="AD50" s="572">
        <f t="shared" si="32"/>
        <v>0</v>
      </c>
      <c r="AE50" s="572">
        <f t="shared" si="32"/>
        <v>0</v>
      </c>
      <c r="AF50" s="572">
        <f t="shared" ref="AF50:AO53" si="33">SUMIFS(AF$1026:AF$1126,$J$1026:$J$1126,$K50)</f>
        <v>0</v>
      </c>
      <c r="AG50" s="572">
        <f t="shared" si="33"/>
        <v>0</v>
      </c>
      <c r="AH50" s="572">
        <f t="shared" si="33"/>
        <v>0</v>
      </c>
      <c r="AI50" s="572">
        <f t="shared" si="33"/>
        <v>0</v>
      </c>
      <c r="AJ50" s="572">
        <f t="shared" si="33"/>
        <v>0</v>
      </c>
      <c r="AK50" s="572">
        <f t="shared" si="33"/>
        <v>0</v>
      </c>
      <c r="AL50" s="572">
        <f t="shared" si="33"/>
        <v>0</v>
      </c>
      <c r="AM50" s="572">
        <f t="shared" si="33"/>
        <v>0</v>
      </c>
      <c r="AN50" s="572">
        <f t="shared" si="33"/>
        <v>0</v>
      </c>
      <c r="AO50" s="572">
        <f t="shared" si="33"/>
        <v>0</v>
      </c>
      <c r="AP50" s="572">
        <f t="shared" ref="AP50:AU53" si="34">SUMIFS(AP$1026:AP$1126,$J$1026:$J$1126,$K50)</f>
        <v>0</v>
      </c>
      <c r="AQ50" s="572">
        <f t="shared" si="34"/>
        <v>0</v>
      </c>
      <c r="AR50" s="572">
        <f t="shared" si="34"/>
        <v>0</v>
      </c>
      <c r="AS50" s="572">
        <f t="shared" si="34"/>
        <v>0</v>
      </c>
      <c r="AT50" s="572">
        <f t="shared" si="34"/>
        <v>0</v>
      </c>
      <c r="AU50" s="572">
        <f t="shared" si="34"/>
        <v>0</v>
      </c>
      <c r="AX50" s="253"/>
      <c r="AY50" s="264"/>
    </row>
    <row r="51" spans="1:51" x14ac:dyDescent="0.35">
      <c r="A51" s="560"/>
      <c r="G51" s="562" t="s">
        <v>1167</v>
      </c>
      <c r="K51" s="563" t="s">
        <v>124</v>
      </c>
      <c r="L51" s="574">
        <f t="shared" si="31"/>
        <v>0</v>
      </c>
      <c r="M51" s="574">
        <f t="shared" si="31"/>
        <v>0</v>
      </c>
      <c r="N51" s="574">
        <f t="shared" si="31"/>
        <v>0</v>
      </c>
      <c r="O51" s="574">
        <f t="shared" si="31"/>
        <v>0</v>
      </c>
      <c r="P51" s="574">
        <f t="shared" si="31"/>
        <v>0</v>
      </c>
      <c r="Q51" s="574">
        <f t="shared" si="31"/>
        <v>0</v>
      </c>
      <c r="R51" s="574">
        <f t="shared" si="31"/>
        <v>0</v>
      </c>
      <c r="S51" s="574">
        <f t="shared" si="31"/>
        <v>0</v>
      </c>
      <c r="T51" s="574">
        <f t="shared" si="31"/>
        <v>0</v>
      </c>
      <c r="U51" s="574">
        <f t="shared" si="31"/>
        <v>0</v>
      </c>
      <c r="V51" s="574">
        <f t="shared" si="32"/>
        <v>0</v>
      </c>
      <c r="W51" s="574">
        <f t="shared" si="32"/>
        <v>0</v>
      </c>
      <c r="X51" s="574">
        <f t="shared" si="32"/>
        <v>0</v>
      </c>
      <c r="Y51" s="574">
        <f t="shared" si="32"/>
        <v>0</v>
      </c>
      <c r="Z51" s="574">
        <f t="shared" si="32"/>
        <v>0</v>
      </c>
      <c r="AA51" s="574">
        <f t="shared" si="32"/>
        <v>0</v>
      </c>
      <c r="AB51" s="574">
        <f t="shared" si="32"/>
        <v>0</v>
      </c>
      <c r="AC51" s="574">
        <f t="shared" si="32"/>
        <v>0</v>
      </c>
      <c r="AD51" s="574">
        <f t="shared" si="32"/>
        <v>0</v>
      </c>
      <c r="AE51" s="574">
        <f t="shared" si="32"/>
        <v>0</v>
      </c>
      <c r="AF51" s="574">
        <f t="shared" si="33"/>
        <v>0</v>
      </c>
      <c r="AG51" s="574">
        <f t="shared" si="33"/>
        <v>0</v>
      </c>
      <c r="AH51" s="574">
        <f t="shared" si="33"/>
        <v>0</v>
      </c>
      <c r="AI51" s="574">
        <f t="shared" si="33"/>
        <v>0</v>
      </c>
      <c r="AJ51" s="574">
        <f t="shared" si="33"/>
        <v>0</v>
      </c>
      <c r="AK51" s="574">
        <f t="shared" si="33"/>
        <v>0</v>
      </c>
      <c r="AL51" s="574">
        <f t="shared" si="33"/>
        <v>0</v>
      </c>
      <c r="AM51" s="574">
        <f t="shared" si="33"/>
        <v>0</v>
      </c>
      <c r="AN51" s="574">
        <f t="shared" si="33"/>
        <v>0</v>
      </c>
      <c r="AO51" s="574">
        <f t="shared" si="33"/>
        <v>0</v>
      </c>
      <c r="AP51" s="574">
        <f t="shared" si="34"/>
        <v>0</v>
      </c>
      <c r="AQ51" s="574">
        <f t="shared" si="34"/>
        <v>0</v>
      </c>
      <c r="AR51" s="574">
        <f t="shared" si="34"/>
        <v>0</v>
      </c>
      <c r="AS51" s="574">
        <f t="shared" si="34"/>
        <v>0</v>
      </c>
      <c r="AT51" s="574">
        <f t="shared" si="34"/>
        <v>0</v>
      </c>
      <c r="AU51" s="574">
        <f t="shared" si="34"/>
        <v>0</v>
      </c>
      <c r="AX51" s="253"/>
      <c r="AY51" s="264"/>
    </row>
    <row r="52" spans="1:51" x14ac:dyDescent="0.35">
      <c r="A52" s="560"/>
      <c r="G52" s="562" t="s">
        <v>1168</v>
      </c>
      <c r="K52" s="563" t="s">
        <v>157</v>
      </c>
      <c r="L52" s="574">
        <f t="shared" si="31"/>
        <v>0</v>
      </c>
      <c r="M52" s="574">
        <f t="shared" si="31"/>
        <v>0</v>
      </c>
      <c r="N52" s="574">
        <f t="shared" si="31"/>
        <v>0</v>
      </c>
      <c r="O52" s="574">
        <f t="shared" si="31"/>
        <v>0</v>
      </c>
      <c r="P52" s="574">
        <f t="shared" si="31"/>
        <v>0</v>
      </c>
      <c r="Q52" s="574">
        <f t="shared" si="31"/>
        <v>0</v>
      </c>
      <c r="R52" s="574">
        <f t="shared" si="31"/>
        <v>0</v>
      </c>
      <c r="S52" s="574">
        <f t="shared" si="31"/>
        <v>0</v>
      </c>
      <c r="T52" s="574">
        <f t="shared" si="31"/>
        <v>0</v>
      </c>
      <c r="U52" s="574">
        <f t="shared" si="31"/>
        <v>0</v>
      </c>
      <c r="V52" s="574">
        <f t="shared" si="32"/>
        <v>0</v>
      </c>
      <c r="W52" s="574">
        <f t="shared" si="32"/>
        <v>0</v>
      </c>
      <c r="X52" s="574">
        <f t="shared" si="32"/>
        <v>0</v>
      </c>
      <c r="Y52" s="574">
        <f t="shared" si="32"/>
        <v>0</v>
      </c>
      <c r="Z52" s="574">
        <f t="shared" si="32"/>
        <v>0</v>
      </c>
      <c r="AA52" s="574">
        <f t="shared" si="32"/>
        <v>0</v>
      </c>
      <c r="AB52" s="574">
        <f t="shared" si="32"/>
        <v>0</v>
      </c>
      <c r="AC52" s="574">
        <f t="shared" si="32"/>
        <v>0</v>
      </c>
      <c r="AD52" s="574">
        <f t="shared" si="32"/>
        <v>0</v>
      </c>
      <c r="AE52" s="574">
        <f t="shared" si="32"/>
        <v>0</v>
      </c>
      <c r="AF52" s="574">
        <f t="shared" si="33"/>
        <v>0</v>
      </c>
      <c r="AG52" s="574">
        <f t="shared" si="33"/>
        <v>0</v>
      </c>
      <c r="AH52" s="574">
        <f t="shared" si="33"/>
        <v>0</v>
      </c>
      <c r="AI52" s="574">
        <f t="shared" si="33"/>
        <v>0</v>
      </c>
      <c r="AJ52" s="574">
        <f t="shared" si="33"/>
        <v>0</v>
      </c>
      <c r="AK52" s="574">
        <f t="shared" si="33"/>
        <v>0</v>
      </c>
      <c r="AL52" s="574">
        <f t="shared" si="33"/>
        <v>0</v>
      </c>
      <c r="AM52" s="574">
        <f t="shared" si="33"/>
        <v>0</v>
      </c>
      <c r="AN52" s="574">
        <f t="shared" si="33"/>
        <v>0</v>
      </c>
      <c r="AO52" s="574">
        <f t="shared" si="33"/>
        <v>0</v>
      </c>
      <c r="AP52" s="574">
        <f t="shared" si="34"/>
        <v>0</v>
      </c>
      <c r="AQ52" s="574">
        <f t="shared" si="34"/>
        <v>0</v>
      </c>
      <c r="AR52" s="574">
        <f t="shared" si="34"/>
        <v>0</v>
      </c>
      <c r="AS52" s="574">
        <f t="shared" si="34"/>
        <v>0</v>
      </c>
      <c r="AT52" s="574">
        <f t="shared" si="34"/>
        <v>0</v>
      </c>
      <c r="AU52" s="574">
        <f t="shared" si="34"/>
        <v>0</v>
      </c>
      <c r="AX52" s="253"/>
      <c r="AY52" s="264"/>
    </row>
    <row r="53" spans="1:51" ht="16" x14ac:dyDescent="0.5">
      <c r="A53" s="560"/>
      <c r="G53" s="562" t="s">
        <v>1165</v>
      </c>
      <c r="K53" s="563" t="s">
        <v>189</v>
      </c>
      <c r="L53" s="575">
        <f t="shared" si="31"/>
        <v>0</v>
      </c>
      <c r="M53" s="575">
        <f t="shared" si="31"/>
        <v>0</v>
      </c>
      <c r="N53" s="575">
        <f t="shared" si="31"/>
        <v>0</v>
      </c>
      <c r="O53" s="575">
        <f t="shared" si="31"/>
        <v>0</v>
      </c>
      <c r="P53" s="575">
        <f t="shared" si="31"/>
        <v>0</v>
      </c>
      <c r="Q53" s="575">
        <f t="shared" si="31"/>
        <v>0</v>
      </c>
      <c r="R53" s="575">
        <f t="shared" si="31"/>
        <v>0</v>
      </c>
      <c r="S53" s="575">
        <f t="shared" si="31"/>
        <v>0</v>
      </c>
      <c r="T53" s="575">
        <f t="shared" si="31"/>
        <v>0</v>
      </c>
      <c r="U53" s="575">
        <f t="shared" si="31"/>
        <v>0</v>
      </c>
      <c r="V53" s="575">
        <f t="shared" si="32"/>
        <v>0</v>
      </c>
      <c r="W53" s="575">
        <f t="shared" si="32"/>
        <v>0</v>
      </c>
      <c r="X53" s="575">
        <f t="shared" si="32"/>
        <v>0</v>
      </c>
      <c r="Y53" s="575">
        <f t="shared" si="32"/>
        <v>0</v>
      </c>
      <c r="Z53" s="575">
        <f t="shared" si="32"/>
        <v>0</v>
      </c>
      <c r="AA53" s="575">
        <f t="shared" si="32"/>
        <v>0</v>
      </c>
      <c r="AB53" s="575">
        <f t="shared" si="32"/>
        <v>0</v>
      </c>
      <c r="AC53" s="575">
        <f t="shared" si="32"/>
        <v>0</v>
      </c>
      <c r="AD53" s="575">
        <f t="shared" si="32"/>
        <v>0</v>
      </c>
      <c r="AE53" s="575">
        <f t="shared" si="32"/>
        <v>0</v>
      </c>
      <c r="AF53" s="575">
        <f t="shared" si="33"/>
        <v>0</v>
      </c>
      <c r="AG53" s="575">
        <f t="shared" si="33"/>
        <v>0</v>
      </c>
      <c r="AH53" s="575">
        <f t="shared" si="33"/>
        <v>0</v>
      </c>
      <c r="AI53" s="575">
        <f t="shared" si="33"/>
        <v>0</v>
      </c>
      <c r="AJ53" s="575">
        <f t="shared" si="33"/>
        <v>0</v>
      </c>
      <c r="AK53" s="575">
        <f t="shared" si="33"/>
        <v>0</v>
      </c>
      <c r="AL53" s="575">
        <f t="shared" si="33"/>
        <v>0</v>
      </c>
      <c r="AM53" s="575">
        <f t="shared" si="33"/>
        <v>0</v>
      </c>
      <c r="AN53" s="575">
        <f t="shared" si="33"/>
        <v>0</v>
      </c>
      <c r="AO53" s="575">
        <f t="shared" si="33"/>
        <v>0</v>
      </c>
      <c r="AP53" s="575">
        <f t="shared" si="34"/>
        <v>0</v>
      </c>
      <c r="AQ53" s="575">
        <f t="shared" si="34"/>
        <v>0</v>
      </c>
      <c r="AR53" s="575">
        <f t="shared" si="34"/>
        <v>0</v>
      </c>
      <c r="AS53" s="575">
        <f t="shared" si="34"/>
        <v>0</v>
      </c>
      <c r="AT53" s="575">
        <f t="shared" si="34"/>
        <v>0</v>
      </c>
      <c r="AU53" s="575">
        <f t="shared" si="34"/>
        <v>0</v>
      </c>
      <c r="AX53" s="253"/>
      <c r="AY53" s="264"/>
    </row>
    <row r="54" spans="1:51" x14ac:dyDescent="0.35">
      <c r="A54" s="560"/>
      <c r="G54" s="557" t="s">
        <v>1312</v>
      </c>
      <c r="K54" s="563"/>
      <c r="L54" s="573">
        <f>SUM(L50:L53)</f>
        <v>0</v>
      </c>
      <c r="M54" s="573">
        <f t="shared" ref="M54:AU54" si="35">SUM(M50:M53)</f>
        <v>0</v>
      </c>
      <c r="N54" s="573">
        <f t="shared" si="35"/>
        <v>0</v>
      </c>
      <c r="O54" s="573">
        <f t="shared" si="35"/>
        <v>0</v>
      </c>
      <c r="P54" s="573">
        <f t="shared" si="35"/>
        <v>0</v>
      </c>
      <c r="Q54" s="573">
        <f t="shared" si="35"/>
        <v>0</v>
      </c>
      <c r="R54" s="573">
        <f t="shared" si="35"/>
        <v>0</v>
      </c>
      <c r="S54" s="573">
        <f t="shared" si="35"/>
        <v>0</v>
      </c>
      <c r="T54" s="573">
        <f t="shared" si="35"/>
        <v>0</v>
      </c>
      <c r="U54" s="573">
        <f t="shared" si="35"/>
        <v>0</v>
      </c>
      <c r="V54" s="573">
        <f t="shared" si="35"/>
        <v>0</v>
      </c>
      <c r="W54" s="573">
        <f t="shared" si="35"/>
        <v>0</v>
      </c>
      <c r="X54" s="573">
        <f t="shared" si="35"/>
        <v>0</v>
      </c>
      <c r="Y54" s="573">
        <f t="shared" si="35"/>
        <v>0</v>
      </c>
      <c r="Z54" s="573">
        <f t="shared" si="35"/>
        <v>0</v>
      </c>
      <c r="AA54" s="573">
        <f t="shared" si="35"/>
        <v>0</v>
      </c>
      <c r="AB54" s="573">
        <f t="shared" si="35"/>
        <v>0</v>
      </c>
      <c r="AC54" s="573">
        <f t="shared" si="35"/>
        <v>0</v>
      </c>
      <c r="AD54" s="573">
        <f t="shared" si="35"/>
        <v>0</v>
      </c>
      <c r="AE54" s="573">
        <f t="shared" si="35"/>
        <v>0</v>
      </c>
      <c r="AF54" s="573">
        <f t="shared" si="35"/>
        <v>0</v>
      </c>
      <c r="AG54" s="573">
        <f t="shared" si="35"/>
        <v>0</v>
      </c>
      <c r="AH54" s="573">
        <f t="shared" si="35"/>
        <v>0</v>
      </c>
      <c r="AI54" s="573">
        <f t="shared" si="35"/>
        <v>0</v>
      </c>
      <c r="AJ54" s="573">
        <f t="shared" si="35"/>
        <v>0</v>
      </c>
      <c r="AK54" s="573">
        <f t="shared" si="35"/>
        <v>0</v>
      </c>
      <c r="AL54" s="573">
        <f t="shared" si="35"/>
        <v>0</v>
      </c>
      <c r="AM54" s="573">
        <f t="shared" si="35"/>
        <v>0</v>
      </c>
      <c r="AN54" s="573">
        <f t="shared" si="35"/>
        <v>0</v>
      </c>
      <c r="AO54" s="573">
        <f t="shared" si="35"/>
        <v>0</v>
      </c>
      <c r="AP54" s="573">
        <f t="shared" si="35"/>
        <v>0</v>
      </c>
      <c r="AQ54" s="573">
        <f t="shared" si="35"/>
        <v>0</v>
      </c>
      <c r="AR54" s="573">
        <f t="shared" si="35"/>
        <v>0</v>
      </c>
      <c r="AS54" s="573">
        <f t="shared" si="35"/>
        <v>0</v>
      </c>
      <c r="AT54" s="573">
        <f t="shared" si="35"/>
        <v>0</v>
      </c>
      <c r="AU54" s="573">
        <f t="shared" si="35"/>
        <v>0</v>
      </c>
      <c r="AX54" s="253"/>
      <c r="AY54" s="264"/>
    </row>
    <row r="55" spans="1:51" x14ac:dyDescent="0.35">
      <c r="A55" s="560"/>
      <c r="G55" s="562"/>
      <c r="K55" s="563"/>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X55" s="253"/>
      <c r="AY55" s="264"/>
    </row>
    <row r="56" spans="1:51" x14ac:dyDescent="0.35">
      <c r="A56" s="560"/>
      <c r="G56" s="587" t="s">
        <v>35</v>
      </c>
      <c r="K56" s="563"/>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X56" s="253"/>
      <c r="AY56" s="264"/>
    </row>
    <row r="57" spans="1:51" x14ac:dyDescent="0.35">
      <c r="A57" s="560"/>
      <c r="G57" s="562" t="s">
        <v>1166</v>
      </c>
      <c r="K57" s="563" t="s">
        <v>91</v>
      </c>
      <c r="L57" s="572">
        <f t="shared" ref="L57:U60" si="36">SUMIFS(L$1131:L$1231,$J$1131:$J$1231,$K57)</f>
        <v>0</v>
      </c>
      <c r="M57" s="572">
        <f t="shared" si="36"/>
        <v>0</v>
      </c>
      <c r="N57" s="572">
        <f t="shared" si="36"/>
        <v>0</v>
      </c>
      <c r="O57" s="572">
        <f t="shared" si="36"/>
        <v>0</v>
      </c>
      <c r="P57" s="572">
        <f t="shared" si="36"/>
        <v>0</v>
      </c>
      <c r="Q57" s="572">
        <f t="shared" si="36"/>
        <v>0</v>
      </c>
      <c r="R57" s="572">
        <f t="shared" si="36"/>
        <v>0</v>
      </c>
      <c r="S57" s="572">
        <f t="shared" si="36"/>
        <v>0</v>
      </c>
      <c r="T57" s="572">
        <f t="shared" si="36"/>
        <v>0</v>
      </c>
      <c r="U57" s="572">
        <f t="shared" si="36"/>
        <v>0</v>
      </c>
      <c r="V57" s="572">
        <f t="shared" ref="V57:AE60" si="37">SUMIFS(V$1131:V$1231,$J$1131:$J$1231,$K57)</f>
        <v>0</v>
      </c>
      <c r="W57" s="572">
        <f t="shared" si="37"/>
        <v>0</v>
      </c>
      <c r="X57" s="572">
        <f t="shared" si="37"/>
        <v>0</v>
      </c>
      <c r="Y57" s="572">
        <f t="shared" si="37"/>
        <v>0</v>
      </c>
      <c r="Z57" s="572">
        <f t="shared" si="37"/>
        <v>0</v>
      </c>
      <c r="AA57" s="572">
        <f t="shared" si="37"/>
        <v>0</v>
      </c>
      <c r="AB57" s="572">
        <f t="shared" si="37"/>
        <v>0</v>
      </c>
      <c r="AC57" s="572">
        <f t="shared" si="37"/>
        <v>0</v>
      </c>
      <c r="AD57" s="572">
        <f t="shared" si="37"/>
        <v>0</v>
      </c>
      <c r="AE57" s="572">
        <f t="shared" si="37"/>
        <v>0</v>
      </c>
      <c r="AF57" s="572">
        <f t="shared" ref="AF57:AO60" si="38">SUMIFS(AF$1131:AF$1231,$J$1131:$J$1231,$K57)</f>
        <v>0</v>
      </c>
      <c r="AG57" s="572">
        <f t="shared" si="38"/>
        <v>0</v>
      </c>
      <c r="AH57" s="572">
        <f t="shared" si="38"/>
        <v>0</v>
      </c>
      <c r="AI57" s="572">
        <f t="shared" si="38"/>
        <v>0</v>
      </c>
      <c r="AJ57" s="572">
        <f t="shared" si="38"/>
        <v>0</v>
      </c>
      <c r="AK57" s="572">
        <f t="shared" si="38"/>
        <v>0</v>
      </c>
      <c r="AL57" s="572">
        <f t="shared" si="38"/>
        <v>0</v>
      </c>
      <c r="AM57" s="572">
        <f t="shared" si="38"/>
        <v>0</v>
      </c>
      <c r="AN57" s="572">
        <f t="shared" si="38"/>
        <v>0</v>
      </c>
      <c r="AO57" s="572">
        <f t="shared" si="38"/>
        <v>0</v>
      </c>
      <c r="AP57" s="572">
        <f t="shared" ref="AP57:AU60" si="39">SUMIFS(AP$1131:AP$1231,$J$1131:$J$1231,$K57)</f>
        <v>0</v>
      </c>
      <c r="AQ57" s="572">
        <f t="shared" si="39"/>
        <v>0</v>
      </c>
      <c r="AR57" s="572">
        <f t="shared" si="39"/>
        <v>0</v>
      </c>
      <c r="AS57" s="572">
        <f t="shared" si="39"/>
        <v>0</v>
      </c>
      <c r="AT57" s="572">
        <f t="shared" si="39"/>
        <v>0</v>
      </c>
      <c r="AU57" s="572">
        <f t="shared" si="39"/>
        <v>0</v>
      </c>
      <c r="AX57" s="253"/>
      <c r="AY57" s="264"/>
    </row>
    <row r="58" spans="1:51" x14ac:dyDescent="0.35">
      <c r="A58" s="560"/>
      <c r="G58" s="562" t="s">
        <v>1167</v>
      </c>
      <c r="K58" s="563" t="s">
        <v>125</v>
      </c>
      <c r="L58" s="574">
        <f t="shared" si="36"/>
        <v>0</v>
      </c>
      <c r="M58" s="574">
        <f t="shared" si="36"/>
        <v>0</v>
      </c>
      <c r="N58" s="574">
        <f t="shared" si="36"/>
        <v>0</v>
      </c>
      <c r="O58" s="574">
        <f t="shared" si="36"/>
        <v>0</v>
      </c>
      <c r="P58" s="574">
        <f t="shared" si="36"/>
        <v>0</v>
      </c>
      <c r="Q58" s="574">
        <f t="shared" si="36"/>
        <v>0</v>
      </c>
      <c r="R58" s="574">
        <f t="shared" si="36"/>
        <v>0</v>
      </c>
      <c r="S58" s="574">
        <f t="shared" si="36"/>
        <v>0</v>
      </c>
      <c r="T58" s="574">
        <f t="shared" si="36"/>
        <v>0</v>
      </c>
      <c r="U58" s="574">
        <f t="shared" si="36"/>
        <v>0</v>
      </c>
      <c r="V58" s="574">
        <f t="shared" si="37"/>
        <v>0</v>
      </c>
      <c r="W58" s="574">
        <f t="shared" si="37"/>
        <v>0</v>
      </c>
      <c r="X58" s="574">
        <f t="shared" si="37"/>
        <v>0</v>
      </c>
      <c r="Y58" s="574">
        <f t="shared" si="37"/>
        <v>0</v>
      </c>
      <c r="Z58" s="574">
        <f t="shared" si="37"/>
        <v>0</v>
      </c>
      <c r="AA58" s="574">
        <f t="shared" si="37"/>
        <v>0</v>
      </c>
      <c r="AB58" s="574">
        <f t="shared" si="37"/>
        <v>0</v>
      </c>
      <c r="AC58" s="574">
        <f t="shared" si="37"/>
        <v>0</v>
      </c>
      <c r="AD58" s="574">
        <f t="shared" si="37"/>
        <v>0</v>
      </c>
      <c r="AE58" s="574">
        <f t="shared" si="37"/>
        <v>0</v>
      </c>
      <c r="AF58" s="574">
        <f t="shared" si="38"/>
        <v>0</v>
      </c>
      <c r="AG58" s="574">
        <f t="shared" si="38"/>
        <v>0</v>
      </c>
      <c r="AH58" s="574">
        <f t="shared" si="38"/>
        <v>0</v>
      </c>
      <c r="AI58" s="574">
        <f t="shared" si="38"/>
        <v>0</v>
      </c>
      <c r="AJ58" s="574">
        <f t="shared" si="38"/>
        <v>0</v>
      </c>
      <c r="AK58" s="574">
        <f t="shared" si="38"/>
        <v>0</v>
      </c>
      <c r="AL58" s="574">
        <f t="shared" si="38"/>
        <v>0</v>
      </c>
      <c r="AM58" s="574">
        <f t="shared" si="38"/>
        <v>0</v>
      </c>
      <c r="AN58" s="574">
        <f t="shared" si="38"/>
        <v>0</v>
      </c>
      <c r="AO58" s="574">
        <f t="shared" si="38"/>
        <v>0</v>
      </c>
      <c r="AP58" s="574">
        <f t="shared" si="39"/>
        <v>0</v>
      </c>
      <c r="AQ58" s="574">
        <f t="shared" si="39"/>
        <v>0</v>
      </c>
      <c r="AR58" s="574">
        <f t="shared" si="39"/>
        <v>0</v>
      </c>
      <c r="AS58" s="574">
        <f t="shared" si="39"/>
        <v>0</v>
      </c>
      <c r="AT58" s="574">
        <f t="shared" si="39"/>
        <v>0</v>
      </c>
      <c r="AU58" s="574">
        <f t="shared" si="39"/>
        <v>0</v>
      </c>
      <c r="AX58" s="253"/>
      <c r="AY58" s="264"/>
    </row>
    <row r="59" spans="1:51" x14ac:dyDescent="0.35">
      <c r="A59" s="560"/>
      <c r="G59" s="562" t="s">
        <v>1168</v>
      </c>
      <c r="K59" s="563" t="s">
        <v>158</v>
      </c>
      <c r="L59" s="574">
        <f t="shared" si="36"/>
        <v>0</v>
      </c>
      <c r="M59" s="574">
        <f t="shared" si="36"/>
        <v>0</v>
      </c>
      <c r="N59" s="574">
        <f t="shared" si="36"/>
        <v>0</v>
      </c>
      <c r="O59" s="574">
        <f t="shared" si="36"/>
        <v>0</v>
      </c>
      <c r="P59" s="574">
        <f t="shared" si="36"/>
        <v>0</v>
      </c>
      <c r="Q59" s="574">
        <f t="shared" si="36"/>
        <v>0</v>
      </c>
      <c r="R59" s="574">
        <f t="shared" si="36"/>
        <v>0</v>
      </c>
      <c r="S59" s="574">
        <f t="shared" si="36"/>
        <v>0</v>
      </c>
      <c r="T59" s="574">
        <f t="shared" si="36"/>
        <v>0</v>
      </c>
      <c r="U59" s="574">
        <f t="shared" si="36"/>
        <v>0</v>
      </c>
      <c r="V59" s="574">
        <f t="shared" si="37"/>
        <v>0</v>
      </c>
      <c r="W59" s="574">
        <f t="shared" si="37"/>
        <v>0</v>
      </c>
      <c r="X59" s="574">
        <f t="shared" si="37"/>
        <v>0</v>
      </c>
      <c r="Y59" s="574">
        <f t="shared" si="37"/>
        <v>0</v>
      </c>
      <c r="Z59" s="574">
        <f t="shared" si="37"/>
        <v>0</v>
      </c>
      <c r="AA59" s="574">
        <f t="shared" si="37"/>
        <v>0</v>
      </c>
      <c r="AB59" s="574">
        <f t="shared" si="37"/>
        <v>0</v>
      </c>
      <c r="AC59" s="574">
        <f t="shared" si="37"/>
        <v>0</v>
      </c>
      <c r="AD59" s="574">
        <f t="shared" si="37"/>
        <v>0</v>
      </c>
      <c r="AE59" s="574">
        <f t="shared" si="37"/>
        <v>0</v>
      </c>
      <c r="AF59" s="574">
        <f t="shared" si="38"/>
        <v>0</v>
      </c>
      <c r="AG59" s="574">
        <f t="shared" si="38"/>
        <v>0</v>
      </c>
      <c r="AH59" s="574">
        <f t="shared" si="38"/>
        <v>0</v>
      </c>
      <c r="AI59" s="574">
        <f t="shared" si="38"/>
        <v>0</v>
      </c>
      <c r="AJ59" s="574">
        <f t="shared" si="38"/>
        <v>0</v>
      </c>
      <c r="AK59" s="574">
        <f t="shared" si="38"/>
        <v>0</v>
      </c>
      <c r="AL59" s="574">
        <f t="shared" si="38"/>
        <v>0</v>
      </c>
      <c r="AM59" s="574">
        <f t="shared" si="38"/>
        <v>0</v>
      </c>
      <c r="AN59" s="574">
        <f t="shared" si="38"/>
        <v>0</v>
      </c>
      <c r="AO59" s="574">
        <f t="shared" si="38"/>
        <v>0</v>
      </c>
      <c r="AP59" s="574">
        <f t="shared" si="39"/>
        <v>0</v>
      </c>
      <c r="AQ59" s="574">
        <f t="shared" si="39"/>
        <v>0</v>
      </c>
      <c r="AR59" s="574">
        <f t="shared" si="39"/>
        <v>0</v>
      </c>
      <c r="AS59" s="574">
        <f t="shared" si="39"/>
        <v>0</v>
      </c>
      <c r="AT59" s="574">
        <f t="shared" si="39"/>
        <v>0</v>
      </c>
      <c r="AU59" s="574">
        <f t="shared" si="39"/>
        <v>0</v>
      </c>
      <c r="AX59" s="253"/>
      <c r="AY59" s="264"/>
    </row>
    <row r="60" spans="1:51" ht="16" x14ac:dyDescent="0.5">
      <c r="A60" s="560"/>
      <c r="G60" s="562" t="s">
        <v>1165</v>
      </c>
      <c r="K60" s="563" t="s">
        <v>190</v>
      </c>
      <c r="L60" s="575">
        <f t="shared" si="36"/>
        <v>0</v>
      </c>
      <c r="M60" s="575">
        <f t="shared" si="36"/>
        <v>0</v>
      </c>
      <c r="N60" s="575">
        <f t="shared" si="36"/>
        <v>0</v>
      </c>
      <c r="O60" s="575">
        <f t="shared" si="36"/>
        <v>0</v>
      </c>
      <c r="P60" s="575">
        <f t="shared" si="36"/>
        <v>0</v>
      </c>
      <c r="Q60" s="575">
        <f t="shared" si="36"/>
        <v>0</v>
      </c>
      <c r="R60" s="575">
        <f t="shared" si="36"/>
        <v>0</v>
      </c>
      <c r="S60" s="575">
        <f t="shared" si="36"/>
        <v>0</v>
      </c>
      <c r="T60" s="575">
        <f t="shared" si="36"/>
        <v>0</v>
      </c>
      <c r="U60" s="575">
        <f t="shared" si="36"/>
        <v>0</v>
      </c>
      <c r="V60" s="575">
        <f t="shared" si="37"/>
        <v>0</v>
      </c>
      <c r="W60" s="575">
        <f t="shared" si="37"/>
        <v>0</v>
      </c>
      <c r="X60" s="575">
        <f t="shared" si="37"/>
        <v>0</v>
      </c>
      <c r="Y60" s="575">
        <f t="shared" si="37"/>
        <v>0</v>
      </c>
      <c r="Z60" s="575">
        <f t="shared" si="37"/>
        <v>0</v>
      </c>
      <c r="AA60" s="575">
        <f t="shared" si="37"/>
        <v>0</v>
      </c>
      <c r="AB60" s="575">
        <f t="shared" si="37"/>
        <v>0</v>
      </c>
      <c r="AC60" s="575">
        <f t="shared" si="37"/>
        <v>0</v>
      </c>
      <c r="AD60" s="575">
        <f t="shared" si="37"/>
        <v>0</v>
      </c>
      <c r="AE60" s="575">
        <f t="shared" si="37"/>
        <v>0</v>
      </c>
      <c r="AF60" s="575">
        <f t="shared" si="38"/>
        <v>0</v>
      </c>
      <c r="AG60" s="575">
        <f t="shared" si="38"/>
        <v>0</v>
      </c>
      <c r="AH60" s="575">
        <f t="shared" si="38"/>
        <v>0</v>
      </c>
      <c r="AI60" s="575">
        <f t="shared" si="38"/>
        <v>0</v>
      </c>
      <c r="AJ60" s="575">
        <f t="shared" si="38"/>
        <v>0</v>
      </c>
      <c r="AK60" s="575">
        <f t="shared" si="38"/>
        <v>0</v>
      </c>
      <c r="AL60" s="575">
        <f t="shared" si="38"/>
        <v>0</v>
      </c>
      <c r="AM60" s="575">
        <f t="shared" si="38"/>
        <v>0</v>
      </c>
      <c r="AN60" s="575">
        <f t="shared" si="38"/>
        <v>0</v>
      </c>
      <c r="AO60" s="575">
        <f t="shared" si="38"/>
        <v>0</v>
      </c>
      <c r="AP60" s="575">
        <f t="shared" si="39"/>
        <v>0</v>
      </c>
      <c r="AQ60" s="575">
        <f t="shared" si="39"/>
        <v>0</v>
      </c>
      <c r="AR60" s="575">
        <f t="shared" si="39"/>
        <v>0</v>
      </c>
      <c r="AS60" s="575">
        <f t="shared" si="39"/>
        <v>0</v>
      </c>
      <c r="AT60" s="575">
        <f t="shared" si="39"/>
        <v>0</v>
      </c>
      <c r="AU60" s="575">
        <f t="shared" si="39"/>
        <v>0</v>
      </c>
      <c r="AX60" s="253"/>
      <c r="AY60" s="264"/>
    </row>
    <row r="61" spans="1:51" x14ac:dyDescent="0.35">
      <c r="A61" s="560"/>
      <c r="G61" s="557" t="s">
        <v>1313</v>
      </c>
      <c r="K61" s="563"/>
      <c r="L61" s="573">
        <f>SUM(L57:L60)</f>
        <v>0</v>
      </c>
      <c r="M61" s="573">
        <f t="shared" ref="M61:AU61" si="40">SUM(M57:M60)</f>
        <v>0</v>
      </c>
      <c r="N61" s="573">
        <f t="shared" si="40"/>
        <v>0</v>
      </c>
      <c r="O61" s="573">
        <f t="shared" si="40"/>
        <v>0</v>
      </c>
      <c r="P61" s="573">
        <f t="shared" si="40"/>
        <v>0</v>
      </c>
      <c r="Q61" s="573">
        <f t="shared" si="40"/>
        <v>0</v>
      </c>
      <c r="R61" s="573">
        <f t="shared" si="40"/>
        <v>0</v>
      </c>
      <c r="S61" s="573">
        <f t="shared" si="40"/>
        <v>0</v>
      </c>
      <c r="T61" s="573">
        <f t="shared" si="40"/>
        <v>0</v>
      </c>
      <c r="U61" s="573">
        <f t="shared" si="40"/>
        <v>0</v>
      </c>
      <c r="V61" s="573">
        <f t="shared" si="40"/>
        <v>0</v>
      </c>
      <c r="W61" s="573">
        <f t="shared" si="40"/>
        <v>0</v>
      </c>
      <c r="X61" s="573">
        <f t="shared" si="40"/>
        <v>0</v>
      </c>
      <c r="Y61" s="573">
        <f t="shared" si="40"/>
        <v>0</v>
      </c>
      <c r="Z61" s="573">
        <f t="shared" si="40"/>
        <v>0</v>
      </c>
      <c r="AA61" s="573">
        <f t="shared" si="40"/>
        <v>0</v>
      </c>
      <c r="AB61" s="573">
        <f t="shared" si="40"/>
        <v>0</v>
      </c>
      <c r="AC61" s="573">
        <f t="shared" si="40"/>
        <v>0</v>
      </c>
      <c r="AD61" s="573">
        <f t="shared" si="40"/>
        <v>0</v>
      </c>
      <c r="AE61" s="573">
        <f t="shared" si="40"/>
        <v>0</v>
      </c>
      <c r="AF61" s="573">
        <f t="shared" si="40"/>
        <v>0</v>
      </c>
      <c r="AG61" s="573">
        <f t="shared" si="40"/>
        <v>0</v>
      </c>
      <c r="AH61" s="573">
        <f t="shared" si="40"/>
        <v>0</v>
      </c>
      <c r="AI61" s="573">
        <f t="shared" si="40"/>
        <v>0</v>
      </c>
      <c r="AJ61" s="573">
        <f t="shared" si="40"/>
        <v>0</v>
      </c>
      <c r="AK61" s="573">
        <f t="shared" si="40"/>
        <v>0</v>
      </c>
      <c r="AL61" s="573">
        <f t="shared" si="40"/>
        <v>0</v>
      </c>
      <c r="AM61" s="573">
        <f t="shared" si="40"/>
        <v>0</v>
      </c>
      <c r="AN61" s="573">
        <f t="shared" si="40"/>
        <v>0</v>
      </c>
      <c r="AO61" s="573">
        <f t="shared" si="40"/>
        <v>0</v>
      </c>
      <c r="AP61" s="573">
        <f t="shared" si="40"/>
        <v>0</v>
      </c>
      <c r="AQ61" s="573">
        <f t="shared" si="40"/>
        <v>0</v>
      </c>
      <c r="AR61" s="573">
        <f t="shared" si="40"/>
        <v>0</v>
      </c>
      <c r="AS61" s="573">
        <f t="shared" si="40"/>
        <v>0</v>
      </c>
      <c r="AT61" s="573">
        <f t="shared" si="40"/>
        <v>0</v>
      </c>
      <c r="AU61" s="573">
        <f t="shared" si="40"/>
        <v>0</v>
      </c>
      <c r="AX61" s="253"/>
      <c r="AY61" s="264"/>
    </row>
    <row r="62" spans="1:51" x14ac:dyDescent="0.35">
      <c r="A62" s="560"/>
      <c r="G62" s="562"/>
      <c r="K62" s="563"/>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X62" s="253"/>
      <c r="AY62" s="264"/>
    </row>
    <row r="63" spans="1:51" x14ac:dyDescent="0.35">
      <c r="A63" s="560"/>
      <c r="G63" s="587" t="s">
        <v>29</v>
      </c>
      <c r="K63" s="563"/>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1"/>
      <c r="AP63" s="571"/>
      <c r="AQ63" s="571"/>
      <c r="AR63" s="571"/>
      <c r="AS63" s="571"/>
      <c r="AT63" s="571"/>
      <c r="AU63" s="571"/>
      <c r="AX63" s="253"/>
      <c r="AY63" s="264"/>
    </row>
    <row r="64" spans="1:51" x14ac:dyDescent="0.35">
      <c r="A64" s="560"/>
      <c r="G64" s="562" t="s">
        <v>1166</v>
      </c>
      <c r="K64" s="563" t="s">
        <v>85</v>
      </c>
      <c r="L64" s="572">
        <f t="shared" ref="L64:U67" si="41">SUMIFS(L$1236:L$1336,$J$1236:$J$1336,$K64)</f>
        <v>0</v>
      </c>
      <c r="M64" s="572">
        <f t="shared" si="41"/>
        <v>0</v>
      </c>
      <c r="N64" s="572">
        <f t="shared" si="41"/>
        <v>0</v>
      </c>
      <c r="O64" s="572">
        <f t="shared" si="41"/>
        <v>0</v>
      </c>
      <c r="P64" s="572">
        <f t="shared" si="41"/>
        <v>0</v>
      </c>
      <c r="Q64" s="572">
        <f t="shared" si="41"/>
        <v>0</v>
      </c>
      <c r="R64" s="572">
        <f t="shared" si="41"/>
        <v>0</v>
      </c>
      <c r="S64" s="572">
        <f t="shared" si="41"/>
        <v>0</v>
      </c>
      <c r="T64" s="572">
        <f t="shared" si="41"/>
        <v>0</v>
      </c>
      <c r="U64" s="572">
        <f t="shared" si="41"/>
        <v>0</v>
      </c>
      <c r="V64" s="572">
        <f t="shared" ref="V64:AE67" si="42">SUMIFS(V$1236:V$1336,$J$1236:$J$1336,$K64)</f>
        <v>0</v>
      </c>
      <c r="W64" s="572">
        <f t="shared" si="42"/>
        <v>0</v>
      </c>
      <c r="X64" s="572">
        <f t="shared" si="42"/>
        <v>0</v>
      </c>
      <c r="Y64" s="572">
        <f t="shared" si="42"/>
        <v>0</v>
      </c>
      <c r="Z64" s="572">
        <f t="shared" si="42"/>
        <v>0</v>
      </c>
      <c r="AA64" s="572">
        <f t="shared" si="42"/>
        <v>0</v>
      </c>
      <c r="AB64" s="572">
        <f t="shared" si="42"/>
        <v>0</v>
      </c>
      <c r="AC64" s="572">
        <f t="shared" si="42"/>
        <v>0</v>
      </c>
      <c r="AD64" s="572">
        <f t="shared" si="42"/>
        <v>0</v>
      </c>
      <c r="AE64" s="572">
        <f t="shared" si="42"/>
        <v>0</v>
      </c>
      <c r="AF64" s="572">
        <f t="shared" ref="AF64:AO67" si="43">SUMIFS(AF$1236:AF$1336,$J$1236:$J$1336,$K64)</f>
        <v>0</v>
      </c>
      <c r="AG64" s="572">
        <f t="shared" si="43"/>
        <v>0</v>
      </c>
      <c r="AH64" s="572">
        <f t="shared" si="43"/>
        <v>0</v>
      </c>
      <c r="AI64" s="572">
        <f t="shared" si="43"/>
        <v>0</v>
      </c>
      <c r="AJ64" s="572">
        <f t="shared" si="43"/>
        <v>0</v>
      </c>
      <c r="AK64" s="572">
        <f t="shared" si="43"/>
        <v>0</v>
      </c>
      <c r="AL64" s="572">
        <f t="shared" si="43"/>
        <v>0</v>
      </c>
      <c r="AM64" s="572">
        <f t="shared" si="43"/>
        <v>0</v>
      </c>
      <c r="AN64" s="572">
        <f t="shared" si="43"/>
        <v>0</v>
      </c>
      <c r="AO64" s="572">
        <f t="shared" si="43"/>
        <v>0</v>
      </c>
      <c r="AP64" s="572">
        <f t="shared" ref="AP64:AU67" si="44">SUMIFS(AP$1236:AP$1336,$J$1236:$J$1336,$K64)</f>
        <v>0</v>
      </c>
      <c r="AQ64" s="572">
        <f t="shared" si="44"/>
        <v>0</v>
      </c>
      <c r="AR64" s="572">
        <f t="shared" si="44"/>
        <v>0</v>
      </c>
      <c r="AS64" s="572">
        <f t="shared" si="44"/>
        <v>0</v>
      </c>
      <c r="AT64" s="572">
        <f t="shared" si="44"/>
        <v>0</v>
      </c>
      <c r="AU64" s="572">
        <f t="shared" si="44"/>
        <v>0</v>
      </c>
      <c r="AX64" s="253"/>
      <c r="AY64" s="264"/>
    </row>
    <row r="65" spans="1:51" x14ac:dyDescent="0.35">
      <c r="A65" s="560"/>
      <c r="G65" s="562" t="s">
        <v>1167</v>
      </c>
      <c r="K65" s="563" t="s">
        <v>119</v>
      </c>
      <c r="L65" s="574">
        <f t="shared" si="41"/>
        <v>0</v>
      </c>
      <c r="M65" s="574">
        <f t="shared" si="41"/>
        <v>0</v>
      </c>
      <c r="N65" s="574">
        <f t="shared" si="41"/>
        <v>0</v>
      </c>
      <c r="O65" s="574">
        <f t="shared" si="41"/>
        <v>0</v>
      </c>
      <c r="P65" s="574">
        <f t="shared" si="41"/>
        <v>0</v>
      </c>
      <c r="Q65" s="574">
        <f t="shared" si="41"/>
        <v>0</v>
      </c>
      <c r="R65" s="574">
        <f t="shared" si="41"/>
        <v>0</v>
      </c>
      <c r="S65" s="574">
        <f t="shared" si="41"/>
        <v>0</v>
      </c>
      <c r="T65" s="574">
        <f t="shared" si="41"/>
        <v>0</v>
      </c>
      <c r="U65" s="574">
        <f t="shared" si="41"/>
        <v>0</v>
      </c>
      <c r="V65" s="574">
        <f t="shared" si="42"/>
        <v>0</v>
      </c>
      <c r="W65" s="574">
        <f t="shared" si="42"/>
        <v>0</v>
      </c>
      <c r="X65" s="574">
        <f t="shared" si="42"/>
        <v>0</v>
      </c>
      <c r="Y65" s="574">
        <f t="shared" si="42"/>
        <v>0</v>
      </c>
      <c r="Z65" s="574">
        <f t="shared" si="42"/>
        <v>0</v>
      </c>
      <c r="AA65" s="574">
        <f t="shared" si="42"/>
        <v>0</v>
      </c>
      <c r="AB65" s="574">
        <f t="shared" si="42"/>
        <v>0</v>
      </c>
      <c r="AC65" s="574">
        <f t="shared" si="42"/>
        <v>0</v>
      </c>
      <c r="AD65" s="574">
        <f t="shared" si="42"/>
        <v>0</v>
      </c>
      <c r="AE65" s="574">
        <f t="shared" si="42"/>
        <v>0</v>
      </c>
      <c r="AF65" s="574">
        <f t="shared" si="43"/>
        <v>0</v>
      </c>
      <c r="AG65" s="574">
        <f t="shared" si="43"/>
        <v>0</v>
      </c>
      <c r="AH65" s="574">
        <f t="shared" si="43"/>
        <v>0</v>
      </c>
      <c r="AI65" s="574">
        <f t="shared" si="43"/>
        <v>0</v>
      </c>
      <c r="AJ65" s="574">
        <f t="shared" si="43"/>
        <v>0</v>
      </c>
      <c r="AK65" s="574">
        <f t="shared" si="43"/>
        <v>0</v>
      </c>
      <c r="AL65" s="574">
        <f t="shared" si="43"/>
        <v>0</v>
      </c>
      <c r="AM65" s="574">
        <f t="shared" si="43"/>
        <v>0</v>
      </c>
      <c r="AN65" s="574">
        <f t="shared" si="43"/>
        <v>0</v>
      </c>
      <c r="AO65" s="574">
        <f t="shared" si="43"/>
        <v>0</v>
      </c>
      <c r="AP65" s="574">
        <f t="shared" si="44"/>
        <v>0</v>
      </c>
      <c r="AQ65" s="574">
        <f t="shared" si="44"/>
        <v>0</v>
      </c>
      <c r="AR65" s="574">
        <f t="shared" si="44"/>
        <v>0</v>
      </c>
      <c r="AS65" s="574">
        <f t="shared" si="44"/>
        <v>0</v>
      </c>
      <c r="AT65" s="574">
        <f t="shared" si="44"/>
        <v>0</v>
      </c>
      <c r="AU65" s="574">
        <f t="shared" si="44"/>
        <v>0</v>
      </c>
      <c r="AX65" s="253"/>
      <c r="AY65" s="264"/>
    </row>
    <row r="66" spans="1:51" x14ac:dyDescent="0.35">
      <c r="A66" s="560"/>
      <c r="G66" s="562" t="s">
        <v>1168</v>
      </c>
      <c r="K66" s="563" t="s">
        <v>152</v>
      </c>
      <c r="L66" s="574">
        <f t="shared" si="41"/>
        <v>0</v>
      </c>
      <c r="M66" s="574">
        <f t="shared" si="41"/>
        <v>0</v>
      </c>
      <c r="N66" s="574">
        <f t="shared" si="41"/>
        <v>0</v>
      </c>
      <c r="O66" s="574">
        <f t="shared" si="41"/>
        <v>0</v>
      </c>
      <c r="P66" s="574">
        <f t="shared" si="41"/>
        <v>0</v>
      </c>
      <c r="Q66" s="574">
        <f t="shared" si="41"/>
        <v>0</v>
      </c>
      <c r="R66" s="574">
        <f t="shared" si="41"/>
        <v>0</v>
      </c>
      <c r="S66" s="574">
        <f t="shared" si="41"/>
        <v>0</v>
      </c>
      <c r="T66" s="574">
        <f t="shared" si="41"/>
        <v>0</v>
      </c>
      <c r="U66" s="574">
        <f t="shared" si="41"/>
        <v>0</v>
      </c>
      <c r="V66" s="574">
        <f t="shared" si="42"/>
        <v>0</v>
      </c>
      <c r="W66" s="574">
        <f t="shared" si="42"/>
        <v>0</v>
      </c>
      <c r="X66" s="574">
        <f t="shared" si="42"/>
        <v>0</v>
      </c>
      <c r="Y66" s="574">
        <f t="shared" si="42"/>
        <v>0</v>
      </c>
      <c r="Z66" s="574">
        <f t="shared" si="42"/>
        <v>0</v>
      </c>
      <c r="AA66" s="574">
        <f t="shared" si="42"/>
        <v>0</v>
      </c>
      <c r="AB66" s="574">
        <f t="shared" si="42"/>
        <v>0</v>
      </c>
      <c r="AC66" s="574">
        <f t="shared" si="42"/>
        <v>0</v>
      </c>
      <c r="AD66" s="574">
        <f t="shared" si="42"/>
        <v>0</v>
      </c>
      <c r="AE66" s="574">
        <f t="shared" si="42"/>
        <v>0</v>
      </c>
      <c r="AF66" s="574">
        <f t="shared" si="43"/>
        <v>0</v>
      </c>
      <c r="AG66" s="574">
        <f t="shared" si="43"/>
        <v>0</v>
      </c>
      <c r="AH66" s="574">
        <f t="shared" si="43"/>
        <v>0</v>
      </c>
      <c r="AI66" s="574">
        <f t="shared" si="43"/>
        <v>0</v>
      </c>
      <c r="AJ66" s="574">
        <f t="shared" si="43"/>
        <v>0</v>
      </c>
      <c r="AK66" s="574">
        <f t="shared" si="43"/>
        <v>0</v>
      </c>
      <c r="AL66" s="574">
        <f t="shared" si="43"/>
        <v>0</v>
      </c>
      <c r="AM66" s="574">
        <f t="shared" si="43"/>
        <v>0</v>
      </c>
      <c r="AN66" s="574">
        <f t="shared" si="43"/>
        <v>0</v>
      </c>
      <c r="AO66" s="574">
        <f t="shared" si="43"/>
        <v>0</v>
      </c>
      <c r="AP66" s="574">
        <f t="shared" si="44"/>
        <v>0</v>
      </c>
      <c r="AQ66" s="574">
        <f t="shared" si="44"/>
        <v>0</v>
      </c>
      <c r="AR66" s="574">
        <f t="shared" si="44"/>
        <v>0</v>
      </c>
      <c r="AS66" s="574">
        <f t="shared" si="44"/>
        <v>0</v>
      </c>
      <c r="AT66" s="574">
        <f t="shared" si="44"/>
        <v>0</v>
      </c>
      <c r="AU66" s="574">
        <f t="shared" si="44"/>
        <v>0</v>
      </c>
      <c r="AX66" s="253"/>
      <c r="AY66" s="264"/>
    </row>
    <row r="67" spans="1:51" ht="16" x14ac:dyDescent="0.5">
      <c r="A67" s="560"/>
      <c r="G67" s="562" t="s">
        <v>1165</v>
      </c>
      <c r="K67" s="563" t="s">
        <v>184</v>
      </c>
      <c r="L67" s="575">
        <f t="shared" si="41"/>
        <v>0</v>
      </c>
      <c r="M67" s="575">
        <f t="shared" si="41"/>
        <v>0</v>
      </c>
      <c r="N67" s="575">
        <f t="shared" si="41"/>
        <v>0</v>
      </c>
      <c r="O67" s="575">
        <f t="shared" si="41"/>
        <v>0</v>
      </c>
      <c r="P67" s="575">
        <f t="shared" si="41"/>
        <v>0</v>
      </c>
      <c r="Q67" s="575">
        <f t="shared" si="41"/>
        <v>0</v>
      </c>
      <c r="R67" s="575">
        <f t="shared" si="41"/>
        <v>0</v>
      </c>
      <c r="S67" s="575">
        <f t="shared" si="41"/>
        <v>0</v>
      </c>
      <c r="T67" s="575">
        <f t="shared" si="41"/>
        <v>0</v>
      </c>
      <c r="U67" s="575">
        <f t="shared" si="41"/>
        <v>0</v>
      </c>
      <c r="V67" s="575">
        <f t="shared" si="42"/>
        <v>0</v>
      </c>
      <c r="W67" s="575">
        <f t="shared" si="42"/>
        <v>0</v>
      </c>
      <c r="X67" s="575">
        <f t="shared" si="42"/>
        <v>0</v>
      </c>
      <c r="Y67" s="575">
        <f t="shared" si="42"/>
        <v>0</v>
      </c>
      <c r="Z67" s="575">
        <f t="shared" si="42"/>
        <v>0</v>
      </c>
      <c r="AA67" s="575">
        <f t="shared" si="42"/>
        <v>0</v>
      </c>
      <c r="AB67" s="575">
        <f t="shared" si="42"/>
        <v>0</v>
      </c>
      <c r="AC67" s="575">
        <f t="shared" si="42"/>
        <v>0</v>
      </c>
      <c r="AD67" s="575">
        <f t="shared" si="42"/>
        <v>0</v>
      </c>
      <c r="AE67" s="575">
        <f t="shared" si="42"/>
        <v>0</v>
      </c>
      <c r="AF67" s="575">
        <f t="shared" si="43"/>
        <v>0</v>
      </c>
      <c r="AG67" s="575">
        <f t="shared" si="43"/>
        <v>0</v>
      </c>
      <c r="AH67" s="575">
        <f t="shared" si="43"/>
        <v>0</v>
      </c>
      <c r="AI67" s="575">
        <f t="shared" si="43"/>
        <v>0</v>
      </c>
      <c r="AJ67" s="575">
        <f t="shared" si="43"/>
        <v>0</v>
      </c>
      <c r="AK67" s="575">
        <f t="shared" si="43"/>
        <v>0</v>
      </c>
      <c r="AL67" s="575">
        <f t="shared" si="43"/>
        <v>0</v>
      </c>
      <c r="AM67" s="575">
        <f t="shared" si="43"/>
        <v>0</v>
      </c>
      <c r="AN67" s="575">
        <f t="shared" si="43"/>
        <v>0</v>
      </c>
      <c r="AO67" s="575">
        <f t="shared" si="43"/>
        <v>0</v>
      </c>
      <c r="AP67" s="575">
        <f t="shared" si="44"/>
        <v>0</v>
      </c>
      <c r="AQ67" s="575">
        <f t="shared" si="44"/>
        <v>0</v>
      </c>
      <c r="AR67" s="575">
        <f t="shared" si="44"/>
        <v>0</v>
      </c>
      <c r="AS67" s="575">
        <f t="shared" si="44"/>
        <v>0</v>
      </c>
      <c r="AT67" s="575">
        <f t="shared" si="44"/>
        <v>0</v>
      </c>
      <c r="AU67" s="575">
        <f t="shared" si="44"/>
        <v>0</v>
      </c>
      <c r="AX67" s="253"/>
      <c r="AY67" s="264"/>
    </row>
    <row r="68" spans="1:51" x14ac:dyDescent="0.35">
      <c r="A68" s="560"/>
      <c r="G68" s="557" t="s">
        <v>1314</v>
      </c>
      <c r="K68" s="563"/>
      <c r="L68" s="573">
        <f>SUM(L64:L67)</f>
        <v>0</v>
      </c>
      <c r="M68" s="573">
        <f t="shared" ref="M68:AU68" si="45">SUM(M64:M67)</f>
        <v>0</v>
      </c>
      <c r="N68" s="573">
        <f t="shared" si="45"/>
        <v>0</v>
      </c>
      <c r="O68" s="573">
        <f t="shared" si="45"/>
        <v>0</v>
      </c>
      <c r="P68" s="573">
        <f t="shared" si="45"/>
        <v>0</v>
      </c>
      <c r="Q68" s="573">
        <f t="shared" si="45"/>
        <v>0</v>
      </c>
      <c r="R68" s="573">
        <f t="shared" si="45"/>
        <v>0</v>
      </c>
      <c r="S68" s="573">
        <f t="shared" si="45"/>
        <v>0</v>
      </c>
      <c r="T68" s="573">
        <f t="shared" si="45"/>
        <v>0</v>
      </c>
      <c r="U68" s="573">
        <f t="shared" si="45"/>
        <v>0</v>
      </c>
      <c r="V68" s="573">
        <f t="shared" si="45"/>
        <v>0</v>
      </c>
      <c r="W68" s="573">
        <f t="shared" si="45"/>
        <v>0</v>
      </c>
      <c r="X68" s="573">
        <f t="shared" si="45"/>
        <v>0</v>
      </c>
      <c r="Y68" s="573">
        <f t="shared" si="45"/>
        <v>0</v>
      </c>
      <c r="Z68" s="573">
        <f t="shared" si="45"/>
        <v>0</v>
      </c>
      <c r="AA68" s="573">
        <f t="shared" si="45"/>
        <v>0</v>
      </c>
      <c r="AB68" s="573">
        <f t="shared" si="45"/>
        <v>0</v>
      </c>
      <c r="AC68" s="573">
        <f t="shared" si="45"/>
        <v>0</v>
      </c>
      <c r="AD68" s="573">
        <f t="shared" si="45"/>
        <v>0</v>
      </c>
      <c r="AE68" s="573">
        <f t="shared" si="45"/>
        <v>0</v>
      </c>
      <c r="AF68" s="573">
        <f t="shared" si="45"/>
        <v>0</v>
      </c>
      <c r="AG68" s="573">
        <f t="shared" si="45"/>
        <v>0</v>
      </c>
      <c r="AH68" s="573">
        <f t="shared" si="45"/>
        <v>0</v>
      </c>
      <c r="AI68" s="573">
        <f t="shared" si="45"/>
        <v>0</v>
      </c>
      <c r="AJ68" s="573">
        <f t="shared" si="45"/>
        <v>0</v>
      </c>
      <c r="AK68" s="573">
        <f t="shared" si="45"/>
        <v>0</v>
      </c>
      <c r="AL68" s="573">
        <f t="shared" si="45"/>
        <v>0</v>
      </c>
      <c r="AM68" s="573">
        <f t="shared" si="45"/>
        <v>0</v>
      </c>
      <c r="AN68" s="573">
        <f t="shared" si="45"/>
        <v>0</v>
      </c>
      <c r="AO68" s="573">
        <f t="shared" si="45"/>
        <v>0</v>
      </c>
      <c r="AP68" s="573">
        <f t="shared" si="45"/>
        <v>0</v>
      </c>
      <c r="AQ68" s="573">
        <f t="shared" si="45"/>
        <v>0</v>
      </c>
      <c r="AR68" s="573">
        <f t="shared" si="45"/>
        <v>0</v>
      </c>
      <c r="AS68" s="573">
        <f t="shared" si="45"/>
        <v>0</v>
      </c>
      <c r="AT68" s="573">
        <f t="shared" si="45"/>
        <v>0</v>
      </c>
      <c r="AU68" s="573">
        <f t="shared" si="45"/>
        <v>0</v>
      </c>
      <c r="AX68" s="253"/>
      <c r="AY68" s="264"/>
    </row>
    <row r="69" spans="1:51" x14ac:dyDescent="0.35">
      <c r="A69" s="560"/>
      <c r="G69" s="562"/>
      <c r="K69" s="563"/>
      <c r="L69" s="571"/>
      <c r="M69" s="571"/>
      <c r="N69" s="571"/>
      <c r="O69" s="571"/>
      <c r="P69" s="571"/>
      <c r="Q69" s="571"/>
      <c r="R69" s="571"/>
      <c r="S69" s="571"/>
      <c r="T69" s="571"/>
      <c r="U69" s="571"/>
      <c r="V69" s="571"/>
      <c r="W69" s="571"/>
      <c r="X69" s="571"/>
      <c r="Y69" s="571"/>
      <c r="Z69" s="571"/>
      <c r="AA69" s="571"/>
      <c r="AB69" s="571"/>
      <c r="AC69" s="571"/>
      <c r="AD69" s="571"/>
      <c r="AE69" s="571"/>
      <c r="AF69" s="571"/>
      <c r="AG69" s="571"/>
      <c r="AH69" s="571"/>
      <c r="AI69" s="571"/>
      <c r="AJ69" s="571"/>
      <c r="AK69" s="571"/>
      <c r="AL69" s="571"/>
      <c r="AM69" s="571"/>
      <c r="AN69" s="571"/>
      <c r="AO69" s="571"/>
      <c r="AP69" s="571"/>
      <c r="AQ69" s="571"/>
      <c r="AR69" s="571"/>
      <c r="AS69" s="571"/>
      <c r="AT69" s="571"/>
      <c r="AU69" s="571"/>
      <c r="AX69" s="253"/>
      <c r="AY69" s="264"/>
    </row>
    <row r="70" spans="1:51" x14ac:dyDescent="0.35">
      <c r="A70" s="560"/>
      <c r="G70" s="587" t="s">
        <v>24</v>
      </c>
      <c r="K70" s="563"/>
      <c r="L70" s="571"/>
      <c r="M70" s="571"/>
      <c r="N70" s="571"/>
      <c r="O70" s="571"/>
      <c r="P70" s="571"/>
      <c r="Q70" s="571"/>
      <c r="R70" s="571"/>
      <c r="S70" s="571"/>
      <c r="T70" s="571"/>
      <c r="U70" s="571"/>
      <c r="V70" s="571"/>
      <c r="W70" s="571"/>
      <c r="X70" s="571"/>
      <c r="Y70" s="571"/>
      <c r="Z70" s="571"/>
      <c r="AA70" s="571"/>
      <c r="AB70" s="571"/>
      <c r="AC70" s="571"/>
      <c r="AD70" s="571"/>
      <c r="AE70" s="571"/>
      <c r="AF70" s="571"/>
      <c r="AG70" s="571"/>
      <c r="AH70" s="571"/>
      <c r="AI70" s="571"/>
      <c r="AJ70" s="571"/>
      <c r="AK70" s="571"/>
      <c r="AL70" s="571"/>
      <c r="AM70" s="571"/>
      <c r="AN70" s="571"/>
      <c r="AO70" s="571"/>
      <c r="AP70" s="571"/>
      <c r="AQ70" s="571"/>
      <c r="AR70" s="571"/>
      <c r="AS70" s="571"/>
      <c r="AT70" s="571"/>
      <c r="AU70" s="571"/>
      <c r="AX70" s="253"/>
      <c r="AY70" s="264"/>
    </row>
    <row r="71" spans="1:51" x14ac:dyDescent="0.35">
      <c r="A71" s="560"/>
      <c r="G71" s="562" t="s">
        <v>1166</v>
      </c>
      <c r="K71" s="563" t="s">
        <v>80</v>
      </c>
      <c r="L71" s="572">
        <f t="shared" ref="L71:U74" si="46">SUMIFS(L$1341:L$1441,$J$1341:$J$1441,$K71)</f>
        <v>0</v>
      </c>
      <c r="M71" s="572">
        <f t="shared" si="46"/>
        <v>0</v>
      </c>
      <c r="N71" s="572">
        <f t="shared" si="46"/>
        <v>0</v>
      </c>
      <c r="O71" s="572">
        <f t="shared" si="46"/>
        <v>0</v>
      </c>
      <c r="P71" s="572">
        <f t="shared" si="46"/>
        <v>0</v>
      </c>
      <c r="Q71" s="572">
        <f t="shared" si="46"/>
        <v>0</v>
      </c>
      <c r="R71" s="572">
        <f t="shared" si="46"/>
        <v>0</v>
      </c>
      <c r="S71" s="572">
        <f t="shared" si="46"/>
        <v>0</v>
      </c>
      <c r="T71" s="572">
        <f t="shared" si="46"/>
        <v>0</v>
      </c>
      <c r="U71" s="572">
        <f t="shared" si="46"/>
        <v>0</v>
      </c>
      <c r="V71" s="572">
        <f t="shared" ref="V71:AE74" si="47">SUMIFS(V$1341:V$1441,$J$1341:$J$1441,$K71)</f>
        <v>0</v>
      </c>
      <c r="W71" s="572">
        <f t="shared" si="47"/>
        <v>0</v>
      </c>
      <c r="X71" s="572">
        <f t="shared" si="47"/>
        <v>0</v>
      </c>
      <c r="Y71" s="572">
        <f t="shared" si="47"/>
        <v>0</v>
      </c>
      <c r="Z71" s="572">
        <f t="shared" si="47"/>
        <v>0</v>
      </c>
      <c r="AA71" s="572">
        <f t="shared" si="47"/>
        <v>0</v>
      </c>
      <c r="AB71" s="572">
        <f t="shared" si="47"/>
        <v>0</v>
      </c>
      <c r="AC71" s="572">
        <f t="shared" si="47"/>
        <v>0</v>
      </c>
      <c r="AD71" s="572">
        <f t="shared" si="47"/>
        <v>0</v>
      </c>
      <c r="AE71" s="572">
        <f t="shared" si="47"/>
        <v>0</v>
      </c>
      <c r="AF71" s="572">
        <f t="shared" ref="AF71:AO74" si="48">SUMIFS(AF$1341:AF$1441,$J$1341:$J$1441,$K71)</f>
        <v>0</v>
      </c>
      <c r="AG71" s="572">
        <f t="shared" si="48"/>
        <v>0</v>
      </c>
      <c r="AH71" s="572">
        <f t="shared" si="48"/>
        <v>0</v>
      </c>
      <c r="AI71" s="572">
        <f t="shared" si="48"/>
        <v>0</v>
      </c>
      <c r="AJ71" s="572">
        <f t="shared" si="48"/>
        <v>0</v>
      </c>
      <c r="AK71" s="572">
        <f t="shared" si="48"/>
        <v>0</v>
      </c>
      <c r="AL71" s="572">
        <f t="shared" si="48"/>
        <v>0</v>
      </c>
      <c r="AM71" s="572">
        <f t="shared" si="48"/>
        <v>0</v>
      </c>
      <c r="AN71" s="572">
        <f t="shared" si="48"/>
        <v>0</v>
      </c>
      <c r="AO71" s="572">
        <f t="shared" si="48"/>
        <v>0</v>
      </c>
      <c r="AP71" s="572">
        <f t="shared" ref="AP71:AU74" si="49">SUMIFS(AP$1341:AP$1441,$J$1341:$J$1441,$K71)</f>
        <v>0</v>
      </c>
      <c r="AQ71" s="572">
        <f t="shared" si="49"/>
        <v>0</v>
      </c>
      <c r="AR71" s="572">
        <f t="shared" si="49"/>
        <v>0</v>
      </c>
      <c r="AS71" s="572">
        <f t="shared" si="49"/>
        <v>0</v>
      </c>
      <c r="AT71" s="572">
        <f t="shared" si="49"/>
        <v>0</v>
      </c>
      <c r="AU71" s="572">
        <f t="shared" si="49"/>
        <v>0</v>
      </c>
      <c r="AX71" s="253"/>
      <c r="AY71" s="264"/>
    </row>
    <row r="72" spans="1:51" x14ac:dyDescent="0.35">
      <c r="A72" s="560"/>
      <c r="G72" s="562" t="s">
        <v>1167</v>
      </c>
      <c r="K72" s="563" t="s">
        <v>114</v>
      </c>
      <c r="L72" s="574">
        <f t="shared" si="46"/>
        <v>0</v>
      </c>
      <c r="M72" s="574">
        <f t="shared" si="46"/>
        <v>0</v>
      </c>
      <c r="N72" s="574">
        <f t="shared" si="46"/>
        <v>0</v>
      </c>
      <c r="O72" s="574">
        <f t="shared" si="46"/>
        <v>0</v>
      </c>
      <c r="P72" s="574">
        <f t="shared" si="46"/>
        <v>0</v>
      </c>
      <c r="Q72" s="574">
        <f t="shared" si="46"/>
        <v>0</v>
      </c>
      <c r="R72" s="574">
        <f t="shared" si="46"/>
        <v>0</v>
      </c>
      <c r="S72" s="574">
        <f t="shared" si="46"/>
        <v>0</v>
      </c>
      <c r="T72" s="574">
        <f t="shared" si="46"/>
        <v>0</v>
      </c>
      <c r="U72" s="574">
        <f t="shared" si="46"/>
        <v>0</v>
      </c>
      <c r="V72" s="574">
        <f t="shared" si="47"/>
        <v>0</v>
      </c>
      <c r="W72" s="574">
        <f t="shared" si="47"/>
        <v>0</v>
      </c>
      <c r="X72" s="574">
        <f t="shared" si="47"/>
        <v>0</v>
      </c>
      <c r="Y72" s="574">
        <f t="shared" si="47"/>
        <v>0</v>
      </c>
      <c r="Z72" s="574">
        <f t="shared" si="47"/>
        <v>0</v>
      </c>
      <c r="AA72" s="574">
        <f t="shared" si="47"/>
        <v>0</v>
      </c>
      <c r="AB72" s="574">
        <f t="shared" si="47"/>
        <v>0</v>
      </c>
      <c r="AC72" s="574">
        <f t="shared" si="47"/>
        <v>0</v>
      </c>
      <c r="AD72" s="574">
        <f t="shared" si="47"/>
        <v>0</v>
      </c>
      <c r="AE72" s="574">
        <f t="shared" si="47"/>
        <v>0</v>
      </c>
      <c r="AF72" s="574">
        <f t="shared" si="48"/>
        <v>0</v>
      </c>
      <c r="AG72" s="574">
        <f t="shared" si="48"/>
        <v>0</v>
      </c>
      <c r="AH72" s="574">
        <f t="shared" si="48"/>
        <v>0</v>
      </c>
      <c r="AI72" s="574">
        <f t="shared" si="48"/>
        <v>0</v>
      </c>
      <c r="AJ72" s="574">
        <f t="shared" si="48"/>
        <v>0</v>
      </c>
      <c r="AK72" s="574">
        <f t="shared" si="48"/>
        <v>0</v>
      </c>
      <c r="AL72" s="574">
        <f t="shared" si="48"/>
        <v>0</v>
      </c>
      <c r="AM72" s="574">
        <f t="shared" si="48"/>
        <v>0</v>
      </c>
      <c r="AN72" s="574">
        <f t="shared" si="48"/>
        <v>0</v>
      </c>
      <c r="AO72" s="574">
        <f t="shared" si="48"/>
        <v>0</v>
      </c>
      <c r="AP72" s="574">
        <f t="shared" si="49"/>
        <v>0</v>
      </c>
      <c r="AQ72" s="574">
        <f t="shared" si="49"/>
        <v>0</v>
      </c>
      <c r="AR72" s="574">
        <f t="shared" si="49"/>
        <v>0</v>
      </c>
      <c r="AS72" s="574">
        <f t="shared" si="49"/>
        <v>0</v>
      </c>
      <c r="AT72" s="574">
        <f t="shared" si="49"/>
        <v>0</v>
      </c>
      <c r="AU72" s="574">
        <f t="shared" si="49"/>
        <v>0</v>
      </c>
      <c r="AX72" s="253"/>
      <c r="AY72" s="264"/>
    </row>
    <row r="73" spans="1:51" x14ac:dyDescent="0.35">
      <c r="A73" s="560"/>
      <c r="G73" s="562" t="s">
        <v>1168</v>
      </c>
      <c r="I73" s="558"/>
      <c r="K73" s="563" t="s">
        <v>147</v>
      </c>
      <c r="L73" s="574">
        <f t="shared" si="46"/>
        <v>0</v>
      </c>
      <c r="M73" s="574">
        <f t="shared" si="46"/>
        <v>0</v>
      </c>
      <c r="N73" s="574">
        <f t="shared" si="46"/>
        <v>0</v>
      </c>
      <c r="O73" s="574">
        <f t="shared" si="46"/>
        <v>0</v>
      </c>
      <c r="P73" s="574">
        <f t="shared" si="46"/>
        <v>0</v>
      </c>
      <c r="Q73" s="574">
        <f t="shared" si="46"/>
        <v>0</v>
      </c>
      <c r="R73" s="574">
        <f t="shared" si="46"/>
        <v>0</v>
      </c>
      <c r="S73" s="574">
        <f t="shared" si="46"/>
        <v>0</v>
      </c>
      <c r="T73" s="574">
        <f t="shared" si="46"/>
        <v>0</v>
      </c>
      <c r="U73" s="574">
        <f t="shared" si="46"/>
        <v>0</v>
      </c>
      <c r="V73" s="574">
        <f t="shared" si="47"/>
        <v>0</v>
      </c>
      <c r="W73" s="574">
        <f t="shared" si="47"/>
        <v>0</v>
      </c>
      <c r="X73" s="574">
        <f t="shared" si="47"/>
        <v>0</v>
      </c>
      <c r="Y73" s="574">
        <f t="shared" si="47"/>
        <v>0</v>
      </c>
      <c r="Z73" s="574">
        <f t="shared" si="47"/>
        <v>0</v>
      </c>
      <c r="AA73" s="574">
        <f t="shared" si="47"/>
        <v>0</v>
      </c>
      <c r="AB73" s="574">
        <f t="shared" si="47"/>
        <v>0</v>
      </c>
      <c r="AC73" s="574">
        <f t="shared" si="47"/>
        <v>0</v>
      </c>
      <c r="AD73" s="574">
        <f t="shared" si="47"/>
        <v>0</v>
      </c>
      <c r="AE73" s="574">
        <f t="shared" si="47"/>
        <v>0</v>
      </c>
      <c r="AF73" s="574">
        <f t="shared" si="48"/>
        <v>0</v>
      </c>
      <c r="AG73" s="574">
        <f t="shared" si="48"/>
        <v>0</v>
      </c>
      <c r="AH73" s="574">
        <f t="shared" si="48"/>
        <v>0</v>
      </c>
      <c r="AI73" s="574">
        <f t="shared" si="48"/>
        <v>0</v>
      </c>
      <c r="AJ73" s="574">
        <f t="shared" si="48"/>
        <v>0</v>
      </c>
      <c r="AK73" s="574">
        <f t="shared" si="48"/>
        <v>0</v>
      </c>
      <c r="AL73" s="574">
        <f t="shared" si="48"/>
        <v>0</v>
      </c>
      <c r="AM73" s="574">
        <f t="shared" si="48"/>
        <v>0</v>
      </c>
      <c r="AN73" s="574">
        <f t="shared" si="48"/>
        <v>0</v>
      </c>
      <c r="AO73" s="574">
        <f t="shared" si="48"/>
        <v>0</v>
      </c>
      <c r="AP73" s="574">
        <f t="shared" si="49"/>
        <v>0</v>
      </c>
      <c r="AQ73" s="574">
        <f t="shared" si="49"/>
        <v>0</v>
      </c>
      <c r="AR73" s="574">
        <f t="shared" si="49"/>
        <v>0</v>
      </c>
      <c r="AS73" s="574">
        <f t="shared" si="49"/>
        <v>0</v>
      </c>
      <c r="AT73" s="574">
        <f t="shared" si="49"/>
        <v>0</v>
      </c>
      <c r="AU73" s="574">
        <f t="shared" si="49"/>
        <v>0</v>
      </c>
      <c r="AX73" s="253"/>
      <c r="AY73" s="264"/>
    </row>
    <row r="74" spans="1:51" ht="16" x14ac:dyDescent="0.5">
      <c r="A74" s="560"/>
      <c r="G74" s="562" t="s">
        <v>1165</v>
      </c>
      <c r="I74" s="558"/>
      <c r="K74" s="563" t="s">
        <v>179</v>
      </c>
      <c r="L74" s="575">
        <f t="shared" si="46"/>
        <v>0</v>
      </c>
      <c r="M74" s="575">
        <f t="shared" si="46"/>
        <v>0</v>
      </c>
      <c r="N74" s="575">
        <f t="shared" si="46"/>
        <v>0</v>
      </c>
      <c r="O74" s="575">
        <f t="shared" si="46"/>
        <v>0</v>
      </c>
      <c r="P74" s="575">
        <f t="shared" si="46"/>
        <v>0</v>
      </c>
      <c r="Q74" s="575">
        <f t="shared" si="46"/>
        <v>0</v>
      </c>
      <c r="R74" s="575">
        <f t="shared" si="46"/>
        <v>0</v>
      </c>
      <c r="S74" s="575">
        <f t="shared" si="46"/>
        <v>0</v>
      </c>
      <c r="T74" s="575">
        <f t="shared" si="46"/>
        <v>0</v>
      </c>
      <c r="U74" s="575">
        <f t="shared" si="46"/>
        <v>0</v>
      </c>
      <c r="V74" s="575">
        <f t="shared" si="47"/>
        <v>0</v>
      </c>
      <c r="W74" s="575">
        <f t="shared" si="47"/>
        <v>0</v>
      </c>
      <c r="X74" s="575">
        <f t="shared" si="47"/>
        <v>0</v>
      </c>
      <c r="Y74" s="575">
        <f t="shared" si="47"/>
        <v>0</v>
      </c>
      <c r="Z74" s="575">
        <f t="shared" si="47"/>
        <v>0</v>
      </c>
      <c r="AA74" s="575">
        <f t="shared" si="47"/>
        <v>0</v>
      </c>
      <c r="AB74" s="575">
        <f t="shared" si="47"/>
        <v>0</v>
      </c>
      <c r="AC74" s="575">
        <f t="shared" si="47"/>
        <v>0</v>
      </c>
      <c r="AD74" s="575">
        <f t="shared" si="47"/>
        <v>0</v>
      </c>
      <c r="AE74" s="575">
        <f t="shared" si="47"/>
        <v>0</v>
      </c>
      <c r="AF74" s="575">
        <f t="shared" si="48"/>
        <v>0</v>
      </c>
      <c r="AG74" s="575">
        <f t="shared" si="48"/>
        <v>0</v>
      </c>
      <c r="AH74" s="575">
        <f t="shared" si="48"/>
        <v>0</v>
      </c>
      <c r="AI74" s="575">
        <f t="shared" si="48"/>
        <v>0</v>
      </c>
      <c r="AJ74" s="575">
        <f t="shared" si="48"/>
        <v>0</v>
      </c>
      <c r="AK74" s="575">
        <f t="shared" si="48"/>
        <v>0</v>
      </c>
      <c r="AL74" s="575">
        <f t="shared" si="48"/>
        <v>0</v>
      </c>
      <c r="AM74" s="575">
        <f t="shared" si="48"/>
        <v>0</v>
      </c>
      <c r="AN74" s="575">
        <f t="shared" si="48"/>
        <v>0</v>
      </c>
      <c r="AO74" s="575">
        <f t="shared" si="48"/>
        <v>0</v>
      </c>
      <c r="AP74" s="575">
        <f t="shared" si="49"/>
        <v>0</v>
      </c>
      <c r="AQ74" s="575">
        <f t="shared" si="49"/>
        <v>0</v>
      </c>
      <c r="AR74" s="575">
        <f t="shared" si="49"/>
        <v>0</v>
      </c>
      <c r="AS74" s="575">
        <f t="shared" si="49"/>
        <v>0</v>
      </c>
      <c r="AT74" s="575">
        <f t="shared" si="49"/>
        <v>0</v>
      </c>
      <c r="AU74" s="575">
        <f t="shared" si="49"/>
        <v>0</v>
      </c>
      <c r="AX74" s="253"/>
      <c r="AY74" s="264"/>
    </row>
    <row r="75" spans="1:51" x14ac:dyDescent="0.35">
      <c r="A75" s="560"/>
      <c r="G75" s="557" t="s">
        <v>1317</v>
      </c>
      <c r="I75" s="558"/>
      <c r="K75" s="563"/>
      <c r="L75" s="573">
        <f>SUM(L71:L74)</f>
        <v>0</v>
      </c>
      <c r="M75" s="573">
        <f t="shared" ref="M75:AU75" si="50">SUM(M71:M74)</f>
        <v>0</v>
      </c>
      <c r="N75" s="573">
        <f t="shared" si="50"/>
        <v>0</v>
      </c>
      <c r="O75" s="573">
        <f t="shared" si="50"/>
        <v>0</v>
      </c>
      <c r="P75" s="573">
        <f t="shared" si="50"/>
        <v>0</v>
      </c>
      <c r="Q75" s="573">
        <f t="shared" si="50"/>
        <v>0</v>
      </c>
      <c r="R75" s="573">
        <f t="shared" si="50"/>
        <v>0</v>
      </c>
      <c r="S75" s="573">
        <f t="shared" si="50"/>
        <v>0</v>
      </c>
      <c r="T75" s="573">
        <f t="shared" si="50"/>
        <v>0</v>
      </c>
      <c r="U75" s="573">
        <f t="shared" si="50"/>
        <v>0</v>
      </c>
      <c r="V75" s="573">
        <f t="shared" si="50"/>
        <v>0</v>
      </c>
      <c r="W75" s="573">
        <f t="shared" si="50"/>
        <v>0</v>
      </c>
      <c r="X75" s="573">
        <f t="shared" si="50"/>
        <v>0</v>
      </c>
      <c r="Y75" s="573">
        <f t="shared" si="50"/>
        <v>0</v>
      </c>
      <c r="Z75" s="573">
        <f t="shared" si="50"/>
        <v>0</v>
      </c>
      <c r="AA75" s="573">
        <f t="shared" si="50"/>
        <v>0</v>
      </c>
      <c r="AB75" s="573">
        <f t="shared" si="50"/>
        <v>0</v>
      </c>
      <c r="AC75" s="573">
        <f t="shared" si="50"/>
        <v>0</v>
      </c>
      <c r="AD75" s="573">
        <f t="shared" si="50"/>
        <v>0</v>
      </c>
      <c r="AE75" s="573">
        <f t="shared" si="50"/>
        <v>0</v>
      </c>
      <c r="AF75" s="573">
        <f t="shared" si="50"/>
        <v>0</v>
      </c>
      <c r="AG75" s="573">
        <f t="shared" si="50"/>
        <v>0</v>
      </c>
      <c r="AH75" s="573">
        <f t="shared" si="50"/>
        <v>0</v>
      </c>
      <c r="AI75" s="573">
        <f t="shared" si="50"/>
        <v>0</v>
      </c>
      <c r="AJ75" s="573">
        <f t="shared" si="50"/>
        <v>0</v>
      </c>
      <c r="AK75" s="573">
        <f t="shared" si="50"/>
        <v>0</v>
      </c>
      <c r="AL75" s="573">
        <f t="shared" si="50"/>
        <v>0</v>
      </c>
      <c r="AM75" s="573">
        <f t="shared" si="50"/>
        <v>0</v>
      </c>
      <c r="AN75" s="573">
        <f t="shared" si="50"/>
        <v>0</v>
      </c>
      <c r="AO75" s="573">
        <f t="shared" si="50"/>
        <v>0</v>
      </c>
      <c r="AP75" s="573">
        <f t="shared" si="50"/>
        <v>0</v>
      </c>
      <c r="AQ75" s="573">
        <f t="shared" si="50"/>
        <v>0</v>
      </c>
      <c r="AR75" s="573">
        <f t="shared" si="50"/>
        <v>0</v>
      </c>
      <c r="AS75" s="573">
        <f t="shared" si="50"/>
        <v>0</v>
      </c>
      <c r="AT75" s="573">
        <f t="shared" si="50"/>
        <v>0</v>
      </c>
      <c r="AU75" s="573">
        <f t="shared" si="50"/>
        <v>0</v>
      </c>
      <c r="AX75" s="253"/>
      <c r="AY75" s="264"/>
    </row>
    <row r="76" spans="1:51" x14ac:dyDescent="0.35">
      <c r="A76" s="560"/>
      <c r="G76" s="562"/>
      <c r="I76" s="558"/>
      <c r="J76" s="563"/>
      <c r="K76" s="563"/>
      <c r="L76" s="571"/>
      <c r="M76" s="571"/>
      <c r="N76" s="571"/>
      <c r="O76" s="571"/>
      <c r="P76" s="571"/>
      <c r="Q76" s="571"/>
      <c r="R76" s="571"/>
      <c r="S76" s="571"/>
      <c r="T76" s="571"/>
      <c r="U76" s="571"/>
      <c r="V76" s="571"/>
      <c r="W76" s="571"/>
      <c r="X76" s="571"/>
      <c r="Y76" s="571"/>
      <c r="Z76" s="571"/>
      <c r="AA76" s="571"/>
      <c r="AB76" s="571"/>
      <c r="AC76" s="571"/>
      <c r="AD76" s="571"/>
      <c r="AE76" s="571"/>
      <c r="AF76" s="571"/>
      <c r="AG76" s="571"/>
      <c r="AH76" s="571"/>
      <c r="AI76" s="571"/>
      <c r="AJ76" s="571"/>
      <c r="AK76" s="571"/>
      <c r="AL76" s="571"/>
      <c r="AM76" s="571"/>
      <c r="AN76" s="571"/>
      <c r="AO76" s="571"/>
      <c r="AP76" s="571"/>
      <c r="AQ76" s="571"/>
      <c r="AR76" s="571"/>
      <c r="AS76" s="571"/>
      <c r="AT76" s="571"/>
      <c r="AU76" s="571"/>
      <c r="AX76" s="253"/>
      <c r="AY76" s="264"/>
    </row>
    <row r="77" spans="1:51" x14ac:dyDescent="0.35">
      <c r="A77" s="560"/>
      <c r="G77" s="562"/>
      <c r="I77" s="558"/>
      <c r="J77" s="563"/>
      <c r="K77" s="563"/>
      <c r="L77" s="571"/>
      <c r="M77" s="571"/>
      <c r="N77" s="571"/>
      <c r="O77" s="571"/>
      <c r="P77" s="571"/>
      <c r="Q77" s="571"/>
      <c r="R77" s="571"/>
      <c r="S77" s="571"/>
      <c r="T77" s="571"/>
      <c r="U77" s="571"/>
      <c r="V77" s="571"/>
      <c r="W77" s="571"/>
      <c r="X77" s="571"/>
      <c r="Y77" s="571"/>
      <c r="Z77" s="571"/>
      <c r="AA77" s="571"/>
      <c r="AB77" s="571"/>
      <c r="AC77" s="571"/>
      <c r="AD77" s="571"/>
      <c r="AE77" s="571"/>
      <c r="AF77" s="571"/>
      <c r="AG77" s="571"/>
      <c r="AH77" s="571"/>
      <c r="AI77" s="571"/>
      <c r="AJ77" s="571"/>
      <c r="AK77" s="571"/>
      <c r="AL77" s="571"/>
      <c r="AM77" s="571"/>
      <c r="AN77" s="571"/>
      <c r="AO77" s="571"/>
      <c r="AP77" s="571"/>
      <c r="AQ77" s="571"/>
      <c r="AR77" s="571"/>
      <c r="AS77" s="571"/>
      <c r="AT77" s="571"/>
      <c r="AU77" s="571"/>
      <c r="AX77" s="253"/>
      <c r="AY77" s="264"/>
    </row>
    <row r="78" spans="1:51" x14ac:dyDescent="0.35">
      <c r="A78" s="560"/>
      <c r="H78" s="557" t="s">
        <v>2606</v>
      </c>
      <c r="I78" s="558"/>
      <c r="J78" s="558"/>
      <c r="K78" s="558"/>
      <c r="L78" s="639"/>
      <c r="M78" s="639"/>
      <c r="N78" s="639"/>
      <c r="O78" s="639"/>
      <c r="P78" s="639"/>
      <c r="Q78" s="639"/>
      <c r="R78" s="639"/>
      <c r="S78" s="639"/>
      <c r="T78" s="639"/>
      <c r="U78" s="639"/>
      <c r="V78" s="639"/>
      <c r="W78" s="639"/>
      <c r="X78" s="639"/>
      <c r="Y78" s="639"/>
      <c r="Z78" s="639"/>
      <c r="AA78" s="639"/>
      <c r="AB78" s="639"/>
      <c r="AC78" s="639"/>
      <c r="AD78" s="639"/>
      <c r="AE78" s="639"/>
      <c r="AF78" s="639"/>
      <c r="AG78" s="639"/>
      <c r="AH78" s="639"/>
      <c r="AI78" s="639"/>
      <c r="AJ78" s="639"/>
      <c r="AK78" s="639"/>
      <c r="AL78" s="639"/>
      <c r="AM78" s="639"/>
      <c r="AN78" s="639"/>
      <c r="AO78" s="639"/>
      <c r="AP78" s="639"/>
      <c r="AQ78" s="639"/>
      <c r="AR78" s="639"/>
      <c r="AS78" s="639"/>
      <c r="AT78" s="639"/>
      <c r="AU78" s="639"/>
      <c r="AX78" s="253"/>
      <c r="AY78" s="255" t="str">
        <f>"SELECT ''Commission'',NULL,NULL,NULL,NULL,NULL,NULL,NULL,NULL,NULL,NULL,NULL,NULL,NULL,NULL,NULL,NULL,"&amp;IF($L78="",0,$L78)&amp;","&amp;IF($M78="",0,$M78)&amp;","&amp;IF($N78="",0,$N78)&amp;","&amp;IF($O78="",0,$O78)&amp;","&amp;IF($P78="",0,$P78)&amp;","&amp;IF($Q78="",0,$Q78)&amp;","&amp;IF($R78="",0,$R78)&amp;","&amp;IF($S78="",0,$S78)&amp;","&amp;IF($T78="",0,$T78)&amp;","&amp;IF($U78="",0,$U78)&amp;","&amp;IF($V78="",0,$V78)&amp;","&amp;IF($W78="",0,$W78)&amp;","&amp;IF($X78="",0,$X78)&amp;","&amp;IF($Y78="",0,$Y78)&amp;","&amp;IF($Z78="",0,$Z78)&amp;","&amp;IF($AA78="",0,$AA78)&amp;","&amp;IF($AB78="",0,$AB78)&amp;","&amp;IF($AC78="",0,$AC78)&amp;","&amp;IF($AD78="",0,$AD78)&amp;","&amp;IF($AE78="",0,$AE78)&amp;","&amp;IF($AF78="",0,$AF78)&amp;","&amp;IF($AG78="",0,$AG78)&amp;","&amp;IF($AH78="",0,$AH78)&amp;","&amp;IF($AI78="",0,$AI78)&amp;","&amp;IF($AJ78="",0,$AJ78)&amp;","&amp;IF($AK78="",0,$AK78)&amp;","&amp;IF($AL78="",0,$AL78)&amp;","&amp;IF($AM78="",0,$AM78)&amp;","&amp;IF($AN78="",0,$AN78)&amp;","&amp;IF($AO78="",0,$AO78)&amp;","&amp;IF($AP78="",0,$AP78)&amp;","&amp;IF($AQ78="",0,$AQ78)&amp;","&amp;IF($AR78="",0,$AR78)&amp;","&amp;IF($AS78="",0,$AS78)&amp;","&amp;IF($AT78="",0,$AT78)&amp;","&amp;IF($AU78="",0,$AU78)</f>
        <v>SELECT ''Commission'',NULL,NULL,NULL,NULL,NULL,NULL,NULL,NULL,NULL,NULL,NULL,NULL,NULL,NULL,NULL,NULL,0,0,0,0,0,0,0,0,0,0,0,0,0,0,0,0,0,0,0,0,0,0,0,0,0,0,0,0,0,0,0,0,0,0,0,0</v>
      </c>
    </row>
    <row r="79" spans="1:51" x14ac:dyDescent="0.35">
      <c r="A79" s="560"/>
      <c r="H79" s="558"/>
      <c r="I79" s="558"/>
      <c r="J79" s="558"/>
      <c r="K79" s="558"/>
      <c r="L79" s="571"/>
      <c r="M79" s="571"/>
      <c r="N79" s="571"/>
      <c r="O79" s="571"/>
      <c r="P79" s="571"/>
      <c r="Q79" s="571"/>
      <c r="R79" s="571"/>
      <c r="S79" s="571"/>
      <c r="T79" s="571"/>
      <c r="U79" s="571"/>
      <c r="V79" s="571"/>
      <c r="W79" s="571"/>
      <c r="X79" s="571"/>
      <c r="Y79" s="571"/>
      <c r="Z79" s="571"/>
      <c r="AA79" s="571"/>
      <c r="AB79" s="571"/>
      <c r="AC79" s="571"/>
      <c r="AD79" s="571"/>
      <c r="AE79" s="571"/>
      <c r="AF79" s="571"/>
      <c r="AG79" s="571"/>
      <c r="AH79" s="571"/>
      <c r="AI79" s="571"/>
      <c r="AJ79" s="571"/>
      <c r="AK79" s="571"/>
      <c r="AL79" s="571"/>
      <c r="AM79" s="571"/>
      <c r="AN79" s="571"/>
      <c r="AO79" s="571"/>
      <c r="AP79" s="571"/>
      <c r="AQ79" s="571"/>
      <c r="AR79" s="571"/>
      <c r="AS79" s="571"/>
      <c r="AT79" s="571"/>
      <c r="AU79" s="571"/>
      <c r="AX79" s="253"/>
      <c r="AY79" s="264"/>
    </row>
    <row r="80" spans="1:51" ht="23.5" x14ac:dyDescent="0.55000000000000004">
      <c r="B80" s="252" t="s">
        <v>1134</v>
      </c>
      <c r="C80" s="561"/>
      <c r="D80" s="561"/>
      <c r="E80" s="561"/>
      <c r="F80" s="561"/>
      <c r="G80" s="561"/>
      <c r="H80" s="561"/>
      <c r="I80" s="561"/>
      <c r="J80" s="561"/>
      <c r="K80" s="561"/>
      <c r="L80" s="564"/>
      <c r="M80" s="564"/>
      <c r="N80" s="564"/>
      <c r="O80" s="564"/>
      <c r="P80" s="564"/>
      <c r="Q80" s="564"/>
      <c r="R80" s="564"/>
      <c r="S80" s="564"/>
      <c r="T80" s="564"/>
      <c r="U80" s="564"/>
      <c r="V80" s="564"/>
      <c r="W80" s="564"/>
      <c r="X80" s="564"/>
      <c r="Y80" s="564"/>
      <c r="Z80" s="564"/>
      <c r="AA80" s="564"/>
      <c r="AB80" s="564"/>
      <c r="AC80" s="564"/>
      <c r="AD80" s="564"/>
      <c r="AE80" s="564"/>
      <c r="AF80" s="564"/>
      <c r="AG80" s="564"/>
      <c r="AH80" s="564"/>
      <c r="AI80" s="564"/>
      <c r="AJ80" s="564"/>
      <c r="AK80" s="564"/>
      <c r="AL80" s="564"/>
      <c r="AM80" s="564"/>
      <c r="AN80" s="564"/>
      <c r="AO80" s="564"/>
      <c r="AP80" s="564"/>
      <c r="AQ80" s="564"/>
      <c r="AR80" s="564"/>
      <c r="AS80" s="564"/>
      <c r="AT80" s="564"/>
      <c r="AU80" s="564"/>
    </row>
    <row r="81" spans="2:49" x14ac:dyDescent="0.35">
      <c r="B81" s="554"/>
      <c r="C81" s="554"/>
      <c r="D81" s="554"/>
      <c r="E81" s="554"/>
      <c r="F81" s="554"/>
      <c r="G81" s="554"/>
      <c r="H81" s="554"/>
      <c r="I81" s="554"/>
      <c r="J81" s="554"/>
      <c r="K81" s="617" t="str">
        <f>IF($H81="","",INDEX(Teams[team_consolidation],MATCH(IF($E81="",$E$5,$E81),Teams[team_name],0)))</f>
        <v/>
      </c>
      <c r="L81" s="554"/>
      <c r="M81" s="554"/>
      <c r="N81" s="554"/>
      <c r="O81" s="554"/>
      <c r="P81" s="554"/>
      <c r="Q81" s="554"/>
      <c r="R81" s="554"/>
      <c r="S81" s="554"/>
      <c r="T81" s="554"/>
      <c r="U81" s="554"/>
      <c r="V81" s="554"/>
      <c r="W81" s="554"/>
      <c r="X81" s="554"/>
      <c r="Y81" s="554"/>
      <c r="Z81" s="554"/>
      <c r="AA81" s="554"/>
      <c r="AB81" s="554"/>
      <c r="AC81" s="554"/>
      <c r="AD81" s="554"/>
      <c r="AE81" s="554"/>
      <c r="AF81" s="554"/>
      <c r="AG81" s="554"/>
      <c r="AH81" s="554"/>
      <c r="AI81" s="554"/>
      <c r="AJ81" s="554"/>
      <c r="AK81" s="554"/>
      <c r="AL81" s="554"/>
      <c r="AM81" s="554"/>
      <c r="AN81" s="554"/>
      <c r="AO81" s="554"/>
      <c r="AP81" s="554"/>
      <c r="AQ81" s="554"/>
      <c r="AR81" s="554"/>
      <c r="AS81" s="554"/>
      <c r="AT81" s="554"/>
      <c r="AU81" s="554"/>
      <c r="AW81" t="b">
        <f t="array" ref="AW81">IF($H81="",TRUE,AND(OR($B81&lt;&gt;"",$B$5&lt;&gt;""),OR($C81&lt;&gt;"",$C$5&lt;&gt;""),OR($D81&lt;&gt;"",$D$5&lt;&gt;""),OR($E81&lt;&gt;"",$E$5&lt;&gt;""),OR($F81&lt;&gt;"",$F$5&lt;&gt;""),OR($G81&lt;&gt;"",$G$5&lt;&gt;""),NOT(ISERROR($L81:$AU81)),NOT(ISNA(MATCH(IF($D81="",$D$5,$D81)&amp;IF($C81="",$C$5,$C81),DeptBU,0)))))</f>
        <v>1</v>
      </c>
    </row>
    <row r="82" spans="2:49" x14ac:dyDescent="0.35">
      <c r="B82" s="554"/>
      <c r="C82" s="554"/>
      <c r="D82" s="554"/>
      <c r="E82" s="554"/>
      <c r="F82" s="554"/>
      <c r="G82" s="554"/>
      <c r="H82" s="554"/>
      <c r="I82" s="554"/>
      <c r="J82" s="554"/>
      <c r="K82" s="617" t="str">
        <f>IF($H82="","",INDEX(Teams[team_consolidation],MATCH(IF($E82="",$E$5,$E82),Teams[team_name],0)))</f>
        <v/>
      </c>
      <c r="L82" s="554"/>
      <c r="M82" s="554"/>
      <c r="N82" s="554"/>
      <c r="O82" s="554"/>
      <c r="P82" s="554"/>
      <c r="Q82" s="554"/>
      <c r="R82" s="554"/>
      <c r="S82" s="554"/>
      <c r="T82" s="554"/>
      <c r="U82" s="554"/>
      <c r="V82" s="554"/>
      <c r="W82" s="554"/>
      <c r="X82" s="554"/>
      <c r="Y82" s="554"/>
      <c r="Z82" s="554"/>
      <c r="AA82" s="554"/>
      <c r="AB82" s="554"/>
      <c r="AC82" s="554"/>
      <c r="AD82" s="554"/>
      <c r="AE82" s="554"/>
      <c r="AF82" s="554"/>
      <c r="AG82" s="554"/>
      <c r="AH82" s="554"/>
      <c r="AI82" s="554"/>
      <c r="AJ82" s="554"/>
      <c r="AK82" s="554"/>
      <c r="AL82" s="554"/>
      <c r="AM82" s="554"/>
      <c r="AN82" s="554"/>
      <c r="AO82" s="554"/>
      <c r="AP82" s="554"/>
      <c r="AQ82" s="554"/>
      <c r="AR82" s="554"/>
      <c r="AS82" s="554"/>
      <c r="AT82" s="554"/>
      <c r="AU82" s="554"/>
      <c r="AW82" t="b">
        <f t="array" ref="AW82">IF($H82="",TRUE,AND(OR($B82&lt;&gt;"",$B$5&lt;&gt;""),OR($C82&lt;&gt;"",$C$5&lt;&gt;""),OR($D82&lt;&gt;"",$D$5&lt;&gt;""),OR($E82&lt;&gt;"",$E$5&lt;&gt;""),OR($F82&lt;&gt;"",$F$5&lt;&gt;""),OR($G82&lt;&gt;"",$G$5&lt;&gt;""),NOT(ISERROR($L82:$AU82)),NOT(ISNA(MATCH(IF($D82="",$D$5,$D82)&amp;IF($C82="",$C$5,$C82),DeptBU,0)))))</f>
        <v>1</v>
      </c>
    </row>
    <row r="83" spans="2:49" x14ac:dyDescent="0.35">
      <c r="B83" s="554"/>
      <c r="C83" s="554"/>
      <c r="D83" s="586"/>
      <c r="E83" s="554"/>
      <c r="F83" s="554"/>
      <c r="G83" s="554"/>
      <c r="H83" s="554"/>
      <c r="I83" s="554"/>
      <c r="J83" s="554"/>
      <c r="K83" s="617" t="str">
        <f>IF($H83="","",INDEX(Teams[team_consolidation],MATCH(IF($E83="",$E$5,$E83),Teams[team_name],0)))</f>
        <v/>
      </c>
      <c r="L83" s="554"/>
      <c r="M83" s="554"/>
      <c r="N83" s="554"/>
      <c r="O83" s="554"/>
      <c r="P83" s="554"/>
      <c r="Q83" s="554"/>
      <c r="R83" s="554"/>
      <c r="S83" s="554"/>
      <c r="T83" s="554"/>
      <c r="U83" s="554"/>
      <c r="V83" s="554"/>
      <c r="W83" s="554"/>
      <c r="X83" s="554"/>
      <c r="Y83" s="554"/>
      <c r="Z83" s="554"/>
      <c r="AA83" s="554"/>
      <c r="AB83" s="554"/>
      <c r="AC83" s="554"/>
      <c r="AD83" s="554"/>
      <c r="AE83" s="554"/>
      <c r="AF83" s="554"/>
      <c r="AG83" s="554"/>
      <c r="AH83" s="554"/>
      <c r="AI83" s="554"/>
      <c r="AJ83" s="554"/>
      <c r="AK83" s="554"/>
      <c r="AL83" s="554"/>
      <c r="AM83" s="554"/>
      <c r="AN83" s="554"/>
      <c r="AO83" s="554"/>
      <c r="AP83" s="554"/>
      <c r="AQ83" s="554"/>
      <c r="AR83" s="554"/>
      <c r="AS83" s="554"/>
      <c r="AT83" s="554"/>
      <c r="AU83" s="554"/>
      <c r="AW83" t="b">
        <f t="array" ref="AW83">IF($H83="",TRUE,AND(OR($B83&lt;&gt;"",$B$5&lt;&gt;""),OR($C83&lt;&gt;"",$C$5&lt;&gt;""),OR($D83&lt;&gt;"",$D$5&lt;&gt;""),OR($E83&lt;&gt;"",$E$5&lt;&gt;""),OR($F83&lt;&gt;"",$F$5&lt;&gt;""),OR($G83&lt;&gt;"",$G$5&lt;&gt;""),NOT(ISERROR($L83:$AU83)),NOT(ISNA(MATCH(IF($D83="",$D$5,$D83)&amp;IF($C83="",$C$5,$C83),DeptBU,0)))))</f>
        <v>1</v>
      </c>
    </row>
    <row r="84" spans="2:49" x14ac:dyDescent="0.35">
      <c r="B84" s="554"/>
      <c r="C84" s="554"/>
      <c r="D84" s="586"/>
      <c r="E84" s="554"/>
      <c r="F84" s="554"/>
      <c r="G84" s="554"/>
      <c r="H84" s="554"/>
      <c r="I84" s="554"/>
      <c r="J84" s="554"/>
      <c r="K84" s="617" t="str">
        <f>IF($H84="","",INDEX(Teams[team_consolidation],MATCH(IF($E84="",$E$5,$E84),Teams[team_name],0)))</f>
        <v/>
      </c>
      <c r="L84" s="554"/>
      <c r="M84" s="554"/>
      <c r="N84" s="554"/>
      <c r="O84" s="554"/>
      <c r="P84" s="554"/>
      <c r="Q84" s="554"/>
      <c r="R84" s="554"/>
      <c r="S84" s="554"/>
      <c r="T84" s="554"/>
      <c r="U84" s="554"/>
      <c r="V84" s="554"/>
      <c r="W84" s="554"/>
      <c r="X84" s="554"/>
      <c r="Y84" s="554"/>
      <c r="Z84" s="554"/>
      <c r="AA84" s="554"/>
      <c r="AB84" s="554"/>
      <c r="AC84" s="554"/>
      <c r="AD84" s="554"/>
      <c r="AE84" s="554"/>
      <c r="AF84" s="554"/>
      <c r="AG84" s="554"/>
      <c r="AH84" s="554"/>
      <c r="AI84" s="554"/>
      <c r="AJ84" s="554"/>
      <c r="AK84" s="554"/>
      <c r="AL84" s="554"/>
      <c r="AM84" s="554"/>
      <c r="AN84" s="554"/>
      <c r="AO84" s="554"/>
      <c r="AP84" s="554"/>
      <c r="AQ84" s="554"/>
      <c r="AR84" s="554"/>
      <c r="AS84" s="554"/>
      <c r="AT84" s="554"/>
      <c r="AU84" s="554"/>
      <c r="AW84" t="b">
        <f t="array" ref="AW84">IF($H84="",TRUE,AND(OR($B84&lt;&gt;"",$B$5&lt;&gt;""),OR($C84&lt;&gt;"",$C$5&lt;&gt;""),OR($D84&lt;&gt;"",$D$5&lt;&gt;""),OR($E84&lt;&gt;"",$E$5&lt;&gt;""),OR($F84&lt;&gt;"",$F$5&lt;&gt;""),OR($G84&lt;&gt;"",$G$5&lt;&gt;""),NOT(ISERROR($L84:$AU84)),NOT(ISNA(MATCH(IF($D84="",$D$5,$D84)&amp;IF($C84="",$C$5,$C84),DeptBU,0)))))</f>
        <v>1</v>
      </c>
    </row>
    <row r="85" spans="2:49" x14ac:dyDescent="0.35">
      <c r="B85" s="554"/>
      <c r="C85" s="554"/>
      <c r="D85" s="554"/>
      <c r="E85" s="554"/>
      <c r="F85" s="554"/>
      <c r="G85" s="554"/>
      <c r="H85" s="554"/>
      <c r="I85" s="554"/>
      <c r="J85" s="554"/>
      <c r="K85" s="617" t="str">
        <f>IF($H85="","",INDEX(Teams[team_consolidation],MATCH(IF($E85="",$E$5,$E85),Teams[team_name],0)))</f>
        <v/>
      </c>
      <c r="L85" s="554"/>
      <c r="M85" s="554"/>
      <c r="N85" s="554"/>
      <c r="O85" s="554"/>
      <c r="P85" s="554"/>
      <c r="Q85" s="554"/>
      <c r="R85" s="554"/>
      <c r="S85" s="554"/>
      <c r="T85" s="554"/>
      <c r="U85" s="554"/>
      <c r="V85" s="554"/>
      <c r="W85" s="554"/>
      <c r="X85" s="554"/>
      <c r="Y85" s="554"/>
      <c r="Z85" s="554"/>
      <c r="AA85" s="554"/>
      <c r="AB85" s="554"/>
      <c r="AC85" s="554"/>
      <c r="AD85" s="554"/>
      <c r="AE85" s="554"/>
      <c r="AF85" s="554"/>
      <c r="AG85" s="554"/>
      <c r="AH85" s="554"/>
      <c r="AI85" s="554"/>
      <c r="AJ85" s="554"/>
      <c r="AK85" s="554"/>
      <c r="AL85" s="554"/>
      <c r="AM85" s="554"/>
      <c r="AN85" s="554"/>
      <c r="AO85" s="554"/>
      <c r="AP85" s="554"/>
      <c r="AQ85" s="554"/>
      <c r="AR85" s="554"/>
      <c r="AS85" s="554"/>
      <c r="AT85" s="554"/>
      <c r="AU85" s="554"/>
      <c r="AW85" t="b">
        <f t="array" ref="AW85">IF($H85="",TRUE,AND(OR($B85&lt;&gt;"",$B$5&lt;&gt;""),OR($C85&lt;&gt;"",$C$5&lt;&gt;""),OR($D85&lt;&gt;"",$D$5&lt;&gt;""),OR($E85&lt;&gt;"",$E$5&lt;&gt;""),OR($F85&lt;&gt;"",$F$5&lt;&gt;""),OR($G85&lt;&gt;"",$G$5&lt;&gt;""),NOT(ISERROR($L85:$AU85)),NOT(ISNA(MATCH(IF($D85="",$D$5,$D85)&amp;IF($C85="",$C$5,$C85),DeptBU,0)))))</f>
        <v>1</v>
      </c>
    </row>
    <row r="86" spans="2:49" x14ac:dyDescent="0.35">
      <c r="B86" s="554"/>
      <c r="C86" s="554"/>
      <c r="D86" s="554"/>
      <c r="E86" s="554"/>
      <c r="F86" s="554"/>
      <c r="G86" s="554"/>
      <c r="H86" s="554"/>
      <c r="I86" s="554"/>
      <c r="J86" s="554"/>
      <c r="K86" s="617" t="str">
        <f>IF($H86="","",INDEX(Teams[team_consolidation],MATCH(IF($E86="",$E$5,$E86),Teams[team_name],0)))</f>
        <v/>
      </c>
      <c r="L86" s="554"/>
      <c r="M86" s="554"/>
      <c r="N86" s="554"/>
      <c r="O86" s="554"/>
      <c r="P86" s="554"/>
      <c r="Q86" s="554"/>
      <c r="R86" s="554"/>
      <c r="S86" s="554"/>
      <c r="T86" s="554"/>
      <c r="U86" s="554"/>
      <c r="V86" s="554"/>
      <c r="W86" s="554"/>
      <c r="X86" s="554"/>
      <c r="Y86" s="554"/>
      <c r="Z86" s="554"/>
      <c r="AA86" s="554"/>
      <c r="AB86" s="554"/>
      <c r="AC86" s="554"/>
      <c r="AD86" s="554"/>
      <c r="AE86" s="554"/>
      <c r="AF86" s="554"/>
      <c r="AG86" s="554"/>
      <c r="AH86" s="554"/>
      <c r="AI86" s="554"/>
      <c r="AJ86" s="554"/>
      <c r="AK86" s="554"/>
      <c r="AL86" s="554"/>
      <c r="AM86" s="554"/>
      <c r="AN86" s="554"/>
      <c r="AO86" s="554"/>
      <c r="AP86" s="554"/>
      <c r="AQ86" s="554"/>
      <c r="AR86" s="554"/>
      <c r="AS86" s="554"/>
      <c r="AT86" s="554"/>
      <c r="AU86" s="554"/>
      <c r="AW86" t="b">
        <f t="array" ref="AW86">IF($H86="",TRUE,AND(OR($B86&lt;&gt;"",$B$5&lt;&gt;""),OR($C86&lt;&gt;"",$C$5&lt;&gt;""),OR($D86&lt;&gt;"",$D$5&lt;&gt;""),OR($E86&lt;&gt;"",$E$5&lt;&gt;""),OR($F86&lt;&gt;"",$F$5&lt;&gt;""),OR($G86&lt;&gt;"",$G$5&lt;&gt;""),NOT(ISERROR($L86:$AU86)),NOT(ISNA(MATCH(IF($D86="",$D$5,$D86)&amp;IF($C86="",$C$5,$C86),DeptBU,0)))))</f>
        <v>1</v>
      </c>
    </row>
    <row r="87" spans="2:49" x14ac:dyDescent="0.35">
      <c r="B87" s="554"/>
      <c r="C87" s="554"/>
      <c r="D87" s="554"/>
      <c r="E87" s="554"/>
      <c r="F87" s="554"/>
      <c r="G87" s="554"/>
      <c r="H87" s="554"/>
      <c r="I87" s="554"/>
      <c r="J87" s="554"/>
      <c r="K87" s="617" t="str">
        <f>IF($H87="","",INDEX(Teams[team_consolidation],MATCH(IF($E87="",$E$5,$E87),Teams[team_name],0)))</f>
        <v/>
      </c>
      <c r="L87" s="554"/>
      <c r="M87" s="554"/>
      <c r="N87" s="554"/>
      <c r="O87" s="554"/>
      <c r="P87" s="554"/>
      <c r="Q87" s="554"/>
      <c r="R87" s="554"/>
      <c r="S87" s="554"/>
      <c r="T87" s="554"/>
      <c r="U87" s="554"/>
      <c r="V87" s="554"/>
      <c r="W87" s="554"/>
      <c r="X87" s="554"/>
      <c r="Y87" s="554"/>
      <c r="Z87" s="554"/>
      <c r="AA87" s="554"/>
      <c r="AB87" s="554"/>
      <c r="AC87" s="554"/>
      <c r="AD87" s="554"/>
      <c r="AE87" s="554"/>
      <c r="AF87" s="554"/>
      <c r="AG87" s="554"/>
      <c r="AH87" s="554"/>
      <c r="AI87" s="554"/>
      <c r="AJ87" s="554"/>
      <c r="AK87" s="554"/>
      <c r="AL87" s="554"/>
      <c r="AM87" s="554"/>
      <c r="AN87" s="554"/>
      <c r="AO87" s="554"/>
      <c r="AP87" s="554"/>
      <c r="AQ87" s="554"/>
      <c r="AR87" s="554"/>
      <c r="AS87" s="554"/>
      <c r="AT87" s="554"/>
      <c r="AU87" s="554"/>
      <c r="AW87" t="b">
        <f t="array" ref="AW87">IF($H87="",TRUE,AND(OR($B87&lt;&gt;"",$B$5&lt;&gt;""),OR($C87&lt;&gt;"",$C$5&lt;&gt;""),OR($D87&lt;&gt;"",$D$5&lt;&gt;""),OR($E87&lt;&gt;"",$E$5&lt;&gt;""),OR($F87&lt;&gt;"",$F$5&lt;&gt;""),OR($G87&lt;&gt;"",$G$5&lt;&gt;""),NOT(ISERROR($L87:$AU87)),NOT(ISNA(MATCH(IF($D87="",$D$5,$D87)&amp;IF($C87="",$C$5,$C87),DeptBU,0)))))</f>
        <v>1</v>
      </c>
    </row>
    <row r="88" spans="2:49" x14ac:dyDescent="0.35">
      <c r="B88" s="554"/>
      <c r="C88" s="554"/>
      <c r="D88" s="554"/>
      <c r="E88" s="554"/>
      <c r="F88" s="554"/>
      <c r="G88" s="554"/>
      <c r="H88" s="554"/>
      <c r="I88" s="554"/>
      <c r="J88" s="554"/>
      <c r="K88" s="617" t="str">
        <f>IF($H88="","",INDEX(Teams[team_consolidation],MATCH(IF($E88="",$E$5,$E88),Teams[team_name],0)))</f>
        <v/>
      </c>
      <c r="L88" s="554"/>
      <c r="M88" s="554"/>
      <c r="N88" s="554"/>
      <c r="O88" s="554"/>
      <c r="P88" s="554"/>
      <c r="Q88" s="554"/>
      <c r="R88" s="554"/>
      <c r="S88" s="554"/>
      <c r="T88" s="554"/>
      <c r="U88" s="554"/>
      <c r="V88" s="554"/>
      <c r="W88" s="554"/>
      <c r="X88" s="554"/>
      <c r="Y88" s="554"/>
      <c r="Z88" s="554"/>
      <c r="AA88" s="554"/>
      <c r="AB88" s="554"/>
      <c r="AC88" s="554"/>
      <c r="AD88" s="554"/>
      <c r="AE88" s="554"/>
      <c r="AF88" s="554"/>
      <c r="AG88" s="554"/>
      <c r="AH88" s="554"/>
      <c r="AI88" s="554"/>
      <c r="AJ88" s="554"/>
      <c r="AK88" s="554"/>
      <c r="AL88" s="554"/>
      <c r="AM88" s="554"/>
      <c r="AN88" s="554"/>
      <c r="AO88" s="554"/>
      <c r="AP88" s="554"/>
      <c r="AQ88" s="554"/>
      <c r="AR88" s="554"/>
      <c r="AS88" s="554"/>
      <c r="AT88" s="554"/>
      <c r="AU88" s="554"/>
      <c r="AW88" t="b">
        <f t="array" ref="AW88">IF($H88="",TRUE,AND(OR($B88&lt;&gt;"",$B$5&lt;&gt;""),OR($C88&lt;&gt;"",$C$5&lt;&gt;""),OR($D88&lt;&gt;"",$D$5&lt;&gt;""),OR($E88&lt;&gt;"",$E$5&lt;&gt;""),OR($F88&lt;&gt;"",$F$5&lt;&gt;""),OR($G88&lt;&gt;"",$G$5&lt;&gt;""),NOT(ISERROR($L88:$AU88)),NOT(ISNA(MATCH(IF($D88="",$D$5,$D88)&amp;IF($C88="",$C$5,$C88),DeptBU,0)))))</f>
        <v>1</v>
      </c>
    </row>
    <row r="89" spans="2:49" x14ac:dyDescent="0.35">
      <c r="B89" s="554"/>
      <c r="C89" s="554"/>
      <c r="D89" s="554"/>
      <c r="E89" s="554"/>
      <c r="F89" s="554"/>
      <c r="G89" s="554"/>
      <c r="H89" s="554"/>
      <c r="I89" s="554"/>
      <c r="J89" s="554"/>
      <c r="K89" s="617" t="str">
        <f>IF($H89="","",INDEX(Teams[team_consolidation],MATCH(IF($E89="",$E$5,$E89),Teams[team_name],0)))</f>
        <v/>
      </c>
      <c r="L89" s="554"/>
      <c r="M89" s="554"/>
      <c r="N89" s="554"/>
      <c r="O89" s="554"/>
      <c r="P89" s="554"/>
      <c r="Q89" s="554"/>
      <c r="R89" s="554"/>
      <c r="S89" s="554"/>
      <c r="T89" s="554"/>
      <c r="U89" s="554"/>
      <c r="V89" s="554"/>
      <c r="W89" s="554"/>
      <c r="X89" s="554"/>
      <c r="Y89" s="554"/>
      <c r="Z89" s="554"/>
      <c r="AA89" s="554"/>
      <c r="AB89" s="554"/>
      <c r="AC89" s="554"/>
      <c r="AD89" s="554"/>
      <c r="AE89" s="554"/>
      <c r="AF89" s="554"/>
      <c r="AG89" s="554"/>
      <c r="AH89" s="554"/>
      <c r="AI89" s="554"/>
      <c r="AJ89" s="554"/>
      <c r="AK89" s="554"/>
      <c r="AL89" s="554"/>
      <c r="AM89" s="554"/>
      <c r="AN89" s="554"/>
      <c r="AO89" s="554"/>
      <c r="AP89" s="554"/>
      <c r="AQ89" s="554"/>
      <c r="AR89" s="554"/>
      <c r="AS89" s="554"/>
      <c r="AT89" s="554"/>
      <c r="AU89" s="554"/>
      <c r="AW89" t="b">
        <f t="array" ref="AW89">IF($H89="",TRUE,AND(OR($B89&lt;&gt;"",$B$5&lt;&gt;""),OR($C89&lt;&gt;"",$C$5&lt;&gt;""),OR($D89&lt;&gt;"",$D$5&lt;&gt;""),OR($E89&lt;&gt;"",$E$5&lt;&gt;""),OR($F89&lt;&gt;"",$F$5&lt;&gt;""),OR($G89&lt;&gt;"",$G$5&lt;&gt;""),NOT(ISERROR($L89:$AU89)),NOT(ISNA(MATCH(IF($D89="",$D$5,$D89)&amp;IF($C89="",$C$5,$C89),DeptBU,0)))))</f>
        <v>1</v>
      </c>
    </row>
    <row r="90" spans="2:49" x14ac:dyDescent="0.35">
      <c r="B90" s="554"/>
      <c r="C90" s="554"/>
      <c r="D90" s="554"/>
      <c r="E90" s="554"/>
      <c r="F90" s="554"/>
      <c r="G90" s="554"/>
      <c r="H90" s="554"/>
      <c r="I90" s="554"/>
      <c r="J90" s="554"/>
      <c r="K90" s="617" t="str">
        <f>IF($H90="","",INDEX(Teams[team_consolidation],MATCH(IF($E90="",$E$5,$E90),Teams[team_name],0)))</f>
        <v/>
      </c>
      <c r="L90" s="554"/>
      <c r="M90" s="554"/>
      <c r="N90" s="554"/>
      <c r="O90" s="554"/>
      <c r="P90" s="554"/>
      <c r="Q90" s="554"/>
      <c r="R90" s="554"/>
      <c r="S90" s="554"/>
      <c r="T90" s="554"/>
      <c r="U90" s="554"/>
      <c r="V90" s="554"/>
      <c r="W90" s="554"/>
      <c r="X90" s="554"/>
      <c r="Y90" s="554"/>
      <c r="Z90" s="554"/>
      <c r="AA90" s="554"/>
      <c r="AB90" s="554"/>
      <c r="AC90" s="554"/>
      <c r="AD90" s="554"/>
      <c r="AE90" s="554"/>
      <c r="AF90" s="554"/>
      <c r="AG90" s="554"/>
      <c r="AH90" s="554"/>
      <c r="AI90" s="554"/>
      <c r="AJ90" s="554"/>
      <c r="AK90" s="554"/>
      <c r="AL90" s="554"/>
      <c r="AM90" s="554"/>
      <c r="AN90" s="554"/>
      <c r="AO90" s="554"/>
      <c r="AP90" s="554"/>
      <c r="AQ90" s="554"/>
      <c r="AR90" s="554"/>
      <c r="AS90" s="554"/>
      <c r="AT90" s="554"/>
      <c r="AU90" s="554"/>
      <c r="AW90" t="b">
        <f t="array" ref="AW90">IF($H90="",TRUE,AND(OR($B90&lt;&gt;"",$B$5&lt;&gt;""),OR($C90&lt;&gt;"",$C$5&lt;&gt;""),OR($D90&lt;&gt;"",$D$5&lt;&gt;""),OR($E90&lt;&gt;"",$E$5&lt;&gt;""),OR($F90&lt;&gt;"",$F$5&lt;&gt;""),OR($G90&lt;&gt;"",$G$5&lt;&gt;""),NOT(ISERROR($L90:$AU90)),NOT(ISNA(MATCH(IF($D90="",$D$5,$D90)&amp;IF($C90="",$C$5,$C90),DeptBU,0)))))</f>
        <v>1</v>
      </c>
    </row>
    <row r="91" spans="2:49" x14ac:dyDescent="0.35">
      <c r="B91" s="554"/>
      <c r="C91" s="554"/>
      <c r="D91" s="554"/>
      <c r="E91" s="554"/>
      <c r="F91" s="554"/>
      <c r="G91" s="554"/>
      <c r="H91" s="554"/>
      <c r="I91" s="554"/>
      <c r="J91" s="554"/>
      <c r="K91" s="617" t="str">
        <f>IF($H91="","",INDEX(Teams[team_consolidation],MATCH(IF($E91="",$E$5,$E91),Teams[team_name],0)))</f>
        <v/>
      </c>
      <c r="L91" s="554"/>
      <c r="M91" s="554"/>
      <c r="N91" s="554"/>
      <c r="O91" s="554"/>
      <c r="P91" s="554"/>
      <c r="Q91" s="554"/>
      <c r="R91" s="554"/>
      <c r="S91" s="554"/>
      <c r="T91" s="554"/>
      <c r="U91" s="554"/>
      <c r="V91" s="554"/>
      <c r="W91" s="554"/>
      <c r="X91" s="554"/>
      <c r="Y91" s="554"/>
      <c r="Z91" s="554"/>
      <c r="AA91" s="554"/>
      <c r="AB91" s="554"/>
      <c r="AC91" s="554"/>
      <c r="AD91" s="554"/>
      <c r="AE91" s="554"/>
      <c r="AF91" s="554"/>
      <c r="AG91" s="554"/>
      <c r="AH91" s="554"/>
      <c r="AI91" s="554"/>
      <c r="AJ91" s="554"/>
      <c r="AK91" s="554"/>
      <c r="AL91" s="554"/>
      <c r="AM91" s="554"/>
      <c r="AN91" s="554"/>
      <c r="AO91" s="554"/>
      <c r="AP91" s="554"/>
      <c r="AQ91" s="554"/>
      <c r="AR91" s="554"/>
      <c r="AS91" s="554"/>
      <c r="AT91" s="554"/>
      <c r="AU91" s="554"/>
      <c r="AW91" t="b">
        <f t="array" ref="AW91">IF($H91="",TRUE,AND(OR($B91&lt;&gt;"",$B$5&lt;&gt;""),OR($C91&lt;&gt;"",$C$5&lt;&gt;""),OR($D91&lt;&gt;"",$D$5&lt;&gt;""),OR($E91&lt;&gt;"",$E$5&lt;&gt;""),OR($F91&lt;&gt;"",$F$5&lt;&gt;""),OR($G91&lt;&gt;"",$G$5&lt;&gt;""),NOT(ISERROR($L91:$AU91)),NOT(ISNA(MATCH(IF($D91="",$D$5,$D91)&amp;IF($C91="",$C$5,$C91),DeptBU,0)))))</f>
        <v>1</v>
      </c>
    </row>
    <row r="92" spans="2:49" x14ac:dyDescent="0.35">
      <c r="B92" s="554"/>
      <c r="C92" s="554"/>
      <c r="D92" s="554"/>
      <c r="E92" s="554"/>
      <c r="F92" s="554"/>
      <c r="G92" s="554"/>
      <c r="H92" s="554"/>
      <c r="I92" s="554"/>
      <c r="J92" s="554"/>
      <c r="K92" s="617" t="str">
        <f>IF($H92="","",INDEX(Teams[team_consolidation],MATCH(IF($E92="",$E$5,$E92),Teams[team_name],0)))</f>
        <v/>
      </c>
      <c r="L92" s="554"/>
      <c r="M92" s="554"/>
      <c r="N92" s="554"/>
      <c r="O92" s="554"/>
      <c r="P92" s="554"/>
      <c r="Q92" s="554"/>
      <c r="R92" s="554"/>
      <c r="S92" s="554"/>
      <c r="T92" s="554"/>
      <c r="U92" s="554"/>
      <c r="V92" s="554"/>
      <c r="W92" s="554"/>
      <c r="X92" s="554"/>
      <c r="Y92" s="554"/>
      <c r="Z92" s="554"/>
      <c r="AA92" s="554"/>
      <c r="AB92" s="554"/>
      <c r="AC92" s="554"/>
      <c r="AD92" s="554"/>
      <c r="AE92" s="554"/>
      <c r="AF92" s="554"/>
      <c r="AG92" s="554"/>
      <c r="AH92" s="554"/>
      <c r="AI92" s="554"/>
      <c r="AJ92" s="554"/>
      <c r="AK92" s="554"/>
      <c r="AL92" s="554"/>
      <c r="AM92" s="554"/>
      <c r="AN92" s="554"/>
      <c r="AO92" s="554"/>
      <c r="AP92" s="554"/>
      <c r="AQ92" s="554"/>
      <c r="AR92" s="554"/>
      <c r="AS92" s="554"/>
      <c r="AT92" s="554"/>
      <c r="AU92" s="554"/>
      <c r="AW92" t="b">
        <f t="array" ref="AW92">IF($H92="",TRUE,AND(OR($B92&lt;&gt;"",$B$5&lt;&gt;""),OR($C92&lt;&gt;"",$C$5&lt;&gt;""),OR($D92&lt;&gt;"",$D$5&lt;&gt;""),OR($E92&lt;&gt;"",$E$5&lt;&gt;""),OR($F92&lt;&gt;"",$F$5&lt;&gt;""),OR($G92&lt;&gt;"",$G$5&lt;&gt;""),NOT(ISERROR($L92:$AU92)),NOT(ISNA(MATCH(IF($D92="",$D$5,$D92)&amp;IF($C92="",$C$5,$C92),DeptBU,0)))))</f>
        <v>1</v>
      </c>
    </row>
    <row r="93" spans="2:49" x14ac:dyDescent="0.35">
      <c r="B93" s="554"/>
      <c r="C93" s="554"/>
      <c r="D93" s="554"/>
      <c r="E93" s="554"/>
      <c r="F93" s="554"/>
      <c r="G93" s="554"/>
      <c r="H93" s="554"/>
      <c r="I93" s="554"/>
      <c r="J93" s="554"/>
      <c r="K93" s="617" t="str">
        <f>IF($H93="","",INDEX(Teams[team_consolidation],MATCH(IF($E93="",$E$5,$E93),Teams[team_name],0)))</f>
        <v/>
      </c>
      <c r="L93" s="554"/>
      <c r="M93" s="554"/>
      <c r="N93" s="554"/>
      <c r="O93" s="554"/>
      <c r="P93" s="554"/>
      <c r="Q93" s="554"/>
      <c r="R93" s="554"/>
      <c r="S93" s="554"/>
      <c r="T93" s="554"/>
      <c r="U93" s="554"/>
      <c r="V93" s="554"/>
      <c r="W93" s="554"/>
      <c r="X93" s="554"/>
      <c r="Y93" s="554"/>
      <c r="Z93" s="554"/>
      <c r="AA93" s="554"/>
      <c r="AB93" s="554"/>
      <c r="AC93" s="554"/>
      <c r="AD93" s="554"/>
      <c r="AE93" s="554"/>
      <c r="AF93" s="554"/>
      <c r="AG93" s="554"/>
      <c r="AH93" s="554"/>
      <c r="AI93" s="554"/>
      <c r="AJ93" s="554"/>
      <c r="AK93" s="554"/>
      <c r="AL93" s="554"/>
      <c r="AM93" s="554"/>
      <c r="AN93" s="554"/>
      <c r="AO93" s="554"/>
      <c r="AP93" s="554"/>
      <c r="AQ93" s="554"/>
      <c r="AR93" s="554"/>
      <c r="AS93" s="554"/>
      <c r="AT93" s="554"/>
      <c r="AU93" s="554"/>
      <c r="AW93" t="b">
        <f t="array" ref="AW93">IF($H93="",TRUE,AND(OR($B93&lt;&gt;"",$B$5&lt;&gt;""),OR($C93&lt;&gt;"",$C$5&lt;&gt;""),OR($D93&lt;&gt;"",$D$5&lt;&gt;""),OR($E93&lt;&gt;"",$E$5&lt;&gt;""),OR($F93&lt;&gt;"",$F$5&lt;&gt;""),OR($G93&lt;&gt;"",$G$5&lt;&gt;""),NOT(ISERROR($L93:$AU93)),NOT(ISNA(MATCH(IF($D93="",$D$5,$D93)&amp;IF($C93="",$C$5,$C93),DeptBU,0)))))</f>
        <v>1</v>
      </c>
    </row>
    <row r="94" spans="2:49" x14ac:dyDescent="0.35">
      <c r="B94" s="554"/>
      <c r="C94" s="554"/>
      <c r="D94" s="554"/>
      <c r="E94" s="554"/>
      <c r="F94" s="554"/>
      <c r="G94" s="554"/>
      <c r="H94" s="554"/>
      <c r="I94" s="554"/>
      <c r="J94" s="554"/>
      <c r="K94" s="617" t="str">
        <f>IF($H94="","",INDEX(Teams[team_consolidation],MATCH(IF($E94="",$E$5,$E94),Teams[team_name],0)))</f>
        <v/>
      </c>
      <c r="L94" s="554"/>
      <c r="M94" s="554"/>
      <c r="N94" s="554"/>
      <c r="O94" s="554"/>
      <c r="P94" s="554"/>
      <c r="Q94" s="554"/>
      <c r="R94" s="554"/>
      <c r="S94" s="554"/>
      <c r="T94" s="554"/>
      <c r="U94" s="554"/>
      <c r="V94" s="554"/>
      <c r="W94" s="554"/>
      <c r="X94" s="554"/>
      <c r="Y94" s="554"/>
      <c r="Z94" s="554"/>
      <c r="AA94" s="554"/>
      <c r="AB94" s="554"/>
      <c r="AC94" s="554"/>
      <c r="AD94" s="554"/>
      <c r="AE94" s="554"/>
      <c r="AF94" s="554"/>
      <c r="AG94" s="554"/>
      <c r="AH94" s="554"/>
      <c r="AI94" s="554"/>
      <c r="AJ94" s="554"/>
      <c r="AK94" s="554"/>
      <c r="AL94" s="554"/>
      <c r="AM94" s="554"/>
      <c r="AN94" s="554"/>
      <c r="AO94" s="554"/>
      <c r="AP94" s="554"/>
      <c r="AQ94" s="554"/>
      <c r="AR94" s="554"/>
      <c r="AS94" s="554"/>
      <c r="AT94" s="554"/>
      <c r="AU94" s="554"/>
      <c r="AW94" t="b">
        <f t="array" ref="AW94">IF($H94="",TRUE,AND(OR($B94&lt;&gt;"",$B$5&lt;&gt;""),OR($C94&lt;&gt;"",$C$5&lt;&gt;""),OR($D94&lt;&gt;"",$D$5&lt;&gt;""),OR($E94&lt;&gt;"",$E$5&lt;&gt;""),OR($F94&lt;&gt;"",$F$5&lt;&gt;""),OR($G94&lt;&gt;"",$G$5&lt;&gt;""),NOT(ISERROR($L94:$AU94)),NOT(ISNA(MATCH(IF($D94="",$D$5,$D94)&amp;IF($C94="",$C$5,$C94),DeptBU,0)))))</f>
        <v>1</v>
      </c>
    </row>
    <row r="95" spans="2:49" x14ac:dyDescent="0.35">
      <c r="B95" s="554"/>
      <c r="C95" s="554"/>
      <c r="D95" s="554"/>
      <c r="E95" s="554"/>
      <c r="F95" s="554"/>
      <c r="G95" s="554"/>
      <c r="H95" s="554"/>
      <c r="I95" s="554"/>
      <c r="J95" s="554"/>
      <c r="K95" s="617" t="str">
        <f>IF($H95="","",INDEX(Teams[team_consolidation],MATCH(IF($E95="",$E$5,$E95),Teams[team_name],0)))</f>
        <v/>
      </c>
      <c r="L95" s="554"/>
      <c r="M95" s="554"/>
      <c r="N95" s="554"/>
      <c r="O95" s="554"/>
      <c r="P95" s="554"/>
      <c r="Q95" s="554"/>
      <c r="R95" s="554"/>
      <c r="S95" s="554"/>
      <c r="T95" s="554"/>
      <c r="U95" s="554"/>
      <c r="V95" s="554"/>
      <c r="W95" s="554"/>
      <c r="X95" s="554"/>
      <c r="Y95" s="554"/>
      <c r="Z95" s="554"/>
      <c r="AA95" s="554"/>
      <c r="AB95" s="554"/>
      <c r="AC95" s="554"/>
      <c r="AD95" s="554"/>
      <c r="AE95" s="554"/>
      <c r="AF95" s="554"/>
      <c r="AG95" s="554"/>
      <c r="AH95" s="554"/>
      <c r="AI95" s="554"/>
      <c r="AJ95" s="554"/>
      <c r="AK95" s="554"/>
      <c r="AL95" s="554"/>
      <c r="AM95" s="554"/>
      <c r="AN95" s="554"/>
      <c r="AO95" s="554"/>
      <c r="AP95" s="554"/>
      <c r="AQ95" s="554"/>
      <c r="AR95" s="554"/>
      <c r="AS95" s="554"/>
      <c r="AT95" s="554"/>
      <c r="AU95" s="554"/>
      <c r="AW95" t="b">
        <f t="array" ref="AW95">IF($H95="",TRUE,AND(OR($B95&lt;&gt;"",$B$5&lt;&gt;""),OR($C95&lt;&gt;"",$C$5&lt;&gt;""),OR($D95&lt;&gt;"",$D$5&lt;&gt;""),OR($E95&lt;&gt;"",$E$5&lt;&gt;""),OR($F95&lt;&gt;"",$F$5&lt;&gt;""),OR($G95&lt;&gt;"",$G$5&lt;&gt;""),NOT(ISERROR($L95:$AU95)),NOT(ISNA(MATCH(IF($D95="",$D$5,$D95)&amp;IF($C95="",$C$5,$C95),DeptBU,0)))))</f>
        <v>1</v>
      </c>
    </row>
    <row r="96" spans="2:49" x14ac:dyDescent="0.35">
      <c r="B96" s="554"/>
      <c r="C96" s="554"/>
      <c r="D96" s="554"/>
      <c r="E96" s="554"/>
      <c r="F96" s="554"/>
      <c r="G96" s="554"/>
      <c r="H96" s="554"/>
      <c r="I96" s="554"/>
      <c r="J96" s="554"/>
      <c r="K96" s="617" t="str">
        <f>IF($H96="","",INDEX(Teams[team_consolidation],MATCH(IF($E96="",$E$5,$E96),Teams[team_name],0)))</f>
        <v/>
      </c>
      <c r="L96" s="554"/>
      <c r="M96" s="554"/>
      <c r="N96" s="554"/>
      <c r="O96" s="554"/>
      <c r="P96" s="554"/>
      <c r="Q96" s="554"/>
      <c r="R96" s="554"/>
      <c r="S96" s="554"/>
      <c r="T96" s="554"/>
      <c r="U96" s="554"/>
      <c r="V96" s="554"/>
      <c r="W96" s="554"/>
      <c r="X96" s="554"/>
      <c r="Y96" s="554"/>
      <c r="Z96" s="554"/>
      <c r="AA96" s="554"/>
      <c r="AB96" s="554"/>
      <c r="AC96" s="554"/>
      <c r="AD96" s="554"/>
      <c r="AE96" s="554"/>
      <c r="AF96" s="554"/>
      <c r="AG96" s="554"/>
      <c r="AH96" s="554"/>
      <c r="AI96" s="554"/>
      <c r="AJ96" s="554"/>
      <c r="AK96" s="554"/>
      <c r="AL96" s="554"/>
      <c r="AM96" s="554"/>
      <c r="AN96" s="554"/>
      <c r="AO96" s="554"/>
      <c r="AP96" s="554"/>
      <c r="AQ96" s="554"/>
      <c r="AR96" s="554"/>
      <c r="AS96" s="554"/>
      <c r="AT96" s="554"/>
      <c r="AU96" s="554"/>
      <c r="AW96" t="b">
        <f t="array" ref="AW96">IF($H96="",TRUE,AND(OR($B96&lt;&gt;"",$B$5&lt;&gt;""),OR($C96&lt;&gt;"",$C$5&lt;&gt;""),OR($D96&lt;&gt;"",$D$5&lt;&gt;""),OR($E96&lt;&gt;"",$E$5&lt;&gt;""),OR($F96&lt;&gt;"",$F$5&lt;&gt;""),OR($G96&lt;&gt;"",$G$5&lt;&gt;""),NOT(ISERROR($L96:$AU96)),NOT(ISNA(MATCH(IF($D96="",$D$5,$D96)&amp;IF($C96="",$C$5,$C96),DeptBU,0)))))</f>
        <v>1</v>
      </c>
    </row>
    <row r="97" spans="2:49" x14ac:dyDescent="0.35">
      <c r="B97" s="554"/>
      <c r="C97" s="554"/>
      <c r="D97" s="554"/>
      <c r="E97" s="554"/>
      <c r="F97" s="554"/>
      <c r="G97" s="554"/>
      <c r="H97" s="554"/>
      <c r="I97" s="554"/>
      <c r="J97" s="554"/>
      <c r="K97" s="617" t="str">
        <f>IF($H97="","",INDEX(Teams[team_consolidation],MATCH(IF($E97="",$E$5,$E97),Teams[team_name],0)))</f>
        <v/>
      </c>
      <c r="L97" s="554"/>
      <c r="M97" s="554"/>
      <c r="N97" s="554"/>
      <c r="O97" s="554"/>
      <c r="P97" s="554"/>
      <c r="Q97" s="554"/>
      <c r="R97" s="554"/>
      <c r="S97" s="554"/>
      <c r="T97" s="554"/>
      <c r="U97" s="554"/>
      <c r="V97" s="554"/>
      <c r="W97" s="554"/>
      <c r="X97" s="554"/>
      <c r="Y97" s="554"/>
      <c r="Z97" s="554"/>
      <c r="AA97" s="554"/>
      <c r="AB97" s="554"/>
      <c r="AC97" s="554"/>
      <c r="AD97" s="554"/>
      <c r="AE97" s="554"/>
      <c r="AF97" s="554"/>
      <c r="AG97" s="554"/>
      <c r="AH97" s="554"/>
      <c r="AI97" s="554"/>
      <c r="AJ97" s="554"/>
      <c r="AK97" s="554"/>
      <c r="AL97" s="554"/>
      <c r="AM97" s="554"/>
      <c r="AN97" s="554"/>
      <c r="AO97" s="554"/>
      <c r="AP97" s="554"/>
      <c r="AQ97" s="554"/>
      <c r="AR97" s="554"/>
      <c r="AS97" s="554"/>
      <c r="AT97" s="554"/>
      <c r="AU97" s="554"/>
      <c r="AW97" t="b">
        <f t="array" ref="AW97">IF($H97="",TRUE,AND(OR($B97&lt;&gt;"",$B$5&lt;&gt;""),OR($C97&lt;&gt;"",$C$5&lt;&gt;""),OR($D97&lt;&gt;"",$D$5&lt;&gt;""),OR($E97&lt;&gt;"",$E$5&lt;&gt;""),OR($F97&lt;&gt;"",$F$5&lt;&gt;""),OR($G97&lt;&gt;"",$G$5&lt;&gt;""),NOT(ISERROR($L97:$AU97)),NOT(ISNA(MATCH(IF($D97="",$D$5,$D97)&amp;IF($C97="",$C$5,$C97),DeptBU,0)))))</f>
        <v>1</v>
      </c>
    </row>
    <row r="98" spans="2:49" x14ac:dyDescent="0.35">
      <c r="B98" s="554"/>
      <c r="C98" s="554"/>
      <c r="D98" s="554"/>
      <c r="E98" s="554"/>
      <c r="F98" s="554"/>
      <c r="G98" s="554"/>
      <c r="H98" s="554"/>
      <c r="I98" s="554"/>
      <c r="J98" s="554"/>
      <c r="K98" s="617" t="str">
        <f>IF($H98="","",INDEX(Teams[team_consolidation],MATCH(IF($E98="",$E$5,$E98),Teams[team_name],0)))</f>
        <v/>
      </c>
      <c r="L98" s="554"/>
      <c r="M98" s="554"/>
      <c r="N98" s="554"/>
      <c r="O98" s="554"/>
      <c r="P98" s="554"/>
      <c r="Q98" s="554"/>
      <c r="R98" s="554"/>
      <c r="S98" s="554"/>
      <c r="T98" s="554"/>
      <c r="U98" s="554"/>
      <c r="V98" s="554"/>
      <c r="W98" s="554"/>
      <c r="X98" s="554"/>
      <c r="Y98" s="554"/>
      <c r="Z98" s="554"/>
      <c r="AA98" s="554"/>
      <c r="AB98" s="554"/>
      <c r="AC98" s="554"/>
      <c r="AD98" s="554"/>
      <c r="AE98" s="554"/>
      <c r="AF98" s="554"/>
      <c r="AG98" s="554"/>
      <c r="AH98" s="554"/>
      <c r="AI98" s="554"/>
      <c r="AJ98" s="554"/>
      <c r="AK98" s="554"/>
      <c r="AL98" s="554"/>
      <c r="AM98" s="554"/>
      <c r="AN98" s="554"/>
      <c r="AO98" s="554"/>
      <c r="AP98" s="554"/>
      <c r="AQ98" s="554"/>
      <c r="AR98" s="554"/>
      <c r="AS98" s="554"/>
      <c r="AT98" s="554"/>
      <c r="AU98" s="554"/>
      <c r="AW98" t="b">
        <f t="array" ref="AW98">IF($H98="",TRUE,AND(OR($B98&lt;&gt;"",$B$5&lt;&gt;""),OR($C98&lt;&gt;"",$C$5&lt;&gt;""),OR($D98&lt;&gt;"",$D$5&lt;&gt;""),OR($E98&lt;&gt;"",$E$5&lt;&gt;""),OR($F98&lt;&gt;"",$F$5&lt;&gt;""),OR($G98&lt;&gt;"",$G$5&lt;&gt;""),NOT(ISERROR($L98:$AU98)),NOT(ISNA(MATCH(IF($D98="",$D$5,$D98)&amp;IF($C98="",$C$5,$C98),DeptBU,0)))))</f>
        <v>1</v>
      </c>
    </row>
    <row r="99" spans="2:49" x14ac:dyDescent="0.35">
      <c r="B99" s="554"/>
      <c r="C99" s="554"/>
      <c r="D99" s="554"/>
      <c r="E99" s="554"/>
      <c r="F99" s="554"/>
      <c r="G99" s="554"/>
      <c r="H99" s="554"/>
      <c r="I99" s="554"/>
      <c r="J99" s="554"/>
      <c r="K99" s="617" t="str">
        <f>IF($H99="","",INDEX(Teams[team_consolidation],MATCH(IF($E99="",$E$5,$E99),Teams[team_name],0)))</f>
        <v/>
      </c>
      <c r="L99" s="554"/>
      <c r="M99" s="554"/>
      <c r="N99" s="554"/>
      <c r="O99" s="554"/>
      <c r="P99" s="554"/>
      <c r="Q99" s="554"/>
      <c r="R99" s="554"/>
      <c r="S99" s="554"/>
      <c r="T99" s="554"/>
      <c r="U99" s="554"/>
      <c r="V99" s="554"/>
      <c r="W99" s="554"/>
      <c r="X99" s="554"/>
      <c r="Y99" s="554"/>
      <c r="Z99" s="554"/>
      <c r="AA99" s="554"/>
      <c r="AB99" s="554"/>
      <c r="AC99" s="554"/>
      <c r="AD99" s="554"/>
      <c r="AE99" s="554"/>
      <c r="AF99" s="554"/>
      <c r="AG99" s="554"/>
      <c r="AH99" s="554"/>
      <c r="AI99" s="554"/>
      <c r="AJ99" s="554"/>
      <c r="AK99" s="554"/>
      <c r="AL99" s="554"/>
      <c r="AM99" s="554"/>
      <c r="AN99" s="554"/>
      <c r="AO99" s="554"/>
      <c r="AP99" s="554"/>
      <c r="AQ99" s="554"/>
      <c r="AR99" s="554"/>
      <c r="AS99" s="554"/>
      <c r="AT99" s="554"/>
      <c r="AU99" s="554"/>
      <c r="AW99" t="b">
        <f t="array" ref="AW99">IF($H99="",TRUE,AND(OR($B99&lt;&gt;"",$B$5&lt;&gt;""),OR($C99&lt;&gt;"",$C$5&lt;&gt;""),OR($D99&lt;&gt;"",$D$5&lt;&gt;""),OR($E99&lt;&gt;"",$E$5&lt;&gt;""),OR($F99&lt;&gt;"",$F$5&lt;&gt;""),OR($G99&lt;&gt;"",$G$5&lt;&gt;""),NOT(ISERROR($L99:$AU99)),NOT(ISNA(MATCH(IF($D99="",$D$5,$D99)&amp;IF($C99="",$C$5,$C99),DeptBU,0)))))</f>
        <v>1</v>
      </c>
    </row>
    <row r="100" spans="2:49" x14ac:dyDescent="0.35">
      <c r="B100" s="554"/>
      <c r="C100" s="554"/>
      <c r="D100" s="554"/>
      <c r="E100" s="554"/>
      <c r="F100" s="554"/>
      <c r="G100" s="554"/>
      <c r="H100" s="554"/>
      <c r="I100" s="554"/>
      <c r="J100" s="554"/>
      <c r="K100" s="617" t="str">
        <f>IF($H100="","",INDEX(Teams[team_consolidation],MATCH(IF($E100="",$E$5,$E100),Teams[team_name],0)))</f>
        <v/>
      </c>
      <c r="L100" s="554"/>
      <c r="M100" s="554"/>
      <c r="N100" s="554"/>
      <c r="O100" s="554"/>
      <c r="P100" s="554"/>
      <c r="Q100" s="554"/>
      <c r="R100" s="554"/>
      <c r="S100" s="554"/>
      <c r="T100" s="554"/>
      <c r="U100" s="554"/>
      <c r="V100" s="554"/>
      <c r="W100" s="554"/>
      <c r="X100" s="554"/>
      <c r="Y100" s="554"/>
      <c r="Z100" s="554"/>
      <c r="AA100" s="554"/>
      <c r="AB100" s="554"/>
      <c r="AC100" s="554"/>
      <c r="AD100" s="554"/>
      <c r="AE100" s="554"/>
      <c r="AF100" s="554"/>
      <c r="AG100" s="554"/>
      <c r="AH100" s="554"/>
      <c r="AI100" s="554"/>
      <c r="AJ100" s="554"/>
      <c r="AK100" s="554"/>
      <c r="AL100" s="554"/>
      <c r="AM100" s="554"/>
      <c r="AN100" s="554"/>
      <c r="AO100" s="554"/>
      <c r="AP100" s="554"/>
      <c r="AQ100" s="554"/>
      <c r="AR100" s="554"/>
      <c r="AS100" s="554"/>
      <c r="AT100" s="554"/>
      <c r="AU100" s="554"/>
      <c r="AW100" t="b">
        <f t="array" ref="AW100">IF($H100="",TRUE,AND(OR($B100&lt;&gt;"",$B$5&lt;&gt;""),OR($C100&lt;&gt;"",$C$5&lt;&gt;""),OR($D100&lt;&gt;"",$D$5&lt;&gt;""),OR($E100&lt;&gt;"",$E$5&lt;&gt;""),OR($F100&lt;&gt;"",$F$5&lt;&gt;""),OR($G100&lt;&gt;"",$G$5&lt;&gt;""),NOT(ISERROR($L100:$AU100)),NOT(ISNA(MATCH(IF($D100="",$D$5,$D100)&amp;IF($C100="",$C$5,$C100),DeptBU,0)))))</f>
        <v>1</v>
      </c>
    </row>
    <row r="101" spans="2:49" x14ac:dyDescent="0.35">
      <c r="B101" s="554"/>
      <c r="C101" s="554"/>
      <c r="D101" s="554"/>
      <c r="E101" s="554"/>
      <c r="F101" s="554"/>
      <c r="G101" s="554"/>
      <c r="H101" s="554"/>
      <c r="I101" s="554"/>
      <c r="J101" s="554"/>
      <c r="K101" s="617" t="str">
        <f>IF($H101="","",INDEX(Teams[team_consolidation],MATCH(IF($E101="",$E$5,$E101),Teams[team_name],0)))</f>
        <v/>
      </c>
      <c r="L101" s="554"/>
      <c r="M101" s="554"/>
      <c r="N101" s="554"/>
      <c r="O101" s="554"/>
      <c r="P101" s="554"/>
      <c r="Q101" s="554"/>
      <c r="R101" s="554"/>
      <c r="S101" s="554"/>
      <c r="T101" s="554"/>
      <c r="U101" s="554"/>
      <c r="V101" s="554"/>
      <c r="W101" s="554"/>
      <c r="X101" s="554"/>
      <c r="Y101" s="554"/>
      <c r="Z101" s="554"/>
      <c r="AA101" s="554"/>
      <c r="AB101" s="554"/>
      <c r="AC101" s="554"/>
      <c r="AD101" s="554"/>
      <c r="AE101" s="554"/>
      <c r="AF101" s="554"/>
      <c r="AG101" s="554"/>
      <c r="AH101" s="554"/>
      <c r="AI101" s="554"/>
      <c r="AJ101" s="554"/>
      <c r="AK101" s="554"/>
      <c r="AL101" s="554"/>
      <c r="AM101" s="554"/>
      <c r="AN101" s="554"/>
      <c r="AO101" s="554"/>
      <c r="AP101" s="554"/>
      <c r="AQ101" s="554"/>
      <c r="AR101" s="554"/>
      <c r="AS101" s="554"/>
      <c r="AT101" s="554"/>
      <c r="AU101" s="554"/>
      <c r="AW101" t="b">
        <f t="array" ref="AW101">IF($H101="",TRUE,AND(OR($B101&lt;&gt;"",$B$5&lt;&gt;""),OR($C101&lt;&gt;"",$C$5&lt;&gt;""),OR($D101&lt;&gt;"",$D$5&lt;&gt;""),OR($E101&lt;&gt;"",$E$5&lt;&gt;""),OR($F101&lt;&gt;"",$F$5&lt;&gt;""),OR($G101&lt;&gt;"",$G$5&lt;&gt;""),NOT(ISERROR($L101:$AU101)),NOT(ISNA(MATCH(IF($D101="",$D$5,$D101)&amp;IF($C101="",$C$5,$C101),DeptBU,0)))))</f>
        <v>1</v>
      </c>
    </row>
    <row r="102" spans="2:49" x14ac:dyDescent="0.35">
      <c r="B102" s="554"/>
      <c r="C102" s="554"/>
      <c r="D102" s="554"/>
      <c r="E102" s="554"/>
      <c r="F102" s="554"/>
      <c r="G102" s="554"/>
      <c r="H102" s="554"/>
      <c r="I102" s="554"/>
      <c r="J102" s="554"/>
      <c r="K102" s="617" t="str">
        <f>IF($H102="","",INDEX(Teams[team_consolidation],MATCH(IF($E102="",$E$5,$E102),Teams[team_name],0)))</f>
        <v/>
      </c>
      <c r="L102" s="554"/>
      <c r="M102" s="554"/>
      <c r="N102" s="554"/>
      <c r="O102" s="554"/>
      <c r="P102" s="554"/>
      <c r="Q102" s="554"/>
      <c r="R102" s="554"/>
      <c r="S102" s="554"/>
      <c r="T102" s="554"/>
      <c r="U102" s="554"/>
      <c r="V102" s="554"/>
      <c r="W102" s="554"/>
      <c r="X102" s="554"/>
      <c r="Y102" s="554"/>
      <c r="Z102" s="554"/>
      <c r="AA102" s="554"/>
      <c r="AB102" s="554"/>
      <c r="AC102" s="554"/>
      <c r="AD102" s="554"/>
      <c r="AE102" s="554"/>
      <c r="AF102" s="554"/>
      <c r="AG102" s="554"/>
      <c r="AH102" s="554"/>
      <c r="AI102" s="554"/>
      <c r="AJ102" s="554"/>
      <c r="AK102" s="554"/>
      <c r="AL102" s="554"/>
      <c r="AM102" s="554"/>
      <c r="AN102" s="554"/>
      <c r="AO102" s="554"/>
      <c r="AP102" s="554"/>
      <c r="AQ102" s="554"/>
      <c r="AR102" s="554"/>
      <c r="AS102" s="554"/>
      <c r="AT102" s="554"/>
      <c r="AU102" s="554"/>
      <c r="AW102" t="b">
        <f t="array" ref="AW102">IF($H102="",TRUE,AND(OR($B102&lt;&gt;"",$B$5&lt;&gt;""),OR($C102&lt;&gt;"",$C$5&lt;&gt;""),OR($D102&lt;&gt;"",$D$5&lt;&gt;""),OR($E102&lt;&gt;"",$E$5&lt;&gt;""),OR($F102&lt;&gt;"",$F$5&lt;&gt;""),OR($G102&lt;&gt;"",$G$5&lt;&gt;""),NOT(ISERROR($L102:$AU102)),NOT(ISNA(MATCH(IF($D102="",$D$5,$D102)&amp;IF($C102="",$C$5,$C102),DeptBU,0)))))</f>
        <v>1</v>
      </c>
    </row>
    <row r="103" spans="2:49" x14ac:dyDescent="0.35">
      <c r="B103" s="554"/>
      <c r="C103" s="554"/>
      <c r="D103" s="554"/>
      <c r="E103" s="554"/>
      <c r="F103" s="554"/>
      <c r="G103" s="554"/>
      <c r="H103" s="554"/>
      <c r="I103" s="554"/>
      <c r="J103" s="554"/>
      <c r="K103" s="617" t="str">
        <f>IF($H103="","",INDEX(Teams[team_consolidation],MATCH(IF($E103="",$E$5,$E103),Teams[team_name],0)))</f>
        <v/>
      </c>
      <c r="L103" s="554"/>
      <c r="M103" s="554"/>
      <c r="N103" s="554"/>
      <c r="O103" s="554"/>
      <c r="P103" s="554"/>
      <c r="Q103" s="554"/>
      <c r="R103" s="554"/>
      <c r="S103" s="554"/>
      <c r="T103" s="554"/>
      <c r="U103" s="554"/>
      <c r="V103" s="554"/>
      <c r="W103" s="554"/>
      <c r="X103" s="554"/>
      <c r="Y103" s="554"/>
      <c r="Z103" s="554"/>
      <c r="AA103" s="554"/>
      <c r="AB103" s="554"/>
      <c r="AC103" s="554"/>
      <c r="AD103" s="554"/>
      <c r="AE103" s="554"/>
      <c r="AF103" s="554"/>
      <c r="AG103" s="554"/>
      <c r="AH103" s="554"/>
      <c r="AI103" s="554"/>
      <c r="AJ103" s="554"/>
      <c r="AK103" s="554"/>
      <c r="AL103" s="554"/>
      <c r="AM103" s="554"/>
      <c r="AN103" s="554"/>
      <c r="AO103" s="554"/>
      <c r="AP103" s="554"/>
      <c r="AQ103" s="554"/>
      <c r="AR103" s="554"/>
      <c r="AS103" s="554"/>
      <c r="AT103" s="554"/>
      <c r="AU103" s="554"/>
      <c r="AW103" t="b">
        <f t="array" ref="AW103">IF($H103="",TRUE,AND(OR($B103&lt;&gt;"",$B$5&lt;&gt;""),OR($C103&lt;&gt;"",$C$5&lt;&gt;""),OR($D103&lt;&gt;"",$D$5&lt;&gt;""),OR($E103&lt;&gt;"",$E$5&lt;&gt;""),OR($F103&lt;&gt;"",$F$5&lt;&gt;""),OR($G103&lt;&gt;"",$G$5&lt;&gt;""),NOT(ISERROR($L103:$AU103)),NOT(ISNA(MATCH(IF($D103="",$D$5,$D103)&amp;IF($C103="",$C$5,$C103),DeptBU,0)))))</f>
        <v>1</v>
      </c>
    </row>
    <row r="104" spans="2:49" x14ac:dyDescent="0.35">
      <c r="B104" s="554"/>
      <c r="C104" s="554"/>
      <c r="D104" s="554"/>
      <c r="E104" s="554"/>
      <c r="F104" s="554"/>
      <c r="G104" s="554"/>
      <c r="H104" s="554"/>
      <c r="I104" s="554"/>
      <c r="J104" s="554"/>
      <c r="K104" s="617" t="str">
        <f>IF($H104="","",INDEX(Teams[team_consolidation],MATCH(IF($E104="",$E$5,$E104),Teams[team_name],0)))</f>
        <v/>
      </c>
      <c r="L104" s="554"/>
      <c r="M104" s="554"/>
      <c r="N104" s="554"/>
      <c r="O104" s="554"/>
      <c r="P104" s="554"/>
      <c r="Q104" s="554"/>
      <c r="R104" s="554"/>
      <c r="S104" s="554"/>
      <c r="T104" s="554"/>
      <c r="U104" s="554"/>
      <c r="V104" s="554"/>
      <c r="W104" s="554"/>
      <c r="X104" s="554"/>
      <c r="Y104" s="554"/>
      <c r="Z104" s="554"/>
      <c r="AA104" s="554"/>
      <c r="AB104" s="554"/>
      <c r="AC104" s="554"/>
      <c r="AD104" s="554"/>
      <c r="AE104" s="554"/>
      <c r="AF104" s="554"/>
      <c r="AG104" s="554"/>
      <c r="AH104" s="554"/>
      <c r="AI104" s="554"/>
      <c r="AJ104" s="554"/>
      <c r="AK104" s="554"/>
      <c r="AL104" s="554"/>
      <c r="AM104" s="554"/>
      <c r="AN104" s="554"/>
      <c r="AO104" s="554"/>
      <c r="AP104" s="554"/>
      <c r="AQ104" s="554"/>
      <c r="AR104" s="554"/>
      <c r="AS104" s="554"/>
      <c r="AT104" s="554"/>
      <c r="AU104" s="554"/>
      <c r="AW104" t="b">
        <f t="array" ref="AW104">IF($H104="",TRUE,AND(OR($B104&lt;&gt;"",$B$5&lt;&gt;""),OR($C104&lt;&gt;"",$C$5&lt;&gt;""),OR($D104&lt;&gt;"",$D$5&lt;&gt;""),OR($E104&lt;&gt;"",$E$5&lt;&gt;""),OR($F104&lt;&gt;"",$F$5&lt;&gt;""),OR($G104&lt;&gt;"",$G$5&lt;&gt;""),NOT(ISERROR($L104:$AU104)),NOT(ISNA(MATCH(IF($D104="",$D$5,$D104)&amp;IF($C104="",$C$5,$C104),DeptBU,0)))))</f>
        <v>1</v>
      </c>
    </row>
    <row r="105" spans="2:49" x14ac:dyDescent="0.35">
      <c r="B105" s="554"/>
      <c r="C105" s="554"/>
      <c r="D105" s="554"/>
      <c r="E105" s="554"/>
      <c r="F105" s="554"/>
      <c r="G105" s="554"/>
      <c r="H105" s="554"/>
      <c r="I105" s="554"/>
      <c r="J105" s="554"/>
      <c r="K105" s="617" t="str">
        <f>IF($H105="","",INDEX(Teams[team_consolidation],MATCH(IF($E105="",$E$5,$E105),Teams[team_name],0)))</f>
        <v/>
      </c>
      <c r="L105" s="554"/>
      <c r="M105" s="554"/>
      <c r="N105" s="554"/>
      <c r="O105" s="554"/>
      <c r="P105" s="554"/>
      <c r="Q105" s="554"/>
      <c r="R105" s="554"/>
      <c r="S105" s="554"/>
      <c r="T105" s="554"/>
      <c r="U105" s="554"/>
      <c r="V105" s="554"/>
      <c r="W105" s="554"/>
      <c r="X105" s="554"/>
      <c r="Y105" s="554"/>
      <c r="Z105" s="554"/>
      <c r="AA105" s="554"/>
      <c r="AB105" s="554"/>
      <c r="AC105" s="554"/>
      <c r="AD105" s="554"/>
      <c r="AE105" s="554"/>
      <c r="AF105" s="554"/>
      <c r="AG105" s="554"/>
      <c r="AH105" s="554"/>
      <c r="AI105" s="554"/>
      <c r="AJ105" s="554"/>
      <c r="AK105" s="554"/>
      <c r="AL105" s="554"/>
      <c r="AM105" s="554"/>
      <c r="AN105" s="554"/>
      <c r="AO105" s="554"/>
      <c r="AP105" s="554"/>
      <c r="AQ105" s="554"/>
      <c r="AR105" s="554"/>
      <c r="AS105" s="554"/>
      <c r="AT105" s="554"/>
      <c r="AU105" s="554"/>
      <c r="AW105" t="b">
        <f t="array" ref="AW105">IF($H105="",TRUE,AND(OR($B105&lt;&gt;"",$B$5&lt;&gt;""),OR($C105&lt;&gt;"",$C$5&lt;&gt;""),OR($D105&lt;&gt;"",$D$5&lt;&gt;""),OR($E105&lt;&gt;"",$E$5&lt;&gt;""),OR($F105&lt;&gt;"",$F$5&lt;&gt;""),OR($G105&lt;&gt;"",$G$5&lt;&gt;""),NOT(ISERROR($L105:$AU105)),NOT(ISNA(MATCH(IF($D105="",$D$5,$D105)&amp;IF($C105="",$C$5,$C105),DeptBU,0)))))</f>
        <v>1</v>
      </c>
    </row>
    <row r="106" spans="2:49" x14ac:dyDescent="0.35">
      <c r="B106" s="554"/>
      <c r="C106" s="554"/>
      <c r="D106" s="554"/>
      <c r="E106" s="554"/>
      <c r="F106" s="554"/>
      <c r="G106" s="554"/>
      <c r="H106" s="554"/>
      <c r="I106" s="554"/>
      <c r="J106" s="554"/>
      <c r="K106" s="617" t="str">
        <f>IF($H106="","",INDEX(Teams[team_consolidation],MATCH(IF($E106="",$E$5,$E106),Teams[team_name],0)))</f>
        <v/>
      </c>
      <c r="L106" s="554"/>
      <c r="M106" s="554"/>
      <c r="N106" s="554"/>
      <c r="O106" s="554"/>
      <c r="P106" s="554"/>
      <c r="Q106" s="554"/>
      <c r="R106" s="554"/>
      <c r="S106" s="554"/>
      <c r="T106" s="554"/>
      <c r="U106" s="554"/>
      <c r="V106" s="554"/>
      <c r="W106" s="554"/>
      <c r="X106" s="554"/>
      <c r="Y106" s="554"/>
      <c r="Z106" s="554"/>
      <c r="AA106" s="554"/>
      <c r="AB106" s="554"/>
      <c r="AC106" s="554"/>
      <c r="AD106" s="554"/>
      <c r="AE106" s="554"/>
      <c r="AF106" s="554"/>
      <c r="AG106" s="554"/>
      <c r="AH106" s="554"/>
      <c r="AI106" s="554"/>
      <c r="AJ106" s="554"/>
      <c r="AK106" s="554"/>
      <c r="AL106" s="554"/>
      <c r="AM106" s="554"/>
      <c r="AN106" s="554"/>
      <c r="AO106" s="554"/>
      <c r="AP106" s="554"/>
      <c r="AQ106" s="554"/>
      <c r="AR106" s="554"/>
      <c r="AS106" s="554"/>
      <c r="AT106" s="554"/>
      <c r="AU106" s="554"/>
      <c r="AW106" t="b">
        <f t="array" ref="AW106">IF($H106="",TRUE,AND(OR($B106&lt;&gt;"",$B$5&lt;&gt;""),OR($C106&lt;&gt;"",$C$5&lt;&gt;""),OR($D106&lt;&gt;"",$D$5&lt;&gt;""),OR($E106&lt;&gt;"",$E$5&lt;&gt;""),OR($F106&lt;&gt;"",$F$5&lt;&gt;""),OR($G106&lt;&gt;"",$G$5&lt;&gt;""),NOT(ISERROR($L106:$AU106)),NOT(ISNA(MATCH(IF($D106="",$D$5,$D106)&amp;IF($C106="",$C$5,$C106),DeptBU,0)))))</f>
        <v>1</v>
      </c>
    </row>
    <row r="107" spans="2:49" x14ac:dyDescent="0.35">
      <c r="B107" s="554"/>
      <c r="C107" s="554"/>
      <c r="D107" s="554"/>
      <c r="E107" s="554"/>
      <c r="F107" s="554"/>
      <c r="G107" s="554"/>
      <c r="H107" s="554"/>
      <c r="I107" s="554"/>
      <c r="J107" s="554"/>
      <c r="K107" s="617" t="str">
        <f>IF($H107="","",INDEX(Teams[team_consolidation],MATCH(IF($E107="",$E$5,$E107),Teams[team_name],0)))</f>
        <v/>
      </c>
      <c r="L107" s="554"/>
      <c r="M107" s="554"/>
      <c r="N107" s="554"/>
      <c r="O107" s="554"/>
      <c r="P107" s="554"/>
      <c r="Q107" s="554"/>
      <c r="R107" s="554"/>
      <c r="S107" s="554"/>
      <c r="T107" s="554"/>
      <c r="U107" s="554"/>
      <c r="V107" s="554"/>
      <c r="W107" s="554"/>
      <c r="X107" s="554"/>
      <c r="Y107" s="554"/>
      <c r="Z107" s="554"/>
      <c r="AA107" s="554"/>
      <c r="AB107" s="554"/>
      <c r="AC107" s="554"/>
      <c r="AD107" s="554"/>
      <c r="AE107" s="554"/>
      <c r="AF107" s="554"/>
      <c r="AG107" s="554"/>
      <c r="AH107" s="554"/>
      <c r="AI107" s="554"/>
      <c r="AJ107" s="554"/>
      <c r="AK107" s="554"/>
      <c r="AL107" s="554"/>
      <c r="AM107" s="554"/>
      <c r="AN107" s="554"/>
      <c r="AO107" s="554"/>
      <c r="AP107" s="554"/>
      <c r="AQ107" s="554"/>
      <c r="AR107" s="554"/>
      <c r="AS107" s="554"/>
      <c r="AT107" s="554"/>
      <c r="AU107" s="554"/>
      <c r="AW107" t="b">
        <f t="array" ref="AW107">IF($H107="",TRUE,AND(OR($B107&lt;&gt;"",$B$5&lt;&gt;""),OR($C107&lt;&gt;"",$C$5&lt;&gt;""),OR($D107&lt;&gt;"",$D$5&lt;&gt;""),OR($E107&lt;&gt;"",$E$5&lt;&gt;""),OR($F107&lt;&gt;"",$F$5&lt;&gt;""),OR($G107&lt;&gt;"",$G$5&lt;&gt;""),NOT(ISERROR($L107:$AU107)),NOT(ISNA(MATCH(IF($D107="",$D$5,$D107)&amp;IF($C107="",$C$5,$C107),DeptBU,0)))))</f>
        <v>1</v>
      </c>
    </row>
    <row r="108" spans="2:49" x14ac:dyDescent="0.35">
      <c r="B108" s="554"/>
      <c r="C108" s="554"/>
      <c r="D108" s="554"/>
      <c r="E108" s="554"/>
      <c r="F108" s="554"/>
      <c r="G108" s="554"/>
      <c r="H108" s="554"/>
      <c r="I108" s="554"/>
      <c r="J108" s="554"/>
      <c r="K108" s="617" t="str">
        <f>IF($H108="","",INDEX(Teams[team_consolidation],MATCH(IF($E108="",$E$5,$E108),Teams[team_name],0)))</f>
        <v/>
      </c>
      <c r="L108" s="554"/>
      <c r="M108" s="554"/>
      <c r="N108" s="554"/>
      <c r="O108" s="554"/>
      <c r="P108" s="554"/>
      <c r="Q108" s="554"/>
      <c r="R108" s="554"/>
      <c r="S108" s="554"/>
      <c r="T108" s="554"/>
      <c r="U108" s="554"/>
      <c r="V108" s="554"/>
      <c r="W108" s="554"/>
      <c r="X108" s="554"/>
      <c r="Y108" s="554"/>
      <c r="Z108" s="554"/>
      <c r="AA108" s="554"/>
      <c r="AB108" s="554"/>
      <c r="AC108" s="554"/>
      <c r="AD108" s="554"/>
      <c r="AE108" s="554"/>
      <c r="AF108" s="554"/>
      <c r="AG108" s="554"/>
      <c r="AH108" s="554"/>
      <c r="AI108" s="554"/>
      <c r="AJ108" s="554"/>
      <c r="AK108" s="554"/>
      <c r="AL108" s="554"/>
      <c r="AM108" s="554"/>
      <c r="AN108" s="554"/>
      <c r="AO108" s="554"/>
      <c r="AP108" s="554"/>
      <c r="AQ108" s="554"/>
      <c r="AR108" s="554"/>
      <c r="AS108" s="554"/>
      <c r="AT108" s="554"/>
      <c r="AU108" s="554"/>
      <c r="AW108" t="b">
        <f t="array" ref="AW108">IF($H108="",TRUE,AND(OR($B108&lt;&gt;"",$B$5&lt;&gt;""),OR($C108&lt;&gt;"",$C$5&lt;&gt;""),OR($D108&lt;&gt;"",$D$5&lt;&gt;""),OR($E108&lt;&gt;"",$E$5&lt;&gt;""),OR($F108&lt;&gt;"",$F$5&lt;&gt;""),OR($G108&lt;&gt;"",$G$5&lt;&gt;""),NOT(ISERROR($L108:$AU108)),NOT(ISNA(MATCH(IF($D108="",$D$5,$D108)&amp;IF($C108="",$C$5,$C108),DeptBU,0)))))</f>
        <v>1</v>
      </c>
    </row>
    <row r="109" spans="2:49" x14ac:dyDescent="0.35">
      <c r="B109" s="554"/>
      <c r="C109" s="554"/>
      <c r="D109" s="554"/>
      <c r="E109" s="554"/>
      <c r="F109" s="554"/>
      <c r="G109" s="554"/>
      <c r="H109" s="554"/>
      <c r="I109" s="554"/>
      <c r="J109" s="554"/>
      <c r="K109" s="617" t="str">
        <f>IF($H109="","",INDEX(Teams[team_consolidation],MATCH(IF($E109="",$E$5,$E109),Teams[team_name],0)))</f>
        <v/>
      </c>
      <c r="L109" s="554"/>
      <c r="M109" s="554"/>
      <c r="N109" s="554"/>
      <c r="O109" s="554"/>
      <c r="P109" s="554"/>
      <c r="Q109" s="554"/>
      <c r="R109" s="554"/>
      <c r="S109" s="554"/>
      <c r="T109" s="554"/>
      <c r="U109" s="554"/>
      <c r="V109" s="554"/>
      <c r="W109" s="554"/>
      <c r="X109" s="554"/>
      <c r="Y109" s="554"/>
      <c r="Z109" s="554"/>
      <c r="AA109" s="554"/>
      <c r="AB109" s="554"/>
      <c r="AC109" s="554"/>
      <c r="AD109" s="554"/>
      <c r="AE109" s="554"/>
      <c r="AF109" s="554"/>
      <c r="AG109" s="554"/>
      <c r="AH109" s="554"/>
      <c r="AI109" s="554"/>
      <c r="AJ109" s="554"/>
      <c r="AK109" s="554"/>
      <c r="AL109" s="554"/>
      <c r="AM109" s="554"/>
      <c r="AN109" s="554"/>
      <c r="AO109" s="554"/>
      <c r="AP109" s="554"/>
      <c r="AQ109" s="554"/>
      <c r="AR109" s="554"/>
      <c r="AS109" s="554"/>
      <c r="AT109" s="554"/>
      <c r="AU109" s="554"/>
      <c r="AW109" t="b">
        <f t="array" ref="AW109">IF($H109="",TRUE,AND(OR($B109&lt;&gt;"",$B$5&lt;&gt;""),OR($C109&lt;&gt;"",$C$5&lt;&gt;""),OR($D109&lt;&gt;"",$D$5&lt;&gt;""),OR($E109&lt;&gt;"",$E$5&lt;&gt;""),OR($F109&lt;&gt;"",$F$5&lt;&gt;""),OR($G109&lt;&gt;"",$G$5&lt;&gt;""),NOT(ISERROR($L109:$AU109)),NOT(ISNA(MATCH(IF($D109="",$D$5,$D109)&amp;IF($C109="",$C$5,$C109),DeptBU,0)))))</f>
        <v>1</v>
      </c>
    </row>
    <row r="110" spans="2:49" x14ac:dyDescent="0.35">
      <c r="B110" s="554"/>
      <c r="C110" s="554"/>
      <c r="D110" s="554"/>
      <c r="E110" s="554"/>
      <c r="F110" s="554"/>
      <c r="G110" s="554"/>
      <c r="H110" s="554"/>
      <c r="I110" s="554"/>
      <c r="J110" s="554"/>
      <c r="K110" s="617" t="str">
        <f>IF($H110="","",INDEX(Teams[team_consolidation],MATCH(IF($E110="",$E$5,$E110),Teams[team_name],0)))</f>
        <v/>
      </c>
      <c r="L110" s="554"/>
      <c r="M110" s="554"/>
      <c r="N110" s="554"/>
      <c r="O110" s="554"/>
      <c r="P110" s="554"/>
      <c r="Q110" s="554"/>
      <c r="R110" s="554"/>
      <c r="S110" s="554"/>
      <c r="T110" s="554"/>
      <c r="U110" s="554"/>
      <c r="V110" s="554"/>
      <c r="W110" s="554"/>
      <c r="X110" s="554"/>
      <c r="Y110" s="554"/>
      <c r="Z110" s="554"/>
      <c r="AA110" s="554"/>
      <c r="AB110" s="554"/>
      <c r="AC110" s="554"/>
      <c r="AD110" s="554"/>
      <c r="AE110" s="554"/>
      <c r="AF110" s="554"/>
      <c r="AG110" s="554"/>
      <c r="AH110" s="554"/>
      <c r="AI110" s="554"/>
      <c r="AJ110" s="554"/>
      <c r="AK110" s="554"/>
      <c r="AL110" s="554"/>
      <c r="AM110" s="554"/>
      <c r="AN110" s="554"/>
      <c r="AO110" s="554"/>
      <c r="AP110" s="554"/>
      <c r="AQ110" s="554"/>
      <c r="AR110" s="554"/>
      <c r="AS110" s="554"/>
      <c r="AT110" s="554"/>
      <c r="AU110" s="554"/>
      <c r="AW110" t="b">
        <f t="array" ref="AW110">IF($H110="",TRUE,AND(OR($B110&lt;&gt;"",$B$5&lt;&gt;""),OR($C110&lt;&gt;"",$C$5&lt;&gt;""),OR($D110&lt;&gt;"",$D$5&lt;&gt;""),OR($E110&lt;&gt;"",$E$5&lt;&gt;""),OR($F110&lt;&gt;"",$F$5&lt;&gt;""),OR($G110&lt;&gt;"",$G$5&lt;&gt;""),NOT(ISERROR($L110:$AU110)),NOT(ISNA(MATCH(IF($D110="",$D$5,$D110)&amp;IF($C110="",$C$5,$C110),DeptBU,0)))))</f>
        <v>1</v>
      </c>
    </row>
    <row r="111" spans="2:49" x14ac:dyDescent="0.35">
      <c r="B111" s="554"/>
      <c r="C111" s="554"/>
      <c r="D111" s="554"/>
      <c r="E111" s="554"/>
      <c r="F111" s="554"/>
      <c r="G111" s="554"/>
      <c r="H111" s="554"/>
      <c r="I111" s="554"/>
      <c r="J111" s="554"/>
      <c r="K111" s="617" t="str">
        <f>IF($H111="","",INDEX(Teams[team_consolidation],MATCH(IF($E111="",$E$5,$E111),Teams[team_name],0)))</f>
        <v/>
      </c>
      <c r="L111" s="554"/>
      <c r="M111" s="554"/>
      <c r="N111" s="554"/>
      <c r="O111" s="554"/>
      <c r="P111" s="554"/>
      <c r="Q111" s="554"/>
      <c r="R111" s="554"/>
      <c r="S111" s="554"/>
      <c r="T111" s="554"/>
      <c r="U111" s="554"/>
      <c r="V111" s="554"/>
      <c r="W111" s="554"/>
      <c r="X111" s="554"/>
      <c r="Y111" s="554"/>
      <c r="Z111" s="554"/>
      <c r="AA111" s="554"/>
      <c r="AB111" s="554"/>
      <c r="AC111" s="554"/>
      <c r="AD111" s="554"/>
      <c r="AE111" s="554"/>
      <c r="AF111" s="554"/>
      <c r="AG111" s="554"/>
      <c r="AH111" s="554"/>
      <c r="AI111" s="554"/>
      <c r="AJ111" s="554"/>
      <c r="AK111" s="554"/>
      <c r="AL111" s="554"/>
      <c r="AM111" s="554"/>
      <c r="AN111" s="554"/>
      <c r="AO111" s="554"/>
      <c r="AP111" s="554"/>
      <c r="AQ111" s="554"/>
      <c r="AR111" s="554"/>
      <c r="AS111" s="554"/>
      <c r="AT111" s="554"/>
      <c r="AU111" s="554"/>
      <c r="AW111" t="b">
        <f t="array" ref="AW111">IF($H111="",TRUE,AND(OR($B111&lt;&gt;"",$B$5&lt;&gt;""),OR($C111&lt;&gt;"",$C$5&lt;&gt;""),OR($D111&lt;&gt;"",$D$5&lt;&gt;""),OR($E111&lt;&gt;"",$E$5&lt;&gt;""),OR($F111&lt;&gt;"",$F$5&lt;&gt;""),OR($G111&lt;&gt;"",$G$5&lt;&gt;""),NOT(ISERROR($L111:$AU111)),NOT(ISNA(MATCH(IF($D111="",$D$5,$D111)&amp;IF($C111="",$C$5,$C111),DeptBU,0)))))</f>
        <v>1</v>
      </c>
    </row>
    <row r="112" spans="2:49" x14ac:dyDescent="0.35">
      <c r="B112" s="554"/>
      <c r="C112" s="554"/>
      <c r="D112" s="554"/>
      <c r="E112" s="554"/>
      <c r="F112" s="554"/>
      <c r="G112" s="554"/>
      <c r="H112" s="554"/>
      <c r="I112" s="554"/>
      <c r="J112" s="554"/>
      <c r="K112" s="617" t="str">
        <f>IF($H112="","",INDEX(Teams[team_consolidation],MATCH(IF($E112="",$E$5,$E112),Teams[team_name],0)))</f>
        <v/>
      </c>
      <c r="L112" s="554"/>
      <c r="M112" s="554"/>
      <c r="N112" s="554"/>
      <c r="O112" s="554"/>
      <c r="P112" s="554"/>
      <c r="Q112" s="554"/>
      <c r="R112" s="554"/>
      <c r="S112" s="554"/>
      <c r="T112" s="554"/>
      <c r="U112" s="554"/>
      <c r="V112" s="554"/>
      <c r="W112" s="554"/>
      <c r="X112" s="554"/>
      <c r="Y112" s="554"/>
      <c r="Z112" s="554"/>
      <c r="AA112" s="554"/>
      <c r="AB112" s="554"/>
      <c r="AC112" s="554"/>
      <c r="AD112" s="554"/>
      <c r="AE112" s="554"/>
      <c r="AF112" s="554"/>
      <c r="AG112" s="554"/>
      <c r="AH112" s="554"/>
      <c r="AI112" s="554"/>
      <c r="AJ112" s="554"/>
      <c r="AK112" s="554"/>
      <c r="AL112" s="554"/>
      <c r="AM112" s="554"/>
      <c r="AN112" s="554"/>
      <c r="AO112" s="554"/>
      <c r="AP112" s="554"/>
      <c r="AQ112" s="554"/>
      <c r="AR112" s="554"/>
      <c r="AS112" s="554"/>
      <c r="AT112" s="554"/>
      <c r="AU112" s="554"/>
      <c r="AW112" t="b">
        <f t="array" ref="AW112">IF($H112="",TRUE,AND(OR($B112&lt;&gt;"",$B$5&lt;&gt;""),OR($C112&lt;&gt;"",$C$5&lt;&gt;""),OR($D112&lt;&gt;"",$D$5&lt;&gt;""),OR($E112&lt;&gt;"",$E$5&lt;&gt;""),OR($F112&lt;&gt;"",$F$5&lt;&gt;""),OR($G112&lt;&gt;"",$G$5&lt;&gt;""),NOT(ISERROR($L112:$AU112)),NOT(ISNA(MATCH(IF($D112="",$D$5,$D112)&amp;IF($C112="",$C$5,$C112),DeptBU,0)))))</f>
        <v>1</v>
      </c>
    </row>
    <row r="113" spans="2:49" x14ac:dyDescent="0.35">
      <c r="B113" s="554"/>
      <c r="C113" s="554"/>
      <c r="D113" s="554"/>
      <c r="E113" s="554"/>
      <c r="F113" s="554"/>
      <c r="G113" s="554"/>
      <c r="H113" s="554"/>
      <c r="I113" s="554"/>
      <c r="J113" s="554"/>
      <c r="K113" s="617" t="str">
        <f>IF($H113="","",INDEX(Teams[team_consolidation],MATCH(IF($E113="",$E$5,$E113),Teams[team_name],0)))</f>
        <v/>
      </c>
      <c r="L113" s="554"/>
      <c r="M113" s="554"/>
      <c r="N113" s="554"/>
      <c r="O113" s="554"/>
      <c r="P113" s="554"/>
      <c r="Q113" s="554"/>
      <c r="R113" s="554"/>
      <c r="S113" s="554"/>
      <c r="T113" s="554"/>
      <c r="U113" s="554"/>
      <c r="V113" s="554"/>
      <c r="W113" s="554"/>
      <c r="X113" s="554"/>
      <c r="Y113" s="554"/>
      <c r="Z113" s="554"/>
      <c r="AA113" s="554"/>
      <c r="AB113" s="554"/>
      <c r="AC113" s="554"/>
      <c r="AD113" s="554"/>
      <c r="AE113" s="554"/>
      <c r="AF113" s="554"/>
      <c r="AG113" s="554"/>
      <c r="AH113" s="554"/>
      <c r="AI113" s="554"/>
      <c r="AJ113" s="554"/>
      <c r="AK113" s="554"/>
      <c r="AL113" s="554"/>
      <c r="AM113" s="554"/>
      <c r="AN113" s="554"/>
      <c r="AO113" s="554"/>
      <c r="AP113" s="554"/>
      <c r="AQ113" s="554"/>
      <c r="AR113" s="554"/>
      <c r="AS113" s="554"/>
      <c r="AT113" s="554"/>
      <c r="AU113" s="554"/>
      <c r="AW113" t="b">
        <f t="array" ref="AW113">IF($H113="",TRUE,AND(OR($B113&lt;&gt;"",$B$5&lt;&gt;""),OR($C113&lt;&gt;"",$C$5&lt;&gt;""),OR($D113&lt;&gt;"",$D$5&lt;&gt;""),OR($E113&lt;&gt;"",$E$5&lt;&gt;""),OR($F113&lt;&gt;"",$F$5&lt;&gt;""),OR($G113&lt;&gt;"",$G$5&lt;&gt;""),NOT(ISERROR($L113:$AU113)),NOT(ISNA(MATCH(IF($D113="",$D$5,$D113)&amp;IF($C113="",$C$5,$C113),DeptBU,0)))))</f>
        <v>1</v>
      </c>
    </row>
    <row r="114" spans="2:49" x14ac:dyDescent="0.35">
      <c r="B114" s="554"/>
      <c r="C114" s="554"/>
      <c r="D114" s="554"/>
      <c r="E114" s="554"/>
      <c r="F114" s="554"/>
      <c r="G114" s="554"/>
      <c r="H114" s="554"/>
      <c r="I114" s="554"/>
      <c r="J114" s="554"/>
      <c r="K114" s="617" t="str">
        <f>IF($H114="","",INDEX(Teams[team_consolidation],MATCH(IF($E114="",$E$5,$E114),Teams[team_name],0)))</f>
        <v/>
      </c>
      <c r="L114" s="554"/>
      <c r="M114" s="554"/>
      <c r="N114" s="554"/>
      <c r="O114" s="554"/>
      <c r="P114" s="554"/>
      <c r="Q114" s="554"/>
      <c r="R114" s="554"/>
      <c r="S114" s="554"/>
      <c r="T114" s="554"/>
      <c r="U114" s="554"/>
      <c r="V114" s="554"/>
      <c r="W114" s="554"/>
      <c r="X114" s="554"/>
      <c r="Y114" s="554"/>
      <c r="Z114" s="554"/>
      <c r="AA114" s="554"/>
      <c r="AB114" s="554"/>
      <c r="AC114" s="554"/>
      <c r="AD114" s="554"/>
      <c r="AE114" s="554"/>
      <c r="AF114" s="554"/>
      <c r="AG114" s="554"/>
      <c r="AH114" s="554"/>
      <c r="AI114" s="554"/>
      <c r="AJ114" s="554"/>
      <c r="AK114" s="554"/>
      <c r="AL114" s="554"/>
      <c r="AM114" s="554"/>
      <c r="AN114" s="554"/>
      <c r="AO114" s="554"/>
      <c r="AP114" s="554"/>
      <c r="AQ114" s="554"/>
      <c r="AR114" s="554"/>
      <c r="AS114" s="554"/>
      <c r="AT114" s="554"/>
      <c r="AU114" s="554"/>
      <c r="AW114" t="b">
        <f t="array" ref="AW114">IF($H114="",TRUE,AND(OR($B114&lt;&gt;"",$B$5&lt;&gt;""),OR($C114&lt;&gt;"",$C$5&lt;&gt;""),OR($D114&lt;&gt;"",$D$5&lt;&gt;""),OR($E114&lt;&gt;"",$E$5&lt;&gt;""),OR($F114&lt;&gt;"",$F$5&lt;&gt;""),OR($G114&lt;&gt;"",$G$5&lt;&gt;""),NOT(ISERROR($L114:$AU114)),NOT(ISNA(MATCH(IF($D114="",$D$5,$D114)&amp;IF($C114="",$C$5,$C114),DeptBU,0)))))</f>
        <v>1</v>
      </c>
    </row>
    <row r="115" spans="2:49" x14ac:dyDescent="0.35">
      <c r="B115" s="554"/>
      <c r="C115" s="554"/>
      <c r="D115" s="554"/>
      <c r="E115" s="554"/>
      <c r="F115" s="554"/>
      <c r="G115" s="554"/>
      <c r="H115" s="554"/>
      <c r="I115" s="554"/>
      <c r="J115" s="554"/>
      <c r="K115" s="617" t="str">
        <f>IF($H115="","",INDEX(Teams[team_consolidation],MATCH(IF($E115="",$E$5,$E115),Teams[team_name],0)))</f>
        <v/>
      </c>
      <c r="L115" s="554"/>
      <c r="M115" s="554"/>
      <c r="N115" s="554"/>
      <c r="O115" s="554"/>
      <c r="P115" s="554"/>
      <c r="Q115" s="554"/>
      <c r="R115" s="554"/>
      <c r="S115" s="554"/>
      <c r="T115" s="554"/>
      <c r="U115" s="554"/>
      <c r="V115" s="554"/>
      <c r="W115" s="554"/>
      <c r="X115" s="554"/>
      <c r="Y115" s="554"/>
      <c r="Z115" s="554"/>
      <c r="AA115" s="554"/>
      <c r="AB115" s="554"/>
      <c r="AC115" s="554"/>
      <c r="AD115" s="554"/>
      <c r="AE115" s="554"/>
      <c r="AF115" s="554"/>
      <c r="AG115" s="554"/>
      <c r="AH115" s="554"/>
      <c r="AI115" s="554"/>
      <c r="AJ115" s="554"/>
      <c r="AK115" s="554"/>
      <c r="AL115" s="554"/>
      <c r="AM115" s="554"/>
      <c r="AN115" s="554"/>
      <c r="AO115" s="554"/>
      <c r="AP115" s="554"/>
      <c r="AQ115" s="554"/>
      <c r="AR115" s="554"/>
      <c r="AS115" s="554"/>
      <c r="AT115" s="554"/>
      <c r="AU115" s="554"/>
      <c r="AW115" t="b">
        <f t="array" ref="AW115">IF($H115="",TRUE,AND(OR($B115&lt;&gt;"",$B$5&lt;&gt;""),OR($C115&lt;&gt;"",$C$5&lt;&gt;""),OR($D115&lt;&gt;"",$D$5&lt;&gt;""),OR($E115&lt;&gt;"",$E$5&lt;&gt;""),OR($F115&lt;&gt;"",$F$5&lt;&gt;""),OR($G115&lt;&gt;"",$G$5&lt;&gt;""),NOT(ISERROR($L115:$AU115)),NOT(ISNA(MATCH(IF($D115="",$D$5,$D115)&amp;IF($C115="",$C$5,$C115),DeptBU,0)))))</f>
        <v>1</v>
      </c>
    </row>
    <row r="116" spans="2:49" x14ac:dyDescent="0.35">
      <c r="B116" s="554"/>
      <c r="C116" s="554"/>
      <c r="D116" s="554"/>
      <c r="E116" s="554"/>
      <c r="F116" s="554"/>
      <c r="G116" s="554"/>
      <c r="H116" s="554"/>
      <c r="I116" s="554"/>
      <c r="J116" s="554"/>
      <c r="K116" s="617" t="str">
        <f>IF($H116="","",INDEX(Teams[team_consolidation],MATCH(IF($E116="",$E$5,$E116),Teams[team_name],0)))</f>
        <v/>
      </c>
      <c r="L116" s="554"/>
      <c r="M116" s="554"/>
      <c r="N116" s="554"/>
      <c r="O116" s="554"/>
      <c r="P116" s="554"/>
      <c r="Q116" s="554"/>
      <c r="R116" s="554"/>
      <c r="S116" s="554"/>
      <c r="T116" s="554"/>
      <c r="U116" s="554"/>
      <c r="V116" s="554"/>
      <c r="W116" s="554"/>
      <c r="X116" s="554"/>
      <c r="Y116" s="554"/>
      <c r="Z116" s="554"/>
      <c r="AA116" s="554"/>
      <c r="AB116" s="554"/>
      <c r="AC116" s="554"/>
      <c r="AD116" s="554"/>
      <c r="AE116" s="554"/>
      <c r="AF116" s="554"/>
      <c r="AG116" s="554"/>
      <c r="AH116" s="554"/>
      <c r="AI116" s="554"/>
      <c r="AJ116" s="554"/>
      <c r="AK116" s="554"/>
      <c r="AL116" s="554"/>
      <c r="AM116" s="554"/>
      <c r="AN116" s="554"/>
      <c r="AO116" s="554"/>
      <c r="AP116" s="554"/>
      <c r="AQ116" s="554"/>
      <c r="AR116" s="554"/>
      <c r="AS116" s="554"/>
      <c r="AT116" s="554"/>
      <c r="AU116" s="554"/>
      <c r="AW116" t="b">
        <f t="array" ref="AW116">IF($H116="",TRUE,AND(OR($B116&lt;&gt;"",$B$5&lt;&gt;""),OR($C116&lt;&gt;"",$C$5&lt;&gt;""),OR($D116&lt;&gt;"",$D$5&lt;&gt;""),OR($E116&lt;&gt;"",$E$5&lt;&gt;""),OR($F116&lt;&gt;"",$F$5&lt;&gt;""),OR($G116&lt;&gt;"",$G$5&lt;&gt;""),NOT(ISERROR($L116:$AU116)),NOT(ISNA(MATCH(IF($D116="",$D$5,$D116)&amp;IF($C116="",$C$5,$C116),DeptBU,0)))))</f>
        <v>1</v>
      </c>
    </row>
    <row r="117" spans="2:49" x14ac:dyDescent="0.35">
      <c r="B117" s="554"/>
      <c r="C117" s="554"/>
      <c r="D117" s="554"/>
      <c r="E117" s="554"/>
      <c r="F117" s="554"/>
      <c r="G117" s="554"/>
      <c r="H117" s="554"/>
      <c r="I117" s="554"/>
      <c r="J117" s="554"/>
      <c r="K117" s="617" t="str">
        <f>IF($H117="","",INDEX(Teams[team_consolidation],MATCH(IF($E117="",$E$5,$E117),Teams[team_name],0)))</f>
        <v/>
      </c>
      <c r="L117" s="554"/>
      <c r="M117" s="554"/>
      <c r="N117" s="554"/>
      <c r="O117" s="554"/>
      <c r="P117" s="554"/>
      <c r="Q117" s="554"/>
      <c r="R117" s="554"/>
      <c r="S117" s="554"/>
      <c r="T117" s="554"/>
      <c r="U117" s="554"/>
      <c r="V117" s="554"/>
      <c r="W117" s="554"/>
      <c r="X117" s="554"/>
      <c r="Y117" s="554"/>
      <c r="Z117" s="554"/>
      <c r="AA117" s="554"/>
      <c r="AB117" s="554"/>
      <c r="AC117" s="554"/>
      <c r="AD117" s="554"/>
      <c r="AE117" s="554"/>
      <c r="AF117" s="554"/>
      <c r="AG117" s="554"/>
      <c r="AH117" s="554"/>
      <c r="AI117" s="554"/>
      <c r="AJ117" s="554"/>
      <c r="AK117" s="554"/>
      <c r="AL117" s="554"/>
      <c r="AM117" s="554"/>
      <c r="AN117" s="554"/>
      <c r="AO117" s="554"/>
      <c r="AP117" s="554"/>
      <c r="AQ117" s="554"/>
      <c r="AR117" s="554"/>
      <c r="AS117" s="554"/>
      <c r="AT117" s="554"/>
      <c r="AU117" s="554"/>
      <c r="AW117" t="b">
        <f t="array" ref="AW117">IF($H117="",TRUE,AND(OR($B117&lt;&gt;"",$B$5&lt;&gt;""),OR($C117&lt;&gt;"",$C$5&lt;&gt;""),OR($D117&lt;&gt;"",$D$5&lt;&gt;""),OR($E117&lt;&gt;"",$E$5&lt;&gt;""),OR($F117&lt;&gt;"",$F$5&lt;&gt;""),OR($G117&lt;&gt;"",$G$5&lt;&gt;""),NOT(ISERROR($L117:$AU117)),NOT(ISNA(MATCH(IF($D117="",$D$5,$D117)&amp;IF($C117="",$C$5,$C117),DeptBU,0)))))</f>
        <v>1</v>
      </c>
    </row>
    <row r="118" spans="2:49" x14ac:dyDescent="0.35">
      <c r="B118" s="554"/>
      <c r="C118" s="554"/>
      <c r="D118" s="554"/>
      <c r="E118" s="554"/>
      <c r="F118" s="554"/>
      <c r="G118" s="554"/>
      <c r="H118" s="554"/>
      <c r="I118" s="554"/>
      <c r="J118" s="554"/>
      <c r="K118" s="617" t="str">
        <f>IF($H118="","",INDEX(Teams[team_consolidation],MATCH(IF($E118="",$E$5,$E118),Teams[team_name],0)))</f>
        <v/>
      </c>
      <c r="L118" s="554"/>
      <c r="M118" s="554"/>
      <c r="N118" s="554"/>
      <c r="O118" s="554"/>
      <c r="P118" s="554"/>
      <c r="Q118" s="554"/>
      <c r="R118" s="554"/>
      <c r="S118" s="554"/>
      <c r="T118" s="554"/>
      <c r="U118" s="554"/>
      <c r="V118" s="554"/>
      <c r="W118" s="554"/>
      <c r="X118" s="554"/>
      <c r="Y118" s="554"/>
      <c r="Z118" s="554"/>
      <c r="AA118" s="554"/>
      <c r="AB118" s="554"/>
      <c r="AC118" s="554"/>
      <c r="AD118" s="554"/>
      <c r="AE118" s="554"/>
      <c r="AF118" s="554"/>
      <c r="AG118" s="554"/>
      <c r="AH118" s="554"/>
      <c r="AI118" s="554"/>
      <c r="AJ118" s="554"/>
      <c r="AK118" s="554"/>
      <c r="AL118" s="554"/>
      <c r="AM118" s="554"/>
      <c r="AN118" s="554"/>
      <c r="AO118" s="554"/>
      <c r="AP118" s="554"/>
      <c r="AQ118" s="554"/>
      <c r="AR118" s="554"/>
      <c r="AS118" s="554"/>
      <c r="AT118" s="554"/>
      <c r="AU118" s="554"/>
      <c r="AW118" t="b">
        <f t="array" ref="AW118">IF($H118="",TRUE,AND(OR($B118&lt;&gt;"",$B$5&lt;&gt;""),OR($C118&lt;&gt;"",$C$5&lt;&gt;""),OR($D118&lt;&gt;"",$D$5&lt;&gt;""),OR($E118&lt;&gt;"",$E$5&lt;&gt;""),OR($F118&lt;&gt;"",$F$5&lt;&gt;""),OR($G118&lt;&gt;"",$G$5&lt;&gt;""),NOT(ISERROR($L118:$AU118)),NOT(ISNA(MATCH(IF($D118="",$D$5,$D118)&amp;IF($C118="",$C$5,$C118),DeptBU,0)))))</f>
        <v>1</v>
      </c>
    </row>
    <row r="119" spans="2:49" x14ac:dyDescent="0.35">
      <c r="B119" s="554"/>
      <c r="C119" s="554"/>
      <c r="D119" s="554"/>
      <c r="E119" s="554"/>
      <c r="F119" s="554"/>
      <c r="G119" s="554"/>
      <c r="H119" s="554"/>
      <c r="I119" s="554"/>
      <c r="J119" s="554"/>
      <c r="K119" s="617" t="str">
        <f>IF($H119="","",INDEX(Teams[team_consolidation],MATCH(IF($E119="",$E$5,$E119),Teams[team_name],0)))</f>
        <v/>
      </c>
      <c r="L119" s="554"/>
      <c r="M119" s="554"/>
      <c r="N119" s="554"/>
      <c r="O119" s="554"/>
      <c r="P119" s="554"/>
      <c r="Q119" s="554"/>
      <c r="R119" s="554"/>
      <c r="S119" s="554"/>
      <c r="T119" s="554"/>
      <c r="U119" s="554"/>
      <c r="V119" s="554"/>
      <c r="W119" s="554"/>
      <c r="X119" s="554"/>
      <c r="Y119" s="554"/>
      <c r="Z119" s="554"/>
      <c r="AA119" s="554"/>
      <c r="AB119" s="554"/>
      <c r="AC119" s="554"/>
      <c r="AD119" s="554"/>
      <c r="AE119" s="554"/>
      <c r="AF119" s="554"/>
      <c r="AG119" s="554"/>
      <c r="AH119" s="554"/>
      <c r="AI119" s="554"/>
      <c r="AJ119" s="554"/>
      <c r="AK119" s="554"/>
      <c r="AL119" s="554"/>
      <c r="AM119" s="554"/>
      <c r="AN119" s="554"/>
      <c r="AO119" s="554"/>
      <c r="AP119" s="554"/>
      <c r="AQ119" s="554"/>
      <c r="AR119" s="554"/>
      <c r="AS119" s="554"/>
      <c r="AT119" s="554"/>
      <c r="AU119" s="554"/>
      <c r="AW119" t="b">
        <f t="array" ref="AW119">IF($H119="",TRUE,AND(OR($B119&lt;&gt;"",$B$5&lt;&gt;""),OR($C119&lt;&gt;"",$C$5&lt;&gt;""),OR($D119&lt;&gt;"",$D$5&lt;&gt;""),OR($E119&lt;&gt;"",$E$5&lt;&gt;""),OR($F119&lt;&gt;"",$F$5&lt;&gt;""),OR($G119&lt;&gt;"",$G$5&lt;&gt;""),NOT(ISERROR($L119:$AU119)),NOT(ISNA(MATCH(IF($D119="",$D$5,$D119)&amp;IF($C119="",$C$5,$C119),DeptBU,0)))))</f>
        <v>1</v>
      </c>
    </row>
    <row r="120" spans="2:49" x14ac:dyDescent="0.35">
      <c r="B120" s="554"/>
      <c r="C120" s="554"/>
      <c r="D120" s="554"/>
      <c r="E120" s="554"/>
      <c r="F120" s="554"/>
      <c r="G120" s="554"/>
      <c r="H120" s="554"/>
      <c r="I120" s="554"/>
      <c r="J120" s="554"/>
      <c r="K120" s="617" t="str">
        <f>IF($H120="","",INDEX(Teams[team_consolidation],MATCH(IF($E120="",$E$5,$E120),Teams[team_name],0)))</f>
        <v/>
      </c>
      <c r="L120" s="554"/>
      <c r="M120" s="554"/>
      <c r="N120" s="554"/>
      <c r="O120" s="554"/>
      <c r="P120" s="554"/>
      <c r="Q120" s="554"/>
      <c r="R120" s="554"/>
      <c r="S120" s="554"/>
      <c r="T120" s="554"/>
      <c r="U120" s="554"/>
      <c r="V120" s="554"/>
      <c r="W120" s="554"/>
      <c r="X120" s="554"/>
      <c r="Y120" s="554"/>
      <c r="Z120" s="554"/>
      <c r="AA120" s="554"/>
      <c r="AB120" s="554"/>
      <c r="AC120" s="554"/>
      <c r="AD120" s="554"/>
      <c r="AE120" s="554"/>
      <c r="AF120" s="554"/>
      <c r="AG120" s="554"/>
      <c r="AH120" s="554"/>
      <c r="AI120" s="554"/>
      <c r="AJ120" s="554"/>
      <c r="AK120" s="554"/>
      <c r="AL120" s="554"/>
      <c r="AM120" s="554"/>
      <c r="AN120" s="554"/>
      <c r="AO120" s="554"/>
      <c r="AP120" s="554"/>
      <c r="AQ120" s="554"/>
      <c r="AR120" s="554"/>
      <c r="AS120" s="554"/>
      <c r="AT120" s="554"/>
      <c r="AU120" s="554"/>
      <c r="AW120" t="b">
        <f t="array" ref="AW120">IF($H120="",TRUE,AND(OR($B120&lt;&gt;"",$B$5&lt;&gt;""),OR($C120&lt;&gt;"",$C$5&lt;&gt;""),OR($D120&lt;&gt;"",$D$5&lt;&gt;""),OR($E120&lt;&gt;"",$E$5&lt;&gt;""),OR($F120&lt;&gt;"",$F$5&lt;&gt;""),OR($G120&lt;&gt;"",$G$5&lt;&gt;""),NOT(ISERROR($L120:$AU120)),NOT(ISNA(MATCH(IF($D120="",$D$5,$D120)&amp;IF($C120="",$C$5,$C120),DeptBU,0)))))</f>
        <v>1</v>
      </c>
    </row>
    <row r="121" spans="2:49" x14ac:dyDescent="0.35">
      <c r="B121" s="554"/>
      <c r="C121" s="554"/>
      <c r="D121" s="554"/>
      <c r="E121" s="554"/>
      <c r="F121" s="554"/>
      <c r="G121" s="554"/>
      <c r="H121" s="554"/>
      <c r="I121" s="554"/>
      <c r="J121" s="554"/>
      <c r="K121" s="617" t="str">
        <f>IF($H121="","",INDEX(Teams[team_consolidation],MATCH(IF($E121="",$E$5,$E121),Teams[team_name],0)))</f>
        <v/>
      </c>
      <c r="L121" s="554"/>
      <c r="M121" s="554"/>
      <c r="N121" s="554"/>
      <c r="O121" s="554"/>
      <c r="P121" s="554"/>
      <c r="Q121" s="554"/>
      <c r="R121" s="554"/>
      <c r="S121" s="554"/>
      <c r="T121" s="554"/>
      <c r="U121" s="554"/>
      <c r="V121" s="554"/>
      <c r="W121" s="554"/>
      <c r="X121" s="554"/>
      <c r="Y121" s="554"/>
      <c r="Z121" s="554"/>
      <c r="AA121" s="554"/>
      <c r="AB121" s="554"/>
      <c r="AC121" s="554"/>
      <c r="AD121" s="554"/>
      <c r="AE121" s="554"/>
      <c r="AF121" s="554"/>
      <c r="AG121" s="554"/>
      <c r="AH121" s="554"/>
      <c r="AI121" s="554"/>
      <c r="AJ121" s="554"/>
      <c r="AK121" s="554"/>
      <c r="AL121" s="554"/>
      <c r="AM121" s="554"/>
      <c r="AN121" s="554"/>
      <c r="AO121" s="554"/>
      <c r="AP121" s="554"/>
      <c r="AQ121" s="554"/>
      <c r="AR121" s="554"/>
      <c r="AS121" s="554"/>
      <c r="AT121" s="554"/>
      <c r="AU121" s="554"/>
      <c r="AW121" t="b">
        <f t="array" ref="AW121">IF($H121="",TRUE,AND(OR($B121&lt;&gt;"",$B$5&lt;&gt;""),OR($C121&lt;&gt;"",$C$5&lt;&gt;""),OR($D121&lt;&gt;"",$D$5&lt;&gt;""),OR($E121&lt;&gt;"",$E$5&lt;&gt;""),OR($F121&lt;&gt;"",$F$5&lt;&gt;""),OR($G121&lt;&gt;"",$G$5&lt;&gt;""),NOT(ISERROR($L121:$AU121)),NOT(ISNA(MATCH(IF($D121="",$D$5,$D121)&amp;IF($C121="",$C$5,$C121),DeptBU,0)))))</f>
        <v>1</v>
      </c>
    </row>
    <row r="122" spans="2:49" x14ac:dyDescent="0.35">
      <c r="B122" s="554"/>
      <c r="C122" s="554"/>
      <c r="D122" s="554"/>
      <c r="E122" s="554"/>
      <c r="F122" s="554"/>
      <c r="G122" s="554"/>
      <c r="H122" s="554"/>
      <c r="I122" s="554"/>
      <c r="J122" s="554"/>
      <c r="K122" s="617" t="str">
        <f>IF($H122="","",INDEX(Teams[team_consolidation],MATCH(IF($E122="",$E$5,$E122),Teams[team_name],0)))</f>
        <v/>
      </c>
      <c r="L122" s="554"/>
      <c r="M122" s="554"/>
      <c r="N122" s="554"/>
      <c r="O122" s="554"/>
      <c r="P122" s="554"/>
      <c r="Q122" s="554"/>
      <c r="R122" s="554"/>
      <c r="S122" s="554"/>
      <c r="T122" s="554"/>
      <c r="U122" s="554"/>
      <c r="V122" s="554"/>
      <c r="W122" s="554"/>
      <c r="X122" s="554"/>
      <c r="Y122" s="554"/>
      <c r="Z122" s="554"/>
      <c r="AA122" s="554"/>
      <c r="AB122" s="554"/>
      <c r="AC122" s="554"/>
      <c r="AD122" s="554"/>
      <c r="AE122" s="554"/>
      <c r="AF122" s="554"/>
      <c r="AG122" s="554"/>
      <c r="AH122" s="554"/>
      <c r="AI122" s="554"/>
      <c r="AJ122" s="554"/>
      <c r="AK122" s="554"/>
      <c r="AL122" s="554"/>
      <c r="AM122" s="554"/>
      <c r="AN122" s="554"/>
      <c r="AO122" s="554"/>
      <c r="AP122" s="554"/>
      <c r="AQ122" s="554"/>
      <c r="AR122" s="554"/>
      <c r="AS122" s="554"/>
      <c r="AT122" s="554"/>
      <c r="AU122" s="554"/>
      <c r="AW122" t="b">
        <f t="array" ref="AW122">IF($H122="",TRUE,AND(OR($B122&lt;&gt;"",$B$5&lt;&gt;""),OR($C122&lt;&gt;"",$C$5&lt;&gt;""),OR($D122&lt;&gt;"",$D$5&lt;&gt;""),OR($E122&lt;&gt;"",$E$5&lt;&gt;""),OR($F122&lt;&gt;"",$F$5&lt;&gt;""),OR($G122&lt;&gt;"",$G$5&lt;&gt;""),NOT(ISERROR($L122:$AU122)),NOT(ISNA(MATCH(IF($D122="",$D$5,$D122)&amp;IF($C122="",$C$5,$C122),DeptBU,0)))))</f>
        <v>1</v>
      </c>
    </row>
    <row r="123" spans="2:49" x14ac:dyDescent="0.35">
      <c r="B123" s="554"/>
      <c r="C123" s="554"/>
      <c r="D123" s="554"/>
      <c r="E123" s="554"/>
      <c r="F123" s="554"/>
      <c r="G123" s="554"/>
      <c r="H123" s="554"/>
      <c r="I123" s="554"/>
      <c r="J123" s="554"/>
      <c r="K123" s="617" t="str">
        <f>IF($H123="","",INDEX(Teams[team_consolidation],MATCH(IF($E123="",$E$5,$E123),Teams[team_name],0)))</f>
        <v/>
      </c>
      <c r="L123" s="554"/>
      <c r="M123" s="554"/>
      <c r="N123" s="554"/>
      <c r="O123" s="554"/>
      <c r="P123" s="554"/>
      <c r="Q123" s="554"/>
      <c r="R123" s="554"/>
      <c r="S123" s="554"/>
      <c r="T123" s="554"/>
      <c r="U123" s="554"/>
      <c r="V123" s="554"/>
      <c r="W123" s="554"/>
      <c r="X123" s="554"/>
      <c r="Y123" s="554"/>
      <c r="Z123" s="554"/>
      <c r="AA123" s="554"/>
      <c r="AB123" s="554"/>
      <c r="AC123" s="554"/>
      <c r="AD123" s="554"/>
      <c r="AE123" s="554"/>
      <c r="AF123" s="554"/>
      <c r="AG123" s="554"/>
      <c r="AH123" s="554"/>
      <c r="AI123" s="554"/>
      <c r="AJ123" s="554"/>
      <c r="AK123" s="554"/>
      <c r="AL123" s="554"/>
      <c r="AM123" s="554"/>
      <c r="AN123" s="554"/>
      <c r="AO123" s="554"/>
      <c r="AP123" s="554"/>
      <c r="AQ123" s="554"/>
      <c r="AR123" s="554"/>
      <c r="AS123" s="554"/>
      <c r="AT123" s="554"/>
      <c r="AU123" s="554"/>
      <c r="AW123" t="b">
        <f t="array" ref="AW123">IF($H123="",TRUE,AND(OR($B123&lt;&gt;"",$B$5&lt;&gt;""),OR($C123&lt;&gt;"",$C$5&lt;&gt;""),OR($D123&lt;&gt;"",$D$5&lt;&gt;""),OR($E123&lt;&gt;"",$E$5&lt;&gt;""),OR($F123&lt;&gt;"",$F$5&lt;&gt;""),OR($G123&lt;&gt;"",$G$5&lt;&gt;""),NOT(ISERROR($L123:$AU123)),NOT(ISNA(MATCH(IF($D123="",$D$5,$D123)&amp;IF($C123="",$C$5,$C123),DeptBU,0)))))</f>
        <v>1</v>
      </c>
    </row>
    <row r="124" spans="2:49" x14ac:dyDescent="0.35">
      <c r="B124" s="554"/>
      <c r="C124" s="554"/>
      <c r="D124" s="554"/>
      <c r="E124" s="554"/>
      <c r="F124" s="554"/>
      <c r="G124" s="554"/>
      <c r="H124" s="554"/>
      <c r="I124" s="554"/>
      <c r="J124" s="554"/>
      <c r="K124" s="617" t="str">
        <f>IF($H124="","",INDEX(Teams[team_consolidation],MATCH(IF($E124="",$E$5,$E124),Teams[team_name],0)))</f>
        <v/>
      </c>
      <c r="L124" s="554"/>
      <c r="M124" s="554"/>
      <c r="N124" s="554"/>
      <c r="O124" s="554"/>
      <c r="P124" s="554"/>
      <c r="Q124" s="554"/>
      <c r="R124" s="554"/>
      <c r="S124" s="554"/>
      <c r="T124" s="554"/>
      <c r="U124" s="554"/>
      <c r="V124" s="554"/>
      <c r="W124" s="554"/>
      <c r="X124" s="554"/>
      <c r="Y124" s="554"/>
      <c r="Z124" s="554"/>
      <c r="AA124" s="554"/>
      <c r="AB124" s="554"/>
      <c r="AC124" s="554"/>
      <c r="AD124" s="554"/>
      <c r="AE124" s="554"/>
      <c r="AF124" s="554"/>
      <c r="AG124" s="554"/>
      <c r="AH124" s="554"/>
      <c r="AI124" s="554"/>
      <c r="AJ124" s="554"/>
      <c r="AK124" s="554"/>
      <c r="AL124" s="554"/>
      <c r="AM124" s="554"/>
      <c r="AN124" s="554"/>
      <c r="AO124" s="554"/>
      <c r="AP124" s="554"/>
      <c r="AQ124" s="554"/>
      <c r="AR124" s="554"/>
      <c r="AS124" s="554"/>
      <c r="AT124" s="554"/>
      <c r="AU124" s="554"/>
      <c r="AW124" t="b">
        <f t="array" ref="AW124">IF($H124="",TRUE,AND(OR($B124&lt;&gt;"",$B$5&lt;&gt;""),OR($C124&lt;&gt;"",$C$5&lt;&gt;""),OR($D124&lt;&gt;"",$D$5&lt;&gt;""),OR($E124&lt;&gt;"",$E$5&lt;&gt;""),OR($F124&lt;&gt;"",$F$5&lt;&gt;""),OR($G124&lt;&gt;"",$G$5&lt;&gt;""),NOT(ISERROR($L124:$AU124)),NOT(ISNA(MATCH(IF($D124="",$D$5,$D124)&amp;IF($C124="",$C$5,$C124),DeptBU,0)))))</f>
        <v>1</v>
      </c>
    </row>
    <row r="125" spans="2:49" x14ac:dyDescent="0.35">
      <c r="B125" s="554"/>
      <c r="C125" s="554"/>
      <c r="D125" s="554"/>
      <c r="E125" s="554"/>
      <c r="F125" s="554"/>
      <c r="G125" s="554"/>
      <c r="H125" s="554"/>
      <c r="I125" s="554"/>
      <c r="J125" s="554"/>
      <c r="K125" s="617" t="str">
        <f>IF($H125="","",INDEX(Teams[team_consolidation],MATCH(IF($E125="",$E$5,$E125),Teams[team_name],0)))</f>
        <v/>
      </c>
      <c r="L125" s="554"/>
      <c r="M125" s="554"/>
      <c r="N125" s="554"/>
      <c r="O125" s="554"/>
      <c r="P125" s="554"/>
      <c r="Q125" s="554"/>
      <c r="R125" s="554"/>
      <c r="S125" s="554"/>
      <c r="T125" s="554"/>
      <c r="U125" s="554"/>
      <c r="V125" s="554"/>
      <c r="W125" s="554"/>
      <c r="X125" s="554"/>
      <c r="Y125" s="554"/>
      <c r="Z125" s="554"/>
      <c r="AA125" s="554"/>
      <c r="AB125" s="554"/>
      <c r="AC125" s="554"/>
      <c r="AD125" s="554"/>
      <c r="AE125" s="554"/>
      <c r="AF125" s="554"/>
      <c r="AG125" s="554"/>
      <c r="AH125" s="554"/>
      <c r="AI125" s="554"/>
      <c r="AJ125" s="554"/>
      <c r="AK125" s="554"/>
      <c r="AL125" s="554"/>
      <c r="AM125" s="554"/>
      <c r="AN125" s="554"/>
      <c r="AO125" s="554"/>
      <c r="AP125" s="554"/>
      <c r="AQ125" s="554"/>
      <c r="AR125" s="554"/>
      <c r="AS125" s="554"/>
      <c r="AT125" s="554"/>
      <c r="AU125" s="554"/>
      <c r="AW125" t="b">
        <f t="array" ref="AW125">IF($H125="",TRUE,AND(OR($B125&lt;&gt;"",$B$5&lt;&gt;""),OR($C125&lt;&gt;"",$C$5&lt;&gt;""),OR($D125&lt;&gt;"",$D$5&lt;&gt;""),OR($E125&lt;&gt;"",$E$5&lt;&gt;""),OR($F125&lt;&gt;"",$F$5&lt;&gt;""),OR($G125&lt;&gt;"",$G$5&lt;&gt;""),NOT(ISERROR($L125:$AU125)),NOT(ISNA(MATCH(IF($D125="",$D$5,$D125)&amp;IF($C125="",$C$5,$C125),DeptBU,0)))))</f>
        <v>1</v>
      </c>
    </row>
    <row r="126" spans="2:49" x14ac:dyDescent="0.35">
      <c r="B126" s="554"/>
      <c r="C126" s="554"/>
      <c r="D126" s="554"/>
      <c r="E126" s="554"/>
      <c r="F126" s="554"/>
      <c r="G126" s="554"/>
      <c r="H126" s="554"/>
      <c r="I126" s="554"/>
      <c r="J126" s="554"/>
      <c r="K126" s="617" t="str">
        <f>IF($H126="","",INDEX(Teams[team_consolidation],MATCH(IF($E126="",$E$5,$E126),Teams[team_name],0)))</f>
        <v/>
      </c>
      <c r="L126" s="554"/>
      <c r="M126" s="554"/>
      <c r="N126" s="554"/>
      <c r="O126" s="554"/>
      <c r="P126" s="554"/>
      <c r="Q126" s="554"/>
      <c r="R126" s="554"/>
      <c r="S126" s="554"/>
      <c r="T126" s="554"/>
      <c r="U126" s="554"/>
      <c r="V126" s="554"/>
      <c r="W126" s="554"/>
      <c r="X126" s="554"/>
      <c r="Y126" s="554"/>
      <c r="Z126" s="554"/>
      <c r="AA126" s="554"/>
      <c r="AB126" s="554"/>
      <c r="AC126" s="554"/>
      <c r="AD126" s="554"/>
      <c r="AE126" s="554"/>
      <c r="AF126" s="554"/>
      <c r="AG126" s="554"/>
      <c r="AH126" s="554"/>
      <c r="AI126" s="554"/>
      <c r="AJ126" s="554"/>
      <c r="AK126" s="554"/>
      <c r="AL126" s="554"/>
      <c r="AM126" s="554"/>
      <c r="AN126" s="554"/>
      <c r="AO126" s="554"/>
      <c r="AP126" s="554"/>
      <c r="AQ126" s="554"/>
      <c r="AR126" s="554"/>
      <c r="AS126" s="554"/>
      <c r="AT126" s="554"/>
      <c r="AU126" s="554"/>
      <c r="AW126" t="b">
        <f t="array" ref="AW126">IF($H126="",TRUE,AND(OR($B126&lt;&gt;"",$B$5&lt;&gt;""),OR($C126&lt;&gt;"",$C$5&lt;&gt;""),OR($D126&lt;&gt;"",$D$5&lt;&gt;""),OR($E126&lt;&gt;"",$E$5&lt;&gt;""),OR($F126&lt;&gt;"",$F$5&lt;&gt;""),OR($G126&lt;&gt;"",$G$5&lt;&gt;""),NOT(ISERROR($L126:$AU126)),NOT(ISNA(MATCH(IF($D126="",$D$5,$D126)&amp;IF($C126="",$C$5,$C126),DeptBU,0)))))</f>
        <v>1</v>
      </c>
    </row>
    <row r="127" spans="2:49" x14ac:dyDescent="0.35">
      <c r="B127" s="554"/>
      <c r="C127" s="554"/>
      <c r="D127" s="554"/>
      <c r="E127" s="554"/>
      <c r="F127" s="554"/>
      <c r="G127" s="554"/>
      <c r="H127" s="554"/>
      <c r="I127" s="554"/>
      <c r="J127" s="554"/>
      <c r="K127" s="617" t="str">
        <f>IF($H127="","",INDEX(Teams[team_consolidation],MATCH(IF($E127="",$E$5,$E127),Teams[team_name],0)))</f>
        <v/>
      </c>
      <c r="L127" s="554"/>
      <c r="M127" s="554"/>
      <c r="N127" s="554"/>
      <c r="O127" s="554"/>
      <c r="P127" s="554"/>
      <c r="Q127" s="554"/>
      <c r="R127" s="554"/>
      <c r="S127" s="554"/>
      <c r="T127" s="554"/>
      <c r="U127" s="554"/>
      <c r="V127" s="554"/>
      <c r="W127" s="554"/>
      <c r="X127" s="554"/>
      <c r="Y127" s="554"/>
      <c r="Z127" s="554"/>
      <c r="AA127" s="554"/>
      <c r="AB127" s="554"/>
      <c r="AC127" s="554"/>
      <c r="AD127" s="554"/>
      <c r="AE127" s="554"/>
      <c r="AF127" s="554"/>
      <c r="AG127" s="554"/>
      <c r="AH127" s="554"/>
      <c r="AI127" s="554"/>
      <c r="AJ127" s="554"/>
      <c r="AK127" s="554"/>
      <c r="AL127" s="554"/>
      <c r="AM127" s="554"/>
      <c r="AN127" s="554"/>
      <c r="AO127" s="554"/>
      <c r="AP127" s="554"/>
      <c r="AQ127" s="554"/>
      <c r="AR127" s="554"/>
      <c r="AS127" s="554"/>
      <c r="AT127" s="554"/>
      <c r="AU127" s="554"/>
      <c r="AW127" t="b">
        <f t="array" ref="AW127">IF($H127="",TRUE,AND(OR($B127&lt;&gt;"",$B$5&lt;&gt;""),OR($C127&lt;&gt;"",$C$5&lt;&gt;""),OR($D127&lt;&gt;"",$D$5&lt;&gt;""),OR($E127&lt;&gt;"",$E$5&lt;&gt;""),OR($F127&lt;&gt;"",$F$5&lt;&gt;""),OR($G127&lt;&gt;"",$G$5&lt;&gt;""),NOT(ISERROR($L127:$AU127)),NOT(ISNA(MATCH(IF($D127="",$D$5,$D127)&amp;IF($C127="",$C$5,$C127),DeptBU,0)))))</f>
        <v>1</v>
      </c>
    </row>
    <row r="128" spans="2:49" x14ac:dyDescent="0.35">
      <c r="B128" s="554"/>
      <c r="C128" s="554"/>
      <c r="D128" s="554"/>
      <c r="E128" s="554"/>
      <c r="F128" s="554"/>
      <c r="G128" s="554"/>
      <c r="H128" s="554"/>
      <c r="I128" s="554"/>
      <c r="J128" s="554"/>
      <c r="K128" s="617" t="str">
        <f>IF($H128="","",INDEX(Teams[team_consolidation],MATCH(IF($E128="",$E$5,$E128),Teams[team_name],0)))</f>
        <v/>
      </c>
      <c r="L128" s="554"/>
      <c r="M128" s="554"/>
      <c r="N128" s="554"/>
      <c r="O128" s="554"/>
      <c r="P128" s="554"/>
      <c r="Q128" s="554"/>
      <c r="R128" s="554"/>
      <c r="S128" s="554"/>
      <c r="T128" s="554"/>
      <c r="U128" s="554"/>
      <c r="V128" s="554"/>
      <c r="W128" s="554"/>
      <c r="X128" s="554"/>
      <c r="Y128" s="554"/>
      <c r="Z128" s="554"/>
      <c r="AA128" s="554"/>
      <c r="AB128" s="554"/>
      <c r="AC128" s="554"/>
      <c r="AD128" s="554"/>
      <c r="AE128" s="554"/>
      <c r="AF128" s="554"/>
      <c r="AG128" s="554"/>
      <c r="AH128" s="554"/>
      <c r="AI128" s="554"/>
      <c r="AJ128" s="554"/>
      <c r="AK128" s="554"/>
      <c r="AL128" s="554"/>
      <c r="AM128" s="554"/>
      <c r="AN128" s="554"/>
      <c r="AO128" s="554"/>
      <c r="AP128" s="554"/>
      <c r="AQ128" s="554"/>
      <c r="AR128" s="554"/>
      <c r="AS128" s="554"/>
      <c r="AT128" s="554"/>
      <c r="AU128" s="554"/>
      <c r="AW128" t="b">
        <f t="array" ref="AW128">IF($H128="",TRUE,AND(OR($B128&lt;&gt;"",$B$5&lt;&gt;""),OR($C128&lt;&gt;"",$C$5&lt;&gt;""),OR($D128&lt;&gt;"",$D$5&lt;&gt;""),OR($E128&lt;&gt;"",$E$5&lt;&gt;""),OR($F128&lt;&gt;"",$F$5&lt;&gt;""),OR($G128&lt;&gt;"",$G$5&lt;&gt;""),NOT(ISERROR($L128:$AU128)),NOT(ISNA(MATCH(IF($D128="",$D$5,$D128)&amp;IF($C128="",$C$5,$C128),DeptBU,0)))))</f>
        <v>1</v>
      </c>
    </row>
    <row r="129" spans="2:49" x14ac:dyDescent="0.35">
      <c r="B129" s="554"/>
      <c r="C129" s="554"/>
      <c r="D129" s="554"/>
      <c r="E129" s="554"/>
      <c r="F129" s="554"/>
      <c r="G129" s="554"/>
      <c r="H129" s="554"/>
      <c r="I129" s="554"/>
      <c r="J129" s="554"/>
      <c r="K129" s="617" t="str">
        <f>IF($H129="","",INDEX(Teams[team_consolidation],MATCH(IF($E129="",$E$5,$E129),Teams[team_name],0)))</f>
        <v/>
      </c>
      <c r="L129" s="554"/>
      <c r="M129" s="554"/>
      <c r="N129" s="554"/>
      <c r="O129" s="554"/>
      <c r="P129" s="554"/>
      <c r="Q129" s="554"/>
      <c r="R129" s="554"/>
      <c r="S129" s="554"/>
      <c r="T129" s="554"/>
      <c r="U129" s="554"/>
      <c r="V129" s="554"/>
      <c r="W129" s="554"/>
      <c r="X129" s="554"/>
      <c r="Y129" s="554"/>
      <c r="Z129" s="554"/>
      <c r="AA129" s="554"/>
      <c r="AB129" s="554"/>
      <c r="AC129" s="554"/>
      <c r="AD129" s="554"/>
      <c r="AE129" s="554"/>
      <c r="AF129" s="554"/>
      <c r="AG129" s="554"/>
      <c r="AH129" s="554"/>
      <c r="AI129" s="554"/>
      <c r="AJ129" s="554"/>
      <c r="AK129" s="554"/>
      <c r="AL129" s="554"/>
      <c r="AM129" s="554"/>
      <c r="AN129" s="554"/>
      <c r="AO129" s="554"/>
      <c r="AP129" s="554"/>
      <c r="AQ129" s="554"/>
      <c r="AR129" s="554"/>
      <c r="AS129" s="554"/>
      <c r="AT129" s="554"/>
      <c r="AU129" s="554"/>
      <c r="AW129" t="b">
        <f t="array" ref="AW129">IF($H129="",TRUE,AND(OR($B129&lt;&gt;"",$B$5&lt;&gt;""),OR($C129&lt;&gt;"",$C$5&lt;&gt;""),OR($D129&lt;&gt;"",$D$5&lt;&gt;""),OR($E129&lt;&gt;"",$E$5&lt;&gt;""),OR($F129&lt;&gt;"",$F$5&lt;&gt;""),OR($G129&lt;&gt;"",$G$5&lt;&gt;""),NOT(ISERROR($L129:$AU129)),NOT(ISNA(MATCH(IF($D129="",$D$5,$D129)&amp;IF($C129="",$C$5,$C129),DeptBU,0)))))</f>
        <v>1</v>
      </c>
    </row>
    <row r="130" spans="2:49" x14ac:dyDescent="0.35">
      <c r="B130" s="554"/>
      <c r="C130" s="554"/>
      <c r="D130" s="554"/>
      <c r="E130" s="554"/>
      <c r="F130" s="554"/>
      <c r="G130" s="554"/>
      <c r="H130" s="554"/>
      <c r="I130" s="554"/>
      <c r="J130" s="554"/>
      <c r="K130" s="617" t="str">
        <f>IF($H130="","",INDEX(Teams[team_consolidation],MATCH(IF($E130="",$E$5,$E130),Teams[team_name],0)))</f>
        <v/>
      </c>
      <c r="L130" s="554"/>
      <c r="M130" s="554"/>
      <c r="N130" s="554"/>
      <c r="O130" s="554"/>
      <c r="P130" s="554"/>
      <c r="Q130" s="554"/>
      <c r="R130" s="554"/>
      <c r="S130" s="554"/>
      <c r="T130" s="554"/>
      <c r="U130" s="554"/>
      <c r="V130" s="554"/>
      <c r="W130" s="554"/>
      <c r="X130" s="554"/>
      <c r="Y130" s="554"/>
      <c r="Z130" s="554"/>
      <c r="AA130" s="554"/>
      <c r="AB130" s="554"/>
      <c r="AC130" s="554"/>
      <c r="AD130" s="554"/>
      <c r="AE130" s="554"/>
      <c r="AF130" s="554"/>
      <c r="AG130" s="554"/>
      <c r="AH130" s="554"/>
      <c r="AI130" s="554"/>
      <c r="AJ130" s="554"/>
      <c r="AK130" s="554"/>
      <c r="AL130" s="554"/>
      <c r="AM130" s="554"/>
      <c r="AN130" s="554"/>
      <c r="AO130" s="554"/>
      <c r="AP130" s="554"/>
      <c r="AQ130" s="554"/>
      <c r="AR130" s="554"/>
      <c r="AS130" s="554"/>
      <c r="AT130" s="554"/>
      <c r="AU130" s="554"/>
      <c r="AW130" t="b">
        <f t="array" ref="AW130">IF($H130="",TRUE,AND(OR($B130&lt;&gt;"",$B$5&lt;&gt;""),OR($C130&lt;&gt;"",$C$5&lt;&gt;""),OR($D130&lt;&gt;"",$D$5&lt;&gt;""),OR($E130&lt;&gt;"",$E$5&lt;&gt;""),OR($F130&lt;&gt;"",$F$5&lt;&gt;""),OR($G130&lt;&gt;"",$G$5&lt;&gt;""),NOT(ISERROR($L130:$AU130)),NOT(ISNA(MATCH(IF($D130="",$D$5,$D130)&amp;IF($C130="",$C$5,$C130),DeptBU,0)))))</f>
        <v>1</v>
      </c>
    </row>
    <row r="131" spans="2:49" x14ac:dyDescent="0.35">
      <c r="B131" s="554"/>
      <c r="C131" s="554"/>
      <c r="D131" s="554"/>
      <c r="E131" s="554"/>
      <c r="F131" s="554"/>
      <c r="G131" s="554"/>
      <c r="H131" s="554"/>
      <c r="I131" s="554"/>
      <c r="J131" s="554"/>
      <c r="K131" s="617" t="str">
        <f>IF($H131="","",INDEX(Teams[team_consolidation],MATCH(IF($E131="",$E$5,$E131),Teams[team_name],0)))</f>
        <v/>
      </c>
      <c r="L131" s="554"/>
      <c r="M131" s="554"/>
      <c r="N131" s="554"/>
      <c r="O131" s="554"/>
      <c r="P131" s="554"/>
      <c r="Q131" s="554"/>
      <c r="R131" s="554"/>
      <c r="S131" s="554"/>
      <c r="T131" s="554"/>
      <c r="U131" s="554"/>
      <c r="V131" s="554"/>
      <c r="W131" s="554"/>
      <c r="X131" s="554"/>
      <c r="Y131" s="554"/>
      <c r="Z131" s="554"/>
      <c r="AA131" s="554"/>
      <c r="AB131" s="554"/>
      <c r="AC131" s="554"/>
      <c r="AD131" s="554"/>
      <c r="AE131" s="554"/>
      <c r="AF131" s="554"/>
      <c r="AG131" s="554"/>
      <c r="AH131" s="554"/>
      <c r="AI131" s="554"/>
      <c r="AJ131" s="554"/>
      <c r="AK131" s="554"/>
      <c r="AL131" s="554"/>
      <c r="AM131" s="554"/>
      <c r="AN131" s="554"/>
      <c r="AO131" s="554"/>
      <c r="AP131" s="554"/>
      <c r="AQ131" s="554"/>
      <c r="AR131" s="554"/>
      <c r="AS131" s="554"/>
      <c r="AT131" s="554"/>
      <c r="AU131" s="554"/>
      <c r="AW131" t="b">
        <f t="array" ref="AW131">IF($H131="",TRUE,AND(OR($B131&lt;&gt;"",$B$5&lt;&gt;""),OR($C131&lt;&gt;"",$C$5&lt;&gt;""),OR($D131&lt;&gt;"",$D$5&lt;&gt;""),OR($E131&lt;&gt;"",$E$5&lt;&gt;""),OR($F131&lt;&gt;"",$F$5&lt;&gt;""),OR($G131&lt;&gt;"",$G$5&lt;&gt;""),NOT(ISERROR($L131:$AU131)),NOT(ISNA(MATCH(IF($D131="",$D$5,$D131)&amp;IF($C131="",$C$5,$C131),DeptBU,0)))))</f>
        <v>1</v>
      </c>
    </row>
    <row r="132" spans="2:49" x14ac:dyDescent="0.35">
      <c r="B132" s="554"/>
      <c r="C132" s="554"/>
      <c r="D132" s="554"/>
      <c r="E132" s="554"/>
      <c r="F132" s="554"/>
      <c r="G132" s="554"/>
      <c r="H132" s="554"/>
      <c r="I132" s="554"/>
      <c r="J132" s="554"/>
      <c r="K132" s="617" t="str">
        <f>IF($H132="","",INDEX(Teams[team_consolidation],MATCH(IF($E132="",$E$5,$E132),Teams[team_name],0)))</f>
        <v/>
      </c>
      <c r="L132" s="554"/>
      <c r="M132" s="554"/>
      <c r="N132" s="554"/>
      <c r="O132" s="554"/>
      <c r="P132" s="554"/>
      <c r="Q132" s="554"/>
      <c r="R132" s="554"/>
      <c r="S132" s="554"/>
      <c r="T132" s="554"/>
      <c r="U132" s="554"/>
      <c r="V132" s="554"/>
      <c r="W132" s="554"/>
      <c r="X132" s="554"/>
      <c r="Y132" s="554"/>
      <c r="Z132" s="554"/>
      <c r="AA132" s="554"/>
      <c r="AB132" s="554"/>
      <c r="AC132" s="554"/>
      <c r="AD132" s="554"/>
      <c r="AE132" s="554"/>
      <c r="AF132" s="554"/>
      <c r="AG132" s="554"/>
      <c r="AH132" s="554"/>
      <c r="AI132" s="554"/>
      <c r="AJ132" s="554"/>
      <c r="AK132" s="554"/>
      <c r="AL132" s="554"/>
      <c r="AM132" s="554"/>
      <c r="AN132" s="554"/>
      <c r="AO132" s="554"/>
      <c r="AP132" s="554"/>
      <c r="AQ132" s="554"/>
      <c r="AR132" s="554"/>
      <c r="AS132" s="554"/>
      <c r="AT132" s="554"/>
      <c r="AU132" s="554"/>
      <c r="AW132" t="b">
        <f t="array" ref="AW132">IF($H132="",TRUE,AND(OR($B132&lt;&gt;"",$B$5&lt;&gt;""),OR($C132&lt;&gt;"",$C$5&lt;&gt;""),OR($D132&lt;&gt;"",$D$5&lt;&gt;""),OR($E132&lt;&gt;"",$E$5&lt;&gt;""),OR($F132&lt;&gt;"",$F$5&lt;&gt;""),OR($G132&lt;&gt;"",$G$5&lt;&gt;""),NOT(ISERROR($L132:$AU132)),NOT(ISNA(MATCH(IF($D132="",$D$5,$D132)&amp;IF($C132="",$C$5,$C132),DeptBU,0)))))</f>
        <v>1</v>
      </c>
    </row>
    <row r="133" spans="2:49" x14ac:dyDescent="0.35">
      <c r="B133" s="554"/>
      <c r="C133" s="554"/>
      <c r="D133" s="554"/>
      <c r="E133" s="554"/>
      <c r="F133" s="554"/>
      <c r="G133" s="554"/>
      <c r="H133" s="554"/>
      <c r="I133" s="554"/>
      <c r="J133" s="554"/>
      <c r="K133" s="617" t="str">
        <f>IF($H133="","",INDEX(Teams[team_consolidation],MATCH(IF($E133="",$E$5,$E133),Teams[team_name],0)))</f>
        <v/>
      </c>
      <c r="L133" s="554"/>
      <c r="M133" s="554"/>
      <c r="N133" s="554"/>
      <c r="O133" s="554"/>
      <c r="P133" s="554"/>
      <c r="Q133" s="554"/>
      <c r="R133" s="554"/>
      <c r="S133" s="554"/>
      <c r="T133" s="554"/>
      <c r="U133" s="554"/>
      <c r="V133" s="554"/>
      <c r="W133" s="554"/>
      <c r="X133" s="554"/>
      <c r="Y133" s="554"/>
      <c r="Z133" s="554"/>
      <c r="AA133" s="554"/>
      <c r="AB133" s="554"/>
      <c r="AC133" s="554"/>
      <c r="AD133" s="554"/>
      <c r="AE133" s="554"/>
      <c r="AF133" s="554"/>
      <c r="AG133" s="554"/>
      <c r="AH133" s="554"/>
      <c r="AI133" s="554"/>
      <c r="AJ133" s="554"/>
      <c r="AK133" s="554"/>
      <c r="AL133" s="554"/>
      <c r="AM133" s="554"/>
      <c r="AN133" s="554"/>
      <c r="AO133" s="554"/>
      <c r="AP133" s="554"/>
      <c r="AQ133" s="554"/>
      <c r="AR133" s="554"/>
      <c r="AS133" s="554"/>
      <c r="AT133" s="554"/>
      <c r="AU133" s="554"/>
      <c r="AW133" t="b">
        <f t="array" ref="AW133">IF($H133="",TRUE,AND(OR($B133&lt;&gt;"",$B$5&lt;&gt;""),OR($C133&lt;&gt;"",$C$5&lt;&gt;""),OR($D133&lt;&gt;"",$D$5&lt;&gt;""),OR($E133&lt;&gt;"",$E$5&lt;&gt;""),OR($F133&lt;&gt;"",$F$5&lt;&gt;""),OR($G133&lt;&gt;"",$G$5&lt;&gt;""),NOT(ISERROR($L133:$AU133)),NOT(ISNA(MATCH(IF($D133="",$D$5,$D133)&amp;IF($C133="",$C$5,$C133),DeptBU,0)))))</f>
        <v>1</v>
      </c>
    </row>
    <row r="134" spans="2:49" x14ac:dyDescent="0.35">
      <c r="B134" s="554"/>
      <c r="C134" s="554"/>
      <c r="D134" s="554"/>
      <c r="E134" s="554"/>
      <c r="F134" s="554"/>
      <c r="G134" s="554"/>
      <c r="H134" s="554"/>
      <c r="I134" s="554"/>
      <c r="J134" s="554"/>
      <c r="K134" s="617" t="str">
        <f>IF($H134="","",INDEX(Teams[team_consolidation],MATCH(IF($E134="",$E$5,$E134),Teams[team_name],0)))</f>
        <v/>
      </c>
      <c r="L134" s="554"/>
      <c r="M134" s="554"/>
      <c r="N134" s="554"/>
      <c r="O134" s="554"/>
      <c r="P134" s="554"/>
      <c r="Q134" s="554"/>
      <c r="R134" s="554"/>
      <c r="S134" s="554"/>
      <c r="T134" s="554"/>
      <c r="U134" s="554"/>
      <c r="V134" s="554"/>
      <c r="W134" s="554"/>
      <c r="X134" s="554"/>
      <c r="Y134" s="554"/>
      <c r="Z134" s="554"/>
      <c r="AA134" s="554"/>
      <c r="AB134" s="554"/>
      <c r="AC134" s="554"/>
      <c r="AD134" s="554"/>
      <c r="AE134" s="554"/>
      <c r="AF134" s="554"/>
      <c r="AG134" s="554"/>
      <c r="AH134" s="554"/>
      <c r="AI134" s="554"/>
      <c r="AJ134" s="554"/>
      <c r="AK134" s="554"/>
      <c r="AL134" s="554"/>
      <c r="AM134" s="554"/>
      <c r="AN134" s="554"/>
      <c r="AO134" s="554"/>
      <c r="AP134" s="554"/>
      <c r="AQ134" s="554"/>
      <c r="AR134" s="554"/>
      <c r="AS134" s="554"/>
      <c r="AT134" s="554"/>
      <c r="AU134" s="554"/>
      <c r="AW134" t="b">
        <f t="array" ref="AW134">IF($H134="",TRUE,AND(OR($B134&lt;&gt;"",$B$5&lt;&gt;""),OR($C134&lt;&gt;"",$C$5&lt;&gt;""),OR($D134&lt;&gt;"",$D$5&lt;&gt;""),OR($E134&lt;&gt;"",$E$5&lt;&gt;""),OR($F134&lt;&gt;"",$F$5&lt;&gt;""),OR($G134&lt;&gt;"",$G$5&lt;&gt;""),NOT(ISERROR($L134:$AU134)),NOT(ISNA(MATCH(IF($D134="",$D$5,$D134)&amp;IF($C134="",$C$5,$C134),DeptBU,0)))))</f>
        <v>1</v>
      </c>
    </row>
    <row r="135" spans="2:49" x14ac:dyDescent="0.35">
      <c r="B135" s="554"/>
      <c r="C135" s="554"/>
      <c r="D135" s="554"/>
      <c r="E135" s="554"/>
      <c r="F135" s="554"/>
      <c r="G135" s="554"/>
      <c r="H135" s="554"/>
      <c r="I135" s="554"/>
      <c r="J135" s="554"/>
      <c r="K135" s="617" t="str">
        <f>IF($H135="","",INDEX(Teams[team_consolidation],MATCH(IF($E135="",$E$5,$E135),Teams[team_name],0)))</f>
        <v/>
      </c>
      <c r="L135" s="554"/>
      <c r="M135" s="554"/>
      <c r="N135" s="554"/>
      <c r="O135" s="554"/>
      <c r="P135" s="554"/>
      <c r="Q135" s="554"/>
      <c r="R135" s="554"/>
      <c r="S135" s="554"/>
      <c r="T135" s="554"/>
      <c r="U135" s="554"/>
      <c r="V135" s="554"/>
      <c r="W135" s="554"/>
      <c r="X135" s="554"/>
      <c r="Y135" s="554"/>
      <c r="Z135" s="554"/>
      <c r="AA135" s="554"/>
      <c r="AB135" s="554"/>
      <c r="AC135" s="554"/>
      <c r="AD135" s="554"/>
      <c r="AE135" s="554"/>
      <c r="AF135" s="554"/>
      <c r="AG135" s="554"/>
      <c r="AH135" s="554"/>
      <c r="AI135" s="554"/>
      <c r="AJ135" s="554"/>
      <c r="AK135" s="554"/>
      <c r="AL135" s="554"/>
      <c r="AM135" s="554"/>
      <c r="AN135" s="554"/>
      <c r="AO135" s="554"/>
      <c r="AP135" s="554"/>
      <c r="AQ135" s="554"/>
      <c r="AR135" s="554"/>
      <c r="AS135" s="554"/>
      <c r="AT135" s="554"/>
      <c r="AU135" s="554"/>
      <c r="AW135" t="b">
        <f t="array" ref="AW135">IF($H135="",TRUE,AND(OR($B135&lt;&gt;"",$B$5&lt;&gt;""),OR($C135&lt;&gt;"",$C$5&lt;&gt;""),OR($D135&lt;&gt;"",$D$5&lt;&gt;""),OR($E135&lt;&gt;"",$E$5&lt;&gt;""),OR($F135&lt;&gt;"",$F$5&lt;&gt;""),OR($G135&lt;&gt;"",$G$5&lt;&gt;""),NOT(ISERROR($L135:$AU135)),NOT(ISNA(MATCH(IF($D135="",$D$5,$D135)&amp;IF($C135="",$C$5,$C135),DeptBU,0)))))</f>
        <v>1</v>
      </c>
    </row>
    <row r="136" spans="2:49" x14ac:dyDescent="0.35">
      <c r="B136" s="554"/>
      <c r="C136" s="554"/>
      <c r="D136" s="554"/>
      <c r="E136" s="554"/>
      <c r="F136" s="554"/>
      <c r="G136" s="554"/>
      <c r="H136" s="554"/>
      <c r="I136" s="554"/>
      <c r="J136" s="554"/>
      <c r="K136" s="617" t="str">
        <f>IF($H136="","",INDEX(Teams[team_consolidation],MATCH(IF($E136="",$E$5,$E136),Teams[team_name],0)))</f>
        <v/>
      </c>
      <c r="L136" s="554"/>
      <c r="M136" s="554"/>
      <c r="N136" s="554"/>
      <c r="O136" s="554"/>
      <c r="P136" s="554"/>
      <c r="Q136" s="554"/>
      <c r="R136" s="554"/>
      <c r="S136" s="554"/>
      <c r="T136" s="554"/>
      <c r="U136" s="554"/>
      <c r="V136" s="554"/>
      <c r="W136" s="554"/>
      <c r="X136" s="554"/>
      <c r="Y136" s="554"/>
      <c r="Z136" s="554"/>
      <c r="AA136" s="554"/>
      <c r="AB136" s="554"/>
      <c r="AC136" s="554"/>
      <c r="AD136" s="554"/>
      <c r="AE136" s="554"/>
      <c r="AF136" s="554"/>
      <c r="AG136" s="554"/>
      <c r="AH136" s="554"/>
      <c r="AI136" s="554"/>
      <c r="AJ136" s="554"/>
      <c r="AK136" s="554"/>
      <c r="AL136" s="554"/>
      <c r="AM136" s="554"/>
      <c r="AN136" s="554"/>
      <c r="AO136" s="554"/>
      <c r="AP136" s="554"/>
      <c r="AQ136" s="554"/>
      <c r="AR136" s="554"/>
      <c r="AS136" s="554"/>
      <c r="AT136" s="554"/>
      <c r="AU136" s="554"/>
      <c r="AW136" t="b">
        <f t="array" ref="AW136">IF($H136="",TRUE,AND(OR($B136&lt;&gt;"",$B$5&lt;&gt;""),OR($C136&lt;&gt;"",$C$5&lt;&gt;""),OR($D136&lt;&gt;"",$D$5&lt;&gt;""),OR($E136&lt;&gt;"",$E$5&lt;&gt;""),OR($F136&lt;&gt;"",$F$5&lt;&gt;""),OR($G136&lt;&gt;"",$G$5&lt;&gt;""),NOT(ISERROR($L136:$AU136)),NOT(ISNA(MATCH(IF($D136="",$D$5,$D136)&amp;IF($C136="",$C$5,$C136),DeptBU,0)))))</f>
        <v>1</v>
      </c>
    </row>
    <row r="137" spans="2:49" x14ac:dyDescent="0.35">
      <c r="B137" s="554"/>
      <c r="C137" s="554"/>
      <c r="D137" s="554"/>
      <c r="E137" s="554"/>
      <c r="F137" s="554"/>
      <c r="G137" s="554"/>
      <c r="H137" s="554"/>
      <c r="I137" s="554"/>
      <c r="J137" s="554"/>
      <c r="K137" s="617" t="str">
        <f>IF($H137="","",INDEX(Teams[team_consolidation],MATCH(IF($E137="",$E$5,$E137),Teams[team_name],0)))</f>
        <v/>
      </c>
      <c r="L137" s="554"/>
      <c r="M137" s="554"/>
      <c r="N137" s="554"/>
      <c r="O137" s="554"/>
      <c r="P137" s="554"/>
      <c r="Q137" s="554"/>
      <c r="R137" s="554"/>
      <c r="S137" s="554"/>
      <c r="T137" s="554"/>
      <c r="U137" s="554"/>
      <c r="V137" s="554"/>
      <c r="W137" s="554"/>
      <c r="X137" s="554"/>
      <c r="Y137" s="554"/>
      <c r="Z137" s="554"/>
      <c r="AA137" s="554"/>
      <c r="AB137" s="554"/>
      <c r="AC137" s="554"/>
      <c r="AD137" s="554"/>
      <c r="AE137" s="554"/>
      <c r="AF137" s="554"/>
      <c r="AG137" s="554"/>
      <c r="AH137" s="554"/>
      <c r="AI137" s="554"/>
      <c r="AJ137" s="554"/>
      <c r="AK137" s="554"/>
      <c r="AL137" s="554"/>
      <c r="AM137" s="554"/>
      <c r="AN137" s="554"/>
      <c r="AO137" s="554"/>
      <c r="AP137" s="554"/>
      <c r="AQ137" s="554"/>
      <c r="AR137" s="554"/>
      <c r="AS137" s="554"/>
      <c r="AT137" s="554"/>
      <c r="AU137" s="554"/>
      <c r="AW137" t="b">
        <f t="array" ref="AW137">IF($H137="",TRUE,AND(OR($B137&lt;&gt;"",$B$5&lt;&gt;""),OR($C137&lt;&gt;"",$C$5&lt;&gt;""),OR($D137&lt;&gt;"",$D$5&lt;&gt;""),OR($E137&lt;&gt;"",$E$5&lt;&gt;""),OR($F137&lt;&gt;"",$F$5&lt;&gt;""),OR($G137&lt;&gt;"",$G$5&lt;&gt;""),NOT(ISERROR($L137:$AU137)),NOT(ISNA(MATCH(IF($D137="",$D$5,$D137)&amp;IF($C137="",$C$5,$C137),DeptBU,0)))))</f>
        <v>1</v>
      </c>
    </row>
    <row r="138" spans="2:49" x14ac:dyDescent="0.35">
      <c r="B138" s="554"/>
      <c r="C138" s="554"/>
      <c r="D138" s="554"/>
      <c r="E138" s="554"/>
      <c r="F138" s="554"/>
      <c r="G138" s="554"/>
      <c r="H138" s="554"/>
      <c r="I138" s="554"/>
      <c r="J138" s="554"/>
      <c r="K138" s="617" t="str">
        <f>IF($H138="","",INDEX(Teams[team_consolidation],MATCH(IF($E138="",$E$5,$E138),Teams[team_name],0)))</f>
        <v/>
      </c>
      <c r="L138" s="554"/>
      <c r="M138" s="554"/>
      <c r="N138" s="554"/>
      <c r="O138" s="554"/>
      <c r="P138" s="554"/>
      <c r="Q138" s="554"/>
      <c r="R138" s="554"/>
      <c r="S138" s="554"/>
      <c r="T138" s="554"/>
      <c r="U138" s="554"/>
      <c r="V138" s="554"/>
      <c r="W138" s="554"/>
      <c r="X138" s="554"/>
      <c r="Y138" s="554"/>
      <c r="Z138" s="554"/>
      <c r="AA138" s="554"/>
      <c r="AB138" s="554"/>
      <c r="AC138" s="554"/>
      <c r="AD138" s="554"/>
      <c r="AE138" s="554"/>
      <c r="AF138" s="554"/>
      <c r="AG138" s="554"/>
      <c r="AH138" s="554"/>
      <c r="AI138" s="554"/>
      <c r="AJ138" s="554"/>
      <c r="AK138" s="554"/>
      <c r="AL138" s="554"/>
      <c r="AM138" s="554"/>
      <c r="AN138" s="554"/>
      <c r="AO138" s="554"/>
      <c r="AP138" s="554"/>
      <c r="AQ138" s="554"/>
      <c r="AR138" s="554"/>
      <c r="AS138" s="554"/>
      <c r="AT138" s="554"/>
      <c r="AU138" s="554"/>
      <c r="AW138" t="b">
        <f t="array" ref="AW138">IF($H138="",TRUE,AND(OR($B138&lt;&gt;"",$B$5&lt;&gt;""),OR($C138&lt;&gt;"",$C$5&lt;&gt;""),OR($D138&lt;&gt;"",$D$5&lt;&gt;""),OR($E138&lt;&gt;"",$E$5&lt;&gt;""),OR($F138&lt;&gt;"",$F$5&lt;&gt;""),OR($G138&lt;&gt;"",$G$5&lt;&gt;""),NOT(ISERROR($L138:$AU138)),NOT(ISNA(MATCH(IF($D138="",$D$5,$D138)&amp;IF($C138="",$C$5,$C138),DeptBU,0)))))</f>
        <v>1</v>
      </c>
    </row>
    <row r="139" spans="2:49" x14ac:dyDescent="0.35">
      <c r="B139" s="554"/>
      <c r="C139" s="554"/>
      <c r="D139" s="554"/>
      <c r="E139" s="554"/>
      <c r="F139" s="554"/>
      <c r="G139" s="554"/>
      <c r="H139" s="554"/>
      <c r="I139" s="554"/>
      <c r="J139" s="554"/>
      <c r="K139" s="617" t="str">
        <f>IF($H139="","",INDEX(Teams[team_consolidation],MATCH(IF($E139="",$E$5,$E139),Teams[team_name],0)))</f>
        <v/>
      </c>
      <c r="L139" s="554"/>
      <c r="M139" s="554"/>
      <c r="N139" s="554"/>
      <c r="O139" s="554"/>
      <c r="P139" s="554"/>
      <c r="Q139" s="554"/>
      <c r="R139" s="554"/>
      <c r="S139" s="554"/>
      <c r="T139" s="554"/>
      <c r="U139" s="554"/>
      <c r="V139" s="554"/>
      <c r="W139" s="554"/>
      <c r="X139" s="554"/>
      <c r="Y139" s="554"/>
      <c r="Z139" s="554"/>
      <c r="AA139" s="554"/>
      <c r="AB139" s="554"/>
      <c r="AC139" s="554"/>
      <c r="AD139" s="554"/>
      <c r="AE139" s="554"/>
      <c r="AF139" s="554"/>
      <c r="AG139" s="554"/>
      <c r="AH139" s="554"/>
      <c r="AI139" s="554"/>
      <c r="AJ139" s="554"/>
      <c r="AK139" s="554"/>
      <c r="AL139" s="554"/>
      <c r="AM139" s="554"/>
      <c r="AN139" s="554"/>
      <c r="AO139" s="554"/>
      <c r="AP139" s="554"/>
      <c r="AQ139" s="554"/>
      <c r="AR139" s="554"/>
      <c r="AS139" s="554"/>
      <c r="AT139" s="554"/>
      <c r="AU139" s="554"/>
      <c r="AW139" t="b">
        <f t="array" ref="AW139">IF($H139="",TRUE,AND(OR($B139&lt;&gt;"",$B$5&lt;&gt;""),OR($C139&lt;&gt;"",$C$5&lt;&gt;""),OR($D139&lt;&gt;"",$D$5&lt;&gt;""),OR($E139&lt;&gt;"",$E$5&lt;&gt;""),OR($F139&lt;&gt;"",$F$5&lt;&gt;""),OR($G139&lt;&gt;"",$G$5&lt;&gt;""),NOT(ISERROR($L139:$AU139)),NOT(ISNA(MATCH(IF($D139="",$D$5,$D139)&amp;IF($C139="",$C$5,$C139),DeptBU,0)))))</f>
        <v>1</v>
      </c>
    </row>
    <row r="140" spans="2:49" x14ac:dyDescent="0.35">
      <c r="B140" s="554"/>
      <c r="C140" s="554"/>
      <c r="D140" s="554"/>
      <c r="E140" s="554"/>
      <c r="F140" s="554"/>
      <c r="G140" s="554"/>
      <c r="H140" s="554"/>
      <c r="I140" s="554"/>
      <c r="J140" s="554"/>
      <c r="K140" s="617" t="str">
        <f>IF($H140="","",INDEX(Teams[team_consolidation],MATCH(IF($E140="",$E$5,$E140),Teams[team_name],0)))</f>
        <v/>
      </c>
      <c r="L140" s="554"/>
      <c r="M140" s="554"/>
      <c r="N140" s="554"/>
      <c r="O140" s="554"/>
      <c r="P140" s="554"/>
      <c r="Q140" s="554"/>
      <c r="R140" s="554"/>
      <c r="S140" s="554"/>
      <c r="T140" s="554"/>
      <c r="U140" s="554"/>
      <c r="V140" s="554"/>
      <c r="W140" s="554"/>
      <c r="X140" s="554"/>
      <c r="Y140" s="554"/>
      <c r="Z140" s="554"/>
      <c r="AA140" s="554"/>
      <c r="AB140" s="554"/>
      <c r="AC140" s="554"/>
      <c r="AD140" s="554"/>
      <c r="AE140" s="554"/>
      <c r="AF140" s="554"/>
      <c r="AG140" s="554"/>
      <c r="AH140" s="554"/>
      <c r="AI140" s="554"/>
      <c r="AJ140" s="554"/>
      <c r="AK140" s="554"/>
      <c r="AL140" s="554"/>
      <c r="AM140" s="554"/>
      <c r="AN140" s="554"/>
      <c r="AO140" s="554"/>
      <c r="AP140" s="554"/>
      <c r="AQ140" s="554"/>
      <c r="AR140" s="554"/>
      <c r="AS140" s="554"/>
      <c r="AT140" s="554"/>
      <c r="AU140" s="554"/>
      <c r="AW140" t="b">
        <f t="array" ref="AW140">IF($H140="",TRUE,AND(OR($B140&lt;&gt;"",$B$5&lt;&gt;""),OR($C140&lt;&gt;"",$C$5&lt;&gt;""),OR($D140&lt;&gt;"",$D$5&lt;&gt;""),OR($E140&lt;&gt;"",$E$5&lt;&gt;""),OR($F140&lt;&gt;"",$F$5&lt;&gt;""),OR($G140&lt;&gt;"",$G$5&lt;&gt;""),NOT(ISERROR($L140:$AU140)),NOT(ISNA(MATCH(IF($D140="",$D$5,$D140)&amp;IF($C140="",$C$5,$C140),DeptBU,0)))))</f>
        <v>1</v>
      </c>
    </row>
    <row r="141" spans="2:49" x14ac:dyDescent="0.35">
      <c r="B141" s="554"/>
      <c r="C141" s="554"/>
      <c r="D141" s="554"/>
      <c r="E141" s="554"/>
      <c r="F141" s="554"/>
      <c r="G141" s="554"/>
      <c r="H141" s="554"/>
      <c r="I141" s="554"/>
      <c r="J141" s="554"/>
      <c r="K141" s="617" t="str">
        <f>IF($H141="","",INDEX(Teams[team_consolidation],MATCH(IF($E141="",$E$5,$E141),Teams[team_name],0)))</f>
        <v/>
      </c>
      <c r="L141" s="554"/>
      <c r="M141" s="554"/>
      <c r="N141" s="554"/>
      <c r="O141" s="554"/>
      <c r="P141" s="554"/>
      <c r="Q141" s="554"/>
      <c r="R141" s="554"/>
      <c r="S141" s="554"/>
      <c r="T141" s="554"/>
      <c r="U141" s="554"/>
      <c r="V141" s="554"/>
      <c r="W141" s="554"/>
      <c r="X141" s="554"/>
      <c r="Y141" s="554"/>
      <c r="Z141" s="554"/>
      <c r="AA141" s="554"/>
      <c r="AB141" s="554"/>
      <c r="AC141" s="554"/>
      <c r="AD141" s="554"/>
      <c r="AE141" s="554"/>
      <c r="AF141" s="554"/>
      <c r="AG141" s="554"/>
      <c r="AH141" s="554"/>
      <c r="AI141" s="554"/>
      <c r="AJ141" s="554"/>
      <c r="AK141" s="554"/>
      <c r="AL141" s="554"/>
      <c r="AM141" s="554"/>
      <c r="AN141" s="554"/>
      <c r="AO141" s="554"/>
      <c r="AP141" s="554"/>
      <c r="AQ141" s="554"/>
      <c r="AR141" s="554"/>
      <c r="AS141" s="554"/>
      <c r="AT141" s="554"/>
      <c r="AU141" s="554"/>
      <c r="AW141" t="b">
        <f t="array" ref="AW141">IF($H141="",TRUE,AND(OR($B141&lt;&gt;"",$B$5&lt;&gt;""),OR($C141&lt;&gt;"",$C$5&lt;&gt;""),OR($D141&lt;&gt;"",$D$5&lt;&gt;""),OR($E141&lt;&gt;"",$E$5&lt;&gt;""),OR($F141&lt;&gt;"",$F$5&lt;&gt;""),OR($G141&lt;&gt;"",$G$5&lt;&gt;""),NOT(ISERROR($L141:$AU141)),NOT(ISNA(MATCH(IF($D141="",$D$5,$D141)&amp;IF($C141="",$C$5,$C141),DeptBU,0)))))</f>
        <v>1</v>
      </c>
    </row>
    <row r="142" spans="2:49" x14ac:dyDescent="0.35">
      <c r="B142" s="554"/>
      <c r="C142" s="554"/>
      <c r="D142" s="554"/>
      <c r="E142" s="554"/>
      <c r="F142" s="554"/>
      <c r="G142" s="554"/>
      <c r="H142" s="554"/>
      <c r="I142" s="554"/>
      <c r="J142" s="554"/>
      <c r="K142" s="617" t="str">
        <f>IF($H142="","",INDEX(Teams[team_consolidation],MATCH(IF($E142="",$E$5,$E142),Teams[team_name],0)))</f>
        <v/>
      </c>
      <c r="L142" s="554"/>
      <c r="M142" s="554"/>
      <c r="N142" s="554"/>
      <c r="O142" s="554"/>
      <c r="P142" s="554"/>
      <c r="Q142" s="554"/>
      <c r="R142" s="554"/>
      <c r="S142" s="554"/>
      <c r="T142" s="554"/>
      <c r="U142" s="554"/>
      <c r="V142" s="554"/>
      <c r="W142" s="554"/>
      <c r="X142" s="554"/>
      <c r="Y142" s="554"/>
      <c r="Z142" s="554"/>
      <c r="AA142" s="554"/>
      <c r="AB142" s="554"/>
      <c r="AC142" s="554"/>
      <c r="AD142" s="554"/>
      <c r="AE142" s="554"/>
      <c r="AF142" s="554"/>
      <c r="AG142" s="554"/>
      <c r="AH142" s="554"/>
      <c r="AI142" s="554"/>
      <c r="AJ142" s="554"/>
      <c r="AK142" s="554"/>
      <c r="AL142" s="554"/>
      <c r="AM142" s="554"/>
      <c r="AN142" s="554"/>
      <c r="AO142" s="554"/>
      <c r="AP142" s="554"/>
      <c r="AQ142" s="554"/>
      <c r="AR142" s="554"/>
      <c r="AS142" s="554"/>
      <c r="AT142" s="554"/>
      <c r="AU142" s="554"/>
      <c r="AW142" t="b">
        <f t="array" ref="AW142">IF($H142="",TRUE,AND(OR($B142&lt;&gt;"",$B$5&lt;&gt;""),OR($C142&lt;&gt;"",$C$5&lt;&gt;""),OR($D142&lt;&gt;"",$D$5&lt;&gt;""),OR($E142&lt;&gt;"",$E$5&lt;&gt;""),OR($F142&lt;&gt;"",$F$5&lt;&gt;""),OR($G142&lt;&gt;"",$G$5&lt;&gt;""),NOT(ISERROR($L142:$AU142)),NOT(ISNA(MATCH(IF($D142="",$D$5,$D142)&amp;IF($C142="",$C$5,$C142),DeptBU,0)))))</f>
        <v>1</v>
      </c>
    </row>
    <row r="143" spans="2:49" x14ac:dyDescent="0.35">
      <c r="B143" s="554"/>
      <c r="C143" s="554"/>
      <c r="D143" s="554"/>
      <c r="E143" s="554"/>
      <c r="F143" s="554"/>
      <c r="G143" s="554"/>
      <c r="H143" s="554"/>
      <c r="I143" s="554"/>
      <c r="J143" s="554"/>
      <c r="K143" s="617" t="str">
        <f>IF($H143="","",INDEX(Teams[team_consolidation],MATCH(IF($E143="",$E$5,$E143),Teams[team_name],0)))</f>
        <v/>
      </c>
      <c r="L143" s="554"/>
      <c r="M143" s="554"/>
      <c r="N143" s="554"/>
      <c r="O143" s="554"/>
      <c r="P143" s="554"/>
      <c r="Q143" s="554"/>
      <c r="R143" s="554"/>
      <c r="S143" s="554"/>
      <c r="T143" s="554"/>
      <c r="U143" s="554"/>
      <c r="V143" s="554"/>
      <c r="W143" s="554"/>
      <c r="X143" s="554"/>
      <c r="Y143" s="554"/>
      <c r="Z143" s="554"/>
      <c r="AA143" s="554"/>
      <c r="AB143" s="554"/>
      <c r="AC143" s="554"/>
      <c r="AD143" s="554"/>
      <c r="AE143" s="554"/>
      <c r="AF143" s="554"/>
      <c r="AG143" s="554"/>
      <c r="AH143" s="554"/>
      <c r="AI143" s="554"/>
      <c r="AJ143" s="554"/>
      <c r="AK143" s="554"/>
      <c r="AL143" s="554"/>
      <c r="AM143" s="554"/>
      <c r="AN143" s="554"/>
      <c r="AO143" s="554"/>
      <c r="AP143" s="554"/>
      <c r="AQ143" s="554"/>
      <c r="AR143" s="554"/>
      <c r="AS143" s="554"/>
      <c r="AT143" s="554"/>
      <c r="AU143" s="554"/>
      <c r="AW143" t="b">
        <f t="array" ref="AW143">IF($H143="",TRUE,AND(OR($B143&lt;&gt;"",$B$5&lt;&gt;""),OR($C143&lt;&gt;"",$C$5&lt;&gt;""),OR($D143&lt;&gt;"",$D$5&lt;&gt;""),OR($E143&lt;&gt;"",$E$5&lt;&gt;""),OR($F143&lt;&gt;"",$F$5&lt;&gt;""),OR($G143&lt;&gt;"",$G$5&lt;&gt;""),NOT(ISERROR($L143:$AU143)),NOT(ISNA(MATCH(IF($D143="",$D$5,$D143)&amp;IF($C143="",$C$5,$C143),DeptBU,0)))))</f>
        <v>1</v>
      </c>
    </row>
    <row r="144" spans="2:49" x14ac:dyDescent="0.35">
      <c r="B144" s="554"/>
      <c r="C144" s="554"/>
      <c r="D144" s="554"/>
      <c r="E144" s="554"/>
      <c r="F144" s="554"/>
      <c r="G144" s="554"/>
      <c r="H144" s="554"/>
      <c r="I144" s="554"/>
      <c r="J144" s="554"/>
      <c r="K144" s="617" t="str">
        <f>IF($H144="","",INDEX(Teams[team_consolidation],MATCH(IF($E144="",$E$5,$E144),Teams[team_name],0)))</f>
        <v/>
      </c>
      <c r="L144" s="554"/>
      <c r="M144" s="554"/>
      <c r="N144" s="554"/>
      <c r="O144" s="554"/>
      <c r="P144" s="554"/>
      <c r="Q144" s="554"/>
      <c r="R144" s="554"/>
      <c r="S144" s="554"/>
      <c r="T144" s="554"/>
      <c r="U144" s="554"/>
      <c r="V144" s="554"/>
      <c r="W144" s="554"/>
      <c r="X144" s="554"/>
      <c r="Y144" s="554"/>
      <c r="Z144" s="554"/>
      <c r="AA144" s="554"/>
      <c r="AB144" s="554"/>
      <c r="AC144" s="554"/>
      <c r="AD144" s="554"/>
      <c r="AE144" s="554"/>
      <c r="AF144" s="554"/>
      <c r="AG144" s="554"/>
      <c r="AH144" s="554"/>
      <c r="AI144" s="554"/>
      <c r="AJ144" s="554"/>
      <c r="AK144" s="554"/>
      <c r="AL144" s="554"/>
      <c r="AM144" s="554"/>
      <c r="AN144" s="554"/>
      <c r="AO144" s="554"/>
      <c r="AP144" s="554"/>
      <c r="AQ144" s="554"/>
      <c r="AR144" s="554"/>
      <c r="AS144" s="554"/>
      <c r="AT144" s="554"/>
      <c r="AU144" s="554"/>
      <c r="AW144" t="b">
        <f t="array" ref="AW144">IF($H144="",TRUE,AND(OR($B144&lt;&gt;"",$B$5&lt;&gt;""),OR($C144&lt;&gt;"",$C$5&lt;&gt;""),OR($D144&lt;&gt;"",$D$5&lt;&gt;""),OR($E144&lt;&gt;"",$E$5&lt;&gt;""),OR($F144&lt;&gt;"",$F$5&lt;&gt;""),OR($G144&lt;&gt;"",$G$5&lt;&gt;""),NOT(ISERROR($L144:$AU144)),NOT(ISNA(MATCH(IF($D144="",$D$5,$D144)&amp;IF($C144="",$C$5,$C144),DeptBU,0)))))</f>
        <v>1</v>
      </c>
    </row>
    <row r="145" spans="2:49" x14ac:dyDescent="0.35">
      <c r="B145" s="554"/>
      <c r="C145" s="554"/>
      <c r="D145" s="554"/>
      <c r="E145" s="554"/>
      <c r="F145" s="554"/>
      <c r="G145" s="554"/>
      <c r="H145" s="554"/>
      <c r="I145" s="554"/>
      <c r="J145" s="554"/>
      <c r="K145" s="617" t="str">
        <f>IF($H145="","",INDEX(Teams[team_consolidation],MATCH(IF($E145="",$E$5,$E145),Teams[team_name],0)))</f>
        <v/>
      </c>
      <c r="L145" s="554"/>
      <c r="M145" s="554"/>
      <c r="N145" s="554"/>
      <c r="O145" s="554"/>
      <c r="P145" s="554"/>
      <c r="Q145" s="554"/>
      <c r="R145" s="554"/>
      <c r="S145" s="554"/>
      <c r="T145" s="554"/>
      <c r="U145" s="554"/>
      <c r="V145" s="554"/>
      <c r="W145" s="554"/>
      <c r="X145" s="554"/>
      <c r="Y145" s="554"/>
      <c r="Z145" s="554"/>
      <c r="AA145" s="554"/>
      <c r="AB145" s="554"/>
      <c r="AC145" s="554"/>
      <c r="AD145" s="554"/>
      <c r="AE145" s="554"/>
      <c r="AF145" s="554"/>
      <c r="AG145" s="554"/>
      <c r="AH145" s="554"/>
      <c r="AI145" s="554"/>
      <c r="AJ145" s="554"/>
      <c r="AK145" s="554"/>
      <c r="AL145" s="554"/>
      <c r="AM145" s="554"/>
      <c r="AN145" s="554"/>
      <c r="AO145" s="554"/>
      <c r="AP145" s="554"/>
      <c r="AQ145" s="554"/>
      <c r="AR145" s="554"/>
      <c r="AS145" s="554"/>
      <c r="AT145" s="554"/>
      <c r="AU145" s="554"/>
      <c r="AW145" t="b">
        <f t="array" ref="AW145">IF($H145="",TRUE,AND(OR($B145&lt;&gt;"",$B$5&lt;&gt;""),OR($C145&lt;&gt;"",$C$5&lt;&gt;""),OR($D145&lt;&gt;"",$D$5&lt;&gt;""),OR($E145&lt;&gt;"",$E$5&lt;&gt;""),OR($F145&lt;&gt;"",$F$5&lt;&gt;""),OR($G145&lt;&gt;"",$G$5&lt;&gt;""),NOT(ISERROR($L145:$AU145)),NOT(ISNA(MATCH(IF($D145="",$D$5,$D145)&amp;IF($C145="",$C$5,$C145),DeptBU,0)))))</f>
        <v>1</v>
      </c>
    </row>
    <row r="146" spans="2:49" x14ac:dyDescent="0.35">
      <c r="B146" s="554"/>
      <c r="C146" s="554"/>
      <c r="D146" s="554"/>
      <c r="E146" s="554"/>
      <c r="F146" s="554"/>
      <c r="G146" s="554"/>
      <c r="H146" s="554"/>
      <c r="I146" s="554"/>
      <c r="J146" s="554"/>
      <c r="K146" s="617" t="str">
        <f>IF($H146="","",INDEX(Teams[team_consolidation],MATCH(IF($E146="",$E$5,$E146),Teams[team_name],0)))</f>
        <v/>
      </c>
      <c r="L146" s="554"/>
      <c r="M146" s="554"/>
      <c r="N146" s="554"/>
      <c r="O146" s="554"/>
      <c r="P146" s="554"/>
      <c r="Q146" s="554"/>
      <c r="R146" s="554"/>
      <c r="S146" s="554"/>
      <c r="T146" s="554"/>
      <c r="U146" s="554"/>
      <c r="V146" s="554"/>
      <c r="W146" s="554"/>
      <c r="X146" s="554"/>
      <c r="Y146" s="554"/>
      <c r="Z146" s="554"/>
      <c r="AA146" s="554"/>
      <c r="AB146" s="554"/>
      <c r="AC146" s="554"/>
      <c r="AD146" s="554"/>
      <c r="AE146" s="554"/>
      <c r="AF146" s="554"/>
      <c r="AG146" s="554"/>
      <c r="AH146" s="554"/>
      <c r="AI146" s="554"/>
      <c r="AJ146" s="554"/>
      <c r="AK146" s="554"/>
      <c r="AL146" s="554"/>
      <c r="AM146" s="554"/>
      <c r="AN146" s="554"/>
      <c r="AO146" s="554"/>
      <c r="AP146" s="554"/>
      <c r="AQ146" s="554"/>
      <c r="AR146" s="554"/>
      <c r="AS146" s="554"/>
      <c r="AT146" s="554"/>
      <c r="AU146" s="554"/>
      <c r="AW146" t="b">
        <f t="array" ref="AW146">IF($H146="",TRUE,AND(OR($B146&lt;&gt;"",$B$5&lt;&gt;""),OR($C146&lt;&gt;"",$C$5&lt;&gt;""),OR($D146&lt;&gt;"",$D$5&lt;&gt;""),OR($E146&lt;&gt;"",$E$5&lt;&gt;""),OR($F146&lt;&gt;"",$F$5&lt;&gt;""),OR($G146&lt;&gt;"",$G$5&lt;&gt;""),NOT(ISERROR($L146:$AU146)),NOT(ISNA(MATCH(IF($D146="",$D$5,$D146)&amp;IF($C146="",$C$5,$C146),DeptBU,0)))))</f>
        <v>1</v>
      </c>
    </row>
    <row r="147" spans="2:49" x14ac:dyDescent="0.35">
      <c r="B147" s="554"/>
      <c r="C147" s="554"/>
      <c r="D147" s="554"/>
      <c r="E147" s="554"/>
      <c r="F147" s="554"/>
      <c r="G147" s="554"/>
      <c r="H147" s="554"/>
      <c r="I147" s="554"/>
      <c r="J147" s="554"/>
      <c r="K147" s="617" t="str">
        <f>IF($H147="","",INDEX(Teams[team_consolidation],MATCH(IF($E147="",$E$5,$E147),Teams[team_name],0)))</f>
        <v/>
      </c>
      <c r="L147" s="554"/>
      <c r="M147" s="554"/>
      <c r="N147" s="554"/>
      <c r="O147" s="554"/>
      <c r="P147" s="554"/>
      <c r="Q147" s="554"/>
      <c r="R147" s="554"/>
      <c r="S147" s="554"/>
      <c r="T147" s="554"/>
      <c r="U147" s="554"/>
      <c r="V147" s="554"/>
      <c r="W147" s="554"/>
      <c r="X147" s="554"/>
      <c r="Y147" s="554"/>
      <c r="Z147" s="554"/>
      <c r="AA147" s="554"/>
      <c r="AB147" s="554"/>
      <c r="AC147" s="554"/>
      <c r="AD147" s="554"/>
      <c r="AE147" s="554"/>
      <c r="AF147" s="554"/>
      <c r="AG147" s="554"/>
      <c r="AH147" s="554"/>
      <c r="AI147" s="554"/>
      <c r="AJ147" s="554"/>
      <c r="AK147" s="554"/>
      <c r="AL147" s="554"/>
      <c r="AM147" s="554"/>
      <c r="AN147" s="554"/>
      <c r="AO147" s="554"/>
      <c r="AP147" s="554"/>
      <c r="AQ147" s="554"/>
      <c r="AR147" s="554"/>
      <c r="AS147" s="554"/>
      <c r="AT147" s="554"/>
      <c r="AU147" s="554"/>
      <c r="AW147" t="b">
        <f t="array" ref="AW147">IF($H147="",TRUE,AND(OR($B147&lt;&gt;"",$B$5&lt;&gt;""),OR($C147&lt;&gt;"",$C$5&lt;&gt;""),OR($D147&lt;&gt;"",$D$5&lt;&gt;""),OR($E147&lt;&gt;"",$E$5&lt;&gt;""),OR($F147&lt;&gt;"",$F$5&lt;&gt;""),OR($G147&lt;&gt;"",$G$5&lt;&gt;""),NOT(ISERROR($L147:$AU147)),NOT(ISNA(MATCH(IF($D147="",$D$5,$D147)&amp;IF($C147="",$C$5,$C147),DeptBU,0)))))</f>
        <v>1</v>
      </c>
    </row>
    <row r="148" spans="2:49" x14ac:dyDescent="0.35">
      <c r="B148" s="554"/>
      <c r="C148" s="554"/>
      <c r="D148" s="554"/>
      <c r="E148" s="554"/>
      <c r="F148" s="554"/>
      <c r="G148" s="554"/>
      <c r="H148" s="554"/>
      <c r="I148" s="554"/>
      <c r="J148" s="554"/>
      <c r="K148" s="617" t="str">
        <f>IF($H148="","",INDEX(Teams[team_consolidation],MATCH(IF($E148="",$E$5,$E148),Teams[team_name],0)))</f>
        <v/>
      </c>
      <c r="L148" s="554"/>
      <c r="M148" s="554"/>
      <c r="N148" s="554"/>
      <c r="O148" s="554"/>
      <c r="P148" s="554"/>
      <c r="Q148" s="554"/>
      <c r="R148" s="554"/>
      <c r="S148" s="554"/>
      <c r="T148" s="554"/>
      <c r="U148" s="554"/>
      <c r="V148" s="554"/>
      <c r="W148" s="554"/>
      <c r="X148" s="554"/>
      <c r="Y148" s="554"/>
      <c r="Z148" s="554"/>
      <c r="AA148" s="554"/>
      <c r="AB148" s="554"/>
      <c r="AC148" s="554"/>
      <c r="AD148" s="554"/>
      <c r="AE148" s="554"/>
      <c r="AF148" s="554"/>
      <c r="AG148" s="554"/>
      <c r="AH148" s="554"/>
      <c r="AI148" s="554"/>
      <c r="AJ148" s="554"/>
      <c r="AK148" s="554"/>
      <c r="AL148" s="554"/>
      <c r="AM148" s="554"/>
      <c r="AN148" s="554"/>
      <c r="AO148" s="554"/>
      <c r="AP148" s="554"/>
      <c r="AQ148" s="554"/>
      <c r="AR148" s="554"/>
      <c r="AS148" s="554"/>
      <c r="AT148" s="554"/>
      <c r="AU148" s="554"/>
      <c r="AW148" t="b">
        <f t="array" ref="AW148">IF($H148="",TRUE,AND(OR($B148&lt;&gt;"",$B$5&lt;&gt;""),OR($C148&lt;&gt;"",$C$5&lt;&gt;""),OR($D148&lt;&gt;"",$D$5&lt;&gt;""),OR($E148&lt;&gt;"",$E$5&lt;&gt;""),OR($F148&lt;&gt;"",$F$5&lt;&gt;""),OR($G148&lt;&gt;"",$G$5&lt;&gt;""),NOT(ISERROR($L148:$AU148)),NOT(ISNA(MATCH(IF($D148="",$D$5,$D148)&amp;IF($C148="",$C$5,$C148),DeptBU,0)))))</f>
        <v>1</v>
      </c>
    </row>
    <row r="149" spans="2:49" x14ac:dyDescent="0.35">
      <c r="B149" s="554"/>
      <c r="C149" s="554"/>
      <c r="D149" s="554"/>
      <c r="E149" s="554"/>
      <c r="F149" s="554"/>
      <c r="G149" s="554"/>
      <c r="H149" s="554"/>
      <c r="I149" s="554"/>
      <c r="J149" s="554"/>
      <c r="K149" s="617" t="str">
        <f>IF($H149="","",INDEX(Teams[team_consolidation],MATCH(IF($E149="",$E$5,$E149),Teams[team_name],0)))</f>
        <v/>
      </c>
      <c r="L149" s="554"/>
      <c r="M149" s="554"/>
      <c r="N149" s="554"/>
      <c r="O149" s="554"/>
      <c r="P149" s="554"/>
      <c r="Q149" s="554"/>
      <c r="R149" s="554"/>
      <c r="S149" s="554"/>
      <c r="T149" s="554"/>
      <c r="U149" s="554"/>
      <c r="V149" s="554"/>
      <c r="W149" s="554"/>
      <c r="X149" s="554"/>
      <c r="Y149" s="554"/>
      <c r="Z149" s="554"/>
      <c r="AA149" s="554"/>
      <c r="AB149" s="554"/>
      <c r="AC149" s="554"/>
      <c r="AD149" s="554"/>
      <c r="AE149" s="554"/>
      <c r="AF149" s="554"/>
      <c r="AG149" s="554"/>
      <c r="AH149" s="554"/>
      <c r="AI149" s="554"/>
      <c r="AJ149" s="554"/>
      <c r="AK149" s="554"/>
      <c r="AL149" s="554"/>
      <c r="AM149" s="554"/>
      <c r="AN149" s="554"/>
      <c r="AO149" s="554"/>
      <c r="AP149" s="554"/>
      <c r="AQ149" s="554"/>
      <c r="AR149" s="554"/>
      <c r="AS149" s="554"/>
      <c r="AT149" s="554"/>
      <c r="AU149" s="554"/>
      <c r="AW149" t="b">
        <f t="array" ref="AW149">IF($H149="",TRUE,AND(OR($B149&lt;&gt;"",$B$5&lt;&gt;""),OR($C149&lt;&gt;"",$C$5&lt;&gt;""),OR($D149&lt;&gt;"",$D$5&lt;&gt;""),OR($E149&lt;&gt;"",$E$5&lt;&gt;""),OR($F149&lt;&gt;"",$F$5&lt;&gt;""),OR($G149&lt;&gt;"",$G$5&lt;&gt;""),NOT(ISERROR($L149:$AU149)),NOT(ISNA(MATCH(IF($D149="",$D$5,$D149)&amp;IF($C149="",$C$5,$C149),DeptBU,0)))))</f>
        <v>1</v>
      </c>
    </row>
    <row r="150" spans="2:49" x14ac:dyDescent="0.35">
      <c r="B150" s="554"/>
      <c r="C150" s="554"/>
      <c r="D150" s="554"/>
      <c r="E150" s="554"/>
      <c r="F150" s="554"/>
      <c r="G150" s="554"/>
      <c r="H150" s="554"/>
      <c r="I150" s="554"/>
      <c r="J150" s="554"/>
      <c r="K150" s="617" t="str">
        <f>IF($H150="","",INDEX(Teams[team_consolidation],MATCH(IF($E150="",$E$5,$E150),Teams[team_name],0)))</f>
        <v/>
      </c>
      <c r="L150" s="554"/>
      <c r="M150" s="554"/>
      <c r="N150" s="554"/>
      <c r="O150" s="554"/>
      <c r="P150" s="554"/>
      <c r="Q150" s="554"/>
      <c r="R150" s="554"/>
      <c r="S150" s="554"/>
      <c r="T150" s="554"/>
      <c r="U150" s="554"/>
      <c r="V150" s="554"/>
      <c r="W150" s="554"/>
      <c r="X150" s="554"/>
      <c r="Y150" s="554"/>
      <c r="Z150" s="554"/>
      <c r="AA150" s="554"/>
      <c r="AB150" s="554"/>
      <c r="AC150" s="554"/>
      <c r="AD150" s="554"/>
      <c r="AE150" s="554"/>
      <c r="AF150" s="554"/>
      <c r="AG150" s="554"/>
      <c r="AH150" s="554"/>
      <c r="AI150" s="554"/>
      <c r="AJ150" s="554"/>
      <c r="AK150" s="554"/>
      <c r="AL150" s="554"/>
      <c r="AM150" s="554"/>
      <c r="AN150" s="554"/>
      <c r="AO150" s="554"/>
      <c r="AP150" s="554"/>
      <c r="AQ150" s="554"/>
      <c r="AR150" s="554"/>
      <c r="AS150" s="554"/>
      <c r="AT150" s="554"/>
      <c r="AU150" s="554"/>
      <c r="AW150" t="b">
        <f t="array" ref="AW150">IF($H150="",TRUE,AND(OR($B150&lt;&gt;"",$B$5&lt;&gt;""),OR($C150&lt;&gt;"",$C$5&lt;&gt;""),OR($D150&lt;&gt;"",$D$5&lt;&gt;""),OR($E150&lt;&gt;"",$E$5&lt;&gt;""),OR($F150&lt;&gt;"",$F$5&lt;&gt;""),OR($G150&lt;&gt;"",$G$5&lt;&gt;""),NOT(ISERROR($L150:$AU150)),NOT(ISNA(MATCH(IF($D150="",$D$5,$D150)&amp;IF($C150="",$C$5,$C150),DeptBU,0)))))</f>
        <v>1</v>
      </c>
    </row>
    <row r="151" spans="2:49" x14ac:dyDescent="0.35">
      <c r="B151" s="554"/>
      <c r="C151" s="554"/>
      <c r="D151" s="554"/>
      <c r="E151" s="554"/>
      <c r="F151" s="554"/>
      <c r="G151" s="554"/>
      <c r="H151" s="554"/>
      <c r="I151" s="554"/>
      <c r="J151" s="554"/>
      <c r="K151" s="617" t="str">
        <f>IF($H151="","",INDEX(Teams[team_consolidation],MATCH(IF($E151="",$E$5,$E151),Teams[team_name],0)))</f>
        <v/>
      </c>
      <c r="L151" s="554"/>
      <c r="M151" s="554"/>
      <c r="N151" s="554"/>
      <c r="O151" s="554"/>
      <c r="P151" s="554"/>
      <c r="Q151" s="554"/>
      <c r="R151" s="554"/>
      <c r="S151" s="554"/>
      <c r="T151" s="554"/>
      <c r="U151" s="554"/>
      <c r="V151" s="554"/>
      <c r="W151" s="554"/>
      <c r="X151" s="554"/>
      <c r="Y151" s="554"/>
      <c r="Z151" s="554"/>
      <c r="AA151" s="554"/>
      <c r="AB151" s="554"/>
      <c r="AC151" s="554"/>
      <c r="AD151" s="554"/>
      <c r="AE151" s="554"/>
      <c r="AF151" s="554"/>
      <c r="AG151" s="554"/>
      <c r="AH151" s="554"/>
      <c r="AI151" s="554"/>
      <c r="AJ151" s="554"/>
      <c r="AK151" s="554"/>
      <c r="AL151" s="554"/>
      <c r="AM151" s="554"/>
      <c r="AN151" s="554"/>
      <c r="AO151" s="554"/>
      <c r="AP151" s="554"/>
      <c r="AQ151" s="554"/>
      <c r="AR151" s="554"/>
      <c r="AS151" s="554"/>
      <c r="AT151" s="554"/>
      <c r="AU151" s="554"/>
      <c r="AW151" t="b">
        <f t="array" ref="AW151">IF($H151="",TRUE,AND(OR($B151&lt;&gt;"",$B$5&lt;&gt;""),OR($C151&lt;&gt;"",$C$5&lt;&gt;""),OR($D151&lt;&gt;"",$D$5&lt;&gt;""),OR($E151&lt;&gt;"",$E$5&lt;&gt;""),OR($F151&lt;&gt;"",$F$5&lt;&gt;""),OR($G151&lt;&gt;"",$G$5&lt;&gt;""),NOT(ISERROR($L151:$AU151)),NOT(ISNA(MATCH(IF($D151="",$D$5,$D151)&amp;IF($C151="",$C$5,$C151),DeptBU,0)))))</f>
        <v>1</v>
      </c>
    </row>
    <row r="152" spans="2:49" x14ac:dyDescent="0.35">
      <c r="B152" s="554"/>
      <c r="C152" s="554"/>
      <c r="D152" s="554"/>
      <c r="E152" s="554"/>
      <c r="F152" s="554"/>
      <c r="G152" s="554"/>
      <c r="H152" s="554"/>
      <c r="I152" s="554"/>
      <c r="J152" s="554"/>
      <c r="K152" s="617" t="str">
        <f>IF($H152="","",INDEX(Teams[team_consolidation],MATCH(IF($E152="",$E$5,$E152),Teams[team_name],0)))</f>
        <v/>
      </c>
      <c r="L152" s="554"/>
      <c r="M152" s="554"/>
      <c r="N152" s="554"/>
      <c r="O152" s="554"/>
      <c r="P152" s="554"/>
      <c r="Q152" s="554"/>
      <c r="R152" s="554"/>
      <c r="S152" s="554"/>
      <c r="T152" s="554"/>
      <c r="U152" s="554"/>
      <c r="V152" s="554"/>
      <c r="W152" s="554"/>
      <c r="X152" s="554"/>
      <c r="Y152" s="554"/>
      <c r="Z152" s="554"/>
      <c r="AA152" s="554"/>
      <c r="AB152" s="554"/>
      <c r="AC152" s="554"/>
      <c r="AD152" s="554"/>
      <c r="AE152" s="554"/>
      <c r="AF152" s="554"/>
      <c r="AG152" s="554"/>
      <c r="AH152" s="554"/>
      <c r="AI152" s="554"/>
      <c r="AJ152" s="554"/>
      <c r="AK152" s="554"/>
      <c r="AL152" s="554"/>
      <c r="AM152" s="554"/>
      <c r="AN152" s="554"/>
      <c r="AO152" s="554"/>
      <c r="AP152" s="554"/>
      <c r="AQ152" s="554"/>
      <c r="AR152" s="554"/>
      <c r="AS152" s="554"/>
      <c r="AT152" s="554"/>
      <c r="AU152" s="554"/>
      <c r="AW152" t="b">
        <f t="array" ref="AW152">IF($H152="",TRUE,AND(OR($B152&lt;&gt;"",$B$5&lt;&gt;""),OR($C152&lt;&gt;"",$C$5&lt;&gt;""),OR($D152&lt;&gt;"",$D$5&lt;&gt;""),OR($E152&lt;&gt;"",$E$5&lt;&gt;""),OR($F152&lt;&gt;"",$F$5&lt;&gt;""),OR($G152&lt;&gt;"",$G$5&lt;&gt;""),NOT(ISERROR($L152:$AU152)),NOT(ISNA(MATCH(IF($D152="",$D$5,$D152)&amp;IF($C152="",$C$5,$C152),DeptBU,0)))))</f>
        <v>1</v>
      </c>
    </row>
    <row r="153" spans="2:49" x14ac:dyDescent="0.35">
      <c r="B153" s="554"/>
      <c r="C153" s="554"/>
      <c r="D153" s="554"/>
      <c r="E153" s="554"/>
      <c r="F153" s="554"/>
      <c r="G153" s="554"/>
      <c r="H153" s="554"/>
      <c r="I153" s="554"/>
      <c r="J153" s="554"/>
      <c r="K153" s="617" t="str">
        <f>IF($H153="","",INDEX(Teams[team_consolidation],MATCH(IF($E153="",$E$5,$E153),Teams[team_name],0)))</f>
        <v/>
      </c>
      <c r="L153" s="554"/>
      <c r="M153" s="554"/>
      <c r="N153" s="554"/>
      <c r="O153" s="554"/>
      <c r="P153" s="554"/>
      <c r="Q153" s="554"/>
      <c r="R153" s="554"/>
      <c r="S153" s="554"/>
      <c r="T153" s="554"/>
      <c r="U153" s="554"/>
      <c r="V153" s="554"/>
      <c r="W153" s="554"/>
      <c r="X153" s="554"/>
      <c r="Y153" s="554"/>
      <c r="Z153" s="554"/>
      <c r="AA153" s="554"/>
      <c r="AB153" s="554"/>
      <c r="AC153" s="554"/>
      <c r="AD153" s="554"/>
      <c r="AE153" s="554"/>
      <c r="AF153" s="554"/>
      <c r="AG153" s="554"/>
      <c r="AH153" s="554"/>
      <c r="AI153" s="554"/>
      <c r="AJ153" s="554"/>
      <c r="AK153" s="554"/>
      <c r="AL153" s="554"/>
      <c r="AM153" s="554"/>
      <c r="AN153" s="554"/>
      <c r="AO153" s="554"/>
      <c r="AP153" s="554"/>
      <c r="AQ153" s="554"/>
      <c r="AR153" s="554"/>
      <c r="AS153" s="554"/>
      <c r="AT153" s="554"/>
      <c r="AU153" s="554"/>
      <c r="AW153" t="b">
        <f t="array" ref="AW153">IF($H153="",TRUE,AND(OR($B153&lt;&gt;"",$B$5&lt;&gt;""),OR($C153&lt;&gt;"",$C$5&lt;&gt;""),OR($D153&lt;&gt;"",$D$5&lt;&gt;""),OR($E153&lt;&gt;"",$E$5&lt;&gt;""),OR($F153&lt;&gt;"",$F$5&lt;&gt;""),OR($G153&lt;&gt;"",$G$5&lt;&gt;""),NOT(ISERROR($L153:$AU153)),NOT(ISNA(MATCH(IF($D153="",$D$5,$D153)&amp;IF($C153="",$C$5,$C153),DeptBU,0)))))</f>
        <v>1</v>
      </c>
    </row>
    <row r="154" spans="2:49" x14ac:dyDescent="0.35">
      <c r="B154" s="554"/>
      <c r="C154" s="554"/>
      <c r="D154" s="554"/>
      <c r="E154" s="554"/>
      <c r="F154" s="554"/>
      <c r="G154" s="554"/>
      <c r="H154" s="554"/>
      <c r="I154" s="554"/>
      <c r="J154" s="554"/>
      <c r="K154" s="617" t="str">
        <f>IF($H154="","",INDEX(Teams[team_consolidation],MATCH(IF($E154="",$E$5,$E154),Teams[team_name],0)))</f>
        <v/>
      </c>
      <c r="L154" s="554"/>
      <c r="M154" s="554"/>
      <c r="N154" s="554"/>
      <c r="O154" s="554"/>
      <c r="P154" s="554"/>
      <c r="Q154" s="554"/>
      <c r="R154" s="554"/>
      <c r="S154" s="554"/>
      <c r="T154" s="554"/>
      <c r="U154" s="554"/>
      <c r="V154" s="554"/>
      <c r="W154" s="554"/>
      <c r="X154" s="554"/>
      <c r="Y154" s="554"/>
      <c r="Z154" s="554"/>
      <c r="AA154" s="554"/>
      <c r="AB154" s="554"/>
      <c r="AC154" s="554"/>
      <c r="AD154" s="554"/>
      <c r="AE154" s="554"/>
      <c r="AF154" s="554"/>
      <c r="AG154" s="554"/>
      <c r="AH154" s="554"/>
      <c r="AI154" s="554"/>
      <c r="AJ154" s="554"/>
      <c r="AK154" s="554"/>
      <c r="AL154" s="554"/>
      <c r="AM154" s="554"/>
      <c r="AN154" s="554"/>
      <c r="AO154" s="554"/>
      <c r="AP154" s="554"/>
      <c r="AQ154" s="554"/>
      <c r="AR154" s="554"/>
      <c r="AS154" s="554"/>
      <c r="AT154" s="554"/>
      <c r="AU154" s="554"/>
      <c r="AW154" t="b">
        <f t="array" ref="AW154">IF($H154="",TRUE,AND(OR($B154&lt;&gt;"",$B$5&lt;&gt;""),OR($C154&lt;&gt;"",$C$5&lt;&gt;""),OR($D154&lt;&gt;"",$D$5&lt;&gt;""),OR($E154&lt;&gt;"",$E$5&lt;&gt;""),OR($F154&lt;&gt;"",$F$5&lt;&gt;""),OR($G154&lt;&gt;"",$G$5&lt;&gt;""),NOT(ISERROR($L154:$AU154)),NOT(ISNA(MATCH(IF($D154="",$D$5,$D154)&amp;IF($C154="",$C$5,$C154),DeptBU,0)))))</f>
        <v>1</v>
      </c>
    </row>
    <row r="155" spans="2:49" x14ac:dyDescent="0.35">
      <c r="B155" s="554"/>
      <c r="C155" s="554"/>
      <c r="D155" s="554"/>
      <c r="E155" s="554"/>
      <c r="F155" s="554"/>
      <c r="G155" s="554"/>
      <c r="H155" s="554"/>
      <c r="I155" s="554"/>
      <c r="J155" s="554"/>
      <c r="K155" s="617" t="str">
        <f>IF($H155="","",INDEX(Teams[team_consolidation],MATCH(IF($E155="",$E$5,$E155),Teams[team_name],0)))</f>
        <v/>
      </c>
      <c r="L155" s="554"/>
      <c r="M155" s="554"/>
      <c r="N155" s="554"/>
      <c r="O155" s="554"/>
      <c r="P155" s="554"/>
      <c r="Q155" s="554"/>
      <c r="R155" s="554"/>
      <c r="S155" s="554"/>
      <c r="T155" s="554"/>
      <c r="U155" s="554"/>
      <c r="V155" s="554"/>
      <c r="W155" s="554"/>
      <c r="X155" s="554"/>
      <c r="Y155" s="554"/>
      <c r="Z155" s="554"/>
      <c r="AA155" s="554"/>
      <c r="AB155" s="554"/>
      <c r="AC155" s="554"/>
      <c r="AD155" s="554"/>
      <c r="AE155" s="554"/>
      <c r="AF155" s="554"/>
      <c r="AG155" s="554"/>
      <c r="AH155" s="554"/>
      <c r="AI155" s="554"/>
      <c r="AJ155" s="554"/>
      <c r="AK155" s="554"/>
      <c r="AL155" s="554"/>
      <c r="AM155" s="554"/>
      <c r="AN155" s="554"/>
      <c r="AO155" s="554"/>
      <c r="AP155" s="554"/>
      <c r="AQ155" s="554"/>
      <c r="AR155" s="554"/>
      <c r="AS155" s="554"/>
      <c r="AT155" s="554"/>
      <c r="AU155" s="554"/>
      <c r="AW155" t="b">
        <f t="array" ref="AW155">IF($H155="",TRUE,AND(OR($B155&lt;&gt;"",$B$5&lt;&gt;""),OR($C155&lt;&gt;"",$C$5&lt;&gt;""),OR($D155&lt;&gt;"",$D$5&lt;&gt;""),OR($E155&lt;&gt;"",$E$5&lt;&gt;""),OR($F155&lt;&gt;"",$F$5&lt;&gt;""),OR($G155&lt;&gt;"",$G$5&lt;&gt;""),NOT(ISERROR($L155:$AU155)),NOT(ISNA(MATCH(IF($D155="",$D$5,$D155)&amp;IF($C155="",$C$5,$C155),DeptBU,0)))))</f>
        <v>1</v>
      </c>
    </row>
    <row r="156" spans="2:49" x14ac:dyDescent="0.35">
      <c r="B156" s="554"/>
      <c r="C156" s="554"/>
      <c r="D156" s="554"/>
      <c r="E156" s="554"/>
      <c r="F156" s="554"/>
      <c r="G156" s="554"/>
      <c r="H156" s="554"/>
      <c r="I156" s="554"/>
      <c r="J156" s="554"/>
      <c r="K156" s="617" t="str">
        <f>IF($H156="","",INDEX(Teams[team_consolidation],MATCH(IF($E156="",$E$5,$E156),Teams[team_name],0)))</f>
        <v/>
      </c>
      <c r="L156" s="554"/>
      <c r="M156" s="554"/>
      <c r="N156" s="554"/>
      <c r="O156" s="554"/>
      <c r="P156" s="554"/>
      <c r="Q156" s="554"/>
      <c r="R156" s="554"/>
      <c r="S156" s="554"/>
      <c r="T156" s="554"/>
      <c r="U156" s="554"/>
      <c r="V156" s="554"/>
      <c r="W156" s="554"/>
      <c r="X156" s="554"/>
      <c r="Y156" s="554"/>
      <c r="Z156" s="554"/>
      <c r="AA156" s="554"/>
      <c r="AB156" s="554"/>
      <c r="AC156" s="554"/>
      <c r="AD156" s="554"/>
      <c r="AE156" s="554"/>
      <c r="AF156" s="554"/>
      <c r="AG156" s="554"/>
      <c r="AH156" s="554"/>
      <c r="AI156" s="554"/>
      <c r="AJ156" s="554"/>
      <c r="AK156" s="554"/>
      <c r="AL156" s="554"/>
      <c r="AM156" s="554"/>
      <c r="AN156" s="554"/>
      <c r="AO156" s="554"/>
      <c r="AP156" s="554"/>
      <c r="AQ156" s="554"/>
      <c r="AR156" s="554"/>
      <c r="AS156" s="554"/>
      <c r="AT156" s="554"/>
      <c r="AU156" s="554"/>
      <c r="AW156" t="b">
        <f t="array" ref="AW156">IF($H156="",TRUE,AND(OR($B156&lt;&gt;"",$B$5&lt;&gt;""),OR($C156&lt;&gt;"",$C$5&lt;&gt;""),OR($D156&lt;&gt;"",$D$5&lt;&gt;""),OR($E156&lt;&gt;"",$E$5&lt;&gt;""),OR($F156&lt;&gt;"",$F$5&lt;&gt;""),OR($G156&lt;&gt;"",$G$5&lt;&gt;""),NOT(ISERROR($L156:$AU156)),NOT(ISNA(MATCH(IF($D156="",$D$5,$D156)&amp;IF($C156="",$C$5,$C156),DeptBU,0)))))</f>
        <v>1</v>
      </c>
    </row>
    <row r="157" spans="2:49" x14ac:dyDescent="0.35">
      <c r="B157" s="554"/>
      <c r="C157" s="554"/>
      <c r="D157" s="554"/>
      <c r="E157" s="554"/>
      <c r="F157" s="554"/>
      <c r="G157" s="554"/>
      <c r="H157" s="554"/>
      <c r="I157" s="554"/>
      <c r="J157" s="554"/>
      <c r="K157" s="617" t="str">
        <f>IF($H157="","",INDEX(Teams[team_consolidation],MATCH(IF($E157="",$E$5,$E157),Teams[team_name],0)))</f>
        <v/>
      </c>
      <c r="L157" s="554"/>
      <c r="M157" s="554"/>
      <c r="N157" s="554"/>
      <c r="O157" s="554"/>
      <c r="P157" s="554"/>
      <c r="Q157" s="554"/>
      <c r="R157" s="554"/>
      <c r="S157" s="554"/>
      <c r="T157" s="554"/>
      <c r="U157" s="554"/>
      <c r="V157" s="554"/>
      <c r="W157" s="554"/>
      <c r="X157" s="554"/>
      <c r="Y157" s="554"/>
      <c r="Z157" s="554"/>
      <c r="AA157" s="554"/>
      <c r="AB157" s="554"/>
      <c r="AC157" s="554"/>
      <c r="AD157" s="554"/>
      <c r="AE157" s="554"/>
      <c r="AF157" s="554"/>
      <c r="AG157" s="554"/>
      <c r="AH157" s="554"/>
      <c r="AI157" s="554"/>
      <c r="AJ157" s="554"/>
      <c r="AK157" s="554"/>
      <c r="AL157" s="554"/>
      <c r="AM157" s="554"/>
      <c r="AN157" s="554"/>
      <c r="AO157" s="554"/>
      <c r="AP157" s="554"/>
      <c r="AQ157" s="554"/>
      <c r="AR157" s="554"/>
      <c r="AS157" s="554"/>
      <c r="AT157" s="554"/>
      <c r="AU157" s="554"/>
      <c r="AW157" t="b">
        <f t="array" ref="AW157">IF($H157="",TRUE,AND(OR($B157&lt;&gt;"",$B$5&lt;&gt;""),OR($C157&lt;&gt;"",$C$5&lt;&gt;""),OR($D157&lt;&gt;"",$D$5&lt;&gt;""),OR($E157&lt;&gt;"",$E$5&lt;&gt;""),OR($F157&lt;&gt;"",$F$5&lt;&gt;""),OR($G157&lt;&gt;"",$G$5&lt;&gt;""),NOT(ISERROR($L157:$AU157)),NOT(ISNA(MATCH(IF($D157="",$D$5,$D157)&amp;IF($C157="",$C$5,$C157),DeptBU,0)))))</f>
        <v>1</v>
      </c>
    </row>
    <row r="158" spans="2:49" x14ac:dyDescent="0.35">
      <c r="B158" s="554"/>
      <c r="C158" s="554"/>
      <c r="D158" s="554"/>
      <c r="E158" s="554"/>
      <c r="F158" s="554"/>
      <c r="G158" s="554"/>
      <c r="H158" s="554"/>
      <c r="I158" s="554"/>
      <c r="J158" s="554"/>
      <c r="K158" s="617" t="str">
        <f>IF($H158="","",INDEX(Teams[team_consolidation],MATCH(IF($E158="",$E$5,$E158),Teams[team_name],0)))</f>
        <v/>
      </c>
      <c r="L158" s="554"/>
      <c r="M158" s="554"/>
      <c r="N158" s="554"/>
      <c r="O158" s="554"/>
      <c r="P158" s="554"/>
      <c r="Q158" s="554"/>
      <c r="R158" s="554"/>
      <c r="S158" s="554"/>
      <c r="T158" s="554"/>
      <c r="U158" s="554"/>
      <c r="V158" s="554"/>
      <c r="W158" s="554"/>
      <c r="X158" s="554"/>
      <c r="Y158" s="554"/>
      <c r="Z158" s="554"/>
      <c r="AA158" s="554"/>
      <c r="AB158" s="554"/>
      <c r="AC158" s="554"/>
      <c r="AD158" s="554"/>
      <c r="AE158" s="554"/>
      <c r="AF158" s="554"/>
      <c r="AG158" s="554"/>
      <c r="AH158" s="554"/>
      <c r="AI158" s="554"/>
      <c r="AJ158" s="554"/>
      <c r="AK158" s="554"/>
      <c r="AL158" s="554"/>
      <c r="AM158" s="554"/>
      <c r="AN158" s="554"/>
      <c r="AO158" s="554"/>
      <c r="AP158" s="554"/>
      <c r="AQ158" s="554"/>
      <c r="AR158" s="554"/>
      <c r="AS158" s="554"/>
      <c r="AT158" s="554"/>
      <c r="AU158" s="554"/>
      <c r="AW158" t="b">
        <f t="array" ref="AW158">IF($H158="",TRUE,AND(OR($B158&lt;&gt;"",$B$5&lt;&gt;""),OR($C158&lt;&gt;"",$C$5&lt;&gt;""),OR($D158&lt;&gt;"",$D$5&lt;&gt;""),OR($E158&lt;&gt;"",$E$5&lt;&gt;""),OR($F158&lt;&gt;"",$F$5&lt;&gt;""),OR($G158&lt;&gt;"",$G$5&lt;&gt;""),NOT(ISERROR($L158:$AU158)),NOT(ISNA(MATCH(IF($D158="",$D$5,$D158)&amp;IF($C158="",$C$5,$C158),DeptBU,0)))))</f>
        <v>1</v>
      </c>
    </row>
    <row r="159" spans="2:49" x14ac:dyDescent="0.35">
      <c r="B159" s="554"/>
      <c r="C159" s="554"/>
      <c r="D159" s="554"/>
      <c r="E159" s="554"/>
      <c r="F159" s="554"/>
      <c r="G159" s="554"/>
      <c r="H159" s="554"/>
      <c r="I159" s="554"/>
      <c r="J159" s="554"/>
      <c r="K159" s="617" t="str">
        <f>IF($H159="","",INDEX(Teams[team_consolidation],MATCH(IF($E159="",$E$5,$E159),Teams[team_name],0)))</f>
        <v/>
      </c>
      <c r="L159" s="554"/>
      <c r="M159" s="554"/>
      <c r="N159" s="554"/>
      <c r="O159" s="554"/>
      <c r="P159" s="554"/>
      <c r="Q159" s="554"/>
      <c r="R159" s="554"/>
      <c r="S159" s="554"/>
      <c r="T159" s="554"/>
      <c r="U159" s="554"/>
      <c r="V159" s="554"/>
      <c r="W159" s="554"/>
      <c r="X159" s="554"/>
      <c r="Y159" s="554"/>
      <c r="Z159" s="554"/>
      <c r="AA159" s="554"/>
      <c r="AB159" s="554"/>
      <c r="AC159" s="554"/>
      <c r="AD159" s="554"/>
      <c r="AE159" s="554"/>
      <c r="AF159" s="554"/>
      <c r="AG159" s="554"/>
      <c r="AH159" s="554"/>
      <c r="AI159" s="554"/>
      <c r="AJ159" s="554"/>
      <c r="AK159" s="554"/>
      <c r="AL159" s="554"/>
      <c r="AM159" s="554"/>
      <c r="AN159" s="554"/>
      <c r="AO159" s="554"/>
      <c r="AP159" s="554"/>
      <c r="AQ159" s="554"/>
      <c r="AR159" s="554"/>
      <c r="AS159" s="554"/>
      <c r="AT159" s="554"/>
      <c r="AU159" s="554"/>
      <c r="AW159" t="b">
        <f t="array" ref="AW159">IF($H159="",TRUE,AND(OR($B159&lt;&gt;"",$B$5&lt;&gt;""),OR($C159&lt;&gt;"",$C$5&lt;&gt;""),OR($D159&lt;&gt;"",$D$5&lt;&gt;""),OR($E159&lt;&gt;"",$E$5&lt;&gt;""),OR($F159&lt;&gt;"",$F$5&lt;&gt;""),OR($G159&lt;&gt;"",$G$5&lt;&gt;""),NOT(ISERROR($L159:$AU159)),NOT(ISNA(MATCH(IF($D159="",$D$5,$D159)&amp;IF($C159="",$C$5,$C159),DeptBU,0)))))</f>
        <v>1</v>
      </c>
    </row>
    <row r="160" spans="2:49" x14ac:dyDescent="0.35">
      <c r="B160" s="554"/>
      <c r="C160" s="554"/>
      <c r="D160" s="554"/>
      <c r="E160" s="554"/>
      <c r="F160" s="554"/>
      <c r="G160" s="554"/>
      <c r="H160" s="554"/>
      <c r="I160" s="554"/>
      <c r="J160" s="554"/>
      <c r="K160" s="617" t="str">
        <f>IF($H160="","",INDEX(Teams[team_consolidation],MATCH(IF($E160="",$E$5,$E160),Teams[team_name],0)))</f>
        <v/>
      </c>
      <c r="L160" s="554"/>
      <c r="M160" s="554"/>
      <c r="N160" s="554"/>
      <c r="O160" s="554"/>
      <c r="P160" s="554"/>
      <c r="Q160" s="554"/>
      <c r="R160" s="554"/>
      <c r="S160" s="554"/>
      <c r="T160" s="554"/>
      <c r="U160" s="554"/>
      <c r="V160" s="554"/>
      <c r="W160" s="554"/>
      <c r="X160" s="554"/>
      <c r="Y160" s="554"/>
      <c r="Z160" s="554"/>
      <c r="AA160" s="554"/>
      <c r="AB160" s="554"/>
      <c r="AC160" s="554"/>
      <c r="AD160" s="554"/>
      <c r="AE160" s="554"/>
      <c r="AF160" s="554"/>
      <c r="AG160" s="554"/>
      <c r="AH160" s="554"/>
      <c r="AI160" s="554"/>
      <c r="AJ160" s="554"/>
      <c r="AK160" s="554"/>
      <c r="AL160" s="554"/>
      <c r="AM160" s="554"/>
      <c r="AN160" s="554"/>
      <c r="AO160" s="554"/>
      <c r="AP160" s="554"/>
      <c r="AQ160" s="554"/>
      <c r="AR160" s="554"/>
      <c r="AS160" s="554"/>
      <c r="AT160" s="554"/>
      <c r="AU160" s="554"/>
      <c r="AW160" t="b">
        <f t="array" ref="AW160">IF($H160="",TRUE,AND(OR($B160&lt;&gt;"",$B$5&lt;&gt;""),OR($C160&lt;&gt;"",$C$5&lt;&gt;""),OR($D160&lt;&gt;"",$D$5&lt;&gt;""),OR($E160&lt;&gt;"",$E$5&lt;&gt;""),OR($F160&lt;&gt;"",$F$5&lt;&gt;""),OR($G160&lt;&gt;"",$G$5&lt;&gt;""),NOT(ISERROR($L160:$AU160)),NOT(ISNA(MATCH(IF($D160="",$D$5,$D160)&amp;IF($C160="",$C$5,$C160),DeptBU,0)))))</f>
        <v>1</v>
      </c>
    </row>
    <row r="161" spans="2:49" x14ac:dyDescent="0.35">
      <c r="B161" s="554"/>
      <c r="C161" s="554"/>
      <c r="D161" s="554"/>
      <c r="E161" s="554"/>
      <c r="F161" s="554"/>
      <c r="G161" s="554"/>
      <c r="H161" s="554"/>
      <c r="I161" s="554"/>
      <c r="J161" s="554"/>
      <c r="K161" s="617" t="str">
        <f>IF($H161="","",INDEX(Teams[team_consolidation],MATCH(IF($E161="",$E$5,$E161),Teams[team_name],0)))</f>
        <v/>
      </c>
      <c r="L161" s="554"/>
      <c r="M161" s="554"/>
      <c r="N161" s="554"/>
      <c r="O161" s="554"/>
      <c r="P161" s="554"/>
      <c r="Q161" s="554"/>
      <c r="R161" s="554"/>
      <c r="S161" s="554"/>
      <c r="T161" s="554"/>
      <c r="U161" s="554"/>
      <c r="V161" s="554"/>
      <c r="W161" s="554"/>
      <c r="X161" s="554"/>
      <c r="Y161" s="554"/>
      <c r="Z161" s="554"/>
      <c r="AA161" s="554"/>
      <c r="AB161" s="554"/>
      <c r="AC161" s="554"/>
      <c r="AD161" s="554"/>
      <c r="AE161" s="554"/>
      <c r="AF161" s="554"/>
      <c r="AG161" s="554"/>
      <c r="AH161" s="554"/>
      <c r="AI161" s="554"/>
      <c r="AJ161" s="554"/>
      <c r="AK161" s="554"/>
      <c r="AL161" s="554"/>
      <c r="AM161" s="554"/>
      <c r="AN161" s="554"/>
      <c r="AO161" s="554"/>
      <c r="AP161" s="554"/>
      <c r="AQ161" s="554"/>
      <c r="AR161" s="554"/>
      <c r="AS161" s="554"/>
      <c r="AT161" s="554"/>
      <c r="AU161" s="554"/>
      <c r="AW161" t="b">
        <f t="array" ref="AW161">IF($H161="",TRUE,AND(OR($B161&lt;&gt;"",$B$5&lt;&gt;""),OR($C161&lt;&gt;"",$C$5&lt;&gt;""),OR($D161&lt;&gt;"",$D$5&lt;&gt;""),OR($E161&lt;&gt;"",$E$5&lt;&gt;""),OR($F161&lt;&gt;"",$F$5&lt;&gt;""),OR($G161&lt;&gt;"",$G$5&lt;&gt;""),NOT(ISERROR($L161:$AU161)),NOT(ISNA(MATCH(IF($D161="",$D$5,$D161)&amp;IF($C161="",$C$5,$C161),DeptBU,0)))))</f>
        <v>1</v>
      </c>
    </row>
    <row r="162" spans="2:49" x14ac:dyDescent="0.35">
      <c r="B162" s="554"/>
      <c r="C162" s="554"/>
      <c r="D162" s="554"/>
      <c r="E162" s="554"/>
      <c r="F162" s="554"/>
      <c r="G162" s="554"/>
      <c r="H162" s="554"/>
      <c r="I162" s="554"/>
      <c r="J162" s="554"/>
      <c r="K162" s="617" t="str">
        <f>IF($H162="","",INDEX(Teams[team_consolidation],MATCH(IF($E162="",$E$5,$E162),Teams[team_name],0)))</f>
        <v/>
      </c>
      <c r="L162" s="554"/>
      <c r="M162" s="554"/>
      <c r="N162" s="554"/>
      <c r="O162" s="554"/>
      <c r="P162" s="554"/>
      <c r="Q162" s="554"/>
      <c r="R162" s="554"/>
      <c r="S162" s="554"/>
      <c r="T162" s="554"/>
      <c r="U162" s="554"/>
      <c r="V162" s="554"/>
      <c r="W162" s="554"/>
      <c r="X162" s="554"/>
      <c r="Y162" s="554"/>
      <c r="Z162" s="554"/>
      <c r="AA162" s="554"/>
      <c r="AB162" s="554"/>
      <c r="AC162" s="554"/>
      <c r="AD162" s="554"/>
      <c r="AE162" s="554"/>
      <c r="AF162" s="554"/>
      <c r="AG162" s="554"/>
      <c r="AH162" s="554"/>
      <c r="AI162" s="554"/>
      <c r="AJ162" s="554"/>
      <c r="AK162" s="554"/>
      <c r="AL162" s="554"/>
      <c r="AM162" s="554"/>
      <c r="AN162" s="554"/>
      <c r="AO162" s="554"/>
      <c r="AP162" s="554"/>
      <c r="AQ162" s="554"/>
      <c r="AR162" s="554"/>
      <c r="AS162" s="554"/>
      <c r="AT162" s="554"/>
      <c r="AU162" s="554"/>
      <c r="AW162" t="b">
        <f t="array" ref="AW162">IF($H162="",TRUE,AND(OR($B162&lt;&gt;"",$B$5&lt;&gt;""),OR($C162&lt;&gt;"",$C$5&lt;&gt;""),OR($D162&lt;&gt;"",$D$5&lt;&gt;""),OR($E162&lt;&gt;"",$E$5&lt;&gt;""),OR($F162&lt;&gt;"",$F$5&lt;&gt;""),OR($G162&lt;&gt;"",$G$5&lt;&gt;""),NOT(ISERROR($L162:$AU162)),NOT(ISNA(MATCH(IF($D162="",$D$5,$D162)&amp;IF($C162="",$C$5,$C162),DeptBU,0)))))</f>
        <v>1</v>
      </c>
    </row>
    <row r="163" spans="2:49" x14ac:dyDescent="0.35">
      <c r="B163" s="554"/>
      <c r="C163" s="554"/>
      <c r="D163" s="554"/>
      <c r="E163" s="554"/>
      <c r="F163" s="554"/>
      <c r="G163" s="554"/>
      <c r="H163" s="554"/>
      <c r="I163" s="554"/>
      <c r="J163" s="554"/>
      <c r="K163" s="617" t="str">
        <f>IF($H163="","",INDEX(Teams[team_consolidation],MATCH(IF($E163="",$E$5,$E163),Teams[team_name],0)))</f>
        <v/>
      </c>
      <c r="L163" s="554"/>
      <c r="M163" s="554"/>
      <c r="N163" s="554"/>
      <c r="O163" s="554"/>
      <c r="P163" s="554"/>
      <c r="Q163" s="554"/>
      <c r="R163" s="554"/>
      <c r="S163" s="554"/>
      <c r="T163" s="554"/>
      <c r="U163" s="554"/>
      <c r="V163" s="554"/>
      <c r="W163" s="554"/>
      <c r="X163" s="554"/>
      <c r="Y163" s="554"/>
      <c r="Z163" s="554"/>
      <c r="AA163" s="554"/>
      <c r="AB163" s="554"/>
      <c r="AC163" s="554"/>
      <c r="AD163" s="554"/>
      <c r="AE163" s="554"/>
      <c r="AF163" s="554"/>
      <c r="AG163" s="554"/>
      <c r="AH163" s="554"/>
      <c r="AI163" s="554"/>
      <c r="AJ163" s="554"/>
      <c r="AK163" s="554"/>
      <c r="AL163" s="554"/>
      <c r="AM163" s="554"/>
      <c r="AN163" s="554"/>
      <c r="AO163" s="554"/>
      <c r="AP163" s="554"/>
      <c r="AQ163" s="554"/>
      <c r="AR163" s="554"/>
      <c r="AS163" s="554"/>
      <c r="AT163" s="554"/>
      <c r="AU163" s="554"/>
      <c r="AW163" t="b">
        <f t="array" ref="AW163">IF($H163="",TRUE,AND(OR($B163&lt;&gt;"",$B$5&lt;&gt;""),OR($C163&lt;&gt;"",$C$5&lt;&gt;""),OR($D163&lt;&gt;"",$D$5&lt;&gt;""),OR($E163&lt;&gt;"",$E$5&lt;&gt;""),OR($F163&lt;&gt;"",$F$5&lt;&gt;""),OR($G163&lt;&gt;"",$G$5&lt;&gt;""),NOT(ISERROR($L163:$AU163)),NOT(ISNA(MATCH(IF($D163="",$D$5,$D163)&amp;IF($C163="",$C$5,$C163),DeptBU,0)))))</f>
        <v>1</v>
      </c>
    </row>
    <row r="164" spans="2:49" x14ac:dyDescent="0.35">
      <c r="B164" s="554"/>
      <c r="C164" s="554"/>
      <c r="D164" s="554"/>
      <c r="E164" s="554"/>
      <c r="F164" s="554"/>
      <c r="G164" s="554"/>
      <c r="H164" s="554"/>
      <c r="I164" s="554"/>
      <c r="J164" s="554"/>
      <c r="K164" s="617" t="str">
        <f>IF($H164="","",INDEX(Teams[team_consolidation],MATCH(IF($E164="",$E$5,$E164),Teams[team_name],0)))</f>
        <v/>
      </c>
      <c r="L164" s="554"/>
      <c r="M164" s="554"/>
      <c r="N164" s="554"/>
      <c r="O164" s="554"/>
      <c r="P164" s="554"/>
      <c r="Q164" s="554"/>
      <c r="R164" s="554"/>
      <c r="S164" s="554"/>
      <c r="T164" s="554"/>
      <c r="U164" s="554"/>
      <c r="V164" s="554"/>
      <c r="W164" s="554"/>
      <c r="X164" s="554"/>
      <c r="Y164" s="554"/>
      <c r="Z164" s="554"/>
      <c r="AA164" s="554"/>
      <c r="AB164" s="554"/>
      <c r="AC164" s="554"/>
      <c r="AD164" s="554"/>
      <c r="AE164" s="554"/>
      <c r="AF164" s="554"/>
      <c r="AG164" s="554"/>
      <c r="AH164" s="554"/>
      <c r="AI164" s="554"/>
      <c r="AJ164" s="554"/>
      <c r="AK164" s="554"/>
      <c r="AL164" s="554"/>
      <c r="AM164" s="554"/>
      <c r="AN164" s="554"/>
      <c r="AO164" s="554"/>
      <c r="AP164" s="554"/>
      <c r="AQ164" s="554"/>
      <c r="AR164" s="554"/>
      <c r="AS164" s="554"/>
      <c r="AT164" s="554"/>
      <c r="AU164" s="554"/>
      <c r="AW164" t="b">
        <f t="array" ref="AW164">IF($H164="",TRUE,AND(OR($B164&lt;&gt;"",$B$5&lt;&gt;""),OR($C164&lt;&gt;"",$C$5&lt;&gt;""),OR($D164&lt;&gt;"",$D$5&lt;&gt;""),OR($E164&lt;&gt;"",$E$5&lt;&gt;""),OR($F164&lt;&gt;"",$F$5&lt;&gt;""),OR($G164&lt;&gt;"",$G$5&lt;&gt;""),NOT(ISERROR($L164:$AU164)),NOT(ISNA(MATCH(IF($D164="",$D$5,$D164)&amp;IF($C164="",$C$5,$C164),DeptBU,0)))))</f>
        <v>1</v>
      </c>
    </row>
    <row r="165" spans="2:49" x14ac:dyDescent="0.35">
      <c r="B165" s="554"/>
      <c r="C165" s="554"/>
      <c r="D165" s="554"/>
      <c r="E165" s="554"/>
      <c r="F165" s="554"/>
      <c r="G165" s="554"/>
      <c r="H165" s="554"/>
      <c r="I165" s="554"/>
      <c r="J165" s="554"/>
      <c r="K165" s="617" t="str">
        <f>IF($H165="","",INDEX(Teams[team_consolidation],MATCH(IF($E165="",$E$5,$E165),Teams[team_name],0)))</f>
        <v/>
      </c>
      <c r="L165" s="554"/>
      <c r="M165" s="554"/>
      <c r="N165" s="554"/>
      <c r="O165" s="554"/>
      <c r="P165" s="554"/>
      <c r="Q165" s="554"/>
      <c r="R165" s="554"/>
      <c r="S165" s="554"/>
      <c r="T165" s="554"/>
      <c r="U165" s="554"/>
      <c r="V165" s="554"/>
      <c r="W165" s="554"/>
      <c r="X165" s="554"/>
      <c r="Y165" s="554"/>
      <c r="Z165" s="554"/>
      <c r="AA165" s="554"/>
      <c r="AB165" s="554"/>
      <c r="AC165" s="554"/>
      <c r="AD165" s="554"/>
      <c r="AE165" s="554"/>
      <c r="AF165" s="554"/>
      <c r="AG165" s="554"/>
      <c r="AH165" s="554"/>
      <c r="AI165" s="554"/>
      <c r="AJ165" s="554"/>
      <c r="AK165" s="554"/>
      <c r="AL165" s="554"/>
      <c r="AM165" s="554"/>
      <c r="AN165" s="554"/>
      <c r="AO165" s="554"/>
      <c r="AP165" s="554"/>
      <c r="AQ165" s="554"/>
      <c r="AR165" s="554"/>
      <c r="AS165" s="554"/>
      <c r="AT165" s="554"/>
      <c r="AU165" s="554"/>
      <c r="AW165" t="b">
        <f t="array" ref="AW165">IF($H165="",TRUE,AND(OR($B165&lt;&gt;"",$B$5&lt;&gt;""),OR($C165&lt;&gt;"",$C$5&lt;&gt;""),OR($D165&lt;&gt;"",$D$5&lt;&gt;""),OR($E165&lt;&gt;"",$E$5&lt;&gt;""),OR($F165&lt;&gt;"",$F$5&lt;&gt;""),OR($G165&lt;&gt;"",$G$5&lt;&gt;""),NOT(ISERROR($L165:$AU165)),NOT(ISNA(MATCH(IF($D165="",$D$5,$D165)&amp;IF($C165="",$C$5,$C165),DeptBU,0)))))</f>
        <v>1</v>
      </c>
    </row>
    <row r="166" spans="2:49" x14ac:dyDescent="0.35">
      <c r="B166" s="554"/>
      <c r="C166" s="554"/>
      <c r="D166" s="554"/>
      <c r="E166" s="554"/>
      <c r="F166" s="554"/>
      <c r="G166" s="554"/>
      <c r="H166" s="554"/>
      <c r="I166" s="554"/>
      <c r="J166" s="554"/>
      <c r="K166" s="617" t="str">
        <f>IF($H166="","",INDEX(Teams[team_consolidation],MATCH(IF($E166="",$E$5,$E166),Teams[team_name],0)))</f>
        <v/>
      </c>
      <c r="L166" s="554"/>
      <c r="M166" s="554"/>
      <c r="N166" s="554"/>
      <c r="O166" s="554"/>
      <c r="P166" s="554"/>
      <c r="Q166" s="554"/>
      <c r="R166" s="554"/>
      <c r="S166" s="554"/>
      <c r="T166" s="554"/>
      <c r="U166" s="554"/>
      <c r="V166" s="554"/>
      <c r="W166" s="554"/>
      <c r="X166" s="554"/>
      <c r="Y166" s="554"/>
      <c r="Z166" s="554"/>
      <c r="AA166" s="554"/>
      <c r="AB166" s="554"/>
      <c r="AC166" s="554"/>
      <c r="AD166" s="554"/>
      <c r="AE166" s="554"/>
      <c r="AF166" s="554"/>
      <c r="AG166" s="554"/>
      <c r="AH166" s="554"/>
      <c r="AI166" s="554"/>
      <c r="AJ166" s="554"/>
      <c r="AK166" s="554"/>
      <c r="AL166" s="554"/>
      <c r="AM166" s="554"/>
      <c r="AN166" s="554"/>
      <c r="AO166" s="554"/>
      <c r="AP166" s="554"/>
      <c r="AQ166" s="554"/>
      <c r="AR166" s="554"/>
      <c r="AS166" s="554"/>
      <c r="AT166" s="554"/>
      <c r="AU166" s="554"/>
      <c r="AW166" t="b">
        <f t="array" ref="AW166">IF($H166="",TRUE,AND(OR($B166&lt;&gt;"",$B$5&lt;&gt;""),OR($C166&lt;&gt;"",$C$5&lt;&gt;""),OR($D166&lt;&gt;"",$D$5&lt;&gt;""),OR($E166&lt;&gt;"",$E$5&lt;&gt;""),OR($F166&lt;&gt;"",$F$5&lt;&gt;""),OR($G166&lt;&gt;"",$G$5&lt;&gt;""),NOT(ISERROR($L166:$AU166)),NOT(ISNA(MATCH(IF($D166="",$D$5,$D166)&amp;IF($C166="",$C$5,$C166),DeptBU,0)))))</f>
        <v>1</v>
      </c>
    </row>
    <row r="167" spans="2:49" x14ac:dyDescent="0.35">
      <c r="B167" s="554"/>
      <c r="C167" s="554"/>
      <c r="D167" s="554"/>
      <c r="E167" s="554"/>
      <c r="F167" s="554"/>
      <c r="G167" s="554"/>
      <c r="H167" s="554"/>
      <c r="I167" s="554"/>
      <c r="J167" s="554"/>
      <c r="K167" s="617" t="str">
        <f>IF($H167="","",INDEX(Teams[team_consolidation],MATCH(IF($E167="",$E$5,$E167),Teams[team_name],0)))</f>
        <v/>
      </c>
      <c r="L167" s="554"/>
      <c r="M167" s="554"/>
      <c r="N167" s="554"/>
      <c r="O167" s="554"/>
      <c r="P167" s="554"/>
      <c r="Q167" s="554"/>
      <c r="R167" s="554"/>
      <c r="S167" s="554"/>
      <c r="T167" s="554"/>
      <c r="U167" s="554"/>
      <c r="V167" s="554"/>
      <c r="W167" s="554"/>
      <c r="X167" s="554"/>
      <c r="Y167" s="554"/>
      <c r="Z167" s="554"/>
      <c r="AA167" s="554"/>
      <c r="AB167" s="554"/>
      <c r="AC167" s="554"/>
      <c r="AD167" s="554"/>
      <c r="AE167" s="554"/>
      <c r="AF167" s="554"/>
      <c r="AG167" s="554"/>
      <c r="AH167" s="554"/>
      <c r="AI167" s="554"/>
      <c r="AJ167" s="554"/>
      <c r="AK167" s="554"/>
      <c r="AL167" s="554"/>
      <c r="AM167" s="554"/>
      <c r="AN167" s="554"/>
      <c r="AO167" s="554"/>
      <c r="AP167" s="554"/>
      <c r="AQ167" s="554"/>
      <c r="AR167" s="554"/>
      <c r="AS167" s="554"/>
      <c r="AT167" s="554"/>
      <c r="AU167" s="554"/>
      <c r="AW167" t="b">
        <f t="array" ref="AW167">IF($H167="",TRUE,AND(OR($B167&lt;&gt;"",$B$5&lt;&gt;""),OR($C167&lt;&gt;"",$C$5&lt;&gt;""),OR($D167&lt;&gt;"",$D$5&lt;&gt;""),OR($E167&lt;&gt;"",$E$5&lt;&gt;""),OR($F167&lt;&gt;"",$F$5&lt;&gt;""),OR($G167&lt;&gt;"",$G$5&lt;&gt;""),NOT(ISERROR($L167:$AU167)),NOT(ISNA(MATCH(IF($D167="",$D$5,$D167)&amp;IF($C167="",$C$5,$C167),DeptBU,0)))))</f>
        <v>1</v>
      </c>
    </row>
    <row r="168" spans="2:49" x14ac:dyDescent="0.35">
      <c r="B168" s="554"/>
      <c r="C168" s="554"/>
      <c r="D168" s="554"/>
      <c r="E168" s="554"/>
      <c r="F168" s="554"/>
      <c r="G168" s="554"/>
      <c r="H168" s="554"/>
      <c r="I168" s="554"/>
      <c r="J168" s="554"/>
      <c r="K168" s="617" t="str">
        <f>IF($H168="","",INDEX(Teams[team_consolidation],MATCH(IF($E168="",$E$5,$E168),Teams[team_name],0)))</f>
        <v/>
      </c>
      <c r="L168" s="554"/>
      <c r="M168" s="554"/>
      <c r="N168" s="554"/>
      <c r="O168" s="554"/>
      <c r="P168" s="554"/>
      <c r="Q168" s="554"/>
      <c r="R168" s="554"/>
      <c r="S168" s="554"/>
      <c r="T168" s="554"/>
      <c r="U168" s="554"/>
      <c r="V168" s="554"/>
      <c r="W168" s="554"/>
      <c r="X168" s="554"/>
      <c r="Y168" s="554"/>
      <c r="Z168" s="554"/>
      <c r="AA168" s="554"/>
      <c r="AB168" s="554"/>
      <c r="AC168" s="554"/>
      <c r="AD168" s="554"/>
      <c r="AE168" s="554"/>
      <c r="AF168" s="554"/>
      <c r="AG168" s="554"/>
      <c r="AH168" s="554"/>
      <c r="AI168" s="554"/>
      <c r="AJ168" s="554"/>
      <c r="AK168" s="554"/>
      <c r="AL168" s="554"/>
      <c r="AM168" s="554"/>
      <c r="AN168" s="554"/>
      <c r="AO168" s="554"/>
      <c r="AP168" s="554"/>
      <c r="AQ168" s="554"/>
      <c r="AR168" s="554"/>
      <c r="AS168" s="554"/>
      <c r="AT168" s="554"/>
      <c r="AU168" s="554"/>
      <c r="AW168" t="b">
        <f t="array" ref="AW168">IF($H168="",TRUE,AND(OR($B168&lt;&gt;"",$B$5&lt;&gt;""),OR($C168&lt;&gt;"",$C$5&lt;&gt;""),OR($D168&lt;&gt;"",$D$5&lt;&gt;""),OR($E168&lt;&gt;"",$E$5&lt;&gt;""),OR($F168&lt;&gt;"",$F$5&lt;&gt;""),OR($G168&lt;&gt;"",$G$5&lt;&gt;""),NOT(ISERROR($L168:$AU168)),NOT(ISNA(MATCH(IF($D168="",$D$5,$D168)&amp;IF($C168="",$C$5,$C168),DeptBU,0)))))</f>
        <v>1</v>
      </c>
    </row>
    <row r="169" spans="2:49" x14ac:dyDescent="0.35">
      <c r="B169" s="554"/>
      <c r="C169" s="554"/>
      <c r="D169" s="554"/>
      <c r="E169" s="554"/>
      <c r="F169" s="554"/>
      <c r="G169" s="554"/>
      <c r="H169" s="554"/>
      <c r="I169" s="554"/>
      <c r="J169" s="554"/>
      <c r="K169" s="617" t="str">
        <f>IF($H169="","",INDEX(Teams[team_consolidation],MATCH(IF($E169="",$E$5,$E169),Teams[team_name],0)))</f>
        <v/>
      </c>
      <c r="L169" s="554"/>
      <c r="M169" s="554"/>
      <c r="N169" s="554"/>
      <c r="O169" s="554"/>
      <c r="P169" s="554"/>
      <c r="Q169" s="554"/>
      <c r="R169" s="554"/>
      <c r="S169" s="554"/>
      <c r="T169" s="554"/>
      <c r="U169" s="554"/>
      <c r="V169" s="554"/>
      <c r="W169" s="554"/>
      <c r="X169" s="554"/>
      <c r="Y169" s="554"/>
      <c r="Z169" s="554"/>
      <c r="AA169" s="554"/>
      <c r="AB169" s="554"/>
      <c r="AC169" s="554"/>
      <c r="AD169" s="554"/>
      <c r="AE169" s="554"/>
      <c r="AF169" s="554"/>
      <c r="AG169" s="554"/>
      <c r="AH169" s="554"/>
      <c r="AI169" s="554"/>
      <c r="AJ169" s="554"/>
      <c r="AK169" s="554"/>
      <c r="AL169" s="554"/>
      <c r="AM169" s="554"/>
      <c r="AN169" s="554"/>
      <c r="AO169" s="554"/>
      <c r="AP169" s="554"/>
      <c r="AQ169" s="554"/>
      <c r="AR169" s="554"/>
      <c r="AS169" s="554"/>
      <c r="AT169" s="554"/>
      <c r="AU169" s="554"/>
      <c r="AW169" t="b">
        <f t="array" ref="AW169">IF($H169="",TRUE,AND(OR($B169&lt;&gt;"",$B$5&lt;&gt;""),OR($C169&lt;&gt;"",$C$5&lt;&gt;""),OR($D169&lt;&gt;"",$D$5&lt;&gt;""),OR($E169&lt;&gt;"",$E$5&lt;&gt;""),OR($F169&lt;&gt;"",$F$5&lt;&gt;""),OR($G169&lt;&gt;"",$G$5&lt;&gt;""),NOT(ISERROR($L169:$AU169)),NOT(ISNA(MATCH(IF($D169="",$D$5,$D169)&amp;IF($C169="",$C$5,$C169),DeptBU,0)))))</f>
        <v>1</v>
      </c>
    </row>
    <row r="170" spans="2:49" x14ac:dyDescent="0.35">
      <c r="B170" s="554"/>
      <c r="C170" s="554"/>
      <c r="D170" s="554"/>
      <c r="E170" s="554"/>
      <c r="F170" s="554"/>
      <c r="G170" s="554"/>
      <c r="H170" s="554"/>
      <c r="I170" s="554"/>
      <c r="J170" s="554"/>
      <c r="K170" s="617" t="str">
        <f>IF($H170="","",INDEX(Teams[team_consolidation],MATCH(IF($E170="",$E$5,$E170),Teams[team_name],0)))</f>
        <v/>
      </c>
      <c r="L170" s="554"/>
      <c r="M170" s="554"/>
      <c r="N170" s="554"/>
      <c r="O170" s="554"/>
      <c r="P170" s="554"/>
      <c r="Q170" s="554"/>
      <c r="R170" s="554"/>
      <c r="S170" s="554"/>
      <c r="T170" s="554"/>
      <c r="U170" s="554"/>
      <c r="V170" s="554"/>
      <c r="W170" s="554"/>
      <c r="X170" s="554"/>
      <c r="Y170" s="554"/>
      <c r="Z170" s="554"/>
      <c r="AA170" s="554"/>
      <c r="AB170" s="554"/>
      <c r="AC170" s="554"/>
      <c r="AD170" s="554"/>
      <c r="AE170" s="554"/>
      <c r="AF170" s="554"/>
      <c r="AG170" s="554"/>
      <c r="AH170" s="554"/>
      <c r="AI170" s="554"/>
      <c r="AJ170" s="554"/>
      <c r="AK170" s="554"/>
      <c r="AL170" s="554"/>
      <c r="AM170" s="554"/>
      <c r="AN170" s="554"/>
      <c r="AO170" s="554"/>
      <c r="AP170" s="554"/>
      <c r="AQ170" s="554"/>
      <c r="AR170" s="554"/>
      <c r="AS170" s="554"/>
      <c r="AT170" s="554"/>
      <c r="AU170" s="554"/>
      <c r="AW170" t="b">
        <f t="array" ref="AW170">IF($H170="",TRUE,AND(OR($B170&lt;&gt;"",$B$5&lt;&gt;""),OR($C170&lt;&gt;"",$C$5&lt;&gt;""),OR($D170&lt;&gt;"",$D$5&lt;&gt;""),OR($E170&lt;&gt;"",$E$5&lt;&gt;""),OR($F170&lt;&gt;"",$F$5&lt;&gt;""),OR($G170&lt;&gt;"",$G$5&lt;&gt;""),NOT(ISERROR($L170:$AU170)),NOT(ISNA(MATCH(IF($D170="",$D$5,$D170)&amp;IF($C170="",$C$5,$C170),DeptBU,0)))))</f>
        <v>1</v>
      </c>
    </row>
    <row r="171" spans="2:49" x14ac:dyDescent="0.35">
      <c r="B171" s="554"/>
      <c r="C171" s="554"/>
      <c r="D171" s="554"/>
      <c r="E171" s="554"/>
      <c r="F171" s="554"/>
      <c r="G171" s="554"/>
      <c r="H171" s="554"/>
      <c r="I171" s="554"/>
      <c r="J171" s="554"/>
      <c r="K171" s="617" t="str">
        <f>IF($H171="","",INDEX(Teams[team_consolidation],MATCH(IF($E171="",$E$5,$E171),Teams[team_name],0)))</f>
        <v/>
      </c>
      <c r="L171" s="554"/>
      <c r="M171" s="554"/>
      <c r="N171" s="554"/>
      <c r="O171" s="554"/>
      <c r="P171" s="554"/>
      <c r="Q171" s="554"/>
      <c r="R171" s="554"/>
      <c r="S171" s="554"/>
      <c r="T171" s="554"/>
      <c r="U171" s="554"/>
      <c r="V171" s="554"/>
      <c r="W171" s="554"/>
      <c r="X171" s="554"/>
      <c r="Y171" s="554"/>
      <c r="Z171" s="554"/>
      <c r="AA171" s="554"/>
      <c r="AB171" s="554"/>
      <c r="AC171" s="554"/>
      <c r="AD171" s="554"/>
      <c r="AE171" s="554"/>
      <c r="AF171" s="554"/>
      <c r="AG171" s="554"/>
      <c r="AH171" s="554"/>
      <c r="AI171" s="554"/>
      <c r="AJ171" s="554"/>
      <c r="AK171" s="554"/>
      <c r="AL171" s="554"/>
      <c r="AM171" s="554"/>
      <c r="AN171" s="554"/>
      <c r="AO171" s="554"/>
      <c r="AP171" s="554"/>
      <c r="AQ171" s="554"/>
      <c r="AR171" s="554"/>
      <c r="AS171" s="554"/>
      <c r="AT171" s="554"/>
      <c r="AU171" s="554"/>
      <c r="AW171" t="b">
        <f t="array" ref="AW171">IF($H171="",TRUE,AND(OR($B171&lt;&gt;"",$B$5&lt;&gt;""),OR($C171&lt;&gt;"",$C$5&lt;&gt;""),OR($D171&lt;&gt;"",$D$5&lt;&gt;""),OR($E171&lt;&gt;"",$E$5&lt;&gt;""),OR($F171&lt;&gt;"",$F$5&lt;&gt;""),OR($G171&lt;&gt;"",$G$5&lt;&gt;""),NOT(ISERROR($L171:$AU171)),NOT(ISNA(MATCH(IF($D171="",$D$5,$D171)&amp;IF($C171="",$C$5,$C171),DeptBU,0)))))</f>
        <v>1</v>
      </c>
    </row>
    <row r="172" spans="2:49" x14ac:dyDescent="0.35">
      <c r="B172" s="554"/>
      <c r="C172" s="554"/>
      <c r="D172" s="554"/>
      <c r="E172" s="554"/>
      <c r="F172" s="554"/>
      <c r="G172" s="554"/>
      <c r="H172" s="554"/>
      <c r="I172" s="554"/>
      <c r="J172" s="554"/>
      <c r="K172" s="617" t="str">
        <f>IF($H172="","",INDEX(Teams[team_consolidation],MATCH(IF($E172="",$E$5,$E172),Teams[team_name],0)))</f>
        <v/>
      </c>
      <c r="L172" s="554"/>
      <c r="M172" s="554"/>
      <c r="N172" s="554"/>
      <c r="O172" s="554"/>
      <c r="P172" s="554"/>
      <c r="Q172" s="554"/>
      <c r="R172" s="554"/>
      <c r="S172" s="554"/>
      <c r="T172" s="554"/>
      <c r="U172" s="554"/>
      <c r="V172" s="554"/>
      <c r="W172" s="554"/>
      <c r="X172" s="554"/>
      <c r="Y172" s="554"/>
      <c r="Z172" s="554"/>
      <c r="AA172" s="554"/>
      <c r="AB172" s="554"/>
      <c r="AC172" s="554"/>
      <c r="AD172" s="554"/>
      <c r="AE172" s="554"/>
      <c r="AF172" s="554"/>
      <c r="AG172" s="554"/>
      <c r="AH172" s="554"/>
      <c r="AI172" s="554"/>
      <c r="AJ172" s="554"/>
      <c r="AK172" s="554"/>
      <c r="AL172" s="554"/>
      <c r="AM172" s="554"/>
      <c r="AN172" s="554"/>
      <c r="AO172" s="554"/>
      <c r="AP172" s="554"/>
      <c r="AQ172" s="554"/>
      <c r="AR172" s="554"/>
      <c r="AS172" s="554"/>
      <c r="AT172" s="554"/>
      <c r="AU172" s="554"/>
      <c r="AW172" t="b">
        <f t="array" ref="AW172">IF($H172="",TRUE,AND(OR($B172&lt;&gt;"",$B$5&lt;&gt;""),OR($C172&lt;&gt;"",$C$5&lt;&gt;""),OR($D172&lt;&gt;"",$D$5&lt;&gt;""),OR($E172&lt;&gt;"",$E$5&lt;&gt;""),OR($F172&lt;&gt;"",$F$5&lt;&gt;""),OR($G172&lt;&gt;"",$G$5&lt;&gt;""),NOT(ISERROR($L172:$AU172)),NOT(ISNA(MATCH(IF($D172="",$D$5,$D172)&amp;IF($C172="",$C$5,$C172),DeptBU,0)))))</f>
        <v>1</v>
      </c>
    </row>
    <row r="173" spans="2:49" x14ac:dyDescent="0.35">
      <c r="B173" s="554"/>
      <c r="C173" s="554"/>
      <c r="D173" s="554"/>
      <c r="E173" s="554"/>
      <c r="F173" s="554"/>
      <c r="G173" s="554"/>
      <c r="H173" s="554"/>
      <c r="I173" s="554"/>
      <c r="J173" s="554"/>
      <c r="K173" s="617" t="str">
        <f>IF($H173="","",INDEX(Teams[team_consolidation],MATCH(IF($E173="",$E$5,$E173),Teams[team_name],0)))</f>
        <v/>
      </c>
      <c r="L173" s="554"/>
      <c r="M173" s="554"/>
      <c r="N173" s="554"/>
      <c r="O173" s="554"/>
      <c r="P173" s="554"/>
      <c r="Q173" s="554"/>
      <c r="R173" s="554"/>
      <c r="S173" s="554"/>
      <c r="T173" s="554"/>
      <c r="U173" s="554"/>
      <c r="V173" s="554"/>
      <c r="W173" s="554"/>
      <c r="X173" s="554"/>
      <c r="Y173" s="554"/>
      <c r="Z173" s="554"/>
      <c r="AA173" s="554"/>
      <c r="AB173" s="554"/>
      <c r="AC173" s="554"/>
      <c r="AD173" s="554"/>
      <c r="AE173" s="554"/>
      <c r="AF173" s="554"/>
      <c r="AG173" s="554"/>
      <c r="AH173" s="554"/>
      <c r="AI173" s="554"/>
      <c r="AJ173" s="554"/>
      <c r="AK173" s="554"/>
      <c r="AL173" s="554"/>
      <c r="AM173" s="554"/>
      <c r="AN173" s="554"/>
      <c r="AO173" s="554"/>
      <c r="AP173" s="554"/>
      <c r="AQ173" s="554"/>
      <c r="AR173" s="554"/>
      <c r="AS173" s="554"/>
      <c r="AT173" s="554"/>
      <c r="AU173" s="554"/>
      <c r="AW173" t="b">
        <f t="array" ref="AW173">IF($H173="",TRUE,AND(OR($B173&lt;&gt;"",$B$5&lt;&gt;""),OR($C173&lt;&gt;"",$C$5&lt;&gt;""),OR($D173&lt;&gt;"",$D$5&lt;&gt;""),OR($E173&lt;&gt;"",$E$5&lt;&gt;""),OR($F173&lt;&gt;"",$F$5&lt;&gt;""),OR($G173&lt;&gt;"",$G$5&lt;&gt;""),NOT(ISERROR($L173:$AU173)),NOT(ISNA(MATCH(IF($D173="",$D$5,$D173)&amp;IF($C173="",$C$5,$C173),DeptBU,0)))))</f>
        <v>1</v>
      </c>
    </row>
    <row r="174" spans="2:49" x14ac:dyDescent="0.35">
      <c r="B174" s="554"/>
      <c r="C174" s="554"/>
      <c r="D174" s="554"/>
      <c r="E174" s="554"/>
      <c r="F174" s="554"/>
      <c r="G174" s="554"/>
      <c r="H174" s="554"/>
      <c r="I174" s="554"/>
      <c r="J174" s="554"/>
      <c r="K174" s="617" t="str">
        <f>IF($H174="","",INDEX(Teams[team_consolidation],MATCH(IF($E174="",$E$5,$E174),Teams[team_name],0)))</f>
        <v/>
      </c>
      <c r="L174" s="554"/>
      <c r="M174" s="554"/>
      <c r="N174" s="554"/>
      <c r="O174" s="554"/>
      <c r="P174" s="554"/>
      <c r="Q174" s="554"/>
      <c r="R174" s="554"/>
      <c r="S174" s="554"/>
      <c r="T174" s="554"/>
      <c r="U174" s="554"/>
      <c r="V174" s="554"/>
      <c r="W174" s="554"/>
      <c r="X174" s="554"/>
      <c r="Y174" s="554"/>
      <c r="Z174" s="554"/>
      <c r="AA174" s="554"/>
      <c r="AB174" s="554"/>
      <c r="AC174" s="554"/>
      <c r="AD174" s="554"/>
      <c r="AE174" s="554"/>
      <c r="AF174" s="554"/>
      <c r="AG174" s="554"/>
      <c r="AH174" s="554"/>
      <c r="AI174" s="554"/>
      <c r="AJ174" s="554"/>
      <c r="AK174" s="554"/>
      <c r="AL174" s="554"/>
      <c r="AM174" s="554"/>
      <c r="AN174" s="554"/>
      <c r="AO174" s="554"/>
      <c r="AP174" s="554"/>
      <c r="AQ174" s="554"/>
      <c r="AR174" s="554"/>
      <c r="AS174" s="554"/>
      <c r="AT174" s="554"/>
      <c r="AU174" s="554"/>
      <c r="AW174" t="b">
        <f t="array" ref="AW174">IF($H174="",TRUE,AND(OR($B174&lt;&gt;"",$B$5&lt;&gt;""),OR($C174&lt;&gt;"",$C$5&lt;&gt;""),OR($D174&lt;&gt;"",$D$5&lt;&gt;""),OR($E174&lt;&gt;"",$E$5&lt;&gt;""),OR($F174&lt;&gt;"",$F$5&lt;&gt;""),OR($G174&lt;&gt;"",$G$5&lt;&gt;""),NOT(ISERROR($L174:$AU174)),NOT(ISNA(MATCH(IF($D174="",$D$5,$D174)&amp;IF($C174="",$C$5,$C174),DeptBU,0)))))</f>
        <v>1</v>
      </c>
    </row>
    <row r="175" spans="2:49" x14ac:dyDescent="0.35">
      <c r="B175" s="554"/>
      <c r="C175" s="554"/>
      <c r="D175" s="554"/>
      <c r="E175" s="554"/>
      <c r="F175" s="554"/>
      <c r="G175" s="554"/>
      <c r="H175" s="554"/>
      <c r="I175" s="554"/>
      <c r="J175" s="554"/>
      <c r="K175" s="617" t="str">
        <f>IF($H175="","",INDEX(Teams[team_consolidation],MATCH(IF($E175="",$E$5,$E175),Teams[team_name],0)))</f>
        <v/>
      </c>
      <c r="L175" s="554"/>
      <c r="M175" s="554"/>
      <c r="N175" s="554"/>
      <c r="O175" s="554"/>
      <c r="P175" s="554"/>
      <c r="Q175" s="554"/>
      <c r="R175" s="554"/>
      <c r="S175" s="554"/>
      <c r="T175" s="554"/>
      <c r="U175" s="554"/>
      <c r="V175" s="554"/>
      <c r="W175" s="554"/>
      <c r="X175" s="554"/>
      <c r="Y175" s="554"/>
      <c r="Z175" s="554"/>
      <c r="AA175" s="554"/>
      <c r="AB175" s="554"/>
      <c r="AC175" s="554"/>
      <c r="AD175" s="554"/>
      <c r="AE175" s="554"/>
      <c r="AF175" s="554"/>
      <c r="AG175" s="554"/>
      <c r="AH175" s="554"/>
      <c r="AI175" s="554"/>
      <c r="AJ175" s="554"/>
      <c r="AK175" s="554"/>
      <c r="AL175" s="554"/>
      <c r="AM175" s="554"/>
      <c r="AN175" s="554"/>
      <c r="AO175" s="554"/>
      <c r="AP175" s="554"/>
      <c r="AQ175" s="554"/>
      <c r="AR175" s="554"/>
      <c r="AS175" s="554"/>
      <c r="AT175" s="554"/>
      <c r="AU175" s="554"/>
      <c r="AW175" t="b">
        <f t="array" ref="AW175">IF($H175="",TRUE,AND(OR($B175&lt;&gt;"",$B$5&lt;&gt;""),OR($C175&lt;&gt;"",$C$5&lt;&gt;""),OR($D175&lt;&gt;"",$D$5&lt;&gt;""),OR($E175&lt;&gt;"",$E$5&lt;&gt;""),OR($F175&lt;&gt;"",$F$5&lt;&gt;""),OR($G175&lt;&gt;"",$G$5&lt;&gt;""),NOT(ISERROR($L175:$AU175)),NOT(ISNA(MATCH(IF($D175="",$D$5,$D175)&amp;IF($C175="",$C$5,$C175),DeptBU,0)))))</f>
        <v>1</v>
      </c>
    </row>
    <row r="176" spans="2:49" x14ac:dyDescent="0.35">
      <c r="B176" s="554"/>
      <c r="C176" s="554"/>
      <c r="D176" s="554"/>
      <c r="E176" s="554"/>
      <c r="F176" s="554"/>
      <c r="G176" s="554"/>
      <c r="H176" s="554"/>
      <c r="I176" s="554"/>
      <c r="J176" s="554"/>
      <c r="K176" s="617" t="str">
        <f>IF($H176="","",INDEX(Teams[team_consolidation],MATCH(IF($E176="",$E$5,$E176),Teams[team_name],0)))</f>
        <v/>
      </c>
      <c r="L176" s="554"/>
      <c r="M176" s="554"/>
      <c r="N176" s="554"/>
      <c r="O176" s="554"/>
      <c r="P176" s="554"/>
      <c r="Q176" s="554"/>
      <c r="R176" s="554"/>
      <c r="S176" s="554"/>
      <c r="T176" s="554"/>
      <c r="U176" s="554"/>
      <c r="V176" s="554"/>
      <c r="W176" s="554"/>
      <c r="X176" s="554"/>
      <c r="Y176" s="554"/>
      <c r="Z176" s="554"/>
      <c r="AA176" s="554"/>
      <c r="AB176" s="554"/>
      <c r="AC176" s="554"/>
      <c r="AD176" s="554"/>
      <c r="AE176" s="554"/>
      <c r="AF176" s="554"/>
      <c r="AG176" s="554"/>
      <c r="AH176" s="554"/>
      <c r="AI176" s="554"/>
      <c r="AJ176" s="554"/>
      <c r="AK176" s="554"/>
      <c r="AL176" s="554"/>
      <c r="AM176" s="554"/>
      <c r="AN176" s="554"/>
      <c r="AO176" s="554"/>
      <c r="AP176" s="554"/>
      <c r="AQ176" s="554"/>
      <c r="AR176" s="554"/>
      <c r="AS176" s="554"/>
      <c r="AT176" s="554"/>
      <c r="AU176" s="554"/>
      <c r="AW176" t="b">
        <f t="array" ref="AW176">IF($H176="",TRUE,AND(OR($B176&lt;&gt;"",$B$5&lt;&gt;""),OR($C176&lt;&gt;"",$C$5&lt;&gt;""),OR($D176&lt;&gt;"",$D$5&lt;&gt;""),OR($E176&lt;&gt;"",$E$5&lt;&gt;""),OR($F176&lt;&gt;"",$F$5&lt;&gt;""),OR($G176&lt;&gt;"",$G$5&lt;&gt;""),NOT(ISERROR($L176:$AU176)),NOT(ISNA(MATCH(IF($D176="",$D$5,$D176)&amp;IF($C176="",$C$5,$C176),DeptBU,0)))))</f>
        <v>1</v>
      </c>
    </row>
    <row r="177" spans="1:52" x14ac:dyDescent="0.35">
      <c r="B177" s="554"/>
      <c r="C177" s="554"/>
      <c r="D177" s="554"/>
      <c r="E177" s="554"/>
      <c r="F177" s="554"/>
      <c r="G177" s="554"/>
      <c r="H177" s="554"/>
      <c r="I177" s="554"/>
      <c r="J177" s="554"/>
      <c r="K177" s="617" t="str">
        <f>IF($H177="","",INDEX(Teams[team_consolidation],MATCH(IF($E177="",$E$5,$E177),Teams[team_name],0)))</f>
        <v/>
      </c>
      <c r="L177" s="554"/>
      <c r="M177" s="554"/>
      <c r="N177" s="554"/>
      <c r="O177" s="554"/>
      <c r="P177" s="554"/>
      <c r="Q177" s="554"/>
      <c r="R177" s="554"/>
      <c r="S177" s="554"/>
      <c r="T177" s="554"/>
      <c r="U177" s="554"/>
      <c r="V177" s="554"/>
      <c r="W177" s="554"/>
      <c r="X177" s="554"/>
      <c r="Y177" s="554"/>
      <c r="Z177" s="554"/>
      <c r="AA177" s="554"/>
      <c r="AB177" s="554"/>
      <c r="AC177" s="554"/>
      <c r="AD177" s="554"/>
      <c r="AE177" s="554"/>
      <c r="AF177" s="554"/>
      <c r="AG177" s="554"/>
      <c r="AH177" s="554"/>
      <c r="AI177" s="554"/>
      <c r="AJ177" s="554"/>
      <c r="AK177" s="554"/>
      <c r="AL177" s="554"/>
      <c r="AM177" s="554"/>
      <c r="AN177" s="554"/>
      <c r="AO177" s="554"/>
      <c r="AP177" s="554"/>
      <c r="AQ177" s="554"/>
      <c r="AR177" s="554"/>
      <c r="AS177" s="554"/>
      <c r="AT177" s="554"/>
      <c r="AU177" s="554"/>
      <c r="AW177" t="b">
        <f t="array" ref="AW177">IF($H177="",TRUE,AND(OR($B177&lt;&gt;"",$B$5&lt;&gt;""),OR($C177&lt;&gt;"",$C$5&lt;&gt;""),OR($D177&lt;&gt;"",$D$5&lt;&gt;""),OR($E177&lt;&gt;"",$E$5&lt;&gt;""),OR($F177&lt;&gt;"",$F$5&lt;&gt;""),OR($G177&lt;&gt;"",$G$5&lt;&gt;""),NOT(ISERROR($L177:$AU177)),NOT(ISNA(MATCH(IF($D177="",$D$5,$D177)&amp;IF($C177="",$C$5,$C177),DeptBU,0)))))</f>
        <v>1</v>
      </c>
    </row>
    <row r="178" spans="1:52" x14ac:dyDescent="0.35">
      <c r="B178" s="554"/>
      <c r="C178" s="554"/>
      <c r="D178" s="554"/>
      <c r="E178" s="554"/>
      <c r="F178" s="554"/>
      <c r="G178" s="554"/>
      <c r="H178" s="554"/>
      <c r="I178" s="554"/>
      <c r="J178" s="554"/>
      <c r="K178" s="617" t="str">
        <f>IF($H178="","",INDEX(Teams[team_consolidation],MATCH(IF($E178="",$E$5,$E178),Teams[team_name],0)))</f>
        <v/>
      </c>
      <c r="L178" s="554"/>
      <c r="M178" s="554"/>
      <c r="N178" s="554"/>
      <c r="O178" s="554"/>
      <c r="P178" s="554"/>
      <c r="Q178" s="554"/>
      <c r="R178" s="554"/>
      <c r="S178" s="554"/>
      <c r="T178" s="554"/>
      <c r="U178" s="554"/>
      <c r="V178" s="554"/>
      <c r="W178" s="554"/>
      <c r="X178" s="554"/>
      <c r="Y178" s="554"/>
      <c r="Z178" s="554"/>
      <c r="AA178" s="554"/>
      <c r="AB178" s="554"/>
      <c r="AC178" s="554"/>
      <c r="AD178" s="554"/>
      <c r="AE178" s="554"/>
      <c r="AF178" s="554"/>
      <c r="AG178" s="554"/>
      <c r="AH178" s="554"/>
      <c r="AI178" s="554"/>
      <c r="AJ178" s="554"/>
      <c r="AK178" s="554"/>
      <c r="AL178" s="554"/>
      <c r="AM178" s="554"/>
      <c r="AN178" s="554"/>
      <c r="AO178" s="554"/>
      <c r="AP178" s="554"/>
      <c r="AQ178" s="554"/>
      <c r="AR178" s="554"/>
      <c r="AS178" s="554"/>
      <c r="AT178" s="554"/>
      <c r="AU178" s="554"/>
      <c r="AW178" t="b">
        <f t="array" ref="AW178">IF($H178="",TRUE,AND(OR($B178&lt;&gt;"",$B$5&lt;&gt;""),OR($C178&lt;&gt;"",$C$5&lt;&gt;""),OR($D178&lt;&gt;"",$D$5&lt;&gt;""),OR($E178&lt;&gt;"",$E$5&lt;&gt;""),OR($F178&lt;&gt;"",$F$5&lt;&gt;""),OR($G178&lt;&gt;"",$G$5&lt;&gt;""),NOT(ISERROR($L178:$AU178)),NOT(ISNA(MATCH(IF($D178="",$D$5,$D178)&amp;IF($C178="",$C$5,$C178),DeptBU,0)))))</f>
        <v>1</v>
      </c>
    </row>
    <row r="179" spans="1:52" x14ac:dyDescent="0.35">
      <c r="B179" s="554"/>
      <c r="C179" s="554"/>
      <c r="D179" s="554"/>
      <c r="E179" s="554"/>
      <c r="F179" s="554"/>
      <c r="G179" s="554"/>
      <c r="H179" s="554"/>
      <c r="I179" s="554"/>
      <c r="J179" s="554"/>
      <c r="K179" s="617" t="str">
        <f>IF($H179="","",INDEX(Teams[team_consolidation],MATCH(IF($E179="",$E$5,$E179),Teams[team_name],0)))</f>
        <v/>
      </c>
      <c r="L179" s="554"/>
      <c r="M179" s="554"/>
      <c r="N179" s="554"/>
      <c r="O179" s="554"/>
      <c r="P179" s="554"/>
      <c r="Q179" s="554"/>
      <c r="R179" s="554"/>
      <c r="S179" s="554"/>
      <c r="T179" s="554"/>
      <c r="U179" s="554"/>
      <c r="V179" s="554"/>
      <c r="W179" s="554"/>
      <c r="X179" s="554"/>
      <c r="Y179" s="554"/>
      <c r="Z179" s="554"/>
      <c r="AA179" s="554"/>
      <c r="AB179" s="554"/>
      <c r="AC179" s="554"/>
      <c r="AD179" s="554"/>
      <c r="AE179" s="554"/>
      <c r="AF179" s="554"/>
      <c r="AG179" s="554"/>
      <c r="AH179" s="554"/>
      <c r="AI179" s="554"/>
      <c r="AJ179" s="554"/>
      <c r="AK179" s="554"/>
      <c r="AL179" s="554"/>
      <c r="AM179" s="554"/>
      <c r="AN179" s="554"/>
      <c r="AO179" s="554"/>
      <c r="AP179" s="554"/>
      <c r="AQ179" s="554"/>
      <c r="AR179" s="554"/>
      <c r="AS179" s="554"/>
      <c r="AT179" s="554"/>
      <c r="AU179" s="554"/>
      <c r="AW179" t="b">
        <f t="array" ref="AW179">IF($H179="",TRUE,AND(OR($B179&lt;&gt;"",$B$5&lt;&gt;""),OR($C179&lt;&gt;"",$C$5&lt;&gt;""),OR($D179&lt;&gt;"",$D$5&lt;&gt;""),OR($E179&lt;&gt;"",$E$5&lt;&gt;""),OR($F179&lt;&gt;"",$F$5&lt;&gt;""),OR($G179&lt;&gt;"",$G$5&lt;&gt;""),NOT(ISERROR($L179:$AU179)),NOT(ISNA(MATCH(IF($D179="",$D$5,$D179)&amp;IF($C179="",$C$5,$C179),DeptBU,0)))))</f>
        <v>1</v>
      </c>
    </row>
    <row r="180" spans="1:52" hidden="1" outlineLevel="1" x14ac:dyDescent="0.35">
      <c r="B180" s="554"/>
      <c r="C180" s="554"/>
      <c r="D180" s="554"/>
      <c r="E180" s="554"/>
      <c r="F180" s="554"/>
      <c r="G180" s="554"/>
      <c r="H180" s="554"/>
      <c r="I180" s="554"/>
      <c r="J180" s="554"/>
      <c r="K180" s="617" t="str">
        <f>IF($H180="","",INDEX(Teams[team_consolidation],MATCH(IF($E180="",$E$5,$E180),Teams[team_name],0)))</f>
        <v/>
      </c>
      <c r="L180" s="554"/>
      <c r="M180" s="554"/>
      <c r="N180" s="554"/>
      <c r="O180" s="554"/>
      <c r="P180" s="554"/>
      <c r="Q180" s="554"/>
      <c r="R180" s="554"/>
      <c r="S180" s="554"/>
      <c r="T180" s="554"/>
      <c r="U180" s="554"/>
      <c r="V180" s="554"/>
      <c r="W180" s="554"/>
      <c r="X180" s="554"/>
      <c r="Y180" s="554"/>
      <c r="Z180" s="554"/>
      <c r="AA180" s="554"/>
      <c r="AB180" s="554"/>
      <c r="AC180" s="554"/>
      <c r="AD180" s="554"/>
      <c r="AE180" s="554"/>
      <c r="AF180" s="554"/>
      <c r="AG180" s="554"/>
      <c r="AH180" s="554"/>
      <c r="AI180" s="554"/>
      <c r="AJ180" s="554"/>
      <c r="AK180" s="554"/>
      <c r="AL180" s="554"/>
      <c r="AM180" s="554"/>
      <c r="AN180" s="554"/>
      <c r="AO180" s="554"/>
      <c r="AP180" s="554"/>
      <c r="AQ180" s="554"/>
      <c r="AR180" s="554"/>
      <c r="AS180" s="554"/>
      <c r="AT180" s="554"/>
      <c r="AU180" s="554"/>
      <c r="AW180" t="b">
        <f t="array" ref="AW180">IF($H180="",TRUE,AND(OR($B180&lt;&gt;"",$B$5&lt;&gt;""),OR($C180&lt;&gt;"",$C$5&lt;&gt;""),OR($D180&lt;&gt;"",$D$5&lt;&gt;""),OR($E180&lt;&gt;"",$E$5&lt;&gt;""),OR($F180&lt;&gt;"",$F$5&lt;&gt;""),OR($G180&lt;&gt;"",$G$5&lt;&gt;""),NOT(ISERROR($L180:$AU180)),NOT(ISNA(MATCH(IF($D180="",$D$5,$D180)&amp;IF($C180="",$C$5,$C180),DeptBU,0)))))</f>
        <v>1</v>
      </c>
    </row>
    <row r="181" spans="1:52" hidden="1" outlineLevel="1" x14ac:dyDescent="0.35">
      <c r="B181" s="554"/>
      <c r="C181" s="554"/>
      <c r="D181" s="554"/>
      <c r="E181" s="554"/>
      <c r="F181" s="554"/>
      <c r="G181" s="554"/>
      <c r="H181" s="554"/>
      <c r="I181" s="554"/>
      <c r="J181" s="554"/>
      <c r="K181" s="617" t="str">
        <f>IF($H181="","",INDEX(Teams[team_consolidation],MATCH(IF($E181="",$E$5,$E181),Teams[team_name],0)))</f>
        <v/>
      </c>
      <c r="L181" s="554"/>
      <c r="M181" s="554"/>
      <c r="N181" s="554"/>
      <c r="O181" s="554"/>
      <c r="P181" s="554"/>
      <c r="Q181" s="554"/>
      <c r="R181" s="554"/>
      <c r="S181" s="554"/>
      <c r="T181" s="554"/>
      <c r="U181" s="554"/>
      <c r="V181" s="554"/>
      <c r="W181" s="554"/>
      <c r="X181" s="554"/>
      <c r="Y181" s="554"/>
      <c r="Z181" s="554"/>
      <c r="AA181" s="554"/>
      <c r="AB181" s="554"/>
      <c r="AC181" s="554"/>
      <c r="AD181" s="554"/>
      <c r="AE181" s="554"/>
      <c r="AF181" s="554"/>
      <c r="AG181" s="554"/>
      <c r="AH181" s="554"/>
      <c r="AI181" s="554"/>
      <c r="AJ181" s="554"/>
      <c r="AK181" s="554"/>
      <c r="AL181" s="554"/>
      <c r="AM181" s="554"/>
      <c r="AN181" s="554"/>
      <c r="AO181" s="554"/>
      <c r="AP181" s="554"/>
      <c r="AQ181" s="554"/>
      <c r="AR181" s="554"/>
      <c r="AS181" s="554"/>
      <c r="AT181" s="554"/>
      <c r="AU181" s="554"/>
      <c r="AW181" t="b">
        <f t="array" ref="AW181">IF($H181="",TRUE,AND(OR($B181&lt;&gt;"",$B$5&lt;&gt;""),OR($C181&lt;&gt;"",$C$5&lt;&gt;""),OR($D181&lt;&gt;"",$D$5&lt;&gt;""),OR($E181&lt;&gt;"",$E$5&lt;&gt;""),OR($F181&lt;&gt;"",$F$5&lt;&gt;""),OR($G181&lt;&gt;"",$G$5&lt;&gt;""),NOT(ISERROR($L181:$AU181)),NOT(ISNA(MATCH(IF($D181="",$D$5,$D181)&amp;IF($C181="",$C$5,$C181),DeptBU,0)))))</f>
        <v>1</v>
      </c>
    </row>
    <row r="182" spans="1:52" collapsed="1" x14ac:dyDescent="0.35"/>
    <row r="183" spans="1:52" x14ac:dyDescent="0.35">
      <c r="A183" s="285" t="s">
        <v>1157</v>
      </c>
      <c r="B183" s="285" t="s">
        <v>1157</v>
      </c>
      <c r="C183" s="285" t="s">
        <v>1157</v>
      </c>
      <c r="D183" s="285" t="s">
        <v>1157</v>
      </c>
      <c r="E183" s="285" t="s">
        <v>1157</v>
      </c>
      <c r="F183" s="285" t="s">
        <v>1157</v>
      </c>
      <c r="G183" s="285" t="s">
        <v>1157</v>
      </c>
      <c r="H183" s="285" t="s">
        <v>1157</v>
      </c>
      <c r="I183" s="285" t="s">
        <v>1157</v>
      </c>
      <c r="J183" s="285" t="s">
        <v>1157</v>
      </c>
      <c r="K183" s="285" t="s">
        <v>1157</v>
      </c>
      <c r="L183" s="285" t="s">
        <v>1157</v>
      </c>
      <c r="M183" s="285" t="s">
        <v>1157</v>
      </c>
      <c r="N183" s="285" t="s">
        <v>1157</v>
      </c>
      <c r="O183" s="285" t="s">
        <v>1157</v>
      </c>
      <c r="P183" s="285" t="s">
        <v>1157</v>
      </c>
      <c r="Q183" s="285" t="s">
        <v>1157</v>
      </c>
      <c r="R183" s="285" t="s">
        <v>1157</v>
      </c>
      <c r="S183" s="285" t="s">
        <v>1157</v>
      </c>
      <c r="T183" s="285" t="s">
        <v>1157</v>
      </c>
      <c r="U183" s="285" t="s">
        <v>1157</v>
      </c>
      <c r="V183" s="285" t="s">
        <v>1157</v>
      </c>
      <c r="W183" s="285" t="s">
        <v>1157</v>
      </c>
      <c r="X183" s="285" t="s">
        <v>1157</v>
      </c>
      <c r="Y183" s="285" t="s">
        <v>1157</v>
      </c>
      <c r="Z183" s="285" t="s">
        <v>1157</v>
      </c>
      <c r="AA183" s="285" t="s">
        <v>1157</v>
      </c>
      <c r="AB183" s="285" t="s">
        <v>1157</v>
      </c>
      <c r="AC183" s="285" t="s">
        <v>1157</v>
      </c>
      <c r="AD183" s="285" t="s">
        <v>1157</v>
      </c>
      <c r="AE183" s="285" t="s">
        <v>1157</v>
      </c>
      <c r="AF183" s="285" t="s">
        <v>1157</v>
      </c>
      <c r="AG183" s="285" t="s">
        <v>1157</v>
      </c>
      <c r="AH183" s="285" t="s">
        <v>1157</v>
      </c>
      <c r="AI183" s="285" t="s">
        <v>1157</v>
      </c>
      <c r="AJ183" s="285" t="s">
        <v>1157</v>
      </c>
      <c r="AK183" s="285" t="s">
        <v>1157</v>
      </c>
      <c r="AL183" s="285" t="s">
        <v>1157</v>
      </c>
      <c r="AM183" s="285" t="s">
        <v>1157</v>
      </c>
      <c r="AN183" s="285" t="s">
        <v>1157</v>
      </c>
      <c r="AO183" s="285" t="s">
        <v>1157</v>
      </c>
      <c r="AP183" s="285" t="s">
        <v>1157</v>
      </c>
      <c r="AQ183" s="285" t="s">
        <v>1157</v>
      </c>
      <c r="AR183" s="285" t="s">
        <v>1157</v>
      </c>
      <c r="AS183" s="285" t="s">
        <v>1157</v>
      </c>
      <c r="AT183" s="285" t="s">
        <v>1157</v>
      </c>
      <c r="AU183" s="285" t="s">
        <v>1157</v>
      </c>
      <c r="AV183" s="285" t="s">
        <v>1157</v>
      </c>
      <c r="AW183" s="285" t="s">
        <v>1157</v>
      </c>
      <c r="AX183" s="285" t="s">
        <v>1157</v>
      </c>
      <c r="AY183" s="285" t="s">
        <v>1157</v>
      </c>
      <c r="AZ183" s="285" t="s">
        <v>1157</v>
      </c>
    </row>
    <row r="185" spans="1:52" ht="23.5" x14ac:dyDescent="0.55000000000000004">
      <c r="B185" s="252" t="s">
        <v>1135</v>
      </c>
    </row>
    <row r="186" spans="1:52" x14ac:dyDescent="0.35">
      <c r="A186" s="286"/>
      <c r="B186" t="str">
        <f t="shared" ref="B186:G195" si="51">IF($H81="","",IF(B81="",B$5,B81))</f>
        <v/>
      </c>
      <c r="C186" t="str">
        <f t="shared" si="51"/>
        <v/>
      </c>
      <c r="D186" t="str">
        <f t="shared" si="51"/>
        <v/>
      </c>
      <c r="E186" t="str">
        <f t="shared" si="51"/>
        <v/>
      </c>
      <c r="F186" t="str">
        <f t="shared" si="51"/>
        <v/>
      </c>
      <c r="G186" t="str">
        <f t="shared" si="51"/>
        <v/>
      </c>
      <c r="H186" t="str">
        <f t="shared" ref="H186:H217" si="52">IF($H81="","",H81)</f>
        <v/>
      </c>
      <c r="I186" t="str">
        <f t="shared" ref="I186:J205" si="53">IF(OR(I81="",$H81=""),"",I81)</f>
        <v/>
      </c>
      <c r="J186" t="str">
        <f t="shared" si="53"/>
        <v/>
      </c>
      <c r="K186" t="str">
        <f>K81</f>
        <v/>
      </c>
      <c r="L186" t="str">
        <f>IF($H186="","",L81)</f>
        <v/>
      </c>
      <c r="M186" t="str">
        <f t="shared" ref="M186:AU186" si="54">IF($H186="","",M81+L186)</f>
        <v/>
      </c>
      <c r="N186" t="str">
        <f t="shared" si="54"/>
        <v/>
      </c>
      <c r="O186" t="str">
        <f t="shared" si="54"/>
        <v/>
      </c>
      <c r="P186" t="str">
        <f t="shared" si="54"/>
        <v/>
      </c>
      <c r="Q186" t="str">
        <f t="shared" si="54"/>
        <v/>
      </c>
      <c r="R186" t="str">
        <f t="shared" si="54"/>
        <v/>
      </c>
      <c r="S186" t="str">
        <f t="shared" si="54"/>
        <v/>
      </c>
      <c r="T186" t="str">
        <f t="shared" si="54"/>
        <v/>
      </c>
      <c r="U186" t="str">
        <f t="shared" si="54"/>
        <v/>
      </c>
      <c r="V186" t="str">
        <f t="shared" si="54"/>
        <v/>
      </c>
      <c r="W186" t="str">
        <f t="shared" si="54"/>
        <v/>
      </c>
      <c r="X186" t="str">
        <f t="shared" si="54"/>
        <v/>
      </c>
      <c r="Y186" t="str">
        <f t="shared" si="54"/>
        <v/>
      </c>
      <c r="Z186" t="str">
        <f t="shared" si="54"/>
        <v/>
      </c>
      <c r="AA186" t="str">
        <f t="shared" si="54"/>
        <v/>
      </c>
      <c r="AB186" t="str">
        <f t="shared" si="54"/>
        <v/>
      </c>
      <c r="AC186" t="str">
        <f t="shared" si="54"/>
        <v/>
      </c>
      <c r="AD186" t="str">
        <f t="shared" si="54"/>
        <v/>
      </c>
      <c r="AE186" t="str">
        <f t="shared" si="54"/>
        <v/>
      </c>
      <c r="AF186" t="str">
        <f t="shared" si="54"/>
        <v/>
      </c>
      <c r="AG186" t="str">
        <f t="shared" si="54"/>
        <v/>
      </c>
      <c r="AH186" t="str">
        <f t="shared" si="54"/>
        <v/>
      </c>
      <c r="AI186" t="str">
        <f t="shared" si="54"/>
        <v/>
      </c>
      <c r="AJ186" t="str">
        <f t="shared" si="54"/>
        <v/>
      </c>
      <c r="AK186" t="str">
        <f t="shared" si="54"/>
        <v/>
      </c>
      <c r="AL186" t="str">
        <f t="shared" si="54"/>
        <v/>
      </c>
      <c r="AM186" t="str">
        <f t="shared" si="54"/>
        <v/>
      </c>
      <c r="AN186" t="str">
        <f t="shared" si="54"/>
        <v/>
      </c>
      <c r="AO186" t="str">
        <f t="shared" si="54"/>
        <v/>
      </c>
      <c r="AP186" t="str">
        <f t="shared" si="54"/>
        <v/>
      </c>
      <c r="AQ186" t="str">
        <f t="shared" si="54"/>
        <v/>
      </c>
      <c r="AR186" t="str">
        <f t="shared" si="54"/>
        <v/>
      </c>
      <c r="AS186" t="str">
        <f t="shared" si="54"/>
        <v/>
      </c>
      <c r="AT186" t="str">
        <f t="shared" si="54"/>
        <v/>
      </c>
      <c r="AU186" t="str">
        <f t="shared" si="54"/>
        <v/>
      </c>
      <c r="AY186" s="255" t="str">
        <f>IF($H186="","",SUBSTITUTE("SELECT 'Headcount','Headcount',"&amp;ROW()&amp;",NULL,'"&amp;SUBSTITUTE($H186,"'","''")&amp;"','Forecast','"&amp;SUBSTITUTE($B186,"'","''")&amp;"','"&amp;SUBSTITUTE($C186,"'","''")&amp;"','"&amp;SUBSTITUTE($D186,"'","''")&amp;"','"&amp;SUBSTITUTE($E186,"'","''")&amp;"','"&amp;SUBSTITUTE($F186,"'","''")&amp;"','"&amp;SUBSTITUTE($G186,"'","''")&amp;"','Headcount',"&amp;IF($I186="","NULL","'"&amp;SUBSTITUTE($I186,"'","''")&amp;"'")&amp;","&amp;IF($J186="","NULL","'"&amp;SUBSTITUTE($J186,"'","''")&amp;"'")&amp;",NULL,NULL,"&amp;IF($L186="","NULL",$L186)&amp;","&amp;IF($M186="","NULL",$M186)&amp;","&amp;IF($N186="","NULL",$N186)&amp;","&amp;IF($O186="","NULL",$O186)&amp;","&amp;IF($P186="","NULL",$P186)&amp;","&amp;IF($Q186="","NULL",$Q186)&amp;","&amp;IF($R186="","NULL",$R186)&amp;","&amp;IF($S186="","NULL",$S186)&amp;","&amp;IF($T186="","NULL",$T186)&amp;","&amp;IF($U186="","NULL",$U186)&amp;","&amp;IF($V186="","NULL",$V186)&amp;","&amp;IF($W186="","NULL",$W186)&amp;","&amp;IF($X186="","NULL",$X186)&amp;","&amp;IF($Y186="","NULL",$Y186)&amp;","&amp;IF($Z186="","NULL",$Z186)&amp;","&amp;IF($AA186="","NULL",$AA186)&amp;","&amp;IF($AB186="","NULL",$AB186)&amp;","&amp;IF($AC186="","NULL",$AC186)&amp;","&amp;IF($AD186="","NULL",$AD186)&amp;","&amp;IF($AE186="","NULL",$AE186)&amp;","&amp;IF($AF186="","NULL",$AF186)&amp;","&amp;IF($AG186="","NULL",$AG186)&amp;","&amp;IF($AH186="","NULL",$AH186)&amp;","&amp;IF($AI186="","NULL",$AI186)&amp;","&amp;IF($AJ186="","NULL",$AJ186)&amp;","&amp;IF($AK186="","NULL",$AK186)&amp;","&amp;IF($AL186="","NULL",$AL186)&amp;","&amp;IF($AM186="","NULL",$AM186)&amp;","&amp;IF($AN186="","NULL",$AN186)&amp;","&amp;IF($AO186="","NULL",$AO186)&amp;","&amp;IF($AP186="","NULL",$AP186)&amp;","&amp;IF($AQ186="","NULL",$AQ186)&amp;","&amp;IF($AR186="","NULL",$AR186)&amp;","&amp;IF($AS186="","NULL",$AS186)&amp;","&amp;IF($AT186="","NULL",$AT186)&amp;","&amp;IF($AU186="","NULL",$AU186),"'","''"))</f>
        <v/>
      </c>
    </row>
    <row r="187" spans="1:52" x14ac:dyDescent="0.35">
      <c r="A187" s="286"/>
      <c r="B187" t="str">
        <f t="shared" si="51"/>
        <v/>
      </c>
      <c r="C187" t="str">
        <f t="shared" si="51"/>
        <v/>
      </c>
      <c r="D187" t="str">
        <f t="shared" si="51"/>
        <v/>
      </c>
      <c r="E187" t="str">
        <f t="shared" si="51"/>
        <v/>
      </c>
      <c r="F187" t="str">
        <f t="shared" si="51"/>
        <v/>
      </c>
      <c r="G187" t="str">
        <f t="shared" si="51"/>
        <v/>
      </c>
      <c r="H187" t="str">
        <f t="shared" si="52"/>
        <v/>
      </c>
      <c r="I187" t="str">
        <f t="shared" si="53"/>
        <v/>
      </c>
      <c r="J187" t="str">
        <f t="shared" si="53"/>
        <v/>
      </c>
      <c r="K187" t="str">
        <f t="shared" ref="K187:K250" si="55">K82</f>
        <v/>
      </c>
      <c r="L187" t="str">
        <f t="shared" ref="L187:L217" si="56">IF($H187="","",L82)</f>
        <v/>
      </c>
      <c r="M187" t="str">
        <f t="shared" ref="M187:AU187" si="57">IF($H187="","",M82+L187)</f>
        <v/>
      </c>
      <c r="N187" t="str">
        <f t="shared" si="57"/>
        <v/>
      </c>
      <c r="O187" t="str">
        <f t="shared" si="57"/>
        <v/>
      </c>
      <c r="P187" t="str">
        <f t="shared" si="57"/>
        <v/>
      </c>
      <c r="Q187" t="str">
        <f t="shared" si="57"/>
        <v/>
      </c>
      <c r="R187" t="str">
        <f t="shared" si="57"/>
        <v/>
      </c>
      <c r="S187" t="str">
        <f t="shared" si="57"/>
        <v/>
      </c>
      <c r="T187" t="str">
        <f t="shared" si="57"/>
        <v/>
      </c>
      <c r="U187" t="str">
        <f t="shared" si="57"/>
        <v/>
      </c>
      <c r="V187" t="str">
        <f t="shared" si="57"/>
        <v/>
      </c>
      <c r="W187" t="str">
        <f t="shared" si="57"/>
        <v/>
      </c>
      <c r="X187" t="str">
        <f t="shared" si="57"/>
        <v/>
      </c>
      <c r="Y187" t="str">
        <f t="shared" si="57"/>
        <v/>
      </c>
      <c r="Z187" t="str">
        <f t="shared" si="57"/>
        <v/>
      </c>
      <c r="AA187" t="str">
        <f t="shared" si="57"/>
        <v/>
      </c>
      <c r="AB187" t="str">
        <f t="shared" si="57"/>
        <v/>
      </c>
      <c r="AC187" t="str">
        <f t="shared" si="57"/>
        <v/>
      </c>
      <c r="AD187" t="str">
        <f t="shared" si="57"/>
        <v/>
      </c>
      <c r="AE187" t="str">
        <f t="shared" si="57"/>
        <v/>
      </c>
      <c r="AF187" t="str">
        <f t="shared" si="57"/>
        <v/>
      </c>
      <c r="AG187" t="str">
        <f t="shared" si="57"/>
        <v/>
      </c>
      <c r="AH187" t="str">
        <f t="shared" si="57"/>
        <v/>
      </c>
      <c r="AI187" t="str">
        <f t="shared" si="57"/>
        <v/>
      </c>
      <c r="AJ187" t="str">
        <f t="shared" si="57"/>
        <v/>
      </c>
      <c r="AK187" t="str">
        <f t="shared" si="57"/>
        <v/>
      </c>
      <c r="AL187" t="str">
        <f t="shared" si="57"/>
        <v/>
      </c>
      <c r="AM187" t="str">
        <f t="shared" si="57"/>
        <v/>
      </c>
      <c r="AN187" t="str">
        <f t="shared" si="57"/>
        <v/>
      </c>
      <c r="AO187" t="str">
        <f t="shared" si="57"/>
        <v/>
      </c>
      <c r="AP187" t="str">
        <f t="shared" si="57"/>
        <v/>
      </c>
      <c r="AQ187" t="str">
        <f t="shared" si="57"/>
        <v/>
      </c>
      <c r="AR187" t="str">
        <f t="shared" si="57"/>
        <v/>
      </c>
      <c r="AS187" t="str">
        <f t="shared" si="57"/>
        <v/>
      </c>
      <c r="AT187" t="str">
        <f t="shared" si="57"/>
        <v/>
      </c>
      <c r="AU187" t="str">
        <f t="shared" si="57"/>
        <v/>
      </c>
      <c r="AY187" s="255" t="str">
        <f t="shared" ref="AY187:AY250" si="58">IF($H187="","",SUBSTITUTE("SELECT 'Headcount','Headcount',"&amp;ROW()&amp;",NULL,'"&amp;SUBSTITUTE($H187,"'","''")&amp;"','Forecast','"&amp;SUBSTITUTE($B187,"'","''")&amp;"','"&amp;SUBSTITUTE($C187,"'","''")&amp;"','"&amp;SUBSTITUTE($D187,"'","''")&amp;"','"&amp;SUBSTITUTE($E187,"'","''")&amp;"','"&amp;SUBSTITUTE($F187,"'","''")&amp;"','"&amp;SUBSTITUTE($G187,"'","''")&amp;"','Headcount',"&amp;IF($I187="","NULL","'"&amp;SUBSTITUTE($I187,"'","''")&amp;"'")&amp;","&amp;IF($J187="","NULL","'"&amp;SUBSTITUTE($J187,"'","''")&amp;"'")&amp;",NULL,NULL,"&amp;IF($L187="","NULL",$L187)&amp;","&amp;IF($M187="","NULL",$M187)&amp;","&amp;IF($N187="","NULL",$N187)&amp;","&amp;IF($O187="","NULL",$O187)&amp;","&amp;IF($P187="","NULL",$P187)&amp;","&amp;IF($Q187="","NULL",$Q187)&amp;","&amp;IF($R187="","NULL",$R187)&amp;","&amp;IF($S187="","NULL",$S187)&amp;","&amp;IF($T187="","NULL",$T187)&amp;","&amp;IF($U187="","NULL",$U187)&amp;","&amp;IF($V187="","NULL",$V187)&amp;","&amp;IF($W187="","NULL",$W187)&amp;","&amp;IF($X187="","NULL",$X187)&amp;","&amp;IF($Y187="","NULL",$Y187)&amp;","&amp;IF($Z187="","NULL",$Z187)&amp;","&amp;IF($AA187="","NULL",$AA187)&amp;","&amp;IF($AB187="","NULL",$AB187)&amp;","&amp;IF($AC187="","NULL",$AC187)&amp;","&amp;IF($AD187="","NULL",$AD187)&amp;","&amp;IF($AE187="","NULL",$AE187)&amp;","&amp;IF($AF187="","NULL",$AF187)&amp;","&amp;IF($AG187="","NULL",$AG187)&amp;","&amp;IF($AH187="","NULL",$AH187)&amp;","&amp;IF($AI187="","NULL",$AI187)&amp;","&amp;IF($AJ187="","NULL",$AJ187)&amp;","&amp;IF($AK187="","NULL",$AK187)&amp;","&amp;IF($AL187="","NULL",$AL187)&amp;","&amp;IF($AM187="","NULL",$AM187)&amp;","&amp;IF($AN187="","NULL",$AN187)&amp;","&amp;IF($AO187="","NULL",$AO187)&amp;","&amp;IF($AP187="","NULL",$AP187)&amp;","&amp;IF($AQ187="","NULL",$AQ187)&amp;","&amp;IF($AR187="","NULL",$AR187)&amp;","&amp;IF($AS187="","NULL",$AS187)&amp;","&amp;IF($AT187="","NULL",$AT187)&amp;","&amp;IF($AU187="","NULL",$AU187),"'","''"))</f>
        <v/>
      </c>
    </row>
    <row r="188" spans="1:52" x14ac:dyDescent="0.35">
      <c r="A188" s="286"/>
      <c r="B188" t="str">
        <f t="shared" si="51"/>
        <v/>
      </c>
      <c r="C188" t="str">
        <f t="shared" si="51"/>
        <v/>
      </c>
      <c r="D188" t="str">
        <f t="shared" si="51"/>
        <v/>
      </c>
      <c r="E188" t="str">
        <f t="shared" si="51"/>
        <v/>
      </c>
      <c r="F188" t="str">
        <f t="shared" si="51"/>
        <v/>
      </c>
      <c r="G188" t="str">
        <f t="shared" si="51"/>
        <v/>
      </c>
      <c r="H188" t="str">
        <f t="shared" si="52"/>
        <v/>
      </c>
      <c r="I188" t="str">
        <f t="shared" si="53"/>
        <v/>
      </c>
      <c r="J188" t="str">
        <f t="shared" si="53"/>
        <v/>
      </c>
      <c r="K188" t="str">
        <f t="shared" si="55"/>
        <v/>
      </c>
      <c r="L188" t="str">
        <f t="shared" si="56"/>
        <v/>
      </c>
      <c r="M188" t="str">
        <f t="shared" ref="M188:AU188" si="59">IF($H188="","",M83+L188)</f>
        <v/>
      </c>
      <c r="N188" t="str">
        <f t="shared" si="59"/>
        <v/>
      </c>
      <c r="O188" t="str">
        <f t="shared" si="59"/>
        <v/>
      </c>
      <c r="P188" t="str">
        <f t="shared" si="59"/>
        <v/>
      </c>
      <c r="Q188" t="str">
        <f t="shared" si="59"/>
        <v/>
      </c>
      <c r="R188" t="str">
        <f t="shared" si="59"/>
        <v/>
      </c>
      <c r="S188" t="str">
        <f t="shared" si="59"/>
        <v/>
      </c>
      <c r="T188" t="str">
        <f t="shared" si="59"/>
        <v/>
      </c>
      <c r="U188" t="str">
        <f t="shared" si="59"/>
        <v/>
      </c>
      <c r="V188" t="str">
        <f t="shared" si="59"/>
        <v/>
      </c>
      <c r="W188" t="str">
        <f t="shared" si="59"/>
        <v/>
      </c>
      <c r="X188" t="str">
        <f t="shared" si="59"/>
        <v/>
      </c>
      <c r="Y188" t="str">
        <f t="shared" si="59"/>
        <v/>
      </c>
      <c r="Z188" t="str">
        <f t="shared" si="59"/>
        <v/>
      </c>
      <c r="AA188" t="str">
        <f t="shared" si="59"/>
        <v/>
      </c>
      <c r="AB188" t="str">
        <f t="shared" si="59"/>
        <v/>
      </c>
      <c r="AC188" t="str">
        <f t="shared" si="59"/>
        <v/>
      </c>
      <c r="AD188" t="str">
        <f t="shared" si="59"/>
        <v/>
      </c>
      <c r="AE188" t="str">
        <f t="shared" si="59"/>
        <v/>
      </c>
      <c r="AF188" t="str">
        <f t="shared" si="59"/>
        <v/>
      </c>
      <c r="AG188" t="str">
        <f t="shared" si="59"/>
        <v/>
      </c>
      <c r="AH188" t="str">
        <f t="shared" si="59"/>
        <v/>
      </c>
      <c r="AI188" t="str">
        <f t="shared" si="59"/>
        <v/>
      </c>
      <c r="AJ188" t="str">
        <f t="shared" si="59"/>
        <v/>
      </c>
      <c r="AK188" t="str">
        <f t="shared" si="59"/>
        <v/>
      </c>
      <c r="AL188" t="str">
        <f t="shared" si="59"/>
        <v/>
      </c>
      <c r="AM188" t="str">
        <f t="shared" si="59"/>
        <v/>
      </c>
      <c r="AN188" t="str">
        <f t="shared" si="59"/>
        <v/>
      </c>
      <c r="AO188" t="str">
        <f t="shared" si="59"/>
        <v/>
      </c>
      <c r="AP188" t="str">
        <f t="shared" si="59"/>
        <v/>
      </c>
      <c r="AQ188" t="str">
        <f t="shared" si="59"/>
        <v/>
      </c>
      <c r="AR188" t="str">
        <f t="shared" si="59"/>
        <v/>
      </c>
      <c r="AS188" t="str">
        <f t="shared" si="59"/>
        <v/>
      </c>
      <c r="AT188" t="str">
        <f t="shared" si="59"/>
        <v/>
      </c>
      <c r="AU188" t="str">
        <f t="shared" si="59"/>
        <v/>
      </c>
      <c r="AY188" s="255" t="str">
        <f t="shared" si="58"/>
        <v/>
      </c>
    </row>
    <row r="189" spans="1:52" x14ac:dyDescent="0.35">
      <c r="A189" s="286"/>
      <c r="B189" t="str">
        <f t="shared" si="51"/>
        <v/>
      </c>
      <c r="C189" t="str">
        <f t="shared" si="51"/>
        <v/>
      </c>
      <c r="D189" t="str">
        <f t="shared" si="51"/>
        <v/>
      </c>
      <c r="E189" t="str">
        <f t="shared" si="51"/>
        <v/>
      </c>
      <c r="F189" t="str">
        <f t="shared" si="51"/>
        <v/>
      </c>
      <c r="G189" t="str">
        <f t="shared" si="51"/>
        <v/>
      </c>
      <c r="H189" t="str">
        <f t="shared" si="52"/>
        <v/>
      </c>
      <c r="I189" t="str">
        <f t="shared" si="53"/>
        <v/>
      </c>
      <c r="J189" t="str">
        <f t="shared" si="53"/>
        <v/>
      </c>
      <c r="K189" t="str">
        <f t="shared" si="55"/>
        <v/>
      </c>
      <c r="L189" t="str">
        <f t="shared" si="56"/>
        <v/>
      </c>
      <c r="M189" t="str">
        <f t="shared" ref="M189:AU189" si="60">IF($H189="","",M84+L189)</f>
        <v/>
      </c>
      <c r="N189" t="str">
        <f t="shared" si="60"/>
        <v/>
      </c>
      <c r="O189" t="str">
        <f t="shared" si="60"/>
        <v/>
      </c>
      <c r="P189" t="str">
        <f t="shared" si="60"/>
        <v/>
      </c>
      <c r="Q189" t="str">
        <f t="shared" si="60"/>
        <v/>
      </c>
      <c r="R189" t="str">
        <f t="shared" si="60"/>
        <v/>
      </c>
      <c r="S189" t="str">
        <f t="shared" si="60"/>
        <v/>
      </c>
      <c r="T189" t="str">
        <f t="shared" si="60"/>
        <v/>
      </c>
      <c r="U189" t="str">
        <f t="shared" si="60"/>
        <v/>
      </c>
      <c r="V189" t="str">
        <f t="shared" si="60"/>
        <v/>
      </c>
      <c r="W189" t="str">
        <f t="shared" si="60"/>
        <v/>
      </c>
      <c r="X189" t="str">
        <f t="shared" si="60"/>
        <v/>
      </c>
      <c r="Y189" t="str">
        <f t="shared" si="60"/>
        <v/>
      </c>
      <c r="Z189" t="str">
        <f t="shared" si="60"/>
        <v/>
      </c>
      <c r="AA189" t="str">
        <f t="shared" si="60"/>
        <v/>
      </c>
      <c r="AB189" t="str">
        <f t="shared" si="60"/>
        <v/>
      </c>
      <c r="AC189" t="str">
        <f t="shared" si="60"/>
        <v/>
      </c>
      <c r="AD189" t="str">
        <f t="shared" si="60"/>
        <v/>
      </c>
      <c r="AE189" t="str">
        <f t="shared" si="60"/>
        <v/>
      </c>
      <c r="AF189" t="str">
        <f t="shared" si="60"/>
        <v/>
      </c>
      <c r="AG189" t="str">
        <f t="shared" si="60"/>
        <v/>
      </c>
      <c r="AH189" t="str">
        <f t="shared" si="60"/>
        <v/>
      </c>
      <c r="AI189" t="str">
        <f t="shared" si="60"/>
        <v/>
      </c>
      <c r="AJ189" t="str">
        <f t="shared" si="60"/>
        <v/>
      </c>
      <c r="AK189" t="str">
        <f t="shared" si="60"/>
        <v/>
      </c>
      <c r="AL189" t="str">
        <f t="shared" si="60"/>
        <v/>
      </c>
      <c r="AM189" t="str">
        <f t="shared" si="60"/>
        <v/>
      </c>
      <c r="AN189" t="str">
        <f t="shared" si="60"/>
        <v/>
      </c>
      <c r="AO189" t="str">
        <f t="shared" si="60"/>
        <v/>
      </c>
      <c r="AP189" t="str">
        <f t="shared" si="60"/>
        <v/>
      </c>
      <c r="AQ189" t="str">
        <f t="shared" si="60"/>
        <v/>
      </c>
      <c r="AR189" t="str">
        <f t="shared" si="60"/>
        <v/>
      </c>
      <c r="AS189" t="str">
        <f t="shared" si="60"/>
        <v/>
      </c>
      <c r="AT189" t="str">
        <f t="shared" si="60"/>
        <v/>
      </c>
      <c r="AU189" t="str">
        <f t="shared" si="60"/>
        <v/>
      </c>
      <c r="AY189" s="255" t="str">
        <f t="shared" si="58"/>
        <v/>
      </c>
    </row>
    <row r="190" spans="1:52" x14ac:dyDescent="0.35">
      <c r="A190" s="286"/>
      <c r="B190" t="str">
        <f t="shared" si="51"/>
        <v/>
      </c>
      <c r="C190" t="str">
        <f t="shared" si="51"/>
        <v/>
      </c>
      <c r="D190" t="str">
        <f t="shared" si="51"/>
        <v/>
      </c>
      <c r="E190" t="str">
        <f t="shared" si="51"/>
        <v/>
      </c>
      <c r="F190" t="str">
        <f t="shared" si="51"/>
        <v/>
      </c>
      <c r="G190" t="str">
        <f t="shared" si="51"/>
        <v/>
      </c>
      <c r="H190" t="str">
        <f t="shared" si="52"/>
        <v/>
      </c>
      <c r="I190" t="str">
        <f t="shared" si="53"/>
        <v/>
      </c>
      <c r="J190" t="str">
        <f t="shared" si="53"/>
        <v/>
      </c>
      <c r="K190" t="str">
        <f t="shared" si="55"/>
        <v/>
      </c>
      <c r="L190" t="str">
        <f t="shared" si="56"/>
        <v/>
      </c>
      <c r="M190" t="str">
        <f t="shared" ref="M190:AU190" si="61">IF($H190="","",M85+L190)</f>
        <v/>
      </c>
      <c r="N190" t="str">
        <f t="shared" si="61"/>
        <v/>
      </c>
      <c r="O190" t="str">
        <f t="shared" si="61"/>
        <v/>
      </c>
      <c r="P190" t="str">
        <f t="shared" si="61"/>
        <v/>
      </c>
      <c r="Q190" t="str">
        <f t="shared" si="61"/>
        <v/>
      </c>
      <c r="R190" t="str">
        <f t="shared" si="61"/>
        <v/>
      </c>
      <c r="S190" t="str">
        <f t="shared" si="61"/>
        <v/>
      </c>
      <c r="T190" t="str">
        <f t="shared" si="61"/>
        <v/>
      </c>
      <c r="U190" t="str">
        <f t="shared" si="61"/>
        <v/>
      </c>
      <c r="V190" t="str">
        <f t="shared" si="61"/>
        <v/>
      </c>
      <c r="W190" t="str">
        <f t="shared" si="61"/>
        <v/>
      </c>
      <c r="X190" t="str">
        <f t="shared" si="61"/>
        <v/>
      </c>
      <c r="Y190" t="str">
        <f t="shared" si="61"/>
        <v/>
      </c>
      <c r="Z190" t="str">
        <f t="shared" si="61"/>
        <v/>
      </c>
      <c r="AA190" t="str">
        <f t="shared" si="61"/>
        <v/>
      </c>
      <c r="AB190" t="str">
        <f t="shared" si="61"/>
        <v/>
      </c>
      <c r="AC190" t="str">
        <f t="shared" si="61"/>
        <v/>
      </c>
      <c r="AD190" t="str">
        <f t="shared" si="61"/>
        <v/>
      </c>
      <c r="AE190" t="str">
        <f t="shared" si="61"/>
        <v/>
      </c>
      <c r="AF190" t="str">
        <f t="shared" si="61"/>
        <v/>
      </c>
      <c r="AG190" t="str">
        <f t="shared" si="61"/>
        <v/>
      </c>
      <c r="AH190" t="str">
        <f t="shared" si="61"/>
        <v/>
      </c>
      <c r="AI190" t="str">
        <f t="shared" si="61"/>
        <v/>
      </c>
      <c r="AJ190" t="str">
        <f t="shared" si="61"/>
        <v/>
      </c>
      <c r="AK190" t="str">
        <f t="shared" si="61"/>
        <v/>
      </c>
      <c r="AL190" t="str">
        <f t="shared" si="61"/>
        <v/>
      </c>
      <c r="AM190" t="str">
        <f t="shared" si="61"/>
        <v/>
      </c>
      <c r="AN190" t="str">
        <f t="shared" si="61"/>
        <v/>
      </c>
      <c r="AO190" t="str">
        <f t="shared" si="61"/>
        <v/>
      </c>
      <c r="AP190" t="str">
        <f t="shared" si="61"/>
        <v/>
      </c>
      <c r="AQ190" t="str">
        <f t="shared" si="61"/>
        <v/>
      </c>
      <c r="AR190" t="str">
        <f t="shared" si="61"/>
        <v/>
      </c>
      <c r="AS190" t="str">
        <f t="shared" si="61"/>
        <v/>
      </c>
      <c r="AT190" t="str">
        <f t="shared" si="61"/>
        <v/>
      </c>
      <c r="AU190" t="str">
        <f t="shared" si="61"/>
        <v/>
      </c>
      <c r="AY190" s="255" t="str">
        <f t="shared" si="58"/>
        <v/>
      </c>
    </row>
    <row r="191" spans="1:52" x14ac:dyDescent="0.35">
      <c r="A191" s="286"/>
      <c r="B191" t="str">
        <f t="shared" si="51"/>
        <v/>
      </c>
      <c r="C191" t="str">
        <f t="shared" si="51"/>
        <v/>
      </c>
      <c r="D191" t="str">
        <f t="shared" si="51"/>
        <v/>
      </c>
      <c r="E191" t="str">
        <f t="shared" si="51"/>
        <v/>
      </c>
      <c r="F191" t="str">
        <f t="shared" si="51"/>
        <v/>
      </c>
      <c r="G191" t="str">
        <f t="shared" si="51"/>
        <v/>
      </c>
      <c r="H191" t="str">
        <f t="shared" si="52"/>
        <v/>
      </c>
      <c r="I191" t="str">
        <f t="shared" si="53"/>
        <v/>
      </c>
      <c r="J191" t="str">
        <f t="shared" si="53"/>
        <v/>
      </c>
      <c r="K191" t="str">
        <f t="shared" si="55"/>
        <v/>
      </c>
      <c r="L191" t="str">
        <f t="shared" si="56"/>
        <v/>
      </c>
      <c r="M191" t="str">
        <f t="shared" ref="M191:AU191" si="62">IF($H191="","",M86+L191)</f>
        <v/>
      </c>
      <c r="N191" t="str">
        <f t="shared" si="62"/>
        <v/>
      </c>
      <c r="O191" t="str">
        <f t="shared" si="62"/>
        <v/>
      </c>
      <c r="P191" t="str">
        <f t="shared" si="62"/>
        <v/>
      </c>
      <c r="Q191" t="str">
        <f t="shared" si="62"/>
        <v/>
      </c>
      <c r="R191" t="str">
        <f t="shared" si="62"/>
        <v/>
      </c>
      <c r="S191" t="str">
        <f t="shared" si="62"/>
        <v/>
      </c>
      <c r="T191" t="str">
        <f t="shared" si="62"/>
        <v/>
      </c>
      <c r="U191" t="str">
        <f t="shared" si="62"/>
        <v/>
      </c>
      <c r="V191" t="str">
        <f t="shared" si="62"/>
        <v/>
      </c>
      <c r="W191" t="str">
        <f t="shared" si="62"/>
        <v/>
      </c>
      <c r="X191" t="str">
        <f t="shared" si="62"/>
        <v/>
      </c>
      <c r="Y191" t="str">
        <f t="shared" si="62"/>
        <v/>
      </c>
      <c r="Z191" t="str">
        <f t="shared" si="62"/>
        <v/>
      </c>
      <c r="AA191" t="str">
        <f t="shared" si="62"/>
        <v/>
      </c>
      <c r="AB191" t="str">
        <f t="shared" si="62"/>
        <v/>
      </c>
      <c r="AC191" t="str">
        <f t="shared" si="62"/>
        <v/>
      </c>
      <c r="AD191" t="str">
        <f t="shared" si="62"/>
        <v/>
      </c>
      <c r="AE191" t="str">
        <f t="shared" si="62"/>
        <v/>
      </c>
      <c r="AF191" t="str">
        <f t="shared" si="62"/>
        <v/>
      </c>
      <c r="AG191" t="str">
        <f t="shared" si="62"/>
        <v/>
      </c>
      <c r="AH191" t="str">
        <f t="shared" si="62"/>
        <v/>
      </c>
      <c r="AI191" t="str">
        <f t="shared" si="62"/>
        <v/>
      </c>
      <c r="AJ191" t="str">
        <f t="shared" si="62"/>
        <v/>
      </c>
      <c r="AK191" t="str">
        <f t="shared" si="62"/>
        <v/>
      </c>
      <c r="AL191" t="str">
        <f t="shared" si="62"/>
        <v/>
      </c>
      <c r="AM191" t="str">
        <f t="shared" si="62"/>
        <v/>
      </c>
      <c r="AN191" t="str">
        <f t="shared" si="62"/>
        <v/>
      </c>
      <c r="AO191" t="str">
        <f t="shared" si="62"/>
        <v/>
      </c>
      <c r="AP191" t="str">
        <f t="shared" si="62"/>
        <v/>
      </c>
      <c r="AQ191" t="str">
        <f t="shared" si="62"/>
        <v/>
      </c>
      <c r="AR191" t="str">
        <f t="shared" si="62"/>
        <v/>
      </c>
      <c r="AS191" t="str">
        <f t="shared" si="62"/>
        <v/>
      </c>
      <c r="AT191" t="str">
        <f t="shared" si="62"/>
        <v/>
      </c>
      <c r="AU191" t="str">
        <f t="shared" si="62"/>
        <v/>
      </c>
      <c r="AY191" s="255" t="str">
        <f t="shared" si="58"/>
        <v/>
      </c>
    </row>
    <row r="192" spans="1:52" x14ac:dyDescent="0.35">
      <c r="A192" s="286"/>
      <c r="B192" t="str">
        <f t="shared" si="51"/>
        <v/>
      </c>
      <c r="C192" t="str">
        <f t="shared" si="51"/>
        <v/>
      </c>
      <c r="D192" t="str">
        <f t="shared" si="51"/>
        <v/>
      </c>
      <c r="E192" t="str">
        <f t="shared" si="51"/>
        <v/>
      </c>
      <c r="F192" t="str">
        <f t="shared" si="51"/>
        <v/>
      </c>
      <c r="G192" t="str">
        <f t="shared" si="51"/>
        <v/>
      </c>
      <c r="H192" t="str">
        <f t="shared" si="52"/>
        <v/>
      </c>
      <c r="I192" t="str">
        <f t="shared" si="53"/>
        <v/>
      </c>
      <c r="J192" t="str">
        <f t="shared" si="53"/>
        <v/>
      </c>
      <c r="K192" t="str">
        <f t="shared" si="55"/>
        <v/>
      </c>
      <c r="L192" t="str">
        <f t="shared" si="56"/>
        <v/>
      </c>
      <c r="M192" t="str">
        <f t="shared" ref="M192:AU192" si="63">IF($H192="","",M87+L192)</f>
        <v/>
      </c>
      <c r="N192" t="str">
        <f t="shared" si="63"/>
        <v/>
      </c>
      <c r="O192" t="str">
        <f t="shared" si="63"/>
        <v/>
      </c>
      <c r="P192" t="str">
        <f t="shared" si="63"/>
        <v/>
      </c>
      <c r="Q192" t="str">
        <f t="shared" si="63"/>
        <v/>
      </c>
      <c r="R192" t="str">
        <f t="shared" si="63"/>
        <v/>
      </c>
      <c r="S192" t="str">
        <f t="shared" si="63"/>
        <v/>
      </c>
      <c r="T192" t="str">
        <f t="shared" si="63"/>
        <v/>
      </c>
      <c r="U192" t="str">
        <f t="shared" si="63"/>
        <v/>
      </c>
      <c r="V192" t="str">
        <f t="shared" si="63"/>
        <v/>
      </c>
      <c r="W192" t="str">
        <f t="shared" si="63"/>
        <v/>
      </c>
      <c r="X192" t="str">
        <f t="shared" si="63"/>
        <v/>
      </c>
      <c r="Y192" t="str">
        <f t="shared" si="63"/>
        <v/>
      </c>
      <c r="Z192" t="str">
        <f t="shared" si="63"/>
        <v/>
      </c>
      <c r="AA192" t="str">
        <f t="shared" si="63"/>
        <v/>
      </c>
      <c r="AB192" t="str">
        <f t="shared" si="63"/>
        <v/>
      </c>
      <c r="AC192" t="str">
        <f t="shared" si="63"/>
        <v/>
      </c>
      <c r="AD192" t="str">
        <f t="shared" si="63"/>
        <v/>
      </c>
      <c r="AE192" t="str">
        <f t="shared" si="63"/>
        <v/>
      </c>
      <c r="AF192" t="str">
        <f t="shared" si="63"/>
        <v/>
      </c>
      <c r="AG192" t="str">
        <f t="shared" si="63"/>
        <v/>
      </c>
      <c r="AH192" t="str">
        <f t="shared" si="63"/>
        <v/>
      </c>
      <c r="AI192" t="str">
        <f t="shared" si="63"/>
        <v/>
      </c>
      <c r="AJ192" t="str">
        <f t="shared" si="63"/>
        <v/>
      </c>
      <c r="AK192" t="str">
        <f t="shared" si="63"/>
        <v/>
      </c>
      <c r="AL192" t="str">
        <f t="shared" si="63"/>
        <v/>
      </c>
      <c r="AM192" t="str">
        <f t="shared" si="63"/>
        <v/>
      </c>
      <c r="AN192" t="str">
        <f t="shared" si="63"/>
        <v/>
      </c>
      <c r="AO192" t="str">
        <f t="shared" si="63"/>
        <v/>
      </c>
      <c r="AP192" t="str">
        <f t="shared" si="63"/>
        <v/>
      </c>
      <c r="AQ192" t="str">
        <f t="shared" si="63"/>
        <v/>
      </c>
      <c r="AR192" t="str">
        <f t="shared" si="63"/>
        <v/>
      </c>
      <c r="AS192" t="str">
        <f t="shared" si="63"/>
        <v/>
      </c>
      <c r="AT192" t="str">
        <f t="shared" si="63"/>
        <v/>
      </c>
      <c r="AU192" t="str">
        <f t="shared" si="63"/>
        <v/>
      </c>
      <c r="AY192" s="255" t="str">
        <f t="shared" si="58"/>
        <v/>
      </c>
    </row>
    <row r="193" spans="1:51" x14ac:dyDescent="0.35">
      <c r="A193" s="286"/>
      <c r="B193" t="str">
        <f t="shared" si="51"/>
        <v/>
      </c>
      <c r="C193" t="str">
        <f t="shared" si="51"/>
        <v/>
      </c>
      <c r="D193" t="str">
        <f t="shared" si="51"/>
        <v/>
      </c>
      <c r="E193" t="str">
        <f t="shared" si="51"/>
        <v/>
      </c>
      <c r="F193" t="str">
        <f t="shared" si="51"/>
        <v/>
      </c>
      <c r="G193" t="str">
        <f t="shared" si="51"/>
        <v/>
      </c>
      <c r="H193" t="str">
        <f t="shared" si="52"/>
        <v/>
      </c>
      <c r="I193" t="str">
        <f t="shared" si="53"/>
        <v/>
      </c>
      <c r="J193" t="str">
        <f t="shared" si="53"/>
        <v/>
      </c>
      <c r="K193" t="str">
        <f t="shared" si="55"/>
        <v/>
      </c>
      <c r="L193" t="str">
        <f t="shared" si="56"/>
        <v/>
      </c>
      <c r="M193" t="str">
        <f t="shared" ref="M193:AU193" si="64">IF($H193="","",M88+L193)</f>
        <v/>
      </c>
      <c r="N193" t="str">
        <f t="shared" si="64"/>
        <v/>
      </c>
      <c r="O193" t="str">
        <f t="shared" si="64"/>
        <v/>
      </c>
      <c r="P193" t="str">
        <f t="shared" si="64"/>
        <v/>
      </c>
      <c r="Q193" t="str">
        <f t="shared" si="64"/>
        <v/>
      </c>
      <c r="R193" t="str">
        <f t="shared" si="64"/>
        <v/>
      </c>
      <c r="S193" t="str">
        <f t="shared" si="64"/>
        <v/>
      </c>
      <c r="T193" t="str">
        <f t="shared" si="64"/>
        <v/>
      </c>
      <c r="U193" t="str">
        <f t="shared" si="64"/>
        <v/>
      </c>
      <c r="V193" t="str">
        <f t="shared" si="64"/>
        <v/>
      </c>
      <c r="W193" t="str">
        <f t="shared" si="64"/>
        <v/>
      </c>
      <c r="X193" t="str">
        <f t="shared" si="64"/>
        <v/>
      </c>
      <c r="Y193" t="str">
        <f t="shared" si="64"/>
        <v/>
      </c>
      <c r="Z193" t="str">
        <f t="shared" si="64"/>
        <v/>
      </c>
      <c r="AA193" t="str">
        <f t="shared" si="64"/>
        <v/>
      </c>
      <c r="AB193" t="str">
        <f t="shared" si="64"/>
        <v/>
      </c>
      <c r="AC193" t="str">
        <f t="shared" si="64"/>
        <v/>
      </c>
      <c r="AD193" t="str">
        <f t="shared" si="64"/>
        <v/>
      </c>
      <c r="AE193" t="str">
        <f t="shared" si="64"/>
        <v/>
      </c>
      <c r="AF193" t="str">
        <f t="shared" si="64"/>
        <v/>
      </c>
      <c r="AG193" t="str">
        <f t="shared" si="64"/>
        <v/>
      </c>
      <c r="AH193" t="str">
        <f t="shared" si="64"/>
        <v/>
      </c>
      <c r="AI193" t="str">
        <f t="shared" si="64"/>
        <v/>
      </c>
      <c r="AJ193" t="str">
        <f t="shared" si="64"/>
        <v/>
      </c>
      <c r="AK193" t="str">
        <f t="shared" si="64"/>
        <v/>
      </c>
      <c r="AL193" t="str">
        <f t="shared" si="64"/>
        <v/>
      </c>
      <c r="AM193" t="str">
        <f t="shared" si="64"/>
        <v/>
      </c>
      <c r="AN193" t="str">
        <f t="shared" si="64"/>
        <v/>
      </c>
      <c r="AO193" t="str">
        <f t="shared" si="64"/>
        <v/>
      </c>
      <c r="AP193" t="str">
        <f t="shared" si="64"/>
        <v/>
      </c>
      <c r="AQ193" t="str">
        <f t="shared" si="64"/>
        <v/>
      </c>
      <c r="AR193" t="str">
        <f t="shared" si="64"/>
        <v/>
      </c>
      <c r="AS193" t="str">
        <f t="shared" si="64"/>
        <v/>
      </c>
      <c r="AT193" t="str">
        <f t="shared" si="64"/>
        <v/>
      </c>
      <c r="AU193" t="str">
        <f t="shared" si="64"/>
        <v/>
      </c>
      <c r="AY193" s="255" t="str">
        <f t="shared" si="58"/>
        <v/>
      </c>
    </row>
    <row r="194" spans="1:51" x14ac:dyDescent="0.35">
      <c r="A194" s="286"/>
      <c r="B194" t="str">
        <f t="shared" si="51"/>
        <v/>
      </c>
      <c r="C194" t="str">
        <f t="shared" si="51"/>
        <v/>
      </c>
      <c r="D194" t="str">
        <f t="shared" si="51"/>
        <v/>
      </c>
      <c r="E194" t="str">
        <f t="shared" si="51"/>
        <v/>
      </c>
      <c r="F194" t="str">
        <f t="shared" si="51"/>
        <v/>
      </c>
      <c r="G194" t="str">
        <f t="shared" si="51"/>
        <v/>
      </c>
      <c r="H194" t="str">
        <f t="shared" si="52"/>
        <v/>
      </c>
      <c r="I194" t="str">
        <f t="shared" si="53"/>
        <v/>
      </c>
      <c r="J194" t="str">
        <f t="shared" si="53"/>
        <v/>
      </c>
      <c r="K194" t="str">
        <f t="shared" si="55"/>
        <v/>
      </c>
      <c r="L194" t="str">
        <f t="shared" si="56"/>
        <v/>
      </c>
      <c r="M194" t="str">
        <f t="shared" ref="M194:AU194" si="65">IF($H194="","",M89+L194)</f>
        <v/>
      </c>
      <c r="N194" t="str">
        <f t="shared" si="65"/>
        <v/>
      </c>
      <c r="O194" t="str">
        <f t="shared" si="65"/>
        <v/>
      </c>
      <c r="P194" t="str">
        <f t="shared" si="65"/>
        <v/>
      </c>
      <c r="Q194" t="str">
        <f t="shared" si="65"/>
        <v/>
      </c>
      <c r="R194" t="str">
        <f t="shared" si="65"/>
        <v/>
      </c>
      <c r="S194" t="str">
        <f t="shared" si="65"/>
        <v/>
      </c>
      <c r="T194" t="str">
        <f t="shared" si="65"/>
        <v/>
      </c>
      <c r="U194" t="str">
        <f t="shared" si="65"/>
        <v/>
      </c>
      <c r="V194" t="str">
        <f t="shared" si="65"/>
        <v/>
      </c>
      <c r="W194" t="str">
        <f t="shared" si="65"/>
        <v/>
      </c>
      <c r="X194" t="str">
        <f t="shared" si="65"/>
        <v/>
      </c>
      <c r="Y194" t="str">
        <f t="shared" si="65"/>
        <v/>
      </c>
      <c r="Z194" t="str">
        <f t="shared" si="65"/>
        <v/>
      </c>
      <c r="AA194" t="str">
        <f t="shared" si="65"/>
        <v/>
      </c>
      <c r="AB194" t="str">
        <f t="shared" si="65"/>
        <v/>
      </c>
      <c r="AC194" t="str">
        <f t="shared" si="65"/>
        <v/>
      </c>
      <c r="AD194" t="str">
        <f t="shared" si="65"/>
        <v/>
      </c>
      <c r="AE194" t="str">
        <f t="shared" si="65"/>
        <v/>
      </c>
      <c r="AF194" t="str">
        <f t="shared" si="65"/>
        <v/>
      </c>
      <c r="AG194" t="str">
        <f t="shared" si="65"/>
        <v/>
      </c>
      <c r="AH194" t="str">
        <f t="shared" si="65"/>
        <v/>
      </c>
      <c r="AI194" t="str">
        <f t="shared" si="65"/>
        <v/>
      </c>
      <c r="AJ194" t="str">
        <f t="shared" si="65"/>
        <v/>
      </c>
      <c r="AK194" t="str">
        <f t="shared" si="65"/>
        <v/>
      </c>
      <c r="AL194" t="str">
        <f t="shared" si="65"/>
        <v/>
      </c>
      <c r="AM194" t="str">
        <f t="shared" si="65"/>
        <v/>
      </c>
      <c r="AN194" t="str">
        <f t="shared" si="65"/>
        <v/>
      </c>
      <c r="AO194" t="str">
        <f t="shared" si="65"/>
        <v/>
      </c>
      <c r="AP194" t="str">
        <f t="shared" si="65"/>
        <v/>
      </c>
      <c r="AQ194" t="str">
        <f t="shared" si="65"/>
        <v/>
      </c>
      <c r="AR194" t="str">
        <f t="shared" si="65"/>
        <v/>
      </c>
      <c r="AS194" t="str">
        <f t="shared" si="65"/>
        <v/>
      </c>
      <c r="AT194" t="str">
        <f t="shared" si="65"/>
        <v/>
      </c>
      <c r="AU194" t="str">
        <f t="shared" si="65"/>
        <v/>
      </c>
      <c r="AY194" s="255" t="str">
        <f t="shared" si="58"/>
        <v/>
      </c>
    </row>
    <row r="195" spans="1:51" x14ac:dyDescent="0.35">
      <c r="A195" s="286"/>
      <c r="B195" t="str">
        <f t="shared" si="51"/>
        <v/>
      </c>
      <c r="C195" t="str">
        <f t="shared" si="51"/>
        <v/>
      </c>
      <c r="D195" t="str">
        <f t="shared" si="51"/>
        <v/>
      </c>
      <c r="E195" t="str">
        <f t="shared" si="51"/>
        <v/>
      </c>
      <c r="F195" t="str">
        <f t="shared" si="51"/>
        <v/>
      </c>
      <c r="G195" t="str">
        <f t="shared" si="51"/>
        <v/>
      </c>
      <c r="H195" t="str">
        <f t="shared" si="52"/>
        <v/>
      </c>
      <c r="I195" t="str">
        <f t="shared" si="53"/>
        <v/>
      </c>
      <c r="J195" t="str">
        <f t="shared" si="53"/>
        <v/>
      </c>
      <c r="K195" t="str">
        <f t="shared" si="55"/>
        <v/>
      </c>
      <c r="L195" t="str">
        <f t="shared" si="56"/>
        <v/>
      </c>
      <c r="M195" t="str">
        <f t="shared" ref="M195:AU195" si="66">IF($H195="","",M90+L195)</f>
        <v/>
      </c>
      <c r="N195" t="str">
        <f t="shared" si="66"/>
        <v/>
      </c>
      <c r="O195" t="str">
        <f t="shared" si="66"/>
        <v/>
      </c>
      <c r="P195" t="str">
        <f t="shared" si="66"/>
        <v/>
      </c>
      <c r="Q195" t="str">
        <f t="shared" si="66"/>
        <v/>
      </c>
      <c r="R195" t="str">
        <f t="shared" si="66"/>
        <v/>
      </c>
      <c r="S195" t="str">
        <f t="shared" si="66"/>
        <v/>
      </c>
      <c r="T195" t="str">
        <f t="shared" si="66"/>
        <v/>
      </c>
      <c r="U195" t="str">
        <f t="shared" si="66"/>
        <v/>
      </c>
      <c r="V195" t="str">
        <f t="shared" si="66"/>
        <v/>
      </c>
      <c r="W195" t="str">
        <f t="shared" si="66"/>
        <v/>
      </c>
      <c r="X195" t="str">
        <f t="shared" si="66"/>
        <v/>
      </c>
      <c r="Y195" t="str">
        <f t="shared" si="66"/>
        <v/>
      </c>
      <c r="Z195" t="str">
        <f t="shared" si="66"/>
        <v/>
      </c>
      <c r="AA195" t="str">
        <f t="shared" si="66"/>
        <v/>
      </c>
      <c r="AB195" t="str">
        <f t="shared" si="66"/>
        <v/>
      </c>
      <c r="AC195" t="str">
        <f t="shared" si="66"/>
        <v/>
      </c>
      <c r="AD195" t="str">
        <f t="shared" si="66"/>
        <v/>
      </c>
      <c r="AE195" t="str">
        <f t="shared" si="66"/>
        <v/>
      </c>
      <c r="AF195" t="str">
        <f t="shared" si="66"/>
        <v/>
      </c>
      <c r="AG195" t="str">
        <f t="shared" si="66"/>
        <v/>
      </c>
      <c r="AH195" t="str">
        <f t="shared" si="66"/>
        <v/>
      </c>
      <c r="AI195" t="str">
        <f t="shared" si="66"/>
        <v/>
      </c>
      <c r="AJ195" t="str">
        <f t="shared" si="66"/>
        <v/>
      </c>
      <c r="AK195" t="str">
        <f t="shared" si="66"/>
        <v/>
      </c>
      <c r="AL195" t="str">
        <f t="shared" si="66"/>
        <v/>
      </c>
      <c r="AM195" t="str">
        <f t="shared" si="66"/>
        <v/>
      </c>
      <c r="AN195" t="str">
        <f t="shared" si="66"/>
        <v/>
      </c>
      <c r="AO195" t="str">
        <f t="shared" si="66"/>
        <v/>
      </c>
      <c r="AP195" t="str">
        <f t="shared" si="66"/>
        <v/>
      </c>
      <c r="AQ195" t="str">
        <f t="shared" si="66"/>
        <v/>
      </c>
      <c r="AR195" t="str">
        <f t="shared" si="66"/>
        <v/>
      </c>
      <c r="AS195" t="str">
        <f t="shared" si="66"/>
        <v/>
      </c>
      <c r="AT195" t="str">
        <f t="shared" si="66"/>
        <v/>
      </c>
      <c r="AU195" t="str">
        <f t="shared" si="66"/>
        <v/>
      </c>
      <c r="AY195" s="255" t="str">
        <f t="shared" si="58"/>
        <v/>
      </c>
    </row>
    <row r="196" spans="1:51" x14ac:dyDescent="0.35">
      <c r="A196" s="286"/>
      <c r="B196" t="str">
        <f t="shared" ref="B196:G205" si="67">IF($H91="","",IF(B91="",B$5,B91))</f>
        <v/>
      </c>
      <c r="C196" t="str">
        <f t="shared" si="67"/>
        <v/>
      </c>
      <c r="D196" t="str">
        <f t="shared" si="67"/>
        <v/>
      </c>
      <c r="E196" t="str">
        <f t="shared" si="67"/>
        <v/>
      </c>
      <c r="F196" t="str">
        <f t="shared" si="67"/>
        <v/>
      </c>
      <c r="G196" t="str">
        <f t="shared" si="67"/>
        <v/>
      </c>
      <c r="H196" t="str">
        <f t="shared" si="52"/>
        <v/>
      </c>
      <c r="I196" t="str">
        <f t="shared" si="53"/>
        <v/>
      </c>
      <c r="J196" t="str">
        <f t="shared" si="53"/>
        <v/>
      </c>
      <c r="K196" t="str">
        <f t="shared" si="55"/>
        <v/>
      </c>
      <c r="L196" t="str">
        <f t="shared" si="56"/>
        <v/>
      </c>
      <c r="M196" t="str">
        <f t="shared" ref="M196:AU196" si="68">IF($H196="","",M91+L196)</f>
        <v/>
      </c>
      <c r="N196" t="str">
        <f t="shared" si="68"/>
        <v/>
      </c>
      <c r="O196" t="str">
        <f t="shared" si="68"/>
        <v/>
      </c>
      <c r="P196" t="str">
        <f t="shared" si="68"/>
        <v/>
      </c>
      <c r="Q196" t="str">
        <f t="shared" si="68"/>
        <v/>
      </c>
      <c r="R196" t="str">
        <f t="shared" si="68"/>
        <v/>
      </c>
      <c r="S196" t="str">
        <f t="shared" si="68"/>
        <v/>
      </c>
      <c r="T196" t="str">
        <f t="shared" si="68"/>
        <v/>
      </c>
      <c r="U196" t="str">
        <f t="shared" si="68"/>
        <v/>
      </c>
      <c r="V196" t="str">
        <f t="shared" si="68"/>
        <v/>
      </c>
      <c r="W196" t="str">
        <f t="shared" si="68"/>
        <v/>
      </c>
      <c r="X196" t="str">
        <f t="shared" si="68"/>
        <v/>
      </c>
      <c r="Y196" t="str">
        <f t="shared" si="68"/>
        <v/>
      </c>
      <c r="Z196" t="str">
        <f t="shared" si="68"/>
        <v/>
      </c>
      <c r="AA196" t="str">
        <f t="shared" si="68"/>
        <v/>
      </c>
      <c r="AB196" t="str">
        <f t="shared" si="68"/>
        <v/>
      </c>
      <c r="AC196" t="str">
        <f t="shared" si="68"/>
        <v/>
      </c>
      <c r="AD196" t="str">
        <f t="shared" si="68"/>
        <v/>
      </c>
      <c r="AE196" t="str">
        <f t="shared" si="68"/>
        <v/>
      </c>
      <c r="AF196" t="str">
        <f t="shared" si="68"/>
        <v/>
      </c>
      <c r="AG196" t="str">
        <f t="shared" si="68"/>
        <v/>
      </c>
      <c r="AH196" t="str">
        <f t="shared" si="68"/>
        <v/>
      </c>
      <c r="AI196" t="str">
        <f t="shared" si="68"/>
        <v/>
      </c>
      <c r="AJ196" t="str">
        <f t="shared" si="68"/>
        <v/>
      </c>
      <c r="AK196" t="str">
        <f t="shared" si="68"/>
        <v/>
      </c>
      <c r="AL196" t="str">
        <f t="shared" si="68"/>
        <v/>
      </c>
      <c r="AM196" t="str">
        <f t="shared" si="68"/>
        <v/>
      </c>
      <c r="AN196" t="str">
        <f t="shared" si="68"/>
        <v/>
      </c>
      <c r="AO196" t="str">
        <f t="shared" si="68"/>
        <v/>
      </c>
      <c r="AP196" t="str">
        <f t="shared" si="68"/>
        <v/>
      </c>
      <c r="AQ196" t="str">
        <f t="shared" si="68"/>
        <v/>
      </c>
      <c r="AR196" t="str">
        <f t="shared" si="68"/>
        <v/>
      </c>
      <c r="AS196" t="str">
        <f t="shared" si="68"/>
        <v/>
      </c>
      <c r="AT196" t="str">
        <f t="shared" si="68"/>
        <v/>
      </c>
      <c r="AU196" t="str">
        <f t="shared" si="68"/>
        <v/>
      </c>
      <c r="AY196" s="255" t="str">
        <f t="shared" si="58"/>
        <v/>
      </c>
    </row>
    <row r="197" spans="1:51" x14ac:dyDescent="0.35">
      <c r="A197" s="286"/>
      <c r="B197" t="str">
        <f t="shared" si="67"/>
        <v/>
      </c>
      <c r="C197" t="str">
        <f t="shared" si="67"/>
        <v/>
      </c>
      <c r="D197" t="str">
        <f t="shared" si="67"/>
        <v/>
      </c>
      <c r="E197" t="str">
        <f t="shared" si="67"/>
        <v/>
      </c>
      <c r="F197" t="str">
        <f t="shared" si="67"/>
        <v/>
      </c>
      <c r="G197" t="str">
        <f t="shared" si="67"/>
        <v/>
      </c>
      <c r="H197" t="str">
        <f t="shared" si="52"/>
        <v/>
      </c>
      <c r="I197" t="str">
        <f t="shared" si="53"/>
        <v/>
      </c>
      <c r="J197" t="str">
        <f t="shared" si="53"/>
        <v/>
      </c>
      <c r="K197" t="str">
        <f t="shared" si="55"/>
        <v/>
      </c>
      <c r="L197" t="str">
        <f t="shared" si="56"/>
        <v/>
      </c>
      <c r="M197" t="str">
        <f t="shared" ref="M197:AU197" si="69">IF($H197="","",M92+L197)</f>
        <v/>
      </c>
      <c r="N197" t="str">
        <f t="shared" si="69"/>
        <v/>
      </c>
      <c r="O197" t="str">
        <f t="shared" si="69"/>
        <v/>
      </c>
      <c r="P197" t="str">
        <f t="shared" si="69"/>
        <v/>
      </c>
      <c r="Q197" t="str">
        <f t="shared" si="69"/>
        <v/>
      </c>
      <c r="R197" t="str">
        <f t="shared" si="69"/>
        <v/>
      </c>
      <c r="S197" t="str">
        <f t="shared" si="69"/>
        <v/>
      </c>
      <c r="T197" t="str">
        <f t="shared" si="69"/>
        <v/>
      </c>
      <c r="U197" t="str">
        <f t="shared" si="69"/>
        <v/>
      </c>
      <c r="V197" t="str">
        <f t="shared" si="69"/>
        <v/>
      </c>
      <c r="W197" t="str">
        <f t="shared" si="69"/>
        <v/>
      </c>
      <c r="X197" t="str">
        <f t="shared" si="69"/>
        <v/>
      </c>
      <c r="Y197" t="str">
        <f t="shared" si="69"/>
        <v/>
      </c>
      <c r="Z197" t="str">
        <f t="shared" si="69"/>
        <v/>
      </c>
      <c r="AA197" t="str">
        <f t="shared" si="69"/>
        <v/>
      </c>
      <c r="AB197" t="str">
        <f t="shared" si="69"/>
        <v/>
      </c>
      <c r="AC197" t="str">
        <f t="shared" si="69"/>
        <v/>
      </c>
      <c r="AD197" t="str">
        <f t="shared" si="69"/>
        <v/>
      </c>
      <c r="AE197" t="str">
        <f t="shared" si="69"/>
        <v/>
      </c>
      <c r="AF197" t="str">
        <f t="shared" si="69"/>
        <v/>
      </c>
      <c r="AG197" t="str">
        <f t="shared" si="69"/>
        <v/>
      </c>
      <c r="AH197" t="str">
        <f t="shared" si="69"/>
        <v/>
      </c>
      <c r="AI197" t="str">
        <f t="shared" si="69"/>
        <v/>
      </c>
      <c r="AJ197" t="str">
        <f t="shared" si="69"/>
        <v/>
      </c>
      <c r="AK197" t="str">
        <f t="shared" si="69"/>
        <v/>
      </c>
      <c r="AL197" t="str">
        <f t="shared" si="69"/>
        <v/>
      </c>
      <c r="AM197" t="str">
        <f t="shared" si="69"/>
        <v/>
      </c>
      <c r="AN197" t="str">
        <f t="shared" si="69"/>
        <v/>
      </c>
      <c r="AO197" t="str">
        <f t="shared" si="69"/>
        <v/>
      </c>
      <c r="AP197" t="str">
        <f t="shared" si="69"/>
        <v/>
      </c>
      <c r="AQ197" t="str">
        <f t="shared" si="69"/>
        <v/>
      </c>
      <c r="AR197" t="str">
        <f t="shared" si="69"/>
        <v/>
      </c>
      <c r="AS197" t="str">
        <f t="shared" si="69"/>
        <v/>
      </c>
      <c r="AT197" t="str">
        <f t="shared" si="69"/>
        <v/>
      </c>
      <c r="AU197" t="str">
        <f t="shared" si="69"/>
        <v/>
      </c>
      <c r="AY197" s="255" t="str">
        <f t="shared" si="58"/>
        <v/>
      </c>
    </row>
    <row r="198" spans="1:51" x14ac:dyDescent="0.35">
      <c r="A198" s="286"/>
      <c r="B198" t="str">
        <f t="shared" si="67"/>
        <v/>
      </c>
      <c r="C198" t="str">
        <f t="shared" si="67"/>
        <v/>
      </c>
      <c r="D198" t="str">
        <f t="shared" si="67"/>
        <v/>
      </c>
      <c r="E198" t="str">
        <f t="shared" si="67"/>
        <v/>
      </c>
      <c r="F198" t="str">
        <f t="shared" si="67"/>
        <v/>
      </c>
      <c r="G198" t="str">
        <f t="shared" si="67"/>
        <v/>
      </c>
      <c r="H198" t="str">
        <f t="shared" si="52"/>
        <v/>
      </c>
      <c r="I198" t="str">
        <f t="shared" si="53"/>
        <v/>
      </c>
      <c r="J198" t="str">
        <f t="shared" si="53"/>
        <v/>
      </c>
      <c r="K198" t="str">
        <f t="shared" si="55"/>
        <v/>
      </c>
      <c r="L198" t="str">
        <f t="shared" si="56"/>
        <v/>
      </c>
      <c r="M198" t="str">
        <f t="shared" ref="M198:AU198" si="70">IF($H198="","",M93+L198)</f>
        <v/>
      </c>
      <c r="N198" t="str">
        <f t="shared" si="70"/>
        <v/>
      </c>
      <c r="O198" t="str">
        <f t="shared" si="70"/>
        <v/>
      </c>
      <c r="P198" t="str">
        <f t="shared" si="70"/>
        <v/>
      </c>
      <c r="Q198" t="str">
        <f t="shared" si="70"/>
        <v/>
      </c>
      <c r="R198" t="str">
        <f t="shared" si="70"/>
        <v/>
      </c>
      <c r="S198" t="str">
        <f t="shared" si="70"/>
        <v/>
      </c>
      <c r="T198" t="str">
        <f t="shared" si="70"/>
        <v/>
      </c>
      <c r="U198" t="str">
        <f t="shared" si="70"/>
        <v/>
      </c>
      <c r="V198" t="str">
        <f t="shared" si="70"/>
        <v/>
      </c>
      <c r="W198" t="str">
        <f t="shared" si="70"/>
        <v/>
      </c>
      <c r="X198" t="str">
        <f t="shared" si="70"/>
        <v/>
      </c>
      <c r="Y198" t="str">
        <f t="shared" si="70"/>
        <v/>
      </c>
      <c r="Z198" t="str">
        <f t="shared" si="70"/>
        <v/>
      </c>
      <c r="AA198" t="str">
        <f t="shared" si="70"/>
        <v/>
      </c>
      <c r="AB198" t="str">
        <f t="shared" si="70"/>
        <v/>
      </c>
      <c r="AC198" t="str">
        <f t="shared" si="70"/>
        <v/>
      </c>
      <c r="AD198" t="str">
        <f t="shared" si="70"/>
        <v/>
      </c>
      <c r="AE198" t="str">
        <f t="shared" si="70"/>
        <v/>
      </c>
      <c r="AF198" t="str">
        <f t="shared" si="70"/>
        <v/>
      </c>
      <c r="AG198" t="str">
        <f t="shared" si="70"/>
        <v/>
      </c>
      <c r="AH198" t="str">
        <f t="shared" si="70"/>
        <v/>
      </c>
      <c r="AI198" t="str">
        <f t="shared" si="70"/>
        <v/>
      </c>
      <c r="AJ198" t="str">
        <f t="shared" si="70"/>
        <v/>
      </c>
      <c r="AK198" t="str">
        <f t="shared" si="70"/>
        <v/>
      </c>
      <c r="AL198" t="str">
        <f t="shared" si="70"/>
        <v/>
      </c>
      <c r="AM198" t="str">
        <f t="shared" si="70"/>
        <v/>
      </c>
      <c r="AN198" t="str">
        <f t="shared" si="70"/>
        <v/>
      </c>
      <c r="AO198" t="str">
        <f t="shared" si="70"/>
        <v/>
      </c>
      <c r="AP198" t="str">
        <f t="shared" si="70"/>
        <v/>
      </c>
      <c r="AQ198" t="str">
        <f t="shared" si="70"/>
        <v/>
      </c>
      <c r="AR198" t="str">
        <f t="shared" si="70"/>
        <v/>
      </c>
      <c r="AS198" t="str">
        <f t="shared" si="70"/>
        <v/>
      </c>
      <c r="AT198" t="str">
        <f t="shared" si="70"/>
        <v/>
      </c>
      <c r="AU198" t="str">
        <f t="shared" si="70"/>
        <v/>
      </c>
      <c r="AY198" s="255" t="str">
        <f t="shared" si="58"/>
        <v/>
      </c>
    </row>
    <row r="199" spans="1:51" x14ac:dyDescent="0.35">
      <c r="A199" s="286"/>
      <c r="B199" t="str">
        <f t="shared" si="67"/>
        <v/>
      </c>
      <c r="C199" t="str">
        <f t="shared" si="67"/>
        <v/>
      </c>
      <c r="D199" t="str">
        <f t="shared" si="67"/>
        <v/>
      </c>
      <c r="E199" t="str">
        <f t="shared" si="67"/>
        <v/>
      </c>
      <c r="F199" t="str">
        <f t="shared" si="67"/>
        <v/>
      </c>
      <c r="G199" t="str">
        <f t="shared" si="67"/>
        <v/>
      </c>
      <c r="H199" t="str">
        <f t="shared" si="52"/>
        <v/>
      </c>
      <c r="I199" t="str">
        <f t="shared" si="53"/>
        <v/>
      </c>
      <c r="J199" t="str">
        <f t="shared" si="53"/>
        <v/>
      </c>
      <c r="K199" t="str">
        <f t="shared" si="55"/>
        <v/>
      </c>
      <c r="L199" t="str">
        <f t="shared" si="56"/>
        <v/>
      </c>
      <c r="M199" t="str">
        <f t="shared" ref="M199:AU199" si="71">IF($H199="","",M94+L199)</f>
        <v/>
      </c>
      <c r="N199" t="str">
        <f t="shared" si="71"/>
        <v/>
      </c>
      <c r="O199" t="str">
        <f t="shared" si="71"/>
        <v/>
      </c>
      <c r="P199" t="str">
        <f t="shared" si="71"/>
        <v/>
      </c>
      <c r="Q199" t="str">
        <f t="shared" si="71"/>
        <v/>
      </c>
      <c r="R199" t="str">
        <f t="shared" si="71"/>
        <v/>
      </c>
      <c r="S199" t="str">
        <f t="shared" si="71"/>
        <v/>
      </c>
      <c r="T199" t="str">
        <f t="shared" si="71"/>
        <v/>
      </c>
      <c r="U199" t="str">
        <f t="shared" si="71"/>
        <v/>
      </c>
      <c r="V199" t="str">
        <f t="shared" si="71"/>
        <v/>
      </c>
      <c r="W199" t="str">
        <f t="shared" si="71"/>
        <v/>
      </c>
      <c r="X199" t="str">
        <f t="shared" si="71"/>
        <v/>
      </c>
      <c r="Y199" t="str">
        <f t="shared" si="71"/>
        <v/>
      </c>
      <c r="Z199" t="str">
        <f t="shared" si="71"/>
        <v/>
      </c>
      <c r="AA199" t="str">
        <f t="shared" si="71"/>
        <v/>
      </c>
      <c r="AB199" t="str">
        <f t="shared" si="71"/>
        <v/>
      </c>
      <c r="AC199" t="str">
        <f t="shared" si="71"/>
        <v/>
      </c>
      <c r="AD199" t="str">
        <f t="shared" si="71"/>
        <v/>
      </c>
      <c r="AE199" t="str">
        <f t="shared" si="71"/>
        <v/>
      </c>
      <c r="AF199" t="str">
        <f t="shared" si="71"/>
        <v/>
      </c>
      <c r="AG199" t="str">
        <f t="shared" si="71"/>
        <v/>
      </c>
      <c r="AH199" t="str">
        <f t="shared" si="71"/>
        <v/>
      </c>
      <c r="AI199" t="str">
        <f t="shared" si="71"/>
        <v/>
      </c>
      <c r="AJ199" t="str">
        <f t="shared" si="71"/>
        <v/>
      </c>
      <c r="AK199" t="str">
        <f t="shared" si="71"/>
        <v/>
      </c>
      <c r="AL199" t="str">
        <f t="shared" si="71"/>
        <v/>
      </c>
      <c r="AM199" t="str">
        <f t="shared" si="71"/>
        <v/>
      </c>
      <c r="AN199" t="str">
        <f t="shared" si="71"/>
        <v/>
      </c>
      <c r="AO199" t="str">
        <f t="shared" si="71"/>
        <v/>
      </c>
      <c r="AP199" t="str">
        <f t="shared" si="71"/>
        <v/>
      </c>
      <c r="AQ199" t="str">
        <f t="shared" si="71"/>
        <v/>
      </c>
      <c r="AR199" t="str">
        <f t="shared" si="71"/>
        <v/>
      </c>
      <c r="AS199" t="str">
        <f t="shared" si="71"/>
        <v/>
      </c>
      <c r="AT199" t="str">
        <f t="shared" si="71"/>
        <v/>
      </c>
      <c r="AU199" t="str">
        <f t="shared" si="71"/>
        <v/>
      </c>
      <c r="AY199" s="255" t="str">
        <f t="shared" si="58"/>
        <v/>
      </c>
    </row>
    <row r="200" spans="1:51" x14ac:dyDescent="0.35">
      <c r="A200" s="286"/>
      <c r="B200" t="str">
        <f t="shared" si="67"/>
        <v/>
      </c>
      <c r="C200" t="str">
        <f t="shared" si="67"/>
        <v/>
      </c>
      <c r="D200" t="str">
        <f t="shared" si="67"/>
        <v/>
      </c>
      <c r="E200" t="str">
        <f t="shared" si="67"/>
        <v/>
      </c>
      <c r="F200" t="str">
        <f t="shared" si="67"/>
        <v/>
      </c>
      <c r="G200" t="str">
        <f t="shared" si="67"/>
        <v/>
      </c>
      <c r="H200" t="str">
        <f t="shared" si="52"/>
        <v/>
      </c>
      <c r="I200" t="str">
        <f t="shared" si="53"/>
        <v/>
      </c>
      <c r="J200" t="str">
        <f t="shared" si="53"/>
        <v/>
      </c>
      <c r="K200" t="str">
        <f t="shared" si="55"/>
        <v/>
      </c>
      <c r="L200" t="str">
        <f t="shared" si="56"/>
        <v/>
      </c>
      <c r="M200" t="str">
        <f t="shared" ref="M200:AU200" si="72">IF($H200="","",M95+L200)</f>
        <v/>
      </c>
      <c r="N200" t="str">
        <f t="shared" si="72"/>
        <v/>
      </c>
      <c r="O200" t="str">
        <f t="shared" si="72"/>
        <v/>
      </c>
      <c r="P200" t="str">
        <f t="shared" si="72"/>
        <v/>
      </c>
      <c r="Q200" t="str">
        <f t="shared" si="72"/>
        <v/>
      </c>
      <c r="R200" t="str">
        <f t="shared" si="72"/>
        <v/>
      </c>
      <c r="S200" t="str">
        <f t="shared" si="72"/>
        <v/>
      </c>
      <c r="T200" t="str">
        <f t="shared" si="72"/>
        <v/>
      </c>
      <c r="U200" t="str">
        <f t="shared" si="72"/>
        <v/>
      </c>
      <c r="V200" t="str">
        <f t="shared" si="72"/>
        <v/>
      </c>
      <c r="W200" t="str">
        <f t="shared" si="72"/>
        <v/>
      </c>
      <c r="X200" t="str">
        <f t="shared" si="72"/>
        <v/>
      </c>
      <c r="Y200" t="str">
        <f t="shared" si="72"/>
        <v/>
      </c>
      <c r="Z200" t="str">
        <f t="shared" si="72"/>
        <v/>
      </c>
      <c r="AA200" t="str">
        <f t="shared" si="72"/>
        <v/>
      </c>
      <c r="AB200" t="str">
        <f t="shared" si="72"/>
        <v/>
      </c>
      <c r="AC200" t="str">
        <f t="shared" si="72"/>
        <v/>
      </c>
      <c r="AD200" t="str">
        <f t="shared" si="72"/>
        <v/>
      </c>
      <c r="AE200" t="str">
        <f t="shared" si="72"/>
        <v/>
      </c>
      <c r="AF200" t="str">
        <f t="shared" si="72"/>
        <v/>
      </c>
      <c r="AG200" t="str">
        <f t="shared" si="72"/>
        <v/>
      </c>
      <c r="AH200" t="str">
        <f t="shared" si="72"/>
        <v/>
      </c>
      <c r="AI200" t="str">
        <f t="shared" si="72"/>
        <v/>
      </c>
      <c r="AJ200" t="str">
        <f t="shared" si="72"/>
        <v/>
      </c>
      <c r="AK200" t="str">
        <f t="shared" si="72"/>
        <v/>
      </c>
      <c r="AL200" t="str">
        <f t="shared" si="72"/>
        <v/>
      </c>
      <c r="AM200" t="str">
        <f t="shared" si="72"/>
        <v/>
      </c>
      <c r="AN200" t="str">
        <f t="shared" si="72"/>
        <v/>
      </c>
      <c r="AO200" t="str">
        <f t="shared" si="72"/>
        <v/>
      </c>
      <c r="AP200" t="str">
        <f t="shared" si="72"/>
        <v/>
      </c>
      <c r="AQ200" t="str">
        <f t="shared" si="72"/>
        <v/>
      </c>
      <c r="AR200" t="str">
        <f t="shared" si="72"/>
        <v/>
      </c>
      <c r="AS200" t="str">
        <f t="shared" si="72"/>
        <v/>
      </c>
      <c r="AT200" t="str">
        <f t="shared" si="72"/>
        <v/>
      </c>
      <c r="AU200" t="str">
        <f t="shared" si="72"/>
        <v/>
      </c>
      <c r="AY200" s="255" t="str">
        <f t="shared" si="58"/>
        <v/>
      </c>
    </row>
    <row r="201" spans="1:51" x14ac:dyDescent="0.35">
      <c r="A201" s="286"/>
      <c r="B201" t="str">
        <f t="shared" si="67"/>
        <v/>
      </c>
      <c r="C201" t="str">
        <f t="shared" si="67"/>
        <v/>
      </c>
      <c r="D201" t="str">
        <f t="shared" si="67"/>
        <v/>
      </c>
      <c r="E201" t="str">
        <f t="shared" si="67"/>
        <v/>
      </c>
      <c r="F201" t="str">
        <f t="shared" si="67"/>
        <v/>
      </c>
      <c r="G201" t="str">
        <f t="shared" si="67"/>
        <v/>
      </c>
      <c r="H201" t="str">
        <f t="shared" si="52"/>
        <v/>
      </c>
      <c r="I201" t="str">
        <f t="shared" si="53"/>
        <v/>
      </c>
      <c r="J201" t="str">
        <f t="shared" si="53"/>
        <v/>
      </c>
      <c r="K201" t="str">
        <f t="shared" si="55"/>
        <v/>
      </c>
      <c r="L201" t="str">
        <f t="shared" si="56"/>
        <v/>
      </c>
      <c r="M201" t="str">
        <f t="shared" ref="M201:AU201" si="73">IF($H201="","",M96+L201)</f>
        <v/>
      </c>
      <c r="N201" t="str">
        <f t="shared" si="73"/>
        <v/>
      </c>
      <c r="O201" t="str">
        <f t="shared" si="73"/>
        <v/>
      </c>
      <c r="P201" t="str">
        <f t="shared" si="73"/>
        <v/>
      </c>
      <c r="Q201" t="str">
        <f t="shared" si="73"/>
        <v/>
      </c>
      <c r="R201" t="str">
        <f t="shared" si="73"/>
        <v/>
      </c>
      <c r="S201" t="str">
        <f t="shared" si="73"/>
        <v/>
      </c>
      <c r="T201" t="str">
        <f t="shared" si="73"/>
        <v/>
      </c>
      <c r="U201" t="str">
        <f t="shared" si="73"/>
        <v/>
      </c>
      <c r="V201" t="str">
        <f t="shared" si="73"/>
        <v/>
      </c>
      <c r="W201" t="str">
        <f t="shared" si="73"/>
        <v/>
      </c>
      <c r="X201" t="str">
        <f t="shared" si="73"/>
        <v/>
      </c>
      <c r="Y201" t="str">
        <f t="shared" si="73"/>
        <v/>
      </c>
      <c r="Z201" t="str">
        <f t="shared" si="73"/>
        <v/>
      </c>
      <c r="AA201" t="str">
        <f t="shared" si="73"/>
        <v/>
      </c>
      <c r="AB201" t="str">
        <f t="shared" si="73"/>
        <v/>
      </c>
      <c r="AC201" t="str">
        <f t="shared" si="73"/>
        <v/>
      </c>
      <c r="AD201" t="str">
        <f t="shared" si="73"/>
        <v/>
      </c>
      <c r="AE201" t="str">
        <f t="shared" si="73"/>
        <v/>
      </c>
      <c r="AF201" t="str">
        <f t="shared" si="73"/>
        <v/>
      </c>
      <c r="AG201" t="str">
        <f t="shared" si="73"/>
        <v/>
      </c>
      <c r="AH201" t="str">
        <f t="shared" si="73"/>
        <v/>
      </c>
      <c r="AI201" t="str">
        <f t="shared" si="73"/>
        <v/>
      </c>
      <c r="AJ201" t="str">
        <f t="shared" si="73"/>
        <v/>
      </c>
      <c r="AK201" t="str">
        <f t="shared" si="73"/>
        <v/>
      </c>
      <c r="AL201" t="str">
        <f t="shared" si="73"/>
        <v/>
      </c>
      <c r="AM201" t="str">
        <f t="shared" si="73"/>
        <v/>
      </c>
      <c r="AN201" t="str">
        <f t="shared" si="73"/>
        <v/>
      </c>
      <c r="AO201" t="str">
        <f t="shared" si="73"/>
        <v/>
      </c>
      <c r="AP201" t="str">
        <f t="shared" si="73"/>
        <v/>
      </c>
      <c r="AQ201" t="str">
        <f t="shared" si="73"/>
        <v/>
      </c>
      <c r="AR201" t="str">
        <f t="shared" si="73"/>
        <v/>
      </c>
      <c r="AS201" t="str">
        <f t="shared" si="73"/>
        <v/>
      </c>
      <c r="AT201" t="str">
        <f t="shared" si="73"/>
        <v/>
      </c>
      <c r="AU201" t="str">
        <f t="shared" si="73"/>
        <v/>
      </c>
      <c r="AY201" s="255" t="str">
        <f t="shared" si="58"/>
        <v/>
      </c>
    </row>
    <row r="202" spans="1:51" x14ac:dyDescent="0.35">
      <c r="A202" s="286"/>
      <c r="B202" t="str">
        <f t="shared" si="67"/>
        <v/>
      </c>
      <c r="C202" t="str">
        <f t="shared" si="67"/>
        <v/>
      </c>
      <c r="D202" t="str">
        <f t="shared" si="67"/>
        <v/>
      </c>
      <c r="E202" t="str">
        <f t="shared" si="67"/>
        <v/>
      </c>
      <c r="F202" t="str">
        <f t="shared" si="67"/>
        <v/>
      </c>
      <c r="G202" t="str">
        <f t="shared" si="67"/>
        <v/>
      </c>
      <c r="H202" t="str">
        <f t="shared" si="52"/>
        <v/>
      </c>
      <c r="I202" t="str">
        <f t="shared" si="53"/>
        <v/>
      </c>
      <c r="J202" t="str">
        <f t="shared" si="53"/>
        <v/>
      </c>
      <c r="K202" t="str">
        <f t="shared" si="55"/>
        <v/>
      </c>
      <c r="L202" t="str">
        <f t="shared" si="56"/>
        <v/>
      </c>
      <c r="M202" t="str">
        <f t="shared" ref="M202:AU202" si="74">IF($H202="","",M97+L202)</f>
        <v/>
      </c>
      <c r="N202" t="str">
        <f t="shared" si="74"/>
        <v/>
      </c>
      <c r="O202" t="str">
        <f t="shared" si="74"/>
        <v/>
      </c>
      <c r="P202" t="str">
        <f t="shared" si="74"/>
        <v/>
      </c>
      <c r="Q202" t="str">
        <f t="shared" si="74"/>
        <v/>
      </c>
      <c r="R202" t="str">
        <f t="shared" si="74"/>
        <v/>
      </c>
      <c r="S202" t="str">
        <f t="shared" si="74"/>
        <v/>
      </c>
      <c r="T202" t="str">
        <f t="shared" si="74"/>
        <v/>
      </c>
      <c r="U202" t="str">
        <f t="shared" si="74"/>
        <v/>
      </c>
      <c r="V202" t="str">
        <f t="shared" si="74"/>
        <v/>
      </c>
      <c r="W202" t="str">
        <f t="shared" si="74"/>
        <v/>
      </c>
      <c r="X202" t="str">
        <f t="shared" si="74"/>
        <v/>
      </c>
      <c r="Y202" t="str">
        <f t="shared" si="74"/>
        <v/>
      </c>
      <c r="Z202" t="str">
        <f t="shared" si="74"/>
        <v/>
      </c>
      <c r="AA202" t="str">
        <f t="shared" si="74"/>
        <v/>
      </c>
      <c r="AB202" t="str">
        <f t="shared" si="74"/>
        <v/>
      </c>
      <c r="AC202" t="str">
        <f t="shared" si="74"/>
        <v/>
      </c>
      <c r="AD202" t="str">
        <f t="shared" si="74"/>
        <v/>
      </c>
      <c r="AE202" t="str">
        <f t="shared" si="74"/>
        <v/>
      </c>
      <c r="AF202" t="str">
        <f t="shared" si="74"/>
        <v/>
      </c>
      <c r="AG202" t="str">
        <f t="shared" si="74"/>
        <v/>
      </c>
      <c r="AH202" t="str">
        <f t="shared" si="74"/>
        <v/>
      </c>
      <c r="AI202" t="str">
        <f t="shared" si="74"/>
        <v/>
      </c>
      <c r="AJ202" t="str">
        <f t="shared" si="74"/>
        <v/>
      </c>
      <c r="AK202" t="str">
        <f t="shared" si="74"/>
        <v/>
      </c>
      <c r="AL202" t="str">
        <f t="shared" si="74"/>
        <v/>
      </c>
      <c r="AM202" t="str">
        <f t="shared" si="74"/>
        <v/>
      </c>
      <c r="AN202" t="str">
        <f t="shared" si="74"/>
        <v/>
      </c>
      <c r="AO202" t="str">
        <f t="shared" si="74"/>
        <v/>
      </c>
      <c r="AP202" t="str">
        <f t="shared" si="74"/>
        <v/>
      </c>
      <c r="AQ202" t="str">
        <f t="shared" si="74"/>
        <v/>
      </c>
      <c r="AR202" t="str">
        <f t="shared" si="74"/>
        <v/>
      </c>
      <c r="AS202" t="str">
        <f t="shared" si="74"/>
        <v/>
      </c>
      <c r="AT202" t="str">
        <f t="shared" si="74"/>
        <v/>
      </c>
      <c r="AU202" t="str">
        <f t="shared" si="74"/>
        <v/>
      </c>
      <c r="AY202" s="255" t="str">
        <f t="shared" si="58"/>
        <v/>
      </c>
    </row>
    <row r="203" spans="1:51" x14ac:dyDescent="0.35">
      <c r="A203" s="286"/>
      <c r="B203" t="str">
        <f t="shared" si="67"/>
        <v/>
      </c>
      <c r="C203" t="str">
        <f t="shared" si="67"/>
        <v/>
      </c>
      <c r="D203" t="str">
        <f t="shared" si="67"/>
        <v/>
      </c>
      <c r="E203" t="str">
        <f t="shared" si="67"/>
        <v/>
      </c>
      <c r="F203" t="str">
        <f t="shared" si="67"/>
        <v/>
      </c>
      <c r="G203" t="str">
        <f t="shared" si="67"/>
        <v/>
      </c>
      <c r="H203" t="str">
        <f t="shared" si="52"/>
        <v/>
      </c>
      <c r="I203" t="str">
        <f t="shared" si="53"/>
        <v/>
      </c>
      <c r="J203" t="str">
        <f t="shared" si="53"/>
        <v/>
      </c>
      <c r="K203" t="str">
        <f t="shared" si="55"/>
        <v/>
      </c>
      <c r="L203" t="str">
        <f t="shared" si="56"/>
        <v/>
      </c>
      <c r="M203" t="str">
        <f t="shared" ref="M203:AU203" si="75">IF($H203="","",M98+L203)</f>
        <v/>
      </c>
      <c r="N203" t="str">
        <f t="shared" si="75"/>
        <v/>
      </c>
      <c r="O203" t="str">
        <f t="shared" si="75"/>
        <v/>
      </c>
      <c r="P203" t="str">
        <f t="shared" si="75"/>
        <v/>
      </c>
      <c r="Q203" t="str">
        <f t="shared" si="75"/>
        <v/>
      </c>
      <c r="R203" t="str">
        <f t="shared" si="75"/>
        <v/>
      </c>
      <c r="S203" t="str">
        <f t="shared" si="75"/>
        <v/>
      </c>
      <c r="T203" t="str">
        <f t="shared" si="75"/>
        <v/>
      </c>
      <c r="U203" t="str">
        <f t="shared" si="75"/>
        <v/>
      </c>
      <c r="V203" t="str">
        <f t="shared" si="75"/>
        <v/>
      </c>
      <c r="W203" t="str">
        <f t="shared" si="75"/>
        <v/>
      </c>
      <c r="X203" t="str">
        <f t="shared" si="75"/>
        <v/>
      </c>
      <c r="Y203" t="str">
        <f t="shared" si="75"/>
        <v/>
      </c>
      <c r="Z203" t="str">
        <f t="shared" si="75"/>
        <v/>
      </c>
      <c r="AA203" t="str">
        <f t="shared" si="75"/>
        <v/>
      </c>
      <c r="AB203" t="str">
        <f t="shared" si="75"/>
        <v/>
      </c>
      <c r="AC203" t="str">
        <f t="shared" si="75"/>
        <v/>
      </c>
      <c r="AD203" t="str">
        <f t="shared" si="75"/>
        <v/>
      </c>
      <c r="AE203" t="str">
        <f t="shared" si="75"/>
        <v/>
      </c>
      <c r="AF203" t="str">
        <f t="shared" si="75"/>
        <v/>
      </c>
      <c r="AG203" t="str">
        <f t="shared" si="75"/>
        <v/>
      </c>
      <c r="AH203" t="str">
        <f t="shared" si="75"/>
        <v/>
      </c>
      <c r="AI203" t="str">
        <f t="shared" si="75"/>
        <v/>
      </c>
      <c r="AJ203" t="str">
        <f t="shared" si="75"/>
        <v/>
      </c>
      <c r="AK203" t="str">
        <f t="shared" si="75"/>
        <v/>
      </c>
      <c r="AL203" t="str">
        <f t="shared" si="75"/>
        <v/>
      </c>
      <c r="AM203" t="str">
        <f t="shared" si="75"/>
        <v/>
      </c>
      <c r="AN203" t="str">
        <f t="shared" si="75"/>
        <v/>
      </c>
      <c r="AO203" t="str">
        <f t="shared" si="75"/>
        <v/>
      </c>
      <c r="AP203" t="str">
        <f t="shared" si="75"/>
        <v/>
      </c>
      <c r="AQ203" t="str">
        <f t="shared" si="75"/>
        <v/>
      </c>
      <c r="AR203" t="str">
        <f t="shared" si="75"/>
        <v/>
      </c>
      <c r="AS203" t="str">
        <f t="shared" si="75"/>
        <v/>
      </c>
      <c r="AT203" t="str">
        <f t="shared" si="75"/>
        <v/>
      </c>
      <c r="AU203" t="str">
        <f t="shared" si="75"/>
        <v/>
      </c>
      <c r="AY203" s="255" t="str">
        <f t="shared" si="58"/>
        <v/>
      </c>
    </row>
    <row r="204" spans="1:51" x14ac:dyDescent="0.35">
      <c r="A204" s="286"/>
      <c r="B204" t="str">
        <f t="shared" si="67"/>
        <v/>
      </c>
      <c r="C204" t="str">
        <f t="shared" si="67"/>
        <v/>
      </c>
      <c r="D204" t="str">
        <f t="shared" si="67"/>
        <v/>
      </c>
      <c r="E204" t="str">
        <f t="shared" si="67"/>
        <v/>
      </c>
      <c r="F204" t="str">
        <f t="shared" si="67"/>
        <v/>
      </c>
      <c r="G204" t="str">
        <f t="shared" si="67"/>
        <v/>
      </c>
      <c r="H204" t="str">
        <f t="shared" si="52"/>
        <v/>
      </c>
      <c r="I204" t="str">
        <f t="shared" si="53"/>
        <v/>
      </c>
      <c r="J204" t="str">
        <f t="shared" si="53"/>
        <v/>
      </c>
      <c r="K204" t="str">
        <f t="shared" si="55"/>
        <v/>
      </c>
      <c r="L204" t="str">
        <f t="shared" si="56"/>
        <v/>
      </c>
      <c r="M204" t="str">
        <f t="shared" ref="M204:AU204" si="76">IF($H204="","",M99+L204)</f>
        <v/>
      </c>
      <c r="N204" t="str">
        <f t="shared" si="76"/>
        <v/>
      </c>
      <c r="O204" t="str">
        <f t="shared" si="76"/>
        <v/>
      </c>
      <c r="P204" t="str">
        <f t="shared" si="76"/>
        <v/>
      </c>
      <c r="Q204" t="str">
        <f t="shared" si="76"/>
        <v/>
      </c>
      <c r="R204" t="str">
        <f t="shared" si="76"/>
        <v/>
      </c>
      <c r="S204" t="str">
        <f t="shared" si="76"/>
        <v/>
      </c>
      <c r="T204" t="str">
        <f t="shared" si="76"/>
        <v/>
      </c>
      <c r="U204" t="str">
        <f t="shared" si="76"/>
        <v/>
      </c>
      <c r="V204" t="str">
        <f t="shared" si="76"/>
        <v/>
      </c>
      <c r="W204" t="str">
        <f t="shared" si="76"/>
        <v/>
      </c>
      <c r="X204" t="str">
        <f t="shared" si="76"/>
        <v/>
      </c>
      <c r="Y204" t="str">
        <f t="shared" si="76"/>
        <v/>
      </c>
      <c r="Z204" t="str">
        <f t="shared" si="76"/>
        <v/>
      </c>
      <c r="AA204" t="str">
        <f t="shared" si="76"/>
        <v/>
      </c>
      <c r="AB204" t="str">
        <f t="shared" si="76"/>
        <v/>
      </c>
      <c r="AC204" t="str">
        <f t="shared" si="76"/>
        <v/>
      </c>
      <c r="AD204" t="str">
        <f t="shared" si="76"/>
        <v/>
      </c>
      <c r="AE204" t="str">
        <f t="shared" si="76"/>
        <v/>
      </c>
      <c r="AF204" t="str">
        <f t="shared" si="76"/>
        <v/>
      </c>
      <c r="AG204" t="str">
        <f t="shared" si="76"/>
        <v/>
      </c>
      <c r="AH204" t="str">
        <f t="shared" si="76"/>
        <v/>
      </c>
      <c r="AI204" t="str">
        <f t="shared" si="76"/>
        <v/>
      </c>
      <c r="AJ204" t="str">
        <f t="shared" si="76"/>
        <v/>
      </c>
      <c r="AK204" t="str">
        <f t="shared" si="76"/>
        <v/>
      </c>
      <c r="AL204" t="str">
        <f t="shared" si="76"/>
        <v/>
      </c>
      <c r="AM204" t="str">
        <f t="shared" si="76"/>
        <v/>
      </c>
      <c r="AN204" t="str">
        <f t="shared" si="76"/>
        <v/>
      </c>
      <c r="AO204" t="str">
        <f t="shared" si="76"/>
        <v/>
      </c>
      <c r="AP204" t="str">
        <f t="shared" si="76"/>
        <v/>
      </c>
      <c r="AQ204" t="str">
        <f t="shared" si="76"/>
        <v/>
      </c>
      <c r="AR204" t="str">
        <f t="shared" si="76"/>
        <v/>
      </c>
      <c r="AS204" t="str">
        <f t="shared" si="76"/>
        <v/>
      </c>
      <c r="AT204" t="str">
        <f t="shared" si="76"/>
        <v/>
      </c>
      <c r="AU204" t="str">
        <f t="shared" si="76"/>
        <v/>
      </c>
      <c r="AY204" s="255" t="str">
        <f t="shared" si="58"/>
        <v/>
      </c>
    </row>
    <row r="205" spans="1:51" x14ac:dyDescent="0.35">
      <c r="A205" s="286"/>
      <c r="B205" t="str">
        <f t="shared" si="67"/>
        <v/>
      </c>
      <c r="C205" t="str">
        <f t="shared" si="67"/>
        <v/>
      </c>
      <c r="D205" t="str">
        <f t="shared" si="67"/>
        <v/>
      </c>
      <c r="E205" t="str">
        <f t="shared" si="67"/>
        <v/>
      </c>
      <c r="F205" t="str">
        <f t="shared" si="67"/>
        <v/>
      </c>
      <c r="G205" t="str">
        <f t="shared" si="67"/>
        <v/>
      </c>
      <c r="H205" t="str">
        <f t="shared" si="52"/>
        <v/>
      </c>
      <c r="I205" t="str">
        <f t="shared" si="53"/>
        <v/>
      </c>
      <c r="J205" t="str">
        <f t="shared" si="53"/>
        <v/>
      </c>
      <c r="K205" t="str">
        <f t="shared" si="55"/>
        <v/>
      </c>
      <c r="L205" t="str">
        <f t="shared" si="56"/>
        <v/>
      </c>
      <c r="M205" t="str">
        <f t="shared" ref="M205:AU205" si="77">IF($H205="","",M100+L205)</f>
        <v/>
      </c>
      <c r="N205" t="str">
        <f t="shared" si="77"/>
        <v/>
      </c>
      <c r="O205" t="str">
        <f t="shared" si="77"/>
        <v/>
      </c>
      <c r="P205" t="str">
        <f t="shared" si="77"/>
        <v/>
      </c>
      <c r="Q205" t="str">
        <f t="shared" si="77"/>
        <v/>
      </c>
      <c r="R205" t="str">
        <f t="shared" si="77"/>
        <v/>
      </c>
      <c r="S205" t="str">
        <f t="shared" si="77"/>
        <v/>
      </c>
      <c r="T205" t="str">
        <f t="shared" si="77"/>
        <v/>
      </c>
      <c r="U205" t="str">
        <f t="shared" si="77"/>
        <v/>
      </c>
      <c r="V205" t="str">
        <f t="shared" si="77"/>
        <v/>
      </c>
      <c r="W205" t="str">
        <f t="shared" si="77"/>
        <v/>
      </c>
      <c r="X205" t="str">
        <f t="shared" si="77"/>
        <v/>
      </c>
      <c r="Y205" t="str">
        <f t="shared" si="77"/>
        <v/>
      </c>
      <c r="Z205" t="str">
        <f t="shared" si="77"/>
        <v/>
      </c>
      <c r="AA205" t="str">
        <f t="shared" si="77"/>
        <v/>
      </c>
      <c r="AB205" t="str">
        <f t="shared" si="77"/>
        <v/>
      </c>
      <c r="AC205" t="str">
        <f t="shared" si="77"/>
        <v/>
      </c>
      <c r="AD205" t="str">
        <f t="shared" si="77"/>
        <v/>
      </c>
      <c r="AE205" t="str">
        <f t="shared" si="77"/>
        <v/>
      </c>
      <c r="AF205" t="str">
        <f t="shared" si="77"/>
        <v/>
      </c>
      <c r="AG205" t="str">
        <f t="shared" si="77"/>
        <v/>
      </c>
      <c r="AH205" t="str">
        <f t="shared" si="77"/>
        <v/>
      </c>
      <c r="AI205" t="str">
        <f t="shared" si="77"/>
        <v/>
      </c>
      <c r="AJ205" t="str">
        <f t="shared" si="77"/>
        <v/>
      </c>
      <c r="AK205" t="str">
        <f t="shared" si="77"/>
        <v/>
      </c>
      <c r="AL205" t="str">
        <f t="shared" si="77"/>
        <v/>
      </c>
      <c r="AM205" t="str">
        <f t="shared" si="77"/>
        <v/>
      </c>
      <c r="AN205" t="str">
        <f t="shared" si="77"/>
        <v/>
      </c>
      <c r="AO205" t="str">
        <f t="shared" si="77"/>
        <v/>
      </c>
      <c r="AP205" t="str">
        <f t="shared" si="77"/>
        <v/>
      </c>
      <c r="AQ205" t="str">
        <f t="shared" si="77"/>
        <v/>
      </c>
      <c r="AR205" t="str">
        <f t="shared" si="77"/>
        <v/>
      </c>
      <c r="AS205" t="str">
        <f t="shared" si="77"/>
        <v/>
      </c>
      <c r="AT205" t="str">
        <f t="shared" si="77"/>
        <v/>
      </c>
      <c r="AU205" t="str">
        <f t="shared" si="77"/>
        <v/>
      </c>
      <c r="AY205" s="255" t="str">
        <f t="shared" si="58"/>
        <v/>
      </c>
    </row>
    <row r="206" spans="1:51" x14ac:dyDescent="0.35">
      <c r="A206" s="286"/>
      <c r="B206" t="str">
        <f t="shared" ref="B206:G215" si="78">IF($H101="","",IF(B101="",B$5,B101))</f>
        <v/>
      </c>
      <c r="C206" t="str">
        <f t="shared" si="78"/>
        <v/>
      </c>
      <c r="D206" t="str">
        <f t="shared" si="78"/>
        <v/>
      </c>
      <c r="E206" t="str">
        <f t="shared" si="78"/>
        <v/>
      </c>
      <c r="F206" t="str">
        <f t="shared" si="78"/>
        <v/>
      </c>
      <c r="G206" t="str">
        <f t="shared" si="78"/>
        <v/>
      </c>
      <c r="H206" t="str">
        <f t="shared" si="52"/>
        <v/>
      </c>
      <c r="I206" t="str">
        <f t="shared" ref="I206:J225" si="79">IF(OR(I101="",$H101=""),"",I101)</f>
        <v/>
      </c>
      <c r="J206" t="str">
        <f t="shared" si="79"/>
        <v/>
      </c>
      <c r="K206" t="str">
        <f t="shared" si="55"/>
        <v/>
      </c>
      <c r="L206" t="str">
        <f t="shared" si="56"/>
        <v/>
      </c>
      <c r="M206" t="str">
        <f t="shared" ref="M206:AU206" si="80">IF($H206="","",M101+L206)</f>
        <v/>
      </c>
      <c r="N206" t="str">
        <f t="shared" si="80"/>
        <v/>
      </c>
      <c r="O206" t="str">
        <f t="shared" si="80"/>
        <v/>
      </c>
      <c r="P206" t="str">
        <f t="shared" si="80"/>
        <v/>
      </c>
      <c r="Q206" t="str">
        <f t="shared" si="80"/>
        <v/>
      </c>
      <c r="R206" t="str">
        <f t="shared" si="80"/>
        <v/>
      </c>
      <c r="S206" t="str">
        <f t="shared" si="80"/>
        <v/>
      </c>
      <c r="T206" t="str">
        <f t="shared" si="80"/>
        <v/>
      </c>
      <c r="U206" t="str">
        <f t="shared" si="80"/>
        <v/>
      </c>
      <c r="V206" t="str">
        <f t="shared" si="80"/>
        <v/>
      </c>
      <c r="W206" t="str">
        <f t="shared" si="80"/>
        <v/>
      </c>
      <c r="X206" t="str">
        <f t="shared" si="80"/>
        <v/>
      </c>
      <c r="Y206" t="str">
        <f t="shared" si="80"/>
        <v/>
      </c>
      <c r="Z206" t="str">
        <f t="shared" si="80"/>
        <v/>
      </c>
      <c r="AA206" t="str">
        <f t="shared" si="80"/>
        <v/>
      </c>
      <c r="AB206" t="str">
        <f t="shared" si="80"/>
        <v/>
      </c>
      <c r="AC206" t="str">
        <f t="shared" si="80"/>
        <v/>
      </c>
      <c r="AD206" t="str">
        <f t="shared" si="80"/>
        <v/>
      </c>
      <c r="AE206" t="str">
        <f t="shared" si="80"/>
        <v/>
      </c>
      <c r="AF206" t="str">
        <f t="shared" si="80"/>
        <v/>
      </c>
      <c r="AG206" t="str">
        <f t="shared" si="80"/>
        <v/>
      </c>
      <c r="AH206" t="str">
        <f t="shared" si="80"/>
        <v/>
      </c>
      <c r="AI206" t="str">
        <f t="shared" si="80"/>
        <v/>
      </c>
      <c r="AJ206" t="str">
        <f t="shared" si="80"/>
        <v/>
      </c>
      <c r="AK206" t="str">
        <f t="shared" si="80"/>
        <v/>
      </c>
      <c r="AL206" t="str">
        <f t="shared" si="80"/>
        <v/>
      </c>
      <c r="AM206" t="str">
        <f t="shared" si="80"/>
        <v/>
      </c>
      <c r="AN206" t="str">
        <f t="shared" si="80"/>
        <v/>
      </c>
      <c r="AO206" t="str">
        <f t="shared" si="80"/>
        <v/>
      </c>
      <c r="AP206" t="str">
        <f t="shared" si="80"/>
        <v/>
      </c>
      <c r="AQ206" t="str">
        <f t="shared" si="80"/>
        <v/>
      </c>
      <c r="AR206" t="str">
        <f t="shared" si="80"/>
        <v/>
      </c>
      <c r="AS206" t="str">
        <f t="shared" si="80"/>
        <v/>
      </c>
      <c r="AT206" t="str">
        <f t="shared" si="80"/>
        <v/>
      </c>
      <c r="AU206" t="str">
        <f t="shared" si="80"/>
        <v/>
      </c>
      <c r="AY206" s="255" t="str">
        <f t="shared" si="58"/>
        <v/>
      </c>
    </row>
    <row r="207" spans="1:51" x14ac:dyDescent="0.35">
      <c r="A207" s="286"/>
      <c r="B207" t="str">
        <f t="shared" si="78"/>
        <v/>
      </c>
      <c r="C207" t="str">
        <f t="shared" si="78"/>
        <v/>
      </c>
      <c r="D207" t="str">
        <f t="shared" si="78"/>
        <v/>
      </c>
      <c r="E207" t="str">
        <f t="shared" si="78"/>
        <v/>
      </c>
      <c r="F207" t="str">
        <f t="shared" si="78"/>
        <v/>
      </c>
      <c r="G207" t="str">
        <f t="shared" si="78"/>
        <v/>
      </c>
      <c r="H207" t="str">
        <f t="shared" si="52"/>
        <v/>
      </c>
      <c r="I207" t="str">
        <f t="shared" si="79"/>
        <v/>
      </c>
      <c r="J207" t="str">
        <f t="shared" si="79"/>
        <v/>
      </c>
      <c r="K207" t="str">
        <f t="shared" si="55"/>
        <v/>
      </c>
      <c r="L207" t="str">
        <f t="shared" si="56"/>
        <v/>
      </c>
      <c r="M207" t="str">
        <f t="shared" ref="M207:AU207" si="81">IF($H207="","",M102+L207)</f>
        <v/>
      </c>
      <c r="N207" t="str">
        <f t="shared" si="81"/>
        <v/>
      </c>
      <c r="O207" t="str">
        <f t="shared" si="81"/>
        <v/>
      </c>
      <c r="P207" t="str">
        <f t="shared" si="81"/>
        <v/>
      </c>
      <c r="Q207" t="str">
        <f t="shared" si="81"/>
        <v/>
      </c>
      <c r="R207" t="str">
        <f t="shared" si="81"/>
        <v/>
      </c>
      <c r="S207" t="str">
        <f t="shared" si="81"/>
        <v/>
      </c>
      <c r="T207" t="str">
        <f t="shared" si="81"/>
        <v/>
      </c>
      <c r="U207" t="str">
        <f t="shared" si="81"/>
        <v/>
      </c>
      <c r="V207" t="str">
        <f t="shared" si="81"/>
        <v/>
      </c>
      <c r="W207" t="str">
        <f t="shared" si="81"/>
        <v/>
      </c>
      <c r="X207" t="str">
        <f t="shared" si="81"/>
        <v/>
      </c>
      <c r="Y207" t="str">
        <f t="shared" si="81"/>
        <v/>
      </c>
      <c r="Z207" t="str">
        <f t="shared" si="81"/>
        <v/>
      </c>
      <c r="AA207" t="str">
        <f t="shared" si="81"/>
        <v/>
      </c>
      <c r="AB207" t="str">
        <f t="shared" si="81"/>
        <v/>
      </c>
      <c r="AC207" t="str">
        <f t="shared" si="81"/>
        <v/>
      </c>
      <c r="AD207" t="str">
        <f t="shared" si="81"/>
        <v/>
      </c>
      <c r="AE207" t="str">
        <f t="shared" si="81"/>
        <v/>
      </c>
      <c r="AF207" t="str">
        <f t="shared" si="81"/>
        <v/>
      </c>
      <c r="AG207" t="str">
        <f t="shared" si="81"/>
        <v/>
      </c>
      <c r="AH207" t="str">
        <f t="shared" si="81"/>
        <v/>
      </c>
      <c r="AI207" t="str">
        <f t="shared" si="81"/>
        <v/>
      </c>
      <c r="AJ207" t="str">
        <f t="shared" si="81"/>
        <v/>
      </c>
      <c r="AK207" t="str">
        <f t="shared" si="81"/>
        <v/>
      </c>
      <c r="AL207" t="str">
        <f t="shared" si="81"/>
        <v/>
      </c>
      <c r="AM207" t="str">
        <f t="shared" si="81"/>
        <v/>
      </c>
      <c r="AN207" t="str">
        <f t="shared" si="81"/>
        <v/>
      </c>
      <c r="AO207" t="str">
        <f t="shared" si="81"/>
        <v/>
      </c>
      <c r="AP207" t="str">
        <f t="shared" si="81"/>
        <v/>
      </c>
      <c r="AQ207" t="str">
        <f t="shared" si="81"/>
        <v/>
      </c>
      <c r="AR207" t="str">
        <f t="shared" si="81"/>
        <v/>
      </c>
      <c r="AS207" t="str">
        <f t="shared" si="81"/>
        <v/>
      </c>
      <c r="AT207" t="str">
        <f t="shared" si="81"/>
        <v/>
      </c>
      <c r="AU207" t="str">
        <f t="shared" si="81"/>
        <v/>
      </c>
      <c r="AY207" s="255" t="str">
        <f t="shared" si="58"/>
        <v/>
      </c>
    </row>
    <row r="208" spans="1:51" x14ac:dyDescent="0.35">
      <c r="A208" s="286"/>
      <c r="B208" t="str">
        <f t="shared" si="78"/>
        <v/>
      </c>
      <c r="C208" t="str">
        <f t="shared" si="78"/>
        <v/>
      </c>
      <c r="D208" t="str">
        <f t="shared" si="78"/>
        <v/>
      </c>
      <c r="E208" t="str">
        <f t="shared" si="78"/>
        <v/>
      </c>
      <c r="F208" t="str">
        <f t="shared" si="78"/>
        <v/>
      </c>
      <c r="G208" t="str">
        <f t="shared" si="78"/>
        <v/>
      </c>
      <c r="H208" t="str">
        <f t="shared" si="52"/>
        <v/>
      </c>
      <c r="I208" t="str">
        <f t="shared" si="79"/>
        <v/>
      </c>
      <c r="J208" t="str">
        <f t="shared" si="79"/>
        <v/>
      </c>
      <c r="K208" t="str">
        <f t="shared" si="55"/>
        <v/>
      </c>
      <c r="L208" t="str">
        <f t="shared" si="56"/>
        <v/>
      </c>
      <c r="M208" t="str">
        <f t="shared" ref="M208:AU208" si="82">IF($H208="","",M103+L208)</f>
        <v/>
      </c>
      <c r="N208" t="str">
        <f t="shared" si="82"/>
        <v/>
      </c>
      <c r="O208" t="str">
        <f t="shared" si="82"/>
        <v/>
      </c>
      <c r="P208" t="str">
        <f t="shared" si="82"/>
        <v/>
      </c>
      <c r="Q208" t="str">
        <f t="shared" si="82"/>
        <v/>
      </c>
      <c r="R208" t="str">
        <f t="shared" si="82"/>
        <v/>
      </c>
      <c r="S208" t="str">
        <f t="shared" si="82"/>
        <v/>
      </c>
      <c r="T208" t="str">
        <f t="shared" si="82"/>
        <v/>
      </c>
      <c r="U208" t="str">
        <f t="shared" si="82"/>
        <v/>
      </c>
      <c r="V208" t="str">
        <f t="shared" si="82"/>
        <v/>
      </c>
      <c r="W208" t="str">
        <f t="shared" si="82"/>
        <v/>
      </c>
      <c r="X208" t="str">
        <f t="shared" si="82"/>
        <v/>
      </c>
      <c r="Y208" t="str">
        <f t="shared" si="82"/>
        <v/>
      </c>
      <c r="Z208" t="str">
        <f t="shared" si="82"/>
        <v/>
      </c>
      <c r="AA208" t="str">
        <f t="shared" si="82"/>
        <v/>
      </c>
      <c r="AB208" t="str">
        <f t="shared" si="82"/>
        <v/>
      </c>
      <c r="AC208" t="str">
        <f t="shared" si="82"/>
        <v/>
      </c>
      <c r="AD208" t="str">
        <f t="shared" si="82"/>
        <v/>
      </c>
      <c r="AE208" t="str">
        <f t="shared" si="82"/>
        <v/>
      </c>
      <c r="AF208" t="str">
        <f t="shared" si="82"/>
        <v/>
      </c>
      <c r="AG208" t="str">
        <f t="shared" si="82"/>
        <v/>
      </c>
      <c r="AH208" t="str">
        <f t="shared" si="82"/>
        <v/>
      </c>
      <c r="AI208" t="str">
        <f t="shared" si="82"/>
        <v/>
      </c>
      <c r="AJ208" t="str">
        <f t="shared" si="82"/>
        <v/>
      </c>
      <c r="AK208" t="str">
        <f t="shared" si="82"/>
        <v/>
      </c>
      <c r="AL208" t="str">
        <f t="shared" si="82"/>
        <v/>
      </c>
      <c r="AM208" t="str">
        <f t="shared" si="82"/>
        <v/>
      </c>
      <c r="AN208" t="str">
        <f t="shared" si="82"/>
        <v/>
      </c>
      <c r="AO208" t="str">
        <f t="shared" si="82"/>
        <v/>
      </c>
      <c r="AP208" t="str">
        <f t="shared" si="82"/>
        <v/>
      </c>
      <c r="AQ208" t="str">
        <f t="shared" si="82"/>
        <v/>
      </c>
      <c r="AR208" t="str">
        <f t="shared" si="82"/>
        <v/>
      </c>
      <c r="AS208" t="str">
        <f t="shared" si="82"/>
        <v/>
      </c>
      <c r="AT208" t="str">
        <f t="shared" si="82"/>
        <v/>
      </c>
      <c r="AU208" t="str">
        <f t="shared" si="82"/>
        <v/>
      </c>
      <c r="AY208" s="255" t="str">
        <f t="shared" si="58"/>
        <v/>
      </c>
    </row>
    <row r="209" spans="1:51" x14ac:dyDescent="0.35">
      <c r="A209" s="286"/>
      <c r="B209" t="str">
        <f t="shared" si="78"/>
        <v/>
      </c>
      <c r="C209" t="str">
        <f t="shared" si="78"/>
        <v/>
      </c>
      <c r="D209" t="str">
        <f t="shared" si="78"/>
        <v/>
      </c>
      <c r="E209" t="str">
        <f t="shared" si="78"/>
        <v/>
      </c>
      <c r="F209" t="str">
        <f t="shared" si="78"/>
        <v/>
      </c>
      <c r="G209" t="str">
        <f t="shared" si="78"/>
        <v/>
      </c>
      <c r="H209" t="str">
        <f t="shared" si="52"/>
        <v/>
      </c>
      <c r="I209" t="str">
        <f t="shared" si="79"/>
        <v/>
      </c>
      <c r="J209" t="str">
        <f t="shared" si="79"/>
        <v/>
      </c>
      <c r="K209" t="str">
        <f t="shared" si="55"/>
        <v/>
      </c>
      <c r="L209" t="str">
        <f t="shared" si="56"/>
        <v/>
      </c>
      <c r="M209" t="str">
        <f t="shared" ref="M209:AU209" si="83">IF($H209="","",M104+L209)</f>
        <v/>
      </c>
      <c r="N209" t="str">
        <f t="shared" si="83"/>
        <v/>
      </c>
      <c r="O209" t="str">
        <f t="shared" si="83"/>
        <v/>
      </c>
      <c r="P209" t="str">
        <f t="shared" si="83"/>
        <v/>
      </c>
      <c r="Q209" t="str">
        <f t="shared" si="83"/>
        <v/>
      </c>
      <c r="R209" t="str">
        <f t="shared" si="83"/>
        <v/>
      </c>
      <c r="S209" t="str">
        <f t="shared" si="83"/>
        <v/>
      </c>
      <c r="T209" t="str">
        <f t="shared" si="83"/>
        <v/>
      </c>
      <c r="U209" t="str">
        <f t="shared" si="83"/>
        <v/>
      </c>
      <c r="V209" t="str">
        <f t="shared" si="83"/>
        <v/>
      </c>
      <c r="W209" t="str">
        <f t="shared" si="83"/>
        <v/>
      </c>
      <c r="X209" t="str">
        <f t="shared" si="83"/>
        <v/>
      </c>
      <c r="Y209" t="str">
        <f t="shared" si="83"/>
        <v/>
      </c>
      <c r="Z209" t="str">
        <f t="shared" si="83"/>
        <v/>
      </c>
      <c r="AA209" t="str">
        <f t="shared" si="83"/>
        <v/>
      </c>
      <c r="AB209" t="str">
        <f t="shared" si="83"/>
        <v/>
      </c>
      <c r="AC209" t="str">
        <f t="shared" si="83"/>
        <v/>
      </c>
      <c r="AD209" t="str">
        <f t="shared" si="83"/>
        <v/>
      </c>
      <c r="AE209" t="str">
        <f t="shared" si="83"/>
        <v/>
      </c>
      <c r="AF209" t="str">
        <f t="shared" si="83"/>
        <v/>
      </c>
      <c r="AG209" t="str">
        <f t="shared" si="83"/>
        <v/>
      </c>
      <c r="AH209" t="str">
        <f t="shared" si="83"/>
        <v/>
      </c>
      <c r="AI209" t="str">
        <f t="shared" si="83"/>
        <v/>
      </c>
      <c r="AJ209" t="str">
        <f t="shared" si="83"/>
        <v/>
      </c>
      <c r="AK209" t="str">
        <f t="shared" si="83"/>
        <v/>
      </c>
      <c r="AL209" t="str">
        <f t="shared" si="83"/>
        <v/>
      </c>
      <c r="AM209" t="str">
        <f t="shared" si="83"/>
        <v/>
      </c>
      <c r="AN209" t="str">
        <f t="shared" si="83"/>
        <v/>
      </c>
      <c r="AO209" t="str">
        <f t="shared" si="83"/>
        <v/>
      </c>
      <c r="AP209" t="str">
        <f t="shared" si="83"/>
        <v/>
      </c>
      <c r="AQ209" t="str">
        <f t="shared" si="83"/>
        <v/>
      </c>
      <c r="AR209" t="str">
        <f t="shared" si="83"/>
        <v/>
      </c>
      <c r="AS209" t="str">
        <f t="shared" si="83"/>
        <v/>
      </c>
      <c r="AT209" t="str">
        <f t="shared" si="83"/>
        <v/>
      </c>
      <c r="AU209" t="str">
        <f t="shared" si="83"/>
        <v/>
      </c>
      <c r="AY209" s="255" t="str">
        <f t="shared" si="58"/>
        <v/>
      </c>
    </row>
    <row r="210" spans="1:51" x14ac:dyDescent="0.35">
      <c r="A210" s="286"/>
      <c r="B210" t="str">
        <f t="shared" si="78"/>
        <v/>
      </c>
      <c r="C210" t="str">
        <f t="shared" si="78"/>
        <v/>
      </c>
      <c r="D210" t="str">
        <f t="shared" si="78"/>
        <v/>
      </c>
      <c r="E210" t="str">
        <f t="shared" si="78"/>
        <v/>
      </c>
      <c r="F210" t="str">
        <f t="shared" si="78"/>
        <v/>
      </c>
      <c r="G210" t="str">
        <f t="shared" si="78"/>
        <v/>
      </c>
      <c r="H210" t="str">
        <f t="shared" si="52"/>
        <v/>
      </c>
      <c r="I210" t="str">
        <f t="shared" si="79"/>
        <v/>
      </c>
      <c r="J210" t="str">
        <f t="shared" si="79"/>
        <v/>
      </c>
      <c r="K210" t="str">
        <f t="shared" si="55"/>
        <v/>
      </c>
      <c r="L210" t="str">
        <f t="shared" si="56"/>
        <v/>
      </c>
      <c r="M210" t="str">
        <f t="shared" ref="M210:AU210" si="84">IF($H210="","",M105+L210)</f>
        <v/>
      </c>
      <c r="N210" t="str">
        <f t="shared" si="84"/>
        <v/>
      </c>
      <c r="O210" t="str">
        <f t="shared" si="84"/>
        <v/>
      </c>
      <c r="P210" t="str">
        <f t="shared" si="84"/>
        <v/>
      </c>
      <c r="Q210" t="str">
        <f t="shared" si="84"/>
        <v/>
      </c>
      <c r="R210" t="str">
        <f t="shared" si="84"/>
        <v/>
      </c>
      <c r="S210" t="str">
        <f t="shared" si="84"/>
        <v/>
      </c>
      <c r="T210" t="str">
        <f t="shared" si="84"/>
        <v/>
      </c>
      <c r="U210" t="str">
        <f t="shared" si="84"/>
        <v/>
      </c>
      <c r="V210" t="str">
        <f t="shared" si="84"/>
        <v/>
      </c>
      <c r="W210" t="str">
        <f t="shared" si="84"/>
        <v/>
      </c>
      <c r="X210" t="str">
        <f t="shared" si="84"/>
        <v/>
      </c>
      <c r="Y210" t="str">
        <f t="shared" si="84"/>
        <v/>
      </c>
      <c r="Z210" t="str">
        <f t="shared" si="84"/>
        <v/>
      </c>
      <c r="AA210" t="str">
        <f t="shared" si="84"/>
        <v/>
      </c>
      <c r="AB210" t="str">
        <f t="shared" si="84"/>
        <v/>
      </c>
      <c r="AC210" t="str">
        <f t="shared" si="84"/>
        <v/>
      </c>
      <c r="AD210" t="str">
        <f t="shared" si="84"/>
        <v/>
      </c>
      <c r="AE210" t="str">
        <f t="shared" si="84"/>
        <v/>
      </c>
      <c r="AF210" t="str">
        <f t="shared" si="84"/>
        <v/>
      </c>
      <c r="AG210" t="str">
        <f t="shared" si="84"/>
        <v/>
      </c>
      <c r="AH210" t="str">
        <f t="shared" si="84"/>
        <v/>
      </c>
      <c r="AI210" t="str">
        <f t="shared" si="84"/>
        <v/>
      </c>
      <c r="AJ210" t="str">
        <f t="shared" si="84"/>
        <v/>
      </c>
      <c r="AK210" t="str">
        <f t="shared" si="84"/>
        <v/>
      </c>
      <c r="AL210" t="str">
        <f t="shared" si="84"/>
        <v/>
      </c>
      <c r="AM210" t="str">
        <f t="shared" si="84"/>
        <v/>
      </c>
      <c r="AN210" t="str">
        <f t="shared" si="84"/>
        <v/>
      </c>
      <c r="AO210" t="str">
        <f t="shared" si="84"/>
        <v/>
      </c>
      <c r="AP210" t="str">
        <f t="shared" si="84"/>
        <v/>
      </c>
      <c r="AQ210" t="str">
        <f t="shared" si="84"/>
        <v/>
      </c>
      <c r="AR210" t="str">
        <f t="shared" si="84"/>
        <v/>
      </c>
      <c r="AS210" t="str">
        <f t="shared" si="84"/>
        <v/>
      </c>
      <c r="AT210" t="str">
        <f t="shared" si="84"/>
        <v/>
      </c>
      <c r="AU210" t="str">
        <f t="shared" si="84"/>
        <v/>
      </c>
      <c r="AY210" s="255" t="str">
        <f t="shared" si="58"/>
        <v/>
      </c>
    </row>
    <row r="211" spans="1:51" x14ac:dyDescent="0.35">
      <c r="A211" s="286"/>
      <c r="B211" t="str">
        <f t="shared" si="78"/>
        <v/>
      </c>
      <c r="C211" t="str">
        <f t="shared" si="78"/>
        <v/>
      </c>
      <c r="D211" t="str">
        <f t="shared" si="78"/>
        <v/>
      </c>
      <c r="E211" t="str">
        <f t="shared" si="78"/>
        <v/>
      </c>
      <c r="F211" t="str">
        <f t="shared" si="78"/>
        <v/>
      </c>
      <c r="G211" t="str">
        <f t="shared" si="78"/>
        <v/>
      </c>
      <c r="H211" t="str">
        <f t="shared" si="52"/>
        <v/>
      </c>
      <c r="I211" t="str">
        <f t="shared" si="79"/>
        <v/>
      </c>
      <c r="J211" t="str">
        <f t="shared" si="79"/>
        <v/>
      </c>
      <c r="K211" t="str">
        <f t="shared" si="55"/>
        <v/>
      </c>
      <c r="L211" t="str">
        <f t="shared" si="56"/>
        <v/>
      </c>
      <c r="M211" t="str">
        <f t="shared" ref="M211:AU211" si="85">IF($H211="","",M106+L211)</f>
        <v/>
      </c>
      <c r="N211" t="str">
        <f t="shared" si="85"/>
        <v/>
      </c>
      <c r="O211" t="str">
        <f t="shared" si="85"/>
        <v/>
      </c>
      <c r="P211" t="str">
        <f t="shared" si="85"/>
        <v/>
      </c>
      <c r="Q211" t="str">
        <f t="shared" si="85"/>
        <v/>
      </c>
      <c r="R211" t="str">
        <f t="shared" si="85"/>
        <v/>
      </c>
      <c r="S211" t="str">
        <f t="shared" si="85"/>
        <v/>
      </c>
      <c r="T211" t="str">
        <f t="shared" si="85"/>
        <v/>
      </c>
      <c r="U211" t="str">
        <f t="shared" si="85"/>
        <v/>
      </c>
      <c r="V211" t="str">
        <f t="shared" si="85"/>
        <v/>
      </c>
      <c r="W211" t="str">
        <f t="shared" si="85"/>
        <v/>
      </c>
      <c r="X211" t="str">
        <f t="shared" si="85"/>
        <v/>
      </c>
      <c r="Y211" t="str">
        <f t="shared" si="85"/>
        <v/>
      </c>
      <c r="Z211" t="str">
        <f t="shared" si="85"/>
        <v/>
      </c>
      <c r="AA211" t="str">
        <f t="shared" si="85"/>
        <v/>
      </c>
      <c r="AB211" t="str">
        <f t="shared" si="85"/>
        <v/>
      </c>
      <c r="AC211" t="str">
        <f t="shared" si="85"/>
        <v/>
      </c>
      <c r="AD211" t="str">
        <f t="shared" si="85"/>
        <v/>
      </c>
      <c r="AE211" t="str">
        <f t="shared" si="85"/>
        <v/>
      </c>
      <c r="AF211" t="str">
        <f t="shared" si="85"/>
        <v/>
      </c>
      <c r="AG211" t="str">
        <f t="shared" si="85"/>
        <v/>
      </c>
      <c r="AH211" t="str">
        <f t="shared" si="85"/>
        <v/>
      </c>
      <c r="AI211" t="str">
        <f t="shared" si="85"/>
        <v/>
      </c>
      <c r="AJ211" t="str">
        <f t="shared" si="85"/>
        <v/>
      </c>
      <c r="AK211" t="str">
        <f t="shared" si="85"/>
        <v/>
      </c>
      <c r="AL211" t="str">
        <f t="shared" si="85"/>
        <v/>
      </c>
      <c r="AM211" t="str">
        <f t="shared" si="85"/>
        <v/>
      </c>
      <c r="AN211" t="str">
        <f t="shared" si="85"/>
        <v/>
      </c>
      <c r="AO211" t="str">
        <f t="shared" si="85"/>
        <v/>
      </c>
      <c r="AP211" t="str">
        <f t="shared" si="85"/>
        <v/>
      </c>
      <c r="AQ211" t="str">
        <f t="shared" si="85"/>
        <v/>
      </c>
      <c r="AR211" t="str">
        <f t="shared" si="85"/>
        <v/>
      </c>
      <c r="AS211" t="str">
        <f t="shared" si="85"/>
        <v/>
      </c>
      <c r="AT211" t="str">
        <f t="shared" si="85"/>
        <v/>
      </c>
      <c r="AU211" t="str">
        <f t="shared" si="85"/>
        <v/>
      </c>
      <c r="AY211" s="255" t="str">
        <f t="shared" si="58"/>
        <v/>
      </c>
    </row>
    <row r="212" spans="1:51" x14ac:dyDescent="0.35">
      <c r="A212" s="286"/>
      <c r="B212" t="str">
        <f t="shared" si="78"/>
        <v/>
      </c>
      <c r="C212" t="str">
        <f t="shared" si="78"/>
        <v/>
      </c>
      <c r="D212" t="str">
        <f t="shared" si="78"/>
        <v/>
      </c>
      <c r="E212" t="str">
        <f t="shared" si="78"/>
        <v/>
      </c>
      <c r="F212" t="str">
        <f t="shared" si="78"/>
        <v/>
      </c>
      <c r="G212" t="str">
        <f t="shared" si="78"/>
        <v/>
      </c>
      <c r="H212" t="str">
        <f t="shared" si="52"/>
        <v/>
      </c>
      <c r="I212" t="str">
        <f t="shared" si="79"/>
        <v/>
      </c>
      <c r="J212" t="str">
        <f t="shared" si="79"/>
        <v/>
      </c>
      <c r="K212" t="str">
        <f t="shared" si="55"/>
        <v/>
      </c>
      <c r="L212" t="str">
        <f t="shared" si="56"/>
        <v/>
      </c>
      <c r="M212" t="str">
        <f t="shared" ref="M212:AU212" si="86">IF($H212="","",M107+L212)</f>
        <v/>
      </c>
      <c r="N212" t="str">
        <f t="shared" si="86"/>
        <v/>
      </c>
      <c r="O212" t="str">
        <f t="shared" si="86"/>
        <v/>
      </c>
      <c r="P212" t="str">
        <f t="shared" si="86"/>
        <v/>
      </c>
      <c r="Q212" t="str">
        <f t="shared" si="86"/>
        <v/>
      </c>
      <c r="R212" t="str">
        <f t="shared" si="86"/>
        <v/>
      </c>
      <c r="S212" t="str">
        <f t="shared" si="86"/>
        <v/>
      </c>
      <c r="T212" t="str">
        <f t="shared" si="86"/>
        <v/>
      </c>
      <c r="U212" t="str">
        <f t="shared" si="86"/>
        <v/>
      </c>
      <c r="V212" t="str">
        <f t="shared" si="86"/>
        <v/>
      </c>
      <c r="W212" t="str">
        <f t="shared" si="86"/>
        <v/>
      </c>
      <c r="X212" t="str">
        <f t="shared" si="86"/>
        <v/>
      </c>
      <c r="Y212" t="str">
        <f t="shared" si="86"/>
        <v/>
      </c>
      <c r="Z212" t="str">
        <f t="shared" si="86"/>
        <v/>
      </c>
      <c r="AA212" t="str">
        <f t="shared" si="86"/>
        <v/>
      </c>
      <c r="AB212" t="str">
        <f t="shared" si="86"/>
        <v/>
      </c>
      <c r="AC212" t="str">
        <f t="shared" si="86"/>
        <v/>
      </c>
      <c r="AD212" t="str">
        <f t="shared" si="86"/>
        <v/>
      </c>
      <c r="AE212" t="str">
        <f t="shared" si="86"/>
        <v/>
      </c>
      <c r="AF212" t="str">
        <f t="shared" si="86"/>
        <v/>
      </c>
      <c r="AG212" t="str">
        <f t="shared" si="86"/>
        <v/>
      </c>
      <c r="AH212" t="str">
        <f t="shared" si="86"/>
        <v/>
      </c>
      <c r="AI212" t="str">
        <f t="shared" si="86"/>
        <v/>
      </c>
      <c r="AJ212" t="str">
        <f t="shared" si="86"/>
        <v/>
      </c>
      <c r="AK212" t="str">
        <f t="shared" si="86"/>
        <v/>
      </c>
      <c r="AL212" t="str">
        <f t="shared" si="86"/>
        <v/>
      </c>
      <c r="AM212" t="str">
        <f t="shared" si="86"/>
        <v/>
      </c>
      <c r="AN212" t="str">
        <f t="shared" si="86"/>
        <v/>
      </c>
      <c r="AO212" t="str">
        <f t="shared" si="86"/>
        <v/>
      </c>
      <c r="AP212" t="str">
        <f t="shared" si="86"/>
        <v/>
      </c>
      <c r="AQ212" t="str">
        <f t="shared" si="86"/>
        <v/>
      </c>
      <c r="AR212" t="str">
        <f t="shared" si="86"/>
        <v/>
      </c>
      <c r="AS212" t="str">
        <f t="shared" si="86"/>
        <v/>
      </c>
      <c r="AT212" t="str">
        <f t="shared" si="86"/>
        <v/>
      </c>
      <c r="AU212" t="str">
        <f t="shared" si="86"/>
        <v/>
      </c>
      <c r="AY212" s="255" t="str">
        <f t="shared" si="58"/>
        <v/>
      </c>
    </row>
    <row r="213" spans="1:51" x14ac:dyDescent="0.35">
      <c r="A213" s="286"/>
      <c r="B213" t="str">
        <f t="shared" si="78"/>
        <v/>
      </c>
      <c r="C213" t="str">
        <f t="shared" si="78"/>
        <v/>
      </c>
      <c r="D213" t="str">
        <f t="shared" si="78"/>
        <v/>
      </c>
      <c r="E213" t="str">
        <f t="shared" si="78"/>
        <v/>
      </c>
      <c r="F213" t="str">
        <f t="shared" si="78"/>
        <v/>
      </c>
      <c r="G213" t="str">
        <f t="shared" si="78"/>
        <v/>
      </c>
      <c r="H213" t="str">
        <f t="shared" si="52"/>
        <v/>
      </c>
      <c r="I213" t="str">
        <f t="shared" si="79"/>
        <v/>
      </c>
      <c r="J213" t="str">
        <f t="shared" si="79"/>
        <v/>
      </c>
      <c r="K213" t="str">
        <f t="shared" si="55"/>
        <v/>
      </c>
      <c r="L213" t="str">
        <f t="shared" si="56"/>
        <v/>
      </c>
      <c r="M213" t="str">
        <f t="shared" ref="M213:AU213" si="87">IF($H213="","",M108+L213)</f>
        <v/>
      </c>
      <c r="N213" t="str">
        <f t="shared" si="87"/>
        <v/>
      </c>
      <c r="O213" t="str">
        <f t="shared" si="87"/>
        <v/>
      </c>
      <c r="P213" t="str">
        <f t="shared" si="87"/>
        <v/>
      </c>
      <c r="Q213" t="str">
        <f t="shared" si="87"/>
        <v/>
      </c>
      <c r="R213" t="str">
        <f t="shared" si="87"/>
        <v/>
      </c>
      <c r="S213" t="str">
        <f t="shared" si="87"/>
        <v/>
      </c>
      <c r="T213" t="str">
        <f t="shared" si="87"/>
        <v/>
      </c>
      <c r="U213" t="str">
        <f t="shared" si="87"/>
        <v/>
      </c>
      <c r="V213" t="str">
        <f t="shared" si="87"/>
        <v/>
      </c>
      <c r="W213" t="str">
        <f t="shared" si="87"/>
        <v/>
      </c>
      <c r="X213" t="str">
        <f t="shared" si="87"/>
        <v/>
      </c>
      <c r="Y213" t="str">
        <f t="shared" si="87"/>
        <v/>
      </c>
      <c r="Z213" t="str">
        <f t="shared" si="87"/>
        <v/>
      </c>
      <c r="AA213" t="str">
        <f t="shared" si="87"/>
        <v/>
      </c>
      <c r="AB213" t="str">
        <f t="shared" si="87"/>
        <v/>
      </c>
      <c r="AC213" t="str">
        <f t="shared" si="87"/>
        <v/>
      </c>
      <c r="AD213" t="str">
        <f t="shared" si="87"/>
        <v/>
      </c>
      <c r="AE213" t="str">
        <f t="shared" si="87"/>
        <v/>
      </c>
      <c r="AF213" t="str">
        <f t="shared" si="87"/>
        <v/>
      </c>
      <c r="AG213" t="str">
        <f t="shared" si="87"/>
        <v/>
      </c>
      <c r="AH213" t="str">
        <f t="shared" si="87"/>
        <v/>
      </c>
      <c r="AI213" t="str">
        <f t="shared" si="87"/>
        <v/>
      </c>
      <c r="AJ213" t="str">
        <f t="shared" si="87"/>
        <v/>
      </c>
      <c r="AK213" t="str">
        <f t="shared" si="87"/>
        <v/>
      </c>
      <c r="AL213" t="str">
        <f t="shared" si="87"/>
        <v/>
      </c>
      <c r="AM213" t="str">
        <f t="shared" si="87"/>
        <v/>
      </c>
      <c r="AN213" t="str">
        <f t="shared" si="87"/>
        <v/>
      </c>
      <c r="AO213" t="str">
        <f t="shared" si="87"/>
        <v/>
      </c>
      <c r="AP213" t="str">
        <f t="shared" si="87"/>
        <v/>
      </c>
      <c r="AQ213" t="str">
        <f t="shared" si="87"/>
        <v/>
      </c>
      <c r="AR213" t="str">
        <f t="shared" si="87"/>
        <v/>
      </c>
      <c r="AS213" t="str">
        <f t="shared" si="87"/>
        <v/>
      </c>
      <c r="AT213" t="str">
        <f t="shared" si="87"/>
        <v/>
      </c>
      <c r="AU213" t="str">
        <f t="shared" si="87"/>
        <v/>
      </c>
      <c r="AY213" s="255" t="str">
        <f t="shared" si="58"/>
        <v/>
      </c>
    </row>
    <row r="214" spans="1:51" x14ac:dyDescent="0.35">
      <c r="A214" s="286"/>
      <c r="B214" t="str">
        <f t="shared" si="78"/>
        <v/>
      </c>
      <c r="C214" t="str">
        <f t="shared" si="78"/>
        <v/>
      </c>
      <c r="D214" t="str">
        <f t="shared" si="78"/>
        <v/>
      </c>
      <c r="E214" t="str">
        <f t="shared" si="78"/>
        <v/>
      </c>
      <c r="F214" t="str">
        <f t="shared" si="78"/>
        <v/>
      </c>
      <c r="G214" t="str">
        <f t="shared" si="78"/>
        <v/>
      </c>
      <c r="H214" t="str">
        <f t="shared" si="52"/>
        <v/>
      </c>
      <c r="I214" t="str">
        <f t="shared" si="79"/>
        <v/>
      </c>
      <c r="J214" t="str">
        <f t="shared" si="79"/>
        <v/>
      </c>
      <c r="K214" t="str">
        <f t="shared" si="55"/>
        <v/>
      </c>
      <c r="L214" t="str">
        <f t="shared" si="56"/>
        <v/>
      </c>
      <c r="M214" t="str">
        <f t="shared" ref="M214:AU214" si="88">IF($H214="","",M109+L214)</f>
        <v/>
      </c>
      <c r="N214" t="str">
        <f t="shared" si="88"/>
        <v/>
      </c>
      <c r="O214" t="str">
        <f t="shared" si="88"/>
        <v/>
      </c>
      <c r="P214" t="str">
        <f t="shared" si="88"/>
        <v/>
      </c>
      <c r="Q214" t="str">
        <f t="shared" si="88"/>
        <v/>
      </c>
      <c r="R214" t="str">
        <f t="shared" si="88"/>
        <v/>
      </c>
      <c r="S214" t="str">
        <f t="shared" si="88"/>
        <v/>
      </c>
      <c r="T214" t="str">
        <f t="shared" si="88"/>
        <v/>
      </c>
      <c r="U214" t="str">
        <f t="shared" si="88"/>
        <v/>
      </c>
      <c r="V214" t="str">
        <f t="shared" si="88"/>
        <v/>
      </c>
      <c r="W214" t="str">
        <f t="shared" si="88"/>
        <v/>
      </c>
      <c r="X214" t="str">
        <f t="shared" si="88"/>
        <v/>
      </c>
      <c r="Y214" t="str">
        <f t="shared" si="88"/>
        <v/>
      </c>
      <c r="Z214" t="str">
        <f t="shared" si="88"/>
        <v/>
      </c>
      <c r="AA214" t="str">
        <f t="shared" si="88"/>
        <v/>
      </c>
      <c r="AB214" t="str">
        <f t="shared" si="88"/>
        <v/>
      </c>
      <c r="AC214" t="str">
        <f t="shared" si="88"/>
        <v/>
      </c>
      <c r="AD214" t="str">
        <f t="shared" si="88"/>
        <v/>
      </c>
      <c r="AE214" t="str">
        <f t="shared" si="88"/>
        <v/>
      </c>
      <c r="AF214" t="str">
        <f t="shared" si="88"/>
        <v/>
      </c>
      <c r="AG214" t="str">
        <f t="shared" si="88"/>
        <v/>
      </c>
      <c r="AH214" t="str">
        <f t="shared" si="88"/>
        <v/>
      </c>
      <c r="AI214" t="str">
        <f t="shared" si="88"/>
        <v/>
      </c>
      <c r="AJ214" t="str">
        <f t="shared" si="88"/>
        <v/>
      </c>
      <c r="AK214" t="str">
        <f t="shared" si="88"/>
        <v/>
      </c>
      <c r="AL214" t="str">
        <f t="shared" si="88"/>
        <v/>
      </c>
      <c r="AM214" t="str">
        <f t="shared" si="88"/>
        <v/>
      </c>
      <c r="AN214" t="str">
        <f t="shared" si="88"/>
        <v/>
      </c>
      <c r="AO214" t="str">
        <f t="shared" si="88"/>
        <v/>
      </c>
      <c r="AP214" t="str">
        <f t="shared" si="88"/>
        <v/>
      </c>
      <c r="AQ214" t="str">
        <f t="shared" si="88"/>
        <v/>
      </c>
      <c r="AR214" t="str">
        <f t="shared" si="88"/>
        <v/>
      </c>
      <c r="AS214" t="str">
        <f t="shared" si="88"/>
        <v/>
      </c>
      <c r="AT214" t="str">
        <f t="shared" si="88"/>
        <v/>
      </c>
      <c r="AU214" t="str">
        <f t="shared" si="88"/>
        <v/>
      </c>
      <c r="AY214" s="255" t="str">
        <f t="shared" si="58"/>
        <v/>
      </c>
    </row>
    <row r="215" spans="1:51" x14ac:dyDescent="0.35">
      <c r="A215" s="286"/>
      <c r="B215" t="str">
        <f t="shared" si="78"/>
        <v/>
      </c>
      <c r="C215" t="str">
        <f t="shared" si="78"/>
        <v/>
      </c>
      <c r="D215" t="str">
        <f t="shared" si="78"/>
        <v/>
      </c>
      <c r="E215" t="str">
        <f t="shared" si="78"/>
        <v/>
      </c>
      <c r="F215" t="str">
        <f t="shared" si="78"/>
        <v/>
      </c>
      <c r="G215" t="str">
        <f t="shared" si="78"/>
        <v/>
      </c>
      <c r="H215" t="str">
        <f t="shared" si="52"/>
        <v/>
      </c>
      <c r="I215" t="str">
        <f t="shared" si="79"/>
        <v/>
      </c>
      <c r="J215" t="str">
        <f t="shared" si="79"/>
        <v/>
      </c>
      <c r="K215" t="str">
        <f t="shared" si="55"/>
        <v/>
      </c>
      <c r="L215" t="str">
        <f t="shared" si="56"/>
        <v/>
      </c>
      <c r="M215" t="str">
        <f t="shared" ref="M215:AU215" si="89">IF($H215="","",M110+L215)</f>
        <v/>
      </c>
      <c r="N215" t="str">
        <f t="shared" si="89"/>
        <v/>
      </c>
      <c r="O215" t="str">
        <f t="shared" si="89"/>
        <v/>
      </c>
      <c r="P215" t="str">
        <f t="shared" si="89"/>
        <v/>
      </c>
      <c r="Q215" t="str">
        <f t="shared" si="89"/>
        <v/>
      </c>
      <c r="R215" t="str">
        <f t="shared" si="89"/>
        <v/>
      </c>
      <c r="S215" t="str">
        <f t="shared" si="89"/>
        <v/>
      </c>
      <c r="T215" t="str">
        <f t="shared" si="89"/>
        <v/>
      </c>
      <c r="U215" t="str">
        <f t="shared" si="89"/>
        <v/>
      </c>
      <c r="V215" t="str">
        <f t="shared" si="89"/>
        <v/>
      </c>
      <c r="W215" t="str">
        <f t="shared" si="89"/>
        <v/>
      </c>
      <c r="X215" t="str">
        <f t="shared" si="89"/>
        <v/>
      </c>
      <c r="Y215" t="str">
        <f t="shared" si="89"/>
        <v/>
      </c>
      <c r="Z215" t="str">
        <f t="shared" si="89"/>
        <v/>
      </c>
      <c r="AA215" t="str">
        <f t="shared" si="89"/>
        <v/>
      </c>
      <c r="AB215" t="str">
        <f t="shared" si="89"/>
        <v/>
      </c>
      <c r="AC215" t="str">
        <f t="shared" si="89"/>
        <v/>
      </c>
      <c r="AD215" t="str">
        <f t="shared" si="89"/>
        <v/>
      </c>
      <c r="AE215" t="str">
        <f t="shared" si="89"/>
        <v/>
      </c>
      <c r="AF215" t="str">
        <f t="shared" si="89"/>
        <v/>
      </c>
      <c r="AG215" t="str">
        <f t="shared" si="89"/>
        <v/>
      </c>
      <c r="AH215" t="str">
        <f t="shared" si="89"/>
        <v/>
      </c>
      <c r="AI215" t="str">
        <f t="shared" si="89"/>
        <v/>
      </c>
      <c r="AJ215" t="str">
        <f t="shared" si="89"/>
        <v/>
      </c>
      <c r="AK215" t="str">
        <f t="shared" si="89"/>
        <v/>
      </c>
      <c r="AL215" t="str">
        <f t="shared" si="89"/>
        <v/>
      </c>
      <c r="AM215" t="str">
        <f t="shared" si="89"/>
        <v/>
      </c>
      <c r="AN215" t="str">
        <f t="shared" si="89"/>
        <v/>
      </c>
      <c r="AO215" t="str">
        <f t="shared" si="89"/>
        <v/>
      </c>
      <c r="AP215" t="str">
        <f t="shared" si="89"/>
        <v/>
      </c>
      <c r="AQ215" t="str">
        <f t="shared" si="89"/>
        <v/>
      </c>
      <c r="AR215" t="str">
        <f t="shared" si="89"/>
        <v/>
      </c>
      <c r="AS215" t="str">
        <f t="shared" si="89"/>
        <v/>
      </c>
      <c r="AT215" t="str">
        <f t="shared" si="89"/>
        <v/>
      </c>
      <c r="AU215" t="str">
        <f t="shared" si="89"/>
        <v/>
      </c>
      <c r="AY215" s="255" t="str">
        <f t="shared" si="58"/>
        <v/>
      </c>
    </row>
    <row r="216" spans="1:51" x14ac:dyDescent="0.35">
      <c r="A216" s="286"/>
      <c r="B216" t="str">
        <f t="shared" ref="B216:G225" si="90">IF($H111="","",IF(B111="",B$5,B111))</f>
        <v/>
      </c>
      <c r="C216" t="str">
        <f t="shared" si="90"/>
        <v/>
      </c>
      <c r="D216" t="str">
        <f t="shared" si="90"/>
        <v/>
      </c>
      <c r="E216" t="str">
        <f t="shared" si="90"/>
        <v/>
      </c>
      <c r="F216" t="str">
        <f t="shared" si="90"/>
        <v/>
      </c>
      <c r="G216" t="str">
        <f t="shared" si="90"/>
        <v/>
      </c>
      <c r="H216" t="str">
        <f t="shared" si="52"/>
        <v/>
      </c>
      <c r="I216" t="str">
        <f t="shared" si="79"/>
        <v/>
      </c>
      <c r="J216" t="str">
        <f t="shared" si="79"/>
        <v/>
      </c>
      <c r="K216" t="str">
        <f t="shared" si="55"/>
        <v/>
      </c>
      <c r="L216" t="str">
        <f t="shared" si="56"/>
        <v/>
      </c>
      <c r="M216" t="str">
        <f t="shared" ref="M216:AU216" si="91">IF($H216="","",M111+L216)</f>
        <v/>
      </c>
      <c r="N216" t="str">
        <f t="shared" si="91"/>
        <v/>
      </c>
      <c r="O216" t="str">
        <f t="shared" si="91"/>
        <v/>
      </c>
      <c r="P216" t="str">
        <f t="shared" si="91"/>
        <v/>
      </c>
      <c r="Q216" t="str">
        <f t="shared" si="91"/>
        <v/>
      </c>
      <c r="R216" t="str">
        <f t="shared" si="91"/>
        <v/>
      </c>
      <c r="S216" t="str">
        <f t="shared" si="91"/>
        <v/>
      </c>
      <c r="T216" t="str">
        <f t="shared" si="91"/>
        <v/>
      </c>
      <c r="U216" t="str">
        <f t="shared" si="91"/>
        <v/>
      </c>
      <c r="V216" t="str">
        <f t="shared" si="91"/>
        <v/>
      </c>
      <c r="W216" t="str">
        <f t="shared" si="91"/>
        <v/>
      </c>
      <c r="X216" t="str">
        <f t="shared" si="91"/>
        <v/>
      </c>
      <c r="Y216" t="str">
        <f t="shared" si="91"/>
        <v/>
      </c>
      <c r="Z216" t="str">
        <f t="shared" si="91"/>
        <v/>
      </c>
      <c r="AA216" t="str">
        <f t="shared" si="91"/>
        <v/>
      </c>
      <c r="AB216" t="str">
        <f t="shared" si="91"/>
        <v/>
      </c>
      <c r="AC216" t="str">
        <f t="shared" si="91"/>
        <v/>
      </c>
      <c r="AD216" t="str">
        <f t="shared" si="91"/>
        <v/>
      </c>
      <c r="AE216" t="str">
        <f t="shared" si="91"/>
        <v/>
      </c>
      <c r="AF216" t="str">
        <f t="shared" si="91"/>
        <v/>
      </c>
      <c r="AG216" t="str">
        <f t="shared" si="91"/>
        <v/>
      </c>
      <c r="AH216" t="str">
        <f t="shared" si="91"/>
        <v/>
      </c>
      <c r="AI216" t="str">
        <f t="shared" si="91"/>
        <v/>
      </c>
      <c r="AJ216" t="str">
        <f t="shared" si="91"/>
        <v/>
      </c>
      <c r="AK216" t="str">
        <f t="shared" si="91"/>
        <v/>
      </c>
      <c r="AL216" t="str">
        <f t="shared" si="91"/>
        <v/>
      </c>
      <c r="AM216" t="str">
        <f t="shared" si="91"/>
        <v/>
      </c>
      <c r="AN216" t="str">
        <f t="shared" si="91"/>
        <v/>
      </c>
      <c r="AO216" t="str">
        <f t="shared" si="91"/>
        <v/>
      </c>
      <c r="AP216" t="str">
        <f t="shared" si="91"/>
        <v/>
      </c>
      <c r="AQ216" t="str">
        <f t="shared" si="91"/>
        <v/>
      </c>
      <c r="AR216" t="str">
        <f t="shared" si="91"/>
        <v/>
      </c>
      <c r="AS216" t="str">
        <f t="shared" si="91"/>
        <v/>
      </c>
      <c r="AT216" t="str">
        <f t="shared" si="91"/>
        <v/>
      </c>
      <c r="AU216" t="str">
        <f t="shared" si="91"/>
        <v/>
      </c>
      <c r="AY216" s="255" t="str">
        <f t="shared" si="58"/>
        <v/>
      </c>
    </row>
    <row r="217" spans="1:51" x14ac:dyDescent="0.35">
      <c r="A217" s="286"/>
      <c r="B217" t="str">
        <f t="shared" si="90"/>
        <v/>
      </c>
      <c r="C217" t="str">
        <f t="shared" si="90"/>
        <v/>
      </c>
      <c r="D217" t="str">
        <f t="shared" si="90"/>
        <v/>
      </c>
      <c r="E217" t="str">
        <f t="shared" si="90"/>
        <v/>
      </c>
      <c r="F217" t="str">
        <f t="shared" si="90"/>
        <v/>
      </c>
      <c r="G217" t="str">
        <f t="shared" si="90"/>
        <v/>
      </c>
      <c r="H217" t="str">
        <f t="shared" si="52"/>
        <v/>
      </c>
      <c r="I217" t="str">
        <f t="shared" si="79"/>
        <v/>
      </c>
      <c r="J217" t="str">
        <f t="shared" si="79"/>
        <v/>
      </c>
      <c r="K217" t="str">
        <f t="shared" si="55"/>
        <v/>
      </c>
      <c r="L217" t="str">
        <f t="shared" si="56"/>
        <v/>
      </c>
      <c r="M217" t="str">
        <f t="shared" ref="M217:AU217" si="92">IF($H217="","",M112+L217)</f>
        <v/>
      </c>
      <c r="N217" t="str">
        <f t="shared" si="92"/>
        <v/>
      </c>
      <c r="O217" t="str">
        <f t="shared" si="92"/>
        <v/>
      </c>
      <c r="P217" t="str">
        <f t="shared" si="92"/>
        <v/>
      </c>
      <c r="Q217" t="str">
        <f t="shared" si="92"/>
        <v/>
      </c>
      <c r="R217" t="str">
        <f t="shared" si="92"/>
        <v/>
      </c>
      <c r="S217" t="str">
        <f t="shared" si="92"/>
        <v/>
      </c>
      <c r="T217" t="str">
        <f t="shared" si="92"/>
        <v/>
      </c>
      <c r="U217" t="str">
        <f t="shared" si="92"/>
        <v/>
      </c>
      <c r="V217" t="str">
        <f t="shared" si="92"/>
        <v/>
      </c>
      <c r="W217" t="str">
        <f t="shared" si="92"/>
        <v/>
      </c>
      <c r="X217" t="str">
        <f t="shared" si="92"/>
        <v/>
      </c>
      <c r="Y217" t="str">
        <f t="shared" si="92"/>
        <v/>
      </c>
      <c r="Z217" t="str">
        <f t="shared" si="92"/>
        <v/>
      </c>
      <c r="AA217" t="str">
        <f t="shared" si="92"/>
        <v/>
      </c>
      <c r="AB217" t="str">
        <f t="shared" si="92"/>
        <v/>
      </c>
      <c r="AC217" t="str">
        <f t="shared" si="92"/>
        <v/>
      </c>
      <c r="AD217" t="str">
        <f t="shared" si="92"/>
        <v/>
      </c>
      <c r="AE217" t="str">
        <f t="shared" si="92"/>
        <v/>
      </c>
      <c r="AF217" t="str">
        <f t="shared" si="92"/>
        <v/>
      </c>
      <c r="AG217" t="str">
        <f t="shared" si="92"/>
        <v/>
      </c>
      <c r="AH217" t="str">
        <f t="shared" si="92"/>
        <v/>
      </c>
      <c r="AI217" t="str">
        <f t="shared" si="92"/>
        <v/>
      </c>
      <c r="AJ217" t="str">
        <f t="shared" si="92"/>
        <v/>
      </c>
      <c r="AK217" t="str">
        <f t="shared" si="92"/>
        <v/>
      </c>
      <c r="AL217" t="str">
        <f t="shared" si="92"/>
        <v/>
      </c>
      <c r="AM217" t="str">
        <f t="shared" si="92"/>
        <v/>
      </c>
      <c r="AN217" t="str">
        <f t="shared" si="92"/>
        <v/>
      </c>
      <c r="AO217" t="str">
        <f t="shared" si="92"/>
        <v/>
      </c>
      <c r="AP217" t="str">
        <f t="shared" si="92"/>
        <v/>
      </c>
      <c r="AQ217" t="str">
        <f t="shared" si="92"/>
        <v/>
      </c>
      <c r="AR217" t="str">
        <f t="shared" si="92"/>
        <v/>
      </c>
      <c r="AS217" t="str">
        <f t="shared" si="92"/>
        <v/>
      </c>
      <c r="AT217" t="str">
        <f t="shared" si="92"/>
        <v/>
      </c>
      <c r="AU217" t="str">
        <f t="shared" si="92"/>
        <v/>
      </c>
      <c r="AY217" s="255" t="str">
        <f t="shared" si="58"/>
        <v/>
      </c>
    </row>
    <row r="218" spans="1:51" x14ac:dyDescent="0.35">
      <c r="A218" s="286"/>
      <c r="B218" t="str">
        <f t="shared" si="90"/>
        <v/>
      </c>
      <c r="C218" t="str">
        <f t="shared" si="90"/>
        <v/>
      </c>
      <c r="D218" t="str">
        <f t="shared" si="90"/>
        <v/>
      </c>
      <c r="E218" t="str">
        <f t="shared" si="90"/>
        <v/>
      </c>
      <c r="F218" t="str">
        <f t="shared" si="90"/>
        <v/>
      </c>
      <c r="G218" t="str">
        <f t="shared" si="90"/>
        <v/>
      </c>
      <c r="H218" t="str">
        <f t="shared" ref="H218:H249" si="93">IF($H113="","",H113)</f>
        <v/>
      </c>
      <c r="I218" t="str">
        <f t="shared" si="79"/>
        <v/>
      </c>
      <c r="J218" t="str">
        <f t="shared" si="79"/>
        <v/>
      </c>
      <c r="K218" t="str">
        <f t="shared" si="55"/>
        <v/>
      </c>
      <c r="L218" t="str">
        <f t="shared" ref="L218:L249" si="94">IF($H218="","",L113)</f>
        <v/>
      </c>
      <c r="M218" t="str">
        <f t="shared" ref="M218:AU218" si="95">IF($H218="","",M113+L218)</f>
        <v/>
      </c>
      <c r="N218" t="str">
        <f t="shared" si="95"/>
        <v/>
      </c>
      <c r="O218" t="str">
        <f t="shared" si="95"/>
        <v/>
      </c>
      <c r="P218" t="str">
        <f t="shared" si="95"/>
        <v/>
      </c>
      <c r="Q218" t="str">
        <f t="shared" si="95"/>
        <v/>
      </c>
      <c r="R218" t="str">
        <f t="shared" si="95"/>
        <v/>
      </c>
      <c r="S218" t="str">
        <f t="shared" si="95"/>
        <v/>
      </c>
      <c r="T218" t="str">
        <f t="shared" si="95"/>
        <v/>
      </c>
      <c r="U218" t="str">
        <f t="shared" si="95"/>
        <v/>
      </c>
      <c r="V218" t="str">
        <f t="shared" si="95"/>
        <v/>
      </c>
      <c r="W218" t="str">
        <f t="shared" si="95"/>
        <v/>
      </c>
      <c r="X218" t="str">
        <f t="shared" si="95"/>
        <v/>
      </c>
      <c r="Y218" t="str">
        <f t="shared" si="95"/>
        <v/>
      </c>
      <c r="Z218" t="str">
        <f t="shared" si="95"/>
        <v/>
      </c>
      <c r="AA218" t="str">
        <f t="shared" si="95"/>
        <v/>
      </c>
      <c r="AB218" t="str">
        <f t="shared" si="95"/>
        <v/>
      </c>
      <c r="AC218" t="str">
        <f t="shared" si="95"/>
        <v/>
      </c>
      <c r="AD218" t="str">
        <f t="shared" si="95"/>
        <v/>
      </c>
      <c r="AE218" t="str">
        <f t="shared" si="95"/>
        <v/>
      </c>
      <c r="AF218" t="str">
        <f t="shared" si="95"/>
        <v/>
      </c>
      <c r="AG218" t="str">
        <f t="shared" si="95"/>
        <v/>
      </c>
      <c r="AH218" t="str">
        <f t="shared" si="95"/>
        <v/>
      </c>
      <c r="AI218" t="str">
        <f t="shared" si="95"/>
        <v/>
      </c>
      <c r="AJ218" t="str">
        <f t="shared" si="95"/>
        <v/>
      </c>
      <c r="AK218" t="str">
        <f t="shared" si="95"/>
        <v/>
      </c>
      <c r="AL218" t="str">
        <f t="shared" si="95"/>
        <v/>
      </c>
      <c r="AM218" t="str">
        <f t="shared" si="95"/>
        <v/>
      </c>
      <c r="AN218" t="str">
        <f t="shared" si="95"/>
        <v/>
      </c>
      <c r="AO218" t="str">
        <f t="shared" si="95"/>
        <v/>
      </c>
      <c r="AP218" t="str">
        <f t="shared" si="95"/>
        <v/>
      </c>
      <c r="AQ218" t="str">
        <f t="shared" si="95"/>
        <v/>
      </c>
      <c r="AR218" t="str">
        <f t="shared" si="95"/>
        <v/>
      </c>
      <c r="AS218" t="str">
        <f t="shared" si="95"/>
        <v/>
      </c>
      <c r="AT218" t="str">
        <f t="shared" si="95"/>
        <v/>
      </c>
      <c r="AU218" t="str">
        <f t="shared" si="95"/>
        <v/>
      </c>
      <c r="AY218" s="255" t="str">
        <f t="shared" si="58"/>
        <v/>
      </c>
    </row>
    <row r="219" spans="1:51" x14ac:dyDescent="0.35">
      <c r="A219" s="286"/>
      <c r="B219" t="str">
        <f t="shared" si="90"/>
        <v/>
      </c>
      <c r="C219" t="str">
        <f t="shared" si="90"/>
        <v/>
      </c>
      <c r="D219" t="str">
        <f t="shared" si="90"/>
        <v/>
      </c>
      <c r="E219" t="str">
        <f t="shared" si="90"/>
        <v/>
      </c>
      <c r="F219" t="str">
        <f t="shared" si="90"/>
        <v/>
      </c>
      <c r="G219" t="str">
        <f t="shared" si="90"/>
        <v/>
      </c>
      <c r="H219" t="str">
        <f t="shared" si="93"/>
        <v/>
      </c>
      <c r="I219" t="str">
        <f t="shared" si="79"/>
        <v/>
      </c>
      <c r="J219" t="str">
        <f t="shared" si="79"/>
        <v/>
      </c>
      <c r="K219" t="str">
        <f t="shared" si="55"/>
        <v/>
      </c>
      <c r="L219" t="str">
        <f t="shared" si="94"/>
        <v/>
      </c>
      <c r="M219" t="str">
        <f t="shared" ref="M219:AU219" si="96">IF($H219="","",M114+L219)</f>
        <v/>
      </c>
      <c r="N219" t="str">
        <f t="shared" si="96"/>
        <v/>
      </c>
      <c r="O219" t="str">
        <f t="shared" si="96"/>
        <v/>
      </c>
      <c r="P219" t="str">
        <f t="shared" si="96"/>
        <v/>
      </c>
      <c r="Q219" t="str">
        <f t="shared" si="96"/>
        <v/>
      </c>
      <c r="R219" t="str">
        <f t="shared" si="96"/>
        <v/>
      </c>
      <c r="S219" t="str">
        <f t="shared" si="96"/>
        <v/>
      </c>
      <c r="T219" t="str">
        <f t="shared" si="96"/>
        <v/>
      </c>
      <c r="U219" t="str">
        <f t="shared" si="96"/>
        <v/>
      </c>
      <c r="V219" t="str">
        <f t="shared" si="96"/>
        <v/>
      </c>
      <c r="W219" t="str">
        <f t="shared" si="96"/>
        <v/>
      </c>
      <c r="X219" t="str">
        <f t="shared" si="96"/>
        <v/>
      </c>
      <c r="Y219" t="str">
        <f t="shared" si="96"/>
        <v/>
      </c>
      <c r="Z219" t="str">
        <f t="shared" si="96"/>
        <v/>
      </c>
      <c r="AA219" t="str">
        <f t="shared" si="96"/>
        <v/>
      </c>
      <c r="AB219" t="str">
        <f t="shared" si="96"/>
        <v/>
      </c>
      <c r="AC219" t="str">
        <f t="shared" si="96"/>
        <v/>
      </c>
      <c r="AD219" t="str">
        <f t="shared" si="96"/>
        <v/>
      </c>
      <c r="AE219" t="str">
        <f t="shared" si="96"/>
        <v/>
      </c>
      <c r="AF219" t="str">
        <f t="shared" si="96"/>
        <v/>
      </c>
      <c r="AG219" t="str">
        <f t="shared" si="96"/>
        <v/>
      </c>
      <c r="AH219" t="str">
        <f t="shared" si="96"/>
        <v/>
      </c>
      <c r="AI219" t="str">
        <f t="shared" si="96"/>
        <v/>
      </c>
      <c r="AJ219" t="str">
        <f t="shared" si="96"/>
        <v/>
      </c>
      <c r="AK219" t="str">
        <f t="shared" si="96"/>
        <v/>
      </c>
      <c r="AL219" t="str">
        <f t="shared" si="96"/>
        <v/>
      </c>
      <c r="AM219" t="str">
        <f t="shared" si="96"/>
        <v/>
      </c>
      <c r="AN219" t="str">
        <f t="shared" si="96"/>
        <v/>
      </c>
      <c r="AO219" t="str">
        <f t="shared" si="96"/>
        <v/>
      </c>
      <c r="AP219" t="str">
        <f t="shared" si="96"/>
        <v/>
      </c>
      <c r="AQ219" t="str">
        <f t="shared" si="96"/>
        <v/>
      </c>
      <c r="AR219" t="str">
        <f t="shared" si="96"/>
        <v/>
      </c>
      <c r="AS219" t="str">
        <f t="shared" si="96"/>
        <v/>
      </c>
      <c r="AT219" t="str">
        <f t="shared" si="96"/>
        <v/>
      </c>
      <c r="AU219" t="str">
        <f t="shared" si="96"/>
        <v/>
      </c>
      <c r="AY219" s="255" t="str">
        <f t="shared" si="58"/>
        <v/>
      </c>
    </row>
    <row r="220" spans="1:51" x14ac:dyDescent="0.35">
      <c r="A220" s="286"/>
      <c r="B220" t="str">
        <f t="shared" si="90"/>
        <v/>
      </c>
      <c r="C220" t="str">
        <f t="shared" si="90"/>
        <v/>
      </c>
      <c r="D220" t="str">
        <f t="shared" si="90"/>
        <v/>
      </c>
      <c r="E220" t="str">
        <f t="shared" si="90"/>
        <v/>
      </c>
      <c r="F220" t="str">
        <f t="shared" si="90"/>
        <v/>
      </c>
      <c r="G220" t="str">
        <f t="shared" si="90"/>
        <v/>
      </c>
      <c r="H220" t="str">
        <f t="shared" si="93"/>
        <v/>
      </c>
      <c r="I220" t="str">
        <f t="shared" si="79"/>
        <v/>
      </c>
      <c r="J220" t="str">
        <f t="shared" si="79"/>
        <v/>
      </c>
      <c r="K220" t="str">
        <f t="shared" si="55"/>
        <v/>
      </c>
      <c r="L220" t="str">
        <f t="shared" si="94"/>
        <v/>
      </c>
      <c r="M220" t="str">
        <f t="shared" ref="M220:AU220" si="97">IF($H220="","",M115+L220)</f>
        <v/>
      </c>
      <c r="N220" t="str">
        <f t="shared" si="97"/>
        <v/>
      </c>
      <c r="O220" t="str">
        <f t="shared" si="97"/>
        <v/>
      </c>
      <c r="P220" t="str">
        <f t="shared" si="97"/>
        <v/>
      </c>
      <c r="Q220" t="str">
        <f t="shared" si="97"/>
        <v/>
      </c>
      <c r="R220" t="str">
        <f t="shared" si="97"/>
        <v/>
      </c>
      <c r="S220" t="str">
        <f t="shared" si="97"/>
        <v/>
      </c>
      <c r="T220" t="str">
        <f t="shared" si="97"/>
        <v/>
      </c>
      <c r="U220" t="str">
        <f t="shared" si="97"/>
        <v/>
      </c>
      <c r="V220" t="str">
        <f t="shared" si="97"/>
        <v/>
      </c>
      <c r="W220" t="str">
        <f t="shared" si="97"/>
        <v/>
      </c>
      <c r="X220" t="str">
        <f t="shared" si="97"/>
        <v/>
      </c>
      <c r="Y220" t="str">
        <f t="shared" si="97"/>
        <v/>
      </c>
      <c r="Z220" t="str">
        <f t="shared" si="97"/>
        <v/>
      </c>
      <c r="AA220" t="str">
        <f t="shared" si="97"/>
        <v/>
      </c>
      <c r="AB220" t="str">
        <f t="shared" si="97"/>
        <v/>
      </c>
      <c r="AC220" t="str">
        <f t="shared" si="97"/>
        <v/>
      </c>
      <c r="AD220" t="str">
        <f t="shared" si="97"/>
        <v/>
      </c>
      <c r="AE220" t="str">
        <f t="shared" si="97"/>
        <v/>
      </c>
      <c r="AF220" t="str">
        <f t="shared" si="97"/>
        <v/>
      </c>
      <c r="AG220" t="str">
        <f t="shared" si="97"/>
        <v/>
      </c>
      <c r="AH220" t="str">
        <f t="shared" si="97"/>
        <v/>
      </c>
      <c r="AI220" t="str">
        <f t="shared" si="97"/>
        <v/>
      </c>
      <c r="AJ220" t="str">
        <f t="shared" si="97"/>
        <v/>
      </c>
      <c r="AK220" t="str">
        <f t="shared" si="97"/>
        <v/>
      </c>
      <c r="AL220" t="str">
        <f t="shared" si="97"/>
        <v/>
      </c>
      <c r="AM220" t="str">
        <f t="shared" si="97"/>
        <v/>
      </c>
      <c r="AN220" t="str">
        <f t="shared" si="97"/>
        <v/>
      </c>
      <c r="AO220" t="str">
        <f t="shared" si="97"/>
        <v/>
      </c>
      <c r="AP220" t="str">
        <f t="shared" si="97"/>
        <v/>
      </c>
      <c r="AQ220" t="str">
        <f t="shared" si="97"/>
        <v/>
      </c>
      <c r="AR220" t="str">
        <f t="shared" si="97"/>
        <v/>
      </c>
      <c r="AS220" t="str">
        <f t="shared" si="97"/>
        <v/>
      </c>
      <c r="AT220" t="str">
        <f t="shared" si="97"/>
        <v/>
      </c>
      <c r="AU220" t="str">
        <f t="shared" si="97"/>
        <v/>
      </c>
      <c r="AY220" s="255" t="str">
        <f t="shared" si="58"/>
        <v/>
      </c>
    </row>
    <row r="221" spans="1:51" x14ac:dyDescent="0.35">
      <c r="A221" s="286"/>
      <c r="B221" t="str">
        <f t="shared" si="90"/>
        <v/>
      </c>
      <c r="C221" t="str">
        <f t="shared" si="90"/>
        <v/>
      </c>
      <c r="D221" t="str">
        <f t="shared" si="90"/>
        <v/>
      </c>
      <c r="E221" t="str">
        <f t="shared" si="90"/>
        <v/>
      </c>
      <c r="F221" t="str">
        <f t="shared" si="90"/>
        <v/>
      </c>
      <c r="G221" t="str">
        <f t="shared" si="90"/>
        <v/>
      </c>
      <c r="H221" t="str">
        <f t="shared" si="93"/>
        <v/>
      </c>
      <c r="I221" t="str">
        <f t="shared" si="79"/>
        <v/>
      </c>
      <c r="J221" t="str">
        <f t="shared" si="79"/>
        <v/>
      </c>
      <c r="K221" t="str">
        <f t="shared" si="55"/>
        <v/>
      </c>
      <c r="L221" t="str">
        <f t="shared" si="94"/>
        <v/>
      </c>
      <c r="M221" t="str">
        <f t="shared" ref="M221:AU221" si="98">IF($H221="","",M116+L221)</f>
        <v/>
      </c>
      <c r="N221" t="str">
        <f t="shared" si="98"/>
        <v/>
      </c>
      <c r="O221" t="str">
        <f t="shared" si="98"/>
        <v/>
      </c>
      <c r="P221" t="str">
        <f t="shared" si="98"/>
        <v/>
      </c>
      <c r="Q221" t="str">
        <f t="shared" si="98"/>
        <v/>
      </c>
      <c r="R221" t="str">
        <f t="shared" si="98"/>
        <v/>
      </c>
      <c r="S221" t="str">
        <f t="shared" si="98"/>
        <v/>
      </c>
      <c r="T221" t="str">
        <f t="shared" si="98"/>
        <v/>
      </c>
      <c r="U221" t="str">
        <f t="shared" si="98"/>
        <v/>
      </c>
      <c r="V221" t="str">
        <f t="shared" si="98"/>
        <v/>
      </c>
      <c r="W221" t="str">
        <f t="shared" si="98"/>
        <v/>
      </c>
      <c r="X221" t="str">
        <f t="shared" si="98"/>
        <v/>
      </c>
      <c r="Y221" t="str">
        <f t="shared" si="98"/>
        <v/>
      </c>
      <c r="Z221" t="str">
        <f t="shared" si="98"/>
        <v/>
      </c>
      <c r="AA221" t="str">
        <f t="shared" si="98"/>
        <v/>
      </c>
      <c r="AB221" t="str">
        <f t="shared" si="98"/>
        <v/>
      </c>
      <c r="AC221" t="str">
        <f t="shared" si="98"/>
        <v/>
      </c>
      <c r="AD221" t="str">
        <f t="shared" si="98"/>
        <v/>
      </c>
      <c r="AE221" t="str">
        <f t="shared" si="98"/>
        <v/>
      </c>
      <c r="AF221" t="str">
        <f t="shared" si="98"/>
        <v/>
      </c>
      <c r="AG221" t="str">
        <f t="shared" si="98"/>
        <v/>
      </c>
      <c r="AH221" t="str">
        <f t="shared" si="98"/>
        <v/>
      </c>
      <c r="AI221" t="str">
        <f t="shared" si="98"/>
        <v/>
      </c>
      <c r="AJ221" t="str">
        <f t="shared" si="98"/>
        <v/>
      </c>
      <c r="AK221" t="str">
        <f t="shared" si="98"/>
        <v/>
      </c>
      <c r="AL221" t="str">
        <f t="shared" si="98"/>
        <v/>
      </c>
      <c r="AM221" t="str">
        <f t="shared" si="98"/>
        <v/>
      </c>
      <c r="AN221" t="str">
        <f t="shared" si="98"/>
        <v/>
      </c>
      <c r="AO221" t="str">
        <f t="shared" si="98"/>
        <v/>
      </c>
      <c r="AP221" t="str">
        <f t="shared" si="98"/>
        <v/>
      </c>
      <c r="AQ221" t="str">
        <f t="shared" si="98"/>
        <v/>
      </c>
      <c r="AR221" t="str">
        <f t="shared" si="98"/>
        <v/>
      </c>
      <c r="AS221" t="str">
        <f t="shared" si="98"/>
        <v/>
      </c>
      <c r="AT221" t="str">
        <f t="shared" si="98"/>
        <v/>
      </c>
      <c r="AU221" t="str">
        <f t="shared" si="98"/>
        <v/>
      </c>
      <c r="AY221" s="255" t="str">
        <f t="shared" si="58"/>
        <v/>
      </c>
    </row>
    <row r="222" spans="1:51" x14ac:dyDescent="0.35">
      <c r="A222" s="286"/>
      <c r="B222" t="str">
        <f t="shared" si="90"/>
        <v/>
      </c>
      <c r="C222" t="str">
        <f t="shared" si="90"/>
        <v/>
      </c>
      <c r="D222" t="str">
        <f t="shared" si="90"/>
        <v/>
      </c>
      <c r="E222" t="str">
        <f t="shared" si="90"/>
        <v/>
      </c>
      <c r="F222" t="str">
        <f t="shared" si="90"/>
        <v/>
      </c>
      <c r="G222" t="str">
        <f t="shared" si="90"/>
        <v/>
      </c>
      <c r="H222" t="str">
        <f t="shared" si="93"/>
        <v/>
      </c>
      <c r="I222" t="str">
        <f t="shared" si="79"/>
        <v/>
      </c>
      <c r="J222" t="str">
        <f t="shared" si="79"/>
        <v/>
      </c>
      <c r="K222" t="str">
        <f t="shared" si="55"/>
        <v/>
      </c>
      <c r="L222" t="str">
        <f t="shared" si="94"/>
        <v/>
      </c>
      <c r="M222" t="str">
        <f t="shared" ref="M222:AU222" si="99">IF($H222="","",M117+L222)</f>
        <v/>
      </c>
      <c r="N222" t="str">
        <f t="shared" si="99"/>
        <v/>
      </c>
      <c r="O222" t="str">
        <f t="shared" si="99"/>
        <v/>
      </c>
      <c r="P222" t="str">
        <f t="shared" si="99"/>
        <v/>
      </c>
      <c r="Q222" t="str">
        <f t="shared" si="99"/>
        <v/>
      </c>
      <c r="R222" t="str">
        <f t="shared" si="99"/>
        <v/>
      </c>
      <c r="S222" t="str">
        <f t="shared" si="99"/>
        <v/>
      </c>
      <c r="T222" t="str">
        <f t="shared" si="99"/>
        <v/>
      </c>
      <c r="U222" t="str">
        <f t="shared" si="99"/>
        <v/>
      </c>
      <c r="V222" t="str">
        <f t="shared" si="99"/>
        <v/>
      </c>
      <c r="W222" t="str">
        <f t="shared" si="99"/>
        <v/>
      </c>
      <c r="X222" t="str">
        <f t="shared" si="99"/>
        <v/>
      </c>
      <c r="Y222" t="str">
        <f t="shared" si="99"/>
        <v/>
      </c>
      <c r="Z222" t="str">
        <f t="shared" si="99"/>
        <v/>
      </c>
      <c r="AA222" t="str">
        <f t="shared" si="99"/>
        <v/>
      </c>
      <c r="AB222" t="str">
        <f t="shared" si="99"/>
        <v/>
      </c>
      <c r="AC222" t="str">
        <f t="shared" si="99"/>
        <v/>
      </c>
      <c r="AD222" t="str">
        <f t="shared" si="99"/>
        <v/>
      </c>
      <c r="AE222" t="str">
        <f t="shared" si="99"/>
        <v/>
      </c>
      <c r="AF222" t="str">
        <f t="shared" si="99"/>
        <v/>
      </c>
      <c r="AG222" t="str">
        <f t="shared" si="99"/>
        <v/>
      </c>
      <c r="AH222" t="str">
        <f t="shared" si="99"/>
        <v/>
      </c>
      <c r="AI222" t="str">
        <f t="shared" si="99"/>
        <v/>
      </c>
      <c r="AJ222" t="str">
        <f t="shared" si="99"/>
        <v/>
      </c>
      <c r="AK222" t="str">
        <f t="shared" si="99"/>
        <v/>
      </c>
      <c r="AL222" t="str">
        <f t="shared" si="99"/>
        <v/>
      </c>
      <c r="AM222" t="str">
        <f t="shared" si="99"/>
        <v/>
      </c>
      <c r="AN222" t="str">
        <f t="shared" si="99"/>
        <v/>
      </c>
      <c r="AO222" t="str">
        <f t="shared" si="99"/>
        <v/>
      </c>
      <c r="AP222" t="str">
        <f t="shared" si="99"/>
        <v/>
      </c>
      <c r="AQ222" t="str">
        <f t="shared" si="99"/>
        <v/>
      </c>
      <c r="AR222" t="str">
        <f t="shared" si="99"/>
        <v/>
      </c>
      <c r="AS222" t="str">
        <f t="shared" si="99"/>
        <v/>
      </c>
      <c r="AT222" t="str">
        <f t="shared" si="99"/>
        <v/>
      </c>
      <c r="AU222" t="str">
        <f t="shared" si="99"/>
        <v/>
      </c>
      <c r="AY222" s="255" t="str">
        <f t="shared" si="58"/>
        <v/>
      </c>
    </row>
    <row r="223" spans="1:51" x14ac:dyDescent="0.35">
      <c r="A223" s="286"/>
      <c r="B223" t="str">
        <f t="shared" si="90"/>
        <v/>
      </c>
      <c r="C223" t="str">
        <f t="shared" si="90"/>
        <v/>
      </c>
      <c r="D223" t="str">
        <f t="shared" si="90"/>
        <v/>
      </c>
      <c r="E223" t="str">
        <f t="shared" si="90"/>
        <v/>
      </c>
      <c r="F223" t="str">
        <f t="shared" si="90"/>
        <v/>
      </c>
      <c r="G223" t="str">
        <f t="shared" si="90"/>
        <v/>
      </c>
      <c r="H223" t="str">
        <f t="shared" si="93"/>
        <v/>
      </c>
      <c r="I223" t="str">
        <f t="shared" si="79"/>
        <v/>
      </c>
      <c r="J223" t="str">
        <f t="shared" si="79"/>
        <v/>
      </c>
      <c r="K223" t="str">
        <f t="shared" si="55"/>
        <v/>
      </c>
      <c r="L223" t="str">
        <f t="shared" si="94"/>
        <v/>
      </c>
      <c r="M223" t="str">
        <f t="shared" ref="M223:AU223" si="100">IF($H223="","",M118+L223)</f>
        <v/>
      </c>
      <c r="N223" t="str">
        <f t="shared" si="100"/>
        <v/>
      </c>
      <c r="O223" t="str">
        <f t="shared" si="100"/>
        <v/>
      </c>
      <c r="P223" t="str">
        <f t="shared" si="100"/>
        <v/>
      </c>
      <c r="Q223" t="str">
        <f t="shared" si="100"/>
        <v/>
      </c>
      <c r="R223" t="str">
        <f t="shared" si="100"/>
        <v/>
      </c>
      <c r="S223" t="str">
        <f t="shared" si="100"/>
        <v/>
      </c>
      <c r="T223" t="str">
        <f t="shared" si="100"/>
        <v/>
      </c>
      <c r="U223" t="str">
        <f t="shared" si="100"/>
        <v/>
      </c>
      <c r="V223" t="str">
        <f t="shared" si="100"/>
        <v/>
      </c>
      <c r="W223" t="str">
        <f t="shared" si="100"/>
        <v/>
      </c>
      <c r="X223" t="str">
        <f t="shared" si="100"/>
        <v/>
      </c>
      <c r="Y223" t="str">
        <f t="shared" si="100"/>
        <v/>
      </c>
      <c r="Z223" t="str">
        <f t="shared" si="100"/>
        <v/>
      </c>
      <c r="AA223" t="str">
        <f t="shared" si="100"/>
        <v/>
      </c>
      <c r="AB223" t="str">
        <f t="shared" si="100"/>
        <v/>
      </c>
      <c r="AC223" t="str">
        <f t="shared" si="100"/>
        <v/>
      </c>
      <c r="AD223" t="str">
        <f t="shared" si="100"/>
        <v/>
      </c>
      <c r="AE223" t="str">
        <f t="shared" si="100"/>
        <v/>
      </c>
      <c r="AF223" t="str">
        <f t="shared" si="100"/>
        <v/>
      </c>
      <c r="AG223" t="str">
        <f t="shared" si="100"/>
        <v/>
      </c>
      <c r="AH223" t="str">
        <f t="shared" si="100"/>
        <v/>
      </c>
      <c r="AI223" t="str">
        <f t="shared" si="100"/>
        <v/>
      </c>
      <c r="AJ223" t="str">
        <f t="shared" si="100"/>
        <v/>
      </c>
      <c r="AK223" t="str">
        <f t="shared" si="100"/>
        <v/>
      </c>
      <c r="AL223" t="str">
        <f t="shared" si="100"/>
        <v/>
      </c>
      <c r="AM223" t="str">
        <f t="shared" si="100"/>
        <v/>
      </c>
      <c r="AN223" t="str">
        <f t="shared" si="100"/>
        <v/>
      </c>
      <c r="AO223" t="str">
        <f t="shared" si="100"/>
        <v/>
      </c>
      <c r="AP223" t="str">
        <f t="shared" si="100"/>
        <v/>
      </c>
      <c r="AQ223" t="str">
        <f t="shared" si="100"/>
        <v/>
      </c>
      <c r="AR223" t="str">
        <f t="shared" si="100"/>
        <v/>
      </c>
      <c r="AS223" t="str">
        <f t="shared" si="100"/>
        <v/>
      </c>
      <c r="AT223" t="str">
        <f t="shared" si="100"/>
        <v/>
      </c>
      <c r="AU223" t="str">
        <f t="shared" si="100"/>
        <v/>
      </c>
      <c r="AY223" s="255" t="str">
        <f t="shared" si="58"/>
        <v/>
      </c>
    </row>
    <row r="224" spans="1:51" x14ac:dyDescent="0.35">
      <c r="A224" s="286"/>
      <c r="B224" t="str">
        <f t="shared" si="90"/>
        <v/>
      </c>
      <c r="C224" t="str">
        <f t="shared" si="90"/>
        <v/>
      </c>
      <c r="D224" t="str">
        <f t="shared" si="90"/>
        <v/>
      </c>
      <c r="E224" t="str">
        <f t="shared" si="90"/>
        <v/>
      </c>
      <c r="F224" t="str">
        <f t="shared" si="90"/>
        <v/>
      </c>
      <c r="G224" t="str">
        <f t="shared" si="90"/>
        <v/>
      </c>
      <c r="H224" t="str">
        <f t="shared" si="93"/>
        <v/>
      </c>
      <c r="I224" t="str">
        <f t="shared" si="79"/>
        <v/>
      </c>
      <c r="J224" t="str">
        <f t="shared" si="79"/>
        <v/>
      </c>
      <c r="K224" t="str">
        <f t="shared" si="55"/>
        <v/>
      </c>
      <c r="L224" t="str">
        <f t="shared" si="94"/>
        <v/>
      </c>
      <c r="M224" t="str">
        <f t="shared" ref="M224:AU224" si="101">IF($H224="","",M119+L224)</f>
        <v/>
      </c>
      <c r="N224" t="str">
        <f t="shared" si="101"/>
        <v/>
      </c>
      <c r="O224" t="str">
        <f t="shared" si="101"/>
        <v/>
      </c>
      <c r="P224" t="str">
        <f t="shared" si="101"/>
        <v/>
      </c>
      <c r="Q224" t="str">
        <f t="shared" si="101"/>
        <v/>
      </c>
      <c r="R224" t="str">
        <f t="shared" si="101"/>
        <v/>
      </c>
      <c r="S224" t="str">
        <f t="shared" si="101"/>
        <v/>
      </c>
      <c r="T224" t="str">
        <f t="shared" si="101"/>
        <v/>
      </c>
      <c r="U224" t="str">
        <f t="shared" si="101"/>
        <v/>
      </c>
      <c r="V224" t="str">
        <f t="shared" si="101"/>
        <v/>
      </c>
      <c r="W224" t="str">
        <f t="shared" si="101"/>
        <v/>
      </c>
      <c r="X224" t="str">
        <f t="shared" si="101"/>
        <v/>
      </c>
      <c r="Y224" t="str">
        <f t="shared" si="101"/>
        <v/>
      </c>
      <c r="Z224" t="str">
        <f t="shared" si="101"/>
        <v/>
      </c>
      <c r="AA224" t="str">
        <f t="shared" si="101"/>
        <v/>
      </c>
      <c r="AB224" t="str">
        <f t="shared" si="101"/>
        <v/>
      </c>
      <c r="AC224" t="str">
        <f t="shared" si="101"/>
        <v/>
      </c>
      <c r="AD224" t="str">
        <f t="shared" si="101"/>
        <v/>
      </c>
      <c r="AE224" t="str">
        <f t="shared" si="101"/>
        <v/>
      </c>
      <c r="AF224" t="str">
        <f t="shared" si="101"/>
        <v/>
      </c>
      <c r="AG224" t="str">
        <f t="shared" si="101"/>
        <v/>
      </c>
      <c r="AH224" t="str">
        <f t="shared" si="101"/>
        <v/>
      </c>
      <c r="AI224" t="str">
        <f t="shared" si="101"/>
        <v/>
      </c>
      <c r="AJ224" t="str">
        <f t="shared" si="101"/>
        <v/>
      </c>
      <c r="AK224" t="str">
        <f t="shared" si="101"/>
        <v/>
      </c>
      <c r="AL224" t="str">
        <f t="shared" si="101"/>
        <v/>
      </c>
      <c r="AM224" t="str">
        <f t="shared" si="101"/>
        <v/>
      </c>
      <c r="AN224" t="str">
        <f t="shared" si="101"/>
        <v/>
      </c>
      <c r="AO224" t="str">
        <f t="shared" si="101"/>
        <v/>
      </c>
      <c r="AP224" t="str">
        <f t="shared" si="101"/>
        <v/>
      </c>
      <c r="AQ224" t="str">
        <f t="shared" si="101"/>
        <v/>
      </c>
      <c r="AR224" t="str">
        <f t="shared" si="101"/>
        <v/>
      </c>
      <c r="AS224" t="str">
        <f t="shared" si="101"/>
        <v/>
      </c>
      <c r="AT224" t="str">
        <f t="shared" si="101"/>
        <v/>
      </c>
      <c r="AU224" t="str">
        <f t="shared" si="101"/>
        <v/>
      </c>
      <c r="AY224" s="255" t="str">
        <f t="shared" si="58"/>
        <v/>
      </c>
    </row>
    <row r="225" spans="1:51" x14ac:dyDescent="0.35">
      <c r="A225" s="286"/>
      <c r="B225" t="str">
        <f t="shared" si="90"/>
        <v/>
      </c>
      <c r="C225" t="str">
        <f t="shared" si="90"/>
        <v/>
      </c>
      <c r="D225" t="str">
        <f t="shared" si="90"/>
        <v/>
      </c>
      <c r="E225" t="str">
        <f t="shared" si="90"/>
        <v/>
      </c>
      <c r="F225" t="str">
        <f t="shared" si="90"/>
        <v/>
      </c>
      <c r="G225" t="str">
        <f t="shared" si="90"/>
        <v/>
      </c>
      <c r="H225" t="str">
        <f t="shared" si="93"/>
        <v/>
      </c>
      <c r="I225" t="str">
        <f t="shared" si="79"/>
        <v/>
      </c>
      <c r="J225" t="str">
        <f t="shared" si="79"/>
        <v/>
      </c>
      <c r="K225" t="str">
        <f t="shared" si="55"/>
        <v/>
      </c>
      <c r="L225" t="str">
        <f t="shared" si="94"/>
        <v/>
      </c>
      <c r="M225" t="str">
        <f t="shared" ref="M225:AU225" si="102">IF($H225="","",M120+L225)</f>
        <v/>
      </c>
      <c r="N225" t="str">
        <f t="shared" si="102"/>
        <v/>
      </c>
      <c r="O225" t="str">
        <f t="shared" si="102"/>
        <v/>
      </c>
      <c r="P225" t="str">
        <f t="shared" si="102"/>
        <v/>
      </c>
      <c r="Q225" t="str">
        <f t="shared" si="102"/>
        <v/>
      </c>
      <c r="R225" t="str">
        <f t="shared" si="102"/>
        <v/>
      </c>
      <c r="S225" t="str">
        <f t="shared" si="102"/>
        <v/>
      </c>
      <c r="T225" t="str">
        <f t="shared" si="102"/>
        <v/>
      </c>
      <c r="U225" t="str">
        <f t="shared" si="102"/>
        <v/>
      </c>
      <c r="V225" t="str">
        <f t="shared" si="102"/>
        <v/>
      </c>
      <c r="W225" t="str">
        <f t="shared" si="102"/>
        <v/>
      </c>
      <c r="X225" t="str">
        <f t="shared" si="102"/>
        <v/>
      </c>
      <c r="Y225" t="str">
        <f t="shared" si="102"/>
        <v/>
      </c>
      <c r="Z225" t="str">
        <f t="shared" si="102"/>
        <v/>
      </c>
      <c r="AA225" t="str">
        <f t="shared" si="102"/>
        <v/>
      </c>
      <c r="AB225" t="str">
        <f t="shared" si="102"/>
        <v/>
      </c>
      <c r="AC225" t="str">
        <f t="shared" si="102"/>
        <v/>
      </c>
      <c r="AD225" t="str">
        <f t="shared" si="102"/>
        <v/>
      </c>
      <c r="AE225" t="str">
        <f t="shared" si="102"/>
        <v/>
      </c>
      <c r="AF225" t="str">
        <f t="shared" si="102"/>
        <v/>
      </c>
      <c r="AG225" t="str">
        <f t="shared" si="102"/>
        <v/>
      </c>
      <c r="AH225" t="str">
        <f t="shared" si="102"/>
        <v/>
      </c>
      <c r="AI225" t="str">
        <f t="shared" si="102"/>
        <v/>
      </c>
      <c r="AJ225" t="str">
        <f t="shared" si="102"/>
        <v/>
      </c>
      <c r="AK225" t="str">
        <f t="shared" si="102"/>
        <v/>
      </c>
      <c r="AL225" t="str">
        <f t="shared" si="102"/>
        <v/>
      </c>
      <c r="AM225" t="str">
        <f t="shared" si="102"/>
        <v/>
      </c>
      <c r="AN225" t="str">
        <f t="shared" si="102"/>
        <v/>
      </c>
      <c r="AO225" t="str">
        <f t="shared" si="102"/>
        <v/>
      </c>
      <c r="AP225" t="str">
        <f t="shared" si="102"/>
        <v/>
      </c>
      <c r="AQ225" t="str">
        <f t="shared" si="102"/>
        <v/>
      </c>
      <c r="AR225" t="str">
        <f t="shared" si="102"/>
        <v/>
      </c>
      <c r="AS225" t="str">
        <f t="shared" si="102"/>
        <v/>
      </c>
      <c r="AT225" t="str">
        <f t="shared" si="102"/>
        <v/>
      </c>
      <c r="AU225" t="str">
        <f t="shared" si="102"/>
        <v/>
      </c>
      <c r="AY225" s="255" t="str">
        <f t="shared" si="58"/>
        <v/>
      </c>
    </row>
    <row r="226" spans="1:51" x14ac:dyDescent="0.35">
      <c r="A226" s="286"/>
      <c r="B226" t="str">
        <f t="shared" ref="B226:G235" si="103">IF($H121="","",IF(B121="",B$5,B121))</f>
        <v/>
      </c>
      <c r="C226" t="str">
        <f t="shared" si="103"/>
        <v/>
      </c>
      <c r="D226" t="str">
        <f t="shared" si="103"/>
        <v/>
      </c>
      <c r="E226" t="str">
        <f t="shared" si="103"/>
        <v/>
      </c>
      <c r="F226" t="str">
        <f t="shared" si="103"/>
        <v/>
      </c>
      <c r="G226" t="str">
        <f t="shared" si="103"/>
        <v/>
      </c>
      <c r="H226" t="str">
        <f t="shared" si="93"/>
        <v/>
      </c>
      <c r="I226" t="str">
        <f t="shared" ref="I226:J245" si="104">IF(OR(I121="",$H121=""),"",I121)</f>
        <v/>
      </c>
      <c r="J226" t="str">
        <f t="shared" si="104"/>
        <v/>
      </c>
      <c r="K226" t="str">
        <f t="shared" si="55"/>
        <v/>
      </c>
      <c r="L226" t="str">
        <f t="shared" si="94"/>
        <v/>
      </c>
      <c r="M226" t="str">
        <f t="shared" ref="M226:AU226" si="105">IF($H226="","",M121+L226)</f>
        <v/>
      </c>
      <c r="N226" t="str">
        <f t="shared" si="105"/>
        <v/>
      </c>
      <c r="O226" t="str">
        <f t="shared" si="105"/>
        <v/>
      </c>
      <c r="P226" t="str">
        <f t="shared" si="105"/>
        <v/>
      </c>
      <c r="Q226" t="str">
        <f t="shared" si="105"/>
        <v/>
      </c>
      <c r="R226" t="str">
        <f t="shared" si="105"/>
        <v/>
      </c>
      <c r="S226" t="str">
        <f t="shared" si="105"/>
        <v/>
      </c>
      <c r="T226" t="str">
        <f t="shared" si="105"/>
        <v/>
      </c>
      <c r="U226" t="str">
        <f t="shared" si="105"/>
        <v/>
      </c>
      <c r="V226" t="str">
        <f t="shared" si="105"/>
        <v/>
      </c>
      <c r="W226" t="str">
        <f t="shared" si="105"/>
        <v/>
      </c>
      <c r="X226" t="str">
        <f t="shared" si="105"/>
        <v/>
      </c>
      <c r="Y226" t="str">
        <f t="shared" si="105"/>
        <v/>
      </c>
      <c r="Z226" t="str">
        <f t="shared" si="105"/>
        <v/>
      </c>
      <c r="AA226" t="str">
        <f t="shared" si="105"/>
        <v/>
      </c>
      <c r="AB226" t="str">
        <f t="shared" si="105"/>
        <v/>
      </c>
      <c r="AC226" t="str">
        <f t="shared" si="105"/>
        <v/>
      </c>
      <c r="AD226" t="str">
        <f t="shared" si="105"/>
        <v/>
      </c>
      <c r="AE226" t="str">
        <f t="shared" si="105"/>
        <v/>
      </c>
      <c r="AF226" t="str">
        <f t="shared" si="105"/>
        <v/>
      </c>
      <c r="AG226" t="str">
        <f t="shared" si="105"/>
        <v/>
      </c>
      <c r="AH226" t="str">
        <f t="shared" si="105"/>
        <v/>
      </c>
      <c r="AI226" t="str">
        <f t="shared" si="105"/>
        <v/>
      </c>
      <c r="AJ226" t="str">
        <f t="shared" si="105"/>
        <v/>
      </c>
      <c r="AK226" t="str">
        <f t="shared" si="105"/>
        <v/>
      </c>
      <c r="AL226" t="str">
        <f t="shared" si="105"/>
        <v/>
      </c>
      <c r="AM226" t="str">
        <f t="shared" si="105"/>
        <v/>
      </c>
      <c r="AN226" t="str">
        <f t="shared" si="105"/>
        <v/>
      </c>
      <c r="AO226" t="str">
        <f t="shared" si="105"/>
        <v/>
      </c>
      <c r="AP226" t="str">
        <f t="shared" si="105"/>
        <v/>
      </c>
      <c r="AQ226" t="str">
        <f t="shared" si="105"/>
        <v/>
      </c>
      <c r="AR226" t="str">
        <f t="shared" si="105"/>
        <v/>
      </c>
      <c r="AS226" t="str">
        <f t="shared" si="105"/>
        <v/>
      </c>
      <c r="AT226" t="str">
        <f t="shared" si="105"/>
        <v/>
      </c>
      <c r="AU226" t="str">
        <f t="shared" si="105"/>
        <v/>
      </c>
      <c r="AY226" s="255" t="str">
        <f t="shared" si="58"/>
        <v/>
      </c>
    </row>
    <row r="227" spans="1:51" x14ac:dyDescent="0.35">
      <c r="A227" s="286"/>
      <c r="B227" t="str">
        <f t="shared" si="103"/>
        <v/>
      </c>
      <c r="C227" t="str">
        <f t="shared" si="103"/>
        <v/>
      </c>
      <c r="D227" t="str">
        <f t="shared" si="103"/>
        <v/>
      </c>
      <c r="E227" t="str">
        <f t="shared" si="103"/>
        <v/>
      </c>
      <c r="F227" t="str">
        <f t="shared" si="103"/>
        <v/>
      </c>
      <c r="G227" t="str">
        <f t="shared" si="103"/>
        <v/>
      </c>
      <c r="H227" t="str">
        <f t="shared" si="93"/>
        <v/>
      </c>
      <c r="I227" t="str">
        <f t="shared" si="104"/>
        <v/>
      </c>
      <c r="J227" t="str">
        <f t="shared" si="104"/>
        <v/>
      </c>
      <c r="K227" t="str">
        <f t="shared" si="55"/>
        <v/>
      </c>
      <c r="L227" t="str">
        <f t="shared" si="94"/>
        <v/>
      </c>
      <c r="M227" t="str">
        <f t="shared" ref="M227:AU227" si="106">IF($H227="","",M122+L227)</f>
        <v/>
      </c>
      <c r="N227" t="str">
        <f t="shared" si="106"/>
        <v/>
      </c>
      <c r="O227" t="str">
        <f t="shared" si="106"/>
        <v/>
      </c>
      <c r="P227" t="str">
        <f t="shared" si="106"/>
        <v/>
      </c>
      <c r="Q227" t="str">
        <f t="shared" si="106"/>
        <v/>
      </c>
      <c r="R227" t="str">
        <f t="shared" si="106"/>
        <v/>
      </c>
      <c r="S227" t="str">
        <f t="shared" si="106"/>
        <v/>
      </c>
      <c r="T227" t="str">
        <f t="shared" si="106"/>
        <v/>
      </c>
      <c r="U227" t="str">
        <f t="shared" si="106"/>
        <v/>
      </c>
      <c r="V227" t="str">
        <f t="shared" si="106"/>
        <v/>
      </c>
      <c r="W227" t="str">
        <f t="shared" si="106"/>
        <v/>
      </c>
      <c r="X227" t="str">
        <f t="shared" si="106"/>
        <v/>
      </c>
      <c r="Y227" t="str">
        <f t="shared" si="106"/>
        <v/>
      </c>
      <c r="Z227" t="str">
        <f t="shared" si="106"/>
        <v/>
      </c>
      <c r="AA227" t="str">
        <f t="shared" si="106"/>
        <v/>
      </c>
      <c r="AB227" t="str">
        <f t="shared" si="106"/>
        <v/>
      </c>
      <c r="AC227" t="str">
        <f t="shared" si="106"/>
        <v/>
      </c>
      <c r="AD227" t="str">
        <f t="shared" si="106"/>
        <v/>
      </c>
      <c r="AE227" t="str">
        <f t="shared" si="106"/>
        <v/>
      </c>
      <c r="AF227" t="str">
        <f t="shared" si="106"/>
        <v/>
      </c>
      <c r="AG227" t="str">
        <f t="shared" si="106"/>
        <v/>
      </c>
      <c r="AH227" t="str">
        <f t="shared" si="106"/>
        <v/>
      </c>
      <c r="AI227" t="str">
        <f t="shared" si="106"/>
        <v/>
      </c>
      <c r="AJ227" t="str">
        <f t="shared" si="106"/>
        <v/>
      </c>
      <c r="AK227" t="str">
        <f t="shared" si="106"/>
        <v/>
      </c>
      <c r="AL227" t="str">
        <f t="shared" si="106"/>
        <v/>
      </c>
      <c r="AM227" t="str">
        <f t="shared" si="106"/>
        <v/>
      </c>
      <c r="AN227" t="str">
        <f t="shared" si="106"/>
        <v/>
      </c>
      <c r="AO227" t="str">
        <f t="shared" si="106"/>
        <v/>
      </c>
      <c r="AP227" t="str">
        <f t="shared" si="106"/>
        <v/>
      </c>
      <c r="AQ227" t="str">
        <f t="shared" si="106"/>
        <v/>
      </c>
      <c r="AR227" t="str">
        <f t="shared" si="106"/>
        <v/>
      </c>
      <c r="AS227" t="str">
        <f t="shared" si="106"/>
        <v/>
      </c>
      <c r="AT227" t="str">
        <f t="shared" si="106"/>
        <v/>
      </c>
      <c r="AU227" t="str">
        <f t="shared" si="106"/>
        <v/>
      </c>
      <c r="AY227" s="255" t="str">
        <f t="shared" si="58"/>
        <v/>
      </c>
    </row>
    <row r="228" spans="1:51" x14ac:dyDescent="0.35">
      <c r="A228" s="286"/>
      <c r="B228" t="str">
        <f t="shared" si="103"/>
        <v/>
      </c>
      <c r="C228" t="str">
        <f t="shared" si="103"/>
        <v/>
      </c>
      <c r="D228" t="str">
        <f t="shared" si="103"/>
        <v/>
      </c>
      <c r="E228" t="str">
        <f t="shared" si="103"/>
        <v/>
      </c>
      <c r="F228" t="str">
        <f t="shared" si="103"/>
        <v/>
      </c>
      <c r="G228" t="str">
        <f t="shared" si="103"/>
        <v/>
      </c>
      <c r="H228" t="str">
        <f t="shared" si="93"/>
        <v/>
      </c>
      <c r="I228" t="str">
        <f t="shared" si="104"/>
        <v/>
      </c>
      <c r="J228" t="str">
        <f t="shared" si="104"/>
        <v/>
      </c>
      <c r="K228" t="str">
        <f t="shared" si="55"/>
        <v/>
      </c>
      <c r="L228" t="str">
        <f t="shared" si="94"/>
        <v/>
      </c>
      <c r="M228" t="str">
        <f t="shared" ref="M228:AU228" si="107">IF($H228="","",M123+L228)</f>
        <v/>
      </c>
      <c r="N228" t="str">
        <f t="shared" si="107"/>
        <v/>
      </c>
      <c r="O228" t="str">
        <f t="shared" si="107"/>
        <v/>
      </c>
      <c r="P228" t="str">
        <f t="shared" si="107"/>
        <v/>
      </c>
      <c r="Q228" t="str">
        <f t="shared" si="107"/>
        <v/>
      </c>
      <c r="R228" t="str">
        <f t="shared" si="107"/>
        <v/>
      </c>
      <c r="S228" t="str">
        <f t="shared" si="107"/>
        <v/>
      </c>
      <c r="T228" t="str">
        <f t="shared" si="107"/>
        <v/>
      </c>
      <c r="U228" t="str">
        <f t="shared" si="107"/>
        <v/>
      </c>
      <c r="V228" t="str">
        <f t="shared" si="107"/>
        <v/>
      </c>
      <c r="W228" t="str">
        <f t="shared" si="107"/>
        <v/>
      </c>
      <c r="X228" t="str">
        <f t="shared" si="107"/>
        <v/>
      </c>
      <c r="Y228" t="str">
        <f t="shared" si="107"/>
        <v/>
      </c>
      <c r="Z228" t="str">
        <f t="shared" si="107"/>
        <v/>
      </c>
      <c r="AA228" t="str">
        <f t="shared" si="107"/>
        <v/>
      </c>
      <c r="AB228" t="str">
        <f t="shared" si="107"/>
        <v/>
      </c>
      <c r="AC228" t="str">
        <f t="shared" si="107"/>
        <v/>
      </c>
      <c r="AD228" t="str">
        <f t="shared" si="107"/>
        <v/>
      </c>
      <c r="AE228" t="str">
        <f t="shared" si="107"/>
        <v/>
      </c>
      <c r="AF228" t="str">
        <f t="shared" si="107"/>
        <v/>
      </c>
      <c r="AG228" t="str">
        <f t="shared" si="107"/>
        <v/>
      </c>
      <c r="AH228" t="str">
        <f t="shared" si="107"/>
        <v/>
      </c>
      <c r="AI228" t="str">
        <f t="shared" si="107"/>
        <v/>
      </c>
      <c r="AJ228" t="str">
        <f t="shared" si="107"/>
        <v/>
      </c>
      <c r="AK228" t="str">
        <f t="shared" si="107"/>
        <v/>
      </c>
      <c r="AL228" t="str">
        <f t="shared" si="107"/>
        <v/>
      </c>
      <c r="AM228" t="str">
        <f t="shared" si="107"/>
        <v/>
      </c>
      <c r="AN228" t="str">
        <f t="shared" si="107"/>
        <v/>
      </c>
      <c r="AO228" t="str">
        <f t="shared" si="107"/>
        <v/>
      </c>
      <c r="AP228" t="str">
        <f t="shared" si="107"/>
        <v/>
      </c>
      <c r="AQ228" t="str">
        <f t="shared" si="107"/>
        <v/>
      </c>
      <c r="AR228" t="str">
        <f t="shared" si="107"/>
        <v/>
      </c>
      <c r="AS228" t="str">
        <f t="shared" si="107"/>
        <v/>
      </c>
      <c r="AT228" t="str">
        <f t="shared" si="107"/>
        <v/>
      </c>
      <c r="AU228" t="str">
        <f t="shared" si="107"/>
        <v/>
      </c>
      <c r="AY228" s="255" t="str">
        <f t="shared" si="58"/>
        <v/>
      </c>
    </row>
    <row r="229" spans="1:51" x14ac:dyDescent="0.35">
      <c r="A229" s="286"/>
      <c r="B229" t="str">
        <f t="shared" si="103"/>
        <v/>
      </c>
      <c r="C229" t="str">
        <f t="shared" si="103"/>
        <v/>
      </c>
      <c r="D229" t="str">
        <f t="shared" si="103"/>
        <v/>
      </c>
      <c r="E229" t="str">
        <f t="shared" si="103"/>
        <v/>
      </c>
      <c r="F229" t="str">
        <f t="shared" si="103"/>
        <v/>
      </c>
      <c r="G229" t="str">
        <f t="shared" si="103"/>
        <v/>
      </c>
      <c r="H229" t="str">
        <f t="shared" si="93"/>
        <v/>
      </c>
      <c r="I229" t="str">
        <f t="shared" si="104"/>
        <v/>
      </c>
      <c r="J229" t="str">
        <f t="shared" si="104"/>
        <v/>
      </c>
      <c r="K229" t="str">
        <f t="shared" si="55"/>
        <v/>
      </c>
      <c r="L229" t="str">
        <f t="shared" si="94"/>
        <v/>
      </c>
      <c r="M229" t="str">
        <f t="shared" ref="M229:AU229" si="108">IF($H229="","",M124+L229)</f>
        <v/>
      </c>
      <c r="N229" t="str">
        <f t="shared" si="108"/>
        <v/>
      </c>
      <c r="O229" t="str">
        <f t="shared" si="108"/>
        <v/>
      </c>
      <c r="P229" t="str">
        <f t="shared" si="108"/>
        <v/>
      </c>
      <c r="Q229" t="str">
        <f t="shared" si="108"/>
        <v/>
      </c>
      <c r="R229" t="str">
        <f t="shared" si="108"/>
        <v/>
      </c>
      <c r="S229" t="str">
        <f t="shared" si="108"/>
        <v/>
      </c>
      <c r="T229" t="str">
        <f t="shared" si="108"/>
        <v/>
      </c>
      <c r="U229" t="str">
        <f t="shared" si="108"/>
        <v/>
      </c>
      <c r="V229" t="str">
        <f t="shared" si="108"/>
        <v/>
      </c>
      <c r="W229" t="str">
        <f t="shared" si="108"/>
        <v/>
      </c>
      <c r="X229" t="str">
        <f t="shared" si="108"/>
        <v/>
      </c>
      <c r="Y229" t="str">
        <f t="shared" si="108"/>
        <v/>
      </c>
      <c r="Z229" t="str">
        <f t="shared" si="108"/>
        <v/>
      </c>
      <c r="AA229" t="str">
        <f t="shared" si="108"/>
        <v/>
      </c>
      <c r="AB229" t="str">
        <f t="shared" si="108"/>
        <v/>
      </c>
      <c r="AC229" t="str">
        <f t="shared" si="108"/>
        <v/>
      </c>
      <c r="AD229" t="str">
        <f t="shared" si="108"/>
        <v/>
      </c>
      <c r="AE229" t="str">
        <f t="shared" si="108"/>
        <v/>
      </c>
      <c r="AF229" t="str">
        <f t="shared" si="108"/>
        <v/>
      </c>
      <c r="AG229" t="str">
        <f t="shared" si="108"/>
        <v/>
      </c>
      <c r="AH229" t="str">
        <f t="shared" si="108"/>
        <v/>
      </c>
      <c r="AI229" t="str">
        <f t="shared" si="108"/>
        <v/>
      </c>
      <c r="AJ229" t="str">
        <f t="shared" si="108"/>
        <v/>
      </c>
      <c r="AK229" t="str">
        <f t="shared" si="108"/>
        <v/>
      </c>
      <c r="AL229" t="str">
        <f t="shared" si="108"/>
        <v/>
      </c>
      <c r="AM229" t="str">
        <f t="shared" si="108"/>
        <v/>
      </c>
      <c r="AN229" t="str">
        <f t="shared" si="108"/>
        <v/>
      </c>
      <c r="AO229" t="str">
        <f t="shared" si="108"/>
        <v/>
      </c>
      <c r="AP229" t="str">
        <f t="shared" si="108"/>
        <v/>
      </c>
      <c r="AQ229" t="str">
        <f t="shared" si="108"/>
        <v/>
      </c>
      <c r="AR229" t="str">
        <f t="shared" si="108"/>
        <v/>
      </c>
      <c r="AS229" t="str">
        <f t="shared" si="108"/>
        <v/>
      </c>
      <c r="AT229" t="str">
        <f t="shared" si="108"/>
        <v/>
      </c>
      <c r="AU229" t="str">
        <f t="shared" si="108"/>
        <v/>
      </c>
      <c r="AY229" s="255" t="str">
        <f t="shared" si="58"/>
        <v/>
      </c>
    </row>
    <row r="230" spans="1:51" x14ac:dyDescent="0.35">
      <c r="A230" s="286"/>
      <c r="B230" t="str">
        <f t="shared" si="103"/>
        <v/>
      </c>
      <c r="C230" t="str">
        <f t="shared" si="103"/>
        <v/>
      </c>
      <c r="D230" t="str">
        <f t="shared" si="103"/>
        <v/>
      </c>
      <c r="E230" t="str">
        <f t="shared" si="103"/>
        <v/>
      </c>
      <c r="F230" t="str">
        <f t="shared" si="103"/>
        <v/>
      </c>
      <c r="G230" t="str">
        <f t="shared" si="103"/>
        <v/>
      </c>
      <c r="H230" t="str">
        <f t="shared" si="93"/>
        <v/>
      </c>
      <c r="I230" t="str">
        <f t="shared" si="104"/>
        <v/>
      </c>
      <c r="J230" t="str">
        <f t="shared" si="104"/>
        <v/>
      </c>
      <c r="K230" t="str">
        <f t="shared" si="55"/>
        <v/>
      </c>
      <c r="L230" t="str">
        <f t="shared" si="94"/>
        <v/>
      </c>
      <c r="M230" t="str">
        <f t="shared" ref="M230:AU230" si="109">IF($H230="","",M125+L230)</f>
        <v/>
      </c>
      <c r="N230" t="str">
        <f t="shared" si="109"/>
        <v/>
      </c>
      <c r="O230" t="str">
        <f t="shared" si="109"/>
        <v/>
      </c>
      <c r="P230" t="str">
        <f t="shared" si="109"/>
        <v/>
      </c>
      <c r="Q230" t="str">
        <f t="shared" si="109"/>
        <v/>
      </c>
      <c r="R230" t="str">
        <f t="shared" si="109"/>
        <v/>
      </c>
      <c r="S230" t="str">
        <f t="shared" si="109"/>
        <v/>
      </c>
      <c r="T230" t="str">
        <f t="shared" si="109"/>
        <v/>
      </c>
      <c r="U230" t="str">
        <f t="shared" si="109"/>
        <v/>
      </c>
      <c r="V230" t="str">
        <f t="shared" si="109"/>
        <v/>
      </c>
      <c r="W230" t="str">
        <f t="shared" si="109"/>
        <v/>
      </c>
      <c r="X230" t="str">
        <f t="shared" si="109"/>
        <v/>
      </c>
      <c r="Y230" t="str">
        <f t="shared" si="109"/>
        <v/>
      </c>
      <c r="Z230" t="str">
        <f t="shared" si="109"/>
        <v/>
      </c>
      <c r="AA230" t="str">
        <f t="shared" si="109"/>
        <v/>
      </c>
      <c r="AB230" t="str">
        <f t="shared" si="109"/>
        <v/>
      </c>
      <c r="AC230" t="str">
        <f t="shared" si="109"/>
        <v/>
      </c>
      <c r="AD230" t="str">
        <f t="shared" si="109"/>
        <v/>
      </c>
      <c r="AE230" t="str">
        <f t="shared" si="109"/>
        <v/>
      </c>
      <c r="AF230" t="str">
        <f t="shared" si="109"/>
        <v/>
      </c>
      <c r="AG230" t="str">
        <f t="shared" si="109"/>
        <v/>
      </c>
      <c r="AH230" t="str">
        <f t="shared" si="109"/>
        <v/>
      </c>
      <c r="AI230" t="str">
        <f t="shared" si="109"/>
        <v/>
      </c>
      <c r="AJ230" t="str">
        <f t="shared" si="109"/>
        <v/>
      </c>
      <c r="AK230" t="str">
        <f t="shared" si="109"/>
        <v/>
      </c>
      <c r="AL230" t="str">
        <f t="shared" si="109"/>
        <v/>
      </c>
      <c r="AM230" t="str">
        <f t="shared" si="109"/>
        <v/>
      </c>
      <c r="AN230" t="str">
        <f t="shared" si="109"/>
        <v/>
      </c>
      <c r="AO230" t="str">
        <f t="shared" si="109"/>
        <v/>
      </c>
      <c r="AP230" t="str">
        <f t="shared" si="109"/>
        <v/>
      </c>
      <c r="AQ230" t="str">
        <f t="shared" si="109"/>
        <v/>
      </c>
      <c r="AR230" t="str">
        <f t="shared" si="109"/>
        <v/>
      </c>
      <c r="AS230" t="str">
        <f t="shared" si="109"/>
        <v/>
      </c>
      <c r="AT230" t="str">
        <f t="shared" si="109"/>
        <v/>
      </c>
      <c r="AU230" t="str">
        <f t="shared" si="109"/>
        <v/>
      </c>
      <c r="AY230" s="255" t="str">
        <f t="shared" si="58"/>
        <v/>
      </c>
    </row>
    <row r="231" spans="1:51" x14ac:dyDescent="0.35">
      <c r="A231" s="286"/>
      <c r="B231" t="str">
        <f t="shared" si="103"/>
        <v/>
      </c>
      <c r="C231" t="str">
        <f t="shared" si="103"/>
        <v/>
      </c>
      <c r="D231" t="str">
        <f t="shared" si="103"/>
        <v/>
      </c>
      <c r="E231" t="str">
        <f t="shared" si="103"/>
        <v/>
      </c>
      <c r="F231" t="str">
        <f t="shared" si="103"/>
        <v/>
      </c>
      <c r="G231" t="str">
        <f t="shared" si="103"/>
        <v/>
      </c>
      <c r="H231" t="str">
        <f t="shared" si="93"/>
        <v/>
      </c>
      <c r="I231" t="str">
        <f t="shared" si="104"/>
        <v/>
      </c>
      <c r="J231" t="str">
        <f t="shared" si="104"/>
        <v/>
      </c>
      <c r="K231" t="str">
        <f t="shared" si="55"/>
        <v/>
      </c>
      <c r="L231" t="str">
        <f t="shared" si="94"/>
        <v/>
      </c>
      <c r="M231" t="str">
        <f t="shared" ref="M231:AU231" si="110">IF($H231="","",M126+L231)</f>
        <v/>
      </c>
      <c r="N231" t="str">
        <f t="shared" si="110"/>
        <v/>
      </c>
      <c r="O231" t="str">
        <f t="shared" si="110"/>
        <v/>
      </c>
      <c r="P231" t="str">
        <f t="shared" si="110"/>
        <v/>
      </c>
      <c r="Q231" t="str">
        <f t="shared" si="110"/>
        <v/>
      </c>
      <c r="R231" t="str">
        <f t="shared" si="110"/>
        <v/>
      </c>
      <c r="S231" t="str">
        <f t="shared" si="110"/>
        <v/>
      </c>
      <c r="T231" t="str">
        <f t="shared" si="110"/>
        <v/>
      </c>
      <c r="U231" t="str">
        <f t="shared" si="110"/>
        <v/>
      </c>
      <c r="V231" t="str">
        <f t="shared" si="110"/>
        <v/>
      </c>
      <c r="W231" t="str">
        <f t="shared" si="110"/>
        <v/>
      </c>
      <c r="X231" t="str">
        <f t="shared" si="110"/>
        <v/>
      </c>
      <c r="Y231" t="str">
        <f t="shared" si="110"/>
        <v/>
      </c>
      <c r="Z231" t="str">
        <f t="shared" si="110"/>
        <v/>
      </c>
      <c r="AA231" t="str">
        <f t="shared" si="110"/>
        <v/>
      </c>
      <c r="AB231" t="str">
        <f t="shared" si="110"/>
        <v/>
      </c>
      <c r="AC231" t="str">
        <f t="shared" si="110"/>
        <v/>
      </c>
      <c r="AD231" t="str">
        <f t="shared" si="110"/>
        <v/>
      </c>
      <c r="AE231" t="str">
        <f t="shared" si="110"/>
        <v/>
      </c>
      <c r="AF231" t="str">
        <f t="shared" si="110"/>
        <v/>
      </c>
      <c r="AG231" t="str">
        <f t="shared" si="110"/>
        <v/>
      </c>
      <c r="AH231" t="str">
        <f t="shared" si="110"/>
        <v/>
      </c>
      <c r="AI231" t="str">
        <f t="shared" si="110"/>
        <v/>
      </c>
      <c r="AJ231" t="str">
        <f t="shared" si="110"/>
        <v/>
      </c>
      <c r="AK231" t="str">
        <f t="shared" si="110"/>
        <v/>
      </c>
      <c r="AL231" t="str">
        <f t="shared" si="110"/>
        <v/>
      </c>
      <c r="AM231" t="str">
        <f t="shared" si="110"/>
        <v/>
      </c>
      <c r="AN231" t="str">
        <f t="shared" si="110"/>
        <v/>
      </c>
      <c r="AO231" t="str">
        <f t="shared" si="110"/>
        <v/>
      </c>
      <c r="AP231" t="str">
        <f t="shared" si="110"/>
        <v/>
      </c>
      <c r="AQ231" t="str">
        <f t="shared" si="110"/>
        <v/>
      </c>
      <c r="AR231" t="str">
        <f t="shared" si="110"/>
        <v/>
      </c>
      <c r="AS231" t="str">
        <f t="shared" si="110"/>
        <v/>
      </c>
      <c r="AT231" t="str">
        <f t="shared" si="110"/>
        <v/>
      </c>
      <c r="AU231" t="str">
        <f t="shared" si="110"/>
        <v/>
      </c>
      <c r="AY231" s="255" t="str">
        <f t="shared" si="58"/>
        <v/>
      </c>
    </row>
    <row r="232" spans="1:51" x14ac:dyDescent="0.35">
      <c r="A232" s="286"/>
      <c r="B232" t="str">
        <f t="shared" si="103"/>
        <v/>
      </c>
      <c r="C232" t="str">
        <f t="shared" si="103"/>
        <v/>
      </c>
      <c r="D232" t="str">
        <f t="shared" si="103"/>
        <v/>
      </c>
      <c r="E232" t="str">
        <f t="shared" si="103"/>
        <v/>
      </c>
      <c r="F232" t="str">
        <f t="shared" si="103"/>
        <v/>
      </c>
      <c r="G232" t="str">
        <f t="shared" si="103"/>
        <v/>
      </c>
      <c r="H232" t="str">
        <f t="shared" si="93"/>
        <v/>
      </c>
      <c r="I232" t="str">
        <f t="shared" si="104"/>
        <v/>
      </c>
      <c r="J232" t="str">
        <f t="shared" si="104"/>
        <v/>
      </c>
      <c r="K232" t="str">
        <f t="shared" si="55"/>
        <v/>
      </c>
      <c r="L232" t="str">
        <f t="shared" si="94"/>
        <v/>
      </c>
      <c r="M232" t="str">
        <f t="shared" ref="M232:AU232" si="111">IF($H232="","",M127+L232)</f>
        <v/>
      </c>
      <c r="N232" t="str">
        <f t="shared" si="111"/>
        <v/>
      </c>
      <c r="O232" t="str">
        <f t="shared" si="111"/>
        <v/>
      </c>
      <c r="P232" t="str">
        <f t="shared" si="111"/>
        <v/>
      </c>
      <c r="Q232" t="str">
        <f t="shared" si="111"/>
        <v/>
      </c>
      <c r="R232" t="str">
        <f t="shared" si="111"/>
        <v/>
      </c>
      <c r="S232" t="str">
        <f t="shared" si="111"/>
        <v/>
      </c>
      <c r="T232" t="str">
        <f t="shared" si="111"/>
        <v/>
      </c>
      <c r="U232" t="str">
        <f t="shared" si="111"/>
        <v/>
      </c>
      <c r="V232" t="str">
        <f t="shared" si="111"/>
        <v/>
      </c>
      <c r="W232" t="str">
        <f t="shared" si="111"/>
        <v/>
      </c>
      <c r="X232" t="str">
        <f t="shared" si="111"/>
        <v/>
      </c>
      <c r="Y232" t="str">
        <f t="shared" si="111"/>
        <v/>
      </c>
      <c r="Z232" t="str">
        <f t="shared" si="111"/>
        <v/>
      </c>
      <c r="AA232" t="str">
        <f t="shared" si="111"/>
        <v/>
      </c>
      <c r="AB232" t="str">
        <f t="shared" si="111"/>
        <v/>
      </c>
      <c r="AC232" t="str">
        <f t="shared" si="111"/>
        <v/>
      </c>
      <c r="AD232" t="str">
        <f t="shared" si="111"/>
        <v/>
      </c>
      <c r="AE232" t="str">
        <f t="shared" si="111"/>
        <v/>
      </c>
      <c r="AF232" t="str">
        <f t="shared" si="111"/>
        <v/>
      </c>
      <c r="AG232" t="str">
        <f t="shared" si="111"/>
        <v/>
      </c>
      <c r="AH232" t="str">
        <f t="shared" si="111"/>
        <v/>
      </c>
      <c r="AI232" t="str">
        <f t="shared" si="111"/>
        <v/>
      </c>
      <c r="AJ232" t="str">
        <f t="shared" si="111"/>
        <v/>
      </c>
      <c r="AK232" t="str">
        <f t="shared" si="111"/>
        <v/>
      </c>
      <c r="AL232" t="str">
        <f t="shared" si="111"/>
        <v/>
      </c>
      <c r="AM232" t="str">
        <f t="shared" si="111"/>
        <v/>
      </c>
      <c r="AN232" t="str">
        <f t="shared" si="111"/>
        <v/>
      </c>
      <c r="AO232" t="str">
        <f t="shared" si="111"/>
        <v/>
      </c>
      <c r="AP232" t="str">
        <f t="shared" si="111"/>
        <v/>
      </c>
      <c r="AQ232" t="str">
        <f t="shared" si="111"/>
        <v/>
      </c>
      <c r="AR232" t="str">
        <f t="shared" si="111"/>
        <v/>
      </c>
      <c r="AS232" t="str">
        <f t="shared" si="111"/>
        <v/>
      </c>
      <c r="AT232" t="str">
        <f t="shared" si="111"/>
        <v/>
      </c>
      <c r="AU232" t="str">
        <f t="shared" si="111"/>
        <v/>
      </c>
      <c r="AY232" s="255" t="str">
        <f t="shared" si="58"/>
        <v/>
      </c>
    </row>
    <row r="233" spans="1:51" x14ac:dyDescent="0.35">
      <c r="A233" s="286"/>
      <c r="B233" t="str">
        <f t="shared" si="103"/>
        <v/>
      </c>
      <c r="C233" t="str">
        <f t="shared" si="103"/>
        <v/>
      </c>
      <c r="D233" t="str">
        <f t="shared" si="103"/>
        <v/>
      </c>
      <c r="E233" t="str">
        <f t="shared" si="103"/>
        <v/>
      </c>
      <c r="F233" t="str">
        <f t="shared" si="103"/>
        <v/>
      </c>
      <c r="G233" t="str">
        <f t="shared" si="103"/>
        <v/>
      </c>
      <c r="H233" t="str">
        <f t="shared" si="93"/>
        <v/>
      </c>
      <c r="I233" t="str">
        <f t="shared" si="104"/>
        <v/>
      </c>
      <c r="J233" t="str">
        <f t="shared" si="104"/>
        <v/>
      </c>
      <c r="K233" t="str">
        <f t="shared" si="55"/>
        <v/>
      </c>
      <c r="L233" t="str">
        <f t="shared" si="94"/>
        <v/>
      </c>
      <c r="M233" t="str">
        <f t="shared" ref="M233:AU233" si="112">IF($H233="","",M128+L233)</f>
        <v/>
      </c>
      <c r="N233" t="str">
        <f t="shared" si="112"/>
        <v/>
      </c>
      <c r="O233" t="str">
        <f t="shared" si="112"/>
        <v/>
      </c>
      <c r="P233" t="str">
        <f t="shared" si="112"/>
        <v/>
      </c>
      <c r="Q233" t="str">
        <f t="shared" si="112"/>
        <v/>
      </c>
      <c r="R233" t="str">
        <f t="shared" si="112"/>
        <v/>
      </c>
      <c r="S233" t="str">
        <f t="shared" si="112"/>
        <v/>
      </c>
      <c r="T233" t="str">
        <f t="shared" si="112"/>
        <v/>
      </c>
      <c r="U233" t="str">
        <f t="shared" si="112"/>
        <v/>
      </c>
      <c r="V233" t="str">
        <f t="shared" si="112"/>
        <v/>
      </c>
      <c r="W233" t="str">
        <f t="shared" si="112"/>
        <v/>
      </c>
      <c r="X233" t="str">
        <f t="shared" si="112"/>
        <v/>
      </c>
      <c r="Y233" t="str">
        <f t="shared" si="112"/>
        <v/>
      </c>
      <c r="Z233" t="str">
        <f t="shared" si="112"/>
        <v/>
      </c>
      <c r="AA233" t="str">
        <f t="shared" si="112"/>
        <v/>
      </c>
      <c r="AB233" t="str">
        <f t="shared" si="112"/>
        <v/>
      </c>
      <c r="AC233" t="str">
        <f t="shared" si="112"/>
        <v/>
      </c>
      <c r="AD233" t="str">
        <f t="shared" si="112"/>
        <v/>
      </c>
      <c r="AE233" t="str">
        <f t="shared" si="112"/>
        <v/>
      </c>
      <c r="AF233" t="str">
        <f t="shared" si="112"/>
        <v/>
      </c>
      <c r="AG233" t="str">
        <f t="shared" si="112"/>
        <v/>
      </c>
      <c r="AH233" t="str">
        <f t="shared" si="112"/>
        <v/>
      </c>
      <c r="AI233" t="str">
        <f t="shared" si="112"/>
        <v/>
      </c>
      <c r="AJ233" t="str">
        <f t="shared" si="112"/>
        <v/>
      </c>
      <c r="AK233" t="str">
        <f t="shared" si="112"/>
        <v/>
      </c>
      <c r="AL233" t="str">
        <f t="shared" si="112"/>
        <v/>
      </c>
      <c r="AM233" t="str">
        <f t="shared" si="112"/>
        <v/>
      </c>
      <c r="AN233" t="str">
        <f t="shared" si="112"/>
        <v/>
      </c>
      <c r="AO233" t="str">
        <f t="shared" si="112"/>
        <v/>
      </c>
      <c r="AP233" t="str">
        <f t="shared" si="112"/>
        <v/>
      </c>
      <c r="AQ233" t="str">
        <f t="shared" si="112"/>
        <v/>
      </c>
      <c r="AR233" t="str">
        <f t="shared" si="112"/>
        <v/>
      </c>
      <c r="AS233" t="str">
        <f t="shared" si="112"/>
        <v/>
      </c>
      <c r="AT233" t="str">
        <f t="shared" si="112"/>
        <v/>
      </c>
      <c r="AU233" t="str">
        <f t="shared" si="112"/>
        <v/>
      </c>
      <c r="AY233" s="255" t="str">
        <f t="shared" si="58"/>
        <v/>
      </c>
    </row>
    <row r="234" spans="1:51" x14ac:dyDescent="0.35">
      <c r="A234" s="286"/>
      <c r="B234" t="str">
        <f t="shared" si="103"/>
        <v/>
      </c>
      <c r="C234" t="str">
        <f t="shared" si="103"/>
        <v/>
      </c>
      <c r="D234" t="str">
        <f t="shared" si="103"/>
        <v/>
      </c>
      <c r="E234" t="str">
        <f t="shared" si="103"/>
        <v/>
      </c>
      <c r="F234" t="str">
        <f t="shared" si="103"/>
        <v/>
      </c>
      <c r="G234" t="str">
        <f t="shared" si="103"/>
        <v/>
      </c>
      <c r="H234" t="str">
        <f t="shared" si="93"/>
        <v/>
      </c>
      <c r="I234" t="str">
        <f t="shared" si="104"/>
        <v/>
      </c>
      <c r="J234" t="str">
        <f t="shared" si="104"/>
        <v/>
      </c>
      <c r="K234" t="str">
        <f t="shared" si="55"/>
        <v/>
      </c>
      <c r="L234" t="str">
        <f t="shared" si="94"/>
        <v/>
      </c>
      <c r="M234" t="str">
        <f t="shared" ref="M234:AU234" si="113">IF($H234="","",M129+L234)</f>
        <v/>
      </c>
      <c r="N234" t="str">
        <f t="shared" si="113"/>
        <v/>
      </c>
      <c r="O234" t="str">
        <f t="shared" si="113"/>
        <v/>
      </c>
      <c r="P234" t="str">
        <f t="shared" si="113"/>
        <v/>
      </c>
      <c r="Q234" t="str">
        <f t="shared" si="113"/>
        <v/>
      </c>
      <c r="R234" t="str">
        <f t="shared" si="113"/>
        <v/>
      </c>
      <c r="S234" t="str">
        <f t="shared" si="113"/>
        <v/>
      </c>
      <c r="T234" t="str">
        <f t="shared" si="113"/>
        <v/>
      </c>
      <c r="U234" t="str">
        <f t="shared" si="113"/>
        <v/>
      </c>
      <c r="V234" t="str">
        <f t="shared" si="113"/>
        <v/>
      </c>
      <c r="W234" t="str">
        <f t="shared" si="113"/>
        <v/>
      </c>
      <c r="X234" t="str">
        <f t="shared" si="113"/>
        <v/>
      </c>
      <c r="Y234" t="str">
        <f t="shared" si="113"/>
        <v/>
      </c>
      <c r="Z234" t="str">
        <f t="shared" si="113"/>
        <v/>
      </c>
      <c r="AA234" t="str">
        <f t="shared" si="113"/>
        <v/>
      </c>
      <c r="AB234" t="str">
        <f t="shared" si="113"/>
        <v/>
      </c>
      <c r="AC234" t="str">
        <f t="shared" si="113"/>
        <v/>
      </c>
      <c r="AD234" t="str">
        <f t="shared" si="113"/>
        <v/>
      </c>
      <c r="AE234" t="str">
        <f t="shared" si="113"/>
        <v/>
      </c>
      <c r="AF234" t="str">
        <f t="shared" si="113"/>
        <v/>
      </c>
      <c r="AG234" t="str">
        <f t="shared" si="113"/>
        <v/>
      </c>
      <c r="AH234" t="str">
        <f t="shared" si="113"/>
        <v/>
      </c>
      <c r="AI234" t="str">
        <f t="shared" si="113"/>
        <v/>
      </c>
      <c r="AJ234" t="str">
        <f t="shared" si="113"/>
        <v/>
      </c>
      <c r="AK234" t="str">
        <f t="shared" si="113"/>
        <v/>
      </c>
      <c r="AL234" t="str">
        <f t="shared" si="113"/>
        <v/>
      </c>
      <c r="AM234" t="str">
        <f t="shared" si="113"/>
        <v/>
      </c>
      <c r="AN234" t="str">
        <f t="shared" si="113"/>
        <v/>
      </c>
      <c r="AO234" t="str">
        <f t="shared" si="113"/>
        <v/>
      </c>
      <c r="AP234" t="str">
        <f t="shared" si="113"/>
        <v/>
      </c>
      <c r="AQ234" t="str">
        <f t="shared" si="113"/>
        <v/>
      </c>
      <c r="AR234" t="str">
        <f t="shared" si="113"/>
        <v/>
      </c>
      <c r="AS234" t="str">
        <f t="shared" si="113"/>
        <v/>
      </c>
      <c r="AT234" t="str">
        <f t="shared" si="113"/>
        <v/>
      </c>
      <c r="AU234" t="str">
        <f t="shared" si="113"/>
        <v/>
      </c>
      <c r="AY234" s="255" t="str">
        <f t="shared" si="58"/>
        <v/>
      </c>
    </row>
    <row r="235" spans="1:51" x14ac:dyDescent="0.35">
      <c r="A235" s="286"/>
      <c r="B235" t="str">
        <f t="shared" si="103"/>
        <v/>
      </c>
      <c r="C235" t="str">
        <f t="shared" si="103"/>
        <v/>
      </c>
      <c r="D235" t="str">
        <f t="shared" si="103"/>
        <v/>
      </c>
      <c r="E235" t="str">
        <f t="shared" si="103"/>
        <v/>
      </c>
      <c r="F235" t="str">
        <f t="shared" si="103"/>
        <v/>
      </c>
      <c r="G235" t="str">
        <f t="shared" si="103"/>
        <v/>
      </c>
      <c r="H235" t="str">
        <f t="shared" si="93"/>
        <v/>
      </c>
      <c r="I235" t="str">
        <f t="shared" si="104"/>
        <v/>
      </c>
      <c r="J235" t="str">
        <f t="shared" si="104"/>
        <v/>
      </c>
      <c r="K235" t="str">
        <f t="shared" si="55"/>
        <v/>
      </c>
      <c r="L235" t="str">
        <f t="shared" si="94"/>
        <v/>
      </c>
      <c r="M235" t="str">
        <f t="shared" ref="M235:AU235" si="114">IF($H235="","",M130+L235)</f>
        <v/>
      </c>
      <c r="N235" t="str">
        <f t="shared" si="114"/>
        <v/>
      </c>
      <c r="O235" t="str">
        <f t="shared" si="114"/>
        <v/>
      </c>
      <c r="P235" t="str">
        <f t="shared" si="114"/>
        <v/>
      </c>
      <c r="Q235" t="str">
        <f t="shared" si="114"/>
        <v/>
      </c>
      <c r="R235" t="str">
        <f t="shared" si="114"/>
        <v/>
      </c>
      <c r="S235" t="str">
        <f t="shared" si="114"/>
        <v/>
      </c>
      <c r="T235" t="str">
        <f t="shared" si="114"/>
        <v/>
      </c>
      <c r="U235" t="str">
        <f t="shared" si="114"/>
        <v/>
      </c>
      <c r="V235" t="str">
        <f t="shared" si="114"/>
        <v/>
      </c>
      <c r="W235" t="str">
        <f t="shared" si="114"/>
        <v/>
      </c>
      <c r="X235" t="str">
        <f t="shared" si="114"/>
        <v/>
      </c>
      <c r="Y235" t="str">
        <f t="shared" si="114"/>
        <v/>
      </c>
      <c r="Z235" t="str">
        <f t="shared" si="114"/>
        <v/>
      </c>
      <c r="AA235" t="str">
        <f t="shared" si="114"/>
        <v/>
      </c>
      <c r="AB235" t="str">
        <f t="shared" si="114"/>
        <v/>
      </c>
      <c r="AC235" t="str">
        <f t="shared" si="114"/>
        <v/>
      </c>
      <c r="AD235" t="str">
        <f t="shared" si="114"/>
        <v/>
      </c>
      <c r="AE235" t="str">
        <f t="shared" si="114"/>
        <v/>
      </c>
      <c r="AF235" t="str">
        <f t="shared" si="114"/>
        <v/>
      </c>
      <c r="AG235" t="str">
        <f t="shared" si="114"/>
        <v/>
      </c>
      <c r="AH235" t="str">
        <f t="shared" si="114"/>
        <v/>
      </c>
      <c r="AI235" t="str">
        <f t="shared" si="114"/>
        <v/>
      </c>
      <c r="AJ235" t="str">
        <f t="shared" si="114"/>
        <v/>
      </c>
      <c r="AK235" t="str">
        <f t="shared" si="114"/>
        <v/>
      </c>
      <c r="AL235" t="str">
        <f t="shared" si="114"/>
        <v/>
      </c>
      <c r="AM235" t="str">
        <f t="shared" si="114"/>
        <v/>
      </c>
      <c r="AN235" t="str">
        <f t="shared" si="114"/>
        <v/>
      </c>
      <c r="AO235" t="str">
        <f t="shared" si="114"/>
        <v/>
      </c>
      <c r="AP235" t="str">
        <f t="shared" si="114"/>
        <v/>
      </c>
      <c r="AQ235" t="str">
        <f t="shared" si="114"/>
        <v/>
      </c>
      <c r="AR235" t="str">
        <f t="shared" si="114"/>
        <v/>
      </c>
      <c r="AS235" t="str">
        <f t="shared" si="114"/>
        <v/>
      </c>
      <c r="AT235" t="str">
        <f t="shared" si="114"/>
        <v/>
      </c>
      <c r="AU235" t="str">
        <f t="shared" si="114"/>
        <v/>
      </c>
      <c r="AY235" s="255" t="str">
        <f t="shared" si="58"/>
        <v/>
      </c>
    </row>
    <row r="236" spans="1:51" x14ac:dyDescent="0.35">
      <c r="A236" s="286"/>
      <c r="B236" t="str">
        <f t="shared" ref="B236:G245" si="115">IF($H131="","",IF(B131="",B$5,B131))</f>
        <v/>
      </c>
      <c r="C236" t="str">
        <f t="shared" si="115"/>
        <v/>
      </c>
      <c r="D236" t="str">
        <f t="shared" si="115"/>
        <v/>
      </c>
      <c r="E236" t="str">
        <f t="shared" si="115"/>
        <v/>
      </c>
      <c r="F236" t="str">
        <f t="shared" si="115"/>
        <v/>
      </c>
      <c r="G236" t="str">
        <f t="shared" si="115"/>
        <v/>
      </c>
      <c r="H236" t="str">
        <f t="shared" si="93"/>
        <v/>
      </c>
      <c r="I236" t="str">
        <f t="shared" si="104"/>
        <v/>
      </c>
      <c r="J236" t="str">
        <f t="shared" si="104"/>
        <v/>
      </c>
      <c r="K236" t="str">
        <f t="shared" si="55"/>
        <v/>
      </c>
      <c r="L236" t="str">
        <f t="shared" si="94"/>
        <v/>
      </c>
      <c r="M236" t="str">
        <f t="shared" ref="M236:AU236" si="116">IF($H236="","",M131+L236)</f>
        <v/>
      </c>
      <c r="N236" t="str">
        <f t="shared" si="116"/>
        <v/>
      </c>
      <c r="O236" t="str">
        <f t="shared" si="116"/>
        <v/>
      </c>
      <c r="P236" t="str">
        <f t="shared" si="116"/>
        <v/>
      </c>
      <c r="Q236" t="str">
        <f t="shared" si="116"/>
        <v/>
      </c>
      <c r="R236" t="str">
        <f t="shared" si="116"/>
        <v/>
      </c>
      <c r="S236" t="str">
        <f t="shared" si="116"/>
        <v/>
      </c>
      <c r="T236" t="str">
        <f t="shared" si="116"/>
        <v/>
      </c>
      <c r="U236" t="str">
        <f t="shared" si="116"/>
        <v/>
      </c>
      <c r="V236" t="str">
        <f t="shared" si="116"/>
        <v/>
      </c>
      <c r="W236" t="str">
        <f t="shared" si="116"/>
        <v/>
      </c>
      <c r="X236" t="str">
        <f t="shared" si="116"/>
        <v/>
      </c>
      <c r="Y236" t="str">
        <f t="shared" si="116"/>
        <v/>
      </c>
      <c r="Z236" t="str">
        <f t="shared" si="116"/>
        <v/>
      </c>
      <c r="AA236" t="str">
        <f t="shared" si="116"/>
        <v/>
      </c>
      <c r="AB236" t="str">
        <f t="shared" si="116"/>
        <v/>
      </c>
      <c r="AC236" t="str">
        <f t="shared" si="116"/>
        <v/>
      </c>
      <c r="AD236" t="str">
        <f t="shared" si="116"/>
        <v/>
      </c>
      <c r="AE236" t="str">
        <f t="shared" si="116"/>
        <v/>
      </c>
      <c r="AF236" t="str">
        <f t="shared" si="116"/>
        <v/>
      </c>
      <c r="AG236" t="str">
        <f t="shared" si="116"/>
        <v/>
      </c>
      <c r="AH236" t="str">
        <f t="shared" si="116"/>
        <v/>
      </c>
      <c r="AI236" t="str">
        <f t="shared" si="116"/>
        <v/>
      </c>
      <c r="AJ236" t="str">
        <f t="shared" si="116"/>
        <v/>
      </c>
      <c r="AK236" t="str">
        <f t="shared" si="116"/>
        <v/>
      </c>
      <c r="AL236" t="str">
        <f t="shared" si="116"/>
        <v/>
      </c>
      <c r="AM236" t="str">
        <f t="shared" si="116"/>
        <v/>
      </c>
      <c r="AN236" t="str">
        <f t="shared" si="116"/>
        <v/>
      </c>
      <c r="AO236" t="str">
        <f t="shared" si="116"/>
        <v/>
      </c>
      <c r="AP236" t="str">
        <f t="shared" si="116"/>
        <v/>
      </c>
      <c r="AQ236" t="str">
        <f t="shared" si="116"/>
        <v/>
      </c>
      <c r="AR236" t="str">
        <f t="shared" si="116"/>
        <v/>
      </c>
      <c r="AS236" t="str">
        <f t="shared" si="116"/>
        <v/>
      </c>
      <c r="AT236" t="str">
        <f t="shared" si="116"/>
        <v/>
      </c>
      <c r="AU236" t="str">
        <f t="shared" si="116"/>
        <v/>
      </c>
      <c r="AY236" s="255" t="str">
        <f t="shared" si="58"/>
        <v/>
      </c>
    </row>
    <row r="237" spans="1:51" x14ac:dyDescent="0.35">
      <c r="A237" s="286"/>
      <c r="B237" t="str">
        <f t="shared" si="115"/>
        <v/>
      </c>
      <c r="C237" t="str">
        <f t="shared" si="115"/>
        <v/>
      </c>
      <c r="D237" t="str">
        <f t="shared" si="115"/>
        <v/>
      </c>
      <c r="E237" t="str">
        <f t="shared" si="115"/>
        <v/>
      </c>
      <c r="F237" t="str">
        <f t="shared" si="115"/>
        <v/>
      </c>
      <c r="G237" t="str">
        <f t="shared" si="115"/>
        <v/>
      </c>
      <c r="H237" t="str">
        <f t="shared" si="93"/>
        <v/>
      </c>
      <c r="I237" t="str">
        <f t="shared" si="104"/>
        <v/>
      </c>
      <c r="J237" t="str">
        <f t="shared" si="104"/>
        <v/>
      </c>
      <c r="K237" t="str">
        <f t="shared" si="55"/>
        <v/>
      </c>
      <c r="L237" t="str">
        <f t="shared" si="94"/>
        <v/>
      </c>
      <c r="M237" t="str">
        <f t="shared" ref="M237:AU237" si="117">IF($H237="","",M132+L237)</f>
        <v/>
      </c>
      <c r="N237" t="str">
        <f t="shared" si="117"/>
        <v/>
      </c>
      <c r="O237" t="str">
        <f t="shared" si="117"/>
        <v/>
      </c>
      <c r="P237" t="str">
        <f t="shared" si="117"/>
        <v/>
      </c>
      <c r="Q237" t="str">
        <f t="shared" si="117"/>
        <v/>
      </c>
      <c r="R237" t="str">
        <f t="shared" si="117"/>
        <v/>
      </c>
      <c r="S237" t="str">
        <f t="shared" si="117"/>
        <v/>
      </c>
      <c r="T237" t="str">
        <f t="shared" si="117"/>
        <v/>
      </c>
      <c r="U237" t="str">
        <f t="shared" si="117"/>
        <v/>
      </c>
      <c r="V237" t="str">
        <f t="shared" si="117"/>
        <v/>
      </c>
      <c r="W237" t="str">
        <f t="shared" si="117"/>
        <v/>
      </c>
      <c r="X237" t="str">
        <f t="shared" si="117"/>
        <v/>
      </c>
      <c r="Y237" t="str">
        <f t="shared" si="117"/>
        <v/>
      </c>
      <c r="Z237" t="str">
        <f t="shared" si="117"/>
        <v/>
      </c>
      <c r="AA237" t="str">
        <f t="shared" si="117"/>
        <v/>
      </c>
      <c r="AB237" t="str">
        <f t="shared" si="117"/>
        <v/>
      </c>
      <c r="AC237" t="str">
        <f t="shared" si="117"/>
        <v/>
      </c>
      <c r="AD237" t="str">
        <f t="shared" si="117"/>
        <v/>
      </c>
      <c r="AE237" t="str">
        <f t="shared" si="117"/>
        <v/>
      </c>
      <c r="AF237" t="str">
        <f t="shared" si="117"/>
        <v/>
      </c>
      <c r="AG237" t="str">
        <f t="shared" si="117"/>
        <v/>
      </c>
      <c r="AH237" t="str">
        <f t="shared" si="117"/>
        <v/>
      </c>
      <c r="AI237" t="str">
        <f t="shared" si="117"/>
        <v/>
      </c>
      <c r="AJ237" t="str">
        <f t="shared" si="117"/>
        <v/>
      </c>
      <c r="AK237" t="str">
        <f t="shared" si="117"/>
        <v/>
      </c>
      <c r="AL237" t="str">
        <f t="shared" si="117"/>
        <v/>
      </c>
      <c r="AM237" t="str">
        <f t="shared" si="117"/>
        <v/>
      </c>
      <c r="AN237" t="str">
        <f t="shared" si="117"/>
        <v/>
      </c>
      <c r="AO237" t="str">
        <f t="shared" si="117"/>
        <v/>
      </c>
      <c r="AP237" t="str">
        <f t="shared" si="117"/>
        <v/>
      </c>
      <c r="AQ237" t="str">
        <f t="shared" si="117"/>
        <v/>
      </c>
      <c r="AR237" t="str">
        <f t="shared" si="117"/>
        <v/>
      </c>
      <c r="AS237" t="str">
        <f t="shared" si="117"/>
        <v/>
      </c>
      <c r="AT237" t="str">
        <f t="shared" si="117"/>
        <v/>
      </c>
      <c r="AU237" t="str">
        <f t="shared" si="117"/>
        <v/>
      </c>
      <c r="AY237" s="255" t="str">
        <f t="shared" si="58"/>
        <v/>
      </c>
    </row>
    <row r="238" spans="1:51" x14ac:dyDescent="0.35">
      <c r="A238" s="286"/>
      <c r="B238" t="str">
        <f t="shared" si="115"/>
        <v/>
      </c>
      <c r="C238" t="str">
        <f t="shared" si="115"/>
        <v/>
      </c>
      <c r="D238" t="str">
        <f t="shared" si="115"/>
        <v/>
      </c>
      <c r="E238" t="str">
        <f t="shared" si="115"/>
        <v/>
      </c>
      <c r="F238" t="str">
        <f t="shared" si="115"/>
        <v/>
      </c>
      <c r="G238" t="str">
        <f t="shared" si="115"/>
        <v/>
      </c>
      <c r="H238" t="str">
        <f t="shared" si="93"/>
        <v/>
      </c>
      <c r="I238" t="str">
        <f t="shared" si="104"/>
        <v/>
      </c>
      <c r="J238" t="str">
        <f t="shared" si="104"/>
        <v/>
      </c>
      <c r="K238" t="str">
        <f t="shared" si="55"/>
        <v/>
      </c>
      <c r="L238" t="str">
        <f t="shared" si="94"/>
        <v/>
      </c>
      <c r="M238" t="str">
        <f t="shared" ref="M238:AU238" si="118">IF($H238="","",M133+L238)</f>
        <v/>
      </c>
      <c r="N238" t="str">
        <f t="shared" si="118"/>
        <v/>
      </c>
      <c r="O238" t="str">
        <f t="shared" si="118"/>
        <v/>
      </c>
      <c r="P238" t="str">
        <f t="shared" si="118"/>
        <v/>
      </c>
      <c r="Q238" t="str">
        <f t="shared" si="118"/>
        <v/>
      </c>
      <c r="R238" t="str">
        <f t="shared" si="118"/>
        <v/>
      </c>
      <c r="S238" t="str">
        <f t="shared" si="118"/>
        <v/>
      </c>
      <c r="T238" t="str">
        <f t="shared" si="118"/>
        <v/>
      </c>
      <c r="U238" t="str">
        <f t="shared" si="118"/>
        <v/>
      </c>
      <c r="V238" t="str">
        <f t="shared" si="118"/>
        <v/>
      </c>
      <c r="W238" t="str">
        <f t="shared" si="118"/>
        <v/>
      </c>
      <c r="X238" t="str">
        <f t="shared" si="118"/>
        <v/>
      </c>
      <c r="Y238" t="str">
        <f t="shared" si="118"/>
        <v/>
      </c>
      <c r="Z238" t="str">
        <f t="shared" si="118"/>
        <v/>
      </c>
      <c r="AA238" t="str">
        <f t="shared" si="118"/>
        <v/>
      </c>
      <c r="AB238" t="str">
        <f t="shared" si="118"/>
        <v/>
      </c>
      <c r="AC238" t="str">
        <f t="shared" si="118"/>
        <v/>
      </c>
      <c r="AD238" t="str">
        <f t="shared" si="118"/>
        <v/>
      </c>
      <c r="AE238" t="str">
        <f t="shared" si="118"/>
        <v/>
      </c>
      <c r="AF238" t="str">
        <f t="shared" si="118"/>
        <v/>
      </c>
      <c r="AG238" t="str">
        <f t="shared" si="118"/>
        <v/>
      </c>
      <c r="AH238" t="str">
        <f t="shared" si="118"/>
        <v/>
      </c>
      <c r="AI238" t="str">
        <f t="shared" si="118"/>
        <v/>
      </c>
      <c r="AJ238" t="str">
        <f t="shared" si="118"/>
        <v/>
      </c>
      <c r="AK238" t="str">
        <f t="shared" si="118"/>
        <v/>
      </c>
      <c r="AL238" t="str">
        <f t="shared" si="118"/>
        <v/>
      </c>
      <c r="AM238" t="str">
        <f t="shared" si="118"/>
        <v/>
      </c>
      <c r="AN238" t="str">
        <f t="shared" si="118"/>
        <v/>
      </c>
      <c r="AO238" t="str">
        <f t="shared" si="118"/>
        <v/>
      </c>
      <c r="AP238" t="str">
        <f t="shared" si="118"/>
        <v/>
      </c>
      <c r="AQ238" t="str">
        <f t="shared" si="118"/>
        <v/>
      </c>
      <c r="AR238" t="str">
        <f t="shared" si="118"/>
        <v/>
      </c>
      <c r="AS238" t="str">
        <f t="shared" si="118"/>
        <v/>
      </c>
      <c r="AT238" t="str">
        <f t="shared" si="118"/>
        <v/>
      </c>
      <c r="AU238" t="str">
        <f t="shared" si="118"/>
        <v/>
      </c>
      <c r="AY238" s="255" t="str">
        <f t="shared" si="58"/>
        <v/>
      </c>
    </row>
    <row r="239" spans="1:51" x14ac:dyDescent="0.35">
      <c r="A239" s="286"/>
      <c r="B239" t="str">
        <f t="shared" si="115"/>
        <v/>
      </c>
      <c r="C239" t="str">
        <f t="shared" si="115"/>
        <v/>
      </c>
      <c r="D239" t="str">
        <f t="shared" si="115"/>
        <v/>
      </c>
      <c r="E239" t="str">
        <f t="shared" si="115"/>
        <v/>
      </c>
      <c r="F239" t="str">
        <f t="shared" si="115"/>
        <v/>
      </c>
      <c r="G239" t="str">
        <f t="shared" si="115"/>
        <v/>
      </c>
      <c r="H239" t="str">
        <f t="shared" si="93"/>
        <v/>
      </c>
      <c r="I239" t="str">
        <f t="shared" si="104"/>
        <v/>
      </c>
      <c r="J239" t="str">
        <f t="shared" si="104"/>
        <v/>
      </c>
      <c r="K239" t="str">
        <f t="shared" si="55"/>
        <v/>
      </c>
      <c r="L239" t="str">
        <f t="shared" si="94"/>
        <v/>
      </c>
      <c r="M239" t="str">
        <f t="shared" ref="M239:AU239" si="119">IF($H239="","",M134+L239)</f>
        <v/>
      </c>
      <c r="N239" t="str">
        <f t="shared" si="119"/>
        <v/>
      </c>
      <c r="O239" t="str">
        <f t="shared" si="119"/>
        <v/>
      </c>
      <c r="P239" t="str">
        <f t="shared" si="119"/>
        <v/>
      </c>
      <c r="Q239" t="str">
        <f t="shared" si="119"/>
        <v/>
      </c>
      <c r="R239" t="str">
        <f t="shared" si="119"/>
        <v/>
      </c>
      <c r="S239" t="str">
        <f t="shared" si="119"/>
        <v/>
      </c>
      <c r="T239" t="str">
        <f t="shared" si="119"/>
        <v/>
      </c>
      <c r="U239" t="str">
        <f t="shared" si="119"/>
        <v/>
      </c>
      <c r="V239" t="str">
        <f t="shared" si="119"/>
        <v/>
      </c>
      <c r="W239" t="str">
        <f t="shared" si="119"/>
        <v/>
      </c>
      <c r="X239" t="str">
        <f t="shared" si="119"/>
        <v/>
      </c>
      <c r="Y239" t="str">
        <f t="shared" si="119"/>
        <v/>
      </c>
      <c r="Z239" t="str">
        <f t="shared" si="119"/>
        <v/>
      </c>
      <c r="AA239" t="str">
        <f t="shared" si="119"/>
        <v/>
      </c>
      <c r="AB239" t="str">
        <f t="shared" si="119"/>
        <v/>
      </c>
      <c r="AC239" t="str">
        <f t="shared" si="119"/>
        <v/>
      </c>
      <c r="AD239" t="str">
        <f t="shared" si="119"/>
        <v/>
      </c>
      <c r="AE239" t="str">
        <f t="shared" si="119"/>
        <v/>
      </c>
      <c r="AF239" t="str">
        <f t="shared" si="119"/>
        <v/>
      </c>
      <c r="AG239" t="str">
        <f t="shared" si="119"/>
        <v/>
      </c>
      <c r="AH239" t="str">
        <f t="shared" si="119"/>
        <v/>
      </c>
      <c r="AI239" t="str">
        <f t="shared" si="119"/>
        <v/>
      </c>
      <c r="AJ239" t="str">
        <f t="shared" si="119"/>
        <v/>
      </c>
      <c r="AK239" t="str">
        <f t="shared" si="119"/>
        <v/>
      </c>
      <c r="AL239" t="str">
        <f t="shared" si="119"/>
        <v/>
      </c>
      <c r="AM239" t="str">
        <f t="shared" si="119"/>
        <v/>
      </c>
      <c r="AN239" t="str">
        <f t="shared" si="119"/>
        <v/>
      </c>
      <c r="AO239" t="str">
        <f t="shared" si="119"/>
        <v/>
      </c>
      <c r="AP239" t="str">
        <f t="shared" si="119"/>
        <v/>
      </c>
      <c r="AQ239" t="str">
        <f t="shared" si="119"/>
        <v/>
      </c>
      <c r="AR239" t="str">
        <f t="shared" si="119"/>
        <v/>
      </c>
      <c r="AS239" t="str">
        <f t="shared" si="119"/>
        <v/>
      </c>
      <c r="AT239" t="str">
        <f t="shared" si="119"/>
        <v/>
      </c>
      <c r="AU239" t="str">
        <f t="shared" si="119"/>
        <v/>
      </c>
      <c r="AY239" s="255" t="str">
        <f t="shared" si="58"/>
        <v/>
      </c>
    </row>
    <row r="240" spans="1:51" x14ac:dyDescent="0.35">
      <c r="A240" s="286"/>
      <c r="B240" t="str">
        <f t="shared" si="115"/>
        <v/>
      </c>
      <c r="C240" t="str">
        <f t="shared" si="115"/>
        <v/>
      </c>
      <c r="D240" t="str">
        <f t="shared" si="115"/>
        <v/>
      </c>
      <c r="E240" t="str">
        <f t="shared" si="115"/>
        <v/>
      </c>
      <c r="F240" t="str">
        <f t="shared" si="115"/>
        <v/>
      </c>
      <c r="G240" t="str">
        <f t="shared" si="115"/>
        <v/>
      </c>
      <c r="H240" t="str">
        <f t="shared" si="93"/>
        <v/>
      </c>
      <c r="I240" t="str">
        <f t="shared" si="104"/>
        <v/>
      </c>
      <c r="J240" t="str">
        <f t="shared" si="104"/>
        <v/>
      </c>
      <c r="K240" t="str">
        <f t="shared" si="55"/>
        <v/>
      </c>
      <c r="L240" t="str">
        <f t="shared" si="94"/>
        <v/>
      </c>
      <c r="M240" t="str">
        <f t="shared" ref="M240:AU240" si="120">IF($H240="","",M135+L240)</f>
        <v/>
      </c>
      <c r="N240" t="str">
        <f t="shared" si="120"/>
        <v/>
      </c>
      <c r="O240" t="str">
        <f t="shared" si="120"/>
        <v/>
      </c>
      <c r="P240" t="str">
        <f t="shared" si="120"/>
        <v/>
      </c>
      <c r="Q240" t="str">
        <f t="shared" si="120"/>
        <v/>
      </c>
      <c r="R240" t="str">
        <f t="shared" si="120"/>
        <v/>
      </c>
      <c r="S240" t="str">
        <f t="shared" si="120"/>
        <v/>
      </c>
      <c r="T240" t="str">
        <f t="shared" si="120"/>
        <v/>
      </c>
      <c r="U240" t="str">
        <f t="shared" si="120"/>
        <v/>
      </c>
      <c r="V240" t="str">
        <f t="shared" si="120"/>
        <v/>
      </c>
      <c r="W240" t="str">
        <f t="shared" si="120"/>
        <v/>
      </c>
      <c r="X240" t="str">
        <f t="shared" si="120"/>
        <v/>
      </c>
      <c r="Y240" t="str">
        <f t="shared" si="120"/>
        <v/>
      </c>
      <c r="Z240" t="str">
        <f t="shared" si="120"/>
        <v/>
      </c>
      <c r="AA240" t="str">
        <f t="shared" si="120"/>
        <v/>
      </c>
      <c r="AB240" t="str">
        <f t="shared" si="120"/>
        <v/>
      </c>
      <c r="AC240" t="str">
        <f t="shared" si="120"/>
        <v/>
      </c>
      <c r="AD240" t="str">
        <f t="shared" si="120"/>
        <v/>
      </c>
      <c r="AE240" t="str">
        <f t="shared" si="120"/>
        <v/>
      </c>
      <c r="AF240" t="str">
        <f t="shared" si="120"/>
        <v/>
      </c>
      <c r="AG240" t="str">
        <f t="shared" si="120"/>
        <v/>
      </c>
      <c r="AH240" t="str">
        <f t="shared" si="120"/>
        <v/>
      </c>
      <c r="AI240" t="str">
        <f t="shared" si="120"/>
        <v/>
      </c>
      <c r="AJ240" t="str">
        <f t="shared" si="120"/>
        <v/>
      </c>
      <c r="AK240" t="str">
        <f t="shared" si="120"/>
        <v/>
      </c>
      <c r="AL240" t="str">
        <f t="shared" si="120"/>
        <v/>
      </c>
      <c r="AM240" t="str">
        <f t="shared" si="120"/>
        <v/>
      </c>
      <c r="AN240" t="str">
        <f t="shared" si="120"/>
        <v/>
      </c>
      <c r="AO240" t="str">
        <f t="shared" si="120"/>
        <v/>
      </c>
      <c r="AP240" t="str">
        <f t="shared" si="120"/>
        <v/>
      </c>
      <c r="AQ240" t="str">
        <f t="shared" si="120"/>
        <v/>
      </c>
      <c r="AR240" t="str">
        <f t="shared" si="120"/>
        <v/>
      </c>
      <c r="AS240" t="str">
        <f t="shared" si="120"/>
        <v/>
      </c>
      <c r="AT240" t="str">
        <f t="shared" si="120"/>
        <v/>
      </c>
      <c r="AU240" t="str">
        <f t="shared" si="120"/>
        <v/>
      </c>
      <c r="AY240" s="255" t="str">
        <f t="shared" si="58"/>
        <v/>
      </c>
    </row>
    <row r="241" spans="1:51" x14ac:dyDescent="0.35">
      <c r="A241" s="286"/>
      <c r="B241" t="str">
        <f t="shared" si="115"/>
        <v/>
      </c>
      <c r="C241" t="str">
        <f t="shared" si="115"/>
        <v/>
      </c>
      <c r="D241" t="str">
        <f t="shared" si="115"/>
        <v/>
      </c>
      <c r="E241" t="str">
        <f t="shared" si="115"/>
        <v/>
      </c>
      <c r="F241" t="str">
        <f t="shared" si="115"/>
        <v/>
      </c>
      <c r="G241" t="str">
        <f t="shared" si="115"/>
        <v/>
      </c>
      <c r="H241" t="str">
        <f t="shared" si="93"/>
        <v/>
      </c>
      <c r="I241" t="str">
        <f t="shared" si="104"/>
        <v/>
      </c>
      <c r="J241" t="str">
        <f t="shared" si="104"/>
        <v/>
      </c>
      <c r="K241" t="str">
        <f t="shared" si="55"/>
        <v/>
      </c>
      <c r="L241" t="str">
        <f t="shared" si="94"/>
        <v/>
      </c>
      <c r="M241" t="str">
        <f t="shared" ref="M241:AU241" si="121">IF($H241="","",M136+L241)</f>
        <v/>
      </c>
      <c r="N241" t="str">
        <f t="shared" si="121"/>
        <v/>
      </c>
      <c r="O241" t="str">
        <f t="shared" si="121"/>
        <v/>
      </c>
      <c r="P241" t="str">
        <f t="shared" si="121"/>
        <v/>
      </c>
      <c r="Q241" t="str">
        <f t="shared" si="121"/>
        <v/>
      </c>
      <c r="R241" t="str">
        <f t="shared" si="121"/>
        <v/>
      </c>
      <c r="S241" t="str">
        <f t="shared" si="121"/>
        <v/>
      </c>
      <c r="T241" t="str">
        <f t="shared" si="121"/>
        <v/>
      </c>
      <c r="U241" t="str">
        <f t="shared" si="121"/>
        <v/>
      </c>
      <c r="V241" t="str">
        <f t="shared" si="121"/>
        <v/>
      </c>
      <c r="W241" t="str">
        <f t="shared" si="121"/>
        <v/>
      </c>
      <c r="X241" t="str">
        <f t="shared" si="121"/>
        <v/>
      </c>
      <c r="Y241" t="str">
        <f t="shared" si="121"/>
        <v/>
      </c>
      <c r="Z241" t="str">
        <f t="shared" si="121"/>
        <v/>
      </c>
      <c r="AA241" t="str">
        <f t="shared" si="121"/>
        <v/>
      </c>
      <c r="AB241" t="str">
        <f t="shared" si="121"/>
        <v/>
      </c>
      <c r="AC241" t="str">
        <f t="shared" si="121"/>
        <v/>
      </c>
      <c r="AD241" t="str">
        <f t="shared" si="121"/>
        <v/>
      </c>
      <c r="AE241" t="str">
        <f t="shared" si="121"/>
        <v/>
      </c>
      <c r="AF241" t="str">
        <f t="shared" si="121"/>
        <v/>
      </c>
      <c r="AG241" t="str">
        <f t="shared" si="121"/>
        <v/>
      </c>
      <c r="AH241" t="str">
        <f t="shared" si="121"/>
        <v/>
      </c>
      <c r="AI241" t="str">
        <f t="shared" si="121"/>
        <v/>
      </c>
      <c r="AJ241" t="str">
        <f t="shared" si="121"/>
        <v/>
      </c>
      <c r="AK241" t="str">
        <f t="shared" si="121"/>
        <v/>
      </c>
      <c r="AL241" t="str">
        <f t="shared" si="121"/>
        <v/>
      </c>
      <c r="AM241" t="str">
        <f t="shared" si="121"/>
        <v/>
      </c>
      <c r="AN241" t="str">
        <f t="shared" si="121"/>
        <v/>
      </c>
      <c r="AO241" t="str">
        <f t="shared" si="121"/>
        <v/>
      </c>
      <c r="AP241" t="str">
        <f t="shared" si="121"/>
        <v/>
      </c>
      <c r="AQ241" t="str">
        <f t="shared" si="121"/>
        <v/>
      </c>
      <c r="AR241" t="str">
        <f t="shared" si="121"/>
        <v/>
      </c>
      <c r="AS241" t="str">
        <f t="shared" si="121"/>
        <v/>
      </c>
      <c r="AT241" t="str">
        <f t="shared" si="121"/>
        <v/>
      </c>
      <c r="AU241" t="str">
        <f t="shared" si="121"/>
        <v/>
      </c>
      <c r="AY241" s="255" t="str">
        <f t="shared" si="58"/>
        <v/>
      </c>
    </row>
    <row r="242" spans="1:51" x14ac:dyDescent="0.35">
      <c r="A242" s="286"/>
      <c r="B242" t="str">
        <f t="shared" si="115"/>
        <v/>
      </c>
      <c r="C242" t="str">
        <f t="shared" si="115"/>
        <v/>
      </c>
      <c r="D242" t="str">
        <f t="shared" si="115"/>
        <v/>
      </c>
      <c r="E242" t="str">
        <f t="shared" si="115"/>
        <v/>
      </c>
      <c r="F242" t="str">
        <f t="shared" si="115"/>
        <v/>
      </c>
      <c r="G242" t="str">
        <f t="shared" si="115"/>
        <v/>
      </c>
      <c r="H242" t="str">
        <f t="shared" si="93"/>
        <v/>
      </c>
      <c r="I242" t="str">
        <f t="shared" si="104"/>
        <v/>
      </c>
      <c r="J242" t="str">
        <f t="shared" si="104"/>
        <v/>
      </c>
      <c r="K242" t="str">
        <f t="shared" si="55"/>
        <v/>
      </c>
      <c r="L242" t="str">
        <f t="shared" si="94"/>
        <v/>
      </c>
      <c r="M242" t="str">
        <f t="shared" ref="M242:AU242" si="122">IF($H242="","",M137+L242)</f>
        <v/>
      </c>
      <c r="N242" t="str">
        <f t="shared" si="122"/>
        <v/>
      </c>
      <c r="O242" t="str">
        <f t="shared" si="122"/>
        <v/>
      </c>
      <c r="P242" t="str">
        <f t="shared" si="122"/>
        <v/>
      </c>
      <c r="Q242" t="str">
        <f t="shared" si="122"/>
        <v/>
      </c>
      <c r="R242" t="str">
        <f t="shared" si="122"/>
        <v/>
      </c>
      <c r="S242" t="str">
        <f t="shared" si="122"/>
        <v/>
      </c>
      <c r="T242" t="str">
        <f t="shared" si="122"/>
        <v/>
      </c>
      <c r="U242" t="str">
        <f t="shared" si="122"/>
        <v/>
      </c>
      <c r="V242" t="str">
        <f t="shared" si="122"/>
        <v/>
      </c>
      <c r="W242" t="str">
        <f t="shared" si="122"/>
        <v/>
      </c>
      <c r="X242" t="str">
        <f t="shared" si="122"/>
        <v/>
      </c>
      <c r="Y242" t="str">
        <f t="shared" si="122"/>
        <v/>
      </c>
      <c r="Z242" t="str">
        <f t="shared" si="122"/>
        <v/>
      </c>
      <c r="AA242" t="str">
        <f t="shared" si="122"/>
        <v/>
      </c>
      <c r="AB242" t="str">
        <f t="shared" si="122"/>
        <v/>
      </c>
      <c r="AC242" t="str">
        <f t="shared" si="122"/>
        <v/>
      </c>
      <c r="AD242" t="str">
        <f t="shared" si="122"/>
        <v/>
      </c>
      <c r="AE242" t="str">
        <f t="shared" si="122"/>
        <v/>
      </c>
      <c r="AF242" t="str">
        <f t="shared" si="122"/>
        <v/>
      </c>
      <c r="AG242" t="str">
        <f t="shared" si="122"/>
        <v/>
      </c>
      <c r="AH242" t="str">
        <f t="shared" si="122"/>
        <v/>
      </c>
      <c r="AI242" t="str">
        <f t="shared" si="122"/>
        <v/>
      </c>
      <c r="AJ242" t="str">
        <f t="shared" si="122"/>
        <v/>
      </c>
      <c r="AK242" t="str">
        <f t="shared" si="122"/>
        <v/>
      </c>
      <c r="AL242" t="str">
        <f t="shared" si="122"/>
        <v/>
      </c>
      <c r="AM242" t="str">
        <f t="shared" si="122"/>
        <v/>
      </c>
      <c r="AN242" t="str">
        <f t="shared" si="122"/>
        <v/>
      </c>
      <c r="AO242" t="str">
        <f t="shared" si="122"/>
        <v/>
      </c>
      <c r="AP242" t="str">
        <f t="shared" si="122"/>
        <v/>
      </c>
      <c r="AQ242" t="str">
        <f t="shared" si="122"/>
        <v/>
      </c>
      <c r="AR242" t="str">
        <f t="shared" si="122"/>
        <v/>
      </c>
      <c r="AS242" t="str">
        <f t="shared" si="122"/>
        <v/>
      </c>
      <c r="AT242" t="str">
        <f t="shared" si="122"/>
        <v/>
      </c>
      <c r="AU242" t="str">
        <f t="shared" si="122"/>
        <v/>
      </c>
      <c r="AY242" s="255" t="str">
        <f t="shared" si="58"/>
        <v/>
      </c>
    </row>
    <row r="243" spans="1:51" x14ac:dyDescent="0.35">
      <c r="A243" s="286"/>
      <c r="B243" t="str">
        <f t="shared" si="115"/>
        <v/>
      </c>
      <c r="C243" t="str">
        <f t="shared" si="115"/>
        <v/>
      </c>
      <c r="D243" t="str">
        <f t="shared" si="115"/>
        <v/>
      </c>
      <c r="E243" t="str">
        <f t="shared" si="115"/>
        <v/>
      </c>
      <c r="F243" t="str">
        <f t="shared" si="115"/>
        <v/>
      </c>
      <c r="G243" t="str">
        <f t="shared" si="115"/>
        <v/>
      </c>
      <c r="H243" t="str">
        <f t="shared" si="93"/>
        <v/>
      </c>
      <c r="I243" t="str">
        <f t="shared" si="104"/>
        <v/>
      </c>
      <c r="J243" t="str">
        <f t="shared" si="104"/>
        <v/>
      </c>
      <c r="K243" t="str">
        <f t="shared" si="55"/>
        <v/>
      </c>
      <c r="L243" t="str">
        <f t="shared" si="94"/>
        <v/>
      </c>
      <c r="M243" t="str">
        <f t="shared" ref="M243:AU243" si="123">IF($H243="","",M138+L243)</f>
        <v/>
      </c>
      <c r="N243" t="str">
        <f t="shared" si="123"/>
        <v/>
      </c>
      <c r="O243" t="str">
        <f t="shared" si="123"/>
        <v/>
      </c>
      <c r="P243" t="str">
        <f t="shared" si="123"/>
        <v/>
      </c>
      <c r="Q243" t="str">
        <f t="shared" si="123"/>
        <v/>
      </c>
      <c r="R243" t="str">
        <f t="shared" si="123"/>
        <v/>
      </c>
      <c r="S243" t="str">
        <f t="shared" si="123"/>
        <v/>
      </c>
      <c r="T243" t="str">
        <f t="shared" si="123"/>
        <v/>
      </c>
      <c r="U243" t="str">
        <f t="shared" si="123"/>
        <v/>
      </c>
      <c r="V243" t="str">
        <f t="shared" si="123"/>
        <v/>
      </c>
      <c r="W243" t="str">
        <f t="shared" si="123"/>
        <v/>
      </c>
      <c r="X243" t="str">
        <f t="shared" si="123"/>
        <v/>
      </c>
      <c r="Y243" t="str">
        <f t="shared" si="123"/>
        <v/>
      </c>
      <c r="Z243" t="str">
        <f t="shared" si="123"/>
        <v/>
      </c>
      <c r="AA243" t="str">
        <f t="shared" si="123"/>
        <v/>
      </c>
      <c r="AB243" t="str">
        <f t="shared" si="123"/>
        <v/>
      </c>
      <c r="AC243" t="str">
        <f t="shared" si="123"/>
        <v/>
      </c>
      <c r="AD243" t="str">
        <f t="shared" si="123"/>
        <v/>
      </c>
      <c r="AE243" t="str">
        <f t="shared" si="123"/>
        <v/>
      </c>
      <c r="AF243" t="str">
        <f t="shared" si="123"/>
        <v/>
      </c>
      <c r="AG243" t="str">
        <f t="shared" si="123"/>
        <v/>
      </c>
      <c r="AH243" t="str">
        <f t="shared" si="123"/>
        <v/>
      </c>
      <c r="AI243" t="str">
        <f t="shared" si="123"/>
        <v/>
      </c>
      <c r="AJ243" t="str">
        <f t="shared" si="123"/>
        <v/>
      </c>
      <c r="AK243" t="str">
        <f t="shared" si="123"/>
        <v/>
      </c>
      <c r="AL243" t="str">
        <f t="shared" si="123"/>
        <v/>
      </c>
      <c r="AM243" t="str">
        <f t="shared" si="123"/>
        <v/>
      </c>
      <c r="AN243" t="str">
        <f t="shared" si="123"/>
        <v/>
      </c>
      <c r="AO243" t="str">
        <f t="shared" si="123"/>
        <v/>
      </c>
      <c r="AP243" t="str">
        <f t="shared" si="123"/>
        <v/>
      </c>
      <c r="AQ243" t="str">
        <f t="shared" si="123"/>
        <v/>
      </c>
      <c r="AR243" t="str">
        <f t="shared" si="123"/>
        <v/>
      </c>
      <c r="AS243" t="str">
        <f t="shared" si="123"/>
        <v/>
      </c>
      <c r="AT243" t="str">
        <f t="shared" si="123"/>
        <v/>
      </c>
      <c r="AU243" t="str">
        <f t="shared" si="123"/>
        <v/>
      </c>
      <c r="AY243" s="255" t="str">
        <f t="shared" si="58"/>
        <v/>
      </c>
    </row>
    <row r="244" spans="1:51" x14ac:dyDescent="0.35">
      <c r="A244" s="286"/>
      <c r="B244" t="str">
        <f t="shared" si="115"/>
        <v/>
      </c>
      <c r="C244" t="str">
        <f t="shared" si="115"/>
        <v/>
      </c>
      <c r="D244" t="str">
        <f t="shared" si="115"/>
        <v/>
      </c>
      <c r="E244" t="str">
        <f t="shared" si="115"/>
        <v/>
      </c>
      <c r="F244" t="str">
        <f t="shared" si="115"/>
        <v/>
      </c>
      <c r="G244" t="str">
        <f t="shared" si="115"/>
        <v/>
      </c>
      <c r="H244" t="str">
        <f t="shared" si="93"/>
        <v/>
      </c>
      <c r="I244" t="str">
        <f t="shared" si="104"/>
        <v/>
      </c>
      <c r="J244" t="str">
        <f t="shared" si="104"/>
        <v/>
      </c>
      <c r="K244" t="str">
        <f t="shared" si="55"/>
        <v/>
      </c>
      <c r="L244" t="str">
        <f t="shared" si="94"/>
        <v/>
      </c>
      <c r="M244" t="str">
        <f t="shared" ref="M244:AU244" si="124">IF($H244="","",M139+L244)</f>
        <v/>
      </c>
      <c r="N244" t="str">
        <f t="shared" si="124"/>
        <v/>
      </c>
      <c r="O244" t="str">
        <f t="shared" si="124"/>
        <v/>
      </c>
      <c r="P244" t="str">
        <f t="shared" si="124"/>
        <v/>
      </c>
      <c r="Q244" t="str">
        <f t="shared" si="124"/>
        <v/>
      </c>
      <c r="R244" t="str">
        <f t="shared" si="124"/>
        <v/>
      </c>
      <c r="S244" t="str">
        <f t="shared" si="124"/>
        <v/>
      </c>
      <c r="T244" t="str">
        <f t="shared" si="124"/>
        <v/>
      </c>
      <c r="U244" t="str">
        <f t="shared" si="124"/>
        <v/>
      </c>
      <c r="V244" t="str">
        <f t="shared" si="124"/>
        <v/>
      </c>
      <c r="W244" t="str">
        <f t="shared" si="124"/>
        <v/>
      </c>
      <c r="X244" t="str">
        <f t="shared" si="124"/>
        <v/>
      </c>
      <c r="Y244" t="str">
        <f t="shared" si="124"/>
        <v/>
      </c>
      <c r="Z244" t="str">
        <f t="shared" si="124"/>
        <v/>
      </c>
      <c r="AA244" t="str">
        <f t="shared" si="124"/>
        <v/>
      </c>
      <c r="AB244" t="str">
        <f t="shared" si="124"/>
        <v/>
      </c>
      <c r="AC244" t="str">
        <f t="shared" si="124"/>
        <v/>
      </c>
      <c r="AD244" t="str">
        <f t="shared" si="124"/>
        <v/>
      </c>
      <c r="AE244" t="str">
        <f t="shared" si="124"/>
        <v/>
      </c>
      <c r="AF244" t="str">
        <f t="shared" si="124"/>
        <v/>
      </c>
      <c r="AG244" t="str">
        <f t="shared" si="124"/>
        <v/>
      </c>
      <c r="AH244" t="str">
        <f t="shared" si="124"/>
        <v/>
      </c>
      <c r="AI244" t="str">
        <f t="shared" si="124"/>
        <v/>
      </c>
      <c r="AJ244" t="str">
        <f t="shared" si="124"/>
        <v/>
      </c>
      <c r="AK244" t="str">
        <f t="shared" si="124"/>
        <v/>
      </c>
      <c r="AL244" t="str">
        <f t="shared" si="124"/>
        <v/>
      </c>
      <c r="AM244" t="str">
        <f t="shared" si="124"/>
        <v/>
      </c>
      <c r="AN244" t="str">
        <f t="shared" si="124"/>
        <v/>
      </c>
      <c r="AO244" t="str">
        <f t="shared" si="124"/>
        <v/>
      </c>
      <c r="AP244" t="str">
        <f t="shared" si="124"/>
        <v/>
      </c>
      <c r="AQ244" t="str">
        <f t="shared" si="124"/>
        <v/>
      </c>
      <c r="AR244" t="str">
        <f t="shared" si="124"/>
        <v/>
      </c>
      <c r="AS244" t="str">
        <f t="shared" si="124"/>
        <v/>
      </c>
      <c r="AT244" t="str">
        <f t="shared" si="124"/>
        <v/>
      </c>
      <c r="AU244" t="str">
        <f t="shared" si="124"/>
        <v/>
      </c>
      <c r="AY244" s="255" t="str">
        <f t="shared" si="58"/>
        <v/>
      </c>
    </row>
    <row r="245" spans="1:51" x14ac:dyDescent="0.35">
      <c r="A245" s="286"/>
      <c r="B245" t="str">
        <f t="shared" si="115"/>
        <v/>
      </c>
      <c r="C245" t="str">
        <f t="shared" si="115"/>
        <v/>
      </c>
      <c r="D245" t="str">
        <f t="shared" si="115"/>
        <v/>
      </c>
      <c r="E245" t="str">
        <f t="shared" si="115"/>
        <v/>
      </c>
      <c r="F245" t="str">
        <f t="shared" si="115"/>
        <v/>
      </c>
      <c r="G245" t="str">
        <f t="shared" si="115"/>
        <v/>
      </c>
      <c r="H245" t="str">
        <f t="shared" si="93"/>
        <v/>
      </c>
      <c r="I245" t="str">
        <f t="shared" si="104"/>
        <v/>
      </c>
      <c r="J245" t="str">
        <f t="shared" si="104"/>
        <v/>
      </c>
      <c r="K245" t="str">
        <f t="shared" si="55"/>
        <v/>
      </c>
      <c r="L245" t="str">
        <f t="shared" si="94"/>
        <v/>
      </c>
      <c r="M245" t="str">
        <f t="shared" ref="M245:AU245" si="125">IF($H245="","",M140+L245)</f>
        <v/>
      </c>
      <c r="N245" t="str">
        <f t="shared" si="125"/>
        <v/>
      </c>
      <c r="O245" t="str">
        <f t="shared" si="125"/>
        <v/>
      </c>
      <c r="P245" t="str">
        <f t="shared" si="125"/>
        <v/>
      </c>
      <c r="Q245" t="str">
        <f t="shared" si="125"/>
        <v/>
      </c>
      <c r="R245" t="str">
        <f t="shared" si="125"/>
        <v/>
      </c>
      <c r="S245" t="str">
        <f t="shared" si="125"/>
        <v/>
      </c>
      <c r="T245" t="str">
        <f t="shared" si="125"/>
        <v/>
      </c>
      <c r="U245" t="str">
        <f t="shared" si="125"/>
        <v/>
      </c>
      <c r="V245" t="str">
        <f t="shared" si="125"/>
        <v/>
      </c>
      <c r="W245" t="str">
        <f t="shared" si="125"/>
        <v/>
      </c>
      <c r="X245" t="str">
        <f t="shared" si="125"/>
        <v/>
      </c>
      <c r="Y245" t="str">
        <f t="shared" si="125"/>
        <v/>
      </c>
      <c r="Z245" t="str">
        <f t="shared" si="125"/>
        <v/>
      </c>
      <c r="AA245" t="str">
        <f t="shared" si="125"/>
        <v/>
      </c>
      <c r="AB245" t="str">
        <f t="shared" si="125"/>
        <v/>
      </c>
      <c r="AC245" t="str">
        <f t="shared" si="125"/>
        <v/>
      </c>
      <c r="AD245" t="str">
        <f t="shared" si="125"/>
        <v/>
      </c>
      <c r="AE245" t="str">
        <f t="shared" si="125"/>
        <v/>
      </c>
      <c r="AF245" t="str">
        <f t="shared" si="125"/>
        <v/>
      </c>
      <c r="AG245" t="str">
        <f t="shared" si="125"/>
        <v/>
      </c>
      <c r="AH245" t="str">
        <f t="shared" si="125"/>
        <v/>
      </c>
      <c r="AI245" t="str">
        <f t="shared" si="125"/>
        <v/>
      </c>
      <c r="AJ245" t="str">
        <f t="shared" si="125"/>
        <v/>
      </c>
      <c r="AK245" t="str">
        <f t="shared" si="125"/>
        <v/>
      </c>
      <c r="AL245" t="str">
        <f t="shared" si="125"/>
        <v/>
      </c>
      <c r="AM245" t="str">
        <f t="shared" si="125"/>
        <v/>
      </c>
      <c r="AN245" t="str">
        <f t="shared" si="125"/>
        <v/>
      </c>
      <c r="AO245" t="str">
        <f t="shared" si="125"/>
        <v/>
      </c>
      <c r="AP245" t="str">
        <f t="shared" si="125"/>
        <v/>
      </c>
      <c r="AQ245" t="str">
        <f t="shared" si="125"/>
        <v/>
      </c>
      <c r="AR245" t="str">
        <f t="shared" si="125"/>
        <v/>
      </c>
      <c r="AS245" t="str">
        <f t="shared" si="125"/>
        <v/>
      </c>
      <c r="AT245" t="str">
        <f t="shared" si="125"/>
        <v/>
      </c>
      <c r="AU245" t="str">
        <f t="shared" si="125"/>
        <v/>
      </c>
      <c r="AY245" s="255" t="str">
        <f t="shared" si="58"/>
        <v/>
      </c>
    </row>
    <row r="246" spans="1:51" x14ac:dyDescent="0.35">
      <c r="A246" s="286"/>
      <c r="B246" t="str">
        <f t="shared" ref="B246:G255" si="126">IF($H141="","",IF(B141="",B$5,B141))</f>
        <v/>
      </c>
      <c r="C246" t="str">
        <f t="shared" si="126"/>
        <v/>
      </c>
      <c r="D246" t="str">
        <f t="shared" si="126"/>
        <v/>
      </c>
      <c r="E246" t="str">
        <f t="shared" si="126"/>
        <v/>
      </c>
      <c r="F246" t="str">
        <f t="shared" si="126"/>
        <v/>
      </c>
      <c r="G246" t="str">
        <f t="shared" si="126"/>
        <v/>
      </c>
      <c r="H246" t="str">
        <f t="shared" si="93"/>
        <v/>
      </c>
      <c r="I246" t="str">
        <f t="shared" ref="I246:J265" si="127">IF(OR(I141="",$H141=""),"",I141)</f>
        <v/>
      </c>
      <c r="J246" t="str">
        <f t="shared" si="127"/>
        <v/>
      </c>
      <c r="K246" t="str">
        <f t="shared" si="55"/>
        <v/>
      </c>
      <c r="L246" t="str">
        <f t="shared" si="94"/>
        <v/>
      </c>
      <c r="M246" t="str">
        <f t="shared" ref="M246:AU246" si="128">IF($H246="","",M141+L246)</f>
        <v/>
      </c>
      <c r="N246" t="str">
        <f t="shared" si="128"/>
        <v/>
      </c>
      <c r="O246" t="str">
        <f t="shared" si="128"/>
        <v/>
      </c>
      <c r="P246" t="str">
        <f t="shared" si="128"/>
        <v/>
      </c>
      <c r="Q246" t="str">
        <f t="shared" si="128"/>
        <v/>
      </c>
      <c r="R246" t="str">
        <f t="shared" si="128"/>
        <v/>
      </c>
      <c r="S246" t="str">
        <f t="shared" si="128"/>
        <v/>
      </c>
      <c r="T246" t="str">
        <f t="shared" si="128"/>
        <v/>
      </c>
      <c r="U246" t="str">
        <f t="shared" si="128"/>
        <v/>
      </c>
      <c r="V246" t="str">
        <f t="shared" si="128"/>
        <v/>
      </c>
      <c r="W246" t="str">
        <f t="shared" si="128"/>
        <v/>
      </c>
      <c r="X246" t="str">
        <f t="shared" si="128"/>
        <v/>
      </c>
      <c r="Y246" t="str">
        <f t="shared" si="128"/>
        <v/>
      </c>
      <c r="Z246" t="str">
        <f t="shared" si="128"/>
        <v/>
      </c>
      <c r="AA246" t="str">
        <f t="shared" si="128"/>
        <v/>
      </c>
      <c r="AB246" t="str">
        <f t="shared" si="128"/>
        <v/>
      </c>
      <c r="AC246" t="str">
        <f t="shared" si="128"/>
        <v/>
      </c>
      <c r="AD246" t="str">
        <f t="shared" si="128"/>
        <v/>
      </c>
      <c r="AE246" t="str">
        <f t="shared" si="128"/>
        <v/>
      </c>
      <c r="AF246" t="str">
        <f t="shared" si="128"/>
        <v/>
      </c>
      <c r="AG246" t="str">
        <f t="shared" si="128"/>
        <v/>
      </c>
      <c r="AH246" t="str">
        <f t="shared" si="128"/>
        <v/>
      </c>
      <c r="AI246" t="str">
        <f t="shared" si="128"/>
        <v/>
      </c>
      <c r="AJ246" t="str">
        <f t="shared" si="128"/>
        <v/>
      </c>
      <c r="AK246" t="str">
        <f t="shared" si="128"/>
        <v/>
      </c>
      <c r="AL246" t="str">
        <f t="shared" si="128"/>
        <v/>
      </c>
      <c r="AM246" t="str">
        <f t="shared" si="128"/>
        <v/>
      </c>
      <c r="AN246" t="str">
        <f t="shared" si="128"/>
        <v/>
      </c>
      <c r="AO246" t="str">
        <f t="shared" si="128"/>
        <v/>
      </c>
      <c r="AP246" t="str">
        <f t="shared" si="128"/>
        <v/>
      </c>
      <c r="AQ246" t="str">
        <f t="shared" si="128"/>
        <v/>
      </c>
      <c r="AR246" t="str">
        <f t="shared" si="128"/>
        <v/>
      </c>
      <c r="AS246" t="str">
        <f t="shared" si="128"/>
        <v/>
      </c>
      <c r="AT246" t="str">
        <f t="shared" si="128"/>
        <v/>
      </c>
      <c r="AU246" t="str">
        <f t="shared" si="128"/>
        <v/>
      </c>
      <c r="AY246" s="255" t="str">
        <f t="shared" si="58"/>
        <v/>
      </c>
    </row>
    <row r="247" spans="1:51" x14ac:dyDescent="0.35">
      <c r="A247" s="286"/>
      <c r="B247" t="str">
        <f t="shared" si="126"/>
        <v/>
      </c>
      <c r="C247" t="str">
        <f t="shared" si="126"/>
        <v/>
      </c>
      <c r="D247" t="str">
        <f t="shared" si="126"/>
        <v/>
      </c>
      <c r="E247" t="str">
        <f t="shared" si="126"/>
        <v/>
      </c>
      <c r="F247" t="str">
        <f t="shared" si="126"/>
        <v/>
      </c>
      <c r="G247" t="str">
        <f t="shared" si="126"/>
        <v/>
      </c>
      <c r="H247" t="str">
        <f t="shared" si="93"/>
        <v/>
      </c>
      <c r="I247" t="str">
        <f t="shared" si="127"/>
        <v/>
      </c>
      <c r="J247" t="str">
        <f t="shared" si="127"/>
        <v/>
      </c>
      <c r="K247" t="str">
        <f t="shared" si="55"/>
        <v/>
      </c>
      <c r="L247" t="str">
        <f t="shared" si="94"/>
        <v/>
      </c>
      <c r="M247" t="str">
        <f t="shared" ref="M247:AU247" si="129">IF($H247="","",M142+L247)</f>
        <v/>
      </c>
      <c r="N247" t="str">
        <f t="shared" si="129"/>
        <v/>
      </c>
      <c r="O247" t="str">
        <f t="shared" si="129"/>
        <v/>
      </c>
      <c r="P247" t="str">
        <f t="shared" si="129"/>
        <v/>
      </c>
      <c r="Q247" t="str">
        <f t="shared" si="129"/>
        <v/>
      </c>
      <c r="R247" t="str">
        <f t="shared" si="129"/>
        <v/>
      </c>
      <c r="S247" t="str">
        <f t="shared" si="129"/>
        <v/>
      </c>
      <c r="T247" t="str">
        <f t="shared" si="129"/>
        <v/>
      </c>
      <c r="U247" t="str">
        <f t="shared" si="129"/>
        <v/>
      </c>
      <c r="V247" t="str">
        <f t="shared" si="129"/>
        <v/>
      </c>
      <c r="W247" t="str">
        <f t="shared" si="129"/>
        <v/>
      </c>
      <c r="X247" t="str">
        <f t="shared" si="129"/>
        <v/>
      </c>
      <c r="Y247" t="str">
        <f t="shared" si="129"/>
        <v/>
      </c>
      <c r="Z247" t="str">
        <f t="shared" si="129"/>
        <v/>
      </c>
      <c r="AA247" t="str">
        <f t="shared" si="129"/>
        <v/>
      </c>
      <c r="AB247" t="str">
        <f t="shared" si="129"/>
        <v/>
      </c>
      <c r="AC247" t="str">
        <f t="shared" si="129"/>
        <v/>
      </c>
      <c r="AD247" t="str">
        <f t="shared" si="129"/>
        <v/>
      </c>
      <c r="AE247" t="str">
        <f t="shared" si="129"/>
        <v/>
      </c>
      <c r="AF247" t="str">
        <f t="shared" si="129"/>
        <v/>
      </c>
      <c r="AG247" t="str">
        <f t="shared" si="129"/>
        <v/>
      </c>
      <c r="AH247" t="str">
        <f t="shared" si="129"/>
        <v/>
      </c>
      <c r="AI247" t="str">
        <f t="shared" si="129"/>
        <v/>
      </c>
      <c r="AJ247" t="str">
        <f t="shared" si="129"/>
        <v/>
      </c>
      <c r="AK247" t="str">
        <f t="shared" si="129"/>
        <v/>
      </c>
      <c r="AL247" t="str">
        <f t="shared" si="129"/>
        <v/>
      </c>
      <c r="AM247" t="str">
        <f t="shared" si="129"/>
        <v/>
      </c>
      <c r="AN247" t="str">
        <f t="shared" si="129"/>
        <v/>
      </c>
      <c r="AO247" t="str">
        <f t="shared" si="129"/>
        <v/>
      </c>
      <c r="AP247" t="str">
        <f t="shared" si="129"/>
        <v/>
      </c>
      <c r="AQ247" t="str">
        <f t="shared" si="129"/>
        <v/>
      </c>
      <c r="AR247" t="str">
        <f t="shared" si="129"/>
        <v/>
      </c>
      <c r="AS247" t="str">
        <f t="shared" si="129"/>
        <v/>
      </c>
      <c r="AT247" t="str">
        <f t="shared" si="129"/>
        <v/>
      </c>
      <c r="AU247" t="str">
        <f t="shared" si="129"/>
        <v/>
      </c>
      <c r="AY247" s="255" t="str">
        <f t="shared" si="58"/>
        <v/>
      </c>
    </row>
    <row r="248" spans="1:51" x14ac:dyDescent="0.35">
      <c r="A248" s="286"/>
      <c r="B248" t="str">
        <f t="shared" si="126"/>
        <v/>
      </c>
      <c r="C248" t="str">
        <f t="shared" si="126"/>
        <v/>
      </c>
      <c r="D248" t="str">
        <f t="shared" si="126"/>
        <v/>
      </c>
      <c r="E248" t="str">
        <f t="shared" si="126"/>
        <v/>
      </c>
      <c r="F248" t="str">
        <f t="shared" si="126"/>
        <v/>
      </c>
      <c r="G248" t="str">
        <f t="shared" si="126"/>
        <v/>
      </c>
      <c r="H248" t="str">
        <f t="shared" si="93"/>
        <v/>
      </c>
      <c r="I248" t="str">
        <f t="shared" si="127"/>
        <v/>
      </c>
      <c r="J248" t="str">
        <f t="shared" si="127"/>
        <v/>
      </c>
      <c r="K248" t="str">
        <f t="shared" si="55"/>
        <v/>
      </c>
      <c r="L248" t="str">
        <f t="shared" si="94"/>
        <v/>
      </c>
      <c r="M248" t="str">
        <f t="shared" ref="M248:AU248" si="130">IF($H248="","",M143+L248)</f>
        <v/>
      </c>
      <c r="N248" t="str">
        <f t="shared" si="130"/>
        <v/>
      </c>
      <c r="O248" t="str">
        <f t="shared" si="130"/>
        <v/>
      </c>
      <c r="P248" t="str">
        <f t="shared" si="130"/>
        <v/>
      </c>
      <c r="Q248" t="str">
        <f t="shared" si="130"/>
        <v/>
      </c>
      <c r="R248" t="str">
        <f t="shared" si="130"/>
        <v/>
      </c>
      <c r="S248" t="str">
        <f t="shared" si="130"/>
        <v/>
      </c>
      <c r="T248" t="str">
        <f t="shared" si="130"/>
        <v/>
      </c>
      <c r="U248" t="str">
        <f t="shared" si="130"/>
        <v/>
      </c>
      <c r="V248" t="str">
        <f t="shared" si="130"/>
        <v/>
      </c>
      <c r="W248" t="str">
        <f t="shared" si="130"/>
        <v/>
      </c>
      <c r="X248" t="str">
        <f t="shared" si="130"/>
        <v/>
      </c>
      <c r="Y248" t="str">
        <f t="shared" si="130"/>
        <v/>
      </c>
      <c r="Z248" t="str">
        <f t="shared" si="130"/>
        <v/>
      </c>
      <c r="AA248" t="str">
        <f t="shared" si="130"/>
        <v/>
      </c>
      <c r="AB248" t="str">
        <f t="shared" si="130"/>
        <v/>
      </c>
      <c r="AC248" t="str">
        <f t="shared" si="130"/>
        <v/>
      </c>
      <c r="AD248" t="str">
        <f t="shared" si="130"/>
        <v/>
      </c>
      <c r="AE248" t="str">
        <f t="shared" si="130"/>
        <v/>
      </c>
      <c r="AF248" t="str">
        <f t="shared" si="130"/>
        <v/>
      </c>
      <c r="AG248" t="str">
        <f t="shared" si="130"/>
        <v/>
      </c>
      <c r="AH248" t="str">
        <f t="shared" si="130"/>
        <v/>
      </c>
      <c r="AI248" t="str">
        <f t="shared" si="130"/>
        <v/>
      </c>
      <c r="AJ248" t="str">
        <f t="shared" si="130"/>
        <v/>
      </c>
      <c r="AK248" t="str">
        <f t="shared" si="130"/>
        <v/>
      </c>
      <c r="AL248" t="str">
        <f t="shared" si="130"/>
        <v/>
      </c>
      <c r="AM248" t="str">
        <f t="shared" si="130"/>
        <v/>
      </c>
      <c r="AN248" t="str">
        <f t="shared" si="130"/>
        <v/>
      </c>
      <c r="AO248" t="str">
        <f t="shared" si="130"/>
        <v/>
      </c>
      <c r="AP248" t="str">
        <f t="shared" si="130"/>
        <v/>
      </c>
      <c r="AQ248" t="str">
        <f t="shared" si="130"/>
        <v/>
      </c>
      <c r="AR248" t="str">
        <f t="shared" si="130"/>
        <v/>
      </c>
      <c r="AS248" t="str">
        <f t="shared" si="130"/>
        <v/>
      </c>
      <c r="AT248" t="str">
        <f t="shared" si="130"/>
        <v/>
      </c>
      <c r="AU248" t="str">
        <f t="shared" si="130"/>
        <v/>
      </c>
      <c r="AY248" s="255" t="str">
        <f t="shared" si="58"/>
        <v/>
      </c>
    </row>
    <row r="249" spans="1:51" x14ac:dyDescent="0.35">
      <c r="A249" s="286"/>
      <c r="B249" t="str">
        <f t="shared" si="126"/>
        <v/>
      </c>
      <c r="C249" t="str">
        <f t="shared" si="126"/>
        <v/>
      </c>
      <c r="D249" t="str">
        <f t="shared" si="126"/>
        <v/>
      </c>
      <c r="E249" t="str">
        <f t="shared" si="126"/>
        <v/>
      </c>
      <c r="F249" t="str">
        <f t="shared" si="126"/>
        <v/>
      </c>
      <c r="G249" t="str">
        <f t="shared" si="126"/>
        <v/>
      </c>
      <c r="H249" t="str">
        <f t="shared" si="93"/>
        <v/>
      </c>
      <c r="I249" t="str">
        <f t="shared" si="127"/>
        <v/>
      </c>
      <c r="J249" t="str">
        <f t="shared" si="127"/>
        <v/>
      </c>
      <c r="K249" t="str">
        <f t="shared" si="55"/>
        <v/>
      </c>
      <c r="L249" t="str">
        <f t="shared" si="94"/>
        <v/>
      </c>
      <c r="M249" t="str">
        <f t="shared" ref="M249:AU249" si="131">IF($H249="","",M144+L249)</f>
        <v/>
      </c>
      <c r="N249" t="str">
        <f t="shared" si="131"/>
        <v/>
      </c>
      <c r="O249" t="str">
        <f t="shared" si="131"/>
        <v/>
      </c>
      <c r="P249" t="str">
        <f t="shared" si="131"/>
        <v/>
      </c>
      <c r="Q249" t="str">
        <f t="shared" si="131"/>
        <v/>
      </c>
      <c r="R249" t="str">
        <f t="shared" si="131"/>
        <v/>
      </c>
      <c r="S249" t="str">
        <f t="shared" si="131"/>
        <v/>
      </c>
      <c r="T249" t="str">
        <f t="shared" si="131"/>
        <v/>
      </c>
      <c r="U249" t="str">
        <f t="shared" si="131"/>
        <v/>
      </c>
      <c r="V249" t="str">
        <f t="shared" si="131"/>
        <v/>
      </c>
      <c r="W249" t="str">
        <f t="shared" si="131"/>
        <v/>
      </c>
      <c r="X249" t="str">
        <f t="shared" si="131"/>
        <v/>
      </c>
      <c r="Y249" t="str">
        <f t="shared" si="131"/>
        <v/>
      </c>
      <c r="Z249" t="str">
        <f t="shared" si="131"/>
        <v/>
      </c>
      <c r="AA249" t="str">
        <f t="shared" si="131"/>
        <v/>
      </c>
      <c r="AB249" t="str">
        <f t="shared" si="131"/>
        <v/>
      </c>
      <c r="AC249" t="str">
        <f t="shared" si="131"/>
        <v/>
      </c>
      <c r="AD249" t="str">
        <f t="shared" si="131"/>
        <v/>
      </c>
      <c r="AE249" t="str">
        <f t="shared" si="131"/>
        <v/>
      </c>
      <c r="AF249" t="str">
        <f t="shared" si="131"/>
        <v/>
      </c>
      <c r="AG249" t="str">
        <f t="shared" si="131"/>
        <v/>
      </c>
      <c r="AH249" t="str">
        <f t="shared" si="131"/>
        <v/>
      </c>
      <c r="AI249" t="str">
        <f t="shared" si="131"/>
        <v/>
      </c>
      <c r="AJ249" t="str">
        <f t="shared" si="131"/>
        <v/>
      </c>
      <c r="AK249" t="str">
        <f t="shared" si="131"/>
        <v/>
      </c>
      <c r="AL249" t="str">
        <f t="shared" si="131"/>
        <v/>
      </c>
      <c r="AM249" t="str">
        <f t="shared" si="131"/>
        <v/>
      </c>
      <c r="AN249" t="str">
        <f t="shared" si="131"/>
        <v/>
      </c>
      <c r="AO249" t="str">
        <f t="shared" si="131"/>
        <v/>
      </c>
      <c r="AP249" t="str">
        <f t="shared" si="131"/>
        <v/>
      </c>
      <c r="AQ249" t="str">
        <f t="shared" si="131"/>
        <v/>
      </c>
      <c r="AR249" t="str">
        <f t="shared" si="131"/>
        <v/>
      </c>
      <c r="AS249" t="str">
        <f t="shared" si="131"/>
        <v/>
      </c>
      <c r="AT249" t="str">
        <f t="shared" si="131"/>
        <v/>
      </c>
      <c r="AU249" t="str">
        <f t="shared" si="131"/>
        <v/>
      </c>
      <c r="AY249" s="255" t="str">
        <f t="shared" si="58"/>
        <v/>
      </c>
    </row>
    <row r="250" spans="1:51" x14ac:dyDescent="0.35">
      <c r="A250" s="286"/>
      <c r="B250" t="str">
        <f t="shared" si="126"/>
        <v/>
      </c>
      <c r="C250" t="str">
        <f t="shared" si="126"/>
        <v/>
      </c>
      <c r="D250" t="str">
        <f t="shared" si="126"/>
        <v/>
      </c>
      <c r="E250" t="str">
        <f t="shared" si="126"/>
        <v/>
      </c>
      <c r="F250" t="str">
        <f t="shared" si="126"/>
        <v/>
      </c>
      <c r="G250" t="str">
        <f t="shared" si="126"/>
        <v/>
      </c>
      <c r="H250" t="str">
        <f t="shared" ref="H250:H281" si="132">IF($H145="","",H145)</f>
        <v/>
      </c>
      <c r="I250" t="str">
        <f t="shared" si="127"/>
        <v/>
      </c>
      <c r="J250" t="str">
        <f t="shared" si="127"/>
        <v/>
      </c>
      <c r="K250" t="str">
        <f t="shared" si="55"/>
        <v/>
      </c>
      <c r="L250" t="str">
        <f t="shared" ref="L250:L281" si="133">IF($H250="","",L145)</f>
        <v/>
      </c>
      <c r="M250" t="str">
        <f t="shared" ref="M250:AU250" si="134">IF($H250="","",M145+L250)</f>
        <v/>
      </c>
      <c r="N250" t="str">
        <f t="shared" si="134"/>
        <v/>
      </c>
      <c r="O250" t="str">
        <f t="shared" si="134"/>
        <v/>
      </c>
      <c r="P250" t="str">
        <f t="shared" si="134"/>
        <v/>
      </c>
      <c r="Q250" t="str">
        <f t="shared" si="134"/>
        <v/>
      </c>
      <c r="R250" t="str">
        <f t="shared" si="134"/>
        <v/>
      </c>
      <c r="S250" t="str">
        <f t="shared" si="134"/>
        <v/>
      </c>
      <c r="T250" t="str">
        <f t="shared" si="134"/>
        <v/>
      </c>
      <c r="U250" t="str">
        <f t="shared" si="134"/>
        <v/>
      </c>
      <c r="V250" t="str">
        <f t="shared" si="134"/>
        <v/>
      </c>
      <c r="W250" t="str">
        <f t="shared" si="134"/>
        <v/>
      </c>
      <c r="X250" t="str">
        <f t="shared" si="134"/>
        <v/>
      </c>
      <c r="Y250" t="str">
        <f t="shared" si="134"/>
        <v/>
      </c>
      <c r="Z250" t="str">
        <f t="shared" si="134"/>
        <v/>
      </c>
      <c r="AA250" t="str">
        <f t="shared" si="134"/>
        <v/>
      </c>
      <c r="AB250" t="str">
        <f t="shared" si="134"/>
        <v/>
      </c>
      <c r="AC250" t="str">
        <f t="shared" si="134"/>
        <v/>
      </c>
      <c r="AD250" t="str">
        <f t="shared" si="134"/>
        <v/>
      </c>
      <c r="AE250" t="str">
        <f t="shared" si="134"/>
        <v/>
      </c>
      <c r="AF250" t="str">
        <f t="shared" si="134"/>
        <v/>
      </c>
      <c r="AG250" t="str">
        <f t="shared" si="134"/>
        <v/>
      </c>
      <c r="AH250" t="str">
        <f t="shared" si="134"/>
        <v/>
      </c>
      <c r="AI250" t="str">
        <f t="shared" si="134"/>
        <v/>
      </c>
      <c r="AJ250" t="str">
        <f t="shared" si="134"/>
        <v/>
      </c>
      <c r="AK250" t="str">
        <f t="shared" si="134"/>
        <v/>
      </c>
      <c r="AL250" t="str">
        <f t="shared" si="134"/>
        <v/>
      </c>
      <c r="AM250" t="str">
        <f t="shared" si="134"/>
        <v/>
      </c>
      <c r="AN250" t="str">
        <f t="shared" si="134"/>
        <v/>
      </c>
      <c r="AO250" t="str">
        <f t="shared" si="134"/>
        <v/>
      </c>
      <c r="AP250" t="str">
        <f t="shared" si="134"/>
        <v/>
      </c>
      <c r="AQ250" t="str">
        <f t="shared" si="134"/>
        <v/>
      </c>
      <c r="AR250" t="str">
        <f t="shared" si="134"/>
        <v/>
      </c>
      <c r="AS250" t="str">
        <f t="shared" si="134"/>
        <v/>
      </c>
      <c r="AT250" t="str">
        <f t="shared" si="134"/>
        <v/>
      </c>
      <c r="AU250" t="str">
        <f t="shared" si="134"/>
        <v/>
      </c>
      <c r="AY250" s="255" t="str">
        <f t="shared" si="58"/>
        <v/>
      </c>
    </row>
    <row r="251" spans="1:51" x14ac:dyDescent="0.35">
      <c r="A251" s="286"/>
      <c r="B251" t="str">
        <f t="shared" si="126"/>
        <v/>
      </c>
      <c r="C251" t="str">
        <f t="shared" si="126"/>
        <v/>
      </c>
      <c r="D251" t="str">
        <f t="shared" si="126"/>
        <v/>
      </c>
      <c r="E251" t="str">
        <f t="shared" si="126"/>
        <v/>
      </c>
      <c r="F251" t="str">
        <f t="shared" si="126"/>
        <v/>
      </c>
      <c r="G251" t="str">
        <f t="shared" si="126"/>
        <v/>
      </c>
      <c r="H251" t="str">
        <f t="shared" si="132"/>
        <v/>
      </c>
      <c r="I251" t="str">
        <f t="shared" si="127"/>
        <v/>
      </c>
      <c r="J251" t="str">
        <f t="shared" si="127"/>
        <v/>
      </c>
      <c r="K251" t="str">
        <f t="shared" ref="K251:K286" si="135">K146</f>
        <v/>
      </c>
      <c r="L251" t="str">
        <f t="shared" si="133"/>
        <v/>
      </c>
      <c r="M251" t="str">
        <f t="shared" ref="M251:AU251" si="136">IF($H251="","",M146+L251)</f>
        <v/>
      </c>
      <c r="N251" t="str">
        <f t="shared" si="136"/>
        <v/>
      </c>
      <c r="O251" t="str">
        <f t="shared" si="136"/>
        <v/>
      </c>
      <c r="P251" t="str">
        <f t="shared" si="136"/>
        <v/>
      </c>
      <c r="Q251" t="str">
        <f t="shared" si="136"/>
        <v/>
      </c>
      <c r="R251" t="str">
        <f t="shared" si="136"/>
        <v/>
      </c>
      <c r="S251" t="str">
        <f t="shared" si="136"/>
        <v/>
      </c>
      <c r="T251" t="str">
        <f t="shared" si="136"/>
        <v/>
      </c>
      <c r="U251" t="str">
        <f t="shared" si="136"/>
        <v/>
      </c>
      <c r="V251" t="str">
        <f t="shared" si="136"/>
        <v/>
      </c>
      <c r="W251" t="str">
        <f t="shared" si="136"/>
        <v/>
      </c>
      <c r="X251" t="str">
        <f t="shared" si="136"/>
        <v/>
      </c>
      <c r="Y251" t="str">
        <f t="shared" si="136"/>
        <v/>
      </c>
      <c r="Z251" t="str">
        <f t="shared" si="136"/>
        <v/>
      </c>
      <c r="AA251" t="str">
        <f t="shared" si="136"/>
        <v/>
      </c>
      <c r="AB251" t="str">
        <f t="shared" si="136"/>
        <v/>
      </c>
      <c r="AC251" t="str">
        <f t="shared" si="136"/>
        <v/>
      </c>
      <c r="AD251" t="str">
        <f t="shared" si="136"/>
        <v/>
      </c>
      <c r="AE251" t="str">
        <f t="shared" si="136"/>
        <v/>
      </c>
      <c r="AF251" t="str">
        <f t="shared" si="136"/>
        <v/>
      </c>
      <c r="AG251" t="str">
        <f t="shared" si="136"/>
        <v/>
      </c>
      <c r="AH251" t="str">
        <f t="shared" si="136"/>
        <v/>
      </c>
      <c r="AI251" t="str">
        <f t="shared" si="136"/>
        <v/>
      </c>
      <c r="AJ251" t="str">
        <f t="shared" si="136"/>
        <v/>
      </c>
      <c r="AK251" t="str">
        <f t="shared" si="136"/>
        <v/>
      </c>
      <c r="AL251" t="str">
        <f t="shared" si="136"/>
        <v/>
      </c>
      <c r="AM251" t="str">
        <f t="shared" si="136"/>
        <v/>
      </c>
      <c r="AN251" t="str">
        <f t="shared" si="136"/>
        <v/>
      </c>
      <c r="AO251" t="str">
        <f t="shared" si="136"/>
        <v/>
      </c>
      <c r="AP251" t="str">
        <f t="shared" si="136"/>
        <v/>
      </c>
      <c r="AQ251" t="str">
        <f t="shared" si="136"/>
        <v/>
      </c>
      <c r="AR251" t="str">
        <f t="shared" si="136"/>
        <v/>
      </c>
      <c r="AS251" t="str">
        <f t="shared" si="136"/>
        <v/>
      </c>
      <c r="AT251" t="str">
        <f t="shared" si="136"/>
        <v/>
      </c>
      <c r="AU251" t="str">
        <f t="shared" si="136"/>
        <v/>
      </c>
      <c r="AY251" s="255" t="str">
        <f t="shared" ref="AY251:AY286" si="137">IF($H251="","",SUBSTITUTE("SELECT 'Headcount','Headcount',"&amp;ROW()&amp;",NULL,'"&amp;SUBSTITUTE($H251,"'","''")&amp;"','Forecast','"&amp;SUBSTITUTE($B251,"'","''")&amp;"','"&amp;SUBSTITUTE($C251,"'","''")&amp;"','"&amp;SUBSTITUTE($D251,"'","''")&amp;"','"&amp;SUBSTITUTE($E251,"'","''")&amp;"','"&amp;SUBSTITUTE($F251,"'","''")&amp;"','"&amp;SUBSTITUTE($G251,"'","''")&amp;"','Headcount',"&amp;IF($I251="","NULL","'"&amp;SUBSTITUTE($I251,"'","''")&amp;"'")&amp;","&amp;IF($J251="","NULL","'"&amp;SUBSTITUTE($J251,"'","''")&amp;"'")&amp;",NULL,NULL,"&amp;IF($L251="","NULL",$L251)&amp;","&amp;IF($M251="","NULL",$M251)&amp;","&amp;IF($N251="","NULL",$N251)&amp;","&amp;IF($O251="","NULL",$O251)&amp;","&amp;IF($P251="","NULL",$P251)&amp;","&amp;IF($Q251="","NULL",$Q251)&amp;","&amp;IF($R251="","NULL",$R251)&amp;","&amp;IF($S251="","NULL",$S251)&amp;","&amp;IF($T251="","NULL",$T251)&amp;","&amp;IF($U251="","NULL",$U251)&amp;","&amp;IF($V251="","NULL",$V251)&amp;","&amp;IF($W251="","NULL",$W251)&amp;","&amp;IF($X251="","NULL",$X251)&amp;","&amp;IF($Y251="","NULL",$Y251)&amp;","&amp;IF($Z251="","NULL",$Z251)&amp;","&amp;IF($AA251="","NULL",$AA251)&amp;","&amp;IF($AB251="","NULL",$AB251)&amp;","&amp;IF($AC251="","NULL",$AC251)&amp;","&amp;IF($AD251="","NULL",$AD251)&amp;","&amp;IF($AE251="","NULL",$AE251)&amp;","&amp;IF($AF251="","NULL",$AF251)&amp;","&amp;IF($AG251="","NULL",$AG251)&amp;","&amp;IF($AH251="","NULL",$AH251)&amp;","&amp;IF($AI251="","NULL",$AI251)&amp;","&amp;IF($AJ251="","NULL",$AJ251)&amp;","&amp;IF($AK251="","NULL",$AK251)&amp;","&amp;IF($AL251="","NULL",$AL251)&amp;","&amp;IF($AM251="","NULL",$AM251)&amp;","&amp;IF($AN251="","NULL",$AN251)&amp;","&amp;IF($AO251="","NULL",$AO251)&amp;","&amp;IF($AP251="","NULL",$AP251)&amp;","&amp;IF($AQ251="","NULL",$AQ251)&amp;","&amp;IF($AR251="","NULL",$AR251)&amp;","&amp;IF($AS251="","NULL",$AS251)&amp;","&amp;IF($AT251="","NULL",$AT251)&amp;","&amp;IF($AU251="","NULL",$AU251),"'","''"))</f>
        <v/>
      </c>
    </row>
    <row r="252" spans="1:51" x14ac:dyDescent="0.35">
      <c r="A252" s="286"/>
      <c r="B252" t="str">
        <f t="shared" si="126"/>
        <v/>
      </c>
      <c r="C252" t="str">
        <f t="shared" si="126"/>
        <v/>
      </c>
      <c r="D252" t="str">
        <f t="shared" si="126"/>
        <v/>
      </c>
      <c r="E252" t="str">
        <f t="shared" si="126"/>
        <v/>
      </c>
      <c r="F252" t="str">
        <f t="shared" si="126"/>
        <v/>
      </c>
      <c r="G252" t="str">
        <f t="shared" si="126"/>
        <v/>
      </c>
      <c r="H252" t="str">
        <f t="shared" si="132"/>
        <v/>
      </c>
      <c r="I252" t="str">
        <f t="shared" si="127"/>
        <v/>
      </c>
      <c r="J252" t="str">
        <f t="shared" si="127"/>
        <v/>
      </c>
      <c r="K252" t="str">
        <f t="shared" si="135"/>
        <v/>
      </c>
      <c r="L252" t="str">
        <f t="shared" si="133"/>
        <v/>
      </c>
      <c r="M252" t="str">
        <f t="shared" ref="M252:AU252" si="138">IF($H252="","",M147+L252)</f>
        <v/>
      </c>
      <c r="N252" t="str">
        <f t="shared" si="138"/>
        <v/>
      </c>
      <c r="O252" t="str">
        <f t="shared" si="138"/>
        <v/>
      </c>
      <c r="P252" t="str">
        <f t="shared" si="138"/>
        <v/>
      </c>
      <c r="Q252" t="str">
        <f t="shared" si="138"/>
        <v/>
      </c>
      <c r="R252" t="str">
        <f t="shared" si="138"/>
        <v/>
      </c>
      <c r="S252" t="str">
        <f t="shared" si="138"/>
        <v/>
      </c>
      <c r="T252" t="str">
        <f t="shared" si="138"/>
        <v/>
      </c>
      <c r="U252" t="str">
        <f t="shared" si="138"/>
        <v/>
      </c>
      <c r="V252" t="str">
        <f t="shared" si="138"/>
        <v/>
      </c>
      <c r="W252" t="str">
        <f t="shared" si="138"/>
        <v/>
      </c>
      <c r="X252" t="str">
        <f t="shared" si="138"/>
        <v/>
      </c>
      <c r="Y252" t="str">
        <f t="shared" si="138"/>
        <v/>
      </c>
      <c r="Z252" t="str">
        <f t="shared" si="138"/>
        <v/>
      </c>
      <c r="AA252" t="str">
        <f t="shared" si="138"/>
        <v/>
      </c>
      <c r="AB252" t="str">
        <f t="shared" si="138"/>
        <v/>
      </c>
      <c r="AC252" t="str">
        <f t="shared" si="138"/>
        <v/>
      </c>
      <c r="AD252" t="str">
        <f t="shared" si="138"/>
        <v/>
      </c>
      <c r="AE252" t="str">
        <f t="shared" si="138"/>
        <v/>
      </c>
      <c r="AF252" t="str">
        <f t="shared" si="138"/>
        <v/>
      </c>
      <c r="AG252" t="str">
        <f t="shared" si="138"/>
        <v/>
      </c>
      <c r="AH252" t="str">
        <f t="shared" si="138"/>
        <v/>
      </c>
      <c r="AI252" t="str">
        <f t="shared" si="138"/>
        <v/>
      </c>
      <c r="AJ252" t="str">
        <f t="shared" si="138"/>
        <v/>
      </c>
      <c r="AK252" t="str">
        <f t="shared" si="138"/>
        <v/>
      </c>
      <c r="AL252" t="str">
        <f t="shared" si="138"/>
        <v/>
      </c>
      <c r="AM252" t="str">
        <f t="shared" si="138"/>
        <v/>
      </c>
      <c r="AN252" t="str">
        <f t="shared" si="138"/>
        <v/>
      </c>
      <c r="AO252" t="str">
        <f t="shared" si="138"/>
        <v/>
      </c>
      <c r="AP252" t="str">
        <f t="shared" si="138"/>
        <v/>
      </c>
      <c r="AQ252" t="str">
        <f t="shared" si="138"/>
        <v/>
      </c>
      <c r="AR252" t="str">
        <f t="shared" si="138"/>
        <v/>
      </c>
      <c r="AS252" t="str">
        <f t="shared" si="138"/>
        <v/>
      </c>
      <c r="AT252" t="str">
        <f t="shared" si="138"/>
        <v/>
      </c>
      <c r="AU252" t="str">
        <f t="shared" si="138"/>
        <v/>
      </c>
      <c r="AY252" s="255" t="str">
        <f t="shared" si="137"/>
        <v/>
      </c>
    </row>
    <row r="253" spans="1:51" x14ac:dyDescent="0.35">
      <c r="A253" s="286"/>
      <c r="B253" t="str">
        <f t="shared" si="126"/>
        <v/>
      </c>
      <c r="C253" t="str">
        <f t="shared" si="126"/>
        <v/>
      </c>
      <c r="D253" t="str">
        <f t="shared" si="126"/>
        <v/>
      </c>
      <c r="E253" t="str">
        <f t="shared" si="126"/>
        <v/>
      </c>
      <c r="F253" t="str">
        <f t="shared" si="126"/>
        <v/>
      </c>
      <c r="G253" t="str">
        <f t="shared" si="126"/>
        <v/>
      </c>
      <c r="H253" t="str">
        <f t="shared" si="132"/>
        <v/>
      </c>
      <c r="I253" t="str">
        <f t="shared" si="127"/>
        <v/>
      </c>
      <c r="J253" t="str">
        <f t="shared" si="127"/>
        <v/>
      </c>
      <c r="K253" t="str">
        <f t="shared" si="135"/>
        <v/>
      </c>
      <c r="L253" t="str">
        <f t="shared" si="133"/>
        <v/>
      </c>
      <c r="M253" t="str">
        <f t="shared" ref="M253:AU253" si="139">IF($H253="","",M148+L253)</f>
        <v/>
      </c>
      <c r="N253" t="str">
        <f t="shared" si="139"/>
        <v/>
      </c>
      <c r="O253" t="str">
        <f t="shared" si="139"/>
        <v/>
      </c>
      <c r="P253" t="str">
        <f t="shared" si="139"/>
        <v/>
      </c>
      <c r="Q253" t="str">
        <f t="shared" si="139"/>
        <v/>
      </c>
      <c r="R253" t="str">
        <f t="shared" si="139"/>
        <v/>
      </c>
      <c r="S253" t="str">
        <f t="shared" si="139"/>
        <v/>
      </c>
      <c r="T253" t="str">
        <f t="shared" si="139"/>
        <v/>
      </c>
      <c r="U253" t="str">
        <f t="shared" si="139"/>
        <v/>
      </c>
      <c r="V253" t="str">
        <f t="shared" si="139"/>
        <v/>
      </c>
      <c r="W253" t="str">
        <f t="shared" si="139"/>
        <v/>
      </c>
      <c r="X253" t="str">
        <f t="shared" si="139"/>
        <v/>
      </c>
      <c r="Y253" t="str">
        <f t="shared" si="139"/>
        <v/>
      </c>
      <c r="Z253" t="str">
        <f t="shared" si="139"/>
        <v/>
      </c>
      <c r="AA253" t="str">
        <f t="shared" si="139"/>
        <v/>
      </c>
      <c r="AB253" t="str">
        <f t="shared" si="139"/>
        <v/>
      </c>
      <c r="AC253" t="str">
        <f t="shared" si="139"/>
        <v/>
      </c>
      <c r="AD253" t="str">
        <f t="shared" si="139"/>
        <v/>
      </c>
      <c r="AE253" t="str">
        <f t="shared" si="139"/>
        <v/>
      </c>
      <c r="AF253" t="str">
        <f t="shared" si="139"/>
        <v/>
      </c>
      <c r="AG253" t="str">
        <f t="shared" si="139"/>
        <v/>
      </c>
      <c r="AH253" t="str">
        <f t="shared" si="139"/>
        <v/>
      </c>
      <c r="AI253" t="str">
        <f t="shared" si="139"/>
        <v/>
      </c>
      <c r="AJ253" t="str">
        <f t="shared" si="139"/>
        <v/>
      </c>
      <c r="AK253" t="str">
        <f t="shared" si="139"/>
        <v/>
      </c>
      <c r="AL253" t="str">
        <f t="shared" si="139"/>
        <v/>
      </c>
      <c r="AM253" t="str">
        <f t="shared" si="139"/>
        <v/>
      </c>
      <c r="AN253" t="str">
        <f t="shared" si="139"/>
        <v/>
      </c>
      <c r="AO253" t="str">
        <f t="shared" si="139"/>
        <v/>
      </c>
      <c r="AP253" t="str">
        <f t="shared" si="139"/>
        <v/>
      </c>
      <c r="AQ253" t="str">
        <f t="shared" si="139"/>
        <v/>
      </c>
      <c r="AR253" t="str">
        <f t="shared" si="139"/>
        <v/>
      </c>
      <c r="AS253" t="str">
        <f t="shared" si="139"/>
        <v/>
      </c>
      <c r="AT253" t="str">
        <f t="shared" si="139"/>
        <v/>
      </c>
      <c r="AU253" t="str">
        <f t="shared" si="139"/>
        <v/>
      </c>
      <c r="AY253" s="255" t="str">
        <f t="shared" si="137"/>
        <v/>
      </c>
    </row>
    <row r="254" spans="1:51" x14ac:dyDescent="0.35">
      <c r="A254" s="286"/>
      <c r="B254" t="str">
        <f t="shared" si="126"/>
        <v/>
      </c>
      <c r="C254" t="str">
        <f t="shared" si="126"/>
        <v/>
      </c>
      <c r="D254" t="str">
        <f t="shared" si="126"/>
        <v/>
      </c>
      <c r="E254" t="str">
        <f t="shared" si="126"/>
        <v/>
      </c>
      <c r="F254" t="str">
        <f t="shared" si="126"/>
        <v/>
      </c>
      <c r="G254" t="str">
        <f t="shared" si="126"/>
        <v/>
      </c>
      <c r="H254" t="str">
        <f t="shared" si="132"/>
        <v/>
      </c>
      <c r="I254" t="str">
        <f t="shared" si="127"/>
        <v/>
      </c>
      <c r="J254" t="str">
        <f t="shared" si="127"/>
        <v/>
      </c>
      <c r="K254" t="str">
        <f t="shared" si="135"/>
        <v/>
      </c>
      <c r="L254" t="str">
        <f t="shared" si="133"/>
        <v/>
      </c>
      <c r="M254" t="str">
        <f t="shared" ref="M254:AU254" si="140">IF($H254="","",M149+L254)</f>
        <v/>
      </c>
      <c r="N254" t="str">
        <f t="shared" si="140"/>
        <v/>
      </c>
      <c r="O254" t="str">
        <f t="shared" si="140"/>
        <v/>
      </c>
      <c r="P254" t="str">
        <f t="shared" si="140"/>
        <v/>
      </c>
      <c r="Q254" t="str">
        <f t="shared" si="140"/>
        <v/>
      </c>
      <c r="R254" t="str">
        <f t="shared" si="140"/>
        <v/>
      </c>
      <c r="S254" t="str">
        <f t="shared" si="140"/>
        <v/>
      </c>
      <c r="T254" t="str">
        <f t="shared" si="140"/>
        <v/>
      </c>
      <c r="U254" t="str">
        <f t="shared" si="140"/>
        <v/>
      </c>
      <c r="V254" t="str">
        <f t="shared" si="140"/>
        <v/>
      </c>
      <c r="W254" t="str">
        <f t="shared" si="140"/>
        <v/>
      </c>
      <c r="X254" t="str">
        <f t="shared" si="140"/>
        <v/>
      </c>
      <c r="Y254" t="str">
        <f t="shared" si="140"/>
        <v/>
      </c>
      <c r="Z254" t="str">
        <f t="shared" si="140"/>
        <v/>
      </c>
      <c r="AA254" t="str">
        <f t="shared" si="140"/>
        <v/>
      </c>
      <c r="AB254" t="str">
        <f t="shared" si="140"/>
        <v/>
      </c>
      <c r="AC254" t="str">
        <f t="shared" si="140"/>
        <v/>
      </c>
      <c r="AD254" t="str">
        <f t="shared" si="140"/>
        <v/>
      </c>
      <c r="AE254" t="str">
        <f t="shared" si="140"/>
        <v/>
      </c>
      <c r="AF254" t="str">
        <f t="shared" si="140"/>
        <v/>
      </c>
      <c r="AG254" t="str">
        <f t="shared" si="140"/>
        <v/>
      </c>
      <c r="AH254" t="str">
        <f t="shared" si="140"/>
        <v/>
      </c>
      <c r="AI254" t="str">
        <f t="shared" si="140"/>
        <v/>
      </c>
      <c r="AJ254" t="str">
        <f t="shared" si="140"/>
        <v/>
      </c>
      <c r="AK254" t="str">
        <f t="shared" si="140"/>
        <v/>
      </c>
      <c r="AL254" t="str">
        <f t="shared" si="140"/>
        <v/>
      </c>
      <c r="AM254" t="str">
        <f t="shared" si="140"/>
        <v/>
      </c>
      <c r="AN254" t="str">
        <f t="shared" si="140"/>
        <v/>
      </c>
      <c r="AO254" t="str">
        <f t="shared" si="140"/>
        <v/>
      </c>
      <c r="AP254" t="str">
        <f t="shared" si="140"/>
        <v/>
      </c>
      <c r="AQ254" t="str">
        <f t="shared" si="140"/>
        <v/>
      </c>
      <c r="AR254" t="str">
        <f t="shared" si="140"/>
        <v/>
      </c>
      <c r="AS254" t="str">
        <f t="shared" si="140"/>
        <v/>
      </c>
      <c r="AT254" t="str">
        <f t="shared" si="140"/>
        <v/>
      </c>
      <c r="AU254" t="str">
        <f t="shared" si="140"/>
        <v/>
      </c>
      <c r="AY254" s="255" t="str">
        <f t="shared" si="137"/>
        <v/>
      </c>
    </row>
    <row r="255" spans="1:51" x14ac:dyDescent="0.35">
      <c r="A255" s="286"/>
      <c r="B255" t="str">
        <f t="shared" si="126"/>
        <v/>
      </c>
      <c r="C255" t="str">
        <f t="shared" si="126"/>
        <v/>
      </c>
      <c r="D255" t="str">
        <f t="shared" si="126"/>
        <v/>
      </c>
      <c r="E255" t="str">
        <f t="shared" si="126"/>
        <v/>
      </c>
      <c r="F255" t="str">
        <f t="shared" si="126"/>
        <v/>
      </c>
      <c r="G255" t="str">
        <f t="shared" si="126"/>
        <v/>
      </c>
      <c r="H255" t="str">
        <f t="shared" si="132"/>
        <v/>
      </c>
      <c r="I255" t="str">
        <f t="shared" si="127"/>
        <v/>
      </c>
      <c r="J255" t="str">
        <f t="shared" si="127"/>
        <v/>
      </c>
      <c r="K255" t="str">
        <f t="shared" si="135"/>
        <v/>
      </c>
      <c r="L255" t="str">
        <f t="shared" si="133"/>
        <v/>
      </c>
      <c r="M255" t="str">
        <f t="shared" ref="M255:AU255" si="141">IF($H255="","",M150+L255)</f>
        <v/>
      </c>
      <c r="N255" t="str">
        <f t="shared" si="141"/>
        <v/>
      </c>
      <c r="O255" t="str">
        <f t="shared" si="141"/>
        <v/>
      </c>
      <c r="P255" t="str">
        <f t="shared" si="141"/>
        <v/>
      </c>
      <c r="Q255" t="str">
        <f t="shared" si="141"/>
        <v/>
      </c>
      <c r="R255" t="str">
        <f t="shared" si="141"/>
        <v/>
      </c>
      <c r="S255" t="str">
        <f t="shared" si="141"/>
        <v/>
      </c>
      <c r="T255" t="str">
        <f t="shared" si="141"/>
        <v/>
      </c>
      <c r="U255" t="str">
        <f t="shared" si="141"/>
        <v/>
      </c>
      <c r="V255" t="str">
        <f t="shared" si="141"/>
        <v/>
      </c>
      <c r="W255" t="str">
        <f t="shared" si="141"/>
        <v/>
      </c>
      <c r="X255" t="str">
        <f t="shared" si="141"/>
        <v/>
      </c>
      <c r="Y255" t="str">
        <f t="shared" si="141"/>
        <v/>
      </c>
      <c r="Z255" t="str">
        <f t="shared" si="141"/>
        <v/>
      </c>
      <c r="AA255" t="str">
        <f t="shared" si="141"/>
        <v/>
      </c>
      <c r="AB255" t="str">
        <f t="shared" si="141"/>
        <v/>
      </c>
      <c r="AC255" t="str">
        <f t="shared" si="141"/>
        <v/>
      </c>
      <c r="AD255" t="str">
        <f t="shared" si="141"/>
        <v/>
      </c>
      <c r="AE255" t="str">
        <f t="shared" si="141"/>
        <v/>
      </c>
      <c r="AF255" t="str">
        <f t="shared" si="141"/>
        <v/>
      </c>
      <c r="AG255" t="str">
        <f t="shared" si="141"/>
        <v/>
      </c>
      <c r="AH255" t="str">
        <f t="shared" si="141"/>
        <v/>
      </c>
      <c r="AI255" t="str">
        <f t="shared" si="141"/>
        <v/>
      </c>
      <c r="AJ255" t="str">
        <f t="shared" si="141"/>
        <v/>
      </c>
      <c r="AK255" t="str">
        <f t="shared" si="141"/>
        <v/>
      </c>
      <c r="AL255" t="str">
        <f t="shared" si="141"/>
        <v/>
      </c>
      <c r="AM255" t="str">
        <f t="shared" si="141"/>
        <v/>
      </c>
      <c r="AN255" t="str">
        <f t="shared" si="141"/>
        <v/>
      </c>
      <c r="AO255" t="str">
        <f t="shared" si="141"/>
        <v/>
      </c>
      <c r="AP255" t="str">
        <f t="shared" si="141"/>
        <v/>
      </c>
      <c r="AQ255" t="str">
        <f t="shared" si="141"/>
        <v/>
      </c>
      <c r="AR255" t="str">
        <f t="shared" si="141"/>
        <v/>
      </c>
      <c r="AS255" t="str">
        <f t="shared" si="141"/>
        <v/>
      </c>
      <c r="AT255" t="str">
        <f t="shared" si="141"/>
        <v/>
      </c>
      <c r="AU255" t="str">
        <f t="shared" si="141"/>
        <v/>
      </c>
      <c r="AY255" s="255" t="str">
        <f t="shared" si="137"/>
        <v/>
      </c>
    </row>
    <row r="256" spans="1:51" x14ac:dyDescent="0.35">
      <c r="A256" s="286"/>
      <c r="B256" t="str">
        <f t="shared" ref="B256:G265" si="142">IF($H151="","",IF(B151="",B$5,B151))</f>
        <v/>
      </c>
      <c r="C256" t="str">
        <f t="shared" si="142"/>
        <v/>
      </c>
      <c r="D256" t="str">
        <f t="shared" si="142"/>
        <v/>
      </c>
      <c r="E256" t="str">
        <f t="shared" si="142"/>
        <v/>
      </c>
      <c r="F256" t="str">
        <f t="shared" si="142"/>
        <v/>
      </c>
      <c r="G256" t="str">
        <f t="shared" si="142"/>
        <v/>
      </c>
      <c r="H256" t="str">
        <f t="shared" si="132"/>
        <v/>
      </c>
      <c r="I256" t="str">
        <f t="shared" si="127"/>
        <v/>
      </c>
      <c r="J256" t="str">
        <f t="shared" si="127"/>
        <v/>
      </c>
      <c r="K256" t="str">
        <f t="shared" si="135"/>
        <v/>
      </c>
      <c r="L256" t="str">
        <f t="shared" si="133"/>
        <v/>
      </c>
      <c r="M256" t="str">
        <f t="shared" ref="M256:AU256" si="143">IF($H256="","",M151+L256)</f>
        <v/>
      </c>
      <c r="N256" t="str">
        <f t="shared" si="143"/>
        <v/>
      </c>
      <c r="O256" t="str">
        <f t="shared" si="143"/>
        <v/>
      </c>
      <c r="P256" t="str">
        <f t="shared" si="143"/>
        <v/>
      </c>
      <c r="Q256" t="str">
        <f t="shared" si="143"/>
        <v/>
      </c>
      <c r="R256" t="str">
        <f t="shared" si="143"/>
        <v/>
      </c>
      <c r="S256" t="str">
        <f t="shared" si="143"/>
        <v/>
      </c>
      <c r="T256" t="str">
        <f t="shared" si="143"/>
        <v/>
      </c>
      <c r="U256" t="str">
        <f t="shared" si="143"/>
        <v/>
      </c>
      <c r="V256" t="str">
        <f t="shared" si="143"/>
        <v/>
      </c>
      <c r="W256" t="str">
        <f t="shared" si="143"/>
        <v/>
      </c>
      <c r="X256" t="str">
        <f t="shared" si="143"/>
        <v/>
      </c>
      <c r="Y256" t="str">
        <f t="shared" si="143"/>
        <v/>
      </c>
      <c r="Z256" t="str">
        <f t="shared" si="143"/>
        <v/>
      </c>
      <c r="AA256" t="str">
        <f t="shared" si="143"/>
        <v/>
      </c>
      <c r="AB256" t="str">
        <f t="shared" si="143"/>
        <v/>
      </c>
      <c r="AC256" t="str">
        <f t="shared" si="143"/>
        <v/>
      </c>
      <c r="AD256" t="str">
        <f t="shared" si="143"/>
        <v/>
      </c>
      <c r="AE256" t="str">
        <f t="shared" si="143"/>
        <v/>
      </c>
      <c r="AF256" t="str">
        <f t="shared" si="143"/>
        <v/>
      </c>
      <c r="AG256" t="str">
        <f t="shared" si="143"/>
        <v/>
      </c>
      <c r="AH256" t="str">
        <f t="shared" si="143"/>
        <v/>
      </c>
      <c r="AI256" t="str">
        <f t="shared" si="143"/>
        <v/>
      </c>
      <c r="AJ256" t="str">
        <f t="shared" si="143"/>
        <v/>
      </c>
      <c r="AK256" t="str">
        <f t="shared" si="143"/>
        <v/>
      </c>
      <c r="AL256" t="str">
        <f t="shared" si="143"/>
        <v/>
      </c>
      <c r="AM256" t="str">
        <f t="shared" si="143"/>
        <v/>
      </c>
      <c r="AN256" t="str">
        <f t="shared" si="143"/>
        <v/>
      </c>
      <c r="AO256" t="str">
        <f t="shared" si="143"/>
        <v/>
      </c>
      <c r="AP256" t="str">
        <f t="shared" si="143"/>
        <v/>
      </c>
      <c r="AQ256" t="str">
        <f t="shared" si="143"/>
        <v/>
      </c>
      <c r="AR256" t="str">
        <f t="shared" si="143"/>
        <v/>
      </c>
      <c r="AS256" t="str">
        <f t="shared" si="143"/>
        <v/>
      </c>
      <c r="AT256" t="str">
        <f t="shared" si="143"/>
        <v/>
      </c>
      <c r="AU256" t="str">
        <f t="shared" si="143"/>
        <v/>
      </c>
      <c r="AY256" s="255" t="str">
        <f t="shared" si="137"/>
        <v/>
      </c>
    </row>
    <row r="257" spans="1:51" x14ac:dyDescent="0.35">
      <c r="A257" s="286"/>
      <c r="B257" t="str">
        <f t="shared" si="142"/>
        <v/>
      </c>
      <c r="C257" t="str">
        <f t="shared" si="142"/>
        <v/>
      </c>
      <c r="D257" t="str">
        <f t="shared" si="142"/>
        <v/>
      </c>
      <c r="E257" t="str">
        <f t="shared" si="142"/>
        <v/>
      </c>
      <c r="F257" t="str">
        <f t="shared" si="142"/>
        <v/>
      </c>
      <c r="G257" t="str">
        <f t="shared" si="142"/>
        <v/>
      </c>
      <c r="H257" t="str">
        <f t="shared" si="132"/>
        <v/>
      </c>
      <c r="I257" t="str">
        <f t="shared" si="127"/>
        <v/>
      </c>
      <c r="J257" t="str">
        <f t="shared" si="127"/>
        <v/>
      </c>
      <c r="K257" t="str">
        <f t="shared" si="135"/>
        <v/>
      </c>
      <c r="L257" t="str">
        <f t="shared" si="133"/>
        <v/>
      </c>
      <c r="M257" t="str">
        <f t="shared" ref="M257:AU257" si="144">IF($H257="","",M152+L257)</f>
        <v/>
      </c>
      <c r="N257" t="str">
        <f t="shared" si="144"/>
        <v/>
      </c>
      <c r="O257" t="str">
        <f t="shared" si="144"/>
        <v/>
      </c>
      <c r="P257" t="str">
        <f t="shared" si="144"/>
        <v/>
      </c>
      <c r="Q257" t="str">
        <f t="shared" si="144"/>
        <v/>
      </c>
      <c r="R257" t="str">
        <f t="shared" si="144"/>
        <v/>
      </c>
      <c r="S257" t="str">
        <f t="shared" si="144"/>
        <v/>
      </c>
      <c r="T257" t="str">
        <f t="shared" si="144"/>
        <v/>
      </c>
      <c r="U257" t="str">
        <f t="shared" si="144"/>
        <v/>
      </c>
      <c r="V257" t="str">
        <f t="shared" si="144"/>
        <v/>
      </c>
      <c r="W257" t="str">
        <f t="shared" si="144"/>
        <v/>
      </c>
      <c r="X257" t="str">
        <f t="shared" si="144"/>
        <v/>
      </c>
      <c r="Y257" t="str">
        <f t="shared" si="144"/>
        <v/>
      </c>
      <c r="Z257" t="str">
        <f t="shared" si="144"/>
        <v/>
      </c>
      <c r="AA257" t="str">
        <f t="shared" si="144"/>
        <v/>
      </c>
      <c r="AB257" t="str">
        <f t="shared" si="144"/>
        <v/>
      </c>
      <c r="AC257" t="str">
        <f t="shared" si="144"/>
        <v/>
      </c>
      <c r="AD257" t="str">
        <f t="shared" si="144"/>
        <v/>
      </c>
      <c r="AE257" t="str">
        <f t="shared" si="144"/>
        <v/>
      </c>
      <c r="AF257" t="str">
        <f t="shared" si="144"/>
        <v/>
      </c>
      <c r="AG257" t="str">
        <f t="shared" si="144"/>
        <v/>
      </c>
      <c r="AH257" t="str">
        <f t="shared" si="144"/>
        <v/>
      </c>
      <c r="AI257" t="str">
        <f t="shared" si="144"/>
        <v/>
      </c>
      <c r="AJ257" t="str">
        <f t="shared" si="144"/>
        <v/>
      </c>
      <c r="AK257" t="str">
        <f t="shared" si="144"/>
        <v/>
      </c>
      <c r="AL257" t="str">
        <f t="shared" si="144"/>
        <v/>
      </c>
      <c r="AM257" t="str">
        <f t="shared" si="144"/>
        <v/>
      </c>
      <c r="AN257" t="str">
        <f t="shared" si="144"/>
        <v/>
      </c>
      <c r="AO257" t="str">
        <f t="shared" si="144"/>
        <v/>
      </c>
      <c r="AP257" t="str">
        <f t="shared" si="144"/>
        <v/>
      </c>
      <c r="AQ257" t="str">
        <f t="shared" si="144"/>
        <v/>
      </c>
      <c r="AR257" t="str">
        <f t="shared" si="144"/>
        <v/>
      </c>
      <c r="AS257" t="str">
        <f t="shared" si="144"/>
        <v/>
      </c>
      <c r="AT257" t="str">
        <f t="shared" si="144"/>
        <v/>
      </c>
      <c r="AU257" t="str">
        <f t="shared" si="144"/>
        <v/>
      </c>
      <c r="AY257" s="255" t="str">
        <f t="shared" si="137"/>
        <v/>
      </c>
    </row>
    <row r="258" spans="1:51" x14ac:dyDescent="0.35">
      <c r="A258" s="286"/>
      <c r="B258" t="str">
        <f t="shared" si="142"/>
        <v/>
      </c>
      <c r="C258" t="str">
        <f t="shared" si="142"/>
        <v/>
      </c>
      <c r="D258" t="str">
        <f t="shared" si="142"/>
        <v/>
      </c>
      <c r="E258" t="str">
        <f t="shared" si="142"/>
        <v/>
      </c>
      <c r="F258" t="str">
        <f t="shared" si="142"/>
        <v/>
      </c>
      <c r="G258" t="str">
        <f t="shared" si="142"/>
        <v/>
      </c>
      <c r="H258" t="str">
        <f t="shared" si="132"/>
        <v/>
      </c>
      <c r="I258" t="str">
        <f t="shared" si="127"/>
        <v/>
      </c>
      <c r="J258" t="str">
        <f t="shared" si="127"/>
        <v/>
      </c>
      <c r="K258" t="str">
        <f t="shared" si="135"/>
        <v/>
      </c>
      <c r="L258" t="str">
        <f t="shared" si="133"/>
        <v/>
      </c>
      <c r="M258" t="str">
        <f t="shared" ref="M258:AU258" si="145">IF($H258="","",M153+L258)</f>
        <v/>
      </c>
      <c r="N258" t="str">
        <f t="shared" si="145"/>
        <v/>
      </c>
      <c r="O258" t="str">
        <f t="shared" si="145"/>
        <v/>
      </c>
      <c r="P258" t="str">
        <f t="shared" si="145"/>
        <v/>
      </c>
      <c r="Q258" t="str">
        <f t="shared" si="145"/>
        <v/>
      </c>
      <c r="R258" t="str">
        <f t="shared" si="145"/>
        <v/>
      </c>
      <c r="S258" t="str">
        <f t="shared" si="145"/>
        <v/>
      </c>
      <c r="T258" t="str">
        <f t="shared" si="145"/>
        <v/>
      </c>
      <c r="U258" t="str">
        <f t="shared" si="145"/>
        <v/>
      </c>
      <c r="V258" t="str">
        <f t="shared" si="145"/>
        <v/>
      </c>
      <c r="W258" t="str">
        <f t="shared" si="145"/>
        <v/>
      </c>
      <c r="X258" t="str">
        <f t="shared" si="145"/>
        <v/>
      </c>
      <c r="Y258" t="str">
        <f t="shared" si="145"/>
        <v/>
      </c>
      <c r="Z258" t="str">
        <f t="shared" si="145"/>
        <v/>
      </c>
      <c r="AA258" t="str">
        <f t="shared" si="145"/>
        <v/>
      </c>
      <c r="AB258" t="str">
        <f t="shared" si="145"/>
        <v/>
      </c>
      <c r="AC258" t="str">
        <f t="shared" si="145"/>
        <v/>
      </c>
      <c r="AD258" t="str">
        <f t="shared" si="145"/>
        <v/>
      </c>
      <c r="AE258" t="str">
        <f t="shared" si="145"/>
        <v/>
      </c>
      <c r="AF258" t="str">
        <f t="shared" si="145"/>
        <v/>
      </c>
      <c r="AG258" t="str">
        <f t="shared" si="145"/>
        <v/>
      </c>
      <c r="AH258" t="str">
        <f t="shared" si="145"/>
        <v/>
      </c>
      <c r="AI258" t="str">
        <f t="shared" si="145"/>
        <v/>
      </c>
      <c r="AJ258" t="str">
        <f t="shared" si="145"/>
        <v/>
      </c>
      <c r="AK258" t="str">
        <f t="shared" si="145"/>
        <v/>
      </c>
      <c r="AL258" t="str">
        <f t="shared" si="145"/>
        <v/>
      </c>
      <c r="AM258" t="str">
        <f t="shared" si="145"/>
        <v/>
      </c>
      <c r="AN258" t="str">
        <f t="shared" si="145"/>
        <v/>
      </c>
      <c r="AO258" t="str">
        <f t="shared" si="145"/>
        <v/>
      </c>
      <c r="AP258" t="str">
        <f t="shared" si="145"/>
        <v/>
      </c>
      <c r="AQ258" t="str">
        <f t="shared" si="145"/>
        <v/>
      </c>
      <c r="AR258" t="str">
        <f t="shared" si="145"/>
        <v/>
      </c>
      <c r="AS258" t="str">
        <f t="shared" si="145"/>
        <v/>
      </c>
      <c r="AT258" t="str">
        <f t="shared" si="145"/>
        <v/>
      </c>
      <c r="AU258" t="str">
        <f t="shared" si="145"/>
        <v/>
      </c>
      <c r="AY258" s="255" t="str">
        <f t="shared" si="137"/>
        <v/>
      </c>
    </row>
    <row r="259" spans="1:51" x14ac:dyDescent="0.35">
      <c r="A259" s="286"/>
      <c r="B259" t="str">
        <f t="shared" si="142"/>
        <v/>
      </c>
      <c r="C259" t="str">
        <f t="shared" si="142"/>
        <v/>
      </c>
      <c r="D259" t="str">
        <f t="shared" si="142"/>
        <v/>
      </c>
      <c r="E259" t="str">
        <f t="shared" si="142"/>
        <v/>
      </c>
      <c r="F259" t="str">
        <f t="shared" si="142"/>
        <v/>
      </c>
      <c r="G259" t="str">
        <f t="shared" si="142"/>
        <v/>
      </c>
      <c r="H259" t="str">
        <f t="shared" si="132"/>
        <v/>
      </c>
      <c r="I259" t="str">
        <f t="shared" si="127"/>
        <v/>
      </c>
      <c r="J259" t="str">
        <f t="shared" si="127"/>
        <v/>
      </c>
      <c r="K259" t="str">
        <f t="shared" si="135"/>
        <v/>
      </c>
      <c r="L259" t="str">
        <f t="shared" si="133"/>
        <v/>
      </c>
      <c r="M259" t="str">
        <f t="shared" ref="M259:AU259" si="146">IF($H259="","",M154+L259)</f>
        <v/>
      </c>
      <c r="N259" t="str">
        <f t="shared" si="146"/>
        <v/>
      </c>
      <c r="O259" t="str">
        <f t="shared" si="146"/>
        <v/>
      </c>
      <c r="P259" t="str">
        <f t="shared" si="146"/>
        <v/>
      </c>
      <c r="Q259" t="str">
        <f t="shared" si="146"/>
        <v/>
      </c>
      <c r="R259" t="str">
        <f t="shared" si="146"/>
        <v/>
      </c>
      <c r="S259" t="str">
        <f t="shared" si="146"/>
        <v/>
      </c>
      <c r="T259" t="str">
        <f t="shared" si="146"/>
        <v/>
      </c>
      <c r="U259" t="str">
        <f t="shared" si="146"/>
        <v/>
      </c>
      <c r="V259" t="str">
        <f t="shared" si="146"/>
        <v/>
      </c>
      <c r="W259" t="str">
        <f t="shared" si="146"/>
        <v/>
      </c>
      <c r="X259" t="str">
        <f t="shared" si="146"/>
        <v/>
      </c>
      <c r="Y259" t="str">
        <f t="shared" si="146"/>
        <v/>
      </c>
      <c r="Z259" t="str">
        <f t="shared" si="146"/>
        <v/>
      </c>
      <c r="AA259" t="str">
        <f t="shared" si="146"/>
        <v/>
      </c>
      <c r="AB259" t="str">
        <f t="shared" si="146"/>
        <v/>
      </c>
      <c r="AC259" t="str">
        <f t="shared" si="146"/>
        <v/>
      </c>
      <c r="AD259" t="str">
        <f t="shared" si="146"/>
        <v/>
      </c>
      <c r="AE259" t="str">
        <f t="shared" si="146"/>
        <v/>
      </c>
      <c r="AF259" t="str">
        <f t="shared" si="146"/>
        <v/>
      </c>
      <c r="AG259" t="str">
        <f t="shared" si="146"/>
        <v/>
      </c>
      <c r="AH259" t="str">
        <f t="shared" si="146"/>
        <v/>
      </c>
      <c r="AI259" t="str">
        <f t="shared" si="146"/>
        <v/>
      </c>
      <c r="AJ259" t="str">
        <f t="shared" si="146"/>
        <v/>
      </c>
      <c r="AK259" t="str">
        <f t="shared" si="146"/>
        <v/>
      </c>
      <c r="AL259" t="str">
        <f t="shared" si="146"/>
        <v/>
      </c>
      <c r="AM259" t="str">
        <f t="shared" si="146"/>
        <v/>
      </c>
      <c r="AN259" t="str">
        <f t="shared" si="146"/>
        <v/>
      </c>
      <c r="AO259" t="str">
        <f t="shared" si="146"/>
        <v/>
      </c>
      <c r="AP259" t="str">
        <f t="shared" si="146"/>
        <v/>
      </c>
      <c r="AQ259" t="str">
        <f t="shared" si="146"/>
        <v/>
      </c>
      <c r="AR259" t="str">
        <f t="shared" si="146"/>
        <v/>
      </c>
      <c r="AS259" t="str">
        <f t="shared" si="146"/>
        <v/>
      </c>
      <c r="AT259" t="str">
        <f t="shared" si="146"/>
        <v/>
      </c>
      <c r="AU259" t="str">
        <f t="shared" si="146"/>
        <v/>
      </c>
      <c r="AY259" s="255" t="str">
        <f t="shared" si="137"/>
        <v/>
      </c>
    </row>
    <row r="260" spans="1:51" x14ac:dyDescent="0.35">
      <c r="A260" s="286"/>
      <c r="B260" t="str">
        <f t="shared" si="142"/>
        <v/>
      </c>
      <c r="C260" t="str">
        <f t="shared" si="142"/>
        <v/>
      </c>
      <c r="D260" t="str">
        <f t="shared" si="142"/>
        <v/>
      </c>
      <c r="E260" t="str">
        <f t="shared" si="142"/>
        <v/>
      </c>
      <c r="F260" t="str">
        <f t="shared" si="142"/>
        <v/>
      </c>
      <c r="G260" t="str">
        <f t="shared" si="142"/>
        <v/>
      </c>
      <c r="H260" t="str">
        <f t="shared" si="132"/>
        <v/>
      </c>
      <c r="I260" t="str">
        <f t="shared" si="127"/>
        <v/>
      </c>
      <c r="J260" t="str">
        <f t="shared" si="127"/>
        <v/>
      </c>
      <c r="K260" t="str">
        <f t="shared" si="135"/>
        <v/>
      </c>
      <c r="L260" t="str">
        <f t="shared" si="133"/>
        <v/>
      </c>
      <c r="M260" t="str">
        <f t="shared" ref="M260:AU260" si="147">IF($H260="","",M155+L260)</f>
        <v/>
      </c>
      <c r="N260" t="str">
        <f t="shared" si="147"/>
        <v/>
      </c>
      <c r="O260" t="str">
        <f t="shared" si="147"/>
        <v/>
      </c>
      <c r="P260" t="str">
        <f t="shared" si="147"/>
        <v/>
      </c>
      <c r="Q260" t="str">
        <f t="shared" si="147"/>
        <v/>
      </c>
      <c r="R260" t="str">
        <f t="shared" si="147"/>
        <v/>
      </c>
      <c r="S260" t="str">
        <f t="shared" si="147"/>
        <v/>
      </c>
      <c r="T260" t="str">
        <f t="shared" si="147"/>
        <v/>
      </c>
      <c r="U260" t="str">
        <f t="shared" si="147"/>
        <v/>
      </c>
      <c r="V260" t="str">
        <f t="shared" si="147"/>
        <v/>
      </c>
      <c r="W260" t="str">
        <f t="shared" si="147"/>
        <v/>
      </c>
      <c r="X260" t="str">
        <f t="shared" si="147"/>
        <v/>
      </c>
      <c r="Y260" t="str">
        <f t="shared" si="147"/>
        <v/>
      </c>
      <c r="Z260" t="str">
        <f t="shared" si="147"/>
        <v/>
      </c>
      <c r="AA260" t="str">
        <f t="shared" si="147"/>
        <v/>
      </c>
      <c r="AB260" t="str">
        <f t="shared" si="147"/>
        <v/>
      </c>
      <c r="AC260" t="str">
        <f t="shared" si="147"/>
        <v/>
      </c>
      <c r="AD260" t="str">
        <f t="shared" si="147"/>
        <v/>
      </c>
      <c r="AE260" t="str">
        <f t="shared" si="147"/>
        <v/>
      </c>
      <c r="AF260" t="str">
        <f t="shared" si="147"/>
        <v/>
      </c>
      <c r="AG260" t="str">
        <f t="shared" si="147"/>
        <v/>
      </c>
      <c r="AH260" t="str">
        <f t="shared" si="147"/>
        <v/>
      </c>
      <c r="AI260" t="str">
        <f t="shared" si="147"/>
        <v/>
      </c>
      <c r="AJ260" t="str">
        <f t="shared" si="147"/>
        <v/>
      </c>
      <c r="AK260" t="str">
        <f t="shared" si="147"/>
        <v/>
      </c>
      <c r="AL260" t="str">
        <f t="shared" si="147"/>
        <v/>
      </c>
      <c r="AM260" t="str">
        <f t="shared" si="147"/>
        <v/>
      </c>
      <c r="AN260" t="str">
        <f t="shared" si="147"/>
        <v/>
      </c>
      <c r="AO260" t="str">
        <f t="shared" si="147"/>
        <v/>
      </c>
      <c r="AP260" t="str">
        <f t="shared" si="147"/>
        <v/>
      </c>
      <c r="AQ260" t="str">
        <f t="shared" si="147"/>
        <v/>
      </c>
      <c r="AR260" t="str">
        <f t="shared" si="147"/>
        <v/>
      </c>
      <c r="AS260" t="str">
        <f t="shared" si="147"/>
        <v/>
      </c>
      <c r="AT260" t="str">
        <f t="shared" si="147"/>
        <v/>
      </c>
      <c r="AU260" t="str">
        <f t="shared" si="147"/>
        <v/>
      </c>
      <c r="AY260" s="255" t="str">
        <f t="shared" si="137"/>
        <v/>
      </c>
    </row>
    <row r="261" spans="1:51" x14ac:dyDescent="0.35">
      <c r="A261" s="286"/>
      <c r="B261" t="str">
        <f t="shared" si="142"/>
        <v/>
      </c>
      <c r="C261" t="str">
        <f t="shared" si="142"/>
        <v/>
      </c>
      <c r="D261" t="str">
        <f t="shared" si="142"/>
        <v/>
      </c>
      <c r="E261" t="str">
        <f t="shared" si="142"/>
        <v/>
      </c>
      <c r="F261" t="str">
        <f t="shared" si="142"/>
        <v/>
      </c>
      <c r="G261" t="str">
        <f t="shared" si="142"/>
        <v/>
      </c>
      <c r="H261" t="str">
        <f t="shared" si="132"/>
        <v/>
      </c>
      <c r="I261" t="str">
        <f t="shared" si="127"/>
        <v/>
      </c>
      <c r="J261" t="str">
        <f t="shared" si="127"/>
        <v/>
      </c>
      <c r="K261" t="str">
        <f t="shared" si="135"/>
        <v/>
      </c>
      <c r="L261" t="str">
        <f t="shared" si="133"/>
        <v/>
      </c>
      <c r="M261" t="str">
        <f t="shared" ref="M261:AU261" si="148">IF($H261="","",M156+L261)</f>
        <v/>
      </c>
      <c r="N261" t="str">
        <f t="shared" si="148"/>
        <v/>
      </c>
      <c r="O261" t="str">
        <f t="shared" si="148"/>
        <v/>
      </c>
      <c r="P261" t="str">
        <f t="shared" si="148"/>
        <v/>
      </c>
      <c r="Q261" t="str">
        <f t="shared" si="148"/>
        <v/>
      </c>
      <c r="R261" t="str">
        <f t="shared" si="148"/>
        <v/>
      </c>
      <c r="S261" t="str">
        <f t="shared" si="148"/>
        <v/>
      </c>
      <c r="T261" t="str">
        <f t="shared" si="148"/>
        <v/>
      </c>
      <c r="U261" t="str">
        <f t="shared" si="148"/>
        <v/>
      </c>
      <c r="V261" t="str">
        <f t="shared" si="148"/>
        <v/>
      </c>
      <c r="W261" t="str">
        <f t="shared" si="148"/>
        <v/>
      </c>
      <c r="X261" t="str">
        <f t="shared" si="148"/>
        <v/>
      </c>
      <c r="Y261" t="str">
        <f t="shared" si="148"/>
        <v/>
      </c>
      <c r="Z261" t="str">
        <f t="shared" si="148"/>
        <v/>
      </c>
      <c r="AA261" t="str">
        <f t="shared" si="148"/>
        <v/>
      </c>
      <c r="AB261" t="str">
        <f t="shared" si="148"/>
        <v/>
      </c>
      <c r="AC261" t="str">
        <f t="shared" si="148"/>
        <v/>
      </c>
      <c r="AD261" t="str">
        <f t="shared" si="148"/>
        <v/>
      </c>
      <c r="AE261" t="str">
        <f t="shared" si="148"/>
        <v/>
      </c>
      <c r="AF261" t="str">
        <f t="shared" si="148"/>
        <v/>
      </c>
      <c r="AG261" t="str">
        <f t="shared" si="148"/>
        <v/>
      </c>
      <c r="AH261" t="str">
        <f t="shared" si="148"/>
        <v/>
      </c>
      <c r="AI261" t="str">
        <f t="shared" si="148"/>
        <v/>
      </c>
      <c r="AJ261" t="str">
        <f t="shared" si="148"/>
        <v/>
      </c>
      <c r="AK261" t="str">
        <f t="shared" si="148"/>
        <v/>
      </c>
      <c r="AL261" t="str">
        <f t="shared" si="148"/>
        <v/>
      </c>
      <c r="AM261" t="str">
        <f t="shared" si="148"/>
        <v/>
      </c>
      <c r="AN261" t="str">
        <f t="shared" si="148"/>
        <v/>
      </c>
      <c r="AO261" t="str">
        <f t="shared" si="148"/>
        <v/>
      </c>
      <c r="AP261" t="str">
        <f t="shared" si="148"/>
        <v/>
      </c>
      <c r="AQ261" t="str">
        <f t="shared" si="148"/>
        <v/>
      </c>
      <c r="AR261" t="str">
        <f t="shared" si="148"/>
        <v/>
      </c>
      <c r="AS261" t="str">
        <f t="shared" si="148"/>
        <v/>
      </c>
      <c r="AT261" t="str">
        <f t="shared" si="148"/>
        <v/>
      </c>
      <c r="AU261" t="str">
        <f t="shared" si="148"/>
        <v/>
      </c>
      <c r="AY261" s="255" t="str">
        <f t="shared" si="137"/>
        <v/>
      </c>
    </row>
    <row r="262" spans="1:51" x14ac:dyDescent="0.35">
      <c r="A262" s="286"/>
      <c r="B262" t="str">
        <f t="shared" si="142"/>
        <v/>
      </c>
      <c r="C262" t="str">
        <f t="shared" si="142"/>
        <v/>
      </c>
      <c r="D262" t="str">
        <f t="shared" si="142"/>
        <v/>
      </c>
      <c r="E262" t="str">
        <f t="shared" si="142"/>
        <v/>
      </c>
      <c r="F262" t="str">
        <f t="shared" si="142"/>
        <v/>
      </c>
      <c r="G262" t="str">
        <f t="shared" si="142"/>
        <v/>
      </c>
      <c r="H262" t="str">
        <f t="shared" si="132"/>
        <v/>
      </c>
      <c r="I262" t="str">
        <f t="shared" si="127"/>
        <v/>
      </c>
      <c r="J262" t="str">
        <f t="shared" si="127"/>
        <v/>
      </c>
      <c r="K262" t="str">
        <f t="shared" si="135"/>
        <v/>
      </c>
      <c r="L262" t="str">
        <f t="shared" si="133"/>
        <v/>
      </c>
      <c r="M262" t="str">
        <f t="shared" ref="M262:AU262" si="149">IF($H262="","",M157+L262)</f>
        <v/>
      </c>
      <c r="N262" t="str">
        <f t="shared" si="149"/>
        <v/>
      </c>
      <c r="O262" t="str">
        <f t="shared" si="149"/>
        <v/>
      </c>
      <c r="P262" t="str">
        <f t="shared" si="149"/>
        <v/>
      </c>
      <c r="Q262" t="str">
        <f t="shared" si="149"/>
        <v/>
      </c>
      <c r="R262" t="str">
        <f t="shared" si="149"/>
        <v/>
      </c>
      <c r="S262" t="str">
        <f t="shared" si="149"/>
        <v/>
      </c>
      <c r="T262" t="str">
        <f t="shared" si="149"/>
        <v/>
      </c>
      <c r="U262" t="str">
        <f t="shared" si="149"/>
        <v/>
      </c>
      <c r="V262" t="str">
        <f t="shared" si="149"/>
        <v/>
      </c>
      <c r="W262" t="str">
        <f t="shared" si="149"/>
        <v/>
      </c>
      <c r="X262" t="str">
        <f t="shared" si="149"/>
        <v/>
      </c>
      <c r="Y262" t="str">
        <f t="shared" si="149"/>
        <v/>
      </c>
      <c r="Z262" t="str">
        <f t="shared" si="149"/>
        <v/>
      </c>
      <c r="AA262" t="str">
        <f t="shared" si="149"/>
        <v/>
      </c>
      <c r="AB262" t="str">
        <f t="shared" si="149"/>
        <v/>
      </c>
      <c r="AC262" t="str">
        <f t="shared" si="149"/>
        <v/>
      </c>
      <c r="AD262" t="str">
        <f t="shared" si="149"/>
        <v/>
      </c>
      <c r="AE262" t="str">
        <f t="shared" si="149"/>
        <v/>
      </c>
      <c r="AF262" t="str">
        <f t="shared" si="149"/>
        <v/>
      </c>
      <c r="AG262" t="str">
        <f t="shared" si="149"/>
        <v/>
      </c>
      <c r="AH262" t="str">
        <f t="shared" si="149"/>
        <v/>
      </c>
      <c r="AI262" t="str">
        <f t="shared" si="149"/>
        <v/>
      </c>
      <c r="AJ262" t="str">
        <f t="shared" si="149"/>
        <v/>
      </c>
      <c r="AK262" t="str">
        <f t="shared" si="149"/>
        <v/>
      </c>
      <c r="AL262" t="str">
        <f t="shared" si="149"/>
        <v/>
      </c>
      <c r="AM262" t="str">
        <f t="shared" si="149"/>
        <v/>
      </c>
      <c r="AN262" t="str">
        <f t="shared" si="149"/>
        <v/>
      </c>
      <c r="AO262" t="str">
        <f t="shared" si="149"/>
        <v/>
      </c>
      <c r="AP262" t="str">
        <f t="shared" si="149"/>
        <v/>
      </c>
      <c r="AQ262" t="str">
        <f t="shared" si="149"/>
        <v/>
      </c>
      <c r="AR262" t="str">
        <f t="shared" si="149"/>
        <v/>
      </c>
      <c r="AS262" t="str">
        <f t="shared" si="149"/>
        <v/>
      </c>
      <c r="AT262" t="str">
        <f t="shared" si="149"/>
        <v/>
      </c>
      <c r="AU262" t="str">
        <f t="shared" si="149"/>
        <v/>
      </c>
      <c r="AY262" s="255" t="str">
        <f t="shared" si="137"/>
        <v/>
      </c>
    </row>
    <row r="263" spans="1:51" x14ac:dyDescent="0.35">
      <c r="A263" s="286"/>
      <c r="B263" t="str">
        <f t="shared" si="142"/>
        <v/>
      </c>
      <c r="C263" t="str">
        <f t="shared" si="142"/>
        <v/>
      </c>
      <c r="D263" t="str">
        <f t="shared" si="142"/>
        <v/>
      </c>
      <c r="E263" t="str">
        <f t="shared" si="142"/>
        <v/>
      </c>
      <c r="F263" t="str">
        <f t="shared" si="142"/>
        <v/>
      </c>
      <c r="G263" t="str">
        <f t="shared" si="142"/>
        <v/>
      </c>
      <c r="H263" t="str">
        <f t="shared" si="132"/>
        <v/>
      </c>
      <c r="I263" t="str">
        <f t="shared" si="127"/>
        <v/>
      </c>
      <c r="J263" t="str">
        <f t="shared" si="127"/>
        <v/>
      </c>
      <c r="K263" t="str">
        <f t="shared" si="135"/>
        <v/>
      </c>
      <c r="L263" t="str">
        <f t="shared" si="133"/>
        <v/>
      </c>
      <c r="M263" t="str">
        <f t="shared" ref="M263:AU263" si="150">IF($H263="","",M158+L263)</f>
        <v/>
      </c>
      <c r="N263" t="str">
        <f t="shared" si="150"/>
        <v/>
      </c>
      <c r="O263" t="str">
        <f t="shared" si="150"/>
        <v/>
      </c>
      <c r="P263" t="str">
        <f t="shared" si="150"/>
        <v/>
      </c>
      <c r="Q263" t="str">
        <f t="shared" si="150"/>
        <v/>
      </c>
      <c r="R263" t="str">
        <f t="shared" si="150"/>
        <v/>
      </c>
      <c r="S263" t="str">
        <f t="shared" si="150"/>
        <v/>
      </c>
      <c r="T263" t="str">
        <f t="shared" si="150"/>
        <v/>
      </c>
      <c r="U263" t="str">
        <f t="shared" si="150"/>
        <v/>
      </c>
      <c r="V263" t="str">
        <f t="shared" si="150"/>
        <v/>
      </c>
      <c r="W263" t="str">
        <f t="shared" si="150"/>
        <v/>
      </c>
      <c r="X263" t="str">
        <f t="shared" si="150"/>
        <v/>
      </c>
      <c r="Y263" t="str">
        <f t="shared" si="150"/>
        <v/>
      </c>
      <c r="Z263" t="str">
        <f t="shared" si="150"/>
        <v/>
      </c>
      <c r="AA263" t="str">
        <f t="shared" si="150"/>
        <v/>
      </c>
      <c r="AB263" t="str">
        <f t="shared" si="150"/>
        <v/>
      </c>
      <c r="AC263" t="str">
        <f t="shared" si="150"/>
        <v/>
      </c>
      <c r="AD263" t="str">
        <f t="shared" si="150"/>
        <v/>
      </c>
      <c r="AE263" t="str">
        <f t="shared" si="150"/>
        <v/>
      </c>
      <c r="AF263" t="str">
        <f t="shared" si="150"/>
        <v/>
      </c>
      <c r="AG263" t="str">
        <f t="shared" si="150"/>
        <v/>
      </c>
      <c r="AH263" t="str">
        <f t="shared" si="150"/>
        <v/>
      </c>
      <c r="AI263" t="str">
        <f t="shared" si="150"/>
        <v/>
      </c>
      <c r="AJ263" t="str">
        <f t="shared" si="150"/>
        <v/>
      </c>
      <c r="AK263" t="str">
        <f t="shared" si="150"/>
        <v/>
      </c>
      <c r="AL263" t="str">
        <f t="shared" si="150"/>
        <v/>
      </c>
      <c r="AM263" t="str">
        <f t="shared" si="150"/>
        <v/>
      </c>
      <c r="AN263" t="str">
        <f t="shared" si="150"/>
        <v/>
      </c>
      <c r="AO263" t="str">
        <f t="shared" si="150"/>
        <v/>
      </c>
      <c r="AP263" t="str">
        <f t="shared" si="150"/>
        <v/>
      </c>
      <c r="AQ263" t="str">
        <f t="shared" si="150"/>
        <v/>
      </c>
      <c r="AR263" t="str">
        <f t="shared" si="150"/>
        <v/>
      </c>
      <c r="AS263" t="str">
        <f t="shared" si="150"/>
        <v/>
      </c>
      <c r="AT263" t="str">
        <f t="shared" si="150"/>
        <v/>
      </c>
      <c r="AU263" t="str">
        <f t="shared" si="150"/>
        <v/>
      </c>
      <c r="AY263" s="255" t="str">
        <f t="shared" si="137"/>
        <v/>
      </c>
    </row>
    <row r="264" spans="1:51" x14ac:dyDescent="0.35">
      <c r="A264" s="286"/>
      <c r="B264" t="str">
        <f t="shared" si="142"/>
        <v/>
      </c>
      <c r="C264" t="str">
        <f t="shared" si="142"/>
        <v/>
      </c>
      <c r="D264" t="str">
        <f t="shared" si="142"/>
        <v/>
      </c>
      <c r="E264" t="str">
        <f t="shared" si="142"/>
        <v/>
      </c>
      <c r="F264" t="str">
        <f t="shared" si="142"/>
        <v/>
      </c>
      <c r="G264" t="str">
        <f t="shared" si="142"/>
        <v/>
      </c>
      <c r="H264" t="str">
        <f t="shared" si="132"/>
        <v/>
      </c>
      <c r="I264" t="str">
        <f t="shared" si="127"/>
        <v/>
      </c>
      <c r="J264" t="str">
        <f t="shared" si="127"/>
        <v/>
      </c>
      <c r="K264" t="str">
        <f t="shared" si="135"/>
        <v/>
      </c>
      <c r="L264" t="str">
        <f t="shared" si="133"/>
        <v/>
      </c>
      <c r="M264" t="str">
        <f t="shared" ref="M264:AU264" si="151">IF($H264="","",M159+L264)</f>
        <v/>
      </c>
      <c r="N264" t="str">
        <f t="shared" si="151"/>
        <v/>
      </c>
      <c r="O264" t="str">
        <f t="shared" si="151"/>
        <v/>
      </c>
      <c r="P264" t="str">
        <f t="shared" si="151"/>
        <v/>
      </c>
      <c r="Q264" t="str">
        <f t="shared" si="151"/>
        <v/>
      </c>
      <c r="R264" t="str">
        <f t="shared" si="151"/>
        <v/>
      </c>
      <c r="S264" t="str">
        <f t="shared" si="151"/>
        <v/>
      </c>
      <c r="T264" t="str">
        <f t="shared" si="151"/>
        <v/>
      </c>
      <c r="U264" t="str">
        <f t="shared" si="151"/>
        <v/>
      </c>
      <c r="V264" t="str">
        <f t="shared" si="151"/>
        <v/>
      </c>
      <c r="W264" t="str">
        <f t="shared" si="151"/>
        <v/>
      </c>
      <c r="X264" t="str">
        <f t="shared" si="151"/>
        <v/>
      </c>
      <c r="Y264" t="str">
        <f t="shared" si="151"/>
        <v/>
      </c>
      <c r="Z264" t="str">
        <f t="shared" si="151"/>
        <v/>
      </c>
      <c r="AA264" t="str">
        <f t="shared" si="151"/>
        <v/>
      </c>
      <c r="AB264" t="str">
        <f t="shared" si="151"/>
        <v/>
      </c>
      <c r="AC264" t="str">
        <f t="shared" si="151"/>
        <v/>
      </c>
      <c r="AD264" t="str">
        <f t="shared" si="151"/>
        <v/>
      </c>
      <c r="AE264" t="str">
        <f t="shared" si="151"/>
        <v/>
      </c>
      <c r="AF264" t="str">
        <f t="shared" si="151"/>
        <v/>
      </c>
      <c r="AG264" t="str">
        <f t="shared" si="151"/>
        <v/>
      </c>
      <c r="AH264" t="str">
        <f t="shared" si="151"/>
        <v/>
      </c>
      <c r="AI264" t="str">
        <f t="shared" si="151"/>
        <v/>
      </c>
      <c r="AJ264" t="str">
        <f t="shared" si="151"/>
        <v/>
      </c>
      <c r="AK264" t="str">
        <f t="shared" si="151"/>
        <v/>
      </c>
      <c r="AL264" t="str">
        <f t="shared" si="151"/>
        <v/>
      </c>
      <c r="AM264" t="str">
        <f t="shared" si="151"/>
        <v/>
      </c>
      <c r="AN264" t="str">
        <f t="shared" si="151"/>
        <v/>
      </c>
      <c r="AO264" t="str">
        <f t="shared" si="151"/>
        <v/>
      </c>
      <c r="AP264" t="str">
        <f t="shared" si="151"/>
        <v/>
      </c>
      <c r="AQ264" t="str">
        <f t="shared" si="151"/>
        <v/>
      </c>
      <c r="AR264" t="str">
        <f t="shared" si="151"/>
        <v/>
      </c>
      <c r="AS264" t="str">
        <f t="shared" si="151"/>
        <v/>
      </c>
      <c r="AT264" t="str">
        <f t="shared" si="151"/>
        <v/>
      </c>
      <c r="AU264" t="str">
        <f t="shared" si="151"/>
        <v/>
      </c>
      <c r="AY264" s="255" t="str">
        <f t="shared" si="137"/>
        <v/>
      </c>
    </row>
    <row r="265" spans="1:51" x14ac:dyDescent="0.35">
      <c r="A265" s="286"/>
      <c r="B265" t="str">
        <f t="shared" si="142"/>
        <v/>
      </c>
      <c r="C265" t="str">
        <f t="shared" si="142"/>
        <v/>
      </c>
      <c r="D265" t="str">
        <f t="shared" si="142"/>
        <v/>
      </c>
      <c r="E265" t="str">
        <f t="shared" si="142"/>
        <v/>
      </c>
      <c r="F265" t="str">
        <f t="shared" si="142"/>
        <v/>
      </c>
      <c r="G265" t="str">
        <f t="shared" si="142"/>
        <v/>
      </c>
      <c r="H265" t="str">
        <f t="shared" si="132"/>
        <v/>
      </c>
      <c r="I265" t="str">
        <f t="shared" si="127"/>
        <v/>
      </c>
      <c r="J265" t="str">
        <f t="shared" si="127"/>
        <v/>
      </c>
      <c r="K265" t="str">
        <f t="shared" si="135"/>
        <v/>
      </c>
      <c r="L265" t="str">
        <f t="shared" si="133"/>
        <v/>
      </c>
      <c r="M265" t="str">
        <f t="shared" ref="M265:AU265" si="152">IF($H265="","",M160+L265)</f>
        <v/>
      </c>
      <c r="N265" t="str">
        <f t="shared" si="152"/>
        <v/>
      </c>
      <c r="O265" t="str">
        <f t="shared" si="152"/>
        <v/>
      </c>
      <c r="P265" t="str">
        <f t="shared" si="152"/>
        <v/>
      </c>
      <c r="Q265" t="str">
        <f t="shared" si="152"/>
        <v/>
      </c>
      <c r="R265" t="str">
        <f t="shared" si="152"/>
        <v/>
      </c>
      <c r="S265" t="str">
        <f t="shared" si="152"/>
        <v/>
      </c>
      <c r="T265" t="str">
        <f t="shared" si="152"/>
        <v/>
      </c>
      <c r="U265" t="str">
        <f t="shared" si="152"/>
        <v/>
      </c>
      <c r="V265" t="str">
        <f t="shared" si="152"/>
        <v/>
      </c>
      <c r="W265" t="str">
        <f t="shared" si="152"/>
        <v/>
      </c>
      <c r="X265" t="str">
        <f t="shared" si="152"/>
        <v/>
      </c>
      <c r="Y265" t="str">
        <f t="shared" si="152"/>
        <v/>
      </c>
      <c r="Z265" t="str">
        <f t="shared" si="152"/>
        <v/>
      </c>
      <c r="AA265" t="str">
        <f t="shared" si="152"/>
        <v/>
      </c>
      <c r="AB265" t="str">
        <f t="shared" si="152"/>
        <v/>
      </c>
      <c r="AC265" t="str">
        <f t="shared" si="152"/>
        <v/>
      </c>
      <c r="AD265" t="str">
        <f t="shared" si="152"/>
        <v/>
      </c>
      <c r="AE265" t="str">
        <f t="shared" si="152"/>
        <v/>
      </c>
      <c r="AF265" t="str">
        <f t="shared" si="152"/>
        <v/>
      </c>
      <c r="AG265" t="str">
        <f t="shared" si="152"/>
        <v/>
      </c>
      <c r="AH265" t="str">
        <f t="shared" si="152"/>
        <v/>
      </c>
      <c r="AI265" t="str">
        <f t="shared" si="152"/>
        <v/>
      </c>
      <c r="AJ265" t="str">
        <f t="shared" si="152"/>
        <v/>
      </c>
      <c r="AK265" t="str">
        <f t="shared" si="152"/>
        <v/>
      </c>
      <c r="AL265" t="str">
        <f t="shared" si="152"/>
        <v/>
      </c>
      <c r="AM265" t="str">
        <f t="shared" si="152"/>
        <v/>
      </c>
      <c r="AN265" t="str">
        <f t="shared" si="152"/>
        <v/>
      </c>
      <c r="AO265" t="str">
        <f t="shared" si="152"/>
        <v/>
      </c>
      <c r="AP265" t="str">
        <f t="shared" si="152"/>
        <v/>
      </c>
      <c r="AQ265" t="str">
        <f t="shared" si="152"/>
        <v/>
      </c>
      <c r="AR265" t="str">
        <f t="shared" si="152"/>
        <v/>
      </c>
      <c r="AS265" t="str">
        <f t="shared" si="152"/>
        <v/>
      </c>
      <c r="AT265" t="str">
        <f t="shared" si="152"/>
        <v/>
      </c>
      <c r="AU265" t="str">
        <f t="shared" si="152"/>
        <v/>
      </c>
      <c r="AY265" s="255" t="str">
        <f t="shared" si="137"/>
        <v/>
      </c>
    </row>
    <row r="266" spans="1:51" x14ac:dyDescent="0.35">
      <c r="A266" s="286"/>
      <c r="B266" t="str">
        <f t="shared" ref="B266:G275" si="153">IF($H161="","",IF(B161="",B$5,B161))</f>
        <v/>
      </c>
      <c r="C266" t="str">
        <f t="shared" si="153"/>
        <v/>
      </c>
      <c r="D266" t="str">
        <f t="shared" si="153"/>
        <v/>
      </c>
      <c r="E266" t="str">
        <f t="shared" si="153"/>
        <v/>
      </c>
      <c r="F266" t="str">
        <f t="shared" si="153"/>
        <v/>
      </c>
      <c r="G266" t="str">
        <f t="shared" si="153"/>
        <v/>
      </c>
      <c r="H266" t="str">
        <f t="shared" si="132"/>
        <v/>
      </c>
      <c r="I266" t="str">
        <f t="shared" ref="I266:J285" si="154">IF(OR(I161="",$H161=""),"",I161)</f>
        <v/>
      </c>
      <c r="J266" t="str">
        <f t="shared" si="154"/>
        <v/>
      </c>
      <c r="K266" t="str">
        <f t="shared" si="135"/>
        <v/>
      </c>
      <c r="L266" t="str">
        <f t="shared" si="133"/>
        <v/>
      </c>
      <c r="M266" t="str">
        <f t="shared" ref="M266:AU266" si="155">IF($H266="","",M161+L266)</f>
        <v/>
      </c>
      <c r="N266" t="str">
        <f t="shared" si="155"/>
        <v/>
      </c>
      <c r="O266" t="str">
        <f t="shared" si="155"/>
        <v/>
      </c>
      <c r="P266" t="str">
        <f t="shared" si="155"/>
        <v/>
      </c>
      <c r="Q266" t="str">
        <f t="shared" si="155"/>
        <v/>
      </c>
      <c r="R266" t="str">
        <f t="shared" si="155"/>
        <v/>
      </c>
      <c r="S266" t="str">
        <f t="shared" si="155"/>
        <v/>
      </c>
      <c r="T266" t="str">
        <f t="shared" si="155"/>
        <v/>
      </c>
      <c r="U266" t="str">
        <f t="shared" si="155"/>
        <v/>
      </c>
      <c r="V266" t="str">
        <f t="shared" si="155"/>
        <v/>
      </c>
      <c r="W266" t="str">
        <f t="shared" si="155"/>
        <v/>
      </c>
      <c r="X266" t="str">
        <f t="shared" si="155"/>
        <v/>
      </c>
      <c r="Y266" t="str">
        <f t="shared" si="155"/>
        <v/>
      </c>
      <c r="Z266" t="str">
        <f t="shared" si="155"/>
        <v/>
      </c>
      <c r="AA266" t="str">
        <f t="shared" si="155"/>
        <v/>
      </c>
      <c r="AB266" t="str">
        <f t="shared" si="155"/>
        <v/>
      </c>
      <c r="AC266" t="str">
        <f t="shared" si="155"/>
        <v/>
      </c>
      <c r="AD266" t="str">
        <f t="shared" si="155"/>
        <v/>
      </c>
      <c r="AE266" t="str">
        <f t="shared" si="155"/>
        <v/>
      </c>
      <c r="AF266" t="str">
        <f t="shared" si="155"/>
        <v/>
      </c>
      <c r="AG266" t="str">
        <f t="shared" si="155"/>
        <v/>
      </c>
      <c r="AH266" t="str">
        <f t="shared" si="155"/>
        <v/>
      </c>
      <c r="AI266" t="str">
        <f t="shared" si="155"/>
        <v/>
      </c>
      <c r="AJ266" t="str">
        <f t="shared" si="155"/>
        <v/>
      </c>
      <c r="AK266" t="str">
        <f t="shared" si="155"/>
        <v/>
      </c>
      <c r="AL266" t="str">
        <f t="shared" si="155"/>
        <v/>
      </c>
      <c r="AM266" t="str">
        <f t="shared" si="155"/>
        <v/>
      </c>
      <c r="AN266" t="str">
        <f t="shared" si="155"/>
        <v/>
      </c>
      <c r="AO266" t="str">
        <f t="shared" si="155"/>
        <v/>
      </c>
      <c r="AP266" t="str">
        <f t="shared" si="155"/>
        <v/>
      </c>
      <c r="AQ266" t="str">
        <f t="shared" si="155"/>
        <v/>
      </c>
      <c r="AR266" t="str">
        <f t="shared" si="155"/>
        <v/>
      </c>
      <c r="AS266" t="str">
        <f t="shared" si="155"/>
        <v/>
      </c>
      <c r="AT266" t="str">
        <f t="shared" si="155"/>
        <v/>
      </c>
      <c r="AU266" t="str">
        <f t="shared" si="155"/>
        <v/>
      </c>
      <c r="AY266" s="255" t="str">
        <f t="shared" si="137"/>
        <v/>
      </c>
    </row>
    <row r="267" spans="1:51" x14ac:dyDescent="0.35">
      <c r="A267" s="286"/>
      <c r="B267" t="str">
        <f t="shared" si="153"/>
        <v/>
      </c>
      <c r="C267" t="str">
        <f t="shared" si="153"/>
        <v/>
      </c>
      <c r="D267" t="str">
        <f t="shared" si="153"/>
        <v/>
      </c>
      <c r="E267" t="str">
        <f t="shared" si="153"/>
        <v/>
      </c>
      <c r="F267" t="str">
        <f t="shared" si="153"/>
        <v/>
      </c>
      <c r="G267" t="str">
        <f t="shared" si="153"/>
        <v/>
      </c>
      <c r="H267" t="str">
        <f t="shared" si="132"/>
        <v/>
      </c>
      <c r="I267" t="str">
        <f t="shared" si="154"/>
        <v/>
      </c>
      <c r="J267" t="str">
        <f t="shared" si="154"/>
        <v/>
      </c>
      <c r="K267" t="str">
        <f t="shared" si="135"/>
        <v/>
      </c>
      <c r="L267" t="str">
        <f t="shared" si="133"/>
        <v/>
      </c>
      <c r="M267" t="str">
        <f t="shared" ref="M267:AU267" si="156">IF($H267="","",M162+L267)</f>
        <v/>
      </c>
      <c r="N267" t="str">
        <f t="shared" si="156"/>
        <v/>
      </c>
      <c r="O267" t="str">
        <f t="shared" si="156"/>
        <v/>
      </c>
      <c r="P267" t="str">
        <f t="shared" si="156"/>
        <v/>
      </c>
      <c r="Q267" t="str">
        <f t="shared" si="156"/>
        <v/>
      </c>
      <c r="R267" t="str">
        <f t="shared" si="156"/>
        <v/>
      </c>
      <c r="S267" t="str">
        <f t="shared" si="156"/>
        <v/>
      </c>
      <c r="T267" t="str">
        <f t="shared" si="156"/>
        <v/>
      </c>
      <c r="U267" t="str">
        <f t="shared" si="156"/>
        <v/>
      </c>
      <c r="V267" t="str">
        <f t="shared" si="156"/>
        <v/>
      </c>
      <c r="W267" t="str">
        <f t="shared" si="156"/>
        <v/>
      </c>
      <c r="X267" t="str">
        <f t="shared" si="156"/>
        <v/>
      </c>
      <c r="Y267" t="str">
        <f t="shared" si="156"/>
        <v/>
      </c>
      <c r="Z267" t="str">
        <f t="shared" si="156"/>
        <v/>
      </c>
      <c r="AA267" t="str">
        <f t="shared" si="156"/>
        <v/>
      </c>
      <c r="AB267" t="str">
        <f t="shared" si="156"/>
        <v/>
      </c>
      <c r="AC267" t="str">
        <f t="shared" si="156"/>
        <v/>
      </c>
      <c r="AD267" t="str">
        <f t="shared" si="156"/>
        <v/>
      </c>
      <c r="AE267" t="str">
        <f t="shared" si="156"/>
        <v/>
      </c>
      <c r="AF267" t="str">
        <f t="shared" si="156"/>
        <v/>
      </c>
      <c r="AG267" t="str">
        <f t="shared" si="156"/>
        <v/>
      </c>
      <c r="AH267" t="str">
        <f t="shared" si="156"/>
        <v/>
      </c>
      <c r="AI267" t="str">
        <f t="shared" si="156"/>
        <v/>
      </c>
      <c r="AJ267" t="str">
        <f t="shared" si="156"/>
        <v/>
      </c>
      <c r="AK267" t="str">
        <f t="shared" si="156"/>
        <v/>
      </c>
      <c r="AL267" t="str">
        <f t="shared" si="156"/>
        <v/>
      </c>
      <c r="AM267" t="str">
        <f t="shared" si="156"/>
        <v/>
      </c>
      <c r="AN267" t="str">
        <f t="shared" si="156"/>
        <v/>
      </c>
      <c r="AO267" t="str">
        <f t="shared" si="156"/>
        <v/>
      </c>
      <c r="AP267" t="str">
        <f t="shared" si="156"/>
        <v/>
      </c>
      <c r="AQ267" t="str">
        <f t="shared" si="156"/>
        <v/>
      </c>
      <c r="AR267" t="str">
        <f t="shared" si="156"/>
        <v/>
      </c>
      <c r="AS267" t="str">
        <f t="shared" si="156"/>
        <v/>
      </c>
      <c r="AT267" t="str">
        <f t="shared" si="156"/>
        <v/>
      </c>
      <c r="AU267" t="str">
        <f t="shared" si="156"/>
        <v/>
      </c>
      <c r="AY267" s="255" t="str">
        <f t="shared" si="137"/>
        <v/>
      </c>
    </row>
    <row r="268" spans="1:51" x14ac:dyDescent="0.35">
      <c r="A268" s="286"/>
      <c r="B268" t="str">
        <f t="shared" si="153"/>
        <v/>
      </c>
      <c r="C268" t="str">
        <f t="shared" si="153"/>
        <v/>
      </c>
      <c r="D268" t="str">
        <f t="shared" si="153"/>
        <v/>
      </c>
      <c r="E268" t="str">
        <f t="shared" si="153"/>
        <v/>
      </c>
      <c r="F268" t="str">
        <f t="shared" si="153"/>
        <v/>
      </c>
      <c r="G268" t="str">
        <f t="shared" si="153"/>
        <v/>
      </c>
      <c r="H268" t="str">
        <f t="shared" si="132"/>
        <v/>
      </c>
      <c r="I268" t="str">
        <f t="shared" si="154"/>
        <v/>
      </c>
      <c r="J268" t="str">
        <f t="shared" si="154"/>
        <v/>
      </c>
      <c r="K268" t="str">
        <f t="shared" si="135"/>
        <v/>
      </c>
      <c r="L268" t="str">
        <f t="shared" si="133"/>
        <v/>
      </c>
      <c r="M268" t="str">
        <f t="shared" ref="M268:AU268" si="157">IF($H268="","",M163+L268)</f>
        <v/>
      </c>
      <c r="N268" t="str">
        <f t="shared" si="157"/>
        <v/>
      </c>
      <c r="O268" t="str">
        <f t="shared" si="157"/>
        <v/>
      </c>
      <c r="P268" t="str">
        <f t="shared" si="157"/>
        <v/>
      </c>
      <c r="Q268" t="str">
        <f t="shared" si="157"/>
        <v/>
      </c>
      <c r="R268" t="str">
        <f t="shared" si="157"/>
        <v/>
      </c>
      <c r="S268" t="str">
        <f t="shared" si="157"/>
        <v/>
      </c>
      <c r="T268" t="str">
        <f t="shared" si="157"/>
        <v/>
      </c>
      <c r="U268" t="str">
        <f t="shared" si="157"/>
        <v/>
      </c>
      <c r="V268" t="str">
        <f t="shared" si="157"/>
        <v/>
      </c>
      <c r="W268" t="str">
        <f t="shared" si="157"/>
        <v/>
      </c>
      <c r="X268" t="str">
        <f t="shared" si="157"/>
        <v/>
      </c>
      <c r="Y268" t="str">
        <f t="shared" si="157"/>
        <v/>
      </c>
      <c r="Z268" t="str">
        <f t="shared" si="157"/>
        <v/>
      </c>
      <c r="AA268" t="str">
        <f t="shared" si="157"/>
        <v/>
      </c>
      <c r="AB268" t="str">
        <f t="shared" si="157"/>
        <v/>
      </c>
      <c r="AC268" t="str">
        <f t="shared" si="157"/>
        <v/>
      </c>
      <c r="AD268" t="str">
        <f t="shared" si="157"/>
        <v/>
      </c>
      <c r="AE268" t="str">
        <f t="shared" si="157"/>
        <v/>
      </c>
      <c r="AF268" t="str">
        <f t="shared" si="157"/>
        <v/>
      </c>
      <c r="AG268" t="str">
        <f t="shared" si="157"/>
        <v/>
      </c>
      <c r="AH268" t="str">
        <f t="shared" si="157"/>
        <v/>
      </c>
      <c r="AI268" t="str">
        <f t="shared" si="157"/>
        <v/>
      </c>
      <c r="AJ268" t="str">
        <f t="shared" si="157"/>
        <v/>
      </c>
      <c r="AK268" t="str">
        <f t="shared" si="157"/>
        <v/>
      </c>
      <c r="AL268" t="str">
        <f t="shared" si="157"/>
        <v/>
      </c>
      <c r="AM268" t="str">
        <f t="shared" si="157"/>
        <v/>
      </c>
      <c r="AN268" t="str">
        <f t="shared" si="157"/>
        <v/>
      </c>
      <c r="AO268" t="str">
        <f t="shared" si="157"/>
        <v/>
      </c>
      <c r="AP268" t="str">
        <f t="shared" si="157"/>
        <v/>
      </c>
      <c r="AQ268" t="str">
        <f t="shared" si="157"/>
        <v/>
      </c>
      <c r="AR268" t="str">
        <f t="shared" si="157"/>
        <v/>
      </c>
      <c r="AS268" t="str">
        <f t="shared" si="157"/>
        <v/>
      </c>
      <c r="AT268" t="str">
        <f t="shared" si="157"/>
        <v/>
      </c>
      <c r="AU268" t="str">
        <f t="shared" si="157"/>
        <v/>
      </c>
      <c r="AY268" s="255" t="str">
        <f t="shared" si="137"/>
        <v/>
      </c>
    </row>
    <row r="269" spans="1:51" x14ac:dyDescent="0.35">
      <c r="A269" s="286"/>
      <c r="B269" t="str">
        <f t="shared" si="153"/>
        <v/>
      </c>
      <c r="C269" t="str">
        <f t="shared" si="153"/>
        <v/>
      </c>
      <c r="D269" t="str">
        <f t="shared" si="153"/>
        <v/>
      </c>
      <c r="E269" t="str">
        <f t="shared" si="153"/>
        <v/>
      </c>
      <c r="F269" t="str">
        <f t="shared" si="153"/>
        <v/>
      </c>
      <c r="G269" t="str">
        <f t="shared" si="153"/>
        <v/>
      </c>
      <c r="H269" t="str">
        <f t="shared" si="132"/>
        <v/>
      </c>
      <c r="I269" t="str">
        <f t="shared" si="154"/>
        <v/>
      </c>
      <c r="J269" t="str">
        <f t="shared" si="154"/>
        <v/>
      </c>
      <c r="K269" t="str">
        <f t="shared" si="135"/>
        <v/>
      </c>
      <c r="L269" t="str">
        <f t="shared" si="133"/>
        <v/>
      </c>
      <c r="M269" t="str">
        <f t="shared" ref="M269:AU269" si="158">IF($H269="","",M164+L269)</f>
        <v/>
      </c>
      <c r="N269" t="str">
        <f t="shared" si="158"/>
        <v/>
      </c>
      <c r="O269" t="str">
        <f t="shared" si="158"/>
        <v/>
      </c>
      <c r="P269" t="str">
        <f t="shared" si="158"/>
        <v/>
      </c>
      <c r="Q269" t="str">
        <f t="shared" si="158"/>
        <v/>
      </c>
      <c r="R269" t="str">
        <f t="shared" si="158"/>
        <v/>
      </c>
      <c r="S269" t="str">
        <f t="shared" si="158"/>
        <v/>
      </c>
      <c r="T269" t="str">
        <f t="shared" si="158"/>
        <v/>
      </c>
      <c r="U269" t="str">
        <f t="shared" si="158"/>
        <v/>
      </c>
      <c r="V269" t="str">
        <f t="shared" si="158"/>
        <v/>
      </c>
      <c r="W269" t="str">
        <f t="shared" si="158"/>
        <v/>
      </c>
      <c r="X269" t="str">
        <f t="shared" si="158"/>
        <v/>
      </c>
      <c r="Y269" t="str">
        <f t="shared" si="158"/>
        <v/>
      </c>
      <c r="Z269" t="str">
        <f t="shared" si="158"/>
        <v/>
      </c>
      <c r="AA269" t="str">
        <f t="shared" si="158"/>
        <v/>
      </c>
      <c r="AB269" t="str">
        <f t="shared" si="158"/>
        <v/>
      </c>
      <c r="AC269" t="str">
        <f t="shared" si="158"/>
        <v/>
      </c>
      <c r="AD269" t="str">
        <f t="shared" si="158"/>
        <v/>
      </c>
      <c r="AE269" t="str">
        <f t="shared" si="158"/>
        <v/>
      </c>
      <c r="AF269" t="str">
        <f t="shared" si="158"/>
        <v/>
      </c>
      <c r="AG269" t="str">
        <f t="shared" si="158"/>
        <v/>
      </c>
      <c r="AH269" t="str">
        <f t="shared" si="158"/>
        <v/>
      </c>
      <c r="AI269" t="str">
        <f t="shared" si="158"/>
        <v/>
      </c>
      <c r="AJ269" t="str">
        <f t="shared" si="158"/>
        <v/>
      </c>
      <c r="AK269" t="str">
        <f t="shared" si="158"/>
        <v/>
      </c>
      <c r="AL269" t="str">
        <f t="shared" si="158"/>
        <v/>
      </c>
      <c r="AM269" t="str">
        <f t="shared" si="158"/>
        <v/>
      </c>
      <c r="AN269" t="str">
        <f t="shared" si="158"/>
        <v/>
      </c>
      <c r="AO269" t="str">
        <f t="shared" si="158"/>
        <v/>
      </c>
      <c r="AP269" t="str">
        <f t="shared" si="158"/>
        <v/>
      </c>
      <c r="AQ269" t="str">
        <f t="shared" si="158"/>
        <v/>
      </c>
      <c r="AR269" t="str">
        <f t="shared" si="158"/>
        <v/>
      </c>
      <c r="AS269" t="str">
        <f t="shared" si="158"/>
        <v/>
      </c>
      <c r="AT269" t="str">
        <f t="shared" si="158"/>
        <v/>
      </c>
      <c r="AU269" t="str">
        <f t="shared" si="158"/>
        <v/>
      </c>
      <c r="AY269" s="255" t="str">
        <f t="shared" si="137"/>
        <v/>
      </c>
    </row>
    <row r="270" spans="1:51" x14ac:dyDescent="0.35">
      <c r="A270" s="286"/>
      <c r="B270" t="str">
        <f t="shared" si="153"/>
        <v/>
      </c>
      <c r="C270" t="str">
        <f t="shared" si="153"/>
        <v/>
      </c>
      <c r="D270" t="str">
        <f t="shared" si="153"/>
        <v/>
      </c>
      <c r="E270" t="str">
        <f t="shared" si="153"/>
        <v/>
      </c>
      <c r="F270" t="str">
        <f t="shared" si="153"/>
        <v/>
      </c>
      <c r="G270" t="str">
        <f t="shared" si="153"/>
        <v/>
      </c>
      <c r="H270" t="str">
        <f t="shared" si="132"/>
        <v/>
      </c>
      <c r="I270" t="str">
        <f t="shared" si="154"/>
        <v/>
      </c>
      <c r="J270" t="str">
        <f t="shared" si="154"/>
        <v/>
      </c>
      <c r="K270" t="str">
        <f t="shared" si="135"/>
        <v/>
      </c>
      <c r="L270" t="str">
        <f t="shared" si="133"/>
        <v/>
      </c>
      <c r="M270" t="str">
        <f t="shared" ref="M270:AU270" si="159">IF($H270="","",M165+L270)</f>
        <v/>
      </c>
      <c r="N270" t="str">
        <f t="shared" si="159"/>
        <v/>
      </c>
      <c r="O270" t="str">
        <f t="shared" si="159"/>
        <v/>
      </c>
      <c r="P270" t="str">
        <f t="shared" si="159"/>
        <v/>
      </c>
      <c r="Q270" t="str">
        <f t="shared" si="159"/>
        <v/>
      </c>
      <c r="R270" t="str">
        <f t="shared" si="159"/>
        <v/>
      </c>
      <c r="S270" t="str">
        <f t="shared" si="159"/>
        <v/>
      </c>
      <c r="T270" t="str">
        <f t="shared" si="159"/>
        <v/>
      </c>
      <c r="U270" t="str">
        <f t="shared" si="159"/>
        <v/>
      </c>
      <c r="V270" t="str">
        <f t="shared" si="159"/>
        <v/>
      </c>
      <c r="W270" t="str">
        <f t="shared" si="159"/>
        <v/>
      </c>
      <c r="X270" t="str">
        <f t="shared" si="159"/>
        <v/>
      </c>
      <c r="Y270" t="str">
        <f t="shared" si="159"/>
        <v/>
      </c>
      <c r="Z270" t="str">
        <f t="shared" si="159"/>
        <v/>
      </c>
      <c r="AA270" t="str">
        <f t="shared" si="159"/>
        <v/>
      </c>
      <c r="AB270" t="str">
        <f t="shared" si="159"/>
        <v/>
      </c>
      <c r="AC270" t="str">
        <f t="shared" si="159"/>
        <v/>
      </c>
      <c r="AD270" t="str">
        <f t="shared" si="159"/>
        <v/>
      </c>
      <c r="AE270" t="str">
        <f t="shared" si="159"/>
        <v/>
      </c>
      <c r="AF270" t="str">
        <f t="shared" si="159"/>
        <v/>
      </c>
      <c r="AG270" t="str">
        <f t="shared" si="159"/>
        <v/>
      </c>
      <c r="AH270" t="str">
        <f t="shared" si="159"/>
        <v/>
      </c>
      <c r="AI270" t="str">
        <f t="shared" si="159"/>
        <v/>
      </c>
      <c r="AJ270" t="str">
        <f t="shared" si="159"/>
        <v/>
      </c>
      <c r="AK270" t="str">
        <f t="shared" si="159"/>
        <v/>
      </c>
      <c r="AL270" t="str">
        <f t="shared" si="159"/>
        <v/>
      </c>
      <c r="AM270" t="str">
        <f t="shared" si="159"/>
        <v/>
      </c>
      <c r="AN270" t="str">
        <f t="shared" si="159"/>
        <v/>
      </c>
      <c r="AO270" t="str">
        <f t="shared" si="159"/>
        <v/>
      </c>
      <c r="AP270" t="str">
        <f t="shared" si="159"/>
        <v/>
      </c>
      <c r="AQ270" t="str">
        <f t="shared" si="159"/>
        <v/>
      </c>
      <c r="AR270" t="str">
        <f t="shared" si="159"/>
        <v/>
      </c>
      <c r="AS270" t="str">
        <f t="shared" si="159"/>
        <v/>
      </c>
      <c r="AT270" t="str">
        <f t="shared" si="159"/>
        <v/>
      </c>
      <c r="AU270" t="str">
        <f t="shared" si="159"/>
        <v/>
      </c>
      <c r="AY270" s="255" t="str">
        <f t="shared" si="137"/>
        <v/>
      </c>
    </row>
    <row r="271" spans="1:51" x14ac:dyDescent="0.35">
      <c r="A271" s="286"/>
      <c r="B271" t="str">
        <f t="shared" si="153"/>
        <v/>
      </c>
      <c r="C271" t="str">
        <f t="shared" si="153"/>
        <v/>
      </c>
      <c r="D271" t="str">
        <f t="shared" si="153"/>
        <v/>
      </c>
      <c r="E271" t="str">
        <f t="shared" si="153"/>
        <v/>
      </c>
      <c r="F271" t="str">
        <f t="shared" si="153"/>
        <v/>
      </c>
      <c r="G271" t="str">
        <f t="shared" si="153"/>
        <v/>
      </c>
      <c r="H271" t="str">
        <f t="shared" si="132"/>
        <v/>
      </c>
      <c r="I271" t="str">
        <f t="shared" si="154"/>
        <v/>
      </c>
      <c r="J271" t="str">
        <f t="shared" si="154"/>
        <v/>
      </c>
      <c r="K271" t="str">
        <f t="shared" si="135"/>
        <v/>
      </c>
      <c r="L271" t="str">
        <f t="shared" si="133"/>
        <v/>
      </c>
      <c r="M271" t="str">
        <f t="shared" ref="M271:AU271" si="160">IF($H271="","",M166+L271)</f>
        <v/>
      </c>
      <c r="N271" t="str">
        <f t="shared" si="160"/>
        <v/>
      </c>
      <c r="O271" t="str">
        <f t="shared" si="160"/>
        <v/>
      </c>
      <c r="P271" t="str">
        <f t="shared" si="160"/>
        <v/>
      </c>
      <c r="Q271" t="str">
        <f t="shared" si="160"/>
        <v/>
      </c>
      <c r="R271" t="str">
        <f t="shared" si="160"/>
        <v/>
      </c>
      <c r="S271" t="str">
        <f t="shared" si="160"/>
        <v/>
      </c>
      <c r="T271" t="str">
        <f t="shared" si="160"/>
        <v/>
      </c>
      <c r="U271" t="str">
        <f t="shared" si="160"/>
        <v/>
      </c>
      <c r="V271" t="str">
        <f t="shared" si="160"/>
        <v/>
      </c>
      <c r="W271" t="str">
        <f t="shared" si="160"/>
        <v/>
      </c>
      <c r="X271" t="str">
        <f t="shared" si="160"/>
        <v/>
      </c>
      <c r="Y271" t="str">
        <f t="shared" si="160"/>
        <v/>
      </c>
      <c r="Z271" t="str">
        <f t="shared" si="160"/>
        <v/>
      </c>
      <c r="AA271" t="str">
        <f t="shared" si="160"/>
        <v/>
      </c>
      <c r="AB271" t="str">
        <f t="shared" si="160"/>
        <v/>
      </c>
      <c r="AC271" t="str">
        <f t="shared" si="160"/>
        <v/>
      </c>
      <c r="AD271" t="str">
        <f t="shared" si="160"/>
        <v/>
      </c>
      <c r="AE271" t="str">
        <f t="shared" si="160"/>
        <v/>
      </c>
      <c r="AF271" t="str">
        <f t="shared" si="160"/>
        <v/>
      </c>
      <c r="AG271" t="str">
        <f t="shared" si="160"/>
        <v/>
      </c>
      <c r="AH271" t="str">
        <f t="shared" si="160"/>
        <v/>
      </c>
      <c r="AI271" t="str">
        <f t="shared" si="160"/>
        <v/>
      </c>
      <c r="AJ271" t="str">
        <f t="shared" si="160"/>
        <v/>
      </c>
      <c r="AK271" t="str">
        <f t="shared" si="160"/>
        <v/>
      </c>
      <c r="AL271" t="str">
        <f t="shared" si="160"/>
        <v/>
      </c>
      <c r="AM271" t="str">
        <f t="shared" si="160"/>
        <v/>
      </c>
      <c r="AN271" t="str">
        <f t="shared" si="160"/>
        <v/>
      </c>
      <c r="AO271" t="str">
        <f t="shared" si="160"/>
        <v/>
      </c>
      <c r="AP271" t="str">
        <f t="shared" si="160"/>
        <v/>
      </c>
      <c r="AQ271" t="str">
        <f t="shared" si="160"/>
        <v/>
      </c>
      <c r="AR271" t="str">
        <f t="shared" si="160"/>
        <v/>
      </c>
      <c r="AS271" t="str">
        <f t="shared" si="160"/>
        <v/>
      </c>
      <c r="AT271" t="str">
        <f t="shared" si="160"/>
        <v/>
      </c>
      <c r="AU271" t="str">
        <f t="shared" si="160"/>
        <v/>
      </c>
      <c r="AY271" s="255" t="str">
        <f t="shared" si="137"/>
        <v/>
      </c>
    </row>
    <row r="272" spans="1:51" x14ac:dyDescent="0.35">
      <c r="A272" s="286"/>
      <c r="B272" t="str">
        <f t="shared" si="153"/>
        <v/>
      </c>
      <c r="C272" t="str">
        <f t="shared" si="153"/>
        <v/>
      </c>
      <c r="D272" t="str">
        <f t="shared" si="153"/>
        <v/>
      </c>
      <c r="E272" t="str">
        <f t="shared" si="153"/>
        <v/>
      </c>
      <c r="F272" t="str">
        <f t="shared" si="153"/>
        <v/>
      </c>
      <c r="G272" t="str">
        <f t="shared" si="153"/>
        <v/>
      </c>
      <c r="H272" t="str">
        <f t="shared" si="132"/>
        <v/>
      </c>
      <c r="I272" t="str">
        <f t="shared" si="154"/>
        <v/>
      </c>
      <c r="J272" t="str">
        <f t="shared" si="154"/>
        <v/>
      </c>
      <c r="K272" t="str">
        <f t="shared" si="135"/>
        <v/>
      </c>
      <c r="L272" t="str">
        <f t="shared" si="133"/>
        <v/>
      </c>
      <c r="M272" t="str">
        <f t="shared" ref="M272:AU272" si="161">IF($H272="","",M167+L272)</f>
        <v/>
      </c>
      <c r="N272" t="str">
        <f t="shared" si="161"/>
        <v/>
      </c>
      <c r="O272" t="str">
        <f t="shared" si="161"/>
        <v/>
      </c>
      <c r="P272" t="str">
        <f t="shared" si="161"/>
        <v/>
      </c>
      <c r="Q272" t="str">
        <f t="shared" si="161"/>
        <v/>
      </c>
      <c r="R272" t="str">
        <f t="shared" si="161"/>
        <v/>
      </c>
      <c r="S272" t="str">
        <f t="shared" si="161"/>
        <v/>
      </c>
      <c r="T272" t="str">
        <f t="shared" si="161"/>
        <v/>
      </c>
      <c r="U272" t="str">
        <f t="shared" si="161"/>
        <v/>
      </c>
      <c r="V272" t="str">
        <f t="shared" si="161"/>
        <v/>
      </c>
      <c r="W272" t="str">
        <f t="shared" si="161"/>
        <v/>
      </c>
      <c r="X272" t="str">
        <f t="shared" si="161"/>
        <v/>
      </c>
      <c r="Y272" t="str">
        <f t="shared" si="161"/>
        <v/>
      </c>
      <c r="Z272" t="str">
        <f t="shared" si="161"/>
        <v/>
      </c>
      <c r="AA272" t="str">
        <f t="shared" si="161"/>
        <v/>
      </c>
      <c r="AB272" t="str">
        <f t="shared" si="161"/>
        <v/>
      </c>
      <c r="AC272" t="str">
        <f t="shared" si="161"/>
        <v/>
      </c>
      <c r="AD272" t="str">
        <f t="shared" si="161"/>
        <v/>
      </c>
      <c r="AE272" t="str">
        <f t="shared" si="161"/>
        <v/>
      </c>
      <c r="AF272" t="str">
        <f t="shared" si="161"/>
        <v/>
      </c>
      <c r="AG272" t="str">
        <f t="shared" si="161"/>
        <v/>
      </c>
      <c r="AH272" t="str">
        <f t="shared" si="161"/>
        <v/>
      </c>
      <c r="AI272" t="str">
        <f t="shared" si="161"/>
        <v/>
      </c>
      <c r="AJ272" t="str">
        <f t="shared" si="161"/>
        <v/>
      </c>
      <c r="AK272" t="str">
        <f t="shared" si="161"/>
        <v/>
      </c>
      <c r="AL272" t="str">
        <f t="shared" si="161"/>
        <v/>
      </c>
      <c r="AM272" t="str">
        <f t="shared" si="161"/>
        <v/>
      </c>
      <c r="AN272" t="str">
        <f t="shared" si="161"/>
        <v/>
      </c>
      <c r="AO272" t="str">
        <f t="shared" si="161"/>
        <v/>
      </c>
      <c r="AP272" t="str">
        <f t="shared" si="161"/>
        <v/>
      </c>
      <c r="AQ272" t="str">
        <f t="shared" si="161"/>
        <v/>
      </c>
      <c r="AR272" t="str">
        <f t="shared" si="161"/>
        <v/>
      </c>
      <c r="AS272" t="str">
        <f t="shared" si="161"/>
        <v/>
      </c>
      <c r="AT272" t="str">
        <f t="shared" si="161"/>
        <v/>
      </c>
      <c r="AU272" t="str">
        <f t="shared" si="161"/>
        <v/>
      </c>
      <c r="AY272" s="255" t="str">
        <f t="shared" si="137"/>
        <v/>
      </c>
    </row>
    <row r="273" spans="1:52" x14ac:dyDescent="0.35">
      <c r="A273" s="286"/>
      <c r="B273" t="str">
        <f t="shared" si="153"/>
        <v/>
      </c>
      <c r="C273" t="str">
        <f t="shared" si="153"/>
        <v/>
      </c>
      <c r="D273" t="str">
        <f t="shared" si="153"/>
        <v/>
      </c>
      <c r="E273" t="str">
        <f t="shared" si="153"/>
        <v/>
      </c>
      <c r="F273" t="str">
        <f t="shared" si="153"/>
        <v/>
      </c>
      <c r="G273" t="str">
        <f t="shared" si="153"/>
        <v/>
      </c>
      <c r="H273" t="str">
        <f t="shared" si="132"/>
        <v/>
      </c>
      <c r="I273" t="str">
        <f t="shared" si="154"/>
        <v/>
      </c>
      <c r="J273" t="str">
        <f t="shared" si="154"/>
        <v/>
      </c>
      <c r="K273" t="str">
        <f t="shared" si="135"/>
        <v/>
      </c>
      <c r="L273" t="str">
        <f t="shared" si="133"/>
        <v/>
      </c>
      <c r="M273" t="str">
        <f t="shared" ref="M273:AU273" si="162">IF($H273="","",M168+L273)</f>
        <v/>
      </c>
      <c r="N273" t="str">
        <f t="shared" si="162"/>
        <v/>
      </c>
      <c r="O273" t="str">
        <f t="shared" si="162"/>
        <v/>
      </c>
      <c r="P273" t="str">
        <f t="shared" si="162"/>
        <v/>
      </c>
      <c r="Q273" t="str">
        <f t="shared" si="162"/>
        <v/>
      </c>
      <c r="R273" t="str">
        <f t="shared" si="162"/>
        <v/>
      </c>
      <c r="S273" t="str">
        <f t="shared" si="162"/>
        <v/>
      </c>
      <c r="T273" t="str">
        <f t="shared" si="162"/>
        <v/>
      </c>
      <c r="U273" t="str">
        <f t="shared" si="162"/>
        <v/>
      </c>
      <c r="V273" t="str">
        <f t="shared" si="162"/>
        <v/>
      </c>
      <c r="W273" t="str">
        <f t="shared" si="162"/>
        <v/>
      </c>
      <c r="X273" t="str">
        <f t="shared" si="162"/>
        <v/>
      </c>
      <c r="Y273" t="str">
        <f t="shared" si="162"/>
        <v/>
      </c>
      <c r="Z273" t="str">
        <f t="shared" si="162"/>
        <v/>
      </c>
      <c r="AA273" t="str">
        <f t="shared" si="162"/>
        <v/>
      </c>
      <c r="AB273" t="str">
        <f t="shared" si="162"/>
        <v/>
      </c>
      <c r="AC273" t="str">
        <f t="shared" si="162"/>
        <v/>
      </c>
      <c r="AD273" t="str">
        <f t="shared" si="162"/>
        <v/>
      </c>
      <c r="AE273" t="str">
        <f t="shared" si="162"/>
        <v/>
      </c>
      <c r="AF273" t="str">
        <f t="shared" si="162"/>
        <v/>
      </c>
      <c r="AG273" t="str">
        <f t="shared" si="162"/>
        <v/>
      </c>
      <c r="AH273" t="str">
        <f t="shared" si="162"/>
        <v/>
      </c>
      <c r="AI273" t="str">
        <f t="shared" si="162"/>
        <v/>
      </c>
      <c r="AJ273" t="str">
        <f t="shared" si="162"/>
        <v/>
      </c>
      <c r="AK273" t="str">
        <f t="shared" si="162"/>
        <v/>
      </c>
      <c r="AL273" t="str">
        <f t="shared" si="162"/>
        <v/>
      </c>
      <c r="AM273" t="str">
        <f t="shared" si="162"/>
        <v/>
      </c>
      <c r="AN273" t="str">
        <f t="shared" si="162"/>
        <v/>
      </c>
      <c r="AO273" t="str">
        <f t="shared" si="162"/>
        <v/>
      </c>
      <c r="AP273" t="str">
        <f t="shared" si="162"/>
        <v/>
      </c>
      <c r="AQ273" t="str">
        <f t="shared" si="162"/>
        <v/>
      </c>
      <c r="AR273" t="str">
        <f t="shared" si="162"/>
        <v/>
      </c>
      <c r="AS273" t="str">
        <f t="shared" si="162"/>
        <v/>
      </c>
      <c r="AT273" t="str">
        <f t="shared" si="162"/>
        <v/>
      </c>
      <c r="AU273" t="str">
        <f t="shared" si="162"/>
        <v/>
      </c>
      <c r="AY273" s="255" t="str">
        <f t="shared" si="137"/>
        <v/>
      </c>
    </row>
    <row r="274" spans="1:52" x14ac:dyDescent="0.35">
      <c r="A274" s="286"/>
      <c r="B274" t="str">
        <f t="shared" si="153"/>
        <v/>
      </c>
      <c r="C274" t="str">
        <f t="shared" si="153"/>
        <v/>
      </c>
      <c r="D274" t="str">
        <f t="shared" si="153"/>
        <v/>
      </c>
      <c r="E274" t="str">
        <f t="shared" si="153"/>
        <v/>
      </c>
      <c r="F274" t="str">
        <f t="shared" si="153"/>
        <v/>
      </c>
      <c r="G274" t="str">
        <f t="shared" si="153"/>
        <v/>
      </c>
      <c r="H274" t="str">
        <f t="shared" si="132"/>
        <v/>
      </c>
      <c r="I274" t="str">
        <f t="shared" si="154"/>
        <v/>
      </c>
      <c r="J274" t="str">
        <f t="shared" si="154"/>
        <v/>
      </c>
      <c r="K274" t="str">
        <f t="shared" si="135"/>
        <v/>
      </c>
      <c r="L274" t="str">
        <f t="shared" si="133"/>
        <v/>
      </c>
      <c r="M274" t="str">
        <f t="shared" ref="M274:AU274" si="163">IF($H274="","",M169+L274)</f>
        <v/>
      </c>
      <c r="N274" t="str">
        <f t="shared" si="163"/>
        <v/>
      </c>
      <c r="O274" t="str">
        <f t="shared" si="163"/>
        <v/>
      </c>
      <c r="P274" t="str">
        <f t="shared" si="163"/>
        <v/>
      </c>
      <c r="Q274" t="str">
        <f t="shared" si="163"/>
        <v/>
      </c>
      <c r="R274" t="str">
        <f t="shared" si="163"/>
        <v/>
      </c>
      <c r="S274" t="str">
        <f t="shared" si="163"/>
        <v/>
      </c>
      <c r="T274" t="str">
        <f t="shared" si="163"/>
        <v/>
      </c>
      <c r="U274" t="str">
        <f t="shared" si="163"/>
        <v/>
      </c>
      <c r="V274" t="str">
        <f t="shared" si="163"/>
        <v/>
      </c>
      <c r="W274" t="str">
        <f t="shared" si="163"/>
        <v/>
      </c>
      <c r="X274" t="str">
        <f t="shared" si="163"/>
        <v/>
      </c>
      <c r="Y274" t="str">
        <f t="shared" si="163"/>
        <v/>
      </c>
      <c r="Z274" t="str">
        <f t="shared" si="163"/>
        <v/>
      </c>
      <c r="AA274" t="str">
        <f t="shared" si="163"/>
        <v/>
      </c>
      <c r="AB274" t="str">
        <f t="shared" si="163"/>
        <v/>
      </c>
      <c r="AC274" t="str">
        <f t="shared" si="163"/>
        <v/>
      </c>
      <c r="AD274" t="str">
        <f t="shared" si="163"/>
        <v/>
      </c>
      <c r="AE274" t="str">
        <f t="shared" si="163"/>
        <v/>
      </c>
      <c r="AF274" t="str">
        <f t="shared" si="163"/>
        <v/>
      </c>
      <c r="AG274" t="str">
        <f t="shared" si="163"/>
        <v/>
      </c>
      <c r="AH274" t="str">
        <f t="shared" si="163"/>
        <v/>
      </c>
      <c r="AI274" t="str">
        <f t="shared" si="163"/>
        <v/>
      </c>
      <c r="AJ274" t="str">
        <f t="shared" si="163"/>
        <v/>
      </c>
      <c r="AK274" t="str">
        <f t="shared" si="163"/>
        <v/>
      </c>
      <c r="AL274" t="str">
        <f t="shared" si="163"/>
        <v/>
      </c>
      <c r="AM274" t="str">
        <f t="shared" si="163"/>
        <v/>
      </c>
      <c r="AN274" t="str">
        <f t="shared" si="163"/>
        <v/>
      </c>
      <c r="AO274" t="str">
        <f t="shared" si="163"/>
        <v/>
      </c>
      <c r="AP274" t="str">
        <f t="shared" si="163"/>
        <v/>
      </c>
      <c r="AQ274" t="str">
        <f t="shared" si="163"/>
        <v/>
      </c>
      <c r="AR274" t="str">
        <f t="shared" si="163"/>
        <v/>
      </c>
      <c r="AS274" t="str">
        <f t="shared" si="163"/>
        <v/>
      </c>
      <c r="AT274" t="str">
        <f t="shared" si="163"/>
        <v/>
      </c>
      <c r="AU274" t="str">
        <f t="shared" si="163"/>
        <v/>
      </c>
      <c r="AY274" s="255" t="str">
        <f t="shared" si="137"/>
        <v/>
      </c>
    </row>
    <row r="275" spans="1:52" x14ac:dyDescent="0.35">
      <c r="A275" s="286"/>
      <c r="B275" t="str">
        <f t="shared" si="153"/>
        <v/>
      </c>
      <c r="C275" t="str">
        <f t="shared" si="153"/>
        <v/>
      </c>
      <c r="D275" t="str">
        <f t="shared" si="153"/>
        <v/>
      </c>
      <c r="E275" t="str">
        <f t="shared" si="153"/>
        <v/>
      </c>
      <c r="F275" t="str">
        <f t="shared" si="153"/>
        <v/>
      </c>
      <c r="G275" t="str">
        <f t="shared" si="153"/>
        <v/>
      </c>
      <c r="H275" t="str">
        <f t="shared" si="132"/>
        <v/>
      </c>
      <c r="I275" t="str">
        <f t="shared" si="154"/>
        <v/>
      </c>
      <c r="J275" t="str">
        <f t="shared" si="154"/>
        <v/>
      </c>
      <c r="K275" t="str">
        <f t="shared" si="135"/>
        <v/>
      </c>
      <c r="L275" t="str">
        <f t="shared" si="133"/>
        <v/>
      </c>
      <c r="M275" t="str">
        <f t="shared" ref="M275:AU275" si="164">IF($H275="","",M170+L275)</f>
        <v/>
      </c>
      <c r="N275" t="str">
        <f t="shared" si="164"/>
        <v/>
      </c>
      <c r="O275" t="str">
        <f t="shared" si="164"/>
        <v/>
      </c>
      <c r="P275" t="str">
        <f t="shared" si="164"/>
        <v/>
      </c>
      <c r="Q275" t="str">
        <f t="shared" si="164"/>
        <v/>
      </c>
      <c r="R275" t="str">
        <f t="shared" si="164"/>
        <v/>
      </c>
      <c r="S275" t="str">
        <f t="shared" si="164"/>
        <v/>
      </c>
      <c r="T275" t="str">
        <f t="shared" si="164"/>
        <v/>
      </c>
      <c r="U275" t="str">
        <f t="shared" si="164"/>
        <v/>
      </c>
      <c r="V275" t="str">
        <f t="shared" si="164"/>
        <v/>
      </c>
      <c r="W275" t="str">
        <f t="shared" si="164"/>
        <v/>
      </c>
      <c r="X275" t="str">
        <f t="shared" si="164"/>
        <v/>
      </c>
      <c r="Y275" t="str">
        <f t="shared" si="164"/>
        <v/>
      </c>
      <c r="Z275" t="str">
        <f t="shared" si="164"/>
        <v/>
      </c>
      <c r="AA275" t="str">
        <f t="shared" si="164"/>
        <v/>
      </c>
      <c r="AB275" t="str">
        <f t="shared" si="164"/>
        <v/>
      </c>
      <c r="AC275" t="str">
        <f t="shared" si="164"/>
        <v/>
      </c>
      <c r="AD275" t="str">
        <f t="shared" si="164"/>
        <v/>
      </c>
      <c r="AE275" t="str">
        <f t="shared" si="164"/>
        <v/>
      </c>
      <c r="AF275" t="str">
        <f t="shared" si="164"/>
        <v/>
      </c>
      <c r="AG275" t="str">
        <f t="shared" si="164"/>
        <v/>
      </c>
      <c r="AH275" t="str">
        <f t="shared" si="164"/>
        <v/>
      </c>
      <c r="AI275" t="str">
        <f t="shared" si="164"/>
        <v/>
      </c>
      <c r="AJ275" t="str">
        <f t="shared" si="164"/>
        <v/>
      </c>
      <c r="AK275" t="str">
        <f t="shared" si="164"/>
        <v/>
      </c>
      <c r="AL275" t="str">
        <f t="shared" si="164"/>
        <v/>
      </c>
      <c r="AM275" t="str">
        <f t="shared" si="164"/>
        <v/>
      </c>
      <c r="AN275" t="str">
        <f t="shared" si="164"/>
        <v/>
      </c>
      <c r="AO275" t="str">
        <f t="shared" si="164"/>
        <v/>
      </c>
      <c r="AP275" t="str">
        <f t="shared" si="164"/>
        <v/>
      </c>
      <c r="AQ275" t="str">
        <f t="shared" si="164"/>
        <v/>
      </c>
      <c r="AR275" t="str">
        <f t="shared" si="164"/>
        <v/>
      </c>
      <c r="AS275" t="str">
        <f t="shared" si="164"/>
        <v/>
      </c>
      <c r="AT275" t="str">
        <f t="shared" si="164"/>
        <v/>
      </c>
      <c r="AU275" t="str">
        <f t="shared" si="164"/>
        <v/>
      </c>
      <c r="AY275" s="255" t="str">
        <f t="shared" si="137"/>
        <v/>
      </c>
    </row>
    <row r="276" spans="1:52" x14ac:dyDescent="0.35">
      <c r="A276" s="286"/>
      <c r="B276" t="str">
        <f t="shared" ref="B276:G285" si="165">IF($H171="","",IF(B171="",B$5,B171))</f>
        <v/>
      </c>
      <c r="C276" t="str">
        <f t="shared" si="165"/>
        <v/>
      </c>
      <c r="D276" t="str">
        <f t="shared" si="165"/>
        <v/>
      </c>
      <c r="E276" t="str">
        <f t="shared" si="165"/>
        <v/>
      </c>
      <c r="F276" t="str">
        <f t="shared" si="165"/>
        <v/>
      </c>
      <c r="G276" t="str">
        <f t="shared" si="165"/>
        <v/>
      </c>
      <c r="H276" t="str">
        <f t="shared" si="132"/>
        <v/>
      </c>
      <c r="I276" t="str">
        <f t="shared" si="154"/>
        <v/>
      </c>
      <c r="J276" t="str">
        <f t="shared" si="154"/>
        <v/>
      </c>
      <c r="K276" t="str">
        <f t="shared" si="135"/>
        <v/>
      </c>
      <c r="L276" t="str">
        <f t="shared" si="133"/>
        <v/>
      </c>
      <c r="M276" t="str">
        <f t="shared" ref="M276:AU276" si="166">IF($H276="","",M171+L276)</f>
        <v/>
      </c>
      <c r="N276" t="str">
        <f t="shared" si="166"/>
        <v/>
      </c>
      <c r="O276" t="str">
        <f t="shared" si="166"/>
        <v/>
      </c>
      <c r="P276" t="str">
        <f t="shared" si="166"/>
        <v/>
      </c>
      <c r="Q276" t="str">
        <f t="shared" si="166"/>
        <v/>
      </c>
      <c r="R276" t="str">
        <f t="shared" si="166"/>
        <v/>
      </c>
      <c r="S276" t="str">
        <f t="shared" si="166"/>
        <v/>
      </c>
      <c r="T276" t="str">
        <f t="shared" si="166"/>
        <v/>
      </c>
      <c r="U276" t="str">
        <f t="shared" si="166"/>
        <v/>
      </c>
      <c r="V276" t="str">
        <f t="shared" si="166"/>
        <v/>
      </c>
      <c r="W276" t="str">
        <f t="shared" si="166"/>
        <v/>
      </c>
      <c r="X276" t="str">
        <f t="shared" si="166"/>
        <v/>
      </c>
      <c r="Y276" t="str">
        <f t="shared" si="166"/>
        <v/>
      </c>
      <c r="Z276" t="str">
        <f t="shared" si="166"/>
        <v/>
      </c>
      <c r="AA276" t="str">
        <f t="shared" si="166"/>
        <v/>
      </c>
      <c r="AB276" t="str">
        <f t="shared" si="166"/>
        <v/>
      </c>
      <c r="AC276" t="str">
        <f t="shared" si="166"/>
        <v/>
      </c>
      <c r="AD276" t="str">
        <f t="shared" si="166"/>
        <v/>
      </c>
      <c r="AE276" t="str">
        <f t="shared" si="166"/>
        <v/>
      </c>
      <c r="AF276" t="str">
        <f t="shared" si="166"/>
        <v/>
      </c>
      <c r="AG276" t="str">
        <f t="shared" si="166"/>
        <v/>
      </c>
      <c r="AH276" t="str">
        <f t="shared" si="166"/>
        <v/>
      </c>
      <c r="AI276" t="str">
        <f t="shared" si="166"/>
        <v/>
      </c>
      <c r="AJ276" t="str">
        <f t="shared" si="166"/>
        <v/>
      </c>
      <c r="AK276" t="str">
        <f t="shared" si="166"/>
        <v/>
      </c>
      <c r="AL276" t="str">
        <f t="shared" si="166"/>
        <v/>
      </c>
      <c r="AM276" t="str">
        <f t="shared" si="166"/>
        <v/>
      </c>
      <c r="AN276" t="str">
        <f t="shared" si="166"/>
        <v/>
      </c>
      <c r="AO276" t="str">
        <f t="shared" si="166"/>
        <v/>
      </c>
      <c r="AP276" t="str">
        <f t="shared" si="166"/>
        <v/>
      </c>
      <c r="AQ276" t="str">
        <f t="shared" si="166"/>
        <v/>
      </c>
      <c r="AR276" t="str">
        <f t="shared" si="166"/>
        <v/>
      </c>
      <c r="AS276" t="str">
        <f t="shared" si="166"/>
        <v/>
      </c>
      <c r="AT276" t="str">
        <f t="shared" si="166"/>
        <v/>
      </c>
      <c r="AU276" t="str">
        <f t="shared" si="166"/>
        <v/>
      </c>
      <c r="AY276" s="255" t="str">
        <f t="shared" si="137"/>
        <v/>
      </c>
    </row>
    <row r="277" spans="1:52" x14ac:dyDescent="0.35">
      <c r="A277" s="286"/>
      <c r="B277" t="str">
        <f t="shared" si="165"/>
        <v/>
      </c>
      <c r="C277" t="str">
        <f t="shared" si="165"/>
        <v/>
      </c>
      <c r="D277" t="str">
        <f t="shared" si="165"/>
        <v/>
      </c>
      <c r="E277" t="str">
        <f t="shared" si="165"/>
        <v/>
      </c>
      <c r="F277" t="str">
        <f t="shared" si="165"/>
        <v/>
      </c>
      <c r="G277" t="str">
        <f t="shared" si="165"/>
        <v/>
      </c>
      <c r="H277" t="str">
        <f t="shared" si="132"/>
        <v/>
      </c>
      <c r="I277" t="str">
        <f t="shared" si="154"/>
        <v/>
      </c>
      <c r="J277" t="str">
        <f t="shared" si="154"/>
        <v/>
      </c>
      <c r="K277" t="str">
        <f t="shared" si="135"/>
        <v/>
      </c>
      <c r="L277" t="str">
        <f t="shared" si="133"/>
        <v/>
      </c>
      <c r="M277" t="str">
        <f t="shared" ref="M277:AU277" si="167">IF($H277="","",M172+L277)</f>
        <v/>
      </c>
      <c r="N277" t="str">
        <f t="shared" si="167"/>
        <v/>
      </c>
      <c r="O277" t="str">
        <f t="shared" si="167"/>
        <v/>
      </c>
      <c r="P277" t="str">
        <f t="shared" si="167"/>
        <v/>
      </c>
      <c r="Q277" t="str">
        <f t="shared" si="167"/>
        <v/>
      </c>
      <c r="R277" t="str">
        <f t="shared" si="167"/>
        <v/>
      </c>
      <c r="S277" t="str">
        <f t="shared" si="167"/>
        <v/>
      </c>
      <c r="T277" t="str">
        <f t="shared" si="167"/>
        <v/>
      </c>
      <c r="U277" t="str">
        <f t="shared" si="167"/>
        <v/>
      </c>
      <c r="V277" t="str">
        <f t="shared" si="167"/>
        <v/>
      </c>
      <c r="W277" t="str">
        <f t="shared" si="167"/>
        <v/>
      </c>
      <c r="X277" t="str">
        <f t="shared" si="167"/>
        <v/>
      </c>
      <c r="Y277" t="str">
        <f t="shared" si="167"/>
        <v/>
      </c>
      <c r="Z277" t="str">
        <f t="shared" si="167"/>
        <v/>
      </c>
      <c r="AA277" t="str">
        <f t="shared" si="167"/>
        <v/>
      </c>
      <c r="AB277" t="str">
        <f t="shared" si="167"/>
        <v/>
      </c>
      <c r="AC277" t="str">
        <f t="shared" si="167"/>
        <v/>
      </c>
      <c r="AD277" t="str">
        <f t="shared" si="167"/>
        <v/>
      </c>
      <c r="AE277" t="str">
        <f t="shared" si="167"/>
        <v/>
      </c>
      <c r="AF277" t="str">
        <f t="shared" si="167"/>
        <v/>
      </c>
      <c r="AG277" t="str">
        <f t="shared" si="167"/>
        <v/>
      </c>
      <c r="AH277" t="str">
        <f t="shared" si="167"/>
        <v/>
      </c>
      <c r="AI277" t="str">
        <f t="shared" si="167"/>
        <v/>
      </c>
      <c r="AJ277" t="str">
        <f t="shared" si="167"/>
        <v/>
      </c>
      <c r="AK277" t="str">
        <f t="shared" si="167"/>
        <v/>
      </c>
      <c r="AL277" t="str">
        <f t="shared" si="167"/>
        <v/>
      </c>
      <c r="AM277" t="str">
        <f t="shared" si="167"/>
        <v/>
      </c>
      <c r="AN277" t="str">
        <f t="shared" si="167"/>
        <v/>
      </c>
      <c r="AO277" t="str">
        <f t="shared" si="167"/>
        <v/>
      </c>
      <c r="AP277" t="str">
        <f t="shared" si="167"/>
        <v/>
      </c>
      <c r="AQ277" t="str">
        <f t="shared" si="167"/>
        <v/>
      </c>
      <c r="AR277" t="str">
        <f t="shared" si="167"/>
        <v/>
      </c>
      <c r="AS277" t="str">
        <f t="shared" si="167"/>
        <v/>
      </c>
      <c r="AT277" t="str">
        <f t="shared" si="167"/>
        <v/>
      </c>
      <c r="AU277" t="str">
        <f t="shared" si="167"/>
        <v/>
      </c>
      <c r="AY277" s="255" t="str">
        <f t="shared" si="137"/>
        <v/>
      </c>
    </row>
    <row r="278" spans="1:52" x14ac:dyDescent="0.35">
      <c r="A278" s="286"/>
      <c r="B278" t="str">
        <f t="shared" si="165"/>
        <v/>
      </c>
      <c r="C278" t="str">
        <f t="shared" si="165"/>
        <v/>
      </c>
      <c r="D278" t="str">
        <f t="shared" si="165"/>
        <v/>
      </c>
      <c r="E278" t="str">
        <f t="shared" si="165"/>
        <v/>
      </c>
      <c r="F278" t="str">
        <f t="shared" si="165"/>
        <v/>
      </c>
      <c r="G278" t="str">
        <f t="shared" si="165"/>
        <v/>
      </c>
      <c r="H278" t="str">
        <f t="shared" si="132"/>
        <v/>
      </c>
      <c r="I278" t="str">
        <f t="shared" si="154"/>
        <v/>
      </c>
      <c r="J278" t="str">
        <f t="shared" si="154"/>
        <v/>
      </c>
      <c r="K278" t="str">
        <f t="shared" si="135"/>
        <v/>
      </c>
      <c r="L278" t="str">
        <f t="shared" si="133"/>
        <v/>
      </c>
      <c r="M278" t="str">
        <f t="shared" ref="M278:AU278" si="168">IF($H278="","",M173+L278)</f>
        <v/>
      </c>
      <c r="N278" t="str">
        <f t="shared" si="168"/>
        <v/>
      </c>
      <c r="O278" t="str">
        <f t="shared" si="168"/>
        <v/>
      </c>
      <c r="P278" t="str">
        <f t="shared" si="168"/>
        <v/>
      </c>
      <c r="Q278" t="str">
        <f t="shared" si="168"/>
        <v/>
      </c>
      <c r="R278" t="str">
        <f t="shared" si="168"/>
        <v/>
      </c>
      <c r="S278" t="str">
        <f t="shared" si="168"/>
        <v/>
      </c>
      <c r="T278" t="str">
        <f t="shared" si="168"/>
        <v/>
      </c>
      <c r="U278" t="str">
        <f t="shared" si="168"/>
        <v/>
      </c>
      <c r="V278" t="str">
        <f t="shared" si="168"/>
        <v/>
      </c>
      <c r="W278" t="str">
        <f t="shared" si="168"/>
        <v/>
      </c>
      <c r="X278" t="str">
        <f t="shared" si="168"/>
        <v/>
      </c>
      <c r="Y278" t="str">
        <f t="shared" si="168"/>
        <v/>
      </c>
      <c r="Z278" t="str">
        <f t="shared" si="168"/>
        <v/>
      </c>
      <c r="AA278" t="str">
        <f t="shared" si="168"/>
        <v/>
      </c>
      <c r="AB278" t="str">
        <f t="shared" si="168"/>
        <v/>
      </c>
      <c r="AC278" t="str">
        <f t="shared" si="168"/>
        <v/>
      </c>
      <c r="AD278" t="str">
        <f t="shared" si="168"/>
        <v/>
      </c>
      <c r="AE278" t="str">
        <f t="shared" si="168"/>
        <v/>
      </c>
      <c r="AF278" t="str">
        <f t="shared" si="168"/>
        <v/>
      </c>
      <c r="AG278" t="str">
        <f t="shared" si="168"/>
        <v/>
      </c>
      <c r="AH278" t="str">
        <f t="shared" si="168"/>
        <v/>
      </c>
      <c r="AI278" t="str">
        <f t="shared" si="168"/>
        <v/>
      </c>
      <c r="AJ278" t="str">
        <f t="shared" si="168"/>
        <v/>
      </c>
      <c r="AK278" t="str">
        <f t="shared" si="168"/>
        <v/>
      </c>
      <c r="AL278" t="str">
        <f t="shared" si="168"/>
        <v/>
      </c>
      <c r="AM278" t="str">
        <f t="shared" si="168"/>
        <v/>
      </c>
      <c r="AN278" t="str">
        <f t="shared" si="168"/>
        <v/>
      </c>
      <c r="AO278" t="str">
        <f t="shared" si="168"/>
        <v/>
      </c>
      <c r="AP278" t="str">
        <f t="shared" si="168"/>
        <v/>
      </c>
      <c r="AQ278" t="str">
        <f t="shared" si="168"/>
        <v/>
      </c>
      <c r="AR278" t="str">
        <f t="shared" si="168"/>
        <v/>
      </c>
      <c r="AS278" t="str">
        <f t="shared" si="168"/>
        <v/>
      </c>
      <c r="AT278" t="str">
        <f t="shared" si="168"/>
        <v/>
      </c>
      <c r="AU278" t="str">
        <f t="shared" si="168"/>
        <v/>
      </c>
      <c r="AY278" s="255" t="str">
        <f t="shared" si="137"/>
        <v/>
      </c>
    </row>
    <row r="279" spans="1:52" x14ac:dyDescent="0.35">
      <c r="A279" s="286"/>
      <c r="B279" t="str">
        <f t="shared" si="165"/>
        <v/>
      </c>
      <c r="C279" t="str">
        <f t="shared" si="165"/>
        <v/>
      </c>
      <c r="D279" t="str">
        <f t="shared" si="165"/>
        <v/>
      </c>
      <c r="E279" t="str">
        <f t="shared" si="165"/>
        <v/>
      </c>
      <c r="F279" t="str">
        <f t="shared" si="165"/>
        <v/>
      </c>
      <c r="G279" t="str">
        <f t="shared" si="165"/>
        <v/>
      </c>
      <c r="H279" t="str">
        <f t="shared" si="132"/>
        <v/>
      </c>
      <c r="I279" t="str">
        <f t="shared" si="154"/>
        <v/>
      </c>
      <c r="J279" t="str">
        <f t="shared" si="154"/>
        <v/>
      </c>
      <c r="K279" t="str">
        <f t="shared" si="135"/>
        <v/>
      </c>
      <c r="L279" t="str">
        <f t="shared" si="133"/>
        <v/>
      </c>
      <c r="M279" t="str">
        <f t="shared" ref="M279:AU279" si="169">IF($H279="","",M174+L279)</f>
        <v/>
      </c>
      <c r="N279" t="str">
        <f t="shared" si="169"/>
        <v/>
      </c>
      <c r="O279" t="str">
        <f t="shared" si="169"/>
        <v/>
      </c>
      <c r="P279" t="str">
        <f t="shared" si="169"/>
        <v/>
      </c>
      <c r="Q279" t="str">
        <f t="shared" si="169"/>
        <v/>
      </c>
      <c r="R279" t="str">
        <f t="shared" si="169"/>
        <v/>
      </c>
      <c r="S279" t="str">
        <f t="shared" si="169"/>
        <v/>
      </c>
      <c r="T279" t="str">
        <f t="shared" si="169"/>
        <v/>
      </c>
      <c r="U279" t="str">
        <f t="shared" si="169"/>
        <v/>
      </c>
      <c r="V279" t="str">
        <f t="shared" si="169"/>
        <v/>
      </c>
      <c r="W279" t="str">
        <f t="shared" si="169"/>
        <v/>
      </c>
      <c r="X279" t="str">
        <f t="shared" si="169"/>
        <v/>
      </c>
      <c r="Y279" t="str">
        <f t="shared" si="169"/>
        <v/>
      </c>
      <c r="Z279" t="str">
        <f t="shared" si="169"/>
        <v/>
      </c>
      <c r="AA279" t="str">
        <f t="shared" si="169"/>
        <v/>
      </c>
      <c r="AB279" t="str">
        <f t="shared" si="169"/>
        <v/>
      </c>
      <c r="AC279" t="str">
        <f t="shared" si="169"/>
        <v/>
      </c>
      <c r="AD279" t="str">
        <f t="shared" si="169"/>
        <v/>
      </c>
      <c r="AE279" t="str">
        <f t="shared" si="169"/>
        <v/>
      </c>
      <c r="AF279" t="str">
        <f t="shared" si="169"/>
        <v/>
      </c>
      <c r="AG279" t="str">
        <f t="shared" si="169"/>
        <v/>
      </c>
      <c r="AH279" t="str">
        <f t="shared" si="169"/>
        <v/>
      </c>
      <c r="AI279" t="str">
        <f t="shared" si="169"/>
        <v/>
      </c>
      <c r="AJ279" t="str">
        <f t="shared" si="169"/>
        <v/>
      </c>
      <c r="AK279" t="str">
        <f t="shared" si="169"/>
        <v/>
      </c>
      <c r="AL279" t="str">
        <f t="shared" si="169"/>
        <v/>
      </c>
      <c r="AM279" t="str">
        <f t="shared" si="169"/>
        <v/>
      </c>
      <c r="AN279" t="str">
        <f t="shared" si="169"/>
        <v/>
      </c>
      <c r="AO279" t="str">
        <f t="shared" si="169"/>
        <v/>
      </c>
      <c r="AP279" t="str">
        <f t="shared" si="169"/>
        <v/>
      </c>
      <c r="AQ279" t="str">
        <f t="shared" si="169"/>
        <v/>
      </c>
      <c r="AR279" t="str">
        <f t="shared" si="169"/>
        <v/>
      </c>
      <c r="AS279" t="str">
        <f t="shared" si="169"/>
        <v/>
      </c>
      <c r="AT279" t="str">
        <f t="shared" si="169"/>
        <v/>
      </c>
      <c r="AU279" t="str">
        <f t="shared" si="169"/>
        <v/>
      </c>
      <c r="AY279" s="255" t="str">
        <f t="shared" si="137"/>
        <v/>
      </c>
    </row>
    <row r="280" spans="1:52" x14ac:dyDescent="0.35">
      <c r="A280" s="286"/>
      <c r="B280" t="str">
        <f t="shared" si="165"/>
        <v/>
      </c>
      <c r="C280" t="str">
        <f t="shared" si="165"/>
        <v/>
      </c>
      <c r="D280" t="str">
        <f t="shared" si="165"/>
        <v/>
      </c>
      <c r="E280" t="str">
        <f t="shared" si="165"/>
        <v/>
      </c>
      <c r="F280" t="str">
        <f t="shared" si="165"/>
        <v/>
      </c>
      <c r="G280" t="str">
        <f t="shared" si="165"/>
        <v/>
      </c>
      <c r="H280" t="str">
        <f t="shared" si="132"/>
        <v/>
      </c>
      <c r="I280" t="str">
        <f t="shared" si="154"/>
        <v/>
      </c>
      <c r="J280" t="str">
        <f t="shared" si="154"/>
        <v/>
      </c>
      <c r="K280" t="str">
        <f t="shared" si="135"/>
        <v/>
      </c>
      <c r="L280" t="str">
        <f t="shared" si="133"/>
        <v/>
      </c>
      <c r="M280" t="str">
        <f t="shared" ref="M280:AU280" si="170">IF($H280="","",M175+L280)</f>
        <v/>
      </c>
      <c r="N280" t="str">
        <f t="shared" si="170"/>
        <v/>
      </c>
      <c r="O280" t="str">
        <f t="shared" si="170"/>
        <v/>
      </c>
      <c r="P280" t="str">
        <f t="shared" si="170"/>
        <v/>
      </c>
      <c r="Q280" t="str">
        <f t="shared" si="170"/>
        <v/>
      </c>
      <c r="R280" t="str">
        <f t="shared" si="170"/>
        <v/>
      </c>
      <c r="S280" t="str">
        <f t="shared" si="170"/>
        <v/>
      </c>
      <c r="T280" t="str">
        <f t="shared" si="170"/>
        <v/>
      </c>
      <c r="U280" t="str">
        <f t="shared" si="170"/>
        <v/>
      </c>
      <c r="V280" t="str">
        <f t="shared" si="170"/>
        <v/>
      </c>
      <c r="W280" t="str">
        <f t="shared" si="170"/>
        <v/>
      </c>
      <c r="X280" t="str">
        <f t="shared" si="170"/>
        <v/>
      </c>
      <c r="Y280" t="str">
        <f t="shared" si="170"/>
        <v/>
      </c>
      <c r="Z280" t="str">
        <f t="shared" si="170"/>
        <v/>
      </c>
      <c r="AA280" t="str">
        <f t="shared" si="170"/>
        <v/>
      </c>
      <c r="AB280" t="str">
        <f t="shared" si="170"/>
        <v/>
      </c>
      <c r="AC280" t="str">
        <f t="shared" si="170"/>
        <v/>
      </c>
      <c r="AD280" t="str">
        <f t="shared" si="170"/>
        <v/>
      </c>
      <c r="AE280" t="str">
        <f t="shared" si="170"/>
        <v/>
      </c>
      <c r="AF280" t="str">
        <f t="shared" si="170"/>
        <v/>
      </c>
      <c r="AG280" t="str">
        <f t="shared" si="170"/>
        <v/>
      </c>
      <c r="AH280" t="str">
        <f t="shared" si="170"/>
        <v/>
      </c>
      <c r="AI280" t="str">
        <f t="shared" si="170"/>
        <v/>
      </c>
      <c r="AJ280" t="str">
        <f t="shared" si="170"/>
        <v/>
      </c>
      <c r="AK280" t="str">
        <f t="shared" si="170"/>
        <v/>
      </c>
      <c r="AL280" t="str">
        <f t="shared" si="170"/>
        <v/>
      </c>
      <c r="AM280" t="str">
        <f t="shared" si="170"/>
        <v/>
      </c>
      <c r="AN280" t="str">
        <f t="shared" si="170"/>
        <v/>
      </c>
      <c r="AO280" t="str">
        <f t="shared" si="170"/>
        <v/>
      </c>
      <c r="AP280" t="str">
        <f t="shared" si="170"/>
        <v/>
      </c>
      <c r="AQ280" t="str">
        <f t="shared" si="170"/>
        <v/>
      </c>
      <c r="AR280" t="str">
        <f t="shared" si="170"/>
        <v/>
      </c>
      <c r="AS280" t="str">
        <f t="shared" si="170"/>
        <v/>
      </c>
      <c r="AT280" t="str">
        <f t="shared" si="170"/>
        <v/>
      </c>
      <c r="AU280" t="str">
        <f t="shared" si="170"/>
        <v/>
      </c>
      <c r="AY280" s="255" t="str">
        <f t="shared" si="137"/>
        <v/>
      </c>
    </row>
    <row r="281" spans="1:52" x14ac:dyDescent="0.35">
      <c r="A281" s="286"/>
      <c r="B281" t="str">
        <f t="shared" si="165"/>
        <v/>
      </c>
      <c r="C281" t="str">
        <f t="shared" si="165"/>
        <v/>
      </c>
      <c r="D281" t="str">
        <f t="shared" si="165"/>
        <v/>
      </c>
      <c r="E281" t="str">
        <f t="shared" si="165"/>
        <v/>
      </c>
      <c r="F281" t="str">
        <f t="shared" si="165"/>
        <v/>
      </c>
      <c r="G281" t="str">
        <f t="shared" si="165"/>
        <v/>
      </c>
      <c r="H281" t="str">
        <f t="shared" si="132"/>
        <v/>
      </c>
      <c r="I281" t="str">
        <f t="shared" si="154"/>
        <v/>
      </c>
      <c r="J281" t="str">
        <f t="shared" si="154"/>
        <v/>
      </c>
      <c r="K281" t="str">
        <f t="shared" si="135"/>
        <v/>
      </c>
      <c r="L281" t="str">
        <f t="shared" si="133"/>
        <v/>
      </c>
      <c r="M281" t="str">
        <f t="shared" ref="M281:AU281" si="171">IF($H281="","",M176+L281)</f>
        <v/>
      </c>
      <c r="N281" t="str">
        <f t="shared" si="171"/>
        <v/>
      </c>
      <c r="O281" t="str">
        <f t="shared" si="171"/>
        <v/>
      </c>
      <c r="P281" t="str">
        <f t="shared" si="171"/>
        <v/>
      </c>
      <c r="Q281" t="str">
        <f t="shared" si="171"/>
        <v/>
      </c>
      <c r="R281" t="str">
        <f t="shared" si="171"/>
        <v/>
      </c>
      <c r="S281" t="str">
        <f t="shared" si="171"/>
        <v/>
      </c>
      <c r="T281" t="str">
        <f t="shared" si="171"/>
        <v/>
      </c>
      <c r="U281" t="str">
        <f t="shared" si="171"/>
        <v/>
      </c>
      <c r="V281" t="str">
        <f t="shared" si="171"/>
        <v/>
      </c>
      <c r="W281" t="str">
        <f t="shared" si="171"/>
        <v/>
      </c>
      <c r="X281" t="str">
        <f t="shared" si="171"/>
        <v/>
      </c>
      <c r="Y281" t="str">
        <f t="shared" si="171"/>
        <v/>
      </c>
      <c r="Z281" t="str">
        <f t="shared" si="171"/>
        <v/>
      </c>
      <c r="AA281" t="str">
        <f t="shared" si="171"/>
        <v/>
      </c>
      <c r="AB281" t="str">
        <f t="shared" si="171"/>
        <v/>
      </c>
      <c r="AC281" t="str">
        <f t="shared" si="171"/>
        <v/>
      </c>
      <c r="AD281" t="str">
        <f t="shared" si="171"/>
        <v/>
      </c>
      <c r="AE281" t="str">
        <f t="shared" si="171"/>
        <v/>
      </c>
      <c r="AF281" t="str">
        <f t="shared" si="171"/>
        <v/>
      </c>
      <c r="AG281" t="str">
        <f t="shared" si="171"/>
        <v/>
      </c>
      <c r="AH281" t="str">
        <f t="shared" si="171"/>
        <v/>
      </c>
      <c r="AI281" t="str">
        <f t="shared" si="171"/>
        <v/>
      </c>
      <c r="AJ281" t="str">
        <f t="shared" si="171"/>
        <v/>
      </c>
      <c r="AK281" t="str">
        <f t="shared" si="171"/>
        <v/>
      </c>
      <c r="AL281" t="str">
        <f t="shared" si="171"/>
        <v/>
      </c>
      <c r="AM281" t="str">
        <f t="shared" si="171"/>
        <v/>
      </c>
      <c r="AN281" t="str">
        <f t="shared" si="171"/>
        <v/>
      </c>
      <c r="AO281" t="str">
        <f t="shared" si="171"/>
        <v/>
      </c>
      <c r="AP281" t="str">
        <f t="shared" si="171"/>
        <v/>
      </c>
      <c r="AQ281" t="str">
        <f t="shared" si="171"/>
        <v/>
      </c>
      <c r="AR281" t="str">
        <f t="shared" si="171"/>
        <v/>
      </c>
      <c r="AS281" t="str">
        <f t="shared" si="171"/>
        <v/>
      </c>
      <c r="AT281" t="str">
        <f t="shared" si="171"/>
        <v/>
      </c>
      <c r="AU281" t="str">
        <f t="shared" si="171"/>
        <v/>
      </c>
      <c r="AY281" s="255" t="str">
        <f t="shared" si="137"/>
        <v/>
      </c>
    </row>
    <row r="282" spans="1:52" x14ac:dyDescent="0.35">
      <c r="A282" s="286"/>
      <c r="B282" t="str">
        <f t="shared" si="165"/>
        <v/>
      </c>
      <c r="C282" t="str">
        <f t="shared" si="165"/>
        <v/>
      </c>
      <c r="D282" t="str">
        <f t="shared" si="165"/>
        <v/>
      </c>
      <c r="E282" t="str">
        <f t="shared" si="165"/>
        <v/>
      </c>
      <c r="F282" t="str">
        <f t="shared" si="165"/>
        <v/>
      </c>
      <c r="G282" t="str">
        <f t="shared" si="165"/>
        <v/>
      </c>
      <c r="H282" t="str">
        <f t="shared" ref="H282:H286" si="172">IF($H177="","",H177)</f>
        <v/>
      </c>
      <c r="I282" t="str">
        <f t="shared" si="154"/>
        <v/>
      </c>
      <c r="J282" t="str">
        <f t="shared" si="154"/>
        <v/>
      </c>
      <c r="K282" t="str">
        <f t="shared" si="135"/>
        <v/>
      </c>
      <c r="L282" t="str">
        <f t="shared" ref="L282:L286" si="173">IF($H282="","",L177)</f>
        <v/>
      </c>
      <c r="M282" t="str">
        <f t="shared" ref="M282:AU282" si="174">IF($H282="","",M177+L282)</f>
        <v/>
      </c>
      <c r="N282" t="str">
        <f t="shared" si="174"/>
        <v/>
      </c>
      <c r="O282" t="str">
        <f t="shared" si="174"/>
        <v/>
      </c>
      <c r="P282" t="str">
        <f t="shared" si="174"/>
        <v/>
      </c>
      <c r="Q282" t="str">
        <f t="shared" si="174"/>
        <v/>
      </c>
      <c r="R282" t="str">
        <f t="shared" si="174"/>
        <v/>
      </c>
      <c r="S282" t="str">
        <f t="shared" si="174"/>
        <v/>
      </c>
      <c r="T282" t="str">
        <f t="shared" si="174"/>
        <v/>
      </c>
      <c r="U282" t="str">
        <f t="shared" si="174"/>
        <v/>
      </c>
      <c r="V282" t="str">
        <f t="shared" si="174"/>
        <v/>
      </c>
      <c r="W282" t="str">
        <f t="shared" si="174"/>
        <v/>
      </c>
      <c r="X282" t="str">
        <f t="shared" si="174"/>
        <v/>
      </c>
      <c r="Y282" t="str">
        <f t="shared" si="174"/>
        <v/>
      </c>
      <c r="Z282" t="str">
        <f t="shared" si="174"/>
        <v/>
      </c>
      <c r="AA282" t="str">
        <f t="shared" si="174"/>
        <v/>
      </c>
      <c r="AB282" t="str">
        <f t="shared" si="174"/>
        <v/>
      </c>
      <c r="AC282" t="str">
        <f t="shared" si="174"/>
        <v/>
      </c>
      <c r="AD282" t="str">
        <f t="shared" si="174"/>
        <v/>
      </c>
      <c r="AE282" t="str">
        <f t="shared" si="174"/>
        <v/>
      </c>
      <c r="AF282" t="str">
        <f t="shared" si="174"/>
        <v/>
      </c>
      <c r="AG282" t="str">
        <f t="shared" si="174"/>
        <v/>
      </c>
      <c r="AH282" t="str">
        <f t="shared" si="174"/>
        <v/>
      </c>
      <c r="AI282" t="str">
        <f t="shared" si="174"/>
        <v/>
      </c>
      <c r="AJ282" t="str">
        <f t="shared" si="174"/>
        <v/>
      </c>
      <c r="AK282" t="str">
        <f t="shared" si="174"/>
        <v/>
      </c>
      <c r="AL282" t="str">
        <f t="shared" si="174"/>
        <v/>
      </c>
      <c r="AM282" t="str">
        <f t="shared" si="174"/>
        <v/>
      </c>
      <c r="AN282" t="str">
        <f t="shared" si="174"/>
        <v/>
      </c>
      <c r="AO282" t="str">
        <f t="shared" si="174"/>
        <v/>
      </c>
      <c r="AP282" t="str">
        <f t="shared" si="174"/>
        <v/>
      </c>
      <c r="AQ282" t="str">
        <f t="shared" si="174"/>
        <v/>
      </c>
      <c r="AR282" t="str">
        <f t="shared" si="174"/>
        <v/>
      </c>
      <c r="AS282" t="str">
        <f t="shared" si="174"/>
        <v/>
      </c>
      <c r="AT282" t="str">
        <f t="shared" si="174"/>
        <v/>
      </c>
      <c r="AU282" t="str">
        <f t="shared" si="174"/>
        <v/>
      </c>
      <c r="AY282" s="255" t="str">
        <f t="shared" si="137"/>
        <v/>
      </c>
    </row>
    <row r="283" spans="1:52" x14ac:dyDescent="0.35">
      <c r="A283" s="286"/>
      <c r="B283" t="str">
        <f t="shared" si="165"/>
        <v/>
      </c>
      <c r="C283" t="str">
        <f t="shared" si="165"/>
        <v/>
      </c>
      <c r="D283" t="str">
        <f t="shared" si="165"/>
        <v/>
      </c>
      <c r="E283" t="str">
        <f t="shared" si="165"/>
        <v/>
      </c>
      <c r="F283" t="str">
        <f t="shared" si="165"/>
        <v/>
      </c>
      <c r="G283" t="str">
        <f t="shared" si="165"/>
        <v/>
      </c>
      <c r="H283" t="str">
        <f t="shared" si="172"/>
        <v/>
      </c>
      <c r="I283" t="str">
        <f t="shared" si="154"/>
        <v/>
      </c>
      <c r="J283" t="str">
        <f t="shared" si="154"/>
        <v/>
      </c>
      <c r="K283" t="str">
        <f t="shared" si="135"/>
        <v/>
      </c>
      <c r="L283" t="str">
        <f t="shared" si="173"/>
        <v/>
      </c>
      <c r="M283" t="str">
        <f t="shared" ref="M283:AU283" si="175">IF($H283="","",M178+L283)</f>
        <v/>
      </c>
      <c r="N283" t="str">
        <f t="shared" si="175"/>
        <v/>
      </c>
      <c r="O283" t="str">
        <f t="shared" si="175"/>
        <v/>
      </c>
      <c r="P283" t="str">
        <f t="shared" si="175"/>
        <v/>
      </c>
      <c r="Q283" t="str">
        <f t="shared" si="175"/>
        <v/>
      </c>
      <c r="R283" t="str">
        <f t="shared" si="175"/>
        <v/>
      </c>
      <c r="S283" t="str">
        <f t="shared" si="175"/>
        <v/>
      </c>
      <c r="T283" t="str">
        <f t="shared" si="175"/>
        <v/>
      </c>
      <c r="U283" t="str">
        <f t="shared" si="175"/>
        <v/>
      </c>
      <c r="V283" t="str">
        <f t="shared" si="175"/>
        <v/>
      </c>
      <c r="W283" t="str">
        <f t="shared" si="175"/>
        <v/>
      </c>
      <c r="X283" t="str">
        <f t="shared" si="175"/>
        <v/>
      </c>
      <c r="Y283" t="str">
        <f t="shared" si="175"/>
        <v/>
      </c>
      <c r="Z283" t="str">
        <f t="shared" si="175"/>
        <v/>
      </c>
      <c r="AA283" t="str">
        <f t="shared" si="175"/>
        <v/>
      </c>
      <c r="AB283" t="str">
        <f t="shared" si="175"/>
        <v/>
      </c>
      <c r="AC283" t="str">
        <f t="shared" si="175"/>
        <v/>
      </c>
      <c r="AD283" t="str">
        <f t="shared" si="175"/>
        <v/>
      </c>
      <c r="AE283" t="str">
        <f t="shared" si="175"/>
        <v/>
      </c>
      <c r="AF283" t="str">
        <f t="shared" si="175"/>
        <v/>
      </c>
      <c r="AG283" t="str">
        <f t="shared" si="175"/>
        <v/>
      </c>
      <c r="AH283" t="str">
        <f t="shared" si="175"/>
        <v/>
      </c>
      <c r="AI283" t="str">
        <f t="shared" si="175"/>
        <v/>
      </c>
      <c r="AJ283" t="str">
        <f t="shared" si="175"/>
        <v/>
      </c>
      <c r="AK283" t="str">
        <f t="shared" si="175"/>
        <v/>
      </c>
      <c r="AL283" t="str">
        <f t="shared" si="175"/>
        <v/>
      </c>
      <c r="AM283" t="str">
        <f t="shared" si="175"/>
        <v/>
      </c>
      <c r="AN283" t="str">
        <f t="shared" si="175"/>
        <v/>
      </c>
      <c r="AO283" t="str">
        <f t="shared" si="175"/>
        <v/>
      </c>
      <c r="AP283" t="str">
        <f t="shared" si="175"/>
        <v/>
      </c>
      <c r="AQ283" t="str">
        <f t="shared" si="175"/>
        <v/>
      </c>
      <c r="AR283" t="str">
        <f t="shared" si="175"/>
        <v/>
      </c>
      <c r="AS283" t="str">
        <f t="shared" si="175"/>
        <v/>
      </c>
      <c r="AT283" t="str">
        <f t="shared" si="175"/>
        <v/>
      </c>
      <c r="AU283" t="str">
        <f t="shared" si="175"/>
        <v/>
      </c>
      <c r="AY283" s="255" t="str">
        <f t="shared" si="137"/>
        <v/>
      </c>
    </row>
    <row r="284" spans="1:52" x14ac:dyDescent="0.35">
      <c r="A284" s="286"/>
      <c r="B284" t="str">
        <f t="shared" si="165"/>
        <v/>
      </c>
      <c r="C284" t="str">
        <f t="shared" si="165"/>
        <v/>
      </c>
      <c r="D284" t="str">
        <f t="shared" si="165"/>
        <v/>
      </c>
      <c r="E284" t="str">
        <f t="shared" si="165"/>
        <v/>
      </c>
      <c r="F284" t="str">
        <f t="shared" si="165"/>
        <v/>
      </c>
      <c r="G284" t="str">
        <f t="shared" si="165"/>
        <v/>
      </c>
      <c r="H284" t="str">
        <f t="shared" si="172"/>
        <v/>
      </c>
      <c r="I284" t="str">
        <f t="shared" si="154"/>
        <v/>
      </c>
      <c r="J284" t="str">
        <f t="shared" si="154"/>
        <v/>
      </c>
      <c r="K284" t="str">
        <f t="shared" si="135"/>
        <v/>
      </c>
      <c r="L284" t="str">
        <f t="shared" si="173"/>
        <v/>
      </c>
      <c r="M284" t="str">
        <f t="shared" ref="M284:AU284" si="176">IF($H284="","",M179+L284)</f>
        <v/>
      </c>
      <c r="N284" t="str">
        <f t="shared" si="176"/>
        <v/>
      </c>
      <c r="O284" t="str">
        <f t="shared" si="176"/>
        <v/>
      </c>
      <c r="P284" t="str">
        <f t="shared" si="176"/>
        <v/>
      </c>
      <c r="Q284" t="str">
        <f t="shared" si="176"/>
        <v/>
      </c>
      <c r="R284" t="str">
        <f t="shared" si="176"/>
        <v/>
      </c>
      <c r="S284" t="str">
        <f t="shared" si="176"/>
        <v/>
      </c>
      <c r="T284" t="str">
        <f t="shared" si="176"/>
        <v/>
      </c>
      <c r="U284" t="str">
        <f t="shared" si="176"/>
        <v/>
      </c>
      <c r="V284" t="str">
        <f t="shared" si="176"/>
        <v/>
      </c>
      <c r="W284" t="str">
        <f t="shared" si="176"/>
        <v/>
      </c>
      <c r="X284" t="str">
        <f t="shared" si="176"/>
        <v/>
      </c>
      <c r="Y284" t="str">
        <f t="shared" si="176"/>
        <v/>
      </c>
      <c r="Z284" t="str">
        <f t="shared" si="176"/>
        <v/>
      </c>
      <c r="AA284" t="str">
        <f t="shared" si="176"/>
        <v/>
      </c>
      <c r="AB284" t="str">
        <f t="shared" si="176"/>
        <v/>
      </c>
      <c r="AC284" t="str">
        <f t="shared" si="176"/>
        <v/>
      </c>
      <c r="AD284" t="str">
        <f t="shared" si="176"/>
        <v/>
      </c>
      <c r="AE284" t="str">
        <f t="shared" si="176"/>
        <v/>
      </c>
      <c r="AF284" t="str">
        <f t="shared" si="176"/>
        <v/>
      </c>
      <c r="AG284" t="str">
        <f t="shared" si="176"/>
        <v/>
      </c>
      <c r="AH284" t="str">
        <f t="shared" si="176"/>
        <v/>
      </c>
      <c r="AI284" t="str">
        <f t="shared" si="176"/>
        <v/>
      </c>
      <c r="AJ284" t="str">
        <f t="shared" si="176"/>
        <v/>
      </c>
      <c r="AK284" t="str">
        <f t="shared" si="176"/>
        <v/>
      </c>
      <c r="AL284" t="str">
        <f t="shared" si="176"/>
        <v/>
      </c>
      <c r="AM284" t="str">
        <f t="shared" si="176"/>
        <v/>
      </c>
      <c r="AN284" t="str">
        <f t="shared" si="176"/>
        <v/>
      </c>
      <c r="AO284" t="str">
        <f t="shared" si="176"/>
        <v/>
      </c>
      <c r="AP284" t="str">
        <f t="shared" si="176"/>
        <v/>
      </c>
      <c r="AQ284" t="str">
        <f t="shared" si="176"/>
        <v/>
      </c>
      <c r="AR284" t="str">
        <f t="shared" si="176"/>
        <v/>
      </c>
      <c r="AS284" t="str">
        <f t="shared" si="176"/>
        <v/>
      </c>
      <c r="AT284" t="str">
        <f t="shared" si="176"/>
        <v/>
      </c>
      <c r="AU284" t="str">
        <f t="shared" si="176"/>
        <v/>
      </c>
      <c r="AY284" s="255" t="str">
        <f t="shared" si="137"/>
        <v/>
      </c>
    </row>
    <row r="285" spans="1:52" hidden="1" outlineLevel="1" x14ac:dyDescent="0.35">
      <c r="A285" s="286"/>
      <c r="B285" t="str">
        <f t="shared" si="165"/>
        <v/>
      </c>
      <c r="C285" t="str">
        <f t="shared" si="165"/>
        <v/>
      </c>
      <c r="D285" t="str">
        <f t="shared" si="165"/>
        <v/>
      </c>
      <c r="E285" t="str">
        <f t="shared" si="165"/>
        <v/>
      </c>
      <c r="F285" t="str">
        <f t="shared" si="165"/>
        <v/>
      </c>
      <c r="G285" t="str">
        <f t="shared" si="165"/>
        <v/>
      </c>
      <c r="H285" t="str">
        <f t="shared" si="172"/>
        <v/>
      </c>
      <c r="I285" t="str">
        <f t="shared" si="154"/>
        <v/>
      </c>
      <c r="J285" t="str">
        <f t="shared" si="154"/>
        <v/>
      </c>
      <c r="K285" t="str">
        <f t="shared" si="135"/>
        <v/>
      </c>
      <c r="L285" t="str">
        <f t="shared" si="173"/>
        <v/>
      </c>
      <c r="M285" t="str">
        <f t="shared" ref="M285:AU285" si="177">IF($H285="","",M180+L285)</f>
        <v/>
      </c>
      <c r="N285" t="str">
        <f t="shared" si="177"/>
        <v/>
      </c>
      <c r="O285" t="str">
        <f t="shared" si="177"/>
        <v/>
      </c>
      <c r="P285" t="str">
        <f t="shared" si="177"/>
        <v/>
      </c>
      <c r="Q285" t="str">
        <f t="shared" si="177"/>
        <v/>
      </c>
      <c r="R285" t="str">
        <f t="shared" si="177"/>
        <v/>
      </c>
      <c r="S285" t="str">
        <f t="shared" si="177"/>
        <v/>
      </c>
      <c r="T285" t="str">
        <f t="shared" si="177"/>
        <v/>
      </c>
      <c r="U285" t="str">
        <f t="shared" si="177"/>
        <v/>
      </c>
      <c r="V285" t="str">
        <f t="shared" si="177"/>
        <v/>
      </c>
      <c r="W285" t="str">
        <f t="shared" si="177"/>
        <v/>
      </c>
      <c r="X285" t="str">
        <f t="shared" si="177"/>
        <v/>
      </c>
      <c r="Y285" t="str">
        <f t="shared" si="177"/>
        <v/>
      </c>
      <c r="Z285" t="str">
        <f t="shared" si="177"/>
        <v/>
      </c>
      <c r="AA285" t="str">
        <f t="shared" si="177"/>
        <v/>
      </c>
      <c r="AB285" t="str">
        <f t="shared" si="177"/>
        <v/>
      </c>
      <c r="AC285" t="str">
        <f t="shared" si="177"/>
        <v/>
      </c>
      <c r="AD285" t="str">
        <f t="shared" si="177"/>
        <v/>
      </c>
      <c r="AE285" t="str">
        <f t="shared" si="177"/>
        <v/>
      </c>
      <c r="AF285" t="str">
        <f t="shared" si="177"/>
        <v/>
      </c>
      <c r="AG285" t="str">
        <f t="shared" si="177"/>
        <v/>
      </c>
      <c r="AH285" t="str">
        <f t="shared" si="177"/>
        <v/>
      </c>
      <c r="AI285" t="str">
        <f t="shared" si="177"/>
        <v/>
      </c>
      <c r="AJ285" t="str">
        <f t="shared" si="177"/>
        <v/>
      </c>
      <c r="AK285" t="str">
        <f t="shared" si="177"/>
        <v/>
      </c>
      <c r="AL285" t="str">
        <f t="shared" si="177"/>
        <v/>
      </c>
      <c r="AM285" t="str">
        <f t="shared" si="177"/>
        <v/>
      </c>
      <c r="AN285" t="str">
        <f t="shared" si="177"/>
        <v/>
      </c>
      <c r="AO285" t="str">
        <f t="shared" si="177"/>
        <v/>
      </c>
      <c r="AP285" t="str">
        <f t="shared" si="177"/>
        <v/>
      </c>
      <c r="AQ285" t="str">
        <f t="shared" si="177"/>
        <v/>
      </c>
      <c r="AR285" t="str">
        <f t="shared" si="177"/>
        <v/>
      </c>
      <c r="AS285" t="str">
        <f t="shared" si="177"/>
        <v/>
      </c>
      <c r="AT285" t="str">
        <f t="shared" si="177"/>
        <v/>
      </c>
      <c r="AU285" t="str">
        <f t="shared" si="177"/>
        <v/>
      </c>
      <c r="AY285" s="255" t="str">
        <f t="shared" si="137"/>
        <v/>
      </c>
    </row>
    <row r="286" spans="1:52" hidden="1" outlineLevel="1" x14ac:dyDescent="0.35">
      <c r="A286" s="286"/>
      <c r="B286" t="str">
        <f t="shared" ref="B286:G286" si="178">IF($H181="","",IF(B181="",B$5,B181))</f>
        <v/>
      </c>
      <c r="C286" t="str">
        <f t="shared" si="178"/>
        <v/>
      </c>
      <c r="D286" t="str">
        <f t="shared" si="178"/>
        <v/>
      </c>
      <c r="E286" t="str">
        <f t="shared" si="178"/>
        <v/>
      </c>
      <c r="F286" t="str">
        <f t="shared" si="178"/>
        <v/>
      </c>
      <c r="G286" t="str">
        <f t="shared" si="178"/>
        <v/>
      </c>
      <c r="H286" t="str">
        <f t="shared" si="172"/>
        <v/>
      </c>
      <c r="I286" t="str">
        <f t="shared" ref="I286:J286" si="179">IF(OR(I181="",$H181=""),"",I181)</f>
        <v/>
      </c>
      <c r="J286" t="str">
        <f t="shared" si="179"/>
        <v/>
      </c>
      <c r="K286" t="str">
        <f t="shared" si="135"/>
        <v/>
      </c>
      <c r="L286" t="str">
        <f t="shared" si="173"/>
        <v/>
      </c>
      <c r="M286" t="str">
        <f t="shared" ref="M286:AU286" si="180">IF($H286="","",M181+L286)</f>
        <v/>
      </c>
      <c r="N286" t="str">
        <f t="shared" si="180"/>
        <v/>
      </c>
      <c r="O286" t="str">
        <f t="shared" si="180"/>
        <v/>
      </c>
      <c r="P286" t="str">
        <f t="shared" si="180"/>
        <v/>
      </c>
      <c r="Q286" t="str">
        <f t="shared" si="180"/>
        <v/>
      </c>
      <c r="R286" t="str">
        <f t="shared" si="180"/>
        <v/>
      </c>
      <c r="S286" t="str">
        <f t="shared" si="180"/>
        <v/>
      </c>
      <c r="T286" t="str">
        <f t="shared" si="180"/>
        <v/>
      </c>
      <c r="U286" t="str">
        <f t="shared" si="180"/>
        <v/>
      </c>
      <c r="V286" t="str">
        <f t="shared" si="180"/>
        <v/>
      </c>
      <c r="W286" t="str">
        <f t="shared" si="180"/>
        <v/>
      </c>
      <c r="X286" t="str">
        <f t="shared" si="180"/>
        <v/>
      </c>
      <c r="Y286" t="str">
        <f t="shared" si="180"/>
        <v/>
      </c>
      <c r="Z286" t="str">
        <f t="shared" si="180"/>
        <v/>
      </c>
      <c r="AA286" t="str">
        <f t="shared" si="180"/>
        <v/>
      </c>
      <c r="AB286" t="str">
        <f t="shared" si="180"/>
        <v/>
      </c>
      <c r="AC286" t="str">
        <f t="shared" si="180"/>
        <v/>
      </c>
      <c r="AD286" t="str">
        <f t="shared" si="180"/>
        <v/>
      </c>
      <c r="AE286" t="str">
        <f t="shared" si="180"/>
        <v/>
      </c>
      <c r="AF286" t="str">
        <f t="shared" si="180"/>
        <v/>
      </c>
      <c r="AG286" t="str">
        <f t="shared" si="180"/>
        <v/>
      </c>
      <c r="AH286" t="str">
        <f t="shared" si="180"/>
        <v/>
      </c>
      <c r="AI286" t="str">
        <f t="shared" si="180"/>
        <v/>
      </c>
      <c r="AJ286" t="str">
        <f t="shared" si="180"/>
        <v/>
      </c>
      <c r="AK286" t="str">
        <f t="shared" si="180"/>
        <v/>
      </c>
      <c r="AL286" t="str">
        <f t="shared" si="180"/>
        <v/>
      </c>
      <c r="AM286" t="str">
        <f t="shared" si="180"/>
        <v/>
      </c>
      <c r="AN286" t="str">
        <f t="shared" si="180"/>
        <v/>
      </c>
      <c r="AO286" t="str">
        <f t="shared" si="180"/>
        <v/>
      </c>
      <c r="AP286" t="str">
        <f t="shared" si="180"/>
        <v/>
      </c>
      <c r="AQ286" t="str">
        <f t="shared" si="180"/>
        <v/>
      </c>
      <c r="AR286" t="str">
        <f t="shared" si="180"/>
        <v/>
      </c>
      <c r="AS286" t="str">
        <f t="shared" si="180"/>
        <v/>
      </c>
      <c r="AT286" t="str">
        <f t="shared" si="180"/>
        <v/>
      </c>
      <c r="AU286" t="str">
        <f t="shared" si="180"/>
        <v/>
      </c>
      <c r="AY286" s="255" t="str">
        <f t="shared" si="137"/>
        <v/>
      </c>
    </row>
    <row r="287" spans="1:52" collapsed="1" x14ac:dyDescent="0.35"/>
    <row r="288" spans="1:52" x14ac:dyDescent="0.35">
      <c r="A288" s="285" t="s">
        <v>1157</v>
      </c>
      <c r="B288" s="285" t="s">
        <v>1157</v>
      </c>
      <c r="C288" s="285" t="s">
        <v>1157</v>
      </c>
      <c r="D288" s="285" t="s">
        <v>1157</v>
      </c>
      <c r="E288" s="285" t="s">
        <v>1157</v>
      </c>
      <c r="F288" s="285" t="s">
        <v>1157</v>
      </c>
      <c r="G288" s="285" t="s">
        <v>1157</v>
      </c>
      <c r="H288" s="285" t="s">
        <v>1157</v>
      </c>
      <c r="I288" s="285" t="s">
        <v>1157</v>
      </c>
      <c r="J288" s="285" t="s">
        <v>1157</v>
      </c>
      <c r="K288" s="285" t="s">
        <v>1157</v>
      </c>
      <c r="L288" s="285" t="s">
        <v>1157</v>
      </c>
      <c r="M288" s="285" t="s">
        <v>1157</v>
      </c>
      <c r="N288" s="285" t="s">
        <v>1157</v>
      </c>
      <c r="O288" s="285" t="s">
        <v>1157</v>
      </c>
      <c r="P288" s="285" t="s">
        <v>1157</v>
      </c>
      <c r="Q288" s="285" t="s">
        <v>1157</v>
      </c>
      <c r="R288" s="285" t="s">
        <v>1157</v>
      </c>
      <c r="S288" s="285" t="s">
        <v>1157</v>
      </c>
      <c r="T288" s="285" t="s">
        <v>1157</v>
      </c>
      <c r="U288" s="285" t="s">
        <v>1157</v>
      </c>
      <c r="V288" s="285" t="s">
        <v>1157</v>
      </c>
      <c r="W288" s="285" t="s">
        <v>1157</v>
      </c>
      <c r="X288" s="285" t="s">
        <v>1157</v>
      </c>
      <c r="Y288" s="285" t="s">
        <v>1157</v>
      </c>
      <c r="Z288" s="285" t="s">
        <v>1157</v>
      </c>
      <c r="AA288" s="285" t="s">
        <v>1157</v>
      </c>
      <c r="AB288" s="285" t="s">
        <v>1157</v>
      </c>
      <c r="AC288" s="285" t="s">
        <v>1157</v>
      </c>
      <c r="AD288" s="285" t="s">
        <v>1157</v>
      </c>
      <c r="AE288" s="285" t="s">
        <v>1157</v>
      </c>
      <c r="AF288" s="285" t="s">
        <v>1157</v>
      </c>
      <c r="AG288" s="285" t="s">
        <v>1157</v>
      </c>
      <c r="AH288" s="285" t="s">
        <v>1157</v>
      </c>
      <c r="AI288" s="285" t="s">
        <v>1157</v>
      </c>
      <c r="AJ288" s="285" t="s">
        <v>1157</v>
      </c>
      <c r="AK288" s="285" t="s">
        <v>1157</v>
      </c>
      <c r="AL288" s="285" t="s">
        <v>1157</v>
      </c>
      <c r="AM288" s="285" t="s">
        <v>1157</v>
      </c>
      <c r="AN288" s="285" t="s">
        <v>1157</v>
      </c>
      <c r="AO288" s="285" t="s">
        <v>1157</v>
      </c>
      <c r="AP288" s="285" t="s">
        <v>1157</v>
      </c>
      <c r="AQ288" s="285" t="s">
        <v>1157</v>
      </c>
      <c r="AR288" s="285" t="s">
        <v>1157</v>
      </c>
      <c r="AS288" s="285" t="s">
        <v>1157</v>
      </c>
      <c r="AT288" s="285" t="s">
        <v>1157</v>
      </c>
      <c r="AU288" s="285" t="s">
        <v>1157</v>
      </c>
      <c r="AV288" s="285" t="s">
        <v>1157</v>
      </c>
      <c r="AW288" s="285" t="s">
        <v>1157</v>
      </c>
      <c r="AX288" s="285" t="s">
        <v>1157</v>
      </c>
      <c r="AY288" s="285" t="s">
        <v>1157</v>
      </c>
      <c r="AZ288" s="285" t="s">
        <v>1157</v>
      </c>
    </row>
    <row r="290" spans="1:51" ht="23.5" x14ac:dyDescent="0.55000000000000004">
      <c r="B290" s="252" t="s">
        <v>1214</v>
      </c>
    </row>
    <row r="291" spans="1:51" x14ac:dyDescent="0.35">
      <c r="A291" s="286"/>
      <c r="B291" t="str">
        <f t="shared" ref="B291:J291" si="181">IF(B186="","",B186)</f>
        <v/>
      </c>
      <c r="C291" t="str">
        <f t="shared" si="181"/>
        <v/>
      </c>
      <c r="D291" t="str">
        <f t="shared" si="181"/>
        <v/>
      </c>
      <c r="E291" t="str">
        <f t="shared" si="181"/>
        <v/>
      </c>
      <c r="F291" t="str">
        <f t="shared" si="181"/>
        <v/>
      </c>
      <c r="G291" t="str">
        <f t="shared" si="181"/>
        <v/>
      </c>
      <c r="H291" t="str">
        <f t="shared" si="181"/>
        <v/>
      </c>
      <c r="J291" t="str">
        <f t="shared" si="181"/>
        <v/>
      </c>
      <c r="K291" t="str">
        <f>K186</f>
        <v/>
      </c>
      <c r="L291" s="653"/>
      <c r="M291" s="653"/>
      <c r="N291" s="653"/>
      <c r="O291" s="653"/>
      <c r="P291" s="653"/>
      <c r="Q291" s="653"/>
      <c r="R291" s="653"/>
      <c r="S291" s="653"/>
      <c r="T291" s="653"/>
      <c r="U291" s="653"/>
      <c r="V291" s="653"/>
      <c r="W291" s="653"/>
      <c r="X291" s="653"/>
      <c r="Y291" s="653"/>
      <c r="Z291" s="653"/>
      <c r="AA291" s="653"/>
      <c r="AB291" s="653"/>
      <c r="AC291" s="653"/>
      <c r="AD291" s="653"/>
      <c r="AE291" s="653"/>
      <c r="AF291" s="653"/>
      <c r="AG291" s="653"/>
      <c r="AH291" s="653"/>
      <c r="AI291" s="653"/>
      <c r="AJ291" s="653"/>
      <c r="AK291" s="653"/>
      <c r="AL291" s="653"/>
      <c r="AM291" s="653"/>
      <c r="AN291" s="653"/>
      <c r="AO291" s="653"/>
      <c r="AP291" s="653"/>
      <c r="AQ291" s="653"/>
      <c r="AR291" s="653"/>
      <c r="AS291" s="653"/>
      <c r="AT291" s="653"/>
      <c r="AU291" s="653"/>
      <c r="AW291" t="b">
        <f t="array" ref="AW291">IF(AND(NOT(ISERROR($L291:$AU291))),TRUE,FALSE)</f>
        <v>1</v>
      </c>
      <c r="AX291" t="str">
        <f>IF(AX186="","",AX186)</f>
        <v/>
      </c>
      <c r="AY291" s="255" t="str">
        <f>IF($H291="","",SUBSTITUTE("SELECT 'Cap Rate','Headcount',"&amp;ROW(AY186)&amp;",NULL,NULL,NULL,NULL,NULL,NULL,NULL,NULL,NULL,NULL,NULL,NULL,NULL,NULL,"&amp;IF($L291="",0,$L291)&amp;","&amp;IF($M291="",0,$M291)&amp;","&amp;IF($N291="",0,$N291)&amp;","&amp;IF($O291="",0,$O291)&amp;","&amp;IF($P291="",0,$P291)&amp;","&amp;IF($Q291="",0,$Q291)&amp;","&amp;IF($R291="",0,$R291)&amp;","&amp;IF($S291="",0,$S291)&amp;","&amp;IF($T291="",0,$T291)&amp;","&amp;IF($U291="",0,$U291)&amp;","&amp;IF($V291="",0,$V291)&amp;","&amp;IF($W291="",0,$W291)&amp;","&amp;IF($X291="",0,$X291)&amp;","&amp;IF($Y291="",0,$Y291)&amp;","&amp;IF($Z291="",0,$Z291)&amp;","&amp;IF($AA291="",0,$AA291)&amp;","&amp;IF($AB291="",0,$AB291)&amp;","&amp;IF($AC291="",0,$AC291)&amp;","&amp;IF($AD291="",0,$AD291)&amp;","&amp;IF($AE291="",0,$AE291)&amp;","&amp;IF($AF291="",0,$AF291)&amp;","&amp;IF($AG291="",0,$AG291)&amp;","&amp;IF($AH291="",0,$AH291)&amp;","&amp;IF($AI291="",0,$AI291)&amp;","&amp;IF($AJ291="",0,$AJ291)&amp;","&amp;IF($AK291="",0,$AK291)&amp;","&amp;IF($AL291="",0,$AL291)&amp;","&amp;IF($AM291="",0,$AM291)&amp;","&amp;IF($AN291="",0,$AN291)&amp;","&amp;IF($AO291="",0,$AO291)&amp;","&amp;IF($AP291="",0,$AP291)&amp;","&amp;IF($AQ291="",0,$AQ291)&amp;","&amp;IF($AR291="",0,$AR291)&amp;","&amp;IF($AS291="",0,$AS291)&amp;","&amp;IF($AT291="",0,$AT291)&amp;","&amp;IF($AU291="",0,$AU291),"'","''"))</f>
        <v/>
      </c>
    </row>
    <row r="292" spans="1:51" x14ac:dyDescent="0.35">
      <c r="A292" s="286"/>
      <c r="B292" t="str">
        <f t="shared" ref="B292:J292" si="182">IF(B187="","",B187)</f>
        <v/>
      </c>
      <c r="C292" t="str">
        <f t="shared" si="182"/>
        <v/>
      </c>
      <c r="D292" t="str">
        <f t="shared" si="182"/>
        <v/>
      </c>
      <c r="E292" t="str">
        <f t="shared" si="182"/>
        <v/>
      </c>
      <c r="F292" t="str">
        <f t="shared" si="182"/>
        <v/>
      </c>
      <c r="G292" t="str">
        <f t="shared" si="182"/>
        <v/>
      </c>
      <c r="H292" t="str">
        <f t="shared" si="182"/>
        <v/>
      </c>
      <c r="J292" t="str">
        <f t="shared" si="182"/>
        <v/>
      </c>
      <c r="K292" t="str">
        <f t="shared" ref="K292:K355" si="183">K187</f>
        <v/>
      </c>
      <c r="L292" s="653"/>
      <c r="M292" s="653"/>
      <c r="N292" s="653"/>
      <c r="O292" s="653"/>
      <c r="P292" s="653"/>
      <c r="Q292" s="653"/>
      <c r="R292" s="653"/>
      <c r="S292" s="653"/>
      <c r="T292" s="653"/>
      <c r="U292" s="653"/>
      <c r="V292" s="653"/>
      <c r="W292" s="653"/>
      <c r="X292" s="653"/>
      <c r="Y292" s="653"/>
      <c r="Z292" s="653"/>
      <c r="AA292" s="653"/>
      <c r="AB292" s="653"/>
      <c r="AC292" s="653"/>
      <c r="AD292" s="653"/>
      <c r="AE292" s="653"/>
      <c r="AF292" s="653"/>
      <c r="AG292" s="653"/>
      <c r="AH292" s="653"/>
      <c r="AI292" s="653"/>
      <c r="AJ292" s="653"/>
      <c r="AK292" s="653"/>
      <c r="AL292" s="653"/>
      <c r="AM292" s="653"/>
      <c r="AN292" s="653"/>
      <c r="AO292" s="653"/>
      <c r="AP292" s="653"/>
      <c r="AQ292" s="653"/>
      <c r="AR292" s="653"/>
      <c r="AS292" s="653"/>
      <c r="AT292" s="653"/>
      <c r="AU292" s="653"/>
      <c r="AW292" t="b">
        <f t="array" ref="AW292">IF(AND(NOT(ISERROR($L292:$AU292))),TRUE,FALSE)</f>
        <v>1</v>
      </c>
      <c r="AX292" t="str">
        <f t="shared" ref="AX292:AX355" si="184">IF(AX187="","",AX187)</f>
        <v/>
      </c>
      <c r="AY292" s="255" t="str">
        <f t="shared" ref="AY292:AY355" si="185">IF($H292="","",SUBSTITUTE("SELECT 'Cap Rate','Headcount',"&amp;ROW(AY187)&amp;",NULL,NULL,NULL,NULL,NULL,NULL,NULL,NULL,NULL,NULL,NULL,NULL,NULL,NULL,"&amp;IF($L292="",0,$L292)&amp;","&amp;IF($M292="",0,$M292)&amp;","&amp;IF($N292="",0,$N292)&amp;","&amp;IF($O292="",0,$O292)&amp;","&amp;IF($P292="",0,$P292)&amp;","&amp;IF($Q292="",0,$Q292)&amp;","&amp;IF($R292="",0,$R292)&amp;","&amp;IF($S292="",0,$S292)&amp;","&amp;IF($T292="",0,$T292)&amp;","&amp;IF($U292="",0,$U292)&amp;","&amp;IF($V292="",0,$V292)&amp;","&amp;IF($W292="",0,$W292)&amp;","&amp;IF($X292="",0,$X292)&amp;","&amp;IF($Y292="",0,$Y292)&amp;","&amp;IF($Z292="",0,$Z292)&amp;","&amp;IF($AA292="",0,$AA292)&amp;","&amp;IF($AB292="",0,$AB292)&amp;","&amp;IF($AC292="",0,$AC292)&amp;","&amp;IF($AD292="",0,$AD292)&amp;","&amp;IF($AE292="",0,$AE292)&amp;","&amp;IF($AF292="",0,$AF292)&amp;","&amp;IF($AG292="",0,$AG292)&amp;","&amp;IF($AH292="",0,$AH292)&amp;","&amp;IF($AI292="",0,$AI292)&amp;","&amp;IF($AJ292="",0,$AJ292)&amp;","&amp;IF($AK292="",0,$AK292)&amp;","&amp;IF($AL292="",0,$AL292)&amp;","&amp;IF($AM292="",0,$AM292)&amp;","&amp;IF($AN292="",0,$AN292)&amp;","&amp;IF($AO292="",0,$AO292)&amp;","&amp;IF($AP292="",0,$AP292)&amp;","&amp;IF($AQ292="",0,$AQ292)&amp;","&amp;IF($AR292="",0,$AR292)&amp;","&amp;IF($AS292="",0,$AS292)&amp;","&amp;IF($AT292="",0,$AT292)&amp;","&amp;IF($AU292="",0,$AU292),"'","''"))</f>
        <v/>
      </c>
    </row>
    <row r="293" spans="1:51" x14ac:dyDescent="0.35">
      <c r="A293" s="286"/>
      <c r="B293" t="str">
        <f t="shared" ref="B293:J293" si="186">IF(B188="","",B188)</f>
        <v/>
      </c>
      <c r="C293" t="str">
        <f t="shared" si="186"/>
        <v/>
      </c>
      <c r="D293" t="str">
        <f t="shared" si="186"/>
        <v/>
      </c>
      <c r="E293" t="str">
        <f t="shared" si="186"/>
        <v/>
      </c>
      <c r="F293" t="str">
        <f t="shared" si="186"/>
        <v/>
      </c>
      <c r="G293" t="str">
        <f t="shared" si="186"/>
        <v/>
      </c>
      <c r="H293" t="str">
        <f t="shared" si="186"/>
        <v/>
      </c>
      <c r="J293" t="str">
        <f t="shared" si="186"/>
        <v/>
      </c>
      <c r="K293" t="str">
        <f t="shared" si="183"/>
        <v/>
      </c>
      <c r="L293" s="653"/>
      <c r="M293" s="653"/>
      <c r="N293" s="653"/>
      <c r="O293" s="653"/>
      <c r="P293" s="653"/>
      <c r="Q293" s="653"/>
      <c r="R293" s="653"/>
      <c r="S293" s="653"/>
      <c r="T293" s="653"/>
      <c r="U293" s="653"/>
      <c r="V293" s="653"/>
      <c r="W293" s="653"/>
      <c r="X293" s="653"/>
      <c r="Y293" s="653"/>
      <c r="Z293" s="653"/>
      <c r="AA293" s="653"/>
      <c r="AB293" s="653"/>
      <c r="AC293" s="653"/>
      <c r="AD293" s="653"/>
      <c r="AE293" s="653"/>
      <c r="AF293" s="653"/>
      <c r="AG293" s="653"/>
      <c r="AH293" s="653"/>
      <c r="AI293" s="653"/>
      <c r="AJ293" s="653"/>
      <c r="AK293" s="653"/>
      <c r="AL293" s="653"/>
      <c r="AM293" s="653"/>
      <c r="AN293" s="653"/>
      <c r="AO293" s="653"/>
      <c r="AP293" s="653"/>
      <c r="AQ293" s="653"/>
      <c r="AR293" s="653"/>
      <c r="AS293" s="653"/>
      <c r="AT293" s="653"/>
      <c r="AU293" s="653"/>
      <c r="AW293" t="b">
        <f t="array" ref="AW293">IF(AND(NOT(ISERROR($L293:$AU293))),TRUE,FALSE)</f>
        <v>1</v>
      </c>
      <c r="AX293" t="str">
        <f t="shared" si="184"/>
        <v/>
      </c>
      <c r="AY293" s="255" t="str">
        <f t="shared" si="185"/>
        <v/>
      </c>
    </row>
    <row r="294" spans="1:51" x14ac:dyDescent="0.35">
      <c r="A294" s="286"/>
      <c r="B294" t="str">
        <f t="shared" ref="B294:J294" si="187">IF(B189="","",B189)</f>
        <v/>
      </c>
      <c r="C294" t="str">
        <f t="shared" si="187"/>
        <v/>
      </c>
      <c r="D294" t="str">
        <f t="shared" si="187"/>
        <v/>
      </c>
      <c r="E294" t="str">
        <f t="shared" si="187"/>
        <v/>
      </c>
      <c r="F294" t="str">
        <f t="shared" si="187"/>
        <v/>
      </c>
      <c r="G294" t="str">
        <f t="shared" si="187"/>
        <v/>
      </c>
      <c r="H294" t="str">
        <f t="shared" si="187"/>
        <v/>
      </c>
      <c r="J294" t="str">
        <f t="shared" si="187"/>
        <v/>
      </c>
      <c r="K294" t="str">
        <f t="shared" si="183"/>
        <v/>
      </c>
      <c r="L294" s="653"/>
      <c r="M294" s="653"/>
      <c r="N294" s="653"/>
      <c r="O294" s="653"/>
      <c r="P294" s="653"/>
      <c r="Q294" s="653"/>
      <c r="R294" s="653"/>
      <c r="S294" s="653"/>
      <c r="T294" s="653"/>
      <c r="U294" s="653"/>
      <c r="V294" s="653"/>
      <c r="W294" s="653"/>
      <c r="X294" s="653"/>
      <c r="Y294" s="653"/>
      <c r="Z294" s="653"/>
      <c r="AA294" s="653"/>
      <c r="AB294" s="653"/>
      <c r="AC294" s="653"/>
      <c r="AD294" s="653"/>
      <c r="AE294" s="653"/>
      <c r="AF294" s="653"/>
      <c r="AG294" s="653"/>
      <c r="AH294" s="653"/>
      <c r="AI294" s="653"/>
      <c r="AJ294" s="653"/>
      <c r="AK294" s="653"/>
      <c r="AL294" s="653"/>
      <c r="AM294" s="653"/>
      <c r="AN294" s="653"/>
      <c r="AO294" s="653"/>
      <c r="AP294" s="653"/>
      <c r="AQ294" s="653"/>
      <c r="AR294" s="653"/>
      <c r="AS294" s="653"/>
      <c r="AT294" s="653"/>
      <c r="AU294" s="653"/>
      <c r="AW294" t="b">
        <f t="array" ref="AW294">IF(AND(NOT(ISERROR($L294:$AU294))),TRUE,FALSE)</f>
        <v>1</v>
      </c>
      <c r="AX294" t="str">
        <f t="shared" si="184"/>
        <v/>
      </c>
      <c r="AY294" s="255" t="str">
        <f t="shared" si="185"/>
        <v/>
      </c>
    </row>
    <row r="295" spans="1:51" x14ac:dyDescent="0.35">
      <c r="A295" s="286"/>
      <c r="B295" t="str">
        <f t="shared" ref="B295:J295" si="188">IF(B190="","",B190)</f>
        <v/>
      </c>
      <c r="C295" t="str">
        <f t="shared" si="188"/>
        <v/>
      </c>
      <c r="D295" t="str">
        <f t="shared" si="188"/>
        <v/>
      </c>
      <c r="E295" t="str">
        <f t="shared" si="188"/>
        <v/>
      </c>
      <c r="F295" t="str">
        <f t="shared" si="188"/>
        <v/>
      </c>
      <c r="G295" t="str">
        <f t="shared" si="188"/>
        <v/>
      </c>
      <c r="H295" t="str">
        <f t="shared" si="188"/>
        <v/>
      </c>
      <c r="J295" t="str">
        <f t="shared" si="188"/>
        <v/>
      </c>
      <c r="K295" t="str">
        <f t="shared" si="183"/>
        <v/>
      </c>
      <c r="L295" s="653"/>
      <c r="M295" s="653"/>
      <c r="N295" s="653"/>
      <c r="O295" s="653"/>
      <c r="P295" s="653"/>
      <c r="Q295" s="653"/>
      <c r="R295" s="653"/>
      <c r="S295" s="653"/>
      <c r="T295" s="653"/>
      <c r="U295" s="653"/>
      <c r="V295" s="653"/>
      <c r="W295" s="653"/>
      <c r="X295" s="653"/>
      <c r="Y295" s="653"/>
      <c r="Z295" s="653"/>
      <c r="AA295" s="653"/>
      <c r="AB295" s="653"/>
      <c r="AC295" s="653"/>
      <c r="AD295" s="653"/>
      <c r="AE295" s="653"/>
      <c r="AF295" s="653"/>
      <c r="AG295" s="653"/>
      <c r="AH295" s="653"/>
      <c r="AI295" s="653"/>
      <c r="AJ295" s="653"/>
      <c r="AK295" s="653"/>
      <c r="AL295" s="653"/>
      <c r="AM295" s="653"/>
      <c r="AN295" s="653"/>
      <c r="AO295" s="653"/>
      <c r="AP295" s="653"/>
      <c r="AQ295" s="653"/>
      <c r="AR295" s="653"/>
      <c r="AS295" s="653"/>
      <c r="AT295" s="653"/>
      <c r="AU295" s="653"/>
      <c r="AW295" t="b">
        <f t="array" ref="AW295">IF(AND(NOT(ISERROR($L295:$AU295))),TRUE,FALSE)</f>
        <v>1</v>
      </c>
      <c r="AX295" t="str">
        <f t="shared" si="184"/>
        <v/>
      </c>
      <c r="AY295" s="255" t="str">
        <f t="shared" si="185"/>
        <v/>
      </c>
    </row>
    <row r="296" spans="1:51" x14ac:dyDescent="0.35">
      <c r="A296" s="286"/>
      <c r="B296" t="str">
        <f t="shared" ref="B296:J296" si="189">IF(B191="","",B191)</f>
        <v/>
      </c>
      <c r="C296" t="str">
        <f t="shared" si="189"/>
        <v/>
      </c>
      <c r="D296" t="str">
        <f t="shared" si="189"/>
        <v/>
      </c>
      <c r="E296" t="str">
        <f t="shared" si="189"/>
        <v/>
      </c>
      <c r="F296" t="str">
        <f t="shared" si="189"/>
        <v/>
      </c>
      <c r="G296" t="str">
        <f t="shared" si="189"/>
        <v/>
      </c>
      <c r="H296" t="str">
        <f t="shared" si="189"/>
        <v/>
      </c>
      <c r="J296" t="str">
        <f t="shared" si="189"/>
        <v/>
      </c>
      <c r="K296" t="str">
        <f t="shared" si="183"/>
        <v/>
      </c>
      <c r="L296" s="653"/>
      <c r="M296" s="653"/>
      <c r="N296" s="653"/>
      <c r="O296" s="653"/>
      <c r="P296" s="653"/>
      <c r="Q296" s="653"/>
      <c r="R296" s="653"/>
      <c r="S296" s="653"/>
      <c r="T296" s="653"/>
      <c r="U296" s="653"/>
      <c r="V296" s="653"/>
      <c r="W296" s="653"/>
      <c r="X296" s="653"/>
      <c r="Y296" s="653"/>
      <c r="Z296" s="653"/>
      <c r="AA296" s="653"/>
      <c r="AB296" s="653"/>
      <c r="AC296" s="653"/>
      <c r="AD296" s="653"/>
      <c r="AE296" s="653"/>
      <c r="AF296" s="653"/>
      <c r="AG296" s="653"/>
      <c r="AH296" s="653"/>
      <c r="AI296" s="653"/>
      <c r="AJ296" s="653"/>
      <c r="AK296" s="653"/>
      <c r="AL296" s="653"/>
      <c r="AM296" s="653"/>
      <c r="AN296" s="653"/>
      <c r="AO296" s="653"/>
      <c r="AP296" s="653"/>
      <c r="AQ296" s="653"/>
      <c r="AR296" s="653"/>
      <c r="AS296" s="653"/>
      <c r="AT296" s="653"/>
      <c r="AU296" s="653"/>
      <c r="AW296" t="b">
        <f t="array" ref="AW296">IF(AND(NOT(ISERROR($L296:$AU296))),TRUE,FALSE)</f>
        <v>1</v>
      </c>
      <c r="AX296" t="str">
        <f t="shared" si="184"/>
        <v/>
      </c>
      <c r="AY296" s="255" t="str">
        <f t="shared" si="185"/>
        <v/>
      </c>
    </row>
    <row r="297" spans="1:51" x14ac:dyDescent="0.35">
      <c r="A297" s="286"/>
      <c r="B297" t="str">
        <f t="shared" ref="B297:J297" si="190">IF(B192="","",B192)</f>
        <v/>
      </c>
      <c r="C297" t="str">
        <f t="shared" si="190"/>
        <v/>
      </c>
      <c r="D297" t="str">
        <f t="shared" si="190"/>
        <v/>
      </c>
      <c r="E297" t="str">
        <f t="shared" si="190"/>
        <v/>
      </c>
      <c r="F297" t="str">
        <f t="shared" si="190"/>
        <v/>
      </c>
      <c r="G297" t="str">
        <f t="shared" si="190"/>
        <v/>
      </c>
      <c r="H297" t="str">
        <f t="shared" si="190"/>
        <v/>
      </c>
      <c r="J297" t="str">
        <f t="shared" si="190"/>
        <v/>
      </c>
      <c r="K297" t="str">
        <f t="shared" si="183"/>
        <v/>
      </c>
      <c r="L297" s="653"/>
      <c r="M297" s="653"/>
      <c r="N297" s="653"/>
      <c r="O297" s="653"/>
      <c r="P297" s="653"/>
      <c r="Q297" s="653"/>
      <c r="R297" s="653"/>
      <c r="S297" s="653"/>
      <c r="T297" s="653"/>
      <c r="U297" s="653"/>
      <c r="V297" s="653"/>
      <c r="W297" s="653"/>
      <c r="X297" s="653"/>
      <c r="Y297" s="653"/>
      <c r="Z297" s="653"/>
      <c r="AA297" s="653"/>
      <c r="AB297" s="653"/>
      <c r="AC297" s="653"/>
      <c r="AD297" s="653"/>
      <c r="AE297" s="653"/>
      <c r="AF297" s="653"/>
      <c r="AG297" s="653"/>
      <c r="AH297" s="653"/>
      <c r="AI297" s="653"/>
      <c r="AJ297" s="653"/>
      <c r="AK297" s="653"/>
      <c r="AL297" s="653"/>
      <c r="AM297" s="653"/>
      <c r="AN297" s="653"/>
      <c r="AO297" s="653"/>
      <c r="AP297" s="653"/>
      <c r="AQ297" s="653"/>
      <c r="AR297" s="653"/>
      <c r="AS297" s="653"/>
      <c r="AT297" s="653"/>
      <c r="AU297" s="653"/>
      <c r="AW297" t="b">
        <f t="array" ref="AW297">IF(AND(NOT(ISERROR($L297:$AU297))),TRUE,FALSE)</f>
        <v>1</v>
      </c>
      <c r="AX297" t="str">
        <f t="shared" si="184"/>
        <v/>
      </c>
      <c r="AY297" s="255" t="str">
        <f t="shared" si="185"/>
        <v/>
      </c>
    </row>
    <row r="298" spans="1:51" x14ac:dyDescent="0.35">
      <c r="A298" s="286"/>
      <c r="B298" t="str">
        <f t="shared" ref="B298:J298" si="191">IF(B193="","",B193)</f>
        <v/>
      </c>
      <c r="C298" t="str">
        <f t="shared" si="191"/>
        <v/>
      </c>
      <c r="D298" t="str">
        <f t="shared" si="191"/>
        <v/>
      </c>
      <c r="E298" t="str">
        <f t="shared" si="191"/>
        <v/>
      </c>
      <c r="F298" t="str">
        <f t="shared" si="191"/>
        <v/>
      </c>
      <c r="G298" t="str">
        <f t="shared" si="191"/>
        <v/>
      </c>
      <c r="H298" t="str">
        <f t="shared" si="191"/>
        <v/>
      </c>
      <c r="J298" t="str">
        <f t="shared" si="191"/>
        <v/>
      </c>
      <c r="K298" t="str">
        <f t="shared" si="183"/>
        <v/>
      </c>
      <c r="L298" s="653"/>
      <c r="M298" s="653"/>
      <c r="N298" s="653"/>
      <c r="O298" s="653"/>
      <c r="P298" s="653"/>
      <c r="Q298" s="653"/>
      <c r="R298" s="653"/>
      <c r="S298" s="653"/>
      <c r="T298" s="653"/>
      <c r="U298" s="653"/>
      <c r="V298" s="653"/>
      <c r="W298" s="653"/>
      <c r="X298" s="653"/>
      <c r="Y298" s="653"/>
      <c r="Z298" s="653"/>
      <c r="AA298" s="653"/>
      <c r="AB298" s="653"/>
      <c r="AC298" s="653"/>
      <c r="AD298" s="653"/>
      <c r="AE298" s="653"/>
      <c r="AF298" s="653"/>
      <c r="AG298" s="653"/>
      <c r="AH298" s="653"/>
      <c r="AI298" s="653"/>
      <c r="AJ298" s="653"/>
      <c r="AK298" s="653"/>
      <c r="AL298" s="653"/>
      <c r="AM298" s="653"/>
      <c r="AN298" s="653"/>
      <c r="AO298" s="653"/>
      <c r="AP298" s="653"/>
      <c r="AQ298" s="653"/>
      <c r="AR298" s="653"/>
      <c r="AS298" s="653"/>
      <c r="AT298" s="653"/>
      <c r="AU298" s="653"/>
      <c r="AW298" t="b">
        <f t="array" ref="AW298">IF(AND(NOT(ISERROR($L298:$AU298))),TRUE,FALSE)</f>
        <v>1</v>
      </c>
      <c r="AX298" t="str">
        <f t="shared" si="184"/>
        <v/>
      </c>
      <c r="AY298" s="255" t="str">
        <f t="shared" si="185"/>
        <v/>
      </c>
    </row>
    <row r="299" spans="1:51" x14ac:dyDescent="0.35">
      <c r="A299" s="286"/>
      <c r="B299" t="str">
        <f t="shared" ref="B299:J299" si="192">IF(B194="","",B194)</f>
        <v/>
      </c>
      <c r="C299" t="str">
        <f t="shared" si="192"/>
        <v/>
      </c>
      <c r="D299" t="str">
        <f t="shared" si="192"/>
        <v/>
      </c>
      <c r="E299" t="str">
        <f t="shared" si="192"/>
        <v/>
      </c>
      <c r="F299" t="str">
        <f t="shared" si="192"/>
        <v/>
      </c>
      <c r="G299" t="str">
        <f t="shared" si="192"/>
        <v/>
      </c>
      <c r="H299" t="str">
        <f t="shared" si="192"/>
        <v/>
      </c>
      <c r="J299" t="str">
        <f t="shared" si="192"/>
        <v/>
      </c>
      <c r="K299" t="str">
        <f t="shared" si="183"/>
        <v/>
      </c>
      <c r="L299" s="653"/>
      <c r="M299" s="653"/>
      <c r="N299" s="653"/>
      <c r="O299" s="653"/>
      <c r="P299" s="653"/>
      <c r="Q299" s="653"/>
      <c r="R299" s="653"/>
      <c r="S299" s="653"/>
      <c r="T299" s="653"/>
      <c r="U299" s="653"/>
      <c r="V299" s="653"/>
      <c r="W299" s="653"/>
      <c r="X299" s="653"/>
      <c r="Y299" s="653"/>
      <c r="Z299" s="653"/>
      <c r="AA299" s="653"/>
      <c r="AB299" s="653"/>
      <c r="AC299" s="653"/>
      <c r="AD299" s="653"/>
      <c r="AE299" s="653"/>
      <c r="AF299" s="653"/>
      <c r="AG299" s="653"/>
      <c r="AH299" s="653"/>
      <c r="AI299" s="653"/>
      <c r="AJ299" s="653"/>
      <c r="AK299" s="653"/>
      <c r="AL299" s="653"/>
      <c r="AM299" s="653"/>
      <c r="AN299" s="653"/>
      <c r="AO299" s="653"/>
      <c r="AP299" s="653"/>
      <c r="AQ299" s="653"/>
      <c r="AR299" s="653"/>
      <c r="AS299" s="653"/>
      <c r="AT299" s="653"/>
      <c r="AU299" s="653"/>
      <c r="AW299" t="b">
        <f t="array" ref="AW299">IF(AND(NOT(ISERROR($L299:$AU299))),TRUE,FALSE)</f>
        <v>1</v>
      </c>
      <c r="AX299" t="str">
        <f t="shared" si="184"/>
        <v/>
      </c>
      <c r="AY299" s="255" t="str">
        <f t="shared" si="185"/>
        <v/>
      </c>
    </row>
    <row r="300" spans="1:51" x14ac:dyDescent="0.35">
      <c r="A300" s="286"/>
      <c r="B300" t="str">
        <f t="shared" ref="B300:J300" si="193">IF(B195="","",B195)</f>
        <v/>
      </c>
      <c r="C300" t="str">
        <f t="shared" si="193"/>
        <v/>
      </c>
      <c r="D300" t="str">
        <f t="shared" si="193"/>
        <v/>
      </c>
      <c r="E300" t="str">
        <f t="shared" si="193"/>
        <v/>
      </c>
      <c r="F300" t="str">
        <f t="shared" si="193"/>
        <v/>
      </c>
      <c r="G300" t="str">
        <f t="shared" si="193"/>
        <v/>
      </c>
      <c r="H300" t="str">
        <f t="shared" si="193"/>
        <v/>
      </c>
      <c r="J300" t="str">
        <f t="shared" si="193"/>
        <v/>
      </c>
      <c r="K300" t="str">
        <f t="shared" si="183"/>
        <v/>
      </c>
      <c r="L300" s="653"/>
      <c r="M300" s="653"/>
      <c r="N300" s="653"/>
      <c r="O300" s="653"/>
      <c r="P300" s="653"/>
      <c r="Q300" s="653"/>
      <c r="R300" s="653"/>
      <c r="S300" s="653"/>
      <c r="T300" s="653"/>
      <c r="U300" s="653"/>
      <c r="V300" s="653"/>
      <c r="W300" s="653"/>
      <c r="X300" s="653"/>
      <c r="Y300" s="653"/>
      <c r="Z300" s="653"/>
      <c r="AA300" s="653"/>
      <c r="AB300" s="653"/>
      <c r="AC300" s="653"/>
      <c r="AD300" s="653"/>
      <c r="AE300" s="653"/>
      <c r="AF300" s="653"/>
      <c r="AG300" s="653"/>
      <c r="AH300" s="653"/>
      <c r="AI300" s="653"/>
      <c r="AJ300" s="653"/>
      <c r="AK300" s="653"/>
      <c r="AL300" s="653"/>
      <c r="AM300" s="653"/>
      <c r="AN300" s="653"/>
      <c r="AO300" s="653"/>
      <c r="AP300" s="653"/>
      <c r="AQ300" s="653"/>
      <c r="AR300" s="653"/>
      <c r="AS300" s="653"/>
      <c r="AT300" s="653"/>
      <c r="AU300" s="653"/>
      <c r="AW300" t="b">
        <f t="array" ref="AW300">IF(AND(NOT(ISERROR($L300:$AU300))),TRUE,FALSE)</f>
        <v>1</v>
      </c>
      <c r="AX300" t="str">
        <f t="shared" si="184"/>
        <v/>
      </c>
      <c r="AY300" s="255" t="str">
        <f t="shared" si="185"/>
        <v/>
      </c>
    </row>
    <row r="301" spans="1:51" x14ac:dyDescent="0.35">
      <c r="A301" s="286"/>
      <c r="B301" t="str">
        <f t="shared" ref="B301:J301" si="194">IF(B196="","",B196)</f>
        <v/>
      </c>
      <c r="C301" t="str">
        <f t="shared" si="194"/>
        <v/>
      </c>
      <c r="D301" t="str">
        <f t="shared" si="194"/>
        <v/>
      </c>
      <c r="E301" t="str">
        <f t="shared" si="194"/>
        <v/>
      </c>
      <c r="F301" t="str">
        <f t="shared" si="194"/>
        <v/>
      </c>
      <c r="G301" t="str">
        <f t="shared" si="194"/>
        <v/>
      </c>
      <c r="H301" t="str">
        <f t="shared" si="194"/>
        <v/>
      </c>
      <c r="J301" t="str">
        <f t="shared" si="194"/>
        <v/>
      </c>
      <c r="K301" t="str">
        <f t="shared" si="183"/>
        <v/>
      </c>
      <c r="L301" s="653"/>
      <c r="M301" s="653"/>
      <c r="N301" s="653"/>
      <c r="O301" s="653"/>
      <c r="P301" s="653"/>
      <c r="Q301" s="653"/>
      <c r="R301" s="653"/>
      <c r="S301" s="653"/>
      <c r="T301" s="653"/>
      <c r="U301" s="653"/>
      <c r="V301" s="653"/>
      <c r="W301" s="653"/>
      <c r="X301" s="653"/>
      <c r="Y301" s="653"/>
      <c r="Z301" s="653"/>
      <c r="AA301" s="653"/>
      <c r="AB301" s="653"/>
      <c r="AC301" s="653"/>
      <c r="AD301" s="653"/>
      <c r="AE301" s="653"/>
      <c r="AF301" s="653"/>
      <c r="AG301" s="653"/>
      <c r="AH301" s="653"/>
      <c r="AI301" s="653"/>
      <c r="AJ301" s="653"/>
      <c r="AK301" s="653"/>
      <c r="AL301" s="653"/>
      <c r="AM301" s="653"/>
      <c r="AN301" s="653"/>
      <c r="AO301" s="653"/>
      <c r="AP301" s="653"/>
      <c r="AQ301" s="653"/>
      <c r="AR301" s="653"/>
      <c r="AS301" s="653"/>
      <c r="AT301" s="653"/>
      <c r="AU301" s="653"/>
      <c r="AW301" t="b">
        <f t="array" ref="AW301">IF(AND(NOT(ISERROR($L301:$AU301))),TRUE,FALSE)</f>
        <v>1</v>
      </c>
      <c r="AX301" t="str">
        <f t="shared" si="184"/>
        <v/>
      </c>
      <c r="AY301" s="255" t="str">
        <f t="shared" si="185"/>
        <v/>
      </c>
    </row>
    <row r="302" spans="1:51" x14ac:dyDescent="0.35">
      <c r="A302" s="286"/>
      <c r="B302" t="str">
        <f t="shared" ref="B302:J302" si="195">IF(B197="","",B197)</f>
        <v/>
      </c>
      <c r="C302" t="str">
        <f t="shared" si="195"/>
        <v/>
      </c>
      <c r="D302" t="str">
        <f t="shared" si="195"/>
        <v/>
      </c>
      <c r="E302" t="str">
        <f t="shared" si="195"/>
        <v/>
      </c>
      <c r="F302" t="str">
        <f t="shared" si="195"/>
        <v/>
      </c>
      <c r="G302" t="str">
        <f t="shared" si="195"/>
        <v/>
      </c>
      <c r="H302" t="str">
        <f t="shared" si="195"/>
        <v/>
      </c>
      <c r="J302" t="str">
        <f t="shared" si="195"/>
        <v/>
      </c>
      <c r="K302" t="str">
        <f t="shared" si="183"/>
        <v/>
      </c>
      <c r="L302" s="653"/>
      <c r="M302" s="653"/>
      <c r="N302" s="653"/>
      <c r="O302" s="653"/>
      <c r="P302" s="653"/>
      <c r="Q302" s="653"/>
      <c r="R302" s="653"/>
      <c r="S302" s="653"/>
      <c r="T302" s="653"/>
      <c r="U302" s="653"/>
      <c r="V302" s="653"/>
      <c r="W302" s="653"/>
      <c r="X302" s="653"/>
      <c r="Y302" s="653"/>
      <c r="Z302" s="653"/>
      <c r="AA302" s="653"/>
      <c r="AB302" s="653"/>
      <c r="AC302" s="653"/>
      <c r="AD302" s="653"/>
      <c r="AE302" s="653"/>
      <c r="AF302" s="653"/>
      <c r="AG302" s="653"/>
      <c r="AH302" s="653"/>
      <c r="AI302" s="653"/>
      <c r="AJ302" s="653"/>
      <c r="AK302" s="653"/>
      <c r="AL302" s="653"/>
      <c r="AM302" s="653"/>
      <c r="AN302" s="653"/>
      <c r="AO302" s="653"/>
      <c r="AP302" s="653"/>
      <c r="AQ302" s="653"/>
      <c r="AR302" s="653"/>
      <c r="AS302" s="653"/>
      <c r="AT302" s="653"/>
      <c r="AU302" s="653"/>
      <c r="AW302" t="b">
        <f t="array" ref="AW302">IF(AND(NOT(ISERROR($L302:$AU302))),TRUE,FALSE)</f>
        <v>1</v>
      </c>
      <c r="AX302" t="str">
        <f t="shared" si="184"/>
        <v/>
      </c>
      <c r="AY302" s="255" t="str">
        <f t="shared" si="185"/>
        <v/>
      </c>
    </row>
    <row r="303" spans="1:51" x14ac:dyDescent="0.35">
      <c r="A303" s="286"/>
      <c r="B303" t="str">
        <f t="shared" ref="B303:J303" si="196">IF(B198="","",B198)</f>
        <v/>
      </c>
      <c r="C303" t="str">
        <f t="shared" si="196"/>
        <v/>
      </c>
      <c r="D303" t="str">
        <f t="shared" si="196"/>
        <v/>
      </c>
      <c r="E303" t="str">
        <f t="shared" si="196"/>
        <v/>
      </c>
      <c r="F303" t="str">
        <f t="shared" si="196"/>
        <v/>
      </c>
      <c r="G303" t="str">
        <f t="shared" si="196"/>
        <v/>
      </c>
      <c r="H303" t="str">
        <f t="shared" si="196"/>
        <v/>
      </c>
      <c r="J303" t="str">
        <f t="shared" si="196"/>
        <v/>
      </c>
      <c r="K303" t="str">
        <f t="shared" si="183"/>
        <v/>
      </c>
      <c r="L303" s="653"/>
      <c r="M303" s="653"/>
      <c r="N303" s="653"/>
      <c r="O303" s="653"/>
      <c r="P303" s="653"/>
      <c r="Q303" s="653"/>
      <c r="R303" s="653"/>
      <c r="S303" s="653"/>
      <c r="T303" s="653"/>
      <c r="U303" s="653"/>
      <c r="V303" s="653"/>
      <c r="W303" s="653"/>
      <c r="X303" s="653"/>
      <c r="Y303" s="653"/>
      <c r="Z303" s="653"/>
      <c r="AA303" s="653"/>
      <c r="AB303" s="653"/>
      <c r="AC303" s="653"/>
      <c r="AD303" s="653"/>
      <c r="AE303" s="653"/>
      <c r="AF303" s="653"/>
      <c r="AG303" s="653"/>
      <c r="AH303" s="653"/>
      <c r="AI303" s="653"/>
      <c r="AJ303" s="653"/>
      <c r="AK303" s="653"/>
      <c r="AL303" s="653"/>
      <c r="AM303" s="653"/>
      <c r="AN303" s="653"/>
      <c r="AO303" s="653"/>
      <c r="AP303" s="653"/>
      <c r="AQ303" s="653"/>
      <c r="AR303" s="653"/>
      <c r="AS303" s="653"/>
      <c r="AT303" s="653"/>
      <c r="AU303" s="653"/>
      <c r="AW303" t="b">
        <f t="array" ref="AW303">IF(AND(NOT(ISERROR($L303:$AU303))),TRUE,FALSE)</f>
        <v>1</v>
      </c>
      <c r="AX303" t="str">
        <f t="shared" si="184"/>
        <v/>
      </c>
      <c r="AY303" s="255" t="str">
        <f t="shared" si="185"/>
        <v/>
      </c>
    </row>
    <row r="304" spans="1:51" x14ac:dyDescent="0.35">
      <c r="A304" s="286"/>
      <c r="B304" t="str">
        <f t="shared" ref="B304:J304" si="197">IF(B199="","",B199)</f>
        <v/>
      </c>
      <c r="C304" t="str">
        <f t="shared" si="197"/>
        <v/>
      </c>
      <c r="D304" t="str">
        <f t="shared" si="197"/>
        <v/>
      </c>
      <c r="E304" t="str">
        <f t="shared" si="197"/>
        <v/>
      </c>
      <c r="F304" t="str">
        <f t="shared" si="197"/>
        <v/>
      </c>
      <c r="G304" t="str">
        <f t="shared" si="197"/>
        <v/>
      </c>
      <c r="H304" t="str">
        <f t="shared" si="197"/>
        <v/>
      </c>
      <c r="J304" t="str">
        <f t="shared" si="197"/>
        <v/>
      </c>
      <c r="K304" t="str">
        <f t="shared" si="183"/>
        <v/>
      </c>
      <c r="L304" s="653"/>
      <c r="M304" s="653"/>
      <c r="N304" s="653"/>
      <c r="O304" s="653"/>
      <c r="P304" s="653"/>
      <c r="Q304" s="653"/>
      <c r="R304" s="653"/>
      <c r="S304" s="653"/>
      <c r="T304" s="653"/>
      <c r="U304" s="653"/>
      <c r="V304" s="653"/>
      <c r="W304" s="653"/>
      <c r="X304" s="653"/>
      <c r="Y304" s="653"/>
      <c r="Z304" s="653"/>
      <c r="AA304" s="653"/>
      <c r="AB304" s="653"/>
      <c r="AC304" s="653"/>
      <c r="AD304" s="653"/>
      <c r="AE304" s="653"/>
      <c r="AF304" s="653"/>
      <c r="AG304" s="653"/>
      <c r="AH304" s="653"/>
      <c r="AI304" s="653"/>
      <c r="AJ304" s="653"/>
      <c r="AK304" s="653"/>
      <c r="AL304" s="653"/>
      <c r="AM304" s="653"/>
      <c r="AN304" s="653"/>
      <c r="AO304" s="653"/>
      <c r="AP304" s="653"/>
      <c r="AQ304" s="653"/>
      <c r="AR304" s="653"/>
      <c r="AS304" s="653"/>
      <c r="AT304" s="653"/>
      <c r="AU304" s="653"/>
      <c r="AW304" t="b">
        <f t="array" ref="AW304">IF(AND(NOT(ISERROR($L304:$AU304))),TRUE,FALSE)</f>
        <v>1</v>
      </c>
      <c r="AX304" t="str">
        <f t="shared" si="184"/>
        <v/>
      </c>
      <c r="AY304" s="255" t="str">
        <f t="shared" si="185"/>
        <v/>
      </c>
    </row>
    <row r="305" spans="1:51" x14ac:dyDescent="0.35">
      <c r="A305" s="286"/>
      <c r="B305" t="str">
        <f t="shared" ref="B305:J305" si="198">IF(B200="","",B200)</f>
        <v/>
      </c>
      <c r="C305" t="str">
        <f t="shared" si="198"/>
        <v/>
      </c>
      <c r="D305" t="str">
        <f t="shared" si="198"/>
        <v/>
      </c>
      <c r="E305" t="str">
        <f t="shared" si="198"/>
        <v/>
      </c>
      <c r="F305" t="str">
        <f t="shared" si="198"/>
        <v/>
      </c>
      <c r="G305" t="str">
        <f t="shared" si="198"/>
        <v/>
      </c>
      <c r="H305" t="str">
        <f t="shared" si="198"/>
        <v/>
      </c>
      <c r="J305" t="str">
        <f t="shared" si="198"/>
        <v/>
      </c>
      <c r="K305" t="str">
        <f t="shared" si="183"/>
        <v/>
      </c>
      <c r="L305" s="653"/>
      <c r="M305" s="653"/>
      <c r="N305" s="653"/>
      <c r="O305" s="653"/>
      <c r="P305" s="653"/>
      <c r="Q305" s="653"/>
      <c r="R305" s="653"/>
      <c r="S305" s="653"/>
      <c r="T305" s="653"/>
      <c r="U305" s="653"/>
      <c r="V305" s="653"/>
      <c r="W305" s="653"/>
      <c r="X305" s="653"/>
      <c r="Y305" s="653"/>
      <c r="Z305" s="653"/>
      <c r="AA305" s="653"/>
      <c r="AB305" s="653"/>
      <c r="AC305" s="653"/>
      <c r="AD305" s="653"/>
      <c r="AE305" s="653"/>
      <c r="AF305" s="653"/>
      <c r="AG305" s="653"/>
      <c r="AH305" s="653"/>
      <c r="AI305" s="653"/>
      <c r="AJ305" s="653"/>
      <c r="AK305" s="653"/>
      <c r="AL305" s="653"/>
      <c r="AM305" s="653"/>
      <c r="AN305" s="653"/>
      <c r="AO305" s="653"/>
      <c r="AP305" s="653"/>
      <c r="AQ305" s="653"/>
      <c r="AR305" s="653"/>
      <c r="AS305" s="653"/>
      <c r="AT305" s="653"/>
      <c r="AU305" s="653"/>
      <c r="AW305" t="b">
        <f t="array" ref="AW305">IF(AND(NOT(ISERROR($L305:$AU305))),TRUE,FALSE)</f>
        <v>1</v>
      </c>
      <c r="AX305" t="str">
        <f t="shared" si="184"/>
        <v/>
      </c>
      <c r="AY305" s="255" t="str">
        <f t="shared" si="185"/>
        <v/>
      </c>
    </row>
    <row r="306" spans="1:51" x14ac:dyDescent="0.35">
      <c r="A306" s="286"/>
      <c r="B306" t="str">
        <f t="shared" ref="B306:J306" si="199">IF(B201="","",B201)</f>
        <v/>
      </c>
      <c r="C306" t="str">
        <f t="shared" si="199"/>
        <v/>
      </c>
      <c r="D306" t="str">
        <f t="shared" si="199"/>
        <v/>
      </c>
      <c r="E306" t="str">
        <f t="shared" si="199"/>
        <v/>
      </c>
      <c r="F306" t="str">
        <f t="shared" si="199"/>
        <v/>
      </c>
      <c r="G306" t="str">
        <f t="shared" si="199"/>
        <v/>
      </c>
      <c r="H306" t="str">
        <f t="shared" si="199"/>
        <v/>
      </c>
      <c r="J306" t="str">
        <f t="shared" si="199"/>
        <v/>
      </c>
      <c r="K306" t="str">
        <f t="shared" si="183"/>
        <v/>
      </c>
      <c r="L306" s="653"/>
      <c r="M306" s="653"/>
      <c r="N306" s="653"/>
      <c r="O306" s="653"/>
      <c r="P306" s="653"/>
      <c r="Q306" s="653"/>
      <c r="R306" s="653"/>
      <c r="S306" s="653"/>
      <c r="T306" s="653"/>
      <c r="U306" s="653"/>
      <c r="V306" s="653"/>
      <c r="W306" s="653"/>
      <c r="X306" s="653"/>
      <c r="Y306" s="653"/>
      <c r="Z306" s="653"/>
      <c r="AA306" s="653"/>
      <c r="AB306" s="653"/>
      <c r="AC306" s="653"/>
      <c r="AD306" s="653"/>
      <c r="AE306" s="653"/>
      <c r="AF306" s="653"/>
      <c r="AG306" s="653"/>
      <c r="AH306" s="653"/>
      <c r="AI306" s="653"/>
      <c r="AJ306" s="653"/>
      <c r="AK306" s="653"/>
      <c r="AL306" s="653"/>
      <c r="AM306" s="653"/>
      <c r="AN306" s="653"/>
      <c r="AO306" s="653"/>
      <c r="AP306" s="653"/>
      <c r="AQ306" s="653"/>
      <c r="AR306" s="653"/>
      <c r="AS306" s="653"/>
      <c r="AT306" s="653"/>
      <c r="AU306" s="653"/>
      <c r="AW306" t="b">
        <f t="array" ref="AW306">IF(AND(NOT(ISERROR($L306:$AU306))),TRUE,FALSE)</f>
        <v>1</v>
      </c>
      <c r="AX306" t="str">
        <f t="shared" si="184"/>
        <v/>
      </c>
      <c r="AY306" s="255" t="str">
        <f t="shared" si="185"/>
        <v/>
      </c>
    </row>
    <row r="307" spans="1:51" x14ac:dyDescent="0.35">
      <c r="A307" s="286"/>
      <c r="B307" t="str">
        <f t="shared" ref="B307:J307" si="200">IF(B202="","",B202)</f>
        <v/>
      </c>
      <c r="C307" t="str">
        <f t="shared" si="200"/>
        <v/>
      </c>
      <c r="D307" t="str">
        <f t="shared" si="200"/>
        <v/>
      </c>
      <c r="E307" t="str">
        <f t="shared" si="200"/>
        <v/>
      </c>
      <c r="F307" t="str">
        <f t="shared" si="200"/>
        <v/>
      </c>
      <c r="G307" t="str">
        <f t="shared" si="200"/>
        <v/>
      </c>
      <c r="H307" t="str">
        <f t="shared" si="200"/>
        <v/>
      </c>
      <c r="J307" t="str">
        <f t="shared" si="200"/>
        <v/>
      </c>
      <c r="K307" t="str">
        <f t="shared" si="183"/>
        <v/>
      </c>
      <c r="L307" s="653"/>
      <c r="M307" s="653"/>
      <c r="N307" s="653"/>
      <c r="O307" s="653"/>
      <c r="P307" s="653"/>
      <c r="Q307" s="653"/>
      <c r="R307" s="653"/>
      <c r="S307" s="653"/>
      <c r="T307" s="653"/>
      <c r="U307" s="653"/>
      <c r="V307" s="653"/>
      <c r="W307" s="653"/>
      <c r="X307" s="653"/>
      <c r="Y307" s="653"/>
      <c r="Z307" s="653"/>
      <c r="AA307" s="653"/>
      <c r="AB307" s="653"/>
      <c r="AC307" s="653"/>
      <c r="AD307" s="653"/>
      <c r="AE307" s="653"/>
      <c r="AF307" s="653"/>
      <c r="AG307" s="653"/>
      <c r="AH307" s="653"/>
      <c r="AI307" s="653"/>
      <c r="AJ307" s="653"/>
      <c r="AK307" s="653"/>
      <c r="AL307" s="653"/>
      <c r="AM307" s="653"/>
      <c r="AN307" s="653"/>
      <c r="AO307" s="653"/>
      <c r="AP307" s="653"/>
      <c r="AQ307" s="653"/>
      <c r="AR307" s="653"/>
      <c r="AS307" s="653"/>
      <c r="AT307" s="653"/>
      <c r="AU307" s="653"/>
      <c r="AW307" t="b">
        <f t="array" ref="AW307">IF(AND(NOT(ISERROR($L307:$AU307))),TRUE,FALSE)</f>
        <v>1</v>
      </c>
      <c r="AX307" t="str">
        <f t="shared" si="184"/>
        <v/>
      </c>
      <c r="AY307" s="255" t="str">
        <f t="shared" si="185"/>
        <v/>
      </c>
    </row>
    <row r="308" spans="1:51" x14ac:dyDescent="0.35">
      <c r="A308" s="286"/>
      <c r="B308" t="str">
        <f t="shared" ref="B308:J308" si="201">IF(B203="","",B203)</f>
        <v/>
      </c>
      <c r="C308" t="str">
        <f t="shared" si="201"/>
        <v/>
      </c>
      <c r="D308" t="str">
        <f t="shared" si="201"/>
        <v/>
      </c>
      <c r="E308" t="str">
        <f t="shared" si="201"/>
        <v/>
      </c>
      <c r="F308" t="str">
        <f t="shared" si="201"/>
        <v/>
      </c>
      <c r="G308" t="str">
        <f t="shared" si="201"/>
        <v/>
      </c>
      <c r="H308" t="str">
        <f t="shared" si="201"/>
        <v/>
      </c>
      <c r="J308" t="str">
        <f t="shared" si="201"/>
        <v/>
      </c>
      <c r="K308" t="str">
        <f t="shared" si="183"/>
        <v/>
      </c>
      <c r="L308" s="653"/>
      <c r="M308" s="653"/>
      <c r="N308" s="653"/>
      <c r="O308" s="653"/>
      <c r="P308" s="653"/>
      <c r="Q308" s="653"/>
      <c r="R308" s="653"/>
      <c r="S308" s="653"/>
      <c r="T308" s="653"/>
      <c r="U308" s="653"/>
      <c r="V308" s="653"/>
      <c r="W308" s="653"/>
      <c r="X308" s="653"/>
      <c r="Y308" s="653"/>
      <c r="Z308" s="653"/>
      <c r="AA308" s="653"/>
      <c r="AB308" s="653"/>
      <c r="AC308" s="653"/>
      <c r="AD308" s="653"/>
      <c r="AE308" s="653"/>
      <c r="AF308" s="653"/>
      <c r="AG308" s="653"/>
      <c r="AH308" s="653"/>
      <c r="AI308" s="653"/>
      <c r="AJ308" s="653"/>
      <c r="AK308" s="653"/>
      <c r="AL308" s="653"/>
      <c r="AM308" s="653"/>
      <c r="AN308" s="653"/>
      <c r="AO308" s="653"/>
      <c r="AP308" s="653"/>
      <c r="AQ308" s="653"/>
      <c r="AR308" s="653"/>
      <c r="AS308" s="653"/>
      <c r="AT308" s="653"/>
      <c r="AU308" s="653"/>
      <c r="AW308" t="b">
        <f t="array" ref="AW308">IF(AND(NOT(ISERROR($L308:$AU308))),TRUE,FALSE)</f>
        <v>1</v>
      </c>
      <c r="AX308" t="str">
        <f t="shared" si="184"/>
        <v/>
      </c>
      <c r="AY308" s="255" t="str">
        <f t="shared" si="185"/>
        <v/>
      </c>
    </row>
    <row r="309" spans="1:51" x14ac:dyDescent="0.35">
      <c r="A309" s="286"/>
      <c r="B309" t="str">
        <f t="shared" ref="B309:J309" si="202">IF(B204="","",B204)</f>
        <v/>
      </c>
      <c r="C309" t="str">
        <f t="shared" si="202"/>
        <v/>
      </c>
      <c r="D309" t="str">
        <f t="shared" si="202"/>
        <v/>
      </c>
      <c r="E309" t="str">
        <f t="shared" si="202"/>
        <v/>
      </c>
      <c r="F309" t="str">
        <f t="shared" si="202"/>
        <v/>
      </c>
      <c r="G309" t="str">
        <f t="shared" si="202"/>
        <v/>
      </c>
      <c r="H309" t="str">
        <f t="shared" si="202"/>
        <v/>
      </c>
      <c r="J309" t="str">
        <f t="shared" si="202"/>
        <v/>
      </c>
      <c r="K309" t="str">
        <f t="shared" si="183"/>
        <v/>
      </c>
      <c r="L309" s="653"/>
      <c r="M309" s="653"/>
      <c r="N309" s="653"/>
      <c r="O309" s="653"/>
      <c r="P309" s="653"/>
      <c r="Q309" s="653"/>
      <c r="R309" s="653"/>
      <c r="S309" s="653"/>
      <c r="T309" s="653"/>
      <c r="U309" s="653"/>
      <c r="V309" s="653"/>
      <c r="W309" s="653"/>
      <c r="X309" s="653"/>
      <c r="Y309" s="653"/>
      <c r="Z309" s="653"/>
      <c r="AA309" s="653"/>
      <c r="AB309" s="653"/>
      <c r="AC309" s="653"/>
      <c r="AD309" s="653"/>
      <c r="AE309" s="653"/>
      <c r="AF309" s="653"/>
      <c r="AG309" s="653"/>
      <c r="AH309" s="653"/>
      <c r="AI309" s="653"/>
      <c r="AJ309" s="653"/>
      <c r="AK309" s="653"/>
      <c r="AL309" s="653"/>
      <c r="AM309" s="653"/>
      <c r="AN309" s="653"/>
      <c r="AO309" s="653"/>
      <c r="AP309" s="653"/>
      <c r="AQ309" s="653"/>
      <c r="AR309" s="653"/>
      <c r="AS309" s="653"/>
      <c r="AT309" s="653"/>
      <c r="AU309" s="653"/>
      <c r="AW309" t="b">
        <f t="array" ref="AW309">IF(AND(NOT(ISERROR($L309:$AU309))),TRUE,FALSE)</f>
        <v>1</v>
      </c>
      <c r="AX309" t="str">
        <f t="shared" si="184"/>
        <v/>
      </c>
      <c r="AY309" s="255" t="str">
        <f t="shared" si="185"/>
        <v/>
      </c>
    </row>
    <row r="310" spans="1:51" x14ac:dyDescent="0.35">
      <c r="A310" s="286"/>
      <c r="B310" t="str">
        <f t="shared" ref="B310:J310" si="203">IF(B205="","",B205)</f>
        <v/>
      </c>
      <c r="C310" t="str">
        <f t="shared" si="203"/>
        <v/>
      </c>
      <c r="D310" t="str">
        <f t="shared" si="203"/>
        <v/>
      </c>
      <c r="E310" t="str">
        <f t="shared" si="203"/>
        <v/>
      </c>
      <c r="F310" t="str">
        <f t="shared" si="203"/>
        <v/>
      </c>
      <c r="G310" t="str">
        <f t="shared" si="203"/>
        <v/>
      </c>
      <c r="H310" t="str">
        <f t="shared" si="203"/>
        <v/>
      </c>
      <c r="J310" t="str">
        <f t="shared" si="203"/>
        <v/>
      </c>
      <c r="K310" t="str">
        <f t="shared" si="183"/>
        <v/>
      </c>
      <c r="L310" s="653"/>
      <c r="M310" s="653"/>
      <c r="N310" s="653"/>
      <c r="O310" s="653"/>
      <c r="P310" s="653"/>
      <c r="Q310" s="653"/>
      <c r="R310" s="653"/>
      <c r="S310" s="653"/>
      <c r="T310" s="653"/>
      <c r="U310" s="653"/>
      <c r="V310" s="653"/>
      <c r="W310" s="653"/>
      <c r="X310" s="653"/>
      <c r="Y310" s="653"/>
      <c r="Z310" s="653"/>
      <c r="AA310" s="653"/>
      <c r="AB310" s="653"/>
      <c r="AC310" s="653"/>
      <c r="AD310" s="653"/>
      <c r="AE310" s="653"/>
      <c r="AF310" s="653"/>
      <c r="AG310" s="653"/>
      <c r="AH310" s="653"/>
      <c r="AI310" s="653"/>
      <c r="AJ310" s="653"/>
      <c r="AK310" s="653"/>
      <c r="AL310" s="653"/>
      <c r="AM310" s="653"/>
      <c r="AN310" s="653"/>
      <c r="AO310" s="653"/>
      <c r="AP310" s="653"/>
      <c r="AQ310" s="653"/>
      <c r="AR310" s="653"/>
      <c r="AS310" s="653"/>
      <c r="AT310" s="653"/>
      <c r="AU310" s="653"/>
      <c r="AW310" t="b">
        <f t="array" ref="AW310">IF(AND(NOT(ISERROR($L310:$AU310))),TRUE,FALSE)</f>
        <v>1</v>
      </c>
      <c r="AX310" t="str">
        <f t="shared" si="184"/>
        <v/>
      </c>
      <c r="AY310" s="255" t="str">
        <f t="shared" si="185"/>
        <v/>
      </c>
    </row>
    <row r="311" spans="1:51" x14ac:dyDescent="0.35">
      <c r="A311" s="286"/>
      <c r="B311" t="str">
        <f t="shared" ref="B311:J311" si="204">IF(B206="","",B206)</f>
        <v/>
      </c>
      <c r="C311" t="str">
        <f t="shared" si="204"/>
        <v/>
      </c>
      <c r="D311" t="str">
        <f t="shared" si="204"/>
        <v/>
      </c>
      <c r="E311" t="str">
        <f t="shared" si="204"/>
        <v/>
      </c>
      <c r="F311" t="str">
        <f t="shared" si="204"/>
        <v/>
      </c>
      <c r="G311" t="str">
        <f t="shared" si="204"/>
        <v/>
      </c>
      <c r="H311" t="str">
        <f t="shared" si="204"/>
        <v/>
      </c>
      <c r="J311" t="str">
        <f t="shared" si="204"/>
        <v/>
      </c>
      <c r="K311" t="str">
        <f t="shared" si="183"/>
        <v/>
      </c>
      <c r="L311" s="653"/>
      <c r="M311" s="653"/>
      <c r="N311" s="653"/>
      <c r="O311" s="653"/>
      <c r="P311" s="653"/>
      <c r="Q311" s="653"/>
      <c r="R311" s="653"/>
      <c r="S311" s="653"/>
      <c r="T311" s="653"/>
      <c r="U311" s="653"/>
      <c r="V311" s="653"/>
      <c r="W311" s="653"/>
      <c r="X311" s="653"/>
      <c r="Y311" s="653"/>
      <c r="Z311" s="653"/>
      <c r="AA311" s="653"/>
      <c r="AB311" s="653"/>
      <c r="AC311" s="653"/>
      <c r="AD311" s="653"/>
      <c r="AE311" s="653"/>
      <c r="AF311" s="653"/>
      <c r="AG311" s="653"/>
      <c r="AH311" s="653"/>
      <c r="AI311" s="653"/>
      <c r="AJ311" s="653"/>
      <c r="AK311" s="653"/>
      <c r="AL311" s="653"/>
      <c r="AM311" s="653"/>
      <c r="AN311" s="653"/>
      <c r="AO311" s="653"/>
      <c r="AP311" s="653"/>
      <c r="AQ311" s="653"/>
      <c r="AR311" s="653"/>
      <c r="AS311" s="653"/>
      <c r="AT311" s="653"/>
      <c r="AU311" s="653"/>
      <c r="AW311" t="b">
        <f t="array" ref="AW311">IF(AND(NOT(ISERROR($L311:$AU311))),TRUE,FALSE)</f>
        <v>1</v>
      </c>
      <c r="AX311" t="str">
        <f t="shared" si="184"/>
        <v/>
      </c>
      <c r="AY311" s="255" t="str">
        <f t="shared" si="185"/>
        <v/>
      </c>
    </row>
    <row r="312" spans="1:51" x14ac:dyDescent="0.35">
      <c r="A312" s="286"/>
      <c r="B312" t="str">
        <f t="shared" ref="B312:J312" si="205">IF(B207="","",B207)</f>
        <v/>
      </c>
      <c r="C312" t="str">
        <f t="shared" si="205"/>
        <v/>
      </c>
      <c r="D312" t="str">
        <f t="shared" si="205"/>
        <v/>
      </c>
      <c r="E312" t="str">
        <f t="shared" si="205"/>
        <v/>
      </c>
      <c r="F312" t="str">
        <f t="shared" si="205"/>
        <v/>
      </c>
      <c r="G312" t="str">
        <f t="shared" si="205"/>
        <v/>
      </c>
      <c r="H312" t="str">
        <f t="shared" si="205"/>
        <v/>
      </c>
      <c r="J312" t="str">
        <f t="shared" si="205"/>
        <v/>
      </c>
      <c r="K312" t="str">
        <f t="shared" si="183"/>
        <v/>
      </c>
      <c r="L312" s="653"/>
      <c r="M312" s="653"/>
      <c r="N312" s="653"/>
      <c r="O312" s="653"/>
      <c r="P312" s="653"/>
      <c r="Q312" s="653"/>
      <c r="R312" s="653"/>
      <c r="S312" s="653"/>
      <c r="T312" s="653"/>
      <c r="U312" s="653"/>
      <c r="V312" s="653"/>
      <c r="W312" s="653"/>
      <c r="X312" s="653"/>
      <c r="Y312" s="653"/>
      <c r="Z312" s="653"/>
      <c r="AA312" s="653"/>
      <c r="AB312" s="653"/>
      <c r="AC312" s="653"/>
      <c r="AD312" s="653"/>
      <c r="AE312" s="653"/>
      <c r="AF312" s="653"/>
      <c r="AG312" s="653"/>
      <c r="AH312" s="653"/>
      <c r="AI312" s="653"/>
      <c r="AJ312" s="653"/>
      <c r="AK312" s="653"/>
      <c r="AL312" s="653"/>
      <c r="AM312" s="653"/>
      <c r="AN312" s="653"/>
      <c r="AO312" s="653"/>
      <c r="AP312" s="653"/>
      <c r="AQ312" s="653"/>
      <c r="AR312" s="653"/>
      <c r="AS312" s="653"/>
      <c r="AT312" s="653"/>
      <c r="AU312" s="653"/>
      <c r="AW312" t="b">
        <f t="array" ref="AW312">IF(AND(NOT(ISERROR($L312:$AU312))),TRUE,FALSE)</f>
        <v>1</v>
      </c>
      <c r="AX312" t="str">
        <f t="shared" si="184"/>
        <v/>
      </c>
      <c r="AY312" s="255" t="str">
        <f t="shared" si="185"/>
        <v/>
      </c>
    </row>
    <row r="313" spans="1:51" x14ac:dyDescent="0.35">
      <c r="A313" s="286"/>
      <c r="B313" t="str">
        <f t="shared" ref="B313:J313" si="206">IF(B208="","",B208)</f>
        <v/>
      </c>
      <c r="C313" t="str">
        <f t="shared" si="206"/>
        <v/>
      </c>
      <c r="D313" t="str">
        <f t="shared" si="206"/>
        <v/>
      </c>
      <c r="E313" t="str">
        <f t="shared" si="206"/>
        <v/>
      </c>
      <c r="F313" t="str">
        <f t="shared" si="206"/>
        <v/>
      </c>
      <c r="G313" t="str">
        <f t="shared" si="206"/>
        <v/>
      </c>
      <c r="H313" t="str">
        <f t="shared" si="206"/>
        <v/>
      </c>
      <c r="J313" t="str">
        <f t="shared" si="206"/>
        <v/>
      </c>
      <c r="K313" t="str">
        <f t="shared" si="183"/>
        <v/>
      </c>
      <c r="L313" s="653"/>
      <c r="M313" s="653"/>
      <c r="N313" s="653"/>
      <c r="O313" s="653"/>
      <c r="P313" s="653"/>
      <c r="Q313" s="653"/>
      <c r="R313" s="653"/>
      <c r="S313" s="653"/>
      <c r="T313" s="653"/>
      <c r="U313" s="653"/>
      <c r="V313" s="653"/>
      <c r="W313" s="653"/>
      <c r="X313" s="653"/>
      <c r="Y313" s="653"/>
      <c r="Z313" s="653"/>
      <c r="AA313" s="653"/>
      <c r="AB313" s="653"/>
      <c r="AC313" s="653"/>
      <c r="AD313" s="653"/>
      <c r="AE313" s="653"/>
      <c r="AF313" s="653"/>
      <c r="AG313" s="653"/>
      <c r="AH313" s="653"/>
      <c r="AI313" s="653"/>
      <c r="AJ313" s="653"/>
      <c r="AK313" s="653"/>
      <c r="AL313" s="653"/>
      <c r="AM313" s="653"/>
      <c r="AN313" s="653"/>
      <c r="AO313" s="653"/>
      <c r="AP313" s="653"/>
      <c r="AQ313" s="653"/>
      <c r="AR313" s="653"/>
      <c r="AS313" s="653"/>
      <c r="AT313" s="653"/>
      <c r="AU313" s="653"/>
      <c r="AW313" t="b">
        <f t="array" ref="AW313">IF(AND(NOT(ISERROR($L313:$AU313))),TRUE,FALSE)</f>
        <v>1</v>
      </c>
      <c r="AX313" t="str">
        <f t="shared" si="184"/>
        <v/>
      </c>
      <c r="AY313" s="255" t="str">
        <f t="shared" si="185"/>
        <v/>
      </c>
    </row>
    <row r="314" spans="1:51" x14ac:dyDescent="0.35">
      <c r="A314" s="286"/>
      <c r="B314" t="str">
        <f t="shared" ref="B314:J314" si="207">IF(B209="","",B209)</f>
        <v/>
      </c>
      <c r="C314" t="str">
        <f t="shared" si="207"/>
        <v/>
      </c>
      <c r="D314" t="str">
        <f t="shared" si="207"/>
        <v/>
      </c>
      <c r="E314" t="str">
        <f t="shared" si="207"/>
        <v/>
      </c>
      <c r="F314" t="str">
        <f t="shared" si="207"/>
        <v/>
      </c>
      <c r="G314" t="str">
        <f t="shared" si="207"/>
        <v/>
      </c>
      <c r="H314" t="str">
        <f t="shared" si="207"/>
        <v/>
      </c>
      <c r="J314" t="str">
        <f t="shared" si="207"/>
        <v/>
      </c>
      <c r="K314" t="str">
        <f t="shared" si="183"/>
        <v/>
      </c>
      <c r="L314" s="653"/>
      <c r="M314" s="653"/>
      <c r="N314" s="653"/>
      <c r="O314" s="653"/>
      <c r="P314" s="653"/>
      <c r="Q314" s="653"/>
      <c r="R314" s="653"/>
      <c r="S314" s="653"/>
      <c r="T314" s="653"/>
      <c r="U314" s="653"/>
      <c r="V314" s="653"/>
      <c r="W314" s="653"/>
      <c r="X314" s="653"/>
      <c r="Y314" s="653"/>
      <c r="Z314" s="653"/>
      <c r="AA314" s="653"/>
      <c r="AB314" s="653"/>
      <c r="AC314" s="653"/>
      <c r="AD314" s="653"/>
      <c r="AE314" s="653"/>
      <c r="AF314" s="653"/>
      <c r="AG314" s="653"/>
      <c r="AH314" s="653"/>
      <c r="AI314" s="653"/>
      <c r="AJ314" s="653"/>
      <c r="AK314" s="653"/>
      <c r="AL314" s="653"/>
      <c r="AM314" s="653"/>
      <c r="AN314" s="653"/>
      <c r="AO314" s="653"/>
      <c r="AP314" s="653"/>
      <c r="AQ314" s="653"/>
      <c r="AR314" s="653"/>
      <c r="AS314" s="653"/>
      <c r="AT314" s="653"/>
      <c r="AU314" s="653"/>
      <c r="AW314" t="b">
        <f t="array" ref="AW314">IF(AND(NOT(ISERROR($L314:$AU314))),TRUE,FALSE)</f>
        <v>1</v>
      </c>
      <c r="AX314" t="str">
        <f t="shared" si="184"/>
        <v/>
      </c>
      <c r="AY314" s="255" t="str">
        <f t="shared" si="185"/>
        <v/>
      </c>
    </row>
    <row r="315" spans="1:51" x14ac:dyDescent="0.35">
      <c r="A315" s="286"/>
      <c r="B315" t="str">
        <f t="shared" ref="B315:J315" si="208">IF(B210="","",B210)</f>
        <v/>
      </c>
      <c r="C315" t="str">
        <f t="shared" si="208"/>
        <v/>
      </c>
      <c r="D315" t="str">
        <f t="shared" si="208"/>
        <v/>
      </c>
      <c r="E315" t="str">
        <f t="shared" si="208"/>
        <v/>
      </c>
      <c r="F315" t="str">
        <f t="shared" si="208"/>
        <v/>
      </c>
      <c r="G315" t="str">
        <f t="shared" si="208"/>
        <v/>
      </c>
      <c r="H315" t="str">
        <f t="shared" si="208"/>
        <v/>
      </c>
      <c r="J315" t="str">
        <f t="shared" si="208"/>
        <v/>
      </c>
      <c r="K315" t="str">
        <f t="shared" si="183"/>
        <v/>
      </c>
      <c r="L315" s="653"/>
      <c r="M315" s="653"/>
      <c r="N315" s="653"/>
      <c r="O315" s="653"/>
      <c r="P315" s="653"/>
      <c r="Q315" s="653"/>
      <c r="R315" s="653"/>
      <c r="S315" s="653"/>
      <c r="T315" s="653"/>
      <c r="U315" s="653"/>
      <c r="V315" s="653"/>
      <c r="W315" s="653"/>
      <c r="X315" s="653"/>
      <c r="Y315" s="653"/>
      <c r="Z315" s="653"/>
      <c r="AA315" s="653"/>
      <c r="AB315" s="653"/>
      <c r="AC315" s="653"/>
      <c r="AD315" s="653"/>
      <c r="AE315" s="653"/>
      <c r="AF315" s="653"/>
      <c r="AG315" s="653"/>
      <c r="AH315" s="653"/>
      <c r="AI315" s="653"/>
      <c r="AJ315" s="653"/>
      <c r="AK315" s="653"/>
      <c r="AL315" s="653"/>
      <c r="AM315" s="653"/>
      <c r="AN315" s="653"/>
      <c r="AO315" s="653"/>
      <c r="AP315" s="653"/>
      <c r="AQ315" s="653"/>
      <c r="AR315" s="653"/>
      <c r="AS315" s="653"/>
      <c r="AT315" s="653"/>
      <c r="AU315" s="653"/>
      <c r="AW315" t="b">
        <f t="array" ref="AW315">IF(AND(NOT(ISERROR($L315:$AU315))),TRUE,FALSE)</f>
        <v>1</v>
      </c>
      <c r="AX315" t="str">
        <f t="shared" si="184"/>
        <v/>
      </c>
      <c r="AY315" s="255" t="str">
        <f t="shared" si="185"/>
        <v/>
      </c>
    </row>
    <row r="316" spans="1:51" x14ac:dyDescent="0.35">
      <c r="A316" s="286"/>
      <c r="B316" t="str">
        <f t="shared" ref="B316:J316" si="209">IF(B211="","",B211)</f>
        <v/>
      </c>
      <c r="C316" t="str">
        <f t="shared" si="209"/>
        <v/>
      </c>
      <c r="D316" t="str">
        <f t="shared" si="209"/>
        <v/>
      </c>
      <c r="E316" t="str">
        <f t="shared" si="209"/>
        <v/>
      </c>
      <c r="F316" t="str">
        <f t="shared" si="209"/>
        <v/>
      </c>
      <c r="G316" t="str">
        <f t="shared" si="209"/>
        <v/>
      </c>
      <c r="H316" t="str">
        <f t="shared" si="209"/>
        <v/>
      </c>
      <c r="J316" t="str">
        <f t="shared" si="209"/>
        <v/>
      </c>
      <c r="K316" t="str">
        <f t="shared" si="183"/>
        <v/>
      </c>
      <c r="L316" s="653"/>
      <c r="M316" s="653"/>
      <c r="N316" s="653"/>
      <c r="O316" s="653"/>
      <c r="P316" s="653"/>
      <c r="Q316" s="653"/>
      <c r="R316" s="653"/>
      <c r="S316" s="653"/>
      <c r="T316" s="653"/>
      <c r="U316" s="653"/>
      <c r="V316" s="653"/>
      <c r="W316" s="653"/>
      <c r="X316" s="653"/>
      <c r="Y316" s="653"/>
      <c r="Z316" s="653"/>
      <c r="AA316" s="653"/>
      <c r="AB316" s="653"/>
      <c r="AC316" s="653"/>
      <c r="AD316" s="653"/>
      <c r="AE316" s="653"/>
      <c r="AF316" s="653"/>
      <c r="AG316" s="653"/>
      <c r="AH316" s="653"/>
      <c r="AI316" s="653"/>
      <c r="AJ316" s="653"/>
      <c r="AK316" s="653"/>
      <c r="AL316" s="653"/>
      <c r="AM316" s="653"/>
      <c r="AN316" s="653"/>
      <c r="AO316" s="653"/>
      <c r="AP316" s="653"/>
      <c r="AQ316" s="653"/>
      <c r="AR316" s="653"/>
      <c r="AS316" s="653"/>
      <c r="AT316" s="653"/>
      <c r="AU316" s="653"/>
      <c r="AW316" t="b">
        <f t="array" ref="AW316">IF(AND(NOT(ISERROR($L316:$AU316))),TRUE,FALSE)</f>
        <v>1</v>
      </c>
      <c r="AX316" t="str">
        <f t="shared" si="184"/>
        <v/>
      </c>
      <c r="AY316" s="255" t="str">
        <f t="shared" si="185"/>
        <v/>
      </c>
    </row>
    <row r="317" spans="1:51" x14ac:dyDescent="0.35">
      <c r="A317" s="286"/>
      <c r="B317" t="str">
        <f t="shared" ref="B317:J317" si="210">IF(B212="","",B212)</f>
        <v/>
      </c>
      <c r="C317" t="str">
        <f t="shared" si="210"/>
        <v/>
      </c>
      <c r="D317" t="str">
        <f t="shared" si="210"/>
        <v/>
      </c>
      <c r="E317" t="str">
        <f t="shared" si="210"/>
        <v/>
      </c>
      <c r="F317" t="str">
        <f t="shared" si="210"/>
        <v/>
      </c>
      <c r="G317" t="str">
        <f t="shared" si="210"/>
        <v/>
      </c>
      <c r="H317" t="str">
        <f t="shared" si="210"/>
        <v/>
      </c>
      <c r="J317" t="str">
        <f t="shared" si="210"/>
        <v/>
      </c>
      <c r="K317" t="str">
        <f t="shared" si="183"/>
        <v/>
      </c>
      <c r="L317" s="653"/>
      <c r="M317" s="653"/>
      <c r="N317" s="653"/>
      <c r="O317" s="653"/>
      <c r="P317" s="653"/>
      <c r="Q317" s="653"/>
      <c r="R317" s="653"/>
      <c r="S317" s="653"/>
      <c r="T317" s="653"/>
      <c r="U317" s="653"/>
      <c r="V317" s="653"/>
      <c r="W317" s="653"/>
      <c r="X317" s="653"/>
      <c r="Y317" s="653"/>
      <c r="Z317" s="653"/>
      <c r="AA317" s="653"/>
      <c r="AB317" s="653"/>
      <c r="AC317" s="653"/>
      <c r="AD317" s="653"/>
      <c r="AE317" s="653"/>
      <c r="AF317" s="653"/>
      <c r="AG317" s="653"/>
      <c r="AH317" s="653"/>
      <c r="AI317" s="653"/>
      <c r="AJ317" s="653"/>
      <c r="AK317" s="653"/>
      <c r="AL317" s="653"/>
      <c r="AM317" s="653"/>
      <c r="AN317" s="653"/>
      <c r="AO317" s="653"/>
      <c r="AP317" s="653"/>
      <c r="AQ317" s="653"/>
      <c r="AR317" s="653"/>
      <c r="AS317" s="653"/>
      <c r="AT317" s="653"/>
      <c r="AU317" s="653"/>
      <c r="AW317" t="b">
        <f t="array" ref="AW317">IF(AND(NOT(ISERROR($L317:$AU317))),TRUE,FALSE)</f>
        <v>1</v>
      </c>
      <c r="AX317" t="str">
        <f t="shared" si="184"/>
        <v/>
      </c>
      <c r="AY317" s="255" t="str">
        <f t="shared" si="185"/>
        <v/>
      </c>
    </row>
    <row r="318" spans="1:51" x14ac:dyDescent="0.35">
      <c r="A318" s="286"/>
      <c r="B318" t="str">
        <f t="shared" ref="B318:J318" si="211">IF(B213="","",B213)</f>
        <v/>
      </c>
      <c r="C318" t="str">
        <f t="shared" si="211"/>
        <v/>
      </c>
      <c r="D318" t="str">
        <f t="shared" si="211"/>
        <v/>
      </c>
      <c r="E318" t="str">
        <f t="shared" si="211"/>
        <v/>
      </c>
      <c r="F318" t="str">
        <f t="shared" si="211"/>
        <v/>
      </c>
      <c r="G318" t="str">
        <f t="shared" si="211"/>
        <v/>
      </c>
      <c r="H318" t="str">
        <f t="shared" si="211"/>
        <v/>
      </c>
      <c r="J318" t="str">
        <f t="shared" si="211"/>
        <v/>
      </c>
      <c r="K318" t="str">
        <f t="shared" si="183"/>
        <v/>
      </c>
      <c r="L318" s="653"/>
      <c r="M318" s="653"/>
      <c r="N318" s="653"/>
      <c r="O318" s="653"/>
      <c r="P318" s="653"/>
      <c r="Q318" s="653"/>
      <c r="R318" s="653"/>
      <c r="S318" s="653"/>
      <c r="T318" s="653"/>
      <c r="U318" s="653"/>
      <c r="V318" s="653"/>
      <c r="W318" s="653"/>
      <c r="X318" s="653"/>
      <c r="Y318" s="653"/>
      <c r="Z318" s="653"/>
      <c r="AA318" s="653"/>
      <c r="AB318" s="653"/>
      <c r="AC318" s="653"/>
      <c r="AD318" s="653"/>
      <c r="AE318" s="653"/>
      <c r="AF318" s="653"/>
      <c r="AG318" s="653"/>
      <c r="AH318" s="653"/>
      <c r="AI318" s="653"/>
      <c r="AJ318" s="653"/>
      <c r="AK318" s="653"/>
      <c r="AL318" s="653"/>
      <c r="AM318" s="653"/>
      <c r="AN318" s="653"/>
      <c r="AO318" s="653"/>
      <c r="AP318" s="653"/>
      <c r="AQ318" s="653"/>
      <c r="AR318" s="653"/>
      <c r="AS318" s="653"/>
      <c r="AT318" s="653"/>
      <c r="AU318" s="653"/>
      <c r="AW318" t="b">
        <f t="array" ref="AW318">IF(AND(NOT(ISERROR($L318:$AU318))),TRUE,FALSE)</f>
        <v>1</v>
      </c>
      <c r="AX318" t="str">
        <f t="shared" si="184"/>
        <v/>
      </c>
      <c r="AY318" s="255" t="str">
        <f t="shared" si="185"/>
        <v/>
      </c>
    </row>
    <row r="319" spans="1:51" x14ac:dyDescent="0.35">
      <c r="A319" s="286"/>
      <c r="B319" t="str">
        <f t="shared" ref="B319:J319" si="212">IF(B214="","",B214)</f>
        <v/>
      </c>
      <c r="C319" t="str">
        <f t="shared" si="212"/>
        <v/>
      </c>
      <c r="D319" t="str">
        <f t="shared" si="212"/>
        <v/>
      </c>
      <c r="E319" t="str">
        <f t="shared" si="212"/>
        <v/>
      </c>
      <c r="F319" t="str">
        <f t="shared" si="212"/>
        <v/>
      </c>
      <c r="G319" t="str">
        <f t="shared" si="212"/>
        <v/>
      </c>
      <c r="H319" t="str">
        <f t="shared" si="212"/>
        <v/>
      </c>
      <c r="J319" t="str">
        <f t="shared" si="212"/>
        <v/>
      </c>
      <c r="K319" t="str">
        <f t="shared" si="183"/>
        <v/>
      </c>
      <c r="L319" s="653"/>
      <c r="M319" s="653"/>
      <c r="N319" s="653"/>
      <c r="O319" s="653"/>
      <c r="P319" s="653"/>
      <c r="Q319" s="653"/>
      <c r="R319" s="653"/>
      <c r="S319" s="653"/>
      <c r="T319" s="653"/>
      <c r="U319" s="653"/>
      <c r="V319" s="653"/>
      <c r="W319" s="653"/>
      <c r="X319" s="653"/>
      <c r="Y319" s="653"/>
      <c r="Z319" s="653"/>
      <c r="AA319" s="653"/>
      <c r="AB319" s="653"/>
      <c r="AC319" s="653"/>
      <c r="AD319" s="653"/>
      <c r="AE319" s="653"/>
      <c r="AF319" s="653"/>
      <c r="AG319" s="653"/>
      <c r="AH319" s="653"/>
      <c r="AI319" s="653"/>
      <c r="AJ319" s="653"/>
      <c r="AK319" s="653"/>
      <c r="AL319" s="653"/>
      <c r="AM319" s="653"/>
      <c r="AN319" s="653"/>
      <c r="AO319" s="653"/>
      <c r="AP319" s="653"/>
      <c r="AQ319" s="653"/>
      <c r="AR319" s="653"/>
      <c r="AS319" s="653"/>
      <c r="AT319" s="653"/>
      <c r="AU319" s="653"/>
      <c r="AW319" t="b">
        <f t="array" ref="AW319">IF(AND(NOT(ISERROR($L319:$AU319))),TRUE,FALSE)</f>
        <v>1</v>
      </c>
      <c r="AX319" t="str">
        <f t="shared" si="184"/>
        <v/>
      </c>
      <c r="AY319" s="255" t="str">
        <f t="shared" si="185"/>
        <v/>
      </c>
    </row>
    <row r="320" spans="1:51" x14ac:dyDescent="0.35">
      <c r="A320" s="286"/>
      <c r="B320" t="str">
        <f t="shared" ref="B320:J320" si="213">IF(B215="","",B215)</f>
        <v/>
      </c>
      <c r="C320" t="str">
        <f t="shared" si="213"/>
        <v/>
      </c>
      <c r="D320" t="str">
        <f t="shared" si="213"/>
        <v/>
      </c>
      <c r="E320" t="str">
        <f t="shared" si="213"/>
        <v/>
      </c>
      <c r="F320" t="str">
        <f t="shared" si="213"/>
        <v/>
      </c>
      <c r="G320" t="str">
        <f t="shared" si="213"/>
        <v/>
      </c>
      <c r="H320" t="str">
        <f t="shared" si="213"/>
        <v/>
      </c>
      <c r="J320" t="str">
        <f t="shared" si="213"/>
        <v/>
      </c>
      <c r="K320" t="str">
        <f t="shared" si="183"/>
        <v/>
      </c>
      <c r="L320" s="653"/>
      <c r="M320" s="653"/>
      <c r="N320" s="653"/>
      <c r="O320" s="653"/>
      <c r="P320" s="653"/>
      <c r="Q320" s="653"/>
      <c r="R320" s="653"/>
      <c r="S320" s="653"/>
      <c r="T320" s="653"/>
      <c r="U320" s="653"/>
      <c r="V320" s="653"/>
      <c r="W320" s="653"/>
      <c r="X320" s="653"/>
      <c r="Y320" s="653"/>
      <c r="Z320" s="653"/>
      <c r="AA320" s="653"/>
      <c r="AB320" s="653"/>
      <c r="AC320" s="653"/>
      <c r="AD320" s="653"/>
      <c r="AE320" s="653"/>
      <c r="AF320" s="653"/>
      <c r="AG320" s="653"/>
      <c r="AH320" s="653"/>
      <c r="AI320" s="653"/>
      <c r="AJ320" s="653"/>
      <c r="AK320" s="653"/>
      <c r="AL320" s="653"/>
      <c r="AM320" s="653"/>
      <c r="AN320" s="653"/>
      <c r="AO320" s="653"/>
      <c r="AP320" s="653"/>
      <c r="AQ320" s="653"/>
      <c r="AR320" s="653"/>
      <c r="AS320" s="653"/>
      <c r="AT320" s="653"/>
      <c r="AU320" s="653"/>
      <c r="AW320" t="b">
        <f t="array" ref="AW320">IF(AND(NOT(ISERROR($L320:$AU320))),TRUE,FALSE)</f>
        <v>1</v>
      </c>
      <c r="AX320" t="str">
        <f t="shared" si="184"/>
        <v/>
      </c>
      <c r="AY320" s="255" t="str">
        <f t="shared" si="185"/>
        <v/>
      </c>
    </row>
    <row r="321" spans="1:51" x14ac:dyDescent="0.35">
      <c r="A321" s="286"/>
      <c r="B321" t="str">
        <f t="shared" ref="B321:J321" si="214">IF(B216="","",B216)</f>
        <v/>
      </c>
      <c r="C321" t="str">
        <f t="shared" si="214"/>
        <v/>
      </c>
      <c r="D321" t="str">
        <f t="shared" si="214"/>
        <v/>
      </c>
      <c r="E321" t="str">
        <f t="shared" si="214"/>
        <v/>
      </c>
      <c r="F321" t="str">
        <f t="shared" si="214"/>
        <v/>
      </c>
      <c r="G321" t="str">
        <f t="shared" si="214"/>
        <v/>
      </c>
      <c r="H321" t="str">
        <f t="shared" si="214"/>
        <v/>
      </c>
      <c r="J321" t="str">
        <f t="shared" si="214"/>
        <v/>
      </c>
      <c r="K321" t="str">
        <f t="shared" si="183"/>
        <v/>
      </c>
      <c r="L321" s="653"/>
      <c r="M321" s="653"/>
      <c r="N321" s="653"/>
      <c r="O321" s="653"/>
      <c r="P321" s="653"/>
      <c r="Q321" s="653"/>
      <c r="R321" s="653"/>
      <c r="S321" s="653"/>
      <c r="T321" s="653"/>
      <c r="U321" s="653"/>
      <c r="V321" s="653"/>
      <c r="W321" s="653"/>
      <c r="X321" s="653"/>
      <c r="Y321" s="653"/>
      <c r="Z321" s="653"/>
      <c r="AA321" s="653"/>
      <c r="AB321" s="653"/>
      <c r="AC321" s="653"/>
      <c r="AD321" s="653"/>
      <c r="AE321" s="653"/>
      <c r="AF321" s="653"/>
      <c r="AG321" s="653"/>
      <c r="AH321" s="653"/>
      <c r="AI321" s="653"/>
      <c r="AJ321" s="653"/>
      <c r="AK321" s="653"/>
      <c r="AL321" s="653"/>
      <c r="AM321" s="653"/>
      <c r="AN321" s="653"/>
      <c r="AO321" s="653"/>
      <c r="AP321" s="653"/>
      <c r="AQ321" s="653"/>
      <c r="AR321" s="653"/>
      <c r="AS321" s="653"/>
      <c r="AT321" s="653"/>
      <c r="AU321" s="653"/>
      <c r="AW321" t="b">
        <f t="array" ref="AW321">IF(AND(NOT(ISERROR($L321:$AU321))),TRUE,FALSE)</f>
        <v>1</v>
      </c>
      <c r="AX321" t="str">
        <f t="shared" si="184"/>
        <v/>
      </c>
      <c r="AY321" s="255" t="str">
        <f t="shared" si="185"/>
        <v/>
      </c>
    </row>
    <row r="322" spans="1:51" x14ac:dyDescent="0.35">
      <c r="A322" s="286"/>
      <c r="B322" t="str">
        <f t="shared" ref="B322:J322" si="215">IF(B217="","",B217)</f>
        <v/>
      </c>
      <c r="C322" t="str">
        <f t="shared" si="215"/>
        <v/>
      </c>
      <c r="D322" t="str">
        <f t="shared" si="215"/>
        <v/>
      </c>
      <c r="E322" t="str">
        <f t="shared" si="215"/>
        <v/>
      </c>
      <c r="F322" t="str">
        <f t="shared" si="215"/>
        <v/>
      </c>
      <c r="G322" t="str">
        <f t="shared" si="215"/>
        <v/>
      </c>
      <c r="H322" t="str">
        <f t="shared" si="215"/>
        <v/>
      </c>
      <c r="J322" t="str">
        <f t="shared" si="215"/>
        <v/>
      </c>
      <c r="K322" t="str">
        <f t="shared" si="183"/>
        <v/>
      </c>
      <c r="L322" s="653"/>
      <c r="M322" s="653"/>
      <c r="N322" s="653"/>
      <c r="O322" s="653"/>
      <c r="P322" s="653"/>
      <c r="Q322" s="653"/>
      <c r="R322" s="653"/>
      <c r="S322" s="653"/>
      <c r="T322" s="653"/>
      <c r="U322" s="653"/>
      <c r="V322" s="653"/>
      <c r="W322" s="653"/>
      <c r="X322" s="653"/>
      <c r="Y322" s="653"/>
      <c r="Z322" s="653"/>
      <c r="AA322" s="653"/>
      <c r="AB322" s="653"/>
      <c r="AC322" s="653"/>
      <c r="AD322" s="653"/>
      <c r="AE322" s="653"/>
      <c r="AF322" s="653"/>
      <c r="AG322" s="653"/>
      <c r="AH322" s="653"/>
      <c r="AI322" s="653"/>
      <c r="AJ322" s="653"/>
      <c r="AK322" s="653"/>
      <c r="AL322" s="653"/>
      <c r="AM322" s="653"/>
      <c r="AN322" s="653"/>
      <c r="AO322" s="653"/>
      <c r="AP322" s="653"/>
      <c r="AQ322" s="653"/>
      <c r="AR322" s="653"/>
      <c r="AS322" s="653"/>
      <c r="AT322" s="653"/>
      <c r="AU322" s="653"/>
      <c r="AW322" t="b">
        <f t="array" ref="AW322">IF(AND(NOT(ISERROR($L322:$AU322))),TRUE,FALSE)</f>
        <v>1</v>
      </c>
      <c r="AX322" t="str">
        <f t="shared" si="184"/>
        <v/>
      </c>
      <c r="AY322" s="255" t="str">
        <f t="shared" si="185"/>
        <v/>
      </c>
    </row>
    <row r="323" spans="1:51" x14ac:dyDescent="0.35">
      <c r="A323" s="286"/>
      <c r="B323" t="str">
        <f t="shared" ref="B323:J323" si="216">IF(B218="","",B218)</f>
        <v/>
      </c>
      <c r="C323" t="str">
        <f t="shared" si="216"/>
        <v/>
      </c>
      <c r="D323" t="str">
        <f t="shared" si="216"/>
        <v/>
      </c>
      <c r="E323" t="str">
        <f t="shared" si="216"/>
        <v/>
      </c>
      <c r="F323" t="str">
        <f t="shared" si="216"/>
        <v/>
      </c>
      <c r="G323" t="str">
        <f t="shared" si="216"/>
        <v/>
      </c>
      <c r="H323" t="str">
        <f t="shared" si="216"/>
        <v/>
      </c>
      <c r="J323" t="str">
        <f t="shared" si="216"/>
        <v/>
      </c>
      <c r="K323" t="str">
        <f t="shared" si="183"/>
        <v/>
      </c>
      <c r="L323" s="653"/>
      <c r="M323" s="653"/>
      <c r="N323" s="653"/>
      <c r="O323" s="653"/>
      <c r="P323" s="653"/>
      <c r="Q323" s="653"/>
      <c r="R323" s="653"/>
      <c r="S323" s="653"/>
      <c r="T323" s="653"/>
      <c r="U323" s="653"/>
      <c r="V323" s="653"/>
      <c r="W323" s="653"/>
      <c r="X323" s="653"/>
      <c r="Y323" s="653"/>
      <c r="Z323" s="653"/>
      <c r="AA323" s="653"/>
      <c r="AB323" s="653"/>
      <c r="AC323" s="653"/>
      <c r="AD323" s="653"/>
      <c r="AE323" s="653"/>
      <c r="AF323" s="653"/>
      <c r="AG323" s="653"/>
      <c r="AH323" s="653"/>
      <c r="AI323" s="653"/>
      <c r="AJ323" s="653"/>
      <c r="AK323" s="653"/>
      <c r="AL323" s="653"/>
      <c r="AM323" s="653"/>
      <c r="AN323" s="653"/>
      <c r="AO323" s="653"/>
      <c r="AP323" s="653"/>
      <c r="AQ323" s="653"/>
      <c r="AR323" s="653"/>
      <c r="AS323" s="653"/>
      <c r="AT323" s="653"/>
      <c r="AU323" s="653"/>
      <c r="AW323" t="b">
        <f t="array" ref="AW323">IF(AND(NOT(ISERROR($L323:$AU323))),TRUE,FALSE)</f>
        <v>1</v>
      </c>
      <c r="AX323" t="str">
        <f t="shared" si="184"/>
        <v/>
      </c>
      <c r="AY323" s="255" t="str">
        <f t="shared" si="185"/>
        <v/>
      </c>
    </row>
    <row r="324" spans="1:51" x14ac:dyDescent="0.35">
      <c r="A324" s="286"/>
      <c r="B324" t="str">
        <f t="shared" ref="B324:J324" si="217">IF(B219="","",B219)</f>
        <v/>
      </c>
      <c r="C324" t="str">
        <f t="shared" si="217"/>
        <v/>
      </c>
      <c r="D324" t="str">
        <f t="shared" si="217"/>
        <v/>
      </c>
      <c r="E324" t="str">
        <f t="shared" si="217"/>
        <v/>
      </c>
      <c r="F324" t="str">
        <f t="shared" si="217"/>
        <v/>
      </c>
      <c r="G324" t="str">
        <f t="shared" si="217"/>
        <v/>
      </c>
      <c r="H324" t="str">
        <f t="shared" si="217"/>
        <v/>
      </c>
      <c r="J324" t="str">
        <f t="shared" si="217"/>
        <v/>
      </c>
      <c r="K324" t="str">
        <f t="shared" si="183"/>
        <v/>
      </c>
      <c r="L324" s="653"/>
      <c r="M324" s="653"/>
      <c r="N324" s="653"/>
      <c r="O324" s="653"/>
      <c r="P324" s="653"/>
      <c r="Q324" s="653"/>
      <c r="R324" s="653"/>
      <c r="S324" s="653"/>
      <c r="T324" s="653"/>
      <c r="U324" s="653"/>
      <c r="V324" s="653"/>
      <c r="W324" s="653"/>
      <c r="X324" s="653"/>
      <c r="Y324" s="653"/>
      <c r="Z324" s="653"/>
      <c r="AA324" s="653"/>
      <c r="AB324" s="653"/>
      <c r="AC324" s="653"/>
      <c r="AD324" s="653"/>
      <c r="AE324" s="653"/>
      <c r="AF324" s="653"/>
      <c r="AG324" s="653"/>
      <c r="AH324" s="653"/>
      <c r="AI324" s="653"/>
      <c r="AJ324" s="653"/>
      <c r="AK324" s="653"/>
      <c r="AL324" s="653"/>
      <c r="AM324" s="653"/>
      <c r="AN324" s="653"/>
      <c r="AO324" s="653"/>
      <c r="AP324" s="653"/>
      <c r="AQ324" s="653"/>
      <c r="AR324" s="653"/>
      <c r="AS324" s="653"/>
      <c r="AT324" s="653"/>
      <c r="AU324" s="653"/>
      <c r="AW324" t="b">
        <f t="array" ref="AW324">IF(AND(NOT(ISERROR($L324:$AU324))),TRUE,FALSE)</f>
        <v>1</v>
      </c>
      <c r="AX324" t="str">
        <f t="shared" si="184"/>
        <v/>
      </c>
      <c r="AY324" s="255" t="str">
        <f t="shared" si="185"/>
        <v/>
      </c>
    </row>
    <row r="325" spans="1:51" x14ac:dyDescent="0.35">
      <c r="A325" s="286"/>
      <c r="B325" t="str">
        <f t="shared" ref="B325:J325" si="218">IF(B220="","",B220)</f>
        <v/>
      </c>
      <c r="C325" t="str">
        <f t="shared" si="218"/>
        <v/>
      </c>
      <c r="D325" t="str">
        <f t="shared" si="218"/>
        <v/>
      </c>
      <c r="E325" t="str">
        <f t="shared" si="218"/>
        <v/>
      </c>
      <c r="F325" t="str">
        <f t="shared" si="218"/>
        <v/>
      </c>
      <c r="G325" t="str">
        <f t="shared" si="218"/>
        <v/>
      </c>
      <c r="H325" t="str">
        <f t="shared" si="218"/>
        <v/>
      </c>
      <c r="J325" t="str">
        <f t="shared" si="218"/>
        <v/>
      </c>
      <c r="K325" t="str">
        <f t="shared" si="183"/>
        <v/>
      </c>
      <c r="L325" s="653"/>
      <c r="M325" s="653"/>
      <c r="N325" s="653"/>
      <c r="O325" s="653"/>
      <c r="P325" s="653"/>
      <c r="Q325" s="653"/>
      <c r="R325" s="653"/>
      <c r="S325" s="653"/>
      <c r="T325" s="653"/>
      <c r="U325" s="653"/>
      <c r="V325" s="653"/>
      <c r="W325" s="653"/>
      <c r="X325" s="653"/>
      <c r="Y325" s="653"/>
      <c r="Z325" s="653"/>
      <c r="AA325" s="653"/>
      <c r="AB325" s="653"/>
      <c r="AC325" s="653"/>
      <c r="AD325" s="653"/>
      <c r="AE325" s="653"/>
      <c r="AF325" s="653"/>
      <c r="AG325" s="653"/>
      <c r="AH325" s="653"/>
      <c r="AI325" s="653"/>
      <c r="AJ325" s="653"/>
      <c r="AK325" s="653"/>
      <c r="AL325" s="653"/>
      <c r="AM325" s="653"/>
      <c r="AN325" s="653"/>
      <c r="AO325" s="653"/>
      <c r="AP325" s="653"/>
      <c r="AQ325" s="653"/>
      <c r="AR325" s="653"/>
      <c r="AS325" s="653"/>
      <c r="AT325" s="653"/>
      <c r="AU325" s="653"/>
      <c r="AW325" t="b">
        <f t="array" ref="AW325">IF(AND(NOT(ISERROR($L325:$AU325))),TRUE,FALSE)</f>
        <v>1</v>
      </c>
      <c r="AX325" t="str">
        <f t="shared" si="184"/>
        <v/>
      </c>
      <c r="AY325" s="255" t="str">
        <f t="shared" si="185"/>
        <v/>
      </c>
    </row>
    <row r="326" spans="1:51" x14ac:dyDescent="0.35">
      <c r="A326" s="286"/>
      <c r="B326" t="str">
        <f t="shared" ref="B326:J326" si="219">IF(B221="","",B221)</f>
        <v/>
      </c>
      <c r="C326" t="str">
        <f t="shared" si="219"/>
        <v/>
      </c>
      <c r="D326" t="str">
        <f t="shared" si="219"/>
        <v/>
      </c>
      <c r="E326" t="str">
        <f t="shared" si="219"/>
        <v/>
      </c>
      <c r="F326" t="str">
        <f t="shared" si="219"/>
        <v/>
      </c>
      <c r="G326" t="str">
        <f t="shared" si="219"/>
        <v/>
      </c>
      <c r="H326" t="str">
        <f t="shared" si="219"/>
        <v/>
      </c>
      <c r="J326" t="str">
        <f t="shared" si="219"/>
        <v/>
      </c>
      <c r="K326" t="str">
        <f t="shared" si="183"/>
        <v/>
      </c>
      <c r="L326" s="653"/>
      <c r="M326" s="653"/>
      <c r="N326" s="653"/>
      <c r="O326" s="653"/>
      <c r="P326" s="653"/>
      <c r="Q326" s="653"/>
      <c r="R326" s="653"/>
      <c r="S326" s="653"/>
      <c r="T326" s="653"/>
      <c r="U326" s="653"/>
      <c r="V326" s="653"/>
      <c r="W326" s="653"/>
      <c r="X326" s="653"/>
      <c r="Y326" s="653"/>
      <c r="Z326" s="653"/>
      <c r="AA326" s="653"/>
      <c r="AB326" s="653"/>
      <c r="AC326" s="653"/>
      <c r="AD326" s="653"/>
      <c r="AE326" s="653"/>
      <c r="AF326" s="653"/>
      <c r="AG326" s="653"/>
      <c r="AH326" s="653"/>
      <c r="AI326" s="653"/>
      <c r="AJ326" s="653"/>
      <c r="AK326" s="653"/>
      <c r="AL326" s="653"/>
      <c r="AM326" s="653"/>
      <c r="AN326" s="653"/>
      <c r="AO326" s="653"/>
      <c r="AP326" s="653"/>
      <c r="AQ326" s="653"/>
      <c r="AR326" s="653"/>
      <c r="AS326" s="653"/>
      <c r="AT326" s="653"/>
      <c r="AU326" s="653"/>
      <c r="AW326" t="b">
        <f t="array" ref="AW326">IF(AND(NOT(ISERROR($L326:$AU326))),TRUE,FALSE)</f>
        <v>1</v>
      </c>
      <c r="AX326" t="str">
        <f t="shared" si="184"/>
        <v/>
      </c>
      <c r="AY326" s="255" t="str">
        <f t="shared" si="185"/>
        <v/>
      </c>
    </row>
    <row r="327" spans="1:51" x14ac:dyDescent="0.35">
      <c r="A327" s="286"/>
      <c r="B327" t="str">
        <f t="shared" ref="B327:J327" si="220">IF(B222="","",B222)</f>
        <v/>
      </c>
      <c r="C327" t="str">
        <f t="shared" si="220"/>
        <v/>
      </c>
      <c r="D327" t="str">
        <f t="shared" si="220"/>
        <v/>
      </c>
      <c r="E327" t="str">
        <f t="shared" si="220"/>
        <v/>
      </c>
      <c r="F327" t="str">
        <f t="shared" si="220"/>
        <v/>
      </c>
      <c r="G327" t="str">
        <f t="shared" si="220"/>
        <v/>
      </c>
      <c r="H327" t="str">
        <f t="shared" si="220"/>
        <v/>
      </c>
      <c r="J327" t="str">
        <f t="shared" si="220"/>
        <v/>
      </c>
      <c r="K327" t="str">
        <f t="shared" si="183"/>
        <v/>
      </c>
      <c r="L327" s="653"/>
      <c r="M327" s="653"/>
      <c r="N327" s="653"/>
      <c r="O327" s="653"/>
      <c r="P327" s="653"/>
      <c r="Q327" s="653"/>
      <c r="R327" s="653"/>
      <c r="S327" s="653"/>
      <c r="T327" s="653"/>
      <c r="U327" s="653"/>
      <c r="V327" s="653"/>
      <c r="W327" s="653"/>
      <c r="X327" s="653"/>
      <c r="Y327" s="653"/>
      <c r="Z327" s="653"/>
      <c r="AA327" s="653"/>
      <c r="AB327" s="653"/>
      <c r="AC327" s="653"/>
      <c r="AD327" s="653"/>
      <c r="AE327" s="653"/>
      <c r="AF327" s="653"/>
      <c r="AG327" s="653"/>
      <c r="AH327" s="653"/>
      <c r="AI327" s="653"/>
      <c r="AJ327" s="653"/>
      <c r="AK327" s="653"/>
      <c r="AL327" s="653"/>
      <c r="AM327" s="653"/>
      <c r="AN327" s="653"/>
      <c r="AO327" s="653"/>
      <c r="AP327" s="653"/>
      <c r="AQ327" s="653"/>
      <c r="AR327" s="653"/>
      <c r="AS327" s="653"/>
      <c r="AT327" s="653"/>
      <c r="AU327" s="653"/>
      <c r="AW327" t="b">
        <f t="array" ref="AW327">IF(AND(NOT(ISERROR($L327:$AU327))),TRUE,FALSE)</f>
        <v>1</v>
      </c>
      <c r="AX327" t="str">
        <f t="shared" si="184"/>
        <v/>
      </c>
      <c r="AY327" s="255" t="str">
        <f t="shared" si="185"/>
        <v/>
      </c>
    </row>
    <row r="328" spans="1:51" x14ac:dyDescent="0.35">
      <c r="A328" s="286"/>
      <c r="B328" t="str">
        <f t="shared" ref="B328:J328" si="221">IF(B223="","",B223)</f>
        <v/>
      </c>
      <c r="C328" t="str">
        <f t="shared" si="221"/>
        <v/>
      </c>
      <c r="D328" t="str">
        <f t="shared" si="221"/>
        <v/>
      </c>
      <c r="E328" t="str">
        <f t="shared" si="221"/>
        <v/>
      </c>
      <c r="F328" t="str">
        <f t="shared" si="221"/>
        <v/>
      </c>
      <c r="G328" t="str">
        <f t="shared" si="221"/>
        <v/>
      </c>
      <c r="H328" t="str">
        <f t="shared" si="221"/>
        <v/>
      </c>
      <c r="J328" t="str">
        <f t="shared" si="221"/>
        <v/>
      </c>
      <c r="K328" t="str">
        <f t="shared" si="183"/>
        <v/>
      </c>
      <c r="L328" s="653"/>
      <c r="M328" s="653"/>
      <c r="N328" s="653"/>
      <c r="O328" s="653"/>
      <c r="P328" s="653"/>
      <c r="Q328" s="653"/>
      <c r="R328" s="653"/>
      <c r="S328" s="653"/>
      <c r="T328" s="653"/>
      <c r="U328" s="653"/>
      <c r="V328" s="653"/>
      <c r="W328" s="653"/>
      <c r="X328" s="653"/>
      <c r="Y328" s="653"/>
      <c r="Z328" s="653"/>
      <c r="AA328" s="653"/>
      <c r="AB328" s="653"/>
      <c r="AC328" s="653"/>
      <c r="AD328" s="653"/>
      <c r="AE328" s="653"/>
      <c r="AF328" s="653"/>
      <c r="AG328" s="653"/>
      <c r="AH328" s="653"/>
      <c r="AI328" s="653"/>
      <c r="AJ328" s="653"/>
      <c r="AK328" s="653"/>
      <c r="AL328" s="653"/>
      <c r="AM328" s="653"/>
      <c r="AN328" s="653"/>
      <c r="AO328" s="653"/>
      <c r="AP328" s="653"/>
      <c r="AQ328" s="653"/>
      <c r="AR328" s="653"/>
      <c r="AS328" s="653"/>
      <c r="AT328" s="653"/>
      <c r="AU328" s="653"/>
      <c r="AW328" t="b">
        <f t="array" ref="AW328">IF(AND(NOT(ISERROR($L328:$AU328))),TRUE,FALSE)</f>
        <v>1</v>
      </c>
      <c r="AX328" t="str">
        <f t="shared" si="184"/>
        <v/>
      </c>
      <c r="AY328" s="255" t="str">
        <f t="shared" si="185"/>
        <v/>
      </c>
    </row>
    <row r="329" spans="1:51" x14ac:dyDescent="0.35">
      <c r="A329" s="286"/>
      <c r="B329" t="str">
        <f t="shared" ref="B329:J329" si="222">IF(B224="","",B224)</f>
        <v/>
      </c>
      <c r="C329" t="str">
        <f t="shared" si="222"/>
        <v/>
      </c>
      <c r="D329" t="str">
        <f t="shared" si="222"/>
        <v/>
      </c>
      <c r="E329" t="str">
        <f t="shared" si="222"/>
        <v/>
      </c>
      <c r="F329" t="str">
        <f t="shared" si="222"/>
        <v/>
      </c>
      <c r="G329" t="str">
        <f t="shared" si="222"/>
        <v/>
      </c>
      <c r="H329" t="str">
        <f t="shared" si="222"/>
        <v/>
      </c>
      <c r="J329" t="str">
        <f t="shared" si="222"/>
        <v/>
      </c>
      <c r="K329" t="str">
        <f t="shared" si="183"/>
        <v/>
      </c>
      <c r="L329" s="653"/>
      <c r="M329" s="653"/>
      <c r="N329" s="653"/>
      <c r="O329" s="653"/>
      <c r="P329" s="653"/>
      <c r="Q329" s="653"/>
      <c r="R329" s="653"/>
      <c r="S329" s="653"/>
      <c r="T329" s="653"/>
      <c r="U329" s="653"/>
      <c r="V329" s="653"/>
      <c r="W329" s="653"/>
      <c r="X329" s="653"/>
      <c r="Y329" s="653"/>
      <c r="Z329" s="653"/>
      <c r="AA329" s="653"/>
      <c r="AB329" s="653"/>
      <c r="AC329" s="653"/>
      <c r="AD329" s="653"/>
      <c r="AE329" s="653"/>
      <c r="AF329" s="653"/>
      <c r="AG329" s="653"/>
      <c r="AH329" s="653"/>
      <c r="AI329" s="653"/>
      <c r="AJ329" s="653"/>
      <c r="AK329" s="653"/>
      <c r="AL329" s="653"/>
      <c r="AM329" s="653"/>
      <c r="AN329" s="653"/>
      <c r="AO329" s="653"/>
      <c r="AP329" s="653"/>
      <c r="AQ329" s="653"/>
      <c r="AR329" s="653"/>
      <c r="AS329" s="653"/>
      <c r="AT329" s="653"/>
      <c r="AU329" s="653"/>
      <c r="AW329" t="b">
        <f t="array" ref="AW329">IF(AND(NOT(ISERROR($L329:$AU329))),TRUE,FALSE)</f>
        <v>1</v>
      </c>
      <c r="AX329" t="str">
        <f t="shared" si="184"/>
        <v/>
      </c>
      <c r="AY329" s="255" t="str">
        <f t="shared" si="185"/>
        <v/>
      </c>
    </row>
    <row r="330" spans="1:51" x14ac:dyDescent="0.35">
      <c r="A330" s="286"/>
      <c r="B330" t="str">
        <f t="shared" ref="B330:J330" si="223">IF(B225="","",B225)</f>
        <v/>
      </c>
      <c r="C330" t="str">
        <f t="shared" si="223"/>
        <v/>
      </c>
      <c r="D330" t="str">
        <f t="shared" si="223"/>
        <v/>
      </c>
      <c r="E330" t="str">
        <f t="shared" si="223"/>
        <v/>
      </c>
      <c r="F330" t="str">
        <f t="shared" si="223"/>
        <v/>
      </c>
      <c r="G330" t="str">
        <f t="shared" si="223"/>
        <v/>
      </c>
      <c r="H330" t="str">
        <f t="shared" si="223"/>
        <v/>
      </c>
      <c r="J330" t="str">
        <f t="shared" si="223"/>
        <v/>
      </c>
      <c r="K330" t="str">
        <f t="shared" si="183"/>
        <v/>
      </c>
      <c r="L330" s="653"/>
      <c r="M330" s="653"/>
      <c r="N330" s="653"/>
      <c r="O330" s="653"/>
      <c r="P330" s="653"/>
      <c r="Q330" s="653"/>
      <c r="R330" s="653"/>
      <c r="S330" s="653"/>
      <c r="T330" s="653"/>
      <c r="U330" s="653"/>
      <c r="V330" s="653"/>
      <c r="W330" s="653"/>
      <c r="X330" s="653"/>
      <c r="Y330" s="653"/>
      <c r="Z330" s="653"/>
      <c r="AA330" s="653"/>
      <c r="AB330" s="653"/>
      <c r="AC330" s="653"/>
      <c r="AD330" s="653"/>
      <c r="AE330" s="653"/>
      <c r="AF330" s="653"/>
      <c r="AG330" s="653"/>
      <c r="AH330" s="653"/>
      <c r="AI330" s="653"/>
      <c r="AJ330" s="653"/>
      <c r="AK330" s="653"/>
      <c r="AL330" s="653"/>
      <c r="AM330" s="653"/>
      <c r="AN330" s="653"/>
      <c r="AO330" s="653"/>
      <c r="AP330" s="653"/>
      <c r="AQ330" s="653"/>
      <c r="AR330" s="653"/>
      <c r="AS330" s="653"/>
      <c r="AT330" s="653"/>
      <c r="AU330" s="653"/>
      <c r="AW330" t="b">
        <f t="array" ref="AW330">IF(AND(NOT(ISERROR($L330:$AU330))),TRUE,FALSE)</f>
        <v>1</v>
      </c>
      <c r="AX330" t="str">
        <f t="shared" si="184"/>
        <v/>
      </c>
      <c r="AY330" s="255" t="str">
        <f t="shared" si="185"/>
        <v/>
      </c>
    </row>
    <row r="331" spans="1:51" x14ac:dyDescent="0.35">
      <c r="A331" s="286"/>
      <c r="B331" t="str">
        <f t="shared" ref="B331:J331" si="224">IF(B226="","",B226)</f>
        <v/>
      </c>
      <c r="C331" t="str">
        <f t="shared" si="224"/>
        <v/>
      </c>
      <c r="D331" t="str">
        <f t="shared" si="224"/>
        <v/>
      </c>
      <c r="E331" t="str">
        <f t="shared" si="224"/>
        <v/>
      </c>
      <c r="F331" t="str">
        <f t="shared" si="224"/>
        <v/>
      </c>
      <c r="G331" t="str">
        <f t="shared" si="224"/>
        <v/>
      </c>
      <c r="H331" t="str">
        <f t="shared" si="224"/>
        <v/>
      </c>
      <c r="J331" t="str">
        <f t="shared" si="224"/>
        <v/>
      </c>
      <c r="K331" t="str">
        <f t="shared" si="183"/>
        <v/>
      </c>
      <c r="L331" s="653"/>
      <c r="M331" s="653"/>
      <c r="N331" s="653"/>
      <c r="O331" s="653"/>
      <c r="P331" s="653"/>
      <c r="Q331" s="653"/>
      <c r="R331" s="653"/>
      <c r="S331" s="653"/>
      <c r="T331" s="653"/>
      <c r="U331" s="653"/>
      <c r="V331" s="653"/>
      <c r="W331" s="653"/>
      <c r="X331" s="653"/>
      <c r="Y331" s="653"/>
      <c r="Z331" s="653"/>
      <c r="AA331" s="653"/>
      <c r="AB331" s="653"/>
      <c r="AC331" s="653"/>
      <c r="AD331" s="653"/>
      <c r="AE331" s="653"/>
      <c r="AF331" s="653"/>
      <c r="AG331" s="653"/>
      <c r="AH331" s="653"/>
      <c r="AI331" s="653"/>
      <c r="AJ331" s="653"/>
      <c r="AK331" s="653"/>
      <c r="AL331" s="653"/>
      <c r="AM331" s="653"/>
      <c r="AN331" s="653"/>
      <c r="AO331" s="653"/>
      <c r="AP331" s="653"/>
      <c r="AQ331" s="653"/>
      <c r="AR331" s="653"/>
      <c r="AS331" s="653"/>
      <c r="AT331" s="653"/>
      <c r="AU331" s="653"/>
      <c r="AW331" t="b">
        <f t="array" ref="AW331">IF(AND(NOT(ISERROR($L331:$AU331))),TRUE,FALSE)</f>
        <v>1</v>
      </c>
      <c r="AX331" t="str">
        <f t="shared" si="184"/>
        <v/>
      </c>
      <c r="AY331" s="255" t="str">
        <f t="shared" si="185"/>
        <v/>
      </c>
    </row>
    <row r="332" spans="1:51" x14ac:dyDescent="0.35">
      <c r="A332" s="286"/>
      <c r="B332" t="str">
        <f t="shared" ref="B332:J332" si="225">IF(B227="","",B227)</f>
        <v/>
      </c>
      <c r="C332" t="str">
        <f t="shared" si="225"/>
        <v/>
      </c>
      <c r="D332" t="str">
        <f t="shared" si="225"/>
        <v/>
      </c>
      <c r="E332" t="str">
        <f t="shared" si="225"/>
        <v/>
      </c>
      <c r="F332" t="str">
        <f t="shared" si="225"/>
        <v/>
      </c>
      <c r="G332" t="str">
        <f t="shared" si="225"/>
        <v/>
      </c>
      <c r="H332" t="str">
        <f t="shared" si="225"/>
        <v/>
      </c>
      <c r="J332" t="str">
        <f t="shared" si="225"/>
        <v/>
      </c>
      <c r="K332" t="str">
        <f t="shared" si="183"/>
        <v/>
      </c>
      <c r="L332" s="653"/>
      <c r="M332" s="653"/>
      <c r="N332" s="653"/>
      <c r="O332" s="653"/>
      <c r="P332" s="653"/>
      <c r="Q332" s="653"/>
      <c r="R332" s="653"/>
      <c r="S332" s="653"/>
      <c r="T332" s="653"/>
      <c r="U332" s="653"/>
      <c r="V332" s="653"/>
      <c r="W332" s="653"/>
      <c r="X332" s="653"/>
      <c r="Y332" s="653"/>
      <c r="Z332" s="653"/>
      <c r="AA332" s="653"/>
      <c r="AB332" s="653"/>
      <c r="AC332" s="653"/>
      <c r="AD332" s="653"/>
      <c r="AE332" s="653"/>
      <c r="AF332" s="653"/>
      <c r="AG332" s="653"/>
      <c r="AH332" s="653"/>
      <c r="AI332" s="653"/>
      <c r="AJ332" s="653"/>
      <c r="AK332" s="653"/>
      <c r="AL332" s="653"/>
      <c r="AM332" s="653"/>
      <c r="AN332" s="653"/>
      <c r="AO332" s="653"/>
      <c r="AP332" s="653"/>
      <c r="AQ332" s="653"/>
      <c r="AR332" s="653"/>
      <c r="AS332" s="653"/>
      <c r="AT332" s="653"/>
      <c r="AU332" s="653"/>
      <c r="AW332" t="b">
        <f t="array" ref="AW332">IF(AND(NOT(ISERROR($L332:$AU332))),TRUE,FALSE)</f>
        <v>1</v>
      </c>
      <c r="AX332" t="str">
        <f t="shared" si="184"/>
        <v/>
      </c>
      <c r="AY332" s="255" t="str">
        <f t="shared" si="185"/>
        <v/>
      </c>
    </row>
    <row r="333" spans="1:51" x14ac:dyDescent="0.35">
      <c r="A333" s="286"/>
      <c r="B333" t="str">
        <f t="shared" ref="B333:J333" si="226">IF(B228="","",B228)</f>
        <v/>
      </c>
      <c r="C333" t="str">
        <f t="shared" si="226"/>
        <v/>
      </c>
      <c r="D333" t="str">
        <f t="shared" si="226"/>
        <v/>
      </c>
      <c r="E333" t="str">
        <f t="shared" si="226"/>
        <v/>
      </c>
      <c r="F333" t="str">
        <f t="shared" si="226"/>
        <v/>
      </c>
      <c r="G333" t="str">
        <f t="shared" si="226"/>
        <v/>
      </c>
      <c r="H333" t="str">
        <f t="shared" si="226"/>
        <v/>
      </c>
      <c r="J333" t="str">
        <f t="shared" si="226"/>
        <v/>
      </c>
      <c r="K333" t="str">
        <f t="shared" si="183"/>
        <v/>
      </c>
      <c r="L333" s="653"/>
      <c r="M333" s="653"/>
      <c r="N333" s="653"/>
      <c r="O333" s="653"/>
      <c r="P333" s="653"/>
      <c r="Q333" s="653"/>
      <c r="R333" s="653"/>
      <c r="S333" s="653"/>
      <c r="T333" s="653"/>
      <c r="U333" s="653"/>
      <c r="V333" s="653"/>
      <c r="W333" s="653"/>
      <c r="X333" s="653"/>
      <c r="Y333" s="653"/>
      <c r="Z333" s="653"/>
      <c r="AA333" s="653"/>
      <c r="AB333" s="653"/>
      <c r="AC333" s="653"/>
      <c r="AD333" s="653"/>
      <c r="AE333" s="653"/>
      <c r="AF333" s="653"/>
      <c r="AG333" s="653"/>
      <c r="AH333" s="653"/>
      <c r="AI333" s="653"/>
      <c r="AJ333" s="653"/>
      <c r="AK333" s="653"/>
      <c r="AL333" s="653"/>
      <c r="AM333" s="653"/>
      <c r="AN333" s="653"/>
      <c r="AO333" s="653"/>
      <c r="AP333" s="653"/>
      <c r="AQ333" s="653"/>
      <c r="AR333" s="653"/>
      <c r="AS333" s="653"/>
      <c r="AT333" s="653"/>
      <c r="AU333" s="653"/>
      <c r="AW333" t="b">
        <f t="array" ref="AW333">IF(AND(NOT(ISERROR($L333:$AU333))),TRUE,FALSE)</f>
        <v>1</v>
      </c>
      <c r="AX333" t="str">
        <f t="shared" si="184"/>
        <v/>
      </c>
      <c r="AY333" s="255" t="str">
        <f t="shared" si="185"/>
        <v/>
      </c>
    </row>
    <row r="334" spans="1:51" x14ac:dyDescent="0.35">
      <c r="A334" s="286"/>
      <c r="B334" t="str">
        <f t="shared" ref="B334:J334" si="227">IF(B229="","",B229)</f>
        <v/>
      </c>
      <c r="C334" t="str">
        <f t="shared" si="227"/>
        <v/>
      </c>
      <c r="D334" t="str">
        <f t="shared" si="227"/>
        <v/>
      </c>
      <c r="E334" t="str">
        <f t="shared" si="227"/>
        <v/>
      </c>
      <c r="F334" t="str">
        <f t="shared" si="227"/>
        <v/>
      </c>
      <c r="G334" t="str">
        <f t="shared" si="227"/>
        <v/>
      </c>
      <c r="H334" t="str">
        <f t="shared" si="227"/>
        <v/>
      </c>
      <c r="J334" t="str">
        <f t="shared" si="227"/>
        <v/>
      </c>
      <c r="K334" t="str">
        <f t="shared" si="183"/>
        <v/>
      </c>
      <c r="L334" s="653"/>
      <c r="M334" s="653"/>
      <c r="N334" s="653"/>
      <c r="O334" s="653"/>
      <c r="P334" s="653"/>
      <c r="Q334" s="653"/>
      <c r="R334" s="653"/>
      <c r="S334" s="653"/>
      <c r="T334" s="653"/>
      <c r="U334" s="653"/>
      <c r="V334" s="653"/>
      <c r="W334" s="653"/>
      <c r="X334" s="653"/>
      <c r="Y334" s="653"/>
      <c r="Z334" s="653"/>
      <c r="AA334" s="653"/>
      <c r="AB334" s="653"/>
      <c r="AC334" s="653"/>
      <c r="AD334" s="653"/>
      <c r="AE334" s="653"/>
      <c r="AF334" s="653"/>
      <c r="AG334" s="653"/>
      <c r="AH334" s="653"/>
      <c r="AI334" s="653"/>
      <c r="AJ334" s="653"/>
      <c r="AK334" s="653"/>
      <c r="AL334" s="653"/>
      <c r="AM334" s="653"/>
      <c r="AN334" s="653"/>
      <c r="AO334" s="653"/>
      <c r="AP334" s="653"/>
      <c r="AQ334" s="653"/>
      <c r="AR334" s="653"/>
      <c r="AS334" s="653"/>
      <c r="AT334" s="653"/>
      <c r="AU334" s="653"/>
      <c r="AW334" t="b">
        <f t="array" ref="AW334">IF(AND(NOT(ISERROR($L334:$AU334))),TRUE,FALSE)</f>
        <v>1</v>
      </c>
      <c r="AX334" t="str">
        <f t="shared" si="184"/>
        <v/>
      </c>
      <c r="AY334" s="255" t="str">
        <f t="shared" si="185"/>
        <v/>
      </c>
    </row>
    <row r="335" spans="1:51" x14ac:dyDescent="0.35">
      <c r="A335" s="286"/>
      <c r="B335" t="str">
        <f t="shared" ref="B335:J335" si="228">IF(B230="","",B230)</f>
        <v/>
      </c>
      <c r="C335" t="str">
        <f t="shared" si="228"/>
        <v/>
      </c>
      <c r="D335" t="str">
        <f t="shared" si="228"/>
        <v/>
      </c>
      <c r="E335" t="str">
        <f t="shared" si="228"/>
        <v/>
      </c>
      <c r="F335" t="str">
        <f t="shared" si="228"/>
        <v/>
      </c>
      <c r="G335" t="str">
        <f t="shared" si="228"/>
        <v/>
      </c>
      <c r="H335" t="str">
        <f t="shared" si="228"/>
        <v/>
      </c>
      <c r="J335" t="str">
        <f t="shared" si="228"/>
        <v/>
      </c>
      <c r="K335" t="str">
        <f t="shared" si="183"/>
        <v/>
      </c>
      <c r="L335" s="653"/>
      <c r="M335" s="653"/>
      <c r="N335" s="653"/>
      <c r="O335" s="653"/>
      <c r="P335" s="653"/>
      <c r="Q335" s="653"/>
      <c r="R335" s="653"/>
      <c r="S335" s="653"/>
      <c r="T335" s="653"/>
      <c r="U335" s="653"/>
      <c r="V335" s="653"/>
      <c r="W335" s="653"/>
      <c r="X335" s="653"/>
      <c r="Y335" s="653"/>
      <c r="Z335" s="653"/>
      <c r="AA335" s="653"/>
      <c r="AB335" s="653"/>
      <c r="AC335" s="653"/>
      <c r="AD335" s="653"/>
      <c r="AE335" s="653"/>
      <c r="AF335" s="653"/>
      <c r="AG335" s="653"/>
      <c r="AH335" s="653"/>
      <c r="AI335" s="653"/>
      <c r="AJ335" s="653"/>
      <c r="AK335" s="653"/>
      <c r="AL335" s="653"/>
      <c r="AM335" s="653"/>
      <c r="AN335" s="653"/>
      <c r="AO335" s="653"/>
      <c r="AP335" s="653"/>
      <c r="AQ335" s="653"/>
      <c r="AR335" s="653"/>
      <c r="AS335" s="653"/>
      <c r="AT335" s="653"/>
      <c r="AU335" s="653"/>
      <c r="AW335" t="b">
        <f t="array" ref="AW335">IF(AND(NOT(ISERROR($L335:$AU335))),TRUE,FALSE)</f>
        <v>1</v>
      </c>
      <c r="AX335" t="str">
        <f t="shared" si="184"/>
        <v/>
      </c>
      <c r="AY335" s="255" t="str">
        <f t="shared" si="185"/>
        <v/>
      </c>
    </row>
    <row r="336" spans="1:51" x14ac:dyDescent="0.35">
      <c r="A336" s="286"/>
      <c r="B336" t="str">
        <f t="shared" ref="B336:J336" si="229">IF(B231="","",B231)</f>
        <v/>
      </c>
      <c r="C336" t="str">
        <f t="shared" si="229"/>
        <v/>
      </c>
      <c r="D336" t="str">
        <f t="shared" si="229"/>
        <v/>
      </c>
      <c r="E336" t="str">
        <f t="shared" si="229"/>
        <v/>
      </c>
      <c r="F336" t="str">
        <f t="shared" si="229"/>
        <v/>
      </c>
      <c r="G336" t="str">
        <f t="shared" si="229"/>
        <v/>
      </c>
      <c r="H336" t="str">
        <f t="shared" si="229"/>
        <v/>
      </c>
      <c r="J336" t="str">
        <f t="shared" si="229"/>
        <v/>
      </c>
      <c r="K336" t="str">
        <f t="shared" si="183"/>
        <v/>
      </c>
      <c r="L336" s="653"/>
      <c r="M336" s="653"/>
      <c r="N336" s="653"/>
      <c r="O336" s="653"/>
      <c r="P336" s="653"/>
      <c r="Q336" s="653"/>
      <c r="R336" s="653"/>
      <c r="S336" s="653"/>
      <c r="T336" s="653"/>
      <c r="U336" s="653"/>
      <c r="V336" s="653"/>
      <c r="W336" s="653"/>
      <c r="X336" s="653"/>
      <c r="Y336" s="653"/>
      <c r="Z336" s="653"/>
      <c r="AA336" s="653"/>
      <c r="AB336" s="653"/>
      <c r="AC336" s="653"/>
      <c r="AD336" s="653"/>
      <c r="AE336" s="653"/>
      <c r="AF336" s="653"/>
      <c r="AG336" s="653"/>
      <c r="AH336" s="653"/>
      <c r="AI336" s="653"/>
      <c r="AJ336" s="653"/>
      <c r="AK336" s="653"/>
      <c r="AL336" s="653"/>
      <c r="AM336" s="653"/>
      <c r="AN336" s="653"/>
      <c r="AO336" s="653"/>
      <c r="AP336" s="653"/>
      <c r="AQ336" s="653"/>
      <c r="AR336" s="653"/>
      <c r="AS336" s="653"/>
      <c r="AT336" s="653"/>
      <c r="AU336" s="653"/>
      <c r="AW336" t="b">
        <f t="array" ref="AW336">IF(AND(NOT(ISERROR($L336:$AU336))),TRUE,FALSE)</f>
        <v>1</v>
      </c>
      <c r="AX336" t="str">
        <f t="shared" si="184"/>
        <v/>
      </c>
      <c r="AY336" s="255" t="str">
        <f t="shared" si="185"/>
        <v/>
      </c>
    </row>
    <row r="337" spans="1:51" x14ac:dyDescent="0.35">
      <c r="A337" s="286"/>
      <c r="B337" t="str">
        <f t="shared" ref="B337:J337" si="230">IF(B232="","",B232)</f>
        <v/>
      </c>
      <c r="C337" t="str">
        <f t="shared" si="230"/>
        <v/>
      </c>
      <c r="D337" t="str">
        <f t="shared" si="230"/>
        <v/>
      </c>
      <c r="E337" t="str">
        <f t="shared" si="230"/>
        <v/>
      </c>
      <c r="F337" t="str">
        <f t="shared" si="230"/>
        <v/>
      </c>
      <c r="G337" t="str">
        <f t="shared" si="230"/>
        <v/>
      </c>
      <c r="H337" t="str">
        <f t="shared" si="230"/>
        <v/>
      </c>
      <c r="J337" t="str">
        <f t="shared" si="230"/>
        <v/>
      </c>
      <c r="K337" t="str">
        <f t="shared" si="183"/>
        <v/>
      </c>
      <c r="L337" s="653"/>
      <c r="M337" s="653"/>
      <c r="N337" s="653"/>
      <c r="O337" s="653"/>
      <c r="P337" s="653"/>
      <c r="Q337" s="653"/>
      <c r="R337" s="653"/>
      <c r="S337" s="653"/>
      <c r="T337" s="653"/>
      <c r="U337" s="653"/>
      <c r="V337" s="653"/>
      <c r="W337" s="653"/>
      <c r="X337" s="653"/>
      <c r="Y337" s="653"/>
      <c r="Z337" s="653"/>
      <c r="AA337" s="653"/>
      <c r="AB337" s="653"/>
      <c r="AC337" s="653"/>
      <c r="AD337" s="653"/>
      <c r="AE337" s="653"/>
      <c r="AF337" s="653"/>
      <c r="AG337" s="653"/>
      <c r="AH337" s="653"/>
      <c r="AI337" s="653"/>
      <c r="AJ337" s="653"/>
      <c r="AK337" s="653"/>
      <c r="AL337" s="653"/>
      <c r="AM337" s="653"/>
      <c r="AN337" s="653"/>
      <c r="AO337" s="653"/>
      <c r="AP337" s="653"/>
      <c r="AQ337" s="653"/>
      <c r="AR337" s="653"/>
      <c r="AS337" s="653"/>
      <c r="AT337" s="653"/>
      <c r="AU337" s="653"/>
      <c r="AW337" t="b">
        <f t="array" ref="AW337">IF(AND(NOT(ISERROR($L337:$AU337))),TRUE,FALSE)</f>
        <v>1</v>
      </c>
      <c r="AX337" t="str">
        <f t="shared" si="184"/>
        <v/>
      </c>
      <c r="AY337" s="255" t="str">
        <f t="shared" si="185"/>
        <v/>
      </c>
    </row>
    <row r="338" spans="1:51" x14ac:dyDescent="0.35">
      <c r="A338" s="286"/>
      <c r="B338" t="str">
        <f t="shared" ref="B338:J338" si="231">IF(B233="","",B233)</f>
        <v/>
      </c>
      <c r="C338" t="str">
        <f t="shared" si="231"/>
        <v/>
      </c>
      <c r="D338" t="str">
        <f t="shared" si="231"/>
        <v/>
      </c>
      <c r="E338" t="str">
        <f t="shared" si="231"/>
        <v/>
      </c>
      <c r="F338" t="str">
        <f t="shared" si="231"/>
        <v/>
      </c>
      <c r="G338" t="str">
        <f t="shared" si="231"/>
        <v/>
      </c>
      <c r="H338" t="str">
        <f t="shared" si="231"/>
        <v/>
      </c>
      <c r="J338" t="str">
        <f t="shared" si="231"/>
        <v/>
      </c>
      <c r="K338" t="str">
        <f t="shared" si="183"/>
        <v/>
      </c>
      <c r="L338" s="653"/>
      <c r="M338" s="653"/>
      <c r="N338" s="653"/>
      <c r="O338" s="653"/>
      <c r="P338" s="653"/>
      <c r="Q338" s="653"/>
      <c r="R338" s="653"/>
      <c r="S338" s="653"/>
      <c r="T338" s="653"/>
      <c r="U338" s="653"/>
      <c r="V338" s="653"/>
      <c r="W338" s="653"/>
      <c r="X338" s="653"/>
      <c r="Y338" s="653"/>
      <c r="Z338" s="653"/>
      <c r="AA338" s="653"/>
      <c r="AB338" s="653"/>
      <c r="AC338" s="653"/>
      <c r="AD338" s="653"/>
      <c r="AE338" s="653"/>
      <c r="AF338" s="653"/>
      <c r="AG338" s="653"/>
      <c r="AH338" s="653"/>
      <c r="AI338" s="653"/>
      <c r="AJ338" s="653"/>
      <c r="AK338" s="653"/>
      <c r="AL338" s="653"/>
      <c r="AM338" s="653"/>
      <c r="AN338" s="653"/>
      <c r="AO338" s="653"/>
      <c r="AP338" s="653"/>
      <c r="AQ338" s="653"/>
      <c r="AR338" s="653"/>
      <c r="AS338" s="653"/>
      <c r="AT338" s="653"/>
      <c r="AU338" s="653"/>
      <c r="AW338" t="b">
        <f t="array" ref="AW338">IF(AND(NOT(ISERROR($L338:$AU338))),TRUE,FALSE)</f>
        <v>1</v>
      </c>
      <c r="AX338" t="str">
        <f t="shared" si="184"/>
        <v/>
      </c>
      <c r="AY338" s="255" t="str">
        <f t="shared" si="185"/>
        <v/>
      </c>
    </row>
    <row r="339" spans="1:51" x14ac:dyDescent="0.35">
      <c r="A339" s="286"/>
      <c r="B339" t="str">
        <f t="shared" ref="B339:J339" si="232">IF(B234="","",B234)</f>
        <v/>
      </c>
      <c r="C339" t="str">
        <f t="shared" si="232"/>
        <v/>
      </c>
      <c r="D339" t="str">
        <f t="shared" si="232"/>
        <v/>
      </c>
      <c r="E339" t="str">
        <f t="shared" si="232"/>
        <v/>
      </c>
      <c r="F339" t="str">
        <f t="shared" si="232"/>
        <v/>
      </c>
      <c r="G339" t="str">
        <f t="shared" si="232"/>
        <v/>
      </c>
      <c r="H339" t="str">
        <f t="shared" si="232"/>
        <v/>
      </c>
      <c r="J339" t="str">
        <f t="shared" si="232"/>
        <v/>
      </c>
      <c r="K339" t="str">
        <f t="shared" si="183"/>
        <v/>
      </c>
      <c r="L339" s="653"/>
      <c r="M339" s="653"/>
      <c r="N339" s="653"/>
      <c r="O339" s="653"/>
      <c r="P339" s="653"/>
      <c r="Q339" s="653"/>
      <c r="R339" s="653"/>
      <c r="S339" s="653"/>
      <c r="T339" s="653"/>
      <c r="U339" s="653"/>
      <c r="V339" s="653"/>
      <c r="W339" s="653"/>
      <c r="X339" s="653"/>
      <c r="Y339" s="653"/>
      <c r="Z339" s="653"/>
      <c r="AA339" s="653"/>
      <c r="AB339" s="653"/>
      <c r="AC339" s="653"/>
      <c r="AD339" s="653"/>
      <c r="AE339" s="653"/>
      <c r="AF339" s="653"/>
      <c r="AG339" s="653"/>
      <c r="AH339" s="653"/>
      <c r="AI339" s="653"/>
      <c r="AJ339" s="653"/>
      <c r="AK339" s="653"/>
      <c r="AL339" s="653"/>
      <c r="AM339" s="653"/>
      <c r="AN339" s="653"/>
      <c r="AO339" s="653"/>
      <c r="AP339" s="653"/>
      <c r="AQ339" s="653"/>
      <c r="AR339" s="653"/>
      <c r="AS339" s="653"/>
      <c r="AT339" s="653"/>
      <c r="AU339" s="653"/>
      <c r="AW339" t="b">
        <f t="array" ref="AW339">IF(AND(NOT(ISERROR($L339:$AU339))),TRUE,FALSE)</f>
        <v>1</v>
      </c>
      <c r="AX339" t="str">
        <f t="shared" si="184"/>
        <v/>
      </c>
      <c r="AY339" s="255" t="str">
        <f t="shared" si="185"/>
        <v/>
      </c>
    </row>
    <row r="340" spans="1:51" x14ac:dyDescent="0.35">
      <c r="A340" s="286"/>
      <c r="B340" t="str">
        <f t="shared" ref="B340:J340" si="233">IF(B235="","",B235)</f>
        <v/>
      </c>
      <c r="C340" t="str">
        <f t="shared" si="233"/>
        <v/>
      </c>
      <c r="D340" t="str">
        <f t="shared" si="233"/>
        <v/>
      </c>
      <c r="E340" t="str">
        <f t="shared" si="233"/>
        <v/>
      </c>
      <c r="F340" t="str">
        <f t="shared" si="233"/>
        <v/>
      </c>
      <c r="G340" t="str">
        <f t="shared" si="233"/>
        <v/>
      </c>
      <c r="H340" t="str">
        <f t="shared" si="233"/>
        <v/>
      </c>
      <c r="J340" t="str">
        <f t="shared" si="233"/>
        <v/>
      </c>
      <c r="K340" t="str">
        <f t="shared" si="183"/>
        <v/>
      </c>
      <c r="L340" s="653"/>
      <c r="M340" s="653"/>
      <c r="N340" s="653"/>
      <c r="O340" s="653"/>
      <c r="P340" s="653"/>
      <c r="Q340" s="653"/>
      <c r="R340" s="653"/>
      <c r="S340" s="653"/>
      <c r="T340" s="653"/>
      <c r="U340" s="653"/>
      <c r="V340" s="653"/>
      <c r="W340" s="653"/>
      <c r="X340" s="653"/>
      <c r="Y340" s="653"/>
      <c r="Z340" s="653"/>
      <c r="AA340" s="653"/>
      <c r="AB340" s="653"/>
      <c r="AC340" s="653"/>
      <c r="AD340" s="653"/>
      <c r="AE340" s="653"/>
      <c r="AF340" s="653"/>
      <c r="AG340" s="653"/>
      <c r="AH340" s="653"/>
      <c r="AI340" s="653"/>
      <c r="AJ340" s="653"/>
      <c r="AK340" s="653"/>
      <c r="AL340" s="653"/>
      <c r="AM340" s="653"/>
      <c r="AN340" s="653"/>
      <c r="AO340" s="653"/>
      <c r="AP340" s="653"/>
      <c r="AQ340" s="653"/>
      <c r="AR340" s="653"/>
      <c r="AS340" s="653"/>
      <c r="AT340" s="653"/>
      <c r="AU340" s="653"/>
      <c r="AW340" t="b">
        <f t="array" ref="AW340">IF(AND(NOT(ISERROR($L340:$AU340))),TRUE,FALSE)</f>
        <v>1</v>
      </c>
      <c r="AX340" t="str">
        <f t="shared" si="184"/>
        <v/>
      </c>
      <c r="AY340" s="255" t="str">
        <f t="shared" si="185"/>
        <v/>
      </c>
    </row>
    <row r="341" spans="1:51" x14ac:dyDescent="0.35">
      <c r="A341" s="286"/>
      <c r="B341" t="str">
        <f t="shared" ref="B341:J341" si="234">IF(B236="","",B236)</f>
        <v/>
      </c>
      <c r="C341" t="str">
        <f t="shared" si="234"/>
        <v/>
      </c>
      <c r="D341" t="str">
        <f t="shared" si="234"/>
        <v/>
      </c>
      <c r="E341" t="str">
        <f t="shared" si="234"/>
        <v/>
      </c>
      <c r="F341" t="str">
        <f t="shared" si="234"/>
        <v/>
      </c>
      <c r="G341" t="str">
        <f t="shared" si="234"/>
        <v/>
      </c>
      <c r="H341" t="str">
        <f t="shared" si="234"/>
        <v/>
      </c>
      <c r="J341" t="str">
        <f t="shared" si="234"/>
        <v/>
      </c>
      <c r="K341" t="str">
        <f t="shared" si="183"/>
        <v/>
      </c>
      <c r="L341" s="653"/>
      <c r="M341" s="653"/>
      <c r="N341" s="653"/>
      <c r="O341" s="653"/>
      <c r="P341" s="653"/>
      <c r="Q341" s="653"/>
      <c r="R341" s="653"/>
      <c r="S341" s="653"/>
      <c r="T341" s="653"/>
      <c r="U341" s="653"/>
      <c r="V341" s="653"/>
      <c r="W341" s="653"/>
      <c r="X341" s="653"/>
      <c r="Y341" s="653"/>
      <c r="Z341" s="653"/>
      <c r="AA341" s="653"/>
      <c r="AB341" s="653"/>
      <c r="AC341" s="653"/>
      <c r="AD341" s="653"/>
      <c r="AE341" s="653"/>
      <c r="AF341" s="653"/>
      <c r="AG341" s="653"/>
      <c r="AH341" s="653"/>
      <c r="AI341" s="653"/>
      <c r="AJ341" s="653"/>
      <c r="AK341" s="653"/>
      <c r="AL341" s="653"/>
      <c r="AM341" s="653"/>
      <c r="AN341" s="653"/>
      <c r="AO341" s="653"/>
      <c r="AP341" s="653"/>
      <c r="AQ341" s="653"/>
      <c r="AR341" s="653"/>
      <c r="AS341" s="653"/>
      <c r="AT341" s="653"/>
      <c r="AU341" s="653"/>
      <c r="AW341" t="b">
        <f t="array" ref="AW341">IF(AND(NOT(ISERROR($L341:$AU341))),TRUE,FALSE)</f>
        <v>1</v>
      </c>
      <c r="AX341" t="str">
        <f t="shared" si="184"/>
        <v/>
      </c>
      <c r="AY341" s="255" t="str">
        <f t="shared" si="185"/>
        <v/>
      </c>
    </row>
    <row r="342" spans="1:51" x14ac:dyDescent="0.35">
      <c r="A342" s="286"/>
      <c r="B342" t="str">
        <f t="shared" ref="B342:J342" si="235">IF(B237="","",B237)</f>
        <v/>
      </c>
      <c r="C342" t="str">
        <f t="shared" si="235"/>
        <v/>
      </c>
      <c r="D342" t="str">
        <f t="shared" si="235"/>
        <v/>
      </c>
      <c r="E342" t="str">
        <f t="shared" si="235"/>
        <v/>
      </c>
      <c r="F342" t="str">
        <f t="shared" si="235"/>
        <v/>
      </c>
      <c r="G342" t="str">
        <f t="shared" si="235"/>
        <v/>
      </c>
      <c r="H342" t="str">
        <f t="shared" si="235"/>
        <v/>
      </c>
      <c r="J342" t="str">
        <f t="shared" si="235"/>
        <v/>
      </c>
      <c r="K342" t="str">
        <f t="shared" si="183"/>
        <v/>
      </c>
      <c r="L342" s="653"/>
      <c r="M342" s="653"/>
      <c r="N342" s="653"/>
      <c r="O342" s="653"/>
      <c r="P342" s="653"/>
      <c r="Q342" s="653"/>
      <c r="R342" s="653"/>
      <c r="S342" s="653"/>
      <c r="T342" s="653"/>
      <c r="U342" s="653"/>
      <c r="V342" s="653"/>
      <c r="W342" s="653"/>
      <c r="X342" s="653"/>
      <c r="Y342" s="653"/>
      <c r="Z342" s="653"/>
      <c r="AA342" s="653"/>
      <c r="AB342" s="653"/>
      <c r="AC342" s="653"/>
      <c r="AD342" s="653"/>
      <c r="AE342" s="653"/>
      <c r="AF342" s="653"/>
      <c r="AG342" s="653"/>
      <c r="AH342" s="653"/>
      <c r="AI342" s="653"/>
      <c r="AJ342" s="653"/>
      <c r="AK342" s="653"/>
      <c r="AL342" s="653"/>
      <c r="AM342" s="653"/>
      <c r="AN342" s="653"/>
      <c r="AO342" s="653"/>
      <c r="AP342" s="653"/>
      <c r="AQ342" s="653"/>
      <c r="AR342" s="653"/>
      <c r="AS342" s="653"/>
      <c r="AT342" s="653"/>
      <c r="AU342" s="653"/>
      <c r="AW342" t="b">
        <f t="array" ref="AW342">IF(AND(NOT(ISERROR($L342:$AU342))),TRUE,FALSE)</f>
        <v>1</v>
      </c>
      <c r="AX342" t="str">
        <f t="shared" si="184"/>
        <v/>
      </c>
      <c r="AY342" s="255" t="str">
        <f t="shared" si="185"/>
        <v/>
      </c>
    </row>
    <row r="343" spans="1:51" x14ac:dyDescent="0.35">
      <c r="A343" s="286"/>
      <c r="B343" t="str">
        <f t="shared" ref="B343:J343" si="236">IF(B238="","",B238)</f>
        <v/>
      </c>
      <c r="C343" t="str">
        <f t="shared" si="236"/>
        <v/>
      </c>
      <c r="D343" t="str">
        <f t="shared" si="236"/>
        <v/>
      </c>
      <c r="E343" t="str">
        <f t="shared" si="236"/>
        <v/>
      </c>
      <c r="F343" t="str">
        <f t="shared" si="236"/>
        <v/>
      </c>
      <c r="G343" t="str">
        <f t="shared" si="236"/>
        <v/>
      </c>
      <c r="H343" t="str">
        <f t="shared" si="236"/>
        <v/>
      </c>
      <c r="J343" t="str">
        <f t="shared" si="236"/>
        <v/>
      </c>
      <c r="K343" t="str">
        <f t="shared" si="183"/>
        <v/>
      </c>
      <c r="L343" s="653"/>
      <c r="M343" s="653"/>
      <c r="N343" s="653"/>
      <c r="O343" s="653"/>
      <c r="P343" s="653"/>
      <c r="Q343" s="653"/>
      <c r="R343" s="653"/>
      <c r="S343" s="653"/>
      <c r="T343" s="653"/>
      <c r="U343" s="653"/>
      <c r="V343" s="653"/>
      <c r="W343" s="653"/>
      <c r="X343" s="653"/>
      <c r="Y343" s="653"/>
      <c r="Z343" s="653"/>
      <c r="AA343" s="653"/>
      <c r="AB343" s="653"/>
      <c r="AC343" s="653"/>
      <c r="AD343" s="653"/>
      <c r="AE343" s="653"/>
      <c r="AF343" s="653"/>
      <c r="AG343" s="653"/>
      <c r="AH343" s="653"/>
      <c r="AI343" s="653"/>
      <c r="AJ343" s="653"/>
      <c r="AK343" s="653"/>
      <c r="AL343" s="653"/>
      <c r="AM343" s="653"/>
      <c r="AN343" s="653"/>
      <c r="AO343" s="653"/>
      <c r="AP343" s="653"/>
      <c r="AQ343" s="653"/>
      <c r="AR343" s="653"/>
      <c r="AS343" s="653"/>
      <c r="AT343" s="653"/>
      <c r="AU343" s="653"/>
      <c r="AW343" t="b">
        <f t="array" ref="AW343">IF(AND(NOT(ISERROR($L343:$AU343))),TRUE,FALSE)</f>
        <v>1</v>
      </c>
      <c r="AX343" t="str">
        <f t="shared" si="184"/>
        <v/>
      </c>
      <c r="AY343" s="255" t="str">
        <f t="shared" si="185"/>
        <v/>
      </c>
    </row>
    <row r="344" spans="1:51" x14ac:dyDescent="0.35">
      <c r="A344" s="286"/>
      <c r="B344" t="str">
        <f t="shared" ref="B344:J344" si="237">IF(B239="","",B239)</f>
        <v/>
      </c>
      <c r="C344" t="str">
        <f t="shared" si="237"/>
        <v/>
      </c>
      <c r="D344" t="str">
        <f t="shared" si="237"/>
        <v/>
      </c>
      <c r="E344" t="str">
        <f t="shared" si="237"/>
        <v/>
      </c>
      <c r="F344" t="str">
        <f t="shared" si="237"/>
        <v/>
      </c>
      <c r="G344" t="str">
        <f t="shared" si="237"/>
        <v/>
      </c>
      <c r="H344" t="str">
        <f t="shared" si="237"/>
        <v/>
      </c>
      <c r="J344" t="str">
        <f t="shared" si="237"/>
        <v/>
      </c>
      <c r="K344" t="str">
        <f t="shared" si="183"/>
        <v/>
      </c>
      <c r="L344" s="653"/>
      <c r="M344" s="653"/>
      <c r="N344" s="653"/>
      <c r="O344" s="653"/>
      <c r="P344" s="653"/>
      <c r="Q344" s="653"/>
      <c r="R344" s="653"/>
      <c r="S344" s="653"/>
      <c r="T344" s="653"/>
      <c r="U344" s="653"/>
      <c r="V344" s="653"/>
      <c r="W344" s="653"/>
      <c r="X344" s="653"/>
      <c r="Y344" s="653"/>
      <c r="Z344" s="653"/>
      <c r="AA344" s="653"/>
      <c r="AB344" s="653"/>
      <c r="AC344" s="653"/>
      <c r="AD344" s="653"/>
      <c r="AE344" s="653"/>
      <c r="AF344" s="653"/>
      <c r="AG344" s="653"/>
      <c r="AH344" s="653"/>
      <c r="AI344" s="653"/>
      <c r="AJ344" s="653"/>
      <c r="AK344" s="653"/>
      <c r="AL344" s="653"/>
      <c r="AM344" s="653"/>
      <c r="AN344" s="653"/>
      <c r="AO344" s="653"/>
      <c r="AP344" s="653"/>
      <c r="AQ344" s="653"/>
      <c r="AR344" s="653"/>
      <c r="AS344" s="653"/>
      <c r="AT344" s="653"/>
      <c r="AU344" s="653"/>
      <c r="AW344" t="b">
        <f t="array" ref="AW344">IF(AND(NOT(ISERROR($L344:$AU344))),TRUE,FALSE)</f>
        <v>1</v>
      </c>
      <c r="AX344" t="str">
        <f t="shared" si="184"/>
        <v/>
      </c>
      <c r="AY344" s="255" t="str">
        <f t="shared" si="185"/>
        <v/>
      </c>
    </row>
    <row r="345" spans="1:51" x14ac:dyDescent="0.35">
      <c r="A345" s="286"/>
      <c r="B345" t="str">
        <f t="shared" ref="B345:J345" si="238">IF(B240="","",B240)</f>
        <v/>
      </c>
      <c r="C345" t="str">
        <f t="shared" si="238"/>
        <v/>
      </c>
      <c r="D345" t="str">
        <f t="shared" si="238"/>
        <v/>
      </c>
      <c r="E345" t="str">
        <f t="shared" si="238"/>
        <v/>
      </c>
      <c r="F345" t="str">
        <f t="shared" si="238"/>
        <v/>
      </c>
      <c r="G345" t="str">
        <f t="shared" si="238"/>
        <v/>
      </c>
      <c r="H345" t="str">
        <f t="shared" si="238"/>
        <v/>
      </c>
      <c r="J345" t="str">
        <f t="shared" si="238"/>
        <v/>
      </c>
      <c r="K345" t="str">
        <f t="shared" si="183"/>
        <v/>
      </c>
      <c r="L345" s="653"/>
      <c r="M345" s="653"/>
      <c r="N345" s="653"/>
      <c r="O345" s="653"/>
      <c r="P345" s="653"/>
      <c r="Q345" s="653"/>
      <c r="R345" s="653"/>
      <c r="S345" s="653"/>
      <c r="T345" s="653"/>
      <c r="U345" s="653"/>
      <c r="V345" s="653"/>
      <c r="W345" s="653"/>
      <c r="X345" s="653"/>
      <c r="Y345" s="653"/>
      <c r="Z345" s="653"/>
      <c r="AA345" s="653"/>
      <c r="AB345" s="653"/>
      <c r="AC345" s="653"/>
      <c r="AD345" s="653"/>
      <c r="AE345" s="653"/>
      <c r="AF345" s="653"/>
      <c r="AG345" s="653"/>
      <c r="AH345" s="653"/>
      <c r="AI345" s="653"/>
      <c r="AJ345" s="653"/>
      <c r="AK345" s="653"/>
      <c r="AL345" s="653"/>
      <c r="AM345" s="653"/>
      <c r="AN345" s="653"/>
      <c r="AO345" s="653"/>
      <c r="AP345" s="653"/>
      <c r="AQ345" s="653"/>
      <c r="AR345" s="653"/>
      <c r="AS345" s="653"/>
      <c r="AT345" s="653"/>
      <c r="AU345" s="653"/>
      <c r="AW345" t="b">
        <f t="array" ref="AW345">IF(AND(NOT(ISERROR($L345:$AU345))),TRUE,FALSE)</f>
        <v>1</v>
      </c>
      <c r="AX345" t="str">
        <f t="shared" si="184"/>
        <v/>
      </c>
      <c r="AY345" s="255" t="str">
        <f t="shared" si="185"/>
        <v/>
      </c>
    </row>
    <row r="346" spans="1:51" x14ac:dyDescent="0.35">
      <c r="A346" s="286"/>
      <c r="B346" t="str">
        <f t="shared" ref="B346:J346" si="239">IF(B241="","",B241)</f>
        <v/>
      </c>
      <c r="C346" t="str">
        <f t="shared" si="239"/>
        <v/>
      </c>
      <c r="D346" t="str">
        <f t="shared" si="239"/>
        <v/>
      </c>
      <c r="E346" t="str">
        <f t="shared" si="239"/>
        <v/>
      </c>
      <c r="F346" t="str">
        <f t="shared" si="239"/>
        <v/>
      </c>
      <c r="G346" t="str">
        <f t="shared" si="239"/>
        <v/>
      </c>
      <c r="H346" t="str">
        <f t="shared" si="239"/>
        <v/>
      </c>
      <c r="J346" t="str">
        <f t="shared" si="239"/>
        <v/>
      </c>
      <c r="K346" t="str">
        <f t="shared" si="183"/>
        <v/>
      </c>
      <c r="L346" s="653"/>
      <c r="M346" s="653"/>
      <c r="N346" s="653"/>
      <c r="O346" s="653"/>
      <c r="P346" s="653"/>
      <c r="Q346" s="653"/>
      <c r="R346" s="653"/>
      <c r="S346" s="653"/>
      <c r="T346" s="653"/>
      <c r="U346" s="653"/>
      <c r="V346" s="653"/>
      <c r="W346" s="653"/>
      <c r="X346" s="653"/>
      <c r="Y346" s="653"/>
      <c r="Z346" s="653"/>
      <c r="AA346" s="653"/>
      <c r="AB346" s="653"/>
      <c r="AC346" s="653"/>
      <c r="AD346" s="653"/>
      <c r="AE346" s="653"/>
      <c r="AF346" s="653"/>
      <c r="AG346" s="653"/>
      <c r="AH346" s="653"/>
      <c r="AI346" s="653"/>
      <c r="AJ346" s="653"/>
      <c r="AK346" s="653"/>
      <c r="AL346" s="653"/>
      <c r="AM346" s="653"/>
      <c r="AN346" s="653"/>
      <c r="AO346" s="653"/>
      <c r="AP346" s="653"/>
      <c r="AQ346" s="653"/>
      <c r="AR346" s="653"/>
      <c r="AS346" s="653"/>
      <c r="AT346" s="653"/>
      <c r="AU346" s="653"/>
      <c r="AW346" t="b">
        <f t="array" ref="AW346">IF(AND(NOT(ISERROR($L346:$AU346))),TRUE,FALSE)</f>
        <v>1</v>
      </c>
      <c r="AX346" t="str">
        <f t="shared" si="184"/>
        <v/>
      </c>
      <c r="AY346" s="255" t="str">
        <f t="shared" si="185"/>
        <v/>
      </c>
    </row>
    <row r="347" spans="1:51" x14ac:dyDescent="0.35">
      <c r="A347" s="286"/>
      <c r="B347" t="str">
        <f t="shared" ref="B347:J347" si="240">IF(B242="","",B242)</f>
        <v/>
      </c>
      <c r="C347" t="str">
        <f t="shared" si="240"/>
        <v/>
      </c>
      <c r="D347" t="str">
        <f t="shared" si="240"/>
        <v/>
      </c>
      <c r="E347" t="str">
        <f t="shared" si="240"/>
        <v/>
      </c>
      <c r="F347" t="str">
        <f t="shared" si="240"/>
        <v/>
      </c>
      <c r="G347" t="str">
        <f t="shared" si="240"/>
        <v/>
      </c>
      <c r="H347" t="str">
        <f t="shared" si="240"/>
        <v/>
      </c>
      <c r="J347" t="str">
        <f t="shared" si="240"/>
        <v/>
      </c>
      <c r="K347" t="str">
        <f t="shared" si="183"/>
        <v/>
      </c>
      <c r="L347" s="653"/>
      <c r="M347" s="653"/>
      <c r="N347" s="653"/>
      <c r="O347" s="653"/>
      <c r="P347" s="653"/>
      <c r="Q347" s="653"/>
      <c r="R347" s="653"/>
      <c r="S347" s="653"/>
      <c r="T347" s="653"/>
      <c r="U347" s="653"/>
      <c r="V347" s="653"/>
      <c r="W347" s="653"/>
      <c r="X347" s="653"/>
      <c r="Y347" s="653"/>
      <c r="Z347" s="653"/>
      <c r="AA347" s="653"/>
      <c r="AB347" s="653"/>
      <c r="AC347" s="653"/>
      <c r="AD347" s="653"/>
      <c r="AE347" s="653"/>
      <c r="AF347" s="653"/>
      <c r="AG347" s="653"/>
      <c r="AH347" s="653"/>
      <c r="AI347" s="653"/>
      <c r="AJ347" s="653"/>
      <c r="AK347" s="653"/>
      <c r="AL347" s="653"/>
      <c r="AM347" s="653"/>
      <c r="AN347" s="653"/>
      <c r="AO347" s="653"/>
      <c r="AP347" s="653"/>
      <c r="AQ347" s="653"/>
      <c r="AR347" s="653"/>
      <c r="AS347" s="653"/>
      <c r="AT347" s="653"/>
      <c r="AU347" s="653"/>
      <c r="AW347" t="b">
        <f t="array" ref="AW347">IF(AND(NOT(ISERROR($L347:$AU347))),TRUE,FALSE)</f>
        <v>1</v>
      </c>
      <c r="AX347" t="str">
        <f t="shared" si="184"/>
        <v/>
      </c>
      <c r="AY347" s="255" t="str">
        <f t="shared" si="185"/>
        <v/>
      </c>
    </row>
    <row r="348" spans="1:51" x14ac:dyDescent="0.35">
      <c r="A348" s="286"/>
      <c r="B348" t="str">
        <f t="shared" ref="B348:J348" si="241">IF(B243="","",B243)</f>
        <v/>
      </c>
      <c r="C348" t="str">
        <f t="shared" si="241"/>
        <v/>
      </c>
      <c r="D348" t="str">
        <f t="shared" si="241"/>
        <v/>
      </c>
      <c r="E348" t="str">
        <f t="shared" si="241"/>
        <v/>
      </c>
      <c r="F348" t="str">
        <f t="shared" si="241"/>
        <v/>
      </c>
      <c r="G348" t="str">
        <f t="shared" si="241"/>
        <v/>
      </c>
      <c r="H348" t="str">
        <f t="shared" si="241"/>
        <v/>
      </c>
      <c r="J348" t="str">
        <f t="shared" si="241"/>
        <v/>
      </c>
      <c r="K348" t="str">
        <f t="shared" si="183"/>
        <v/>
      </c>
      <c r="L348" s="653"/>
      <c r="M348" s="653"/>
      <c r="N348" s="653"/>
      <c r="O348" s="653"/>
      <c r="P348" s="653"/>
      <c r="Q348" s="653"/>
      <c r="R348" s="653"/>
      <c r="S348" s="653"/>
      <c r="T348" s="653"/>
      <c r="U348" s="653"/>
      <c r="V348" s="653"/>
      <c r="W348" s="653"/>
      <c r="X348" s="653"/>
      <c r="Y348" s="653"/>
      <c r="Z348" s="653"/>
      <c r="AA348" s="653"/>
      <c r="AB348" s="653"/>
      <c r="AC348" s="653"/>
      <c r="AD348" s="653"/>
      <c r="AE348" s="653"/>
      <c r="AF348" s="653"/>
      <c r="AG348" s="653"/>
      <c r="AH348" s="653"/>
      <c r="AI348" s="653"/>
      <c r="AJ348" s="653"/>
      <c r="AK348" s="653"/>
      <c r="AL348" s="653"/>
      <c r="AM348" s="653"/>
      <c r="AN348" s="653"/>
      <c r="AO348" s="653"/>
      <c r="AP348" s="653"/>
      <c r="AQ348" s="653"/>
      <c r="AR348" s="653"/>
      <c r="AS348" s="653"/>
      <c r="AT348" s="653"/>
      <c r="AU348" s="653"/>
      <c r="AW348" t="b">
        <f t="array" ref="AW348">IF(AND(NOT(ISERROR($L348:$AU348))),TRUE,FALSE)</f>
        <v>1</v>
      </c>
      <c r="AX348" t="str">
        <f t="shared" si="184"/>
        <v/>
      </c>
      <c r="AY348" s="255" t="str">
        <f t="shared" si="185"/>
        <v/>
      </c>
    </row>
    <row r="349" spans="1:51" x14ac:dyDescent="0.35">
      <c r="A349" s="286"/>
      <c r="B349" t="str">
        <f t="shared" ref="B349:J349" si="242">IF(B244="","",B244)</f>
        <v/>
      </c>
      <c r="C349" t="str">
        <f t="shared" si="242"/>
        <v/>
      </c>
      <c r="D349" t="str">
        <f t="shared" si="242"/>
        <v/>
      </c>
      <c r="E349" t="str">
        <f t="shared" si="242"/>
        <v/>
      </c>
      <c r="F349" t="str">
        <f t="shared" si="242"/>
        <v/>
      </c>
      <c r="G349" t="str">
        <f t="shared" si="242"/>
        <v/>
      </c>
      <c r="H349" t="str">
        <f t="shared" si="242"/>
        <v/>
      </c>
      <c r="J349" t="str">
        <f t="shared" si="242"/>
        <v/>
      </c>
      <c r="K349" t="str">
        <f t="shared" si="183"/>
        <v/>
      </c>
      <c r="L349" s="653"/>
      <c r="M349" s="653"/>
      <c r="N349" s="653"/>
      <c r="O349" s="653"/>
      <c r="P349" s="653"/>
      <c r="Q349" s="653"/>
      <c r="R349" s="653"/>
      <c r="S349" s="653"/>
      <c r="T349" s="653"/>
      <c r="U349" s="653"/>
      <c r="V349" s="653"/>
      <c r="W349" s="653"/>
      <c r="X349" s="653"/>
      <c r="Y349" s="653"/>
      <c r="Z349" s="653"/>
      <c r="AA349" s="653"/>
      <c r="AB349" s="653"/>
      <c r="AC349" s="653"/>
      <c r="AD349" s="653"/>
      <c r="AE349" s="653"/>
      <c r="AF349" s="653"/>
      <c r="AG349" s="653"/>
      <c r="AH349" s="653"/>
      <c r="AI349" s="653"/>
      <c r="AJ349" s="653"/>
      <c r="AK349" s="653"/>
      <c r="AL349" s="653"/>
      <c r="AM349" s="653"/>
      <c r="AN349" s="653"/>
      <c r="AO349" s="653"/>
      <c r="AP349" s="653"/>
      <c r="AQ349" s="653"/>
      <c r="AR349" s="653"/>
      <c r="AS349" s="653"/>
      <c r="AT349" s="653"/>
      <c r="AU349" s="653"/>
      <c r="AW349" t="b">
        <f t="array" ref="AW349">IF(AND(NOT(ISERROR($L349:$AU349))),TRUE,FALSE)</f>
        <v>1</v>
      </c>
      <c r="AX349" t="str">
        <f t="shared" si="184"/>
        <v/>
      </c>
      <c r="AY349" s="255" t="str">
        <f t="shared" si="185"/>
        <v/>
      </c>
    </row>
    <row r="350" spans="1:51" x14ac:dyDescent="0.35">
      <c r="A350" s="286"/>
      <c r="B350" t="str">
        <f t="shared" ref="B350:J350" si="243">IF(B245="","",B245)</f>
        <v/>
      </c>
      <c r="C350" t="str">
        <f t="shared" si="243"/>
        <v/>
      </c>
      <c r="D350" t="str">
        <f t="shared" si="243"/>
        <v/>
      </c>
      <c r="E350" t="str">
        <f t="shared" si="243"/>
        <v/>
      </c>
      <c r="F350" t="str">
        <f t="shared" si="243"/>
        <v/>
      </c>
      <c r="G350" t="str">
        <f t="shared" si="243"/>
        <v/>
      </c>
      <c r="H350" t="str">
        <f t="shared" si="243"/>
        <v/>
      </c>
      <c r="J350" t="str">
        <f t="shared" si="243"/>
        <v/>
      </c>
      <c r="K350" t="str">
        <f t="shared" si="183"/>
        <v/>
      </c>
      <c r="L350" s="653"/>
      <c r="M350" s="653"/>
      <c r="N350" s="653"/>
      <c r="O350" s="653"/>
      <c r="P350" s="653"/>
      <c r="Q350" s="653"/>
      <c r="R350" s="653"/>
      <c r="S350" s="653"/>
      <c r="T350" s="653"/>
      <c r="U350" s="653"/>
      <c r="V350" s="653"/>
      <c r="W350" s="653"/>
      <c r="X350" s="653"/>
      <c r="Y350" s="653"/>
      <c r="Z350" s="653"/>
      <c r="AA350" s="653"/>
      <c r="AB350" s="653"/>
      <c r="AC350" s="653"/>
      <c r="AD350" s="653"/>
      <c r="AE350" s="653"/>
      <c r="AF350" s="653"/>
      <c r="AG350" s="653"/>
      <c r="AH350" s="653"/>
      <c r="AI350" s="653"/>
      <c r="AJ350" s="653"/>
      <c r="AK350" s="653"/>
      <c r="AL350" s="653"/>
      <c r="AM350" s="653"/>
      <c r="AN350" s="653"/>
      <c r="AO350" s="653"/>
      <c r="AP350" s="653"/>
      <c r="AQ350" s="653"/>
      <c r="AR350" s="653"/>
      <c r="AS350" s="653"/>
      <c r="AT350" s="653"/>
      <c r="AU350" s="653"/>
      <c r="AW350" t="b">
        <f t="array" ref="AW350">IF(AND(NOT(ISERROR($L350:$AU350))),TRUE,FALSE)</f>
        <v>1</v>
      </c>
      <c r="AX350" t="str">
        <f t="shared" si="184"/>
        <v/>
      </c>
      <c r="AY350" s="255" t="str">
        <f t="shared" si="185"/>
        <v/>
      </c>
    </row>
    <row r="351" spans="1:51" x14ac:dyDescent="0.35">
      <c r="A351" s="286"/>
      <c r="B351" t="str">
        <f t="shared" ref="B351:J351" si="244">IF(B246="","",B246)</f>
        <v/>
      </c>
      <c r="C351" t="str">
        <f t="shared" si="244"/>
        <v/>
      </c>
      <c r="D351" t="str">
        <f t="shared" si="244"/>
        <v/>
      </c>
      <c r="E351" t="str">
        <f t="shared" si="244"/>
        <v/>
      </c>
      <c r="F351" t="str">
        <f t="shared" si="244"/>
        <v/>
      </c>
      <c r="G351" t="str">
        <f t="shared" si="244"/>
        <v/>
      </c>
      <c r="H351" t="str">
        <f t="shared" si="244"/>
        <v/>
      </c>
      <c r="J351" t="str">
        <f t="shared" si="244"/>
        <v/>
      </c>
      <c r="K351" t="str">
        <f t="shared" si="183"/>
        <v/>
      </c>
      <c r="L351" s="653"/>
      <c r="M351" s="653"/>
      <c r="N351" s="653"/>
      <c r="O351" s="653"/>
      <c r="P351" s="653"/>
      <c r="Q351" s="653"/>
      <c r="R351" s="653"/>
      <c r="S351" s="653"/>
      <c r="T351" s="653"/>
      <c r="U351" s="653"/>
      <c r="V351" s="653"/>
      <c r="W351" s="653"/>
      <c r="X351" s="653"/>
      <c r="Y351" s="653"/>
      <c r="Z351" s="653"/>
      <c r="AA351" s="653"/>
      <c r="AB351" s="653"/>
      <c r="AC351" s="653"/>
      <c r="AD351" s="653"/>
      <c r="AE351" s="653"/>
      <c r="AF351" s="653"/>
      <c r="AG351" s="653"/>
      <c r="AH351" s="653"/>
      <c r="AI351" s="653"/>
      <c r="AJ351" s="653"/>
      <c r="AK351" s="653"/>
      <c r="AL351" s="653"/>
      <c r="AM351" s="653"/>
      <c r="AN351" s="653"/>
      <c r="AO351" s="653"/>
      <c r="AP351" s="653"/>
      <c r="AQ351" s="653"/>
      <c r="AR351" s="653"/>
      <c r="AS351" s="653"/>
      <c r="AT351" s="653"/>
      <c r="AU351" s="653"/>
      <c r="AW351" t="b">
        <f t="array" ref="AW351">IF(AND(NOT(ISERROR($L351:$AU351))),TRUE,FALSE)</f>
        <v>1</v>
      </c>
      <c r="AX351" t="str">
        <f t="shared" si="184"/>
        <v/>
      </c>
      <c r="AY351" s="255" t="str">
        <f t="shared" si="185"/>
        <v/>
      </c>
    </row>
    <row r="352" spans="1:51" x14ac:dyDescent="0.35">
      <c r="A352" s="286"/>
      <c r="B352" t="str">
        <f t="shared" ref="B352:J352" si="245">IF(B247="","",B247)</f>
        <v/>
      </c>
      <c r="C352" t="str">
        <f t="shared" si="245"/>
        <v/>
      </c>
      <c r="D352" t="str">
        <f t="shared" si="245"/>
        <v/>
      </c>
      <c r="E352" t="str">
        <f t="shared" si="245"/>
        <v/>
      </c>
      <c r="F352" t="str">
        <f t="shared" si="245"/>
        <v/>
      </c>
      <c r="G352" t="str">
        <f t="shared" si="245"/>
        <v/>
      </c>
      <c r="H352" t="str">
        <f t="shared" si="245"/>
        <v/>
      </c>
      <c r="J352" t="str">
        <f t="shared" si="245"/>
        <v/>
      </c>
      <c r="K352" t="str">
        <f t="shared" si="183"/>
        <v/>
      </c>
      <c r="L352" s="653"/>
      <c r="M352" s="653"/>
      <c r="N352" s="653"/>
      <c r="O352" s="653"/>
      <c r="P352" s="653"/>
      <c r="Q352" s="653"/>
      <c r="R352" s="653"/>
      <c r="S352" s="653"/>
      <c r="T352" s="653"/>
      <c r="U352" s="653"/>
      <c r="V352" s="653"/>
      <c r="W352" s="653"/>
      <c r="X352" s="653"/>
      <c r="Y352" s="653"/>
      <c r="Z352" s="653"/>
      <c r="AA352" s="653"/>
      <c r="AB352" s="653"/>
      <c r="AC352" s="653"/>
      <c r="AD352" s="653"/>
      <c r="AE352" s="653"/>
      <c r="AF352" s="653"/>
      <c r="AG352" s="653"/>
      <c r="AH352" s="653"/>
      <c r="AI352" s="653"/>
      <c r="AJ352" s="653"/>
      <c r="AK352" s="653"/>
      <c r="AL352" s="653"/>
      <c r="AM352" s="653"/>
      <c r="AN352" s="653"/>
      <c r="AO352" s="653"/>
      <c r="AP352" s="653"/>
      <c r="AQ352" s="653"/>
      <c r="AR352" s="653"/>
      <c r="AS352" s="653"/>
      <c r="AT352" s="653"/>
      <c r="AU352" s="653"/>
      <c r="AW352" t="b">
        <f t="array" ref="AW352">IF(AND(NOT(ISERROR($L352:$AU352))),TRUE,FALSE)</f>
        <v>1</v>
      </c>
      <c r="AX352" t="str">
        <f t="shared" si="184"/>
        <v/>
      </c>
      <c r="AY352" s="255" t="str">
        <f t="shared" si="185"/>
        <v/>
      </c>
    </row>
    <row r="353" spans="1:51" x14ac:dyDescent="0.35">
      <c r="A353" s="286"/>
      <c r="B353" t="str">
        <f t="shared" ref="B353:J353" si="246">IF(B248="","",B248)</f>
        <v/>
      </c>
      <c r="C353" t="str">
        <f t="shared" si="246"/>
        <v/>
      </c>
      <c r="D353" t="str">
        <f t="shared" si="246"/>
        <v/>
      </c>
      <c r="E353" t="str">
        <f t="shared" si="246"/>
        <v/>
      </c>
      <c r="F353" t="str">
        <f t="shared" si="246"/>
        <v/>
      </c>
      <c r="G353" t="str">
        <f t="shared" si="246"/>
        <v/>
      </c>
      <c r="H353" t="str">
        <f t="shared" si="246"/>
        <v/>
      </c>
      <c r="J353" t="str">
        <f t="shared" si="246"/>
        <v/>
      </c>
      <c r="K353" t="str">
        <f t="shared" si="183"/>
        <v/>
      </c>
      <c r="L353" s="653"/>
      <c r="M353" s="653"/>
      <c r="N353" s="653"/>
      <c r="O353" s="653"/>
      <c r="P353" s="653"/>
      <c r="Q353" s="653"/>
      <c r="R353" s="653"/>
      <c r="S353" s="653"/>
      <c r="T353" s="653"/>
      <c r="U353" s="653"/>
      <c r="V353" s="653"/>
      <c r="W353" s="653"/>
      <c r="X353" s="653"/>
      <c r="Y353" s="653"/>
      <c r="Z353" s="653"/>
      <c r="AA353" s="653"/>
      <c r="AB353" s="653"/>
      <c r="AC353" s="653"/>
      <c r="AD353" s="653"/>
      <c r="AE353" s="653"/>
      <c r="AF353" s="653"/>
      <c r="AG353" s="653"/>
      <c r="AH353" s="653"/>
      <c r="AI353" s="653"/>
      <c r="AJ353" s="653"/>
      <c r="AK353" s="653"/>
      <c r="AL353" s="653"/>
      <c r="AM353" s="653"/>
      <c r="AN353" s="653"/>
      <c r="AO353" s="653"/>
      <c r="AP353" s="653"/>
      <c r="AQ353" s="653"/>
      <c r="AR353" s="653"/>
      <c r="AS353" s="653"/>
      <c r="AT353" s="653"/>
      <c r="AU353" s="653"/>
      <c r="AW353" t="b">
        <f t="array" ref="AW353">IF(AND(NOT(ISERROR($L353:$AU353))),TRUE,FALSE)</f>
        <v>1</v>
      </c>
      <c r="AX353" t="str">
        <f t="shared" si="184"/>
        <v/>
      </c>
      <c r="AY353" s="255" t="str">
        <f t="shared" si="185"/>
        <v/>
      </c>
    </row>
    <row r="354" spans="1:51" x14ac:dyDescent="0.35">
      <c r="A354" s="286"/>
      <c r="B354" t="str">
        <f t="shared" ref="B354:J354" si="247">IF(B249="","",B249)</f>
        <v/>
      </c>
      <c r="C354" t="str">
        <f t="shared" si="247"/>
        <v/>
      </c>
      <c r="D354" t="str">
        <f t="shared" si="247"/>
        <v/>
      </c>
      <c r="E354" t="str">
        <f t="shared" si="247"/>
        <v/>
      </c>
      <c r="F354" t="str">
        <f t="shared" si="247"/>
        <v/>
      </c>
      <c r="G354" t="str">
        <f t="shared" si="247"/>
        <v/>
      </c>
      <c r="H354" t="str">
        <f t="shared" si="247"/>
        <v/>
      </c>
      <c r="J354" t="str">
        <f t="shared" si="247"/>
        <v/>
      </c>
      <c r="K354" t="str">
        <f t="shared" si="183"/>
        <v/>
      </c>
      <c r="L354" s="653"/>
      <c r="M354" s="653"/>
      <c r="N354" s="653"/>
      <c r="O354" s="653"/>
      <c r="P354" s="653"/>
      <c r="Q354" s="653"/>
      <c r="R354" s="653"/>
      <c r="S354" s="653"/>
      <c r="T354" s="653"/>
      <c r="U354" s="653"/>
      <c r="V354" s="653"/>
      <c r="W354" s="653"/>
      <c r="X354" s="653"/>
      <c r="Y354" s="653"/>
      <c r="Z354" s="653"/>
      <c r="AA354" s="653"/>
      <c r="AB354" s="653"/>
      <c r="AC354" s="653"/>
      <c r="AD354" s="653"/>
      <c r="AE354" s="653"/>
      <c r="AF354" s="653"/>
      <c r="AG354" s="653"/>
      <c r="AH354" s="653"/>
      <c r="AI354" s="653"/>
      <c r="AJ354" s="653"/>
      <c r="AK354" s="653"/>
      <c r="AL354" s="653"/>
      <c r="AM354" s="653"/>
      <c r="AN354" s="653"/>
      <c r="AO354" s="653"/>
      <c r="AP354" s="653"/>
      <c r="AQ354" s="653"/>
      <c r="AR354" s="653"/>
      <c r="AS354" s="653"/>
      <c r="AT354" s="653"/>
      <c r="AU354" s="653"/>
      <c r="AW354" t="b">
        <f t="array" ref="AW354">IF(AND(NOT(ISERROR($L354:$AU354))),TRUE,FALSE)</f>
        <v>1</v>
      </c>
      <c r="AX354" t="str">
        <f t="shared" si="184"/>
        <v/>
      </c>
      <c r="AY354" s="255" t="str">
        <f t="shared" si="185"/>
        <v/>
      </c>
    </row>
    <row r="355" spans="1:51" x14ac:dyDescent="0.35">
      <c r="A355" s="286"/>
      <c r="B355" t="str">
        <f t="shared" ref="B355:J355" si="248">IF(B250="","",B250)</f>
        <v/>
      </c>
      <c r="C355" t="str">
        <f t="shared" si="248"/>
        <v/>
      </c>
      <c r="D355" t="str">
        <f t="shared" si="248"/>
        <v/>
      </c>
      <c r="E355" t="str">
        <f t="shared" si="248"/>
        <v/>
      </c>
      <c r="F355" t="str">
        <f t="shared" si="248"/>
        <v/>
      </c>
      <c r="G355" t="str">
        <f t="shared" si="248"/>
        <v/>
      </c>
      <c r="H355" t="str">
        <f t="shared" si="248"/>
        <v/>
      </c>
      <c r="J355" t="str">
        <f t="shared" si="248"/>
        <v/>
      </c>
      <c r="K355" t="str">
        <f t="shared" si="183"/>
        <v/>
      </c>
      <c r="L355" s="653"/>
      <c r="M355" s="653"/>
      <c r="N355" s="653"/>
      <c r="O355" s="653"/>
      <c r="P355" s="653"/>
      <c r="Q355" s="653"/>
      <c r="R355" s="653"/>
      <c r="S355" s="653"/>
      <c r="T355" s="653"/>
      <c r="U355" s="653"/>
      <c r="V355" s="653"/>
      <c r="W355" s="653"/>
      <c r="X355" s="653"/>
      <c r="Y355" s="653"/>
      <c r="Z355" s="653"/>
      <c r="AA355" s="653"/>
      <c r="AB355" s="653"/>
      <c r="AC355" s="653"/>
      <c r="AD355" s="653"/>
      <c r="AE355" s="653"/>
      <c r="AF355" s="653"/>
      <c r="AG355" s="653"/>
      <c r="AH355" s="653"/>
      <c r="AI355" s="653"/>
      <c r="AJ355" s="653"/>
      <c r="AK355" s="653"/>
      <c r="AL355" s="653"/>
      <c r="AM355" s="653"/>
      <c r="AN355" s="653"/>
      <c r="AO355" s="653"/>
      <c r="AP355" s="653"/>
      <c r="AQ355" s="653"/>
      <c r="AR355" s="653"/>
      <c r="AS355" s="653"/>
      <c r="AT355" s="653"/>
      <c r="AU355" s="653"/>
      <c r="AW355" t="b">
        <f t="array" ref="AW355">IF(AND(NOT(ISERROR($L355:$AU355))),TRUE,FALSE)</f>
        <v>1</v>
      </c>
      <c r="AX355" t="str">
        <f t="shared" si="184"/>
        <v/>
      </c>
      <c r="AY355" s="255" t="str">
        <f t="shared" si="185"/>
        <v/>
      </c>
    </row>
    <row r="356" spans="1:51" x14ac:dyDescent="0.35">
      <c r="A356" s="286"/>
      <c r="B356" t="str">
        <f t="shared" ref="B356:J356" si="249">IF(B251="","",B251)</f>
        <v/>
      </c>
      <c r="C356" t="str">
        <f t="shared" si="249"/>
        <v/>
      </c>
      <c r="D356" t="str">
        <f t="shared" si="249"/>
        <v/>
      </c>
      <c r="E356" t="str">
        <f t="shared" si="249"/>
        <v/>
      </c>
      <c r="F356" t="str">
        <f t="shared" si="249"/>
        <v/>
      </c>
      <c r="G356" t="str">
        <f t="shared" si="249"/>
        <v/>
      </c>
      <c r="H356" t="str">
        <f t="shared" si="249"/>
        <v/>
      </c>
      <c r="J356" t="str">
        <f t="shared" si="249"/>
        <v/>
      </c>
      <c r="K356" t="str">
        <f t="shared" ref="K356:K391" si="250">K251</f>
        <v/>
      </c>
      <c r="L356" s="653"/>
      <c r="M356" s="653"/>
      <c r="N356" s="653"/>
      <c r="O356" s="653"/>
      <c r="P356" s="653"/>
      <c r="Q356" s="653"/>
      <c r="R356" s="653"/>
      <c r="S356" s="653"/>
      <c r="T356" s="653"/>
      <c r="U356" s="653"/>
      <c r="V356" s="653"/>
      <c r="W356" s="653"/>
      <c r="X356" s="653"/>
      <c r="Y356" s="653"/>
      <c r="Z356" s="653"/>
      <c r="AA356" s="653"/>
      <c r="AB356" s="653"/>
      <c r="AC356" s="653"/>
      <c r="AD356" s="653"/>
      <c r="AE356" s="653"/>
      <c r="AF356" s="653"/>
      <c r="AG356" s="653"/>
      <c r="AH356" s="653"/>
      <c r="AI356" s="653"/>
      <c r="AJ356" s="653"/>
      <c r="AK356" s="653"/>
      <c r="AL356" s="653"/>
      <c r="AM356" s="653"/>
      <c r="AN356" s="653"/>
      <c r="AO356" s="653"/>
      <c r="AP356" s="653"/>
      <c r="AQ356" s="653"/>
      <c r="AR356" s="653"/>
      <c r="AS356" s="653"/>
      <c r="AT356" s="653"/>
      <c r="AU356" s="653"/>
      <c r="AW356" t="b">
        <f t="array" ref="AW356">IF(AND(NOT(ISERROR($L356:$AU356))),TRUE,FALSE)</f>
        <v>1</v>
      </c>
      <c r="AX356" t="str">
        <f t="shared" ref="AX356:AX391" si="251">IF(AX251="","",AX251)</f>
        <v/>
      </c>
      <c r="AY356" s="255" t="str">
        <f t="shared" ref="AY356:AY391" si="252">IF($H356="","",SUBSTITUTE("SELECT 'Cap Rate','Headcount',"&amp;ROW(AY251)&amp;",NULL,NULL,NULL,NULL,NULL,NULL,NULL,NULL,NULL,NULL,NULL,NULL,NULL,NULL,"&amp;IF($L356="",0,$L356)&amp;","&amp;IF($M356="",0,$M356)&amp;","&amp;IF($N356="",0,$N356)&amp;","&amp;IF($O356="",0,$O356)&amp;","&amp;IF($P356="",0,$P356)&amp;","&amp;IF($Q356="",0,$Q356)&amp;","&amp;IF($R356="",0,$R356)&amp;","&amp;IF($S356="",0,$S356)&amp;","&amp;IF($T356="",0,$T356)&amp;","&amp;IF($U356="",0,$U356)&amp;","&amp;IF($V356="",0,$V356)&amp;","&amp;IF($W356="",0,$W356)&amp;","&amp;IF($X356="",0,$X356)&amp;","&amp;IF($Y356="",0,$Y356)&amp;","&amp;IF($Z356="",0,$Z356)&amp;","&amp;IF($AA356="",0,$AA356)&amp;","&amp;IF($AB356="",0,$AB356)&amp;","&amp;IF($AC356="",0,$AC356)&amp;","&amp;IF($AD356="",0,$AD356)&amp;","&amp;IF($AE356="",0,$AE356)&amp;","&amp;IF($AF356="",0,$AF356)&amp;","&amp;IF($AG356="",0,$AG356)&amp;","&amp;IF($AH356="",0,$AH356)&amp;","&amp;IF($AI356="",0,$AI356)&amp;","&amp;IF($AJ356="",0,$AJ356)&amp;","&amp;IF($AK356="",0,$AK356)&amp;","&amp;IF($AL356="",0,$AL356)&amp;","&amp;IF($AM356="",0,$AM356)&amp;","&amp;IF($AN356="",0,$AN356)&amp;","&amp;IF($AO356="",0,$AO356)&amp;","&amp;IF($AP356="",0,$AP356)&amp;","&amp;IF($AQ356="",0,$AQ356)&amp;","&amp;IF($AR356="",0,$AR356)&amp;","&amp;IF($AS356="",0,$AS356)&amp;","&amp;IF($AT356="",0,$AT356)&amp;","&amp;IF($AU356="",0,$AU356),"'","''"))</f>
        <v/>
      </c>
    </row>
    <row r="357" spans="1:51" x14ac:dyDescent="0.35">
      <c r="A357" s="286"/>
      <c r="B357" t="str">
        <f t="shared" ref="B357:J357" si="253">IF(B252="","",B252)</f>
        <v/>
      </c>
      <c r="C357" t="str">
        <f t="shared" si="253"/>
        <v/>
      </c>
      <c r="D357" t="str">
        <f t="shared" si="253"/>
        <v/>
      </c>
      <c r="E357" t="str">
        <f t="shared" si="253"/>
        <v/>
      </c>
      <c r="F357" t="str">
        <f t="shared" si="253"/>
        <v/>
      </c>
      <c r="G357" t="str">
        <f t="shared" si="253"/>
        <v/>
      </c>
      <c r="H357" t="str">
        <f t="shared" si="253"/>
        <v/>
      </c>
      <c r="J357" t="str">
        <f t="shared" si="253"/>
        <v/>
      </c>
      <c r="K357" t="str">
        <f t="shared" si="250"/>
        <v/>
      </c>
      <c r="L357" s="653"/>
      <c r="M357" s="653"/>
      <c r="N357" s="653"/>
      <c r="O357" s="653"/>
      <c r="P357" s="653"/>
      <c r="Q357" s="653"/>
      <c r="R357" s="653"/>
      <c r="S357" s="653"/>
      <c r="T357" s="653"/>
      <c r="U357" s="653"/>
      <c r="V357" s="653"/>
      <c r="W357" s="653"/>
      <c r="X357" s="653"/>
      <c r="Y357" s="653"/>
      <c r="Z357" s="653"/>
      <c r="AA357" s="653"/>
      <c r="AB357" s="653"/>
      <c r="AC357" s="653"/>
      <c r="AD357" s="653"/>
      <c r="AE357" s="653"/>
      <c r="AF357" s="653"/>
      <c r="AG357" s="653"/>
      <c r="AH357" s="653"/>
      <c r="AI357" s="653"/>
      <c r="AJ357" s="653"/>
      <c r="AK357" s="653"/>
      <c r="AL357" s="653"/>
      <c r="AM357" s="653"/>
      <c r="AN357" s="653"/>
      <c r="AO357" s="653"/>
      <c r="AP357" s="653"/>
      <c r="AQ357" s="653"/>
      <c r="AR357" s="653"/>
      <c r="AS357" s="653"/>
      <c r="AT357" s="653"/>
      <c r="AU357" s="653"/>
      <c r="AW357" t="b">
        <f t="array" ref="AW357">IF(AND(NOT(ISERROR($L357:$AU357))),TRUE,FALSE)</f>
        <v>1</v>
      </c>
      <c r="AX357" t="str">
        <f t="shared" si="251"/>
        <v/>
      </c>
      <c r="AY357" s="255" t="str">
        <f t="shared" si="252"/>
        <v/>
      </c>
    </row>
    <row r="358" spans="1:51" x14ac:dyDescent="0.35">
      <c r="A358" s="286"/>
      <c r="B358" t="str">
        <f t="shared" ref="B358:J358" si="254">IF(B253="","",B253)</f>
        <v/>
      </c>
      <c r="C358" t="str">
        <f t="shared" si="254"/>
        <v/>
      </c>
      <c r="D358" t="str">
        <f t="shared" si="254"/>
        <v/>
      </c>
      <c r="E358" t="str">
        <f t="shared" si="254"/>
        <v/>
      </c>
      <c r="F358" t="str">
        <f t="shared" si="254"/>
        <v/>
      </c>
      <c r="G358" t="str">
        <f t="shared" si="254"/>
        <v/>
      </c>
      <c r="H358" t="str">
        <f t="shared" si="254"/>
        <v/>
      </c>
      <c r="J358" t="str">
        <f t="shared" si="254"/>
        <v/>
      </c>
      <c r="K358" t="str">
        <f t="shared" si="250"/>
        <v/>
      </c>
      <c r="L358" s="653"/>
      <c r="M358" s="653"/>
      <c r="N358" s="653"/>
      <c r="O358" s="653"/>
      <c r="P358" s="653"/>
      <c r="Q358" s="653"/>
      <c r="R358" s="653"/>
      <c r="S358" s="653"/>
      <c r="T358" s="653"/>
      <c r="U358" s="653"/>
      <c r="V358" s="653"/>
      <c r="W358" s="653"/>
      <c r="X358" s="653"/>
      <c r="Y358" s="653"/>
      <c r="Z358" s="653"/>
      <c r="AA358" s="653"/>
      <c r="AB358" s="653"/>
      <c r="AC358" s="653"/>
      <c r="AD358" s="653"/>
      <c r="AE358" s="653"/>
      <c r="AF358" s="653"/>
      <c r="AG358" s="653"/>
      <c r="AH358" s="653"/>
      <c r="AI358" s="653"/>
      <c r="AJ358" s="653"/>
      <c r="AK358" s="653"/>
      <c r="AL358" s="653"/>
      <c r="AM358" s="653"/>
      <c r="AN358" s="653"/>
      <c r="AO358" s="653"/>
      <c r="AP358" s="653"/>
      <c r="AQ358" s="653"/>
      <c r="AR358" s="653"/>
      <c r="AS358" s="653"/>
      <c r="AT358" s="653"/>
      <c r="AU358" s="653"/>
      <c r="AW358" t="b">
        <f t="array" ref="AW358">IF(AND(NOT(ISERROR($L358:$AU358))),TRUE,FALSE)</f>
        <v>1</v>
      </c>
      <c r="AX358" t="str">
        <f t="shared" si="251"/>
        <v/>
      </c>
      <c r="AY358" s="255" t="str">
        <f t="shared" si="252"/>
        <v/>
      </c>
    </row>
    <row r="359" spans="1:51" x14ac:dyDescent="0.35">
      <c r="A359" s="286"/>
      <c r="B359" t="str">
        <f t="shared" ref="B359:J359" si="255">IF(B254="","",B254)</f>
        <v/>
      </c>
      <c r="C359" t="str">
        <f t="shared" si="255"/>
        <v/>
      </c>
      <c r="D359" t="str">
        <f t="shared" si="255"/>
        <v/>
      </c>
      <c r="E359" t="str">
        <f t="shared" si="255"/>
        <v/>
      </c>
      <c r="F359" t="str">
        <f t="shared" si="255"/>
        <v/>
      </c>
      <c r="G359" t="str">
        <f t="shared" si="255"/>
        <v/>
      </c>
      <c r="H359" t="str">
        <f t="shared" si="255"/>
        <v/>
      </c>
      <c r="J359" t="str">
        <f t="shared" si="255"/>
        <v/>
      </c>
      <c r="K359" t="str">
        <f t="shared" si="250"/>
        <v/>
      </c>
      <c r="L359" s="653"/>
      <c r="M359" s="653"/>
      <c r="N359" s="653"/>
      <c r="O359" s="653"/>
      <c r="P359" s="653"/>
      <c r="Q359" s="653"/>
      <c r="R359" s="653"/>
      <c r="S359" s="653"/>
      <c r="T359" s="653"/>
      <c r="U359" s="653"/>
      <c r="V359" s="653"/>
      <c r="W359" s="653"/>
      <c r="X359" s="653"/>
      <c r="Y359" s="653"/>
      <c r="Z359" s="653"/>
      <c r="AA359" s="653"/>
      <c r="AB359" s="653"/>
      <c r="AC359" s="653"/>
      <c r="AD359" s="653"/>
      <c r="AE359" s="653"/>
      <c r="AF359" s="653"/>
      <c r="AG359" s="653"/>
      <c r="AH359" s="653"/>
      <c r="AI359" s="653"/>
      <c r="AJ359" s="653"/>
      <c r="AK359" s="653"/>
      <c r="AL359" s="653"/>
      <c r="AM359" s="653"/>
      <c r="AN359" s="653"/>
      <c r="AO359" s="653"/>
      <c r="AP359" s="653"/>
      <c r="AQ359" s="653"/>
      <c r="AR359" s="653"/>
      <c r="AS359" s="653"/>
      <c r="AT359" s="653"/>
      <c r="AU359" s="653"/>
      <c r="AW359" t="b">
        <f t="array" ref="AW359">IF(AND(NOT(ISERROR($L359:$AU359))),TRUE,FALSE)</f>
        <v>1</v>
      </c>
      <c r="AX359" t="str">
        <f t="shared" si="251"/>
        <v/>
      </c>
      <c r="AY359" s="255" t="str">
        <f t="shared" si="252"/>
        <v/>
      </c>
    </row>
    <row r="360" spans="1:51" x14ac:dyDescent="0.35">
      <c r="A360" s="286"/>
      <c r="B360" t="str">
        <f t="shared" ref="B360:J360" si="256">IF(B255="","",B255)</f>
        <v/>
      </c>
      <c r="C360" t="str">
        <f t="shared" si="256"/>
        <v/>
      </c>
      <c r="D360" t="str">
        <f t="shared" si="256"/>
        <v/>
      </c>
      <c r="E360" t="str">
        <f t="shared" si="256"/>
        <v/>
      </c>
      <c r="F360" t="str">
        <f t="shared" si="256"/>
        <v/>
      </c>
      <c r="G360" t="str">
        <f t="shared" si="256"/>
        <v/>
      </c>
      <c r="H360" t="str">
        <f t="shared" si="256"/>
        <v/>
      </c>
      <c r="J360" t="str">
        <f t="shared" si="256"/>
        <v/>
      </c>
      <c r="K360" t="str">
        <f t="shared" si="250"/>
        <v/>
      </c>
      <c r="L360" s="653"/>
      <c r="M360" s="653"/>
      <c r="N360" s="653"/>
      <c r="O360" s="653"/>
      <c r="P360" s="653"/>
      <c r="Q360" s="653"/>
      <c r="R360" s="653"/>
      <c r="S360" s="653"/>
      <c r="T360" s="653"/>
      <c r="U360" s="653"/>
      <c r="V360" s="653"/>
      <c r="W360" s="653"/>
      <c r="X360" s="653"/>
      <c r="Y360" s="653"/>
      <c r="Z360" s="653"/>
      <c r="AA360" s="653"/>
      <c r="AB360" s="653"/>
      <c r="AC360" s="653"/>
      <c r="AD360" s="653"/>
      <c r="AE360" s="653"/>
      <c r="AF360" s="653"/>
      <c r="AG360" s="653"/>
      <c r="AH360" s="653"/>
      <c r="AI360" s="653"/>
      <c r="AJ360" s="653"/>
      <c r="AK360" s="653"/>
      <c r="AL360" s="653"/>
      <c r="AM360" s="653"/>
      <c r="AN360" s="653"/>
      <c r="AO360" s="653"/>
      <c r="AP360" s="653"/>
      <c r="AQ360" s="653"/>
      <c r="AR360" s="653"/>
      <c r="AS360" s="653"/>
      <c r="AT360" s="653"/>
      <c r="AU360" s="653"/>
      <c r="AW360" t="b">
        <f t="array" ref="AW360">IF(AND(NOT(ISERROR($L360:$AU360))),TRUE,FALSE)</f>
        <v>1</v>
      </c>
      <c r="AX360" t="str">
        <f t="shared" si="251"/>
        <v/>
      </c>
      <c r="AY360" s="255" t="str">
        <f t="shared" si="252"/>
        <v/>
      </c>
    </row>
    <row r="361" spans="1:51" x14ac:dyDescent="0.35">
      <c r="A361" s="286"/>
      <c r="B361" t="str">
        <f t="shared" ref="B361:J361" si="257">IF(B256="","",B256)</f>
        <v/>
      </c>
      <c r="C361" t="str">
        <f t="shared" si="257"/>
        <v/>
      </c>
      <c r="D361" t="str">
        <f t="shared" si="257"/>
        <v/>
      </c>
      <c r="E361" t="str">
        <f t="shared" si="257"/>
        <v/>
      </c>
      <c r="F361" t="str">
        <f t="shared" si="257"/>
        <v/>
      </c>
      <c r="G361" t="str">
        <f t="shared" si="257"/>
        <v/>
      </c>
      <c r="H361" t="str">
        <f t="shared" si="257"/>
        <v/>
      </c>
      <c r="J361" t="str">
        <f t="shared" si="257"/>
        <v/>
      </c>
      <c r="K361" t="str">
        <f t="shared" si="250"/>
        <v/>
      </c>
      <c r="L361" s="653"/>
      <c r="M361" s="653"/>
      <c r="N361" s="653"/>
      <c r="O361" s="653"/>
      <c r="P361" s="653"/>
      <c r="Q361" s="653"/>
      <c r="R361" s="653"/>
      <c r="S361" s="653"/>
      <c r="T361" s="653"/>
      <c r="U361" s="653"/>
      <c r="V361" s="653"/>
      <c r="W361" s="653"/>
      <c r="X361" s="653"/>
      <c r="Y361" s="653"/>
      <c r="Z361" s="653"/>
      <c r="AA361" s="653"/>
      <c r="AB361" s="653"/>
      <c r="AC361" s="653"/>
      <c r="AD361" s="653"/>
      <c r="AE361" s="653"/>
      <c r="AF361" s="653"/>
      <c r="AG361" s="653"/>
      <c r="AH361" s="653"/>
      <c r="AI361" s="653"/>
      <c r="AJ361" s="653"/>
      <c r="AK361" s="653"/>
      <c r="AL361" s="653"/>
      <c r="AM361" s="653"/>
      <c r="AN361" s="653"/>
      <c r="AO361" s="653"/>
      <c r="AP361" s="653"/>
      <c r="AQ361" s="653"/>
      <c r="AR361" s="653"/>
      <c r="AS361" s="653"/>
      <c r="AT361" s="653"/>
      <c r="AU361" s="653"/>
      <c r="AW361" t="b">
        <f t="array" ref="AW361">IF(AND(NOT(ISERROR($L361:$AU361))),TRUE,FALSE)</f>
        <v>1</v>
      </c>
      <c r="AX361" t="str">
        <f t="shared" si="251"/>
        <v/>
      </c>
      <c r="AY361" s="255" t="str">
        <f t="shared" si="252"/>
        <v/>
      </c>
    </row>
    <row r="362" spans="1:51" x14ac:dyDescent="0.35">
      <c r="A362" s="286"/>
      <c r="B362" t="str">
        <f t="shared" ref="B362:J362" si="258">IF(B257="","",B257)</f>
        <v/>
      </c>
      <c r="C362" t="str">
        <f t="shared" si="258"/>
        <v/>
      </c>
      <c r="D362" t="str">
        <f t="shared" si="258"/>
        <v/>
      </c>
      <c r="E362" t="str">
        <f t="shared" si="258"/>
        <v/>
      </c>
      <c r="F362" t="str">
        <f t="shared" si="258"/>
        <v/>
      </c>
      <c r="G362" t="str">
        <f t="shared" si="258"/>
        <v/>
      </c>
      <c r="H362" t="str">
        <f t="shared" si="258"/>
        <v/>
      </c>
      <c r="J362" t="str">
        <f t="shared" si="258"/>
        <v/>
      </c>
      <c r="K362" t="str">
        <f t="shared" si="250"/>
        <v/>
      </c>
      <c r="L362" s="653"/>
      <c r="M362" s="653"/>
      <c r="N362" s="653"/>
      <c r="O362" s="653"/>
      <c r="P362" s="653"/>
      <c r="Q362" s="653"/>
      <c r="R362" s="653"/>
      <c r="S362" s="653"/>
      <c r="T362" s="653"/>
      <c r="U362" s="653"/>
      <c r="V362" s="653"/>
      <c r="W362" s="653"/>
      <c r="X362" s="653"/>
      <c r="Y362" s="653"/>
      <c r="Z362" s="653"/>
      <c r="AA362" s="653"/>
      <c r="AB362" s="653"/>
      <c r="AC362" s="653"/>
      <c r="AD362" s="653"/>
      <c r="AE362" s="653"/>
      <c r="AF362" s="653"/>
      <c r="AG362" s="653"/>
      <c r="AH362" s="653"/>
      <c r="AI362" s="653"/>
      <c r="AJ362" s="653"/>
      <c r="AK362" s="653"/>
      <c r="AL362" s="653"/>
      <c r="AM362" s="653"/>
      <c r="AN362" s="653"/>
      <c r="AO362" s="653"/>
      <c r="AP362" s="653"/>
      <c r="AQ362" s="653"/>
      <c r="AR362" s="653"/>
      <c r="AS362" s="653"/>
      <c r="AT362" s="653"/>
      <c r="AU362" s="653"/>
      <c r="AW362" t="b">
        <f t="array" ref="AW362">IF(AND(NOT(ISERROR($L362:$AU362))),TRUE,FALSE)</f>
        <v>1</v>
      </c>
      <c r="AX362" t="str">
        <f t="shared" si="251"/>
        <v/>
      </c>
      <c r="AY362" s="255" t="str">
        <f t="shared" si="252"/>
        <v/>
      </c>
    </row>
    <row r="363" spans="1:51" x14ac:dyDescent="0.35">
      <c r="A363" s="286"/>
      <c r="B363" t="str">
        <f t="shared" ref="B363:J363" si="259">IF(B258="","",B258)</f>
        <v/>
      </c>
      <c r="C363" t="str">
        <f t="shared" si="259"/>
        <v/>
      </c>
      <c r="D363" t="str">
        <f t="shared" si="259"/>
        <v/>
      </c>
      <c r="E363" t="str">
        <f t="shared" si="259"/>
        <v/>
      </c>
      <c r="F363" t="str">
        <f t="shared" si="259"/>
        <v/>
      </c>
      <c r="G363" t="str">
        <f t="shared" si="259"/>
        <v/>
      </c>
      <c r="H363" t="str">
        <f t="shared" si="259"/>
        <v/>
      </c>
      <c r="J363" t="str">
        <f t="shared" si="259"/>
        <v/>
      </c>
      <c r="K363" t="str">
        <f t="shared" si="250"/>
        <v/>
      </c>
      <c r="L363" s="653"/>
      <c r="M363" s="653"/>
      <c r="N363" s="653"/>
      <c r="O363" s="653"/>
      <c r="P363" s="653"/>
      <c r="Q363" s="653"/>
      <c r="R363" s="653"/>
      <c r="S363" s="653"/>
      <c r="T363" s="653"/>
      <c r="U363" s="653"/>
      <c r="V363" s="653"/>
      <c r="W363" s="653"/>
      <c r="X363" s="653"/>
      <c r="Y363" s="653"/>
      <c r="Z363" s="653"/>
      <c r="AA363" s="653"/>
      <c r="AB363" s="653"/>
      <c r="AC363" s="653"/>
      <c r="AD363" s="653"/>
      <c r="AE363" s="653"/>
      <c r="AF363" s="653"/>
      <c r="AG363" s="653"/>
      <c r="AH363" s="653"/>
      <c r="AI363" s="653"/>
      <c r="AJ363" s="653"/>
      <c r="AK363" s="653"/>
      <c r="AL363" s="653"/>
      <c r="AM363" s="653"/>
      <c r="AN363" s="653"/>
      <c r="AO363" s="653"/>
      <c r="AP363" s="653"/>
      <c r="AQ363" s="653"/>
      <c r="AR363" s="653"/>
      <c r="AS363" s="653"/>
      <c r="AT363" s="653"/>
      <c r="AU363" s="653"/>
      <c r="AW363" t="b">
        <f t="array" ref="AW363">IF(AND(NOT(ISERROR($L363:$AU363))),TRUE,FALSE)</f>
        <v>1</v>
      </c>
      <c r="AX363" t="str">
        <f t="shared" si="251"/>
        <v/>
      </c>
      <c r="AY363" s="255" t="str">
        <f t="shared" si="252"/>
        <v/>
      </c>
    </row>
    <row r="364" spans="1:51" x14ac:dyDescent="0.35">
      <c r="A364" s="286"/>
      <c r="B364" t="str">
        <f t="shared" ref="B364:J364" si="260">IF(B259="","",B259)</f>
        <v/>
      </c>
      <c r="C364" t="str">
        <f t="shared" si="260"/>
        <v/>
      </c>
      <c r="D364" t="str">
        <f t="shared" si="260"/>
        <v/>
      </c>
      <c r="E364" t="str">
        <f t="shared" si="260"/>
        <v/>
      </c>
      <c r="F364" t="str">
        <f t="shared" si="260"/>
        <v/>
      </c>
      <c r="G364" t="str">
        <f t="shared" si="260"/>
        <v/>
      </c>
      <c r="H364" t="str">
        <f t="shared" si="260"/>
        <v/>
      </c>
      <c r="J364" t="str">
        <f t="shared" si="260"/>
        <v/>
      </c>
      <c r="K364" t="str">
        <f t="shared" si="250"/>
        <v/>
      </c>
      <c r="L364" s="653"/>
      <c r="M364" s="653"/>
      <c r="N364" s="653"/>
      <c r="O364" s="653"/>
      <c r="P364" s="653"/>
      <c r="Q364" s="653"/>
      <c r="R364" s="653"/>
      <c r="S364" s="653"/>
      <c r="T364" s="653"/>
      <c r="U364" s="653"/>
      <c r="V364" s="653"/>
      <c r="W364" s="653"/>
      <c r="X364" s="653"/>
      <c r="Y364" s="653"/>
      <c r="Z364" s="653"/>
      <c r="AA364" s="653"/>
      <c r="AB364" s="653"/>
      <c r="AC364" s="653"/>
      <c r="AD364" s="653"/>
      <c r="AE364" s="653"/>
      <c r="AF364" s="653"/>
      <c r="AG364" s="653"/>
      <c r="AH364" s="653"/>
      <c r="AI364" s="653"/>
      <c r="AJ364" s="653"/>
      <c r="AK364" s="653"/>
      <c r="AL364" s="653"/>
      <c r="AM364" s="653"/>
      <c r="AN364" s="653"/>
      <c r="AO364" s="653"/>
      <c r="AP364" s="653"/>
      <c r="AQ364" s="653"/>
      <c r="AR364" s="653"/>
      <c r="AS364" s="653"/>
      <c r="AT364" s="653"/>
      <c r="AU364" s="653"/>
      <c r="AW364" t="b">
        <f t="array" ref="AW364">IF(AND(NOT(ISERROR($L364:$AU364))),TRUE,FALSE)</f>
        <v>1</v>
      </c>
      <c r="AX364" t="str">
        <f t="shared" si="251"/>
        <v/>
      </c>
      <c r="AY364" s="255" t="str">
        <f t="shared" si="252"/>
        <v/>
      </c>
    </row>
    <row r="365" spans="1:51" x14ac:dyDescent="0.35">
      <c r="A365" s="286"/>
      <c r="B365" t="str">
        <f t="shared" ref="B365:J365" si="261">IF(B260="","",B260)</f>
        <v/>
      </c>
      <c r="C365" t="str">
        <f t="shared" si="261"/>
        <v/>
      </c>
      <c r="D365" t="str">
        <f t="shared" si="261"/>
        <v/>
      </c>
      <c r="E365" t="str">
        <f t="shared" si="261"/>
        <v/>
      </c>
      <c r="F365" t="str">
        <f t="shared" si="261"/>
        <v/>
      </c>
      <c r="G365" t="str">
        <f t="shared" si="261"/>
        <v/>
      </c>
      <c r="H365" t="str">
        <f t="shared" si="261"/>
        <v/>
      </c>
      <c r="J365" t="str">
        <f t="shared" si="261"/>
        <v/>
      </c>
      <c r="K365" t="str">
        <f t="shared" si="250"/>
        <v/>
      </c>
      <c r="L365" s="653"/>
      <c r="M365" s="653"/>
      <c r="N365" s="653"/>
      <c r="O365" s="653"/>
      <c r="P365" s="653"/>
      <c r="Q365" s="653"/>
      <c r="R365" s="653"/>
      <c r="S365" s="653"/>
      <c r="T365" s="653"/>
      <c r="U365" s="653"/>
      <c r="V365" s="653"/>
      <c r="W365" s="653"/>
      <c r="X365" s="653"/>
      <c r="Y365" s="653"/>
      <c r="Z365" s="653"/>
      <c r="AA365" s="653"/>
      <c r="AB365" s="653"/>
      <c r="AC365" s="653"/>
      <c r="AD365" s="653"/>
      <c r="AE365" s="653"/>
      <c r="AF365" s="653"/>
      <c r="AG365" s="653"/>
      <c r="AH365" s="653"/>
      <c r="AI365" s="653"/>
      <c r="AJ365" s="653"/>
      <c r="AK365" s="653"/>
      <c r="AL365" s="653"/>
      <c r="AM365" s="653"/>
      <c r="AN365" s="653"/>
      <c r="AO365" s="653"/>
      <c r="AP365" s="653"/>
      <c r="AQ365" s="653"/>
      <c r="AR365" s="653"/>
      <c r="AS365" s="653"/>
      <c r="AT365" s="653"/>
      <c r="AU365" s="653"/>
      <c r="AW365" t="b">
        <f t="array" ref="AW365">IF(AND(NOT(ISERROR($L365:$AU365))),TRUE,FALSE)</f>
        <v>1</v>
      </c>
      <c r="AX365" t="str">
        <f t="shared" si="251"/>
        <v/>
      </c>
      <c r="AY365" s="255" t="str">
        <f t="shared" si="252"/>
        <v/>
      </c>
    </row>
    <row r="366" spans="1:51" x14ac:dyDescent="0.35">
      <c r="A366" s="286"/>
      <c r="B366" t="str">
        <f t="shared" ref="B366:J366" si="262">IF(B261="","",B261)</f>
        <v/>
      </c>
      <c r="C366" t="str">
        <f t="shared" si="262"/>
        <v/>
      </c>
      <c r="D366" t="str">
        <f t="shared" si="262"/>
        <v/>
      </c>
      <c r="E366" t="str">
        <f t="shared" si="262"/>
        <v/>
      </c>
      <c r="F366" t="str">
        <f t="shared" si="262"/>
        <v/>
      </c>
      <c r="G366" t="str">
        <f t="shared" si="262"/>
        <v/>
      </c>
      <c r="H366" t="str">
        <f t="shared" si="262"/>
        <v/>
      </c>
      <c r="J366" t="str">
        <f t="shared" si="262"/>
        <v/>
      </c>
      <c r="K366" t="str">
        <f t="shared" si="250"/>
        <v/>
      </c>
      <c r="L366" s="653"/>
      <c r="M366" s="653"/>
      <c r="N366" s="653"/>
      <c r="O366" s="653"/>
      <c r="P366" s="653"/>
      <c r="Q366" s="653"/>
      <c r="R366" s="653"/>
      <c r="S366" s="653"/>
      <c r="T366" s="653"/>
      <c r="U366" s="653"/>
      <c r="V366" s="653"/>
      <c r="W366" s="653"/>
      <c r="X366" s="653"/>
      <c r="Y366" s="653"/>
      <c r="Z366" s="653"/>
      <c r="AA366" s="653"/>
      <c r="AB366" s="653"/>
      <c r="AC366" s="653"/>
      <c r="AD366" s="653"/>
      <c r="AE366" s="653"/>
      <c r="AF366" s="653"/>
      <c r="AG366" s="653"/>
      <c r="AH366" s="653"/>
      <c r="AI366" s="653"/>
      <c r="AJ366" s="653"/>
      <c r="AK366" s="653"/>
      <c r="AL366" s="653"/>
      <c r="AM366" s="653"/>
      <c r="AN366" s="653"/>
      <c r="AO366" s="653"/>
      <c r="AP366" s="653"/>
      <c r="AQ366" s="653"/>
      <c r="AR366" s="653"/>
      <c r="AS366" s="653"/>
      <c r="AT366" s="653"/>
      <c r="AU366" s="653"/>
      <c r="AW366" t="b">
        <f t="array" ref="AW366">IF(AND(NOT(ISERROR($L366:$AU366))),TRUE,FALSE)</f>
        <v>1</v>
      </c>
      <c r="AX366" t="str">
        <f t="shared" si="251"/>
        <v/>
      </c>
      <c r="AY366" s="255" t="str">
        <f t="shared" si="252"/>
        <v/>
      </c>
    </row>
    <row r="367" spans="1:51" x14ac:dyDescent="0.35">
      <c r="A367" s="286"/>
      <c r="B367" t="str">
        <f t="shared" ref="B367:J367" si="263">IF(B262="","",B262)</f>
        <v/>
      </c>
      <c r="C367" t="str">
        <f t="shared" si="263"/>
        <v/>
      </c>
      <c r="D367" t="str">
        <f t="shared" si="263"/>
        <v/>
      </c>
      <c r="E367" t="str">
        <f t="shared" si="263"/>
        <v/>
      </c>
      <c r="F367" t="str">
        <f t="shared" si="263"/>
        <v/>
      </c>
      <c r="G367" t="str">
        <f t="shared" si="263"/>
        <v/>
      </c>
      <c r="H367" t="str">
        <f t="shared" si="263"/>
        <v/>
      </c>
      <c r="J367" t="str">
        <f t="shared" si="263"/>
        <v/>
      </c>
      <c r="K367" t="str">
        <f t="shared" si="250"/>
        <v/>
      </c>
      <c r="L367" s="653"/>
      <c r="M367" s="653"/>
      <c r="N367" s="653"/>
      <c r="O367" s="653"/>
      <c r="P367" s="653"/>
      <c r="Q367" s="653"/>
      <c r="R367" s="653"/>
      <c r="S367" s="653"/>
      <c r="T367" s="653"/>
      <c r="U367" s="653"/>
      <c r="V367" s="653"/>
      <c r="W367" s="653"/>
      <c r="X367" s="653"/>
      <c r="Y367" s="653"/>
      <c r="Z367" s="653"/>
      <c r="AA367" s="653"/>
      <c r="AB367" s="653"/>
      <c r="AC367" s="653"/>
      <c r="AD367" s="653"/>
      <c r="AE367" s="653"/>
      <c r="AF367" s="653"/>
      <c r="AG367" s="653"/>
      <c r="AH367" s="653"/>
      <c r="AI367" s="653"/>
      <c r="AJ367" s="653"/>
      <c r="AK367" s="653"/>
      <c r="AL367" s="653"/>
      <c r="AM367" s="653"/>
      <c r="AN367" s="653"/>
      <c r="AO367" s="653"/>
      <c r="AP367" s="653"/>
      <c r="AQ367" s="653"/>
      <c r="AR367" s="653"/>
      <c r="AS367" s="653"/>
      <c r="AT367" s="653"/>
      <c r="AU367" s="653"/>
      <c r="AW367" t="b">
        <f t="array" ref="AW367">IF(AND(NOT(ISERROR($L367:$AU367))),TRUE,FALSE)</f>
        <v>1</v>
      </c>
      <c r="AX367" t="str">
        <f t="shared" si="251"/>
        <v/>
      </c>
      <c r="AY367" s="255" t="str">
        <f t="shared" si="252"/>
        <v/>
      </c>
    </row>
    <row r="368" spans="1:51" x14ac:dyDescent="0.35">
      <c r="A368" s="286"/>
      <c r="B368" t="str">
        <f t="shared" ref="B368:J368" si="264">IF(B263="","",B263)</f>
        <v/>
      </c>
      <c r="C368" t="str">
        <f t="shared" si="264"/>
        <v/>
      </c>
      <c r="D368" t="str">
        <f t="shared" si="264"/>
        <v/>
      </c>
      <c r="E368" t="str">
        <f t="shared" si="264"/>
        <v/>
      </c>
      <c r="F368" t="str">
        <f t="shared" si="264"/>
        <v/>
      </c>
      <c r="G368" t="str">
        <f t="shared" si="264"/>
        <v/>
      </c>
      <c r="H368" t="str">
        <f t="shared" si="264"/>
        <v/>
      </c>
      <c r="J368" t="str">
        <f t="shared" si="264"/>
        <v/>
      </c>
      <c r="K368" t="str">
        <f t="shared" si="250"/>
        <v/>
      </c>
      <c r="L368" s="653"/>
      <c r="M368" s="653"/>
      <c r="N368" s="653"/>
      <c r="O368" s="653"/>
      <c r="P368" s="653"/>
      <c r="Q368" s="653"/>
      <c r="R368" s="653"/>
      <c r="S368" s="653"/>
      <c r="T368" s="653"/>
      <c r="U368" s="653"/>
      <c r="V368" s="653"/>
      <c r="W368" s="653"/>
      <c r="X368" s="653"/>
      <c r="Y368" s="653"/>
      <c r="Z368" s="653"/>
      <c r="AA368" s="653"/>
      <c r="AB368" s="653"/>
      <c r="AC368" s="653"/>
      <c r="AD368" s="653"/>
      <c r="AE368" s="653"/>
      <c r="AF368" s="653"/>
      <c r="AG368" s="653"/>
      <c r="AH368" s="653"/>
      <c r="AI368" s="653"/>
      <c r="AJ368" s="653"/>
      <c r="AK368" s="653"/>
      <c r="AL368" s="653"/>
      <c r="AM368" s="653"/>
      <c r="AN368" s="653"/>
      <c r="AO368" s="653"/>
      <c r="AP368" s="653"/>
      <c r="AQ368" s="653"/>
      <c r="AR368" s="653"/>
      <c r="AS368" s="653"/>
      <c r="AT368" s="653"/>
      <c r="AU368" s="653"/>
      <c r="AW368" t="b">
        <f t="array" ref="AW368">IF(AND(NOT(ISERROR($L368:$AU368))),TRUE,FALSE)</f>
        <v>1</v>
      </c>
      <c r="AX368" t="str">
        <f t="shared" si="251"/>
        <v/>
      </c>
      <c r="AY368" s="255" t="str">
        <f t="shared" si="252"/>
        <v/>
      </c>
    </row>
    <row r="369" spans="1:51" x14ac:dyDescent="0.35">
      <c r="A369" s="286"/>
      <c r="B369" t="str">
        <f t="shared" ref="B369:J369" si="265">IF(B264="","",B264)</f>
        <v/>
      </c>
      <c r="C369" t="str">
        <f t="shared" si="265"/>
        <v/>
      </c>
      <c r="D369" t="str">
        <f t="shared" si="265"/>
        <v/>
      </c>
      <c r="E369" t="str">
        <f t="shared" si="265"/>
        <v/>
      </c>
      <c r="F369" t="str">
        <f t="shared" si="265"/>
        <v/>
      </c>
      <c r="G369" t="str">
        <f t="shared" si="265"/>
        <v/>
      </c>
      <c r="H369" t="str">
        <f t="shared" si="265"/>
        <v/>
      </c>
      <c r="J369" t="str">
        <f t="shared" si="265"/>
        <v/>
      </c>
      <c r="K369" t="str">
        <f t="shared" si="250"/>
        <v/>
      </c>
      <c r="L369" s="653"/>
      <c r="M369" s="653"/>
      <c r="N369" s="653"/>
      <c r="O369" s="653"/>
      <c r="P369" s="653"/>
      <c r="Q369" s="653"/>
      <c r="R369" s="653"/>
      <c r="S369" s="653"/>
      <c r="T369" s="653"/>
      <c r="U369" s="653"/>
      <c r="V369" s="653"/>
      <c r="W369" s="653"/>
      <c r="X369" s="653"/>
      <c r="Y369" s="653"/>
      <c r="Z369" s="653"/>
      <c r="AA369" s="653"/>
      <c r="AB369" s="653"/>
      <c r="AC369" s="653"/>
      <c r="AD369" s="653"/>
      <c r="AE369" s="653"/>
      <c r="AF369" s="653"/>
      <c r="AG369" s="653"/>
      <c r="AH369" s="653"/>
      <c r="AI369" s="653"/>
      <c r="AJ369" s="653"/>
      <c r="AK369" s="653"/>
      <c r="AL369" s="653"/>
      <c r="AM369" s="653"/>
      <c r="AN369" s="653"/>
      <c r="AO369" s="653"/>
      <c r="AP369" s="653"/>
      <c r="AQ369" s="653"/>
      <c r="AR369" s="653"/>
      <c r="AS369" s="653"/>
      <c r="AT369" s="653"/>
      <c r="AU369" s="653"/>
      <c r="AW369" t="b">
        <f t="array" ref="AW369">IF(AND(NOT(ISERROR($L369:$AU369))),TRUE,FALSE)</f>
        <v>1</v>
      </c>
      <c r="AX369" t="str">
        <f t="shared" si="251"/>
        <v/>
      </c>
      <c r="AY369" s="255" t="str">
        <f t="shared" si="252"/>
        <v/>
      </c>
    </row>
    <row r="370" spans="1:51" x14ac:dyDescent="0.35">
      <c r="A370" s="286"/>
      <c r="B370" t="str">
        <f t="shared" ref="B370:J370" si="266">IF(B265="","",B265)</f>
        <v/>
      </c>
      <c r="C370" t="str">
        <f t="shared" si="266"/>
        <v/>
      </c>
      <c r="D370" t="str">
        <f t="shared" si="266"/>
        <v/>
      </c>
      <c r="E370" t="str">
        <f t="shared" si="266"/>
        <v/>
      </c>
      <c r="F370" t="str">
        <f t="shared" si="266"/>
        <v/>
      </c>
      <c r="G370" t="str">
        <f t="shared" si="266"/>
        <v/>
      </c>
      <c r="H370" t="str">
        <f t="shared" si="266"/>
        <v/>
      </c>
      <c r="J370" t="str">
        <f t="shared" si="266"/>
        <v/>
      </c>
      <c r="K370" t="str">
        <f t="shared" si="250"/>
        <v/>
      </c>
      <c r="L370" s="653"/>
      <c r="M370" s="653"/>
      <c r="N370" s="653"/>
      <c r="O370" s="653"/>
      <c r="P370" s="653"/>
      <c r="Q370" s="653"/>
      <c r="R370" s="653"/>
      <c r="S370" s="653"/>
      <c r="T370" s="653"/>
      <c r="U370" s="653"/>
      <c r="V370" s="653"/>
      <c r="W370" s="653"/>
      <c r="X370" s="653"/>
      <c r="Y370" s="653"/>
      <c r="Z370" s="653"/>
      <c r="AA370" s="653"/>
      <c r="AB370" s="653"/>
      <c r="AC370" s="653"/>
      <c r="AD370" s="653"/>
      <c r="AE370" s="653"/>
      <c r="AF370" s="653"/>
      <c r="AG370" s="653"/>
      <c r="AH370" s="653"/>
      <c r="AI370" s="653"/>
      <c r="AJ370" s="653"/>
      <c r="AK370" s="653"/>
      <c r="AL370" s="653"/>
      <c r="AM370" s="653"/>
      <c r="AN370" s="653"/>
      <c r="AO370" s="653"/>
      <c r="AP370" s="653"/>
      <c r="AQ370" s="653"/>
      <c r="AR370" s="653"/>
      <c r="AS370" s="653"/>
      <c r="AT370" s="653"/>
      <c r="AU370" s="653"/>
      <c r="AW370" t="b">
        <f t="array" ref="AW370">IF(AND(NOT(ISERROR($L370:$AU370))),TRUE,FALSE)</f>
        <v>1</v>
      </c>
      <c r="AX370" t="str">
        <f t="shared" si="251"/>
        <v/>
      </c>
      <c r="AY370" s="255" t="str">
        <f t="shared" si="252"/>
        <v/>
      </c>
    </row>
    <row r="371" spans="1:51" x14ac:dyDescent="0.35">
      <c r="A371" s="286"/>
      <c r="B371" t="str">
        <f t="shared" ref="B371:J371" si="267">IF(B266="","",B266)</f>
        <v/>
      </c>
      <c r="C371" t="str">
        <f t="shared" si="267"/>
        <v/>
      </c>
      <c r="D371" t="str">
        <f t="shared" si="267"/>
        <v/>
      </c>
      <c r="E371" t="str">
        <f t="shared" si="267"/>
        <v/>
      </c>
      <c r="F371" t="str">
        <f t="shared" si="267"/>
        <v/>
      </c>
      <c r="G371" t="str">
        <f t="shared" si="267"/>
        <v/>
      </c>
      <c r="H371" t="str">
        <f t="shared" si="267"/>
        <v/>
      </c>
      <c r="J371" t="str">
        <f t="shared" si="267"/>
        <v/>
      </c>
      <c r="K371" t="str">
        <f t="shared" si="250"/>
        <v/>
      </c>
      <c r="L371" s="653"/>
      <c r="M371" s="653"/>
      <c r="N371" s="653"/>
      <c r="O371" s="653"/>
      <c r="P371" s="653"/>
      <c r="Q371" s="653"/>
      <c r="R371" s="653"/>
      <c r="S371" s="653"/>
      <c r="T371" s="653"/>
      <c r="U371" s="653"/>
      <c r="V371" s="653"/>
      <c r="W371" s="653"/>
      <c r="X371" s="653"/>
      <c r="Y371" s="653"/>
      <c r="Z371" s="653"/>
      <c r="AA371" s="653"/>
      <c r="AB371" s="653"/>
      <c r="AC371" s="653"/>
      <c r="AD371" s="653"/>
      <c r="AE371" s="653"/>
      <c r="AF371" s="653"/>
      <c r="AG371" s="653"/>
      <c r="AH371" s="653"/>
      <c r="AI371" s="653"/>
      <c r="AJ371" s="653"/>
      <c r="AK371" s="653"/>
      <c r="AL371" s="653"/>
      <c r="AM371" s="653"/>
      <c r="AN371" s="653"/>
      <c r="AO371" s="653"/>
      <c r="AP371" s="653"/>
      <c r="AQ371" s="653"/>
      <c r="AR371" s="653"/>
      <c r="AS371" s="653"/>
      <c r="AT371" s="653"/>
      <c r="AU371" s="653"/>
      <c r="AW371" t="b">
        <f t="array" ref="AW371">IF(AND(NOT(ISERROR($L371:$AU371))),TRUE,FALSE)</f>
        <v>1</v>
      </c>
      <c r="AX371" t="str">
        <f t="shared" si="251"/>
        <v/>
      </c>
      <c r="AY371" s="255" t="str">
        <f t="shared" si="252"/>
        <v/>
      </c>
    </row>
    <row r="372" spans="1:51" x14ac:dyDescent="0.35">
      <c r="A372" s="286"/>
      <c r="B372" t="str">
        <f t="shared" ref="B372:J372" si="268">IF(B267="","",B267)</f>
        <v/>
      </c>
      <c r="C372" t="str">
        <f t="shared" si="268"/>
        <v/>
      </c>
      <c r="D372" t="str">
        <f t="shared" si="268"/>
        <v/>
      </c>
      <c r="E372" t="str">
        <f t="shared" si="268"/>
        <v/>
      </c>
      <c r="F372" t="str">
        <f t="shared" si="268"/>
        <v/>
      </c>
      <c r="G372" t="str">
        <f t="shared" si="268"/>
        <v/>
      </c>
      <c r="H372" t="str">
        <f t="shared" si="268"/>
        <v/>
      </c>
      <c r="J372" t="str">
        <f t="shared" si="268"/>
        <v/>
      </c>
      <c r="K372" t="str">
        <f t="shared" si="250"/>
        <v/>
      </c>
      <c r="L372" s="653"/>
      <c r="M372" s="653"/>
      <c r="N372" s="653"/>
      <c r="O372" s="653"/>
      <c r="P372" s="653"/>
      <c r="Q372" s="653"/>
      <c r="R372" s="653"/>
      <c r="S372" s="653"/>
      <c r="T372" s="653"/>
      <c r="U372" s="653"/>
      <c r="V372" s="653"/>
      <c r="W372" s="653"/>
      <c r="X372" s="653"/>
      <c r="Y372" s="653"/>
      <c r="Z372" s="653"/>
      <c r="AA372" s="653"/>
      <c r="AB372" s="653"/>
      <c r="AC372" s="653"/>
      <c r="AD372" s="653"/>
      <c r="AE372" s="653"/>
      <c r="AF372" s="653"/>
      <c r="AG372" s="653"/>
      <c r="AH372" s="653"/>
      <c r="AI372" s="653"/>
      <c r="AJ372" s="653"/>
      <c r="AK372" s="653"/>
      <c r="AL372" s="653"/>
      <c r="AM372" s="653"/>
      <c r="AN372" s="653"/>
      <c r="AO372" s="653"/>
      <c r="AP372" s="653"/>
      <c r="AQ372" s="653"/>
      <c r="AR372" s="653"/>
      <c r="AS372" s="653"/>
      <c r="AT372" s="653"/>
      <c r="AU372" s="653"/>
      <c r="AW372" t="b">
        <f t="array" ref="AW372">IF(AND(NOT(ISERROR($L372:$AU372))),TRUE,FALSE)</f>
        <v>1</v>
      </c>
      <c r="AX372" t="str">
        <f t="shared" si="251"/>
        <v/>
      </c>
      <c r="AY372" s="255" t="str">
        <f t="shared" si="252"/>
        <v/>
      </c>
    </row>
    <row r="373" spans="1:51" x14ac:dyDescent="0.35">
      <c r="A373" s="286"/>
      <c r="B373" t="str">
        <f t="shared" ref="B373:J373" si="269">IF(B268="","",B268)</f>
        <v/>
      </c>
      <c r="C373" t="str">
        <f t="shared" si="269"/>
        <v/>
      </c>
      <c r="D373" t="str">
        <f t="shared" si="269"/>
        <v/>
      </c>
      <c r="E373" t="str">
        <f t="shared" si="269"/>
        <v/>
      </c>
      <c r="F373" t="str">
        <f t="shared" si="269"/>
        <v/>
      </c>
      <c r="G373" t="str">
        <f t="shared" si="269"/>
        <v/>
      </c>
      <c r="H373" t="str">
        <f t="shared" si="269"/>
        <v/>
      </c>
      <c r="J373" t="str">
        <f t="shared" si="269"/>
        <v/>
      </c>
      <c r="K373" t="str">
        <f t="shared" si="250"/>
        <v/>
      </c>
      <c r="L373" s="653"/>
      <c r="M373" s="653"/>
      <c r="N373" s="653"/>
      <c r="O373" s="653"/>
      <c r="P373" s="653"/>
      <c r="Q373" s="653"/>
      <c r="R373" s="653"/>
      <c r="S373" s="653"/>
      <c r="T373" s="653"/>
      <c r="U373" s="653"/>
      <c r="V373" s="653"/>
      <c r="W373" s="653"/>
      <c r="X373" s="653"/>
      <c r="Y373" s="653"/>
      <c r="Z373" s="653"/>
      <c r="AA373" s="653"/>
      <c r="AB373" s="653"/>
      <c r="AC373" s="653"/>
      <c r="AD373" s="653"/>
      <c r="AE373" s="653"/>
      <c r="AF373" s="653"/>
      <c r="AG373" s="653"/>
      <c r="AH373" s="653"/>
      <c r="AI373" s="653"/>
      <c r="AJ373" s="653"/>
      <c r="AK373" s="653"/>
      <c r="AL373" s="653"/>
      <c r="AM373" s="653"/>
      <c r="AN373" s="653"/>
      <c r="AO373" s="653"/>
      <c r="AP373" s="653"/>
      <c r="AQ373" s="653"/>
      <c r="AR373" s="653"/>
      <c r="AS373" s="653"/>
      <c r="AT373" s="653"/>
      <c r="AU373" s="653"/>
      <c r="AW373" t="b">
        <f t="array" ref="AW373">IF(AND(NOT(ISERROR($L373:$AU373))),TRUE,FALSE)</f>
        <v>1</v>
      </c>
      <c r="AX373" t="str">
        <f t="shared" si="251"/>
        <v/>
      </c>
      <c r="AY373" s="255" t="str">
        <f t="shared" si="252"/>
        <v/>
      </c>
    </row>
    <row r="374" spans="1:51" x14ac:dyDescent="0.35">
      <c r="A374" s="286"/>
      <c r="B374" t="str">
        <f t="shared" ref="B374:J374" si="270">IF(B269="","",B269)</f>
        <v/>
      </c>
      <c r="C374" t="str">
        <f t="shared" si="270"/>
        <v/>
      </c>
      <c r="D374" t="str">
        <f t="shared" si="270"/>
        <v/>
      </c>
      <c r="E374" t="str">
        <f t="shared" si="270"/>
        <v/>
      </c>
      <c r="F374" t="str">
        <f t="shared" si="270"/>
        <v/>
      </c>
      <c r="G374" t="str">
        <f t="shared" si="270"/>
        <v/>
      </c>
      <c r="H374" t="str">
        <f t="shared" si="270"/>
        <v/>
      </c>
      <c r="J374" t="str">
        <f t="shared" si="270"/>
        <v/>
      </c>
      <c r="K374" t="str">
        <f t="shared" si="250"/>
        <v/>
      </c>
      <c r="L374" s="653"/>
      <c r="M374" s="653"/>
      <c r="N374" s="653"/>
      <c r="O374" s="653"/>
      <c r="P374" s="653"/>
      <c r="Q374" s="653"/>
      <c r="R374" s="653"/>
      <c r="S374" s="653"/>
      <c r="T374" s="653"/>
      <c r="U374" s="653"/>
      <c r="V374" s="653"/>
      <c r="W374" s="653"/>
      <c r="X374" s="653"/>
      <c r="Y374" s="653"/>
      <c r="Z374" s="653"/>
      <c r="AA374" s="653"/>
      <c r="AB374" s="653"/>
      <c r="AC374" s="653"/>
      <c r="AD374" s="653"/>
      <c r="AE374" s="653"/>
      <c r="AF374" s="653"/>
      <c r="AG374" s="653"/>
      <c r="AH374" s="653"/>
      <c r="AI374" s="653"/>
      <c r="AJ374" s="653"/>
      <c r="AK374" s="653"/>
      <c r="AL374" s="653"/>
      <c r="AM374" s="653"/>
      <c r="AN374" s="653"/>
      <c r="AO374" s="653"/>
      <c r="AP374" s="653"/>
      <c r="AQ374" s="653"/>
      <c r="AR374" s="653"/>
      <c r="AS374" s="653"/>
      <c r="AT374" s="653"/>
      <c r="AU374" s="653"/>
      <c r="AW374" t="b">
        <f t="array" ref="AW374">IF(AND(NOT(ISERROR($L374:$AU374))),TRUE,FALSE)</f>
        <v>1</v>
      </c>
      <c r="AX374" t="str">
        <f t="shared" si="251"/>
        <v/>
      </c>
      <c r="AY374" s="255" t="str">
        <f t="shared" si="252"/>
        <v/>
      </c>
    </row>
    <row r="375" spans="1:51" x14ac:dyDescent="0.35">
      <c r="A375" s="286"/>
      <c r="B375" t="str">
        <f t="shared" ref="B375:J390" si="271">IF(B270="","",B270)</f>
        <v/>
      </c>
      <c r="C375" t="str">
        <f t="shared" si="271"/>
        <v/>
      </c>
      <c r="D375" t="str">
        <f t="shared" si="271"/>
        <v/>
      </c>
      <c r="E375" t="str">
        <f t="shared" si="271"/>
        <v/>
      </c>
      <c r="F375" t="str">
        <f t="shared" si="271"/>
        <v/>
      </c>
      <c r="G375" t="str">
        <f t="shared" si="271"/>
        <v/>
      </c>
      <c r="H375" t="str">
        <f t="shared" si="271"/>
        <v/>
      </c>
      <c r="J375" t="str">
        <f t="shared" si="271"/>
        <v/>
      </c>
      <c r="K375" t="str">
        <f t="shared" si="250"/>
        <v/>
      </c>
      <c r="L375" s="653"/>
      <c r="M375" s="653"/>
      <c r="N375" s="653"/>
      <c r="O375" s="653"/>
      <c r="P375" s="653"/>
      <c r="Q375" s="653"/>
      <c r="R375" s="653"/>
      <c r="S375" s="653"/>
      <c r="T375" s="653"/>
      <c r="U375" s="653"/>
      <c r="V375" s="653"/>
      <c r="W375" s="653"/>
      <c r="X375" s="653"/>
      <c r="Y375" s="653"/>
      <c r="Z375" s="653"/>
      <c r="AA375" s="653"/>
      <c r="AB375" s="653"/>
      <c r="AC375" s="653"/>
      <c r="AD375" s="653"/>
      <c r="AE375" s="653"/>
      <c r="AF375" s="653"/>
      <c r="AG375" s="653"/>
      <c r="AH375" s="653"/>
      <c r="AI375" s="653"/>
      <c r="AJ375" s="653"/>
      <c r="AK375" s="653"/>
      <c r="AL375" s="653"/>
      <c r="AM375" s="653"/>
      <c r="AN375" s="653"/>
      <c r="AO375" s="653"/>
      <c r="AP375" s="653"/>
      <c r="AQ375" s="653"/>
      <c r="AR375" s="653"/>
      <c r="AS375" s="653"/>
      <c r="AT375" s="653"/>
      <c r="AU375" s="653"/>
      <c r="AW375" t="b">
        <f t="array" ref="AW375">IF(AND(NOT(ISERROR($L375:$AU375))),TRUE,FALSE)</f>
        <v>1</v>
      </c>
      <c r="AX375" t="str">
        <f t="shared" si="251"/>
        <v/>
      </c>
      <c r="AY375" s="255" t="str">
        <f t="shared" si="252"/>
        <v/>
      </c>
    </row>
    <row r="376" spans="1:51" x14ac:dyDescent="0.35">
      <c r="A376" s="286"/>
      <c r="B376" t="str">
        <f t="shared" si="271"/>
        <v/>
      </c>
      <c r="C376" t="str">
        <f t="shared" si="271"/>
        <v/>
      </c>
      <c r="D376" t="str">
        <f t="shared" si="271"/>
        <v/>
      </c>
      <c r="E376" t="str">
        <f t="shared" si="271"/>
        <v/>
      </c>
      <c r="F376" t="str">
        <f t="shared" si="271"/>
        <v/>
      </c>
      <c r="G376" t="str">
        <f t="shared" si="271"/>
        <v/>
      </c>
      <c r="H376" t="str">
        <f t="shared" si="271"/>
        <v/>
      </c>
      <c r="J376" t="str">
        <f t="shared" si="271"/>
        <v/>
      </c>
      <c r="K376" t="str">
        <f t="shared" si="250"/>
        <v/>
      </c>
      <c r="L376" s="653"/>
      <c r="M376" s="653"/>
      <c r="N376" s="653"/>
      <c r="O376" s="653"/>
      <c r="P376" s="653"/>
      <c r="Q376" s="653"/>
      <c r="R376" s="653"/>
      <c r="S376" s="653"/>
      <c r="T376" s="653"/>
      <c r="U376" s="653"/>
      <c r="V376" s="653"/>
      <c r="W376" s="653"/>
      <c r="X376" s="653"/>
      <c r="Y376" s="653"/>
      <c r="Z376" s="653"/>
      <c r="AA376" s="653"/>
      <c r="AB376" s="653"/>
      <c r="AC376" s="653"/>
      <c r="AD376" s="653"/>
      <c r="AE376" s="653"/>
      <c r="AF376" s="653"/>
      <c r="AG376" s="653"/>
      <c r="AH376" s="653"/>
      <c r="AI376" s="653"/>
      <c r="AJ376" s="653"/>
      <c r="AK376" s="653"/>
      <c r="AL376" s="653"/>
      <c r="AM376" s="653"/>
      <c r="AN376" s="653"/>
      <c r="AO376" s="653"/>
      <c r="AP376" s="653"/>
      <c r="AQ376" s="653"/>
      <c r="AR376" s="653"/>
      <c r="AS376" s="653"/>
      <c r="AT376" s="653"/>
      <c r="AU376" s="653"/>
      <c r="AW376" t="b">
        <f t="array" ref="AW376">IF(AND(NOT(ISERROR($L376:$AU376))),TRUE,FALSE)</f>
        <v>1</v>
      </c>
      <c r="AX376" t="str">
        <f t="shared" si="251"/>
        <v/>
      </c>
      <c r="AY376" s="255" t="str">
        <f t="shared" si="252"/>
        <v/>
      </c>
    </row>
    <row r="377" spans="1:51" x14ac:dyDescent="0.35">
      <c r="A377" s="286"/>
      <c r="B377" t="str">
        <f t="shared" si="271"/>
        <v/>
      </c>
      <c r="C377" t="str">
        <f t="shared" si="271"/>
        <v/>
      </c>
      <c r="D377" t="str">
        <f t="shared" si="271"/>
        <v/>
      </c>
      <c r="E377" t="str">
        <f t="shared" si="271"/>
        <v/>
      </c>
      <c r="F377" t="str">
        <f t="shared" si="271"/>
        <v/>
      </c>
      <c r="G377" t="str">
        <f t="shared" si="271"/>
        <v/>
      </c>
      <c r="H377" t="str">
        <f t="shared" si="271"/>
        <v/>
      </c>
      <c r="J377" t="str">
        <f t="shared" si="271"/>
        <v/>
      </c>
      <c r="K377" t="str">
        <f t="shared" si="250"/>
        <v/>
      </c>
      <c r="L377" s="653"/>
      <c r="M377" s="653"/>
      <c r="N377" s="653"/>
      <c r="O377" s="653"/>
      <c r="P377" s="653"/>
      <c r="Q377" s="653"/>
      <c r="R377" s="653"/>
      <c r="S377" s="653"/>
      <c r="T377" s="653"/>
      <c r="U377" s="653"/>
      <c r="V377" s="653"/>
      <c r="W377" s="653"/>
      <c r="X377" s="653"/>
      <c r="Y377" s="653"/>
      <c r="Z377" s="653"/>
      <c r="AA377" s="653"/>
      <c r="AB377" s="653"/>
      <c r="AC377" s="653"/>
      <c r="AD377" s="653"/>
      <c r="AE377" s="653"/>
      <c r="AF377" s="653"/>
      <c r="AG377" s="653"/>
      <c r="AH377" s="653"/>
      <c r="AI377" s="653"/>
      <c r="AJ377" s="653"/>
      <c r="AK377" s="653"/>
      <c r="AL377" s="653"/>
      <c r="AM377" s="653"/>
      <c r="AN377" s="653"/>
      <c r="AO377" s="653"/>
      <c r="AP377" s="653"/>
      <c r="AQ377" s="653"/>
      <c r="AR377" s="653"/>
      <c r="AS377" s="653"/>
      <c r="AT377" s="653"/>
      <c r="AU377" s="653"/>
      <c r="AW377" t="b">
        <f t="array" ref="AW377">IF(AND(NOT(ISERROR($L377:$AU377))),TRUE,FALSE)</f>
        <v>1</v>
      </c>
      <c r="AX377" t="str">
        <f t="shared" si="251"/>
        <v/>
      </c>
      <c r="AY377" s="255" t="str">
        <f t="shared" si="252"/>
        <v/>
      </c>
    </row>
    <row r="378" spans="1:51" x14ac:dyDescent="0.35">
      <c r="A378" s="286"/>
      <c r="B378" t="str">
        <f t="shared" si="271"/>
        <v/>
      </c>
      <c r="C378" t="str">
        <f t="shared" si="271"/>
        <v/>
      </c>
      <c r="D378" t="str">
        <f t="shared" si="271"/>
        <v/>
      </c>
      <c r="E378" t="str">
        <f t="shared" si="271"/>
        <v/>
      </c>
      <c r="F378" t="str">
        <f t="shared" si="271"/>
        <v/>
      </c>
      <c r="G378" t="str">
        <f t="shared" si="271"/>
        <v/>
      </c>
      <c r="H378" t="str">
        <f t="shared" si="271"/>
        <v/>
      </c>
      <c r="J378" t="str">
        <f t="shared" si="271"/>
        <v/>
      </c>
      <c r="K378" t="str">
        <f t="shared" si="250"/>
        <v/>
      </c>
      <c r="L378" s="653"/>
      <c r="M378" s="653"/>
      <c r="N378" s="653"/>
      <c r="O378" s="653"/>
      <c r="P378" s="653"/>
      <c r="Q378" s="653"/>
      <c r="R378" s="653"/>
      <c r="S378" s="653"/>
      <c r="T378" s="653"/>
      <c r="U378" s="653"/>
      <c r="V378" s="653"/>
      <c r="W378" s="653"/>
      <c r="X378" s="653"/>
      <c r="Y378" s="653"/>
      <c r="Z378" s="653"/>
      <c r="AA378" s="653"/>
      <c r="AB378" s="653"/>
      <c r="AC378" s="653"/>
      <c r="AD378" s="653"/>
      <c r="AE378" s="653"/>
      <c r="AF378" s="653"/>
      <c r="AG378" s="653"/>
      <c r="AH378" s="653"/>
      <c r="AI378" s="653"/>
      <c r="AJ378" s="653"/>
      <c r="AK378" s="653"/>
      <c r="AL378" s="653"/>
      <c r="AM378" s="653"/>
      <c r="AN378" s="653"/>
      <c r="AO378" s="653"/>
      <c r="AP378" s="653"/>
      <c r="AQ378" s="653"/>
      <c r="AR378" s="653"/>
      <c r="AS378" s="653"/>
      <c r="AT378" s="653"/>
      <c r="AU378" s="653"/>
      <c r="AW378" t="b">
        <f t="array" ref="AW378">IF(AND(NOT(ISERROR($L378:$AU378))),TRUE,FALSE)</f>
        <v>1</v>
      </c>
      <c r="AX378" t="str">
        <f t="shared" si="251"/>
        <v/>
      </c>
      <c r="AY378" s="255" t="str">
        <f t="shared" si="252"/>
        <v/>
      </c>
    </row>
    <row r="379" spans="1:51" x14ac:dyDescent="0.35">
      <c r="A379" s="286"/>
      <c r="B379" t="str">
        <f t="shared" si="271"/>
        <v/>
      </c>
      <c r="C379" t="str">
        <f t="shared" si="271"/>
        <v/>
      </c>
      <c r="D379" t="str">
        <f t="shared" si="271"/>
        <v/>
      </c>
      <c r="E379" t="str">
        <f t="shared" si="271"/>
        <v/>
      </c>
      <c r="F379" t="str">
        <f t="shared" si="271"/>
        <v/>
      </c>
      <c r="G379" t="str">
        <f t="shared" si="271"/>
        <v/>
      </c>
      <c r="H379" t="str">
        <f t="shared" si="271"/>
        <v/>
      </c>
      <c r="J379" t="str">
        <f t="shared" si="271"/>
        <v/>
      </c>
      <c r="K379" t="str">
        <f t="shared" si="250"/>
        <v/>
      </c>
      <c r="L379" s="653"/>
      <c r="M379" s="653"/>
      <c r="N379" s="653"/>
      <c r="O379" s="653"/>
      <c r="P379" s="653"/>
      <c r="Q379" s="653"/>
      <c r="R379" s="653"/>
      <c r="S379" s="653"/>
      <c r="T379" s="653"/>
      <c r="U379" s="653"/>
      <c r="V379" s="653"/>
      <c r="W379" s="653"/>
      <c r="X379" s="653"/>
      <c r="Y379" s="653"/>
      <c r="Z379" s="653"/>
      <c r="AA379" s="653"/>
      <c r="AB379" s="653"/>
      <c r="AC379" s="653"/>
      <c r="AD379" s="653"/>
      <c r="AE379" s="653"/>
      <c r="AF379" s="653"/>
      <c r="AG379" s="653"/>
      <c r="AH379" s="653"/>
      <c r="AI379" s="653"/>
      <c r="AJ379" s="653"/>
      <c r="AK379" s="653"/>
      <c r="AL379" s="653"/>
      <c r="AM379" s="653"/>
      <c r="AN379" s="653"/>
      <c r="AO379" s="653"/>
      <c r="AP379" s="653"/>
      <c r="AQ379" s="653"/>
      <c r="AR379" s="653"/>
      <c r="AS379" s="653"/>
      <c r="AT379" s="653"/>
      <c r="AU379" s="653"/>
      <c r="AW379" t="b">
        <f t="array" ref="AW379">IF(AND(NOT(ISERROR($L379:$AU379))),TRUE,FALSE)</f>
        <v>1</v>
      </c>
      <c r="AX379" t="str">
        <f t="shared" si="251"/>
        <v/>
      </c>
      <c r="AY379" s="255" t="str">
        <f t="shared" si="252"/>
        <v/>
      </c>
    </row>
    <row r="380" spans="1:51" x14ac:dyDescent="0.35">
      <c r="A380" s="286"/>
      <c r="B380" t="str">
        <f t="shared" si="271"/>
        <v/>
      </c>
      <c r="C380" t="str">
        <f t="shared" si="271"/>
        <v/>
      </c>
      <c r="D380" t="str">
        <f t="shared" si="271"/>
        <v/>
      </c>
      <c r="E380" t="str">
        <f t="shared" si="271"/>
        <v/>
      </c>
      <c r="F380" t="str">
        <f t="shared" si="271"/>
        <v/>
      </c>
      <c r="G380" t="str">
        <f t="shared" si="271"/>
        <v/>
      </c>
      <c r="H380" t="str">
        <f t="shared" si="271"/>
        <v/>
      </c>
      <c r="J380" t="str">
        <f t="shared" si="271"/>
        <v/>
      </c>
      <c r="K380" t="str">
        <f t="shared" si="250"/>
        <v/>
      </c>
      <c r="L380" s="653"/>
      <c r="M380" s="653"/>
      <c r="N380" s="653"/>
      <c r="O380" s="653"/>
      <c r="P380" s="653"/>
      <c r="Q380" s="653"/>
      <c r="R380" s="653"/>
      <c r="S380" s="653"/>
      <c r="T380" s="653"/>
      <c r="U380" s="653"/>
      <c r="V380" s="653"/>
      <c r="W380" s="653"/>
      <c r="X380" s="653"/>
      <c r="Y380" s="653"/>
      <c r="Z380" s="653"/>
      <c r="AA380" s="653"/>
      <c r="AB380" s="653"/>
      <c r="AC380" s="653"/>
      <c r="AD380" s="653"/>
      <c r="AE380" s="653"/>
      <c r="AF380" s="653"/>
      <c r="AG380" s="653"/>
      <c r="AH380" s="653"/>
      <c r="AI380" s="653"/>
      <c r="AJ380" s="653"/>
      <c r="AK380" s="653"/>
      <c r="AL380" s="653"/>
      <c r="AM380" s="653"/>
      <c r="AN380" s="653"/>
      <c r="AO380" s="653"/>
      <c r="AP380" s="653"/>
      <c r="AQ380" s="653"/>
      <c r="AR380" s="653"/>
      <c r="AS380" s="653"/>
      <c r="AT380" s="653"/>
      <c r="AU380" s="653"/>
      <c r="AW380" t="b">
        <f t="array" ref="AW380">IF(AND(NOT(ISERROR($L380:$AU380))),TRUE,FALSE)</f>
        <v>1</v>
      </c>
      <c r="AX380" t="str">
        <f t="shared" si="251"/>
        <v/>
      </c>
      <c r="AY380" s="255" t="str">
        <f t="shared" si="252"/>
        <v/>
      </c>
    </row>
    <row r="381" spans="1:51" x14ac:dyDescent="0.35">
      <c r="A381" s="286"/>
      <c r="B381" t="str">
        <f t="shared" si="271"/>
        <v/>
      </c>
      <c r="C381" t="str">
        <f t="shared" si="271"/>
        <v/>
      </c>
      <c r="D381" t="str">
        <f t="shared" si="271"/>
        <v/>
      </c>
      <c r="E381" t="str">
        <f t="shared" si="271"/>
        <v/>
      </c>
      <c r="F381" t="str">
        <f t="shared" si="271"/>
        <v/>
      </c>
      <c r="G381" t="str">
        <f t="shared" si="271"/>
        <v/>
      </c>
      <c r="H381" t="str">
        <f t="shared" si="271"/>
        <v/>
      </c>
      <c r="J381" t="str">
        <f t="shared" si="271"/>
        <v/>
      </c>
      <c r="K381" t="str">
        <f t="shared" si="250"/>
        <v/>
      </c>
      <c r="L381" s="653"/>
      <c r="M381" s="653"/>
      <c r="N381" s="653"/>
      <c r="O381" s="653"/>
      <c r="P381" s="653"/>
      <c r="Q381" s="653"/>
      <c r="R381" s="653"/>
      <c r="S381" s="653"/>
      <c r="T381" s="653"/>
      <c r="U381" s="653"/>
      <c r="V381" s="653"/>
      <c r="W381" s="653"/>
      <c r="X381" s="653"/>
      <c r="Y381" s="653"/>
      <c r="Z381" s="653"/>
      <c r="AA381" s="653"/>
      <c r="AB381" s="653"/>
      <c r="AC381" s="653"/>
      <c r="AD381" s="653"/>
      <c r="AE381" s="653"/>
      <c r="AF381" s="653"/>
      <c r="AG381" s="653"/>
      <c r="AH381" s="653"/>
      <c r="AI381" s="653"/>
      <c r="AJ381" s="653"/>
      <c r="AK381" s="653"/>
      <c r="AL381" s="653"/>
      <c r="AM381" s="653"/>
      <c r="AN381" s="653"/>
      <c r="AO381" s="653"/>
      <c r="AP381" s="653"/>
      <c r="AQ381" s="653"/>
      <c r="AR381" s="653"/>
      <c r="AS381" s="653"/>
      <c r="AT381" s="653"/>
      <c r="AU381" s="653"/>
      <c r="AW381" t="b">
        <f t="array" ref="AW381">IF(AND(NOT(ISERROR($L381:$AU381))),TRUE,FALSE)</f>
        <v>1</v>
      </c>
      <c r="AX381" t="str">
        <f t="shared" si="251"/>
        <v/>
      </c>
      <c r="AY381" s="255" t="str">
        <f t="shared" si="252"/>
        <v/>
      </c>
    </row>
    <row r="382" spans="1:51" x14ac:dyDescent="0.35">
      <c r="A382" s="286"/>
      <c r="B382" t="str">
        <f t="shared" si="271"/>
        <v/>
      </c>
      <c r="C382" t="str">
        <f t="shared" si="271"/>
        <v/>
      </c>
      <c r="D382" t="str">
        <f t="shared" si="271"/>
        <v/>
      </c>
      <c r="E382" t="str">
        <f t="shared" si="271"/>
        <v/>
      </c>
      <c r="F382" t="str">
        <f t="shared" si="271"/>
        <v/>
      </c>
      <c r="G382" t="str">
        <f t="shared" si="271"/>
        <v/>
      </c>
      <c r="H382" t="str">
        <f t="shared" si="271"/>
        <v/>
      </c>
      <c r="J382" t="str">
        <f t="shared" si="271"/>
        <v/>
      </c>
      <c r="K382" t="str">
        <f t="shared" si="250"/>
        <v/>
      </c>
      <c r="L382" s="653"/>
      <c r="M382" s="653"/>
      <c r="N382" s="653"/>
      <c r="O382" s="653"/>
      <c r="P382" s="653"/>
      <c r="Q382" s="653"/>
      <c r="R382" s="653"/>
      <c r="S382" s="653"/>
      <c r="T382" s="653"/>
      <c r="U382" s="653"/>
      <c r="V382" s="653"/>
      <c r="W382" s="653"/>
      <c r="X382" s="653"/>
      <c r="Y382" s="653"/>
      <c r="Z382" s="653"/>
      <c r="AA382" s="653"/>
      <c r="AB382" s="653"/>
      <c r="AC382" s="653"/>
      <c r="AD382" s="653"/>
      <c r="AE382" s="653"/>
      <c r="AF382" s="653"/>
      <c r="AG382" s="653"/>
      <c r="AH382" s="653"/>
      <c r="AI382" s="653"/>
      <c r="AJ382" s="653"/>
      <c r="AK382" s="653"/>
      <c r="AL382" s="653"/>
      <c r="AM382" s="653"/>
      <c r="AN382" s="653"/>
      <c r="AO382" s="653"/>
      <c r="AP382" s="653"/>
      <c r="AQ382" s="653"/>
      <c r="AR382" s="653"/>
      <c r="AS382" s="653"/>
      <c r="AT382" s="653"/>
      <c r="AU382" s="653"/>
      <c r="AW382" t="b">
        <f t="array" ref="AW382">IF(AND(NOT(ISERROR($L382:$AU382))),TRUE,FALSE)</f>
        <v>1</v>
      </c>
      <c r="AX382" t="str">
        <f t="shared" si="251"/>
        <v/>
      </c>
      <c r="AY382" s="255" t="str">
        <f t="shared" si="252"/>
        <v/>
      </c>
    </row>
    <row r="383" spans="1:51" x14ac:dyDescent="0.35">
      <c r="A383" s="286"/>
      <c r="B383" t="str">
        <f t="shared" si="271"/>
        <v/>
      </c>
      <c r="C383" t="str">
        <f t="shared" si="271"/>
        <v/>
      </c>
      <c r="D383" t="str">
        <f t="shared" si="271"/>
        <v/>
      </c>
      <c r="E383" t="str">
        <f t="shared" si="271"/>
        <v/>
      </c>
      <c r="F383" t="str">
        <f t="shared" si="271"/>
        <v/>
      </c>
      <c r="G383" t="str">
        <f t="shared" si="271"/>
        <v/>
      </c>
      <c r="H383" t="str">
        <f t="shared" si="271"/>
        <v/>
      </c>
      <c r="J383" t="str">
        <f t="shared" si="271"/>
        <v/>
      </c>
      <c r="K383" t="str">
        <f t="shared" si="250"/>
        <v/>
      </c>
      <c r="L383" s="653"/>
      <c r="M383" s="653"/>
      <c r="N383" s="653"/>
      <c r="O383" s="653"/>
      <c r="P383" s="653"/>
      <c r="Q383" s="653"/>
      <c r="R383" s="653"/>
      <c r="S383" s="653"/>
      <c r="T383" s="653"/>
      <c r="U383" s="653"/>
      <c r="V383" s="653"/>
      <c r="W383" s="653"/>
      <c r="X383" s="653"/>
      <c r="Y383" s="653"/>
      <c r="Z383" s="653"/>
      <c r="AA383" s="653"/>
      <c r="AB383" s="653"/>
      <c r="AC383" s="653"/>
      <c r="AD383" s="653"/>
      <c r="AE383" s="653"/>
      <c r="AF383" s="653"/>
      <c r="AG383" s="653"/>
      <c r="AH383" s="653"/>
      <c r="AI383" s="653"/>
      <c r="AJ383" s="653"/>
      <c r="AK383" s="653"/>
      <c r="AL383" s="653"/>
      <c r="AM383" s="653"/>
      <c r="AN383" s="653"/>
      <c r="AO383" s="653"/>
      <c r="AP383" s="653"/>
      <c r="AQ383" s="653"/>
      <c r="AR383" s="653"/>
      <c r="AS383" s="653"/>
      <c r="AT383" s="653"/>
      <c r="AU383" s="653"/>
      <c r="AW383" t="b">
        <f t="array" ref="AW383">IF(AND(NOT(ISERROR($L383:$AU383))),TRUE,FALSE)</f>
        <v>1</v>
      </c>
      <c r="AX383" t="str">
        <f t="shared" si="251"/>
        <v/>
      </c>
      <c r="AY383" s="255" t="str">
        <f t="shared" si="252"/>
        <v/>
      </c>
    </row>
    <row r="384" spans="1:51" x14ac:dyDescent="0.35">
      <c r="A384" s="286"/>
      <c r="B384" t="str">
        <f t="shared" si="271"/>
        <v/>
      </c>
      <c r="C384" t="str">
        <f t="shared" si="271"/>
        <v/>
      </c>
      <c r="D384" t="str">
        <f t="shared" si="271"/>
        <v/>
      </c>
      <c r="E384" t="str">
        <f t="shared" si="271"/>
        <v/>
      </c>
      <c r="F384" t="str">
        <f t="shared" si="271"/>
        <v/>
      </c>
      <c r="G384" t="str">
        <f t="shared" si="271"/>
        <v/>
      </c>
      <c r="H384" t="str">
        <f t="shared" si="271"/>
        <v/>
      </c>
      <c r="J384" t="str">
        <f t="shared" si="271"/>
        <v/>
      </c>
      <c r="K384" t="str">
        <f t="shared" si="250"/>
        <v/>
      </c>
      <c r="L384" s="653"/>
      <c r="M384" s="653"/>
      <c r="N384" s="653"/>
      <c r="O384" s="653"/>
      <c r="P384" s="653"/>
      <c r="Q384" s="653"/>
      <c r="R384" s="653"/>
      <c r="S384" s="653"/>
      <c r="T384" s="653"/>
      <c r="U384" s="653"/>
      <c r="V384" s="653"/>
      <c r="W384" s="653"/>
      <c r="X384" s="653"/>
      <c r="Y384" s="653"/>
      <c r="Z384" s="653"/>
      <c r="AA384" s="653"/>
      <c r="AB384" s="653"/>
      <c r="AC384" s="653"/>
      <c r="AD384" s="653"/>
      <c r="AE384" s="653"/>
      <c r="AF384" s="653"/>
      <c r="AG384" s="653"/>
      <c r="AH384" s="653"/>
      <c r="AI384" s="653"/>
      <c r="AJ384" s="653"/>
      <c r="AK384" s="653"/>
      <c r="AL384" s="653"/>
      <c r="AM384" s="653"/>
      <c r="AN384" s="653"/>
      <c r="AO384" s="653"/>
      <c r="AP384" s="653"/>
      <c r="AQ384" s="653"/>
      <c r="AR384" s="653"/>
      <c r="AS384" s="653"/>
      <c r="AT384" s="653"/>
      <c r="AU384" s="653"/>
      <c r="AW384" t="b">
        <f t="array" ref="AW384">IF(AND(NOT(ISERROR($L384:$AU384))),TRUE,FALSE)</f>
        <v>1</v>
      </c>
      <c r="AX384" t="str">
        <f t="shared" si="251"/>
        <v/>
      </c>
      <c r="AY384" s="255" t="str">
        <f t="shared" si="252"/>
        <v/>
      </c>
    </row>
    <row r="385" spans="1:52" x14ac:dyDescent="0.35">
      <c r="A385" s="286"/>
      <c r="B385" t="str">
        <f t="shared" si="271"/>
        <v/>
      </c>
      <c r="C385" t="str">
        <f t="shared" si="271"/>
        <v/>
      </c>
      <c r="D385" t="str">
        <f t="shared" si="271"/>
        <v/>
      </c>
      <c r="E385" t="str">
        <f t="shared" si="271"/>
        <v/>
      </c>
      <c r="F385" t="str">
        <f t="shared" si="271"/>
        <v/>
      </c>
      <c r="G385" t="str">
        <f t="shared" si="271"/>
        <v/>
      </c>
      <c r="H385" t="str">
        <f t="shared" si="271"/>
        <v/>
      </c>
      <c r="J385" t="str">
        <f t="shared" si="271"/>
        <v/>
      </c>
      <c r="K385" t="str">
        <f t="shared" si="250"/>
        <v/>
      </c>
      <c r="L385" s="653"/>
      <c r="M385" s="653"/>
      <c r="N385" s="653"/>
      <c r="O385" s="653"/>
      <c r="P385" s="653"/>
      <c r="Q385" s="653"/>
      <c r="R385" s="653"/>
      <c r="S385" s="653"/>
      <c r="T385" s="653"/>
      <c r="U385" s="653"/>
      <c r="V385" s="653"/>
      <c r="W385" s="653"/>
      <c r="X385" s="653"/>
      <c r="Y385" s="653"/>
      <c r="Z385" s="653"/>
      <c r="AA385" s="653"/>
      <c r="AB385" s="653"/>
      <c r="AC385" s="653"/>
      <c r="AD385" s="653"/>
      <c r="AE385" s="653"/>
      <c r="AF385" s="653"/>
      <c r="AG385" s="653"/>
      <c r="AH385" s="653"/>
      <c r="AI385" s="653"/>
      <c r="AJ385" s="653"/>
      <c r="AK385" s="653"/>
      <c r="AL385" s="653"/>
      <c r="AM385" s="653"/>
      <c r="AN385" s="653"/>
      <c r="AO385" s="653"/>
      <c r="AP385" s="653"/>
      <c r="AQ385" s="653"/>
      <c r="AR385" s="653"/>
      <c r="AS385" s="653"/>
      <c r="AT385" s="653"/>
      <c r="AU385" s="653"/>
      <c r="AW385" t="b">
        <f t="array" ref="AW385">IF(AND(NOT(ISERROR($L385:$AU385))),TRUE,FALSE)</f>
        <v>1</v>
      </c>
      <c r="AX385" t="str">
        <f t="shared" si="251"/>
        <v/>
      </c>
      <c r="AY385" s="255" t="str">
        <f t="shared" si="252"/>
        <v/>
      </c>
    </row>
    <row r="386" spans="1:52" x14ac:dyDescent="0.35">
      <c r="A386" s="286"/>
      <c r="B386" t="str">
        <f t="shared" si="271"/>
        <v/>
      </c>
      <c r="C386" t="str">
        <f t="shared" si="271"/>
        <v/>
      </c>
      <c r="D386" t="str">
        <f t="shared" si="271"/>
        <v/>
      </c>
      <c r="E386" t="str">
        <f t="shared" si="271"/>
        <v/>
      </c>
      <c r="F386" t="str">
        <f t="shared" si="271"/>
        <v/>
      </c>
      <c r="G386" t="str">
        <f t="shared" si="271"/>
        <v/>
      </c>
      <c r="H386" t="str">
        <f t="shared" si="271"/>
        <v/>
      </c>
      <c r="J386" t="str">
        <f t="shared" si="271"/>
        <v/>
      </c>
      <c r="K386" t="str">
        <f t="shared" si="250"/>
        <v/>
      </c>
      <c r="L386" s="653"/>
      <c r="M386" s="653"/>
      <c r="N386" s="653"/>
      <c r="O386" s="653"/>
      <c r="P386" s="653"/>
      <c r="Q386" s="653"/>
      <c r="R386" s="653"/>
      <c r="S386" s="653"/>
      <c r="T386" s="653"/>
      <c r="U386" s="653"/>
      <c r="V386" s="653"/>
      <c r="W386" s="653"/>
      <c r="X386" s="653"/>
      <c r="Y386" s="653"/>
      <c r="Z386" s="653"/>
      <c r="AA386" s="653"/>
      <c r="AB386" s="653"/>
      <c r="AC386" s="653"/>
      <c r="AD386" s="653"/>
      <c r="AE386" s="653"/>
      <c r="AF386" s="653"/>
      <c r="AG386" s="653"/>
      <c r="AH386" s="653"/>
      <c r="AI386" s="653"/>
      <c r="AJ386" s="653"/>
      <c r="AK386" s="653"/>
      <c r="AL386" s="653"/>
      <c r="AM386" s="653"/>
      <c r="AN386" s="653"/>
      <c r="AO386" s="653"/>
      <c r="AP386" s="653"/>
      <c r="AQ386" s="653"/>
      <c r="AR386" s="653"/>
      <c r="AS386" s="653"/>
      <c r="AT386" s="653"/>
      <c r="AU386" s="653"/>
      <c r="AW386" t="b">
        <f t="array" ref="AW386">IF(AND(NOT(ISERROR($L386:$AU386))),TRUE,FALSE)</f>
        <v>1</v>
      </c>
      <c r="AX386" t="str">
        <f t="shared" si="251"/>
        <v/>
      </c>
      <c r="AY386" s="255" t="str">
        <f t="shared" si="252"/>
        <v/>
      </c>
    </row>
    <row r="387" spans="1:52" x14ac:dyDescent="0.35">
      <c r="A387" s="286"/>
      <c r="B387" t="str">
        <f t="shared" si="271"/>
        <v/>
      </c>
      <c r="C387" t="str">
        <f t="shared" si="271"/>
        <v/>
      </c>
      <c r="D387" t="str">
        <f t="shared" si="271"/>
        <v/>
      </c>
      <c r="E387" t="str">
        <f t="shared" si="271"/>
        <v/>
      </c>
      <c r="F387" t="str">
        <f t="shared" si="271"/>
        <v/>
      </c>
      <c r="G387" t="str">
        <f t="shared" si="271"/>
        <v/>
      </c>
      <c r="H387" t="str">
        <f t="shared" si="271"/>
        <v/>
      </c>
      <c r="J387" t="str">
        <f t="shared" si="271"/>
        <v/>
      </c>
      <c r="K387" t="str">
        <f t="shared" si="250"/>
        <v/>
      </c>
      <c r="L387" s="653"/>
      <c r="M387" s="653"/>
      <c r="N387" s="653"/>
      <c r="O387" s="653"/>
      <c r="P387" s="653"/>
      <c r="Q387" s="653"/>
      <c r="R387" s="653"/>
      <c r="S387" s="653"/>
      <c r="T387" s="653"/>
      <c r="U387" s="653"/>
      <c r="V387" s="653"/>
      <c r="W387" s="653"/>
      <c r="X387" s="653"/>
      <c r="Y387" s="653"/>
      <c r="Z387" s="653"/>
      <c r="AA387" s="653"/>
      <c r="AB387" s="653"/>
      <c r="AC387" s="653"/>
      <c r="AD387" s="653"/>
      <c r="AE387" s="653"/>
      <c r="AF387" s="653"/>
      <c r="AG387" s="653"/>
      <c r="AH387" s="653"/>
      <c r="AI387" s="653"/>
      <c r="AJ387" s="653"/>
      <c r="AK387" s="653"/>
      <c r="AL387" s="653"/>
      <c r="AM387" s="653"/>
      <c r="AN387" s="653"/>
      <c r="AO387" s="653"/>
      <c r="AP387" s="653"/>
      <c r="AQ387" s="653"/>
      <c r="AR387" s="653"/>
      <c r="AS387" s="653"/>
      <c r="AT387" s="653"/>
      <c r="AU387" s="653"/>
      <c r="AW387" t="b">
        <f t="array" ref="AW387">IF(AND(NOT(ISERROR($L387:$AU387))),TRUE,FALSE)</f>
        <v>1</v>
      </c>
      <c r="AX387" t="str">
        <f t="shared" si="251"/>
        <v/>
      </c>
      <c r="AY387" s="255" t="str">
        <f t="shared" si="252"/>
        <v/>
      </c>
    </row>
    <row r="388" spans="1:52" x14ac:dyDescent="0.35">
      <c r="A388" s="286"/>
      <c r="B388" t="str">
        <f t="shared" si="271"/>
        <v/>
      </c>
      <c r="C388" t="str">
        <f t="shared" si="271"/>
        <v/>
      </c>
      <c r="D388" t="str">
        <f t="shared" si="271"/>
        <v/>
      </c>
      <c r="E388" t="str">
        <f t="shared" si="271"/>
        <v/>
      </c>
      <c r="F388" t="str">
        <f t="shared" si="271"/>
        <v/>
      </c>
      <c r="G388" t="str">
        <f t="shared" si="271"/>
        <v/>
      </c>
      <c r="H388" t="str">
        <f t="shared" si="271"/>
        <v/>
      </c>
      <c r="J388" t="str">
        <f t="shared" si="271"/>
        <v/>
      </c>
      <c r="K388" t="str">
        <f t="shared" si="250"/>
        <v/>
      </c>
      <c r="L388" s="653"/>
      <c r="M388" s="653"/>
      <c r="N388" s="653"/>
      <c r="O388" s="653"/>
      <c r="P388" s="653"/>
      <c r="Q388" s="653"/>
      <c r="R388" s="653"/>
      <c r="S388" s="653"/>
      <c r="T388" s="653"/>
      <c r="U388" s="653"/>
      <c r="V388" s="653"/>
      <c r="W388" s="653"/>
      <c r="X388" s="653"/>
      <c r="Y388" s="653"/>
      <c r="Z388" s="653"/>
      <c r="AA388" s="653"/>
      <c r="AB388" s="653"/>
      <c r="AC388" s="653"/>
      <c r="AD388" s="653"/>
      <c r="AE388" s="653"/>
      <c r="AF388" s="653"/>
      <c r="AG388" s="653"/>
      <c r="AH388" s="653"/>
      <c r="AI388" s="653"/>
      <c r="AJ388" s="653"/>
      <c r="AK388" s="653"/>
      <c r="AL388" s="653"/>
      <c r="AM388" s="653"/>
      <c r="AN388" s="653"/>
      <c r="AO388" s="653"/>
      <c r="AP388" s="653"/>
      <c r="AQ388" s="653"/>
      <c r="AR388" s="653"/>
      <c r="AS388" s="653"/>
      <c r="AT388" s="653"/>
      <c r="AU388" s="653"/>
      <c r="AW388" t="b">
        <f t="array" ref="AW388">IF(AND(NOT(ISERROR($L388:$AU388))),TRUE,FALSE)</f>
        <v>1</v>
      </c>
      <c r="AX388" t="str">
        <f t="shared" si="251"/>
        <v/>
      </c>
      <c r="AY388" s="255" t="str">
        <f t="shared" si="252"/>
        <v/>
      </c>
    </row>
    <row r="389" spans="1:52" x14ac:dyDescent="0.35">
      <c r="A389" s="286"/>
      <c r="B389" t="str">
        <f t="shared" si="271"/>
        <v/>
      </c>
      <c r="C389" t="str">
        <f t="shared" si="271"/>
        <v/>
      </c>
      <c r="D389" t="str">
        <f t="shared" si="271"/>
        <v/>
      </c>
      <c r="E389" t="str">
        <f t="shared" si="271"/>
        <v/>
      </c>
      <c r="F389" t="str">
        <f t="shared" si="271"/>
        <v/>
      </c>
      <c r="G389" t="str">
        <f t="shared" si="271"/>
        <v/>
      </c>
      <c r="H389" t="str">
        <f t="shared" si="271"/>
        <v/>
      </c>
      <c r="J389" t="str">
        <f t="shared" si="271"/>
        <v/>
      </c>
      <c r="K389" t="str">
        <f t="shared" si="250"/>
        <v/>
      </c>
      <c r="L389" s="653"/>
      <c r="M389" s="653"/>
      <c r="N389" s="653"/>
      <c r="O389" s="653"/>
      <c r="P389" s="653"/>
      <c r="Q389" s="653"/>
      <c r="R389" s="653"/>
      <c r="S389" s="653"/>
      <c r="T389" s="653"/>
      <c r="U389" s="653"/>
      <c r="V389" s="653"/>
      <c r="W389" s="653"/>
      <c r="X389" s="653"/>
      <c r="Y389" s="653"/>
      <c r="Z389" s="653"/>
      <c r="AA389" s="653"/>
      <c r="AB389" s="653"/>
      <c r="AC389" s="653"/>
      <c r="AD389" s="653"/>
      <c r="AE389" s="653"/>
      <c r="AF389" s="653"/>
      <c r="AG389" s="653"/>
      <c r="AH389" s="653"/>
      <c r="AI389" s="653"/>
      <c r="AJ389" s="653"/>
      <c r="AK389" s="653"/>
      <c r="AL389" s="653"/>
      <c r="AM389" s="653"/>
      <c r="AN389" s="653"/>
      <c r="AO389" s="653"/>
      <c r="AP389" s="653"/>
      <c r="AQ389" s="653"/>
      <c r="AR389" s="653"/>
      <c r="AS389" s="653"/>
      <c r="AT389" s="653"/>
      <c r="AU389" s="653"/>
      <c r="AW389" t="b">
        <f t="array" ref="AW389">IF(AND(NOT(ISERROR($L389:$AU389))),TRUE,FALSE)</f>
        <v>1</v>
      </c>
      <c r="AX389" t="str">
        <f t="shared" si="251"/>
        <v/>
      </c>
      <c r="AY389" s="255" t="str">
        <f t="shared" si="252"/>
        <v/>
      </c>
    </row>
    <row r="390" spans="1:52" hidden="1" outlineLevel="1" x14ac:dyDescent="0.35">
      <c r="A390" s="286"/>
      <c r="B390" t="str">
        <f t="shared" si="271"/>
        <v/>
      </c>
      <c r="C390" t="str">
        <f t="shared" si="271"/>
        <v/>
      </c>
      <c r="D390" t="str">
        <f t="shared" si="271"/>
        <v/>
      </c>
      <c r="E390" t="str">
        <f t="shared" si="271"/>
        <v/>
      </c>
      <c r="F390" t="str">
        <f t="shared" si="271"/>
        <v/>
      </c>
      <c r="G390" t="str">
        <f t="shared" si="271"/>
        <v/>
      </c>
      <c r="H390" t="str">
        <f t="shared" si="271"/>
        <v/>
      </c>
      <c r="J390" t="str">
        <f t="shared" si="271"/>
        <v/>
      </c>
      <c r="K390" t="str">
        <f t="shared" si="250"/>
        <v/>
      </c>
      <c r="L390" s="653"/>
      <c r="M390" s="653"/>
      <c r="N390" s="653"/>
      <c r="O390" s="653"/>
      <c r="P390" s="653"/>
      <c r="Q390" s="653"/>
      <c r="R390" s="653"/>
      <c r="S390" s="653"/>
      <c r="T390" s="653"/>
      <c r="U390" s="653"/>
      <c r="V390" s="653"/>
      <c r="W390" s="653"/>
      <c r="X390" s="653"/>
      <c r="Y390" s="653"/>
      <c r="Z390" s="653"/>
      <c r="AA390" s="653"/>
      <c r="AB390" s="653"/>
      <c r="AC390" s="653"/>
      <c r="AD390" s="653"/>
      <c r="AE390" s="653"/>
      <c r="AF390" s="653"/>
      <c r="AG390" s="653"/>
      <c r="AH390" s="653"/>
      <c r="AI390" s="653"/>
      <c r="AJ390" s="653"/>
      <c r="AK390" s="653"/>
      <c r="AL390" s="653"/>
      <c r="AM390" s="653"/>
      <c r="AN390" s="653"/>
      <c r="AO390" s="653"/>
      <c r="AP390" s="653"/>
      <c r="AQ390" s="653"/>
      <c r="AR390" s="653"/>
      <c r="AS390" s="653"/>
      <c r="AT390" s="653"/>
      <c r="AU390" s="653"/>
      <c r="AW390" t="b">
        <f t="array" ref="AW390">IF(AND(NOT(ISERROR($L390:$AU390))),TRUE,FALSE)</f>
        <v>1</v>
      </c>
      <c r="AX390" t="str">
        <f t="shared" si="251"/>
        <v/>
      </c>
      <c r="AY390" s="255" t="str">
        <f t="shared" si="252"/>
        <v/>
      </c>
    </row>
    <row r="391" spans="1:52" hidden="1" outlineLevel="1" x14ac:dyDescent="0.35">
      <c r="A391" s="286"/>
      <c r="B391" t="str">
        <f t="shared" ref="B391:J391" si="272">IF(B286="","",B286)</f>
        <v/>
      </c>
      <c r="C391" t="str">
        <f t="shared" si="272"/>
        <v/>
      </c>
      <c r="D391" t="str">
        <f t="shared" si="272"/>
        <v/>
      </c>
      <c r="E391" t="str">
        <f t="shared" si="272"/>
        <v/>
      </c>
      <c r="F391" t="str">
        <f t="shared" si="272"/>
        <v/>
      </c>
      <c r="G391" t="str">
        <f t="shared" si="272"/>
        <v/>
      </c>
      <c r="H391" t="str">
        <f t="shared" si="272"/>
        <v/>
      </c>
      <c r="J391" t="str">
        <f t="shared" si="272"/>
        <v/>
      </c>
      <c r="K391" t="str">
        <f t="shared" si="250"/>
        <v/>
      </c>
      <c r="L391" s="653"/>
      <c r="M391" s="653"/>
      <c r="N391" s="653"/>
      <c r="O391" s="653"/>
      <c r="P391" s="653"/>
      <c r="Q391" s="653"/>
      <c r="R391" s="653"/>
      <c r="S391" s="653"/>
      <c r="T391" s="653"/>
      <c r="U391" s="653"/>
      <c r="V391" s="653"/>
      <c r="W391" s="653"/>
      <c r="X391" s="653"/>
      <c r="Y391" s="653"/>
      <c r="Z391" s="653"/>
      <c r="AA391" s="653"/>
      <c r="AB391" s="653"/>
      <c r="AC391" s="653"/>
      <c r="AD391" s="653"/>
      <c r="AE391" s="653"/>
      <c r="AF391" s="653"/>
      <c r="AG391" s="653"/>
      <c r="AH391" s="653"/>
      <c r="AI391" s="653"/>
      <c r="AJ391" s="653"/>
      <c r="AK391" s="653"/>
      <c r="AL391" s="653"/>
      <c r="AM391" s="653"/>
      <c r="AN391" s="653"/>
      <c r="AO391" s="653"/>
      <c r="AP391" s="653"/>
      <c r="AQ391" s="653"/>
      <c r="AR391" s="653"/>
      <c r="AS391" s="653"/>
      <c r="AT391" s="653"/>
      <c r="AU391" s="653"/>
      <c r="AW391" t="b">
        <f t="array" ref="AW391">IF(AND(NOT(ISERROR($L391:$AU391))),TRUE,FALSE)</f>
        <v>1</v>
      </c>
      <c r="AX391" t="str">
        <f t="shared" si="251"/>
        <v/>
      </c>
      <c r="AY391" s="255" t="str">
        <f t="shared" si="252"/>
        <v/>
      </c>
    </row>
    <row r="392" spans="1:52" collapsed="1" x14ac:dyDescent="0.35"/>
    <row r="393" spans="1:52" x14ac:dyDescent="0.35">
      <c r="A393" s="285" t="s">
        <v>1157</v>
      </c>
      <c r="B393" s="285" t="s">
        <v>1157</v>
      </c>
      <c r="C393" s="285" t="s">
        <v>1157</v>
      </c>
      <c r="D393" s="285" t="s">
        <v>1157</v>
      </c>
      <c r="E393" s="285" t="s">
        <v>1157</v>
      </c>
      <c r="F393" s="285" t="s">
        <v>1157</v>
      </c>
      <c r="G393" s="285" t="s">
        <v>1157</v>
      </c>
      <c r="H393" s="285" t="s">
        <v>1157</v>
      </c>
      <c r="I393" s="285" t="s">
        <v>1157</v>
      </c>
      <c r="J393" s="285" t="s">
        <v>1157</v>
      </c>
      <c r="K393" s="285" t="s">
        <v>1157</v>
      </c>
      <c r="L393" s="285" t="s">
        <v>1157</v>
      </c>
      <c r="M393" s="285" t="s">
        <v>1157</v>
      </c>
      <c r="N393" s="285" t="s">
        <v>1157</v>
      </c>
      <c r="O393" s="285" t="s">
        <v>1157</v>
      </c>
      <c r="P393" s="285" t="s">
        <v>1157</v>
      </c>
      <c r="Q393" s="285" t="s">
        <v>1157</v>
      </c>
      <c r="R393" s="285" t="s">
        <v>1157</v>
      </c>
      <c r="S393" s="285" t="s">
        <v>1157</v>
      </c>
      <c r="T393" s="285" t="s">
        <v>1157</v>
      </c>
      <c r="U393" s="285" t="s">
        <v>1157</v>
      </c>
      <c r="V393" s="285" t="s">
        <v>1157</v>
      </c>
      <c r="W393" s="285" t="s">
        <v>1157</v>
      </c>
      <c r="X393" s="285" t="s">
        <v>1157</v>
      </c>
      <c r="Y393" s="285" t="s">
        <v>1157</v>
      </c>
      <c r="Z393" s="285" t="s">
        <v>1157</v>
      </c>
      <c r="AA393" s="285" t="s">
        <v>1157</v>
      </c>
      <c r="AB393" s="285" t="s">
        <v>1157</v>
      </c>
      <c r="AC393" s="285" t="s">
        <v>1157</v>
      </c>
      <c r="AD393" s="285" t="s">
        <v>1157</v>
      </c>
      <c r="AE393" s="285" t="s">
        <v>1157</v>
      </c>
      <c r="AF393" s="285" t="s">
        <v>1157</v>
      </c>
      <c r="AG393" s="285" t="s">
        <v>1157</v>
      </c>
      <c r="AH393" s="285" t="s">
        <v>1157</v>
      </c>
      <c r="AI393" s="285" t="s">
        <v>1157</v>
      </c>
      <c r="AJ393" s="285" t="s">
        <v>1157</v>
      </c>
      <c r="AK393" s="285" t="s">
        <v>1157</v>
      </c>
      <c r="AL393" s="285" t="s">
        <v>1157</v>
      </c>
      <c r="AM393" s="285" t="s">
        <v>1157</v>
      </c>
      <c r="AN393" s="285" t="s">
        <v>1157</v>
      </c>
      <c r="AO393" s="285" t="s">
        <v>1157</v>
      </c>
      <c r="AP393" s="285" t="s">
        <v>1157</v>
      </c>
      <c r="AQ393" s="285" t="s">
        <v>1157</v>
      </c>
      <c r="AR393" s="285" t="s">
        <v>1157</v>
      </c>
      <c r="AS393" s="285" t="s">
        <v>1157</v>
      </c>
      <c r="AT393" s="285" t="s">
        <v>1157</v>
      </c>
      <c r="AU393" s="285" t="s">
        <v>1157</v>
      </c>
      <c r="AV393" s="285" t="s">
        <v>1157</v>
      </c>
      <c r="AW393" s="285" t="s">
        <v>1157</v>
      </c>
      <c r="AX393" s="285" t="s">
        <v>1157</v>
      </c>
      <c r="AY393" s="285" t="s">
        <v>1157</v>
      </c>
      <c r="AZ393" s="285" t="s">
        <v>1157</v>
      </c>
    </row>
    <row r="395" spans="1:52" ht="23.5" x14ac:dyDescent="0.55000000000000004">
      <c r="B395" s="252" t="s">
        <v>1</v>
      </c>
    </row>
    <row r="396" spans="1:52" x14ac:dyDescent="0.35">
      <c r="B396" t="str">
        <f t="shared" ref="B396:G405" si="273">IF(B291="","",B291)</f>
        <v/>
      </c>
      <c r="C396" t="str">
        <f t="shared" si="273"/>
        <v/>
      </c>
      <c r="D396" t="str">
        <f t="shared" si="273"/>
        <v/>
      </c>
      <c r="E396" t="str">
        <f t="shared" si="273"/>
        <v/>
      </c>
      <c r="F396" t="str">
        <f t="shared" si="273"/>
        <v/>
      </c>
      <c r="G396" t="str">
        <f t="shared" si="273"/>
        <v/>
      </c>
      <c r="H396" t="str">
        <f t="shared" ref="H396:H427" si="274">IF(H186="","",H186)</f>
        <v/>
      </c>
      <c r="J396" t="str">
        <f>IF($H396="","",IF(VLOOKUP($B$395,ExpItems[],2,0),$B$395&amp;" - "&amp;INDEX(DivisionMapping[category_code],MATCH($D396&amp;$C396,DivisionMapping[dept_bu],0)),$B$395))</f>
        <v/>
      </c>
      <c r="K396" t="str">
        <f>K291</f>
        <v/>
      </c>
      <c r="L396" s="652">
        <f>IF($B396="",,IF(LEFT($H396,5)="dummy",SUMIFS(AvgBase[Month 1],AvgBase[job_title],$H396),SUMIFS(AvgBase[Month 1],AvgBase[exp_item],$J396,AvgBase[company_name],$B396,AvgBase[bu_name],$C396,AvgBase[dept_name],$D396,AvgBase[team_consolidation],$K396,AvgBase[location_name],$G396,AvgBase[job_title],$H396))*L186/2*(1-L291))</f>
        <v>0</v>
      </c>
      <c r="M396" s="652">
        <f>IF($B396="",,IF(LEFT($H396,5)="dummy",SUMIFS(AvgBase[Month 2],AvgBase[job_title],$H396),SUMIFS(AvgBase[Month 2],AvgBase[exp_item],$J396,AvgBase[company_name],$B396,AvgBase[bu_name],$C396,AvgBase[dept_name],$D396,AvgBase[team_consolidation],$K396,AvgBase[location_name],$G396,AvgBase[job_title],$H396))*(M186+L186)/2*(1-M291))</f>
        <v>0</v>
      </c>
      <c r="N396" s="652">
        <f>IF($B396="",,IF(LEFT($H396,5)="dummy",SUMIFS(AvgBase[Month 3],AvgBase[job_title],$H396),SUMIFS(AvgBase[Month 3],AvgBase[exp_item],$J396,AvgBase[company_name],$B396,AvgBase[bu_name],$C396,AvgBase[dept_name],$D396,AvgBase[team_consolidation],$K396,AvgBase[location_name],$G396,AvgBase[job_title],$H396))*(N186+M186)/2*(1-N291))</f>
        <v>0</v>
      </c>
      <c r="O396" s="652">
        <f>IF($B396="",,IF(LEFT($H396,5)="dummy",SUMIFS(AvgBase[Month 4],AvgBase[job_title],$H396),SUMIFS(AvgBase[Month 4],AvgBase[exp_item],$J396,AvgBase[company_name],$B396,AvgBase[bu_name],$C396,AvgBase[dept_name],$D396,AvgBase[team_consolidation],$K396,AvgBase[location_name],$G396,AvgBase[job_title],$H396))*(O186+N186)/2*(1-O291))</f>
        <v>0</v>
      </c>
      <c r="P396" s="652">
        <f>IF($B396="",,IF(LEFT($H396,5)="dummy",SUMIFS(AvgBase[Month 5],AvgBase[job_title],$H396),SUMIFS(AvgBase[Month 5],AvgBase[exp_item],$J396,AvgBase[company_name],$B396,AvgBase[bu_name],$C396,AvgBase[dept_name],$D396,AvgBase[team_consolidation],$K396,AvgBase[location_name],$G396,AvgBase[job_title],$H396))*(P186+O186)/2*(1-P291))</f>
        <v>0</v>
      </c>
      <c r="Q396" s="652">
        <f>IF($B396="",,IF(LEFT($H396,5)="dummy",SUMIFS(AvgBase[Month 6],AvgBase[job_title],$H396),SUMIFS(AvgBase[Month 6],AvgBase[exp_item],$J396,AvgBase[company_name],$B396,AvgBase[bu_name],$C396,AvgBase[dept_name],$D396,AvgBase[team_consolidation],$K396,AvgBase[location_name],$G396,AvgBase[job_title],$H396))*(Q186+P186)/2*(1-Q291))</f>
        <v>0</v>
      </c>
      <c r="R396" s="652">
        <f>IF($B396="",,IF(LEFT($H396,5)="dummy",SUMIFS(AvgBase[Month 7],AvgBase[job_title],$H396),SUMIFS(AvgBase[Month 7],AvgBase[exp_item],$J396,AvgBase[company_name],$B396,AvgBase[bu_name],$C396,AvgBase[dept_name],$D396,AvgBase[team_consolidation],$K396,AvgBase[location_name],$G396,AvgBase[job_title],$H396))*(R186+Q186)/2*(1-R291))</f>
        <v>0</v>
      </c>
      <c r="S396" s="652">
        <f>IF($B396="",,IF(LEFT($H396,5)="dummy",SUMIFS(AvgBase[Month 8],AvgBase[job_title],$H396),SUMIFS(AvgBase[Month 8],AvgBase[exp_item],$J396,AvgBase[company_name],$B396,AvgBase[bu_name],$C396,AvgBase[dept_name],$D396,AvgBase[team_consolidation],$K396,AvgBase[location_name],$G396,AvgBase[job_title],$H396))*(S186+R186)/2*(1-S291))</f>
        <v>0</v>
      </c>
      <c r="T396" s="652">
        <f>IF($B396="",,IF(LEFT($H396,5)="dummy",SUMIFS(AvgBase[Month 9],AvgBase[job_title],$H396),SUMIFS(AvgBase[Month 9],AvgBase[exp_item],$J396,AvgBase[company_name],$B396,AvgBase[bu_name],$C396,AvgBase[dept_name],$D396,AvgBase[team_consolidation],$K396,AvgBase[location_name],$G396,AvgBase[job_title],$H396))*(T186+S186)/2*(1-T291))</f>
        <v>0</v>
      </c>
      <c r="U396" s="652">
        <f>IF($B396="",,IF(LEFT($H396,5)="dummy",SUMIFS(AvgBase[Month 10],AvgBase[job_title],$H396),SUMIFS(AvgBase[Month 10],AvgBase[exp_item],$J396,AvgBase[company_name],$B396,AvgBase[bu_name],$C396,AvgBase[dept_name],$D396,AvgBase[team_consolidation],$K396,AvgBase[location_name],$G396,AvgBase[job_title],$H396))*(U186+T186)/2*(1-U291))</f>
        <v>0</v>
      </c>
      <c r="V396" s="652">
        <f>IF($B396="",,IF(LEFT($H396,5)="dummy",SUMIFS(AvgBase[Month 11],AvgBase[job_title],$H396),SUMIFS(AvgBase[Month 11],AvgBase[exp_item],$J396,AvgBase[company_name],$B396,AvgBase[bu_name],$C396,AvgBase[dept_name],$D396,AvgBase[team_consolidation],$K396,AvgBase[location_name],$G396,AvgBase[job_title],$H396))*(V186+U186)/2*(1-V291))</f>
        <v>0</v>
      </c>
      <c r="W396" s="652">
        <f>IF($B396="",,IF(LEFT($H396,5)="dummy",SUMIFS(AvgBase[Month 12],AvgBase[job_title],$H396),SUMIFS(AvgBase[Month 12],AvgBase[exp_item],$J396,AvgBase[company_name],$B396,AvgBase[bu_name],$C396,AvgBase[dept_name],$D396,AvgBase[team_consolidation],$K396,AvgBase[location_name],$G396,AvgBase[job_title],$H396))*(W186+V186)/2*(1-W291))</f>
        <v>0</v>
      </c>
      <c r="X396" s="652">
        <f>IF($B396="",,IF(LEFT($H396,5)="dummy",SUMIFS(AvgBase[Month 13],AvgBase[job_title],$H396),SUMIFS(AvgBase[Month 13],AvgBase[exp_item],$J396,AvgBase[company_name],$B396,AvgBase[bu_name],$C396,AvgBase[dept_name],$D396,AvgBase[team_consolidation],$K396,AvgBase[location_name],$G396,AvgBase[job_title],$H396))*(X186+W186)/2*(1-X291))</f>
        <v>0</v>
      </c>
      <c r="Y396" s="652">
        <f>IF($B396="",,IF(LEFT($H396,5)="dummy",SUMIFS(AvgBase[Month 14],AvgBase[job_title],$H396),SUMIFS(AvgBase[Month 14],AvgBase[exp_item],$J396,AvgBase[company_name],$B396,AvgBase[bu_name],$C396,AvgBase[dept_name],$D396,AvgBase[team_consolidation],$K396,AvgBase[location_name],$G396,AvgBase[job_title],$H396))*(Y186+X186)/2*(1-Y291))</f>
        <v>0</v>
      </c>
      <c r="Z396" s="652">
        <f>IF($B396="",,IF(LEFT($H396,5)="dummy",SUMIFS(AvgBase[Month 15],AvgBase[job_title],$H396),SUMIFS(AvgBase[Month 15],AvgBase[exp_item],$J396,AvgBase[company_name],$B396,AvgBase[bu_name],$C396,AvgBase[dept_name],$D396,AvgBase[team_consolidation],$K396,AvgBase[location_name],$G396,AvgBase[job_title],$H396))*(Z186+Y186)/2*(1-Z291))</f>
        <v>0</v>
      </c>
      <c r="AA396" s="652">
        <f>IF($B396="",,IF(LEFT($H396,5)="dummy",SUMIFS(AvgBase[Month 16],AvgBase[job_title],$H396),SUMIFS(AvgBase[Month 16],AvgBase[exp_item],$J396,AvgBase[company_name],$B396,AvgBase[bu_name],$C396,AvgBase[dept_name],$D396,AvgBase[team_consolidation],$K396,AvgBase[location_name],$G396,AvgBase[job_title],$H396))*(AA186+Z186)/2*(1-AA291))</f>
        <v>0</v>
      </c>
      <c r="AB396" s="652">
        <f>IF($B396="",,IF(LEFT($H396,5)="dummy",SUMIFS(AvgBase[Month 17],AvgBase[job_title],$H396),SUMIFS(AvgBase[Month 17],AvgBase[exp_item],$J396,AvgBase[company_name],$B396,AvgBase[bu_name],$C396,AvgBase[dept_name],$D396,AvgBase[team_consolidation],$K396,AvgBase[location_name],$G396,AvgBase[job_title],$H396))*(AB186+AA186)/2*(1-AB291))</f>
        <v>0</v>
      </c>
      <c r="AC396" s="652">
        <f>IF($B396="",,IF(LEFT($H396,5)="dummy",SUMIFS(AvgBase[Month 18],AvgBase[job_title],$H396),SUMIFS(AvgBase[Month 18],AvgBase[exp_item],$J396,AvgBase[company_name],$B396,AvgBase[bu_name],$C396,AvgBase[dept_name],$D396,AvgBase[team_consolidation],$K396,AvgBase[location_name],$G396,AvgBase[job_title],$H396))*(AC186+AB186)/2*(1-AC291))</f>
        <v>0</v>
      </c>
      <c r="AD396" s="652">
        <f>IF($B396="",,IF(LEFT($H396,5)="dummy",SUMIFS(AvgBase[Month 19],AvgBase[job_title],$H396),SUMIFS(AvgBase[Month 19],AvgBase[exp_item],$J396,AvgBase[company_name],$B396,AvgBase[bu_name],$C396,AvgBase[dept_name],$D396,AvgBase[team_consolidation],$K396,AvgBase[location_name],$G396,AvgBase[job_title],$H396))*(AD186+AC186)/2*(1-AD291))</f>
        <v>0</v>
      </c>
      <c r="AE396" s="652">
        <f>IF($B396="",,IF(LEFT($H396,5)="dummy",SUMIFS(AvgBase[Month 20],AvgBase[job_title],$H396),SUMIFS(AvgBase[Month 20],AvgBase[exp_item],$J396,AvgBase[company_name],$B396,AvgBase[bu_name],$C396,AvgBase[dept_name],$D396,AvgBase[team_consolidation],$K396,AvgBase[location_name],$G396,AvgBase[job_title],$H396))*(AE186+AD186)/2*(1-AE291))</f>
        <v>0</v>
      </c>
      <c r="AF396" s="652">
        <f>IF($B396="",,IF(LEFT($H396,5)="dummy",SUMIFS(AvgBase[Month 21],AvgBase[job_title],$H396),SUMIFS(AvgBase[Month 21],AvgBase[exp_item],$J396,AvgBase[company_name],$B396,AvgBase[bu_name],$C396,AvgBase[dept_name],$D396,AvgBase[team_consolidation],$K396,AvgBase[location_name],$G396,AvgBase[job_title],$H396))*(AF186+AE186)/2*(1-AF291))</f>
        <v>0</v>
      </c>
      <c r="AG396" s="652">
        <f>IF($B396="",,IF(LEFT($H396,5)="dummy",SUMIFS(AvgBase[Month 22],AvgBase[job_title],$H396),SUMIFS(AvgBase[Month 22],AvgBase[exp_item],$J396,AvgBase[company_name],$B396,AvgBase[bu_name],$C396,AvgBase[dept_name],$D396,AvgBase[team_consolidation],$K396,AvgBase[location_name],$G396,AvgBase[job_title],$H396))*(AG186+AF186)/2*(1-AG291))</f>
        <v>0</v>
      </c>
      <c r="AH396" s="652">
        <f>IF($B396="",,IF(LEFT($H396,5)="dummy",SUMIFS(AvgBase[Month 23],AvgBase[job_title],$H396),SUMIFS(AvgBase[Month 23],AvgBase[exp_item],$J396,AvgBase[company_name],$B396,AvgBase[bu_name],$C396,AvgBase[dept_name],$D396,AvgBase[team_consolidation],$K396,AvgBase[location_name],$G396,AvgBase[job_title],$H396))*(AH186+AG186)/2*(1-AH291))</f>
        <v>0</v>
      </c>
      <c r="AI396" s="652">
        <f>IF($B396="",,IF(LEFT($H396,5)="dummy",SUMIFS(AvgBase[Month 24],AvgBase[job_title],$H396),SUMIFS(AvgBase[Month 24],AvgBase[exp_item],$J396,AvgBase[company_name],$B396,AvgBase[bu_name],$C396,AvgBase[dept_name],$D396,AvgBase[team_consolidation],$K396,AvgBase[location_name],$G396,AvgBase[job_title],$H396))*(AI186+AH186)/2*(1-AI291))</f>
        <v>0</v>
      </c>
      <c r="AJ396" s="652">
        <f>IF($B396="",,IF(LEFT($H396,5)="dummy",SUMIFS(AvgBase[Month 25],AvgBase[job_title],$H396),SUMIFS(AvgBase[Month 25],AvgBase[exp_item],$J396,AvgBase[company_name],$B396,AvgBase[bu_name],$C396,AvgBase[dept_name],$D396,AvgBase[team_consolidation],$K396,AvgBase[location_name],$G396,AvgBase[job_title],$H396))*(AJ186+AI186)/2*(1-AJ291))</f>
        <v>0</v>
      </c>
      <c r="AK396" s="652">
        <f>IF($B396="",,IF(LEFT($H396,5)="dummy",SUMIFS(AvgBase[Month 26],AvgBase[job_title],$H396),SUMIFS(AvgBase[Month 26],AvgBase[exp_item],$J396,AvgBase[company_name],$B396,AvgBase[bu_name],$C396,AvgBase[dept_name],$D396,AvgBase[team_consolidation],$K396,AvgBase[location_name],$G396,AvgBase[job_title],$H396))*(AK186+AJ186)/2*(1-AK291))</f>
        <v>0</v>
      </c>
      <c r="AL396" s="652">
        <f>IF($B396="",,IF(LEFT($H396,5)="dummy",SUMIFS(AvgBase[Month 27],AvgBase[job_title],$H396),SUMIFS(AvgBase[Month 27],AvgBase[exp_item],$J396,AvgBase[company_name],$B396,AvgBase[bu_name],$C396,AvgBase[dept_name],$D396,AvgBase[team_consolidation],$K396,AvgBase[location_name],$G396,AvgBase[job_title],$H396))*(AL186+AK186)/2*(1-AL291))</f>
        <v>0</v>
      </c>
      <c r="AM396" s="652">
        <f>IF($B396="",,IF(LEFT($H396,5)="dummy",SUMIFS(AvgBase[Month 28],AvgBase[job_title],$H396),SUMIFS(AvgBase[Month 28],AvgBase[exp_item],$J396,AvgBase[company_name],$B396,AvgBase[bu_name],$C396,AvgBase[dept_name],$D396,AvgBase[team_consolidation],$K396,AvgBase[location_name],$G396,AvgBase[job_title],$H396))*(AM186+AL186)/2*(1-AM291))</f>
        <v>0</v>
      </c>
      <c r="AN396" s="652">
        <f>IF($B396="",,IF(LEFT($H396,5)="dummy",SUMIFS(AvgBase[Month 29],AvgBase[job_title],$H396),SUMIFS(AvgBase[Month 29],AvgBase[exp_item],$J396,AvgBase[company_name],$B396,AvgBase[bu_name],$C396,AvgBase[dept_name],$D396,AvgBase[team_consolidation],$K396,AvgBase[location_name],$G396,AvgBase[job_title],$H396))*(AN186+AM186)/2*(1-AN291))</f>
        <v>0</v>
      </c>
      <c r="AO396" s="652">
        <f>IF($B396="",,IF(LEFT($H396,5)="dummy",SUMIFS(AvgBase[Month 30],AvgBase[job_title],$H396),SUMIFS(AvgBase[Month 30],AvgBase[exp_item],$J396,AvgBase[company_name],$B396,AvgBase[bu_name],$C396,AvgBase[dept_name],$D396,AvgBase[team_consolidation],$K396,AvgBase[location_name],$G396,AvgBase[job_title],$H396))*(AO186+AN186)/2*(1-AO291))</f>
        <v>0</v>
      </c>
      <c r="AP396" s="652">
        <f>IF($B396="",,IF(LEFT($H396,5)="dummy",SUMIFS(AvgBase[Month 31],AvgBase[job_title],$H396),SUMIFS(AvgBase[Month 31],AvgBase[exp_item],$J396,AvgBase[company_name],$B396,AvgBase[bu_name],$C396,AvgBase[dept_name],$D396,AvgBase[team_consolidation],$K396,AvgBase[location_name],$G396,AvgBase[job_title],$H396))*(AP186+AO186)/2*(1-AP291))</f>
        <v>0</v>
      </c>
      <c r="AQ396" s="652">
        <f>IF($B396="",,IF(LEFT($H396,5)="dummy",SUMIFS(AvgBase[Month 32],AvgBase[job_title],$H396),SUMIFS(AvgBase[Month 32],AvgBase[exp_item],$J396,AvgBase[company_name],$B396,AvgBase[bu_name],$C396,AvgBase[dept_name],$D396,AvgBase[team_consolidation],$K396,AvgBase[location_name],$G396,AvgBase[job_title],$H396))*(AQ186+AP186)/2*(1-AQ291))</f>
        <v>0</v>
      </c>
      <c r="AR396" s="652">
        <f>IF($B396="",,IF(LEFT($H396,5)="dummy",SUMIFS(AvgBase[Month 33],AvgBase[job_title],$H396),SUMIFS(AvgBase[Month 33],AvgBase[exp_item],$J396,AvgBase[company_name],$B396,AvgBase[bu_name],$C396,AvgBase[dept_name],$D396,AvgBase[team_consolidation],$K396,AvgBase[location_name],$G396,AvgBase[job_title],$H396))*(AR186+AQ186)/2*(1-AR291))</f>
        <v>0</v>
      </c>
      <c r="AS396" s="652">
        <f>IF($B396="",,IF(LEFT($H396,5)="dummy",SUMIFS(AvgBase[Month 34],AvgBase[job_title],$H396),SUMIFS(AvgBase[Month 34],AvgBase[exp_item],$J396,AvgBase[company_name],$B396,AvgBase[bu_name],$C396,AvgBase[dept_name],$D396,AvgBase[team_consolidation],$K396,AvgBase[location_name],$G396,AvgBase[job_title],$H396))*(AS186+AR186)/2*(1-AS291))</f>
        <v>0</v>
      </c>
      <c r="AT396" s="652">
        <f>IF($B396="",,IF(LEFT($H396,5)="dummy",SUMIFS(AvgBase[Month 35],AvgBase[job_title],$H396),SUMIFS(AvgBase[Month 35],AvgBase[exp_item],$J396,AvgBase[company_name],$B396,AvgBase[bu_name],$C396,AvgBase[dept_name],$D396,AvgBase[team_consolidation],$K396,AvgBase[location_name],$G396,AvgBase[job_title],$H396))*(AT186+AS186)/2*(1-AT291))</f>
        <v>0</v>
      </c>
      <c r="AU396" s="652">
        <f>IF($B396="",,IF(LEFT($H396,5)="dummy",SUMIFS(AvgBase[Month 36],AvgBase[job_title],$H396),SUMIFS(AvgBase[Month 36],AvgBase[exp_item],$J396,AvgBase[company_name],$B396,AvgBase[bu_name],$C396,AvgBase[dept_name],$D396,AvgBase[team_consolidation],$K396,AvgBase[location_name],$G396,AvgBase[job_title],$H396))*(AU186+AT186)/2*(1-AU291))</f>
        <v>0</v>
      </c>
    </row>
    <row r="397" spans="1:52" x14ac:dyDescent="0.35">
      <c r="B397" t="str">
        <f t="shared" si="273"/>
        <v/>
      </c>
      <c r="C397" t="str">
        <f t="shared" si="273"/>
        <v/>
      </c>
      <c r="D397" t="str">
        <f t="shared" si="273"/>
        <v/>
      </c>
      <c r="E397" t="str">
        <f t="shared" si="273"/>
        <v/>
      </c>
      <c r="F397" t="str">
        <f t="shared" si="273"/>
        <v/>
      </c>
      <c r="G397" t="str">
        <f t="shared" si="273"/>
        <v/>
      </c>
      <c r="H397" t="str">
        <f t="shared" si="274"/>
        <v/>
      </c>
      <c r="J397" t="str">
        <f>IF($H397="","",IF(VLOOKUP($B$395,ExpItems[],2,0),$B$395&amp;" - "&amp;INDEX(DivisionMapping[category_code],MATCH($D397&amp;$C397,DivisionMapping[dept_bu],0)),$B$395))</f>
        <v/>
      </c>
      <c r="K397" t="str">
        <f t="shared" ref="K397:K460" si="275">K292</f>
        <v/>
      </c>
      <c r="L397" s="652">
        <f>IF($B397="",,IF(LEFT($H397,5)="dummy",SUMIFS(AvgBase[Month 1],AvgBase[job_title],$H397),SUMIFS(AvgBase[Month 1],AvgBase[exp_item],$J397,AvgBase[company_name],$B397,AvgBase[bu_name],$C397,AvgBase[dept_name],$D397,AvgBase[team_consolidation],$K397,AvgBase[location_name],$G397,AvgBase[job_title],$H397))*L187/2*(1-L292))</f>
        <v>0</v>
      </c>
      <c r="M397" s="652">
        <f>IF($B397="",,IF(LEFT($H397,5)="dummy",SUMIFS(AvgBase[Month 2],AvgBase[job_title],$H397),SUMIFS(AvgBase[Month 2],AvgBase[exp_item],$J397,AvgBase[company_name],$B397,AvgBase[bu_name],$C397,AvgBase[dept_name],$D397,AvgBase[team_consolidation],$K397,AvgBase[location_name],$G397,AvgBase[job_title],$H397))*(M187+L187)/2*(1-M292))</f>
        <v>0</v>
      </c>
      <c r="N397" s="652">
        <f>IF($B397="",,IF(LEFT($H397,5)="dummy",SUMIFS(AvgBase[Month 3],AvgBase[job_title],$H397),SUMIFS(AvgBase[Month 3],AvgBase[exp_item],$J397,AvgBase[company_name],$B397,AvgBase[bu_name],$C397,AvgBase[dept_name],$D397,AvgBase[team_consolidation],$K397,AvgBase[location_name],$G397,AvgBase[job_title],$H397))*(N187+M187)/2*(1-N292))</f>
        <v>0</v>
      </c>
      <c r="O397" s="652">
        <f>IF($B397="",,IF(LEFT($H397,5)="dummy",SUMIFS(AvgBase[Month 4],AvgBase[job_title],$H397),SUMIFS(AvgBase[Month 4],AvgBase[exp_item],$J397,AvgBase[company_name],$B397,AvgBase[bu_name],$C397,AvgBase[dept_name],$D397,AvgBase[team_consolidation],$K397,AvgBase[location_name],$G397,AvgBase[job_title],$H397))*(O187+N187)/2*(1-O292))</f>
        <v>0</v>
      </c>
      <c r="P397" s="652">
        <f>IF($B397="",,IF(LEFT($H397,5)="dummy",SUMIFS(AvgBase[Month 5],AvgBase[job_title],$H397),SUMIFS(AvgBase[Month 5],AvgBase[exp_item],$J397,AvgBase[company_name],$B397,AvgBase[bu_name],$C397,AvgBase[dept_name],$D397,AvgBase[team_consolidation],$K397,AvgBase[location_name],$G397,AvgBase[job_title],$H397))*(P187+O187)/2*(1-P292))</f>
        <v>0</v>
      </c>
      <c r="Q397" s="652">
        <f>IF($B397="",,IF(LEFT($H397,5)="dummy",SUMIFS(AvgBase[Month 6],AvgBase[job_title],$H397),SUMIFS(AvgBase[Month 6],AvgBase[exp_item],$J397,AvgBase[company_name],$B397,AvgBase[bu_name],$C397,AvgBase[dept_name],$D397,AvgBase[team_consolidation],$K397,AvgBase[location_name],$G397,AvgBase[job_title],$H397))*(Q187+P187)/2*(1-Q292))</f>
        <v>0</v>
      </c>
      <c r="R397" s="652">
        <f>IF($B397="",,IF(LEFT($H397,5)="dummy",SUMIFS(AvgBase[Month 7],AvgBase[job_title],$H397),SUMIFS(AvgBase[Month 7],AvgBase[exp_item],$J397,AvgBase[company_name],$B397,AvgBase[bu_name],$C397,AvgBase[dept_name],$D397,AvgBase[team_consolidation],$K397,AvgBase[location_name],$G397,AvgBase[job_title],$H397))*(R187+Q187)/2*(1-R292))</f>
        <v>0</v>
      </c>
      <c r="S397" s="652">
        <f>IF($B397="",,IF(LEFT($H397,5)="dummy",SUMIFS(AvgBase[Month 8],AvgBase[job_title],$H397),SUMIFS(AvgBase[Month 8],AvgBase[exp_item],$J397,AvgBase[company_name],$B397,AvgBase[bu_name],$C397,AvgBase[dept_name],$D397,AvgBase[team_consolidation],$K397,AvgBase[location_name],$G397,AvgBase[job_title],$H397))*(S187+R187)/2*(1-S292))</f>
        <v>0</v>
      </c>
      <c r="T397" s="652">
        <f>IF($B397="",,IF(LEFT($H397,5)="dummy",SUMIFS(AvgBase[Month 9],AvgBase[job_title],$H397),SUMIFS(AvgBase[Month 9],AvgBase[exp_item],$J397,AvgBase[company_name],$B397,AvgBase[bu_name],$C397,AvgBase[dept_name],$D397,AvgBase[team_consolidation],$K397,AvgBase[location_name],$G397,AvgBase[job_title],$H397))*(T187+S187)/2*(1-T292))</f>
        <v>0</v>
      </c>
      <c r="U397" s="652">
        <f>IF($B397="",,IF(LEFT($H397,5)="dummy",SUMIFS(AvgBase[Month 10],AvgBase[job_title],$H397),SUMIFS(AvgBase[Month 10],AvgBase[exp_item],$J397,AvgBase[company_name],$B397,AvgBase[bu_name],$C397,AvgBase[dept_name],$D397,AvgBase[team_consolidation],$K397,AvgBase[location_name],$G397,AvgBase[job_title],$H397))*(U187+T187)/2*(1-U292))</f>
        <v>0</v>
      </c>
      <c r="V397" s="652">
        <f>IF($B397="",,IF(LEFT($H397,5)="dummy",SUMIFS(AvgBase[Month 11],AvgBase[job_title],$H397),SUMIFS(AvgBase[Month 11],AvgBase[exp_item],$J397,AvgBase[company_name],$B397,AvgBase[bu_name],$C397,AvgBase[dept_name],$D397,AvgBase[team_consolidation],$K397,AvgBase[location_name],$G397,AvgBase[job_title],$H397))*(V187+U187)/2*(1-V292))</f>
        <v>0</v>
      </c>
      <c r="W397" s="652">
        <f>IF($B397="",,IF(LEFT($H397,5)="dummy",SUMIFS(AvgBase[Month 12],AvgBase[job_title],$H397),SUMIFS(AvgBase[Month 12],AvgBase[exp_item],$J397,AvgBase[company_name],$B397,AvgBase[bu_name],$C397,AvgBase[dept_name],$D397,AvgBase[team_consolidation],$K397,AvgBase[location_name],$G397,AvgBase[job_title],$H397))*(W187+V187)/2*(1-W292))</f>
        <v>0</v>
      </c>
      <c r="X397" s="652">
        <f>IF($B397="",,IF(LEFT($H397,5)="dummy",SUMIFS(AvgBase[Month 13],AvgBase[job_title],$H397),SUMIFS(AvgBase[Month 13],AvgBase[exp_item],$J397,AvgBase[company_name],$B397,AvgBase[bu_name],$C397,AvgBase[dept_name],$D397,AvgBase[team_consolidation],$K397,AvgBase[location_name],$G397,AvgBase[job_title],$H397))*(X187+W187)/2*(1-X292))</f>
        <v>0</v>
      </c>
      <c r="Y397" s="652">
        <f>IF($B397="",,IF(LEFT($H397,5)="dummy",SUMIFS(AvgBase[Month 14],AvgBase[job_title],$H397),SUMIFS(AvgBase[Month 14],AvgBase[exp_item],$J397,AvgBase[company_name],$B397,AvgBase[bu_name],$C397,AvgBase[dept_name],$D397,AvgBase[team_consolidation],$K397,AvgBase[location_name],$G397,AvgBase[job_title],$H397))*(Y187+X187)/2*(1-Y292))</f>
        <v>0</v>
      </c>
      <c r="Z397" s="652">
        <f>IF($B397="",,IF(LEFT($H397,5)="dummy",SUMIFS(AvgBase[Month 15],AvgBase[job_title],$H397),SUMIFS(AvgBase[Month 15],AvgBase[exp_item],$J397,AvgBase[company_name],$B397,AvgBase[bu_name],$C397,AvgBase[dept_name],$D397,AvgBase[team_consolidation],$K397,AvgBase[location_name],$G397,AvgBase[job_title],$H397))*(Z187+Y187)/2*(1-Z292))</f>
        <v>0</v>
      </c>
      <c r="AA397" s="652">
        <f>IF($B397="",,IF(LEFT($H397,5)="dummy",SUMIFS(AvgBase[Month 16],AvgBase[job_title],$H397),SUMIFS(AvgBase[Month 16],AvgBase[exp_item],$J397,AvgBase[company_name],$B397,AvgBase[bu_name],$C397,AvgBase[dept_name],$D397,AvgBase[team_consolidation],$K397,AvgBase[location_name],$G397,AvgBase[job_title],$H397))*(AA187+Z187)/2*(1-AA292))</f>
        <v>0</v>
      </c>
      <c r="AB397" s="652">
        <f>IF($B397="",,IF(LEFT($H397,5)="dummy",SUMIFS(AvgBase[Month 17],AvgBase[job_title],$H397),SUMIFS(AvgBase[Month 17],AvgBase[exp_item],$J397,AvgBase[company_name],$B397,AvgBase[bu_name],$C397,AvgBase[dept_name],$D397,AvgBase[team_consolidation],$K397,AvgBase[location_name],$G397,AvgBase[job_title],$H397))*(AB187+AA187)/2*(1-AB292))</f>
        <v>0</v>
      </c>
      <c r="AC397" s="652">
        <f>IF($B397="",,IF(LEFT($H397,5)="dummy",SUMIFS(AvgBase[Month 18],AvgBase[job_title],$H397),SUMIFS(AvgBase[Month 18],AvgBase[exp_item],$J397,AvgBase[company_name],$B397,AvgBase[bu_name],$C397,AvgBase[dept_name],$D397,AvgBase[team_consolidation],$K397,AvgBase[location_name],$G397,AvgBase[job_title],$H397))*(AC187+AB187)/2*(1-AC292))</f>
        <v>0</v>
      </c>
      <c r="AD397" s="652">
        <f>IF($B397="",,IF(LEFT($H397,5)="dummy",SUMIFS(AvgBase[Month 19],AvgBase[job_title],$H397),SUMIFS(AvgBase[Month 19],AvgBase[exp_item],$J397,AvgBase[company_name],$B397,AvgBase[bu_name],$C397,AvgBase[dept_name],$D397,AvgBase[team_consolidation],$K397,AvgBase[location_name],$G397,AvgBase[job_title],$H397))*(AD187+AC187)/2*(1-AD292))</f>
        <v>0</v>
      </c>
      <c r="AE397" s="652">
        <f>IF($B397="",,IF(LEFT($H397,5)="dummy",SUMIFS(AvgBase[Month 20],AvgBase[job_title],$H397),SUMIFS(AvgBase[Month 20],AvgBase[exp_item],$J397,AvgBase[company_name],$B397,AvgBase[bu_name],$C397,AvgBase[dept_name],$D397,AvgBase[team_consolidation],$K397,AvgBase[location_name],$G397,AvgBase[job_title],$H397))*(AE187+AD187)/2*(1-AE292))</f>
        <v>0</v>
      </c>
      <c r="AF397" s="652">
        <f>IF($B397="",,IF(LEFT($H397,5)="dummy",SUMIFS(AvgBase[Month 21],AvgBase[job_title],$H397),SUMIFS(AvgBase[Month 21],AvgBase[exp_item],$J397,AvgBase[company_name],$B397,AvgBase[bu_name],$C397,AvgBase[dept_name],$D397,AvgBase[team_consolidation],$K397,AvgBase[location_name],$G397,AvgBase[job_title],$H397))*(AF187+AE187)/2*(1-AF292))</f>
        <v>0</v>
      </c>
      <c r="AG397" s="652">
        <f>IF($B397="",,IF(LEFT($H397,5)="dummy",SUMIFS(AvgBase[Month 22],AvgBase[job_title],$H397),SUMIFS(AvgBase[Month 22],AvgBase[exp_item],$J397,AvgBase[company_name],$B397,AvgBase[bu_name],$C397,AvgBase[dept_name],$D397,AvgBase[team_consolidation],$K397,AvgBase[location_name],$G397,AvgBase[job_title],$H397))*(AG187+AF187)/2*(1-AG292))</f>
        <v>0</v>
      </c>
      <c r="AH397" s="652">
        <f>IF($B397="",,IF(LEFT($H397,5)="dummy",SUMIFS(AvgBase[Month 23],AvgBase[job_title],$H397),SUMIFS(AvgBase[Month 23],AvgBase[exp_item],$J397,AvgBase[company_name],$B397,AvgBase[bu_name],$C397,AvgBase[dept_name],$D397,AvgBase[team_consolidation],$K397,AvgBase[location_name],$G397,AvgBase[job_title],$H397))*(AH187+AG187)/2*(1-AH292))</f>
        <v>0</v>
      </c>
      <c r="AI397" s="652">
        <f>IF($B397="",,IF(LEFT($H397,5)="dummy",SUMIFS(AvgBase[Month 24],AvgBase[job_title],$H397),SUMIFS(AvgBase[Month 24],AvgBase[exp_item],$J397,AvgBase[company_name],$B397,AvgBase[bu_name],$C397,AvgBase[dept_name],$D397,AvgBase[team_consolidation],$K397,AvgBase[location_name],$G397,AvgBase[job_title],$H397))*(AI187+AH187)/2*(1-AI292))</f>
        <v>0</v>
      </c>
      <c r="AJ397" s="652">
        <f>IF($B397="",,IF(LEFT($H397,5)="dummy",SUMIFS(AvgBase[Month 25],AvgBase[job_title],$H397),SUMIFS(AvgBase[Month 25],AvgBase[exp_item],$J397,AvgBase[company_name],$B397,AvgBase[bu_name],$C397,AvgBase[dept_name],$D397,AvgBase[team_consolidation],$K397,AvgBase[location_name],$G397,AvgBase[job_title],$H397))*(AJ187+AI187)/2*(1-AJ292))</f>
        <v>0</v>
      </c>
      <c r="AK397" s="652">
        <f>IF($B397="",,IF(LEFT($H397,5)="dummy",SUMIFS(AvgBase[Month 26],AvgBase[job_title],$H397),SUMIFS(AvgBase[Month 26],AvgBase[exp_item],$J397,AvgBase[company_name],$B397,AvgBase[bu_name],$C397,AvgBase[dept_name],$D397,AvgBase[team_consolidation],$K397,AvgBase[location_name],$G397,AvgBase[job_title],$H397))*(AK187+AJ187)/2*(1-AK292))</f>
        <v>0</v>
      </c>
      <c r="AL397" s="652">
        <f>IF($B397="",,IF(LEFT($H397,5)="dummy",SUMIFS(AvgBase[Month 27],AvgBase[job_title],$H397),SUMIFS(AvgBase[Month 27],AvgBase[exp_item],$J397,AvgBase[company_name],$B397,AvgBase[bu_name],$C397,AvgBase[dept_name],$D397,AvgBase[team_consolidation],$K397,AvgBase[location_name],$G397,AvgBase[job_title],$H397))*(AL187+AK187)/2*(1-AL292))</f>
        <v>0</v>
      </c>
      <c r="AM397" s="652">
        <f>IF($B397="",,IF(LEFT($H397,5)="dummy",SUMIFS(AvgBase[Month 28],AvgBase[job_title],$H397),SUMIFS(AvgBase[Month 28],AvgBase[exp_item],$J397,AvgBase[company_name],$B397,AvgBase[bu_name],$C397,AvgBase[dept_name],$D397,AvgBase[team_consolidation],$K397,AvgBase[location_name],$G397,AvgBase[job_title],$H397))*(AM187+AL187)/2*(1-AM292))</f>
        <v>0</v>
      </c>
      <c r="AN397" s="652">
        <f>IF($B397="",,IF(LEFT($H397,5)="dummy",SUMIFS(AvgBase[Month 29],AvgBase[job_title],$H397),SUMIFS(AvgBase[Month 29],AvgBase[exp_item],$J397,AvgBase[company_name],$B397,AvgBase[bu_name],$C397,AvgBase[dept_name],$D397,AvgBase[team_consolidation],$K397,AvgBase[location_name],$G397,AvgBase[job_title],$H397))*(AN187+AM187)/2*(1-AN292))</f>
        <v>0</v>
      </c>
      <c r="AO397" s="652">
        <f>IF($B397="",,IF(LEFT($H397,5)="dummy",SUMIFS(AvgBase[Month 30],AvgBase[job_title],$H397),SUMIFS(AvgBase[Month 30],AvgBase[exp_item],$J397,AvgBase[company_name],$B397,AvgBase[bu_name],$C397,AvgBase[dept_name],$D397,AvgBase[team_consolidation],$K397,AvgBase[location_name],$G397,AvgBase[job_title],$H397))*(AO187+AN187)/2*(1-AO292))</f>
        <v>0</v>
      </c>
      <c r="AP397" s="652">
        <f>IF($B397="",,IF(LEFT($H397,5)="dummy",SUMIFS(AvgBase[Month 31],AvgBase[job_title],$H397),SUMIFS(AvgBase[Month 31],AvgBase[exp_item],$J397,AvgBase[company_name],$B397,AvgBase[bu_name],$C397,AvgBase[dept_name],$D397,AvgBase[team_consolidation],$K397,AvgBase[location_name],$G397,AvgBase[job_title],$H397))*(AP187+AO187)/2*(1-AP292))</f>
        <v>0</v>
      </c>
      <c r="AQ397" s="652">
        <f>IF($B397="",,IF(LEFT($H397,5)="dummy",SUMIFS(AvgBase[Month 32],AvgBase[job_title],$H397),SUMIFS(AvgBase[Month 32],AvgBase[exp_item],$J397,AvgBase[company_name],$B397,AvgBase[bu_name],$C397,AvgBase[dept_name],$D397,AvgBase[team_consolidation],$K397,AvgBase[location_name],$G397,AvgBase[job_title],$H397))*(AQ187+AP187)/2*(1-AQ292))</f>
        <v>0</v>
      </c>
      <c r="AR397" s="652">
        <f>IF($B397="",,IF(LEFT($H397,5)="dummy",SUMIFS(AvgBase[Month 33],AvgBase[job_title],$H397),SUMIFS(AvgBase[Month 33],AvgBase[exp_item],$J397,AvgBase[company_name],$B397,AvgBase[bu_name],$C397,AvgBase[dept_name],$D397,AvgBase[team_consolidation],$K397,AvgBase[location_name],$G397,AvgBase[job_title],$H397))*(AR187+AQ187)/2*(1-AR292))</f>
        <v>0</v>
      </c>
      <c r="AS397" s="652">
        <f>IF($B397="",,IF(LEFT($H397,5)="dummy",SUMIFS(AvgBase[Month 34],AvgBase[job_title],$H397),SUMIFS(AvgBase[Month 34],AvgBase[exp_item],$J397,AvgBase[company_name],$B397,AvgBase[bu_name],$C397,AvgBase[dept_name],$D397,AvgBase[team_consolidation],$K397,AvgBase[location_name],$G397,AvgBase[job_title],$H397))*(AS187+AR187)/2*(1-AS292))</f>
        <v>0</v>
      </c>
      <c r="AT397" s="652">
        <f>IF($B397="",,IF(LEFT($H397,5)="dummy",SUMIFS(AvgBase[Month 35],AvgBase[job_title],$H397),SUMIFS(AvgBase[Month 35],AvgBase[exp_item],$J397,AvgBase[company_name],$B397,AvgBase[bu_name],$C397,AvgBase[dept_name],$D397,AvgBase[team_consolidation],$K397,AvgBase[location_name],$G397,AvgBase[job_title],$H397))*(AT187+AS187)/2*(1-AT292))</f>
        <v>0</v>
      </c>
      <c r="AU397" s="652">
        <f>IF($B397="",,IF(LEFT($H397,5)="dummy",SUMIFS(AvgBase[Month 36],AvgBase[job_title],$H397),SUMIFS(AvgBase[Month 36],AvgBase[exp_item],$J397,AvgBase[company_name],$B397,AvgBase[bu_name],$C397,AvgBase[dept_name],$D397,AvgBase[team_consolidation],$K397,AvgBase[location_name],$G397,AvgBase[job_title],$H397))*(AU187+AT187)/2*(1-AU292))</f>
        <v>0</v>
      </c>
    </row>
    <row r="398" spans="1:52" x14ac:dyDescent="0.35">
      <c r="B398" t="str">
        <f t="shared" si="273"/>
        <v/>
      </c>
      <c r="C398" t="str">
        <f t="shared" si="273"/>
        <v/>
      </c>
      <c r="D398" t="str">
        <f t="shared" si="273"/>
        <v/>
      </c>
      <c r="E398" t="str">
        <f t="shared" si="273"/>
        <v/>
      </c>
      <c r="F398" t="str">
        <f t="shared" si="273"/>
        <v/>
      </c>
      <c r="G398" t="str">
        <f t="shared" si="273"/>
        <v/>
      </c>
      <c r="H398" t="str">
        <f t="shared" si="274"/>
        <v/>
      </c>
      <c r="J398" t="str">
        <f>IF($H398="","",IF(VLOOKUP($B$395,ExpItems[],2,0),$B$395&amp;" - "&amp;INDEX(DivisionMapping[category_code],MATCH($D398&amp;$C398,DivisionMapping[dept_bu],0)),$B$395))</f>
        <v/>
      </c>
      <c r="K398" t="str">
        <f t="shared" si="275"/>
        <v/>
      </c>
      <c r="L398" s="652">
        <f>IF($B398="",,IF(LEFT($H398,5)="dummy",SUMIFS(AvgBase[Month 1],AvgBase[job_title],$H398),SUMIFS(AvgBase[Month 1],AvgBase[exp_item],$J398,AvgBase[company_name],$B398,AvgBase[bu_name],$C398,AvgBase[dept_name],$D398,AvgBase[team_consolidation],$K398,AvgBase[location_name],$G398,AvgBase[job_title],$H398))*L188/2*(1-L293))</f>
        <v>0</v>
      </c>
      <c r="M398" s="652">
        <f>IF($B398="",,IF(LEFT($H398,5)="dummy",SUMIFS(AvgBase[Month 2],AvgBase[job_title],$H398),SUMIFS(AvgBase[Month 2],AvgBase[exp_item],$J398,AvgBase[company_name],$B398,AvgBase[bu_name],$C398,AvgBase[dept_name],$D398,AvgBase[team_consolidation],$K398,AvgBase[location_name],$G398,AvgBase[job_title],$H398))*(M188+L188)/2*(1-M293))</f>
        <v>0</v>
      </c>
      <c r="N398" s="652">
        <f>IF($B398="",,IF(LEFT($H398,5)="dummy",SUMIFS(AvgBase[Month 3],AvgBase[job_title],$H398),SUMIFS(AvgBase[Month 3],AvgBase[exp_item],$J398,AvgBase[company_name],$B398,AvgBase[bu_name],$C398,AvgBase[dept_name],$D398,AvgBase[team_consolidation],$K398,AvgBase[location_name],$G398,AvgBase[job_title],$H398))*(N188+M188)/2*(1-N293))</f>
        <v>0</v>
      </c>
      <c r="O398" s="652">
        <f>IF($B398="",,IF(LEFT($H398,5)="dummy",SUMIFS(AvgBase[Month 4],AvgBase[job_title],$H398),SUMIFS(AvgBase[Month 4],AvgBase[exp_item],$J398,AvgBase[company_name],$B398,AvgBase[bu_name],$C398,AvgBase[dept_name],$D398,AvgBase[team_consolidation],$K398,AvgBase[location_name],$G398,AvgBase[job_title],$H398))*(O188+N188)/2*(1-O293))</f>
        <v>0</v>
      </c>
      <c r="P398" s="652">
        <f>IF($B398="",,IF(LEFT($H398,5)="dummy",SUMIFS(AvgBase[Month 5],AvgBase[job_title],$H398),SUMIFS(AvgBase[Month 5],AvgBase[exp_item],$J398,AvgBase[company_name],$B398,AvgBase[bu_name],$C398,AvgBase[dept_name],$D398,AvgBase[team_consolidation],$K398,AvgBase[location_name],$G398,AvgBase[job_title],$H398))*(P188+O188)/2*(1-P293))</f>
        <v>0</v>
      </c>
      <c r="Q398" s="652">
        <f>IF($B398="",,IF(LEFT($H398,5)="dummy",SUMIFS(AvgBase[Month 6],AvgBase[job_title],$H398),SUMIFS(AvgBase[Month 6],AvgBase[exp_item],$J398,AvgBase[company_name],$B398,AvgBase[bu_name],$C398,AvgBase[dept_name],$D398,AvgBase[team_consolidation],$K398,AvgBase[location_name],$G398,AvgBase[job_title],$H398))*(Q188+P188)/2*(1-Q293))</f>
        <v>0</v>
      </c>
      <c r="R398" s="652">
        <f>IF($B398="",,IF(LEFT($H398,5)="dummy",SUMIFS(AvgBase[Month 7],AvgBase[job_title],$H398),SUMIFS(AvgBase[Month 7],AvgBase[exp_item],$J398,AvgBase[company_name],$B398,AvgBase[bu_name],$C398,AvgBase[dept_name],$D398,AvgBase[team_consolidation],$K398,AvgBase[location_name],$G398,AvgBase[job_title],$H398))*(R188+Q188)/2*(1-R293))</f>
        <v>0</v>
      </c>
      <c r="S398" s="652">
        <f>IF($B398="",,IF(LEFT($H398,5)="dummy",SUMIFS(AvgBase[Month 8],AvgBase[job_title],$H398),SUMIFS(AvgBase[Month 8],AvgBase[exp_item],$J398,AvgBase[company_name],$B398,AvgBase[bu_name],$C398,AvgBase[dept_name],$D398,AvgBase[team_consolidation],$K398,AvgBase[location_name],$G398,AvgBase[job_title],$H398))*(S188+R188)/2*(1-S293))</f>
        <v>0</v>
      </c>
      <c r="T398" s="652">
        <f>IF($B398="",,IF(LEFT($H398,5)="dummy",SUMIFS(AvgBase[Month 9],AvgBase[job_title],$H398),SUMIFS(AvgBase[Month 9],AvgBase[exp_item],$J398,AvgBase[company_name],$B398,AvgBase[bu_name],$C398,AvgBase[dept_name],$D398,AvgBase[team_consolidation],$K398,AvgBase[location_name],$G398,AvgBase[job_title],$H398))*(T188+S188)/2*(1-T293))</f>
        <v>0</v>
      </c>
      <c r="U398" s="652">
        <f>IF($B398="",,IF(LEFT($H398,5)="dummy",SUMIFS(AvgBase[Month 10],AvgBase[job_title],$H398),SUMIFS(AvgBase[Month 10],AvgBase[exp_item],$J398,AvgBase[company_name],$B398,AvgBase[bu_name],$C398,AvgBase[dept_name],$D398,AvgBase[team_consolidation],$K398,AvgBase[location_name],$G398,AvgBase[job_title],$H398))*(U188+T188)/2*(1-U293))</f>
        <v>0</v>
      </c>
      <c r="V398" s="652">
        <f>IF($B398="",,IF(LEFT($H398,5)="dummy",SUMIFS(AvgBase[Month 11],AvgBase[job_title],$H398),SUMIFS(AvgBase[Month 11],AvgBase[exp_item],$J398,AvgBase[company_name],$B398,AvgBase[bu_name],$C398,AvgBase[dept_name],$D398,AvgBase[team_consolidation],$K398,AvgBase[location_name],$G398,AvgBase[job_title],$H398))*(V188+U188)/2*(1-V293))</f>
        <v>0</v>
      </c>
      <c r="W398" s="652">
        <f>IF($B398="",,IF(LEFT($H398,5)="dummy",SUMIFS(AvgBase[Month 12],AvgBase[job_title],$H398),SUMIFS(AvgBase[Month 12],AvgBase[exp_item],$J398,AvgBase[company_name],$B398,AvgBase[bu_name],$C398,AvgBase[dept_name],$D398,AvgBase[team_consolidation],$K398,AvgBase[location_name],$G398,AvgBase[job_title],$H398))*(W188+V188)/2*(1-W293))</f>
        <v>0</v>
      </c>
      <c r="X398" s="652">
        <f>IF($B398="",,IF(LEFT($H398,5)="dummy",SUMIFS(AvgBase[Month 13],AvgBase[job_title],$H398),SUMIFS(AvgBase[Month 13],AvgBase[exp_item],$J398,AvgBase[company_name],$B398,AvgBase[bu_name],$C398,AvgBase[dept_name],$D398,AvgBase[team_consolidation],$K398,AvgBase[location_name],$G398,AvgBase[job_title],$H398))*(X188+W188)/2*(1-X293))</f>
        <v>0</v>
      </c>
      <c r="Y398" s="652">
        <f>IF($B398="",,IF(LEFT($H398,5)="dummy",SUMIFS(AvgBase[Month 14],AvgBase[job_title],$H398),SUMIFS(AvgBase[Month 14],AvgBase[exp_item],$J398,AvgBase[company_name],$B398,AvgBase[bu_name],$C398,AvgBase[dept_name],$D398,AvgBase[team_consolidation],$K398,AvgBase[location_name],$G398,AvgBase[job_title],$H398))*(Y188+X188)/2*(1-Y293))</f>
        <v>0</v>
      </c>
      <c r="Z398" s="652">
        <f>IF($B398="",,IF(LEFT($H398,5)="dummy",SUMIFS(AvgBase[Month 15],AvgBase[job_title],$H398),SUMIFS(AvgBase[Month 15],AvgBase[exp_item],$J398,AvgBase[company_name],$B398,AvgBase[bu_name],$C398,AvgBase[dept_name],$D398,AvgBase[team_consolidation],$K398,AvgBase[location_name],$G398,AvgBase[job_title],$H398))*(Z188+Y188)/2*(1-Z293))</f>
        <v>0</v>
      </c>
      <c r="AA398" s="652">
        <f>IF($B398="",,IF(LEFT($H398,5)="dummy",SUMIFS(AvgBase[Month 16],AvgBase[job_title],$H398),SUMIFS(AvgBase[Month 16],AvgBase[exp_item],$J398,AvgBase[company_name],$B398,AvgBase[bu_name],$C398,AvgBase[dept_name],$D398,AvgBase[team_consolidation],$K398,AvgBase[location_name],$G398,AvgBase[job_title],$H398))*(AA188+Z188)/2*(1-AA293))</f>
        <v>0</v>
      </c>
      <c r="AB398" s="652">
        <f>IF($B398="",,IF(LEFT($H398,5)="dummy",SUMIFS(AvgBase[Month 17],AvgBase[job_title],$H398),SUMIFS(AvgBase[Month 17],AvgBase[exp_item],$J398,AvgBase[company_name],$B398,AvgBase[bu_name],$C398,AvgBase[dept_name],$D398,AvgBase[team_consolidation],$K398,AvgBase[location_name],$G398,AvgBase[job_title],$H398))*(AB188+AA188)/2*(1-AB293))</f>
        <v>0</v>
      </c>
      <c r="AC398" s="652">
        <f>IF($B398="",,IF(LEFT($H398,5)="dummy",SUMIFS(AvgBase[Month 18],AvgBase[job_title],$H398),SUMIFS(AvgBase[Month 18],AvgBase[exp_item],$J398,AvgBase[company_name],$B398,AvgBase[bu_name],$C398,AvgBase[dept_name],$D398,AvgBase[team_consolidation],$K398,AvgBase[location_name],$G398,AvgBase[job_title],$H398))*(AC188+AB188)/2*(1-AC293))</f>
        <v>0</v>
      </c>
      <c r="AD398" s="652">
        <f>IF($B398="",,IF(LEFT($H398,5)="dummy",SUMIFS(AvgBase[Month 19],AvgBase[job_title],$H398),SUMIFS(AvgBase[Month 19],AvgBase[exp_item],$J398,AvgBase[company_name],$B398,AvgBase[bu_name],$C398,AvgBase[dept_name],$D398,AvgBase[team_consolidation],$K398,AvgBase[location_name],$G398,AvgBase[job_title],$H398))*(AD188+AC188)/2*(1-AD293))</f>
        <v>0</v>
      </c>
      <c r="AE398" s="652">
        <f>IF($B398="",,IF(LEFT($H398,5)="dummy",SUMIFS(AvgBase[Month 20],AvgBase[job_title],$H398),SUMIFS(AvgBase[Month 20],AvgBase[exp_item],$J398,AvgBase[company_name],$B398,AvgBase[bu_name],$C398,AvgBase[dept_name],$D398,AvgBase[team_consolidation],$K398,AvgBase[location_name],$G398,AvgBase[job_title],$H398))*(AE188+AD188)/2*(1-AE293))</f>
        <v>0</v>
      </c>
      <c r="AF398" s="652">
        <f>IF($B398="",,IF(LEFT($H398,5)="dummy",SUMIFS(AvgBase[Month 21],AvgBase[job_title],$H398),SUMIFS(AvgBase[Month 21],AvgBase[exp_item],$J398,AvgBase[company_name],$B398,AvgBase[bu_name],$C398,AvgBase[dept_name],$D398,AvgBase[team_consolidation],$K398,AvgBase[location_name],$G398,AvgBase[job_title],$H398))*(AF188+AE188)/2*(1-AF293))</f>
        <v>0</v>
      </c>
      <c r="AG398" s="652">
        <f>IF($B398="",,IF(LEFT($H398,5)="dummy",SUMIFS(AvgBase[Month 22],AvgBase[job_title],$H398),SUMIFS(AvgBase[Month 22],AvgBase[exp_item],$J398,AvgBase[company_name],$B398,AvgBase[bu_name],$C398,AvgBase[dept_name],$D398,AvgBase[team_consolidation],$K398,AvgBase[location_name],$G398,AvgBase[job_title],$H398))*(AG188+AF188)/2*(1-AG293))</f>
        <v>0</v>
      </c>
      <c r="AH398" s="652">
        <f>IF($B398="",,IF(LEFT($H398,5)="dummy",SUMIFS(AvgBase[Month 23],AvgBase[job_title],$H398),SUMIFS(AvgBase[Month 23],AvgBase[exp_item],$J398,AvgBase[company_name],$B398,AvgBase[bu_name],$C398,AvgBase[dept_name],$D398,AvgBase[team_consolidation],$K398,AvgBase[location_name],$G398,AvgBase[job_title],$H398))*(AH188+AG188)/2*(1-AH293))</f>
        <v>0</v>
      </c>
      <c r="AI398" s="652">
        <f>IF($B398="",,IF(LEFT($H398,5)="dummy",SUMIFS(AvgBase[Month 24],AvgBase[job_title],$H398),SUMIFS(AvgBase[Month 24],AvgBase[exp_item],$J398,AvgBase[company_name],$B398,AvgBase[bu_name],$C398,AvgBase[dept_name],$D398,AvgBase[team_consolidation],$K398,AvgBase[location_name],$G398,AvgBase[job_title],$H398))*(AI188+AH188)/2*(1-AI293))</f>
        <v>0</v>
      </c>
      <c r="AJ398" s="652">
        <f>IF($B398="",,IF(LEFT($H398,5)="dummy",SUMIFS(AvgBase[Month 25],AvgBase[job_title],$H398),SUMIFS(AvgBase[Month 25],AvgBase[exp_item],$J398,AvgBase[company_name],$B398,AvgBase[bu_name],$C398,AvgBase[dept_name],$D398,AvgBase[team_consolidation],$K398,AvgBase[location_name],$G398,AvgBase[job_title],$H398))*(AJ188+AI188)/2*(1-AJ293))</f>
        <v>0</v>
      </c>
      <c r="AK398" s="652">
        <f>IF($B398="",,IF(LEFT($H398,5)="dummy",SUMIFS(AvgBase[Month 26],AvgBase[job_title],$H398),SUMIFS(AvgBase[Month 26],AvgBase[exp_item],$J398,AvgBase[company_name],$B398,AvgBase[bu_name],$C398,AvgBase[dept_name],$D398,AvgBase[team_consolidation],$K398,AvgBase[location_name],$G398,AvgBase[job_title],$H398))*(AK188+AJ188)/2*(1-AK293))</f>
        <v>0</v>
      </c>
      <c r="AL398" s="652">
        <f>IF($B398="",,IF(LEFT($H398,5)="dummy",SUMIFS(AvgBase[Month 27],AvgBase[job_title],$H398),SUMIFS(AvgBase[Month 27],AvgBase[exp_item],$J398,AvgBase[company_name],$B398,AvgBase[bu_name],$C398,AvgBase[dept_name],$D398,AvgBase[team_consolidation],$K398,AvgBase[location_name],$G398,AvgBase[job_title],$H398))*(AL188+AK188)/2*(1-AL293))</f>
        <v>0</v>
      </c>
      <c r="AM398" s="652">
        <f>IF($B398="",,IF(LEFT($H398,5)="dummy",SUMIFS(AvgBase[Month 28],AvgBase[job_title],$H398),SUMIFS(AvgBase[Month 28],AvgBase[exp_item],$J398,AvgBase[company_name],$B398,AvgBase[bu_name],$C398,AvgBase[dept_name],$D398,AvgBase[team_consolidation],$K398,AvgBase[location_name],$G398,AvgBase[job_title],$H398))*(AM188+AL188)/2*(1-AM293))</f>
        <v>0</v>
      </c>
      <c r="AN398" s="652">
        <f>IF($B398="",,IF(LEFT($H398,5)="dummy",SUMIFS(AvgBase[Month 29],AvgBase[job_title],$H398),SUMIFS(AvgBase[Month 29],AvgBase[exp_item],$J398,AvgBase[company_name],$B398,AvgBase[bu_name],$C398,AvgBase[dept_name],$D398,AvgBase[team_consolidation],$K398,AvgBase[location_name],$G398,AvgBase[job_title],$H398))*(AN188+AM188)/2*(1-AN293))</f>
        <v>0</v>
      </c>
      <c r="AO398" s="652">
        <f>IF($B398="",,IF(LEFT($H398,5)="dummy",SUMIFS(AvgBase[Month 30],AvgBase[job_title],$H398),SUMIFS(AvgBase[Month 30],AvgBase[exp_item],$J398,AvgBase[company_name],$B398,AvgBase[bu_name],$C398,AvgBase[dept_name],$D398,AvgBase[team_consolidation],$K398,AvgBase[location_name],$G398,AvgBase[job_title],$H398))*(AO188+AN188)/2*(1-AO293))</f>
        <v>0</v>
      </c>
      <c r="AP398" s="652">
        <f>IF($B398="",,IF(LEFT($H398,5)="dummy",SUMIFS(AvgBase[Month 31],AvgBase[job_title],$H398),SUMIFS(AvgBase[Month 31],AvgBase[exp_item],$J398,AvgBase[company_name],$B398,AvgBase[bu_name],$C398,AvgBase[dept_name],$D398,AvgBase[team_consolidation],$K398,AvgBase[location_name],$G398,AvgBase[job_title],$H398))*(AP188+AO188)/2*(1-AP293))</f>
        <v>0</v>
      </c>
      <c r="AQ398" s="652">
        <f>IF($B398="",,IF(LEFT($H398,5)="dummy",SUMIFS(AvgBase[Month 32],AvgBase[job_title],$H398),SUMIFS(AvgBase[Month 32],AvgBase[exp_item],$J398,AvgBase[company_name],$B398,AvgBase[bu_name],$C398,AvgBase[dept_name],$D398,AvgBase[team_consolidation],$K398,AvgBase[location_name],$G398,AvgBase[job_title],$H398))*(AQ188+AP188)/2*(1-AQ293))</f>
        <v>0</v>
      </c>
      <c r="AR398" s="652">
        <f>IF($B398="",,IF(LEFT($H398,5)="dummy",SUMIFS(AvgBase[Month 33],AvgBase[job_title],$H398),SUMIFS(AvgBase[Month 33],AvgBase[exp_item],$J398,AvgBase[company_name],$B398,AvgBase[bu_name],$C398,AvgBase[dept_name],$D398,AvgBase[team_consolidation],$K398,AvgBase[location_name],$G398,AvgBase[job_title],$H398))*(AR188+AQ188)/2*(1-AR293))</f>
        <v>0</v>
      </c>
      <c r="AS398" s="652">
        <f>IF($B398="",,IF(LEFT($H398,5)="dummy",SUMIFS(AvgBase[Month 34],AvgBase[job_title],$H398),SUMIFS(AvgBase[Month 34],AvgBase[exp_item],$J398,AvgBase[company_name],$B398,AvgBase[bu_name],$C398,AvgBase[dept_name],$D398,AvgBase[team_consolidation],$K398,AvgBase[location_name],$G398,AvgBase[job_title],$H398))*(AS188+AR188)/2*(1-AS293))</f>
        <v>0</v>
      </c>
      <c r="AT398" s="652">
        <f>IF($B398="",,IF(LEFT($H398,5)="dummy",SUMIFS(AvgBase[Month 35],AvgBase[job_title],$H398),SUMIFS(AvgBase[Month 35],AvgBase[exp_item],$J398,AvgBase[company_name],$B398,AvgBase[bu_name],$C398,AvgBase[dept_name],$D398,AvgBase[team_consolidation],$K398,AvgBase[location_name],$G398,AvgBase[job_title],$H398))*(AT188+AS188)/2*(1-AT293))</f>
        <v>0</v>
      </c>
      <c r="AU398" s="652">
        <f>IF($B398="",,IF(LEFT($H398,5)="dummy",SUMIFS(AvgBase[Month 36],AvgBase[job_title],$H398),SUMIFS(AvgBase[Month 36],AvgBase[exp_item],$J398,AvgBase[company_name],$B398,AvgBase[bu_name],$C398,AvgBase[dept_name],$D398,AvgBase[team_consolidation],$K398,AvgBase[location_name],$G398,AvgBase[job_title],$H398))*(AU188+AT188)/2*(1-AU293))</f>
        <v>0</v>
      </c>
    </row>
    <row r="399" spans="1:52" x14ac:dyDescent="0.35">
      <c r="B399" t="str">
        <f t="shared" si="273"/>
        <v/>
      </c>
      <c r="C399" t="str">
        <f t="shared" si="273"/>
        <v/>
      </c>
      <c r="D399" t="str">
        <f t="shared" si="273"/>
        <v/>
      </c>
      <c r="E399" t="str">
        <f t="shared" si="273"/>
        <v/>
      </c>
      <c r="F399" t="str">
        <f t="shared" si="273"/>
        <v/>
      </c>
      <c r="G399" t="str">
        <f t="shared" si="273"/>
        <v/>
      </c>
      <c r="H399" t="str">
        <f t="shared" si="274"/>
        <v/>
      </c>
      <c r="J399" t="str">
        <f>IF($H399="","",IF(VLOOKUP($B$395,ExpItems[],2,0),$B$395&amp;" - "&amp;INDEX(DivisionMapping[category_code],MATCH($D399&amp;$C399,DivisionMapping[dept_bu],0)),$B$395))</f>
        <v/>
      </c>
      <c r="K399" t="str">
        <f t="shared" si="275"/>
        <v/>
      </c>
      <c r="L399" s="652">
        <f>IF($B399="",,IF(LEFT($H399,5)="dummy",SUMIFS(AvgBase[Month 1],AvgBase[job_title],$H399),SUMIFS(AvgBase[Month 1],AvgBase[exp_item],$J399,AvgBase[company_name],$B399,AvgBase[bu_name],$C399,AvgBase[dept_name],$D399,AvgBase[team_consolidation],$K399,AvgBase[location_name],$G399,AvgBase[job_title],$H399))*L189/2*(1-L294))</f>
        <v>0</v>
      </c>
      <c r="M399" s="652">
        <f>IF($B399="",,IF(LEFT($H399,5)="dummy",SUMIFS(AvgBase[Month 2],AvgBase[job_title],$H399),SUMIFS(AvgBase[Month 2],AvgBase[exp_item],$J399,AvgBase[company_name],$B399,AvgBase[bu_name],$C399,AvgBase[dept_name],$D399,AvgBase[team_consolidation],$K399,AvgBase[location_name],$G399,AvgBase[job_title],$H399))*(M189+L189)/2*(1-M294))</f>
        <v>0</v>
      </c>
      <c r="N399" s="652">
        <f>IF($B399="",,IF(LEFT($H399,5)="dummy",SUMIFS(AvgBase[Month 3],AvgBase[job_title],$H399),SUMIFS(AvgBase[Month 3],AvgBase[exp_item],$J399,AvgBase[company_name],$B399,AvgBase[bu_name],$C399,AvgBase[dept_name],$D399,AvgBase[team_consolidation],$K399,AvgBase[location_name],$G399,AvgBase[job_title],$H399))*(N189+M189)/2*(1-N294))</f>
        <v>0</v>
      </c>
      <c r="O399" s="652">
        <f>IF($B399="",,IF(LEFT($H399,5)="dummy",SUMIFS(AvgBase[Month 4],AvgBase[job_title],$H399),SUMIFS(AvgBase[Month 4],AvgBase[exp_item],$J399,AvgBase[company_name],$B399,AvgBase[bu_name],$C399,AvgBase[dept_name],$D399,AvgBase[team_consolidation],$K399,AvgBase[location_name],$G399,AvgBase[job_title],$H399))*(O189+N189)/2*(1-O294))</f>
        <v>0</v>
      </c>
      <c r="P399" s="652">
        <f>IF($B399="",,IF(LEFT($H399,5)="dummy",SUMIFS(AvgBase[Month 5],AvgBase[job_title],$H399),SUMIFS(AvgBase[Month 5],AvgBase[exp_item],$J399,AvgBase[company_name],$B399,AvgBase[bu_name],$C399,AvgBase[dept_name],$D399,AvgBase[team_consolidation],$K399,AvgBase[location_name],$G399,AvgBase[job_title],$H399))*(P189+O189)/2*(1-P294))</f>
        <v>0</v>
      </c>
      <c r="Q399" s="652">
        <f>IF($B399="",,IF(LEFT($H399,5)="dummy",SUMIFS(AvgBase[Month 6],AvgBase[job_title],$H399),SUMIFS(AvgBase[Month 6],AvgBase[exp_item],$J399,AvgBase[company_name],$B399,AvgBase[bu_name],$C399,AvgBase[dept_name],$D399,AvgBase[team_consolidation],$K399,AvgBase[location_name],$G399,AvgBase[job_title],$H399))*(Q189+P189)/2*(1-Q294))</f>
        <v>0</v>
      </c>
      <c r="R399" s="652">
        <f>IF($B399="",,IF(LEFT($H399,5)="dummy",SUMIFS(AvgBase[Month 7],AvgBase[job_title],$H399),SUMIFS(AvgBase[Month 7],AvgBase[exp_item],$J399,AvgBase[company_name],$B399,AvgBase[bu_name],$C399,AvgBase[dept_name],$D399,AvgBase[team_consolidation],$K399,AvgBase[location_name],$G399,AvgBase[job_title],$H399))*(R189+Q189)/2*(1-R294))</f>
        <v>0</v>
      </c>
      <c r="S399" s="652">
        <f>IF($B399="",,IF(LEFT($H399,5)="dummy",SUMIFS(AvgBase[Month 8],AvgBase[job_title],$H399),SUMIFS(AvgBase[Month 8],AvgBase[exp_item],$J399,AvgBase[company_name],$B399,AvgBase[bu_name],$C399,AvgBase[dept_name],$D399,AvgBase[team_consolidation],$K399,AvgBase[location_name],$G399,AvgBase[job_title],$H399))*(S189+R189)/2*(1-S294))</f>
        <v>0</v>
      </c>
      <c r="T399" s="652">
        <f>IF($B399="",,IF(LEFT($H399,5)="dummy",SUMIFS(AvgBase[Month 9],AvgBase[job_title],$H399),SUMIFS(AvgBase[Month 9],AvgBase[exp_item],$J399,AvgBase[company_name],$B399,AvgBase[bu_name],$C399,AvgBase[dept_name],$D399,AvgBase[team_consolidation],$K399,AvgBase[location_name],$G399,AvgBase[job_title],$H399))*(T189+S189)/2*(1-T294))</f>
        <v>0</v>
      </c>
      <c r="U399" s="652">
        <f>IF($B399="",,IF(LEFT($H399,5)="dummy",SUMIFS(AvgBase[Month 10],AvgBase[job_title],$H399),SUMIFS(AvgBase[Month 10],AvgBase[exp_item],$J399,AvgBase[company_name],$B399,AvgBase[bu_name],$C399,AvgBase[dept_name],$D399,AvgBase[team_consolidation],$K399,AvgBase[location_name],$G399,AvgBase[job_title],$H399))*(U189+T189)/2*(1-U294))</f>
        <v>0</v>
      </c>
      <c r="V399" s="652">
        <f>IF($B399="",,IF(LEFT($H399,5)="dummy",SUMIFS(AvgBase[Month 11],AvgBase[job_title],$H399),SUMIFS(AvgBase[Month 11],AvgBase[exp_item],$J399,AvgBase[company_name],$B399,AvgBase[bu_name],$C399,AvgBase[dept_name],$D399,AvgBase[team_consolidation],$K399,AvgBase[location_name],$G399,AvgBase[job_title],$H399))*(V189+U189)/2*(1-V294))</f>
        <v>0</v>
      </c>
      <c r="W399" s="652">
        <f>IF($B399="",,IF(LEFT($H399,5)="dummy",SUMIFS(AvgBase[Month 12],AvgBase[job_title],$H399),SUMIFS(AvgBase[Month 12],AvgBase[exp_item],$J399,AvgBase[company_name],$B399,AvgBase[bu_name],$C399,AvgBase[dept_name],$D399,AvgBase[team_consolidation],$K399,AvgBase[location_name],$G399,AvgBase[job_title],$H399))*(W189+V189)/2*(1-W294))</f>
        <v>0</v>
      </c>
      <c r="X399" s="652">
        <f>IF($B399="",,IF(LEFT($H399,5)="dummy",SUMIFS(AvgBase[Month 13],AvgBase[job_title],$H399),SUMIFS(AvgBase[Month 13],AvgBase[exp_item],$J399,AvgBase[company_name],$B399,AvgBase[bu_name],$C399,AvgBase[dept_name],$D399,AvgBase[team_consolidation],$K399,AvgBase[location_name],$G399,AvgBase[job_title],$H399))*(X189+W189)/2*(1-X294))</f>
        <v>0</v>
      </c>
      <c r="Y399" s="652">
        <f>IF($B399="",,IF(LEFT($H399,5)="dummy",SUMIFS(AvgBase[Month 14],AvgBase[job_title],$H399),SUMIFS(AvgBase[Month 14],AvgBase[exp_item],$J399,AvgBase[company_name],$B399,AvgBase[bu_name],$C399,AvgBase[dept_name],$D399,AvgBase[team_consolidation],$K399,AvgBase[location_name],$G399,AvgBase[job_title],$H399))*(Y189+X189)/2*(1-Y294))</f>
        <v>0</v>
      </c>
      <c r="Z399" s="652">
        <f>IF($B399="",,IF(LEFT($H399,5)="dummy",SUMIFS(AvgBase[Month 15],AvgBase[job_title],$H399),SUMIFS(AvgBase[Month 15],AvgBase[exp_item],$J399,AvgBase[company_name],$B399,AvgBase[bu_name],$C399,AvgBase[dept_name],$D399,AvgBase[team_consolidation],$K399,AvgBase[location_name],$G399,AvgBase[job_title],$H399))*(Z189+Y189)/2*(1-Z294))</f>
        <v>0</v>
      </c>
      <c r="AA399" s="652">
        <f>IF($B399="",,IF(LEFT($H399,5)="dummy",SUMIFS(AvgBase[Month 16],AvgBase[job_title],$H399),SUMIFS(AvgBase[Month 16],AvgBase[exp_item],$J399,AvgBase[company_name],$B399,AvgBase[bu_name],$C399,AvgBase[dept_name],$D399,AvgBase[team_consolidation],$K399,AvgBase[location_name],$G399,AvgBase[job_title],$H399))*(AA189+Z189)/2*(1-AA294))</f>
        <v>0</v>
      </c>
      <c r="AB399" s="652">
        <f>IF($B399="",,IF(LEFT($H399,5)="dummy",SUMIFS(AvgBase[Month 17],AvgBase[job_title],$H399),SUMIFS(AvgBase[Month 17],AvgBase[exp_item],$J399,AvgBase[company_name],$B399,AvgBase[bu_name],$C399,AvgBase[dept_name],$D399,AvgBase[team_consolidation],$K399,AvgBase[location_name],$G399,AvgBase[job_title],$H399))*(AB189+AA189)/2*(1-AB294))</f>
        <v>0</v>
      </c>
      <c r="AC399" s="652">
        <f>IF($B399="",,IF(LEFT($H399,5)="dummy",SUMIFS(AvgBase[Month 18],AvgBase[job_title],$H399),SUMIFS(AvgBase[Month 18],AvgBase[exp_item],$J399,AvgBase[company_name],$B399,AvgBase[bu_name],$C399,AvgBase[dept_name],$D399,AvgBase[team_consolidation],$K399,AvgBase[location_name],$G399,AvgBase[job_title],$H399))*(AC189+AB189)/2*(1-AC294))</f>
        <v>0</v>
      </c>
      <c r="AD399" s="652">
        <f>IF($B399="",,IF(LEFT($H399,5)="dummy",SUMIFS(AvgBase[Month 19],AvgBase[job_title],$H399),SUMIFS(AvgBase[Month 19],AvgBase[exp_item],$J399,AvgBase[company_name],$B399,AvgBase[bu_name],$C399,AvgBase[dept_name],$D399,AvgBase[team_consolidation],$K399,AvgBase[location_name],$G399,AvgBase[job_title],$H399))*(AD189+AC189)/2*(1-AD294))</f>
        <v>0</v>
      </c>
      <c r="AE399" s="652">
        <f>IF($B399="",,IF(LEFT($H399,5)="dummy",SUMIFS(AvgBase[Month 20],AvgBase[job_title],$H399),SUMIFS(AvgBase[Month 20],AvgBase[exp_item],$J399,AvgBase[company_name],$B399,AvgBase[bu_name],$C399,AvgBase[dept_name],$D399,AvgBase[team_consolidation],$K399,AvgBase[location_name],$G399,AvgBase[job_title],$H399))*(AE189+AD189)/2*(1-AE294))</f>
        <v>0</v>
      </c>
      <c r="AF399" s="652">
        <f>IF($B399="",,IF(LEFT($H399,5)="dummy",SUMIFS(AvgBase[Month 21],AvgBase[job_title],$H399),SUMIFS(AvgBase[Month 21],AvgBase[exp_item],$J399,AvgBase[company_name],$B399,AvgBase[bu_name],$C399,AvgBase[dept_name],$D399,AvgBase[team_consolidation],$K399,AvgBase[location_name],$G399,AvgBase[job_title],$H399))*(AF189+AE189)/2*(1-AF294))</f>
        <v>0</v>
      </c>
      <c r="AG399" s="652">
        <f>IF($B399="",,IF(LEFT($H399,5)="dummy",SUMIFS(AvgBase[Month 22],AvgBase[job_title],$H399),SUMIFS(AvgBase[Month 22],AvgBase[exp_item],$J399,AvgBase[company_name],$B399,AvgBase[bu_name],$C399,AvgBase[dept_name],$D399,AvgBase[team_consolidation],$K399,AvgBase[location_name],$G399,AvgBase[job_title],$H399))*(AG189+AF189)/2*(1-AG294))</f>
        <v>0</v>
      </c>
      <c r="AH399" s="652">
        <f>IF($B399="",,IF(LEFT($H399,5)="dummy",SUMIFS(AvgBase[Month 23],AvgBase[job_title],$H399),SUMIFS(AvgBase[Month 23],AvgBase[exp_item],$J399,AvgBase[company_name],$B399,AvgBase[bu_name],$C399,AvgBase[dept_name],$D399,AvgBase[team_consolidation],$K399,AvgBase[location_name],$G399,AvgBase[job_title],$H399))*(AH189+AG189)/2*(1-AH294))</f>
        <v>0</v>
      </c>
      <c r="AI399" s="652">
        <f>IF($B399="",,IF(LEFT($H399,5)="dummy",SUMIFS(AvgBase[Month 24],AvgBase[job_title],$H399),SUMIFS(AvgBase[Month 24],AvgBase[exp_item],$J399,AvgBase[company_name],$B399,AvgBase[bu_name],$C399,AvgBase[dept_name],$D399,AvgBase[team_consolidation],$K399,AvgBase[location_name],$G399,AvgBase[job_title],$H399))*(AI189+AH189)/2*(1-AI294))</f>
        <v>0</v>
      </c>
      <c r="AJ399" s="652">
        <f>IF($B399="",,IF(LEFT($H399,5)="dummy",SUMIFS(AvgBase[Month 25],AvgBase[job_title],$H399),SUMIFS(AvgBase[Month 25],AvgBase[exp_item],$J399,AvgBase[company_name],$B399,AvgBase[bu_name],$C399,AvgBase[dept_name],$D399,AvgBase[team_consolidation],$K399,AvgBase[location_name],$G399,AvgBase[job_title],$H399))*(AJ189+AI189)/2*(1-AJ294))</f>
        <v>0</v>
      </c>
      <c r="AK399" s="652">
        <f>IF($B399="",,IF(LEFT($H399,5)="dummy",SUMIFS(AvgBase[Month 26],AvgBase[job_title],$H399),SUMIFS(AvgBase[Month 26],AvgBase[exp_item],$J399,AvgBase[company_name],$B399,AvgBase[bu_name],$C399,AvgBase[dept_name],$D399,AvgBase[team_consolidation],$K399,AvgBase[location_name],$G399,AvgBase[job_title],$H399))*(AK189+AJ189)/2*(1-AK294))</f>
        <v>0</v>
      </c>
      <c r="AL399" s="652">
        <f>IF($B399="",,IF(LEFT($H399,5)="dummy",SUMIFS(AvgBase[Month 27],AvgBase[job_title],$H399),SUMIFS(AvgBase[Month 27],AvgBase[exp_item],$J399,AvgBase[company_name],$B399,AvgBase[bu_name],$C399,AvgBase[dept_name],$D399,AvgBase[team_consolidation],$K399,AvgBase[location_name],$G399,AvgBase[job_title],$H399))*(AL189+AK189)/2*(1-AL294))</f>
        <v>0</v>
      </c>
      <c r="AM399" s="652">
        <f>IF($B399="",,IF(LEFT($H399,5)="dummy",SUMIFS(AvgBase[Month 28],AvgBase[job_title],$H399),SUMIFS(AvgBase[Month 28],AvgBase[exp_item],$J399,AvgBase[company_name],$B399,AvgBase[bu_name],$C399,AvgBase[dept_name],$D399,AvgBase[team_consolidation],$K399,AvgBase[location_name],$G399,AvgBase[job_title],$H399))*(AM189+AL189)/2*(1-AM294))</f>
        <v>0</v>
      </c>
      <c r="AN399" s="652">
        <f>IF($B399="",,IF(LEFT($H399,5)="dummy",SUMIFS(AvgBase[Month 29],AvgBase[job_title],$H399),SUMIFS(AvgBase[Month 29],AvgBase[exp_item],$J399,AvgBase[company_name],$B399,AvgBase[bu_name],$C399,AvgBase[dept_name],$D399,AvgBase[team_consolidation],$K399,AvgBase[location_name],$G399,AvgBase[job_title],$H399))*(AN189+AM189)/2*(1-AN294))</f>
        <v>0</v>
      </c>
      <c r="AO399" s="652">
        <f>IF($B399="",,IF(LEFT($H399,5)="dummy",SUMIFS(AvgBase[Month 30],AvgBase[job_title],$H399),SUMIFS(AvgBase[Month 30],AvgBase[exp_item],$J399,AvgBase[company_name],$B399,AvgBase[bu_name],$C399,AvgBase[dept_name],$D399,AvgBase[team_consolidation],$K399,AvgBase[location_name],$G399,AvgBase[job_title],$H399))*(AO189+AN189)/2*(1-AO294))</f>
        <v>0</v>
      </c>
      <c r="AP399" s="652">
        <f>IF($B399="",,IF(LEFT($H399,5)="dummy",SUMIFS(AvgBase[Month 31],AvgBase[job_title],$H399),SUMIFS(AvgBase[Month 31],AvgBase[exp_item],$J399,AvgBase[company_name],$B399,AvgBase[bu_name],$C399,AvgBase[dept_name],$D399,AvgBase[team_consolidation],$K399,AvgBase[location_name],$G399,AvgBase[job_title],$H399))*(AP189+AO189)/2*(1-AP294))</f>
        <v>0</v>
      </c>
      <c r="AQ399" s="652">
        <f>IF($B399="",,IF(LEFT($H399,5)="dummy",SUMIFS(AvgBase[Month 32],AvgBase[job_title],$H399),SUMIFS(AvgBase[Month 32],AvgBase[exp_item],$J399,AvgBase[company_name],$B399,AvgBase[bu_name],$C399,AvgBase[dept_name],$D399,AvgBase[team_consolidation],$K399,AvgBase[location_name],$G399,AvgBase[job_title],$H399))*(AQ189+AP189)/2*(1-AQ294))</f>
        <v>0</v>
      </c>
      <c r="AR399" s="652">
        <f>IF($B399="",,IF(LEFT($H399,5)="dummy",SUMIFS(AvgBase[Month 33],AvgBase[job_title],$H399),SUMIFS(AvgBase[Month 33],AvgBase[exp_item],$J399,AvgBase[company_name],$B399,AvgBase[bu_name],$C399,AvgBase[dept_name],$D399,AvgBase[team_consolidation],$K399,AvgBase[location_name],$G399,AvgBase[job_title],$H399))*(AR189+AQ189)/2*(1-AR294))</f>
        <v>0</v>
      </c>
      <c r="AS399" s="652">
        <f>IF($B399="",,IF(LEFT($H399,5)="dummy",SUMIFS(AvgBase[Month 34],AvgBase[job_title],$H399),SUMIFS(AvgBase[Month 34],AvgBase[exp_item],$J399,AvgBase[company_name],$B399,AvgBase[bu_name],$C399,AvgBase[dept_name],$D399,AvgBase[team_consolidation],$K399,AvgBase[location_name],$G399,AvgBase[job_title],$H399))*(AS189+AR189)/2*(1-AS294))</f>
        <v>0</v>
      </c>
      <c r="AT399" s="652">
        <f>IF($B399="",,IF(LEFT($H399,5)="dummy",SUMIFS(AvgBase[Month 35],AvgBase[job_title],$H399),SUMIFS(AvgBase[Month 35],AvgBase[exp_item],$J399,AvgBase[company_name],$B399,AvgBase[bu_name],$C399,AvgBase[dept_name],$D399,AvgBase[team_consolidation],$K399,AvgBase[location_name],$G399,AvgBase[job_title],$H399))*(AT189+AS189)/2*(1-AT294))</f>
        <v>0</v>
      </c>
      <c r="AU399" s="652">
        <f>IF($B399="",,IF(LEFT($H399,5)="dummy",SUMIFS(AvgBase[Month 36],AvgBase[job_title],$H399),SUMIFS(AvgBase[Month 36],AvgBase[exp_item],$J399,AvgBase[company_name],$B399,AvgBase[bu_name],$C399,AvgBase[dept_name],$D399,AvgBase[team_consolidation],$K399,AvgBase[location_name],$G399,AvgBase[job_title],$H399))*(AU189+AT189)/2*(1-AU294))</f>
        <v>0</v>
      </c>
    </row>
    <row r="400" spans="1:52" x14ac:dyDescent="0.35">
      <c r="B400" t="str">
        <f t="shared" si="273"/>
        <v/>
      </c>
      <c r="C400" t="str">
        <f t="shared" si="273"/>
        <v/>
      </c>
      <c r="D400" t="str">
        <f t="shared" si="273"/>
        <v/>
      </c>
      <c r="E400" t="str">
        <f t="shared" si="273"/>
        <v/>
      </c>
      <c r="F400" t="str">
        <f t="shared" si="273"/>
        <v/>
      </c>
      <c r="G400" t="str">
        <f t="shared" si="273"/>
        <v/>
      </c>
      <c r="H400" t="str">
        <f t="shared" si="274"/>
        <v/>
      </c>
      <c r="J400" t="str">
        <f>IF($H400="","",IF(VLOOKUP($B$395,ExpItems[],2,0),$B$395&amp;" - "&amp;INDEX(DivisionMapping[category_code],MATCH($D400&amp;$C400,DivisionMapping[dept_bu],0)),$B$395))</f>
        <v/>
      </c>
      <c r="K400" t="str">
        <f t="shared" si="275"/>
        <v/>
      </c>
      <c r="L400" s="652">
        <f>IF($B400="",,IF(LEFT($H400,5)="dummy",SUMIFS(AvgBase[Month 1],AvgBase[job_title],$H400),SUMIFS(AvgBase[Month 1],AvgBase[exp_item],$J400,AvgBase[company_name],$B400,AvgBase[bu_name],$C400,AvgBase[dept_name],$D400,AvgBase[team_consolidation],$K400,AvgBase[location_name],$G400,AvgBase[job_title],$H400))*L190/2*(1-L295))</f>
        <v>0</v>
      </c>
      <c r="M400" s="652">
        <f>IF($B400="",,IF(LEFT($H400,5)="dummy",SUMIFS(AvgBase[Month 2],AvgBase[job_title],$H400),SUMIFS(AvgBase[Month 2],AvgBase[exp_item],$J400,AvgBase[company_name],$B400,AvgBase[bu_name],$C400,AvgBase[dept_name],$D400,AvgBase[team_consolidation],$K400,AvgBase[location_name],$G400,AvgBase[job_title],$H400))*(M190+L190)/2*(1-M295))</f>
        <v>0</v>
      </c>
      <c r="N400" s="652">
        <f>IF($B400="",,IF(LEFT($H400,5)="dummy",SUMIFS(AvgBase[Month 3],AvgBase[job_title],$H400),SUMIFS(AvgBase[Month 3],AvgBase[exp_item],$J400,AvgBase[company_name],$B400,AvgBase[bu_name],$C400,AvgBase[dept_name],$D400,AvgBase[team_consolidation],$K400,AvgBase[location_name],$G400,AvgBase[job_title],$H400))*(N190+M190)/2*(1-N295))</f>
        <v>0</v>
      </c>
      <c r="O400" s="652">
        <f>IF($B400="",,IF(LEFT($H400,5)="dummy",SUMIFS(AvgBase[Month 4],AvgBase[job_title],$H400),SUMIFS(AvgBase[Month 4],AvgBase[exp_item],$J400,AvgBase[company_name],$B400,AvgBase[bu_name],$C400,AvgBase[dept_name],$D400,AvgBase[team_consolidation],$K400,AvgBase[location_name],$G400,AvgBase[job_title],$H400))*(O190+N190)/2*(1-O295))</f>
        <v>0</v>
      </c>
      <c r="P400" s="652">
        <f>IF($B400="",,IF(LEFT($H400,5)="dummy",SUMIFS(AvgBase[Month 5],AvgBase[job_title],$H400),SUMIFS(AvgBase[Month 5],AvgBase[exp_item],$J400,AvgBase[company_name],$B400,AvgBase[bu_name],$C400,AvgBase[dept_name],$D400,AvgBase[team_consolidation],$K400,AvgBase[location_name],$G400,AvgBase[job_title],$H400))*(P190+O190)/2*(1-P295))</f>
        <v>0</v>
      </c>
      <c r="Q400" s="652">
        <f>IF($B400="",,IF(LEFT($H400,5)="dummy",SUMIFS(AvgBase[Month 6],AvgBase[job_title],$H400),SUMIFS(AvgBase[Month 6],AvgBase[exp_item],$J400,AvgBase[company_name],$B400,AvgBase[bu_name],$C400,AvgBase[dept_name],$D400,AvgBase[team_consolidation],$K400,AvgBase[location_name],$G400,AvgBase[job_title],$H400))*(Q190+P190)/2*(1-Q295))</f>
        <v>0</v>
      </c>
      <c r="R400" s="652">
        <f>IF($B400="",,IF(LEFT($H400,5)="dummy",SUMIFS(AvgBase[Month 7],AvgBase[job_title],$H400),SUMIFS(AvgBase[Month 7],AvgBase[exp_item],$J400,AvgBase[company_name],$B400,AvgBase[bu_name],$C400,AvgBase[dept_name],$D400,AvgBase[team_consolidation],$K400,AvgBase[location_name],$G400,AvgBase[job_title],$H400))*(R190+Q190)/2*(1-R295))</f>
        <v>0</v>
      </c>
      <c r="S400" s="652">
        <f>IF($B400="",,IF(LEFT($H400,5)="dummy",SUMIFS(AvgBase[Month 8],AvgBase[job_title],$H400),SUMIFS(AvgBase[Month 8],AvgBase[exp_item],$J400,AvgBase[company_name],$B400,AvgBase[bu_name],$C400,AvgBase[dept_name],$D400,AvgBase[team_consolidation],$K400,AvgBase[location_name],$G400,AvgBase[job_title],$H400))*(S190+R190)/2*(1-S295))</f>
        <v>0</v>
      </c>
      <c r="T400" s="652">
        <f>IF($B400="",,IF(LEFT($H400,5)="dummy",SUMIFS(AvgBase[Month 9],AvgBase[job_title],$H400),SUMIFS(AvgBase[Month 9],AvgBase[exp_item],$J400,AvgBase[company_name],$B400,AvgBase[bu_name],$C400,AvgBase[dept_name],$D400,AvgBase[team_consolidation],$K400,AvgBase[location_name],$G400,AvgBase[job_title],$H400))*(T190+S190)/2*(1-T295))</f>
        <v>0</v>
      </c>
      <c r="U400" s="652">
        <f>IF($B400="",,IF(LEFT($H400,5)="dummy",SUMIFS(AvgBase[Month 10],AvgBase[job_title],$H400),SUMIFS(AvgBase[Month 10],AvgBase[exp_item],$J400,AvgBase[company_name],$B400,AvgBase[bu_name],$C400,AvgBase[dept_name],$D400,AvgBase[team_consolidation],$K400,AvgBase[location_name],$G400,AvgBase[job_title],$H400))*(U190+T190)/2*(1-U295))</f>
        <v>0</v>
      </c>
      <c r="V400" s="652">
        <f>IF($B400="",,IF(LEFT($H400,5)="dummy",SUMIFS(AvgBase[Month 11],AvgBase[job_title],$H400),SUMIFS(AvgBase[Month 11],AvgBase[exp_item],$J400,AvgBase[company_name],$B400,AvgBase[bu_name],$C400,AvgBase[dept_name],$D400,AvgBase[team_consolidation],$K400,AvgBase[location_name],$G400,AvgBase[job_title],$H400))*(V190+U190)/2*(1-V295))</f>
        <v>0</v>
      </c>
      <c r="W400" s="652">
        <f>IF($B400="",,IF(LEFT($H400,5)="dummy",SUMIFS(AvgBase[Month 12],AvgBase[job_title],$H400),SUMIFS(AvgBase[Month 12],AvgBase[exp_item],$J400,AvgBase[company_name],$B400,AvgBase[bu_name],$C400,AvgBase[dept_name],$D400,AvgBase[team_consolidation],$K400,AvgBase[location_name],$G400,AvgBase[job_title],$H400))*(W190+V190)/2*(1-W295))</f>
        <v>0</v>
      </c>
      <c r="X400" s="652">
        <f>IF($B400="",,IF(LEFT($H400,5)="dummy",SUMIFS(AvgBase[Month 13],AvgBase[job_title],$H400),SUMIFS(AvgBase[Month 13],AvgBase[exp_item],$J400,AvgBase[company_name],$B400,AvgBase[bu_name],$C400,AvgBase[dept_name],$D400,AvgBase[team_consolidation],$K400,AvgBase[location_name],$G400,AvgBase[job_title],$H400))*(X190+W190)/2*(1-X295))</f>
        <v>0</v>
      </c>
      <c r="Y400" s="652">
        <f>IF($B400="",,IF(LEFT($H400,5)="dummy",SUMIFS(AvgBase[Month 14],AvgBase[job_title],$H400),SUMIFS(AvgBase[Month 14],AvgBase[exp_item],$J400,AvgBase[company_name],$B400,AvgBase[bu_name],$C400,AvgBase[dept_name],$D400,AvgBase[team_consolidation],$K400,AvgBase[location_name],$G400,AvgBase[job_title],$H400))*(Y190+X190)/2*(1-Y295))</f>
        <v>0</v>
      </c>
      <c r="Z400" s="652">
        <f>IF($B400="",,IF(LEFT($H400,5)="dummy",SUMIFS(AvgBase[Month 15],AvgBase[job_title],$H400),SUMIFS(AvgBase[Month 15],AvgBase[exp_item],$J400,AvgBase[company_name],$B400,AvgBase[bu_name],$C400,AvgBase[dept_name],$D400,AvgBase[team_consolidation],$K400,AvgBase[location_name],$G400,AvgBase[job_title],$H400))*(Z190+Y190)/2*(1-Z295))</f>
        <v>0</v>
      </c>
      <c r="AA400" s="652">
        <f>IF($B400="",,IF(LEFT($H400,5)="dummy",SUMIFS(AvgBase[Month 16],AvgBase[job_title],$H400),SUMIFS(AvgBase[Month 16],AvgBase[exp_item],$J400,AvgBase[company_name],$B400,AvgBase[bu_name],$C400,AvgBase[dept_name],$D400,AvgBase[team_consolidation],$K400,AvgBase[location_name],$G400,AvgBase[job_title],$H400))*(AA190+Z190)/2*(1-AA295))</f>
        <v>0</v>
      </c>
      <c r="AB400" s="652">
        <f>IF($B400="",,IF(LEFT($H400,5)="dummy",SUMIFS(AvgBase[Month 17],AvgBase[job_title],$H400),SUMIFS(AvgBase[Month 17],AvgBase[exp_item],$J400,AvgBase[company_name],$B400,AvgBase[bu_name],$C400,AvgBase[dept_name],$D400,AvgBase[team_consolidation],$K400,AvgBase[location_name],$G400,AvgBase[job_title],$H400))*(AB190+AA190)/2*(1-AB295))</f>
        <v>0</v>
      </c>
      <c r="AC400" s="652">
        <f>IF($B400="",,IF(LEFT($H400,5)="dummy",SUMIFS(AvgBase[Month 18],AvgBase[job_title],$H400),SUMIFS(AvgBase[Month 18],AvgBase[exp_item],$J400,AvgBase[company_name],$B400,AvgBase[bu_name],$C400,AvgBase[dept_name],$D400,AvgBase[team_consolidation],$K400,AvgBase[location_name],$G400,AvgBase[job_title],$H400))*(AC190+AB190)/2*(1-AC295))</f>
        <v>0</v>
      </c>
      <c r="AD400" s="652">
        <f>IF($B400="",,IF(LEFT($H400,5)="dummy",SUMIFS(AvgBase[Month 19],AvgBase[job_title],$H400),SUMIFS(AvgBase[Month 19],AvgBase[exp_item],$J400,AvgBase[company_name],$B400,AvgBase[bu_name],$C400,AvgBase[dept_name],$D400,AvgBase[team_consolidation],$K400,AvgBase[location_name],$G400,AvgBase[job_title],$H400))*(AD190+AC190)/2*(1-AD295))</f>
        <v>0</v>
      </c>
      <c r="AE400" s="652">
        <f>IF($B400="",,IF(LEFT($H400,5)="dummy",SUMIFS(AvgBase[Month 20],AvgBase[job_title],$H400),SUMIFS(AvgBase[Month 20],AvgBase[exp_item],$J400,AvgBase[company_name],$B400,AvgBase[bu_name],$C400,AvgBase[dept_name],$D400,AvgBase[team_consolidation],$K400,AvgBase[location_name],$G400,AvgBase[job_title],$H400))*(AE190+AD190)/2*(1-AE295))</f>
        <v>0</v>
      </c>
      <c r="AF400" s="652">
        <f>IF($B400="",,IF(LEFT($H400,5)="dummy",SUMIFS(AvgBase[Month 21],AvgBase[job_title],$H400),SUMIFS(AvgBase[Month 21],AvgBase[exp_item],$J400,AvgBase[company_name],$B400,AvgBase[bu_name],$C400,AvgBase[dept_name],$D400,AvgBase[team_consolidation],$K400,AvgBase[location_name],$G400,AvgBase[job_title],$H400))*(AF190+AE190)/2*(1-AF295))</f>
        <v>0</v>
      </c>
      <c r="AG400" s="652">
        <f>IF($B400="",,IF(LEFT($H400,5)="dummy",SUMIFS(AvgBase[Month 22],AvgBase[job_title],$H400),SUMIFS(AvgBase[Month 22],AvgBase[exp_item],$J400,AvgBase[company_name],$B400,AvgBase[bu_name],$C400,AvgBase[dept_name],$D400,AvgBase[team_consolidation],$K400,AvgBase[location_name],$G400,AvgBase[job_title],$H400))*(AG190+AF190)/2*(1-AG295))</f>
        <v>0</v>
      </c>
      <c r="AH400" s="652">
        <f>IF($B400="",,IF(LEFT($H400,5)="dummy",SUMIFS(AvgBase[Month 23],AvgBase[job_title],$H400),SUMIFS(AvgBase[Month 23],AvgBase[exp_item],$J400,AvgBase[company_name],$B400,AvgBase[bu_name],$C400,AvgBase[dept_name],$D400,AvgBase[team_consolidation],$K400,AvgBase[location_name],$G400,AvgBase[job_title],$H400))*(AH190+AG190)/2*(1-AH295))</f>
        <v>0</v>
      </c>
      <c r="AI400" s="652">
        <f>IF($B400="",,IF(LEFT($H400,5)="dummy",SUMIFS(AvgBase[Month 24],AvgBase[job_title],$H400),SUMIFS(AvgBase[Month 24],AvgBase[exp_item],$J400,AvgBase[company_name],$B400,AvgBase[bu_name],$C400,AvgBase[dept_name],$D400,AvgBase[team_consolidation],$K400,AvgBase[location_name],$G400,AvgBase[job_title],$H400))*(AI190+AH190)/2*(1-AI295))</f>
        <v>0</v>
      </c>
      <c r="AJ400" s="652">
        <f>IF($B400="",,IF(LEFT($H400,5)="dummy",SUMIFS(AvgBase[Month 25],AvgBase[job_title],$H400),SUMIFS(AvgBase[Month 25],AvgBase[exp_item],$J400,AvgBase[company_name],$B400,AvgBase[bu_name],$C400,AvgBase[dept_name],$D400,AvgBase[team_consolidation],$K400,AvgBase[location_name],$G400,AvgBase[job_title],$H400))*(AJ190+AI190)/2*(1-AJ295))</f>
        <v>0</v>
      </c>
      <c r="AK400" s="652">
        <f>IF($B400="",,IF(LEFT($H400,5)="dummy",SUMIFS(AvgBase[Month 26],AvgBase[job_title],$H400),SUMIFS(AvgBase[Month 26],AvgBase[exp_item],$J400,AvgBase[company_name],$B400,AvgBase[bu_name],$C400,AvgBase[dept_name],$D400,AvgBase[team_consolidation],$K400,AvgBase[location_name],$G400,AvgBase[job_title],$H400))*(AK190+AJ190)/2*(1-AK295))</f>
        <v>0</v>
      </c>
      <c r="AL400" s="652">
        <f>IF($B400="",,IF(LEFT($H400,5)="dummy",SUMIFS(AvgBase[Month 27],AvgBase[job_title],$H400),SUMIFS(AvgBase[Month 27],AvgBase[exp_item],$J400,AvgBase[company_name],$B400,AvgBase[bu_name],$C400,AvgBase[dept_name],$D400,AvgBase[team_consolidation],$K400,AvgBase[location_name],$G400,AvgBase[job_title],$H400))*(AL190+AK190)/2*(1-AL295))</f>
        <v>0</v>
      </c>
      <c r="AM400" s="652">
        <f>IF($B400="",,IF(LEFT($H400,5)="dummy",SUMIFS(AvgBase[Month 28],AvgBase[job_title],$H400),SUMIFS(AvgBase[Month 28],AvgBase[exp_item],$J400,AvgBase[company_name],$B400,AvgBase[bu_name],$C400,AvgBase[dept_name],$D400,AvgBase[team_consolidation],$K400,AvgBase[location_name],$G400,AvgBase[job_title],$H400))*(AM190+AL190)/2*(1-AM295))</f>
        <v>0</v>
      </c>
      <c r="AN400" s="652">
        <f>IF($B400="",,IF(LEFT($H400,5)="dummy",SUMIFS(AvgBase[Month 29],AvgBase[job_title],$H400),SUMIFS(AvgBase[Month 29],AvgBase[exp_item],$J400,AvgBase[company_name],$B400,AvgBase[bu_name],$C400,AvgBase[dept_name],$D400,AvgBase[team_consolidation],$K400,AvgBase[location_name],$G400,AvgBase[job_title],$H400))*(AN190+AM190)/2*(1-AN295))</f>
        <v>0</v>
      </c>
      <c r="AO400" s="652">
        <f>IF($B400="",,IF(LEFT($H400,5)="dummy",SUMIFS(AvgBase[Month 30],AvgBase[job_title],$H400),SUMIFS(AvgBase[Month 30],AvgBase[exp_item],$J400,AvgBase[company_name],$B400,AvgBase[bu_name],$C400,AvgBase[dept_name],$D400,AvgBase[team_consolidation],$K400,AvgBase[location_name],$G400,AvgBase[job_title],$H400))*(AO190+AN190)/2*(1-AO295))</f>
        <v>0</v>
      </c>
      <c r="AP400" s="652">
        <f>IF($B400="",,IF(LEFT($H400,5)="dummy",SUMIFS(AvgBase[Month 31],AvgBase[job_title],$H400),SUMIFS(AvgBase[Month 31],AvgBase[exp_item],$J400,AvgBase[company_name],$B400,AvgBase[bu_name],$C400,AvgBase[dept_name],$D400,AvgBase[team_consolidation],$K400,AvgBase[location_name],$G400,AvgBase[job_title],$H400))*(AP190+AO190)/2*(1-AP295))</f>
        <v>0</v>
      </c>
      <c r="AQ400" s="652">
        <f>IF($B400="",,IF(LEFT($H400,5)="dummy",SUMIFS(AvgBase[Month 32],AvgBase[job_title],$H400),SUMIFS(AvgBase[Month 32],AvgBase[exp_item],$J400,AvgBase[company_name],$B400,AvgBase[bu_name],$C400,AvgBase[dept_name],$D400,AvgBase[team_consolidation],$K400,AvgBase[location_name],$G400,AvgBase[job_title],$H400))*(AQ190+AP190)/2*(1-AQ295))</f>
        <v>0</v>
      </c>
      <c r="AR400" s="652">
        <f>IF($B400="",,IF(LEFT($H400,5)="dummy",SUMIFS(AvgBase[Month 33],AvgBase[job_title],$H400),SUMIFS(AvgBase[Month 33],AvgBase[exp_item],$J400,AvgBase[company_name],$B400,AvgBase[bu_name],$C400,AvgBase[dept_name],$D400,AvgBase[team_consolidation],$K400,AvgBase[location_name],$G400,AvgBase[job_title],$H400))*(AR190+AQ190)/2*(1-AR295))</f>
        <v>0</v>
      </c>
      <c r="AS400" s="652">
        <f>IF($B400="",,IF(LEFT($H400,5)="dummy",SUMIFS(AvgBase[Month 34],AvgBase[job_title],$H400),SUMIFS(AvgBase[Month 34],AvgBase[exp_item],$J400,AvgBase[company_name],$B400,AvgBase[bu_name],$C400,AvgBase[dept_name],$D400,AvgBase[team_consolidation],$K400,AvgBase[location_name],$G400,AvgBase[job_title],$H400))*(AS190+AR190)/2*(1-AS295))</f>
        <v>0</v>
      </c>
      <c r="AT400" s="652">
        <f>IF($B400="",,IF(LEFT($H400,5)="dummy",SUMIFS(AvgBase[Month 35],AvgBase[job_title],$H400),SUMIFS(AvgBase[Month 35],AvgBase[exp_item],$J400,AvgBase[company_name],$B400,AvgBase[bu_name],$C400,AvgBase[dept_name],$D400,AvgBase[team_consolidation],$K400,AvgBase[location_name],$G400,AvgBase[job_title],$H400))*(AT190+AS190)/2*(1-AT295))</f>
        <v>0</v>
      </c>
      <c r="AU400" s="652">
        <f>IF($B400="",,IF(LEFT($H400,5)="dummy",SUMIFS(AvgBase[Month 36],AvgBase[job_title],$H400),SUMIFS(AvgBase[Month 36],AvgBase[exp_item],$J400,AvgBase[company_name],$B400,AvgBase[bu_name],$C400,AvgBase[dept_name],$D400,AvgBase[team_consolidation],$K400,AvgBase[location_name],$G400,AvgBase[job_title],$H400))*(AU190+AT190)/2*(1-AU295))</f>
        <v>0</v>
      </c>
    </row>
    <row r="401" spans="2:47" x14ac:dyDescent="0.35">
      <c r="B401" t="str">
        <f t="shared" si="273"/>
        <v/>
      </c>
      <c r="C401" t="str">
        <f t="shared" si="273"/>
        <v/>
      </c>
      <c r="D401" t="str">
        <f t="shared" si="273"/>
        <v/>
      </c>
      <c r="E401" t="str">
        <f t="shared" si="273"/>
        <v/>
      </c>
      <c r="F401" t="str">
        <f t="shared" si="273"/>
        <v/>
      </c>
      <c r="G401" t="str">
        <f t="shared" si="273"/>
        <v/>
      </c>
      <c r="H401" t="str">
        <f t="shared" si="274"/>
        <v/>
      </c>
      <c r="J401" t="str">
        <f>IF($H401="","",IF(VLOOKUP($B$395,ExpItems[],2,0),$B$395&amp;" - "&amp;INDEX(DivisionMapping[category_code],MATCH($D401&amp;$C401,DivisionMapping[dept_bu],0)),$B$395))</f>
        <v/>
      </c>
      <c r="K401" t="str">
        <f t="shared" si="275"/>
        <v/>
      </c>
      <c r="L401" s="652">
        <f>IF($B401="",,IF(LEFT($H401,5)="dummy",SUMIFS(AvgBase[Month 1],AvgBase[job_title],$H401),SUMIFS(AvgBase[Month 1],AvgBase[exp_item],$J401,AvgBase[company_name],$B401,AvgBase[bu_name],$C401,AvgBase[dept_name],$D401,AvgBase[team_consolidation],$K401,AvgBase[location_name],$G401,AvgBase[job_title],$H401))*L191/2*(1-L296))</f>
        <v>0</v>
      </c>
      <c r="M401" s="652">
        <f>IF($B401="",,IF(LEFT($H401,5)="dummy",SUMIFS(AvgBase[Month 2],AvgBase[job_title],$H401),SUMIFS(AvgBase[Month 2],AvgBase[exp_item],$J401,AvgBase[company_name],$B401,AvgBase[bu_name],$C401,AvgBase[dept_name],$D401,AvgBase[team_consolidation],$K401,AvgBase[location_name],$G401,AvgBase[job_title],$H401))*(M191+L191)/2*(1-M296))</f>
        <v>0</v>
      </c>
      <c r="N401" s="652">
        <f>IF($B401="",,IF(LEFT($H401,5)="dummy",SUMIFS(AvgBase[Month 3],AvgBase[job_title],$H401),SUMIFS(AvgBase[Month 3],AvgBase[exp_item],$J401,AvgBase[company_name],$B401,AvgBase[bu_name],$C401,AvgBase[dept_name],$D401,AvgBase[team_consolidation],$K401,AvgBase[location_name],$G401,AvgBase[job_title],$H401))*(N191+M191)/2*(1-N296))</f>
        <v>0</v>
      </c>
      <c r="O401" s="652">
        <f>IF($B401="",,IF(LEFT($H401,5)="dummy",SUMIFS(AvgBase[Month 4],AvgBase[job_title],$H401),SUMIFS(AvgBase[Month 4],AvgBase[exp_item],$J401,AvgBase[company_name],$B401,AvgBase[bu_name],$C401,AvgBase[dept_name],$D401,AvgBase[team_consolidation],$K401,AvgBase[location_name],$G401,AvgBase[job_title],$H401))*(O191+N191)/2*(1-O296))</f>
        <v>0</v>
      </c>
      <c r="P401" s="652">
        <f>IF($B401="",,IF(LEFT($H401,5)="dummy",SUMIFS(AvgBase[Month 5],AvgBase[job_title],$H401),SUMIFS(AvgBase[Month 5],AvgBase[exp_item],$J401,AvgBase[company_name],$B401,AvgBase[bu_name],$C401,AvgBase[dept_name],$D401,AvgBase[team_consolidation],$K401,AvgBase[location_name],$G401,AvgBase[job_title],$H401))*(P191+O191)/2*(1-P296))</f>
        <v>0</v>
      </c>
      <c r="Q401" s="652">
        <f>IF($B401="",,IF(LEFT($H401,5)="dummy",SUMIFS(AvgBase[Month 6],AvgBase[job_title],$H401),SUMIFS(AvgBase[Month 6],AvgBase[exp_item],$J401,AvgBase[company_name],$B401,AvgBase[bu_name],$C401,AvgBase[dept_name],$D401,AvgBase[team_consolidation],$K401,AvgBase[location_name],$G401,AvgBase[job_title],$H401))*(Q191+P191)/2*(1-Q296))</f>
        <v>0</v>
      </c>
      <c r="R401" s="652">
        <f>IF($B401="",,IF(LEFT($H401,5)="dummy",SUMIFS(AvgBase[Month 7],AvgBase[job_title],$H401),SUMIFS(AvgBase[Month 7],AvgBase[exp_item],$J401,AvgBase[company_name],$B401,AvgBase[bu_name],$C401,AvgBase[dept_name],$D401,AvgBase[team_consolidation],$K401,AvgBase[location_name],$G401,AvgBase[job_title],$H401))*(R191+Q191)/2*(1-R296))</f>
        <v>0</v>
      </c>
      <c r="S401" s="652">
        <f>IF($B401="",,IF(LEFT($H401,5)="dummy",SUMIFS(AvgBase[Month 8],AvgBase[job_title],$H401),SUMIFS(AvgBase[Month 8],AvgBase[exp_item],$J401,AvgBase[company_name],$B401,AvgBase[bu_name],$C401,AvgBase[dept_name],$D401,AvgBase[team_consolidation],$K401,AvgBase[location_name],$G401,AvgBase[job_title],$H401))*(S191+R191)/2*(1-S296))</f>
        <v>0</v>
      </c>
      <c r="T401" s="652">
        <f>IF($B401="",,IF(LEFT($H401,5)="dummy",SUMIFS(AvgBase[Month 9],AvgBase[job_title],$H401),SUMIFS(AvgBase[Month 9],AvgBase[exp_item],$J401,AvgBase[company_name],$B401,AvgBase[bu_name],$C401,AvgBase[dept_name],$D401,AvgBase[team_consolidation],$K401,AvgBase[location_name],$G401,AvgBase[job_title],$H401))*(T191+S191)/2*(1-T296))</f>
        <v>0</v>
      </c>
      <c r="U401" s="652">
        <f>IF($B401="",,IF(LEFT($H401,5)="dummy",SUMIFS(AvgBase[Month 10],AvgBase[job_title],$H401),SUMIFS(AvgBase[Month 10],AvgBase[exp_item],$J401,AvgBase[company_name],$B401,AvgBase[bu_name],$C401,AvgBase[dept_name],$D401,AvgBase[team_consolidation],$K401,AvgBase[location_name],$G401,AvgBase[job_title],$H401))*(U191+T191)/2*(1-U296))</f>
        <v>0</v>
      </c>
      <c r="V401" s="652">
        <f>IF($B401="",,IF(LEFT($H401,5)="dummy",SUMIFS(AvgBase[Month 11],AvgBase[job_title],$H401),SUMIFS(AvgBase[Month 11],AvgBase[exp_item],$J401,AvgBase[company_name],$B401,AvgBase[bu_name],$C401,AvgBase[dept_name],$D401,AvgBase[team_consolidation],$K401,AvgBase[location_name],$G401,AvgBase[job_title],$H401))*(V191+U191)/2*(1-V296))</f>
        <v>0</v>
      </c>
      <c r="W401" s="652">
        <f>IF($B401="",,IF(LEFT($H401,5)="dummy",SUMIFS(AvgBase[Month 12],AvgBase[job_title],$H401),SUMIFS(AvgBase[Month 12],AvgBase[exp_item],$J401,AvgBase[company_name],$B401,AvgBase[bu_name],$C401,AvgBase[dept_name],$D401,AvgBase[team_consolidation],$K401,AvgBase[location_name],$G401,AvgBase[job_title],$H401))*(W191+V191)/2*(1-W296))</f>
        <v>0</v>
      </c>
      <c r="X401" s="652">
        <f>IF($B401="",,IF(LEFT($H401,5)="dummy",SUMIFS(AvgBase[Month 13],AvgBase[job_title],$H401),SUMIFS(AvgBase[Month 13],AvgBase[exp_item],$J401,AvgBase[company_name],$B401,AvgBase[bu_name],$C401,AvgBase[dept_name],$D401,AvgBase[team_consolidation],$K401,AvgBase[location_name],$G401,AvgBase[job_title],$H401))*(X191+W191)/2*(1-X296))</f>
        <v>0</v>
      </c>
      <c r="Y401" s="652">
        <f>IF($B401="",,IF(LEFT($H401,5)="dummy",SUMIFS(AvgBase[Month 14],AvgBase[job_title],$H401),SUMIFS(AvgBase[Month 14],AvgBase[exp_item],$J401,AvgBase[company_name],$B401,AvgBase[bu_name],$C401,AvgBase[dept_name],$D401,AvgBase[team_consolidation],$K401,AvgBase[location_name],$G401,AvgBase[job_title],$H401))*(Y191+X191)/2*(1-Y296))</f>
        <v>0</v>
      </c>
      <c r="Z401" s="652">
        <f>IF($B401="",,IF(LEFT($H401,5)="dummy",SUMIFS(AvgBase[Month 15],AvgBase[job_title],$H401),SUMIFS(AvgBase[Month 15],AvgBase[exp_item],$J401,AvgBase[company_name],$B401,AvgBase[bu_name],$C401,AvgBase[dept_name],$D401,AvgBase[team_consolidation],$K401,AvgBase[location_name],$G401,AvgBase[job_title],$H401))*(Z191+Y191)/2*(1-Z296))</f>
        <v>0</v>
      </c>
      <c r="AA401" s="652">
        <f>IF($B401="",,IF(LEFT($H401,5)="dummy",SUMIFS(AvgBase[Month 16],AvgBase[job_title],$H401),SUMIFS(AvgBase[Month 16],AvgBase[exp_item],$J401,AvgBase[company_name],$B401,AvgBase[bu_name],$C401,AvgBase[dept_name],$D401,AvgBase[team_consolidation],$K401,AvgBase[location_name],$G401,AvgBase[job_title],$H401))*(AA191+Z191)/2*(1-AA296))</f>
        <v>0</v>
      </c>
      <c r="AB401" s="652">
        <f>IF($B401="",,IF(LEFT($H401,5)="dummy",SUMIFS(AvgBase[Month 17],AvgBase[job_title],$H401),SUMIFS(AvgBase[Month 17],AvgBase[exp_item],$J401,AvgBase[company_name],$B401,AvgBase[bu_name],$C401,AvgBase[dept_name],$D401,AvgBase[team_consolidation],$K401,AvgBase[location_name],$G401,AvgBase[job_title],$H401))*(AB191+AA191)/2*(1-AB296))</f>
        <v>0</v>
      </c>
      <c r="AC401" s="652">
        <f>IF($B401="",,IF(LEFT($H401,5)="dummy",SUMIFS(AvgBase[Month 18],AvgBase[job_title],$H401),SUMIFS(AvgBase[Month 18],AvgBase[exp_item],$J401,AvgBase[company_name],$B401,AvgBase[bu_name],$C401,AvgBase[dept_name],$D401,AvgBase[team_consolidation],$K401,AvgBase[location_name],$G401,AvgBase[job_title],$H401))*(AC191+AB191)/2*(1-AC296))</f>
        <v>0</v>
      </c>
      <c r="AD401" s="652">
        <f>IF($B401="",,IF(LEFT($H401,5)="dummy",SUMIFS(AvgBase[Month 19],AvgBase[job_title],$H401),SUMIFS(AvgBase[Month 19],AvgBase[exp_item],$J401,AvgBase[company_name],$B401,AvgBase[bu_name],$C401,AvgBase[dept_name],$D401,AvgBase[team_consolidation],$K401,AvgBase[location_name],$G401,AvgBase[job_title],$H401))*(AD191+AC191)/2*(1-AD296))</f>
        <v>0</v>
      </c>
      <c r="AE401" s="652">
        <f>IF($B401="",,IF(LEFT($H401,5)="dummy",SUMIFS(AvgBase[Month 20],AvgBase[job_title],$H401),SUMIFS(AvgBase[Month 20],AvgBase[exp_item],$J401,AvgBase[company_name],$B401,AvgBase[bu_name],$C401,AvgBase[dept_name],$D401,AvgBase[team_consolidation],$K401,AvgBase[location_name],$G401,AvgBase[job_title],$H401))*(AE191+AD191)/2*(1-AE296))</f>
        <v>0</v>
      </c>
      <c r="AF401" s="652">
        <f>IF($B401="",,IF(LEFT($H401,5)="dummy",SUMIFS(AvgBase[Month 21],AvgBase[job_title],$H401),SUMIFS(AvgBase[Month 21],AvgBase[exp_item],$J401,AvgBase[company_name],$B401,AvgBase[bu_name],$C401,AvgBase[dept_name],$D401,AvgBase[team_consolidation],$K401,AvgBase[location_name],$G401,AvgBase[job_title],$H401))*(AF191+AE191)/2*(1-AF296))</f>
        <v>0</v>
      </c>
      <c r="AG401" s="652">
        <f>IF($B401="",,IF(LEFT($H401,5)="dummy",SUMIFS(AvgBase[Month 22],AvgBase[job_title],$H401),SUMIFS(AvgBase[Month 22],AvgBase[exp_item],$J401,AvgBase[company_name],$B401,AvgBase[bu_name],$C401,AvgBase[dept_name],$D401,AvgBase[team_consolidation],$K401,AvgBase[location_name],$G401,AvgBase[job_title],$H401))*(AG191+AF191)/2*(1-AG296))</f>
        <v>0</v>
      </c>
      <c r="AH401" s="652">
        <f>IF($B401="",,IF(LEFT($H401,5)="dummy",SUMIFS(AvgBase[Month 23],AvgBase[job_title],$H401),SUMIFS(AvgBase[Month 23],AvgBase[exp_item],$J401,AvgBase[company_name],$B401,AvgBase[bu_name],$C401,AvgBase[dept_name],$D401,AvgBase[team_consolidation],$K401,AvgBase[location_name],$G401,AvgBase[job_title],$H401))*(AH191+AG191)/2*(1-AH296))</f>
        <v>0</v>
      </c>
      <c r="AI401" s="652">
        <f>IF($B401="",,IF(LEFT($H401,5)="dummy",SUMIFS(AvgBase[Month 24],AvgBase[job_title],$H401),SUMIFS(AvgBase[Month 24],AvgBase[exp_item],$J401,AvgBase[company_name],$B401,AvgBase[bu_name],$C401,AvgBase[dept_name],$D401,AvgBase[team_consolidation],$K401,AvgBase[location_name],$G401,AvgBase[job_title],$H401))*(AI191+AH191)/2*(1-AI296))</f>
        <v>0</v>
      </c>
      <c r="AJ401" s="652">
        <f>IF($B401="",,IF(LEFT($H401,5)="dummy",SUMIFS(AvgBase[Month 25],AvgBase[job_title],$H401),SUMIFS(AvgBase[Month 25],AvgBase[exp_item],$J401,AvgBase[company_name],$B401,AvgBase[bu_name],$C401,AvgBase[dept_name],$D401,AvgBase[team_consolidation],$K401,AvgBase[location_name],$G401,AvgBase[job_title],$H401))*(AJ191+AI191)/2*(1-AJ296))</f>
        <v>0</v>
      </c>
      <c r="AK401" s="652">
        <f>IF($B401="",,IF(LEFT($H401,5)="dummy",SUMIFS(AvgBase[Month 26],AvgBase[job_title],$H401),SUMIFS(AvgBase[Month 26],AvgBase[exp_item],$J401,AvgBase[company_name],$B401,AvgBase[bu_name],$C401,AvgBase[dept_name],$D401,AvgBase[team_consolidation],$K401,AvgBase[location_name],$G401,AvgBase[job_title],$H401))*(AK191+AJ191)/2*(1-AK296))</f>
        <v>0</v>
      </c>
      <c r="AL401" s="652">
        <f>IF($B401="",,IF(LEFT($H401,5)="dummy",SUMIFS(AvgBase[Month 27],AvgBase[job_title],$H401),SUMIFS(AvgBase[Month 27],AvgBase[exp_item],$J401,AvgBase[company_name],$B401,AvgBase[bu_name],$C401,AvgBase[dept_name],$D401,AvgBase[team_consolidation],$K401,AvgBase[location_name],$G401,AvgBase[job_title],$H401))*(AL191+AK191)/2*(1-AL296))</f>
        <v>0</v>
      </c>
      <c r="AM401" s="652">
        <f>IF($B401="",,IF(LEFT($H401,5)="dummy",SUMIFS(AvgBase[Month 28],AvgBase[job_title],$H401),SUMIFS(AvgBase[Month 28],AvgBase[exp_item],$J401,AvgBase[company_name],$B401,AvgBase[bu_name],$C401,AvgBase[dept_name],$D401,AvgBase[team_consolidation],$K401,AvgBase[location_name],$G401,AvgBase[job_title],$H401))*(AM191+AL191)/2*(1-AM296))</f>
        <v>0</v>
      </c>
      <c r="AN401" s="652">
        <f>IF($B401="",,IF(LEFT($H401,5)="dummy",SUMIFS(AvgBase[Month 29],AvgBase[job_title],$H401),SUMIFS(AvgBase[Month 29],AvgBase[exp_item],$J401,AvgBase[company_name],$B401,AvgBase[bu_name],$C401,AvgBase[dept_name],$D401,AvgBase[team_consolidation],$K401,AvgBase[location_name],$G401,AvgBase[job_title],$H401))*(AN191+AM191)/2*(1-AN296))</f>
        <v>0</v>
      </c>
      <c r="AO401" s="652">
        <f>IF($B401="",,IF(LEFT($H401,5)="dummy",SUMIFS(AvgBase[Month 30],AvgBase[job_title],$H401),SUMIFS(AvgBase[Month 30],AvgBase[exp_item],$J401,AvgBase[company_name],$B401,AvgBase[bu_name],$C401,AvgBase[dept_name],$D401,AvgBase[team_consolidation],$K401,AvgBase[location_name],$G401,AvgBase[job_title],$H401))*(AO191+AN191)/2*(1-AO296))</f>
        <v>0</v>
      </c>
      <c r="AP401" s="652">
        <f>IF($B401="",,IF(LEFT($H401,5)="dummy",SUMIFS(AvgBase[Month 31],AvgBase[job_title],$H401),SUMIFS(AvgBase[Month 31],AvgBase[exp_item],$J401,AvgBase[company_name],$B401,AvgBase[bu_name],$C401,AvgBase[dept_name],$D401,AvgBase[team_consolidation],$K401,AvgBase[location_name],$G401,AvgBase[job_title],$H401))*(AP191+AO191)/2*(1-AP296))</f>
        <v>0</v>
      </c>
      <c r="AQ401" s="652">
        <f>IF($B401="",,IF(LEFT($H401,5)="dummy",SUMIFS(AvgBase[Month 32],AvgBase[job_title],$H401),SUMIFS(AvgBase[Month 32],AvgBase[exp_item],$J401,AvgBase[company_name],$B401,AvgBase[bu_name],$C401,AvgBase[dept_name],$D401,AvgBase[team_consolidation],$K401,AvgBase[location_name],$G401,AvgBase[job_title],$H401))*(AQ191+AP191)/2*(1-AQ296))</f>
        <v>0</v>
      </c>
      <c r="AR401" s="652">
        <f>IF($B401="",,IF(LEFT($H401,5)="dummy",SUMIFS(AvgBase[Month 33],AvgBase[job_title],$H401),SUMIFS(AvgBase[Month 33],AvgBase[exp_item],$J401,AvgBase[company_name],$B401,AvgBase[bu_name],$C401,AvgBase[dept_name],$D401,AvgBase[team_consolidation],$K401,AvgBase[location_name],$G401,AvgBase[job_title],$H401))*(AR191+AQ191)/2*(1-AR296))</f>
        <v>0</v>
      </c>
      <c r="AS401" s="652">
        <f>IF($B401="",,IF(LEFT($H401,5)="dummy",SUMIFS(AvgBase[Month 34],AvgBase[job_title],$H401),SUMIFS(AvgBase[Month 34],AvgBase[exp_item],$J401,AvgBase[company_name],$B401,AvgBase[bu_name],$C401,AvgBase[dept_name],$D401,AvgBase[team_consolidation],$K401,AvgBase[location_name],$G401,AvgBase[job_title],$H401))*(AS191+AR191)/2*(1-AS296))</f>
        <v>0</v>
      </c>
      <c r="AT401" s="652">
        <f>IF($B401="",,IF(LEFT($H401,5)="dummy",SUMIFS(AvgBase[Month 35],AvgBase[job_title],$H401),SUMIFS(AvgBase[Month 35],AvgBase[exp_item],$J401,AvgBase[company_name],$B401,AvgBase[bu_name],$C401,AvgBase[dept_name],$D401,AvgBase[team_consolidation],$K401,AvgBase[location_name],$G401,AvgBase[job_title],$H401))*(AT191+AS191)/2*(1-AT296))</f>
        <v>0</v>
      </c>
      <c r="AU401" s="652">
        <f>IF($B401="",,IF(LEFT($H401,5)="dummy",SUMIFS(AvgBase[Month 36],AvgBase[job_title],$H401),SUMIFS(AvgBase[Month 36],AvgBase[exp_item],$J401,AvgBase[company_name],$B401,AvgBase[bu_name],$C401,AvgBase[dept_name],$D401,AvgBase[team_consolidation],$K401,AvgBase[location_name],$G401,AvgBase[job_title],$H401))*(AU191+AT191)/2*(1-AU296))</f>
        <v>0</v>
      </c>
    </row>
    <row r="402" spans="2:47" x14ac:dyDescent="0.35">
      <c r="B402" t="str">
        <f t="shared" si="273"/>
        <v/>
      </c>
      <c r="C402" t="str">
        <f t="shared" si="273"/>
        <v/>
      </c>
      <c r="D402" t="str">
        <f t="shared" si="273"/>
        <v/>
      </c>
      <c r="E402" t="str">
        <f t="shared" si="273"/>
        <v/>
      </c>
      <c r="F402" t="str">
        <f t="shared" si="273"/>
        <v/>
      </c>
      <c r="G402" t="str">
        <f t="shared" si="273"/>
        <v/>
      </c>
      <c r="H402" t="str">
        <f t="shared" si="274"/>
        <v/>
      </c>
      <c r="J402" t="str">
        <f>IF($H402="","",IF(VLOOKUP($B$395,ExpItems[],2,0),$B$395&amp;" - "&amp;INDEX(DivisionMapping[category_code],MATCH($D402&amp;$C402,DivisionMapping[dept_bu],0)),$B$395))</f>
        <v/>
      </c>
      <c r="K402" t="str">
        <f t="shared" si="275"/>
        <v/>
      </c>
      <c r="L402" s="652">
        <f>IF($B402="",,IF(LEFT($H402,5)="dummy",SUMIFS(AvgBase[Month 1],AvgBase[job_title],$H402),SUMIFS(AvgBase[Month 1],AvgBase[exp_item],$J402,AvgBase[company_name],$B402,AvgBase[bu_name],$C402,AvgBase[dept_name],$D402,AvgBase[team_consolidation],$K402,AvgBase[location_name],$G402,AvgBase[job_title],$H402))*L192/2*(1-L297))</f>
        <v>0</v>
      </c>
      <c r="M402" s="652">
        <f>IF($B402="",,IF(LEFT($H402,5)="dummy",SUMIFS(AvgBase[Month 2],AvgBase[job_title],$H402),SUMIFS(AvgBase[Month 2],AvgBase[exp_item],$J402,AvgBase[company_name],$B402,AvgBase[bu_name],$C402,AvgBase[dept_name],$D402,AvgBase[team_consolidation],$K402,AvgBase[location_name],$G402,AvgBase[job_title],$H402))*(M192+L192)/2*(1-M297))</f>
        <v>0</v>
      </c>
      <c r="N402" s="652">
        <f>IF($B402="",,IF(LEFT($H402,5)="dummy",SUMIFS(AvgBase[Month 3],AvgBase[job_title],$H402),SUMIFS(AvgBase[Month 3],AvgBase[exp_item],$J402,AvgBase[company_name],$B402,AvgBase[bu_name],$C402,AvgBase[dept_name],$D402,AvgBase[team_consolidation],$K402,AvgBase[location_name],$G402,AvgBase[job_title],$H402))*(N192+M192)/2*(1-N297))</f>
        <v>0</v>
      </c>
      <c r="O402" s="652">
        <f>IF($B402="",,IF(LEFT($H402,5)="dummy",SUMIFS(AvgBase[Month 4],AvgBase[job_title],$H402),SUMIFS(AvgBase[Month 4],AvgBase[exp_item],$J402,AvgBase[company_name],$B402,AvgBase[bu_name],$C402,AvgBase[dept_name],$D402,AvgBase[team_consolidation],$K402,AvgBase[location_name],$G402,AvgBase[job_title],$H402))*(O192+N192)/2*(1-O297))</f>
        <v>0</v>
      </c>
      <c r="P402" s="652">
        <f>IF($B402="",,IF(LEFT($H402,5)="dummy",SUMIFS(AvgBase[Month 5],AvgBase[job_title],$H402),SUMIFS(AvgBase[Month 5],AvgBase[exp_item],$J402,AvgBase[company_name],$B402,AvgBase[bu_name],$C402,AvgBase[dept_name],$D402,AvgBase[team_consolidation],$K402,AvgBase[location_name],$G402,AvgBase[job_title],$H402))*(P192+O192)/2*(1-P297))</f>
        <v>0</v>
      </c>
      <c r="Q402" s="652">
        <f>IF($B402="",,IF(LEFT($H402,5)="dummy",SUMIFS(AvgBase[Month 6],AvgBase[job_title],$H402),SUMIFS(AvgBase[Month 6],AvgBase[exp_item],$J402,AvgBase[company_name],$B402,AvgBase[bu_name],$C402,AvgBase[dept_name],$D402,AvgBase[team_consolidation],$K402,AvgBase[location_name],$G402,AvgBase[job_title],$H402))*(Q192+P192)/2*(1-Q297))</f>
        <v>0</v>
      </c>
      <c r="R402" s="652">
        <f>IF($B402="",,IF(LEFT($H402,5)="dummy",SUMIFS(AvgBase[Month 7],AvgBase[job_title],$H402),SUMIFS(AvgBase[Month 7],AvgBase[exp_item],$J402,AvgBase[company_name],$B402,AvgBase[bu_name],$C402,AvgBase[dept_name],$D402,AvgBase[team_consolidation],$K402,AvgBase[location_name],$G402,AvgBase[job_title],$H402))*(R192+Q192)/2*(1-R297))</f>
        <v>0</v>
      </c>
      <c r="S402" s="652">
        <f>IF($B402="",,IF(LEFT($H402,5)="dummy",SUMIFS(AvgBase[Month 8],AvgBase[job_title],$H402),SUMIFS(AvgBase[Month 8],AvgBase[exp_item],$J402,AvgBase[company_name],$B402,AvgBase[bu_name],$C402,AvgBase[dept_name],$D402,AvgBase[team_consolidation],$K402,AvgBase[location_name],$G402,AvgBase[job_title],$H402))*(S192+R192)/2*(1-S297))</f>
        <v>0</v>
      </c>
      <c r="T402" s="652">
        <f>IF($B402="",,IF(LEFT($H402,5)="dummy",SUMIFS(AvgBase[Month 9],AvgBase[job_title],$H402),SUMIFS(AvgBase[Month 9],AvgBase[exp_item],$J402,AvgBase[company_name],$B402,AvgBase[bu_name],$C402,AvgBase[dept_name],$D402,AvgBase[team_consolidation],$K402,AvgBase[location_name],$G402,AvgBase[job_title],$H402))*(T192+S192)/2*(1-T297))</f>
        <v>0</v>
      </c>
      <c r="U402" s="652">
        <f>IF($B402="",,IF(LEFT($H402,5)="dummy",SUMIFS(AvgBase[Month 10],AvgBase[job_title],$H402),SUMIFS(AvgBase[Month 10],AvgBase[exp_item],$J402,AvgBase[company_name],$B402,AvgBase[bu_name],$C402,AvgBase[dept_name],$D402,AvgBase[team_consolidation],$K402,AvgBase[location_name],$G402,AvgBase[job_title],$H402))*(U192+T192)/2*(1-U297))</f>
        <v>0</v>
      </c>
      <c r="V402" s="652">
        <f>IF($B402="",,IF(LEFT($H402,5)="dummy",SUMIFS(AvgBase[Month 11],AvgBase[job_title],$H402),SUMIFS(AvgBase[Month 11],AvgBase[exp_item],$J402,AvgBase[company_name],$B402,AvgBase[bu_name],$C402,AvgBase[dept_name],$D402,AvgBase[team_consolidation],$K402,AvgBase[location_name],$G402,AvgBase[job_title],$H402))*(V192+U192)/2*(1-V297))</f>
        <v>0</v>
      </c>
      <c r="W402" s="652">
        <f>IF($B402="",,IF(LEFT($H402,5)="dummy",SUMIFS(AvgBase[Month 12],AvgBase[job_title],$H402),SUMIFS(AvgBase[Month 12],AvgBase[exp_item],$J402,AvgBase[company_name],$B402,AvgBase[bu_name],$C402,AvgBase[dept_name],$D402,AvgBase[team_consolidation],$K402,AvgBase[location_name],$G402,AvgBase[job_title],$H402))*(W192+V192)/2*(1-W297))</f>
        <v>0</v>
      </c>
      <c r="X402" s="652">
        <f>IF($B402="",,IF(LEFT($H402,5)="dummy",SUMIFS(AvgBase[Month 13],AvgBase[job_title],$H402),SUMIFS(AvgBase[Month 13],AvgBase[exp_item],$J402,AvgBase[company_name],$B402,AvgBase[bu_name],$C402,AvgBase[dept_name],$D402,AvgBase[team_consolidation],$K402,AvgBase[location_name],$G402,AvgBase[job_title],$H402))*(X192+W192)/2*(1-X297))</f>
        <v>0</v>
      </c>
      <c r="Y402" s="652">
        <f>IF($B402="",,IF(LEFT($H402,5)="dummy",SUMIFS(AvgBase[Month 14],AvgBase[job_title],$H402),SUMIFS(AvgBase[Month 14],AvgBase[exp_item],$J402,AvgBase[company_name],$B402,AvgBase[bu_name],$C402,AvgBase[dept_name],$D402,AvgBase[team_consolidation],$K402,AvgBase[location_name],$G402,AvgBase[job_title],$H402))*(Y192+X192)/2*(1-Y297))</f>
        <v>0</v>
      </c>
      <c r="Z402" s="652">
        <f>IF($B402="",,IF(LEFT($H402,5)="dummy",SUMIFS(AvgBase[Month 15],AvgBase[job_title],$H402),SUMIFS(AvgBase[Month 15],AvgBase[exp_item],$J402,AvgBase[company_name],$B402,AvgBase[bu_name],$C402,AvgBase[dept_name],$D402,AvgBase[team_consolidation],$K402,AvgBase[location_name],$G402,AvgBase[job_title],$H402))*(Z192+Y192)/2*(1-Z297))</f>
        <v>0</v>
      </c>
      <c r="AA402" s="652">
        <f>IF($B402="",,IF(LEFT($H402,5)="dummy",SUMIFS(AvgBase[Month 16],AvgBase[job_title],$H402),SUMIFS(AvgBase[Month 16],AvgBase[exp_item],$J402,AvgBase[company_name],$B402,AvgBase[bu_name],$C402,AvgBase[dept_name],$D402,AvgBase[team_consolidation],$K402,AvgBase[location_name],$G402,AvgBase[job_title],$H402))*(AA192+Z192)/2*(1-AA297))</f>
        <v>0</v>
      </c>
      <c r="AB402" s="652">
        <f>IF($B402="",,IF(LEFT($H402,5)="dummy",SUMIFS(AvgBase[Month 17],AvgBase[job_title],$H402),SUMIFS(AvgBase[Month 17],AvgBase[exp_item],$J402,AvgBase[company_name],$B402,AvgBase[bu_name],$C402,AvgBase[dept_name],$D402,AvgBase[team_consolidation],$K402,AvgBase[location_name],$G402,AvgBase[job_title],$H402))*(AB192+AA192)/2*(1-AB297))</f>
        <v>0</v>
      </c>
      <c r="AC402" s="652">
        <f>IF($B402="",,IF(LEFT($H402,5)="dummy",SUMIFS(AvgBase[Month 18],AvgBase[job_title],$H402),SUMIFS(AvgBase[Month 18],AvgBase[exp_item],$J402,AvgBase[company_name],$B402,AvgBase[bu_name],$C402,AvgBase[dept_name],$D402,AvgBase[team_consolidation],$K402,AvgBase[location_name],$G402,AvgBase[job_title],$H402))*(AC192+AB192)/2*(1-AC297))</f>
        <v>0</v>
      </c>
      <c r="AD402" s="652">
        <f>IF($B402="",,IF(LEFT($H402,5)="dummy",SUMIFS(AvgBase[Month 19],AvgBase[job_title],$H402),SUMIFS(AvgBase[Month 19],AvgBase[exp_item],$J402,AvgBase[company_name],$B402,AvgBase[bu_name],$C402,AvgBase[dept_name],$D402,AvgBase[team_consolidation],$K402,AvgBase[location_name],$G402,AvgBase[job_title],$H402))*(AD192+AC192)/2*(1-AD297))</f>
        <v>0</v>
      </c>
      <c r="AE402" s="652">
        <f>IF($B402="",,IF(LEFT($H402,5)="dummy",SUMIFS(AvgBase[Month 20],AvgBase[job_title],$H402),SUMIFS(AvgBase[Month 20],AvgBase[exp_item],$J402,AvgBase[company_name],$B402,AvgBase[bu_name],$C402,AvgBase[dept_name],$D402,AvgBase[team_consolidation],$K402,AvgBase[location_name],$G402,AvgBase[job_title],$H402))*(AE192+AD192)/2*(1-AE297))</f>
        <v>0</v>
      </c>
      <c r="AF402" s="652">
        <f>IF($B402="",,IF(LEFT($H402,5)="dummy",SUMIFS(AvgBase[Month 21],AvgBase[job_title],$H402),SUMIFS(AvgBase[Month 21],AvgBase[exp_item],$J402,AvgBase[company_name],$B402,AvgBase[bu_name],$C402,AvgBase[dept_name],$D402,AvgBase[team_consolidation],$K402,AvgBase[location_name],$G402,AvgBase[job_title],$H402))*(AF192+AE192)/2*(1-AF297))</f>
        <v>0</v>
      </c>
      <c r="AG402" s="652">
        <f>IF($B402="",,IF(LEFT($H402,5)="dummy",SUMIFS(AvgBase[Month 22],AvgBase[job_title],$H402),SUMIFS(AvgBase[Month 22],AvgBase[exp_item],$J402,AvgBase[company_name],$B402,AvgBase[bu_name],$C402,AvgBase[dept_name],$D402,AvgBase[team_consolidation],$K402,AvgBase[location_name],$G402,AvgBase[job_title],$H402))*(AG192+AF192)/2*(1-AG297))</f>
        <v>0</v>
      </c>
      <c r="AH402" s="652">
        <f>IF($B402="",,IF(LEFT($H402,5)="dummy",SUMIFS(AvgBase[Month 23],AvgBase[job_title],$H402),SUMIFS(AvgBase[Month 23],AvgBase[exp_item],$J402,AvgBase[company_name],$B402,AvgBase[bu_name],$C402,AvgBase[dept_name],$D402,AvgBase[team_consolidation],$K402,AvgBase[location_name],$G402,AvgBase[job_title],$H402))*(AH192+AG192)/2*(1-AH297))</f>
        <v>0</v>
      </c>
      <c r="AI402" s="652">
        <f>IF($B402="",,IF(LEFT($H402,5)="dummy",SUMIFS(AvgBase[Month 24],AvgBase[job_title],$H402),SUMIFS(AvgBase[Month 24],AvgBase[exp_item],$J402,AvgBase[company_name],$B402,AvgBase[bu_name],$C402,AvgBase[dept_name],$D402,AvgBase[team_consolidation],$K402,AvgBase[location_name],$G402,AvgBase[job_title],$H402))*(AI192+AH192)/2*(1-AI297))</f>
        <v>0</v>
      </c>
      <c r="AJ402" s="652">
        <f>IF($B402="",,IF(LEFT($H402,5)="dummy",SUMIFS(AvgBase[Month 25],AvgBase[job_title],$H402),SUMIFS(AvgBase[Month 25],AvgBase[exp_item],$J402,AvgBase[company_name],$B402,AvgBase[bu_name],$C402,AvgBase[dept_name],$D402,AvgBase[team_consolidation],$K402,AvgBase[location_name],$G402,AvgBase[job_title],$H402))*(AJ192+AI192)/2*(1-AJ297))</f>
        <v>0</v>
      </c>
      <c r="AK402" s="652">
        <f>IF($B402="",,IF(LEFT($H402,5)="dummy",SUMIFS(AvgBase[Month 26],AvgBase[job_title],$H402),SUMIFS(AvgBase[Month 26],AvgBase[exp_item],$J402,AvgBase[company_name],$B402,AvgBase[bu_name],$C402,AvgBase[dept_name],$D402,AvgBase[team_consolidation],$K402,AvgBase[location_name],$G402,AvgBase[job_title],$H402))*(AK192+AJ192)/2*(1-AK297))</f>
        <v>0</v>
      </c>
      <c r="AL402" s="652">
        <f>IF($B402="",,IF(LEFT($H402,5)="dummy",SUMIFS(AvgBase[Month 27],AvgBase[job_title],$H402),SUMIFS(AvgBase[Month 27],AvgBase[exp_item],$J402,AvgBase[company_name],$B402,AvgBase[bu_name],$C402,AvgBase[dept_name],$D402,AvgBase[team_consolidation],$K402,AvgBase[location_name],$G402,AvgBase[job_title],$H402))*(AL192+AK192)/2*(1-AL297))</f>
        <v>0</v>
      </c>
      <c r="AM402" s="652">
        <f>IF($B402="",,IF(LEFT($H402,5)="dummy",SUMIFS(AvgBase[Month 28],AvgBase[job_title],$H402),SUMIFS(AvgBase[Month 28],AvgBase[exp_item],$J402,AvgBase[company_name],$B402,AvgBase[bu_name],$C402,AvgBase[dept_name],$D402,AvgBase[team_consolidation],$K402,AvgBase[location_name],$G402,AvgBase[job_title],$H402))*(AM192+AL192)/2*(1-AM297))</f>
        <v>0</v>
      </c>
      <c r="AN402" s="652">
        <f>IF($B402="",,IF(LEFT($H402,5)="dummy",SUMIFS(AvgBase[Month 29],AvgBase[job_title],$H402),SUMIFS(AvgBase[Month 29],AvgBase[exp_item],$J402,AvgBase[company_name],$B402,AvgBase[bu_name],$C402,AvgBase[dept_name],$D402,AvgBase[team_consolidation],$K402,AvgBase[location_name],$G402,AvgBase[job_title],$H402))*(AN192+AM192)/2*(1-AN297))</f>
        <v>0</v>
      </c>
      <c r="AO402" s="652">
        <f>IF($B402="",,IF(LEFT($H402,5)="dummy",SUMIFS(AvgBase[Month 30],AvgBase[job_title],$H402),SUMIFS(AvgBase[Month 30],AvgBase[exp_item],$J402,AvgBase[company_name],$B402,AvgBase[bu_name],$C402,AvgBase[dept_name],$D402,AvgBase[team_consolidation],$K402,AvgBase[location_name],$G402,AvgBase[job_title],$H402))*(AO192+AN192)/2*(1-AO297))</f>
        <v>0</v>
      </c>
      <c r="AP402" s="652">
        <f>IF($B402="",,IF(LEFT($H402,5)="dummy",SUMIFS(AvgBase[Month 31],AvgBase[job_title],$H402),SUMIFS(AvgBase[Month 31],AvgBase[exp_item],$J402,AvgBase[company_name],$B402,AvgBase[bu_name],$C402,AvgBase[dept_name],$D402,AvgBase[team_consolidation],$K402,AvgBase[location_name],$G402,AvgBase[job_title],$H402))*(AP192+AO192)/2*(1-AP297))</f>
        <v>0</v>
      </c>
      <c r="AQ402" s="652">
        <f>IF($B402="",,IF(LEFT($H402,5)="dummy",SUMIFS(AvgBase[Month 32],AvgBase[job_title],$H402),SUMIFS(AvgBase[Month 32],AvgBase[exp_item],$J402,AvgBase[company_name],$B402,AvgBase[bu_name],$C402,AvgBase[dept_name],$D402,AvgBase[team_consolidation],$K402,AvgBase[location_name],$G402,AvgBase[job_title],$H402))*(AQ192+AP192)/2*(1-AQ297))</f>
        <v>0</v>
      </c>
      <c r="AR402" s="652">
        <f>IF($B402="",,IF(LEFT($H402,5)="dummy",SUMIFS(AvgBase[Month 33],AvgBase[job_title],$H402),SUMIFS(AvgBase[Month 33],AvgBase[exp_item],$J402,AvgBase[company_name],$B402,AvgBase[bu_name],$C402,AvgBase[dept_name],$D402,AvgBase[team_consolidation],$K402,AvgBase[location_name],$G402,AvgBase[job_title],$H402))*(AR192+AQ192)/2*(1-AR297))</f>
        <v>0</v>
      </c>
      <c r="AS402" s="652">
        <f>IF($B402="",,IF(LEFT($H402,5)="dummy",SUMIFS(AvgBase[Month 34],AvgBase[job_title],$H402),SUMIFS(AvgBase[Month 34],AvgBase[exp_item],$J402,AvgBase[company_name],$B402,AvgBase[bu_name],$C402,AvgBase[dept_name],$D402,AvgBase[team_consolidation],$K402,AvgBase[location_name],$G402,AvgBase[job_title],$H402))*(AS192+AR192)/2*(1-AS297))</f>
        <v>0</v>
      </c>
      <c r="AT402" s="652">
        <f>IF($B402="",,IF(LEFT($H402,5)="dummy",SUMIFS(AvgBase[Month 35],AvgBase[job_title],$H402),SUMIFS(AvgBase[Month 35],AvgBase[exp_item],$J402,AvgBase[company_name],$B402,AvgBase[bu_name],$C402,AvgBase[dept_name],$D402,AvgBase[team_consolidation],$K402,AvgBase[location_name],$G402,AvgBase[job_title],$H402))*(AT192+AS192)/2*(1-AT297))</f>
        <v>0</v>
      </c>
      <c r="AU402" s="652">
        <f>IF($B402="",,IF(LEFT($H402,5)="dummy",SUMIFS(AvgBase[Month 36],AvgBase[job_title],$H402),SUMIFS(AvgBase[Month 36],AvgBase[exp_item],$J402,AvgBase[company_name],$B402,AvgBase[bu_name],$C402,AvgBase[dept_name],$D402,AvgBase[team_consolidation],$K402,AvgBase[location_name],$G402,AvgBase[job_title],$H402))*(AU192+AT192)/2*(1-AU297))</f>
        <v>0</v>
      </c>
    </row>
    <row r="403" spans="2:47" x14ac:dyDescent="0.35">
      <c r="B403" t="str">
        <f t="shared" si="273"/>
        <v/>
      </c>
      <c r="C403" t="str">
        <f t="shared" si="273"/>
        <v/>
      </c>
      <c r="D403" t="str">
        <f t="shared" si="273"/>
        <v/>
      </c>
      <c r="E403" t="str">
        <f t="shared" si="273"/>
        <v/>
      </c>
      <c r="F403" t="str">
        <f t="shared" si="273"/>
        <v/>
      </c>
      <c r="G403" t="str">
        <f t="shared" si="273"/>
        <v/>
      </c>
      <c r="H403" t="str">
        <f t="shared" si="274"/>
        <v/>
      </c>
      <c r="J403" t="str">
        <f>IF($H403="","",IF(VLOOKUP($B$395,ExpItems[],2,0),$B$395&amp;" - "&amp;INDEX(DivisionMapping[category_code],MATCH($D403&amp;$C403,DivisionMapping[dept_bu],0)),$B$395))</f>
        <v/>
      </c>
      <c r="K403" t="str">
        <f t="shared" si="275"/>
        <v/>
      </c>
      <c r="L403" s="652">
        <f>IF($B403="",,IF(LEFT($H403,5)="dummy",SUMIFS(AvgBase[Month 1],AvgBase[job_title],$H403),SUMIFS(AvgBase[Month 1],AvgBase[exp_item],$J403,AvgBase[company_name],$B403,AvgBase[bu_name],$C403,AvgBase[dept_name],$D403,AvgBase[team_consolidation],$K403,AvgBase[location_name],$G403,AvgBase[job_title],$H403))*L193/2*(1-L298))</f>
        <v>0</v>
      </c>
      <c r="M403" s="652">
        <f>IF($B403="",,IF(LEFT($H403,5)="dummy",SUMIFS(AvgBase[Month 2],AvgBase[job_title],$H403),SUMIFS(AvgBase[Month 2],AvgBase[exp_item],$J403,AvgBase[company_name],$B403,AvgBase[bu_name],$C403,AvgBase[dept_name],$D403,AvgBase[team_consolidation],$K403,AvgBase[location_name],$G403,AvgBase[job_title],$H403))*(M193+L193)/2*(1-M298))</f>
        <v>0</v>
      </c>
      <c r="N403" s="652">
        <f>IF($B403="",,IF(LEFT($H403,5)="dummy",SUMIFS(AvgBase[Month 3],AvgBase[job_title],$H403),SUMIFS(AvgBase[Month 3],AvgBase[exp_item],$J403,AvgBase[company_name],$B403,AvgBase[bu_name],$C403,AvgBase[dept_name],$D403,AvgBase[team_consolidation],$K403,AvgBase[location_name],$G403,AvgBase[job_title],$H403))*(N193+M193)/2*(1-N298))</f>
        <v>0</v>
      </c>
      <c r="O403" s="652">
        <f>IF($B403="",,IF(LEFT($H403,5)="dummy",SUMIFS(AvgBase[Month 4],AvgBase[job_title],$H403),SUMIFS(AvgBase[Month 4],AvgBase[exp_item],$J403,AvgBase[company_name],$B403,AvgBase[bu_name],$C403,AvgBase[dept_name],$D403,AvgBase[team_consolidation],$K403,AvgBase[location_name],$G403,AvgBase[job_title],$H403))*(O193+N193)/2*(1-O298))</f>
        <v>0</v>
      </c>
      <c r="P403" s="652">
        <f>IF($B403="",,IF(LEFT($H403,5)="dummy",SUMIFS(AvgBase[Month 5],AvgBase[job_title],$H403),SUMIFS(AvgBase[Month 5],AvgBase[exp_item],$J403,AvgBase[company_name],$B403,AvgBase[bu_name],$C403,AvgBase[dept_name],$D403,AvgBase[team_consolidation],$K403,AvgBase[location_name],$G403,AvgBase[job_title],$H403))*(P193+O193)/2*(1-P298))</f>
        <v>0</v>
      </c>
      <c r="Q403" s="652">
        <f>IF($B403="",,IF(LEFT($H403,5)="dummy",SUMIFS(AvgBase[Month 6],AvgBase[job_title],$H403),SUMIFS(AvgBase[Month 6],AvgBase[exp_item],$J403,AvgBase[company_name],$B403,AvgBase[bu_name],$C403,AvgBase[dept_name],$D403,AvgBase[team_consolidation],$K403,AvgBase[location_name],$G403,AvgBase[job_title],$H403))*(Q193+P193)/2*(1-Q298))</f>
        <v>0</v>
      </c>
      <c r="R403" s="652">
        <f>IF($B403="",,IF(LEFT($H403,5)="dummy",SUMIFS(AvgBase[Month 7],AvgBase[job_title],$H403),SUMIFS(AvgBase[Month 7],AvgBase[exp_item],$J403,AvgBase[company_name],$B403,AvgBase[bu_name],$C403,AvgBase[dept_name],$D403,AvgBase[team_consolidation],$K403,AvgBase[location_name],$G403,AvgBase[job_title],$H403))*(R193+Q193)/2*(1-R298))</f>
        <v>0</v>
      </c>
      <c r="S403" s="652">
        <f>IF($B403="",,IF(LEFT($H403,5)="dummy",SUMIFS(AvgBase[Month 8],AvgBase[job_title],$H403),SUMIFS(AvgBase[Month 8],AvgBase[exp_item],$J403,AvgBase[company_name],$B403,AvgBase[bu_name],$C403,AvgBase[dept_name],$D403,AvgBase[team_consolidation],$K403,AvgBase[location_name],$G403,AvgBase[job_title],$H403))*(S193+R193)/2*(1-S298))</f>
        <v>0</v>
      </c>
      <c r="T403" s="652">
        <f>IF($B403="",,IF(LEFT($H403,5)="dummy",SUMIFS(AvgBase[Month 9],AvgBase[job_title],$H403),SUMIFS(AvgBase[Month 9],AvgBase[exp_item],$J403,AvgBase[company_name],$B403,AvgBase[bu_name],$C403,AvgBase[dept_name],$D403,AvgBase[team_consolidation],$K403,AvgBase[location_name],$G403,AvgBase[job_title],$H403))*(T193+S193)/2*(1-T298))</f>
        <v>0</v>
      </c>
      <c r="U403" s="652">
        <f>IF($B403="",,IF(LEFT($H403,5)="dummy",SUMIFS(AvgBase[Month 10],AvgBase[job_title],$H403),SUMIFS(AvgBase[Month 10],AvgBase[exp_item],$J403,AvgBase[company_name],$B403,AvgBase[bu_name],$C403,AvgBase[dept_name],$D403,AvgBase[team_consolidation],$K403,AvgBase[location_name],$G403,AvgBase[job_title],$H403))*(U193+T193)/2*(1-U298))</f>
        <v>0</v>
      </c>
      <c r="V403" s="652">
        <f>IF($B403="",,IF(LEFT($H403,5)="dummy",SUMIFS(AvgBase[Month 11],AvgBase[job_title],$H403),SUMIFS(AvgBase[Month 11],AvgBase[exp_item],$J403,AvgBase[company_name],$B403,AvgBase[bu_name],$C403,AvgBase[dept_name],$D403,AvgBase[team_consolidation],$K403,AvgBase[location_name],$G403,AvgBase[job_title],$H403))*(V193+U193)/2*(1-V298))</f>
        <v>0</v>
      </c>
      <c r="W403" s="652">
        <f>IF($B403="",,IF(LEFT($H403,5)="dummy",SUMIFS(AvgBase[Month 12],AvgBase[job_title],$H403),SUMIFS(AvgBase[Month 12],AvgBase[exp_item],$J403,AvgBase[company_name],$B403,AvgBase[bu_name],$C403,AvgBase[dept_name],$D403,AvgBase[team_consolidation],$K403,AvgBase[location_name],$G403,AvgBase[job_title],$H403))*(W193+V193)/2*(1-W298))</f>
        <v>0</v>
      </c>
      <c r="X403" s="652">
        <f>IF($B403="",,IF(LEFT($H403,5)="dummy",SUMIFS(AvgBase[Month 13],AvgBase[job_title],$H403),SUMIFS(AvgBase[Month 13],AvgBase[exp_item],$J403,AvgBase[company_name],$B403,AvgBase[bu_name],$C403,AvgBase[dept_name],$D403,AvgBase[team_consolidation],$K403,AvgBase[location_name],$G403,AvgBase[job_title],$H403))*(X193+W193)/2*(1-X298))</f>
        <v>0</v>
      </c>
      <c r="Y403" s="652">
        <f>IF($B403="",,IF(LEFT($H403,5)="dummy",SUMIFS(AvgBase[Month 14],AvgBase[job_title],$H403),SUMIFS(AvgBase[Month 14],AvgBase[exp_item],$J403,AvgBase[company_name],$B403,AvgBase[bu_name],$C403,AvgBase[dept_name],$D403,AvgBase[team_consolidation],$K403,AvgBase[location_name],$G403,AvgBase[job_title],$H403))*(Y193+X193)/2*(1-Y298))</f>
        <v>0</v>
      </c>
      <c r="Z403" s="652">
        <f>IF($B403="",,IF(LEFT($H403,5)="dummy",SUMIFS(AvgBase[Month 15],AvgBase[job_title],$H403),SUMIFS(AvgBase[Month 15],AvgBase[exp_item],$J403,AvgBase[company_name],$B403,AvgBase[bu_name],$C403,AvgBase[dept_name],$D403,AvgBase[team_consolidation],$K403,AvgBase[location_name],$G403,AvgBase[job_title],$H403))*(Z193+Y193)/2*(1-Z298))</f>
        <v>0</v>
      </c>
      <c r="AA403" s="652">
        <f>IF($B403="",,IF(LEFT($H403,5)="dummy",SUMIFS(AvgBase[Month 16],AvgBase[job_title],$H403),SUMIFS(AvgBase[Month 16],AvgBase[exp_item],$J403,AvgBase[company_name],$B403,AvgBase[bu_name],$C403,AvgBase[dept_name],$D403,AvgBase[team_consolidation],$K403,AvgBase[location_name],$G403,AvgBase[job_title],$H403))*(AA193+Z193)/2*(1-AA298))</f>
        <v>0</v>
      </c>
      <c r="AB403" s="652">
        <f>IF($B403="",,IF(LEFT($H403,5)="dummy",SUMIFS(AvgBase[Month 17],AvgBase[job_title],$H403),SUMIFS(AvgBase[Month 17],AvgBase[exp_item],$J403,AvgBase[company_name],$B403,AvgBase[bu_name],$C403,AvgBase[dept_name],$D403,AvgBase[team_consolidation],$K403,AvgBase[location_name],$G403,AvgBase[job_title],$H403))*(AB193+AA193)/2*(1-AB298))</f>
        <v>0</v>
      </c>
      <c r="AC403" s="652">
        <f>IF($B403="",,IF(LEFT($H403,5)="dummy",SUMIFS(AvgBase[Month 18],AvgBase[job_title],$H403),SUMIFS(AvgBase[Month 18],AvgBase[exp_item],$J403,AvgBase[company_name],$B403,AvgBase[bu_name],$C403,AvgBase[dept_name],$D403,AvgBase[team_consolidation],$K403,AvgBase[location_name],$G403,AvgBase[job_title],$H403))*(AC193+AB193)/2*(1-AC298))</f>
        <v>0</v>
      </c>
      <c r="AD403" s="652">
        <f>IF($B403="",,IF(LEFT($H403,5)="dummy",SUMIFS(AvgBase[Month 19],AvgBase[job_title],$H403),SUMIFS(AvgBase[Month 19],AvgBase[exp_item],$J403,AvgBase[company_name],$B403,AvgBase[bu_name],$C403,AvgBase[dept_name],$D403,AvgBase[team_consolidation],$K403,AvgBase[location_name],$G403,AvgBase[job_title],$H403))*(AD193+AC193)/2*(1-AD298))</f>
        <v>0</v>
      </c>
      <c r="AE403" s="652">
        <f>IF($B403="",,IF(LEFT($H403,5)="dummy",SUMIFS(AvgBase[Month 20],AvgBase[job_title],$H403),SUMIFS(AvgBase[Month 20],AvgBase[exp_item],$J403,AvgBase[company_name],$B403,AvgBase[bu_name],$C403,AvgBase[dept_name],$D403,AvgBase[team_consolidation],$K403,AvgBase[location_name],$G403,AvgBase[job_title],$H403))*(AE193+AD193)/2*(1-AE298))</f>
        <v>0</v>
      </c>
      <c r="AF403" s="652">
        <f>IF($B403="",,IF(LEFT($H403,5)="dummy",SUMIFS(AvgBase[Month 21],AvgBase[job_title],$H403),SUMIFS(AvgBase[Month 21],AvgBase[exp_item],$J403,AvgBase[company_name],$B403,AvgBase[bu_name],$C403,AvgBase[dept_name],$D403,AvgBase[team_consolidation],$K403,AvgBase[location_name],$G403,AvgBase[job_title],$H403))*(AF193+AE193)/2*(1-AF298))</f>
        <v>0</v>
      </c>
      <c r="AG403" s="652">
        <f>IF($B403="",,IF(LEFT($H403,5)="dummy",SUMIFS(AvgBase[Month 22],AvgBase[job_title],$H403),SUMIFS(AvgBase[Month 22],AvgBase[exp_item],$J403,AvgBase[company_name],$B403,AvgBase[bu_name],$C403,AvgBase[dept_name],$D403,AvgBase[team_consolidation],$K403,AvgBase[location_name],$G403,AvgBase[job_title],$H403))*(AG193+AF193)/2*(1-AG298))</f>
        <v>0</v>
      </c>
      <c r="AH403" s="652">
        <f>IF($B403="",,IF(LEFT($H403,5)="dummy",SUMIFS(AvgBase[Month 23],AvgBase[job_title],$H403),SUMIFS(AvgBase[Month 23],AvgBase[exp_item],$J403,AvgBase[company_name],$B403,AvgBase[bu_name],$C403,AvgBase[dept_name],$D403,AvgBase[team_consolidation],$K403,AvgBase[location_name],$G403,AvgBase[job_title],$H403))*(AH193+AG193)/2*(1-AH298))</f>
        <v>0</v>
      </c>
      <c r="AI403" s="652">
        <f>IF($B403="",,IF(LEFT($H403,5)="dummy",SUMIFS(AvgBase[Month 24],AvgBase[job_title],$H403),SUMIFS(AvgBase[Month 24],AvgBase[exp_item],$J403,AvgBase[company_name],$B403,AvgBase[bu_name],$C403,AvgBase[dept_name],$D403,AvgBase[team_consolidation],$K403,AvgBase[location_name],$G403,AvgBase[job_title],$H403))*(AI193+AH193)/2*(1-AI298))</f>
        <v>0</v>
      </c>
      <c r="AJ403" s="652">
        <f>IF($B403="",,IF(LEFT($H403,5)="dummy",SUMIFS(AvgBase[Month 25],AvgBase[job_title],$H403),SUMIFS(AvgBase[Month 25],AvgBase[exp_item],$J403,AvgBase[company_name],$B403,AvgBase[bu_name],$C403,AvgBase[dept_name],$D403,AvgBase[team_consolidation],$K403,AvgBase[location_name],$G403,AvgBase[job_title],$H403))*(AJ193+AI193)/2*(1-AJ298))</f>
        <v>0</v>
      </c>
      <c r="AK403" s="652">
        <f>IF($B403="",,IF(LEFT($H403,5)="dummy",SUMIFS(AvgBase[Month 26],AvgBase[job_title],$H403),SUMIFS(AvgBase[Month 26],AvgBase[exp_item],$J403,AvgBase[company_name],$B403,AvgBase[bu_name],$C403,AvgBase[dept_name],$D403,AvgBase[team_consolidation],$K403,AvgBase[location_name],$G403,AvgBase[job_title],$H403))*(AK193+AJ193)/2*(1-AK298))</f>
        <v>0</v>
      </c>
      <c r="AL403" s="652">
        <f>IF($B403="",,IF(LEFT($H403,5)="dummy",SUMIFS(AvgBase[Month 27],AvgBase[job_title],$H403),SUMIFS(AvgBase[Month 27],AvgBase[exp_item],$J403,AvgBase[company_name],$B403,AvgBase[bu_name],$C403,AvgBase[dept_name],$D403,AvgBase[team_consolidation],$K403,AvgBase[location_name],$G403,AvgBase[job_title],$H403))*(AL193+AK193)/2*(1-AL298))</f>
        <v>0</v>
      </c>
      <c r="AM403" s="652">
        <f>IF($B403="",,IF(LEFT($H403,5)="dummy",SUMIFS(AvgBase[Month 28],AvgBase[job_title],$H403),SUMIFS(AvgBase[Month 28],AvgBase[exp_item],$J403,AvgBase[company_name],$B403,AvgBase[bu_name],$C403,AvgBase[dept_name],$D403,AvgBase[team_consolidation],$K403,AvgBase[location_name],$G403,AvgBase[job_title],$H403))*(AM193+AL193)/2*(1-AM298))</f>
        <v>0</v>
      </c>
      <c r="AN403" s="652">
        <f>IF($B403="",,IF(LEFT($H403,5)="dummy",SUMIFS(AvgBase[Month 29],AvgBase[job_title],$H403),SUMIFS(AvgBase[Month 29],AvgBase[exp_item],$J403,AvgBase[company_name],$B403,AvgBase[bu_name],$C403,AvgBase[dept_name],$D403,AvgBase[team_consolidation],$K403,AvgBase[location_name],$G403,AvgBase[job_title],$H403))*(AN193+AM193)/2*(1-AN298))</f>
        <v>0</v>
      </c>
      <c r="AO403" s="652">
        <f>IF($B403="",,IF(LEFT($H403,5)="dummy",SUMIFS(AvgBase[Month 30],AvgBase[job_title],$H403),SUMIFS(AvgBase[Month 30],AvgBase[exp_item],$J403,AvgBase[company_name],$B403,AvgBase[bu_name],$C403,AvgBase[dept_name],$D403,AvgBase[team_consolidation],$K403,AvgBase[location_name],$G403,AvgBase[job_title],$H403))*(AO193+AN193)/2*(1-AO298))</f>
        <v>0</v>
      </c>
      <c r="AP403" s="652">
        <f>IF($B403="",,IF(LEFT($H403,5)="dummy",SUMIFS(AvgBase[Month 31],AvgBase[job_title],$H403),SUMIFS(AvgBase[Month 31],AvgBase[exp_item],$J403,AvgBase[company_name],$B403,AvgBase[bu_name],$C403,AvgBase[dept_name],$D403,AvgBase[team_consolidation],$K403,AvgBase[location_name],$G403,AvgBase[job_title],$H403))*(AP193+AO193)/2*(1-AP298))</f>
        <v>0</v>
      </c>
      <c r="AQ403" s="652">
        <f>IF($B403="",,IF(LEFT($H403,5)="dummy",SUMIFS(AvgBase[Month 32],AvgBase[job_title],$H403),SUMIFS(AvgBase[Month 32],AvgBase[exp_item],$J403,AvgBase[company_name],$B403,AvgBase[bu_name],$C403,AvgBase[dept_name],$D403,AvgBase[team_consolidation],$K403,AvgBase[location_name],$G403,AvgBase[job_title],$H403))*(AQ193+AP193)/2*(1-AQ298))</f>
        <v>0</v>
      </c>
      <c r="AR403" s="652">
        <f>IF($B403="",,IF(LEFT($H403,5)="dummy",SUMIFS(AvgBase[Month 33],AvgBase[job_title],$H403),SUMIFS(AvgBase[Month 33],AvgBase[exp_item],$J403,AvgBase[company_name],$B403,AvgBase[bu_name],$C403,AvgBase[dept_name],$D403,AvgBase[team_consolidation],$K403,AvgBase[location_name],$G403,AvgBase[job_title],$H403))*(AR193+AQ193)/2*(1-AR298))</f>
        <v>0</v>
      </c>
      <c r="AS403" s="652">
        <f>IF($B403="",,IF(LEFT($H403,5)="dummy",SUMIFS(AvgBase[Month 34],AvgBase[job_title],$H403),SUMIFS(AvgBase[Month 34],AvgBase[exp_item],$J403,AvgBase[company_name],$B403,AvgBase[bu_name],$C403,AvgBase[dept_name],$D403,AvgBase[team_consolidation],$K403,AvgBase[location_name],$G403,AvgBase[job_title],$H403))*(AS193+AR193)/2*(1-AS298))</f>
        <v>0</v>
      </c>
      <c r="AT403" s="652">
        <f>IF($B403="",,IF(LEFT($H403,5)="dummy",SUMIFS(AvgBase[Month 35],AvgBase[job_title],$H403),SUMIFS(AvgBase[Month 35],AvgBase[exp_item],$J403,AvgBase[company_name],$B403,AvgBase[bu_name],$C403,AvgBase[dept_name],$D403,AvgBase[team_consolidation],$K403,AvgBase[location_name],$G403,AvgBase[job_title],$H403))*(AT193+AS193)/2*(1-AT298))</f>
        <v>0</v>
      </c>
      <c r="AU403" s="652">
        <f>IF($B403="",,IF(LEFT($H403,5)="dummy",SUMIFS(AvgBase[Month 36],AvgBase[job_title],$H403),SUMIFS(AvgBase[Month 36],AvgBase[exp_item],$J403,AvgBase[company_name],$B403,AvgBase[bu_name],$C403,AvgBase[dept_name],$D403,AvgBase[team_consolidation],$K403,AvgBase[location_name],$G403,AvgBase[job_title],$H403))*(AU193+AT193)/2*(1-AU298))</f>
        <v>0</v>
      </c>
    </row>
    <row r="404" spans="2:47" x14ac:dyDescent="0.35">
      <c r="B404" t="str">
        <f t="shared" si="273"/>
        <v/>
      </c>
      <c r="C404" t="str">
        <f t="shared" si="273"/>
        <v/>
      </c>
      <c r="D404" t="str">
        <f t="shared" si="273"/>
        <v/>
      </c>
      <c r="E404" t="str">
        <f t="shared" si="273"/>
        <v/>
      </c>
      <c r="F404" t="str">
        <f t="shared" si="273"/>
        <v/>
      </c>
      <c r="G404" t="str">
        <f t="shared" si="273"/>
        <v/>
      </c>
      <c r="H404" t="str">
        <f t="shared" si="274"/>
        <v/>
      </c>
      <c r="J404" t="str">
        <f>IF($H404="","",IF(VLOOKUP($B$395,ExpItems[],2,0),$B$395&amp;" - "&amp;INDEX(DivisionMapping[category_code],MATCH($D404&amp;$C404,DivisionMapping[dept_bu],0)),$B$395))</f>
        <v/>
      </c>
      <c r="K404" t="str">
        <f t="shared" si="275"/>
        <v/>
      </c>
      <c r="L404" s="652">
        <f>IF($B404="",,IF(LEFT($H404,5)="dummy",SUMIFS(AvgBase[Month 1],AvgBase[job_title],$H404),SUMIFS(AvgBase[Month 1],AvgBase[exp_item],$J404,AvgBase[company_name],$B404,AvgBase[bu_name],$C404,AvgBase[dept_name],$D404,AvgBase[team_consolidation],$K404,AvgBase[location_name],$G404,AvgBase[job_title],$H404))*L194/2*(1-L299))</f>
        <v>0</v>
      </c>
      <c r="M404" s="652">
        <f>IF($B404="",,IF(LEFT($H404,5)="dummy",SUMIFS(AvgBase[Month 2],AvgBase[job_title],$H404),SUMIFS(AvgBase[Month 2],AvgBase[exp_item],$J404,AvgBase[company_name],$B404,AvgBase[bu_name],$C404,AvgBase[dept_name],$D404,AvgBase[team_consolidation],$K404,AvgBase[location_name],$G404,AvgBase[job_title],$H404))*(M194+L194)/2*(1-M299))</f>
        <v>0</v>
      </c>
      <c r="N404" s="652">
        <f>IF($B404="",,IF(LEFT($H404,5)="dummy",SUMIFS(AvgBase[Month 3],AvgBase[job_title],$H404),SUMIFS(AvgBase[Month 3],AvgBase[exp_item],$J404,AvgBase[company_name],$B404,AvgBase[bu_name],$C404,AvgBase[dept_name],$D404,AvgBase[team_consolidation],$K404,AvgBase[location_name],$G404,AvgBase[job_title],$H404))*(N194+M194)/2*(1-N299))</f>
        <v>0</v>
      </c>
      <c r="O404" s="652">
        <f>IF($B404="",,IF(LEFT($H404,5)="dummy",SUMIFS(AvgBase[Month 4],AvgBase[job_title],$H404),SUMIFS(AvgBase[Month 4],AvgBase[exp_item],$J404,AvgBase[company_name],$B404,AvgBase[bu_name],$C404,AvgBase[dept_name],$D404,AvgBase[team_consolidation],$K404,AvgBase[location_name],$G404,AvgBase[job_title],$H404))*(O194+N194)/2*(1-O299))</f>
        <v>0</v>
      </c>
      <c r="P404" s="652">
        <f>IF($B404="",,IF(LEFT($H404,5)="dummy",SUMIFS(AvgBase[Month 5],AvgBase[job_title],$H404),SUMIFS(AvgBase[Month 5],AvgBase[exp_item],$J404,AvgBase[company_name],$B404,AvgBase[bu_name],$C404,AvgBase[dept_name],$D404,AvgBase[team_consolidation],$K404,AvgBase[location_name],$G404,AvgBase[job_title],$H404))*(P194+O194)/2*(1-P299))</f>
        <v>0</v>
      </c>
      <c r="Q404" s="652">
        <f>IF($B404="",,IF(LEFT($H404,5)="dummy",SUMIFS(AvgBase[Month 6],AvgBase[job_title],$H404),SUMIFS(AvgBase[Month 6],AvgBase[exp_item],$J404,AvgBase[company_name],$B404,AvgBase[bu_name],$C404,AvgBase[dept_name],$D404,AvgBase[team_consolidation],$K404,AvgBase[location_name],$G404,AvgBase[job_title],$H404))*(Q194+P194)/2*(1-Q299))</f>
        <v>0</v>
      </c>
      <c r="R404" s="652">
        <f>IF($B404="",,IF(LEFT($H404,5)="dummy",SUMIFS(AvgBase[Month 7],AvgBase[job_title],$H404),SUMIFS(AvgBase[Month 7],AvgBase[exp_item],$J404,AvgBase[company_name],$B404,AvgBase[bu_name],$C404,AvgBase[dept_name],$D404,AvgBase[team_consolidation],$K404,AvgBase[location_name],$G404,AvgBase[job_title],$H404))*(R194+Q194)/2*(1-R299))</f>
        <v>0</v>
      </c>
      <c r="S404" s="652">
        <f>IF($B404="",,IF(LEFT($H404,5)="dummy",SUMIFS(AvgBase[Month 8],AvgBase[job_title],$H404),SUMIFS(AvgBase[Month 8],AvgBase[exp_item],$J404,AvgBase[company_name],$B404,AvgBase[bu_name],$C404,AvgBase[dept_name],$D404,AvgBase[team_consolidation],$K404,AvgBase[location_name],$G404,AvgBase[job_title],$H404))*(S194+R194)/2*(1-S299))</f>
        <v>0</v>
      </c>
      <c r="T404" s="652">
        <f>IF($B404="",,IF(LEFT($H404,5)="dummy",SUMIFS(AvgBase[Month 9],AvgBase[job_title],$H404),SUMIFS(AvgBase[Month 9],AvgBase[exp_item],$J404,AvgBase[company_name],$B404,AvgBase[bu_name],$C404,AvgBase[dept_name],$D404,AvgBase[team_consolidation],$K404,AvgBase[location_name],$G404,AvgBase[job_title],$H404))*(T194+S194)/2*(1-T299))</f>
        <v>0</v>
      </c>
      <c r="U404" s="652">
        <f>IF($B404="",,IF(LEFT($H404,5)="dummy",SUMIFS(AvgBase[Month 10],AvgBase[job_title],$H404),SUMIFS(AvgBase[Month 10],AvgBase[exp_item],$J404,AvgBase[company_name],$B404,AvgBase[bu_name],$C404,AvgBase[dept_name],$D404,AvgBase[team_consolidation],$K404,AvgBase[location_name],$G404,AvgBase[job_title],$H404))*(U194+T194)/2*(1-U299))</f>
        <v>0</v>
      </c>
      <c r="V404" s="652">
        <f>IF($B404="",,IF(LEFT($H404,5)="dummy",SUMIFS(AvgBase[Month 11],AvgBase[job_title],$H404),SUMIFS(AvgBase[Month 11],AvgBase[exp_item],$J404,AvgBase[company_name],$B404,AvgBase[bu_name],$C404,AvgBase[dept_name],$D404,AvgBase[team_consolidation],$K404,AvgBase[location_name],$G404,AvgBase[job_title],$H404))*(V194+U194)/2*(1-V299))</f>
        <v>0</v>
      </c>
      <c r="W404" s="652">
        <f>IF($B404="",,IF(LEFT($H404,5)="dummy",SUMIFS(AvgBase[Month 12],AvgBase[job_title],$H404),SUMIFS(AvgBase[Month 12],AvgBase[exp_item],$J404,AvgBase[company_name],$B404,AvgBase[bu_name],$C404,AvgBase[dept_name],$D404,AvgBase[team_consolidation],$K404,AvgBase[location_name],$G404,AvgBase[job_title],$H404))*(W194+V194)/2*(1-W299))</f>
        <v>0</v>
      </c>
      <c r="X404" s="652">
        <f>IF($B404="",,IF(LEFT($H404,5)="dummy",SUMIFS(AvgBase[Month 13],AvgBase[job_title],$H404),SUMIFS(AvgBase[Month 13],AvgBase[exp_item],$J404,AvgBase[company_name],$B404,AvgBase[bu_name],$C404,AvgBase[dept_name],$D404,AvgBase[team_consolidation],$K404,AvgBase[location_name],$G404,AvgBase[job_title],$H404))*(X194+W194)/2*(1-X299))</f>
        <v>0</v>
      </c>
      <c r="Y404" s="652">
        <f>IF($B404="",,IF(LEFT($H404,5)="dummy",SUMIFS(AvgBase[Month 14],AvgBase[job_title],$H404),SUMIFS(AvgBase[Month 14],AvgBase[exp_item],$J404,AvgBase[company_name],$B404,AvgBase[bu_name],$C404,AvgBase[dept_name],$D404,AvgBase[team_consolidation],$K404,AvgBase[location_name],$G404,AvgBase[job_title],$H404))*(Y194+X194)/2*(1-Y299))</f>
        <v>0</v>
      </c>
      <c r="Z404" s="652">
        <f>IF($B404="",,IF(LEFT($H404,5)="dummy",SUMIFS(AvgBase[Month 15],AvgBase[job_title],$H404),SUMIFS(AvgBase[Month 15],AvgBase[exp_item],$J404,AvgBase[company_name],$B404,AvgBase[bu_name],$C404,AvgBase[dept_name],$D404,AvgBase[team_consolidation],$K404,AvgBase[location_name],$G404,AvgBase[job_title],$H404))*(Z194+Y194)/2*(1-Z299))</f>
        <v>0</v>
      </c>
      <c r="AA404" s="652">
        <f>IF($B404="",,IF(LEFT($H404,5)="dummy",SUMIFS(AvgBase[Month 16],AvgBase[job_title],$H404),SUMIFS(AvgBase[Month 16],AvgBase[exp_item],$J404,AvgBase[company_name],$B404,AvgBase[bu_name],$C404,AvgBase[dept_name],$D404,AvgBase[team_consolidation],$K404,AvgBase[location_name],$G404,AvgBase[job_title],$H404))*(AA194+Z194)/2*(1-AA299))</f>
        <v>0</v>
      </c>
      <c r="AB404" s="652">
        <f>IF($B404="",,IF(LEFT($H404,5)="dummy",SUMIFS(AvgBase[Month 17],AvgBase[job_title],$H404),SUMIFS(AvgBase[Month 17],AvgBase[exp_item],$J404,AvgBase[company_name],$B404,AvgBase[bu_name],$C404,AvgBase[dept_name],$D404,AvgBase[team_consolidation],$K404,AvgBase[location_name],$G404,AvgBase[job_title],$H404))*(AB194+AA194)/2*(1-AB299))</f>
        <v>0</v>
      </c>
      <c r="AC404" s="652">
        <f>IF($B404="",,IF(LEFT($H404,5)="dummy",SUMIFS(AvgBase[Month 18],AvgBase[job_title],$H404),SUMIFS(AvgBase[Month 18],AvgBase[exp_item],$J404,AvgBase[company_name],$B404,AvgBase[bu_name],$C404,AvgBase[dept_name],$D404,AvgBase[team_consolidation],$K404,AvgBase[location_name],$G404,AvgBase[job_title],$H404))*(AC194+AB194)/2*(1-AC299))</f>
        <v>0</v>
      </c>
      <c r="AD404" s="652">
        <f>IF($B404="",,IF(LEFT($H404,5)="dummy",SUMIFS(AvgBase[Month 19],AvgBase[job_title],$H404),SUMIFS(AvgBase[Month 19],AvgBase[exp_item],$J404,AvgBase[company_name],$B404,AvgBase[bu_name],$C404,AvgBase[dept_name],$D404,AvgBase[team_consolidation],$K404,AvgBase[location_name],$G404,AvgBase[job_title],$H404))*(AD194+AC194)/2*(1-AD299))</f>
        <v>0</v>
      </c>
      <c r="AE404" s="652">
        <f>IF($B404="",,IF(LEFT($H404,5)="dummy",SUMIFS(AvgBase[Month 20],AvgBase[job_title],$H404),SUMIFS(AvgBase[Month 20],AvgBase[exp_item],$J404,AvgBase[company_name],$B404,AvgBase[bu_name],$C404,AvgBase[dept_name],$D404,AvgBase[team_consolidation],$K404,AvgBase[location_name],$G404,AvgBase[job_title],$H404))*(AE194+AD194)/2*(1-AE299))</f>
        <v>0</v>
      </c>
      <c r="AF404" s="652">
        <f>IF($B404="",,IF(LEFT($H404,5)="dummy",SUMIFS(AvgBase[Month 21],AvgBase[job_title],$H404),SUMIFS(AvgBase[Month 21],AvgBase[exp_item],$J404,AvgBase[company_name],$B404,AvgBase[bu_name],$C404,AvgBase[dept_name],$D404,AvgBase[team_consolidation],$K404,AvgBase[location_name],$G404,AvgBase[job_title],$H404))*(AF194+AE194)/2*(1-AF299))</f>
        <v>0</v>
      </c>
      <c r="AG404" s="652">
        <f>IF($B404="",,IF(LEFT($H404,5)="dummy",SUMIFS(AvgBase[Month 22],AvgBase[job_title],$H404),SUMIFS(AvgBase[Month 22],AvgBase[exp_item],$J404,AvgBase[company_name],$B404,AvgBase[bu_name],$C404,AvgBase[dept_name],$D404,AvgBase[team_consolidation],$K404,AvgBase[location_name],$G404,AvgBase[job_title],$H404))*(AG194+AF194)/2*(1-AG299))</f>
        <v>0</v>
      </c>
      <c r="AH404" s="652">
        <f>IF($B404="",,IF(LEFT($H404,5)="dummy",SUMIFS(AvgBase[Month 23],AvgBase[job_title],$H404),SUMIFS(AvgBase[Month 23],AvgBase[exp_item],$J404,AvgBase[company_name],$B404,AvgBase[bu_name],$C404,AvgBase[dept_name],$D404,AvgBase[team_consolidation],$K404,AvgBase[location_name],$G404,AvgBase[job_title],$H404))*(AH194+AG194)/2*(1-AH299))</f>
        <v>0</v>
      </c>
      <c r="AI404" s="652">
        <f>IF($B404="",,IF(LEFT($H404,5)="dummy",SUMIFS(AvgBase[Month 24],AvgBase[job_title],$H404),SUMIFS(AvgBase[Month 24],AvgBase[exp_item],$J404,AvgBase[company_name],$B404,AvgBase[bu_name],$C404,AvgBase[dept_name],$D404,AvgBase[team_consolidation],$K404,AvgBase[location_name],$G404,AvgBase[job_title],$H404))*(AI194+AH194)/2*(1-AI299))</f>
        <v>0</v>
      </c>
      <c r="AJ404" s="652">
        <f>IF($B404="",,IF(LEFT($H404,5)="dummy",SUMIFS(AvgBase[Month 25],AvgBase[job_title],$H404),SUMIFS(AvgBase[Month 25],AvgBase[exp_item],$J404,AvgBase[company_name],$B404,AvgBase[bu_name],$C404,AvgBase[dept_name],$D404,AvgBase[team_consolidation],$K404,AvgBase[location_name],$G404,AvgBase[job_title],$H404))*(AJ194+AI194)/2*(1-AJ299))</f>
        <v>0</v>
      </c>
      <c r="AK404" s="652">
        <f>IF($B404="",,IF(LEFT($H404,5)="dummy",SUMIFS(AvgBase[Month 26],AvgBase[job_title],$H404),SUMIFS(AvgBase[Month 26],AvgBase[exp_item],$J404,AvgBase[company_name],$B404,AvgBase[bu_name],$C404,AvgBase[dept_name],$D404,AvgBase[team_consolidation],$K404,AvgBase[location_name],$G404,AvgBase[job_title],$H404))*(AK194+AJ194)/2*(1-AK299))</f>
        <v>0</v>
      </c>
      <c r="AL404" s="652">
        <f>IF($B404="",,IF(LEFT($H404,5)="dummy",SUMIFS(AvgBase[Month 27],AvgBase[job_title],$H404),SUMIFS(AvgBase[Month 27],AvgBase[exp_item],$J404,AvgBase[company_name],$B404,AvgBase[bu_name],$C404,AvgBase[dept_name],$D404,AvgBase[team_consolidation],$K404,AvgBase[location_name],$G404,AvgBase[job_title],$H404))*(AL194+AK194)/2*(1-AL299))</f>
        <v>0</v>
      </c>
      <c r="AM404" s="652">
        <f>IF($B404="",,IF(LEFT($H404,5)="dummy",SUMIFS(AvgBase[Month 28],AvgBase[job_title],$H404),SUMIFS(AvgBase[Month 28],AvgBase[exp_item],$J404,AvgBase[company_name],$B404,AvgBase[bu_name],$C404,AvgBase[dept_name],$D404,AvgBase[team_consolidation],$K404,AvgBase[location_name],$G404,AvgBase[job_title],$H404))*(AM194+AL194)/2*(1-AM299))</f>
        <v>0</v>
      </c>
      <c r="AN404" s="652">
        <f>IF($B404="",,IF(LEFT($H404,5)="dummy",SUMIFS(AvgBase[Month 29],AvgBase[job_title],$H404),SUMIFS(AvgBase[Month 29],AvgBase[exp_item],$J404,AvgBase[company_name],$B404,AvgBase[bu_name],$C404,AvgBase[dept_name],$D404,AvgBase[team_consolidation],$K404,AvgBase[location_name],$G404,AvgBase[job_title],$H404))*(AN194+AM194)/2*(1-AN299))</f>
        <v>0</v>
      </c>
      <c r="AO404" s="652">
        <f>IF($B404="",,IF(LEFT($H404,5)="dummy",SUMIFS(AvgBase[Month 30],AvgBase[job_title],$H404),SUMIFS(AvgBase[Month 30],AvgBase[exp_item],$J404,AvgBase[company_name],$B404,AvgBase[bu_name],$C404,AvgBase[dept_name],$D404,AvgBase[team_consolidation],$K404,AvgBase[location_name],$G404,AvgBase[job_title],$H404))*(AO194+AN194)/2*(1-AO299))</f>
        <v>0</v>
      </c>
      <c r="AP404" s="652">
        <f>IF($B404="",,IF(LEFT($H404,5)="dummy",SUMIFS(AvgBase[Month 31],AvgBase[job_title],$H404),SUMIFS(AvgBase[Month 31],AvgBase[exp_item],$J404,AvgBase[company_name],$B404,AvgBase[bu_name],$C404,AvgBase[dept_name],$D404,AvgBase[team_consolidation],$K404,AvgBase[location_name],$G404,AvgBase[job_title],$H404))*(AP194+AO194)/2*(1-AP299))</f>
        <v>0</v>
      </c>
      <c r="AQ404" s="652">
        <f>IF($B404="",,IF(LEFT($H404,5)="dummy",SUMIFS(AvgBase[Month 32],AvgBase[job_title],$H404),SUMIFS(AvgBase[Month 32],AvgBase[exp_item],$J404,AvgBase[company_name],$B404,AvgBase[bu_name],$C404,AvgBase[dept_name],$D404,AvgBase[team_consolidation],$K404,AvgBase[location_name],$G404,AvgBase[job_title],$H404))*(AQ194+AP194)/2*(1-AQ299))</f>
        <v>0</v>
      </c>
      <c r="AR404" s="652">
        <f>IF($B404="",,IF(LEFT($H404,5)="dummy",SUMIFS(AvgBase[Month 33],AvgBase[job_title],$H404),SUMIFS(AvgBase[Month 33],AvgBase[exp_item],$J404,AvgBase[company_name],$B404,AvgBase[bu_name],$C404,AvgBase[dept_name],$D404,AvgBase[team_consolidation],$K404,AvgBase[location_name],$G404,AvgBase[job_title],$H404))*(AR194+AQ194)/2*(1-AR299))</f>
        <v>0</v>
      </c>
      <c r="AS404" s="652">
        <f>IF($B404="",,IF(LEFT($H404,5)="dummy",SUMIFS(AvgBase[Month 34],AvgBase[job_title],$H404),SUMIFS(AvgBase[Month 34],AvgBase[exp_item],$J404,AvgBase[company_name],$B404,AvgBase[bu_name],$C404,AvgBase[dept_name],$D404,AvgBase[team_consolidation],$K404,AvgBase[location_name],$G404,AvgBase[job_title],$H404))*(AS194+AR194)/2*(1-AS299))</f>
        <v>0</v>
      </c>
      <c r="AT404" s="652">
        <f>IF($B404="",,IF(LEFT($H404,5)="dummy",SUMIFS(AvgBase[Month 35],AvgBase[job_title],$H404),SUMIFS(AvgBase[Month 35],AvgBase[exp_item],$J404,AvgBase[company_name],$B404,AvgBase[bu_name],$C404,AvgBase[dept_name],$D404,AvgBase[team_consolidation],$K404,AvgBase[location_name],$G404,AvgBase[job_title],$H404))*(AT194+AS194)/2*(1-AT299))</f>
        <v>0</v>
      </c>
      <c r="AU404" s="652">
        <f>IF($B404="",,IF(LEFT($H404,5)="dummy",SUMIFS(AvgBase[Month 36],AvgBase[job_title],$H404),SUMIFS(AvgBase[Month 36],AvgBase[exp_item],$J404,AvgBase[company_name],$B404,AvgBase[bu_name],$C404,AvgBase[dept_name],$D404,AvgBase[team_consolidation],$K404,AvgBase[location_name],$G404,AvgBase[job_title],$H404))*(AU194+AT194)/2*(1-AU299))</f>
        <v>0</v>
      </c>
    </row>
    <row r="405" spans="2:47" x14ac:dyDescent="0.35">
      <c r="B405" t="str">
        <f t="shared" si="273"/>
        <v/>
      </c>
      <c r="C405" t="str">
        <f t="shared" si="273"/>
        <v/>
      </c>
      <c r="D405" t="str">
        <f t="shared" si="273"/>
        <v/>
      </c>
      <c r="E405" t="str">
        <f t="shared" si="273"/>
        <v/>
      </c>
      <c r="F405" t="str">
        <f t="shared" si="273"/>
        <v/>
      </c>
      <c r="G405" t="str">
        <f t="shared" si="273"/>
        <v/>
      </c>
      <c r="H405" t="str">
        <f t="shared" si="274"/>
        <v/>
      </c>
      <c r="J405" t="str">
        <f>IF($H405="","",IF(VLOOKUP($B$395,ExpItems[],2,0),$B$395&amp;" - "&amp;INDEX(DivisionMapping[category_code],MATCH($D405&amp;$C405,DivisionMapping[dept_bu],0)),$B$395))</f>
        <v/>
      </c>
      <c r="K405" t="str">
        <f t="shared" si="275"/>
        <v/>
      </c>
      <c r="L405" s="652">
        <f>IF($B405="",,IF(LEFT($H405,5)="dummy",SUMIFS(AvgBase[Month 1],AvgBase[job_title],$H405),SUMIFS(AvgBase[Month 1],AvgBase[exp_item],$J405,AvgBase[company_name],$B405,AvgBase[bu_name],$C405,AvgBase[dept_name],$D405,AvgBase[team_consolidation],$K405,AvgBase[location_name],$G405,AvgBase[job_title],$H405))*L195/2*(1-L300))</f>
        <v>0</v>
      </c>
      <c r="M405" s="652">
        <f>IF($B405="",,IF(LEFT($H405,5)="dummy",SUMIFS(AvgBase[Month 2],AvgBase[job_title],$H405),SUMIFS(AvgBase[Month 2],AvgBase[exp_item],$J405,AvgBase[company_name],$B405,AvgBase[bu_name],$C405,AvgBase[dept_name],$D405,AvgBase[team_consolidation],$K405,AvgBase[location_name],$G405,AvgBase[job_title],$H405))*(M195+L195)/2*(1-M300))</f>
        <v>0</v>
      </c>
      <c r="N405" s="652">
        <f>IF($B405="",,IF(LEFT($H405,5)="dummy",SUMIFS(AvgBase[Month 3],AvgBase[job_title],$H405),SUMIFS(AvgBase[Month 3],AvgBase[exp_item],$J405,AvgBase[company_name],$B405,AvgBase[bu_name],$C405,AvgBase[dept_name],$D405,AvgBase[team_consolidation],$K405,AvgBase[location_name],$G405,AvgBase[job_title],$H405))*(N195+M195)/2*(1-N300))</f>
        <v>0</v>
      </c>
      <c r="O405" s="652">
        <f>IF($B405="",,IF(LEFT($H405,5)="dummy",SUMIFS(AvgBase[Month 4],AvgBase[job_title],$H405),SUMIFS(AvgBase[Month 4],AvgBase[exp_item],$J405,AvgBase[company_name],$B405,AvgBase[bu_name],$C405,AvgBase[dept_name],$D405,AvgBase[team_consolidation],$K405,AvgBase[location_name],$G405,AvgBase[job_title],$H405))*(O195+N195)/2*(1-O300))</f>
        <v>0</v>
      </c>
      <c r="P405" s="652">
        <f>IF($B405="",,IF(LEFT($H405,5)="dummy",SUMIFS(AvgBase[Month 5],AvgBase[job_title],$H405),SUMIFS(AvgBase[Month 5],AvgBase[exp_item],$J405,AvgBase[company_name],$B405,AvgBase[bu_name],$C405,AvgBase[dept_name],$D405,AvgBase[team_consolidation],$K405,AvgBase[location_name],$G405,AvgBase[job_title],$H405))*(P195+O195)/2*(1-P300))</f>
        <v>0</v>
      </c>
      <c r="Q405" s="652">
        <f>IF($B405="",,IF(LEFT($H405,5)="dummy",SUMIFS(AvgBase[Month 6],AvgBase[job_title],$H405),SUMIFS(AvgBase[Month 6],AvgBase[exp_item],$J405,AvgBase[company_name],$B405,AvgBase[bu_name],$C405,AvgBase[dept_name],$D405,AvgBase[team_consolidation],$K405,AvgBase[location_name],$G405,AvgBase[job_title],$H405))*(Q195+P195)/2*(1-Q300))</f>
        <v>0</v>
      </c>
      <c r="R405" s="652">
        <f>IF($B405="",,IF(LEFT($H405,5)="dummy",SUMIFS(AvgBase[Month 7],AvgBase[job_title],$H405),SUMIFS(AvgBase[Month 7],AvgBase[exp_item],$J405,AvgBase[company_name],$B405,AvgBase[bu_name],$C405,AvgBase[dept_name],$D405,AvgBase[team_consolidation],$K405,AvgBase[location_name],$G405,AvgBase[job_title],$H405))*(R195+Q195)/2*(1-R300))</f>
        <v>0</v>
      </c>
      <c r="S405" s="652">
        <f>IF($B405="",,IF(LEFT($H405,5)="dummy",SUMIFS(AvgBase[Month 8],AvgBase[job_title],$H405),SUMIFS(AvgBase[Month 8],AvgBase[exp_item],$J405,AvgBase[company_name],$B405,AvgBase[bu_name],$C405,AvgBase[dept_name],$D405,AvgBase[team_consolidation],$K405,AvgBase[location_name],$G405,AvgBase[job_title],$H405))*(S195+R195)/2*(1-S300))</f>
        <v>0</v>
      </c>
      <c r="T405" s="652">
        <f>IF($B405="",,IF(LEFT($H405,5)="dummy",SUMIFS(AvgBase[Month 9],AvgBase[job_title],$H405),SUMIFS(AvgBase[Month 9],AvgBase[exp_item],$J405,AvgBase[company_name],$B405,AvgBase[bu_name],$C405,AvgBase[dept_name],$D405,AvgBase[team_consolidation],$K405,AvgBase[location_name],$G405,AvgBase[job_title],$H405))*(T195+S195)/2*(1-T300))</f>
        <v>0</v>
      </c>
      <c r="U405" s="652">
        <f>IF($B405="",,IF(LEFT($H405,5)="dummy",SUMIFS(AvgBase[Month 10],AvgBase[job_title],$H405),SUMIFS(AvgBase[Month 10],AvgBase[exp_item],$J405,AvgBase[company_name],$B405,AvgBase[bu_name],$C405,AvgBase[dept_name],$D405,AvgBase[team_consolidation],$K405,AvgBase[location_name],$G405,AvgBase[job_title],$H405))*(U195+T195)/2*(1-U300))</f>
        <v>0</v>
      </c>
      <c r="V405" s="652">
        <f>IF($B405="",,IF(LEFT($H405,5)="dummy",SUMIFS(AvgBase[Month 11],AvgBase[job_title],$H405),SUMIFS(AvgBase[Month 11],AvgBase[exp_item],$J405,AvgBase[company_name],$B405,AvgBase[bu_name],$C405,AvgBase[dept_name],$D405,AvgBase[team_consolidation],$K405,AvgBase[location_name],$G405,AvgBase[job_title],$H405))*(V195+U195)/2*(1-V300))</f>
        <v>0</v>
      </c>
      <c r="W405" s="652">
        <f>IF($B405="",,IF(LEFT($H405,5)="dummy",SUMIFS(AvgBase[Month 12],AvgBase[job_title],$H405),SUMIFS(AvgBase[Month 12],AvgBase[exp_item],$J405,AvgBase[company_name],$B405,AvgBase[bu_name],$C405,AvgBase[dept_name],$D405,AvgBase[team_consolidation],$K405,AvgBase[location_name],$G405,AvgBase[job_title],$H405))*(W195+V195)/2*(1-W300))</f>
        <v>0</v>
      </c>
      <c r="X405" s="652">
        <f>IF($B405="",,IF(LEFT($H405,5)="dummy",SUMIFS(AvgBase[Month 13],AvgBase[job_title],$H405),SUMIFS(AvgBase[Month 13],AvgBase[exp_item],$J405,AvgBase[company_name],$B405,AvgBase[bu_name],$C405,AvgBase[dept_name],$D405,AvgBase[team_consolidation],$K405,AvgBase[location_name],$G405,AvgBase[job_title],$H405))*(X195+W195)/2*(1-X300))</f>
        <v>0</v>
      </c>
      <c r="Y405" s="652">
        <f>IF($B405="",,IF(LEFT($H405,5)="dummy",SUMIFS(AvgBase[Month 14],AvgBase[job_title],$H405),SUMIFS(AvgBase[Month 14],AvgBase[exp_item],$J405,AvgBase[company_name],$B405,AvgBase[bu_name],$C405,AvgBase[dept_name],$D405,AvgBase[team_consolidation],$K405,AvgBase[location_name],$G405,AvgBase[job_title],$H405))*(Y195+X195)/2*(1-Y300))</f>
        <v>0</v>
      </c>
      <c r="Z405" s="652">
        <f>IF($B405="",,IF(LEFT($H405,5)="dummy",SUMIFS(AvgBase[Month 15],AvgBase[job_title],$H405),SUMIFS(AvgBase[Month 15],AvgBase[exp_item],$J405,AvgBase[company_name],$B405,AvgBase[bu_name],$C405,AvgBase[dept_name],$D405,AvgBase[team_consolidation],$K405,AvgBase[location_name],$G405,AvgBase[job_title],$H405))*(Z195+Y195)/2*(1-Z300))</f>
        <v>0</v>
      </c>
      <c r="AA405" s="652">
        <f>IF($B405="",,IF(LEFT($H405,5)="dummy",SUMIFS(AvgBase[Month 16],AvgBase[job_title],$H405),SUMIFS(AvgBase[Month 16],AvgBase[exp_item],$J405,AvgBase[company_name],$B405,AvgBase[bu_name],$C405,AvgBase[dept_name],$D405,AvgBase[team_consolidation],$K405,AvgBase[location_name],$G405,AvgBase[job_title],$H405))*(AA195+Z195)/2*(1-AA300))</f>
        <v>0</v>
      </c>
      <c r="AB405" s="652">
        <f>IF($B405="",,IF(LEFT($H405,5)="dummy",SUMIFS(AvgBase[Month 17],AvgBase[job_title],$H405),SUMIFS(AvgBase[Month 17],AvgBase[exp_item],$J405,AvgBase[company_name],$B405,AvgBase[bu_name],$C405,AvgBase[dept_name],$D405,AvgBase[team_consolidation],$K405,AvgBase[location_name],$G405,AvgBase[job_title],$H405))*(AB195+AA195)/2*(1-AB300))</f>
        <v>0</v>
      </c>
      <c r="AC405" s="652">
        <f>IF($B405="",,IF(LEFT($H405,5)="dummy",SUMIFS(AvgBase[Month 18],AvgBase[job_title],$H405),SUMIFS(AvgBase[Month 18],AvgBase[exp_item],$J405,AvgBase[company_name],$B405,AvgBase[bu_name],$C405,AvgBase[dept_name],$D405,AvgBase[team_consolidation],$K405,AvgBase[location_name],$G405,AvgBase[job_title],$H405))*(AC195+AB195)/2*(1-AC300))</f>
        <v>0</v>
      </c>
      <c r="AD405" s="652">
        <f>IF($B405="",,IF(LEFT($H405,5)="dummy",SUMIFS(AvgBase[Month 19],AvgBase[job_title],$H405),SUMIFS(AvgBase[Month 19],AvgBase[exp_item],$J405,AvgBase[company_name],$B405,AvgBase[bu_name],$C405,AvgBase[dept_name],$D405,AvgBase[team_consolidation],$K405,AvgBase[location_name],$G405,AvgBase[job_title],$H405))*(AD195+AC195)/2*(1-AD300))</f>
        <v>0</v>
      </c>
      <c r="AE405" s="652">
        <f>IF($B405="",,IF(LEFT($H405,5)="dummy",SUMIFS(AvgBase[Month 20],AvgBase[job_title],$H405),SUMIFS(AvgBase[Month 20],AvgBase[exp_item],$J405,AvgBase[company_name],$B405,AvgBase[bu_name],$C405,AvgBase[dept_name],$D405,AvgBase[team_consolidation],$K405,AvgBase[location_name],$G405,AvgBase[job_title],$H405))*(AE195+AD195)/2*(1-AE300))</f>
        <v>0</v>
      </c>
      <c r="AF405" s="652">
        <f>IF($B405="",,IF(LEFT($H405,5)="dummy",SUMIFS(AvgBase[Month 21],AvgBase[job_title],$H405),SUMIFS(AvgBase[Month 21],AvgBase[exp_item],$J405,AvgBase[company_name],$B405,AvgBase[bu_name],$C405,AvgBase[dept_name],$D405,AvgBase[team_consolidation],$K405,AvgBase[location_name],$G405,AvgBase[job_title],$H405))*(AF195+AE195)/2*(1-AF300))</f>
        <v>0</v>
      </c>
      <c r="AG405" s="652">
        <f>IF($B405="",,IF(LEFT($H405,5)="dummy",SUMIFS(AvgBase[Month 22],AvgBase[job_title],$H405),SUMIFS(AvgBase[Month 22],AvgBase[exp_item],$J405,AvgBase[company_name],$B405,AvgBase[bu_name],$C405,AvgBase[dept_name],$D405,AvgBase[team_consolidation],$K405,AvgBase[location_name],$G405,AvgBase[job_title],$H405))*(AG195+AF195)/2*(1-AG300))</f>
        <v>0</v>
      </c>
      <c r="AH405" s="652">
        <f>IF($B405="",,IF(LEFT($H405,5)="dummy",SUMIFS(AvgBase[Month 23],AvgBase[job_title],$H405),SUMIFS(AvgBase[Month 23],AvgBase[exp_item],$J405,AvgBase[company_name],$B405,AvgBase[bu_name],$C405,AvgBase[dept_name],$D405,AvgBase[team_consolidation],$K405,AvgBase[location_name],$G405,AvgBase[job_title],$H405))*(AH195+AG195)/2*(1-AH300))</f>
        <v>0</v>
      </c>
      <c r="AI405" s="652">
        <f>IF($B405="",,IF(LEFT($H405,5)="dummy",SUMIFS(AvgBase[Month 24],AvgBase[job_title],$H405),SUMIFS(AvgBase[Month 24],AvgBase[exp_item],$J405,AvgBase[company_name],$B405,AvgBase[bu_name],$C405,AvgBase[dept_name],$D405,AvgBase[team_consolidation],$K405,AvgBase[location_name],$G405,AvgBase[job_title],$H405))*(AI195+AH195)/2*(1-AI300))</f>
        <v>0</v>
      </c>
      <c r="AJ405" s="652">
        <f>IF($B405="",,IF(LEFT($H405,5)="dummy",SUMIFS(AvgBase[Month 25],AvgBase[job_title],$H405),SUMIFS(AvgBase[Month 25],AvgBase[exp_item],$J405,AvgBase[company_name],$B405,AvgBase[bu_name],$C405,AvgBase[dept_name],$D405,AvgBase[team_consolidation],$K405,AvgBase[location_name],$G405,AvgBase[job_title],$H405))*(AJ195+AI195)/2*(1-AJ300))</f>
        <v>0</v>
      </c>
      <c r="AK405" s="652">
        <f>IF($B405="",,IF(LEFT($H405,5)="dummy",SUMIFS(AvgBase[Month 26],AvgBase[job_title],$H405),SUMIFS(AvgBase[Month 26],AvgBase[exp_item],$J405,AvgBase[company_name],$B405,AvgBase[bu_name],$C405,AvgBase[dept_name],$D405,AvgBase[team_consolidation],$K405,AvgBase[location_name],$G405,AvgBase[job_title],$H405))*(AK195+AJ195)/2*(1-AK300))</f>
        <v>0</v>
      </c>
      <c r="AL405" s="652">
        <f>IF($B405="",,IF(LEFT($H405,5)="dummy",SUMIFS(AvgBase[Month 27],AvgBase[job_title],$H405),SUMIFS(AvgBase[Month 27],AvgBase[exp_item],$J405,AvgBase[company_name],$B405,AvgBase[bu_name],$C405,AvgBase[dept_name],$D405,AvgBase[team_consolidation],$K405,AvgBase[location_name],$G405,AvgBase[job_title],$H405))*(AL195+AK195)/2*(1-AL300))</f>
        <v>0</v>
      </c>
      <c r="AM405" s="652">
        <f>IF($B405="",,IF(LEFT($H405,5)="dummy",SUMIFS(AvgBase[Month 28],AvgBase[job_title],$H405),SUMIFS(AvgBase[Month 28],AvgBase[exp_item],$J405,AvgBase[company_name],$B405,AvgBase[bu_name],$C405,AvgBase[dept_name],$D405,AvgBase[team_consolidation],$K405,AvgBase[location_name],$G405,AvgBase[job_title],$H405))*(AM195+AL195)/2*(1-AM300))</f>
        <v>0</v>
      </c>
      <c r="AN405" s="652">
        <f>IF($B405="",,IF(LEFT($H405,5)="dummy",SUMIFS(AvgBase[Month 29],AvgBase[job_title],$H405),SUMIFS(AvgBase[Month 29],AvgBase[exp_item],$J405,AvgBase[company_name],$B405,AvgBase[bu_name],$C405,AvgBase[dept_name],$D405,AvgBase[team_consolidation],$K405,AvgBase[location_name],$G405,AvgBase[job_title],$H405))*(AN195+AM195)/2*(1-AN300))</f>
        <v>0</v>
      </c>
      <c r="AO405" s="652">
        <f>IF($B405="",,IF(LEFT($H405,5)="dummy",SUMIFS(AvgBase[Month 30],AvgBase[job_title],$H405),SUMIFS(AvgBase[Month 30],AvgBase[exp_item],$J405,AvgBase[company_name],$B405,AvgBase[bu_name],$C405,AvgBase[dept_name],$D405,AvgBase[team_consolidation],$K405,AvgBase[location_name],$G405,AvgBase[job_title],$H405))*(AO195+AN195)/2*(1-AO300))</f>
        <v>0</v>
      </c>
      <c r="AP405" s="652">
        <f>IF($B405="",,IF(LEFT($H405,5)="dummy",SUMIFS(AvgBase[Month 31],AvgBase[job_title],$H405),SUMIFS(AvgBase[Month 31],AvgBase[exp_item],$J405,AvgBase[company_name],$B405,AvgBase[bu_name],$C405,AvgBase[dept_name],$D405,AvgBase[team_consolidation],$K405,AvgBase[location_name],$G405,AvgBase[job_title],$H405))*(AP195+AO195)/2*(1-AP300))</f>
        <v>0</v>
      </c>
      <c r="AQ405" s="652">
        <f>IF($B405="",,IF(LEFT($H405,5)="dummy",SUMIFS(AvgBase[Month 32],AvgBase[job_title],$H405),SUMIFS(AvgBase[Month 32],AvgBase[exp_item],$J405,AvgBase[company_name],$B405,AvgBase[bu_name],$C405,AvgBase[dept_name],$D405,AvgBase[team_consolidation],$K405,AvgBase[location_name],$G405,AvgBase[job_title],$H405))*(AQ195+AP195)/2*(1-AQ300))</f>
        <v>0</v>
      </c>
      <c r="AR405" s="652">
        <f>IF($B405="",,IF(LEFT($H405,5)="dummy",SUMIFS(AvgBase[Month 33],AvgBase[job_title],$H405),SUMIFS(AvgBase[Month 33],AvgBase[exp_item],$J405,AvgBase[company_name],$B405,AvgBase[bu_name],$C405,AvgBase[dept_name],$D405,AvgBase[team_consolidation],$K405,AvgBase[location_name],$G405,AvgBase[job_title],$H405))*(AR195+AQ195)/2*(1-AR300))</f>
        <v>0</v>
      </c>
      <c r="AS405" s="652">
        <f>IF($B405="",,IF(LEFT($H405,5)="dummy",SUMIFS(AvgBase[Month 34],AvgBase[job_title],$H405),SUMIFS(AvgBase[Month 34],AvgBase[exp_item],$J405,AvgBase[company_name],$B405,AvgBase[bu_name],$C405,AvgBase[dept_name],$D405,AvgBase[team_consolidation],$K405,AvgBase[location_name],$G405,AvgBase[job_title],$H405))*(AS195+AR195)/2*(1-AS300))</f>
        <v>0</v>
      </c>
      <c r="AT405" s="652">
        <f>IF($B405="",,IF(LEFT($H405,5)="dummy",SUMIFS(AvgBase[Month 35],AvgBase[job_title],$H405),SUMIFS(AvgBase[Month 35],AvgBase[exp_item],$J405,AvgBase[company_name],$B405,AvgBase[bu_name],$C405,AvgBase[dept_name],$D405,AvgBase[team_consolidation],$K405,AvgBase[location_name],$G405,AvgBase[job_title],$H405))*(AT195+AS195)/2*(1-AT300))</f>
        <v>0</v>
      </c>
      <c r="AU405" s="652">
        <f>IF($B405="",,IF(LEFT($H405,5)="dummy",SUMIFS(AvgBase[Month 36],AvgBase[job_title],$H405),SUMIFS(AvgBase[Month 36],AvgBase[exp_item],$J405,AvgBase[company_name],$B405,AvgBase[bu_name],$C405,AvgBase[dept_name],$D405,AvgBase[team_consolidation],$K405,AvgBase[location_name],$G405,AvgBase[job_title],$H405))*(AU195+AT195)/2*(1-AU300))</f>
        <v>0</v>
      </c>
    </row>
    <row r="406" spans="2:47" x14ac:dyDescent="0.35">
      <c r="B406" t="str">
        <f t="shared" ref="B406:G415" si="276">IF(B301="","",B301)</f>
        <v/>
      </c>
      <c r="C406" t="str">
        <f t="shared" si="276"/>
        <v/>
      </c>
      <c r="D406" t="str">
        <f t="shared" si="276"/>
        <v/>
      </c>
      <c r="E406" t="str">
        <f t="shared" si="276"/>
        <v/>
      </c>
      <c r="F406" t="str">
        <f t="shared" si="276"/>
        <v/>
      </c>
      <c r="G406" t="str">
        <f t="shared" si="276"/>
        <v/>
      </c>
      <c r="H406" t="str">
        <f t="shared" si="274"/>
        <v/>
      </c>
      <c r="J406" t="str">
        <f>IF($H406="","",IF(VLOOKUP($B$395,ExpItems[],2,0),$B$395&amp;" - "&amp;INDEX(DivisionMapping[category_code],MATCH($D406&amp;$C406,DivisionMapping[dept_bu],0)),$B$395))</f>
        <v/>
      </c>
      <c r="K406" t="str">
        <f t="shared" si="275"/>
        <v/>
      </c>
      <c r="L406" s="652">
        <f>IF($B406="",,IF(LEFT($H406,5)="dummy",SUMIFS(AvgBase[Month 1],AvgBase[job_title],$H406),SUMIFS(AvgBase[Month 1],AvgBase[exp_item],$J406,AvgBase[company_name],$B406,AvgBase[bu_name],$C406,AvgBase[dept_name],$D406,AvgBase[team_consolidation],$K406,AvgBase[location_name],$G406,AvgBase[job_title],$H406))*L196/2*(1-L301))</f>
        <v>0</v>
      </c>
      <c r="M406" s="652">
        <f>IF($B406="",,IF(LEFT($H406,5)="dummy",SUMIFS(AvgBase[Month 2],AvgBase[job_title],$H406),SUMIFS(AvgBase[Month 2],AvgBase[exp_item],$J406,AvgBase[company_name],$B406,AvgBase[bu_name],$C406,AvgBase[dept_name],$D406,AvgBase[team_consolidation],$K406,AvgBase[location_name],$G406,AvgBase[job_title],$H406))*(M196+L196)/2*(1-M301))</f>
        <v>0</v>
      </c>
      <c r="N406" s="652">
        <f>IF($B406="",,IF(LEFT($H406,5)="dummy",SUMIFS(AvgBase[Month 3],AvgBase[job_title],$H406),SUMIFS(AvgBase[Month 3],AvgBase[exp_item],$J406,AvgBase[company_name],$B406,AvgBase[bu_name],$C406,AvgBase[dept_name],$D406,AvgBase[team_consolidation],$K406,AvgBase[location_name],$G406,AvgBase[job_title],$H406))*(N196+M196)/2*(1-N301))</f>
        <v>0</v>
      </c>
      <c r="O406" s="652">
        <f>IF($B406="",,IF(LEFT($H406,5)="dummy",SUMIFS(AvgBase[Month 4],AvgBase[job_title],$H406),SUMIFS(AvgBase[Month 4],AvgBase[exp_item],$J406,AvgBase[company_name],$B406,AvgBase[bu_name],$C406,AvgBase[dept_name],$D406,AvgBase[team_consolidation],$K406,AvgBase[location_name],$G406,AvgBase[job_title],$H406))*(O196+N196)/2*(1-O301))</f>
        <v>0</v>
      </c>
      <c r="P406" s="652">
        <f>IF($B406="",,IF(LEFT($H406,5)="dummy",SUMIFS(AvgBase[Month 5],AvgBase[job_title],$H406),SUMIFS(AvgBase[Month 5],AvgBase[exp_item],$J406,AvgBase[company_name],$B406,AvgBase[bu_name],$C406,AvgBase[dept_name],$D406,AvgBase[team_consolidation],$K406,AvgBase[location_name],$G406,AvgBase[job_title],$H406))*(P196+O196)/2*(1-P301))</f>
        <v>0</v>
      </c>
      <c r="Q406" s="652">
        <f>IF($B406="",,IF(LEFT($H406,5)="dummy",SUMIFS(AvgBase[Month 6],AvgBase[job_title],$H406),SUMIFS(AvgBase[Month 6],AvgBase[exp_item],$J406,AvgBase[company_name],$B406,AvgBase[bu_name],$C406,AvgBase[dept_name],$D406,AvgBase[team_consolidation],$K406,AvgBase[location_name],$G406,AvgBase[job_title],$H406))*(Q196+P196)/2*(1-Q301))</f>
        <v>0</v>
      </c>
      <c r="R406" s="652">
        <f>IF($B406="",,IF(LEFT($H406,5)="dummy",SUMIFS(AvgBase[Month 7],AvgBase[job_title],$H406),SUMIFS(AvgBase[Month 7],AvgBase[exp_item],$J406,AvgBase[company_name],$B406,AvgBase[bu_name],$C406,AvgBase[dept_name],$D406,AvgBase[team_consolidation],$K406,AvgBase[location_name],$G406,AvgBase[job_title],$H406))*(R196+Q196)/2*(1-R301))</f>
        <v>0</v>
      </c>
      <c r="S406" s="652">
        <f>IF($B406="",,IF(LEFT($H406,5)="dummy",SUMIFS(AvgBase[Month 8],AvgBase[job_title],$H406),SUMIFS(AvgBase[Month 8],AvgBase[exp_item],$J406,AvgBase[company_name],$B406,AvgBase[bu_name],$C406,AvgBase[dept_name],$D406,AvgBase[team_consolidation],$K406,AvgBase[location_name],$G406,AvgBase[job_title],$H406))*(S196+R196)/2*(1-S301))</f>
        <v>0</v>
      </c>
      <c r="T406" s="652">
        <f>IF($B406="",,IF(LEFT($H406,5)="dummy",SUMIFS(AvgBase[Month 9],AvgBase[job_title],$H406),SUMIFS(AvgBase[Month 9],AvgBase[exp_item],$J406,AvgBase[company_name],$B406,AvgBase[bu_name],$C406,AvgBase[dept_name],$D406,AvgBase[team_consolidation],$K406,AvgBase[location_name],$G406,AvgBase[job_title],$H406))*(T196+S196)/2*(1-T301))</f>
        <v>0</v>
      </c>
      <c r="U406" s="652">
        <f>IF($B406="",,IF(LEFT($H406,5)="dummy",SUMIFS(AvgBase[Month 10],AvgBase[job_title],$H406),SUMIFS(AvgBase[Month 10],AvgBase[exp_item],$J406,AvgBase[company_name],$B406,AvgBase[bu_name],$C406,AvgBase[dept_name],$D406,AvgBase[team_consolidation],$K406,AvgBase[location_name],$G406,AvgBase[job_title],$H406))*(U196+T196)/2*(1-U301))</f>
        <v>0</v>
      </c>
      <c r="V406" s="652">
        <f>IF($B406="",,IF(LEFT($H406,5)="dummy",SUMIFS(AvgBase[Month 11],AvgBase[job_title],$H406),SUMIFS(AvgBase[Month 11],AvgBase[exp_item],$J406,AvgBase[company_name],$B406,AvgBase[bu_name],$C406,AvgBase[dept_name],$D406,AvgBase[team_consolidation],$K406,AvgBase[location_name],$G406,AvgBase[job_title],$H406))*(V196+U196)/2*(1-V301))</f>
        <v>0</v>
      </c>
      <c r="W406" s="652">
        <f>IF($B406="",,IF(LEFT($H406,5)="dummy",SUMIFS(AvgBase[Month 12],AvgBase[job_title],$H406),SUMIFS(AvgBase[Month 12],AvgBase[exp_item],$J406,AvgBase[company_name],$B406,AvgBase[bu_name],$C406,AvgBase[dept_name],$D406,AvgBase[team_consolidation],$K406,AvgBase[location_name],$G406,AvgBase[job_title],$H406))*(W196+V196)/2*(1-W301))</f>
        <v>0</v>
      </c>
      <c r="X406" s="652">
        <f>IF($B406="",,IF(LEFT($H406,5)="dummy",SUMIFS(AvgBase[Month 13],AvgBase[job_title],$H406),SUMIFS(AvgBase[Month 13],AvgBase[exp_item],$J406,AvgBase[company_name],$B406,AvgBase[bu_name],$C406,AvgBase[dept_name],$D406,AvgBase[team_consolidation],$K406,AvgBase[location_name],$G406,AvgBase[job_title],$H406))*(X196+W196)/2*(1-X301))</f>
        <v>0</v>
      </c>
      <c r="Y406" s="652">
        <f>IF($B406="",,IF(LEFT($H406,5)="dummy",SUMIFS(AvgBase[Month 14],AvgBase[job_title],$H406),SUMIFS(AvgBase[Month 14],AvgBase[exp_item],$J406,AvgBase[company_name],$B406,AvgBase[bu_name],$C406,AvgBase[dept_name],$D406,AvgBase[team_consolidation],$K406,AvgBase[location_name],$G406,AvgBase[job_title],$H406))*(Y196+X196)/2*(1-Y301))</f>
        <v>0</v>
      </c>
      <c r="Z406" s="652">
        <f>IF($B406="",,IF(LEFT($H406,5)="dummy",SUMIFS(AvgBase[Month 15],AvgBase[job_title],$H406),SUMIFS(AvgBase[Month 15],AvgBase[exp_item],$J406,AvgBase[company_name],$B406,AvgBase[bu_name],$C406,AvgBase[dept_name],$D406,AvgBase[team_consolidation],$K406,AvgBase[location_name],$G406,AvgBase[job_title],$H406))*(Z196+Y196)/2*(1-Z301))</f>
        <v>0</v>
      </c>
      <c r="AA406" s="652">
        <f>IF($B406="",,IF(LEFT($H406,5)="dummy",SUMIFS(AvgBase[Month 16],AvgBase[job_title],$H406),SUMIFS(AvgBase[Month 16],AvgBase[exp_item],$J406,AvgBase[company_name],$B406,AvgBase[bu_name],$C406,AvgBase[dept_name],$D406,AvgBase[team_consolidation],$K406,AvgBase[location_name],$G406,AvgBase[job_title],$H406))*(AA196+Z196)/2*(1-AA301))</f>
        <v>0</v>
      </c>
      <c r="AB406" s="652">
        <f>IF($B406="",,IF(LEFT($H406,5)="dummy",SUMIFS(AvgBase[Month 17],AvgBase[job_title],$H406),SUMIFS(AvgBase[Month 17],AvgBase[exp_item],$J406,AvgBase[company_name],$B406,AvgBase[bu_name],$C406,AvgBase[dept_name],$D406,AvgBase[team_consolidation],$K406,AvgBase[location_name],$G406,AvgBase[job_title],$H406))*(AB196+AA196)/2*(1-AB301))</f>
        <v>0</v>
      </c>
      <c r="AC406" s="652">
        <f>IF($B406="",,IF(LEFT($H406,5)="dummy",SUMIFS(AvgBase[Month 18],AvgBase[job_title],$H406),SUMIFS(AvgBase[Month 18],AvgBase[exp_item],$J406,AvgBase[company_name],$B406,AvgBase[bu_name],$C406,AvgBase[dept_name],$D406,AvgBase[team_consolidation],$K406,AvgBase[location_name],$G406,AvgBase[job_title],$H406))*(AC196+AB196)/2*(1-AC301))</f>
        <v>0</v>
      </c>
      <c r="AD406" s="652">
        <f>IF($B406="",,IF(LEFT($H406,5)="dummy",SUMIFS(AvgBase[Month 19],AvgBase[job_title],$H406),SUMIFS(AvgBase[Month 19],AvgBase[exp_item],$J406,AvgBase[company_name],$B406,AvgBase[bu_name],$C406,AvgBase[dept_name],$D406,AvgBase[team_consolidation],$K406,AvgBase[location_name],$G406,AvgBase[job_title],$H406))*(AD196+AC196)/2*(1-AD301))</f>
        <v>0</v>
      </c>
      <c r="AE406" s="652">
        <f>IF($B406="",,IF(LEFT($H406,5)="dummy",SUMIFS(AvgBase[Month 20],AvgBase[job_title],$H406),SUMIFS(AvgBase[Month 20],AvgBase[exp_item],$J406,AvgBase[company_name],$B406,AvgBase[bu_name],$C406,AvgBase[dept_name],$D406,AvgBase[team_consolidation],$K406,AvgBase[location_name],$G406,AvgBase[job_title],$H406))*(AE196+AD196)/2*(1-AE301))</f>
        <v>0</v>
      </c>
      <c r="AF406" s="652">
        <f>IF($B406="",,IF(LEFT($H406,5)="dummy",SUMIFS(AvgBase[Month 21],AvgBase[job_title],$H406),SUMIFS(AvgBase[Month 21],AvgBase[exp_item],$J406,AvgBase[company_name],$B406,AvgBase[bu_name],$C406,AvgBase[dept_name],$D406,AvgBase[team_consolidation],$K406,AvgBase[location_name],$G406,AvgBase[job_title],$H406))*(AF196+AE196)/2*(1-AF301))</f>
        <v>0</v>
      </c>
      <c r="AG406" s="652">
        <f>IF($B406="",,IF(LEFT($H406,5)="dummy",SUMIFS(AvgBase[Month 22],AvgBase[job_title],$H406),SUMIFS(AvgBase[Month 22],AvgBase[exp_item],$J406,AvgBase[company_name],$B406,AvgBase[bu_name],$C406,AvgBase[dept_name],$D406,AvgBase[team_consolidation],$K406,AvgBase[location_name],$G406,AvgBase[job_title],$H406))*(AG196+AF196)/2*(1-AG301))</f>
        <v>0</v>
      </c>
      <c r="AH406" s="652">
        <f>IF($B406="",,IF(LEFT($H406,5)="dummy",SUMIFS(AvgBase[Month 23],AvgBase[job_title],$H406),SUMIFS(AvgBase[Month 23],AvgBase[exp_item],$J406,AvgBase[company_name],$B406,AvgBase[bu_name],$C406,AvgBase[dept_name],$D406,AvgBase[team_consolidation],$K406,AvgBase[location_name],$G406,AvgBase[job_title],$H406))*(AH196+AG196)/2*(1-AH301))</f>
        <v>0</v>
      </c>
      <c r="AI406" s="652">
        <f>IF($B406="",,IF(LEFT($H406,5)="dummy",SUMIFS(AvgBase[Month 24],AvgBase[job_title],$H406),SUMIFS(AvgBase[Month 24],AvgBase[exp_item],$J406,AvgBase[company_name],$B406,AvgBase[bu_name],$C406,AvgBase[dept_name],$D406,AvgBase[team_consolidation],$K406,AvgBase[location_name],$G406,AvgBase[job_title],$H406))*(AI196+AH196)/2*(1-AI301))</f>
        <v>0</v>
      </c>
      <c r="AJ406" s="652">
        <f>IF($B406="",,IF(LEFT($H406,5)="dummy",SUMIFS(AvgBase[Month 25],AvgBase[job_title],$H406),SUMIFS(AvgBase[Month 25],AvgBase[exp_item],$J406,AvgBase[company_name],$B406,AvgBase[bu_name],$C406,AvgBase[dept_name],$D406,AvgBase[team_consolidation],$K406,AvgBase[location_name],$G406,AvgBase[job_title],$H406))*(AJ196+AI196)/2*(1-AJ301))</f>
        <v>0</v>
      </c>
      <c r="AK406" s="652">
        <f>IF($B406="",,IF(LEFT($H406,5)="dummy",SUMIFS(AvgBase[Month 26],AvgBase[job_title],$H406),SUMIFS(AvgBase[Month 26],AvgBase[exp_item],$J406,AvgBase[company_name],$B406,AvgBase[bu_name],$C406,AvgBase[dept_name],$D406,AvgBase[team_consolidation],$K406,AvgBase[location_name],$G406,AvgBase[job_title],$H406))*(AK196+AJ196)/2*(1-AK301))</f>
        <v>0</v>
      </c>
      <c r="AL406" s="652">
        <f>IF($B406="",,IF(LEFT($H406,5)="dummy",SUMIFS(AvgBase[Month 27],AvgBase[job_title],$H406),SUMIFS(AvgBase[Month 27],AvgBase[exp_item],$J406,AvgBase[company_name],$B406,AvgBase[bu_name],$C406,AvgBase[dept_name],$D406,AvgBase[team_consolidation],$K406,AvgBase[location_name],$G406,AvgBase[job_title],$H406))*(AL196+AK196)/2*(1-AL301))</f>
        <v>0</v>
      </c>
      <c r="AM406" s="652">
        <f>IF($B406="",,IF(LEFT($H406,5)="dummy",SUMIFS(AvgBase[Month 28],AvgBase[job_title],$H406),SUMIFS(AvgBase[Month 28],AvgBase[exp_item],$J406,AvgBase[company_name],$B406,AvgBase[bu_name],$C406,AvgBase[dept_name],$D406,AvgBase[team_consolidation],$K406,AvgBase[location_name],$G406,AvgBase[job_title],$H406))*(AM196+AL196)/2*(1-AM301))</f>
        <v>0</v>
      </c>
      <c r="AN406" s="652">
        <f>IF($B406="",,IF(LEFT($H406,5)="dummy",SUMIFS(AvgBase[Month 29],AvgBase[job_title],$H406),SUMIFS(AvgBase[Month 29],AvgBase[exp_item],$J406,AvgBase[company_name],$B406,AvgBase[bu_name],$C406,AvgBase[dept_name],$D406,AvgBase[team_consolidation],$K406,AvgBase[location_name],$G406,AvgBase[job_title],$H406))*(AN196+AM196)/2*(1-AN301))</f>
        <v>0</v>
      </c>
      <c r="AO406" s="652">
        <f>IF($B406="",,IF(LEFT($H406,5)="dummy",SUMIFS(AvgBase[Month 30],AvgBase[job_title],$H406),SUMIFS(AvgBase[Month 30],AvgBase[exp_item],$J406,AvgBase[company_name],$B406,AvgBase[bu_name],$C406,AvgBase[dept_name],$D406,AvgBase[team_consolidation],$K406,AvgBase[location_name],$G406,AvgBase[job_title],$H406))*(AO196+AN196)/2*(1-AO301))</f>
        <v>0</v>
      </c>
      <c r="AP406" s="652">
        <f>IF($B406="",,IF(LEFT($H406,5)="dummy",SUMIFS(AvgBase[Month 31],AvgBase[job_title],$H406),SUMIFS(AvgBase[Month 31],AvgBase[exp_item],$J406,AvgBase[company_name],$B406,AvgBase[bu_name],$C406,AvgBase[dept_name],$D406,AvgBase[team_consolidation],$K406,AvgBase[location_name],$G406,AvgBase[job_title],$H406))*(AP196+AO196)/2*(1-AP301))</f>
        <v>0</v>
      </c>
      <c r="AQ406" s="652">
        <f>IF($B406="",,IF(LEFT($H406,5)="dummy",SUMIFS(AvgBase[Month 32],AvgBase[job_title],$H406),SUMIFS(AvgBase[Month 32],AvgBase[exp_item],$J406,AvgBase[company_name],$B406,AvgBase[bu_name],$C406,AvgBase[dept_name],$D406,AvgBase[team_consolidation],$K406,AvgBase[location_name],$G406,AvgBase[job_title],$H406))*(AQ196+AP196)/2*(1-AQ301))</f>
        <v>0</v>
      </c>
      <c r="AR406" s="652">
        <f>IF($B406="",,IF(LEFT($H406,5)="dummy",SUMIFS(AvgBase[Month 33],AvgBase[job_title],$H406),SUMIFS(AvgBase[Month 33],AvgBase[exp_item],$J406,AvgBase[company_name],$B406,AvgBase[bu_name],$C406,AvgBase[dept_name],$D406,AvgBase[team_consolidation],$K406,AvgBase[location_name],$G406,AvgBase[job_title],$H406))*(AR196+AQ196)/2*(1-AR301))</f>
        <v>0</v>
      </c>
      <c r="AS406" s="652">
        <f>IF($B406="",,IF(LEFT($H406,5)="dummy",SUMIFS(AvgBase[Month 34],AvgBase[job_title],$H406),SUMIFS(AvgBase[Month 34],AvgBase[exp_item],$J406,AvgBase[company_name],$B406,AvgBase[bu_name],$C406,AvgBase[dept_name],$D406,AvgBase[team_consolidation],$K406,AvgBase[location_name],$G406,AvgBase[job_title],$H406))*(AS196+AR196)/2*(1-AS301))</f>
        <v>0</v>
      </c>
      <c r="AT406" s="652">
        <f>IF($B406="",,IF(LEFT($H406,5)="dummy",SUMIFS(AvgBase[Month 35],AvgBase[job_title],$H406),SUMIFS(AvgBase[Month 35],AvgBase[exp_item],$J406,AvgBase[company_name],$B406,AvgBase[bu_name],$C406,AvgBase[dept_name],$D406,AvgBase[team_consolidation],$K406,AvgBase[location_name],$G406,AvgBase[job_title],$H406))*(AT196+AS196)/2*(1-AT301))</f>
        <v>0</v>
      </c>
      <c r="AU406" s="652">
        <f>IF($B406="",,IF(LEFT($H406,5)="dummy",SUMIFS(AvgBase[Month 36],AvgBase[job_title],$H406),SUMIFS(AvgBase[Month 36],AvgBase[exp_item],$J406,AvgBase[company_name],$B406,AvgBase[bu_name],$C406,AvgBase[dept_name],$D406,AvgBase[team_consolidation],$K406,AvgBase[location_name],$G406,AvgBase[job_title],$H406))*(AU196+AT196)/2*(1-AU301))</f>
        <v>0</v>
      </c>
    </row>
    <row r="407" spans="2:47" x14ac:dyDescent="0.35">
      <c r="B407" t="str">
        <f t="shared" si="276"/>
        <v/>
      </c>
      <c r="C407" t="str">
        <f t="shared" si="276"/>
        <v/>
      </c>
      <c r="D407" t="str">
        <f t="shared" si="276"/>
        <v/>
      </c>
      <c r="E407" t="str">
        <f t="shared" si="276"/>
        <v/>
      </c>
      <c r="F407" t="str">
        <f t="shared" si="276"/>
        <v/>
      </c>
      <c r="G407" t="str">
        <f t="shared" si="276"/>
        <v/>
      </c>
      <c r="H407" t="str">
        <f t="shared" si="274"/>
        <v/>
      </c>
      <c r="J407" t="str">
        <f>IF($H407="","",IF(VLOOKUP($B$395,ExpItems[],2,0),$B$395&amp;" - "&amp;INDEX(DivisionMapping[category_code],MATCH($D407&amp;$C407,DivisionMapping[dept_bu],0)),$B$395))</f>
        <v/>
      </c>
      <c r="K407" t="str">
        <f t="shared" si="275"/>
        <v/>
      </c>
      <c r="L407" s="652">
        <f>IF($B407="",,IF(LEFT($H407,5)="dummy",SUMIFS(AvgBase[Month 1],AvgBase[job_title],$H407),SUMIFS(AvgBase[Month 1],AvgBase[exp_item],$J407,AvgBase[company_name],$B407,AvgBase[bu_name],$C407,AvgBase[dept_name],$D407,AvgBase[team_consolidation],$K407,AvgBase[location_name],$G407,AvgBase[job_title],$H407))*L197/2*(1-L302))</f>
        <v>0</v>
      </c>
      <c r="M407" s="652">
        <f>IF($B407="",,IF(LEFT($H407,5)="dummy",SUMIFS(AvgBase[Month 2],AvgBase[job_title],$H407),SUMIFS(AvgBase[Month 2],AvgBase[exp_item],$J407,AvgBase[company_name],$B407,AvgBase[bu_name],$C407,AvgBase[dept_name],$D407,AvgBase[team_consolidation],$K407,AvgBase[location_name],$G407,AvgBase[job_title],$H407))*(M197+L197)/2*(1-M302))</f>
        <v>0</v>
      </c>
      <c r="N407" s="652">
        <f>IF($B407="",,IF(LEFT($H407,5)="dummy",SUMIFS(AvgBase[Month 3],AvgBase[job_title],$H407),SUMIFS(AvgBase[Month 3],AvgBase[exp_item],$J407,AvgBase[company_name],$B407,AvgBase[bu_name],$C407,AvgBase[dept_name],$D407,AvgBase[team_consolidation],$K407,AvgBase[location_name],$G407,AvgBase[job_title],$H407))*(N197+M197)/2*(1-N302))</f>
        <v>0</v>
      </c>
      <c r="O407" s="652">
        <f>IF($B407="",,IF(LEFT($H407,5)="dummy",SUMIFS(AvgBase[Month 4],AvgBase[job_title],$H407),SUMIFS(AvgBase[Month 4],AvgBase[exp_item],$J407,AvgBase[company_name],$B407,AvgBase[bu_name],$C407,AvgBase[dept_name],$D407,AvgBase[team_consolidation],$K407,AvgBase[location_name],$G407,AvgBase[job_title],$H407))*(O197+N197)/2*(1-O302))</f>
        <v>0</v>
      </c>
      <c r="P407" s="652">
        <f>IF($B407="",,IF(LEFT($H407,5)="dummy",SUMIFS(AvgBase[Month 5],AvgBase[job_title],$H407),SUMIFS(AvgBase[Month 5],AvgBase[exp_item],$J407,AvgBase[company_name],$B407,AvgBase[bu_name],$C407,AvgBase[dept_name],$D407,AvgBase[team_consolidation],$K407,AvgBase[location_name],$G407,AvgBase[job_title],$H407))*(P197+O197)/2*(1-P302))</f>
        <v>0</v>
      </c>
      <c r="Q407" s="652">
        <f>IF($B407="",,IF(LEFT($H407,5)="dummy",SUMIFS(AvgBase[Month 6],AvgBase[job_title],$H407),SUMIFS(AvgBase[Month 6],AvgBase[exp_item],$J407,AvgBase[company_name],$B407,AvgBase[bu_name],$C407,AvgBase[dept_name],$D407,AvgBase[team_consolidation],$K407,AvgBase[location_name],$G407,AvgBase[job_title],$H407))*(Q197+P197)/2*(1-Q302))</f>
        <v>0</v>
      </c>
      <c r="R407" s="652">
        <f>IF($B407="",,IF(LEFT($H407,5)="dummy",SUMIFS(AvgBase[Month 7],AvgBase[job_title],$H407),SUMIFS(AvgBase[Month 7],AvgBase[exp_item],$J407,AvgBase[company_name],$B407,AvgBase[bu_name],$C407,AvgBase[dept_name],$D407,AvgBase[team_consolidation],$K407,AvgBase[location_name],$G407,AvgBase[job_title],$H407))*(R197+Q197)/2*(1-R302))</f>
        <v>0</v>
      </c>
      <c r="S407" s="652">
        <f>IF($B407="",,IF(LEFT($H407,5)="dummy",SUMIFS(AvgBase[Month 8],AvgBase[job_title],$H407),SUMIFS(AvgBase[Month 8],AvgBase[exp_item],$J407,AvgBase[company_name],$B407,AvgBase[bu_name],$C407,AvgBase[dept_name],$D407,AvgBase[team_consolidation],$K407,AvgBase[location_name],$G407,AvgBase[job_title],$H407))*(S197+R197)/2*(1-S302))</f>
        <v>0</v>
      </c>
      <c r="T407" s="652">
        <f>IF($B407="",,IF(LEFT($H407,5)="dummy",SUMIFS(AvgBase[Month 9],AvgBase[job_title],$H407),SUMIFS(AvgBase[Month 9],AvgBase[exp_item],$J407,AvgBase[company_name],$B407,AvgBase[bu_name],$C407,AvgBase[dept_name],$D407,AvgBase[team_consolidation],$K407,AvgBase[location_name],$G407,AvgBase[job_title],$H407))*(T197+S197)/2*(1-T302))</f>
        <v>0</v>
      </c>
      <c r="U407" s="652">
        <f>IF($B407="",,IF(LEFT($H407,5)="dummy",SUMIFS(AvgBase[Month 10],AvgBase[job_title],$H407),SUMIFS(AvgBase[Month 10],AvgBase[exp_item],$J407,AvgBase[company_name],$B407,AvgBase[bu_name],$C407,AvgBase[dept_name],$D407,AvgBase[team_consolidation],$K407,AvgBase[location_name],$G407,AvgBase[job_title],$H407))*(U197+T197)/2*(1-U302))</f>
        <v>0</v>
      </c>
      <c r="V407" s="652">
        <f>IF($B407="",,IF(LEFT($H407,5)="dummy",SUMIFS(AvgBase[Month 11],AvgBase[job_title],$H407),SUMIFS(AvgBase[Month 11],AvgBase[exp_item],$J407,AvgBase[company_name],$B407,AvgBase[bu_name],$C407,AvgBase[dept_name],$D407,AvgBase[team_consolidation],$K407,AvgBase[location_name],$G407,AvgBase[job_title],$H407))*(V197+U197)/2*(1-V302))</f>
        <v>0</v>
      </c>
      <c r="W407" s="652">
        <f>IF($B407="",,IF(LEFT($H407,5)="dummy",SUMIFS(AvgBase[Month 12],AvgBase[job_title],$H407),SUMIFS(AvgBase[Month 12],AvgBase[exp_item],$J407,AvgBase[company_name],$B407,AvgBase[bu_name],$C407,AvgBase[dept_name],$D407,AvgBase[team_consolidation],$K407,AvgBase[location_name],$G407,AvgBase[job_title],$H407))*(W197+V197)/2*(1-W302))</f>
        <v>0</v>
      </c>
      <c r="X407" s="652">
        <f>IF($B407="",,IF(LEFT($H407,5)="dummy",SUMIFS(AvgBase[Month 13],AvgBase[job_title],$H407),SUMIFS(AvgBase[Month 13],AvgBase[exp_item],$J407,AvgBase[company_name],$B407,AvgBase[bu_name],$C407,AvgBase[dept_name],$D407,AvgBase[team_consolidation],$K407,AvgBase[location_name],$G407,AvgBase[job_title],$H407))*(X197+W197)/2*(1-X302))</f>
        <v>0</v>
      </c>
      <c r="Y407" s="652">
        <f>IF($B407="",,IF(LEFT($H407,5)="dummy",SUMIFS(AvgBase[Month 14],AvgBase[job_title],$H407),SUMIFS(AvgBase[Month 14],AvgBase[exp_item],$J407,AvgBase[company_name],$B407,AvgBase[bu_name],$C407,AvgBase[dept_name],$D407,AvgBase[team_consolidation],$K407,AvgBase[location_name],$G407,AvgBase[job_title],$H407))*(Y197+X197)/2*(1-Y302))</f>
        <v>0</v>
      </c>
      <c r="Z407" s="652">
        <f>IF($B407="",,IF(LEFT($H407,5)="dummy",SUMIFS(AvgBase[Month 15],AvgBase[job_title],$H407),SUMIFS(AvgBase[Month 15],AvgBase[exp_item],$J407,AvgBase[company_name],$B407,AvgBase[bu_name],$C407,AvgBase[dept_name],$D407,AvgBase[team_consolidation],$K407,AvgBase[location_name],$G407,AvgBase[job_title],$H407))*(Z197+Y197)/2*(1-Z302))</f>
        <v>0</v>
      </c>
      <c r="AA407" s="652">
        <f>IF($B407="",,IF(LEFT($H407,5)="dummy",SUMIFS(AvgBase[Month 16],AvgBase[job_title],$H407),SUMIFS(AvgBase[Month 16],AvgBase[exp_item],$J407,AvgBase[company_name],$B407,AvgBase[bu_name],$C407,AvgBase[dept_name],$D407,AvgBase[team_consolidation],$K407,AvgBase[location_name],$G407,AvgBase[job_title],$H407))*(AA197+Z197)/2*(1-AA302))</f>
        <v>0</v>
      </c>
      <c r="AB407" s="652">
        <f>IF($B407="",,IF(LEFT($H407,5)="dummy",SUMIFS(AvgBase[Month 17],AvgBase[job_title],$H407),SUMIFS(AvgBase[Month 17],AvgBase[exp_item],$J407,AvgBase[company_name],$B407,AvgBase[bu_name],$C407,AvgBase[dept_name],$D407,AvgBase[team_consolidation],$K407,AvgBase[location_name],$G407,AvgBase[job_title],$H407))*(AB197+AA197)/2*(1-AB302))</f>
        <v>0</v>
      </c>
      <c r="AC407" s="652">
        <f>IF($B407="",,IF(LEFT($H407,5)="dummy",SUMIFS(AvgBase[Month 18],AvgBase[job_title],$H407),SUMIFS(AvgBase[Month 18],AvgBase[exp_item],$J407,AvgBase[company_name],$B407,AvgBase[bu_name],$C407,AvgBase[dept_name],$D407,AvgBase[team_consolidation],$K407,AvgBase[location_name],$G407,AvgBase[job_title],$H407))*(AC197+AB197)/2*(1-AC302))</f>
        <v>0</v>
      </c>
      <c r="AD407" s="652">
        <f>IF($B407="",,IF(LEFT($H407,5)="dummy",SUMIFS(AvgBase[Month 19],AvgBase[job_title],$H407),SUMIFS(AvgBase[Month 19],AvgBase[exp_item],$J407,AvgBase[company_name],$B407,AvgBase[bu_name],$C407,AvgBase[dept_name],$D407,AvgBase[team_consolidation],$K407,AvgBase[location_name],$G407,AvgBase[job_title],$H407))*(AD197+AC197)/2*(1-AD302))</f>
        <v>0</v>
      </c>
      <c r="AE407" s="652">
        <f>IF($B407="",,IF(LEFT($H407,5)="dummy",SUMIFS(AvgBase[Month 20],AvgBase[job_title],$H407),SUMIFS(AvgBase[Month 20],AvgBase[exp_item],$J407,AvgBase[company_name],$B407,AvgBase[bu_name],$C407,AvgBase[dept_name],$D407,AvgBase[team_consolidation],$K407,AvgBase[location_name],$G407,AvgBase[job_title],$H407))*(AE197+AD197)/2*(1-AE302))</f>
        <v>0</v>
      </c>
      <c r="AF407" s="652">
        <f>IF($B407="",,IF(LEFT($H407,5)="dummy",SUMIFS(AvgBase[Month 21],AvgBase[job_title],$H407),SUMIFS(AvgBase[Month 21],AvgBase[exp_item],$J407,AvgBase[company_name],$B407,AvgBase[bu_name],$C407,AvgBase[dept_name],$D407,AvgBase[team_consolidation],$K407,AvgBase[location_name],$G407,AvgBase[job_title],$H407))*(AF197+AE197)/2*(1-AF302))</f>
        <v>0</v>
      </c>
      <c r="AG407" s="652">
        <f>IF($B407="",,IF(LEFT($H407,5)="dummy",SUMIFS(AvgBase[Month 22],AvgBase[job_title],$H407),SUMIFS(AvgBase[Month 22],AvgBase[exp_item],$J407,AvgBase[company_name],$B407,AvgBase[bu_name],$C407,AvgBase[dept_name],$D407,AvgBase[team_consolidation],$K407,AvgBase[location_name],$G407,AvgBase[job_title],$H407))*(AG197+AF197)/2*(1-AG302))</f>
        <v>0</v>
      </c>
      <c r="AH407" s="652">
        <f>IF($B407="",,IF(LEFT($H407,5)="dummy",SUMIFS(AvgBase[Month 23],AvgBase[job_title],$H407),SUMIFS(AvgBase[Month 23],AvgBase[exp_item],$J407,AvgBase[company_name],$B407,AvgBase[bu_name],$C407,AvgBase[dept_name],$D407,AvgBase[team_consolidation],$K407,AvgBase[location_name],$G407,AvgBase[job_title],$H407))*(AH197+AG197)/2*(1-AH302))</f>
        <v>0</v>
      </c>
      <c r="AI407" s="652">
        <f>IF($B407="",,IF(LEFT($H407,5)="dummy",SUMIFS(AvgBase[Month 24],AvgBase[job_title],$H407),SUMIFS(AvgBase[Month 24],AvgBase[exp_item],$J407,AvgBase[company_name],$B407,AvgBase[bu_name],$C407,AvgBase[dept_name],$D407,AvgBase[team_consolidation],$K407,AvgBase[location_name],$G407,AvgBase[job_title],$H407))*(AI197+AH197)/2*(1-AI302))</f>
        <v>0</v>
      </c>
      <c r="AJ407" s="652">
        <f>IF($B407="",,IF(LEFT($H407,5)="dummy",SUMIFS(AvgBase[Month 25],AvgBase[job_title],$H407),SUMIFS(AvgBase[Month 25],AvgBase[exp_item],$J407,AvgBase[company_name],$B407,AvgBase[bu_name],$C407,AvgBase[dept_name],$D407,AvgBase[team_consolidation],$K407,AvgBase[location_name],$G407,AvgBase[job_title],$H407))*(AJ197+AI197)/2*(1-AJ302))</f>
        <v>0</v>
      </c>
      <c r="AK407" s="652">
        <f>IF($B407="",,IF(LEFT($H407,5)="dummy",SUMIFS(AvgBase[Month 26],AvgBase[job_title],$H407),SUMIFS(AvgBase[Month 26],AvgBase[exp_item],$J407,AvgBase[company_name],$B407,AvgBase[bu_name],$C407,AvgBase[dept_name],$D407,AvgBase[team_consolidation],$K407,AvgBase[location_name],$G407,AvgBase[job_title],$H407))*(AK197+AJ197)/2*(1-AK302))</f>
        <v>0</v>
      </c>
      <c r="AL407" s="652">
        <f>IF($B407="",,IF(LEFT($H407,5)="dummy",SUMIFS(AvgBase[Month 27],AvgBase[job_title],$H407),SUMIFS(AvgBase[Month 27],AvgBase[exp_item],$J407,AvgBase[company_name],$B407,AvgBase[bu_name],$C407,AvgBase[dept_name],$D407,AvgBase[team_consolidation],$K407,AvgBase[location_name],$G407,AvgBase[job_title],$H407))*(AL197+AK197)/2*(1-AL302))</f>
        <v>0</v>
      </c>
      <c r="AM407" s="652">
        <f>IF($B407="",,IF(LEFT($H407,5)="dummy",SUMIFS(AvgBase[Month 28],AvgBase[job_title],$H407),SUMIFS(AvgBase[Month 28],AvgBase[exp_item],$J407,AvgBase[company_name],$B407,AvgBase[bu_name],$C407,AvgBase[dept_name],$D407,AvgBase[team_consolidation],$K407,AvgBase[location_name],$G407,AvgBase[job_title],$H407))*(AM197+AL197)/2*(1-AM302))</f>
        <v>0</v>
      </c>
      <c r="AN407" s="652">
        <f>IF($B407="",,IF(LEFT($H407,5)="dummy",SUMIFS(AvgBase[Month 29],AvgBase[job_title],$H407),SUMIFS(AvgBase[Month 29],AvgBase[exp_item],$J407,AvgBase[company_name],$B407,AvgBase[bu_name],$C407,AvgBase[dept_name],$D407,AvgBase[team_consolidation],$K407,AvgBase[location_name],$G407,AvgBase[job_title],$H407))*(AN197+AM197)/2*(1-AN302))</f>
        <v>0</v>
      </c>
      <c r="AO407" s="652">
        <f>IF($B407="",,IF(LEFT($H407,5)="dummy",SUMIFS(AvgBase[Month 30],AvgBase[job_title],$H407),SUMIFS(AvgBase[Month 30],AvgBase[exp_item],$J407,AvgBase[company_name],$B407,AvgBase[bu_name],$C407,AvgBase[dept_name],$D407,AvgBase[team_consolidation],$K407,AvgBase[location_name],$G407,AvgBase[job_title],$H407))*(AO197+AN197)/2*(1-AO302))</f>
        <v>0</v>
      </c>
      <c r="AP407" s="652">
        <f>IF($B407="",,IF(LEFT($H407,5)="dummy",SUMIFS(AvgBase[Month 31],AvgBase[job_title],$H407),SUMIFS(AvgBase[Month 31],AvgBase[exp_item],$J407,AvgBase[company_name],$B407,AvgBase[bu_name],$C407,AvgBase[dept_name],$D407,AvgBase[team_consolidation],$K407,AvgBase[location_name],$G407,AvgBase[job_title],$H407))*(AP197+AO197)/2*(1-AP302))</f>
        <v>0</v>
      </c>
      <c r="AQ407" s="652">
        <f>IF($B407="",,IF(LEFT($H407,5)="dummy",SUMIFS(AvgBase[Month 32],AvgBase[job_title],$H407),SUMIFS(AvgBase[Month 32],AvgBase[exp_item],$J407,AvgBase[company_name],$B407,AvgBase[bu_name],$C407,AvgBase[dept_name],$D407,AvgBase[team_consolidation],$K407,AvgBase[location_name],$G407,AvgBase[job_title],$H407))*(AQ197+AP197)/2*(1-AQ302))</f>
        <v>0</v>
      </c>
      <c r="AR407" s="652">
        <f>IF($B407="",,IF(LEFT($H407,5)="dummy",SUMIFS(AvgBase[Month 33],AvgBase[job_title],$H407),SUMIFS(AvgBase[Month 33],AvgBase[exp_item],$J407,AvgBase[company_name],$B407,AvgBase[bu_name],$C407,AvgBase[dept_name],$D407,AvgBase[team_consolidation],$K407,AvgBase[location_name],$G407,AvgBase[job_title],$H407))*(AR197+AQ197)/2*(1-AR302))</f>
        <v>0</v>
      </c>
      <c r="AS407" s="652">
        <f>IF($B407="",,IF(LEFT($H407,5)="dummy",SUMIFS(AvgBase[Month 34],AvgBase[job_title],$H407),SUMIFS(AvgBase[Month 34],AvgBase[exp_item],$J407,AvgBase[company_name],$B407,AvgBase[bu_name],$C407,AvgBase[dept_name],$D407,AvgBase[team_consolidation],$K407,AvgBase[location_name],$G407,AvgBase[job_title],$H407))*(AS197+AR197)/2*(1-AS302))</f>
        <v>0</v>
      </c>
      <c r="AT407" s="652">
        <f>IF($B407="",,IF(LEFT($H407,5)="dummy",SUMIFS(AvgBase[Month 35],AvgBase[job_title],$H407),SUMIFS(AvgBase[Month 35],AvgBase[exp_item],$J407,AvgBase[company_name],$B407,AvgBase[bu_name],$C407,AvgBase[dept_name],$D407,AvgBase[team_consolidation],$K407,AvgBase[location_name],$G407,AvgBase[job_title],$H407))*(AT197+AS197)/2*(1-AT302))</f>
        <v>0</v>
      </c>
      <c r="AU407" s="652">
        <f>IF($B407="",,IF(LEFT($H407,5)="dummy",SUMIFS(AvgBase[Month 36],AvgBase[job_title],$H407),SUMIFS(AvgBase[Month 36],AvgBase[exp_item],$J407,AvgBase[company_name],$B407,AvgBase[bu_name],$C407,AvgBase[dept_name],$D407,AvgBase[team_consolidation],$K407,AvgBase[location_name],$G407,AvgBase[job_title],$H407))*(AU197+AT197)/2*(1-AU302))</f>
        <v>0</v>
      </c>
    </row>
    <row r="408" spans="2:47" x14ac:dyDescent="0.35">
      <c r="B408" t="str">
        <f t="shared" si="276"/>
        <v/>
      </c>
      <c r="C408" t="str">
        <f t="shared" si="276"/>
        <v/>
      </c>
      <c r="D408" t="str">
        <f t="shared" si="276"/>
        <v/>
      </c>
      <c r="E408" t="str">
        <f t="shared" si="276"/>
        <v/>
      </c>
      <c r="F408" t="str">
        <f t="shared" si="276"/>
        <v/>
      </c>
      <c r="G408" t="str">
        <f t="shared" si="276"/>
        <v/>
      </c>
      <c r="H408" t="str">
        <f t="shared" si="274"/>
        <v/>
      </c>
      <c r="J408" t="str">
        <f>IF($H408="","",IF(VLOOKUP($B$395,ExpItems[],2,0),$B$395&amp;" - "&amp;INDEX(DivisionMapping[category_code],MATCH($D408&amp;$C408,DivisionMapping[dept_bu],0)),$B$395))</f>
        <v/>
      </c>
      <c r="K408" t="str">
        <f t="shared" si="275"/>
        <v/>
      </c>
      <c r="L408" s="652">
        <f>IF($B408="",,IF(LEFT($H408,5)="dummy",SUMIFS(AvgBase[Month 1],AvgBase[job_title],$H408),SUMIFS(AvgBase[Month 1],AvgBase[exp_item],$J408,AvgBase[company_name],$B408,AvgBase[bu_name],$C408,AvgBase[dept_name],$D408,AvgBase[team_consolidation],$K408,AvgBase[location_name],$G408,AvgBase[job_title],$H408))*L198/2*(1-L303))</f>
        <v>0</v>
      </c>
      <c r="M408" s="652">
        <f>IF($B408="",,IF(LEFT($H408,5)="dummy",SUMIFS(AvgBase[Month 2],AvgBase[job_title],$H408),SUMIFS(AvgBase[Month 2],AvgBase[exp_item],$J408,AvgBase[company_name],$B408,AvgBase[bu_name],$C408,AvgBase[dept_name],$D408,AvgBase[team_consolidation],$K408,AvgBase[location_name],$G408,AvgBase[job_title],$H408))*(M198+L198)/2*(1-M303))</f>
        <v>0</v>
      </c>
      <c r="N408" s="652">
        <f>IF($B408="",,IF(LEFT($H408,5)="dummy",SUMIFS(AvgBase[Month 3],AvgBase[job_title],$H408),SUMIFS(AvgBase[Month 3],AvgBase[exp_item],$J408,AvgBase[company_name],$B408,AvgBase[bu_name],$C408,AvgBase[dept_name],$D408,AvgBase[team_consolidation],$K408,AvgBase[location_name],$G408,AvgBase[job_title],$H408))*(N198+M198)/2*(1-N303))</f>
        <v>0</v>
      </c>
      <c r="O408" s="652">
        <f>IF($B408="",,IF(LEFT($H408,5)="dummy",SUMIFS(AvgBase[Month 4],AvgBase[job_title],$H408),SUMIFS(AvgBase[Month 4],AvgBase[exp_item],$J408,AvgBase[company_name],$B408,AvgBase[bu_name],$C408,AvgBase[dept_name],$D408,AvgBase[team_consolidation],$K408,AvgBase[location_name],$G408,AvgBase[job_title],$H408))*(O198+N198)/2*(1-O303))</f>
        <v>0</v>
      </c>
      <c r="P408" s="652">
        <f>IF($B408="",,IF(LEFT($H408,5)="dummy",SUMIFS(AvgBase[Month 5],AvgBase[job_title],$H408),SUMIFS(AvgBase[Month 5],AvgBase[exp_item],$J408,AvgBase[company_name],$B408,AvgBase[bu_name],$C408,AvgBase[dept_name],$D408,AvgBase[team_consolidation],$K408,AvgBase[location_name],$G408,AvgBase[job_title],$H408))*(P198+O198)/2*(1-P303))</f>
        <v>0</v>
      </c>
      <c r="Q408" s="652">
        <f>IF($B408="",,IF(LEFT($H408,5)="dummy",SUMIFS(AvgBase[Month 6],AvgBase[job_title],$H408),SUMIFS(AvgBase[Month 6],AvgBase[exp_item],$J408,AvgBase[company_name],$B408,AvgBase[bu_name],$C408,AvgBase[dept_name],$D408,AvgBase[team_consolidation],$K408,AvgBase[location_name],$G408,AvgBase[job_title],$H408))*(Q198+P198)/2*(1-Q303))</f>
        <v>0</v>
      </c>
      <c r="R408" s="652">
        <f>IF($B408="",,IF(LEFT($H408,5)="dummy",SUMIFS(AvgBase[Month 7],AvgBase[job_title],$H408),SUMIFS(AvgBase[Month 7],AvgBase[exp_item],$J408,AvgBase[company_name],$B408,AvgBase[bu_name],$C408,AvgBase[dept_name],$D408,AvgBase[team_consolidation],$K408,AvgBase[location_name],$G408,AvgBase[job_title],$H408))*(R198+Q198)/2*(1-R303))</f>
        <v>0</v>
      </c>
      <c r="S408" s="652">
        <f>IF($B408="",,IF(LEFT($H408,5)="dummy",SUMIFS(AvgBase[Month 8],AvgBase[job_title],$H408),SUMIFS(AvgBase[Month 8],AvgBase[exp_item],$J408,AvgBase[company_name],$B408,AvgBase[bu_name],$C408,AvgBase[dept_name],$D408,AvgBase[team_consolidation],$K408,AvgBase[location_name],$G408,AvgBase[job_title],$H408))*(S198+R198)/2*(1-S303))</f>
        <v>0</v>
      </c>
      <c r="T408" s="652">
        <f>IF($B408="",,IF(LEFT($H408,5)="dummy",SUMIFS(AvgBase[Month 9],AvgBase[job_title],$H408),SUMIFS(AvgBase[Month 9],AvgBase[exp_item],$J408,AvgBase[company_name],$B408,AvgBase[bu_name],$C408,AvgBase[dept_name],$D408,AvgBase[team_consolidation],$K408,AvgBase[location_name],$G408,AvgBase[job_title],$H408))*(T198+S198)/2*(1-T303))</f>
        <v>0</v>
      </c>
      <c r="U408" s="652">
        <f>IF($B408="",,IF(LEFT($H408,5)="dummy",SUMIFS(AvgBase[Month 10],AvgBase[job_title],$H408),SUMIFS(AvgBase[Month 10],AvgBase[exp_item],$J408,AvgBase[company_name],$B408,AvgBase[bu_name],$C408,AvgBase[dept_name],$D408,AvgBase[team_consolidation],$K408,AvgBase[location_name],$G408,AvgBase[job_title],$H408))*(U198+T198)/2*(1-U303))</f>
        <v>0</v>
      </c>
      <c r="V408" s="652">
        <f>IF($B408="",,IF(LEFT($H408,5)="dummy",SUMIFS(AvgBase[Month 11],AvgBase[job_title],$H408),SUMIFS(AvgBase[Month 11],AvgBase[exp_item],$J408,AvgBase[company_name],$B408,AvgBase[bu_name],$C408,AvgBase[dept_name],$D408,AvgBase[team_consolidation],$K408,AvgBase[location_name],$G408,AvgBase[job_title],$H408))*(V198+U198)/2*(1-V303))</f>
        <v>0</v>
      </c>
      <c r="W408" s="652">
        <f>IF($B408="",,IF(LEFT($H408,5)="dummy",SUMIFS(AvgBase[Month 12],AvgBase[job_title],$H408),SUMIFS(AvgBase[Month 12],AvgBase[exp_item],$J408,AvgBase[company_name],$B408,AvgBase[bu_name],$C408,AvgBase[dept_name],$D408,AvgBase[team_consolidation],$K408,AvgBase[location_name],$G408,AvgBase[job_title],$H408))*(W198+V198)/2*(1-W303))</f>
        <v>0</v>
      </c>
      <c r="X408" s="652">
        <f>IF($B408="",,IF(LEFT($H408,5)="dummy",SUMIFS(AvgBase[Month 13],AvgBase[job_title],$H408),SUMIFS(AvgBase[Month 13],AvgBase[exp_item],$J408,AvgBase[company_name],$B408,AvgBase[bu_name],$C408,AvgBase[dept_name],$D408,AvgBase[team_consolidation],$K408,AvgBase[location_name],$G408,AvgBase[job_title],$H408))*(X198+W198)/2*(1-X303))</f>
        <v>0</v>
      </c>
      <c r="Y408" s="652">
        <f>IF($B408="",,IF(LEFT($H408,5)="dummy",SUMIFS(AvgBase[Month 14],AvgBase[job_title],$H408),SUMIFS(AvgBase[Month 14],AvgBase[exp_item],$J408,AvgBase[company_name],$B408,AvgBase[bu_name],$C408,AvgBase[dept_name],$D408,AvgBase[team_consolidation],$K408,AvgBase[location_name],$G408,AvgBase[job_title],$H408))*(Y198+X198)/2*(1-Y303))</f>
        <v>0</v>
      </c>
      <c r="Z408" s="652">
        <f>IF($B408="",,IF(LEFT($H408,5)="dummy",SUMIFS(AvgBase[Month 15],AvgBase[job_title],$H408),SUMIFS(AvgBase[Month 15],AvgBase[exp_item],$J408,AvgBase[company_name],$B408,AvgBase[bu_name],$C408,AvgBase[dept_name],$D408,AvgBase[team_consolidation],$K408,AvgBase[location_name],$G408,AvgBase[job_title],$H408))*(Z198+Y198)/2*(1-Z303))</f>
        <v>0</v>
      </c>
      <c r="AA408" s="652">
        <f>IF($B408="",,IF(LEFT($H408,5)="dummy",SUMIFS(AvgBase[Month 16],AvgBase[job_title],$H408),SUMIFS(AvgBase[Month 16],AvgBase[exp_item],$J408,AvgBase[company_name],$B408,AvgBase[bu_name],$C408,AvgBase[dept_name],$D408,AvgBase[team_consolidation],$K408,AvgBase[location_name],$G408,AvgBase[job_title],$H408))*(AA198+Z198)/2*(1-AA303))</f>
        <v>0</v>
      </c>
      <c r="AB408" s="652">
        <f>IF($B408="",,IF(LEFT($H408,5)="dummy",SUMIFS(AvgBase[Month 17],AvgBase[job_title],$H408),SUMIFS(AvgBase[Month 17],AvgBase[exp_item],$J408,AvgBase[company_name],$B408,AvgBase[bu_name],$C408,AvgBase[dept_name],$D408,AvgBase[team_consolidation],$K408,AvgBase[location_name],$G408,AvgBase[job_title],$H408))*(AB198+AA198)/2*(1-AB303))</f>
        <v>0</v>
      </c>
      <c r="AC408" s="652">
        <f>IF($B408="",,IF(LEFT($H408,5)="dummy",SUMIFS(AvgBase[Month 18],AvgBase[job_title],$H408),SUMIFS(AvgBase[Month 18],AvgBase[exp_item],$J408,AvgBase[company_name],$B408,AvgBase[bu_name],$C408,AvgBase[dept_name],$D408,AvgBase[team_consolidation],$K408,AvgBase[location_name],$G408,AvgBase[job_title],$H408))*(AC198+AB198)/2*(1-AC303))</f>
        <v>0</v>
      </c>
      <c r="AD408" s="652">
        <f>IF($B408="",,IF(LEFT($H408,5)="dummy",SUMIFS(AvgBase[Month 19],AvgBase[job_title],$H408),SUMIFS(AvgBase[Month 19],AvgBase[exp_item],$J408,AvgBase[company_name],$B408,AvgBase[bu_name],$C408,AvgBase[dept_name],$D408,AvgBase[team_consolidation],$K408,AvgBase[location_name],$G408,AvgBase[job_title],$H408))*(AD198+AC198)/2*(1-AD303))</f>
        <v>0</v>
      </c>
      <c r="AE408" s="652">
        <f>IF($B408="",,IF(LEFT($H408,5)="dummy",SUMIFS(AvgBase[Month 20],AvgBase[job_title],$H408),SUMIFS(AvgBase[Month 20],AvgBase[exp_item],$J408,AvgBase[company_name],$B408,AvgBase[bu_name],$C408,AvgBase[dept_name],$D408,AvgBase[team_consolidation],$K408,AvgBase[location_name],$G408,AvgBase[job_title],$H408))*(AE198+AD198)/2*(1-AE303))</f>
        <v>0</v>
      </c>
      <c r="AF408" s="652">
        <f>IF($B408="",,IF(LEFT($H408,5)="dummy",SUMIFS(AvgBase[Month 21],AvgBase[job_title],$H408),SUMIFS(AvgBase[Month 21],AvgBase[exp_item],$J408,AvgBase[company_name],$B408,AvgBase[bu_name],$C408,AvgBase[dept_name],$D408,AvgBase[team_consolidation],$K408,AvgBase[location_name],$G408,AvgBase[job_title],$H408))*(AF198+AE198)/2*(1-AF303))</f>
        <v>0</v>
      </c>
      <c r="AG408" s="652">
        <f>IF($B408="",,IF(LEFT($H408,5)="dummy",SUMIFS(AvgBase[Month 22],AvgBase[job_title],$H408),SUMIFS(AvgBase[Month 22],AvgBase[exp_item],$J408,AvgBase[company_name],$B408,AvgBase[bu_name],$C408,AvgBase[dept_name],$D408,AvgBase[team_consolidation],$K408,AvgBase[location_name],$G408,AvgBase[job_title],$H408))*(AG198+AF198)/2*(1-AG303))</f>
        <v>0</v>
      </c>
      <c r="AH408" s="652">
        <f>IF($B408="",,IF(LEFT($H408,5)="dummy",SUMIFS(AvgBase[Month 23],AvgBase[job_title],$H408),SUMIFS(AvgBase[Month 23],AvgBase[exp_item],$J408,AvgBase[company_name],$B408,AvgBase[bu_name],$C408,AvgBase[dept_name],$D408,AvgBase[team_consolidation],$K408,AvgBase[location_name],$G408,AvgBase[job_title],$H408))*(AH198+AG198)/2*(1-AH303))</f>
        <v>0</v>
      </c>
      <c r="AI408" s="652">
        <f>IF($B408="",,IF(LEFT($H408,5)="dummy",SUMIFS(AvgBase[Month 24],AvgBase[job_title],$H408),SUMIFS(AvgBase[Month 24],AvgBase[exp_item],$J408,AvgBase[company_name],$B408,AvgBase[bu_name],$C408,AvgBase[dept_name],$D408,AvgBase[team_consolidation],$K408,AvgBase[location_name],$G408,AvgBase[job_title],$H408))*(AI198+AH198)/2*(1-AI303))</f>
        <v>0</v>
      </c>
      <c r="AJ408" s="652">
        <f>IF($B408="",,IF(LEFT($H408,5)="dummy",SUMIFS(AvgBase[Month 25],AvgBase[job_title],$H408),SUMIFS(AvgBase[Month 25],AvgBase[exp_item],$J408,AvgBase[company_name],$B408,AvgBase[bu_name],$C408,AvgBase[dept_name],$D408,AvgBase[team_consolidation],$K408,AvgBase[location_name],$G408,AvgBase[job_title],$H408))*(AJ198+AI198)/2*(1-AJ303))</f>
        <v>0</v>
      </c>
      <c r="AK408" s="652">
        <f>IF($B408="",,IF(LEFT($H408,5)="dummy",SUMIFS(AvgBase[Month 26],AvgBase[job_title],$H408),SUMIFS(AvgBase[Month 26],AvgBase[exp_item],$J408,AvgBase[company_name],$B408,AvgBase[bu_name],$C408,AvgBase[dept_name],$D408,AvgBase[team_consolidation],$K408,AvgBase[location_name],$G408,AvgBase[job_title],$H408))*(AK198+AJ198)/2*(1-AK303))</f>
        <v>0</v>
      </c>
      <c r="AL408" s="652">
        <f>IF($B408="",,IF(LEFT($H408,5)="dummy",SUMIFS(AvgBase[Month 27],AvgBase[job_title],$H408),SUMIFS(AvgBase[Month 27],AvgBase[exp_item],$J408,AvgBase[company_name],$B408,AvgBase[bu_name],$C408,AvgBase[dept_name],$D408,AvgBase[team_consolidation],$K408,AvgBase[location_name],$G408,AvgBase[job_title],$H408))*(AL198+AK198)/2*(1-AL303))</f>
        <v>0</v>
      </c>
      <c r="AM408" s="652">
        <f>IF($B408="",,IF(LEFT($H408,5)="dummy",SUMIFS(AvgBase[Month 28],AvgBase[job_title],$H408),SUMIFS(AvgBase[Month 28],AvgBase[exp_item],$J408,AvgBase[company_name],$B408,AvgBase[bu_name],$C408,AvgBase[dept_name],$D408,AvgBase[team_consolidation],$K408,AvgBase[location_name],$G408,AvgBase[job_title],$H408))*(AM198+AL198)/2*(1-AM303))</f>
        <v>0</v>
      </c>
      <c r="AN408" s="652">
        <f>IF($B408="",,IF(LEFT($H408,5)="dummy",SUMIFS(AvgBase[Month 29],AvgBase[job_title],$H408),SUMIFS(AvgBase[Month 29],AvgBase[exp_item],$J408,AvgBase[company_name],$B408,AvgBase[bu_name],$C408,AvgBase[dept_name],$D408,AvgBase[team_consolidation],$K408,AvgBase[location_name],$G408,AvgBase[job_title],$H408))*(AN198+AM198)/2*(1-AN303))</f>
        <v>0</v>
      </c>
      <c r="AO408" s="652">
        <f>IF($B408="",,IF(LEFT($H408,5)="dummy",SUMIFS(AvgBase[Month 30],AvgBase[job_title],$H408),SUMIFS(AvgBase[Month 30],AvgBase[exp_item],$J408,AvgBase[company_name],$B408,AvgBase[bu_name],$C408,AvgBase[dept_name],$D408,AvgBase[team_consolidation],$K408,AvgBase[location_name],$G408,AvgBase[job_title],$H408))*(AO198+AN198)/2*(1-AO303))</f>
        <v>0</v>
      </c>
      <c r="AP408" s="652">
        <f>IF($B408="",,IF(LEFT($H408,5)="dummy",SUMIFS(AvgBase[Month 31],AvgBase[job_title],$H408),SUMIFS(AvgBase[Month 31],AvgBase[exp_item],$J408,AvgBase[company_name],$B408,AvgBase[bu_name],$C408,AvgBase[dept_name],$D408,AvgBase[team_consolidation],$K408,AvgBase[location_name],$G408,AvgBase[job_title],$H408))*(AP198+AO198)/2*(1-AP303))</f>
        <v>0</v>
      </c>
      <c r="AQ408" s="652">
        <f>IF($B408="",,IF(LEFT($H408,5)="dummy",SUMIFS(AvgBase[Month 32],AvgBase[job_title],$H408),SUMIFS(AvgBase[Month 32],AvgBase[exp_item],$J408,AvgBase[company_name],$B408,AvgBase[bu_name],$C408,AvgBase[dept_name],$D408,AvgBase[team_consolidation],$K408,AvgBase[location_name],$G408,AvgBase[job_title],$H408))*(AQ198+AP198)/2*(1-AQ303))</f>
        <v>0</v>
      </c>
      <c r="AR408" s="652">
        <f>IF($B408="",,IF(LEFT($H408,5)="dummy",SUMIFS(AvgBase[Month 33],AvgBase[job_title],$H408),SUMIFS(AvgBase[Month 33],AvgBase[exp_item],$J408,AvgBase[company_name],$B408,AvgBase[bu_name],$C408,AvgBase[dept_name],$D408,AvgBase[team_consolidation],$K408,AvgBase[location_name],$G408,AvgBase[job_title],$H408))*(AR198+AQ198)/2*(1-AR303))</f>
        <v>0</v>
      </c>
      <c r="AS408" s="652">
        <f>IF($B408="",,IF(LEFT($H408,5)="dummy",SUMIFS(AvgBase[Month 34],AvgBase[job_title],$H408),SUMIFS(AvgBase[Month 34],AvgBase[exp_item],$J408,AvgBase[company_name],$B408,AvgBase[bu_name],$C408,AvgBase[dept_name],$D408,AvgBase[team_consolidation],$K408,AvgBase[location_name],$G408,AvgBase[job_title],$H408))*(AS198+AR198)/2*(1-AS303))</f>
        <v>0</v>
      </c>
      <c r="AT408" s="652">
        <f>IF($B408="",,IF(LEFT($H408,5)="dummy",SUMIFS(AvgBase[Month 35],AvgBase[job_title],$H408),SUMIFS(AvgBase[Month 35],AvgBase[exp_item],$J408,AvgBase[company_name],$B408,AvgBase[bu_name],$C408,AvgBase[dept_name],$D408,AvgBase[team_consolidation],$K408,AvgBase[location_name],$G408,AvgBase[job_title],$H408))*(AT198+AS198)/2*(1-AT303))</f>
        <v>0</v>
      </c>
      <c r="AU408" s="652">
        <f>IF($B408="",,IF(LEFT($H408,5)="dummy",SUMIFS(AvgBase[Month 36],AvgBase[job_title],$H408),SUMIFS(AvgBase[Month 36],AvgBase[exp_item],$J408,AvgBase[company_name],$B408,AvgBase[bu_name],$C408,AvgBase[dept_name],$D408,AvgBase[team_consolidation],$K408,AvgBase[location_name],$G408,AvgBase[job_title],$H408))*(AU198+AT198)/2*(1-AU303))</f>
        <v>0</v>
      </c>
    </row>
    <row r="409" spans="2:47" x14ac:dyDescent="0.35">
      <c r="B409" t="str">
        <f t="shared" si="276"/>
        <v/>
      </c>
      <c r="C409" t="str">
        <f t="shared" si="276"/>
        <v/>
      </c>
      <c r="D409" t="str">
        <f t="shared" si="276"/>
        <v/>
      </c>
      <c r="E409" t="str">
        <f t="shared" si="276"/>
        <v/>
      </c>
      <c r="F409" t="str">
        <f t="shared" si="276"/>
        <v/>
      </c>
      <c r="G409" t="str">
        <f t="shared" si="276"/>
        <v/>
      </c>
      <c r="H409" t="str">
        <f t="shared" si="274"/>
        <v/>
      </c>
      <c r="J409" t="str">
        <f>IF($H409="","",IF(VLOOKUP($B$395,ExpItems[],2,0),$B$395&amp;" - "&amp;INDEX(DivisionMapping[category_code],MATCH($D409&amp;$C409,DivisionMapping[dept_bu],0)),$B$395))</f>
        <v/>
      </c>
      <c r="K409" t="str">
        <f t="shared" si="275"/>
        <v/>
      </c>
      <c r="L409" s="652">
        <f>IF($B409="",,IF(LEFT($H409,5)="dummy",SUMIFS(AvgBase[Month 1],AvgBase[job_title],$H409),SUMIFS(AvgBase[Month 1],AvgBase[exp_item],$J409,AvgBase[company_name],$B409,AvgBase[bu_name],$C409,AvgBase[dept_name],$D409,AvgBase[team_consolidation],$K409,AvgBase[location_name],$G409,AvgBase[job_title],$H409))*L199/2*(1-L304))</f>
        <v>0</v>
      </c>
      <c r="M409" s="652">
        <f>IF($B409="",,IF(LEFT($H409,5)="dummy",SUMIFS(AvgBase[Month 2],AvgBase[job_title],$H409),SUMIFS(AvgBase[Month 2],AvgBase[exp_item],$J409,AvgBase[company_name],$B409,AvgBase[bu_name],$C409,AvgBase[dept_name],$D409,AvgBase[team_consolidation],$K409,AvgBase[location_name],$G409,AvgBase[job_title],$H409))*(M199+L199)/2*(1-M304))</f>
        <v>0</v>
      </c>
      <c r="N409" s="652">
        <f>IF($B409="",,IF(LEFT($H409,5)="dummy",SUMIFS(AvgBase[Month 3],AvgBase[job_title],$H409),SUMIFS(AvgBase[Month 3],AvgBase[exp_item],$J409,AvgBase[company_name],$B409,AvgBase[bu_name],$C409,AvgBase[dept_name],$D409,AvgBase[team_consolidation],$K409,AvgBase[location_name],$G409,AvgBase[job_title],$H409))*(N199+M199)/2*(1-N304))</f>
        <v>0</v>
      </c>
      <c r="O409" s="652">
        <f>IF($B409="",,IF(LEFT($H409,5)="dummy",SUMIFS(AvgBase[Month 4],AvgBase[job_title],$H409),SUMIFS(AvgBase[Month 4],AvgBase[exp_item],$J409,AvgBase[company_name],$B409,AvgBase[bu_name],$C409,AvgBase[dept_name],$D409,AvgBase[team_consolidation],$K409,AvgBase[location_name],$G409,AvgBase[job_title],$H409))*(O199+N199)/2*(1-O304))</f>
        <v>0</v>
      </c>
      <c r="P409" s="652">
        <f>IF($B409="",,IF(LEFT($H409,5)="dummy",SUMIFS(AvgBase[Month 5],AvgBase[job_title],$H409),SUMIFS(AvgBase[Month 5],AvgBase[exp_item],$J409,AvgBase[company_name],$B409,AvgBase[bu_name],$C409,AvgBase[dept_name],$D409,AvgBase[team_consolidation],$K409,AvgBase[location_name],$G409,AvgBase[job_title],$H409))*(P199+O199)/2*(1-P304))</f>
        <v>0</v>
      </c>
      <c r="Q409" s="652">
        <f>IF($B409="",,IF(LEFT($H409,5)="dummy",SUMIFS(AvgBase[Month 6],AvgBase[job_title],$H409),SUMIFS(AvgBase[Month 6],AvgBase[exp_item],$J409,AvgBase[company_name],$B409,AvgBase[bu_name],$C409,AvgBase[dept_name],$D409,AvgBase[team_consolidation],$K409,AvgBase[location_name],$G409,AvgBase[job_title],$H409))*(Q199+P199)/2*(1-Q304))</f>
        <v>0</v>
      </c>
      <c r="R409" s="652">
        <f>IF($B409="",,IF(LEFT($H409,5)="dummy",SUMIFS(AvgBase[Month 7],AvgBase[job_title],$H409),SUMIFS(AvgBase[Month 7],AvgBase[exp_item],$J409,AvgBase[company_name],$B409,AvgBase[bu_name],$C409,AvgBase[dept_name],$D409,AvgBase[team_consolidation],$K409,AvgBase[location_name],$G409,AvgBase[job_title],$H409))*(R199+Q199)/2*(1-R304))</f>
        <v>0</v>
      </c>
      <c r="S409" s="652">
        <f>IF($B409="",,IF(LEFT($H409,5)="dummy",SUMIFS(AvgBase[Month 8],AvgBase[job_title],$H409),SUMIFS(AvgBase[Month 8],AvgBase[exp_item],$J409,AvgBase[company_name],$B409,AvgBase[bu_name],$C409,AvgBase[dept_name],$D409,AvgBase[team_consolidation],$K409,AvgBase[location_name],$G409,AvgBase[job_title],$H409))*(S199+R199)/2*(1-S304))</f>
        <v>0</v>
      </c>
      <c r="T409" s="652">
        <f>IF($B409="",,IF(LEFT($H409,5)="dummy",SUMIFS(AvgBase[Month 9],AvgBase[job_title],$H409),SUMIFS(AvgBase[Month 9],AvgBase[exp_item],$J409,AvgBase[company_name],$B409,AvgBase[bu_name],$C409,AvgBase[dept_name],$D409,AvgBase[team_consolidation],$K409,AvgBase[location_name],$G409,AvgBase[job_title],$H409))*(T199+S199)/2*(1-T304))</f>
        <v>0</v>
      </c>
      <c r="U409" s="652">
        <f>IF($B409="",,IF(LEFT($H409,5)="dummy",SUMIFS(AvgBase[Month 10],AvgBase[job_title],$H409),SUMIFS(AvgBase[Month 10],AvgBase[exp_item],$J409,AvgBase[company_name],$B409,AvgBase[bu_name],$C409,AvgBase[dept_name],$D409,AvgBase[team_consolidation],$K409,AvgBase[location_name],$G409,AvgBase[job_title],$H409))*(U199+T199)/2*(1-U304))</f>
        <v>0</v>
      </c>
      <c r="V409" s="652">
        <f>IF($B409="",,IF(LEFT($H409,5)="dummy",SUMIFS(AvgBase[Month 11],AvgBase[job_title],$H409),SUMIFS(AvgBase[Month 11],AvgBase[exp_item],$J409,AvgBase[company_name],$B409,AvgBase[bu_name],$C409,AvgBase[dept_name],$D409,AvgBase[team_consolidation],$K409,AvgBase[location_name],$G409,AvgBase[job_title],$H409))*(V199+U199)/2*(1-V304))</f>
        <v>0</v>
      </c>
      <c r="W409" s="652">
        <f>IF($B409="",,IF(LEFT($H409,5)="dummy",SUMIFS(AvgBase[Month 12],AvgBase[job_title],$H409),SUMIFS(AvgBase[Month 12],AvgBase[exp_item],$J409,AvgBase[company_name],$B409,AvgBase[bu_name],$C409,AvgBase[dept_name],$D409,AvgBase[team_consolidation],$K409,AvgBase[location_name],$G409,AvgBase[job_title],$H409))*(W199+V199)/2*(1-W304))</f>
        <v>0</v>
      </c>
      <c r="X409" s="652">
        <f>IF($B409="",,IF(LEFT($H409,5)="dummy",SUMIFS(AvgBase[Month 13],AvgBase[job_title],$H409),SUMIFS(AvgBase[Month 13],AvgBase[exp_item],$J409,AvgBase[company_name],$B409,AvgBase[bu_name],$C409,AvgBase[dept_name],$D409,AvgBase[team_consolidation],$K409,AvgBase[location_name],$G409,AvgBase[job_title],$H409))*(X199+W199)/2*(1-X304))</f>
        <v>0</v>
      </c>
      <c r="Y409" s="652">
        <f>IF($B409="",,IF(LEFT($H409,5)="dummy",SUMIFS(AvgBase[Month 14],AvgBase[job_title],$H409),SUMIFS(AvgBase[Month 14],AvgBase[exp_item],$J409,AvgBase[company_name],$B409,AvgBase[bu_name],$C409,AvgBase[dept_name],$D409,AvgBase[team_consolidation],$K409,AvgBase[location_name],$G409,AvgBase[job_title],$H409))*(Y199+X199)/2*(1-Y304))</f>
        <v>0</v>
      </c>
      <c r="Z409" s="652">
        <f>IF($B409="",,IF(LEFT($H409,5)="dummy",SUMIFS(AvgBase[Month 15],AvgBase[job_title],$H409),SUMIFS(AvgBase[Month 15],AvgBase[exp_item],$J409,AvgBase[company_name],$B409,AvgBase[bu_name],$C409,AvgBase[dept_name],$D409,AvgBase[team_consolidation],$K409,AvgBase[location_name],$G409,AvgBase[job_title],$H409))*(Z199+Y199)/2*(1-Z304))</f>
        <v>0</v>
      </c>
      <c r="AA409" s="652">
        <f>IF($B409="",,IF(LEFT($H409,5)="dummy",SUMIFS(AvgBase[Month 16],AvgBase[job_title],$H409),SUMIFS(AvgBase[Month 16],AvgBase[exp_item],$J409,AvgBase[company_name],$B409,AvgBase[bu_name],$C409,AvgBase[dept_name],$D409,AvgBase[team_consolidation],$K409,AvgBase[location_name],$G409,AvgBase[job_title],$H409))*(AA199+Z199)/2*(1-AA304))</f>
        <v>0</v>
      </c>
      <c r="AB409" s="652">
        <f>IF($B409="",,IF(LEFT($H409,5)="dummy",SUMIFS(AvgBase[Month 17],AvgBase[job_title],$H409),SUMIFS(AvgBase[Month 17],AvgBase[exp_item],$J409,AvgBase[company_name],$B409,AvgBase[bu_name],$C409,AvgBase[dept_name],$D409,AvgBase[team_consolidation],$K409,AvgBase[location_name],$G409,AvgBase[job_title],$H409))*(AB199+AA199)/2*(1-AB304))</f>
        <v>0</v>
      </c>
      <c r="AC409" s="652">
        <f>IF($B409="",,IF(LEFT($H409,5)="dummy",SUMIFS(AvgBase[Month 18],AvgBase[job_title],$H409),SUMIFS(AvgBase[Month 18],AvgBase[exp_item],$J409,AvgBase[company_name],$B409,AvgBase[bu_name],$C409,AvgBase[dept_name],$D409,AvgBase[team_consolidation],$K409,AvgBase[location_name],$G409,AvgBase[job_title],$H409))*(AC199+AB199)/2*(1-AC304))</f>
        <v>0</v>
      </c>
      <c r="AD409" s="652">
        <f>IF($B409="",,IF(LEFT($H409,5)="dummy",SUMIFS(AvgBase[Month 19],AvgBase[job_title],$H409),SUMIFS(AvgBase[Month 19],AvgBase[exp_item],$J409,AvgBase[company_name],$B409,AvgBase[bu_name],$C409,AvgBase[dept_name],$D409,AvgBase[team_consolidation],$K409,AvgBase[location_name],$G409,AvgBase[job_title],$H409))*(AD199+AC199)/2*(1-AD304))</f>
        <v>0</v>
      </c>
      <c r="AE409" s="652">
        <f>IF($B409="",,IF(LEFT($H409,5)="dummy",SUMIFS(AvgBase[Month 20],AvgBase[job_title],$H409),SUMIFS(AvgBase[Month 20],AvgBase[exp_item],$J409,AvgBase[company_name],$B409,AvgBase[bu_name],$C409,AvgBase[dept_name],$D409,AvgBase[team_consolidation],$K409,AvgBase[location_name],$G409,AvgBase[job_title],$H409))*(AE199+AD199)/2*(1-AE304))</f>
        <v>0</v>
      </c>
      <c r="AF409" s="652">
        <f>IF($B409="",,IF(LEFT($H409,5)="dummy",SUMIFS(AvgBase[Month 21],AvgBase[job_title],$H409),SUMIFS(AvgBase[Month 21],AvgBase[exp_item],$J409,AvgBase[company_name],$B409,AvgBase[bu_name],$C409,AvgBase[dept_name],$D409,AvgBase[team_consolidation],$K409,AvgBase[location_name],$G409,AvgBase[job_title],$H409))*(AF199+AE199)/2*(1-AF304))</f>
        <v>0</v>
      </c>
      <c r="AG409" s="652">
        <f>IF($B409="",,IF(LEFT($H409,5)="dummy",SUMIFS(AvgBase[Month 22],AvgBase[job_title],$H409),SUMIFS(AvgBase[Month 22],AvgBase[exp_item],$J409,AvgBase[company_name],$B409,AvgBase[bu_name],$C409,AvgBase[dept_name],$D409,AvgBase[team_consolidation],$K409,AvgBase[location_name],$G409,AvgBase[job_title],$H409))*(AG199+AF199)/2*(1-AG304))</f>
        <v>0</v>
      </c>
      <c r="AH409" s="652">
        <f>IF($B409="",,IF(LEFT($H409,5)="dummy",SUMIFS(AvgBase[Month 23],AvgBase[job_title],$H409),SUMIFS(AvgBase[Month 23],AvgBase[exp_item],$J409,AvgBase[company_name],$B409,AvgBase[bu_name],$C409,AvgBase[dept_name],$D409,AvgBase[team_consolidation],$K409,AvgBase[location_name],$G409,AvgBase[job_title],$H409))*(AH199+AG199)/2*(1-AH304))</f>
        <v>0</v>
      </c>
      <c r="AI409" s="652">
        <f>IF($B409="",,IF(LEFT($H409,5)="dummy",SUMIFS(AvgBase[Month 24],AvgBase[job_title],$H409),SUMIFS(AvgBase[Month 24],AvgBase[exp_item],$J409,AvgBase[company_name],$B409,AvgBase[bu_name],$C409,AvgBase[dept_name],$D409,AvgBase[team_consolidation],$K409,AvgBase[location_name],$G409,AvgBase[job_title],$H409))*(AI199+AH199)/2*(1-AI304))</f>
        <v>0</v>
      </c>
      <c r="AJ409" s="652">
        <f>IF($B409="",,IF(LEFT($H409,5)="dummy",SUMIFS(AvgBase[Month 25],AvgBase[job_title],$H409),SUMIFS(AvgBase[Month 25],AvgBase[exp_item],$J409,AvgBase[company_name],$B409,AvgBase[bu_name],$C409,AvgBase[dept_name],$D409,AvgBase[team_consolidation],$K409,AvgBase[location_name],$G409,AvgBase[job_title],$H409))*(AJ199+AI199)/2*(1-AJ304))</f>
        <v>0</v>
      </c>
      <c r="AK409" s="652">
        <f>IF($B409="",,IF(LEFT($H409,5)="dummy",SUMIFS(AvgBase[Month 26],AvgBase[job_title],$H409),SUMIFS(AvgBase[Month 26],AvgBase[exp_item],$J409,AvgBase[company_name],$B409,AvgBase[bu_name],$C409,AvgBase[dept_name],$D409,AvgBase[team_consolidation],$K409,AvgBase[location_name],$G409,AvgBase[job_title],$H409))*(AK199+AJ199)/2*(1-AK304))</f>
        <v>0</v>
      </c>
      <c r="AL409" s="652">
        <f>IF($B409="",,IF(LEFT($H409,5)="dummy",SUMIFS(AvgBase[Month 27],AvgBase[job_title],$H409),SUMIFS(AvgBase[Month 27],AvgBase[exp_item],$J409,AvgBase[company_name],$B409,AvgBase[bu_name],$C409,AvgBase[dept_name],$D409,AvgBase[team_consolidation],$K409,AvgBase[location_name],$G409,AvgBase[job_title],$H409))*(AL199+AK199)/2*(1-AL304))</f>
        <v>0</v>
      </c>
      <c r="AM409" s="652">
        <f>IF($B409="",,IF(LEFT($H409,5)="dummy",SUMIFS(AvgBase[Month 28],AvgBase[job_title],$H409),SUMIFS(AvgBase[Month 28],AvgBase[exp_item],$J409,AvgBase[company_name],$B409,AvgBase[bu_name],$C409,AvgBase[dept_name],$D409,AvgBase[team_consolidation],$K409,AvgBase[location_name],$G409,AvgBase[job_title],$H409))*(AM199+AL199)/2*(1-AM304))</f>
        <v>0</v>
      </c>
      <c r="AN409" s="652">
        <f>IF($B409="",,IF(LEFT($H409,5)="dummy",SUMIFS(AvgBase[Month 29],AvgBase[job_title],$H409),SUMIFS(AvgBase[Month 29],AvgBase[exp_item],$J409,AvgBase[company_name],$B409,AvgBase[bu_name],$C409,AvgBase[dept_name],$D409,AvgBase[team_consolidation],$K409,AvgBase[location_name],$G409,AvgBase[job_title],$H409))*(AN199+AM199)/2*(1-AN304))</f>
        <v>0</v>
      </c>
      <c r="AO409" s="652">
        <f>IF($B409="",,IF(LEFT($H409,5)="dummy",SUMIFS(AvgBase[Month 30],AvgBase[job_title],$H409),SUMIFS(AvgBase[Month 30],AvgBase[exp_item],$J409,AvgBase[company_name],$B409,AvgBase[bu_name],$C409,AvgBase[dept_name],$D409,AvgBase[team_consolidation],$K409,AvgBase[location_name],$G409,AvgBase[job_title],$H409))*(AO199+AN199)/2*(1-AO304))</f>
        <v>0</v>
      </c>
      <c r="AP409" s="652">
        <f>IF($B409="",,IF(LEFT($H409,5)="dummy",SUMIFS(AvgBase[Month 31],AvgBase[job_title],$H409),SUMIFS(AvgBase[Month 31],AvgBase[exp_item],$J409,AvgBase[company_name],$B409,AvgBase[bu_name],$C409,AvgBase[dept_name],$D409,AvgBase[team_consolidation],$K409,AvgBase[location_name],$G409,AvgBase[job_title],$H409))*(AP199+AO199)/2*(1-AP304))</f>
        <v>0</v>
      </c>
      <c r="AQ409" s="652">
        <f>IF($B409="",,IF(LEFT($H409,5)="dummy",SUMIFS(AvgBase[Month 32],AvgBase[job_title],$H409),SUMIFS(AvgBase[Month 32],AvgBase[exp_item],$J409,AvgBase[company_name],$B409,AvgBase[bu_name],$C409,AvgBase[dept_name],$D409,AvgBase[team_consolidation],$K409,AvgBase[location_name],$G409,AvgBase[job_title],$H409))*(AQ199+AP199)/2*(1-AQ304))</f>
        <v>0</v>
      </c>
      <c r="AR409" s="652">
        <f>IF($B409="",,IF(LEFT($H409,5)="dummy",SUMIFS(AvgBase[Month 33],AvgBase[job_title],$H409),SUMIFS(AvgBase[Month 33],AvgBase[exp_item],$J409,AvgBase[company_name],$B409,AvgBase[bu_name],$C409,AvgBase[dept_name],$D409,AvgBase[team_consolidation],$K409,AvgBase[location_name],$G409,AvgBase[job_title],$H409))*(AR199+AQ199)/2*(1-AR304))</f>
        <v>0</v>
      </c>
      <c r="AS409" s="652">
        <f>IF($B409="",,IF(LEFT($H409,5)="dummy",SUMIFS(AvgBase[Month 34],AvgBase[job_title],$H409),SUMIFS(AvgBase[Month 34],AvgBase[exp_item],$J409,AvgBase[company_name],$B409,AvgBase[bu_name],$C409,AvgBase[dept_name],$D409,AvgBase[team_consolidation],$K409,AvgBase[location_name],$G409,AvgBase[job_title],$H409))*(AS199+AR199)/2*(1-AS304))</f>
        <v>0</v>
      </c>
      <c r="AT409" s="652">
        <f>IF($B409="",,IF(LEFT($H409,5)="dummy",SUMIFS(AvgBase[Month 35],AvgBase[job_title],$H409),SUMIFS(AvgBase[Month 35],AvgBase[exp_item],$J409,AvgBase[company_name],$B409,AvgBase[bu_name],$C409,AvgBase[dept_name],$D409,AvgBase[team_consolidation],$K409,AvgBase[location_name],$G409,AvgBase[job_title],$H409))*(AT199+AS199)/2*(1-AT304))</f>
        <v>0</v>
      </c>
      <c r="AU409" s="652">
        <f>IF($B409="",,IF(LEFT($H409,5)="dummy",SUMIFS(AvgBase[Month 36],AvgBase[job_title],$H409),SUMIFS(AvgBase[Month 36],AvgBase[exp_item],$J409,AvgBase[company_name],$B409,AvgBase[bu_name],$C409,AvgBase[dept_name],$D409,AvgBase[team_consolidation],$K409,AvgBase[location_name],$G409,AvgBase[job_title],$H409))*(AU199+AT199)/2*(1-AU304))</f>
        <v>0</v>
      </c>
    </row>
    <row r="410" spans="2:47" x14ac:dyDescent="0.35">
      <c r="B410" t="str">
        <f t="shared" si="276"/>
        <v/>
      </c>
      <c r="C410" t="str">
        <f t="shared" si="276"/>
        <v/>
      </c>
      <c r="D410" t="str">
        <f t="shared" si="276"/>
        <v/>
      </c>
      <c r="E410" t="str">
        <f t="shared" si="276"/>
        <v/>
      </c>
      <c r="F410" t="str">
        <f t="shared" si="276"/>
        <v/>
      </c>
      <c r="G410" t="str">
        <f t="shared" si="276"/>
        <v/>
      </c>
      <c r="H410" t="str">
        <f t="shared" si="274"/>
        <v/>
      </c>
      <c r="J410" t="str">
        <f>IF($H410="","",IF(VLOOKUP($B$395,ExpItems[],2,0),$B$395&amp;" - "&amp;INDEX(DivisionMapping[category_code],MATCH($D410&amp;$C410,DivisionMapping[dept_bu],0)),$B$395))</f>
        <v/>
      </c>
      <c r="K410" t="str">
        <f t="shared" si="275"/>
        <v/>
      </c>
      <c r="L410" s="652">
        <f>IF($B410="",,IF(LEFT($H410,5)="dummy",SUMIFS(AvgBase[Month 1],AvgBase[job_title],$H410),SUMIFS(AvgBase[Month 1],AvgBase[exp_item],$J410,AvgBase[company_name],$B410,AvgBase[bu_name],$C410,AvgBase[dept_name],$D410,AvgBase[team_consolidation],$K410,AvgBase[location_name],$G410,AvgBase[job_title],$H410))*L200/2*(1-L305))</f>
        <v>0</v>
      </c>
      <c r="M410" s="652">
        <f>IF($B410="",,IF(LEFT($H410,5)="dummy",SUMIFS(AvgBase[Month 2],AvgBase[job_title],$H410),SUMIFS(AvgBase[Month 2],AvgBase[exp_item],$J410,AvgBase[company_name],$B410,AvgBase[bu_name],$C410,AvgBase[dept_name],$D410,AvgBase[team_consolidation],$K410,AvgBase[location_name],$G410,AvgBase[job_title],$H410))*(M200+L200)/2*(1-M305))</f>
        <v>0</v>
      </c>
      <c r="N410" s="652">
        <f>IF($B410="",,IF(LEFT($H410,5)="dummy",SUMIFS(AvgBase[Month 3],AvgBase[job_title],$H410),SUMIFS(AvgBase[Month 3],AvgBase[exp_item],$J410,AvgBase[company_name],$B410,AvgBase[bu_name],$C410,AvgBase[dept_name],$D410,AvgBase[team_consolidation],$K410,AvgBase[location_name],$G410,AvgBase[job_title],$H410))*(N200+M200)/2*(1-N305))</f>
        <v>0</v>
      </c>
      <c r="O410" s="652">
        <f>IF($B410="",,IF(LEFT($H410,5)="dummy",SUMIFS(AvgBase[Month 4],AvgBase[job_title],$H410),SUMIFS(AvgBase[Month 4],AvgBase[exp_item],$J410,AvgBase[company_name],$B410,AvgBase[bu_name],$C410,AvgBase[dept_name],$D410,AvgBase[team_consolidation],$K410,AvgBase[location_name],$G410,AvgBase[job_title],$H410))*(O200+N200)/2*(1-O305))</f>
        <v>0</v>
      </c>
      <c r="P410" s="652">
        <f>IF($B410="",,IF(LEFT($H410,5)="dummy",SUMIFS(AvgBase[Month 5],AvgBase[job_title],$H410),SUMIFS(AvgBase[Month 5],AvgBase[exp_item],$J410,AvgBase[company_name],$B410,AvgBase[bu_name],$C410,AvgBase[dept_name],$D410,AvgBase[team_consolidation],$K410,AvgBase[location_name],$G410,AvgBase[job_title],$H410))*(P200+O200)/2*(1-P305))</f>
        <v>0</v>
      </c>
      <c r="Q410" s="652">
        <f>IF($B410="",,IF(LEFT($H410,5)="dummy",SUMIFS(AvgBase[Month 6],AvgBase[job_title],$H410),SUMIFS(AvgBase[Month 6],AvgBase[exp_item],$J410,AvgBase[company_name],$B410,AvgBase[bu_name],$C410,AvgBase[dept_name],$D410,AvgBase[team_consolidation],$K410,AvgBase[location_name],$G410,AvgBase[job_title],$H410))*(Q200+P200)/2*(1-Q305))</f>
        <v>0</v>
      </c>
      <c r="R410" s="652">
        <f>IF($B410="",,IF(LEFT($H410,5)="dummy",SUMIFS(AvgBase[Month 7],AvgBase[job_title],$H410),SUMIFS(AvgBase[Month 7],AvgBase[exp_item],$J410,AvgBase[company_name],$B410,AvgBase[bu_name],$C410,AvgBase[dept_name],$D410,AvgBase[team_consolidation],$K410,AvgBase[location_name],$G410,AvgBase[job_title],$H410))*(R200+Q200)/2*(1-R305))</f>
        <v>0</v>
      </c>
      <c r="S410" s="652">
        <f>IF($B410="",,IF(LEFT($H410,5)="dummy",SUMIFS(AvgBase[Month 8],AvgBase[job_title],$H410),SUMIFS(AvgBase[Month 8],AvgBase[exp_item],$J410,AvgBase[company_name],$B410,AvgBase[bu_name],$C410,AvgBase[dept_name],$D410,AvgBase[team_consolidation],$K410,AvgBase[location_name],$G410,AvgBase[job_title],$H410))*(S200+R200)/2*(1-S305))</f>
        <v>0</v>
      </c>
      <c r="T410" s="652">
        <f>IF($B410="",,IF(LEFT($H410,5)="dummy",SUMIFS(AvgBase[Month 9],AvgBase[job_title],$H410),SUMIFS(AvgBase[Month 9],AvgBase[exp_item],$J410,AvgBase[company_name],$B410,AvgBase[bu_name],$C410,AvgBase[dept_name],$D410,AvgBase[team_consolidation],$K410,AvgBase[location_name],$G410,AvgBase[job_title],$H410))*(T200+S200)/2*(1-T305))</f>
        <v>0</v>
      </c>
      <c r="U410" s="652">
        <f>IF($B410="",,IF(LEFT($H410,5)="dummy",SUMIFS(AvgBase[Month 10],AvgBase[job_title],$H410),SUMIFS(AvgBase[Month 10],AvgBase[exp_item],$J410,AvgBase[company_name],$B410,AvgBase[bu_name],$C410,AvgBase[dept_name],$D410,AvgBase[team_consolidation],$K410,AvgBase[location_name],$G410,AvgBase[job_title],$H410))*(U200+T200)/2*(1-U305))</f>
        <v>0</v>
      </c>
      <c r="V410" s="652">
        <f>IF($B410="",,IF(LEFT($H410,5)="dummy",SUMIFS(AvgBase[Month 11],AvgBase[job_title],$H410),SUMIFS(AvgBase[Month 11],AvgBase[exp_item],$J410,AvgBase[company_name],$B410,AvgBase[bu_name],$C410,AvgBase[dept_name],$D410,AvgBase[team_consolidation],$K410,AvgBase[location_name],$G410,AvgBase[job_title],$H410))*(V200+U200)/2*(1-V305))</f>
        <v>0</v>
      </c>
      <c r="W410" s="652">
        <f>IF($B410="",,IF(LEFT($H410,5)="dummy",SUMIFS(AvgBase[Month 12],AvgBase[job_title],$H410),SUMIFS(AvgBase[Month 12],AvgBase[exp_item],$J410,AvgBase[company_name],$B410,AvgBase[bu_name],$C410,AvgBase[dept_name],$D410,AvgBase[team_consolidation],$K410,AvgBase[location_name],$G410,AvgBase[job_title],$H410))*(W200+V200)/2*(1-W305))</f>
        <v>0</v>
      </c>
      <c r="X410" s="652">
        <f>IF($B410="",,IF(LEFT($H410,5)="dummy",SUMIFS(AvgBase[Month 13],AvgBase[job_title],$H410),SUMIFS(AvgBase[Month 13],AvgBase[exp_item],$J410,AvgBase[company_name],$B410,AvgBase[bu_name],$C410,AvgBase[dept_name],$D410,AvgBase[team_consolidation],$K410,AvgBase[location_name],$G410,AvgBase[job_title],$H410))*(X200+W200)/2*(1-X305))</f>
        <v>0</v>
      </c>
      <c r="Y410" s="652">
        <f>IF($B410="",,IF(LEFT($H410,5)="dummy",SUMIFS(AvgBase[Month 14],AvgBase[job_title],$H410),SUMIFS(AvgBase[Month 14],AvgBase[exp_item],$J410,AvgBase[company_name],$B410,AvgBase[bu_name],$C410,AvgBase[dept_name],$D410,AvgBase[team_consolidation],$K410,AvgBase[location_name],$G410,AvgBase[job_title],$H410))*(Y200+X200)/2*(1-Y305))</f>
        <v>0</v>
      </c>
      <c r="Z410" s="652">
        <f>IF($B410="",,IF(LEFT($H410,5)="dummy",SUMIFS(AvgBase[Month 15],AvgBase[job_title],$H410),SUMIFS(AvgBase[Month 15],AvgBase[exp_item],$J410,AvgBase[company_name],$B410,AvgBase[bu_name],$C410,AvgBase[dept_name],$D410,AvgBase[team_consolidation],$K410,AvgBase[location_name],$G410,AvgBase[job_title],$H410))*(Z200+Y200)/2*(1-Z305))</f>
        <v>0</v>
      </c>
      <c r="AA410" s="652">
        <f>IF($B410="",,IF(LEFT($H410,5)="dummy",SUMIFS(AvgBase[Month 16],AvgBase[job_title],$H410),SUMIFS(AvgBase[Month 16],AvgBase[exp_item],$J410,AvgBase[company_name],$B410,AvgBase[bu_name],$C410,AvgBase[dept_name],$D410,AvgBase[team_consolidation],$K410,AvgBase[location_name],$G410,AvgBase[job_title],$H410))*(AA200+Z200)/2*(1-AA305))</f>
        <v>0</v>
      </c>
      <c r="AB410" s="652">
        <f>IF($B410="",,IF(LEFT($H410,5)="dummy",SUMIFS(AvgBase[Month 17],AvgBase[job_title],$H410),SUMIFS(AvgBase[Month 17],AvgBase[exp_item],$J410,AvgBase[company_name],$B410,AvgBase[bu_name],$C410,AvgBase[dept_name],$D410,AvgBase[team_consolidation],$K410,AvgBase[location_name],$G410,AvgBase[job_title],$H410))*(AB200+AA200)/2*(1-AB305))</f>
        <v>0</v>
      </c>
      <c r="AC410" s="652">
        <f>IF($B410="",,IF(LEFT($H410,5)="dummy",SUMIFS(AvgBase[Month 18],AvgBase[job_title],$H410),SUMIFS(AvgBase[Month 18],AvgBase[exp_item],$J410,AvgBase[company_name],$B410,AvgBase[bu_name],$C410,AvgBase[dept_name],$D410,AvgBase[team_consolidation],$K410,AvgBase[location_name],$G410,AvgBase[job_title],$H410))*(AC200+AB200)/2*(1-AC305))</f>
        <v>0</v>
      </c>
      <c r="AD410" s="652">
        <f>IF($B410="",,IF(LEFT($H410,5)="dummy",SUMIFS(AvgBase[Month 19],AvgBase[job_title],$H410),SUMIFS(AvgBase[Month 19],AvgBase[exp_item],$J410,AvgBase[company_name],$B410,AvgBase[bu_name],$C410,AvgBase[dept_name],$D410,AvgBase[team_consolidation],$K410,AvgBase[location_name],$G410,AvgBase[job_title],$H410))*(AD200+AC200)/2*(1-AD305))</f>
        <v>0</v>
      </c>
      <c r="AE410" s="652">
        <f>IF($B410="",,IF(LEFT($H410,5)="dummy",SUMIFS(AvgBase[Month 20],AvgBase[job_title],$H410),SUMIFS(AvgBase[Month 20],AvgBase[exp_item],$J410,AvgBase[company_name],$B410,AvgBase[bu_name],$C410,AvgBase[dept_name],$D410,AvgBase[team_consolidation],$K410,AvgBase[location_name],$G410,AvgBase[job_title],$H410))*(AE200+AD200)/2*(1-AE305))</f>
        <v>0</v>
      </c>
      <c r="AF410" s="652">
        <f>IF($B410="",,IF(LEFT($H410,5)="dummy",SUMIFS(AvgBase[Month 21],AvgBase[job_title],$H410),SUMIFS(AvgBase[Month 21],AvgBase[exp_item],$J410,AvgBase[company_name],$B410,AvgBase[bu_name],$C410,AvgBase[dept_name],$D410,AvgBase[team_consolidation],$K410,AvgBase[location_name],$G410,AvgBase[job_title],$H410))*(AF200+AE200)/2*(1-AF305))</f>
        <v>0</v>
      </c>
      <c r="AG410" s="652">
        <f>IF($B410="",,IF(LEFT($H410,5)="dummy",SUMIFS(AvgBase[Month 22],AvgBase[job_title],$H410),SUMIFS(AvgBase[Month 22],AvgBase[exp_item],$J410,AvgBase[company_name],$B410,AvgBase[bu_name],$C410,AvgBase[dept_name],$D410,AvgBase[team_consolidation],$K410,AvgBase[location_name],$G410,AvgBase[job_title],$H410))*(AG200+AF200)/2*(1-AG305))</f>
        <v>0</v>
      </c>
      <c r="AH410" s="652">
        <f>IF($B410="",,IF(LEFT($H410,5)="dummy",SUMIFS(AvgBase[Month 23],AvgBase[job_title],$H410),SUMIFS(AvgBase[Month 23],AvgBase[exp_item],$J410,AvgBase[company_name],$B410,AvgBase[bu_name],$C410,AvgBase[dept_name],$D410,AvgBase[team_consolidation],$K410,AvgBase[location_name],$G410,AvgBase[job_title],$H410))*(AH200+AG200)/2*(1-AH305))</f>
        <v>0</v>
      </c>
      <c r="AI410" s="652">
        <f>IF($B410="",,IF(LEFT($H410,5)="dummy",SUMIFS(AvgBase[Month 24],AvgBase[job_title],$H410),SUMIFS(AvgBase[Month 24],AvgBase[exp_item],$J410,AvgBase[company_name],$B410,AvgBase[bu_name],$C410,AvgBase[dept_name],$D410,AvgBase[team_consolidation],$K410,AvgBase[location_name],$G410,AvgBase[job_title],$H410))*(AI200+AH200)/2*(1-AI305))</f>
        <v>0</v>
      </c>
      <c r="AJ410" s="652">
        <f>IF($B410="",,IF(LEFT($H410,5)="dummy",SUMIFS(AvgBase[Month 25],AvgBase[job_title],$H410),SUMIFS(AvgBase[Month 25],AvgBase[exp_item],$J410,AvgBase[company_name],$B410,AvgBase[bu_name],$C410,AvgBase[dept_name],$D410,AvgBase[team_consolidation],$K410,AvgBase[location_name],$G410,AvgBase[job_title],$H410))*(AJ200+AI200)/2*(1-AJ305))</f>
        <v>0</v>
      </c>
      <c r="AK410" s="652">
        <f>IF($B410="",,IF(LEFT($H410,5)="dummy",SUMIFS(AvgBase[Month 26],AvgBase[job_title],$H410),SUMIFS(AvgBase[Month 26],AvgBase[exp_item],$J410,AvgBase[company_name],$B410,AvgBase[bu_name],$C410,AvgBase[dept_name],$D410,AvgBase[team_consolidation],$K410,AvgBase[location_name],$G410,AvgBase[job_title],$H410))*(AK200+AJ200)/2*(1-AK305))</f>
        <v>0</v>
      </c>
      <c r="AL410" s="652">
        <f>IF($B410="",,IF(LEFT($H410,5)="dummy",SUMIFS(AvgBase[Month 27],AvgBase[job_title],$H410),SUMIFS(AvgBase[Month 27],AvgBase[exp_item],$J410,AvgBase[company_name],$B410,AvgBase[bu_name],$C410,AvgBase[dept_name],$D410,AvgBase[team_consolidation],$K410,AvgBase[location_name],$G410,AvgBase[job_title],$H410))*(AL200+AK200)/2*(1-AL305))</f>
        <v>0</v>
      </c>
      <c r="AM410" s="652">
        <f>IF($B410="",,IF(LEFT($H410,5)="dummy",SUMIFS(AvgBase[Month 28],AvgBase[job_title],$H410),SUMIFS(AvgBase[Month 28],AvgBase[exp_item],$J410,AvgBase[company_name],$B410,AvgBase[bu_name],$C410,AvgBase[dept_name],$D410,AvgBase[team_consolidation],$K410,AvgBase[location_name],$G410,AvgBase[job_title],$H410))*(AM200+AL200)/2*(1-AM305))</f>
        <v>0</v>
      </c>
      <c r="AN410" s="652">
        <f>IF($B410="",,IF(LEFT($H410,5)="dummy",SUMIFS(AvgBase[Month 29],AvgBase[job_title],$H410),SUMIFS(AvgBase[Month 29],AvgBase[exp_item],$J410,AvgBase[company_name],$B410,AvgBase[bu_name],$C410,AvgBase[dept_name],$D410,AvgBase[team_consolidation],$K410,AvgBase[location_name],$G410,AvgBase[job_title],$H410))*(AN200+AM200)/2*(1-AN305))</f>
        <v>0</v>
      </c>
      <c r="AO410" s="652">
        <f>IF($B410="",,IF(LEFT($H410,5)="dummy",SUMIFS(AvgBase[Month 30],AvgBase[job_title],$H410),SUMIFS(AvgBase[Month 30],AvgBase[exp_item],$J410,AvgBase[company_name],$B410,AvgBase[bu_name],$C410,AvgBase[dept_name],$D410,AvgBase[team_consolidation],$K410,AvgBase[location_name],$G410,AvgBase[job_title],$H410))*(AO200+AN200)/2*(1-AO305))</f>
        <v>0</v>
      </c>
      <c r="AP410" s="652">
        <f>IF($B410="",,IF(LEFT($H410,5)="dummy",SUMIFS(AvgBase[Month 31],AvgBase[job_title],$H410),SUMIFS(AvgBase[Month 31],AvgBase[exp_item],$J410,AvgBase[company_name],$B410,AvgBase[bu_name],$C410,AvgBase[dept_name],$D410,AvgBase[team_consolidation],$K410,AvgBase[location_name],$G410,AvgBase[job_title],$H410))*(AP200+AO200)/2*(1-AP305))</f>
        <v>0</v>
      </c>
      <c r="AQ410" s="652">
        <f>IF($B410="",,IF(LEFT($H410,5)="dummy",SUMIFS(AvgBase[Month 32],AvgBase[job_title],$H410),SUMIFS(AvgBase[Month 32],AvgBase[exp_item],$J410,AvgBase[company_name],$B410,AvgBase[bu_name],$C410,AvgBase[dept_name],$D410,AvgBase[team_consolidation],$K410,AvgBase[location_name],$G410,AvgBase[job_title],$H410))*(AQ200+AP200)/2*(1-AQ305))</f>
        <v>0</v>
      </c>
      <c r="AR410" s="652">
        <f>IF($B410="",,IF(LEFT($H410,5)="dummy",SUMIFS(AvgBase[Month 33],AvgBase[job_title],$H410),SUMIFS(AvgBase[Month 33],AvgBase[exp_item],$J410,AvgBase[company_name],$B410,AvgBase[bu_name],$C410,AvgBase[dept_name],$D410,AvgBase[team_consolidation],$K410,AvgBase[location_name],$G410,AvgBase[job_title],$H410))*(AR200+AQ200)/2*(1-AR305))</f>
        <v>0</v>
      </c>
      <c r="AS410" s="652">
        <f>IF($B410="",,IF(LEFT($H410,5)="dummy",SUMIFS(AvgBase[Month 34],AvgBase[job_title],$H410),SUMIFS(AvgBase[Month 34],AvgBase[exp_item],$J410,AvgBase[company_name],$B410,AvgBase[bu_name],$C410,AvgBase[dept_name],$D410,AvgBase[team_consolidation],$K410,AvgBase[location_name],$G410,AvgBase[job_title],$H410))*(AS200+AR200)/2*(1-AS305))</f>
        <v>0</v>
      </c>
      <c r="AT410" s="652">
        <f>IF($B410="",,IF(LEFT($H410,5)="dummy",SUMIFS(AvgBase[Month 35],AvgBase[job_title],$H410),SUMIFS(AvgBase[Month 35],AvgBase[exp_item],$J410,AvgBase[company_name],$B410,AvgBase[bu_name],$C410,AvgBase[dept_name],$D410,AvgBase[team_consolidation],$K410,AvgBase[location_name],$G410,AvgBase[job_title],$H410))*(AT200+AS200)/2*(1-AT305))</f>
        <v>0</v>
      </c>
      <c r="AU410" s="652">
        <f>IF($B410="",,IF(LEFT($H410,5)="dummy",SUMIFS(AvgBase[Month 36],AvgBase[job_title],$H410),SUMIFS(AvgBase[Month 36],AvgBase[exp_item],$J410,AvgBase[company_name],$B410,AvgBase[bu_name],$C410,AvgBase[dept_name],$D410,AvgBase[team_consolidation],$K410,AvgBase[location_name],$G410,AvgBase[job_title],$H410))*(AU200+AT200)/2*(1-AU305))</f>
        <v>0</v>
      </c>
    </row>
    <row r="411" spans="2:47" x14ac:dyDescent="0.35">
      <c r="B411" t="str">
        <f t="shared" si="276"/>
        <v/>
      </c>
      <c r="C411" t="str">
        <f t="shared" si="276"/>
        <v/>
      </c>
      <c r="D411" t="str">
        <f t="shared" si="276"/>
        <v/>
      </c>
      <c r="E411" t="str">
        <f t="shared" si="276"/>
        <v/>
      </c>
      <c r="F411" t="str">
        <f t="shared" si="276"/>
        <v/>
      </c>
      <c r="G411" t="str">
        <f t="shared" si="276"/>
        <v/>
      </c>
      <c r="H411" t="str">
        <f t="shared" si="274"/>
        <v/>
      </c>
      <c r="J411" t="str">
        <f>IF($H411="","",IF(VLOOKUP($B$395,ExpItems[],2,0),$B$395&amp;" - "&amp;INDEX(DivisionMapping[category_code],MATCH($D411&amp;$C411,DivisionMapping[dept_bu],0)),$B$395))</f>
        <v/>
      </c>
      <c r="K411" t="str">
        <f t="shared" si="275"/>
        <v/>
      </c>
      <c r="L411" s="652">
        <f>IF($B411="",,IF(LEFT($H411,5)="dummy",SUMIFS(AvgBase[Month 1],AvgBase[job_title],$H411),SUMIFS(AvgBase[Month 1],AvgBase[exp_item],$J411,AvgBase[company_name],$B411,AvgBase[bu_name],$C411,AvgBase[dept_name],$D411,AvgBase[team_consolidation],$K411,AvgBase[location_name],$G411,AvgBase[job_title],$H411))*L201/2*(1-L306))</f>
        <v>0</v>
      </c>
      <c r="M411" s="652">
        <f>IF($B411="",,IF(LEFT($H411,5)="dummy",SUMIFS(AvgBase[Month 2],AvgBase[job_title],$H411),SUMIFS(AvgBase[Month 2],AvgBase[exp_item],$J411,AvgBase[company_name],$B411,AvgBase[bu_name],$C411,AvgBase[dept_name],$D411,AvgBase[team_consolidation],$K411,AvgBase[location_name],$G411,AvgBase[job_title],$H411))*(M201+L201)/2*(1-M306))</f>
        <v>0</v>
      </c>
      <c r="N411" s="652">
        <f>IF($B411="",,IF(LEFT($H411,5)="dummy",SUMIFS(AvgBase[Month 3],AvgBase[job_title],$H411),SUMIFS(AvgBase[Month 3],AvgBase[exp_item],$J411,AvgBase[company_name],$B411,AvgBase[bu_name],$C411,AvgBase[dept_name],$D411,AvgBase[team_consolidation],$K411,AvgBase[location_name],$G411,AvgBase[job_title],$H411))*(N201+M201)/2*(1-N306))</f>
        <v>0</v>
      </c>
      <c r="O411" s="652">
        <f>IF($B411="",,IF(LEFT($H411,5)="dummy",SUMIFS(AvgBase[Month 4],AvgBase[job_title],$H411),SUMIFS(AvgBase[Month 4],AvgBase[exp_item],$J411,AvgBase[company_name],$B411,AvgBase[bu_name],$C411,AvgBase[dept_name],$D411,AvgBase[team_consolidation],$K411,AvgBase[location_name],$G411,AvgBase[job_title],$H411))*(O201+N201)/2*(1-O306))</f>
        <v>0</v>
      </c>
      <c r="P411" s="652">
        <f>IF($B411="",,IF(LEFT($H411,5)="dummy",SUMIFS(AvgBase[Month 5],AvgBase[job_title],$H411),SUMIFS(AvgBase[Month 5],AvgBase[exp_item],$J411,AvgBase[company_name],$B411,AvgBase[bu_name],$C411,AvgBase[dept_name],$D411,AvgBase[team_consolidation],$K411,AvgBase[location_name],$G411,AvgBase[job_title],$H411))*(P201+O201)/2*(1-P306))</f>
        <v>0</v>
      </c>
      <c r="Q411" s="652">
        <f>IF($B411="",,IF(LEFT($H411,5)="dummy",SUMIFS(AvgBase[Month 6],AvgBase[job_title],$H411),SUMIFS(AvgBase[Month 6],AvgBase[exp_item],$J411,AvgBase[company_name],$B411,AvgBase[bu_name],$C411,AvgBase[dept_name],$D411,AvgBase[team_consolidation],$K411,AvgBase[location_name],$G411,AvgBase[job_title],$H411))*(Q201+P201)/2*(1-Q306))</f>
        <v>0</v>
      </c>
      <c r="R411" s="652">
        <f>IF($B411="",,IF(LEFT($H411,5)="dummy",SUMIFS(AvgBase[Month 7],AvgBase[job_title],$H411),SUMIFS(AvgBase[Month 7],AvgBase[exp_item],$J411,AvgBase[company_name],$B411,AvgBase[bu_name],$C411,AvgBase[dept_name],$D411,AvgBase[team_consolidation],$K411,AvgBase[location_name],$G411,AvgBase[job_title],$H411))*(R201+Q201)/2*(1-R306))</f>
        <v>0</v>
      </c>
      <c r="S411" s="652">
        <f>IF($B411="",,IF(LEFT($H411,5)="dummy",SUMIFS(AvgBase[Month 8],AvgBase[job_title],$H411),SUMIFS(AvgBase[Month 8],AvgBase[exp_item],$J411,AvgBase[company_name],$B411,AvgBase[bu_name],$C411,AvgBase[dept_name],$D411,AvgBase[team_consolidation],$K411,AvgBase[location_name],$G411,AvgBase[job_title],$H411))*(S201+R201)/2*(1-S306))</f>
        <v>0</v>
      </c>
      <c r="T411" s="652">
        <f>IF($B411="",,IF(LEFT($H411,5)="dummy",SUMIFS(AvgBase[Month 9],AvgBase[job_title],$H411),SUMIFS(AvgBase[Month 9],AvgBase[exp_item],$J411,AvgBase[company_name],$B411,AvgBase[bu_name],$C411,AvgBase[dept_name],$D411,AvgBase[team_consolidation],$K411,AvgBase[location_name],$G411,AvgBase[job_title],$H411))*(T201+S201)/2*(1-T306))</f>
        <v>0</v>
      </c>
      <c r="U411" s="652">
        <f>IF($B411="",,IF(LEFT($H411,5)="dummy",SUMIFS(AvgBase[Month 10],AvgBase[job_title],$H411),SUMIFS(AvgBase[Month 10],AvgBase[exp_item],$J411,AvgBase[company_name],$B411,AvgBase[bu_name],$C411,AvgBase[dept_name],$D411,AvgBase[team_consolidation],$K411,AvgBase[location_name],$G411,AvgBase[job_title],$H411))*(U201+T201)/2*(1-U306))</f>
        <v>0</v>
      </c>
      <c r="V411" s="652">
        <f>IF($B411="",,IF(LEFT($H411,5)="dummy",SUMIFS(AvgBase[Month 11],AvgBase[job_title],$H411),SUMIFS(AvgBase[Month 11],AvgBase[exp_item],$J411,AvgBase[company_name],$B411,AvgBase[bu_name],$C411,AvgBase[dept_name],$D411,AvgBase[team_consolidation],$K411,AvgBase[location_name],$G411,AvgBase[job_title],$H411))*(V201+U201)/2*(1-V306))</f>
        <v>0</v>
      </c>
      <c r="W411" s="652">
        <f>IF($B411="",,IF(LEFT($H411,5)="dummy",SUMIFS(AvgBase[Month 12],AvgBase[job_title],$H411),SUMIFS(AvgBase[Month 12],AvgBase[exp_item],$J411,AvgBase[company_name],$B411,AvgBase[bu_name],$C411,AvgBase[dept_name],$D411,AvgBase[team_consolidation],$K411,AvgBase[location_name],$G411,AvgBase[job_title],$H411))*(W201+V201)/2*(1-W306))</f>
        <v>0</v>
      </c>
      <c r="X411" s="652">
        <f>IF($B411="",,IF(LEFT($H411,5)="dummy",SUMIFS(AvgBase[Month 13],AvgBase[job_title],$H411),SUMIFS(AvgBase[Month 13],AvgBase[exp_item],$J411,AvgBase[company_name],$B411,AvgBase[bu_name],$C411,AvgBase[dept_name],$D411,AvgBase[team_consolidation],$K411,AvgBase[location_name],$G411,AvgBase[job_title],$H411))*(X201+W201)/2*(1-X306))</f>
        <v>0</v>
      </c>
      <c r="Y411" s="652">
        <f>IF($B411="",,IF(LEFT($H411,5)="dummy",SUMIFS(AvgBase[Month 14],AvgBase[job_title],$H411),SUMIFS(AvgBase[Month 14],AvgBase[exp_item],$J411,AvgBase[company_name],$B411,AvgBase[bu_name],$C411,AvgBase[dept_name],$D411,AvgBase[team_consolidation],$K411,AvgBase[location_name],$G411,AvgBase[job_title],$H411))*(Y201+X201)/2*(1-Y306))</f>
        <v>0</v>
      </c>
      <c r="Z411" s="652">
        <f>IF($B411="",,IF(LEFT($H411,5)="dummy",SUMIFS(AvgBase[Month 15],AvgBase[job_title],$H411),SUMIFS(AvgBase[Month 15],AvgBase[exp_item],$J411,AvgBase[company_name],$B411,AvgBase[bu_name],$C411,AvgBase[dept_name],$D411,AvgBase[team_consolidation],$K411,AvgBase[location_name],$G411,AvgBase[job_title],$H411))*(Z201+Y201)/2*(1-Z306))</f>
        <v>0</v>
      </c>
      <c r="AA411" s="652">
        <f>IF($B411="",,IF(LEFT($H411,5)="dummy",SUMIFS(AvgBase[Month 16],AvgBase[job_title],$H411),SUMIFS(AvgBase[Month 16],AvgBase[exp_item],$J411,AvgBase[company_name],$B411,AvgBase[bu_name],$C411,AvgBase[dept_name],$D411,AvgBase[team_consolidation],$K411,AvgBase[location_name],$G411,AvgBase[job_title],$H411))*(AA201+Z201)/2*(1-AA306))</f>
        <v>0</v>
      </c>
      <c r="AB411" s="652">
        <f>IF($B411="",,IF(LEFT($H411,5)="dummy",SUMIFS(AvgBase[Month 17],AvgBase[job_title],$H411),SUMIFS(AvgBase[Month 17],AvgBase[exp_item],$J411,AvgBase[company_name],$B411,AvgBase[bu_name],$C411,AvgBase[dept_name],$D411,AvgBase[team_consolidation],$K411,AvgBase[location_name],$G411,AvgBase[job_title],$H411))*(AB201+AA201)/2*(1-AB306))</f>
        <v>0</v>
      </c>
      <c r="AC411" s="652">
        <f>IF($B411="",,IF(LEFT($H411,5)="dummy",SUMIFS(AvgBase[Month 18],AvgBase[job_title],$H411),SUMIFS(AvgBase[Month 18],AvgBase[exp_item],$J411,AvgBase[company_name],$B411,AvgBase[bu_name],$C411,AvgBase[dept_name],$D411,AvgBase[team_consolidation],$K411,AvgBase[location_name],$G411,AvgBase[job_title],$H411))*(AC201+AB201)/2*(1-AC306))</f>
        <v>0</v>
      </c>
      <c r="AD411" s="652">
        <f>IF($B411="",,IF(LEFT($H411,5)="dummy",SUMIFS(AvgBase[Month 19],AvgBase[job_title],$H411),SUMIFS(AvgBase[Month 19],AvgBase[exp_item],$J411,AvgBase[company_name],$B411,AvgBase[bu_name],$C411,AvgBase[dept_name],$D411,AvgBase[team_consolidation],$K411,AvgBase[location_name],$G411,AvgBase[job_title],$H411))*(AD201+AC201)/2*(1-AD306))</f>
        <v>0</v>
      </c>
      <c r="AE411" s="652">
        <f>IF($B411="",,IF(LEFT($H411,5)="dummy",SUMIFS(AvgBase[Month 20],AvgBase[job_title],$H411),SUMIFS(AvgBase[Month 20],AvgBase[exp_item],$J411,AvgBase[company_name],$B411,AvgBase[bu_name],$C411,AvgBase[dept_name],$D411,AvgBase[team_consolidation],$K411,AvgBase[location_name],$G411,AvgBase[job_title],$H411))*(AE201+AD201)/2*(1-AE306))</f>
        <v>0</v>
      </c>
      <c r="AF411" s="652">
        <f>IF($B411="",,IF(LEFT($H411,5)="dummy",SUMIFS(AvgBase[Month 21],AvgBase[job_title],$H411),SUMIFS(AvgBase[Month 21],AvgBase[exp_item],$J411,AvgBase[company_name],$B411,AvgBase[bu_name],$C411,AvgBase[dept_name],$D411,AvgBase[team_consolidation],$K411,AvgBase[location_name],$G411,AvgBase[job_title],$H411))*(AF201+AE201)/2*(1-AF306))</f>
        <v>0</v>
      </c>
      <c r="AG411" s="652">
        <f>IF($B411="",,IF(LEFT($H411,5)="dummy",SUMIFS(AvgBase[Month 22],AvgBase[job_title],$H411),SUMIFS(AvgBase[Month 22],AvgBase[exp_item],$J411,AvgBase[company_name],$B411,AvgBase[bu_name],$C411,AvgBase[dept_name],$D411,AvgBase[team_consolidation],$K411,AvgBase[location_name],$G411,AvgBase[job_title],$H411))*(AG201+AF201)/2*(1-AG306))</f>
        <v>0</v>
      </c>
      <c r="AH411" s="652">
        <f>IF($B411="",,IF(LEFT($H411,5)="dummy",SUMIFS(AvgBase[Month 23],AvgBase[job_title],$H411),SUMIFS(AvgBase[Month 23],AvgBase[exp_item],$J411,AvgBase[company_name],$B411,AvgBase[bu_name],$C411,AvgBase[dept_name],$D411,AvgBase[team_consolidation],$K411,AvgBase[location_name],$G411,AvgBase[job_title],$H411))*(AH201+AG201)/2*(1-AH306))</f>
        <v>0</v>
      </c>
      <c r="AI411" s="652">
        <f>IF($B411="",,IF(LEFT($H411,5)="dummy",SUMIFS(AvgBase[Month 24],AvgBase[job_title],$H411),SUMIFS(AvgBase[Month 24],AvgBase[exp_item],$J411,AvgBase[company_name],$B411,AvgBase[bu_name],$C411,AvgBase[dept_name],$D411,AvgBase[team_consolidation],$K411,AvgBase[location_name],$G411,AvgBase[job_title],$H411))*(AI201+AH201)/2*(1-AI306))</f>
        <v>0</v>
      </c>
      <c r="AJ411" s="652">
        <f>IF($B411="",,IF(LEFT($H411,5)="dummy",SUMIFS(AvgBase[Month 25],AvgBase[job_title],$H411),SUMIFS(AvgBase[Month 25],AvgBase[exp_item],$J411,AvgBase[company_name],$B411,AvgBase[bu_name],$C411,AvgBase[dept_name],$D411,AvgBase[team_consolidation],$K411,AvgBase[location_name],$G411,AvgBase[job_title],$H411))*(AJ201+AI201)/2*(1-AJ306))</f>
        <v>0</v>
      </c>
      <c r="AK411" s="652">
        <f>IF($B411="",,IF(LEFT($H411,5)="dummy",SUMIFS(AvgBase[Month 26],AvgBase[job_title],$H411),SUMIFS(AvgBase[Month 26],AvgBase[exp_item],$J411,AvgBase[company_name],$B411,AvgBase[bu_name],$C411,AvgBase[dept_name],$D411,AvgBase[team_consolidation],$K411,AvgBase[location_name],$G411,AvgBase[job_title],$H411))*(AK201+AJ201)/2*(1-AK306))</f>
        <v>0</v>
      </c>
      <c r="AL411" s="652">
        <f>IF($B411="",,IF(LEFT($H411,5)="dummy",SUMIFS(AvgBase[Month 27],AvgBase[job_title],$H411),SUMIFS(AvgBase[Month 27],AvgBase[exp_item],$J411,AvgBase[company_name],$B411,AvgBase[bu_name],$C411,AvgBase[dept_name],$D411,AvgBase[team_consolidation],$K411,AvgBase[location_name],$G411,AvgBase[job_title],$H411))*(AL201+AK201)/2*(1-AL306))</f>
        <v>0</v>
      </c>
      <c r="AM411" s="652">
        <f>IF($B411="",,IF(LEFT($H411,5)="dummy",SUMIFS(AvgBase[Month 28],AvgBase[job_title],$H411),SUMIFS(AvgBase[Month 28],AvgBase[exp_item],$J411,AvgBase[company_name],$B411,AvgBase[bu_name],$C411,AvgBase[dept_name],$D411,AvgBase[team_consolidation],$K411,AvgBase[location_name],$G411,AvgBase[job_title],$H411))*(AM201+AL201)/2*(1-AM306))</f>
        <v>0</v>
      </c>
      <c r="AN411" s="652">
        <f>IF($B411="",,IF(LEFT($H411,5)="dummy",SUMIFS(AvgBase[Month 29],AvgBase[job_title],$H411),SUMIFS(AvgBase[Month 29],AvgBase[exp_item],$J411,AvgBase[company_name],$B411,AvgBase[bu_name],$C411,AvgBase[dept_name],$D411,AvgBase[team_consolidation],$K411,AvgBase[location_name],$G411,AvgBase[job_title],$H411))*(AN201+AM201)/2*(1-AN306))</f>
        <v>0</v>
      </c>
      <c r="AO411" s="652">
        <f>IF($B411="",,IF(LEFT($H411,5)="dummy",SUMIFS(AvgBase[Month 30],AvgBase[job_title],$H411),SUMIFS(AvgBase[Month 30],AvgBase[exp_item],$J411,AvgBase[company_name],$B411,AvgBase[bu_name],$C411,AvgBase[dept_name],$D411,AvgBase[team_consolidation],$K411,AvgBase[location_name],$G411,AvgBase[job_title],$H411))*(AO201+AN201)/2*(1-AO306))</f>
        <v>0</v>
      </c>
      <c r="AP411" s="652">
        <f>IF($B411="",,IF(LEFT($H411,5)="dummy",SUMIFS(AvgBase[Month 31],AvgBase[job_title],$H411),SUMIFS(AvgBase[Month 31],AvgBase[exp_item],$J411,AvgBase[company_name],$B411,AvgBase[bu_name],$C411,AvgBase[dept_name],$D411,AvgBase[team_consolidation],$K411,AvgBase[location_name],$G411,AvgBase[job_title],$H411))*(AP201+AO201)/2*(1-AP306))</f>
        <v>0</v>
      </c>
      <c r="AQ411" s="652">
        <f>IF($B411="",,IF(LEFT($H411,5)="dummy",SUMIFS(AvgBase[Month 32],AvgBase[job_title],$H411),SUMIFS(AvgBase[Month 32],AvgBase[exp_item],$J411,AvgBase[company_name],$B411,AvgBase[bu_name],$C411,AvgBase[dept_name],$D411,AvgBase[team_consolidation],$K411,AvgBase[location_name],$G411,AvgBase[job_title],$H411))*(AQ201+AP201)/2*(1-AQ306))</f>
        <v>0</v>
      </c>
      <c r="AR411" s="652">
        <f>IF($B411="",,IF(LEFT($H411,5)="dummy",SUMIFS(AvgBase[Month 33],AvgBase[job_title],$H411),SUMIFS(AvgBase[Month 33],AvgBase[exp_item],$J411,AvgBase[company_name],$B411,AvgBase[bu_name],$C411,AvgBase[dept_name],$D411,AvgBase[team_consolidation],$K411,AvgBase[location_name],$G411,AvgBase[job_title],$H411))*(AR201+AQ201)/2*(1-AR306))</f>
        <v>0</v>
      </c>
      <c r="AS411" s="652">
        <f>IF($B411="",,IF(LEFT($H411,5)="dummy",SUMIFS(AvgBase[Month 34],AvgBase[job_title],$H411),SUMIFS(AvgBase[Month 34],AvgBase[exp_item],$J411,AvgBase[company_name],$B411,AvgBase[bu_name],$C411,AvgBase[dept_name],$D411,AvgBase[team_consolidation],$K411,AvgBase[location_name],$G411,AvgBase[job_title],$H411))*(AS201+AR201)/2*(1-AS306))</f>
        <v>0</v>
      </c>
      <c r="AT411" s="652">
        <f>IF($B411="",,IF(LEFT($H411,5)="dummy",SUMIFS(AvgBase[Month 35],AvgBase[job_title],$H411),SUMIFS(AvgBase[Month 35],AvgBase[exp_item],$J411,AvgBase[company_name],$B411,AvgBase[bu_name],$C411,AvgBase[dept_name],$D411,AvgBase[team_consolidation],$K411,AvgBase[location_name],$G411,AvgBase[job_title],$H411))*(AT201+AS201)/2*(1-AT306))</f>
        <v>0</v>
      </c>
      <c r="AU411" s="652">
        <f>IF($B411="",,IF(LEFT($H411,5)="dummy",SUMIFS(AvgBase[Month 36],AvgBase[job_title],$H411),SUMIFS(AvgBase[Month 36],AvgBase[exp_item],$J411,AvgBase[company_name],$B411,AvgBase[bu_name],$C411,AvgBase[dept_name],$D411,AvgBase[team_consolidation],$K411,AvgBase[location_name],$G411,AvgBase[job_title],$H411))*(AU201+AT201)/2*(1-AU306))</f>
        <v>0</v>
      </c>
    </row>
    <row r="412" spans="2:47" x14ac:dyDescent="0.35">
      <c r="B412" t="str">
        <f t="shared" si="276"/>
        <v/>
      </c>
      <c r="C412" t="str">
        <f t="shared" si="276"/>
        <v/>
      </c>
      <c r="D412" t="str">
        <f t="shared" si="276"/>
        <v/>
      </c>
      <c r="E412" t="str">
        <f t="shared" si="276"/>
        <v/>
      </c>
      <c r="F412" t="str">
        <f t="shared" si="276"/>
        <v/>
      </c>
      <c r="G412" t="str">
        <f t="shared" si="276"/>
        <v/>
      </c>
      <c r="H412" t="str">
        <f t="shared" si="274"/>
        <v/>
      </c>
      <c r="J412" t="str">
        <f>IF($H412="","",IF(VLOOKUP($B$395,ExpItems[],2,0),$B$395&amp;" - "&amp;INDEX(DivisionMapping[category_code],MATCH($D412&amp;$C412,DivisionMapping[dept_bu],0)),$B$395))</f>
        <v/>
      </c>
      <c r="K412" t="str">
        <f t="shared" si="275"/>
        <v/>
      </c>
      <c r="L412" s="652">
        <f>IF($B412="",,IF(LEFT($H412,5)="dummy",SUMIFS(AvgBase[Month 1],AvgBase[job_title],$H412),SUMIFS(AvgBase[Month 1],AvgBase[exp_item],$J412,AvgBase[company_name],$B412,AvgBase[bu_name],$C412,AvgBase[dept_name],$D412,AvgBase[team_consolidation],$K412,AvgBase[location_name],$G412,AvgBase[job_title],$H412))*L202/2*(1-L307))</f>
        <v>0</v>
      </c>
      <c r="M412" s="652">
        <f>IF($B412="",,IF(LEFT($H412,5)="dummy",SUMIFS(AvgBase[Month 2],AvgBase[job_title],$H412),SUMIFS(AvgBase[Month 2],AvgBase[exp_item],$J412,AvgBase[company_name],$B412,AvgBase[bu_name],$C412,AvgBase[dept_name],$D412,AvgBase[team_consolidation],$K412,AvgBase[location_name],$G412,AvgBase[job_title],$H412))*(M202+L202)/2*(1-M307))</f>
        <v>0</v>
      </c>
      <c r="N412" s="652">
        <f>IF($B412="",,IF(LEFT($H412,5)="dummy",SUMIFS(AvgBase[Month 3],AvgBase[job_title],$H412),SUMIFS(AvgBase[Month 3],AvgBase[exp_item],$J412,AvgBase[company_name],$B412,AvgBase[bu_name],$C412,AvgBase[dept_name],$D412,AvgBase[team_consolidation],$K412,AvgBase[location_name],$G412,AvgBase[job_title],$H412))*(N202+M202)/2*(1-N307))</f>
        <v>0</v>
      </c>
      <c r="O412" s="652">
        <f>IF($B412="",,IF(LEFT($H412,5)="dummy",SUMIFS(AvgBase[Month 4],AvgBase[job_title],$H412),SUMIFS(AvgBase[Month 4],AvgBase[exp_item],$J412,AvgBase[company_name],$B412,AvgBase[bu_name],$C412,AvgBase[dept_name],$D412,AvgBase[team_consolidation],$K412,AvgBase[location_name],$G412,AvgBase[job_title],$H412))*(O202+N202)/2*(1-O307))</f>
        <v>0</v>
      </c>
      <c r="P412" s="652">
        <f>IF($B412="",,IF(LEFT($H412,5)="dummy",SUMIFS(AvgBase[Month 5],AvgBase[job_title],$H412),SUMIFS(AvgBase[Month 5],AvgBase[exp_item],$J412,AvgBase[company_name],$B412,AvgBase[bu_name],$C412,AvgBase[dept_name],$D412,AvgBase[team_consolidation],$K412,AvgBase[location_name],$G412,AvgBase[job_title],$H412))*(P202+O202)/2*(1-P307))</f>
        <v>0</v>
      </c>
      <c r="Q412" s="652">
        <f>IF($B412="",,IF(LEFT($H412,5)="dummy",SUMIFS(AvgBase[Month 6],AvgBase[job_title],$H412),SUMIFS(AvgBase[Month 6],AvgBase[exp_item],$J412,AvgBase[company_name],$B412,AvgBase[bu_name],$C412,AvgBase[dept_name],$D412,AvgBase[team_consolidation],$K412,AvgBase[location_name],$G412,AvgBase[job_title],$H412))*(Q202+P202)/2*(1-Q307))</f>
        <v>0</v>
      </c>
      <c r="R412" s="652">
        <f>IF($B412="",,IF(LEFT($H412,5)="dummy",SUMIFS(AvgBase[Month 7],AvgBase[job_title],$H412),SUMIFS(AvgBase[Month 7],AvgBase[exp_item],$J412,AvgBase[company_name],$B412,AvgBase[bu_name],$C412,AvgBase[dept_name],$D412,AvgBase[team_consolidation],$K412,AvgBase[location_name],$G412,AvgBase[job_title],$H412))*(R202+Q202)/2*(1-R307))</f>
        <v>0</v>
      </c>
      <c r="S412" s="652">
        <f>IF($B412="",,IF(LEFT($H412,5)="dummy",SUMIFS(AvgBase[Month 8],AvgBase[job_title],$H412),SUMIFS(AvgBase[Month 8],AvgBase[exp_item],$J412,AvgBase[company_name],$B412,AvgBase[bu_name],$C412,AvgBase[dept_name],$D412,AvgBase[team_consolidation],$K412,AvgBase[location_name],$G412,AvgBase[job_title],$H412))*(S202+R202)/2*(1-S307))</f>
        <v>0</v>
      </c>
      <c r="T412" s="652">
        <f>IF($B412="",,IF(LEFT($H412,5)="dummy",SUMIFS(AvgBase[Month 9],AvgBase[job_title],$H412),SUMIFS(AvgBase[Month 9],AvgBase[exp_item],$J412,AvgBase[company_name],$B412,AvgBase[bu_name],$C412,AvgBase[dept_name],$D412,AvgBase[team_consolidation],$K412,AvgBase[location_name],$G412,AvgBase[job_title],$H412))*(T202+S202)/2*(1-T307))</f>
        <v>0</v>
      </c>
      <c r="U412" s="652">
        <f>IF($B412="",,IF(LEFT($H412,5)="dummy",SUMIFS(AvgBase[Month 10],AvgBase[job_title],$H412),SUMIFS(AvgBase[Month 10],AvgBase[exp_item],$J412,AvgBase[company_name],$B412,AvgBase[bu_name],$C412,AvgBase[dept_name],$D412,AvgBase[team_consolidation],$K412,AvgBase[location_name],$G412,AvgBase[job_title],$H412))*(U202+T202)/2*(1-U307))</f>
        <v>0</v>
      </c>
      <c r="V412" s="652">
        <f>IF($B412="",,IF(LEFT($H412,5)="dummy",SUMIFS(AvgBase[Month 11],AvgBase[job_title],$H412),SUMIFS(AvgBase[Month 11],AvgBase[exp_item],$J412,AvgBase[company_name],$B412,AvgBase[bu_name],$C412,AvgBase[dept_name],$D412,AvgBase[team_consolidation],$K412,AvgBase[location_name],$G412,AvgBase[job_title],$H412))*(V202+U202)/2*(1-V307))</f>
        <v>0</v>
      </c>
      <c r="W412" s="652">
        <f>IF($B412="",,IF(LEFT($H412,5)="dummy",SUMIFS(AvgBase[Month 12],AvgBase[job_title],$H412),SUMIFS(AvgBase[Month 12],AvgBase[exp_item],$J412,AvgBase[company_name],$B412,AvgBase[bu_name],$C412,AvgBase[dept_name],$D412,AvgBase[team_consolidation],$K412,AvgBase[location_name],$G412,AvgBase[job_title],$H412))*(W202+V202)/2*(1-W307))</f>
        <v>0</v>
      </c>
      <c r="X412" s="652">
        <f>IF($B412="",,IF(LEFT($H412,5)="dummy",SUMIFS(AvgBase[Month 13],AvgBase[job_title],$H412),SUMIFS(AvgBase[Month 13],AvgBase[exp_item],$J412,AvgBase[company_name],$B412,AvgBase[bu_name],$C412,AvgBase[dept_name],$D412,AvgBase[team_consolidation],$K412,AvgBase[location_name],$G412,AvgBase[job_title],$H412))*(X202+W202)/2*(1-X307))</f>
        <v>0</v>
      </c>
      <c r="Y412" s="652">
        <f>IF($B412="",,IF(LEFT($H412,5)="dummy",SUMIFS(AvgBase[Month 14],AvgBase[job_title],$H412),SUMIFS(AvgBase[Month 14],AvgBase[exp_item],$J412,AvgBase[company_name],$B412,AvgBase[bu_name],$C412,AvgBase[dept_name],$D412,AvgBase[team_consolidation],$K412,AvgBase[location_name],$G412,AvgBase[job_title],$H412))*(Y202+X202)/2*(1-Y307))</f>
        <v>0</v>
      </c>
      <c r="Z412" s="652">
        <f>IF($B412="",,IF(LEFT($H412,5)="dummy",SUMIFS(AvgBase[Month 15],AvgBase[job_title],$H412),SUMIFS(AvgBase[Month 15],AvgBase[exp_item],$J412,AvgBase[company_name],$B412,AvgBase[bu_name],$C412,AvgBase[dept_name],$D412,AvgBase[team_consolidation],$K412,AvgBase[location_name],$G412,AvgBase[job_title],$H412))*(Z202+Y202)/2*(1-Z307))</f>
        <v>0</v>
      </c>
      <c r="AA412" s="652">
        <f>IF($B412="",,IF(LEFT($H412,5)="dummy",SUMIFS(AvgBase[Month 16],AvgBase[job_title],$H412),SUMIFS(AvgBase[Month 16],AvgBase[exp_item],$J412,AvgBase[company_name],$B412,AvgBase[bu_name],$C412,AvgBase[dept_name],$D412,AvgBase[team_consolidation],$K412,AvgBase[location_name],$G412,AvgBase[job_title],$H412))*(AA202+Z202)/2*(1-AA307))</f>
        <v>0</v>
      </c>
      <c r="AB412" s="652">
        <f>IF($B412="",,IF(LEFT($H412,5)="dummy",SUMIFS(AvgBase[Month 17],AvgBase[job_title],$H412),SUMIFS(AvgBase[Month 17],AvgBase[exp_item],$J412,AvgBase[company_name],$B412,AvgBase[bu_name],$C412,AvgBase[dept_name],$D412,AvgBase[team_consolidation],$K412,AvgBase[location_name],$G412,AvgBase[job_title],$H412))*(AB202+AA202)/2*(1-AB307))</f>
        <v>0</v>
      </c>
      <c r="AC412" s="652">
        <f>IF($B412="",,IF(LEFT($H412,5)="dummy",SUMIFS(AvgBase[Month 18],AvgBase[job_title],$H412),SUMIFS(AvgBase[Month 18],AvgBase[exp_item],$J412,AvgBase[company_name],$B412,AvgBase[bu_name],$C412,AvgBase[dept_name],$D412,AvgBase[team_consolidation],$K412,AvgBase[location_name],$G412,AvgBase[job_title],$H412))*(AC202+AB202)/2*(1-AC307))</f>
        <v>0</v>
      </c>
      <c r="AD412" s="652">
        <f>IF($B412="",,IF(LEFT($H412,5)="dummy",SUMIFS(AvgBase[Month 19],AvgBase[job_title],$H412),SUMIFS(AvgBase[Month 19],AvgBase[exp_item],$J412,AvgBase[company_name],$B412,AvgBase[bu_name],$C412,AvgBase[dept_name],$D412,AvgBase[team_consolidation],$K412,AvgBase[location_name],$G412,AvgBase[job_title],$H412))*(AD202+AC202)/2*(1-AD307))</f>
        <v>0</v>
      </c>
      <c r="AE412" s="652">
        <f>IF($B412="",,IF(LEFT($H412,5)="dummy",SUMIFS(AvgBase[Month 20],AvgBase[job_title],$H412),SUMIFS(AvgBase[Month 20],AvgBase[exp_item],$J412,AvgBase[company_name],$B412,AvgBase[bu_name],$C412,AvgBase[dept_name],$D412,AvgBase[team_consolidation],$K412,AvgBase[location_name],$G412,AvgBase[job_title],$H412))*(AE202+AD202)/2*(1-AE307))</f>
        <v>0</v>
      </c>
      <c r="AF412" s="652">
        <f>IF($B412="",,IF(LEFT($H412,5)="dummy",SUMIFS(AvgBase[Month 21],AvgBase[job_title],$H412),SUMIFS(AvgBase[Month 21],AvgBase[exp_item],$J412,AvgBase[company_name],$B412,AvgBase[bu_name],$C412,AvgBase[dept_name],$D412,AvgBase[team_consolidation],$K412,AvgBase[location_name],$G412,AvgBase[job_title],$H412))*(AF202+AE202)/2*(1-AF307))</f>
        <v>0</v>
      </c>
      <c r="AG412" s="652">
        <f>IF($B412="",,IF(LEFT($H412,5)="dummy",SUMIFS(AvgBase[Month 22],AvgBase[job_title],$H412),SUMIFS(AvgBase[Month 22],AvgBase[exp_item],$J412,AvgBase[company_name],$B412,AvgBase[bu_name],$C412,AvgBase[dept_name],$D412,AvgBase[team_consolidation],$K412,AvgBase[location_name],$G412,AvgBase[job_title],$H412))*(AG202+AF202)/2*(1-AG307))</f>
        <v>0</v>
      </c>
      <c r="AH412" s="652">
        <f>IF($B412="",,IF(LEFT($H412,5)="dummy",SUMIFS(AvgBase[Month 23],AvgBase[job_title],$H412),SUMIFS(AvgBase[Month 23],AvgBase[exp_item],$J412,AvgBase[company_name],$B412,AvgBase[bu_name],$C412,AvgBase[dept_name],$D412,AvgBase[team_consolidation],$K412,AvgBase[location_name],$G412,AvgBase[job_title],$H412))*(AH202+AG202)/2*(1-AH307))</f>
        <v>0</v>
      </c>
      <c r="AI412" s="652">
        <f>IF($B412="",,IF(LEFT($H412,5)="dummy",SUMIFS(AvgBase[Month 24],AvgBase[job_title],$H412),SUMIFS(AvgBase[Month 24],AvgBase[exp_item],$J412,AvgBase[company_name],$B412,AvgBase[bu_name],$C412,AvgBase[dept_name],$D412,AvgBase[team_consolidation],$K412,AvgBase[location_name],$G412,AvgBase[job_title],$H412))*(AI202+AH202)/2*(1-AI307))</f>
        <v>0</v>
      </c>
      <c r="AJ412" s="652">
        <f>IF($B412="",,IF(LEFT($H412,5)="dummy",SUMIFS(AvgBase[Month 25],AvgBase[job_title],$H412),SUMIFS(AvgBase[Month 25],AvgBase[exp_item],$J412,AvgBase[company_name],$B412,AvgBase[bu_name],$C412,AvgBase[dept_name],$D412,AvgBase[team_consolidation],$K412,AvgBase[location_name],$G412,AvgBase[job_title],$H412))*(AJ202+AI202)/2*(1-AJ307))</f>
        <v>0</v>
      </c>
      <c r="AK412" s="652">
        <f>IF($B412="",,IF(LEFT($H412,5)="dummy",SUMIFS(AvgBase[Month 26],AvgBase[job_title],$H412),SUMIFS(AvgBase[Month 26],AvgBase[exp_item],$J412,AvgBase[company_name],$B412,AvgBase[bu_name],$C412,AvgBase[dept_name],$D412,AvgBase[team_consolidation],$K412,AvgBase[location_name],$G412,AvgBase[job_title],$H412))*(AK202+AJ202)/2*(1-AK307))</f>
        <v>0</v>
      </c>
      <c r="AL412" s="652">
        <f>IF($B412="",,IF(LEFT($H412,5)="dummy",SUMIFS(AvgBase[Month 27],AvgBase[job_title],$H412),SUMIFS(AvgBase[Month 27],AvgBase[exp_item],$J412,AvgBase[company_name],$B412,AvgBase[bu_name],$C412,AvgBase[dept_name],$D412,AvgBase[team_consolidation],$K412,AvgBase[location_name],$G412,AvgBase[job_title],$H412))*(AL202+AK202)/2*(1-AL307))</f>
        <v>0</v>
      </c>
      <c r="AM412" s="652">
        <f>IF($B412="",,IF(LEFT($H412,5)="dummy",SUMIFS(AvgBase[Month 28],AvgBase[job_title],$H412),SUMIFS(AvgBase[Month 28],AvgBase[exp_item],$J412,AvgBase[company_name],$B412,AvgBase[bu_name],$C412,AvgBase[dept_name],$D412,AvgBase[team_consolidation],$K412,AvgBase[location_name],$G412,AvgBase[job_title],$H412))*(AM202+AL202)/2*(1-AM307))</f>
        <v>0</v>
      </c>
      <c r="AN412" s="652">
        <f>IF($B412="",,IF(LEFT($H412,5)="dummy",SUMIFS(AvgBase[Month 29],AvgBase[job_title],$H412),SUMIFS(AvgBase[Month 29],AvgBase[exp_item],$J412,AvgBase[company_name],$B412,AvgBase[bu_name],$C412,AvgBase[dept_name],$D412,AvgBase[team_consolidation],$K412,AvgBase[location_name],$G412,AvgBase[job_title],$H412))*(AN202+AM202)/2*(1-AN307))</f>
        <v>0</v>
      </c>
      <c r="AO412" s="652">
        <f>IF($B412="",,IF(LEFT($H412,5)="dummy",SUMIFS(AvgBase[Month 30],AvgBase[job_title],$H412),SUMIFS(AvgBase[Month 30],AvgBase[exp_item],$J412,AvgBase[company_name],$B412,AvgBase[bu_name],$C412,AvgBase[dept_name],$D412,AvgBase[team_consolidation],$K412,AvgBase[location_name],$G412,AvgBase[job_title],$H412))*(AO202+AN202)/2*(1-AO307))</f>
        <v>0</v>
      </c>
      <c r="AP412" s="652">
        <f>IF($B412="",,IF(LEFT($H412,5)="dummy",SUMIFS(AvgBase[Month 31],AvgBase[job_title],$H412),SUMIFS(AvgBase[Month 31],AvgBase[exp_item],$J412,AvgBase[company_name],$B412,AvgBase[bu_name],$C412,AvgBase[dept_name],$D412,AvgBase[team_consolidation],$K412,AvgBase[location_name],$G412,AvgBase[job_title],$H412))*(AP202+AO202)/2*(1-AP307))</f>
        <v>0</v>
      </c>
      <c r="AQ412" s="652">
        <f>IF($B412="",,IF(LEFT($H412,5)="dummy",SUMIFS(AvgBase[Month 32],AvgBase[job_title],$H412),SUMIFS(AvgBase[Month 32],AvgBase[exp_item],$J412,AvgBase[company_name],$B412,AvgBase[bu_name],$C412,AvgBase[dept_name],$D412,AvgBase[team_consolidation],$K412,AvgBase[location_name],$G412,AvgBase[job_title],$H412))*(AQ202+AP202)/2*(1-AQ307))</f>
        <v>0</v>
      </c>
      <c r="AR412" s="652">
        <f>IF($B412="",,IF(LEFT($H412,5)="dummy",SUMIFS(AvgBase[Month 33],AvgBase[job_title],$H412),SUMIFS(AvgBase[Month 33],AvgBase[exp_item],$J412,AvgBase[company_name],$B412,AvgBase[bu_name],$C412,AvgBase[dept_name],$D412,AvgBase[team_consolidation],$K412,AvgBase[location_name],$G412,AvgBase[job_title],$H412))*(AR202+AQ202)/2*(1-AR307))</f>
        <v>0</v>
      </c>
      <c r="AS412" s="652">
        <f>IF($B412="",,IF(LEFT($H412,5)="dummy",SUMIFS(AvgBase[Month 34],AvgBase[job_title],$H412),SUMIFS(AvgBase[Month 34],AvgBase[exp_item],$J412,AvgBase[company_name],$B412,AvgBase[bu_name],$C412,AvgBase[dept_name],$D412,AvgBase[team_consolidation],$K412,AvgBase[location_name],$G412,AvgBase[job_title],$H412))*(AS202+AR202)/2*(1-AS307))</f>
        <v>0</v>
      </c>
      <c r="AT412" s="652">
        <f>IF($B412="",,IF(LEFT($H412,5)="dummy",SUMIFS(AvgBase[Month 35],AvgBase[job_title],$H412),SUMIFS(AvgBase[Month 35],AvgBase[exp_item],$J412,AvgBase[company_name],$B412,AvgBase[bu_name],$C412,AvgBase[dept_name],$D412,AvgBase[team_consolidation],$K412,AvgBase[location_name],$G412,AvgBase[job_title],$H412))*(AT202+AS202)/2*(1-AT307))</f>
        <v>0</v>
      </c>
      <c r="AU412" s="652">
        <f>IF($B412="",,IF(LEFT($H412,5)="dummy",SUMIFS(AvgBase[Month 36],AvgBase[job_title],$H412),SUMIFS(AvgBase[Month 36],AvgBase[exp_item],$J412,AvgBase[company_name],$B412,AvgBase[bu_name],$C412,AvgBase[dept_name],$D412,AvgBase[team_consolidation],$K412,AvgBase[location_name],$G412,AvgBase[job_title],$H412))*(AU202+AT202)/2*(1-AU307))</f>
        <v>0</v>
      </c>
    </row>
    <row r="413" spans="2:47" x14ac:dyDescent="0.35">
      <c r="B413" t="str">
        <f t="shared" si="276"/>
        <v/>
      </c>
      <c r="C413" t="str">
        <f t="shared" si="276"/>
        <v/>
      </c>
      <c r="D413" t="str">
        <f t="shared" si="276"/>
        <v/>
      </c>
      <c r="E413" t="str">
        <f t="shared" si="276"/>
        <v/>
      </c>
      <c r="F413" t="str">
        <f t="shared" si="276"/>
        <v/>
      </c>
      <c r="G413" t="str">
        <f t="shared" si="276"/>
        <v/>
      </c>
      <c r="H413" t="str">
        <f t="shared" si="274"/>
        <v/>
      </c>
      <c r="J413" t="str">
        <f>IF($H413="","",IF(VLOOKUP($B$395,ExpItems[],2,0),$B$395&amp;" - "&amp;INDEX(DivisionMapping[category_code],MATCH($D413&amp;$C413,DivisionMapping[dept_bu],0)),$B$395))</f>
        <v/>
      </c>
      <c r="K413" t="str">
        <f t="shared" si="275"/>
        <v/>
      </c>
      <c r="L413" s="652">
        <f>IF($B413="",,IF(LEFT($H413,5)="dummy",SUMIFS(AvgBase[Month 1],AvgBase[job_title],$H413),SUMIFS(AvgBase[Month 1],AvgBase[exp_item],$J413,AvgBase[company_name],$B413,AvgBase[bu_name],$C413,AvgBase[dept_name],$D413,AvgBase[team_consolidation],$K413,AvgBase[location_name],$G413,AvgBase[job_title],$H413))*L203/2*(1-L308))</f>
        <v>0</v>
      </c>
      <c r="M413" s="652">
        <f>IF($B413="",,IF(LEFT($H413,5)="dummy",SUMIFS(AvgBase[Month 2],AvgBase[job_title],$H413),SUMIFS(AvgBase[Month 2],AvgBase[exp_item],$J413,AvgBase[company_name],$B413,AvgBase[bu_name],$C413,AvgBase[dept_name],$D413,AvgBase[team_consolidation],$K413,AvgBase[location_name],$G413,AvgBase[job_title],$H413))*(M203+L203)/2*(1-M308))</f>
        <v>0</v>
      </c>
      <c r="N413" s="652">
        <f>IF($B413="",,IF(LEFT($H413,5)="dummy",SUMIFS(AvgBase[Month 3],AvgBase[job_title],$H413),SUMIFS(AvgBase[Month 3],AvgBase[exp_item],$J413,AvgBase[company_name],$B413,AvgBase[bu_name],$C413,AvgBase[dept_name],$D413,AvgBase[team_consolidation],$K413,AvgBase[location_name],$G413,AvgBase[job_title],$H413))*(N203+M203)/2*(1-N308))</f>
        <v>0</v>
      </c>
      <c r="O413" s="652">
        <f>IF($B413="",,IF(LEFT($H413,5)="dummy",SUMIFS(AvgBase[Month 4],AvgBase[job_title],$H413),SUMIFS(AvgBase[Month 4],AvgBase[exp_item],$J413,AvgBase[company_name],$B413,AvgBase[bu_name],$C413,AvgBase[dept_name],$D413,AvgBase[team_consolidation],$K413,AvgBase[location_name],$G413,AvgBase[job_title],$H413))*(O203+N203)/2*(1-O308))</f>
        <v>0</v>
      </c>
      <c r="P413" s="652">
        <f>IF($B413="",,IF(LEFT($H413,5)="dummy",SUMIFS(AvgBase[Month 5],AvgBase[job_title],$H413),SUMIFS(AvgBase[Month 5],AvgBase[exp_item],$J413,AvgBase[company_name],$B413,AvgBase[bu_name],$C413,AvgBase[dept_name],$D413,AvgBase[team_consolidation],$K413,AvgBase[location_name],$G413,AvgBase[job_title],$H413))*(P203+O203)/2*(1-P308))</f>
        <v>0</v>
      </c>
      <c r="Q413" s="652">
        <f>IF($B413="",,IF(LEFT($H413,5)="dummy",SUMIFS(AvgBase[Month 6],AvgBase[job_title],$H413),SUMIFS(AvgBase[Month 6],AvgBase[exp_item],$J413,AvgBase[company_name],$B413,AvgBase[bu_name],$C413,AvgBase[dept_name],$D413,AvgBase[team_consolidation],$K413,AvgBase[location_name],$G413,AvgBase[job_title],$H413))*(Q203+P203)/2*(1-Q308))</f>
        <v>0</v>
      </c>
      <c r="R413" s="652">
        <f>IF($B413="",,IF(LEFT($H413,5)="dummy",SUMIFS(AvgBase[Month 7],AvgBase[job_title],$H413),SUMIFS(AvgBase[Month 7],AvgBase[exp_item],$J413,AvgBase[company_name],$B413,AvgBase[bu_name],$C413,AvgBase[dept_name],$D413,AvgBase[team_consolidation],$K413,AvgBase[location_name],$G413,AvgBase[job_title],$H413))*(R203+Q203)/2*(1-R308))</f>
        <v>0</v>
      </c>
      <c r="S413" s="652">
        <f>IF($B413="",,IF(LEFT($H413,5)="dummy",SUMIFS(AvgBase[Month 8],AvgBase[job_title],$H413),SUMIFS(AvgBase[Month 8],AvgBase[exp_item],$J413,AvgBase[company_name],$B413,AvgBase[bu_name],$C413,AvgBase[dept_name],$D413,AvgBase[team_consolidation],$K413,AvgBase[location_name],$G413,AvgBase[job_title],$H413))*(S203+R203)/2*(1-S308))</f>
        <v>0</v>
      </c>
      <c r="T413" s="652">
        <f>IF($B413="",,IF(LEFT($H413,5)="dummy",SUMIFS(AvgBase[Month 9],AvgBase[job_title],$H413),SUMIFS(AvgBase[Month 9],AvgBase[exp_item],$J413,AvgBase[company_name],$B413,AvgBase[bu_name],$C413,AvgBase[dept_name],$D413,AvgBase[team_consolidation],$K413,AvgBase[location_name],$G413,AvgBase[job_title],$H413))*(T203+S203)/2*(1-T308))</f>
        <v>0</v>
      </c>
      <c r="U413" s="652">
        <f>IF($B413="",,IF(LEFT($H413,5)="dummy",SUMIFS(AvgBase[Month 10],AvgBase[job_title],$H413),SUMIFS(AvgBase[Month 10],AvgBase[exp_item],$J413,AvgBase[company_name],$B413,AvgBase[bu_name],$C413,AvgBase[dept_name],$D413,AvgBase[team_consolidation],$K413,AvgBase[location_name],$G413,AvgBase[job_title],$H413))*(U203+T203)/2*(1-U308))</f>
        <v>0</v>
      </c>
      <c r="V413" s="652">
        <f>IF($B413="",,IF(LEFT($H413,5)="dummy",SUMIFS(AvgBase[Month 11],AvgBase[job_title],$H413),SUMIFS(AvgBase[Month 11],AvgBase[exp_item],$J413,AvgBase[company_name],$B413,AvgBase[bu_name],$C413,AvgBase[dept_name],$D413,AvgBase[team_consolidation],$K413,AvgBase[location_name],$G413,AvgBase[job_title],$H413))*(V203+U203)/2*(1-V308))</f>
        <v>0</v>
      </c>
      <c r="W413" s="652">
        <f>IF($B413="",,IF(LEFT($H413,5)="dummy",SUMIFS(AvgBase[Month 12],AvgBase[job_title],$H413),SUMIFS(AvgBase[Month 12],AvgBase[exp_item],$J413,AvgBase[company_name],$B413,AvgBase[bu_name],$C413,AvgBase[dept_name],$D413,AvgBase[team_consolidation],$K413,AvgBase[location_name],$G413,AvgBase[job_title],$H413))*(W203+V203)/2*(1-W308))</f>
        <v>0</v>
      </c>
      <c r="X413" s="652">
        <f>IF($B413="",,IF(LEFT($H413,5)="dummy",SUMIFS(AvgBase[Month 13],AvgBase[job_title],$H413),SUMIFS(AvgBase[Month 13],AvgBase[exp_item],$J413,AvgBase[company_name],$B413,AvgBase[bu_name],$C413,AvgBase[dept_name],$D413,AvgBase[team_consolidation],$K413,AvgBase[location_name],$G413,AvgBase[job_title],$H413))*(X203+W203)/2*(1-X308))</f>
        <v>0</v>
      </c>
      <c r="Y413" s="652">
        <f>IF($B413="",,IF(LEFT($H413,5)="dummy",SUMIFS(AvgBase[Month 14],AvgBase[job_title],$H413),SUMIFS(AvgBase[Month 14],AvgBase[exp_item],$J413,AvgBase[company_name],$B413,AvgBase[bu_name],$C413,AvgBase[dept_name],$D413,AvgBase[team_consolidation],$K413,AvgBase[location_name],$G413,AvgBase[job_title],$H413))*(Y203+X203)/2*(1-Y308))</f>
        <v>0</v>
      </c>
      <c r="Z413" s="652">
        <f>IF($B413="",,IF(LEFT($H413,5)="dummy",SUMIFS(AvgBase[Month 15],AvgBase[job_title],$H413),SUMIFS(AvgBase[Month 15],AvgBase[exp_item],$J413,AvgBase[company_name],$B413,AvgBase[bu_name],$C413,AvgBase[dept_name],$D413,AvgBase[team_consolidation],$K413,AvgBase[location_name],$G413,AvgBase[job_title],$H413))*(Z203+Y203)/2*(1-Z308))</f>
        <v>0</v>
      </c>
      <c r="AA413" s="652">
        <f>IF($B413="",,IF(LEFT($H413,5)="dummy",SUMIFS(AvgBase[Month 16],AvgBase[job_title],$H413),SUMIFS(AvgBase[Month 16],AvgBase[exp_item],$J413,AvgBase[company_name],$B413,AvgBase[bu_name],$C413,AvgBase[dept_name],$D413,AvgBase[team_consolidation],$K413,AvgBase[location_name],$G413,AvgBase[job_title],$H413))*(AA203+Z203)/2*(1-AA308))</f>
        <v>0</v>
      </c>
      <c r="AB413" s="652">
        <f>IF($B413="",,IF(LEFT($H413,5)="dummy",SUMIFS(AvgBase[Month 17],AvgBase[job_title],$H413),SUMIFS(AvgBase[Month 17],AvgBase[exp_item],$J413,AvgBase[company_name],$B413,AvgBase[bu_name],$C413,AvgBase[dept_name],$D413,AvgBase[team_consolidation],$K413,AvgBase[location_name],$G413,AvgBase[job_title],$H413))*(AB203+AA203)/2*(1-AB308))</f>
        <v>0</v>
      </c>
      <c r="AC413" s="652">
        <f>IF($B413="",,IF(LEFT($H413,5)="dummy",SUMIFS(AvgBase[Month 18],AvgBase[job_title],$H413),SUMIFS(AvgBase[Month 18],AvgBase[exp_item],$J413,AvgBase[company_name],$B413,AvgBase[bu_name],$C413,AvgBase[dept_name],$D413,AvgBase[team_consolidation],$K413,AvgBase[location_name],$G413,AvgBase[job_title],$H413))*(AC203+AB203)/2*(1-AC308))</f>
        <v>0</v>
      </c>
      <c r="AD413" s="652">
        <f>IF($B413="",,IF(LEFT($H413,5)="dummy",SUMIFS(AvgBase[Month 19],AvgBase[job_title],$H413),SUMIFS(AvgBase[Month 19],AvgBase[exp_item],$J413,AvgBase[company_name],$B413,AvgBase[bu_name],$C413,AvgBase[dept_name],$D413,AvgBase[team_consolidation],$K413,AvgBase[location_name],$G413,AvgBase[job_title],$H413))*(AD203+AC203)/2*(1-AD308))</f>
        <v>0</v>
      </c>
      <c r="AE413" s="652">
        <f>IF($B413="",,IF(LEFT($H413,5)="dummy",SUMIFS(AvgBase[Month 20],AvgBase[job_title],$H413),SUMIFS(AvgBase[Month 20],AvgBase[exp_item],$J413,AvgBase[company_name],$B413,AvgBase[bu_name],$C413,AvgBase[dept_name],$D413,AvgBase[team_consolidation],$K413,AvgBase[location_name],$G413,AvgBase[job_title],$H413))*(AE203+AD203)/2*(1-AE308))</f>
        <v>0</v>
      </c>
      <c r="AF413" s="652">
        <f>IF($B413="",,IF(LEFT($H413,5)="dummy",SUMIFS(AvgBase[Month 21],AvgBase[job_title],$H413),SUMIFS(AvgBase[Month 21],AvgBase[exp_item],$J413,AvgBase[company_name],$B413,AvgBase[bu_name],$C413,AvgBase[dept_name],$D413,AvgBase[team_consolidation],$K413,AvgBase[location_name],$G413,AvgBase[job_title],$H413))*(AF203+AE203)/2*(1-AF308))</f>
        <v>0</v>
      </c>
      <c r="AG413" s="652">
        <f>IF($B413="",,IF(LEFT($H413,5)="dummy",SUMIFS(AvgBase[Month 22],AvgBase[job_title],$H413),SUMIFS(AvgBase[Month 22],AvgBase[exp_item],$J413,AvgBase[company_name],$B413,AvgBase[bu_name],$C413,AvgBase[dept_name],$D413,AvgBase[team_consolidation],$K413,AvgBase[location_name],$G413,AvgBase[job_title],$H413))*(AG203+AF203)/2*(1-AG308))</f>
        <v>0</v>
      </c>
      <c r="AH413" s="652">
        <f>IF($B413="",,IF(LEFT($H413,5)="dummy",SUMIFS(AvgBase[Month 23],AvgBase[job_title],$H413),SUMIFS(AvgBase[Month 23],AvgBase[exp_item],$J413,AvgBase[company_name],$B413,AvgBase[bu_name],$C413,AvgBase[dept_name],$D413,AvgBase[team_consolidation],$K413,AvgBase[location_name],$G413,AvgBase[job_title],$H413))*(AH203+AG203)/2*(1-AH308))</f>
        <v>0</v>
      </c>
      <c r="AI413" s="652">
        <f>IF($B413="",,IF(LEFT($H413,5)="dummy",SUMIFS(AvgBase[Month 24],AvgBase[job_title],$H413),SUMIFS(AvgBase[Month 24],AvgBase[exp_item],$J413,AvgBase[company_name],$B413,AvgBase[bu_name],$C413,AvgBase[dept_name],$D413,AvgBase[team_consolidation],$K413,AvgBase[location_name],$G413,AvgBase[job_title],$H413))*(AI203+AH203)/2*(1-AI308))</f>
        <v>0</v>
      </c>
      <c r="AJ413" s="652">
        <f>IF($B413="",,IF(LEFT($H413,5)="dummy",SUMIFS(AvgBase[Month 25],AvgBase[job_title],$H413),SUMIFS(AvgBase[Month 25],AvgBase[exp_item],$J413,AvgBase[company_name],$B413,AvgBase[bu_name],$C413,AvgBase[dept_name],$D413,AvgBase[team_consolidation],$K413,AvgBase[location_name],$G413,AvgBase[job_title],$H413))*(AJ203+AI203)/2*(1-AJ308))</f>
        <v>0</v>
      </c>
      <c r="AK413" s="652">
        <f>IF($B413="",,IF(LEFT($H413,5)="dummy",SUMIFS(AvgBase[Month 26],AvgBase[job_title],$H413),SUMIFS(AvgBase[Month 26],AvgBase[exp_item],$J413,AvgBase[company_name],$B413,AvgBase[bu_name],$C413,AvgBase[dept_name],$D413,AvgBase[team_consolidation],$K413,AvgBase[location_name],$G413,AvgBase[job_title],$H413))*(AK203+AJ203)/2*(1-AK308))</f>
        <v>0</v>
      </c>
      <c r="AL413" s="652">
        <f>IF($B413="",,IF(LEFT($H413,5)="dummy",SUMIFS(AvgBase[Month 27],AvgBase[job_title],$H413),SUMIFS(AvgBase[Month 27],AvgBase[exp_item],$J413,AvgBase[company_name],$B413,AvgBase[bu_name],$C413,AvgBase[dept_name],$D413,AvgBase[team_consolidation],$K413,AvgBase[location_name],$G413,AvgBase[job_title],$H413))*(AL203+AK203)/2*(1-AL308))</f>
        <v>0</v>
      </c>
      <c r="AM413" s="652">
        <f>IF($B413="",,IF(LEFT($H413,5)="dummy",SUMIFS(AvgBase[Month 28],AvgBase[job_title],$H413),SUMIFS(AvgBase[Month 28],AvgBase[exp_item],$J413,AvgBase[company_name],$B413,AvgBase[bu_name],$C413,AvgBase[dept_name],$D413,AvgBase[team_consolidation],$K413,AvgBase[location_name],$G413,AvgBase[job_title],$H413))*(AM203+AL203)/2*(1-AM308))</f>
        <v>0</v>
      </c>
      <c r="AN413" s="652">
        <f>IF($B413="",,IF(LEFT($H413,5)="dummy",SUMIFS(AvgBase[Month 29],AvgBase[job_title],$H413),SUMIFS(AvgBase[Month 29],AvgBase[exp_item],$J413,AvgBase[company_name],$B413,AvgBase[bu_name],$C413,AvgBase[dept_name],$D413,AvgBase[team_consolidation],$K413,AvgBase[location_name],$G413,AvgBase[job_title],$H413))*(AN203+AM203)/2*(1-AN308))</f>
        <v>0</v>
      </c>
      <c r="AO413" s="652">
        <f>IF($B413="",,IF(LEFT($H413,5)="dummy",SUMIFS(AvgBase[Month 30],AvgBase[job_title],$H413),SUMIFS(AvgBase[Month 30],AvgBase[exp_item],$J413,AvgBase[company_name],$B413,AvgBase[bu_name],$C413,AvgBase[dept_name],$D413,AvgBase[team_consolidation],$K413,AvgBase[location_name],$G413,AvgBase[job_title],$H413))*(AO203+AN203)/2*(1-AO308))</f>
        <v>0</v>
      </c>
      <c r="AP413" s="652">
        <f>IF($B413="",,IF(LEFT($H413,5)="dummy",SUMIFS(AvgBase[Month 31],AvgBase[job_title],$H413),SUMIFS(AvgBase[Month 31],AvgBase[exp_item],$J413,AvgBase[company_name],$B413,AvgBase[bu_name],$C413,AvgBase[dept_name],$D413,AvgBase[team_consolidation],$K413,AvgBase[location_name],$G413,AvgBase[job_title],$H413))*(AP203+AO203)/2*(1-AP308))</f>
        <v>0</v>
      </c>
      <c r="AQ413" s="652">
        <f>IF($B413="",,IF(LEFT($H413,5)="dummy",SUMIFS(AvgBase[Month 32],AvgBase[job_title],$H413),SUMIFS(AvgBase[Month 32],AvgBase[exp_item],$J413,AvgBase[company_name],$B413,AvgBase[bu_name],$C413,AvgBase[dept_name],$D413,AvgBase[team_consolidation],$K413,AvgBase[location_name],$G413,AvgBase[job_title],$H413))*(AQ203+AP203)/2*(1-AQ308))</f>
        <v>0</v>
      </c>
      <c r="AR413" s="652">
        <f>IF($B413="",,IF(LEFT($H413,5)="dummy",SUMIFS(AvgBase[Month 33],AvgBase[job_title],$H413),SUMIFS(AvgBase[Month 33],AvgBase[exp_item],$J413,AvgBase[company_name],$B413,AvgBase[bu_name],$C413,AvgBase[dept_name],$D413,AvgBase[team_consolidation],$K413,AvgBase[location_name],$G413,AvgBase[job_title],$H413))*(AR203+AQ203)/2*(1-AR308))</f>
        <v>0</v>
      </c>
      <c r="AS413" s="652">
        <f>IF($B413="",,IF(LEFT($H413,5)="dummy",SUMIFS(AvgBase[Month 34],AvgBase[job_title],$H413),SUMIFS(AvgBase[Month 34],AvgBase[exp_item],$J413,AvgBase[company_name],$B413,AvgBase[bu_name],$C413,AvgBase[dept_name],$D413,AvgBase[team_consolidation],$K413,AvgBase[location_name],$G413,AvgBase[job_title],$H413))*(AS203+AR203)/2*(1-AS308))</f>
        <v>0</v>
      </c>
      <c r="AT413" s="652">
        <f>IF($B413="",,IF(LEFT($H413,5)="dummy",SUMIFS(AvgBase[Month 35],AvgBase[job_title],$H413),SUMIFS(AvgBase[Month 35],AvgBase[exp_item],$J413,AvgBase[company_name],$B413,AvgBase[bu_name],$C413,AvgBase[dept_name],$D413,AvgBase[team_consolidation],$K413,AvgBase[location_name],$G413,AvgBase[job_title],$H413))*(AT203+AS203)/2*(1-AT308))</f>
        <v>0</v>
      </c>
      <c r="AU413" s="652">
        <f>IF($B413="",,IF(LEFT($H413,5)="dummy",SUMIFS(AvgBase[Month 36],AvgBase[job_title],$H413),SUMIFS(AvgBase[Month 36],AvgBase[exp_item],$J413,AvgBase[company_name],$B413,AvgBase[bu_name],$C413,AvgBase[dept_name],$D413,AvgBase[team_consolidation],$K413,AvgBase[location_name],$G413,AvgBase[job_title],$H413))*(AU203+AT203)/2*(1-AU308))</f>
        <v>0</v>
      </c>
    </row>
    <row r="414" spans="2:47" x14ac:dyDescent="0.35">
      <c r="B414" t="str">
        <f t="shared" si="276"/>
        <v/>
      </c>
      <c r="C414" t="str">
        <f t="shared" si="276"/>
        <v/>
      </c>
      <c r="D414" t="str">
        <f t="shared" si="276"/>
        <v/>
      </c>
      <c r="E414" t="str">
        <f t="shared" si="276"/>
        <v/>
      </c>
      <c r="F414" t="str">
        <f t="shared" si="276"/>
        <v/>
      </c>
      <c r="G414" t="str">
        <f t="shared" si="276"/>
        <v/>
      </c>
      <c r="H414" t="str">
        <f t="shared" si="274"/>
        <v/>
      </c>
      <c r="J414" t="str">
        <f>IF($H414="","",IF(VLOOKUP($B$395,ExpItems[],2,0),$B$395&amp;" - "&amp;INDEX(DivisionMapping[category_code],MATCH($D414&amp;$C414,DivisionMapping[dept_bu],0)),$B$395))</f>
        <v/>
      </c>
      <c r="K414" t="str">
        <f t="shared" si="275"/>
        <v/>
      </c>
      <c r="L414" s="652">
        <f>IF($B414="",,IF(LEFT($H414,5)="dummy",SUMIFS(AvgBase[Month 1],AvgBase[job_title],$H414),SUMIFS(AvgBase[Month 1],AvgBase[exp_item],$J414,AvgBase[company_name],$B414,AvgBase[bu_name],$C414,AvgBase[dept_name],$D414,AvgBase[team_consolidation],$K414,AvgBase[location_name],$G414,AvgBase[job_title],$H414))*L204/2*(1-L309))</f>
        <v>0</v>
      </c>
      <c r="M414" s="652">
        <f>IF($B414="",,IF(LEFT($H414,5)="dummy",SUMIFS(AvgBase[Month 2],AvgBase[job_title],$H414),SUMIFS(AvgBase[Month 2],AvgBase[exp_item],$J414,AvgBase[company_name],$B414,AvgBase[bu_name],$C414,AvgBase[dept_name],$D414,AvgBase[team_consolidation],$K414,AvgBase[location_name],$G414,AvgBase[job_title],$H414))*(M204+L204)/2*(1-M309))</f>
        <v>0</v>
      </c>
      <c r="N414" s="652">
        <f>IF($B414="",,IF(LEFT($H414,5)="dummy",SUMIFS(AvgBase[Month 3],AvgBase[job_title],$H414),SUMIFS(AvgBase[Month 3],AvgBase[exp_item],$J414,AvgBase[company_name],$B414,AvgBase[bu_name],$C414,AvgBase[dept_name],$D414,AvgBase[team_consolidation],$K414,AvgBase[location_name],$G414,AvgBase[job_title],$H414))*(N204+M204)/2*(1-N309))</f>
        <v>0</v>
      </c>
      <c r="O414" s="652">
        <f>IF($B414="",,IF(LEFT($H414,5)="dummy",SUMIFS(AvgBase[Month 4],AvgBase[job_title],$H414),SUMIFS(AvgBase[Month 4],AvgBase[exp_item],$J414,AvgBase[company_name],$B414,AvgBase[bu_name],$C414,AvgBase[dept_name],$D414,AvgBase[team_consolidation],$K414,AvgBase[location_name],$G414,AvgBase[job_title],$H414))*(O204+N204)/2*(1-O309))</f>
        <v>0</v>
      </c>
      <c r="P414" s="652">
        <f>IF($B414="",,IF(LEFT($H414,5)="dummy",SUMIFS(AvgBase[Month 5],AvgBase[job_title],$H414),SUMIFS(AvgBase[Month 5],AvgBase[exp_item],$J414,AvgBase[company_name],$B414,AvgBase[bu_name],$C414,AvgBase[dept_name],$D414,AvgBase[team_consolidation],$K414,AvgBase[location_name],$G414,AvgBase[job_title],$H414))*(P204+O204)/2*(1-P309))</f>
        <v>0</v>
      </c>
      <c r="Q414" s="652">
        <f>IF($B414="",,IF(LEFT($H414,5)="dummy",SUMIFS(AvgBase[Month 6],AvgBase[job_title],$H414),SUMIFS(AvgBase[Month 6],AvgBase[exp_item],$J414,AvgBase[company_name],$B414,AvgBase[bu_name],$C414,AvgBase[dept_name],$D414,AvgBase[team_consolidation],$K414,AvgBase[location_name],$G414,AvgBase[job_title],$H414))*(Q204+P204)/2*(1-Q309))</f>
        <v>0</v>
      </c>
      <c r="R414" s="652">
        <f>IF($B414="",,IF(LEFT($H414,5)="dummy",SUMIFS(AvgBase[Month 7],AvgBase[job_title],$H414),SUMIFS(AvgBase[Month 7],AvgBase[exp_item],$J414,AvgBase[company_name],$B414,AvgBase[bu_name],$C414,AvgBase[dept_name],$D414,AvgBase[team_consolidation],$K414,AvgBase[location_name],$G414,AvgBase[job_title],$H414))*(R204+Q204)/2*(1-R309))</f>
        <v>0</v>
      </c>
      <c r="S414" s="652">
        <f>IF($B414="",,IF(LEFT($H414,5)="dummy",SUMIFS(AvgBase[Month 8],AvgBase[job_title],$H414),SUMIFS(AvgBase[Month 8],AvgBase[exp_item],$J414,AvgBase[company_name],$B414,AvgBase[bu_name],$C414,AvgBase[dept_name],$D414,AvgBase[team_consolidation],$K414,AvgBase[location_name],$G414,AvgBase[job_title],$H414))*(S204+R204)/2*(1-S309))</f>
        <v>0</v>
      </c>
      <c r="T414" s="652">
        <f>IF($B414="",,IF(LEFT($H414,5)="dummy",SUMIFS(AvgBase[Month 9],AvgBase[job_title],$H414),SUMIFS(AvgBase[Month 9],AvgBase[exp_item],$J414,AvgBase[company_name],$B414,AvgBase[bu_name],$C414,AvgBase[dept_name],$D414,AvgBase[team_consolidation],$K414,AvgBase[location_name],$G414,AvgBase[job_title],$H414))*(T204+S204)/2*(1-T309))</f>
        <v>0</v>
      </c>
      <c r="U414" s="652">
        <f>IF($B414="",,IF(LEFT($H414,5)="dummy",SUMIFS(AvgBase[Month 10],AvgBase[job_title],$H414),SUMIFS(AvgBase[Month 10],AvgBase[exp_item],$J414,AvgBase[company_name],$B414,AvgBase[bu_name],$C414,AvgBase[dept_name],$D414,AvgBase[team_consolidation],$K414,AvgBase[location_name],$G414,AvgBase[job_title],$H414))*(U204+T204)/2*(1-U309))</f>
        <v>0</v>
      </c>
      <c r="V414" s="652">
        <f>IF($B414="",,IF(LEFT($H414,5)="dummy",SUMIFS(AvgBase[Month 11],AvgBase[job_title],$H414),SUMIFS(AvgBase[Month 11],AvgBase[exp_item],$J414,AvgBase[company_name],$B414,AvgBase[bu_name],$C414,AvgBase[dept_name],$D414,AvgBase[team_consolidation],$K414,AvgBase[location_name],$G414,AvgBase[job_title],$H414))*(V204+U204)/2*(1-V309))</f>
        <v>0</v>
      </c>
      <c r="W414" s="652">
        <f>IF($B414="",,IF(LEFT($H414,5)="dummy",SUMIFS(AvgBase[Month 12],AvgBase[job_title],$H414),SUMIFS(AvgBase[Month 12],AvgBase[exp_item],$J414,AvgBase[company_name],$B414,AvgBase[bu_name],$C414,AvgBase[dept_name],$D414,AvgBase[team_consolidation],$K414,AvgBase[location_name],$G414,AvgBase[job_title],$H414))*(W204+V204)/2*(1-W309))</f>
        <v>0</v>
      </c>
      <c r="X414" s="652">
        <f>IF($B414="",,IF(LEFT($H414,5)="dummy",SUMIFS(AvgBase[Month 13],AvgBase[job_title],$H414),SUMIFS(AvgBase[Month 13],AvgBase[exp_item],$J414,AvgBase[company_name],$B414,AvgBase[bu_name],$C414,AvgBase[dept_name],$D414,AvgBase[team_consolidation],$K414,AvgBase[location_name],$G414,AvgBase[job_title],$H414))*(X204+W204)/2*(1-X309))</f>
        <v>0</v>
      </c>
      <c r="Y414" s="652">
        <f>IF($B414="",,IF(LEFT($H414,5)="dummy",SUMIFS(AvgBase[Month 14],AvgBase[job_title],$H414),SUMIFS(AvgBase[Month 14],AvgBase[exp_item],$J414,AvgBase[company_name],$B414,AvgBase[bu_name],$C414,AvgBase[dept_name],$D414,AvgBase[team_consolidation],$K414,AvgBase[location_name],$G414,AvgBase[job_title],$H414))*(Y204+X204)/2*(1-Y309))</f>
        <v>0</v>
      </c>
      <c r="Z414" s="652">
        <f>IF($B414="",,IF(LEFT($H414,5)="dummy",SUMIFS(AvgBase[Month 15],AvgBase[job_title],$H414),SUMIFS(AvgBase[Month 15],AvgBase[exp_item],$J414,AvgBase[company_name],$B414,AvgBase[bu_name],$C414,AvgBase[dept_name],$D414,AvgBase[team_consolidation],$K414,AvgBase[location_name],$G414,AvgBase[job_title],$H414))*(Z204+Y204)/2*(1-Z309))</f>
        <v>0</v>
      </c>
      <c r="AA414" s="652">
        <f>IF($B414="",,IF(LEFT($H414,5)="dummy",SUMIFS(AvgBase[Month 16],AvgBase[job_title],$H414),SUMIFS(AvgBase[Month 16],AvgBase[exp_item],$J414,AvgBase[company_name],$B414,AvgBase[bu_name],$C414,AvgBase[dept_name],$D414,AvgBase[team_consolidation],$K414,AvgBase[location_name],$G414,AvgBase[job_title],$H414))*(AA204+Z204)/2*(1-AA309))</f>
        <v>0</v>
      </c>
      <c r="AB414" s="652">
        <f>IF($B414="",,IF(LEFT($H414,5)="dummy",SUMIFS(AvgBase[Month 17],AvgBase[job_title],$H414),SUMIFS(AvgBase[Month 17],AvgBase[exp_item],$J414,AvgBase[company_name],$B414,AvgBase[bu_name],$C414,AvgBase[dept_name],$D414,AvgBase[team_consolidation],$K414,AvgBase[location_name],$G414,AvgBase[job_title],$H414))*(AB204+AA204)/2*(1-AB309))</f>
        <v>0</v>
      </c>
      <c r="AC414" s="652">
        <f>IF($B414="",,IF(LEFT($H414,5)="dummy",SUMIFS(AvgBase[Month 18],AvgBase[job_title],$H414),SUMIFS(AvgBase[Month 18],AvgBase[exp_item],$J414,AvgBase[company_name],$B414,AvgBase[bu_name],$C414,AvgBase[dept_name],$D414,AvgBase[team_consolidation],$K414,AvgBase[location_name],$G414,AvgBase[job_title],$H414))*(AC204+AB204)/2*(1-AC309))</f>
        <v>0</v>
      </c>
      <c r="AD414" s="652">
        <f>IF($B414="",,IF(LEFT($H414,5)="dummy",SUMIFS(AvgBase[Month 19],AvgBase[job_title],$H414),SUMIFS(AvgBase[Month 19],AvgBase[exp_item],$J414,AvgBase[company_name],$B414,AvgBase[bu_name],$C414,AvgBase[dept_name],$D414,AvgBase[team_consolidation],$K414,AvgBase[location_name],$G414,AvgBase[job_title],$H414))*(AD204+AC204)/2*(1-AD309))</f>
        <v>0</v>
      </c>
      <c r="AE414" s="652">
        <f>IF($B414="",,IF(LEFT($H414,5)="dummy",SUMIFS(AvgBase[Month 20],AvgBase[job_title],$H414),SUMIFS(AvgBase[Month 20],AvgBase[exp_item],$J414,AvgBase[company_name],$B414,AvgBase[bu_name],$C414,AvgBase[dept_name],$D414,AvgBase[team_consolidation],$K414,AvgBase[location_name],$G414,AvgBase[job_title],$H414))*(AE204+AD204)/2*(1-AE309))</f>
        <v>0</v>
      </c>
      <c r="AF414" s="652">
        <f>IF($B414="",,IF(LEFT($H414,5)="dummy",SUMIFS(AvgBase[Month 21],AvgBase[job_title],$H414),SUMIFS(AvgBase[Month 21],AvgBase[exp_item],$J414,AvgBase[company_name],$B414,AvgBase[bu_name],$C414,AvgBase[dept_name],$D414,AvgBase[team_consolidation],$K414,AvgBase[location_name],$G414,AvgBase[job_title],$H414))*(AF204+AE204)/2*(1-AF309))</f>
        <v>0</v>
      </c>
      <c r="AG414" s="652">
        <f>IF($B414="",,IF(LEFT($H414,5)="dummy",SUMIFS(AvgBase[Month 22],AvgBase[job_title],$H414),SUMIFS(AvgBase[Month 22],AvgBase[exp_item],$J414,AvgBase[company_name],$B414,AvgBase[bu_name],$C414,AvgBase[dept_name],$D414,AvgBase[team_consolidation],$K414,AvgBase[location_name],$G414,AvgBase[job_title],$H414))*(AG204+AF204)/2*(1-AG309))</f>
        <v>0</v>
      </c>
      <c r="AH414" s="652">
        <f>IF($B414="",,IF(LEFT($H414,5)="dummy",SUMIFS(AvgBase[Month 23],AvgBase[job_title],$H414),SUMIFS(AvgBase[Month 23],AvgBase[exp_item],$J414,AvgBase[company_name],$B414,AvgBase[bu_name],$C414,AvgBase[dept_name],$D414,AvgBase[team_consolidation],$K414,AvgBase[location_name],$G414,AvgBase[job_title],$H414))*(AH204+AG204)/2*(1-AH309))</f>
        <v>0</v>
      </c>
      <c r="AI414" s="652">
        <f>IF($B414="",,IF(LEFT($H414,5)="dummy",SUMIFS(AvgBase[Month 24],AvgBase[job_title],$H414),SUMIFS(AvgBase[Month 24],AvgBase[exp_item],$J414,AvgBase[company_name],$B414,AvgBase[bu_name],$C414,AvgBase[dept_name],$D414,AvgBase[team_consolidation],$K414,AvgBase[location_name],$G414,AvgBase[job_title],$H414))*(AI204+AH204)/2*(1-AI309))</f>
        <v>0</v>
      </c>
      <c r="AJ414" s="652">
        <f>IF($B414="",,IF(LEFT($H414,5)="dummy",SUMIFS(AvgBase[Month 25],AvgBase[job_title],$H414),SUMIFS(AvgBase[Month 25],AvgBase[exp_item],$J414,AvgBase[company_name],$B414,AvgBase[bu_name],$C414,AvgBase[dept_name],$D414,AvgBase[team_consolidation],$K414,AvgBase[location_name],$G414,AvgBase[job_title],$H414))*(AJ204+AI204)/2*(1-AJ309))</f>
        <v>0</v>
      </c>
      <c r="AK414" s="652">
        <f>IF($B414="",,IF(LEFT($H414,5)="dummy",SUMIFS(AvgBase[Month 26],AvgBase[job_title],$H414),SUMIFS(AvgBase[Month 26],AvgBase[exp_item],$J414,AvgBase[company_name],$B414,AvgBase[bu_name],$C414,AvgBase[dept_name],$D414,AvgBase[team_consolidation],$K414,AvgBase[location_name],$G414,AvgBase[job_title],$H414))*(AK204+AJ204)/2*(1-AK309))</f>
        <v>0</v>
      </c>
      <c r="AL414" s="652">
        <f>IF($B414="",,IF(LEFT($H414,5)="dummy",SUMIFS(AvgBase[Month 27],AvgBase[job_title],$H414),SUMIFS(AvgBase[Month 27],AvgBase[exp_item],$J414,AvgBase[company_name],$B414,AvgBase[bu_name],$C414,AvgBase[dept_name],$D414,AvgBase[team_consolidation],$K414,AvgBase[location_name],$G414,AvgBase[job_title],$H414))*(AL204+AK204)/2*(1-AL309))</f>
        <v>0</v>
      </c>
      <c r="AM414" s="652">
        <f>IF($B414="",,IF(LEFT($H414,5)="dummy",SUMIFS(AvgBase[Month 28],AvgBase[job_title],$H414),SUMIFS(AvgBase[Month 28],AvgBase[exp_item],$J414,AvgBase[company_name],$B414,AvgBase[bu_name],$C414,AvgBase[dept_name],$D414,AvgBase[team_consolidation],$K414,AvgBase[location_name],$G414,AvgBase[job_title],$H414))*(AM204+AL204)/2*(1-AM309))</f>
        <v>0</v>
      </c>
      <c r="AN414" s="652">
        <f>IF($B414="",,IF(LEFT($H414,5)="dummy",SUMIFS(AvgBase[Month 29],AvgBase[job_title],$H414),SUMIFS(AvgBase[Month 29],AvgBase[exp_item],$J414,AvgBase[company_name],$B414,AvgBase[bu_name],$C414,AvgBase[dept_name],$D414,AvgBase[team_consolidation],$K414,AvgBase[location_name],$G414,AvgBase[job_title],$H414))*(AN204+AM204)/2*(1-AN309))</f>
        <v>0</v>
      </c>
      <c r="AO414" s="652">
        <f>IF($B414="",,IF(LEFT($H414,5)="dummy",SUMIFS(AvgBase[Month 30],AvgBase[job_title],$H414),SUMIFS(AvgBase[Month 30],AvgBase[exp_item],$J414,AvgBase[company_name],$B414,AvgBase[bu_name],$C414,AvgBase[dept_name],$D414,AvgBase[team_consolidation],$K414,AvgBase[location_name],$G414,AvgBase[job_title],$H414))*(AO204+AN204)/2*(1-AO309))</f>
        <v>0</v>
      </c>
      <c r="AP414" s="652">
        <f>IF($B414="",,IF(LEFT($H414,5)="dummy",SUMIFS(AvgBase[Month 31],AvgBase[job_title],$H414),SUMIFS(AvgBase[Month 31],AvgBase[exp_item],$J414,AvgBase[company_name],$B414,AvgBase[bu_name],$C414,AvgBase[dept_name],$D414,AvgBase[team_consolidation],$K414,AvgBase[location_name],$G414,AvgBase[job_title],$H414))*(AP204+AO204)/2*(1-AP309))</f>
        <v>0</v>
      </c>
      <c r="AQ414" s="652">
        <f>IF($B414="",,IF(LEFT($H414,5)="dummy",SUMIFS(AvgBase[Month 32],AvgBase[job_title],$H414),SUMIFS(AvgBase[Month 32],AvgBase[exp_item],$J414,AvgBase[company_name],$B414,AvgBase[bu_name],$C414,AvgBase[dept_name],$D414,AvgBase[team_consolidation],$K414,AvgBase[location_name],$G414,AvgBase[job_title],$H414))*(AQ204+AP204)/2*(1-AQ309))</f>
        <v>0</v>
      </c>
      <c r="AR414" s="652">
        <f>IF($B414="",,IF(LEFT($H414,5)="dummy",SUMIFS(AvgBase[Month 33],AvgBase[job_title],$H414),SUMIFS(AvgBase[Month 33],AvgBase[exp_item],$J414,AvgBase[company_name],$B414,AvgBase[bu_name],$C414,AvgBase[dept_name],$D414,AvgBase[team_consolidation],$K414,AvgBase[location_name],$G414,AvgBase[job_title],$H414))*(AR204+AQ204)/2*(1-AR309))</f>
        <v>0</v>
      </c>
      <c r="AS414" s="652">
        <f>IF($B414="",,IF(LEFT($H414,5)="dummy",SUMIFS(AvgBase[Month 34],AvgBase[job_title],$H414),SUMIFS(AvgBase[Month 34],AvgBase[exp_item],$J414,AvgBase[company_name],$B414,AvgBase[bu_name],$C414,AvgBase[dept_name],$D414,AvgBase[team_consolidation],$K414,AvgBase[location_name],$G414,AvgBase[job_title],$H414))*(AS204+AR204)/2*(1-AS309))</f>
        <v>0</v>
      </c>
      <c r="AT414" s="652">
        <f>IF($B414="",,IF(LEFT($H414,5)="dummy",SUMIFS(AvgBase[Month 35],AvgBase[job_title],$H414),SUMIFS(AvgBase[Month 35],AvgBase[exp_item],$J414,AvgBase[company_name],$B414,AvgBase[bu_name],$C414,AvgBase[dept_name],$D414,AvgBase[team_consolidation],$K414,AvgBase[location_name],$G414,AvgBase[job_title],$H414))*(AT204+AS204)/2*(1-AT309))</f>
        <v>0</v>
      </c>
      <c r="AU414" s="652">
        <f>IF($B414="",,IF(LEFT($H414,5)="dummy",SUMIFS(AvgBase[Month 36],AvgBase[job_title],$H414),SUMIFS(AvgBase[Month 36],AvgBase[exp_item],$J414,AvgBase[company_name],$B414,AvgBase[bu_name],$C414,AvgBase[dept_name],$D414,AvgBase[team_consolidation],$K414,AvgBase[location_name],$G414,AvgBase[job_title],$H414))*(AU204+AT204)/2*(1-AU309))</f>
        <v>0</v>
      </c>
    </row>
    <row r="415" spans="2:47" x14ac:dyDescent="0.35">
      <c r="B415" t="str">
        <f t="shared" si="276"/>
        <v/>
      </c>
      <c r="C415" t="str">
        <f t="shared" si="276"/>
        <v/>
      </c>
      <c r="D415" t="str">
        <f t="shared" si="276"/>
        <v/>
      </c>
      <c r="E415" t="str">
        <f t="shared" si="276"/>
        <v/>
      </c>
      <c r="F415" t="str">
        <f t="shared" si="276"/>
        <v/>
      </c>
      <c r="G415" t="str">
        <f t="shared" si="276"/>
        <v/>
      </c>
      <c r="H415" t="str">
        <f t="shared" si="274"/>
        <v/>
      </c>
      <c r="J415" t="str">
        <f>IF($H415="","",IF(VLOOKUP($B$395,ExpItems[],2,0),$B$395&amp;" - "&amp;INDEX(DivisionMapping[category_code],MATCH($D415&amp;$C415,DivisionMapping[dept_bu],0)),$B$395))</f>
        <v/>
      </c>
      <c r="K415" t="str">
        <f t="shared" si="275"/>
        <v/>
      </c>
      <c r="L415" s="652">
        <f>IF($B415="",,IF(LEFT($H415,5)="dummy",SUMIFS(AvgBase[Month 1],AvgBase[job_title],$H415),SUMIFS(AvgBase[Month 1],AvgBase[exp_item],$J415,AvgBase[company_name],$B415,AvgBase[bu_name],$C415,AvgBase[dept_name],$D415,AvgBase[team_consolidation],$K415,AvgBase[location_name],$G415,AvgBase[job_title],$H415))*L205/2*(1-L310))</f>
        <v>0</v>
      </c>
      <c r="M415" s="652">
        <f>IF($B415="",,IF(LEFT($H415,5)="dummy",SUMIFS(AvgBase[Month 2],AvgBase[job_title],$H415),SUMIFS(AvgBase[Month 2],AvgBase[exp_item],$J415,AvgBase[company_name],$B415,AvgBase[bu_name],$C415,AvgBase[dept_name],$D415,AvgBase[team_consolidation],$K415,AvgBase[location_name],$G415,AvgBase[job_title],$H415))*(M205+L205)/2*(1-M310))</f>
        <v>0</v>
      </c>
      <c r="N415" s="652">
        <f>IF($B415="",,IF(LEFT($H415,5)="dummy",SUMIFS(AvgBase[Month 3],AvgBase[job_title],$H415),SUMIFS(AvgBase[Month 3],AvgBase[exp_item],$J415,AvgBase[company_name],$B415,AvgBase[bu_name],$C415,AvgBase[dept_name],$D415,AvgBase[team_consolidation],$K415,AvgBase[location_name],$G415,AvgBase[job_title],$H415))*(N205+M205)/2*(1-N310))</f>
        <v>0</v>
      </c>
      <c r="O415" s="652">
        <f>IF($B415="",,IF(LEFT($H415,5)="dummy",SUMIFS(AvgBase[Month 4],AvgBase[job_title],$H415),SUMIFS(AvgBase[Month 4],AvgBase[exp_item],$J415,AvgBase[company_name],$B415,AvgBase[bu_name],$C415,AvgBase[dept_name],$D415,AvgBase[team_consolidation],$K415,AvgBase[location_name],$G415,AvgBase[job_title],$H415))*(O205+N205)/2*(1-O310))</f>
        <v>0</v>
      </c>
      <c r="P415" s="652">
        <f>IF($B415="",,IF(LEFT($H415,5)="dummy",SUMIFS(AvgBase[Month 5],AvgBase[job_title],$H415),SUMIFS(AvgBase[Month 5],AvgBase[exp_item],$J415,AvgBase[company_name],$B415,AvgBase[bu_name],$C415,AvgBase[dept_name],$D415,AvgBase[team_consolidation],$K415,AvgBase[location_name],$G415,AvgBase[job_title],$H415))*(P205+O205)/2*(1-P310))</f>
        <v>0</v>
      </c>
      <c r="Q415" s="652">
        <f>IF($B415="",,IF(LEFT($H415,5)="dummy",SUMIFS(AvgBase[Month 6],AvgBase[job_title],$H415),SUMIFS(AvgBase[Month 6],AvgBase[exp_item],$J415,AvgBase[company_name],$B415,AvgBase[bu_name],$C415,AvgBase[dept_name],$D415,AvgBase[team_consolidation],$K415,AvgBase[location_name],$G415,AvgBase[job_title],$H415))*(Q205+P205)/2*(1-Q310))</f>
        <v>0</v>
      </c>
      <c r="R415" s="652">
        <f>IF($B415="",,IF(LEFT($H415,5)="dummy",SUMIFS(AvgBase[Month 7],AvgBase[job_title],$H415),SUMIFS(AvgBase[Month 7],AvgBase[exp_item],$J415,AvgBase[company_name],$B415,AvgBase[bu_name],$C415,AvgBase[dept_name],$D415,AvgBase[team_consolidation],$K415,AvgBase[location_name],$G415,AvgBase[job_title],$H415))*(R205+Q205)/2*(1-R310))</f>
        <v>0</v>
      </c>
      <c r="S415" s="652">
        <f>IF($B415="",,IF(LEFT($H415,5)="dummy",SUMIFS(AvgBase[Month 8],AvgBase[job_title],$H415),SUMIFS(AvgBase[Month 8],AvgBase[exp_item],$J415,AvgBase[company_name],$B415,AvgBase[bu_name],$C415,AvgBase[dept_name],$D415,AvgBase[team_consolidation],$K415,AvgBase[location_name],$G415,AvgBase[job_title],$H415))*(S205+R205)/2*(1-S310))</f>
        <v>0</v>
      </c>
      <c r="T415" s="652">
        <f>IF($B415="",,IF(LEFT($H415,5)="dummy",SUMIFS(AvgBase[Month 9],AvgBase[job_title],$H415),SUMIFS(AvgBase[Month 9],AvgBase[exp_item],$J415,AvgBase[company_name],$B415,AvgBase[bu_name],$C415,AvgBase[dept_name],$D415,AvgBase[team_consolidation],$K415,AvgBase[location_name],$G415,AvgBase[job_title],$H415))*(T205+S205)/2*(1-T310))</f>
        <v>0</v>
      </c>
      <c r="U415" s="652">
        <f>IF($B415="",,IF(LEFT($H415,5)="dummy",SUMIFS(AvgBase[Month 10],AvgBase[job_title],$H415),SUMIFS(AvgBase[Month 10],AvgBase[exp_item],$J415,AvgBase[company_name],$B415,AvgBase[bu_name],$C415,AvgBase[dept_name],$D415,AvgBase[team_consolidation],$K415,AvgBase[location_name],$G415,AvgBase[job_title],$H415))*(U205+T205)/2*(1-U310))</f>
        <v>0</v>
      </c>
      <c r="V415" s="652">
        <f>IF($B415="",,IF(LEFT($H415,5)="dummy",SUMIFS(AvgBase[Month 11],AvgBase[job_title],$H415),SUMIFS(AvgBase[Month 11],AvgBase[exp_item],$J415,AvgBase[company_name],$B415,AvgBase[bu_name],$C415,AvgBase[dept_name],$D415,AvgBase[team_consolidation],$K415,AvgBase[location_name],$G415,AvgBase[job_title],$H415))*(V205+U205)/2*(1-V310))</f>
        <v>0</v>
      </c>
      <c r="W415" s="652">
        <f>IF($B415="",,IF(LEFT($H415,5)="dummy",SUMIFS(AvgBase[Month 12],AvgBase[job_title],$H415),SUMIFS(AvgBase[Month 12],AvgBase[exp_item],$J415,AvgBase[company_name],$B415,AvgBase[bu_name],$C415,AvgBase[dept_name],$D415,AvgBase[team_consolidation],$K415,AvgBase[location_name],$G415,AvgBase[job_title],$H415))*(W205+V205)/2*(1-W310))</f>
        <v>0</v>
      </c>
      <c r="X415" s="652">
        <f>IF($B415="",,IF(LEFT($H415,5)="dummy",SUMIFS(AvgBase[Month 13],AvgBase[job_title],$H415),SUMIFS(AvgBase[Month 13],AvgBase[exp_item],$J415,AvgBase[company_name],$B415,AvgBase[bu_name],$C415,AvgBase[dept_name],$D415,AvgBase[team_consolidation],$K415,AvgBase[location_name],$G415,AvgBase[job_title],$H415))*(X205+W205)/2*(1-X310))</f>
        <v>0</v>
      </c>
      <c r="Y415" s="652">
        <f>IF($B415="",,IF(LEFT($H415,5)="dummy",SUMIFS(AvgBase[Month 14],AvgBase[job_title],$H415),SUMIFS(AvgBase[Month 14],AvgBase[exp_item],$J415,AvgBase[company_name],$B415,AvgBase[bu_name],$C415,AvgBase[dept_name],$D415,AvgBase[team_consolidation],$K415,AvgBase[location_name],$G415,AvgBase[job_title],$H415))*(Y205+X205)/2*(1-Y310))</f>
        <v>0</v>
      </c>
      <c r="Z415" s="652">
        <f>IF($B415="",,IF(LEFT($H415,5)="dummy",SUMIFS(AvgBase[Month 15],AvgBase[job_title],$H415),SUMIFS(AvgBase[Month 15],AvgBase[exp_item],$J415,AvgBase[company_name],$B415,AvgBase[bu_name],$C415,AvgBase[dept_name],$D415,AvgBase[team_consolidation],$K415,AvgBase[location_name],$G415,AvgBase[job_title],$H415))*(Z205+Y205)/2*(1-Z310))</f>
        <v>0</v>
      </c>
      <c r="AA415" s="652">
        <f>IF($B415="",,IF(LEFT($H415,5)="dummy",SUMIFS(AvgBase[Month 16],AvgBase[job_title],$H415),SUMIFS(AvgBase[Month 16],AvgBase[exp_item],$J415,AvgBase[company_name],$B415,AvgBase[bu_name],$C415,AvgBase[dept_name],$D415,AvgBase[team_consolidation],$K415,AvgBase[location_name],$G415,AvgBase[job_title],$H415))*(AA205+Z205)/2*(1-AA310))</f>
        <v>0</v>
      </c>
      <c r="AB415" s="652">
        <f>IF($B415="",,IF(LEFT($H415,5)="dummy",SUMIFS(AvgBase[Month 17],AvgBase[job_title],$H415),SUMIFS(AvgBase[Month 17],AvgBase[exp_item],$J415,AvgBase[company_name],$B415,AvgBase[bu_name],$C415,AvgBase[dept_name],$D415,AvgBase[team_consolidation],$K415,AvgBase[location_name],$G415,AvgBase[job_title],$H415))*(AB205+AA205)/2*(1-AB310))</f>
        <v>0</v>
      </c>
      <c r="AC415" s="652">
        <f>IF($B415="",,IF(LEFT($H415,5)="dummy",SUMIFS(AvgBase[Month 18],AvgBase[job_title],$H415),SUMIFS(AvgBase[Month 18],AvgBase[exp_item],$J415,AvgBase[company_name],$B415,AvgBase[bu_name],$C415,AvgBase[dept_name],$D415,AvgBase[team_consolidation],$K415,AvgBase[location_name],$G415,AvgBase[job_title],$H415))*(AC205+AB205)/2*(1-AC310))</f>
        <v>0</v>
      </c>
      <c r="AD415" s="652">
        <f>IF($B415="",,IF(LEFT($H415,5)="dummy",SUMIFS(AvgBase[Month 19],AvgBase[job_title],$H415),SUMIFS(AvgBase[Month 19],AvgBase[exp_item],$J415,AvgBase[company_name],$B415,AvgBase[bu_name],$C415,AvgBase[dept_name],$D415,AvgBase[team_consolidation],$K415,AvgBase[location_name],$G415,AvgBase[job_title],$H415))*(AD205+AC205)/2*(1-AD310))</f>
        <v>0</v>
      </c>
      <c r="AE415" s="652">
        <f>IF($B415="",,IF(LEFT($H415,5)="dummy",SUMIFS(AvgBase[Month 20],AvgBase[job_title],$H415),SUMIFS(AvgBase[Month 20],AvgBase[exp_item],$J415,AvgBase[company_name],$B415,AvgBase[bu_name],$C415,AvgBase[dept_name],$D415,AvgBase[team_consolidation],$K415,AvgBase[location_name],$G415,AvgBase[job_title],$H415))*(AE205+AD205)/2*(1-AE310))</f>
        <v>0</v>
      </c>
      <c r="AF415" s="652">
        <f>IF($B415="",,IF(LEFT($H415,5)="dummy",SUMIFS(AvgBase[Month 21],AvgBase[job_title],$H415),SUMIFS(AvgBase[Month 21],AvgBase[exp_item],$J415,AvgBase[company_name],$B415,AvgBase[bu_name],$C415,AvgBase[dept_name],$D415,AvgBase[team_consolidation],$K415,AvgBase[location_name],$G415,AvgBase[job_title],$H415))*(AF205+AE205)/2*(1-AF310))</f>
        <v>0</v>
      </c>
      <c r="AG415" s="652">
        <f>IF($B415="",,IF(LEFT($H415,5)="dummy",SUMIFS(AvgBase[Month 22],AvgBase[job_title],$H415),SUMIFS(AvgBase[Month 22],AvgBase[exp_item],$J415,AvgBase[company_name],$B415,AvgBase[bu_name],$C415,AvgBase[dept_name],$D415,AvgBase[team_consolidation],$K415,AvgBase[location_name],$G415,AvgBase[job_title],$H415))*(AG205+AF205)/2*(1-AG310))</f>
        <v>0</v>
      </c>
      <c r="AH415" s="652">
        <f>IF($B415="",,IF(LEFT($H415,5)="dummy",SUMIFS(AvgBase[Month 23],AvgBase[job_title],$H415),SUMIFS(AvgBase[Month 23],AvgBase[exp_item],$J415,AvgBase[company_name],$B415,AvgBase[bu_name],$C415,AvgBase[dept_name],$D415,AvgBase[team_consolidation],$K415,AvgBase[location_name],$G415,AvgBase[job_title],$H415))*(AH205+AG205)/2*(1-AH310))</f>
        <v>0</v>
      </c>
      <c r="AI415" s="652">
        <f>IF($B415="",,IF(LEFT($H415,5)="dummy",SUMIFS(AvgBase[Month 24],AvgBase[job_title],$H415),SUMIFS(AvgBase[Month 24],AvgBase[exp_item],$J415,AvgBase[company_name],$B415,AvgBase[bu_name],$C415,AvgBase[dept_name],$D415,AvgBase[team_consolidation],$K415,AvgBase[location_name],$G415,AvgBase[job_title],$H415))*(AI205+AH205)/2*(1-AI310))</f>
        <v>0</v>
      </c>
      <c r="AJ415" s="652">
        <f>IF($B415="",,IF(LEFT($H415,5)="dummy",SUMIFS(AvgBase[Month 25],AvgBase[job_title],$H415),SUMIFS(AvgBase[Month 25],AvgBase[exp_item],$J415,AvgBase[company_name],$B415,AvgBase[bu_name],$C415,AvgBase[dept_name],$D415,AvgBase[team_consolidation],$K415,AvgBase[location_name],$G415,AvgBase[job_title],$H415))*(AJ205+AI205)/2*(1-AJ310))</f>
        <v>0</v>
      </c>
      <c r="AK415" s="652">
        <f>IF($B415="",,IF(LEFT($H415,5)="dummy",SUMIFS(AvgBase[Month 26],AvgBase[job_title],$H415),SUMIFS(AvgBase[Month 26],AvgBase[exp_item],$J415,AvgBase[company_name],$B415,AvgBase[bu_name],$C415,AvgBase[dept_name],$D415,AvgBase[team_consolidation],$K415,AvgBase[location_name],$G415,AvgBase[job_title],$H415))*(AK205+AJ205)/2*(1-AK310))</f>
        <v>0</v>
      </c>
      <c r="AL415" s="652">
        <f>IF($B415="",,IF(LEFT($H415,5)="dummy",SUMIFS(AvgBase[Month 27],AvgBase[job_title],$H415),SUMIFS(AvgBase[Month 27],AvgBase[exp_item],$J415,AvgBase[company_name],$B415,AvgBase[bu_name],$C415,AvgBase[dept_name],$D415,AvgBase[team_consolidation],$K415,AvgBase[location_name],$G415,AvgBase[job_title],$H415))*(AL205+AK205)/2*(1-AL310))</f>
        <v>0</v>
      </c>
      <c r="AM415" s="652">
        <f>IF($B415="",,IF(LEFT($H415,5)="dummy",SUMIFS(AvgBase[Month 28],AvgBase[job_title],$H415),SUMIFS(AvgBase[Month 28],AvgBase[exp_item],$J415,AvgBase[company_name],$B415,AvgBase[bu_name],$C415,AvgBase[dept_name],$D415,AvgBase[team_consolidation],$K415,AvgBase[location_name],$G415,AvgBase[job_title],$H415))*(AM205+AL205)/2*(1-AM310))</f>
        <v>0</v>
      </c>
      <c r="AN415" s="652">
        <f>IF($B415="",,IF(LEFT($H415,5)="dummy",SUMIFS(AvgBase[Month 29],AvgBase[job_title],$H415),SUMIFS(AvgBase[Month 29],AvgBase[exp_item],$J415,AvgBase[company_name],$B415,AvgBase[bu_name],$C415,AvgBase[dept_name],$D415,AvgBase[team_consolidation],$K415,AvgBase[location_name],$G415,AvgBase[job_title],$H415))*(AN205+AM205)/2*(1-AN310))</f>
        <v>0</v>
      </c>
      <c r="AO415" s="652">
        <f>IF($B415="",,IF(LEFT($H415,5)="dummy",SUMIFS(AvgBase[Month 30],AvgBase[job_title],$H415),SUMIFS(AvgBase[Month 30],AvgBase[exp_item],$J415,AvgBase[company_name],$B415,AvgBase[bu_name],$C415,AvgBase[dept_name],$D415,AvgBase[team_consolidation],$K415,AvgBase[location_name],$G415,AvgBase[job_title],$H415))*(AO205+AN205)/2*(1-AO310))</f>
        <v>0</v>
      </c>
      <c r="AP415" s="652">
        <f>IF($B415="",,IF(LEFT($H415,5)="dummy",SUMIFS(AvgBase[Month 31],AvgBase[job_title],$H415),SUMIFS(AvgBase[Month 31],AvgBase[exp_item],$J415,AvgBase[company_name],$B415,AvgBase[bu_name],$C415,AvgBase[dept_name],$D415,AvgBase[team_consolidation],$K415,AvgBase[location_name],$G415,AvgBase[job_title],$H415))*(AP205+AO205)/2*(1-AP310))</f>
        <v>0</v>
      </c>
      <c r="AQ415" s="652">
        <f>IF($B415="",,IF(LEFT($H415,5)="dummy",SUMIFS(AvgBase[Month 32],AvgBase[job_title],$H415),SUMIFS(AvgBase[Month 32],AvgBase[exp_item],$J415,AvgBase[company_name],$B415,AvgBase[bu_name],$C415,AvgBase[dept_name],$D415,AvgBase[team_consolidation],$K415,AvgBase[location_name],$G415,AvgBase[job_title],$H415))*(AQ205+AP205)/2*(1-AQ310))</f>
        <v>0</v>
      </c>
      <c r="AR415" s="652">
        <f>IF($B415="",,IF(LEFT($H415,5)="dummy",SUMIFS(AvgBase[Month 33],AvgBase[job_title],$H415),SUMIFS(AvgBase[Month 33],AvgBase[exp_item],$J415,AvgBase[company_name],$B415,AvgBase[bu_name],$C415,AvgBase[dept_name],$D415,AvgBase[team_consolidation],$K415,AvgBase[location_name],$G415,AvgBase[job_title],$H415))*(AR205+AQ205)/2*(1-AR310))</f>
        <v>0</v>
      </c>
      <c r="AS415" s="652">
        <f>IF($B415="",,IF(LEFT($H415,5)="dummy",SUMIFS(AvgBase[Month 34],AvgBase[job_title],$H415),SUMIFS(AvgBase[Month 34],AvgBase[exp_item],$J415,AvgBase[company_name],$B415,AvgBase[bu_name],$C415,AvgBase[dept_name],$D415,AvgBase[team_consolidation],$K415,AvgBase[location_name],$G415,AvgBase[job_title],$H415))*(AS205+AR205)/2*(1-AS310))</f>
        <v>0</v>
      </c>
      <c r="AT415" s="652">
        <f>IF($B415="",,IF(LEFT($H415,5)="dummy",SUMIFS(AvgBase[Month 35],AvgBase[job_title],$H415),SUMIFS(AvgBase[Month 35],AvgBase[exp_item],$J415,AvgBase[company_name],$B415,AvgBase[bu_name],$C415,AvgBase[dept_name],$D415,AvgBase[team_consolidation],$K415,AvgBase[location_name],$G415,AvgBase[job_title],$H415))*(AT205+AS205)/2*(1-AT310))</f>
        <v>0</v>
      </c>
      <c r="AU415" s="652">
        <f>IF($B415="",,IF(LEFT($H415,5)="dummy",SUMIFS(AvgBase[Month 36],AvgBase[job_title],$H415),SUMIFS(AvgBase[Month 36],AvgBase[exp_item],$J415,AvgBase[company_name],$B415,AvgBase[bu_name],$C415,AvgBase[dept_name],$D415,AvgBase[team_consolidation],$K415,AvgBase[location_name],$G415,AvgBase[job_title],$H415))*(AU205+AT205)/2*(1-AU310))</f>
        <v>0</v>
      </c>
    </row>
    <row r="416" spans="2:47" x14ac:dyDescent="0.35">
      <c r="B416" t="str">
        <f t="shared" ref="B416:G425" si="277">IF(B311="","",B311)</f>
        <v/>
      </c>
      <c r="C416" t="str">
        <f t="shared" si="277"/>
        <v/>
      </c>
      <c r="D416" t="str">
        <f t="shared" si="277"/>
        <v/>
      </c>
      <c r="E416" t="str">
        <f t="shared" si="277"/>
        <v/>
      </c>
      <c r="F416" t="str">
        <f t="shared" si="277"/>
        <v/>
      </c>
      <c r="G416" t="str">
        <f t="shared" si="277"/>
        <v/>
      </c>
      <c r="H416" t="str">
        <f t="shared" si="274"/>
        <v/>
      </c>
      <c r="J416" t="str">
        <f>IF($H416="","",IF(VLOOKUP($B$395,ExpItems[],2,0),$B$395&amp;" - "&amp;INDEX(DivisionMapping[category_code],MATCH($D416&amp;$C416,DivisionMapping[dept_bu],0)),$B$395))</f>
        <v/>
      </c>
      <c r="K416" t="str">
        <f t="shared" si="275"/>
        <v/>
      </c>
      <c r="L416" s="652">
        <f>IF($B416="",,IF(LEFT($H416,5)="dummy",SUMIFS(AvgBase[Month 1],AvgBase[job_title],$H416),SUMIFS(AvgBase[Month 1],AvgBase[exp_item],$J416,AvgBase[company_name],$B416,AvgBase[bu_name],$C416,AvgBase[dept_name],$D416,AvgBase[team_consolidation],$K416,AvgBase[location_name],$G416,AvgBase[job_title],$H416))*L206/2*(1-L311))</f>
        <v>0</v>
      </c>
      <c r="M416" s="652">
        <f>IF($B416="",,IF(LEFT($H416,5)="dummy",SUMIFS(AvgBase[Month 2],AvgBase[job_title],$H416),SUMIFS(AvgBase[Month 2],AvgBase[exp_item],$J416,AvgBase[company_name],$B416,AvgBase[bu_name],$C416,AvgBase[dept_name],$D416,AvgBase[team_consolidation],$K416,AvgBase[location_name],$G416,AvgBase[job_title],$H416))*(M206+L206)/2*(1-M311))</f>
        <v>0</v>
      </c>
      <c r="N416" s="652">
        <f>IF($B416="",,IF(LEFT($H416,5)="dummy",SUMIFS(AvgBase[Month 3],AvgBase[job_title],$H416),SUMIFS(AvgBase[Month 3],AvgBase[exp_item],$J416,AvgBase[company_name],$B416,AvgBase[bu_name],$C416,AvgBase[dept_name],$D416,AvgBase[team_consolidation],$K416,AvgBase[location_name],$G416,AvgBase[job_title],$H416))*(N206+M206)/2*(1-N311))</f>
        <v>0</v>
      </c>
      <c r="O416" s="652">
        <f>IF($B416="",,IF(LEFT($H416,5)="dummy",SUMIFS(AvgBase[Month 4],AvgBase[job_title],$H416),SUMIFS(AvgBase[Month 4],AvgBase[exp_item],$J416,AvgBase[company_name],$B416,AvgBase[bu_name],$C416,AvgBase[dept_name],$D416,AvgBase[team_consolidation],$K416,AvgBase[location_name],$G416,AvgBase[job_title],$H416))*(O206+N206)/2*(1-O311))</f>
        <v>0</v>
      </c>
      <c r="P416" s="652">
        <f>IF($B416="",,IF(LEFT($H416,5)="dummy",SUMIFS(AvgBase[Month 5],AvgBase[job_title],$H416),SUMIFS(AvgBase[Month 5],AvgBase[exp_item],$J416,AvgBase[company_name],$B416,AvgBase[bu_name],$C416,AvgBase[dept_name],$D416,AvgBase[team_consolidation],$K416,AvgBase[location_name],$G416,AvgBase[job_title],$H416))*(P206+O206)/2*(1-P311))</f>
        <v>0</v>
      </c>
      <c r="Q416" s="652">
        <f>IF($B416="",,IF(LEFT($H416,5)="dummy",SUMIFS(AvgBase[Month 6],AvgBase[job_title],$H416),SUMIFS(AvgBase[Month 6],AvgBase[exp_item],$J416,AvgBase[company_name],$B416,AvgBase[bu_name],$C416,AvgBase[dept_name],$D416,AvgBase[team_consolidation],$K416,AvgBase[location_name],$G416,AvgBase[job_title],$H416))*(Q206+P206)/2*(1-Q311))</f>
        <v>0</v>
      </c>
      <c r="R416" s="652">
        <f>IF($B416="",,IF(LEFT($H416,5)="dummy",SUMIFS(AvgBase[Month 7],AvgBase[job_title],$H416),SUMIFS(AvgBase[Month 7],AvgBase[exp_item],$J416,AvgBase[company_name],$B416,AvgBase[bu_name],$C416,AvgBase[dept_name],$D416,AvgBase[team_consolidation],$K416,AvgBase[location_name],$G416,AvgBase[job_title],$H416))*(R206+Q206)/2*(1-R311))</f>
        <v>0</v>
      </c>
      <c r="S416" s="652">
        <f>IF($B416="",,IF(LEFT($H416,5)="dummy",SUMIFS(AvgBase[Month 8],AvgBase[job_title],$H416),SUMIFS(AvgBase[Month 8],AvgBase[exp_item],$J416,AvgBase[company_name],$B416,AvgBase[bu_name],$C416,AvgBase[dept_name],$D416,AvgBase[team_consolidation],$K416,AvgBase[location_name],$G416,AvgBase[job_title],$H416))*(S206+R206)/2*(1-S311))</f>
        <v>0</v>
      </c>
      <c r="T416" s="652">
        <f>IF($B416="",,IF(LEFT($H416,5)="dummy",SUMIFS(AvgBase[Month 9],AvgBase[job_title],$H416),SUMIFS(AvgBase[Month 9],AvgBase[exp_item],$J416,AvgBase[company_name],$B416,AvgBase[bu_name],$C416,AvgBase[dept_name],$D416,AvgBase[team_consolidation],$K416,AvgBase[location_name],$G416,AvgBase[job_title],$H416))*(T206+S206)/2*(1-T311))</f>
        <v>0</v>
      </c>
      <c r="U416" s="652">
        <f>IF($B416="",,IF(LEFT($H416,5)="dummy",SUMIFS(AvgBase[Month 10],AvgBase[job_title],$H416),SUMIFS(AvgBase[Month 10],AvgBase[exp_item],$J416,AvgBase[company_name],$B416,AvgBase[bu_name],$C416,AvgBase[dept_name],$D416,AvgBase[team_consolidation],$K416,AvgBase[location_name],$G416,AvgBase[job_title],$H416))*(U206+T206)/2*(1-U311))</f>
        <v>0</v>
      </c>
      <c r="V416" s="652">
        <f>IF($B416="",,IF(LEFT($H416,5)="dummy",SUMIFS(AvgBase[Month 11],AvgBase[job_title],$H416),SUMIFS(AvgBase[Month 11],AvgBase[exp_item],$J416,AvgBase[company_name],$B416,AvgBase[bu_name],$C416,AvgBase[dept_name],$D416,AvgBase[team_consolidation],$K416,AvgBase[location_name],$G416,AvgBase[job_title],$H416))*(V206+U206)/2*(1-V311))</f>
        <v>0</v>
      </c>
      <c r="W416" s="652">
        <f>IF($B416="",,IF(LEFT($H416,5)="dummy",SUMIFS(AvgBase[Month 12],AvgBase[job_title],$H416),SUMIFS(AvgBase[Month 12],AvgBase[exp_item],$J416,AvgBase[company_name],$B416,AvgBase[bu_name],$C416,AvgBase[dept_name],$D416,AvgBase[team_consolidation],$K416,AvgBase[location_name],$G416,AvgBase[job_title],$H416))*(W206+V206)/2*(1-W311))</f>
        <v>0</v>
      </c>
      <c r="X416" s="652">
        <f>IF($B416="",,IF(LEFT($H416,5)="dummy",SUMIFS(AvgBase[Month 13],AvgBase[job_title],$H416),SUMIFS(AvgBase[Month 13],AvgBase[exp_item],$J416,AvgBase[company_name],$B416,AvgBase[bu_name],$C416,AvgBase[dept_name],$D416,AvgBase[team_consolidation],$K416,AvgBase[location_name],$G416,AvgBase[job_title],$H416))*(X206+W206)/2*(1-X311))</f>
        <v>0</v>
      </c>
      <c r="Y416" s="652">
        <f>IF($B416="",,IF(LEFT($H416,5)="dummy",SUMIFS(AvgBase[Month 14],AvgBase[job_title],$H416),SUMIFS(AvgBase[Month 14],AvgBase[exp_item],$J416,AvgBase[company_name],$B416,AvgBase[bu_name],$C416,AvgBase[dept_name],$D416,AvgBase[team_consolidation],$K416,AvgBase[location_name],$G416,AvgBase[job_title],$H416))*(Y206+X206)/2*(1-Y311))</f>
        <v>0</v>
      </c>
      <c r="Z416" s="652">
        <f>IF($B416="",,IF(LEFT($H416,5)="dummy",SUMIFS(AvgBase[Month 15],AvgBase[job_title],$H416),SUMIFS(AvgBase[Month 15],AvgBase[exp_item],$J416,AvgBase[company_name],$B416,AvgBase[bu_name],$C416,AvgBase[dept_name],$D416,AvgBase[team_consolidation],$K416,AvgBase[location_name],$G416,AvgBase[job_title],$H416))*(Z206+Y206)/2*(1-Z311))</f>
        <v>0</v>
      </c>
      <c r="AA416" s="652">
        <f>IF($B416="",,IF(LEFT($H416,5)="dummy",SUMIFS(AvgBase[Month 16],AvgBase[job_title],$H416),SUMIFS(AvgBase[Month 16],AvgBase[exp_item],$J416,AvgBase[company_name],$B416,AvgBase[bu_name],$C416,AvgBase[dept_name],$D416,AvgBase[team_consolidation],$K416,AvgBase[location_name],$G416,AvgBase[job_title],$H416))*(AA206+Z206)/2*(1-AA311))</f>
        <v>0</v>
      </c>
      <c r="AB416" s="652">
        <f>IF($B416="",,IF(LEFT($H416,5)="dummy",SUMIFS(AvgBase[Month 17],AvgBase[job_title],$H416),SUMIFS(AvgBase[Month 17],AvgBase[exp_item],$J416,AvgBase[company_name],$B416,AvgBase[bu_name],$C416,AvgBase[dept_name],$D416,AvgBase[team_consolidation],$K416,AvgBase[location_name],$G416,AvgBase[job_title],$H416))*(AB206+AA206)/2*(1-AB311))</f>
        <v>0</v>
      </c>
      <c r="AC416" s="652">
        <f>IF($B416="",,IF(LEFT($H416,5)="dummy",SUMIFS(AvgBase[Month 18],AvgBase[job_title],$H416),SUMIFS(AvgBase[Month 18],AvgBase[exp_item],$J416,AvgBase[company_name],$B416,AvgBase[bu_name],$C416,AvgBase[dept_name],$D416,AvgBase[team_consolidation],$K416,AvgBase[location_name],$G416,AvgBase[job_title],$H416))*(AC206+AB206)/2*(1-AC311))</f>
        <v>0</v>
      </c>
      <c r="AD416" s="652">
        <f>IF($B416="",,IF(LEFT($H416,5)="dummy",SUMIFS(AvgBase[Month 19],AvgBase[job_title],$H416),SUMIFS(AvgBase[Month 19],AvgBase[exp_item],$J416,AvgBase[company_name],$B416,AvgBase[bu_name],$C416,AvgBase[dept_name],$D416,AvgBase[team_consolidation],$K416,AvgBase[location_name],$G416,AvgBase[job_title],$H416))*(AD206+AC206)/2*(1-AD311))</f>
        <v>0</v>
      </c>
      <c r="AE416" s="652">
        <f>IF($B416="",,IF(LEFT($H416,5)="dummy",SUMIFS(AvgBase[Month 20],AvgBase[job_title],$H416),SUMIFS(AvgBase[Month 20],AvgBase[exp_item],$J416,AvgBase[company_name],$B416,AvgBase[bu_name],$C416,AvgBase[dept_name],$D416,AvgBase[team_consolidation],$K416,AvgBase[location_name],$G416,AvgBase[job_title],$H416))*(AE206+AD206)/2*(1-AE311))</f>
        <v>0</v>
      </c>
      <c r="AF416" s="652">
        <f>IF($B416="",,IF(LEFT($H416,5)="dummy",SUMIFS(AvgBase[Month 21],AvgBase[job_title],$H416),SUMIFS(AvgBase[Month 21],AvgBase[exp_item],$J416,AvgBase[company_name],$B416,AvgBase[bu_name],$C416,AvgBase[dept_name],$D416,AvgBase[team_consolidation],$K416,AvgBase[location_name],$G416,AvgBase[job_title],$H416))*(AF206+AE206)/2*(1-AF311))</f>
        <v>0</v>
      </c>
      <c r="AG416" s="652">
        <f>IF($B416="",,IF(LEFT($H416,5)="dummy",SUMIFS(AvgBase[Month 22],AvgBase[job_title],$H416),SUMIFS(AvgBase[Month 22],AvgBase[exp_item],$J416,AvgBase[company_name],$B416,AvgBase[bu_name],$C416,AvgBase[dept_name],$D416,AvgBase[team_consolidation],$K416,AvgBase[location_name],$G416,AvgBase[job_title],$H416))*(AG206+AF206)/2*(1-AG311))</f>
        <v>0</v>
      </c>
      <c r="AH416" s="652">
        <f>IF($B416="",,IF(LEFT($H416,5)="dummy",SUMIFS(AvgBase[Month 23],AvgBase[job_title],$H416),SUMIFS(AvgBase[Month 23],AvgBase[exp_item],$J416,AvgBase[company_name],$B416,AvgBase[bu_name],$C416,AvgBase[dept_name],$D416,AvgBase[team_consolidation],$K416,AvgBase[location_name],$G416,AvgBase[job_title],$H416))*(AH206+AG206)/2*(1-AH311))</f>
        <v>0</v>
      </c>
      <c r="AI416" s="652">
        <f>IF($B416="",,IF(LEFT($H416,5)="dummy",SUMIFS(AvgBase[Month 24],AvgBase[job_title],$H416),SUMIFS(AvgBase[Month 24],AvgBase[exp_item],$J416,AvgBase[company_name],$B416,AvgBase[bu_name],$C416,AvgBase[dept_name],$D416,AvgBase[team_consolidation],$K416,AvgBase[location_name],$G416,AvgBase[job_title],$H416))*(AI206+AH206)/2*(1-AI311))</f>
        <v>0</v>
      </c>
      <c r="AJ416" s="652">
        <f>IF($B416="",,IF(LEFT($H416,5)="dummy",SUMIFS(AvgBase[Month 25],AvgBase[job_title],$H416),SUMIFS(AvgBase[Month 25],AvgBase[exp_item],$J416,AvgBase[company_name],$B416,AvgBase[bu_name],$C416,AvgBase[dept_name],$D416,AvgBase[team_consolidation],$K416,AvgBase[location_name],$G416,AvgBase[job_title],$H416))*(AJ206+AI206)/2*(1-AJ311))</f>
        <v>0</v>
      </c>
      <c r="AK416" s="652">
        <f>IF($B416="",,IF(LEFT($H416,5)="dummy",SUMIFS(AvgBase[Month 26],AvgBase[job_title],$H416),SUMIFS(AvgBase[Month 26],AvgBase[exp_item],$J416,AvgBase[company_name],$B416,AvgBase[bu_name],$C416,AvgBase[dept_name],$D416,AvgBase[team_consolidation],$K416,AvgBase[location_name],$G416,AvgBase[job_title],$H416))*(AK206+AJ206)/2*(1-AK311))</f>
        <v>0</v>
      </c>
      <c r="AL416" s="652">
        <f>IF($B416="",,IF(LEFT($H416,5)="dummy",SUMIFS(AvgBase[Month 27],AvgBase[job_title],$H416),SUMIFS(AvgBase[Month 27],AvgBase[exp_item],$J416,AvgBase[company_name],$B416,AvgBase[bu_name],$C416,AvgBase[dept_name],$D416,AvgBase[team_consolidation],$K416,AvgBase[location_name],$G416,AvgBase[job_title],$H416))*(AL206+AK206)/2*(1-AL311))</f>
        <v>0</v>
      </c>
      <c r="AM416" s="652">
        <f>IF($B416="",,IF(LEFT($H416,5)="dummy",SUMIFS(AvgBase[Month 28],AvgBase[job_title],$H416),SUMIFS(AvgBase[Month 28],AvgBase[exp_item],$J416,AvgBase[company_name],$B416,AvgBase[bu_name],$C416,AvgBase[dept_name],$D416,AvgBase[team_consolidation],$K416,AvgBase[location_name],$G416,AvgBase[job_title],$H416))*(AM206+AL206)/2*(1-AM311))</f>
        <v>0</v>
      </c>
      <c r="AN416" s="652">
        <f>IF($B416="",,IF(LEFT($H416,5)="dummy",SUMIFS(AvgBase[Month 29],AvgBase[job_title],$H416),SUMIFS(AvgBase[Month 29],AvgBase[exp_item],$J416,AvgBase[company_name],$B416,AvgBase[bu_name],$C416,AvgBase[dept_name],$D416,AvgBase[team_consolidation],$K416,AvgBase[location_name],$G416,AvgBase[job_title],$H416))*(AN206+AM206)/2*(1-AN311))</f>
        <v>0</v>
      </c>
      <c r="AO416" s="652">
        <f>IF($B416="",,IF(LEFT($H416,5)="dummy",SUMIFS(AvgBase[Month 30],AvgBase[job_title],$H416),SUMIFS(AvgBase[Month 30],AvgBase[exp_item],$J416,AvgBase[company_name],$B416,AvgBase[bu_name],$C416,AvgBase[dept_name],$D416,AvgBase[team_consolidation],$K416,AvgBase[location_name],$G416,AvgBase[job_title],$H416))*(AO206+AN206)/2*(1-AO311))</f>
        <v>0</v>
      </c>
      <c r="AP416" s="652">
        <f>IF($B416="",,IF(LEFT($H416,5)="dummy",SUMIFS(AvgBase[Month 31],AvgBase[job_title],$H416),SUMIFS(AvgBase[Month 31],AvgBase[exp_item],$J416,AvgBase[company_name],$B416,AvgBase[bu_name],$C416,AvgBase[dept_name],$D416,AvgBase[team_consolidation],$K416,AvgBase[location_name],$G416,AvgBase[job_title],$H416))*(AP206+AO206)/2*(1-AP311))</f>
        <v>0</v>
      </c>
      <c r="AQ416" s="652">
        <f>IF($B416="",,IF(LEFT($H416,5)="dummy",SUMIFS(AvgBase[Month 32],AvgBase[job_title],$H416),SUMIFS(AvgBase[Month 32],AvgBase[exp_item],$J416,AvgBase[company_name],$B416,AvgBase[bu_name],$C416,AvgBase[dept_name],$D416,AvgBase[team_consolidation],$K416,AvgBase[location_name],$G416,AvgBase[job_title],$H416))*(AQ206+AP206)/2*(1-AQ311))</f>
        <v>0</v>
      </c>
      <c r="AR416" s="652">
        <f>IF($B416="",,IF(LEFT($H416,5)="dummy",SUMIFS(AvgBase[Month 33],AvgBase[job_title],$H416),SUMIFS(AvgBase[Month 33],AvgBase[exp_item],$J416,AvgBase[company_name],$B416,AvgBase[bu_name],$C416,AvgBase[dept_name],$D416,AvgBase[team_consolidation],$K416,AvgBase[location_name],$G416,AvgBase[job_title],$H416))*(AR206+AQ206)/2*(1-AR311))</f>
        <v>0</v>
      </c>
      <c r="AS416" s="652">
        <f>IF($B416="",,IF(LEFT($H416,5)="dummy",SUMIFS(AvgBase[Month 34],AvgBase[job_title],$H416),SUMIFS(AvgBase[Month 34],AvgBase[exp_item],$J416,AvgBase[company_name],$B416,AvgBase[bu_name],$C416,AvgBase[dept_name],$D416,AvgBase[team_consolidation],$K416,AvgBase[location_name],$G416,AvgBase[job_title],$H416))*(AS206+AR206)/2*(1-AS311))</f>
        <v>0</v>
      </c>
      <c r="AT416" s="652">
        <f>IF($B416="",,IF(LEFT($H416,5)="dummy",SUMIFS(AvgBase[Month 35],AvgBase[job_title],$H416),SUMIFS(AvgBase[Month 35],AvgBase[exp_item],$J416,AvgBase[company_name],$B416,AvgBase[bu_name],$C416,AvgBase[dept_name],$D416,AvgBase[team_consolidation],$K416,AvgBase[location_name],$G416,AvgBase[job_title],$H416))*(AT206+AS206)/2*(1-AT311))</f>
        <v>0</v>
      </c>
      <c r="AU416" s="652">
        <f>IF($B416="",,IF(LEFT($H416,5)="dummy",SUMIFS(AvgBase[Month 36],AvgBase[job_title],$H416),SUMIFS(AvgBase[Month 36],AvgBase[exp_item],$J416,AvgBase[company_name],$B416,AvgBase[bu_name],$C416,AvgBase[dept_name],$D416,AvgBase[team_consolidation],$K416,AvgBase[location_name],$G416,AvgBase[job_title],$H416))*(AU206+AT206)/2*(1-AU311))</f>
        <v>0</v>
      </c>
    </row>
    <row r="417" spans="2:47" x14ac:dyDescent="0.35">
      <c r="B417" t="str">
        <f t="shared" si="277"/>
        <v/>
      </c>
      <c r="C417" t="str">
        <f t="shared" si="277"/>
        <v/>
      </c>
      <c r="D417" t="str">
        <f t="shared" si="277"/>
        <v/>
      </c>
      <c r="E417" t="str">
        <f t="shared" si="277"/>
        <v/>
      </c>
      <c r="F417" t="str">
        <f t="shared" si="277"/>
        <v/>
      </c>
      <c r="G417" t="str">
        <f t="shared" si="277"/>
        <v/>
      </c>
      <c r="H417" t="str">
        <f t="shared" si="274"/>
        <v/>
      </c>
      <c r="J417" t="str">
        <f>IF($H417="","",IF(VLOOKUP($B$395,ExpItems[],2,0),$B$395&amp;" - "&amp;INDEX(DivisionMapping[category_code],MATCH($D417&amp;$C417,DivisionMapping[dept_bu],0)),$B$395))</f>
        <v/>
      </c>
      <c r="K417" t="str">
        <f t="shared" si="275"/>
        <v/>
      </c>
      <c r="L417" s="652">
        <f>IF($B417="",,IF(LEFT($H417,5)="dummy",SUMIFS(AvgBase[Month 1],AvgBase[job_title],$H417),SUMIFS(AvgBase[Month 1],AvgBase[exp_item],$J417,AvgBase[company_name],$B417,AvgBase[bu_name],$C417,AvgBase[dept_name],$D417,AvgBase[team_consolidation],$K417,AvgBase[location_name],$G417,AvgBase[job_title],$H417))*L207/2*(1-L312))</f>
        <v>0</v>
      </c>
      <c r="M417" s="652">
        <f>IF($B417="",,IF(LEFT($H417,5)="dummy",SUMIFS(AvgBase[Month 2],AvgBase[job_title],$H417),SUMIFS(AvgBase[Month 2],AvgBase[exp_item],$J417,AvgBase[company_name],$B417,AvgBase[bu_name],$C417,AvgBase[dept_name],$D417,AvgBase[team_consolidation],$K417,AvgBase[location_name],$G417,AvgBase[job_title],$H417))*(M207+L207)/2*(1-M312))</f>
        <v>0</v>
      </c>
      <c r="N417" s="652">
        <f>IF($B417="",,IF(LEFT($H417,5)="dummy",SUMIFS(AvgBase[Month 3],AvgBase[job_title],$H417),SUMIFS(AvgBase[Month 3],AvgBase[exp_item],$J417,AvgBase[company_name],$B417,AvgBase[bu_name],$C417,AvgBase[dept_name],$D417,AvgBase[team_consolidation],$K417,AvgBase[location_name],$G417,AvgBase[job_title],$H417))*(N207+M207)/2*(1-N312))</f>
        <v>0</v>
      </c>
      <c r="O417" s="652">
        <f>IF($B417="",,IF(LEFT($H417,5)="dummy",SUMIFS(AvgBase[Month 4],AvgBase[job_title],$H417),SUMIFS(AvgBase[Month 4],AvgBase[exp_item],$J417,AvgBase[company_name],$B417,AvgBase[bu_name],$C417,AvgBase[dept_name],$D417,AvgBase[team_consolidation],$K417,AvgBase[location_name],$G417,AvgBase[job_title],$H417))*(O207+N207)/2*(1-O312))</f>
        <v>0</v>
      </c>
      <c r="P417" s="652">
        <f>IF($B417="",,IF(LEFT($H417,5)="dummy",SUMIFS(AvgBase[Month 5],AvgBase[job_title],$H417),SUMIFS(AvgBase[Month 5],AvgBase[exp_item],$J417,AvgBase[company_name],$B417,AvgBase[bu_name],$C417,AvgBase[dept_name],$D417,AvgBase[team_consolidation],$K417,AvgBase[location_name],$G417,AvgBase[job_title],$H417))*(P207+O207)/2*(1-P312))</f>
        <v>0</v>
      </c>
      <c r="Q417" s="652">
        <f>IF($B417="",,IF(LEFT($H417,5)="dummy",SUMIFS(AvgBase[Month 6],AvgBase[job_title],$H417),SUMIFS(AvgBase[Month 6],AvgBase[exp_item],$J417,AvgBase[company_name],$B417,AvgBase[bu_name],$C417,AvgBase[dept_name],$D417,AvgBase[team_consolidation],$K417,AvgBase[location_name],$G417,AvgBase[job_title],$H417))*(Q207+P207)/2*(1-Q312))</f>
        <v>0</v>
      </c>
      <c r="R417" s="652">
        <f>IF($B417="",,IF(LEFT($H417,5)="dummy",SUMIFS(AvgBase[Month 7],AvgBase[job_title],$H417),SUMIFS(AvgBase[Month 7],AvgBase[exp_item],$J417,AvgBase[company_name],$B417,AvgBase[bu_name],$C417,AvgBase[dept_name],$D417,AvgBase[team_consolidation],$K417,AvgBase[location_name],$G417,AvgBase[job_title],$H417))*(R207+Q207)/2*(1-R312))</f>
        <v>0</v>
      </c>
      <c r="S417" s="652">
        <f>IF($B417="",,IF(LEFT($H417,5)="dummy",SUMIFS(AvgBase[Month 8],AvgBase[job_title],$H417),SUMIFS(AvgBase[Month 8],AvgBase[exp_item],$J417,AvgBase[company_name],$B417,AvgBase[bu_name],$C417,AvgBase[dept_name],$D417,AvgBase[team_consolidation],$K417,AvgBase[location_name],$G417,AvgBase[job_title],$H417))*(S207+R207)/2*(1-S312))</f>
        <v>0</v>
      </c>
      <c r="T417" s="652">
        <f>IF($B417="",,IF(LEFT($H417,5)="dummy",SUMIFS(AvgBase[Month 9],AvgBase[job_title],$H417),SUMIFS(AvgBase[Month 9],AvgBase[exp_item],$J417,AvgBase[company_name],$B417,AvgBase[bu_name],$C417,AvgBase[dept_name],$D417,AvgBase[team_consolidation],$K417,AvgBase[location_name],$G417,AvgBase[job_title],$H417))*(T207+S207)/2*(1-T312))</f>
        <v>0</v>
      </c>
      <c r="U417" s="652">
        <f>IF($B417="",,IF(LEFT($H417,5)="dummy",SUMIFS(AvgBase[Month 10],AvgBase[job_title],$H417),SUMIFS(AvgBase[Month 10],AvgBase[exp_item],$J417,AvgBase[company_name],$B417,AvgBase[bu_name],$C417,AvgBase[dept_name],$D417,AvgBase[team_consolidation],$K417,AvgBase[location_name],$G417,AvgBase[job_title],$H417))*(U207+T207)/2*(1-U312))</f>
        <v>0</v>
      </c>
      <c r="V417" s="652">
        <f>IF($B417="",,IF(LEFT($H417,5)="dummy",SUMIFS(AvgBase[Month 11],AvgBase[job_title],$H417),SUMIFS(AvgBase[Month 11],AvgBase[exp_item],$J417,AvgBase[company_name],$B417,AvgBase[bu_name],$C417,AvgBase[dept_name],$D417,AvgBase[team_consolidation],$K417,AvgBase[location_name],$G417,AvgBase[job_title],$H417))*(V207+U207)/2*(1-V312))</f>
        <v>0</v>
      </c>
      <c r="W417" s="652">
        <f>IF($B417="",,IF(LEFT($H417,5)="dummy",SUMIFS(AvgBase[Month 12],AvgBase[job_title],$H417),SUMIFS(AvgBase[Month 12],AvgBase[exp_item],$J417,AvgBase[company_name],$B417,AvgBase[bu_name],$C417,AvgBase[dept_name],$D417,AvgBase[team_consolidation],$K417,AvgBase[location_name],$G417,AvgBase[job_title],$H417))*(W207+V207)/2*(1-W312))</f>
        <v>0</v>
      </c>
      <c r="X417" s="652">
        <f>IF($B417="",,IF(LEFT($H417,5)="dummy",SUMIFS(AvgBase[Month 13],AvgBase[job_title],$H417),SUMIFS(AvgBase[Month 13],AvgBase[exp_item],$J417,AvgBase[company_name],$B417,AvgBase[bu_name],$C417,AvgBase[dept_name],$D417,AvgBase[team_consolidation],$K417,AvgBase[location_name],$G417,AvgBase[job_title],$H417))*(X207+W207)/2*(1-X312))</f>
        <v>0</v>
      </c>
      <c r="Y417" s="652">
        <f>IF($B417="",,IF(LEFT($H417,5)="dummy",SUMIFS(AvgBase[Month 14],AvgBase[job_title],$H417),SUMIFS(AvgBase[Month 14],AvgBase[exp_item],$J417,AvgBase[company_name],$B417,AvgBase[bu_name],$C417,AvgBase[dept_name],$D417,AvgBase[team_consolidation],$K417,AvgBase[location_name],$G417,AvgBase[job_title],$H417))*(Y207+X207)/2*(1-Y312))</f>
        <v>0</v>
      </c>
      <c r="Z417" s="652">
        <f>IF($B417="",,IF(LEFT($H417,5)="dummy",SUMIFS(AvgBase[Month 15],AvgBase[job_title],$H417),SUMIFS(AvgBase[Month 15],AvgBase[exp_item],$J417,AvgBase[company_name],$B417,AvgBase[bu_name],$C417,AvgBase[dept_name],$D417,AvgBase[team_consolidation],$K417,AvgBase[location_name],$G417,AvgBase[job_title],$H417))*(Z207+Y207)/2*(1-Z312))</f>
        <v>0</v>
      </c>
      <c r="AA417" s="652">
        <f>IF($B417="",,IF(LEFT($H417,5)="dummy",SUMIFS(AvgBase[Month 16],AvgBase[job_title],$H417),SUMIFS(AvgBase[Month 16],AvgBase[exp_item],$J417,AvgBase[company_name],$B417,AvgBase[bu_name],$C417,AvgBase[dept_name],$D417,AvgBase[team_consolidation],$K417,AvgBase[location_name],$G417,AvgBase[job_title],$H417))*(AA207+Z207)/2*(1-AA312))</f>
        <v>0</v>
      </c>
      <c r="AB417" s="652">
        <f>IF($B417="",,IF(LEFT($H417,5)="dummy",SUMIFS(AvgBase[Month 17],AvgBase[job_title],$H417),SUMIFS(AvgBase[Month 17],AvgBase[exp_item],$J417,AvgBase[company_name],$B417,AvgBase[bu_name],$C417,AvgBase[dept_name],$D417,AvgBase[team_consolidation],$K417,AvgBase[location_name],$G417,AvgBase[job_title],$H417))*(AB207+AA207)/2*(1-AB312))</f>
        <v>0</v>
      </c>
      <c r="AC417" s="652">
        <f>IF($B417="",,IF(LEFT($H417,5)="dummy",SUMIFS(AvgBase[Month 18],AvgBase[job_title],$H417),SUMIFS(AvgBase[Month 18],AvgBase[exp_item],$J417,AvgBase[company_name],$B417,AvgBase[bu_name],$C417,AvgBase[dept_name],$D417,AvgBase[team_consolidation],$K417,AvgBase[location_name],$G417,AvgBase[job_title],$H417))*(AC207+AB207)/2*(1-AC312))</f>
        <v>0</v>
      </c>
      <c r="AD417" s="652">
        <f>IF($B417="",,IF(LEFT($H417,5)="dummy",SUMIFS(AvgBase[Month 19],AvgBase[job_title],$H417),SUMIFS(AvgBase[Month 19],AvgBase[exp_item],$J417,AvgBase[company_name],$B417,AvgBase[bu_name],$C417,AvgBase[dept_name],$D417,AvgBase[team_consolidation],$K417,AvgBase[location_name],$G417,AvgBase[job_title],$H417))*(AD207+AC207)/2*(1-AD312))</f>
        <v>0</v>
      </c>
      <c r="AE417" s="652">
        <f>IF($B417="",,IF(LEFT($H417,5)="dummy",SUMIFS(AvgBase[Month 20],AvgBase[job_title],$H417),SUMIFS(AvgBase[Month 20],AvgBase[exp_item],$J417,AvgBase[company_name],$B417,AvgBase[bu_name],$C417,AvgBase[dept_name],$D417,AvgBase[team_consolidation],$K417,AvgBase[location_name],$G417,AvgBase[job_title],$H417))*(AE207+AD207)/2*(1-AE312))</f>
        <v>0</v>
      </c>
      <c r="AF417" s="652">
        <f>IF($B417="",,IF(LEFT($H417,5)="dummy",SUMIFS(AvgBase[Month 21],AvgBase[job_title],$H417),SUMIFS(AvgBase[Month 21],AvgBase[exp_item],$J417,AvgBase[company_name],$B417,AvgBase[bu_name],$C417,AvgBase[dept_name],$D417,AvgBase[team_consolidation],$K417,AvgBase[location_name],$G417,AvgBase[job_title],$H417))*(AF207+AE207)/2*(1-AF312))</f>
        <v>0</v>
      </c>
      <c r="AG417" s="652">
        <f>IF($B417="",,IF(LEFT($H417,5)="dummy",SUMIFS(AvgBase[Month 22],AvgBase[job_title],$H417),SUMIFS(AvgBase[Month 22],AvgBase[exp_item],$J417,AvgBase[company_name],$B417,AvgBase[bu_name],$C417,AvgBase[dept_name],$D417,AvgBase[team_consolidation],$K417,AvgBase[location_name],$G417,AvgBase[job_title],$H417))*(AG207+AF207)/2*(1-AG312))</f>
        <v>0</v>
      </c>
      <c r="AH417" s="652">
        <f>IF($B417="",,IF(LEFT($H417,5)="dummy",SUMIFS(AvgBase[Month 23],AvgBase[job_title],$H417),SUMIFS(AvgBase[Month 23],AvgBase[exp_item],$J417,AvgBase[company_name],$B417,AvgBase[bu_name],$C417,AvgBase[dept_name],$D417,AvgBase[team_consolidation],$K417,AvgBase[location_name],$G417,AvgBase[job_title],$H417))*(AH207+AG207)/2*(1-AH312))</f>
        <v>0</v>
      </c>
      <c r="AI417" s="652">
        <f>IF($B417="",,IF(LEFT($H417,5)="dummy",SUMIFS(AvgBase[Month 24],AvgBase[job_title],$H417),SUMIFS(AvgBase[Month 24],AvgBase[exp_item],$J417,AvgBase[company_name],$B417,AvgBase[bu_name],$C417,AvgBase[dept_name],$D417,AvgBase[team_consolidation],$K417,AvgBase[location_name],$G417,AvgBase[job_title],$H417))*(AI207+AH207)/2*(1-AI312))</f>
        <v>0</v>
      </c>
      <c r="AJ417" s="652">
        <f>IF($B417="",,IF(LEFT($H417,5)="dummy",SUMIFS(AvgBase[Month 25],AvgBase[job_title],$H417),SUMIFS(AvgBase[Month 25],AvgBase[exp_item],$J417,AvgBase[company_name],$B417,AvgBase[bu_name],$C417,AvgBase[dept_name],$D417,AvgBase[team_consolidation],$K417,AvgBase[location_name],$G417,AvgBase[job_title],$H417))*(AJ207+AI207)/2*(1-AJ312))</f>
        <v>0</v>
      </c>
      <c r="AK417" s="652">
        <f>IF($B417="",,IF(LEFT($H417,5)="dummy",SUMIFS(AvgBase[Month 26],AvgBase[job_title],$H417),SUMIFS(AvgBase[Month 26],AvgBase[exp_item],$J417,AvgBase[company_name],$B417,AvgBase[bu_name],$C417,AvgBase[dept_name],$D417,AvgBase[team_consolidation],$K417,AvgBase[location_name],$G417,AvgBase[job_title],$H417))*(AK207+AJ207)/2*(1-AK312))</f>
        <v>0</v>
      </c>
      <c r="AL417" s="652">
        <f>IF($B417="",,IF(LEFT($H417,5)="dummy",SUMIFS(AvgBase[Month 27],AvgBase[job_title],$H417),SUMIFS(AvgBase[Month 27],AvgBase[exp_item],$J417,AvgBase[company_name],$B417,AvgBase[bu_name],$C417,AvgBase[dept_name],$D417,AvgBase[team_consolidation],$K417,AvgBase[location_name],$G417,AvgBase[job_title],$H417))*(AL207+AK207)/2*(1-AL312))</f>
        <v>0</v>
      </c>
      <c r="AM417" s="652">
        <f>IF($B417="",,IF(LEFT($H417,5)="dummy",SUMIFS(AvgBase[Month 28],AvgBase[job_title],$H417),SUMIFS(AvgBase[Month 28],AvgBase[exp_item],$J417,AvgBase[company_name],$B417,AvgBase[bu_name],$C417,AvgBase[dept_name],$D417,AvgBase[team_consolidation],$K417,AvgBase[location_name],$G417,AvgBase[job_title],$H417))*(AM207+AL207)/2*(1-AM312))</f>
        <v>0</v>
      </c>
      <c r="AN417" s="652">
        <f>IF($B417="",,IF(LEFT($H417,5)="dummy",SUMIFS(AvgBase[Month 29],AvgBase[job_title],$H417),SUMIFS(AvgBase[Month 29],AvgBase[exp_item],$J417,AvgBase[company_name],$B417,AvgBase[bu_name],$C417,AvgBase[dept_name],$D417,AvgBase[team_consolidation],$K417,AvgBase[location_name],$G417,AvgBase[job_title],$H417))*(AN207+AM207)/2*(1-AN312))</f>
        <v>0</v>
      </c>
      <c r="AO417" s="652">
        <f>IF($B417="",,IF(LEFT($H417,5)="dummy",SUMIFS(AvgBase[Month 30],AvgBase[job_title],$H417),SUMIFS(AvgBase[Month 30],AvgBase[exp_item],$J417,AvgBase[company_name],$B417,AvgBase[bu_name],$C417,AvgBase[dept_name],$D417,AvgBase[team_consolidation],$K417,AvgBase[location_name],$G417,AvgBase[job_title],$H417))*(AO207+AN207)/2*(1-AO312))</f>
        <v>0</v>
      </c>
      <c r="AP417" s="652">
        <f>IF($B417="",,IF(LEFT($H417,5)="dummy",SUMIFS(AvgBase[Month 31],AvgBase[job_title],$H417),SUMIFS(AvgBase[Month 31],AvgBase[exp_item],$J417,AvgBase[company_name],$B417,AvgBase[bu_name],$C417,AvgBase[dept_name],$D417,AvgBase[team_consolidation],$K417,AvgBase[location_name],$G417,AvgBase[job_title],$H417))*(AP207+AO207)/2*(1-AP312))</f>
        <v>0</v>
      </c>
      <c r="AQ417" s="652">
        <f>IF($B417="",,IF(LEFT($H417,5)="dummy",SUMIFS(AvgBase[Month 32],AvgBase[job_title],$H417),SUMIFS(AvgBase[Month 32],AvgBase[exp_item],$J417,AvgBase[company_name],$B417,AvgBase[bu_name],$C417,AvgBase[dept_name],$D417,AvgBase[team_consolidation],$K417,AvgBase[location_name],$G417,AvgBase[job_title],$H417))*(AQ207+AP207)/2*(1-AQ312))</f>
        <v>0</v>
      </c>
      <c r="AR417" s="652">
        <f>IF($B417="",,IF(LEFT($H417,5)="dummy",SUMIFS(AvgBase[Month 33],AvgBase[job_title],$H417),SUMIFS(AvgBase[Month 33],AvgBase[exp_item],$J417,AvgBase[company_name],$B417,AvgBase[bu_name],$C417,AvgBase[dept_name],$D417,AvgBase[team_consolidation],$K417,AvgBase[location_name],$G417,AvgBase[job_title],$H417))*(AR207+AQ207)/2*(1-AR312))</f>
        <v>0</v>
      </c>
      <c r="AS417" s="652">
        <f>IF($B417="",,IF(LEFT($H417,5)="dummy",SUMIFS(AvgBase[Month 34],AvgBase[job_title],$H417),SUMIFS(AvgBase[Month 34],AvgBase[exp_item],$J417,AvgBase[company_name],$B417,AvgBase[bu_name],$C417,AvgBase[dept_name],$D417,AvgBase[team_consolidation],$K417,AvgBase[location_name],$G417,AvgBase[job_title],$H417))*(AS207+AR207)/2*(1-AS312))</f>
        <v>0</v>
      </c>
      <c r="AT417" s="652">
        <f>IF($B417="",,IF(LEFT($H417,5)="dummy",SUMIFS(AvgBase[Month 35],AvgBase[job_title],$H417),SUMIFS(AvgBase[Month 35],AvgBase[exp_item],$J417,AvgBase[company_name],$B417,AvgBase[bu_name],$C417,AvgBase[dept_name],$D417,AvgBase[team_consolidation],$K417,AvgBase[location_name],$G417,AvgBase[job_title],$H417))*(AT207+AS207)/2*(1-AT312))</f>
        <v>0</v>
      </c>
      <c r="AU417" s="652">
        <f>IF($B417="",,IF(LEFT($H417,5)="dummy",SUMIFS(AvgBase[Month 36],AvgBase[job_title],$H417),SUMIFS(AvgBase[Month 36],AvgBase[exp_item],$J417,AvgBase[company_name],$B417,AvgBase[bu_name],$C417,AvgBase[dept_name],$D417,AvgBase[team_consolidation],$K417,AvgBase[location_name],$G417,AvgBase[job_title],$H417))*(AU207+AT207)/2*(1-AU312))</f>
        <v>0</v>
      </c>
    </row>
    <row r="418" spans="2:47" x14ac:dyDescent="0.35">
      <c r="B418" t="str">
        <f t="shared" si="277"/>
        <v/>
      </c>
      <c r="C418" t="str">
        <f t="shared" si="277"/>
        <v/>
      </c>
      <c r="D418" t="str">
        <f t="shared" si="277"/>
        <v/>
      </c>
      <c r="E418" t="str">
        <f t="shared" si="277"/>
        <v/>
      </c>
      <c r="F418" t="str">
        <f t="shared" si="277"/>
        <v/>
      </c>
      <c r="G418" t="str">
        <f t="shared" si="277"/>
        <v/>
      </c>
      <c r="H418" t="str">
        <f t="shared" si="274"/>
        <v/>
      </c>
      <c r="J418" t="str">
        <f>IF($H418="","",IF(VLOOKUP($B$395,ExpItems[],2,0),$B$395&amp;" - "&amp;INDEX(DivisionMapping[category_code],MATCH($D418&amp;$C418,DivisionMapping[dept_bu],0)),$B$395))</f>
        <v/>
      </c>
      <c r="K418" t="str">
        <f t="shared" si="275"/>
        <v/>
      </c>
      <c r="L418" s="652">
        <f>IF($B418="",,IF(LEFT($H418,5)="dummy",SUMIFS(AvgBase[Month 1],AvgBase[job_title],$H418),SUMIFS(AvgBase[Month 1],AvgBase[exp_item],$J418,AvgBase[company_name],$B418,AvgBase[bu_name],$C418,AvgBase[dept_name],$D418,AvgBase[team_consolidation],$K418,AvgBase[location_name],$G418,AvgBase[job_title],$H418))*L208/2*(1-L313))</f>
        <v>0</v>
      </c>
      <c r="M418" s="652">
        <f>IF($B418="",,IF(LEFT($H418,5)="dummy",SUMIFS(AvgBase[Month 2],AvgBase[job_title],$H418),SUMIFS(AvgBase[Month 2],AvgBase[exp_item],$J418,AvgBase[company_name],$B418,AvgBase[bu_name],$C418,AvgBase[dept_name],$D418,AvgBase[team_consolidation],$K418,AvgBase[location_name],$G418,AvgBase[job_title],$H418))*(M208+L208)/2*(1-M313))</f>
        <v>0</v>
      </c>
      <c r="N418" s="652">
        <f>IF($B418="",,IF(LEFT($H418,5)="dummy",SUMIFS(AvgBase[Month 3],AvgBase[job_title],$H418),SUMIFS(AvgBase[Month 3],AvgBase[exp_item],$J418,AvgBase[company_name],$B418,AvgBase[bu_name],$C418,AvgBase[dept_name],$D418,AvgBase[team_consolidation],$K418,AvgBase[location_name],$G418,AvgBase[job_title],$H418))*(N208+M208)/2*(1-N313))</f>
        <v>0</v>
      </c>
      <c r="O418" s="652">
        <f>IF($B418="",,IF(LEFT($H418,5)="dummy",SUMIFS(AvgBase[Month 4],AvgBase[job_title],$H418),SUMIFS(AvgBase[Month 4],AvgBase[exp_item],$J418,AvgBase[company_name],$B418,AvgBase[bu_name],$C418,AvgBase[dept_name],$D418,AvgBase[team_consolidation],$K418,AvgBase[location_name],$G418,AvgBase[job_title],$H418))*(O208+N208)/2*(1-O313))</f>
        <v>0</v>
      </c>
      <c r="P418" s="652">
        <f>IF($B418="",,IF(LEFT($H418,5)="dummy",SUMIFS(AvgBase[Month 5],AvgBase[job_title],$H418),SUMIFS(AvgBase[Month 5],AvgBase[exp_item],$J418,AvgBase[company_name],$B418,AvgBase[bu_name],$C418,AvgBase[dept_name],$D418,AvgBase[team_consolidation],$K418,AvgBase[location_name],$G418,AvgBase[job_title],$H418))*(P208+O208)/2*(1-P313))</f>
        <v>0</v>
      </c>
      <c r="Q418" s="652">
        <f>IF($B418="",,IF(LEFT($H418,5)="dummy",SUMIFS(AvgBase[Month 6],AvgBase[job_title],$H418),SUMIFS(AvgBase[Month 6],AvgBase[exp_item],$J418,AvgBase[company_name],$B418,AvgBase[bu_name],$C418,AvgBase[dept_name],$D418,AvgBase[team_consolidation],$K418,AvgBase[location_name],$G418,AvgBase[job_title],$H418))*(Q208+P208)/2*(1-Q313))</f>
        <v>0</v>
      </c>
      <c r="R418" s="652">
        <f>IF($B418="",,IF(LEFT($H418,5)="dummy",SUMIFS(AvgBase[Month 7],AvgBase[job_title],$H418),SUMIFS(AvgBase[Month 7],AvgBase[exp_item],$J418,AvgBase[company_name],$B418,AvgBase[bu_name],$C418,AvgBase[dept_name],$D418,AvgBase[team_consolidation],$K418,AvgBase[location_name],$G418,AvgBase[job_title],$H418))*(R208+Q208)/2*(1-R313))</f>
        <v>0</v>
      </c>
      <c r="S418" s="652">
        <f>IF($B418="",,IF(LEFT($H418,5)="dummy",SUMIFS(AvgBase[Month 8],AvgBase[job_title],$H418),SUMIFS(AvgBase[Month 8],AvgBase[exp_item],$J418,AvgBase[company_name],$B418,AvgBase[bu_name],$C418,AvgBase[dept_name],$D418,AvgBase[team_consolidation],$K418,AvgBase[location_name],$G418,AvgBase[job_title],$H418))*(S208+R208)/2*(1-S313))</f>
        <v>0</v>
      </c>
      <c r="T418" s="652">
        <f>IF($B418="",,IF(LEFT($H418,5)="dummy",SUMIFS(AvgBase[Month 9],AvgBase[job_title],$H418),SUMIFS(AvgBase[Month 9],AvgBase[exp_item],$J418,AvgBase[company_name],$B418,AvgBase[bu_name],$C418,AvgBase[dept_name],$D418,AvgBase[team_consolidation],$K418,AvgBase[location_name],$G418,AvgBase[job_title],$H418))*(T208+S208)/2*(1-T313))</f>
        <v>0</v>
      </c>
      <c r="U418" s="652">
        <f>IF($B418="",,IF(LEFT($H418,5)="dummy",SUMIFS(AvgBase[Month 10],AvgBase[job_title],$H418),SUMIFS(AvgBase[Month 10],AvgBase[exp_item],$J418,AvgBase[company_name],$B418,AvgBase[bu_name],$C418,AvgBase[dept_name],$D418,AvgBase[team_consolidation],$K418,AvgBase[location_name],$G418,AvgBase[job_title],$H418))*(U208+T208)/2*(1-U313))</f>
        <v>0</v>
      </c>
      <c r="V418" s="652">
        <f>IF($B418="",,IF(LEFT($H418,5)="dummy",SUMIFS(AvgBase[Month 11],AvgBase[job_title],$H418),SUMIFS(AvgBase[Month 11],AvgBase[exp_item],$J418,AvgBase[company_name],$B418,AvgBase[bu_name],$C418,AvgBase[dept_name],$D418,AvgBase[team_consolidation],$K418,AvgBase[location_name],$G418,AvgBase[job_title],$H418))*(V208+U208)/2*(1-V313))</f>
        <v>0</v>
      </c>
      <c r="W418" s="652">
        <f>IF($B418="",,IF(LEFT($H418,5)="dummy",SUMIFS(AvgBase[Month 12],AvgBase[job_title],$H418),SUMIFS(AvgBase[Month 12],AvgBase[exp_item],$J418,AvgBase[company_name],$B418,AvgBase[bu_name],$C418,AvgBase[dept_name],$D418,AvgBase[team_consolidation],$K418,AvgBase[location_name],$G418,AvgBase[job_title],$H418))*(W208+V208)/2*(1-W313))</f>
        <v>0</v>
      </c>
      <c r="X418" s="652">
        <f>IF($B418="",,IF(LEFT($H418,5)="dummy",SUMIFS(AvgBase[Month 13],AvgBase[job_title],$H418),SUMIFS(AvgBase[Month 13],AvgBase[exp_item],$J418,AvgBase[company_name],$B418,AvgBase[bu_name],$C418,AvgBase[dept_name],$D418,AvgBase[team_consolidation],$K418,AvgBase[location_name],$G418,AvgBase[job_title],$H418))*(X208+W208)/2*(1-X313))</f>
        <v>0</v>
      </c>
      <c r="Y418" s="652">
        <f>IF($B418="",,IF(LEFT($H418,5)="dummy",SUMIFS(AvgBase[Month 14],AvgBase[job_title],$H418),SUMIFS(AvgBase[Month 14],AvgBase[exp_item],$J418,AvgBase[company_name],$B418,AvgBase[bu_name],$C418,AvgBase[dept_name],$D418,AvgBase[team_consolidation],$K418,AvgBase[location_name],$G418,AvgBase[job_title],$H418))*(Y208+X208)/2*(1-Y313))</f>
        <v>0</v>
      </c>
      <c r="Z418" s="652">
        <f>IF($B418="",,IF(LEFT($H418,5)="dummy",SUMIFS(AvgBase[Month 15],AvgBase[job_title],$H418),SUMIFS(AvgBase[Month 15],AvgBase[exp_item],$J418,AvgBase[company_name],$B418,AvgBase[bu_name],$C418,AvgBase[dept_name],$D418,AvgBase[team_consolidation],$K418,AvgBase[location_name],$G418,AvgBase[job_title],$H418))*(Z208+Y208)/2*(1-Z313))</f>
        <v>0</v>
      </c>
      <c r="AA418" s="652">
        <f>IF($B418="",,IF(LEFT($H418,5)="dummy",SUMIFS(AvgBase[Month 16],AvgBase[job_title],$H418),SUMIFS(AvgBase[Month 16],AvgBase[exp_item],$J418,AvgBase[company_name],$B418,AvgBase[bu_name],$C418,AvgBase[dept_name],$D418,AvgBase[team_consolidation],$K418,AvgBase[location_name],$G418,AvgBase[job_title],$H418))*(AA208+Z208)/2*(1-AA313))</f>
        <v>0</v>
      </c>
      <c r="AB418" s="652">
        <f>IF($B418="",,IF(LEFT($H418,5)="dummy",SUMIFS(AvgBase[Month 17],AvgBase[job_title],$H418),SUMIFS(AvgBase[Month 17],AvgBase[exp_item],$J418,AvgBase[company_name],$B418,AvgBase[bu_name],$C418,AvgBase[dept_name],$D418,AvgBase[team_consolidation],$K418,AvgBase[location_name],$G418,AvgBase[job_title],$H418))*(AB208+AA208)/2*(1-AB313))</f>
        <v>0</v>
      </c>
      <c r="AC418" s="652">
        <f>IF($B418="",,IF(LEFT($H418,5)="dummy",SUMIFS(AvgBase[Month 18],AvgBase[job_title],$H418),SUMIFS(AvgBase[Month 18],AvgBase[exp_item],$J418,AvgBase[company_name],$B418,AvgBase[bu_name],$C418,AvgBase[dept_name],$D418,AvgBase[team_consolidation],$K418,AvgBase[location_name],$G418,AvgBase[job_title],$H418))*(AC208+AB208)/2*(1-AC313))</f>
        <v>0</v>
      </c>
      <c r="AD418" s="652">
        <f>IF($B418="",,IF(LEFT($H418,5)="dummy",SUMIFS(AvgBase[Month 19],AvgBase[job_title],$H418),SUMIFS(AvgBase[Month 19],AvgBase[exp_item],$J418,AvgBase[company_name],$B418,AvgBase[bu_name],$C418,AvgBase[dept_name],$D418,AvgBase[team_consolidation],$K418,AvgBase[location_name],$G418,AvgBase[job_title],$H418))*(AD208+AC208)/2*(1-AD313))</f>
        <v>0</v>
      </c>
      <c r="AE418" s="652">
        <f>IF($B418="",,IF(LEFT($H418,5)="dummy",SUMIFS(AvgBase[Month 20],AvgBase[job_title],$H418),SUMIFS(AvgBase[Month 20],AvgBase[exp_item],$J418,AvgBase[company_name],$B418,AvgBase[bu_name],$C418,AvgBase[dept_name],$D418,AvgBase[team_consolidation],$K418,AvgBase[location_name],$G418,AvgBase[job_title],$H418))*(AE208+AD208)/2*(1-AE313))</f>
        <v>0</v>
      </c>
      <c r="AF418" s="652">
        <f>IF($B418="",,IF(LEFT($H418,5)="dummy",SUMIFS(AvgBase[Month 21],AvgBase[job_title],$H418),SUMIFS(AvgBase[Month 21],AvgBase[exp_item],$J418,AvgBase[company_name],$B418,AvgBase[bu_name],$C418,AvgBase[dept_name],$D418,AvgBase[team_consolidation],$K418,AvgBase[location_name],$G418,AvgBase[job_title],$H418))*(AF208+AE208)/2*(1-AF313))</f>
        <v>0</v>
      </c>
      <c r="AG418" s="652">
        <f>IF($B418="",,IF(LEFT($H418,5)="dummy",SUMIFS(AvgBase[Month 22],AvgBase[job_title],$H418),SUMIFS(AvgBase[Month 22],AvgBase[exp_item],$J418,AvgBase[company_name],$B418,AvgBase[bu_name],$C418,AvgBase[dept_name],$D418,AvgBase[team_consolidation],$K418,AvgBase[location_name],$G418,AvgBase[job_title],$H418))*(AG208+AF208)/2*(1-AG313))</f>
        <v>0</v>
      </c>
      <c r="AH418" s="652">
        <f>IF($B418="",,IF(LEFT($H418,5)="dummy",SUMIFS(AvgBase[Month 23],AvgBase[job_title],$H418),SUMIFS(AvgBase[Month 23],AvgBase[exp_item],$J418,AvgBase[company_name],$B418,AvgBase[bu_name],$C418,AvgBase[dept_name],$D418,AvgBase[team_consolidation],$K418,AvgBase[location_name],$G418,AvgBase[job_title],$H418))*(AH208+AG208)/2*(1-AH313))</f>
        <v>0</v>
      </c>
      <c r="AI418" s="652">
        <f>IF($B418="",,IF(LEFT($H418,5)="dummy",SUMIFS(AvgBase[Month 24],AvgBase[job_title],$H418),SUMIFS(AvgBase[Month 24],AvgBase[exp_item],$J418,AvgBase[company_name],$B418,AvgBase[bu_name],$C418,AvgBase[dept_name],$D418,AvgBase[team_consolidation],$K418,AvgBase[location_name],$G418,AvgBase[job_title],$H418))*(AI208+AH208)/2*(1-AI313))</f>
        <v>0</v>
      </c>
      <c r="AJ418" s="652">
        <f>IF($B418="",,IF(LEFT($H418,5)="dummy",SUMIFS(AvgBase[Month 25],AvgBase[job_title],$H418),SUMIFS(AvgBase[Month 25],AvgBase[exp_item],$J418,AvgBase[company_name],$B418,AvgBase[bu_name],$C418,AvgBase[dept_name],$D418,AvgBase[team_consolidation],$K418,AvgBase[location_name],$G418,AvgBase[job_title],$H418))*(AJ208+AI208)/2*(1-AJ313))</f>
        <v>0</v>
      </c>
      <c r="AK418" s="652">
        <f>IF($B418="",,IF(LEFT($H418,5)="dummy",SUMIFS(AvgBase[Month 26],AvgBase[job_title],$H418),SUMIFS(AvgBase[Month 26],AvgBase[exp_item],$J418,AvgBase[company_name],$B418,AvgBase[bu_name],$C418,AvgBase[dept_name],$D418,AvgBase[team_consolidation],$K418,AvgBase[location_name],$G418,AvgBase[job_title],$H418))*(AK208+AJ208)/2*(1-AK313))</f>
        <v>0</v>
      </c>
      <c r="AL418" s="652">
        <f>IF($B418="",,IF(LEFT($H418,5)="dummy",SUMIFS(AvgBase[Month 27],AvgBase[job_title],$H418),SUMIFS(AvgBase[Month 27],AvgBase[exp_item],$J418,AvgBase[company_name],$B418,AvgBase[bu_name],$C418,AvgBase[dept_name],$D418,AvgBase[team_consolidation],$K418,AvgBase[location_name],$G418,AvgBase[job_title],$H418))*(AL208+AK208)/2*(1-AL313))</f>
        <v>0</v>
      </c>
      <c r="AM418" s="652">
        <f>IF($B418="",,IF(LEFT($H418,5)="dummy",SUMIFS(AvgBase[Month 28],AvgBase[job_title],$H418),SUMIFS(AvgBase[Month 28],AvgBase[exp_item],$J418,AvgBase[company_name],$B418,AvgBase[bu_name],$C418,AvgBase[dept_name],$D418,AvgBase[team_consolidation],$K418,AvgBase[location_name],$G418,AvgBase[job_title],$H418))*(AM208+AL208)/2*(1-AM313))</f>
        <v>0</v>
      </c>
      <c r="AN418" s="652">
        <f>IF($B418="",,IF(LEFT($H418,5)="dummy",SUMIFS(AvgBase[Month 29],AvgBase[job_title],$H418),SUMIFS(AvgBase[Month 29],AvgBase[exp_item],$J418,AvgBase[company_name],$B418,AvgBase[bu_name],$C418,AvgBase[dept_name],$D418,AvgBase[team_consolidation],$K418,AvgBase[location_name],$G418,AvgBase[job_title],$H418))*(AN208+AM208)/2*(1-AN313))</f>
        <v>0</v>
      </c>
      <c r="AO418" s="652">
        <f>IF($B418="",,IF(LEFT($H418,5)="dummy",SUMIFS(AvgBase[Month 30],AvgBase[job_title],$H418),SUMIFS(AvgBase[Month 30],AvgBase[exp_item],$J418,AvgBase[company_name],$B418,AvgBase[bu_name],$C418,AvgBase[dept_name],$D418,AvgBase[team_consolidation],$K418,AvgBase[location_name],$G418,AvgBase[job_title],$H418))*(AO208+AN208)/2*(1-AO313))</f>
        <v>0</v>
      </c>
      <c r="AP418" s="652">
        <f>IF($B418="",,IF(LEFT($H418,5)="dummy",SUMIFS(AvgBase[Month 31],AvgBase[job_title],$H418),SUMIFS(AvgBase[Month 31],AvgBase[exp_item],$J418,AvgBase[company_name],$B418,AvgBase[bu_name],$C418,AvgBase[dept_name],$D418,AvgBase[team_consolidation],$K418,AvgBase[location_name],$G418,AvgBase[job_title],$H418))*(AP208+AO208)/2*(1-AP313))</f>
        <v>0</v>
      </c>
      <c r="AQ418" s="652">
        <f>IF($B418="",,IF(LEFT($H418,5)="dummy",SUMIFS(AvgBase[Month 32],AvgBase[job_title],$H418),SUMIFS(AvgBase[Month 32],AvgBase[exp_item],$J418,AvgBase[company_name],$B418,AvgBase[bu_name],$C418,AvgBase[dept_name],$D418,AvgBase[team_consolidation],$K418,AvgBase[location_name],$G418,AvgBase[job_title],$H418))*(AQ208+AP208)/2*(1-AQ313))</f>
        <v>0</v>
      </c>
      <c r="AR418" s="652">
        <f>IF($B418="",,IF(LEFT($H418,5)="dummy",SUMIFS(AvgBase[Month 33],AvgBase[job_title],$H418),SUMIFS(AvgBase[Month 33],AvgBase[exp_item],$J418,AvgBase[company_name],$B418,AvgBase[bu_name],$C418,AvgBase[dept_name],$D418,AvgBase[team_consolidation],$K418,AvgBase[location_name],$G418,AvgBase[job_title],$H418))*(AR208+AQ208)/2*(1-AR313))</f>
        <v>0</v>
      </c>
      <c r="AS418" s="652">
        <f>IF($B418="",,IF(LEFT($H418,5)="dummy",SUMIFS(AvgBase[Month 34],AvgBase[job_title],$H418),SUMIFS(AvgBase[Month 34],AvgBase[exp_item],$J418,AvgBase[company_name],$B418,AvgBase[bu_name],$C418,AvgBase[dept_name],$D418,AvgBase[team_consolidation],$K418,AvgBase[location_name],$G418,AvgBase[job_title],$H418))*(AS208+AR208)/2*(1-AS313))</f>
        <v>0</v>
      </c>
      <c r="AT418" s="652">
        <f>IF($B418="",,IF(LEFT($H418,5)="dummy",SUMIFS(AvgBase[Month 35],AvgBase[job_title],$H418),SUMIFS(AvgBase[Month 35],AvgBase[exp_item],$J418,AvgBase[company_name],$B418,AvgBase[bu_name],$C418,AvgBase[dept_name],$D418,AvgBase[team_consolidation],$K418,AvgBase[location_name],$G418,AvgBase[job_title],$H418))*(AT208+AS208)/2*(1-AT313))</f>
        <v>0</v>
      </c>
      <c r="AU418" s="652">
        <f>IF($B418="",,IF(LEFT($H418,5)="dummy",SUMIFS(AvgBase[Month 36],AvgBase[job_title],$H418),SUMIFS(AvgBase[Month 36],AvgBase[exp_item],$J418,AvgBase[company_name],$B418,AvgBase[bu_name],$C418,AvgBase[dept_name],$D418,AvgBase[team_consolidation],$K418,AvgBase[location_name],$G418,AvgBase[job_title],$H418))*(AU208+AT208)/2*(1-AU313))</f>
        <v>0</v>
      </c>
    </row>
    <row r="419" spans="2:47" x14ac:dyDescent="0.35">
      <c r="B419" t="str">
        <f t="shared" si="277"/>
        <v/>
      </c>
      <c r="C419" t="str">
        <f t="shared" si="277"/>
        <v/>
      </c>
      <c r="D419" t="str">
        <f t="shared" si="277"/>
        <v/>
      </c>
      <c r="E419" t="str">
        <f t="shared" si="277"/>
        <v/>
      </c>
      <c r="F419" t="str">
        <f t="shared" si="277"/>
        <v/>
      </c>
      <c r="G419" t="str">
        <f t="shared" si="277"/>
        <v/>
      </c>
      <c r="H419" t="str">
        <f t="shared" si="274"/>
        <v/>
      </c>
      <c r="J419" t="str">
        <f>IF($H419="","",IF(VLOOKUP($B$395,ExpItems[],2,0),$B$395&amp;" - "&amp;INDEX(DivisionMapping[category_code],MATCH($D419&amp;$C419,DivisionMapping[dept_bu],0)),$B$395))</f>
        <v/>
      </c>
      <c r="K419" t="str">
        <f t="shared" si="275"/>
        <v/>
      </c>
      <c r="L419" s="652">
        <f>IF($B419="",,IF(LEFT($H419,5)="dummy",SUMIFS(AvgBase[Month 1],AvgBase[job_title],$H419),SUMIFS(AvgBase[Month 1],AvgBase[exp_item],$J419,AvgBase[company_name],$B419,AvgBase[bu_name],$C419,AvgBase[dept_name],$D419,AvgBase[team_consolidation],$K419,AvgBase[location_name],$G419,AvgBase[job_title],$H419))*L209/2*(1-L314))</f>
        <v>0</v>
      </c>
      <c r="M419" s="652">
        <f>IF($B419="",,IF(LEFT($H419,5)="dummy",SUMIFS(AvgBase[Month 2],AvgBase[job_title],$H419),SUMIFS(AvgBase[Month 2],AvgBase[exp_item],$J419,AvgBase[company_name],$B419,AvgBase[bu_name],$C419,AvgBase[dept_name],$D419,AvgBase[team_consolidation],$K419,AvgBase[location_name],$G419,AvgBase[job_title],$H419))*(M209+L209)/2*(1-M314))</f>
        <v>0</v>
      </c>
      <c r="N419" s="652">
        <f>IF($B419="",,IF(LEFT($H419,5)="dummy",SUMIFS(AvgBase[Month 3],AvgBase[job_title],$H419),SUMIFS(AvgBase[Month 3],AvgBase[exp_item],$J419,AvgBase[company_name],$B419,AvgBase[bu_name],$C419,AvgBase[dept_name],$D419,AvgBase[team_consolidation],$K419,AvgBase[location_name],$G419,AvgBase[job_title],$H419))*(N209+M209)/2*(1-N314))</f>
        <v>0</v>
      </c>
      <c r="O419" s="652">
        <f>IF($B419="",,IF(LEFT($H419,5)="dummy",SUMIFS(AvgBase[Month 4],AvgBase[job_title],$H419),SUMIFS(AvgBase[Month 4],AvgBase[exp_item],$J419,AvgBase[company_name],$B419,AvgBase[bu_name],$C419,AvgBase[dept_name],$D419,AvgBase[team_consolidation],$K419,AvgBase[location_name],$G419,AvgBase[job_title],$H419))*(O209+N209)/2*(1-O314))</f>
        <v>0</v>
      </c>
      <c r="P419" s="652">
        <f>IF($B419="",,IF(LEFT($H419,5)="dummy",SUMIFS(AvgBase[Month 5],AvgBase[job_title],$H419),SUMIFS(AvgBase[Month 5],AvgBase[exp_item],$J419,AvgBase[company_name],$B419,AvgBase[bu_name],$C419,AvgBase[dept_name],$D419,AvgBase[team_consolidation],$K419,AvgBase[location_name],$G419,AvgBase[job_title],$H419))*(P209+O209)/2*(1-P314))</f>
        <v>0</v>
      </c>
      <c r="Q419" s="652">
        <f>IF($B419="",,IF(LEFT($H419,5)="dummy",SUMIFS(AvgBase[Month 6],AvgBase[job_title],$H419),SUMIFS(AvgBase[Month 6],AvgBase[exp_item],$J419,AvgBase[company_name],$B419,AvgBase[bu_name],$C419,AvgBase[dept_name],$D419,AvgBase[team_consolidation],$K419,AvgBase[location_name],$G419,AvgBase[job_title],$H419))*(Q209+P209)/2*(1-Q314))</f>
        <v>0</v>
      </c>
      <c r="R419" s="652">
        <f>IF($B419="",,IF(LEFT($H419,5)="dummy",SUMIFS(AvgBase[Month 7],AvgBase[job_title],$H419),SUMIFS(AvgBase[Month 7],AvgBase[exp_item],$J419,AvgBase[company_name],$B419,AvgBase[bu_name],$C419,AvgBase[dept_name],$D419,AvgBase[team_consolidation],$K419,AvgBase[location_name],$G419,AvgBase[job_title],$H419))*(R209+Q209)/2*(1-R314))</f>
        <v>0</v>
      </c>
      <c r="S419" s="652">
        <f>IF($B419="",,IF(LEFT($H419,5)="dummy",SUMIFS(AvgBase[Month 8],AvgBase[job_title],$H419),SUMIFS(AvgBase[Month 8],AvgBase[exp_item],$J419,AvgBase[company_name],$B419,AvgBase[bu_name],$C419,AvgBase[dept_name],$D419,AvgBase[team_consolidation],$K419,AvgBase[location_name],$G419,AvgBase[job_title],$H419))*(S209+R209)/2*(1-S314))</f>
        <v>0</v>
      </c>
      <c r="T419" s="652">
        <f>IF($B419="",,IF(LEFT($H419,5)="dummy",SUMIFS(AvgBase[Month 9],AvgBase[job_title],$H419),SUMIFS(AvgBase[Month 9],AvgBase[exp_item],$J419,AvgBase[company_name],$B419,AvgBase[bu_name],$C419,AvgBase[dept_name],$D419,AvgBase[team_consolidation],$K419,AvgBase[location_name],$G419,AvgBase[job_title],$H419))*(T209+S209)/2*(1-T314))</f>
        <v>0</v>
      </c>
      <c r="U419" s="652">
        <f>IF($B419="",,IF(LEFT($H419,5)="dummy",SUMIFS(AvgBase[Month 10],AvgBase[job_title],$H419),SUMIFS(AvgBase[Month 10],AvgBase[exp_item],$J419,AvgBase[company_name],$B419,AvgBase[bu_name],$C419,AvgBase[dept_name],$D419,AvgBase[team_consolidation],$K419,AvgBase[location_name],$G419,AvgBase[job_title],$H419))*(U209+T209)/2*(1-U314))</f>
        <v>0</v>
      </c>
      <c r="V419" s="652">
        <f>IF($B419="",,IF(LEFT($H419,5)="dummy",SUMIFS(AvgBase[Month 11],AvgBase[job_title],$H419),SUMIFS(AvgBase[Month 11],AvgBase[exp_item],$J419,AvgBase[company_name],$B419,AvgBase[bu_name],$C419,AvgBase[dept_name],$D419,AvgBase[team_consolidation],$K419,AvgBase[location_name],$G419,AvgBase[job_title],$H419))*(V209+U209)/2*(1-V314))</f>
        <v>0</v>
      </c>
      <c r="W419" s="652">
        <f>IF($B419="",,IF(LEFT($H419,5)="dummy",SUMIFS(AvgBase[Month 12],AvgBase[job_title],$H419),SUMIFS(AvgBase[Month 12],AvgBase[exp_item],$J419,AvgBase[company_name],$B419,AvgBase[bu_name],$C419,AvgBase[dept_name],$D419,AvgBase[team_consolidation],$K419,AvgBase[location_name],$G419,AvgBase[job_title],$H419))*(W209+V209)/2*(1-W314))</f>
        <v>0</v>
      </c>
      <c r="X419" s="652">
        <f>IF($B419="",,IF(LEFT($H419,5)="dummy",SUMIFS(AvgBase[Month 13],AvgBase[job_title],$H419),SUMIFS(AvgBase[Month 13],AvgBase[exp_item],$J419,AvgBase[company_name],$B419,AvgBase[bu_name],$C419,AvgBase[dept_name],$D419,AvgBase[team_consolidation],$K419,AvgBase[location_name],$G419,AvgBase[job_title],$H419))*(X209+W209)/2*(1-X314))</f>
        <v>0</v>
      </c>
      <c r="Y419" s="652">
        <f>IF($B419="",,IF(LEFT($H419,5)="dummy",SUMIFS(AvgBase[Month 14],AvgBase[job_title],$H419),SUMIFS(AvgBase[Month 14],AvgBase[exp_item],$J419,AvgBase[company_name],$B419,AvgBase[bu_name],$C419,AvgBase[dept_name],$D419,AvgBase[team_consolidation],$K419,AvgBase[location_name],$G419,AvgBase[job_title],$H419))*(Y209+X209)/2*(1-Y314))</f>
        <v>0</v>
      </c>
      <c r="Z419" s="652">
        <f>IF($B419="",,IF(LEFT($H419,5)="dummy",SUMIFS(AvgBase[Month 15],AvgBase[job_title],$H419),SUMIFS(AvgBase[Month 15],AvgBase[exp_item],$J419,AvgBase[company_name],$B419,AvgBase[bu_name],$C419,AvgBase[dept_name],$D419,AvgBase[team_consolidation],$K419,AvgBase[location_name],$G419,AvgBase[job_title],$H419))*(Z209+Y209)/2*(1-Z314))</f>
        <v>0</v>
      </c>
      <c r="AA419" s="652">
        <f>IF($B419="",,IF(LEFT($H419,5)="dummy",SUMIFS(AvgBase[Month 16],AvgBase[job_title],$H419),SUMIFS(AvgBase[Month 16],AvgBase[exp_item],$J419,AvgBase[company_name],$B419,AvgBase[bu_name],$C419,AvgBase[dept_name],$D419,AvgBase[team_consolidation],$K419,AvgBase[location_name],$G419,AvgBase[job_title],$H419))*(AA209+Z209)/2*(1-AA314))</f>
        <v>0</v>
      </c>
      <c r="AB419" s="652">
        <f>IF($B419="",,IF(LEFT($H419,5)="dummy",SUMIFS(AvgBase[Month 17],AvgBase[job_title],$H419),SUMIFS(AvgBase[Month 17],AvgBase[exp_item],$J419,AvgBase[company_name],$B419,AvgBase[bu_name],$C419,AvgBase[dept_name],$D419,AvgBase[team_consolidation],$K419,AvgBase[location_name],$G419,AvgBase[job_title],$H419))*(AB209+AA209)/2*(1-AB314))</f>
        <v>0</v>
      </c>
      <c r="AC419" s="652">
        <f>IF($B419="",,IF(LEFT($H419,5)="dummy",SUMIFS(AvgBase[Month 18],AvgBase[job_title],$H419),SUMIFS(AvgBase[Month 18],AvgBase[exp_item],$J419,AvgBase[company_name],$B419,AvgBase[bu_name],$C419,AvgBase[dept_name],$D419,AvgBase[team_consolidation],$K419,AvgBase[location_name],$G419,AvgBase[job_title],$H419))*(AC209+AB209)/2*(1-AC314))</f>
        <v>0</v>
      </c>
      <c r="AD419" s="652">
        <f>IF($B419="",,IF(LEFT($H419,5)="dummy",SUMIFS(AvgBase[Month 19],AvgBase[job_title],$H419),SUMIFS(AvgBase[Month 19],AvgBase[exp_item],$J419,AvgBase[company_name],$B419,AvgBase[bu_name],$C419,AvgBase[dept_name],$D419,AvgBase[team_consolidation],$K419,AvgBase[location_name],$G419,AvgBase[job_title],$H419))*(AD209+AC209)/2*(1-AD314))</f>
        <v>0</v>
      </c>
      <c r="AE419" s="652">
        <f>IF($B419="",,IF(LEFT($H419,5)="dummy",SUMIFS(AvgBase[Month 20],AvgBase[job_title],$H419),SUMIFS(AvgBase[Month 20],AvgBase[exp_item],$J419,AvgBase[company_name],$B419,AvgBase[bu_name],$C419,AvgBase[dept_name],$D419,AvgBase[team_consolidation],$K419,AvgBase[location_name],$G419,AvgBase[job_title],$H419))*(AE209+AD209)/2*(1-AE314))</f>
        <v>0</v>
      </c>
      <c r="AF419" s="652">
        <f>IF($B419="",,IF(LEFT($H419,5)="dummy",SUMIFS(AvgBase[Month 21],AvgBase[job_title],$H419),SUMIFS(AvgBase[Month 21],AvgBase[exp_item],$J419,AvgBase[company_name],$B419,AvgBase[bu_name],$C419,AvgBase[dept_name],$D419,AvgBase[team_consolidation],$K419,AvgBase[location_name],$G419,AvgBase[job_title],$H419))*(AF209+AE209)/2*(1-AF314))</f>
        <v>0</v>
      </c>
      <c r="AG419" s="652">
        <f>IF($B419="",,IF(LEFT($H419,5)="dummy",SUMIFS(AvgBase[Month 22],AvgBase[job_title],$H419),SUMIFS(AvgBase[Month 22],AvgBase[exp_item],$J419,AvgBase[company_name],$B419,AvgBase[bu_name],$C419,AvgBase[dept_name],$D419,AvgBase[team_consolidation],$K419,AvgBase[location_name],$G419,AvgBase[job_title],$H419))*(AG209+AF209)/2*(1-AG314))</f>
        <v>0</v>
      </c>
      <c r="AH419" s="652">
        <f>IF($B419="",,IF(LEFT($H419,5)="dummy",SUMIFS(AvgBase[Month 23],AvgBase[job_title],$H419),SUMIFS(AvgBase[Month 23],AvgBase[exp_item],$J419,AvgBase[company_name],$B419,AvgBase[bu_name],$C419,AvgBase[dept_name],$D419,AvgBase[team_consolidation],$K419,AvgBase[location_name],$G419,AvgBase[job_title],$H419))*(AH209+AG209)/2*(1-AH314))</f>
        <v>0</v>
      </c>
      <c r="AI419" s="652">
        <f>IF($B419="",,IF(LEFT($H419,5)="dummy",SUMIFS(AvgBase[Month 24],AvgBase[job_title],$H419),SUMIFS(AvgBase[Month 24],AvgBase[exp_item],$J419,AvgBase[company_name],$B419,AvgBase[bu_name],$C419,AvgBase[dept_name],$D419,AvgBase[team_consolidation],$K419,AvgBase[location_name],$G419,AvgBase[job_title],$H419))*(AI209+AH209)/2*(1-AI314))</f>
        <v>0</v>
      </c>
      <c r="AJ419" s="652">
        <f>IF($B419="",,IF(LEFT($H419,5)="dummy",SUMIFS(AvgBase[Month 25],AvgBase[job_title],$H419),SUMIFS(AvgBase[Month 25],AvgBase[exp_item],$J419,AvgBase[company_name],$B419,AvgBase[bu_name],$C419,AvgBase[dept_name],$D419,AvgBase[team_consolidation],$K419,AvgBase[location_name],$G419,AvgBase[job_title],$H419))*(AJ209+AI209)/2*(1-AJ314))</f>
        <v>0</v>
      </c>
      <c r="AK419" s="652">
        <f>IF($B419="",,IF(LEFT($H419,5)="dummy",SUMIFS(AvgBase[Month 26],AvgBase[job_title],$H419),SUMIFS(AvgBase[Month 26],AvgBase[exp_item],$J419,AvgBase[company_name],$B419,AvgBase[bu_name],$C419,AvgBase[dept_name],$D419,AvgBase[team_consolidation],$K419,AvgBase[location_name],$G419,AvgBase[job_title],$H419))*(AK209+AJ209)/2*(1-AK314))</f>
        <v>0</v>
      </c>
      <c r="AL419" s="652">
        <f>IF($B419="",,IF(LEFT($H419,5)="dummy",SUMIFS(AvgBase[Month 27],AvgBase[job_title],$H419),SUMIFS(AvgBase[Month 27],AvgBase[exp_item],$J419,AvgBase[company_name],$B419,AvgBase[bu_name],$C419,AvgBase[dept_name],$D419,AvgBase[team_consolidation],$K419,AvgBase[location_name],$G419,AvgBase[job_title],$H419))*(AL209+AK209)/2*(1-AL314))</f>
        <v>0</v>
      </c>
      <c r="AM419" s="652">
        <f>IF($B419="",,IF(LEFT($H419,5)="dummy",SUMIFS(AvgBase[Month 28],AvgBase[job_title],$H419),SUMIFS(AvgBase[Month 28],AvgBase[exp_item],$J419,AvgBase[company_name],$B419,AvgBase[bu_name],$C419,AvgBase[dept_name],$D419,AvgBase[team_consolidation],$K419,AvgBase[location_name],$G419,AvgBase[job_title],$H419))*(AM209+AL209)/2*(1-AM314))</f>
        <v>0</v>
      </c>
      <c r="AN419" s="652">
        <f>IF($B419="",,IF(LEFT($H419,5)="dummy",SUMIFS(AvgBase[Month 29],AvgBase[job_title],$H419),SUMIFS(AvgBase[Month 29],AvgBase[exp_item],$J419,AvgBase[company_name],$B419,AvgBase[bu_name],$C419,AvgBase[dept_name],$D419,AvgBase[team_consolidation],$K419,AvgBase[location_name],$G419,AvgBase[job_title],$H419))*(AN209+AM209)/2*(1-AN314))</f>
        <v>0</v>
      </c>
      <c r="AO419" s="652">
        <f>IF($B419="",,IF(LEFT($H419,5)="dummy",SUMIFS(AvgBase[Month 30],AvgBase[job_title],$H419),SUMIFS(AvgBase[Month 30],AvgBase[exp_item],$J419,AvgBase[company_name],$B419,AvgBase[bu_name],$C419,AvgBase[dept_name],$D419,AvgBase[team_consolidation],$K419,AvgBase[location_name],$G419,AvgBase[job_title],$H419))*(AO209+AN209)/2*(1-AO314))</f>
        <v>0</v>
      </c>
      <c r="AP419" s="652">
        <f>IF($B419="",,IF(LEFT($H419,5)="dummy",SUMIFS(AvgBase[Month 31],AvgBase[job_title],$H419),SUMIFS(AvgBase[Month 31],AvgBase[exp_item],$J419,AvgBase[company_name],$B419,AvgBase[bu_name],$C419,AvgBase[dept_name],$D419,AvgBase[team_consolidation],$K419,AvgBase[location_name],$G419,AvgBase[job_title],$H419))*(AP209+AO209)/2*(1-AP314))</f>
        <v>0</v>
      </c>
      <c r="AQ419" s="652">
        <f>IF($B419="",,IF(LEFT($H419,5)="dummy",SUMIFS(AvgBase[Month 32],AvgBase[job_title],$H419),SUMIFS(AvgBase[Month 32],AvgBase[exp_item],$J419,AvgBase[company_name],$B419,AvgBase[bu_name],$C419,AvgBase[dept_name],$D419,AvgBase[team_consolidation],$K419,AvgBase[location_name],$G419,AvgBase[job_title],$H419))*(AQ209+AP209)/2*(1-AQ314))</f>
        <v>0</v>
      </c>
      <c r="AR419" s="652">
        <f>IF($B419="",,IF(LEFT($H419,5)="dummy",SUMIFS(AvgBase[Month 33],AvgBase[job_title],$H419),SUMIFS(AvgBase[Month 33],AvgBase[exp_item],$J419,AvgBase[company_name],$B419,AvgBase[bu_name],$C419,AvgBase[dept_name],$D419,AvgBase[team_consolidation],$K419,AvgBase[location_name],$G419,AvgBase[job_title],$H419))*(AR209+AQ209)/2*(1-AR314))</f>
        <v>0</v>
      </c>
      <c r="AS419" s="652">
        <f>IF($B419="",,IF(LEFT($H419,5)="dummy",SUMIFS(AvgBase[Month 34],AvgBase[job_title],$H419),SUMIFS(AvgBase[Month 34],AvgBase[exp_item],$J419,AvgBase[company_name],$B419,AvgBase[bu_name],$C419,AvgBase[dept_name],$D419,AvgBase[team_consolidation],$K419,AvgBase[location_name],$G419,AvgBase[job_title],$H419))*(AS209+AR209)/2*(1-AS314))</f>
        <v>0</v>
      </c>
      <c r="AT419" s="652">
        <f>IF($B419="",,IF(LEFT($H419,5)="dummy",SUMIFS(AvgBase[Month 35],AvgBase[job_title],$H419),SUMIFS(AvgBase[Month 35],AvgBase[exp_item],$J419,AvgBase[company_name],$B419,AvgBase[bu_name],$C419,AvgBase[dept_name],$D419,AvgBase[team_consolidation],$K419,AvgBase[location_name],$G419,AvgBase[job_title],$H419))*(AT209+AS209)/2*(1-AT314))</f>
        <v>0</v>
      </c>
      <c r="AU419" s="652">
        <f>IF($B419="",,IF(LEFT($H419,5)="dummy",SUMIFS(AvgBase[Month 36],AvgBase[job_title],$H419),SUMIFS(AvgBase[Month 36],AvgBase[exp_item],$J419,AvgBase[company_name],$B419,AvgBase[bu_name],$C419,AvgBase[dept_name],$D419,AvgBase[team_consolidation],$K419,AvgBase[location_name],$G419,AvgBase[job_title],$H419))*(AU209+AT209)/2*(1-AU314))</f>
        <v>0</v>
      </c>
    </row>
    <row r="420" spans="2:47" x14ac:dyDescent="0.35">
      <c r="B420" t="str">
        <f t="shared" si="277"/>
        <v/>
      </c>
      <c r="C420" t="str">
        <f t="shared" si="277"/>
        <v/>
      </c>
      <c r="D420" t="str">
        <f t="shared" si="277"/>
        <v/>
      </c>
      <c r="E420" t="str">
        <f t="shared" si="277"/>
        <v/>
      </c>
      <c r="F420" t="str">
        <f t="shared" si="277"/>
        <v/>
      </c>
      <c r="G420" t="str">
        <f t="shared" si="277"/>
        <v/>
      </c>
      <c r="H420" t="str">
        <f t="shared" si="274"/>
        <v/>
      </c>
      <c r="J420" t="str">
        <f>IF($H420="","",IF(VLOOKUP($B$395,ExpItems[],2,0),$B$395&amp;" - "&amp;INDEX(DivisionMapping[category_code],MATCH($D420&amp;$C420,DivisionMapping[dept_bu],0)),$B$395))</f>
        <v/>
      </c>
      <c r="K420" t="str">
        <f t="shared" si="275"/>
        <v/>
      </c>
      <c r="L420" s="652">
        <f>IF($B420="",,IF(LEFT($H420,5)="dummy",SUMIFS(AvgBase[Month 1],AvgBase[job_title],$H420),SUMIFS(AvgBase[Month 1],AvgBase[exp_item],$J420,AvgBase[company_name],$B420,AvgBase[bu_name],$C420,AvgBase[dept_name],$D420,AvgBase[team_consolidation],$K420,AvgBase[location_name],$G420,AvgBase[job_title],$H420))*L210/2*(1-L315))</f>
        <v>0</v>
      </c>
      <c r="M420" s="652">
        <f>IF($B420="",,IF(LEFT($H420,5)="dummy",SUMIFS(AvgBase[Month 2],AvgBase[job_title],$H420),SUMIFS(AvgBase[Month 2],AvgBase[exp_item],$J420,AvgBase[company_name],$B420,AvgBase[bu_name],$C420,AvgBase[dept_name],$D420,AvgBase[team_consolidation],$K420,AvgBase[location_name],$G420,AvgBase[job_title],$H420))*(M210+L210)/2*(1-M315))</f>
        <v>0</v>
      </c>
      <c r="N420" s="652">
        <f>IF($B420="",,IF(LEFT($H420,5)="dummy",SUMIFS(AvgBase[Month 3],AvgBase[job_title],$H420),SUMIFS(AvgBase[Month 3],AvgBase[exp_item],$J420,AvgBase[company_name],$B420,AvgBase[bu_name],$C420,AvgBase[dept_name],$D420,AvgBase[team_consolidation],$K420,AvgBase[location_name],$G420,AvgBase[job_title],$H420))*(N210+M210)/2*(1-N315))</f>
        <v>0</v>
      </c>
      <c r="O420" s="652">
        <f>IF($B420="",,IF(LEFT($H420,5)="dummy",SUMIFS(AvgBase[Month 4],AvgBase[job_title],$H420),SUMIFS(AvgBase[Month 4],AvgBase[exp_item],$J420,AvgBase[company_name],$B420,AvgBase[bu_name],$C420,AvgBase[dept_name],$D420,AvgBase[team_consolidation],$K420,AvgBase[location_name],$G420,AvgBase[job_title],$H420))*(O210+N210)/2*(1-O315))</f>
        <v>0</v>
      </c>
      <c r="P420" s="652">
        <f>IF($B420="",,IF(LEFT($H420,5)="dummy",SUMIFS(AvgBase[Month 5],AvgBase[job_title],$H420),SUMIFS(AvgBase[Month 5],AvgBase[exp_item],$J420,AvgBase[company_name],$B420,AvgBase[bu_name],$C420,AvgBase[dept_name],$D420,AvgBase[team_consolidation],$K420,AvgBase[location_name],$G420,AvgBase[job_title],$H420))*(P210+O210)/2*(1-P315))</f>
        <v>0</v>
      </c>
      <c r="Q420" s="652">
        <f>IF($B420="",,IF(LEFT($H420,5)="dummy",SUMIFS(AvgBase[Month 6],AvgBase[job_title],$H420),SUMIFS(AvgBase[Month 6],AvgBase[exp_item],$J420,AvgBase[company_name],$B420,AvgBase[bu_name],$C420,AvgBase[dept_name],$D420,AvgBase[team_consolidation],$K420,AvgBase[location_name],$G420,AvgBase[job_title],$H420))*(Q210+P210)/2*(1-Q315))</f>
        <v>0</v>
      </c>
      <c r="R420" s="652">
        <f>IF($B420="",,IF(LEFT($H420,5)="dummy",SUMIFS(AvgBase[Month 7],AvgBase[job_title],$H420),SUMIFS(AvgBase[Month 7],AvgBase[exp_item],$J420,AvgBase[company_name],$B420,AvgBase[bu_name],$C420,AvgBase[dept_name],$D420,AvgBase[team_consolidation],$K420,AvgBase[location_name],$G420,AvgBase[job_title],$H420))*(R210+Q210)/2*(1-R315))</f>
        <v>0</v>
      </c>
      <c r="S420" s="652">
        <f>IF($B420="",,IF(LEFT($H420,5)="dummy",SUMIFS(AvgBase[Month 8],AvgBase[job_title],$H420),SUMIFS(AvgBase[Month 8],AvgBase[exp_item],$J420,AvgBase[company_name],$B420,AvgBase[bu_name],$C420,AvgBase[dept_name],$D420,AvgBase[team_consolidation],$K420,AvgBase[location_name],$G420,AvgBase[job_title],$H420))*(S210+R210)/2*(1-S315))</f>
        <v>0</v>
      </c>
      <c r="T420" s="652">
        <f>IF($B420="",,IF(LEFT($H420,5)="dummy",SUMIFS(AvgBase[Month 9],AvgBase[job_title],$H420),SUMIFS(AvgBase[Month 9],AvgBase[exp_item],$J420,AvgBase[company_name],$B420,AvgBase[bu_name],$C420,AvgBase[dept_name],$D420,AvgBase[team_consolidation],$K420,AvgBase[location_name],$G420,AvgBase[job_title],$H420))*(T210+S210)/2*(1-T315))</f>
        <v>0</v>
      </c>
      <c r="U420" s="652">
        <f>IF($B420="",,IF(LEFT($H420,5)="dummy",SUMIFS(AvgBase[Month 10],AvgBase[job_title],$H420),SUMIFS(AvgBase[Month 10],AvgBase[exp_item],$J420,AvgBase[company_name],$B420,AvgBase[bu_name],$C420,AvgBase[dept_name],$D420,AvgBase[team_consolidation],$K420,AvgBase[location_name],$G420,AvgBase[job_title],$H420))*(U210+T210)/2*(1-U315))</f>
        <v>0</v>
      </c>
      <c r="V420" s="652">
        <f>IF($B420="",,IF(LEFT($H420,5)="dummy",SUMIFS(AvgBase[Month 11],AvgBase[job_title],$H420),SUMIFS(AvgBase[Month 11],AvgBase[exp_item],$J420,AvgBase[company_name],$B420,AvgBase[bu_name],$C420,AvgBase[dept_name],$D420,AvgBase[team_consolidation],$K420,AvgBase[location_name],$G420,AvgBase[job_title],$H420))*(V210+U210)/2*(1-V315))</f>
        <v>0</v>
      </c>
      <c r="W420" s="652">
        <f>IF($B420="",,IF(LEFT($H420,5)="dummy",SUMIFS(AvgBase[Month 12],AvgBase[job_title],$H420),SUMIFS(AvgBase[Month 12],AvgBase[exp_item],$J420,AvgBase[company_name],$B420,AvgBase[bu_name],$C420,AvgBase[dept_name],$D420,AvgBase[team_consolidation],$K420,AvgBase[location_name],$G420,AvgBase[job_title],$H420))*(W210+V210)/2*(1-W315))</f>
        <v>0</v>
      </c>
      <c r="X420" s="652">
        <f>IF($B420="",,IF(LEFT($H420,5)="dummy",SUMIFS(AvgBase[Month 13],AvgBase[job_title],$H420),SUMIFS(AvgBase[Month 13],AvgBase[exp_item],$J420,AvgBase[company_name],$B420,AvgBase[bu_name],$C420,AvgBase[dept_name],$D420,AvgBase[team_consolidation],$K420,AvgBase[location_name],$G420,AvgBase[job_title],$H420))*(X210+W210)/2*(1-X315))</f>
        <v>0</v>
      </c>
      <c r="Y420" s="652">
        <f>IF($B420="",,IF(LEFT($H420,5)="dummy",SUMIFS(AvgBase[Month 14],AvgBase[job_title],$H420),SUMIFS(AvgBase[Month 14],AvgBase[exp_item],$J420,AvgBase[company_name],$B420,AvgBase[bu_name],$C420,AvgBase[dept_name],$D420,AvgBase[team_consolidation],$K420,AvgBase[location_name],$G420,AvgBase[job_title],$H420))*(Y210+X210)/2*(1-Y315))</f>
        <v>0</v>
      </c>
      <c r="Z420" s="652">
        <f>IF($B420="",,IF(LEFT($H420,5)="dummy",SUMIFS(AvgBase[Month 15],AvgBase[job_title],$H420),SUMIFS(AvgBase[Month 15],AvgBase[exp_item],$J420,AvgBase[company_name],$B420,AvgBase[bu_name],$C420,AvgBase[dept_name],$D420,AvgBase[team_consolidation],$K420,AvgBase[location_name],$G420,AvgBase[job_title],$H420))*(Z210+Y210)/2*(1-Z315))</f>
        <v>0</v>
      </c>
      <c r="AA420" s="652">
        <f>IF($B420="",,IF(LEFT($H420,5)="dummy",SUMIFS(AvgBase[Month 16],AvgBase[job_title],$H420),SUMIFS(AvgBase[Month 16],AvgBase[exp_item],$J420,AvgBase[company_name],$B420,AvgBase[bu_name],$C420,AvgBase[dept_name],$D420,AvgBase[team_consolidation],$K420,AvgBase[location_name],$G420,AvgBase[job_title],$H420))*(AA210+Z210)/2*(1-AA315))</f>
        <v>0</v>
      </c>
      <c r="AB420" s="652">
        <f>IF($B420="",,IF(LEFT($H420,5)="dummy",SUMIFS(AvgBase[Month 17],AvgBase[job_title],$H420),SUMIFS(AvgBase[Month 17],AvgBase[exp_item],$J420,AvgBase[company_name],$B420,AvgBase[bu_name],$C420,AvgBase[dept_name],$D420,AvgBase[team_consolidation],$K420,AvgBase[location_name],$G420,AvgBase[job_title],$H420))*(AB210+AA210)/2*(1-AB315))</f>
        <v>0</v>
      </c>
      <c r="AC420" s="652">
        <f>IF($B420="",,IF(LEFT($H420,5)="dummy",SUMIFS(AvgBase[Month 18],AvgBase[job_title],$H420),SUMIFS(AvgBase[Month 18],AvgBase[exp_item],$J420,AvgBase[company_name],$B420,AvgBase[bu_name],$C420,AvgBase[dept_name],$D420,AvgBase[team_consolidation],$K420,AvgBase[location_name],$G420,AvgBase[job_title],$H420))*(AC210+AB210)/2*(1-AC315))</f>
        <v>0</v>
      </c>
      <c r="AD420" s="652">
        <f>IF($B420="",,IF(LEFT($H420,5)="dummy",SUMIFS(AvgBase[Month 19],AvgBase[job_title],$H420),SUMIFS(AvgBase[Month 19],AvgBase[exp_item],$J420,AvgBase[company_name],$B420,AvgBase[bu_name],$C420,AvgBase[dept_name],$D420,AvgBase[team_consolidation],$K420,AvgBase[location_name],$G420,AvgBase[job_title],$H420))*(AD210+AC210)/2*(1-AD315))</f>
        <v>0</v>
      </c>
      <c r="AE420" s="652">
        <f>IF($B420="",,IF(LEFT($H420,5)="dummy",SUMIFS(AvgBase[Month 20],AvgBase[job_title],$H420),SUMIFS(AvgBase[Month 20],AvgBase[exp_item],$J420,AvgBase[company_name],$B420,AvgBase[bu_name],$C420,AvgBase[dept_name],$D420,AvgBase[team_consolidation],$K420,AvgBase[location_name],$G420,AvgBase[job_title],$H420))*(AE210+AD210)/2*(1-AE315))</f>
        <v>0</v>
      </c>
      <c r="AF420" s="652">
        <f>IF($B420="",,IF(LEFT($H420,5)="dummy",SUMIFS(AvgBase[Month 21],AvgBase[job_title],$H420),SUMIFS(AvgBase[Month 21],AvgBase[exp_item],$J420,AvgBase[company_name],$B420,AvgBase[bu_name],$C420,AvgBase[dept_name],$D420,AvgBase[team_consolidation],$K420,AvgBase[location_name],$G420,AvgBase[job_title],$H420))*(AF210+AE210)/2*(1-AF315))</f>
        <v>0</v>
      </c>
      <c r="AG420" s="652">
        <f>IF($B420="",,IF(LEFT($H420,5)="dummy",SUMIFS(AvgBase[Month 22],AvgBase[job_title],$H420),SUMIFS(AvgBase[Month 22],AvgBase[exp_item],$J420,AvgBase[company_name],$B420,AvgBase[bu_name],$C420,AvgBase[dept_name],$D420,AvgBase[team_consolidation],$K420,AvgBase[location_name],$G420,AvgBase[job_title],$H420))*(AG210+AF210)/2*(1-AG315))</f>
        <v>0</v>
      </c>
      <c r="AH420" s="652">
        <f>IF($B420="",,IF(LEFT($H420,5)="dummy",SUMIFS(AvgBase[Month 23],AvgBase[job_title],$H420),SUMIFS(AvgBase[Month 23],AvgBase[exp_item],$J420,AvgBase[company_name],$B420,AvgBase[bu_name],$C420,AvgBase[dept_name],$D420,AvgBase[team_consolidation],$K420,AvgBase[location_name],$G420,AvgBase[job_title],$H420))*(AH210+AG210)/2*(1-AH315))</f>
        <v>0</v>
      </c>
      <c r="AI420" s="652">
        <f>IF($B420="",,IF(LEFT($H420,5)="dummy",SUMIFS(AvgBase[Month 24],AvgBase[job_title],$H420),SUMIFS(AvgBase[Month 24],AvgBase[exp_item],$J420,AvgBase[company_name],$B420,AvgBase[bu_name],$C420,AvgBase[dept_name],$D420,AvgBase[team_consolidation],$K420,AvgBase[location_name],$G420,AvgBase[job_title],$H420))*(AI210+AH210)/2*(1-AI315))</f>
        <v>0</v>
      </c>
      <c r="AJ420" s="652">
        <f>IF($B420="",,IF(LEFT($H420,5)="dummy",SUMIFS(AvgBase[Month 25],AvgBase[job_title],$H420),SUMIFS(AvgBase[Month 25],AvgBase[exp_item],$J420,AvgBase[company_name],$B420,AvgBase[bu_name],$C420,AvgBase[dept_name],$D420,AvgBase[team_consolidation],$K420,AvgBase[location_name],$G420,AvgBase[job_title],$H420))*(AJ210+AI210)/2*(1-AJ315))</f>
        <v>0</v>
      </c>
      <c r="AK420" s="652">
        <f>IF($B420="",,IF(LEFT($H420,5)="dummy",SUMIFS(AvgBase[Month 26],AvgBase[job_title],$H420),SUMIFS(AvgBase[Month 26],AvgBase[exp_item],$J420,AvgBase[company_name],$B420,AvgBase[bu_name],$C420,AvgBase[dept_name],$D420,AvgBase[team_consolidation],$K420,AvgBase[location_name],$G420,AvgBase[job_title],$H420))*(AK210+AJ210)/2*(1-AK315))</f>
        <v>0</v>
      </c>
      <c r="AL420" s="652">
        <f>IF($B420="",,IF(LEFT($H420,5)="dummy",SUMIFS(AvgBase[Month 27],AvgBase[job_title],$H420),SUMIFS(AvgBase[Month 27],AvgBase[exp_item],$J420,AvgBase[company_name],$B420,AvgBase[bu_name],$C420,AvgBase[dept_name],$D420,AvgBase[team_consolidation],$K420,AvgBase[location_name],$G420,AvgBase[job_title],$H420))*(AL210+AK210)/2*(1-AL315))</f>
        <v>0</v>
      </c>
      <c r="AM420" s="652">
        <f>IF($B420="",,IF(LEFT($H420,5)="dummy",SUMIFS(AvgBase[Month 28],AvgBase[job_title],$H420),SUMIFS(AvgBase[Month 28],AvgBase[exp_item],$J420,AvgBase[company_name],$B420,AvgBase[bu_name],$C420,AvgBase[dept_name],$D420,AvgBase[team_consolidation],$K420,AvgBase[location_name],$G420,AvgBase[job_title],$H420))*(AM210+AL210)/2*(1-AM315))</f>
        <v>0</v>
      </c>
      <c r="AN420" s="652">
        <f>IF($B420="",,IF(LEFT($H420,5)="dummy",SUMIFS(AvgBase[Month 29],AvgBase[job_title],$H420),SUMIFS(AvgBase[Month 29],AvgBase[exp_item],$J420,AvgBase[company_name],$B420,AvgBase[bu_name],$C420,AvgBase[dept_name],$D420,AvgBase[team_consolidation],$K420,AvgBase[location_name],$G420,AvgBase[job_title],$H420))*(AN210+AM210)/2*(1-AN315))</f>
        <v>0</v>
      </c>
      <c r="AO420" s="652">
        <f>IF($B420="",,IF(LEFT($H420,5)="dummy",SUMIFS(AvgBase[Month 30],AvgBase[job_title],$H420),SUMIFS(AvgBase[Month 30],AvgBase[exp_item],$J420,AvgBase[company_name],$B420,AvgBase[bu_name],$C420,AvgBase[dept_name],$D420,AvgBase[team_consolidation],$K420,AvgBase[location_name],$G420,AvgBase[job_title],$H420))*(AO210+AN210)/2*(1-AO315))</f>
        <v>0</v>
      </c>
      <c r="AP420" s="652">
        <f>IF($B420="",,IF(LEFT($H420,5)="dummy",SUMIFS(AvgBase[Month 31],AvgBase[job_title],$H420),SUMIFS(AvgBase[Month 31],AvgBase[exp_item],$J420,AvgBase[company_name],$B420,AvgBase[bu_name],$C420,AvgBase[dept_name],$D420,AvgBase[team_consolidation],$K420,AvgBase[location_name],$G420,AvgBase[job_title],$H420))*(AP210+AO210)/2*(1-AP315))</f>
        <v>0</v>
      </c>
      <c r="AQ420" s="652">
        <f>IF($B420="",,IF(LEFT($H420,5)="dummy",SUMIFS(AvgBase[Month 32],AvgBase[job_title],$H420),SUMIFS(AvgBase[Month 32],AvgBase[exp_item],$J420,AvgBase[company_name],$B420,AvgBase[bu_name],$C420,AvgBase[dept_name],$D420,AvgBase[team_consolidation],$K420,AvgBase[location_name],$G420,AvgBase[job_title],$H420))*(AQ210+AP210)/2*(1-AQ315))</f>
        <v>0</v>
      </c>
      <c r="AR420" s="652">
        <f>IF($B420="",,IF(LEFT($H420,5)="dummy",SUMIFS(AvgBase[Month 33],AvgBase[job_title],$H420),SUMIFS(AvgBase[Month 33],AvgBase[exp_item],$J420,AvgBase[company_name],$B420,AvgBase[bu_name],$C420,AvgBase[dept_name],$D420,AvgBase[team_consolidation],$K420,AvgBase[location_name],$G420,AvgBase[job_title],$H420))*(AR210+AQ210)/2*(1-AR315))</f>
        <v>0</v>
      </c>
      <c r="AS420" s="652">
        <f>IF($B420="",,IF(LEFT($H420,5)="dummy",SUMIFS(AvgBase[Month 34],AvgBase[job_title],$H420),SUMIFS(AvgBase[Month 34],AvgBase[exp_item],$J420,AvgBase[company_name],$B420,AvgBase[bu_name],$C420,AvgBase[dept_name],$D420,AvgBase[team_consolidation],$K420,AvgBase[location_name],$G420,AvgBase[job_title],$H420))*(AS210+AR210)/2*(1-AS315))</f>
        <v>0</v>
      </c>
      <c r="AT420" s="652">
        <f>IF($B420="",,IF(LEFT($H420,5)="dummy",SUMIFS(AvgBase[Month 35],AvgBase[job_title],$H420),SUMIFS(AvgBase[Month 35],AvgBase[exp_item],$J420,AvgBase[company_name],$B420,AvgBase[bu_name],$C420,AvgBase[dept_name],$D420,AvgBase[team_consolidation],$K420,AvgBase[location_name],$G420,AvgBase[job_title],$H420))*(AT210+AS210)/2*(1-AT315))</f>
        <v>0</v>
      </c>
      <c r="AU420" s="652">
        <f>IF($B420="",,IF(LEFT($H420,5)="dummy",SUMIFS(AvgBase[Month 36],AvgBase[job_title],$H420),SUMIFS(AvgBase[Month 36],AvgBase[exp_item],$J420,AvgBase[company_name],$B420,AvgBase[bu_name],$C420,AvgBase[dept_name],$D420,AvgBase[team_consolidation],$K420,AvgBase[location_name],$G420,AvgBase[job_title],$H420))*(AU210+AT210)/2*(1-AU315))</f>
        <v>0</v>
      </c>
    </row>
    <row r="421" spans="2:47" x14ac:dyDescent="0.35">
      <c r="B421" t="str">
        <f t="shared" si="277"/>
        <v/>
      </c>
      <c r="C421" t="str">
        <f t="shared" si="277"/>
        <v/>
      </c>
      <c r="D421" t="str">
        <f t="shared" si="277"/>
        <v/>
      </c>
      <c r="E421" t="str">
        <f t="shared" si="277"/>
        <v/>
      </c>
      <c r="F421" t="str">
        <f t="shared" si="277"/>
        <v/>
      </c>
      <c r="G421" t="str">
        <f t="shared" si="277"/>
        <v/>
      </c>
      <c r="H421" t="str">
        <f t="shared" si="274"/>
        <v/>
      </c>
      <c r="J421" t="str">
        <f>IF($H421="","",IF(VLOOKUP($B$395,ExpItems[],2,0),$B$395&amp;" - "&amp;INDEX(DivisionMapping[category_code],MATCH($D421&amp;$C421,DivisionMapping[dept_bu],0)),$B$395))</f>
        <v/>
      </c>
      <c r="K421" t="str">
        <f t="shared" si="275"/>
        <v/>
      </c>
      <c r="L421" s="652">
        <f>IF($B421="",,IF(LEFT($H421,5)="dummy",SUMIFS(AvgBase[Month 1],AvgBase[job_title],$H421),SUMIFS(AvgBase[Month 1],AvgBase[exp_item],$J421,AvgBase[company_name],$B421,AvgBase[bu_name],$C421,AvgBase[dept_name],$D421,AvgBase[team_consolidation],$K421,AvgBase[location_name],$G421,AvgBase[job_title],$H421))*L211/2*(1-L316))</f>
        <v>0</v>
      </c>
      <c r="M421" s="652">
        <f>IF($B421="",,IF(LEFT($H421,5)="dummy",SUMIFS(AvgBase[Month 2],AvgBase[job_title],$H421),SUMIFS(AvgBase[Month 2],AvgBase[exp_item],$J421,AvgBase[company_name],$B421,AvgBase[bu_name],$C421,AvgBase[dept_name],$D421,AvgBase[team_consolidation],$K421,AvgBase[location_name],$G421,AvgBase[job_title],$H421))*(M211+L211)/2*(1-M316))</f>
        <v>0</v>
      </c>
      <c r="N421" s="652">
        <f>IF($B421="",,IF(LEFT($H421,5)="dummy",SUMIFS(AvgBase[Month 3],AvgBase[job_title],$H421),SUMIFS(AvgBase[Month 3],AvgBase[exp_item],$J421,AvgBase[company_name],$B421,AvgBase[bu_name],$C421,AvgBase[dept_name],$D421,AvgBase[team_consolidation],$K421,AvgBase[location_name],$G421,AvgBase[job_title],$H421))*(N211+M211)/2*(1-N316))</f>
        <v>0</v>
      </c>
      <c r="O421" s="652">
        <f>IF($B421="",,IF(LEFT($H421,5)="dummy",SUMIFS(AvgBase[Month 4],AvgBase[job_title],$H421),SUMIFS(AvgBase[Month 4],AvgBase[exp_item],$J421,AvgBase[company_name],$B421,AvgBase[bu_name],$C421,AvgBase[dept_name],$D421,AvgBase[team_consolidation],$K421,AvgBase[location_name],$G421,AvgBase[job_title],$H421))*(O211+N211)/2*(1-O316))</f>
        <v>0</v>
      </c>
      <c r="P421" s="652">
        <f>IF($B421="",,IF(LEFT($H421,5)="dummy",SUMIFS(AvgBase[Month 5],AvgBase[job_title],$H421),SUMIFS(AvgBase[Month 5],AvgBase[exp_item],$J421,AvgBase[company_name],$B421,AvgBase[bu_name],$C421,AvgBase[dept_name],$D421,AvgBase[team_consolidation],$K421,AvgBase[location_name],$G421,AvgBase[job_title],$H421))*(P211+O211)/2*(1-P316))</f>
        <v>0</v>
      </c>
      <c r="Q421" s="652">
        <f>IF($B421="",,IF(LEFT($H421,5)="dummy",SUMIFS(AvgBase[Month 6],AvgBase[job_title],$H421),SUMIFS(AvgBase[Month 6],AvgBase[exp_item],$J421,AvgBase[company_name],$B421,AvgBase[bu_name],$C421,AvgBase[dept_name],$D421,AvgBase[team_consolidation],$K421,AvgBase[location_name],$G421,AvgBase[job_title],$H421))*(Q211+P211)/2*(1-Q316))</f>
        <v>0</v>
      </c>
      <c r="R421" s="652">
        <f>IF($B421="",,IF(LEFT($H421,5)="dummy",SUMIFS(AvgBase[Month 7],AvgBase[job_title],$H421),SUMIFS(AvgBase[Month 7],AvgBase[exp_item],$J421,AvgBase[company_name],$B421,AvgBase[bu_name],$C421,AvgBase[dept_name],$D421,AvgBase[team_consolidation],$K421,AvgBase[location_name],$G421,AvgBase[job_title],$H421))*(R211+Q211)/2*(1-R316))</f>
        <v>0</v>
      </c>
      <c r="S421" s="652">
        <f>IF($B421="",,IF(LEFT($H421,5)="dummy",SUMIFS(AvgBase[Month 8],AvgBase[job_title],$H421),SUMIFS(AvgBase[Month 8],AvgBase[exp_item],$J421,AvgBase[company_name],$B421,AvgBase[bu_name],$C421,AvgBase[dept_name],$D421,AvgBase[team_consolidation],$K421,AvgBase[location_name],$G421,AvgBase[job_title],$H421))*(S211+R211)/2*(1-S316))</f>
        <v>0</v>
      </c>
      <c r="T421" s="652">
        <f>IF($B421="",,IF(LEFT($H421,5)="dummy",SUMIFS(AvgBase[Month 9],AvgBase[job_title],$H421),SUMIFS(AvgBase[Month 9],AvgBase[exp_item],$J421,AvgBase[company_name],$B421,AvgBase[bu_name],$C421,AvgBase[dept_name],$D421,AvgBase[team_consolidation],$K421,AvgBase[location_name],$G421,AvgBase[job_title],$H421))*(T211+S211)/2*(1-T316))</f>
        <v>0</v>
      </c>
      <c r="U421" s="652">
        <f>IF($B421="",,IF(LEFT($H421,5)="dummy",SUMIFS(AvgBase[Month 10],AvgBase[job_title],$H421),SUMIFS(AvgBase[Month 10],AvgBase[exp_item],$J421,AvgBase[company_name],$B421,AvgBase[bu_name],$C421,AvgBase[dept_name],$D421,AvgBase[team_consolidation],$K421,AvgBase[location_name],$G421,AvgBase[job_title],$H421))*(U211+T211)/2*(1-U316))</f>
        <v>0</v>
      </c>
      <c r="V421" s="652">
        <f>IF($B421="",,IF(LEFT($H421,5)="dummy",SUMIFS(AvgBase[Month 11],AvgBase[job_title],$H421),SUMIFS(AvgBase[Month 11],AvgBase[exp_item],$J421,AvgBase[company_name],$B421,AvgBase[bu_name],$C421,AvgBase[dept_name],$D421,AvgBase[team_consolidation],$K421,AvgBase[location_name],$G421,AvgBase[job_title],$H421))*(V211+U211)/2*(1-V316))</f>
        <v>0</v>
      </c>
      <c r="W421" s="652">
        <f>IF($B421="",,IF(LEFT($H421,5)="dummy",SUMIFS(AvgBase[Month 12],AvgBase[job_title],$H421),SUMIFS(AvgBase[Month 12],AvgBase[exp_item],$J421,AvgBase[company_name],$B421,AvgBase[bu_name],$C421,AvgBase[dept_name],$D421,AvgBase[team_consolidation],$K421,AvgBase[location_name],$G421,AvgBase[job_title],$H421))*(W211+V211)/2*(1-W316))</f>
        <v>0</v>
      </c>
      <c r="X421" s="652">
        <f>IF($B421="",,IF(LEFT($H421,5)="dummy",SUMIFS(AvgBase[Month 13],AvgBase[job_title],$H421),SUMIFS(AvgBase[Month 13],AvgBase[exp_item],$J421,AvgBase[company_name],$B421,AvgBase[bu_name],$C421,AvgBase[dept_name],$D421,AvgBase[team_consolidation],$K421,AvgBase[location_name],$G421,AvgBase[job_title],$H421))*(X211+W211)/2*(1-X316))</f>
        <v>0</v>
      </c>
      <c r="Y421" s="652">
        <f>IF($B421="",,IF(LEFT($H421,5)="dummy",SUMIFS(AvgBase[Month 14],AvgBase[job_title],$H421),SUMIFS(AvgBase[Month 14],AvgBase[exp_item],$J421,AvgBase[company_name],$B421,AvgBase[bu_name],$C421,AvgBase[dept_name],$D421,AvgBase[team_consolidation],$K421,AvgBase[location_name],$G421,AvgBase[job_title],$H421))*(Y211+X211)/2*(1-Y316))</f>
        <v>0</v>
      </c>
      <c r="Z421" s="652">
        <f>IF($B421="",,IF(LEFT($H421,5)="dummy",SUMIFS(AvgBase[Month 15],AvgBase[job_title],$H421),SUMIFS(AvgBase[Month 15],AvgBase[exp_item],$J421,AvgBase[company_name],$B421,AvgBase[bu_name],$C421,AvgBase[dept_name],$D421,AvgBase[team_consolidation],$K421,AvgBase[location_name],$G421,AvgBase[job_title],$H421))*(Z211+Y211)/2*(1-Z316))</f>
        <v>0</v>
      </c>
      <c r="AA421" s="652">
        <f>IF($B421="",,IF(LEFT($H421,5)="dummy",SUMIFS(AvgBase[Month 16],AvgBase[job_title],$H421),SUMIFS(AvgBase[Month 16],AvgBase[exp_item],$J421,AvgBase[company_name],$B421,AvgBase[bu_name],$C421,AvgBase[dept_name],$D421,AvgBase[team_consolidation],$K421,AvgBase[location_name],$G421,AvgBase[job_title],$H421))*(AA211+Z211)/2*(1-AA316))</f>
        <v>0</v>
      </c>
      <c r="AB421" s="652">
        <f>IF($B421="",,IF(LEFT($H421,5)="dummy",SUMIFS(AvgBase[Month 17],AvgBase[job_title],$H421),SUMIFS(AvgBase[Month 17],AvgBase[exp_item],$J421,AvgBase[company_name],$B421,AvgBase[bu_name],$C421,AvgBase[dept_name],$D421,AvgBase[team_consolidation],$K421,AvgBase[location_name],$G421,AvgBase[job_title],$H421))*(AB211+AA211)/2*(1-AB316))</f>
        <v>0</v>
      </c>
      <c r="AC421" s="652">
        <f>IF($B421="",,IF(LEFT($H421,5)="dummy",SUMIFS(AvgBase[Month 18],AvgBase[job_title],$H421),SUMIFS(AvgBase[Month 18],AvgBase[exp_item],$J421,AvgBase[company_name],$B421,AvgBase[bu_name],$C421,AvgBase[dept_name],$D421,AvgBase[team_consolidation],$K421,AvgBase[location_name],$G421,AvgBase[job_title],$H421))*(AC211+AB211)/2*(1-AC316))</f>
        <v>0</v>
      </c>
      <c r="AD421" s="652">
        <f>IF($B421="",,IF(LEFT($H421,5)="dummy",SUMIFS(AvgBase[Month 19],AvgBase[job_title],$H421),SUMIFS(AvgBase[Month 19],AvgBase[exp_item],$J421,AvgBase[company_name],$B421,AvgBase[bu_name],$C421,AvgBase[dept_name],$D421,AvgBase[team_consolidation],$K421,AvgBase[location_name],$G421,AvgBase[job_title],$H421))*(AD211+AC211)/2*(1-AD316))</f>
        <v>0</v>
      </c>
      <c r="AE421" s="652">
        <f>IF($B421="",,IF(LEFT($H421,5)="dummy",SUMIFS(AvgBase[Month 20],AvgBase[job_title],$H421),SUMIFS(AvgBase[Month 20],AvgBase[exp_item],$J421,AvgBase[company_name],$B421,AvgBase[bu_name],$C421,AvgBase[dept_name],$D421,AvgBase[team_consolidation],$K421,AvgBase[location_name],$G421,AvgBase[job_title],$H421))*(AE211+AD211)/2*(1-AE316))</f>
        <v>0</v>
      </c>
      <c r="AF421" s="652">
        <f>IF($B421="",,IF(LEFT($H421,5)="dummy",SUMIFS(AvgBase[Month 21],AvgBase[job_title],$H421),SUMIFS(AvgBase[Month 21],AvgBase[exp_item],$J421,AvgBase[company_name],$B421,AvgBase[bu_name],$C421,AvgBase[dept_name],$D421,AvgBase[team_consolidation],$K421,AvgBase[location_name],$G421,AvgBase[job_title],$H421))*(AF211+AE211)/2*(1-AF316))</f>
        <v>0</v>
      </c>
      <c r="AG421" s="652">
        <f>IF($B421="",,IF(LEFT($H421,5)="dummy",SUMIFS(AvgBase[Month 22],AvgBase[job_title],$H421),SUMIFS(AvgBase[Month 22],AvgBase[exp_item],$J421,AvgBase[company_name],$B421,AvgBase[bu_name],$C421,AvgBase[dept_name],$D421,AvgBase[team_consolidation],$K421,AvgBase[location_name],$G421,AvgBase[job_title],$H421))*(AG211+AF211)/2*(1-AG316))</f>
        <v>0</v>
      </c>
      <c r="AH421" s="652">
        <f>IF($B421="",,IF(LEFT($H421,5)="dummy",SUMIFS(AvgBase[Month 23],AvgBase[job_title],$H421),SUMIFS(AvgBase[Month 23],AvgBase[exp_item],$J421,AvgBase[company_name],$B421,AvgBase[bu_name],$C421,AvgBase[dept_name],$D421,AvgBase[team_consolidation],$K421,AvgBase[location_name],$G421,AvgBase[job_title],$H421))*(AH211+AG211)/2*(1-AH316))</f>
        <v>0</v>
      </c>
      <c r="AI421" s="652">
        <f>IF($B421="",,IF(LEFT($H421,5)="dummy",SUMIFS(AvgBase[Month 24],AvgBase[job_title],$H421),SUMIFS(AvgBase[Month 24],AvgBase[exp_item],$J421,AvgBase[company_name],$B421,AvgBase[bu_name],$C421,AvgBase[dept_name],$D421,AvgBase[team_consolidation],$K421,AvgBase[location_name],$G421,AvgBase[job_title],$H421))*(AI211+AH211)/2*(1-AI316))</f>
        <v>0</v>
      </c>
      <c r="AJ421" s="652">
        <f>IF($B421="",,IF(LEFT($H421,5)="dummy",SUMIFS(AvgBase[Month 25],AvgBase[job_title],$H421),SUMIFS(AvgBase[Month 25],AvgBase[exp_item],$J421,AvgBase[company_name],$B421,AvgBase[bu_name],$C421,AvgBase[dept_name],$D421,AvgBase[team_consolidation],$K421,AvgBase[location_name],$G421,AvgBase[job_title],$H421))*(AJ211+AI211)/2*(1-AJ316))</f>
        <v>0</v>
      </c>
      <c r="AK421" s="652">
        <f>IF($B421="",,IF(LEFT($H421,5)="dummy",SUMIFS(AvgBase[Month 26],AvgBase[job_title],$H421),SUMIFS(AvgBase[Month 26],AvgBase[exp_item],$J421,AvgBase[company_name],$B421,AvgBase[bu_name],$C421,AvgBase[dept_name],$D421,AvgBase[team_consolidation],$K421,AvgBase[location_name],$G421,AvgBase[job_title],$H421))*(AK211+AJ211)/2*(1-AK316))</f>
        <v>0</v>
      </c>
      <c r="AL421" s="652">
        <f>IF($B421="",,IF(LEFT($H421,5)="dummy",SUMIFS(AvgBase[Month 27],AvgBase[job_title],$H421),SUMIFS(AvgBase[Month 27],AvgBase[exp_item],$J421,AvgBase[company_name],$B421,AvgBase[bu_name],$C421,AvgBase[dept_name],$D421,AvgBase[team_consolidation],$K421,AvgBase[location_name],$G421,AvgBase[job_title],$H421))*(AL211+AK211)/2*(1-AL316))</f>
        <v>0</v>
      </c>
      <c r="AM421" s="652">
        <f>IF($B421="",,IF(LEFT($H421,5)="dummy",SUMIFS(AvgBase[Month 28],AvgBase[job_title],$H421),SUMIFS(AvgBase[Month 28],AvgBase[exp_item],$J421,AvgBase[company_name],$B421,AvgBase[bu_name],$C421,AvgBase[dept_name],$D421,AvgBase[team_consolidation],$K421,AvgBase[location_name],$G421,AvgBase[job_title],$H421))*(AM211+AL211)/2*(1-AM316))</f>
        <v>0</v>
      </c>
      <c r="AN421" s="652">
        <f>IF($B421="",,IF(LEFT($H421,5)="dummy",SUMIFS(AvgBase[Month 29],AvgBase[job_title],$H421),SUMIFS(AvgBase[Month 29],AvgBase[exp_item],$J421,AvgBase[company_name],$B421,AvgBase[bu_name],$C421,AvgBase[dept_name],$D421,AvgBase[team_consolidation],$K421,AvgBase[location_name],$G421,AvgBase[job_title],$H421))*(AN211+AM211)/2*(1-AN316))</f>
        <v>0</v>
      </c>
      <c r="AO421" s="652">
        <f>IF($B421="",,IF(LEFT($H421,5)="dummy",SUMIFS(AvgBase[Month 30],AvgBase[job_title],$H421),SUMIFS(AvgBase[Month 30],AvgBase[exp_item],$J421,AvgBase[company_name],$B421,AvgBase[bu_name],$C421,AvgBase[dept_name],$D421,AvgBase[team_consolidation],$K421,AvgBase[location_name],$G421,AvgBase[job_title],$H421))*(AO211+AN211)/2*(1-AO316))</f>
        <v>0</v>
      </c>
      <c r="AP421" s="652">
        <f>IF($B421="",,IF(LEFT($H421,5)="dummy",SUMIFS(AvgBase[Month 31],AvgBase[job_title],$H421),SUMIFS(AvgBase[Month 31],AvgBase[exp_item],$J421,AvgBase[company_name],$B421,AvgBase[bu_name],$C421,AvgBase[dept_name],$D421,AvgBase[team_consolidation],$K421,AvgBase[location_name],$G421,AvgBase[job_title],$H421))*(AP211+AO211)/2*(1-AP316))</f>
        <v>0</v>
      </c>
      <c r="AQ421" s="652">
        <f>IF($B421="",,IF(LEFT($H421,5)="dummy",SUMIFS(AvgBase[Month 32],AvgBase[job_title],$H421),SUMIFS(AvgBase[Month 32],AvgBase[exp_item],$J421,AvgBase[company_name],$B421,AvgBase[bu_name],$C421,AvgBase[dept_name],$D421,AvgBase[team_consolidation],$K421,AvgBase[location_name],$G421,AvgBase[job_title],$H421))*(AQ211+AP211)/2*(1-AQ316))</f>
        <v>0</v>
      </c>
      <c r="AR421" s="652">
        <f>IF($B421="",,IF(LEFT($H421,5)="dummy",SUMIFS(AvgBase[Month 33],AvgBase[job_title],$H421),SUMIFS(AvgBase[Month 33],AvgBase[exp_item],$J421,AvgBase[company_name],$B421,AvgBase[bu_name],$C421,AvgBase[dept_name],$D421,AvgBase[team_consolidation],$K421,AvgBase[location_name],$G421,AvgBase[job_title],$H421))*(AR211+AQ211)/2*(1-AR316))</f>
        <v>0</v>
      </c>
      <c r="AS421" s="652">
        <f>IF($B421="",,IF(LEFT($H421,5)="dummy",SUMIFS(AvgBase[Month 34],AvgBase[job_title],$H421),SUMIFS(AvgBase[Month 34],AvgBase[exp_item],$J421,AvgBase[company_name],$B421,AvgBase[bu_name],$C421,AvgBase[dept_name],$D421,AvgBase[team_consolidation],$K421,AvgBase[location_name],$G421,AvgBase[job_title],$H421))*(AS211+AR211)/2*(1-AS316))</f>
        <v>0</v>
      </c>
      <c r="AT421" s="652">
        <f>IF($B421="",,IF(LEFT($H421,5)="dummy",SUMIFS(AvgBase[Month 35],AvgBase[job_title],$H421),SUMIFS(AvgBase[Month 35],AvgBase[exp_item],$J421,AvgBase[company_name],$B421,AvgBase[bu_name],$C421,AvgBase[dept_name],$D421,AvgBase[team_consolidation],$K421,AvgBase[location_name],$G421,AvgBase[job_title],$H421))*(AT211+AS211)/2*(1-AT316))</f>
        <v>0</v>
      </c>
      <c r="AU421" s="652">
        <f>IF($B421="",,IF(LEFT($H421,5)="dummy",SUMIFS(AvgBase[Month 36],AvgBase[job_title],$H421),SUMIFS(AvgBase[Month 36],AvgBase[exp_item],$J421,AvgBase[company_name],$B421,AvgBase[bu_name],$C421,AvgBase[dept_name],$D421,AvgBase[team_consolidation],$K421,AvgBase[location_name],$G421,AvgBase[job_title],$H421))*(AU211+AT211)/2*(1-AU316))</f>
        <v>0</v>
      </c>
    </row>
    <row r="422" spans="2:47" x14ac:dyDescent="0.35">
      <c r="B422" t="str">
        <f t="shared" si="277"/>
        <v/>
      </c>
      <c r="C422" t="str">
        <f t="shared" si="277"/>
        <v/>
      </c>
      <c r="D422" t="str">
        <f t="shared" si="277"/>
        <v/>
      </c>
      <c r="E422" t="str">
        <f t="shared" si="277"/>
        <v/>
      </c>
      <c r="F422" t="str">
        <f t="shared" si="277"/>
        <v/>
      </c>
      <c r="G422" t="str">
        <f t="shared" si="277"/>
        <v/>
      </c>
      <c r="H422" t="str">
        <f t="shared" si="274"/>
        <v/>
      </c>
      <c r="J422" t="str">
        <f>IF($H422="","",IF(VLOOKUP($B$395,ExpItems[],2,0),$B$395&amp;" - "&amp;INDEX(DivisionMapping[category_code],MATCH($D422&amp;$C422,DivisionMapping[dept_bu],0)),$B$395))</f>
        <v/>
      </c>
      <c r="K422" t="str">
        <f t="shared" si="275"/>
        <v/>
      </c>
      <c r="L422" s="652">
        <f>IF($B422="",,IF(LEFT($H422,5)="dummy",SUMIFS(AvgBase[Month 1],AvgBase[job_title],$H422),SUMIFS(AvgBase[Month 1],AvgBase[exp_item],$J422,AvgBase[company_name],$B422,AvgBase[bu_name],$C422,AvgBase[dept_name],$D422,AvgBase[team_consolidation],$K422,AvgBase[location_name],$G422,AvgBase[job_title],$H422))*L212/2*(1-L317))</f>
        <v>0</v>
      </c>
      <c r="M422" s="652">
        <f>IF($B422="",,IF(LEFT($H422,5)="dummy",SUMIFS(AvgBase[Month 2],AvgBase[job_title],$H422),SUMIFS(AvgBase[Month 2],AvgBase[exp_item],$J422,AvgBase[company_name],$B422,AvgBase[bu_name],$C422,AvgBase[dept_name],$D422,AvgBase[team_consolidation],$K422,AvgBase[location_name],$G422,AvgBase[job_title],$H422))*(M212+L212)/2*(1-M317))</f>
        <v>0</v>
      </c>
      <c r="N422" s="652">
        <f>IF($B422="",,IF(LEFT($H422,5)="dummy",SUMIFS(AvgBase[Month 3],AvgBase[job_title],$H422),SUMIFS(AvgBase[Month 3],AvgBase[exp_item],$J422,AvgBase[company_name],$B422,AvgBase[bu_name],$C422,AvgBase[dept_name],$D422,AvgBase[team_consolidation],$K422,AvgBase[location_name],$G422,AvgBase[job_title],$H422))*(N212+M212)/2*(1-N317))</f>
        <v>0</v>
      </c>
      <c r="O422" s="652">
        <f>IF($B422="",,IF(LEFT($H422,5)="dummy",SUMIFS(AvgBase[Month 4],AvgBase[job_title],$H422),SUMIFS(AvgBase[Month 4],AvgBase[exp_item],$J422,AvgBase[company_name],$B422,AvgBase[bu_name],$C422,AvgBase[dept_name],$D422,AvgBase[team_consolidation],$K422,AvgBase[location_name],$G422,AvgBase[job_title],$H422))*(O212+N212)/2*(1-O317))</f>
        <v>0</v>
      </c>
      <c r="P422" s="652">
        <f>IF($B422="",,IF(LEFT($H422,5)="dummy",SUMIFS(AvgBase[Month 5],AvgBase[job_title],$H422),SUMIFS(AvgBase[Month 5],AvgBase[exp_item],$J422,AvgBase[company_name],$B422,AvgBase[bu_name],$C422,AvgBase[dept_name],$D422,AvgBase[team_consolidation],$K422,AvgBase[location_name],$G422,AvgBase[job_title],$H422))*(P212+O212)/2*(1-P317))</f>
        <v>0</v>
      </c>
      <c r="Q422" s="652">
        <f>IF($B422="",,IF(LEFT($H422,5)="dummy",SUMIFS(AvgBase[Month 6],AvgBase[job_title],$H422),SUMIFS(AvgBase[Month 6],AvgBase[exp_item],$J422,AvgBase[company_name],$B422,AvgBase[bu_name],$C422,AvgBase[dept_name],$D422,AvgBase[team_consolidation],$K422,AvgBase[location_name],$G422,AvgBase[job_title],$H422))*(Q212+P212)/2*(1-Q317))</f>
        <v>0</v>
      </c>
      <c r="R422" s="652">
        <f>IF($B422="",,IF(LEFT($H422,5)="dummy",SUMIFS(AvgBase[Month 7],AvgBase[job_title],$H422),SUMIFS(AvgBase[Month 7],AvgBase[exp_item],$J422,AvgBase[company_name],$B422,AvgBase[bu_name],$C422,AvgBase[dept_name],$D422,AvgBase[team_consolidation],$K422,AvgBase[location_name],$G422,AvgBase[job_title],$H422))*(R212+Q212)/2*(1-R317))</f>
        <v>0</v>
      </c>
      <c r="S422" s="652">
        <f>IF($B422="",,IF(LEFT($H422,5)="dummy",SUMIFS(AvgBase[Month 8],AvgBase[job_title],$H422),SUMIFS(AvgBase[Month 8],AvgBase[exp_item],$J422,AvgBase[company_name],$B422,AvgBase[bu_name],$C422,AvgBase[dept_name],$D422,AvgBase[team_consolidation],$K422,AvgBase[location_name],$G422,AvgBase[job_title],$H422))*(S212+R212)/2*(1-S317))</f>
        <v>0</v>
      </c>
      <c r="T422" s="652">
        <f>IF($B422="",,IF(LEFT($H422,5)="dummy",SUMIFS(AvgBase[Month 9],AvgBase[job_title],$H422),SUMIFS(AvgBase[Month 9],AvgBase[exp_item],$J422,AvgBase[company_name],$B422,AvgBase[bu_name],$C422,AvgBase[dept_name],$D422,AvgBase[team_consolidation],$K422,AvgBase[location_name],$G422,AvgBase[job_title],$H422))*(T212+S212)/2*(1-T317))</f>
        <v>0</v>
      </c>
      <c r="U422" s="652">
        <f>IF($B422="",,IF(LEFT($H422,5)="dummy",SUMIFS(AvgBase[Month 10],AvgBase[job_title],$H422),SUMIFS(AvgBase[Month 10],AvgBase[exp_item],$J422,AvgBase[company_name],$B422,AvgBase[bu_name],$C422,AvgBase[dept_name],$D422,AvgBase[team_consolidation],$K422,AvgBase[location_name],$G422,AvgBase[job_title],$H422))*(U212+T212)/2*(1-U317))</f>
        <v>0</v>
      </c>
      <c r="V422" s="652">
        <f>IF($B422="",,IF(LEFT($H422,5)="dummy",SUMIFS(AvgBase[Month 11],AvgBase[job_title],$H422),SUMIFS(AvgBase[Month 11],AvgBase[exp_item],$J422,AvgBase[company_name],$B422,AvgBase[bu_name],$C422,AvgBase[dept_name],$D422,AvgBase[team_consolidation],$K422,AvgBase[location_name],$G422,AvgBase[job_title],$H422))*(V212+U212)/2*(1-V317))</f>
        <v>0</v>
      </c>
      <c r="W422" s="652">
        <f>IF($B422="",,IF(LEFT($H422,5)="dummy",SUMIFS(AvgBase[Month 12],AvgBase[job_title],$H422),SUMIFS(AvgBase[Month 12],AvgBase[exp_item],$J422,AvgBase[company_name],$B422,AvgBase[bu_name],$C422,AvgBase[dept_name],$D422,AvgBase[team_consolidation],$K422,AvgBase[location_name],$G422,AvgBase[job_title],$H422))*(W212+V212)/2*(1-W317))</f>
        <v>0</v>
      </c>
      <c r="X422" s="652">
        <f>IF($B422="",,IF(LEFT($H422,5)="dummy",SUMIFS(AvgBase[Month 13],AvgBase[job_title],$H422),SUMIFS(AvgBase[Month 13],AvgBase[exp_item],$J422,AvgBase[company_name],$B422,AvgBase[bu_name],$C422,AvgBase[dept_name],$D422,AvgBase[team_consolidation],$K422,AvgBase[location_name],$G422,AvgBase[job_title],$H422))*(X212+W212)/2*(1-X317))</f>
        <v>0</v>
      </c>
      <c r="Y422" s="652">
        <f>IF($B422="",,IF(LEFT($H422,5)="dummy",SUMIFS(AvgBase[Month 14],AvgBase[job_title],$H422),SUMIFS(AvgBase[Month 14],AvgBase[exp_item],$J422,AvgBase[company_name],$B422,AvgBase[bu_name],$C422,AvgBase[dept_name],$D422,AvgBase[team_consolidation],$K422,AvgBase[location_name],$G422,AvgBase[job_title],$H422))*(Y212+X212)/2*(1-Y317))</f>
        <v>0</v>
      </c>
      <c r="Z422" s="652">
        <f>IF($B422="",,IF(LEFT($H422,5)="dummy",SUMIFS(AvgBase[Month 15],AvgBase[job_title],$H422),SUMIFS(AvgBase[Month 15],AvgBase[exp_item],$J422,AvgBase[company_name],$B422,AvgBase[bu_name],$C422,AvgBase[dept_name],$D422,AvgBase[team_consolidation],$K422,AvgBase[location_name],$G422,AvgBase[job_title],$H422))*(Z212+Y212)/2*(1-Z317))</f>
        <v>0</v>
      </c>
      <c r="AA422" s="652">
        <f>IF($B422="",,IF(LEFT($H422,5)="dummy",SUMIFS(AvgBase[Month 16],AvgBase[job_title],$H422),SUMIFS(AvgBase[Month 16],AvgBase[exp_item],$J422,AvgBase[company_name],$B422,AvgBase[bu_name],$C422,AvgBase[dept_name],$D422,AvgBase[team_consolidation],$K422,AvgBase[location_name],$G422,AvgBase[job_title],$H422))*(AA212+Z212)/2*(1-AA317))</f>
        <v>0</v>
      </c>
      <c r="AB422" s="652">
        <f>IF($B422="",,IF(LEFT($H422,5)="dummy",SUMIFS(AvgBase[Month 17],AvgBase[job_title],$H422),SUMIFS(AvgBase[Month 17],AvgBase[exp_item],$J422,AvgBase[company_name],$B422,AvgBase[bu_name],$C422,AvgBase[dept_name],$D422,AvgBase[team_consolidation],$K422,AvgBase[location_name],$G422,AvgBase[job_title],$H422))*(AB212+AA212)/2*(1-AB317))</f>
        <v>0</v>
      </c>
      <c r="AC422" s="652">
        <f>IF($B422="",,IF(LEFT($H422,5)="dummy",SUMIFS(AvgBase[Month 18],AvgBase[job_title],$H422),SUMIFS(AvgBase[Month 18],AvgBase[exp_item],$J422,AvgBase[company_name],$B422,AvgBase[bu_name],$C422,AvgBase[dept_name],$D422,AvgBase[team_consolidation],$K422,AvgBase[location_name],$G422,AvgBase[job_title],$H422))*(AC212+AB212)/2*(1-AC317))</f>
        <v>0</v>
      </c>
      <c r="AD422" s="652">
        <f>IF($B422="",,IF(LEFT($H422,5)="dummy",SUMIFS(AvgBase[Month 19],AvgBase[job_title],$H422),SUMIFS(AvgBase[Month 19],AvgBase[exp_item],$J422,AvgBase[company_name],$B422,AvgBase[bu_name],$C422,AvgBase[dept_name],$D422,AvgBase[team_consolidation],$K422,AvgBase[location_name],$G422,AvgBase[job_title],$H422))*(AD212+AC212)/2*(1-AD317))</f>
        <v>0</v>
      </c>
      <c r="AE422" s="652">
        <f>IF($B422="",,IF(LEFT($H422,5)="dummy",SUMIFS(AvgBase[Month 20],AvgBase[job_title],$H422),SUMIFS(AvgBase[Month 20],AvgBase[exp_item],$J422,AvgBase[company_name],$B422,AvgBase[bu_name],$C422,AvgBase[dept_name],$D422,AvgBase[team_consolidation],$K422,AvgBase[location_name],$G422,AvgBase[job_title],$H422))*(AE212+AD212)/2*(1-AE317))</f>
        <v>0</v>
      </c>
      <c r="AF422" s="652">
        <f>IF($B422="",,IF(LEFT($H422,5)="dummy",SUMIFS(AvgBase[Month 21],AvgBase[job_title],$H422),SUMIFS(AvgBase[Month 21],AvgBase[exp_item],$J422,AvgBase[company_name],$B422,AvgBase[bu_name],$C422,AvgBase[dept_name],$D422,AvgBase[team_consolidation],$K422,AvgBase[location_name],$G422,AvgBase[job_title],$H422))*(AF212+AE212)/2*(1-AF317))</f>
        <v>0</v>
      </c>
      <c r="AG422" s="652">
        <f>IF($B422="",,IF(LEFT($H422,5)="dummy",SUMIFS(AvgBase[Month 22],AvgBase[job_title],$H422),SUMIFS(AvgBase[Month 22],AvgBase[exp_item],$J422,AvgBase[company_name],$B422,AvgBase[bu_name],$C422,AvgBase[dept_name],$D422,AvgBase[team_consolidation],$K422,AvgBase[location_name],$G422,AvgBase[job_title],$H422))*(AG212+AF212)/2*(1-AG317))</f>
        <v>0</v>
      </c>
      <c r="AH422" s="652">
        <f>IF($B422="",,IF(LEFT($H422,5)="dummy",SUMIFS(AvgBase[Month 23],AvgBase[job_title],$H422),SUMIFS(AvgBase[Month 23],AvgBase[exp_item],$J422,AvgBase[company_name],$B422,AvgBase[bu_name],$C422,AvgBase[dept_name],$D422,AvgBase[team_consolidation],$K422,AvgBase[location_name],$G422,AvgBase[job_title],$H422))*(AH212+AG212)/2*(1-AH317))</f>
        <v>0</v>
      </c>
      <c r="AI422" s="652">
        <f>IF($B422="",,IF(LEFT($H422,5)="dummy",SUMIFS(AvgBase[Month 24],AvgBase[job_title],$H422),SUMIFS(AvgBase[Month 24],AvgBase[exp_item],$J422,AvgBase[company_name],$B422,AvgBase[bu_name],$C422,AvgBase[dept_name],$D422,AvgBase[team_consolidation],$K422,AvgBase[location_name],$G422,AvgBase[job_title],$H422))*(AI212+AH212)/2*(1-AI317))</f>
        <v>0</v>
      </c>
      <c r="AJ422" s="652">
        <f>IF($B422="",,IF(LEFT($H422,5)="dummy",SUMIFS(AvgBase[Month 25],AvgBase[job_title],$H422),SUMIFS(AvgBase[Month 25],AvgBase[exp_item],$J422,AvgBase[company_name],$B422,AvgBase[bu_name],$C422,AvgBase[dept_name],$D422,AvgBase[team_consolidation],$K422,AvgBase[location_name],$G422,AvgBase[job_title],$H422))*(AJ212+AI212)/2*(1-AJ317))</f>
        <v>0</v>
      </c>
      <c r="AK422" s="652">
        <f>IF($B422="",,IF(LEFT($H422,5)="dummy",SUMIFS(AvgBase[Month 26],AvgBase[job_title],$H422),SUMIFS(AvgBase[Month 26],AvgBase[exp_item],$J422,AvgBase[company_name],$B422,AvgBase[bu_name],$C422,AvgBase[dept_name],$D422,AvgBase[team_consolidation],$K422,AvgBase[location_name],$G422,AvgBase[job_title],$H422))*(AK212+AJ212)/2*(1-AK317))</f>
        <v>0</v>
      </c>
      <c r="AL422" s="652">
        <f>IF($B422="",,IF(LEFT($H422,5)="dummy",SUMIFS(AvgBase[Month 27],AvgBase[job_title],$H422),SUMIFS(AvgBase[Month 27],AvgBase[exp_item],$J422,AvgBase[company_name],$B422,AvgBase[bu_name],$C422,AvgBase[dept_name],$D422,AvgBase[team_consolidation],$K422,AvgBase[location_name],$G422,AvgBase[job_title],$H422))*(AL212+AK212)/2*(1-AL317))</f>
        <v>0</v>
      </c>
      <c r="AM422" s="652">
        <f>IF($B422="",,IF(LEFT($H422,5)="dummy",SUMIFS(AvgBase[Month 28],AvgBase[job_title],$H422),SUMIFS(AvgBase[Month 28],AvgBase[exp_item],$J422,AvgBase[company_name],$B422,AvgBase[bu_name],$C422,AvgBase[dept_name],$D422,AvgBase[team_consolidation],$K422,AvgBase[location_name],$G422,AvgBase[job_title],$H422))*(AM212+AL212)/2*(1-AM317))</f>
        <v>0</v>
      </c>
      <c r="AN422" s="652">
        <f>IF($B422="",,IF(LEFT($H422,5)="dummy",SUMIFS(AvgBase[Month 29],AvgBase[job_title],$H422),SUMIFS(AvgBase[Month 29],AvgBase[exp_item],$J422,AvgBase[company_name],$B422,AvgBase[bu_name],$C422,AvgBase[dept_name],$D422,AvgBase[team_consolidation],$K422,AvgBase[location_name],$G422,AvgBase[job_title],$H422))*(AN212+AM212)/2*(1-AN317))</f>
        <v>0</v>
      </c>
      <c r="AO422" s="652">
        <f>IF($B422="",,IF(LEFT($H422,5)="dummy",SUMIFS(AvgBase[Month 30],AvgBase[job_title],$H422),SUMIFS(AvgBase[Month 30],AvgBase[exp_item],$J422,AvgBase[company_name],$B422,AvgBase[bu_name],$C422,AvgBase[dept_name],$D422,AvgBase[team_consolidation],$K422,AvgBase[location_name],$G422,AvgBase[job_title],$H422))*(AO212+AN212)/2*(1-AO317))</f>
        <v>0</v>
      </c>
      <c r="AP422" s="652">
        <f>IF($B422="",,IF(LEFT($H422,5)="dummy",SUMIFS(AvgBase[Month 31],AvgBase[job_title],$H422),SUMIFS(AvgBase[Month 31],AvgBase[exp_item],$J422,AvgBase[company_name],$B422,AvgBase[bu_name],$C422,AvgBase[dept_name],$D422,AvgBase[team_consolidation],$K422,AvgBase[location_name],$G422,AvgBase[job_title],$H422))*(AP212+AO212)/2*(1-AP317))</f>
        <v>0</v>
      </c>
      <c r="AQ422" s="652">
        <f>IF($B422="",,IF(LEFT($H422,5)="dummy",SUMIFS(AvgBase[Month 32],AvgBase[job_title],$H422),SUMIFS(AvgBase[Month 32],AvgBase[exp_item],$J422,AvgBase[company_name],$B422,AvgBase[bu_name],$C422,AvgBase[dept_name],$D422,AvgBase[team_consolidation],$K422,AvgBase[location_name],$G422,AvgBase[job_title],$H422))*(AQ212+AP212)/2*(1-AQ317))</f>
        <v>0</v>
      </c>
      <c r="AR422" s="652">
        <f>IF($B422="",,IF(LEFT($H422,5)="dummy",SUMIFS(AvgBase[Month 33],AvgBase[job_title],$H422),SUMIFS(AvgBase[Month 33],AvgBase[exp_item],$J422,AvgBase[company_name],$B422,AvgBase[bu_name],$C422,AvgBase[dept_name],$D422,AvgBase[team_consolidation],$K422,AvgBase[location_name],$G422,AvgBase[job_title],$H422))*(AR212+AQ212)/2*(1-AR317))</f>
        <v>0</v>
      </c>
      <c r="AS422" s="652">
        <f>IF($B422="",,IF(LEFT($H422,5)="dummy",SUMIFS(AvgBase[Month 34],AvgBase[job_title],$H422),SUMIFS(AvgBase[Month 34],AvgBase[exp_item],$J422,AvgBase[company_name],$B422,AvgBase[bu_name],$C422,AvgBase[dept_name],$D422,AvgBase[team_consolidation],$K422,AvgBase[location_name],$G422,AvgBase[job_title],$H422))*(AS212+AR212)/2*(1-AS317))</f>
        <v>0</v>
      </c>
      <c r="AT422" s="652">
        <f>IF($B422="",,IF(LEFT($H422,5)="dummy",SUMIFS(AvgBase[Month 35],AvgBase[job_title],$H422),SUMIFS(AvgBase[Month 35],AvgBase[exp_item],$J422,AvgBase[company_name],$B422,AvgBase[bu_name],$C422,AvgBase[dept_name],$D422,AvgBase[team_consolidation],$K422,AvgBase[location_name],$G422,AvgBase[job_title],$H422))*(AT212+AS212)/2*(1-AT317))</f>
        <v>0</v>
      </c>
      <c r="AU422" s="652">
        <f>IF($B422="",,IF(LEFT($H422,5)="dummy",SUMIFS(AvgBase[Month 36],AvgBase[job_title],$H422),SUMIFS(AvgBase[Month 36],AvgBase[exp_item],$J422,AvgBase[company_name],$B422,AvgBase[bu_name],$C422,AvgBase[dept_name],$D422,AvgBase[team_consolidation],$K422,AvgBase[location_name],$G422,AvgBase[job_title],$H422))*(AU212+AT212)/2*(1-AU317))</f>
        <v>0</v>
      </c>
    </row>
    <row r="423" spans="2:47" x14ac:dyDescent="0.35">
      <c r="B423" t="str">
        <f t="shared" si="277"/>
        <v/>
      </c>
      <c r="C423" t="str">
        <f t="shared" si="277"/>
        <v/>
      </c>
      <c r="D423" t="str">
        <f t="shared" si="277"/>
        <v/>
      </c>
      <c r="E423" t="str">
        <f t="shared" si="277"/>
        <v/>
      </c>
      <c r="F423" t="str">
        <f t="shared" si="277"/>
        <v/>
      </c>
      <c r="G423" t="str">
        <f t="shared" si="277"/>
        <v/>
      </c>
      <c r="H423" t="str">
        <f t="shared" si="274"/>
        <v/>
      </c>
      <c r="J423" t="str">
        <f>IF($H423="","",IF(VLOOKUP($B$395,ExpItems[],2,0),$B$395&amp;" - "&amp;INDEX(DivisionMapping[category_code],MATCH($D423&amp;$C423,DivisionMapping[dept_bu],0)),$B$395))</f>
        <v/>
      </c>
      <c r="K423" t="str">
        <f t="shared" si="275"/>
        <v/>
      </c>
      <c r="L423" s="652">
        <f>IF($B423="",,IF(LEFT($H423,5)="dummy",SUMIFS(AvgBase[Month 1],AvgBase[job_title],$H423),SUMIFS(AvgBase[Month 1],AvgBase[exp_item],$J423,AvgBase[company_name],$B423,AvgBase[bu_name],$C423,AvgBase[dept_name],$D423,AvgBase[team_consolidation],$K423,AvgBase[location_name],$G423,AvgBase[job_title],$H423))*L213/2*(1-L318))</f>
        <v>0</v>
      </c>
      <c r="M423" s="652">
        <f>IF($B423="",,IF(LEFT($H423,5)="dummy",SUMIFS(AvgBase[Month 2],AvgBase[job_title],$H423),SUMIFS(AvgBase[Month 2],AvgBase[exp_item],$J423,AvgBase[company_name],$B423,AvgBase[bu_name],$C423,AvgBase[dept_name],$D423,AvgBase[team_consolidation],$K423,AvgBase[location_name],$G423,AvgBase[job_title],$H423))*(M213+L213)/2*(1-M318))</f>
        <v>0</v>
      </c>
      <c r="N423" s="652">
        <f>IF($B423="",,IF(LEFT($H423,5)="dummy",SUMIFS(AvgBase[Month 3],AvgBase[job_title],$H423),SUMIFS(AvgBase[Month 3],AvgBase[exp_item],$J423,AvgBase[company_name],$B423,AvgBase[bu_name],$C423,AvgBase[dept_name],$D423,AvgBase[team_consolidation],$K423,AvgBase[location_name],$G423,AvgBase[job_title],$H423))*(N213+M213)/2*(1-N318))</f>
        <v>0</v>
      </c>
      <c r="O423" s="652">
        <f>IF($B423="",,IF(LEFT($H423,5)="dummy",SUMIFS(AvgBase[Month 4],AvgBase[job_title],$H423),SUMIFS(AvgBase[Month 4],AvgBase[exp_item],$J423,AvgBase[company_name],$B423,AvgBase[bu_name],$C423,AvgBase[dept_name],$D423,AvgBase[team_consolidation],$K423,AvgBase[location_name],$G423,AvgBase[job_title],$H423))*(O213+N213)/2*(1-O318))</f>
        <v>0</v>
      </c>
      <c r="P423" s="652">
        <f>IF($B423="",,IF(LEFT($H423,5)="dummy",SUMIFS(AvgBase[Month 5],AvgBase[job_title],$H423),SUMIFS(AvgBase[Month 5],AvgBase[exp_item],$J423,AvgBase[company_name],$B423,AvgBase[bu_name],$C423,AvgBase[dept_name],$D423,AvgBase[team_consolidation],$K423,AvgBase[location_name],$G423,AvgBase[job_title],$H423))*(P213+O213)/2*(1-P318))</f>
        <v>0</v>
      </c>
      <c r="Q423" s="652">
        <f>IF($B423="",,IF(LEFT($H423,5)="dummy",SUMIFS(AvgBase[Month 6],AvgBase[job_title],$H423),SUMIFS(AvgBase[Month 6],AvgBase[exp_item],$J423,AvgBase[company_name],$B423,AvgBase[bu_name],$C423,AvgBase[dept_name],$D423,AvgBase[team_consolidation],$K423,AvgBase[location_name],$G423,AvgBase[job_title],$H423))*(Q213+P213)/2*(1-Q318))</f>
        <v>0</v>
      </c>
      <c r="R423" s="652">
        <f>IF($B423="",,IF(LEFT($H423,5)="dummy",SUMIFS(AvgBase[Month 7],AvgBase[job_title],$H423),SUMIFS(AvgBase[Month 7],AvgBase[exp_item],$J423,AvgBase[company_name],$B423,AvgBase[bu_name],$C423,AvgBase[dept_name],$D423,AvgBase[team_consolidation],$K423,AvgBase[location_name],$G423,AvgBase[job_title],$H423))*(R213+Q213)/2*(1-R318))</f>
        <v>0</v>
      </c>
      <c r="S423" s="652">
        <f>IF($B423="",,IF(LEFT($H423,5)="dummy",SUMIFS(AvgBase[Month 8],AvgBase[job_title],$H423),SUMIFS(AvgBase[Month 8],AvgBase[exp_item],$J423,AvgBase[company_name],$B423,AvgBase[bu_name],$C423,AvgBase[dept_name],$D423,AvgBase[team_consolidation],$K423,AvgBase[location_name],$G423,AvgBase[job_title],$H423))*(S213+R213)/2*(1-S318))</f>
        <v>0</v>
      </c>
      <c r="T423" s="652">
        <f>IF($B423="",,IF(LEFT($H423,5)="dummy",SUMIFS(AvgBase[Month 9],AvgBase[job_title],$H423),SUMIFS(AvgBase[Month 9],AvgBase[exp_item],$J423,AvgBase[company_name],$B423,AvgBase[bu_name],$C423,AvgBase[dept_name],$D423,AvgBase[team_consolidation],$K423,AvgBase[location_name],$G423,AvgBase[job_title],$H423))*(T213+S213)/2*(1-T318))</f>
        <v>0</v>
      </c>
      <c r="U423" s="652">
        <f>IF($B423="",,IF(LEFT($H423,5)="dummy",SUMIFS(AvgBase[Month 10],AvgBase[job_title],$H423),SUMIFS(AvgBase[Month 10],AvgBase[exp_item],$J423,AvgBase[company_name],$B423,AvgBase[bu_name],$C423,AvgBase[dept_name],$D423,AvgBase[team_consolidation],$K423,AvgBase[location_name],$G423,AvgBase[job_title],$H423))*(U213+T213)/2*(1-U318))</f>
        <v>0</v>
      </c>
      <c r="V423" s="652">
        <f>IF($B423="",,IF(LEFT($H423,5)="dummy",SUMIFS(AvgBase[Month 11],AvgBase[job_title],$H423),SUMIFS(AvgBase[Month 11],AvgBase[exp_item],$J423,AvgBase[company_name],$B423,AvgBase[bu_name],$C423,AvgBase[dept_name],$D423,AvgBase[team_consolidation],$K423,AvgBase[location_name],$G423,AvgBase[job_title],$H423))*(V213+U213)/2*(1-V318))</f>
        <v>0</v>
      </c>
      <c r="W423" s="652">
        <f>IF($B423="",,IF(LEFT($H423,5)="dummy",SUMIFS(AvgBase[Month 12],AvgBase[job_title],$H423),SUMIFS(AvgBase[Month 12],AvgBase[exp_item],$J423,AvgBase[company_name],$B423,AvgBase[bu_name],$C423,AvgBase[dept_name],$D423,AvgBase[team_consolidation],$K423,AvgBase[location_name],$G423,AvgBase[job_title],$H423))*(W213+V213)/2*(1-W318))</f>
        <v>0</v>
      </c>
      <c r="X423" s="652">
        <f>IF($B423="",,IF(LEFT($H423,5)="dummy",SUMIFS(AvgBase[Month 13],AvgBase[job_title],$H423),SUMIFS(AvgBase[Month 13],AvgBase[exp_item],$J423,AvgBase[company_name],$B423,AvgBase[bu_name],$C423,AvgBase[dept_name],$D423,AvgBase[team_consolidation],$K423,AvgBase[location_name],$G423,AvgBase[job_title],$H423))*(X213+W213)/2*(1-X318))</f>
        <v>0</v>
      </c>
      <c r="Y423" s="652">
        <f>IF($B423="",,IF(LEFT($H423,5)="dummy",SUMIFS(AvgBase[Month 14],AvgBase[job_title],$H423),SUMIFS(AvgBase[Month 14],AvgBase[exp_item],$J423,AvgBase[company_name],$B423,AvgBase[bu_name],$C423,AvgBase[dept_name],$D423,AvgBase[team_consolidation],$K423,AvgBase[location_name],$G423,AvgBase[job_title],$H423))*(Y213+X213)/2*(1-Y318))</f>
        <v>0</v>
      </c>
      <c r="Z423" s="652">
        <f>IF($B423="",,IF(LEFT($H423,5)="dummy",SUMIFS(AvgBase[Month 15],AvgBase[job_title],$H423),SUMIFS(AvgBase[Month 15],AvgBase[exp_item],$J423,AvgBase[company_name],$B423,AvgBase[bu_name],$C423,AvgBase[dept_name],$D423,AvgBase[team_consolidation],$K423,AvgBase[location_name],$G423,AvgBase[job_title],$H423))*(Z213+Y213)/2*(1-Z318))</f>
        <v>0</v>
      </c>
      <c r="AA423" s="652">
        <f>IF($B423="",,IF(LEFT($H423,5)="dummy",SUMIFS(AvgBase[Month 16],AvgBase[job_title],$H423),SUMIFS(AvgBase[Month 16],AvgBase[exp_item],$J423,AvgBase[company_name],$B423,AvgBase[bu_name],$C423,AvgBase[dept_name],$D423,AvgBase[team_consolidation],$K423,AvgBase[location_name],$G423,AvgBase[job_title],$H423))*(AA213+Z213)/2*(1-AA318))</f>
        <v>0</v>
      </c>
      <c r="AB423" s="652">
        <f>IF($B423="",,IF(LEFT($H423,5)="dummy",SUMIFS(AvgBase[Month 17],AvgBase[job_title],$H423),SUMIFS(AvgBase[Month 17],AvgBase[exp_item],$J423,AvgBase[company_name],$B423,AvgBase[bu_name],$C423,AvgBase[dept_name],$D423,AvgBase[team_consolidation],$K423,AvgBase[location_name],$G423,AvgBase[job_title],$H423))*(AB213+AA213)/2*(1-AB318))</f>
        <v>0</v>
      </c>
      <c r="AC423" s="652">
        <f>IF($B423="",,IF(LEFT($H423,5)="dummy",SUMIFS(AvgBase[Month 18],AvgBase[job_title],$H423),SUMIFS(AvgBase[Month 18],AvgBase[exp_item],$J423,AvgBase[company_name],$B423,AvgBase[bu_name],$C423,AvgBase[dept_name],$D423,AvgBase[team_consolidation],$K423,AvgBase[location_name],$G423,AvgBase[job_title],$H423))*(AC213+AB213)/2*(1-AC318))</f>
        <v>0</v>
      </c>
      <c r="AD423" s="652">
        <f>IF($B423="",,IF(LEFT($H423,5)="dummy",SUMIFS(AvgBase[Month 19],AvgBase[job_title],$H423),SUMIFS(AvgBase[Month 19],AvgBase[exp_item],$J423,AvgBase[company_name],$B423,AvgBase[bu_name],$C423,AvgBase[dept_name],$D423,AvgBase[team_consolidation],$K423,AvgBase[location_name],$G423,AvgBase[job_title],$H423))*(AD213+AC213)/2*(1-AD318))</f>
        <v>0</v>
      </c>
      <c r="AE423" s="652">
        <f>IF($B423="",,IF(LEFT($H423,5)="dummy",SUMIFS(AvgBase[Month 20],AvgBase[job_title],$H423),SUMIFS(AvgBase[Month 20],AvgBase[exp_item],$J423,AvgBase[company_name],$B423,AvgBase[bu_name],$C423,AvgBase[dept_name],$D423,AvgBase[team_consolidation],$K423,AvgBase[location_name],$G423,AvgBase[job_title],$H423))*(AE213+AD213)/2*(1-AE318))</f>
        <v>0</v>
      </c>
      <c r="AF423" s="652">
        <f>IF($B423="",,IF(LEFT($H423,5)="dummy",SUMIFS(AvgBase[Month 21],AvgBase[job_title],$H423),SUMIFS(AvgBase[Month 21],AvgBase[exp_item],$J423,AvgBase[company_name],$B423,AvgBase[bu_name],$C423,AvgBase[dept_name],$D423,AvgBase[team_consolidation],$K423,AvgBase[location_name],$G423,AvgBase[job_title],$H423))*(AF213+AE213)/2*(1-AF318))</f>
        <v>0</v>
      </c>
      <c r="AG423" s="652">
        <f>IF($B423="",,IF(LEFT($H423,5)="dummy",SUMIFS(AvgBase[Month 22],AvgBase[job_title],$H423),SUMIFS(AvgBase[Month 22],AvgBase[exp_item],$J423,AvgBase[company_name],$B423,AvgBase[bu_name],$C423,AvgBase[dept_name],$D423,AvgBase[team_consolidation],$K423,AvgBase[location_name],$G423,AvgBase[job_title],$H423))*(AG213+AF213)/2*(1-AG318))</f>
        <v>0</v>
      </c>
      <c r="AH423" s="652">
        <f>IF($B423="",,IF(LEFT($H423,5)="dummy",SUMIFS(AvgBase[Month 23],AvgBase[job_title],$H423),SUMIFS(AvgBase[Month 23],AvgBase[exp_item],$J423,AvgBase[company_name],$B423,AvgBase[bu_name],$C423,AvgBase[dept_name],$D423,AvgBase[team_consolidation],$K423,AvgBase[location_name],$G423,AvgBase[job_title],$H423))*(AH213+AG213)/2*(1-AH318))</f>
        <v>0</v>
      </c>
      <c r="AI423" s="652">
        <f>IF($B423="",,IF(LEFT($H423,5)="dummy",SUMIFS(AvgBase[Month 24],AvgBase[job_title],$H423),SUMIFS(AvgBase[Month 24],AvgBase[exp_item],$J423,AvgBase[company_name],$B423,AvgBase[bu_name],$C423,AvgBase[dept_name],$D423,AvgBase[team_consolidation],$K423,AvgBase[location_name],$G423,AvgBase[job_title],$H423))*(AI213+AH213)/2*(1-AI318))</f>
        <v>0</v>
      </c>
      <c r="AJ423" s="652">
        <f>IF($B423="",,IF(LEFT($H423,5)="dummy",SUMIFS(AvgBase[Month 25],AvgBase[job_title],$H423),SUMIFS(AvgBase[Month 25],AvgBase[exp_item],$J423,AvgBase[company_name],$B423,AvgBase[bu_name],$C423,AvgBase[dept_name],$D423,AvgBase[team_consolidation],$K423,AvgBase[location_name],$G423,AvgBase[job_title],$H423))*(AJ213+AI213)/2*(1-AJ318))</f>
        <v>0</v>
      </c>
      <c r="AK423" s="652">
        <f>IF($B423="",,IF(LEFT($H423,5)="dummy",SUMIFS(AvgBase[Month 26],AvgBase[job_title],$H423),SUMIFS(AvgBase[Month 26],AvgBase[exp_item],$J423,AvgBase[company_name],$B423,AvgBase[bu_name],$C423,AvgBase[dept_name],$D423,AvgBase[team_consolidation],$K423,AvgBase[location_name],$G423,AvgBase[job_title],$H423))*(AK213+AJ213)/2*(1-AK318))</f>
        <v>0</v>
      </c>
      <c r="AL423" s="652">
        <f>IF($B423="",,IF(LEFT($H423,5)="dummy",SUMIFS(AvgBase[Month 27],AvgBase[job_title],$H423),SUMIFS(AvgBase[Month 27],AvgBase[exp_item],$J423,AvgBase[company_name],$B423,AvgBase[bu_name],$C423,AvgBase[dept_name],$D423,AvgBase[team_consolidation],$K423,AvgBase[location_name],$G423,AvgBase[job_title],$H423))*(AL213+AK213)/2*(1-AL318))</f>
        <v>0</v>
      </c>
      <c r="AM423" s="652">
        <f>IF($B423="",,IF(LEFT($H423,5)="dummy",SUMIFS(AvgBase[Month 28],AvgBase[job_title],$H423),SUMIFS(AvgBase[Month 28],AvgBase[exp_item],$J423,AvgBase[company_name],$B423,AvgBase[bu_name],$C423,AvgBase[dept_name],$D423,AvgBase[team_consolidation],$K423,AvgBase[location_name],$G423,AvgBase[job_title],$H423))*(AM213+AL213)/2*(1-AM318))</f>
        <v>0</v>
      </c>
      <c r="AN423" s="652">
        <f>IF($B423="",,IF(LEFT($H423,5)="dummy",SUMIFS(AvgBase[Month 29],AvgBase[job_title],$H423),SUMIFS(AvgBase[Month 29],AvgBase[exp_item],$J423,AvgBase[company_name],$B423,AvgBase[bu_name],$C423,AvgBase[dept_name],$D423,AvgBase[team_consolidation],$K423,AvgBase[location_name],$G423,AvgBase[job_title],$H423))*(AN213+AM213)/2*(1-AN318))</f>
        <v>0</v>
      </c>
      <c r="AO423" s="652">
        <f>IF($B423="",,IF(LEFT($H423,5)="dummy",SUMIFS(AvgBase[Month 30],AvgBase[job_title],$H423),SUMIFS(AvgBase[Month 30],AvgBase[exp_item],$J423,AvgBase[company_name],$B423,AvgBase[bu_name],$C423,AvgBase[dept_name],$D423,AvgBase[team_consolidation],$K423,AvgBase[location_name],$G423,AvgBase[job_title],$H423))*(AO213+AN213)/2*(1-AO318))</f>
        <v>0</v>
      </c>
      <c r="AP423" s="652">
        <f>IF($B423="",,IF(LEFT($H423,5)="dummy",SUMIFS(AvgBase[Month 31],AvgBase[job_title],$H423),SUMIFS(AvgBase[Month 31],AvgBase[exp_item],$J423,AvgBase[company_name],$B423,AvgBase[bu_name],$C423,AvgBase[dept_name],$D423,AvgBase[team_consolidation],$K423,AvgBase[location_name],$G423,AvgBase[job_title],$H423))*(AP213+AO213)/2*(1-AP318))</f>
        <v>0</v>
      </c>
      <c r="AQ423" s="652">
        <f>IF($B423="",,IF(LEFT($H423,5)="dummy",SUMIFS(AvgBase[Month 32],AvgBase[job_title],$H423),SUMIFS(AvgBase[Month 32],AvgBase[exp_item],$J423,AvgBase[company_name],$B423,AvgBase[bu_name],$C423,AvgBase[dept_name],$D423,AvgBase[team_consolidation],$K423,AvgBase[location_name],$G423,AvgBase[job_title],$H423))*(AQ213+AP213)/2*(1-AQ318))</f>
        <v>0</v>
      </c>
      <c r="AR423" s="652">
        <f>IF($B423="",,IF(LEFT($H423,5)="dummy",SUMIFS(AvgBase[Month 33],AvgBase[job_title],$H423),SUMIFS(AvgBase[Month 33],AvgBase[exp_item],$J423,AvgBase[company_name],$B423,AvgBase[bu_name],$C423,AvgBase[dept_name],$D423,AvgBase[team_consolidation],$K423,AvgBase[location_name],$G423,AvgBase[job_title],$H423))*(AR213+AQ213)/2*(1-AR318))</f>
        <v>0</v>
      </c>
      <c r="AS423" s="652">
        <f>IF($B423="",,IF(LEFT($H423,5)="dummy",SUMIFS(AvgBase[Month 34],AvgBase[job_title],$H423),SUMIFS(AvgBase[Month 34],AvgBase[exp_item],$J423,AvgBase[company_name],$B423,AvgBase[bu_name],$C423,AvgBase[dept_name],$D423,AvgBase[team_consolidation],$K423,AvgBase[location_name],$G423,AvgBase[job_title],$H423))*(AS213+AR213)/2*(1-AS318))</f>
        <v>0</v>
      </c>
      <c r="AT423" s="652">
        <f>IF($B423="",,IF(LEFT($H423,5)="dummy",SUMIFS(AvgBase[Month 35],AvgBase[job_title],$H423),SUMIFS(AvgBase[Month 35],AvgBase[exp_item],$J423,AvgBase[company_name],$B423,AvgBase[bu_name],$C423,AvgBase[dept_name],$D423,AvgBase[team_consolidation],$K423,AvgBase[location_name],$G423,AvgBase[job_title],$H423))*(AT213+AS213)/2*(1-AT318))</f>
        <v>0</v>
      </c>
      <c r="AU423" s="652">
        <f>IF($B423="",,IF(LEFT($H423,5)="dummy",SUMIFS(AvgBase[Month 36],AvgBase[job_title],$H423),SUMIFS(AvgBase[Month 36],AvgBase[exp_item],$J423,AvgBase[company_name],$B423,AvgBase[bu_name],$C423,AvgBase[dept_name],$D423,AvgBase[team_consolidation],$K423,AvgBase[location_name],$G423,AvgBase[job_title],$H423))*(AU213+AT213)/2*(1-AU318))</f>
        <v>0</v>
      </c>
    </row>
    <row r="424" spans="2:47" x14ac:dyDescent="0.35">
      <c r="B424" t="str">
        <f t="shared" si="277"/>
        <v/>
      </c>
      <c r="C424" t="str">
        <f t="shared" si="277"/>
        <v/>
      </c>
      <c r="D424" t="str">
        <f t="shared" si="277"/>
        <v/>
      </c>
      <c r="E424" t="str">
        <f t="shared" si="277"/>
        <v/>
      </c>
      <c r="F424" t="str">
        <f t="shared" si="277"/>
        <v/>
      </c>
      <c r="G424" t="str">
        <f t="shared" si="277"/>
        <v/>
      </c>
      <c r="H424" t="str">
        <f t="shared" si="274"/>
        <v/>
      </c>
      <c r="J424" t="str">
        <f>IF($H424="","",IF(VLOOKUP($B$395,ExpItems[],2,0),$B$395&amp;" - "&amp;INDEX(DivisionMapping[category_code],MATCH($D424&amp;$C424,DivisionMapping[dept_bu],0)),$B$395))</f>
        <v/>
      </c>
      <c r="K424" t="str">
        <f t="shared" si="275"/>
        <v/>
      </c>
      <c r="L424" s="652">
        <f>IF($B424="",,IF(LEFT($H424,5)="dummy",SUMIFS(AvgBase[Month 1],AvgBase[job_title],$H424),SUMIFS(AvgBase[Month 1],AvgBase[exp_item],$J424,AvgBase[company_name],$B424,AvgBase[bu_name],$C424,AvgBase[dept_name],$D424,AvgBase[team_consolidation],$K424,AvgBase[location_name],$G424,AvgBase[job_title],$H424))*L214/2*(1-L319))</f>
        <v>0</v>
      </c>
      <c r="M424" s="652">
        <f>IF($B424="",,IF(LEFT($H424,5)="dummy",SUMIFS(AvgBase[Month 2],AvgBase[job_title],$H424),SUMIFS(AvgBase[Month 2],AvgBase[exp_item],$J424,AvgBase[company_name],$B424,AvgBase[bu_name],$C424,AvgBase[dept_name],$D424,AvgBase[team_consolidation],$K424,AvgBase[location_name],$G424,AvgBase[job_title],$H424))*(M214+L214)/2*(1-M319))</f>
        <v>0</v>
      </c>
      <c r="N424" s="652">
        <f>IF($B424="",,IF(LEFT($H424,5)="dummy",SUMIFS(AvgBase[Month 3],AvgBase[job_title],$H424),SUMIFS(AvgBase[Month 3],AvgBase[exp_item],$J424,AvgBase[company_name],$B424,AvgBase[bu_name],$C424,AvgBase[dept_name],$D424,AvgBase[team_consolidation],$K424,AvgBase[location_name],$G424,AvgBase[job_title],$H424))*(N214+M214)/2*(1-N319))</f>
        <v>0</v>
      </c>
      <c r="O424" s="652">
        <f>IF($B424="",,IF(LEFT($H424,5)="dummy",SUMIFS(AvgBase[Month 4],AvgBase[job_title],$H424),SUMIFS(AvgBase[Month 4],AvgBase[exp_item],$J424,AvgBase[company_name],$B424,AvgBase[bu_name],$C424,AvgBase[dept_name],$D424,AvgBase[team_consolidation],$K424,AvgBase[location_name],$G424,AvgBase[job_title],$H424))*(O214+N214)/2*(1-O319))</f>
        <v>0</v>
      </c>
      <c r="P424" s="652">
        <f>IF($B424="",,IF(LEFT($H424,5)="dummy",SUMIFS(AvgBase[Month 5],AvgBase[job_title],$H424),SUMIFS(AvgBase[Month 5],AvgBase[exp_item],$J424,AvgBase[company_name],$B424,AvgBase[bu_name],$C424,AvgBase[dept_name],$D424,AvgBase[team_consolidation],$K424,AvgBase[location_name],$G424,AvgBase[job_title],$H424))*(P214+O214)/2*(1-P319))</f>
        <v>0</v>
      </c>
      <c r="Q424" s="652">
        <f>IF($B424="",,IF(LEFT($H424,5)="dummy",SUMIFS(AvgBase[Month 6],AvgBase[job_title],$H424),SUMIFS(AvgBase[Month 6],AvgBase[exp_item],$J424,AvgBase[company_name],$B424,AvgBase[bu_name],$C424,AvgBase[dept_name],$D424,AvgBase[team_consolidation],$K424,AvgBase[location_name],$G424,AvgBase[job_title],$H424))*(Q214+P214)/2*(1-Q319))</f>
        <v>0</v>
      </c>
      <c r="R424" s="652">
        <f>IF($B424="",,IF(LEFT($H424,5)="dummy",SUMIFS(AvgBase[Month 7],AvgBase[job_title],$H424),SUMIFS(AvgBase[Month 7],AvgBase[exp_item],$J424,AvgBase[company_name],$B424,AvgBase[bu_name],$C424,AvgBase[dept_name],$D424,AvgBase[team_consolidation],$K424,AvgBase[location_name],$G424,AvgBase[job_title],$H424))*(R214+Q214)/2*(1-R319))</f>
        <v>0</v>
      </c>
      <c r="S424" s="652">
        <f>IF($B424="",,IF(LEFT($H424,5)="dummy",SUMIFS(AvgBase[Month 8],AvgBase[job_title],$H424),SUMIFS(AvgBase[Month 8],AvgBase[exp_item],$J424,AvgBase[company_name],$B424,AvgBase[bu_name],$C424,AvgBase[dept_name],$D424,AvgBase[team_consolidation],$K424,AvgBase[location_name],$G424,AvgBase[job_title],$H424))*(S214+R214)/2*(1-S319))</f>
        <v>0</v>
      </c>
      <c r="T424" s="652">
        <f>IF($B424="",,IF(LEFT($H424,5)="dummy",SUMIFS(AvgBase[Month 9],AvgBase[job_title],$H424),SUMIFS(AvgBase[Month 9],AvgBase[exp_item],$J424,AvgBase[company_name],$B424,AvgBase[bu_name],$C424,AvgBase[dept_name],$D424,AvgBase[team_consolidation],$K424,AvgBase[location_name],$G424,AvgBase[job_title],$H424))*(T214+S214)/2*(1-T319))</f>
        <v>0</v>
      </c>
      <c r="U424" s="652">
        <f>IF($B424="",,IF(LEFT($H424,5)="dummy",SUMIFS(AvgBase[Month 10],AvgBase[job_title],$H424),SUMIFS(AvgBase[Month 10],AvgBase[exp_item],$J424,AvgBase[company_name],$B424,AvgBase[bu_name],$C424,AvgBase[dept_name],$D424,AvgBase[team_consolidation],$K424,AvgBase[location_name],$G424,AvgBase[job_title],$H424))*(U214+T214)/2*(1-U319))</f>
        <v>0</v>
      </c>
      <c r="V424" s="652">
        <f>IF($B424="",,IF(LEFT($H424,5)="dummy",SUMIFS(AvgBase[Month 11],AvgBase[job_title],$H424),SUMIFS(AvgBase[Month 11],AvgBase[exp_item],$J424,AvgBase[company_name],$B424,AvgBase[bu_name],$C424,AvgBase[dept_name],$D424,AvgBase[team_consolidation],$K424,AvgBase[location_name],$G424,AvgBase[job_title],$H424))*(V214+U214)/2*(1-V319))</f>
        <v>0</v>
      </c>
      <c r="W424" s="652">
        <f>IF($B424="",,IF(LEFT($H424,5)="dummy",SUMIFS(AvgBase[Month 12],AvgBase[job_title],$H424),SUMIFS(AvgBase[Month 12],AvgBase[exp_item],$J424,AvgBase[company_name],$B424,AvgBase[bu_name],$C424,AvgBase[dept_name],$D424,AvgBase[team_consolidation],$K424,AvgBase[location_name],$G424,AvgBase[job_title],$H424))*(W214+V214)/2*(1-W319))</f>
        <v>0</v>
      </c>
      <c r="X424" s="652">
        <f>IF($B424="",,IF(LEFT($H424,5)="dummy",SUMIFS(AvgBase[Month 13],AvgBase[job_title],$H424),SUMIFS(AvgBase[Month 13],AvgBase[exp_item],$J424,AvgBase[company_name],$B424,AvgBase[bu_name],$C424,AvgBase[dept_name],$D424,AvgBase[team_consolidation],$K424,AvgBase[location_name],$G424,AvgBase[job_title],$H424))*(X214+W214)/2*(1-X319))</f>
        <v>0</v>
      </c>
      <c r="Y424" s="652">
        <f>IF($B424="",,IF(LEFT($H424,5)="dummy",SUMIFS(AvgBase[Month 14],AvgBase[job_title],$H424),SUMIFS(AvgBase[Month 14],AvgBase[exp_item],$J424,AvgBase[company_name],$B424,AvgBase[bu_name],$C424,AvgBase[dept_name],$D424,AvgBase[team_consolidation],$K424,AvgBase[location_name],$G424,AvgBase[job_title],$H424))*(Y214+X214)/2*(1-Y319))</f>
        <v>0</v>
      </c>
      <c r="Z424" s="652">
        <f>IF($B424="",,IF(LEFT($H424,5)="dummy",SUMIFS(AvgBase[Month 15],AvgBase[job_title],$H424),SUMIFS(AvgBase[Month 15],AvgBase[exp_item],$J424,AvgBase[company_name],$B424,AvgBase[bu_name],$C424,AvgBase[dept_name],$D424,AvgBase[team_consolidation],$K424,AvgBase[location_name],$G424,AvgBase[job_title],$H424))*(Z214+Y214)/2*(1-Z319))</f>
        <v>0</v>
      </c>
      <c r="AA424" s="652">
        <f>IF($B424="",,IF(LEFT($H424,5)="dummy",SUMIFS(AvgBase[Month 16],AvgBase[job_title],$H424),SUMIFS(AvgBase[Month 16],AvgBase[exp_item],$J424,AvgBase[company_name],$B424,AvgBase[bu_name],$C424,AvgBase[dept_name],$D424,AvgBase[team_consolidation],$K424,AvgBase[location_name],$G424,AvgBase[job_title],$H424))*(AA214+Z214)/2*(1-AA319))</f>
        <v>0</v>
      </c>
      <c r="AB424" s="652">
        <f>IF($B424="",,IF(LEFT($H424,5)="dummy",SUMIFS(AvgBase[Month 17],AvgBase[job_title],$H424),SUMIFS(AvgBase[Month 17],AvgBase[exp_item],$J424,AvgBase[company_name],$B424,AvgBase[bu_name],$C424,AvgBase[dept_name],$D424,AvgBase[team_consolidation],$K424,AvgBase[location_name],$G424,AvgBase[job_title],$H424))*(AB214+AA214)/2*(1-AB319))</f>
        <v>0</v>
      </c>
      <c r="AC424" s="652">
        <f>IF($B424="",,IF(LEFT($H424,5)="dummy",SUMIFS(AvgBase[Month 18],AvgBase[job_title],$H424),SUMIFS(AvgBase[Month 18],AvgBase[exp_item],$J424,AvgBase[company_name],$B424,AvgBase[bu_name],$C424,AvgBase[dept_name],$D424,AvgBase[team_consolidation],$K424,AvgBase[location_name],$G424,AvgBase[job_title],$H424))*(AC214+AB214)/2*(1-AC319))</f>
        <v>0</v>
      </c>
      <c r="AD424" s="652">
        <f>IF($B424="",,IF(LEFT($H424,5)="dummy",SUMIFS(AvgBase[Month 19],AvgBase[job_title],$H424),SUMIFS(AvgBase[Month 19],AvgBase[exp_item],$J424,AvgBase[company_name],$B424,AvgBase[bu_name],$C424,AvgBase[dept_name],$D424,AvgBase[team_consolidation],$K424,AvgBase[location_name],$G424,AvgBase[job_title],$H424))*(AD214+AC214)/2*(1-AD319))</f>
        <v>0</v>
      </c>
      <c r="AE424" s="652">
        <f>IF($B424="",,IF(LEFT($H424,5)="dummy",SUMIFS(AvgBase[Month 20],AvgBase[job_title],$H424),SUMIFS(AvgBase[Month 20],AvgBase[exp_item],$J424,AvgBase[company_name],$B424,AvgBase[bu_name],$C424,AvgBase[dept_name],$D424,AvgBase[team_consolidation],$K424,AvgBase[location_name],$G424,AvgBase[job_title],$H424))*(AE214+AD214)/2*(1-AE319))</f>
        <v>0</v>
      </c>
      <c r="AF424" s="652">
        <f>IF($B424="",,IF(LEFT($H424,5)="dummy",SUMIFS(AvgBase[Month 21],AvgBase[job_title],$H424),SUMIFS(AvgBase[Month 21],AvgBase[exp_item],$J424,AvgBase[company_name],$B424,AvgBase[bu_name],$C424,AvgBase[dept_name],$D424,AvgBase[team_consolidation],$K424,AvgBase[location_name],$G424,AvgBase[job_title],$H424))*(AF214+AE214)/2*(1-AF319))</f>
        <v>0</v>
      </c>
      <c r="AG424" s="652">
        <f>IF($B424="",,IF(LEFT($H424,5)="dummy",SUMIFS(AvgBase[Month 22],AvgBase[job_title],$H424),SUMIFS(AvgBase[Month 22],AvgBase[exp_item],$J424,AvgBase[company_name],$B424,AvgBase[bu_name],$C424,AvgBase[dept_name],$D424,AvgBase[team_consolidation],$K424,AvgBase[location_name],$G424,AvgBase[job_title],$H424))*(AG214+AF214)/2*(1-AG319))</f>
        <v>0</v>
      </c>
      <c r="AH424" s="652">
        <f>IF($B424="",,IF(LEFT($H424,5)="dummy",SUMIFS(AvgBase[Month 23],AvgBase[job_title],$H424),SUMIFS(AvgBase[Month 23],AvgBase[exp_item],$J424,AvgBase[company_name],$B424,AvgBase[bu_name],$C424,AvgBase[dept_name],$D424,AvgBase[team_consolidation],$K424,AvgBase[location_name],$G424,AvgBase[job_title],$H424))*(AH214+AG214)/2*(1-AH319))</f>
        <v>0</v>
      </c>
      <c r="AI424" s="652">
        <f>IF($B424="",,IF(LEFT($H424,5)="dummy",SUMIFS(AvgBase[Month 24],AvgBase[job_title],$H424),SUMIFS(AvgBase[Month 24],AvgBase[exp_item],$J424,AvgBase[company_name],$B424,AvgBase[bu_name],$C424,AvgBase[dept_name],$D424,AvgBase[team_consolidation],$K424,AvgBase[location_name],$G424,AvgBase[job_title],$H424))*(AI214+AH214)/2*(1-AI319))</f>
        <v>0</v>
      </c>
      <c r="AJ424" s="652">
        <f>IF($B424="",,IF(LEFT($H424,5)="dummy",SUMIFS(AvgBase[Month 25],AvgBase[job_title],$H424),SUMIFS(AvgBase[Month 25],AvgBase[exp_item],$J424,AvgBase[company_name],$B424,AvgBase[bu_name],$C424,AvgBase[dept_name],$D424,AvgBase[team_consolidation],$K424,AvgBase[location_name],$G424,AvgBase[job_title],$H424))*(AJ214+AI214)/2*(1-AJ319))</f>
        <v>0</v>
      </c>
      <c r="AK424" s="652">
        <f>IF($B424="",,IF(LEFT($H424,5)="dummy",SUMIFS(AvgBase[Month 26],AvgBase[job_title],$H424),SUMIFS(AvgBase[Month 26],AvgBase[exp_item],$J424,AvgBase[company_name],$B424,AvgBase[bu_name],$C424,AvgBase[dept_name],$D424,AvgBase[team_consolidation],$K424,AvgBase[location_name],$G424,AvgBase[job_title],$H424))*(AK214+AJ214)/2*(1-AK319))</f>
        <v>0</v>
      </c>
      <c r="AL424" s="652">
        <f>IF($B424="",,IF(LEFT($H424,5)="dummy",SUMIFS(AvgBase[Month 27],AvgBase[job_title],$H424),SUMIFS(AvgBase[Month 27],AvgBase[exp_item],$J424,AvgBase[company_name],$B424,AvgBase[bu_name],$C424,AvgBase[dept_name],$D424,AvgBase[team_consolidation],$K424,AvgBase[location_name],$G424,AvgBase[job_title],$H424))*(AL214+AK214)/2*(1-AL319))</f>
        <v>0</v>
      </c>
      <c r="AM424" s="652">
        <f>IF($B424="",,IF(LEFT($H424,5)="dummy",SUMIFS(AvgBase[Month 28],AvgBase[job_title],$H424),SUMIFS(AvgBase[Month 28],AvgBase[exp_item],$J424,AvgBase[company_name],$B424,AvgBase[bu_name],$C424,AvgBase[dept_name],$D424,AvgBase[team_consolidation],$K424,AvgBase[location_name],$G424,AvgBase[job_title],$H424))*(AM214+AL214)/2*(1-AM319))</f>
        <v>0</v>
      </c>
      <c r="AN424" s="652">
        <f>IF($B424="",,IF(LEFT($H424,5)="dummy",SUMIFS(AvgBase[Month 29],AvgBase[job_title],$H424),SUMIFS(AvgBase[Month 29],AvgBase[exp_item],$J424,AvgBase[company_name],$B424,AvgBase[bu_name],$C424,AvgBase[dept_name],$D424,AvgBase[team_consolidation],$K424,AvgBase[location_name],$G424,AvgBase[job_title],$H424))*(AN214+AM214)/2*(1-AN319))</f>
        <v>0</v>
      </c>
      <c r="AO424" s="652">
        <f>IF($B424="",,IF(LEFT($H424,5)="dummy",SUMIFS(AvgBase[Month 30],AvgBase[job_title],$H424),SUMIFS(AvgBase[Month 30],AvgBase[exp_item],$J424,AvgBase[company_name],$B424,AvgBase[bu_name],$C424,AvgBase[dept_name],$D424,AvgBase[team_consolidation],$K424,AvgBase[location_name],$G424,AvgBase[job_title],$H424))*(AO214+AN214)/2*(1-AO319))</f>
        <v>0</v>
      </c>
      <c r="AP424" s="652">
        <f>IF($B424="",,IF(LEFT($H424,5)="dummy",SUMIFS(AvgBase[Month 31],AvgBase[job_title],$H424),SUMIFS(AvgBase[Month 31],AvgBase[exp_item],$J424,AvgBase[company_name],$B424,AvgBase[bu_name],$C424,AvgBase[dept_name],$D424,AvgBase[team_consolidation],$K424,AvgBase[location_name],$G424,AvgBase[job_title],$H424))*(AP214+AO214)/2*(1-AP319))</f>
        <v>0</v>
      </c>
      <c r="AQ424" s="652">
        <f>IF($B424="",,IF(LEFT($H424,5)="dummy",SUMIFS(AvgBase[Month 32],AvgBase[job_title],$H424),SUMIFS(AvgBase[Month 32],AvgBase[exp_item],$J424,AvgBase[company_name],$B424,AvgBase[bu_name],$C424,AvgBase[dept_name],$D424,AvgBase[team_consolidation],$K424,AvgBase[location_name],$G424,AvgBase[job_title],$H424))*(AQ214+AP214)/2*(1-AQ319))</f>
        <v>0</v>
      </c>
      <c r="AR424" s="652">
        <f>IF($B424="",,IF(LEFT($H424,5)="dummy",SUMIFS(AvgBase[Month 33],AvgBase[job_title],$H424),SUMIFS(AvgBase[Month 33],AvgBase[exp_item],$J424,AvgBase[company_name],$B424,AvgBase[bu_name],$C424,AvgBase[dept_name],$D424,AvgBase[team_consolidation],$K424,AvgBase[location_name],$G424,AvgBase[job_title],$H424))*(AR214+AQ214)/2*(1-AR319))</f>
        <v>0</v>
      </c>
      <c r="AS424" s="652">
        <f>IF($B424="",,IF(LEFT($H424,5)="dummy",SUMIFS(AvgBase[Month 34],AvgBase[job_title],$H424),SUMIFS(AvgBase[Month 34],AvgBase[exp_item],$J424,AvgBase[company_name],$B424,AvgBase[bu_name],$C424,AvgBase[dept_name],$D424,AvgBase[team_consolidation],$K424,AvgBase[location_name],$G424,AvgBase[job_title],$H424))*(AS214+AR214)/2*(1-AS319))</f>
        <v>0</v>
      </c>
      <c r="AT424" s="652">
        <f>IF($B424="",,IF(LEFT($H424,5)="dummy",SUMIFS(AvgBase[Month 35],AvgBase[job_title],$H424),SUMIFS(AvgBase[Month 35],AvgBase[exp_item],$J424,AvgBase[company_name],$B424,AvgBase[bu_name],$C424,AvgBase[dept_name],$D424,AvgBase[team_consolidation],$K424,AvgBase[location_name],$G424,AvgBase[job_title],$H424))*(AT214+AS214)/2*(1-AT319))</f>
        <v>0</v>
      </c>
      <c r="AU424" s="652">
        <f>IF($B424="",,IF(LEFT($H424,5)="dummy",SUMIFS(AvgBase[Month 36],AvgBase[job_title],$H424),SUMIFS(AvgBase[Month 36],AvgBase[exp_item],$J424,AvgBase[company_name],$B424,AvgBase[bu_name],$C424,AvgBase[dept_name],$D424,AvgBase[team_consolidation],$K424,AvgBase[location_name],$G424,AvgBase[job_title],$H424))*(AU214+AT214)/2*(1-AU319))</f>
        <v>0</v>
      </c>
    </row>
    <row r="425" spans="2:47" x14ac:dyDescent="0.35">
      <c r="B425" t="str">
        <f t="shared" si="277"/>
        <v/>
      </c>
      <c r="C425" t="str">
        <f t="shared" si="277"/>
        <v/>
      </c>
      <c r="D425" t="str">
        <f t="shared" si="277"/>
        <v/>
      </c>
      <c r="E425" t="str">
        <f t="shared" si="277"/>
        <v/>
      </c>
      <c r="F425" t="str">
        <f t="shared" si="277"/>
        <v/>
      </c>
      <c r="G425" t="str">
        <f t="shared" si="277"/>
        <v/>
      </c>
      <c r="H425" t="str">
        <f t="shared" si="274"/>
        <v/>
      </c>
      <c r="J425" t="str">
        <f>IF($H425="","",IF(VLOOKUP($B$395,ExpItems[],2,0),$B$395&amp;" - "&amp;INDEX(DivisionMapping[category_code],MATCH($D425&amp;$C425,DivisionMapping[dept_bu],0)),$B$395))</f>
        <v/>
      </c>
      <c r="K425" t="str">
        <f t="shared" si="275"/>
        <v/>
      </c>
      <c r="L425" s="652">
        <f>IF($B425="",,IF(LEFT($H425,5)="dummy",SUMIFS(AvgBase[Month 1],AvgBase[job_title],$H425),SUMIFS(AvgBase[Month 1],AvgBase[exp_item],$J425,AvgBase[company_name],$B425,AvgBase[bu_name],$C425,AvgBase[dept_name],$D425,AvgBase[team_consolidation],$K425,AvgBase[location_name],$G425,AvgBase[job_title],$H425))*L215/2*(1-L320))</f>
        <v>0</v>
      </c>
      <c r="M425" s="652">
        <f>IF($B425="",,IF(LEFT($H425,5)="dummy",SUMIFS(AvgBase[Month 2],AvgBase[job_title],$H425),SUMIFS(AvgBase[Month 2],AvgBase[exp_item],$J425,AvgBase[company_name],$B425,AvgBase[bu_name],$C425,AvgBase[dept_name],$D425,AvgBase[team_consolidation],$K425,AvgBase[location_name],$G425,AvgBase[job_title],$H425))*(M215+L215)/2*(1-M320))</f>
        <v>0</v>
      </c>
      <c r="N425" s="652">
        <f>IF($B425="",,IF(LEFT($H425,5)="dummy",SUMIFS(AvgBase[Month 3],AvgBase[job_title],$H425),SUMIFS(AvgBase[Month 3],AvgBase[exp_item],$J425,AvgBase[company_name],$B425,AvgBase[bu_name],$C425,AvgBase[dept_name],$D425,AvgBase[team_consolidation],$K425,AvgBase[location_name],$G425,AvgBase[job_title],$H425))*(N215+M215)/2*(1-N320))</f>
        <v>0</v>
      </c>
      <c r="O425" s="652">
        <f>IF($B425="",,IF(LEFT($H425,5)="dummy",SUMIFS(AvgBase[Month 4],AvgBase[job_title],$H425),SUMIFS(AvgBase[Month 4],AvgBase[exp_item],$J425,AvgBase[company_name],$B425,AvgBase[bu_name],$C425,AvgBase[dept_name],$D425,AvgBase[team_consolidation],$K425,AvgBase[location_name],$G425,AvgBase[job_title],$H425))*(O215+N215)/2*(1-O320))</f>
        <v>0</v>
      </c>
      <c r="P425" s="652">
        <f>IF($B425="",,IF(LEFT($H425,5)="dummy",SUMIFS(AvgBase[Month 5],AvgBase[job_title],$H425),SUMIFS(AvgBase[Month 5],AvgBase[exp_item],$J425,AvgBase[company_name],$B425,AvgBase[bu_name],$C425,AvgBase[dept_name],$D425,AvgBase[team_consolidation],$K425,AvgBase[location_name],$G425,AvgBase[job_title],$H425))*(P215+O215)/2*(1-P320))</f>
        <v>0</v>
      </c>
      <c r="Q425" s="652">
        <f>IF($B425="",,IF(LEFT($H425,5)="dummy",SUMIFS(AvgBase[Month 6],AvgBase[job_title],$H425),SUMIFS(AvgBase[Month 6],AvgBase[exp_item],$J425,AvgBase[company_name],$B425,AvgBase[bu_name],$C425,AvgBase[dept_name],$D425,AvgBase[team_consolidation],$K425,AvgBase[location_name],$G425,AvgBase[job_title],$H425))*(Q215+P215)/2*(1-Q320))</f>
        <v>0</v>
      </c>
      <c r="R425" s="652">
        <f>IF($B425="",,IF(LEFT($H425,5)="dummy",SUMIFS(AvgBase[Month 7],AvgBase[job_title],$H425),SUMIFS(AvgBase[Month 7],AvgBase[exp_item],$J425,AvgBase[company_name],$B425,AvgBase[bu_name],$C425,AvgBase[dept_name],$D425,AvgBase[team_consolidation],$K425,AvgBase[location_name],$G425,AvgBase[job_title],$H425))*(R215+Q215)/2*(1-R320))</f>
        <v>0</v>
      </c>
      <c r="S425" s="652">
        <f>IF($B425="",,IF(LEFT($H425,5)="dummy",SUMIFS(AvgBase[Month 8],AvgBase[job_title],$H425),SUMIFS(AvgBase[Month 8],AvgBase[exp_item],$J425,AvgBase[company_name],$B425,AvgBase[bu_name],$C425,AvgBase[dept_name],$D425,AvgBase[team_consolidation],$K425,AvgBase[location_name],$G425,AvgBase[job_title],$H425))*(S215+R215)/2*(1-S320))</f>
        <v>0</v>
      </c>
      <c r="T425" s="652">
        <f>IF($B425="",,IF(LEFT($H425,5)="dummy",SUMIFS(AvgBase[Month 9],AvgBase[job_title],$H425),SUMIFS(AvgBase[Month 9],AvgBase[exp_item],$J425,AvgBase[company_name],$B425,AvgBase[bu_name],$C425,AvgBase[dept_name],$D425,AvgBase[team_consolidation],$K425,AvgBase[location_name],$G425,AvgBase[job_title],$H425))*(T215+S215)/2*(1-T320))</f>
        <v>0</v>
      </c>
      <c r="U425" s="652">
        <f>IF($B425="",,IF(LEFT($H425,5)="dummy",SUMIFS(AvgBase[Month 10],AvgBase[job_title],$H425),SUMIFS(AvgBase[Month 10],AvgBase[exp_item],$J425,AvgBase[company_name],$B425,AvgBase[bu_name],$C425,AvgBase[dept_name],$D425,AvgBase[team_consolidation],$K425,AvgBase[location_name],$G425,AvgBase[job_title],$H425))*(U215+T215)/2*(1-U320))</f>
        <v>0</v>
      </c>
      <c r="V425" s="652">
        <f>IF($B425="",,IF(LEFT($H425,5)="dummy",SUMIFS(AvgBase[Month 11],AvgBase[job_title],$H425),SUMIFS(AvgBase[Month 11],AvgBase[exp_item],$J425,AvgBase[company_name],$B425,AvgBase[bu_name],$C425,AvgBase[dept_name],$D425,AvgBase[team_consolidation],$K425,AvgBase[location_name],$G425,AvgBase[job_title],$H425))*(V215+U215)/2*(1-V320))</f>
        <v>0</v>
      </c>
      <c r="W425" s="652">
        <f>IF($B425="",,IF(LEFT($H425,5)="dummy",SUMIFS(AvgBase[Month 12],AvgBase[job_title],$H425),SUMIFS(AvgBase[Month 12],AvgBase[exp_item],$J425,AvgBase[company_name],$B425,AvgBase[bu_name],$C425,AvgBase[dept_name],$D425,AvgBase[team_consolidation],$K425,AvgBase[location_name],$G425,AvgBase[job_title],$H425))*(W215+V215)/2*(1-W320))</f>
        <v>0</v>
      </c>
      <c r="X425" s="652">
        <f>IF($B425="",,IF(LEFT($H425,5)="dummy",SUMIFS(AvgBase[Month 13],AvgBase[job_title],$H425),SUMIFS(AvgBase[Month 13],AvgBase[exp_item],$J425,AvgBase[company_name],$B425,AvgBase[bu_name],$C425,AvgBase[dept_name],$D425,AvgBase[team_consolidation],$K425,AvgBase[location_name],$G425,AvgBase[job_title],$H425))*(X215+W215)/2*(1-X320))</f>
        <v>0</v>
      </c>
      <c r="Y425" s="652">
        <f>IF($B425="",,IF(LEFT($H425,5)="dummy",SUMIFS(AvgBase[Month 14],AvgBase[job_title],$H425),SUMIFS(AvgBase[Month 14],AvgBase[exp_item],$J425,AvgBase[company_name],$B425,AvgBase[bu_name],$C425,AvgBase[dept_name],$D425,AvgBase[team_consolidation],$K425,AvgBase[location_name],$G425,AvgBase[job_title],$H425))*(Y215+X215)/2*(1-Y320))</f>
        <v>0</v>
      </c>
      <c r="Z425" s="652">
        <f>IF($B425="",,IF(LEFT($H425,5)="dummy",SUMIFS(AvgBase[Month 15],AvgBase[job_title],$H425),SUMIFS(AvgBase[Month 15],AvgBase[exp_item],$J425,AvgBase[company_name],$B425,AvgBase[bu_name],$C425,AvgBase[dept_name],$D425,AvgBase[team_consolidation],$K425,AvgBase[location_name],$G425,AvgBase[job_title],$H425))*(Z215+Y215)/2*(1-Z320))</f>
        <v>0</v>
      </c>
      <c r="AA425" s="652">
        <f>IF($B425="",,IF(LEFT($H425,5)="dummy",SUMIFS(AvgBase[Month 16],AvgBase[job_title],$H425),SUMIFS(AvgBase[Month 16],AvgBase[exp_item],$J425,AvgBase[company_name],$B425,AvgBase[bu_name],$C425,AvgBase[dept_name],$D425,AvgBase[team_consolidation],$K425,AvgBase[location_name],$G425,AvgBase[job_title],$H425))*(AA215+Z215)/2*(1-AA320))</f>
        <v>0</v>
      </c>
      <c r="AB425" s="652">
        <f>IF($B425="",,IF(LEFT($H425,5)="dummy",SUMIFS(AvgBase[Month 17],AvgBase[job_title],$H425),SUMIFS(AvgBase[Month 17],AvgBase[exp_item],$J425,AvgBase[company_name],$B425,AvgBase[bu_name],$C425,AvgBase[dept_name],$D425,AvgBase[team_consolidation],$K425,AvgBase[location_name],$G425,AvgBase[job_title],$H425))*(AB215+AA215)/2*(1-AB320))</f>
        <v>0</v>
      </c>
      <c r="AC425" s="652">
        <f>IF($B425="",,IF(LEFT($H425,5)="dummy",SUMIFS(AvgBase[Month 18],AvgBase[job_title],$H425),SUMIFS(AvgBase[Month 18],AvgBase[exp_item],$J425,AvgBase[company_name],$B425,AvgBase[bu_name],$C425,AvgBase[dept_name],$D425,AvgBase[team_consolidation],$K425,AvgBase[location_name],$G425,AvgBase[job_title],$H425))*(AC215+AB215)/2*(1-AC320))</f>
        <v>0</v>
      </c>
      <c r="AD425" s="652">
        <f>IF($B425="",,IF(LEFT($H425,5)="dummy",SUMIFS(AvgBase[Month 19],AvgBase[job_title],$H425),SUMIFS(AvgBase[Month 19],AvgBase[exp_item],$J425,AvgBase[company_name],$B425,AvgBase[bu_name],$C425,AvgBase[dept_name],$D425,AvgBase[team_consolidation],$K425,AvgBase[location_name],$G425,AvgBase[job_title],$H425))*(AD215+AC215)/2*(1-AD320))</f>
        <v>0</v>
      </c>
      <c r="AE425" s="652">
        <f>IF($B425="",,IF(LEFT($H425,5)="dummy",SUMIFS(AvgBase[Month 20],AvgBase[job_title],$H425),SUMIFS(AvgBase[Month 20],AvgBase[exp_item],$J425,AvgBase[company_name],$B425,AvgBase[bu_name],$C425,AvgBase[dept_name],$D425,AvgBase[team_consolidation],$K425,AvgBase[location_name],$G425,AvgBase[job_title],$H425))*(AE215+AD215)/2*(1-AE320))</f>
        <v>0</v>
      </c>
      <c r="AF425" s="652">
        <f>IF($B425="",,IF(LEFT($H425,5)="dummy",SUMIFS(AvgBase[Month 21],AvgBase[job_title],$H425),SUMIFS(AvgBase[Month 21],AvgBase[exp_item],$J425,AvgBase[company_name],$B425,AvgBase[bu_name],$C425,AvgBase[dept_name],$D425,AvgBase[team_consolidation],$K425,AvgBase[location_name],$G425,AvgBase[job_title],$H425))*(AF215+AE215)/2*(1-AF320))</f>
        <v>0</v>
      </c>
      <c r="AG425" s="652">
        <f>IF($B425="",,IF(LEFT($H425,5)="dummy",SUMIFS(AvgBase[Month 22],AvgBase[job_title],$H425),SUMIFS(AvgBase[Month 22],AvgBase[exp_item],$J425,AvgBase[company_name],$B425,AvgBase[bu_name],$C425,AvgBase[dept_name],$D425,AvgBase[team_consolidation],$K425,AvgBase[location_name],$G425,AvgBase[job_title],$H425))*(AG215+AF215)/2*(1-AG320))</f>
        <v>0</v>
      </c>
      <c r="AH425" s="652">
        <f>IF($B425="",,IF(LEFT($H425,5)="dummy",SUMIFS(AvgBase[Month 23],AvgBase[job_title],$H425),SUMIFS(AvgBase[Month 23],AvgBase[exp_item],$J425,AvgBase[company_name],$B425,AvgBase[bu_name],$C425,AvgBase[dept_name],$D425,AvgBase[team_consolidation],$K425,AvgBase[location_name],$G425,AvgBase[job_title],$H425))*(AH215+AG215)/2*(1-AH320))</f>
        <v>0</v>
      </c>
      <c r="AI425" s="652">
        <f>IF($B425="",,IF(LEFT($H425,5)="dummy",SUMIFS(AvgBase[Month 24],AvgBase[job_title],$H425),SUMIFS(AvgBase[Month 24],AvgBase[exp_item],$J425,AvgBase[company_name],$B425,AvgBase[bu_name],$C425,AvgBase[dept_name],$D425,AvgBase[team_consolidation],$K425,AvgBase[location_name],$G425,AvgBase[job_title],$H425))*(AI215+AH215)/2*(1-AI320))</f>
        <v>0</v>
      </c>
      <c r="AJ425" s="652">
        <f>IF($B425="",,IF(LEFT($H425,5)="dummy",SUMIFS(AvgBase[Month 25],AvgBase[job_title],$H425),SUMIFS(AvgBase[Month 25],AvgBase[exp_item],$J425,AvgBase[company_name],$B425,AvgBase[bu_name],$C425,AvgBase[dept_name],$D425,AvgBase[team_consolidation],$K425,AvgBase[location_name],$G425,AvgBase[job_title],$H425))*(AJ215+AI215)/2*(1-AJ320))</f>
        <v>0</v>
      </c>
      <c r="AK425" s="652">
        <f>IF($B425="",,IF(LEFT($H425,5)="dummy",SUMIFS(AvgBase[Month 26],AvgBase[job_title],$H425),SUMIFS(AvgBase[Month 26],AvgBase[exp_item],$J425,AvgBase[company_name],$B425,AvgBase[bu_name],$C425,AvgBase[dept_name],$D425,AvgBase[team_consolidation],$K425,AvgBase[location_name],$G425,AvgBase[job_title],$H425))*(AK215+AJ215)/2*(1-AK320))</f>
        <v>0</v>
      </c>
      <c r="AL425" s="652">
        <f>IF($B425="",,IF(LEFT($H425,5)="dummy",SUMIFS(AvgBase[Month 27],AvgBase[job_title],$H425),SUMIFS(AvgBase[Month 27],AvgBase[exp_item],$J425,AvgBase[company_name],$B425,AvgBase[bu_name],$C425,AvgBase[dept_name],$D425,AvgBase[team_consolidation],$K425,AvgBase[location_name],$G425,AvgBase[job_title],$H425))*(AL215+AK215)/2*(1-AL320))</f>
        <v>0</v>
      </c>
      <c r="AM425" s="652">
        <f>IF($B425="",,IF(LEFT($H425,5)="dummy",SUMIFS(AvgBase[Month 28],AvgBase[job_title],$H425),SUMIFS(AvgBase[Month 28],AvgBase[exp_item],$J425,AvgBase[company_name],$B425,AvgBase[bu_name],$C425,AvgBase[dept_name],$D425,AvgBase[team_consolidation],$K425,AvgBase[location_name],$G425,AvgBase[job_title],$H425))*(AM215+AL215)/2*(1-AM320))</f>
        <v>0</v>
      </c>
      <c r="AN425" s="652">
        <f>IF($B425="",,IF(LEFT($H425,5)="dummy",SUMIFS(AvgBase[Month 29],AvgBase[job_title],$H425),SUMIFS(AvgBase[Month 29],AvgBase[exp_item],$J425,AvgBase[company_name],$B425,AvgBase[bu_name],$C425,AvgBase[dept_name],$D425,AvgBase[team_consolidation],$K425,AvgBase[location_name],$G425,AvgBase[job_title],$H425))*(AN215+AM215)/2*(1-AN320))</f>
        <v>0</v>
      </c>
      <c r="AO425" s="652">
        <f>IF($B425="",,IF(LEFT($H425,5)="dummy",SUMIFS(AvgBase[Month 30],AvgBase[job_title],$H425),SUMIFS(AvgBase[Month 30],AvgBase[exp_item],$J425,AvgBase[company_name],$B425,AvgBase[bu_name],$C425,AvgBase[dept_name],$D425,AvgBase[team_consolidation],$K425,AvgBase[location_name],$G425,AvgBase[job_title],$H425))*(AO215+AN215)/2*(1-AO320))</f>
        <v>0</v>
      </c>
      <c r="AP425" s="652">
        <f>IF($B425="",,IF(LEFT($H425,5)="dummy",SUMIFS(AvgBase[Month 31],AvgBase[job_title],$H425),SUMIFS(AvgBase[Month 31],AvgBase[exp_item],$J425,AvgBase[company_name],$B425,AvgBase[bu_name],$C425,AvgBase[dept_name],$D425,AvgBase[team_consolidation],$K425,AvgBase[location_name],$G425,AvgBase[job_title],$H425))*(AP215+AO215)/2*(1-AP320))</f>
        <v>0</v>
      </c>
      <c r="AQ425" s="652">
        <f>IF($B425="",,IF(LEFT($H425,5)="dummy",SUMIFS(AvgBase[Month 32],AvgBase[job_title],$H425),SUMIFS(AvgBase[Month 32],AvgBase[exp_item],$J425,AvgBase[company_name],$B425,AvgBase[bu_name],$C425,AvgBase[dept_name],$D425,AvgBase[team_consolidation],$K425,AvgBase[location_name],$G425,AvgBase[job_title],$H425))*(AQ215+AP215)/2*(1-AQ320))</f>
        <v>0</v>
      </c>
      <c r="AR425" s="652">
        <f>IF($B425="",,IF(LEFT($H425,5)="dummy",SUMIFS(AvgBase[Month 33],AvgBase[job_title],$H425),SUMIFS(AvgBase[Month 33],AvgBase[exp_item],$J425,AvgBase[company_name],$B425,AvgBase[bu_name],$C425,AvgBase[dept_name],$D425,AvgBase[team_consolidation],$K425,AvgBase[location_name],$G425,AvgBase[job_title],$H425))*(AR215+AQ215)/2*(1-AR320))</f>
        <v>0</v>
      </c>
      <c r="AS425" s="652">
        <f>IF($B425="",,IF(LEFT($H425,5)="dummy",SUMIFS(AvgBase[Month 34],AvgBase[job_title],$H425),SUMIFS(AvgBase[Month 34],AvgBase[exp_item],$J425,AvgBase[company_name],$B425,AvgBase[bu_name],$C425,AvgBase[dept_name],$D425,AvgBase[team_consolidation],$K425,AvgBase[location_name],$G425,AvgBase[job_title],$H425))*(AS215+AR215)/2*(1-AS320))</f>
        <v>0</v>
      </c>
      <c r="AT425" s="652">
        <f>IF($B425="",,IF(LEFT($H425,5)="dummy",SUMIFS(AvgBase[Month 35],AvgBase[job_title],$H425),SUMIFS(AvgBase[Month 35],AvgBase[exp_item],$J425,AvgBase[company_name],$B425,AvgBase[bu_name],$C425,AvgBase[dept_name],$D425,AvgBase[team_consolidation],$K425,AvgBase[location_name],$G425,AvgBase[job_title],$H425))*(AT215+AS215)/2*(1-AT320))</f>
        <v>0</v>
      </c>
      <c r="AU425" s="652">
        <f>IF($B425="",,IF(LEFT($H425,5)="dummy",SUMIFS(AvgBase[Month 36],AvgBase[job_title],$H425),SUMIFS(AvgBase[Month 36],AvgBase[exp_item],$J425,AvgBase[company_name],$B425,AvgBase[bu_name],$C425,AvgBase[dept_name],$D425,AvgBase[team_consolidation],$K425,AvgBase[location_name],$G425,AvgBase[job_title],$H425))*(AU215+AT215)/2*(1-AU320))</f>
        <v>0</v>
      </c>
    </row>
    <row r="426" spans="2:47" x14ac:dyDescent="0.35">
      <c r="B426" t="str">
        <f t="shared" ref="B426:G435" si="278">IF(B321="","",B321)</f>
        <v/>
      </c>
      <c r="C426" t="str">
        <f t="shared" si="278"/>
        <v/>
      </c>
      <c r="D426" t="str">
        <f t="shared" si="278"/>
        <v/>
      </c>
      <c r="E426" t="str">
        <f t="shared" si="278"/>
        <v/>
      </c>
      <c r="F426" t="str">
        <f t="shared" si="278"/>
        <v/>
      </c>
      <c r="G426" t="str">
        <f t="shared" si="278"/>
        <v/>
      </c>
      <c r="H426" t="str">
        <f t="shared" si="274"/>
        <v/>
      </c>
      <c r="J426" t="str">
        <f>IF($H426="","",IF(VLOOKUP($B$395,ExpItems[],2,0),$B$395&amp;" - "&amp;INDEX(DivisionMapping[category_code],MATCH($D426&amp;$C426,DivisionMapping[dept_bu],0)),$B$395))</f>
        <v/>
      </c>
      <c r="K426" t="str">
        <f t="shared" si="275"/>
        <v/>
      </c>
      <c r="L426" s="652">
        <f>IF($B426="",,IF(LEFT($H426,5)="dummy",SUMIFS(AvgBase[Month 1],AvgBase[job_title],$H426),SUMIFS(AvgBase[Month 1],AvgBase[exp_item],$J426,AvgBase[company_name],$B426,AvgBase[bu_name],$C426,AvgBase[dept_name],$D426,AvgBase[team_consolidation],$K426,AvgBase[location_name],$G426,AvgBase[job_title],$H426))*L216/2*(1-L321))</f>
        <v>0</v>
      </c>
      <c r="M426" s="652">
        <f>IF($B426="",,IF(LEFT($H426,5)="dummy",SUMIFS(AvgBase[Month 2],AvgBase[job_title],$H426),SUMIFS(AvgBase[Month 2],AvgBase[exp_item],$J426,AvgBase[company_name],$B426,AvgBase[bu_name],$C426,AvgBase[dept_name],$D426,AvgBase[team_consolidation],$K426,AvgBase[location_name],$G426,AvgBase[job_title],$H426))*(M216+L216)/2*(1-M321))</f>
        <v>0</v>
      </c>
      <c r="N426" s="652">
        <f>IF($B426="",,IF(LEFT($H426,5)="dummy",SUMIFS(AvgBase[Month 3],AvgBase[job_title],$H426),SUMIFS(AvgBase[Month 3],AvgBase[exp_item],$J426,AvgBase[company_name],$B426,AvgBase[bu_name],$C426,AvgBase[dept_name],$D426,AvgBase[team_consolidation],$K426,AvgBase[location_name],$G426,AvgBase[job_title],$H426))*(N216+M216)/2*(1-N321))</f>
        <v>0</v>
      </c>
      <c r="O426" s="652">
        <f>IF($B426="",,IF(LEFT($H426,5)="dummy",SUMIFS(AvgBase[Month 4],AvgBase[job_title],$H426),SUMIFS(AvgBase[Month 4],AvgBase[exp_item],$J426,AvgBase[company_name],$B426,AvgBase[bu_name],$C426,AvgBase[dept_name],$D426,AvgBase[team_consolidation],$K426,AvgBase[location_name],$G426,AvgBase[job_title],$H426))*(O216+N216)/2*(1-O321))</f>
        <v>0</v>
      </c>
      <c r="P426" s="652">
        <f>IF($B426="",,IF(LEFT($H426,5)="dummy",SUMIFS(AvgBase[Month 5],AvgBase[job_title],$H426),SUMIFS(AvgBase[Month 5],AvgBase[exp_item],$J426,AvgBase[company_name],$B426,AvgBase[bu_name],$C426,AvgBase[dept_name],$D426,AvgBase[team_consolidation],$K426,AvgBase[location_name],$G426,AvgBase[job_title],$H426))*(P216+O216)/2*(1-P321))</f>
        <v>0</v>
      </c>
      <c r="Q426" s="652">
        <f>IF($B426="",,IF(LEFT($H426,5)="dummy",SUMIFS(AvgBase[Month 6],AvgBase[job_title],$H426),SUMIFS(AvgBase[Month 6],AvgBase[exp_item],$J426,AvgBase[company_name],$B426,AvgBase[bu_name],$C426,AvgBase[dept_name],$D426,AvgBase[team_consolidation],$K426,AvgBase[location_name],$G426,AvgBase[job_title],$H426))*(Q216+P216)/2*(1-Q321))</f>
        <v>0</v>
      </c>
      <c r="R426" s="652">
        <f>IF($B426="",,IF(LEFT($H426,5)="dummy",SUMIFS(AvgBase[Month 7],AvgBase[job_title],$H426),SUMIFS(AvgBase[Month 7],AvgBase[exp_item],$J426,AvgBase[company_name],$B426,AvgBase[bu_name],$C426,AvgBase[dept_name],$D426,AvgBase[team_consolidation],$K426,AvgBase[location_name],$G426,AvgBase[job_title],$H426))*(R216+Q216)/2*(1-R321))</f>
        <v>0</v>
      </c>
      <c r="S426" s="652">
        <f>IF($B426="",,IF(LEFT($H426,5)="dummy",SUMIFS(AvgBase[Month 8],AvgBase[job_title],$H426),SUMIFS(AvgBase[Month 8],AvgBase[exp_item],$J426,AvgBase[company_name],$B426,AvgBase[bu_name],$C426,AvgBase[dept_name],$D426,AvgBase[team_consolidation],$K426,AvgBase[location_name],$G426,AvgBase[job_title],$H426))*(S216+R216)/2*(1-S321))</f>
        <v>0</v>
      </c>
      <c r="T426" s="652">
        <f>IF($B426="",,IF(LEFT($H426,5)="dummy",SUMIFS(AvgBase[Month 9],AvgBase[job_title],$H426),SUMIFS(AvgBase[Month 9],AvgBase[exp_item],$J426,AvgBase[company_name],$B426,AvgBase[bu_name],$C426,AvgBase[dept_name],$D426,AvgBase[team_consolidation],$K426,AvgBase[location_name],$G426,AvgBase[job_title],$H426))*(T216+S216)/2*(1-T321))</f>
        <v>0</v>
      </c>
      <c r="U426" s="652">
        <f>IF($B426="",,IF(LEFT($H426,5)="dummy",SUMIFS(AvgBase[Month 10],AvgBase[job_title],$H426),SUMIFS(AvgBase[Month 10],AvgBase[exp_item],$J426,AvgBase[company_name],$B426,AvgBase[bu_name],$C426,AvgBase[dept_name],$D426,AvgBase[team_consolidation],$K426,AvgBase[location_name],$G426,AvgBase[job_title],$H426))*(U216+T216)/2*(1-U321))</f>
        <v>0</v>
      </c>
      <c r="V426" s="652">
        <f>IF($B426="",,IF(LEFT($H426,5)="dummy",SUMIFS(AvgBase[Month 11],AvgBase[job_title],$H426),SUMIFS(AvgBase[Month 11],AvgBase[exp_item],$J426,AvgBase[company_name],$B426,AvgBase[bu_name],$C426,AvgBase[dept_name],$D426,AvgBase[team_consolidation],$K426,AvgBase[location_name],$G426,AvgBase[job_title],$H426))*(V216+U216)/2*(1-V321))</f>
        <v>0</v>
      </c>
      <c r="W426" s="652">
        <f>IF($B426="",,IF(LEFT($H426,5)="dummy",SUMIFS(AvgBase[Month 12],AvgBase[job_title],$H426),SUMIFS(AvgBase[Month 12],AvgBase[exp_item],$J426,AvgBase[company_name],$B426,AvgBase[bu_name],$C426,AvgBase[dept_name],$D426,AvgBase[team_consolidation],$K426,AvgBase[location_name],$G426,AvgBase[job_title],$H426))*(W216+V216)/2*(1-W321))</f>
        <v>0</v>
      </c>
      <c r="X426" s="652">
        <f>IF($B426="",,IF(LEFT($H426,5)="dummy",SUMIFS(AvgBase[Month 13],AvgBase[job_title],$H426),SUMIFS(AvgBase[Month 13],AvgBase[exp_item],$J426,AvgBase[company_name],$B426,AvgBase[bu_name],$C426,AvgBase[dept_name],$D426,AvgBase[team_consolidation],$K426,AvgBase[location_name],$G426,AvgBase[job_title],$H426))*(X216+W216)/2*(1-X321))</f>
        <v>0</v>
      </c>
      <c r="Y426" s="652">
        <f>IF($B426="",,IF(LEFT($H426,5)="dummy",SUMIFS(AvgBase[Month 14],AvgBase[job_title],$H426),SUMIFS(AvgBase[Month 14],AvgBase[exp_item],$J426,AvgBase[company_name],$B426,AvgBase[bu_name],$C426,AvgBase[dept_name],$D426,AvgBase[team_consolidation],$K426,AvgBase[location_name],$G426,AvgBase[job_title],$H426))*(Y216+X216)/2*(1-Y321))</f>
        <v>0</v>
      </c>
      <c r="Z426" s="652">
        <f>IF($B426="",,IF(LEFT($H426,5)="dummy",SUMIFS(AvgBase[Month 15],AvgBase[job_title],$H426),SUMIFS(AvgBase[Month 15],AvgBase[exp_item],$J426,AvgBase[company_name],$B426,AvgBase[bu_name],$C426,AvgBase[dept_name],$D426,AvgBase[team_consolidation],$K426,AvgBase[location_name],$G426,AvgBase[job_title],$H426))*(Z216+Y216)/2*(1-Z321))</f>
        <v>0</v>
      </c>
      <c r="AA426" s="652">
        <f>IF($B426="",,IF(LEFT($H426,5)="dummy",SUMIFS(AvgBase[Month 16],AvgBase[job_title],$H426),SUMIFS(AvgBase[Month 16],AvgBase[exp_item],$J426,AvgBase[company_name],$B426,AvgBase[bu_name],$C426,AvgBase[dept_name],$D426,AvgBase[team_consolidation],$K426,AvgBase[location_name],$G426,AvgBase[job_title],$H426))*(AA216+Z216)/2*(1-AA321))</f>
        <v>0</v>
      </c>
      <c r="AB426" s="652">
        <f>IF($B426="",,IF(LEFT($H426,5)="dummy",SUMIFS(AvgBase[Month 17],AvgBase[job_title],$H426),SUMIFS(AvgBase[Month 17],AvgBase[exp_item],$J426,AvgBase[company_name],$B426,AvgBase[bu_name],$C426,AvgBase[dept_name],$D426,AvgBase[team_consolidation],$K426,AvgBase[location_name],$G426,AvgBase[job_title],$H426))*(AB216+AA216)/2*(1-AB321))</f>
        <v>0</v>
      </c>
      <c r="AC426" s="652">
        <f>IF($B426="",,IF(LEFT($H426,5)="dummy",SUMIFS(AvgBase[Month 18],AvgBase[job_title],$H426),SUMIFS(AvgBase[Month 18],AvgBase[exp_item],$J426,AvgBase[company_name],$B426,AvgBase[bu_name],$C426,AvgBase[dept_name],$D426,AvgBase[team_consolidation],$K426,AvgBase[location_name],$G426,AvgBase[job_title],$H426))*(AC216+AB216)/2*(1-AC321))</f>
        <v>0</v>
      </c>
      <c r="AD426" s="652">
        <f>IF($B426="",,IF(LEFT($H426,5)="dummy",SUMIFS(AvgBase[Month 19],AvgBase[job_title],$H426),SUMIFS(AvgBase[Month 19],AvgBase[exp_item],$J426,AvgBase[company_name],$B426,AvgBase[bu_name],$C426,AvgBase[dept_name],$D426,AvgBase[team_consolidation],$K426,AvgBase[location_name],$G426,AvgBase[job_title],$H426))*(AD216+AC216)/2*(1-AD321))</f>
        <v>0</v>
      </c>
      <c r="AE426" s="652">
        <f>IF($B426="",,IF(LEFT($H426,5)="dummy",SUMIFS(AvgBase[Month 20],AvgBase[job_title],$H426),SUMIFS(AvgBase[Month 20],AvgBase[exp_item],$J426,AvgBase[company_name],$B426,AvgBase[bu_name],$C426,AvgBase[dept_name],$D426,AvgBase[team_consolidation],$K426,AvgBase[location_name],$G426,AvgBase[job_title],$H426))*(AE216+AD216)/2*(1-AE321))</f>
        <v>0</v>
      </c>
      <c r="AF426" s="652">
        <f>IF($B426="",,IF(LEFT($H426,5)="dummy",SUMIFS(AvgBase[Month 21],AvgBase[job_title],$H426),SUMIFS(AvgBase[Month 21],AvgBase[exp_item],$J426,AvgBase[company_name],$B426,AvgBase[bu_name],$C426,AvgBase[dept_name],$D426,AvgBase[team_consolidation],$K426,AvgBase[location_name],$G426,AvgBase[job_title],$H426))*(AF216+AE216)/2*(1-AF321))</f>
        <v>0</v>
      </c>
      <c r="AG426" s="652">
        <f>IF($B426="",,IF(LEFT($H426,5)="dummy",SUMIFS(AvgBase[Month 22],AvgBase[job_title],$H426),SUMIFS(AvgBase[Month 22],AvgBase[exp_item],$J426,AvgBase[company_name],$B426,AvgBase[bu_name],$C426,AvgBase[dept_name],$D426,AvgBase[team_consolidation],$K426,AvgBase[location_name],$G426,AvgBase[job_title],$H426))*(AG216+AF216)/2*(1-AG321))</f>
        <v>0</v>
      </c>
      <c r="AH426" s="652">
        <f>IF($B426="",,IF(LEFT($H426,5)="dummy",SUMIFS(AvgBase[Month 23],AvgBase[job_title],$H426),SUMIFS(AvgBase[Month 23],AvgBase[exp_item],$J426,AvgBase[company_name],$B426,AvgBase[bu_name],$C426,AvgBase[dept_name],$D426,AvgBase[team_consolidation],$K426,AvgBase[location_name],$G426,AvgBase[job_title],$H426))*(AH216+AG216)/2*(1-AH321))</f>
        <v>0</v>
      </c>
      <c r="AI426" s="652">
        <f>IF($B426="",,IF(LEFT($H426,5)="dummy",SUMIFS(AvgBase[Month 24],AvgBase[job_title],$H426),SUMIFS(AvgBase[Month 24],AvgBase[exp_item],$J426,AvgBase[company_name],$B426,AvgBase[bu_name],$C426,AvgBase[dept_name],$D426,AvgBase[team_consolidation],$K426,AvgBase[location_name],$G426,AvgBase[job_title],$H426))*(AI216+AH216)/2*(1-AI321))</f>
        <v>0</v>
      </c>
      <c r="AJ426" s="652">
        <f>IF($B426="",,IF(LEFT($H426,5)="dummy",SUMIFS(AvgBase[Month 25],AvgBase[job_title],$H426),SUMIFS(AvgBase[Month 25],AvgBase[exp_item],$J426,AvgBase[company_name],$B426,AvgBase[bu_name],$C426,AvgBase[dept_name],$D426,AvgBase[team_consolidation],$K426,AvgBase[location_name],$G426,AvgBase[job_title],$H426))*(AJ216+AI216)/2*(1-AJ321))</f>
        <v>0</v>
      </c>
      <c r="AK426" s="652">
        <f>IF($B426="",,IF(LEFT($H426,5)="dummy",SUMIFS(AvgBase[Month 26],AvgBase[job_title],$H426),SUMIFS(AvgBase[Month 26],AvgBase[exp_item],$J426,AvgBase[company_name],$B426,AvgBase[bu_name],$C426,AvgBase[dept_name],$D426,AvgBase[team_consolidation],$K426,AvgBase[location_name],$G426,AvgBase[job_title],$H426))*(AK216+AJ216)/2*(1-AK321))</f>
        <v>0</v>
      </c>
      <c r="AL426" s="652">
        <f>IF($B426="",,IF(LEFT($H426,5)="dummy",SUMIFS(AvgBase[Month 27],AvgBase[job_title],$H426),SUMIFS(AvgBase[Month 27],AvgBase[exp_item],$J426,AvgBase[company_name],$B426,AvgBase[bu_name],$C426,AvgBase[dept_name],$D426,AvgBase[team_consolidation],$K426,AvgBase[location_name],$G426,AvgBase[job_title],$H426))*(AL216+AK216)/2*(1-AL321))</f>
        <v>0</v>
      </c>
      <c r="AM426" s="652">
        <f>IF($B426="",,IF(LEFT($H426,5)="dummy",SUMIFS(AvgBase[Month 28],AvgBase[job_title],$H426),SUMIFS(AvgBase[Month 28],AvgBase[exp_item],$J426,AvgBase[company_name],$B426,AvgBase[bu_name],$C426,AvgBase[dept_name],$D426,AvgBase[team_consolidation],$K426,AvgBase[location_name],$G426,AvgBase[job_title],$H426))*(AM216+AL216)/2*(1-AM321))</f>
        <v>0</v>
      </c>
      <c r="AN426" s="652">
        <f>IF($B426="",,IF(LEFT($H426,5)="dummy",SUMIFS(AvgBase[Month 29],AvgBase[job_title],$H426),SUMIFS(AvgBase[Month 29],AvgBase[exp_item],$J426,AvgBase[company_name],$B426,AvgBase[bu_name],$C426,AvgBase[dept_name],$D426,AvgBase[team_consolidation],$K426,AvgBase[location_name],$G426,AvgBase[job_title],$H426))*(AN216+AM216)/2*(1-AN321))</f>
        <v>0</v>
      </c>
      <c r="AO426" s="652">
        <f>IF($B426="",,IF(LEFT($H426,5)="dummy",SUMIFS(AvgBase[Month 30],AvgBase[job_title],$H426),SUMIFS(AvgBase[Month 30],AvgBase[exp_item],$J426,AvgBase[company_name],$B426,AvgBase[bu_name],$C426,AvgBase[dept_name],$D426,AvgBase[team_consolidation],$K426,AvgBase[location_name],$G426,AvgBase[job_title],$H426))*(AO216+AN216)/2*(1-AO321))</f>
        <v>0</v>
      </c>
      <c r="AP426" s="652">
        <f>IF($B426="",,IF(LEFT($H426,5)="dummy",SUMIFS(AvgBase[Month 31],AvgBase[job_title],$H426),SUMIFS(AvgBase[Month 31],AvgBase[exp_item],$J426,AvgBase[company_name],$B426,AvgBase[bu_name],$C426,AvgBase[dept_name],$D426,AvgBase[team_consolidation],$K426,AvgBase[location_name],$G426,AvgBase[job_title],$H426))*(AP216+AO216)/2*(1-AP321))</f>
        <v>0</v>
      </c>
      <c r="AQ426" s="652">
        <f>IF($B426="",,IF(LEFT($H426,5)="dummy",SUMIFS(AvgBase[Month 32],AvgBase[job_title],$H426),SUMIFS(AvgBase[Month 32],AvgBase[exp_item],$J426,AvgBase[company_name],$B426,AvgBase[bu_name],$C426,AvgBase[dept_name],$D426,AvgBase[team_consolidation],$K426,AvgBase[location_name],$G426,AvgBase[job_title],$H426))*(AQ216+AP216)/2*(1-AQ321))</f>
        <v>0</v>
      </c>
      <c r="AR426" s="652">
        <f>IF($B426="",,IF(LEFT($H426,5)="dummy",SUMIFS(AvgBase[Month 33],AvgBase[job_title],$H426),SUMIFS(AvgBase[Month 33],AvgBase[exp_item],$J426,AvgBase[company_name],$B426,AvgBase[bu_name],$C426,AvgBase[dept_name],$D426,AvgBase[team_consolidation],$K426,AvgBase[location_name],$G426,AvgBase[job_title],$H426))*(AR216+AQ216)/2*(1-AR321))</f>
        <v>0</v>
      </c>
      <c r="AS426" s="652">
        <f>IF($B426="",,IF(LEFT($H426,5)="dummy",SUMIFS(AvgBase[Month 34],AvgBase[job_title],$H426),SUMIFS(AvgBase[Month 34],AvgBase[exp_item],$J426,AvgBase[company_name],$B426,AvgBase[bu_name],$C426,AvgBase[dept_name],$D426,AvgBase[team_consolidation],$K426,AvgBase[location_name],$G426,AvgBase[job_title],$H426))*(AS216+AR216)/2*(1-AS321))</f>
        <v>0</v>
      </c>
      <c r="AT426" s="652">
        <f>IF($B426="",,IF(LEFT($H426,5)="dummy",SUMIFS(AvgBase[Month 35],AvgBase[job_title],$H426),SUMIFS(AvgBase[Month 35],AvgBase[exp_item],$J426,AvgBase[company_name],$B426,AvgBase[bu_name],$C426,AvgBase[dept_name],$D426,AvgBase[team_consolidation],$K426,AvgBase[location_name],$G426,AvgBase[job_title],$H426))*(AT216+AS216)/2*(1-AT321))</f>
        <v>0</v>
      </c>
      <c r="AU426" s="652">
        <f>IF($B426="",,IF(LEFT($H426,5)="dummy",SUMIFS(AvgBase[Month 36],AvgBase[job_title],$H426),SUMIFS(AvgBase[Month 36],AvgBase[exp_item],$J426,AvgBase[company_name],$B426,AvgBase[bu_name],$C426,AvgBase[dept_name],$D426,AvgBase[team_consolidation],$K426,AvgBase[location_name],$G426,AvgBase[job_title],$H426))*(AU216+AT216)/2*(1-AU321))</f>
        <v>0</v>
      </c>
    </row>
    <row r="427" spans="2:47" x14ac:dyDescent="0.35">
      <c r="B427" t="str">
        <f t="shared" si="278"/>
        <v/>
      </c>
      <c r="C427" t="str">
        <f t="shared" si="278"/>
        <v/>
      </c>
      <c r="D427" t="str">
        <f t="shared" si="278"/>
        <v/>
      </c>
      <c r="E427" t="str">
        <f t="shared" si="278"/>
        <v/>
      </c>
      <c r="F427" t="str">
        <f t="shared" si="278"/>
        <v/>
      </c>
      <c r="G427" t="str">
        <f t="shared" si="278"/>
        <v/>
      </c>
      <c r="H427" t="str">
        <f t="shared" si="274"/>
        <v/>
      </c>
      <c r="J427" t="str">
        <f>IF($H427="","",IF(VLOOKUP($B$395,ExpItems[],2,0),$B$395&amp;" - "&amp;INDEX(DivisionMapping[category_code],MATCH($D427&amp;$C427,DivisionMapping[dept_bu],0)),$B$395))</f>
        <v/>
      </c>
      <c r="K427" t="str">
        <f t="shared" si="275"/>
        <v/>
      </c>
      <c r="L427" s="652">
        <f>IF($B427="",,IF(LEFT($H427,5)="dummy",SUMIFS(AvgBase[Month 1],AvgBase[job_title],$H427),SUMIFS(AvgBase[Month 1],AvgBase[exp_item],$J427,AvgBase[company_name],$B427,AvgBase[bu_name],$C427,AvgBase[dept_name],$D427,AvgBase[team_consolidation],$K427,AvgBase[location_name],$G427,AvgBase[job_title],$H427))*L217/2*(1-L322))</f>
        <v>0</v>
      </c>
      <c r="M427" s="652">
        <f>IF($B427="",,IF(LEFT($H427,5)="dummy",SUMIFS(AvgBase[Month 2],AvgBase[job_title],$H427),SUMIFS(AvgBase[Month 2],AvgBase[exp_item],$J427,AvgBase[company_name],$B427,AvgBase[bu_name],$C427,AvgBase[dept_name],$D427,AvgBase[team_consolidation],$K427,AvgBase[location_name],$G427,AvgBase[job_title],$H427))*(M217+L217)/2*(1-M322))</f>
        <v>0</v>
      </c>
      <c r="N427" s="652">
        <f>IF($B427="",,IF(LEFT($H427,5)="dummy",SUMIFS(AvgBase[Month 3],AvgBase[job_title],$H427),SUMIFS(AvgBase[Month 3],AvgBase[exp_item],$J427,AvgBase[company_name],$B427,AvgBase[bu_name],$C427,AvgBase[dept_name],$D427,AvgBase[team_consolidation],$K427,AvgBase[location_name],$G427,AvgBase[job_title],$H427))*(N217+M217)/2*(1-N322))</f>
        <v>0</v>
      </c>
      <c r="O427" s="652">
        <f>IF($B427="",,IF(LEFT($H427,5)="dummy",SUMIFS(AvgBase[Month 4],AvgBase[job_title],$H427),SUMIFS(AvgBase[Month 4],AvgBase[exp_item],$J427,AvgBase[company_name],$B427,AvgBase[bu_name],$C427,AvgBase[dept_name],$D427,AvgBase[team_consolidation],$K427,AvgBase[location_name],$G427,AvgBase[job_title],$H427))*(O217+N217)/2*(1-O322))</f>
        <v>0</v>
      </c>
      <c r="P427" s="652">
        <f>IF($B427="",,IF(LEFT($H427,5)="dummy",SUMIFS(AvgBase[Month 5],AvgBase[job_title],$H427),SUMIFS(AvgBase[Month 5],AvgBase[exp_item],$J427,AvgBase[company_name],$B427,AvgBase[bu_name],$C427,AvgBase[dept_name],$D427,AvgBase[team_consolidation],$K427,AvgBase[location_name],$G427,AvgBase[job_title],$H427))*(P217+O217)/2*(1-P322))</f>
        <v>0</v>
      </c>
      <c r="Q427" s="652">
        <f>IF($B427="",,IF(LEFT($H427,5)="dummy",SUMIFS(AvgBase[Month 6],AvgBase[job_title],$H427),SUMIFS(AvgBase[Month 6],AvgBase[exp_item],$J427,AvgBase[company_name],$B427,AvgBase[bu_name],$C427,AvgBase[dept_name],$D427,AvgBase[team_consolidation],$K427,AvgBase[location_name],$G427,AvgBase[job_title],$H427))*(Q217+P217)/2*(1-Q322))</f>
        <v>0</v>
      </c>
      <c r="R427" s="652">
        <f>IF($B427="",,IF(LEFT($H427,5)="dummy",SUMIFS(AvgBase[Month 7],AvgBase[job_title],$H427),SUMIFS(AvgBase[Month 7],AvgBase[exp_item],$J427,AvgBase[company_name],$B427,AvgBase[bu_name],$C427,AvgBase[dept_name],$D427,AvgBase[team_consolidation],$K427,AvgBase[location_name],$G427,AvgBase[job_title],$H427))*(R217+Q217)/2*(1-R322))</f>
        <v>0</v>
      </c>
      <c r="S427" s="652">
        <f>IF($B427="",,IF(LEFT($H427,5)="dummy",SUMIFS(AvgBase[Month 8],AvgBase[job_title],$H427),SUMIFS(AvgBase[Month 8],AvgBase[exp_item],$J427,AvgBase[company_name],$B427,AvgBase[bu_name],$C427,AvgBase[dept_name],$D427,AvgBase[team_consolidation],$K427,AvgBase[location_name],$G427,AvgBase[job_title],$H427))*(S217+R217)/2*(1-S322))</f>
        <v>0</v>
      </c>
      <c r="T427" s="652">
        <f>IF($B427="",,IF(LEFT($H427,5)="dummy",SUMIFS(AvgBase[Month 9],AvgBase[job_title],$H427),SUMIFS(AvgBase[Month 9],AvgBase[exp_item],$J427,AvgBase[company_name],$B427,AvgBase[bu_name],$C427,AvgBase[dept_name],$D427,AvgBase[team_consolidation],$K427,AvgBase[location_name],$G427,AvgBase[job_title],$H427))*(T217+S217)/2*(1-T322))</f>
        <v>0</v>
      </c>
      <c r="U427" s="652">
        <f>IF($B427="",,IF(LEFT($H427,5)="dummy",SUMIFS(AvgBase[Month 10],AvgBase[job_title],$H427),SUMIFS(AvgBase[Month 10],AvgBase[exp_item],$J427,AvgBase[company_name],$B427,AvgBase[bu_name],$C427,AvgBase[dept_name],$D427,AvgBase[team_consolidation],$K427,AvgBase[location_name],$G427,AvgBase[job_title],$H427))*(U217+T217)/2*(1-U322))</f>
        <v>0</v>
      </c>
      <c r="V427" s="652">
        <f>IF($B427="",,IF(LEFT($H427,5)="dummy",SUMIFS(AvgBase[Month 11],AvgBase[job_title],$H427),SUMIFS(AvgBase[Month 11],AvgBase[exp_item],$J427,AvgBase[company_name],$B427,AvgBase[bu_name],$C427,AvgBase[dept_name],$D427,AvgBase[team_consolidation],$K427,AvgBase[location_name],$G427,AvgBase[job_title],$H427))*(V217+U217)/2*(1-V322))</f>
        <v>0</v>
      </c>
      <c r="W427" s="652">
        <f>IF($B427="",,IF(LEFT($H427,5)="dummy",SUMIFS(AvgBase[Month 12],AvgBase[job_title],$H427),SUMIFS(AvgBase[Month 12],AvgBase[exp_item],$J427,AvgBase[company_name],$B427,AvgBase[bu_name],$C427,AvgBase[dept_name],$D427,AvgBase[team_consolidation],$K427,AvgBase[location_name],$G427,AvgBase[job_title],$H427))*(W217+V217)/2*(1-W322))</f>
        <v>0</v>
      </c>
      <c r="X427" s="652">
        <f>IF($B427="",,IF(LEFT($H427,5)="dummy",SUMIFS(AvgBase[Month 13],AvgBase[job_title],$H427),SUMIFS(AvgBase[Month 13],AvgBase[exp_item],$J427,AvgBase[company_name],$B427,AvgBase[bu_name],$C427,AvgBase[dept_name],$D427,AvgBase[team_consolidation],$K427,AvgBase[location_name],$G427,AvgBase[job_title],$H427))*(X217+W217)/2*(1-X322))</f>
        <v>0</v>
      </c>
      <c r="Y427" s="652">
        <f>IF($B427="",,IF(LEFT($H427,5)="dummy",SUMIFS(AvgBase[Month 14],AvgBase[job_title],$H427),SUMIFS(AvgBase[Month 14],AvgBase[exp_item],$J427,AvgBase[company_name],$B427,AvgBase[bu_name],$C427,AvgBase[dept_name],$D427,AvgBase[team_consolidation],$K427,AvgBase[location_name],$G427,AvgBase[job_title],$H427))*(Y217+X217)/2*(1-Y322))</f>
        <v>0</v>
      </c>
      <c r="Z427" s="652">
        <f>IF($B427="",,IF(LEFT($H427,5)="dummy",SUMIFS(AvgBase[Month 15],AvgBase[job_title],$H427),SUMIFS(AvgBase[Month 15],AvgBase[exp_item],$J427,AvgBase[company_name],$B427,AvgBase[bu_name],$C427,AvgBase[dept_name],$D427,AvgBase[team_consolidation],$K427,AvgBase[location_name],$G427,AvgBase[job_title],$H427))*(Z217+Y217)/2*(1-Z322))</f>
        <v>0</v>
      </c>
      <c r="AA427" s="652">
        <f>IF($B427="",,IF(LEFT($H427,5)="dummy",SUMIFS(AvgBase[Month 16],AvgBase[job_title],$H427),SUMIFS(AvgBase[Month 16],AvgBase[exp_item],$J427,AvgBase[company_name],$B427,AvgBase[bu_name],$C427,AvgBase[dept_name],$D427,AvgBase[team_consolidation],$K427,AvgBase[location_name],$G427,AvgBase[job_title],$H427))*(AA217+Z217)/2*(1-AA322))</f>
        <v>0</v>
      </c>
      <c r="AB427" s="652">
        <f>IF($B427="",,IF(LEFT($H427,5)="dummy",SUMIFS(AvgBase[Month 17],AvgBase[job_title],$H427),SUMIFS(AvgBase[Month 17],AvgBase[exp_item],$J427,AvgBase[company_name],$B427,AvgBase[bu_name],$C427,AvgBase[dept_name],$D427,AvgBase[team_consolidation],$K427,AvgBase[location_name],$G427,AvgBase[job_title],$H427))*(AB217+AA217)/2*(1-AB322))</f>
        <v>0</v>
      </c>
      <c r="AC427" s="652">
        <f>IF($B427="",,IF(LEFT($H427,5)="dummy",SUMIFS(AvgBase[Month 18],AvgBase[job_title],$H427),SUMIFS(AvgBase[Month 18],AvgBase[exp_item],$J427,AvgBase[company_name],$B427,AvgBase[bu_name],$C427,AvgBase[dept_name],$D427,AvgBase[team_consolidation],$K427,AvgBase[location_name],$G427,AvgBase[job_title],$H427))*(AC217+AB217)/2*(1-AC322))</f>
        <v>0</v>
      </c>
      <c r="AD427" s="652">
        <f>IF($B427="",,IF(LEFT($H427,5)="dummy",SUMIFS(AvgBase[Month 19],AvgBase[job_title],$H427),SUMIFS(AvgBase[Month 19],AvgBase[exp_item],$J427,AvgBase[company_name],$B427,AvgBase[bu_name],$C427,AvgBase[dept_name],$D427,AvgBase[team_consolidation],$K427,AvgBase[location_name],$G427,AvgBase[job_title],$H427))*(AD217+AC217)/2*(1-AD322))</f>
        <v>0</v>
      </c>
      <c r="AE427" s="652">
        <f>IF($B427="",,IF(LEFT($H427,5)="dummy",SUMIFS(AvgBase[Month 20],AvgBase[job_title],$H427),SUMIFS(AvgBase[Month 20],AvgBase[exp_item],$J427,AvgBase[company_name],$B427,AvgBase[bu_name],$C427,AvgBase[dept_name],$D427,AvgBase[team_consolidation],$K427,AvgBase[location_name],$G427,AvgBase[job_title],$H427))*(AE217+AD217)/2*(1-AE322))</f>
        <v>0</v>
      </c>
      <c r="AF427" s="652">
        <f>IF($B427="",,IF(LEFT($H427,5)="dummy",SUMIFS(AvgBase[Month 21],AvgBase[job_title],$H427),SUMIFS(AvgBase[Month 21],AvgBase[exp_item],$J427,AvgBase[company_name],$B427,AvgBase[bu_name],$C427,AvgBase[dept_name],$D427,AvgBase[team_consolidation],$K427,AvgBase[location_name],$G427,AvgBase[job_title],$H427))*(AF217+AE217)/2*(1-AF322))</f>
        <v>0</v>
      </c>
      <c r="AG427" s="652">
        <f>IF($B427="",,IF(LEFT($H427,5)="dummy",SUMIFS(AvgBase[Month 22],AvgBase[job_title],$H427),SUMIFS(AvgBase[Month 22],AvgBase[exp_item],$J427,AvgBase[company_name],$B427,AvgBase[bu_name],$C427,AvgBase[dept_name],$D427,AvgBase[team_consolidation],$K427,AvgBase[location_name],$G427,AvgBase[job_title],$H427))*(AG217+AF217)/2*(1-AG322))</f>
        <v>0</v>
      </c>
      <c r="AH427" s="652">
        <f>IF($B427="",,IF(LEFT($H427,5)="dummy",SUMIFS(AvgBase[Month 23],AvgBase[job_title],$H427),SUMIFS(AvgBase[Month 23],AvgBase[exp_item],$J427,AvgBase[company_name],$B427,AvgBase[bu_name],$C427,AvgBase[dept_name],$D427,AvgBase[team_consolidation],$K427,AvgBase[location_name],$G427,AvgBase[job_title],$H427))*(AH217+AG217)/2*(1-AH322))</f>
        <v>0</v>
      </c>
      <c r="AI427" s="652">
        <f>IF($B427="",,IF(LEFT($H427,5)="dummy",SUMIFS(AvgBase[Month 24],AvgBase[job_title],$H427),SUMIFS(AvgBase[Month 24],AvgBase[exp_item],$J427,AvgBase[company_name],$B427,AvgBase[bu_name],$C427,AvgBase[dept_name],$D427,AvgBase[team_consolidation],$K427,AvgBase[location_name],$G427,AvgBase[job_title],$H427))*(AI217+AH217)/2*(1-AI322))</f>
        <v>0</v>
      </c>
      <c r="AJ427" s="652">
        <f>IF($B427="",,IF(LEFT($H427,5)="dummy",SUMIFS(AvgBase[Month 25],AvgBase[job_title],$H427),SUMIFS(AvgBase[Month 25],AvgBase[exp_item],$J427,AvgBase[company_name],$B427,AvgBase[bu_name],$C427,AvgBase[dept_name],$D427,AvgBase[team_consolidation],$K427,AvgBase[location_name],$G427,AvgBase[job_title],$H427))*(AJ217+AI217)/2*(1-AJ322))</f>
        <v>0</v>
      </c>
      <c r="AK427" s="652">
        <f>IF($B427="",,IF(LEFT($H427,5)="dummy",SUMIFS(AvgBase[Month 26],AvgBase[job_title],$H427),SUMIFS(AvgBase[Month 26],AvgBase[exp_item],$J427,AvgBase[company_name],$B427,AvgBase[bu_name],$C427,AvgBase[dept_name],$D427,AvgBase[team_consolidation],$K427,AvgBase[location_name],$G427,AvgBase[job_title],$H427))*(AK217+AJ217)/2*(1-AK322))</f>
        <v>0</v>
      </c>
      <c r="AL427" s="652">
        <f>IF($B427="",,IF(LEFT($H427,5)="dummy",SUMIFS(AvgBase[Month 27],AvgBase[job_title],$H427),SUMIFS(AvgBase[Month 27],AvgBase[exp_item],$J427,AvgBase[company_name],$B427,AvgBase[bu_name],$C427,AvgBase[dept_name],$D427,AvgBase[team_consolidation],$K427,AvgBase[location_name],$G427,AvgBase[job_title],$H427))*(AL217+AK217)/2*(1-AL322))</f>
        <v>0</v>
      </c>
      <c r="AM427" s="652">
        <f>IF($B427="",,IF(LEFT($H427,5)="dummy",SUMIFS(AvgBase[Month 28],AvgBase[job_title],$H427),SUMIFS(AvgBase[Month 28],AvgBase[exp_item],$J427,AvgBase[company_name],$B427,AvgBase[bu_name],$C427,AvgBase[dept_name],$D427,AvgBase[team_consolidation],$K427,AvgBase[location_name],$G427,AvgBase[job_title],$H427))*(AM217+AL217)/2*(1-AM322))</f>
        <v>0</v>
      </c>
      <c r="AN427" s="652">
        <f>IF($B427="",,IF(LEFT($H427,5)="dummy",SUMIFS(AvgBase[Month 29],AvgBase[job_title],$H427),SUMIFS(AvgBase[Month 29],AvgBase[exp_item],$J427,AvgBase[company_name],$B427,AvgBase[bu_name],$C427,AvgBase[dept_name],$D427,AvgBase[team_consolidation],$K427,AvgBase[location_name],$G427,AvgBase[job_title],$H427))*(AN217+AM217)/2*(1-AN322))</f>
        <v>0</v>
      </c>
      <c r="AO427" s="652">
        <f>IF($B427="",,IF(LEFT($H427,5)="dummy",SUMIFS(AvgBase[Month 30],AvgBase[job_title],$H427),SUMIFS(AvgBase[Month 30],AvgBase[exp_item],$J427,AvgBase[company_name],$B427,AvgBase[bu_name],$C427,AvgBase[dept_name],$D427,AvgBase[team_consolidation],$K427,AvgBase[location_name],$G427,AvgBase[job_title],$H427))*(AO217+AN217)/2*(1-AO322))</f>
        <v>0</v>
      </c>
      <c r="AP427" s="652">
        <f>IF($B427="",,IF(LEFT($H427,5)="dummy",SUMIFS(AvgBase[Month 31],AvgBase[job_title],$H427),SUMIFS(AvgBase[Month 31],AvgBase[exp_item],$J427,AvgBase[company_name],$B427,AvgBase[bu_name],$C427,AvgBase[dept_name],$D427,AvgBase[team_consolidation],$K427,AvgBase[location_name],$G427,AvgBase[job_title],$H427))*(AP217+AO217)/2*(1-AP322))</f>
        <v>0</v>
      </c>
      <c r="AQ427" s="652">
        <f>IF($B427="",,IF(LEFT($H427,5)="dummy",SUMIFS(AvgBase[Month 32],AvgBase[job_title],$H427),SUMIFS(AvgBase[Month 32],AvgBase[exp_item],$J427,AvgBase[company_name],$B427,AvgBase[bu_name],$C427,AvgBase[dept_name],$D427,AvgBase[team_consolidation],$K427,AvgBase[location_name],$G427,AvgBase[job_title],$H427))*(AQ217+AP217)/2*(1-AQ322))</f>
        <v>0</v>
      </c>
      <c r="AR427" s="652">
        <f>IF($B427="",,IF(LEFT($H427,5)="dummy",SUMIFS(AvgBase[Month 33],AvgBase[job_title],$H427),SUMIFS(AvgBase[Month 33],AvgBase[exp_item],$J427,AvgBase[company_name],$B427,AvgBase[bu_name],$C427,AvgBase[dept_name],$D427,AvgBase[team_consolidation],$K427,AvgBase[location_name],$G427,AvgBase[job_title],$H427))*(AR217+AQ217)/2*(1-AR322))</f>
        <v>0</v>
      </c>
      <c r="AS427" s="652">
        <f>IF($B427="",,IF(LEFT($H427,5)="dummy",SUMIFS(AvgBase[Month 34],AvgBase[job_title],$H427),SUMIFS(AvgBase[Month 34],AvgBase[exp_item],$J427,AvgBase[company_name],$B427,AvgBase[bu_name],$C427,AvgBase[dept_name],$D427,AvgBase[team_consolidation],$K427,AvgBase[location_name],$G427,AvgBase[job_title],$H427))*(AS217+AR217)/2*(1-AS322))</f>
        <v>0</v>
      </c>
      <c r="AT427" s="652">
        <f>IF($B427="",,IF(LEFT($H427,5)="dummy",SUMIFS(AvgBase[Month 35],AvgBase[job_title],$H427),SUMIFS(AvgBase[Month 35],AvgBase[exp_item],$J427,AvgBase[company_name],$B427,AvgBase[bu_name],$C427,AvgBase[dept_name],$D427,AvgBase[team_consolidation],$K427,AvgBase[location_name],$G427,AvgBase[job_title],$H427))*(AT217+AS217)/2*(1-AT322))</f>
        <v>0</v>
      </c>
      <c r="AU427" s="652">
        <f>IF($B427="",,IF(LEFT($H427,5)="dummy",SUMIFS(AvgBase[Month 36],AvgBase[job_title],$H427),SUMIFS(AvgBase[Month 36],AvgBase[exp_item],$J427,AvgBase[company_name],$B427,AvgBase[bu_name],$C427,AvgBase[dept_name],$D427,AvgBase[team_consolidation],$K427,AvgBase[location_name],$G427,AvgBase[job_title],$H427))*(AU217+AT217)/2*(1-AU322))</f>
        <v>0</v>
      </c>
    </row>
    <row r="428" spans="2:47" x14ac:dyDescent="0.35">
      <c r="B428" t="str">
        <f t="shared" si="278"/>
        <v/>
      </c>
      <c r="C428" t="str">
        <f t="shared" si="278"/>
        <v/>
      </c>
      <c r="D428" t="str">
        <f t="shared" si="278"/>
        <v/>
      </c>
      <c r="E428" t="str">
        <f t="shared" si="278"/>
        <v/>
      </c>
      <c r="F428" t="str">
        <f t="shared" si="278"/>
        <v/>
      </c>
      <c r="G428" t="str">
        <f t="shared" si="278"/>
        <v/>
      </c>
      <c r="H428" t="str">
        <f t="shared" ref="H428:H459" si="279">IF(H218="","",H218)</f>
        <v/>
      </c>
      <c r="J428" t="str">
        <f>IF($H428="","",IF(VLOOKUP($B$395,ExpItems[],2,0),$B$395&amp;" - "&amp;INDEX(DivisionMapping[category_code],MATCH($D428&amp;$C428,DivisionMapping[dept_bu],0)),$B$395))</f>
        <v/>
      </c>
      <c r="K428" t="str">
        <f t="shared" si="275"/>
        <v/>
      </c>
      <c r="L428" s="652">
        <f>IF($B428="",,IF(LEFT($H428,5)="dummy",SUMIFS(AvgBase[Month 1],AvgBase[job_title],$H428),SUMIFS(AvgBase[Month 1],AvgBase[exp_item],$J428,AvgBase[company_name],$B428,AvgBase[bu_name],$C428,AvgBase[dept_name],$D428,AvgBase[team_consolidation],$K428,AvgBase[location_name],$G428,AvgBase[job_title],$H428))*L218/2*(1-L323))</f>
        <v>0</v>
      </c>
      <c r="M428" s="652">
        <f>IF($B428="",,IF(LEFT($H428,5)="dummy",SUMIFS(AvgBase[Month 2],AvgBase[job_title],$H428),SUMIFS(AvgBase[Month 2],AvgBase[exp_item],$J428,AvgBase[company_name],$B428,AvgBase[bu_name],$C428,AvgBase[dept_name],$D428,AvgBase[team_consolidation],$K428,AvgBase[location_name],$G428,AvgBase[job_title],$H428))*(M218+L218)/2*(1-M323))</f>
        <v>0</v>
      </c>
      <c r="N428" s="652">
        <f>IF($B428="",,IF(LEFT($H428,5)="dummy",SUMIFS(AvgBase[Month 3],AvgBase[job_title],$H428),SUMIFS(AvgBase[Month 3],AvgBase[exp_item],$J428,AvgBase[company_name],$B428,AvgBase[bu_name],$C428,AvgBase[dept_name],$D428,AvgBase[team_consolidation],$K428,AvgBase[location_name],$G428,AvgBase[job_title],$H428))*(N218+M218)/2*(1-N323))</f>
        <v>0</v>
      </c>
      <c r="O428" s="652">
        <f>IF($B428="",,IF(LEFT($H428,5)="dummy",SUMIFS(AvgBase[Month 4],AvgBase[job_title],$H428),SUMIFS(AvgBase[Month 4],AvgBase[exp_item],$J428,AvgBase[company_name],$B428,AvgBase[bu_name],$C428,AvgBase[dept_name],$D428,AvgBase[team_consolidation],$K428,AvgBase[location_name],$G428,AvgBase[job_title],$H428))*(O218+N218)/2*(1-O323))</f>
        <v>0</v>
      </c>
      <c r="P428" s="652">
        <f>IF($B428="",,IF(LEFT($H428,5)="dummy",SUMIFS(AvgBase[Month 5],AvgBase[job_title],$H428),SUMIFS(AvgBase[Month 5],AvgBase[exp_item],$J428,AvgBase[company_name],$B428,AvgBase[bu_name],$C428,AvgBase[dept_name],$D428,AvgBase[team_consolidation],$K428,AvgBase[location_name],$G428,AvgBase[job_title],$H428))*(P218+O218)/2*(1-P323))</f>
        <v>0</v>
      </c>
      <c r="Q428" s="652">
        <f>IF($B428="",,IF(LEFT($H428,5)="dummy",SUMIFS(AvgBase[Month 6],AvgBase[job_title],$H428),SUMIFS(AvgBase[Month 6],AvgBase[exp_item],$J428,AvgBase[company_name],$B428,AvgBase[bu_name],$C428,AvgBase[dept_name],$D428,AvgBase[team_consolidation],$K428,AvgBase[location_name],$G428,AvgBase[job_title],$H428))*(Q218+P218)/2*(1-Q323))</f>
        <v>0</v>
      </c>
      <c r="R428" s="652">
        <f>IF($B428="",,IF(LEFT($H428,5)="dummy",SUMIFS(AvgBase[Month 7],AvgBase[job_title],$H428),SUMIFS(AvgBase[Month 7],AvgBase[exp_item],$J428,AvgBase[company_name],$B428,AvgBase[bu_name],$C428,AvgBase[dept_name],$D428,AvgBase[team_consolidation],$K428,AvgBase[location_name],$G428,AvgBase[job_title],$H428))*(R218+Q218)/2*(1-R323))</f>
        <v>0</v>
      </c>
      <c r="S428" s="652">
        <f>IF($B428="",,IF(LEFT($H428,5)="dummy",SUMIFS(AvgBase[Month 8],AvgBase[job_title],$H428),SUMIFS(AvgBase[Month 8],AvgBase[exp_item],$J428,AvgBase[company_name],$B428,AvgBase[bu_name],$C428,AvgBase[dept_name],$D428,AvgBase[team_consolidation],$K428,AvgBase[location_name],$G428,AvgBase[job_title],$H428))*(S218+R218)/2*(1-S323))</f>
        <v>0</v>
      </c>
      <c r="T428" s="652">
        <f>IF($B428="",,IF(LEFT($H428,5)="dummy",SUMIFS(AvgBase[Month 9],AvgBase[job_title],$H428),SUMIFS(AvgBase[Month 9],AvgBase[exp_item],$J428,AvgBase[company_name],$B428,AvgBase[bu_name],$C428,AvgBase[dept_name],$D428,AvgBase[team_consolidation],$K428,AvgBase[location_name],$G428,AvgBase[job_title],$H428))*(T218+S218)/2*(1-T323))</f>
        <v>0</v>
      </c>
      <c r="U428" s="652">
        <f>IF($B428="",,IF(LEFT($H428,5)="dummy",SUMIFS(AvgBase[Month 10],AvgBase[job_title],$H428),SUMIFS(AvgBase[Month 10],AvgBase[exp_item],$J428,AvgBase[company_name],$B428,AvgBase[bu_name],$C428,AvgBase[dept_name],$D428,AvgBase[team_consolidation],$K428,AvgBase[location_name],$G428,AvgBase[job_title],$H428))*(U218+T218)/2*(1-U323))</f>
        <v>0</v>
      </c>
      <c r="V428" s="652">
        <f>IF($B428="",,IF(LEFT($H428,5)="dummy",SUMIFS(AvgBase[Month 11],AvgBase[job_title],$H428),SUMIFS(AvgBase[Month 11],AvgBase[exp_item],$J428,AvgBase[company_name],$B428,AvgBase[bu_name],$C428,AvgBase[dept_name],$D428,AvgBase[team_consolidation],$K428,AvgBase[location_name],$G428,AvgBase[job_title],$H428))*(V218+U218)/2*(1-V323))</f>
        <v>0</v>
      </c>
      <c r="W428" s="652">
        <f>IF($B428="",,IF(LEFT($H428,5)="dummy",SUMIFS(AvgBase[Month 12],AvgBase[job_title],$H428),SUMIFS(AvgBase[Month 12],AvgBase[exp_item],$J428,AvgBase[company_name],$B428,AvgBase[bu_name],$C428,AvgBase[dept_name],$D428,AvgBase[team_consolidation],$K428,AvgBase[location_name],$G428,AvgBase[job_title],$H428))*(W218+V218)/2*(1-W323))</f>
        <v>0</v>
      </c>
      <c r="X428" s="652">
        <f>IF($B428="",,IF(LEFT($H428,5)="dummy",SUMIFS(AvgBase[Month 13],AvgBase[job_title],$H428),SUMIFS(AvgBase[Month 13],AvgBase[exp_item],$J428,AvgBase[company_name],$B428,AvgBase[bu_name],$C428,AvgBase[dept_name],$D428,AvgBase[team_consolidation],$K428,AvgBase[location_name],$G428,AvgBase[job_title],$H428))*(X218+W218)/2*(1-X323))</f>
        <v>0</v>
      </c>
      <c r="Y428" s="652">
        <f>IF($B428="",,IF(LEFT($H428,5)="dummy",SUMIFS(AvgBase[Month 14],AvgBase[job_title],$H428),SUMIFS(AvgBase[Month 14],AvgBase[exp_item],$J428,AvgBase[company_name],$B428,AvgBase[bu_name],$C428,AvgBase[dept_name],$D428,AvgBase[team_consolidation],$K428,AvgBase[location_name],$G428,AvgBase[job_title],$H428))*(Y218+X218)/2*(1-Y323))</f>
        <v>0</v>
      </c>
      <c r="Z428" s="652">
        <f>IF($B428="",,IF(LEFT($H428,5)="dummy",SUMIFS(AvgBase[Month 15],AvgBase[job_title],$H428),SUMIFS(AvgBase[Month 15],AvgBase[exp_item],$J428,AvgBase[company_name],$B428,AvgBase[bu_name],$C428,AvgBase[dept_name],$D428,AvgBase[team_consolidation],$K428,AvgBase[location_name],$G428,AvgBase[job_title],$H428))*(Z218+Y218)/2*(1-Z323))</f>
        <v>0</v>
      </c>
      <c r="AA428" s="652">
        <f>IF($B428="",,IF(LEFT($H428,5)="dummy",SUMIFS(AvgBase[Month 16],AvgBase[job_title],$H428),SUMIFS(AvgBase[Month 16],AvgBase[exp_item],$J428,AvgBase[company_name],$B428,AvgBase[bu_name],$C428,AvgBase[dept_name],$D428,AvgBase[team_consolidation],$K428,AvgBase[location_name],$G428,AvgBase[job_title],$H428))*(AA218+Z218)/2*(1-AA323))</f>
        <v>0</v>
      </c>
      <c r="AB428" s="652">
        <f>IF($B428="",,IF(LEFT($H428,5)="dummy",SUMIFS(AvgBase[Month 17],AvgBase[job_title],$H428),SUMIFS(AvgBase[Month 17],AvgBase[exp_item],$J428,AvgBase[company_name],$B428,AvgBase[bu_name],$C428,AvgBase[dept_name],$D428,AvgBase[team_consolidation],$K428,AvgBase[location_name],$G428,AvgBase[job_title],$H428))*(AB218+AA218)/2*(1-AB323))</f>
        <v>0</v>
      </c>
      <c r="AC428" s="652">
        <f>IF($B428="",,IF(LEFT($H428,5)="dummy",SUMIFS(AvgBase[Month 18],AvgBase[job_title],$H428),SUMIFS(AvgBase[Month 18],AvgBase[exp_item],$J428,AvgBase[company_name],$B428,AvgBase[bu_name],$C428,AvgBase[dept_name],$D428,AvgBase[team_consolidation],$K428,AvgBase[location_name],$G428,AvgBase[job_title],$H428))*(AC218+AB218)/2*(1-AC323))</f>
        <v>0</v>
      </c>
      <c r="AD428" s="652">
        <f>IF($B428="",,IF(LEFT($H428,5)="dummy",SUMIFS(AvgBase[Month 19],AvgBase[job_title],$H428),SUMIFS(AvgBase[Month 19],AvgBase[exp_item],$J428,AvgBase[company_name],$B428,AvgBase[bu_name],$C428,AvgBase[dept_name],$D428,AvgBase[team_consolidation],$K428,AvgBase[location_name],$G428,AvgBase[job_title],$H428))*(AD218+AC218)/2*(1-AD323))</f>
        <v>0</v>
      </c>
      <c r="AE428" s="652">
        <f>IF($B428="",,IF(LEFT($H428,5)="dummy",SUMIFS(AvgBase[Month 20],AvgBase[job_title],$H428),SUMIFS(AvgBase[Month 20],AvgBase[exp_item],$J428,AvgBase[company_name],$B428,AvgBase[bu_name],$C428,AvgBase[dept_name],$D428,AvgBase[team_consolidation],$K428,AvgBase[location_name],$G428,AvgBase[job_title],$H428))*(AE218+AD218)/2*(1-AE323))</f>
        <v>0</v>
      </c>
      <c r="AF428" s="652">
        <f>IF($B428="",,IF(LEFT($H428,5)="dummy",SUMIFS(AvgBase[Month 21],AvgBase[job_title],$H428),SUMIFS(AvgBase[Month 21],AvgBase[exp_item],$J428,AvgBase[company_name],$B428,AvgBase[bu_name],$C428,AvgBase[dept_name],$D428,AvgBase[team_consolidation],$K428,AvgBase[location_name],$G428,AvgBase[job_title],$H428))*(AF218+AE218)/2*(1-AF323))</f>
        <v>0</v>
      </c>
      <c r="AG428" s="652">
        <f>IF($B428="",,IF(LEFT($H428,5)="dummy",SUMIFS(AvgBase[Month 22],AvgBase[job_title],$H428),SUMIFS(AvgBase[Month 22],AvgBase[exp_item],$J428,AvgBase[company_name],$B428,AvgBase[bu_name],$C428,AvgBase[dept_name],$D428,AvgBase[team_consolidation],$K428,AvgBase[location_name],$G428,AvgBase[job_title],$H428))*(AG218+AF218)/2*(1-AG323))</f>
        <v>0</v>
      </c>
      <c r="AH428" s="652">
        <f>IF($B428="",,IF(LEFT($H428,5)="dummy",SUMIFS(AvgBase[Month 23],AvgBase[job_title],$H428),SUMIFS(AvgBase[Month 23],AvgBase[exp_item],$J428,AvgBase[company_name],$B428,AvgBase[bu_name],$C428,AvgBase[dept_name],$D428,AvgBase[team_consolidation],$K428,AvgBase[location_name],$G428,AvgBase[job_title],$H428))*(AH218+AG218)/2*(1-AH323))</f>
        <v>0</v>
      </c>
      <c r="AI428" s="652">
        <f>IF($B428="",,IF(LEFT($H428,5)="dummy",SUMIFS(AvgBase[Month 24],AvgBase[job_title],$H428),SUMIFS(AvgBase[Month 24],AvgBase[exp_item],$J428,AvgBase[company_name],$B428,AvgBase[bu_name],$C428,AvgBase[dept_name],$D428,AvgBase[team_consolidation],$K428,AvgBase[location_name],$G428,AvgBase[job_title],$H428))*(AI218+AH218)/2*(1-AI323))</f>
        <v>0</v>
      </c>
      <c r="AJ428" s="652">
        <f>IF($B428="",,IF(LEFT($H428,5)="dummy",SUMIFS(AvgBase[Month 25],AvgBase[job_title],$H428),SUMIFS(AvgBase[Month 25],AvgBase[exp_item],$J428,AvgBase[company_name],$B428,AvgBase[bu_name],$C428,AvgBase[dept_name],$D428,AvgBase[team_consolidation],$K428,AvgBase[location_name],$G428,AvgBase[job_title],$H428))*(AJ218+AI218)/2*(1-AJ323))</f>
        <v>0</v>
      </c>
      <c r="AK428" s="652">
        <f>IF($B428="",,IF(LEFT($H428,5)="dummy",SUMIFS(AvgBase[Month 26],AvgBase[job_title],$H428),SUMIFS(AvgBase[Month 26],AvgBase[exp_item],$J428,AvgBase[company_name],$B428,AvgBase[bu_name],$C428,AvgBase[dept_name],$D428,AvgBase[team_consolidation],$K428,AvgBase[location_name],$G428,AvgBase[job_title],$H428))*(AK218+AJ218)/2*(1-AK323))</f>
        <v>0</v>
      </c>
      <c r="AL428" s="652">
        <f>IF($B428="",,IF(LEFT($H428,5)="dummy",SUMIFS(AvgBase[Month 27],AvgBase[job_title],$H428),SUMIFS(AvgBase[Month 27],AvgBase[exp_item],$J428,AvgBase[company_name],$B428,AvgBase[bu_name],$C428,AvgBase[dept_name],$D428,AvgBase[team_consolidation],$K428,AvgBase[location_name],$G428,AvgBase[job_title],$H428))*(AL218+AK218)/2*(1-AL323))</f>
        <v>0</v>
      </c>
      <c r="AM428" s="652">
        <f>IF($B428="",,IF(LEFT($H428,5)="dummy",SUMIFS(AvgBase[Month 28],AvgBase[job_title],$H428),SUMIFS(AvgBase[Month 28],AvgBase[exp_item],$J428,AvgBase[company_name],$B428,AvgBase[bu_name],$C428,AvgBase[dept_name],$D428,AvgBase[team_consolidation],$K428,AvgBase[location_name],$G428,AvgBase[job_title],$H428))*(AM218+AL218)/2*(1-AM323))</f>
        <v>0</v>
      </c>
      <c r="AN428" s="652">
        <f>IF($B428="",,IF(LEFT($H428,5)="dummy",SUMIFS(AvgBase[Month 29],AvgBase[job_title],$H428),SUMIFS(AvgBase[Month 29],AvgBase[exp_item],$J428,AvgBase[company_name],$B428,AvgBase[bu_name],$C428,AvgBase[dept_name],$D428,AvgBase[team_consolidation],$K428,AvgBase[location_name],$G428,AvgBase[job_title],$H428))*(AN218+AM218)/2*(1-AN323))</f>
        <v>0</v>
      </c>
      <c r="AO428" s="652">
        <f>IF($B428="",,IF(LEFT($H428,5)="dummy",SUMIFS(AvgBase[Month 30],AvgBase[job_title],$H428),SUMIFS(AvgBase[Month 30],AvgBase[exp_item],$J428,AvgBase[company_name],$B428,AvgBase[bu_name],$C428,AvgBase[dept_name],$D428,AvgBase[team_consolidation],$K428,AvgBase[location_name],$G428,AvgBase[job_title],$H428))*(AO218+AN218)/2*(1-AO323))</f>
        <v>0</v>
      </c>
      <c r="AP428" s="652">
        <f>IF($B428="",,IF(LEFT($H428,5)="dummy",SUMIFS(AvgBase[Month 31],AvgBase[job_title],$H428),SUMIFS(AvgBase[Month 31],AvgBase[exp_item],$J428,AvgBase[company_name],$B428,AvgBase[bu_name],$C428,AvgBase[dept_name],$D428,AvgBase[team_consolidation],$K428,AvgBase[location_name],$G428,AvgBase[job_title],$H428))*(AP218+AO218)/2*(1-AP323))</f>
        <v>0</v>
      </c>
      <c r="AQ428" s="652">
        <f>IF($B428="",,IF(LEFT($H428,5)="dummy",SUMIFS(AvgBase[Month 32],AvgBase[job_title],$H428),SUMIFS(AvgBase[Month 32],AvgBase[exp_item],$J428,AvgBase[company_name],$B428,AvgBase[bu_name],$C428,AvgBase[dept_name],$D428,AvgBase[team_consolidation],$K428,AvgBase[location_name],$G428,AvgBase[job_title],$H428))*(AQ218+AP218)/2*(1-AQ323))</f>
        <v>0</v>
      </c>
      <c r="AR428" s="652">
        <f>IF($B428="",,IF(LEFT($H428,5)="dummy",SUMIFS(AvgBase[Month 33],AvgBase[job_title],$H428),SUMIFS(AvgBase[Month 33],AvgBase[exp_item],$J428,AvgBase[company_name],$B428,AvgBase[bu_name],$C428,AvgBase[dept_name],$D428,AvgBase[team_consolidation],$K428,AvgBase[location_name],$G428,AvgBase[job_title],$H428))*(AR218+AQ218)/2*(1-AR323))</f>
        <v>0</v>
      </c>
      <c r="AS428" s="652">
        <f>IF($B428="",,IF(LEFT($H428,5)="dummy",SUMIFS(AvgBase[Month 34],AvgBase[job_title],$H428),SUMIFS(AvgBase[Month 34],AvgBase[exp_item],$J428,AvgBase[company_name],$B428,AvgBase[bu_name],$C428,AvgBase[dept_name],$D428,AvgBase[team_consolidation],$K428,AvgBase[location_name],$G428,AvgBase[job_title],$H428))*(AS218+AR218)/2*(1-AS323))</f>
        <v>0</v>
      </c>
      <c r="AT428" s="652">
        <f>IF($B428="",,IF(LEFT($H428,5)="dummy",SUMIFS(AvgBase[Month 35],AvgBase[job_title],$H428),SUMIFS(AvgBase[Month 35],AvgBase[exp_item],$J428,AvgBase[company_name],$B428,AvgBase[bu_name],$C428,AvgBase[dept_name],$D428,AvgBase[team_consolidation],$K428,AvgBase[location_name],$G428,AvgBase[job_title],$H428))*(AT218+AS218)/2*(1-AT323))</f>
        <v>0</v>
      </c>
      <c r="AU428" s="652">
        <f>IF($B428="",,IF(LEFT($H428,5)="dummy",SUMIFS(AvgBase[Month 36],AvgBase[job_title],$H428),SUMIFS(AvgBase[Month 36],AvgBase[exp_item],$J428,AvgBase[company_name],$B428,AvgBase[bu_name],$C428,AvgBase[dept_name],$D428,AvgBase[team_consolidation],$K428,AvgBase[location_name],$G428,AvgBase[job_title],$H428))*(AU218+AT218)/2*(1-AU323))</f>
        <v>0</v>
      </c>
    </row>
    <row r="429" spans="2:47" x14ac:dyDescent="0.35">
      <c r="B429" t="str">
        <f t="shared" si="278"/>
        <v/>
      </c>
      <c r="C429" t="str">
        <f t="shared" si="278"/>
        <v/>
      </c>
      <c r="D429" t="str">
        <f t="shared" si="278"/>
        <v/>
      </c>
      <c r="E429" t="str">
        <f t="shared" si="278"/>
        <v/>
      </c>
      <c r="F429" t="str">
        <f t="shared" si="278"/>
        <v/>
      </c>
      <c r="G429" t="str">
        <f t="shared" si="278"/>
        <v/>
      </c>
      <c r="H429" t="str">
        <f t="shared" si="279"/>
        <v/>
      </c>
      <c r="J429" t="str">
        <f>IF($H429="","",IF(VLOOKUP($B$395,ExpItems[],2,0),$B$395&amp;" - "&amp;INDEX(DivisionMapping[category_code],MATCH($D429&amp;$C429,DivisionMapping[dept_bu],0)),$B$395))</f>
        <v/>
      </c>
      <c r="K429" t="str">
        <f t="shared" si="275"/>
        <v/>
      </c>
      <c r="L429" s="652">
        <f>IF($B429="",,IF(LEFT($H429,5)="dummy",SUMIFS(AvgBase[Month 1],AvgBase[job_title],$H429),SUMIFS(AvgBase[Month 1],AvgBase[exp_item],$J429,AvgBase[company_name],$B429,AvgBase[bu_name],$C429,AvgBase[dept_name],$D429,AvgBase[team_consolidation],$K429,AvgBase[location_name],$G429,AvgBase[job_title],$H429))*L219/2*(1-L324))</f>
        <v>0</v>
      </c>
      <c r="M429" s="652">
        <f>IF($B429="",,IF(LEFT($H429,5)="dummy",SUMIFS(AvgBase[Month 2],AvgBase[job_title],$H429),SUMIFS(AvgBase[Month 2],AvgBase[exp_item],$J429,AvgBase[company_name],$B429,AvgBase[bu_name],$C429,AvgBase[dept_name],$D429,AvgBase[team_consolidation],$K429,AvgBase[location_name],$G429,AvgBase[job_title],$H429))*(M219+L219)/2*(1-M324))</f>
        <v>0</v>
      </c>
      <c r="N429" s="652">
        <f>IF($B429="",,IF(LEFT($H429,5)="dummy",SUMIFS(AvgBase[Month 3],AvgBase[job_title],$H429),SUMIFS(AvgBase[Month 3],AvgBase[exp_item],$J429,AvgBase[company_name],$B429,AvgBase[bu_name],$C429,AvgBase[dept_name],$D429,AvgBase[team_consolidation],$K429,AvgBase[location_name],$G429,AvgBase[job_title],$H429))*(N219+M219)/2*(1-N324))</f>
        <v>0</v>
      </c>
      <c r="O429" s="652">
        <f>IF($B429="",,IF(LEFT($H429,5)="dummy",SUMIFS(AvgBase[Month 4],AvgBase[job_title],$H429),SUMIFS(AvgBase[Month 4],AvgBase[exp_item],$J429,AvgBase[company_name],$B429,AvgBase[bu_name],$C429,AvgBase[dept_name],$D429,AvgBase[team_consolidation],$K429,AvgBase[location_name],$G429,AvgBase[job_title],$H429))*(O219+N219)/2*(1-O324))</f>
        <v>0</v>
      </c>
      <c r="P429" s="652">
        <f>IF($B429="",,IF(LEFT($H429,5)="dummy",SUMIFS(AvgBase[Month 5],AvgBase[job_title],$H429),SUMIFS(AvgBase[Month 5],AvgBase[exp_item],$J429,AvgBase[company_name],$B429,AvgBase[bu_name],$C429,AvgBase[dept_name],$D429,AvgBase[team_consolidation],$K429,AvgBase[location_name],$G429,AvgBase[job_title],$H429))*(P219+O219)/2*(1-P324))</f>
        <v>0</v>
      </c>
      <c r="Q429" s="652">
        <f>IF($B429="",,IF(LEFT($H429,5)="dummy",SUMIFS(AvgBase[Month 6],AvgBase[job_title],$H429),SUMIFS(AvgBase[Month 6],AvgBase[exp_item],$J429,AvgBase[company_name],$B429,AvgBase[bu_name],$C429,AvgBase[dept_name],$D429,AvgBase[team_consolidation],$K429,AvgBase[location_name],$G429,AvgBase[job_title],$H429))*(Q219+P219)/2*(1-Q324))</f>
        <v>0</v>
      </c>
      <c r="R429" s="652">
        <f>IF($B429="",,IF(LEFT($H429,5)="dummy",SUMIFS(AvgBase[Month 7],AvgBase[job_title],$H429),SUMIFS(AvgBase[Month 7],AvgBase[exp_item],$J429,AvgBase[company_name],$B429,AvgBase[bu_name],$C429,AvgBase[dept_name],$D429,AvgBase[team_consolidation],$K429,AvgBase[location_name],$G429,AvgBase[job_title],$H429))*(R219+Q219)/2*(1-R324))</f>
        <v>0</v>
      </c>
      <c r="S429" s="652">
        <f>IF($B429="",,IF(LEFT($H429,5)="dummy",SUMIFS(AvgBase[Month 8],AvgBase[job_title],$H429),SUMIFS(AvgBase[Month 8],AvgBase[exp_item],$J429,AvgBase[company_name],$B429,AvgBase[bu_name],$C429,AvgBase[dept_name],$D429,AvgBase[team_consolidation],$K429,AvgBase[location_name],$G429,AvgBase[job_title],$H429))*(S219+R219)/2*(1-S324))</f>
        <v>0</v>
      </c>
      <c r="T429" s="652">
        <f>IF($B429="",,IF(LEFT($H429,5)="dummy",SUMIFS(AvgBase[Month 9],AvgBase[job_title],$H429),SUMIFS(AvgBase[Month 9],AvgBase[exp_item],$J429,AvgBase[company_name],$B429,AvgBase[bu_name],$C429,AvgBase[dept_name],$D429,AvgBase[team_consolidation],$K429,AvgBase[location_name],$G429,AvgBase[job_title],$H429))*(T219+S219)/2*(1-T324))</f>
        <v>0</v>
      </c>
      <c r="U429" s="652">
        <f>IF($B429="",,IF(LEFT($H429,5)="dummy",SUMIFS(AvgBase[Month 10],AvgBase[job_title],$H429),SUMIFS(AvgBase[Month 10],AvgBase[exp_item],$J429,AvgBase[company_name],$B429,AvgBase[bu_name],$C429,AvgBase[dept_name],$D429,AvgBase[team_consolidation],$K429,AvgBase[location_name],$G429,AvgBase[job_title],$H429))*(U219+T219)/2*(1-U324))</f>
        <v>0</v>
      </c>
      <c r="V429" s="652">
        <f>IF($B429="",,IF(LEFT($H429,5)="dummy",SUMIFS(AvgBase[Month 11],AvgBase[job_title],$H429),SUMIFS(AvgBase[Month 11],AvgBase[exp_item],$J429,AvgBase[company_name],$B429,AvgBase[bu_name],$C429,AvgBase[dept_name],$D429,AvgBase[team_consolidation],$K429,AvgBase[location_name],$G429,AvgBase[job_title],$H429))*(V219+U219)/2*(1-V324))</f>
        <v>0</v>
      </c>
      <c r="W429" s="652">
        <f>IF($B429="",,IF(LEFT($H429,5)="dummy",SUMIFS(AvgBase[Month 12],AvgBase[job_title],$H429),SUMIFS(AvgBase[Month 12],AvgBase[exp_item],$J429,AvgBase[company_name],$B429,AvgBase[bu_name],$C429,AvgBase[dept_name],$D429,AvgBase[team_consolidation],$K429,AvgBase[location_name],$G429,AvgBase[job_title],$H429))*(W219+V219)/2*(1-W324))</f>
        <v>0</v>
      </c>
      <c r="X429" s="652">
        <f>IF($B429="",,IF(LEFT($H429,5)="dummy",SUMIFS(AvgBase[Month 13],AvgBase[job_title],$H429),SUMIFS(AvgBase[Month 13],AvgBase[exp_item],$J429,AvgBase[company_name],$B429,AvgBase[bu_name],$C429,AvgBase[dept_name],$D429,AvgBase[team_consolidation],$K429,AvgBase[location_name],$G429,AvgBase[job_title],$H429))*(X219+W219)/2*(1-X324))</f>
        <v>0</v>
      </c>
      <c r="Y429" s="652">
        <f>IF($B429="",,IF(LEFT($H429,5)="dummy",SUMIFS(AvgBase[Month 14],AvgBase[job_title],$H429),SUMIFS(AvgBase[Month 14],AvgBase[exp_item],$J429,AvgBase[company_name],$B429,AvgBase[bu_name],$C429,AvgBase[dept_name],$D429,AvgBase[team_consolidation],$K429,AvgBase[location_name],$G429,AvgBase[job_title],$H429))*(Y219+X219)/2*(1-Y324))</f>
        <v>0</v>
      </c>
      <c r="Z429" s="652">
        <f>IF($B429="",,IF(LEFT($H429,5)="dummy",SUMIFS(AvgBase[Month 15],AvgBase[job_title],$H429),SUMIFS(AvgBase[Month 15],AvgBase[exp_item],$J429,AvgBase[company_name],$B429,AvgBase[bu_name],$C429,AvgBase[dept_name],$D429,AvgBase[team_consolidation],$K429,AvgBase[location_name],$G429,AvgBase[job_title],$H429))*(Z219+Y219)/2*(1-Z324))</f>
        <v>0</v>
      </c>
      <c r="AA429" s="652">
        <f>IF($B429="",,IF(LEFT($H429,5)="dummy",SUMIFS(AvgBase[Month 16],AvgBase[job_title],$H429),SUMIFS(AvgBase[Month 16],AvgBase[exp_item],$J429,AvgBase[company_name],$B429,AvgBase[bu_name],$C429,AvgBase[dept_name],$D429,AvgBase[team_consolidation],$K429,AvgBase[location_name],$G429,AvgBase[job_title],$H429))*(AA219+Z219)/2*(1-AA324))</f>
        <v>0</v>
      </c>
      <c r="AB429" s="652">
        <f>IF($B429="",,IF(LEFT($H429,5)="dummy",SUMIFS(AvgBase[Month 17],AvgBase[job_title],$H429),SUMIFS(AvgBase[Month 17],AvgBase[exp_item],$J429,AvgBase[company_name],$B429,AvgBase[bu_name],$C429,AvgBase[dept_name],$D429,AvgBase[team_consolidation],$K429,AvgBase[location_name],$G429,AvgBase[job_title],$H429))*(AB219+AA219)/2*(1-AB324))</f>
        <v>0</v>
      </c>
      <c r="AC429" s="652">
        <f>IF($B429="",,IF(LEFT($H429,5)="dummy",SUMIFS(AvgBase[Month 18],AvgBase[job_title],$H429),SUMIFS(AvgBase[Month 18],AvgBase[exp_item],$J429,AvgBase[company_name],$B429,AvgBase[bu_name],$C429,AvgBase[dept_name],$D429,AvgBase[team_consolidation],$K429,AvgBase[location_name],$G429,AvgBase[job_title],$H429))*(AC219+AB219)/2*(1-AC324))</f>
        <v>0</v>
      </c>
      <c r="AD429" s="652">
        <f>IF($B429="",,IF(LEFT($H429,5)="dummy",SUMIFS(AvgBase[Month 19],AvgBase[job_title],$H429),SUMIFS(AvgBase[Month 19],AvgBase[exp_item],$J429,AvgBase[company_name],$B429,AvgBase[bu_name],$C429,AvgBase[dept_name],$D429,AvgBase[team_consolidation],$K429,AvgBase[location_name],$G429,AvgBase[job_title],$H429))*(AD219+AC219)/2*(1-AD324))</f>
        <v>0</v>
      </c>
      <c r="AE429" s="652">
        <f>IF($B429="",,IF(LEFT($H429,5)="dummy",SUMIFS(AvgBase[Month 20],AvgBase[job_title],$H429),SUMIFS(AvgBase[Month 20],AvgBase[exp_item],$J429,AvgBase[company_name],$B429,AvgBase[bu_name],$C429,AvgBase[dept_name],$D429,AvgBase[team_consolidation],$K429,AvgBase[location_name],$G429,AvgBase[job_title],$H429))*(AE219+AD219)/2*(1-AE324))</f>
        <v>0</v>
      </c>
      <c r="AF429" s="652">
        <f>IF($B429="",,IF(LEFT($H429,5)="dummy",SUMIFS(AvgBase[Month 21],AvgBase[job_title],$H429),SUMIFS(AvgBase[Month 21],AvgBase[exp_item],$J429,AvgBase[company_name],$B429,AvgBase[bu_name],$C429,AvgBase[dept_name],$D429,AvgBase[team_consolidation],$K429,AvgBase[location_name],$G429,AvgBase[job_title],$H429))*(AF219+AE219)/2*(1-AF324))</f>
        <v>0</v>
      </c>
      <c r="AG429" s="652">
        <f>IF($B429="",,IF(LEFT($H429,5)="dummy",SUMIFS(AvgBase[Month 22],AvgBase[job_title],$H429),SUMIFS(AvgBase[Month 22],AvgBase[exp_item],$J429,AvgBase[company_name],$B429,AvgBase[bu_name],$C429,AvgBase[dept_name],$D429,AvgBase[team_consolidation],$K429,AvgBase[location_name],$G429,AvgBase[job_title],$H429))*(AG219+AF219)/2*(1-AG324))</f>
        <v>0</v>
      </c>
      <c r="AH429" s="652">
        <f>IF($B429="",,IF(LEFT($H429,5)="dummy",SUMIFS(AvgBase[Month 23],AvgBase[job_title],$H429),SUMIFS(AvgBase[Month 23],AvgBase[exp_item],$J429,AvgBase[company_name],$B429,AvgBase[bu_name],$C429,AvgBase[dept_name],$D429,AvgBase[team_consolidation],$K429,AvgBase[location_name],$G429,AvgBase[job_title],$H429))*(AH219+AG219)/2*(1-AH324))</f>
        <v>0</v>
      </c>
      <c r="AI429" s="652">
        <f>IF($B429="",,IF(LEFT($H429,5)="dummy",SUMIFS(AvgBase[Month 24],AvgBase[job_title],$H429),SUMIFS(AvgBase[Month 24],AvgBase[exp_item],$J429,AvgBase[company_name],$B429,AvgBase[bu_name],$C429,AvgBase[dept_name],$D429,AvgBase[team_consolidation],$K429,AvgBase[location_name],$G429,AvgBase[job_title],$H429))*(AI219+AH219)/2*(1-AI324))</f>
        <v>0</v>
      </c>
      <c r="AJ429" s="652">
        <f>IF($B429="",,IF(LEFT($H429,5)="dummy",SUMIFS(AvgBase[Month 25],AvgBase[job_title],$H429),SUMIFS(AvgBase[Month 25],AvgBase[exp_item],$J429,AvgBase[company_name],$B429,AvgBase[bu_name],$C429,AvgBase[dept_name],$D429,AvgBase[team_consolidation],$K429,AvgBase[location_name],$G429,AvgBase[job_title],$H429))*(AJ219+AI219)/2*(1-AJ324))</f>
        <v>0</v>
      </c>
      <c r="AK429" s="652">
        <f>IF($B429="",,IF(LEFT($H429,5)="dummy",SUMIFS(AvgBase[Month 26],AvgBase[job_title],$H429),SUMIFS(AvgBase[Month 26],AvgBase[exp_item],$J429,AvgBase[company_name],$B429,AvgBase[bu_name],$C429,AvgBase[dept_name],$D429,AvgBase[team_consolidation],$K429,AvgBase[location_name],$G429,AvgBase[job_title],$H429))*(AK219+AJ219)/2*(1-AK324))</f>
        <v>0</v>
      </c>
      <c r="AL429" s="652">
        <f>IF($B429="",,IF(LEFT($H429,5)="dummy",SUMIFS(AvgBase[Month 27],AvgBase[job_title],$H429),SUMIFS(AvgBase[Month 27],AvgBase[exp_item],$J429,AvgBase[company_name],$B429,AvgBase[bu_name],$C429,AvgBase[dept_name],$D429,AvgBase[team_consolidation],$K429,AvgBase[location_name],$G429,AvgBase[job_title],$H429))*(AL219+AK219)/2*(1-AL324))</f>
        <v>0</v>
      </c>
      <c r="AM429" s="652">
        <f>IF($B429="",,IF(LEFT($H429,5)="dummy",SUMIFS(AvgBase[Month 28],AvgBase[job_title],$H429),SUMIFS(AvgBase[Month 28],AvgBase[exp_item],$J429,AvgBase[company_name],$B429,AvgBase[bu_name],$C429,AvgBase[dept_name],$D429,AvgBase[team_consolidation],$K429,AvgBase[location_name],$G429,AvgBase[job_title],$H429))*(AM219+AL219)/2*(1-AM324))</f>
        <v>0</v>
      </c>
      <c r="AN429" s="652">
        <f>IF($B429="",,IF(LEFT($H429,5)="dummy",SUMIFS(AvgBase[Month 29],AvgBase[job_title],$H429),SUMIFS(AvgBase[Month 29],AvgBase[exp_item],$J429,AvgBase[company_name],$B429,AvgBase[bu_name],$C429,AvgBase[dept_name],$D429,AvgBase[team_consolidation],$K429,AvgBase[location_name],$G429,AvgBase[job_title],$H429))*(AN219+AM219)/2*(1-AN324))</f>
        <v>0</v>
      </c>
      <c r="AO429" s="652">
        <f>IF($B429="",,IF(LEFT($H429,5)="dummy",SUMIFS(AvgBase[Month 30],AvgBase[job_title],$H429),SUMIFS(AvgBase[Month 30],AvgBase[exp_item],$J429,AvgBase[company_name],$B429,AvgBase[bu_name],$C429,AvgBase[dept_name],$D429,AvgBase[team_consolidation],$K429,AvgBase[location_name],$G429,AvgBase[job_title],$H429))*(AO219+AN219)/2*(1-AO324))</f>
        <v>0</v>
      </c>
      <c r="AP429" s="652">
        <f>IF($B429="",,IF(LEFT($H429,5)="dummy",SUMIFS(AvgBase[Month 31],AvgBase[job_title],$H429),SUMIFS(AvgBase[Month 31],AvgBase[exp_item],$J429,AvgBase[company_name],$B429,AvgBase[bu_name],$C429,AvgBase[dept_name],$D429,AvgBase[team_consolidation],$K429,AvgBase[location_name],$G429,AvgBase[job_title],$H429))*(AP219+AO219)/2*(1-AP324))</f>
        <v>0</v>
      </c>
      <c r="AQ429" s="652">
        <f>IF($B429="",,IF(LEFT($H429,5)="dummy",SUMIFS(AvgBase[Month 32],AvgBase[job_title],$H429),SUMIFS(AvgBase[Month 32],AvgBase[exp_item],$J429,AvgBase[company_name],$B429,AvgBase[bu_name],$C429,AvgBase[dept_name],$D429,AvgBase[team_consolidation],$K429,AvgBase[location_name],$G429,AvgBase[job_title],$H429))*(AQ219+AP219)/2*(1-AQ324))</f>
        <v>0</v>
      </c>
      <c r="AR429" s="652">
        <f>IF($B429="",,IF(LEFT($H429,5)="dummy",SUMIFS(AvgBase[Month 33],AvgBase[job_title],$H429),SUMIFS(AvgBase[Month 33],AvgBase[exp_item],$J429,AvgBase[company_name],$B429,AvgBase[bu_name],$C429,AvgBase[dept_name],$D429,AvgBase[team_consolidation],$K429,AvgBase[location_name],$G429,AvgBase[job_title],$H429))*(AR219+AQ219)/2*(1-AR324))</f>
        <v>0</v>
      </c>
      <c r="AS429" s="652">
        <f>IF($B429="",,IF(LEFT($H429,5)="dummy",SUMIFS(AvgBase[Month 34],AvgBase[job_title],$H429),SUMIFS(AvgBase[Month 34],AvgBase[exp_item],$J429,AvgBase[company_name],$B429,AvgBase[bu_name],$C429,AvgBase[dept_name],$D429,AvgBase[team_consolidation],$K429,AvgBase[location_name],$G429,AvgBase[job_title],$H429))*(AS219+AR219)/2*(1-AS324))</f>
        <v>0</v>
      </c>
      <c r="AT429" s="652">
        <f>IF($B429="",,IF(LEFT($H429,5)="dummy",SUMIFS(AvgBase[Month 35],AvgBase[job_title],$H429),SUMIFS(AvgBase[Month 35],AvgBase[exp_item],$J429,AvgBase[company_name],$B429,AvgBase[bu_name],$C429,AvgBase[dept_name],$D429,AvgBase[team_consolidation],$K429,AvgBase[location_name],$G429,AvgBase[job_title],$H429))*(AT219+AS219)/2*(1-AT324))</f>
        <v>0</v>
      </c>
      <c r="AU429" s="652">
        <f>IF($B429="",,IF(LEFT($H429,5)="dummy",SUMIFS(AvgBase[Month 36],AvgBase[job_title],$H429),SUMIFS(AvgBase[Month 36],AvgBase[exp_item],$J429,AvgBase[company_name],$B429,AvgBase[bu_name],$C429,AvgBase[dept_name],$D429,AvgBase[team_consolidation],$K429,AvgBase[location_name],$G429,AvgBase[job_title],$H429))*(AU219+AT219)/2*(1-AU324))</f>
        <v>0</v>
      </c>
    </row>
    <row r="430" spans="2:47" x14ac:dyDescent="0.35">
      <c r="B430" t="str">
        <f t="shared" si="278"/>
        <v/>
      </c>
      <c r="C430" t="str">
        <f t="shared" si="278"/>
        <v/>
      </c>
      <c r="D430" t="str">
        <f t="shared" si="278"/>
        <v/>
      </c>
      <c r="E430" t="str">
        <f t="shared" si="278"/>
        <v/>
      </c>
      <c r="F430" t="str">
        <f t="shared" si="278"/>
        <v/>
      </c>
      <c r="G430" t="str">
        <f t="shared" si="278"/>
        <v/>
      </c>
      <c r="H430" t="str">
        <f t="shared" si="279"/>
        <v/>
      </c>
      <c r="J430" t="str">
        <f>IF($H430="","",IF(VLOOKUP($B$395,ExpItems[],2,0),$B$395&amp;" - "&amp;INDEX(DivisionMapping[category_code],MATCH($D430&amp;$C430,DivisionMapping[dept_bu],0)),$B$395))</f>
        <v/>
      </c>
      <c r="K430" t="str">
        <f t="shared" si="275"/>
        <v/>
      </c>
      <c r="L430" s="652">
        <f>IF($B430="",,IF(LEFT($H430,5)="dummy",SUMIFS(AvgBase[Month 1],AvgBase[job_title],$H430),SUMIFS(AvgBase[Month 1],AvgBase[exp_item],$J430,AvgBase[company_name],$B430,AvgBase[bu_name],$C430,AvgBase[dept_name],$D430,AvgBase[team_consolidation],$K430,AvgBase[location_name],$G430,AvgBase[job_title],$H430))*L220/2*(1-L325))</f>
        <v>0</v>
      </c>
      <c r="M430" s="652">
        <f>IF($B430="",,IF(LEFT($H430,5)="dummy",SUMIFS(AvgBase[Month 2],AvgBase[job_title],$H430),SUMIFS(AvgBase[Month 2],AvgBase[exp_item],$J430,AvgBase[company_name],$B430,AvgBase[bu_name],$C430,AvgBase[dept_name],$D430,AvgBase[team_consolidation],$K430,AvgBase[location_name],$G430,AvgBase[job_title],$H430))*(M220+L220)/2*(1-M325))</f>
        <v>0</v>
      </c>
      <c r="N430" s="652">
        <f>IF($B430="",,IF(LEFT($H430,5)="dummy",SUMIFS(AvgBase[Month 3],AvgBase[job_title],$H430),SUMIFS(AvgBase[Month 3],AvgBase[exp_item],$J430,AvgBase[company_name],$B430,AvgBase[bu_name],$C430,AvgBase[dept_name],$D430,AvgBase[team_consolidation],$K430,AvgBase[location_name],$G430,AvgBase[job_title],$H430))*(N220+M220)/2*(1-N325))</f>
        <v>0</v>
      </c>
      <c r="O430" s="652">
        <f>IF($B430="",,IF(LEFT($H430,5)="dummy",SUMIFS(AvgBase[Month 4],AvgBase[job_title],$H430),SUMIFS(AvgBase[Month 4],AvgBase[exp_item],$J430,AvgBase[company_name],$B430,AvgBase[bu_name],$C430,AvgBase[dept_name],$D430,AvgBase[team_consolidation],$K430,AvgBase[location_name],$G430,AvgBase[job_title],$H430))*(O220+N220)/2*(1-O325))</f>
        <v>0</v>
      </c>
      <c r="P430" s="652">
        <f>IF($B430="",,IF(LEFT($H430,5)="dummy",SUMIFS(AvgBase[Month 5],AvgBase[job_title],$H430),SUMIFS(AvgBase[Month 5],AvgBase[exp_item],$J430,AvgBase[company_name],$B430,AvgBase[bu_name],$C430,AvgBase[dept_name],$D430,AvgBase[team_consolidation],$K430,AvgBase[location_name],$G430,AvgBase[job_title],$H430))*(P220+O220)/2*(1-P325))</f>
        <v>0</v>
      </c>
      <c r="Q430" s="652">
        <f>IF($B430="",,IF(LEFT($H430,5)="dummy",SUMIFS(AvgBase[Month 6],AvgBase[job_title],$H430),SUMIFS(AvgBase[Month 6],AvgBase[exp_item],$J430,AvgBase[company_name],$B430,AvgBase[bu_name],$C430,AvgBase[dept_name],$D430,AvgBase[team_consolidation],$K430,AvgBase[location_name],$G430,AvgBase[job_title],$H430))*(Q220+P220)/2*(1-Q325))</f>
        <v>0</v>
      </c>
      <c r="R430" s="652">
        <f>IF($B430="",,IF(LEFT($H430,5)="dummy",SUMIFS(AvgBase[Month 7],AvgBase[job_title],$H430),SUMIFS(AvgBase[Month 7],AvgBase[exp_item],$J430,AvgBase[company_name],$B430,AvgBase[bu_name],$C430,AvgBase[dept_name],$D430,AvgBase[team_consolidation],$K430,AvgBase[location_name],$G430,AvgBase[job_title],$H430))*(R220+Q220)/2*(1-R325))</f>
        <v>0</v>
      </c>
      <c r="S430" s="652">
        <f>IF($B430="",,IF(LEFT($H430,5)="dummy",SUMIFS(AvgBase[Month 8],AvgBase[job_title],$H430),SUMIFS(AvgBase[Month 8],AvgBase[exp_item],$J430,AvgBase[company_name],$B430,AvgBase[bu_name],$C430,AvgBase[dept_name],$D430,AvgBase[team_consolidation],$K430,AvgBase[location_name],$G430,AvgBase[job_title],$H430))*(S220+R220)/2*(1-S325))</f>
        <v>0</v>
      </c>
      <c r="T430" s="652">
        <f>IF($B430="",,IF(LEFT($H430,5)="dummy",SUMIFS(AvgBase[Month 9],AvgBase[job_title],$H430),SUMIFS(AvgBase[Month 9],AvgBase[exp_item],$J430,AvgBase[company_name],$B430,AvgBase[bu_name],$C430,AvgBase[dept_name],$D430,AvgBase[team_consolidation],$K430,AvgBase[location_name],$G430,AvgBase[job_title],$H430))*(T220+S220)/2*(1-T325))</f>
        <v>0</v>
      </c>
      <c r="U430" s="652">
        <f>IF($B430="",,IF(LEFT($H430,5)="dummy",SUMIFS(AvgBase[Month 10],AvgBase[job_title],$H430),SUMIFS(AvgBase[Month 10],AvgBase[exp_item],$J430,AvgBase[company_name],$B430,AvgBase[bu_name],$C430,AvgBase[dept_name],$D430,AvgBase[team_consolidation],$K430,AvgBase[location_name],$G430,AvgBase[job_title],$H430))*(U220+T220)/2*(1-U325))</f>
        <v>0</v>
      </c>
      <c r="V430" s="652">
        <f>IF($B430="",,IF(LEFT($H430,5)="dummy",SUMIFS(AvgBase[Month 11],AvgBase[job_title],$H430),SUMIFS(AvgBase[Month 11],AvgBase[exp_item],$J430,AvgBase[company_name],$B430,AvgBase[bu_name],$C430,AvgBase[dept_name],$D430,AvgBase[team_consolidation],$K430,AvgBase[location_name],$G430,AvgBase[job_title],$H430))*(V220+U220)/2*(1-V325))</f>
        <v>0</v>
      </c>
      <c r="W430" s="652">
        <f>IF($B430="",,IF(LEFT($H430,5)="dummy",SUMIFS(AvgBase[Month 12],AvgBase[job_title],$H430),SUMIFS(AvgBase[Month 12],AvgBase[exp_item],$J430,AvgBase[company_name],$B430,AvgBase[bu_name],$C430,AvgBase[dept_name],$D430,AvgBase[team_consolidation],$K430,AvgBase[location_name],$G430,AvgBase[job_title],$H430))*(W220+V220)/2*(1-W325))</f>
        <v>0</v>
      </c>
      <c r="X430" s="652">
        <f>IF($B430="",,IF(LEFT($H430,5)="dummy",SUMIFS(AvgBase[Month 13],AvgBase[job_title],$H430),SUMIFS(AvgBase[Month 13],AvgBase[exp_item],$J430,AvgBase[company_name],$B430,AvgBase[bu_name],$C430,AvgBase[dept_name],$D430,AvgBase[team_consolidation],$K430,AvgBase[location_name],$G430,AvgBase[job_title],$H430))*(X220+W220)/2*(1-X325))</f>
        <v>0</v>
      </c>
      <c r="Y430" s="652">
        <f>IF($B430="",,IF(LEFT($H430,5)="dummy",SUMIFS(AvgBase[Month 14],AvgBase[job_title],$H430),SUMIFS(AvgBase[Month 14],AvgBase[exp_item],$J430,AvgBase[company_name],$B430,AvgBase[bu_name],$C430,AvgBase[dept_name],$D430,AvgBase[team_consolidation],$K430,AvgBase[location_name],$G430,AvgBase[job_title],$H430))*(Y220+X220)/2*(1-Y325))</f>
        <v>0</v>
      </c>
      <c r="Z430" s="652">
        <f>IF($B430="",,IF(LEFT($H430,5)="dummy",SUMIFS(AvgBase[Month 15],AvgBase[job_title],$H430),SUMIFS(AvgBase[Month 15],AvgBase[exp_item],$J430,AvgBase[company_name],$B430,AvgBase[bu_name],$C430,AvgBase[dept_name],$D430,AvgBase[team_consolidation],$K430,AvgBase[location_name],$G430,AvgBase[job_title],$H430))*(Z220+Y220)/2*(1-Z325))</f>
        <v>0</v>
      </c>
      <c r="AA430" s="652">
        <f>IF($B430="",,IF(LEFT($H430,5)="dummy",SUMIFS(AvgBase[Month 16],AvgBase[job_title],$H430),SUMIFS(AvgBase[Month 16],AvgBase[exp_item],$J430,AvgBase[company_name],$B430,AvgBase[bu_name],$C430,AvgBase[dept_name],$D430,AvgBase[team_consolidation],$K430,AvgBase[location_name],$G430,AvgBase[job_title],$H430))*(AA220+Z220)/2*(1-AA325))</f>
        <v>0</v>
      </c>
      <c r="AB430" s="652">
        <f>IF($B430="",,IF(LEFT($H430,5)="dummy",SUMIFS(AvgBase[Month 17],AvgBase[job_title],$H430),SUMIFS(AvgBase[Month 17],AvgBase[exp_item],$J430,AvgBase[company_name],$B430,AvgBase[bu_name],$C430,AvgBase[dept_name],$D430,AvgBase[team_consolidation],$K430,AvgBase[location_name],$G430,AvgBase[job_title],$H430))*(AB220+AA220)/2*(1-AB325))</f>
        <v>0</v>
      </c>
      <c r="AC430" s="652">
        <f>IF($B430="",,IF(LEFT($H430,5)="dummy",SUMIFS(AvgBase[Month 18],AvgBase[job_title],$H430),SUMIFS(AvgBase[Month 18],AvgBase[exp_item],$J430,AvgBase[company_name],$B430,AvgBase[bu_name],$C430,AvgBase[dept_name],$D430,AvgBase[team_consolidation],$K430,AvgBase[location_name],$G430,AvgBase[job_title],$H430))*(AC220+AB220)/2*(1-AC325))</f>
        <v>0</v>
      </c>
      <c r="AD430" s="652">
        <f>IF($B430="",,IF(LEFT($H430,5)="dummy",SUMIFS(AvgBase[Month 19],AvgBase[job_title],$H430),SUMIFS(AvgBase[Month 19],AvgBase[exp_item],$J430,AvgBase[company_name],$B430,AvgBase[bu_name],$C430,AvgBase[dept_name],$D430,AvgBase[team_consolidation],$K430,AvgBase[location_name],$G430,AvgBase[job_title],$H430))*(AD220+AC220)/2*(1-AD325))</f>
        <v>0</v>
      </c>
      <c r="AE430" s="652">
        <f>IF($B430="",,IF(LEFT($H430,5)="dummy",SUMIFS(AvgBase[Month 20],AvgBase[job_title],$H430),SUMIFS(AvgBase[Month 20],AvgBase[exp_item],$J430,AvgBase[company_name],$B430,AvgBase[bu_name],$C430,AvgBase[dept_name],$D430,AvgBase[team_consolidation],$K430,AvgBase[location_name],$G430,AvgBase[job_title],$H430))*(AE220+AD220)/2*(1-AE325))</f>
        <v>0</v>
      </c>
      <c r="AF430" s="652">
        <f>IF($B430="",,IF(LEFT($H430,5)="dummy",SUMIFS(AvgBase[Month 21],AvgBase[job_title],$H430),SUMIFS(AvgBase[Month 21],AvgBase[exp_item],$J430,AvgBase[company_name],$B430,AvgBase[bu_name],$C430,AvgBase[dept_name],$D430,AvgBase[team_consolidation],$K430,AvgBase[location_name],$G430,AvgBase[job_title],$H430))*(AF220+AE220)/2*(1-AF325))</f>
        <v>0</v>
      </c>
      <c r="AG430" s="652">
        <f>IF($B430="",,IF(LEFT($H430,5)="dummy",SUMIFS(AvgBase[Month 22],AvgBase[job_title],$H430),SUMIFS(AvgBase[Month 22],AvgBase[exp_item],$J430,AvgBase[company_name],$B430,AvgBase[bu_name],$C430,AvgBase[dept_name],$D430,AvgBase[team_consolidation],$K430,AvgBase[location_name],$G430,AvgBase[job_title],$H430))*(AG220+AF220)/2*(1-AG325))</f>
        <v>0</v>
      </c>
      <c r="AH430" s="652">
        <f>IF($B430="",,IF(LEFT($H430,5)="dummy",SUMIFS(AvgBase[Month 23],AvgBase[job_title],$H430),SUMIFS(AvgBase[Month 23],AvgBase[exp_item],$J430,AvgBase[company_name],$B430,AvgBase[bu_name],$C430,AvgBase[dept_name],$D430,AvgBase[team_consolidation],$K430,AvgBase[location_name],$G430,AvgBase[job_title],$H430))*(AH220+AG220)/2*(1-AH325))</f>
        <v>0</v>
      </c>
      <c r="AI430" s="652">
        <f>IF($B430="",,IF(LEFT($H430,5)="dummy",SUMIFS(AvgBase[Month 24],AvgBase[job_title],$H430),SUMIFS(AvgBase[Month 24],AvgBase[exp_item],$J430,AvgBase[company_name],$B430,AvgBase[bu_name],$C430,AvgBase[dept_name],$D430,AvgBase[team_consolidation],$K430,AvgBase[location_name],$G430,AvgBase[job_title],$H430))*(AI220+AH220)/2*(1-AI325))</f>
        <v>0</v>
      </c>
      <c r="AJ430" s="652">
        <f>IF($B430="",,IF(LEFT($H430,5)="dummy",SUMIFS(AvgBase[Month 25],AvgBase[job_title],$H430),SUMIFS(AvgBase[Month 25],AvgBase[exp_item],$J430,AvgBase[company_name],$B430,AvgBase[bu_name],$C430,AvgBase[dept_name],$D430,AvgBase[team_consolidation],$K430,AvgBase[location_name],$G430,AvgBase[job_title],$H430))*(AJ220+AI220)/2*(1-AJ325))</f>
        <v>0</v>
      </c>
      <c r="AK430" s="652">
        <f>IF($B430="",,IF(LEFT($H430,5)="dummy",SUMIFS(AvgBase[Month 26],AvgBase[job_title],$H430),SUMIFS(AvgBase[Month 26],AvgBase[exp_item],$J430,AvgBase[company_name],$B430,AvgBase[bu_name],$C430,AvgBase[dept_name],$D430,AvgBase[team_consolidation],$K430,AvgBase[location_name],$G430,AvgBase[job_title],$H430))*(AK220+AJ220)/2*(1-AK325))</f>
        <v>0</v>
      </c>
      <c r="AL430" s="652">
        <f>IF($B430="",,IF(LEFT($H430,5)="dummy",SUMIFS(AvgBase[Month 27],AvgBase[job_title],$H430),SUMIFS(AvgBase[Month 27],AvgBase[exp_item],$J430,AvgBase[company_name],$B430,AvgBase[bu_name],$C430,AvgBase[dept_name],$D430,AvgBase[team_consolidation],$K430,AvgBase[location_name],$G430,AvgBase[job_title],$H430))*(AL220+AK220)/2*(1-AL325))</f>
        <v>0</v>
      </c>
      <c r="AM430" s="652">
        <f>IF($B430="",,IF(LEFT($H430,5)="dummy",SUMIFS(AvgBase[Month 28],AvgBase[job_title],$H430),SUMIFS(AvgBase[Month 28],AvgBase[exp_item],$J430,AvgBase[company_name],$B430,AvgBase[bu_name],$C430,AvgBase[dept_name],$D430,AvgBase[team_consolidation],$K430,AvgBase[location_name],$G430,AvgBase[job_title],$H430))*(AM220+AL220)/2*(1-AM325))</f>
        <v>0</v>
      </c>
      <c r="AN430" s="652">
        <f>IF($B430="",,IF(LEFT($H430,5)="dummy",SUMIFS(AvgBase[Month 29],AvgBase[job_title],$H430),SUMIFS(AvgBase[Month 29],AvgBase[exp_item],$J430,AvgBase[company_name],$B430,AvgBase[bu_name],$C430,AvgBase[dept_name],$D430,AvgBase[team_consolidation],$K430,AvgBase[location_name],$G430,AvgBase[job_title],$H430))*(AN220+AM220)/2*(1-AN325))</f>
        <v>0</v>
      </c>
      <c r="AO430" s="652">
        <f>IF($B430="",,IF(LEFT($H430,5)="dummy",SUMIFS(AvgBase[Month 30],AvgBase[job_title],$H430),SUMIFS(AvgBase[Month 30],AvgBase[exp_item],$J430,AvgBase[company_name],$B430,AvgBase[bu_name],$C430,AvgBase[dept_name],$D430,AvgBase[team_consolidation],$K430,AvgBase[location_name],$G430,AvgBase[job_title],$H430))*(AO220+AN220)/2*(1-AO325))</f>
        <v>0</v>
      </c>
      <c r="AP430" s="652">
        <f>IF($B430="",,IF(LEFT($H430,5)="dummy",SUMIFS(AvgBase[Month 31],AvgBase[job_title],$H430),SUMIFS(AvgBase[Month 31],AvgBase[exp_item],$J430,AvgBase[company_name],$B430,AvgBase[bu_name],$C430,AvgBase[dept_name],$D430,AvgBase[team_consolidation],$K430,AvgBase[location_name],$G430,AvgBase[job_title],$H430))*(AP220+AO220)/2*(1-AP325))</f>
        <v>0</v>
      </c>
      <c r="AQ430" s="652">
        <f>IF($B430="",,IF(LEFT($H430,5)="dummy",SUMIFS(AvgBase[Month 32],AvgBase[job_title],$H430),SUMIFS(AvgBase[Month 32],AvgBase[exp_item],$J430,AvgBase[company_name],$B430,AvgBase[bu_name],$C430,AvgBase[dept_name],$D430,AvgBase[team_consolidation],$K430,AvgBase[location_name],$G430,AvgBase[job_title],$H430))*(AQ220+AP220)/2*(1-AQ325))</f>
        <v>0</v>
      </c>
      <c r="AR430" s="652">
        <f>IF($B430="",,IF(LEFT($H430,5)="dummy",SUMIFS(AvgBase[Month 33],AvgBase[job_title],$H430),SUMIFS(AvgBase[Month 33],AvgBase[exp_item],$J430,AvgBase[company_name],$B430,AvgBase[bu_name],$C430,AvgBase[dept_name],$D430,AvgBase[team_consolidation],$K430,AvgBase[location_name],$G430,AvgBase[job_title],$H430))*(AR220+AQ220)/2*(1-AR325))</f>
        <v>0</v>
      </c>
      <c r="AS430" s="652">
        <f>IF($B430="",,IF(LEFT($H430,5)="dummy",SUMIFS(AvgBase[Month 34],AvgBase[job_title],$H430),SUMIFS(AvgBase[Month 34],AvgBase[exp_item],$J430,AvgBase[company_name],$B430,AvgBase[bu_name],$C430,AvgBase[dept_name],$D430,AvgBase[team_consolidation],$K430,AvgBase[location_name],$G430,AvgBase[job_title],$H430))*(AS220+AR220)/2*(1-AS325))</f>
        <v>0</v>
      </c>
      <c r="AT430" s="652">
        <f>IF($B430="",,IF(LEFT($H430,5)="dummy",SUMIFS(AvgBase[Month 35],AvgBase[job_title],$H430),SUMIFS(AvgBase[Month 35],AvgBase[exp_item],$J430,AvgBase[company_name],$B430,AvgBase[bu_name],$C430,AvgBase[dept_name],$D430,AvgBase[team_consolidation],$K430,AvgBase[location_name],$G430,AvgBase[job_title],$H430))*(AT220+AS220)/2*(1-AT325))</f>
        <v>0</v>
      </c>
      <c r="AU430" s="652">
        <f>IF($B430="",,IF(LEFT($H430,5)="dummy",SUMIFS(AvgBase[Month 36],AvgBase[job_title],$H430),SUMIFS(AvgBase[Month 36],AvgBase[exp_item],$J430,AvgBase[company_name],$B430,AvgBase[bu_name],$C430,AvgBase[dept_name],$D430,AvgBase[team_consolidation],$K430,AvgBase[location_name],$G430,AvgBase[job_title],$H430))*(AU220+AT220)/2*(1-AU325))</f>
        <v>0</v>
      </c>
    </row>
    <row r="431" spans="2:47" x14ac:dyDescent="0.35">
      <c r="B431" t="str">
        <f t="shared" si="278"/>
        <v/>
      </c>
      <c r="C431" t="str">
        <f t="shared" si="278"/>
        <v/>
      </c>
      <c r="D431" t="str">
        <f t="shared" si="278"/>
        <v/>
      </c>
      <c r="E431" t="str">
        <f t="shared" si="278"/>
        <v/>
      </c>
      <c r="F431" t="str">
        <f t="shared" si="278"/>
        <v/>
      </c>
      <c r="G431" t="str">
        <f t="shared" si="278"/>
        <v/>
      </c>
      <c r="H431" t="str">
        <f t="shared" si="279"/>
        <v/>
      </c>
      <c r="J431" t="str">
        <f>IF($H431="","",IF(VLOOKUP($B$395,ExpItems[],2,0),$B$395&amp;" - "&amp;INDEX(DivisionMapping[category_code],MATCH($D431&amp;$C431,DivisionMapping[dept_bu],0)),$B$395))</f>
        <v/>
      </c>
      <c r="K431" t="str">
        <f t="shared" si="275"/>
        <v/>
      </c>
      <c r="L431" s="652">
        <f>IF($B431="",,IF(LEFT($H431,5)="dummy",SUMIFS(AvgBase[Month 1],AvgBase[job_title],$H431),SUMIFS(AvgBase[Month 1],AvgBase[exp_item],$J431,AvgBase[company_name],$B431,AvgBase[bu_name],$C431,AvgBase[dept_name],$D431,AvgBase[team_consolidation],$K431,AvgBase[location_name],$G431,AvgBase[job_title],$H431))*L221/2*(1-L326))</f>
        <v>0</v>
      </c>
      <c r="M431" s="652">
        <f>IF($B431="",,IF(LEFT($H431,5)="dummy",SUMIFS(AvgBase[Month 2],AvgBase[job_title],$H431),SUMIFS(AvgBase[Month 2],AvgBase[exp_item],$J431,AvgBase[company_name],$B431,AvgBase[bu_name],$C431,AvgBase[dept_name],$D431,AvgBase[team_consolidation],$K431,AvgBase[location_name],$G431,AvgBase[job_title],$H431))*(M221+L221)/2*(1-M326))</f>
        <v>0</v>
      </c>
      <c r="N431" s="652">
        <f>IF($B431="",,IF(LEFT($H431,5)="dummy",SUMIFS(AvgBase[Month 3],AvgBase[job_title],$H431),SUMIFS(AvgBase[Month 3],AvgBase[exp_item],$J431,AvgBase[company_name],$B431,AvgBase[bu_name],$C431,AvgBase[dept_name],$D431,AvgBase[team_consolidation],$K431,AvgBase[location_name],$G431,AvgBase[job_title],$H431))*(N221+M221)/2*(1-N326))</f>
        <v>0</v>
      </c>
      <c r="O431" s="652">
        <f>IF($B431="",,IF(LEFT($H431,5)="dummy",SUMIFS(AvgBase[Month 4],AvgBase[job_title],$H431),SUMIFS(AvgBase[Month 4],AvgBase[exp_item],$J431,AvgBase[company_name],$B431,AvgBase[bu_name],$C431,AvgBase[dept_name],$D431,AvgBase[team_consolidation],$K431,AvgBase[location_name],$G431,AvgBase[job_title],$H431))*(O221+N221)/2*(1-O326))</f>
        <v>0</v>
      </c>
      <c r="P431" s="652">
        <f>IF($B431="",,IF(LEFT($H431,5)="dummy",SUMIFS(AvgBase[Month 5],AvgBase[job_title],$H431),SUMIFS(AvgBase[Month 5],AvgBase[exp_item],$J431,AvgBase[company_name],$B431,AvgBase[bu_name],$C431,AvgBase[dept_name],$D431,AvgBase[team_consolidation],$K431,AvgBase[location_name],$G431,AvgBase[job_title],$H431))*(P221+O221)/2*(1-P326))</f>
        <v>0</v>
      </c>
      <c r="Q431" s="652">
        <f>IF($B431="",,IF(LEFT($H431,5)="dummy",SUMIFS(AvgBase[Month 6],AvgBase[job_title],$H431),SUMIFS(AvgBase[Month 6],AvgBase[exp_item],$J431,AvgBase[company_name],$B431,AvgBase[bu_name],$C431,AvgBase[dept_name],$D431,AvgBase[team_consolidation],$K431,AvgBase[location_name],$G431,AvgBase[job_title],$H431))*(Q221+P221)/2*(1-Q326))</f>
        <v>0</v>
      </c>
      <c r="R431" s="652">
        <f>IF($B431="",,IF(LEFT($H431,5)="dummy",SUMIFS(AvgBase[Month 7],AvgBase[job_title],$H431),SUMIFS(AvgBase[Month 7],AvgBase[exp_item],$J431,AvgBase[company_name],$B431,AvgBase[bu_name],$C431,AvgBase[dept_name],$D431,AvgBase[team_consolidation],$K431,AvgBase[location_name],$G431,AvgBase[job_title],$H431))*(R221+Q221)/2*(1-R326))</f>
        <v>0</v>
      </c>
      <c r="S431" s="652">
        <f>IF($B431="",,IF(LEFT($H431,5)="dummy",SUMIFS(AvgBase[Month 8],AvgBase[job_title],$H431),SUMIFS(AvgBase[Month 8],AvgBase[exp_item],$J431,AvgBase[company_name],$B431,AvgBase[bu_name],$C431,AvgBase[dept_name],$D431,AvgBase[team_consolidation],$K431,AvgBase[location_name],$G431,AvgBase[job_title],$H431))*(S221+R221)/2*(1-S326))</f>
        <v>0</v>
      </c>
      <c r="T431" s="652">
        <f>IF($B431="",,IF(LEFT($H431,5)="dummy",SUMIFS(AvgBase[Month 9],AvgBase[job_title],$H431),SUMIFS(AvgBase[Month 9],AvgBase[exp_item],$J431,AvgBase[company_name],$B431,AvgBase[bu_name],$C431,AvgBase[dept_name],$D431,AvgBase[team_consolidation],$K431,AvgBase[location_name],$G431,AvgBase[job_title],$H431))*(T221+S221)/2*(1-T326))</f>
        <v>0</v>
      </c>
      <c r="U431" s="652">
        <f>IF($B431="",,IF(LEFT($H431,5)="dummy",SUMIFS(AvgBase[Month 10],AvgBase[job_title],$H431),SUMIFS(AvgBase[Month 10],AvgBase[exp_item],$J431,AvgBase[company_name],$B431,AvgBase[bu_name],$C431,AvgBase[dept_name],$D431,AvgBase[team_consolidation],$K431,AvgBase[location_name],$G431,AvgBase[job_title],$H431))*(U221+T221)/2*(1-U326))</f>
        <v>0</v>
      </c>
      <c r="V431" s="652">
        <f>IF($B431="",,IF(LEFT($H431,5)="dummy",SUMIFS(AvgBase[Month 11],AvgBase[job_title],$H431),SUMIFS(AvgBase[Month 11],AvgBase[exp_item],$J431,AvgBase[company_name],$B431,AvgBase[bu_name],$C431,AvgBase[dept_name],$D431,AvgBase[team_consolidation],$K431,AvgBase[location_name],$G431,AvgBase[job_title],$H431))*(V221+U221)/2*(1-V326))</f>
        <v>0</v>
      </c>
      <c r="W431" s="652">
        <f>IF($B431="",,IF(LEFT($H431,5)="dummy",SUMIFS(AvgBase[Month 12],AvgBase[job_title],$H431),SUMIFS(AvgBase[Month 12],AvgBase[exp_item],$J431,AvgBase[company_name],$B431,AvgBase[bu_name],$C431,AvgBase[dept_name],$D431,AvgBase[team_consolidation],$K431,AvgBase[location_name],$G431,AvgBase[job_title],$H431))*(W221+V221)/2*(1-W326))</f>
        <v>0</v>
      </c>
      <c r="X431" s="652">
        <f>IF($B431="",,IF(LEFT($H431,5)="dummy",SUMIFS(AvgBase[Month 13],AvgBase[job_title],$H431),SUMIFS(AvgBase[Month 13],AvgBase[exp_item],$J431,AvgBase[company_name],$B431,AvgBase[bu_name],$C431,AvgBase[dept_name],$D431,AvgBase[team_consolidation],$K431,AvgBase[location_name],$G431,AvgBase[job_title],$H431))*(X221+W221)/2*(1-X326))</f>
        <v>0</v>
      </c>
      <c r="Y431" s="652">
        <f>IF($B431="",,IF(LEFT($H431,5)="dummy",SUMIFS(AvgBase[Month 14],AvgBase[job_title],$H431),SUMIFS(AvgBase[Month 14],AvgBase[exp_item],$J431,AvgBase[company_name],$B431,AvgBase[bu_name],$C431,AvgBase[dept_name],$D431,AvgBase[team_consolidation],$K431,AvgBase[location_name],$G431,AvgBase[job_title],$H431))*(Y221+X221)/2*(1-Y326))</f>
        <v>0</v>
      </c>
      <c r="Z431" s="652">
        <f>IF($B431="",,IF(LEFT($H431,5)="dummy",SUMIFS(AvgBase[Month 15],AvgBase[job_title],$H431),SUMIFS(AvgBase[Month 15],AvgBase[exp_item],$J431,AvgBase[company_name],$B431,AvgBase[bu_name],$C431,AvgBase[dept_name],$D431,AvgBase[team_consolidation],$K431,AvgBase[location_name],$G431,AvgBase[job_title],$H431))*(Z221+Y221)/2*(1-Z326))</f>
        <v>0</v>
      </c>
      <c r="AA431" s="652">
        <f>IF($B431="",,IF(LEFT($H431,5)="dummy",SUMIFS(AvgBase[Month 16],AvgBase[job_title],$H431),SUMIFS(AvgBase[Month 16],AvgBase[exp_item],$J431,AvgBase[company_name],$B431,AvgBase[bu_name],$C431,AvgBase[dept_name],$D431,AvgBase[team_consolidation],$K431,AvgBase[location_name],$G431,AvgBase[job_title],$H431))*(AA221+Z221)/2*(1-AA326))</f>
        <v>0</v>
      </c>
      <c r="AB431" s="652">
        <f>IF($B431="",,IF(LEFT($H431,5)="dummy",SUMIFS(AvgBase[Month 17],AvgBase[job_title],$H431),SUMIFS(AvgBase[Month 17],AvgBase[exp_item],$J431,AvgBase[company_name],$B431,AvgBase[bu_name],$C431,AvgBase[dept_name],$D431,AvgBase[team_consolidation],$K431,AvgBase[location_name],$G431,AvgBase[job_title],$H431))*(AB221+AA221)/2*(1-AB326))</f>
        <v>0</v>
      </c>
      <c r="AC431" s="652">
        <f>IF($B431="",,IF(LEFT($H431,5)="dummy",SUMIFS(AvgBase[Month 18],AvgBase[job_title],$H431),SUMIFS(AvgBase[Month 18],AvgBase[exp_item],$J431,AvgBase[company_name],$B431,AvgBase[bu_name],$C431,AvgBase[dept_name],$D431,AvgBase[team_consolidation],$K431,AvgBase[location_name],$G431,AvgBase[job_title],$H431))*(AC221+AB221)/2*(1-AC326))</f>
        <v>0</v>
      </c>
      <c r="AD431" s="652">
        <f>IF($B431="",,IF(LEFT($H431,5)="dummy",SUMIFS(AvgBase[Month 19],AvgBase[job_title],$H431),SUMIFS(AvgBase[Month 19],AvgBase[exp_item],$J431,AvgBase[company_name],$B431,AvgBase[bu_name],$C431,AvgBase[dept_name],$D431,AvgBase[team_consolidation],$K431,AvgBase[location_name],$G431,AvgBase[job_title],$H431))*(AD221+AC221)/2*(1-AD326))</f>
        <v>0</v>
      </c>
      <c r="AE431" s="652">
        <f>IF($B431="",,IF(LEFT($H431,5)="dummy",SUMIFS(AvgBase[Month 20],AvgBase[job_title],$H431),SUMIFS(AvgBase[Month 20],AvgBase[exp_item],$J431,AvgBase[company_name],$B431,AvgBase[bu_name],$C431,AvgBase[dept_name],$D431,AvgBase[team_consolidation],$K431,AvgBase[location_name],$G431,AvgBase[job_title],$H431))*(AE221+AD221)/2*(1-AE326))</f>
        <v>0</v>
      </c>
      <c r="AF431" s="652">
        <f>IF($B431="",,IF(LEFT($H431,5)="dummy",SUMIFS(AvgBase[Month 21],AvgBase[job_title],$H431),SUMIFS(AvgBase[Month 21],AvgBase[exp_item],$J431,AvgBase[company_name],$B431,AvgBase[bu_name],$C431,AvgBase[dept_name],$D431,AvgBase[team_consolidation],$K431,AvgBase[location_name],$G431,AvgBase[job_title],$H431))*(AF221+AE221)/2*(1-AF326))</f>
        <v>0</v>
      </c>
      <c r="AG431" s="652">
        <f>IF($B431="",,IF(LEFT($H431,5)="dummy",SUMIFS(AvgBase[Month 22],AvgBase[job_title],$H431),SUMIFS(AvgBase[Month 22],AvgBase[exp_item],$J431,AvgBase[company_name],$B431,AvgBase[bu_name],$C431,AvgBase[dept_name],$D431,AvgBase[team_consolidation],$K431,AvgBase[location_name],$G431,AvgBase[job_title],$H431))*(AG221+AF221)/2*(1-AG326))</f>
        <v>0</v>
      </c>
      <c r="AH431" s="652">
        <f>IF($B431="",,IF(LEFT($H431,5)="dummy",SUMIFS(AvgBase[Month 23],AvgBase[job_title],$H431),SUMIFS(AvgBase[Month 23],AvgBase[exp_item],$J431,AvgBase[company_name],$B431,AvgBase[bu_name],$C431,AvgBase[dept_name],$D431,AvgBase[team_consolidation],$K431,AvgBase[location_name],$G431,AvgBase[job_title],$H431))*(AH221+AG221)/2*(1-AH326))</f>
        <v>0</v>
      </c>
      <c r="AI431" s="652">
        <f>IF($B431="",,IF(LEFT($H431,5)="dummy",SUMIFS(AvgBase[Month 24],AvgBase[job_title],$H431),SUMIFS(AvgBase[Month 24],AvgBase[exp_item],$J431,AvgBase[company_name],$B431,AvgBase[bu_name],$C431,AvgBase[dept_name],$D431,AvgBase[team_consolidation],$K431,AvgBase[location_name],$G431,AvgBase[job_title],$H431))*(AI221+AH221)/2*(1-AI326))</f>
        <v>0</v>
      </c>
      <c r="AJ431" s="652">
        <f>IF($B431="",,IF(LEFT($H431,5)="dummy",SUMIFS(AvgBase[Month 25],AvgBase[job_title],$H431),SUMIFS(AvgBase[Month 25],AvgBase[exp_item],$J431,AvgBase[company_name],$B431,AvgBase[bu_name],$C431,AvgBase[dept_name],$D431,AvgBase[team_consolidation],$K431,AvgBase[location_name],$G431,AvgBase[job_title],$H431))*(AJ221+AI221)/2*(1-AJ326))</f>
        <v>0</v>
      </c>
      <c r="AK431" s="652">
        <f>IF($B431="",,IF(LEFT($H431,5)="dummy",SUMIFS(AvgBase[Month 26],AvgBase[job_title],$H431),SUMIFS(AvgBase[Month 26],AvgBase[exp_item],$J431,AvgBase[company_name],$B431,AvgBase[bu_name],$C431,AvgBase[dept_name],$D431,AvgBase[team_consolidation],$K431,AvgBase[location_name],$G431,AvgBase[job_title],$H431))*(AK221+AJ221)/2*(1-AK326))</f>
        <v>0</v>
      </c>
      <c r="AL431" s="652">
        <f>IF($B431="",,IF(LEFT($H431,5)="dummy",SUMIFS(AvgBase[Month 27],AvgBase[job_title],$H431),SUMIFS(AvgBase[Month 27],AvgBase[exp_item],$J431,AvgBase[company_name],$B431,AvgBase[bu_name],$C431,AvgBase[dept_name],$D431,AvgBase[team_consolidation],$K431,AvgBase[location_name],$G431,AvgBase[job_title],$H431))*(AL221+AK221)/2*(1-AL326))</f>
        <v>0</v>
      </c>
      <c r="AM431" s="652">
        <f>IF($B431="",,IF(LEFT($H431,5)="dummy",SUMIFS(AvgBase[Month 28],AvgBase[job_title],$H431),SUMIFS(AvgBase[Month 28],AvgBase[exp_item],$J431,AvgBase[company_name],$B431,AvgBase[bu_name],$C431,AvgBase[dept_name],$D431,AvgBase[team_consolidation],$K431,AvgBase[location_name],$G431,AvgBase[job_title],$H431))*(AM221+AL221)/2*(1-AM326))</f>
        <v>0</v>
      </c>
      <c r="AN431" s="652">
        <f>IF($B431="",,IF(LEFT($H431,5)="dummy",SUMIFS(AvgBase[Month 29],AvgBase[job_title],$H431),SUMIFS(AvgBase[Month 29],AvgBase[exp_item],$J431,AvgBase[company_name],$B431,AvgBase[bu_name],$C431,AvgBase[dept_name],$D431,AvgBase[team_consolidation],$K431,AvgBase[location_name],$G431,AvgBase[job_title],$H431))*(AN221+AM221)/2*(1-AN326))</f>
        <v>0</v>
      </c>
      <c r="AO431" s="652">
        <f>IF($B431="",,IF(LEFT($H431,5)="dummy",SUMIFS(AvgBase[Month 30],AvgBase[job_title],$H431),SUMIFS(AvgBase[Month 30],AvgBase[exp_item],$J431,AvgBase[company_name],$B431,AvgBase[bu_name],$C431,AvgBase[dept_name],$D431,AvgBase[team_consolidation],$K431,AvgBase[location_name],$G431,AvgBase[job_title],$H431))*(AO221+AN221)/2*(1-AO326))</f>
        <v>0</v>
      </c>
      <c r="AP431" s="652">
        <f>IF($B431="",,IF(LEFT($H431,5)="dummy",SUMIFS(AvgBase[Month 31],AvgBase[job_title],$H431),SUMIFS(AvgBase[Month 31],AvgBase[exp_item],$J431,AvgBase[company_name],$B431,AvgBase[bu_name],$C431,AvgBase[dept_name],$D431,AvgBase[team_consolidation],$K431,AvgBase[location_name],$G431,AvgBase[job_title],$H431))*(AP221+AO221)/2*(1-AP326))</f>
        <v>0</v>
      </c>
      <c r="AQ431" s="652">
        <f>IF($B431="",,IF(LEFT($H431,5)="dummy",SUMIFS(AvgBase[Month 32],AvgBase[job_title],$H431),SUMIFS(AvgBase[Month 32],AvgBase[exp_item],$J431,AvgBase[company_name],$B431,AvgBase[bu_name],$C431,AvgBase[dept_name],$D431,AvgBase[team_consolidation],$K431,AvgBase[location_name],$G431,AvgBase[job_title],$H431))*(AQ221+AP221)/2*(1-AQ326))</f>
        <v>0</v>
      </c>
      <c r="AR431" s="652">
        <f>IF($B431="",,IF(LEFT($H431,5)="dummy",SUMIFS(AvgBase[Month 33],AvgBase[job_title],$H431),SUMIFS(AvgBase[Month 33],AvgBase[exp_item],$J431,AvgBase[company_name],$B431,AvgBase[bu_name],$C431,AvgBase[dept_name],$D431,AvgBase[team_consolidation],$K431,AvgBase[location_name],$G431,AvgBase[job_title],$H431))*(AR221+AQ221)/2*(1-AR326))</f>
        <v>0</v>
      </c>
      <c r="AS431" s="652">
        <f>IF($B431="",,IF(LEFT($H431,5)="dummy",SUMIFS(AvgBase[Month 34],AvgBase[job_title],$H431),SUMIFS(AvgBase[Month 34],AvgBase[exp_item],$J431,AvgBase[company_name],$B431,AvgBase[bu_name],$C431,AvgBase[dept_name],$D431,AvgBase[team_consolidation],$K431,AvgBase[location_name],$G431,AvgBase[job_title],$H431))*(AS221+AR221)/2*(1-AS326))</f>
        <v>0</v>
      </c>
      <c r="AT431" s="652">
        <f>IF($B431="",,IF(LEFT($H431,5)="dummy",SUMIFS(AvgBase[Month 35],AvgBase[job_title],$H431),SUMIFS(AvgBase[Month 35],AvgBase[exp_item],$J431,AvgBase[company_name],$B431,AvgBase[bu_name],$C431,AvgBase[dept_name],$D431,AvgBase[team_consolidation],$K431,AvgBase[location_name],$G431,AvgBase[job_title],$H431))*(AT221+AS221)/2*(1-AT326))</f>
        <v>0</v>
      </c>
      <c r="AU431" s="652">
        <f>IF($B431="",,IF(LEFT($H431,5)="dummy",SUMIFS(AvgBase[Month 36],AvgBase[job_title],$H431),SUMIFS(AvgBase[Month 36],AvgBase[exp_item],$J431,AvgBase[company_name],$B431,AvgBase[bu_name],$C431,AvgBase[dept_name],$D431,AvgBase[team_consolidation],$K431,AvgBase[location_name],$G431,AvgBase[job_title],$H431))*(AU221+AT221)/2*(1-AU326))</f>
        <v>0</v>
      </c>
    </row>
    <row r="432" spans="2:47" x14ac:dyDescent="0.35">
      <c r="B432" t="str">
        <f t="shared" si="278"/>
        <v/>
      </c>
      <c r="C432" t="str">
        <f t="shared" si="278"/>
        <v/>
      </c>
      <c r="D432" t="str">
        <f t="shared" si="278"/>
        <v/>
      </c>
      <c r="E432" t="str">
        <f t="shared" si="278"/>
        <v/>
      </c>
      <c r="F432" t="str">
        <f t="shared" si="278"/>
        <v/>
      </c>
      <c r="G432" t="str">
        <f t="shared" si="278"/>
        <v/>
      </c>
      <c r="H432" t="str">
        <f t="shared" si="279"/>
        <v/>
      </c>
      <c r="J432" t="str">
        <f>IF($H432="","",IF(VLOOKUP($B$395,ExpItems[],2,0),$B$395&amp;" - "&amp;INDEX(DivisionMapping[category_code],MATCH($D432&amp;$C432,DivisionMapping[dept_bu],0)),$B$395))</f>
        <v/>
      </c>
      <c r="K432" t="str">
        <f t="shared" si="275"/>
        <v/>
      </c>
      <c r="L432" s="652">
        <f>IF($B432="",,IF(LEFT($H432,5)="dummy",SUMIFS(AvgBase[Month 1],AvgBase[job_title],$H432),SUMIFS(AvgBase[Month 1],AvgBase[exp_item],$J432,AvgBase[company_name],$B432,AvgBase[bu_name],$C432,AvgBase[dept_name],$D432,AvgBase[team_consolidation],$K432,AvgBase[location_name],$G432,AvgBase[job_title],$H432))*L222/2*(1-L327))</f>
        <v>0</v>
      </c>
      <c r="M432" s="652">
        <f>IF($B432="",,IF(LEFT($H432,5)="dummy",SUMIFS(AvgBase[Month 2],AvgBase[job_title],$H432),SUMIFS(AvgBase[Month 2],AvgBase[exp_item],$J432,AvgBase[company_name],$B432,AvgBase[bu_name],$C432,AvgBase[dept_name],$D432,AvgBase[team_consolidation],$K432,AvgBase[location_name],$G432,AvgBase[job_title],$H432))*(M222+L222)/2*(1-M327))</f>
        <v>0</v>
      </c>
      <c r="N432" s="652">
        <f>IF($B432="",,IF(LEFT($H432,5)="dummy",SUMIFS(AvgBase[Month 3],AvgBase[job_title],$H432),SUMIFS(AvgBase[Month 3],AvgBase[exp_item],$J432,AvgBase[company_name],$B432,AvgBase[bu_name],$C432,AvgBase[dept_name],$D432,AvgBase[team_consolidation],$K432,AvgBase[location_name],$G432,AvgBase[job_title],$H432))*(N222+M222)/2*(1-N327))</f>
        <v>0</v>
      </c>
      <c r="O432" s="652">
        <f>IF($B432="",,IF(LEFT($H432,5)="dummy",SUMIFS(AvgBase[Month 4],AvgBase[job_title],$H432),SUMIFS(AvgBase[Month 4],AvgBase[exp_item],$J432,AvgBase[company_name],$B432,AvgBase[bu_name],$C432,AvgBase[dept_name],$D432,AvgBase[team_consolidation],$K432,AvgBase[location_name],$G432,AvgBase[job_title],$H432))*(O222+N222)/2*(1-O327))</f>
        <v>0</v>
      </c>
      <c r="P432" s="652">
        <f>IF($B432="",,IF(LEFT($H432,5)="dummy",SUMIFS(AvgBase[Month 5],AvgBase[job_title],$H432),SUMIFS(AvgBase[Month 5],AvgBase[exp_item],$J432,AvgBase[company_name],$B432,AvgBase[bu_name],$C432,AvgBase[dept_name],$D432,AvgBase[team_consolidation],$K432,AvgBase[location_name],$G432,AvgBase[job_title],$H432))*(P222+O222)/2*(1-P327))</f>
        <v>0</v>
      </c>
      <c r="Q432" s="652">
        <f>IF($B432="",,IF(LEFT($H432,5)="dummy",SUMIFS(AvgBase[Month 6],AvgBase[job_title],$H432),SUMIFS(AvgBase[Month 6],AvgBase[exp_item],$J432,AvgBase[company_name],$B432,AvgBase[bu_name],$C432,AvgBase[dept_name],$D432,AvgBase[team_consolidation],$K432,AvgBase[location_name],$G432,AvgBase[job_title],$H432))*(Q222+P222)/2*(1-Q327))</f>
        <v>0</v>
      </c>
      <c r="R432" s="652">
        <f>IF($B432="",,IF(LEFT($H432,5)="dummy",SUMIFS(AvgBase[Month 7],AvgBase[job_title],$H432),SUMIFS(AvgBase[Month 7],AvgBase[exp_item],$J432,AvgBase[company_name],$B432,AvgBase[bu_name],$C432,AvgBase[dept_name],$D432,AvgBase[team_consolidation],$K432,AvgBase[location_name],$G432,AvgBase[job_title],$H432))*(R222+Q222)/2*(1-R327))</f>
        <v>0</v>
      </c>
      <c r="S432" s="652">
        <f>IF($B432="",,IF(LEFT($H432,5)="dummy",SUMIFS(AvgBase[Month 8],AvgBase[job_title],$H432),SUMIFS(AvgBase[Month 8],AvgBase[exp_item],$J432,AvgBase[company_name],$B432,AvgBase[bu_name],$C432,AvgBase[dept_name],$D432,AvgBase[team_consolidation],$K432,AvgBase[location_name],$G432,AvgBase[job_title],$H432))*(S222+R222)/2*(1-S327))</f>
        <v>0</v>
      </c>
      <c r="T432" s="652">
        <f>IF($B432="",,IF(LEFT($H432,5)="dummy",SUMIFS(AvgBase[Month 9],AvgBase[job_title],$H432),SUMIFS(AvgBase[Month 9],AvgBase[exp_item],$J432,AvgBase[company_name],$B432,AvgBase[bu_name],$C432,AvgBase[dept_name],$D432,AvgBase[team_consolidation],$K432,AvgBase[location_name],$G432,AvgBase[job_title],$H432))*(T222+S222)/2*(1-T327))</f>
        <v>0</v>
      </c>
      <c r="U432" s="652">
        <f>IF($B432="",,IF(LEFT($H432,5)="dummy",SUMIFS(AvgBase[Month 10],AvgBase[job_title],$H432),SUMIFS(AvgBase[Month 10],AvgBase[exp_item],$J432,AvgBase[company_name],$B432,AvgBase[bu_name],$C432,AvgBase[dept_name],$D432,AvgBase[team_consolidation],$K432,AvgBase[location_name],$G432,AvgBase[job_title],$H432))*(U222+T222)/2*(1-U327))</f>
        <v>0</v>
      </c>
      <c r="V432" s="652">
        <f>IF($B432="",,IF(LEFT($H432,5)="dummy",SUMIFS(AvgBase[Month 11],AvgBase[job_title],$H432),SUMIFS(AvgBase[Month 11],AvgBase[exp_item],$J432,AvgBase[company_name],$B432,AvgBase[bu_name],$C432,AvgBase[dept_name],$D432,AvgBase[team_consolidation],$K432,AvgBase[location_name],$G432,AvgBase[job_title],$H432))*(V222+U222)/2*(1-V327))</f>
        <v>0</v>
      </c>
      <c r="W432" s="652">
        <f>IF($B432="",,IF(LEFT($H432,5)="dummy",SUMIFS(AvgBase[Month 12],AvgBase[job_title],$H432),SUMIFS(AvgBase[Month 12],AvgBase[exp_item],$J432,AvgBase[company_name],$B432,AvgBase[bu_name],$C432,AvgBase[dept_name],$D432,AvgBase[team_consolidation],$K432,AvgBase[location_name],$G432,AvgBase[job_title],$H432))*(W222+V222)/2*(1-W327))</f>
        <v>0</v>
      </c>
      <c r="X432" s="652">
        <f>IF($B432="",,IF(LEFT($H432,5)="dummy",SUMIFS(AvgBase[Month 13],AvgBase[job_title],$H432),SUMIFS(AvgBase[Month 13],AvgBase[exp_item],$J432,AvgBase[company_name],$B432,AvgBase[bu_name],$C432,AvgBase[dept_name],$D432,AvgBase[team_consolidation],$K432,AvgBase[location_name],$G432,AvgBase[job_title],$H432))*(X222+W222)/2*(1-X327))</f>
        <v>0</v>
      </c>
      <c r="Y432" s="652">
        <f>IF($B432="",,IF(LEFT($H432,5)="dummy",SUMIFS(AvgBase[Month 14],AvgBase[job_title],$H432),SUMIFS(AvgBase[Month 14],AvgBase[exp_item],$J432,AvgBase[company_name],$B432,AvgBase[bu_name],$C432,AvgBase[dept_name],$D432,AvgBase[team_consolidation],$K432,AvgBase[location_name],$G432,AvgBase[job_title],$H432))*(Y222+X222)/2*(1-Y327))</f>
        <v>0</v>
      </c>
      <c r="Z432" s="652">
        <f>IF($B432="",,IF(LEFT($H432,5)="dummy",SUMIFS(AvgBase[Month 15],AvgBase[job_title],$H432),SUMIFS(AvgBase[Month 15],AvgBase[exp_item],$J432,AvgBase[company_name],$B432,AvgBase[bu_name],$C432,AvgBase[dept_name],$D432,AvgBase[team_consolidation],$K432,AvgBase[location_name],$G432,AvgBase[job_title],$H432))*(Z222+Y222)/2*(1-Z327))</f>
        <v>0</v>
      </c>
      <c r="AA432" s="652">
        <f>IF($B432="",,IF(LEFT($H432,5)="dummy",SUMIFS(AvgBase[Month 16],AvgBase[job_title],$H432),SUMIFS(AvgBase[Month 16],AvgBase[exp_item],$J432,AvgBase[company_name],$B432,AvgBase[bu_name],$C432,AvgBase[dept_name],$D432,AvgBase[team_consolidation],$K432,AvgBase[location_name],$G432,AvgBase[job_title],$H432))*(AA222+Z222)/2*(1-AA327))</f>
        <v>0</v>
      </c>
      <c r="AB432" s="652">
        <f>IF($B432="",,IF(LEFT($H432,5)="dummy",SUMIFS(AvgBase[Month 17],AvgBase[job_title],$H432),SUMIFS(AvgBase[Month 17],AvgBase[exp_item],$J432,AvgBase[company_name],$B432,AvgBase[bu_name],$C432,AvgBase[dept_name],$D432,AvgBase[team_consolidation],$K432,AvgBase[location_name],$G432,AvgBase[job_title],$H432))*(AB222+AA222)/2*(1-AB327))</f>
        <v>0</v>
      </c>
      <c r="AC432" s="652">
        <f>IF($B432="",,IF(LEFT($H432,5)="dummy",SUMIFS(AvgBase[Month 18],AvgBase[job_title],$H432),SUMIFS(AvgBase[Month 18],AvgBase[exp_item],$J432,AvgBase[company_name],$B432,AvgBase[bu_name],$C432,AvgBase[dept_name],$D432,AvgBase[team_consolidation],$K432,AvgBase[location_name],$G432,AvgBase[job_title],$H432))*(AC222+AB222)/2*(1-AC327))</f>
        <v>0</v>
      </c>
      <c r="AD432" s="652">
        <f>IF($B432="",,IF(LEFT($H432,5)="dummy",SUMIFS(AvgBase[Month 19],AvgBase[job_title],$H432),SUMIFS(AvgBase[Month 19],AvgBase[exp_item],$J432,AvgBase[company_name],$B432,AvgBase[bu_name],$C432,AvgBase[dept_name],$D432,AvgBase[team_consolidation],$K432,AvgBase[location_name],$G432,AvgBase[job_title],$H432))*(AD222+AC222)/2*(1-AD327))</f>
        <v>0</v>
      </c>
      <c r="AE432" s="652">
        <f>IF($B432="",,IF(LEFT($H432,5)="dummy",SUMIFS(AvgBase[Month 20],AvgBase[job_title],$H432),SUMIFS(AvgBase[Month 20],AvgBase[exp_item],$J432,AvgBase[company_name],$B432,AvgBase[bu_name],$C432,AvgBase[dept_name],$D432,AvgBase[team_consolidation],$K432,AvgBase[location_name],$G432,AvgBase[job_title],$H432))*(AE222+AD222)/2*(1-AE327))</f>
        <v>0</v>
      </c>
      <c r="AF432" s="652">
        <f>IF($B432="",,IF(LEFT($H432,5)="dummy",SUMIFS(AvgBase[Month 21],AvgBase[job_title],$H432),SUMIFS(AvgBase[Month 21],AvgBase[exp_item],$J432,AvgBase[company_name],$B432,AvgBase[bu_name],$C432,AvgBase[dept_name],$D432,AvgBase[team_consolidation],$K432,AvgBase[location_name],$G432,AvgBase[job_title],$H432))*(AF222+AE222)/2*(1-AF327))</f>
        <v>0</v>
      </c>
      <c r="AG432" s="652">
        <f>IF($B432="",,IF(LEFT($H432,5)="dummy",SUMIFS(AvgBase[Month 22],AvgBase[job_title],$H432),SUMIFS(AvgBase[Month 22],AvgBase[exp_item],$J432,AvgBase[company_name],$B432,AvgBase[bu_name],$C432,AvgBase[dept_name],$D432,AvgBase[team_consolidation],$K432,AvgBase[location_name],$G432,AvgBase[job_title],$H432))*(AG222+AF222)/2*(1-AG327))</f>
        <v>0</v>
      </c>
      <c r="AH432" s="652">
        <f>IF($B432="",,IF(LEFT($H432,5)="dummy",SUMIFS(AvgBase[Month 23],AvgBase[job_title],$H432),SUMIFS(AvgBase[Month 23],AvgBase[exp_item],$J432,AvgBase[company_name],$B432,AvgBase[bu_name],$C432,AvgBase[dept_name],$D432,AvgBase[team_consolidation],$K432,AvgBase[location_name],$G432,AvgBase[job_title],$H432))*(AH222+AG222)/2*(1-AH327))</f>
        <v>0</v>
      </c>
      <c r="AI432" s="652">
        <f>IF($B432="",,IF(LEFT($H432,5)="dummy",SUMIFS(AvgBase[Month 24],AvgBase[job_title],$H432),SUMIFS(AvgBase[Month 24],AvgBase[exp_item],$J432,AvgBase[company_name],$B432,AvgBase[bu_name],$C432,AvgBase[dept_name],$D432,AvgBase[team_consolidation],$K432,AvgBase[location_name],$G432,AvgBase[job_title],$H432))*(AI222+AH222)/2*(1-AI327))</f>
        <v>0</v>
      </c>
      <c r="AJ432" s="652">
        <f>IF($B432="",,IF(LEFT($H432,5)="dummy",SUMIFS(AvgBase[Month 25],AvgBase[job_title],$H432),SUMIFS(AvgBase[Month 25],AvgBase[exp_item],$J432,AvgBase[company_name],$B432,AvgBase[bu_name],$C432,AvgBase[dept_name],$D432,AvgBase[team_consolidation],$K432,AvgBase[location_name],$G432,AvgBase[job_title],$H432))*(AJ222+AI222)/2*(1-AJ327))</f>
        <v>0</v>
      </c>
      <c r="AK432" s="652">
        <f>IF($B432="",,IF(LEFT($H432,5)="dummy",SUMIFS(AvgBase[Month 26],AvgBase[job_title],$H432),SUMIFS(AvgBase[Month 26],AvgBase[exp_item],$J432,AvgBase[company_name],$B432,AvgBase[bu_name],$C432,AvgBase[dept_name],$D432,AvgBase[team_consolidation],$K432,AvgBase[location_name],$G432,AvgBase[job_title],$H432))*(AK222+AJ222)/2*(1-AK327))</f>
        <v>0</v>
      </c>
      <c r="AL432" s="652">
        <f>IF($B432="",,IF(LEFT($H432,5)="dummy",SUMIFS(AvgBase[Month 27],AvgBase[job_title],$H432),SUMIFS(AvgBase[Month 27],AvgBase[exp_item],$J432,AvgBase[company_name],$B432,AvgBase[bu_name],$C432,AvgBase[dept_name],$D432,AvgBase[team_consolidation],$K432,AvgBase[location_name],$G432,AvgBase[job_title],$H432))*(AL222+AK222)/2*(1-AL327))</f>
        <v>0</v>
      </c>
      <c r="AM432" s="652">
        <f>IF($B432="",,IF(LEFT($H432,5)="dummy",SUMIFS(AvgBase[Month 28],AvgBase[job_title],$H432),SUMIFS(AvgBase[Month 28],AvgBase[exp_item],$J432,AvgBase[company_name],$B432,AvgBase[bu_name],$C432,AvgBase[dept_name],$D432,AvgBase[team_consolidation],$K432,AvgBase[location_name],$G432,AvgBase[job_title],$H432))*(AM222+AL222)/2*(1-AM327))</f>
        <v>0</v>
      </c>
      <c r="AN432" s="652">
        <f>IF($B432="",,IF(LEFT($H432,5)="dummy",SUMIFS(AvgBase[Month 29],AvgBase[job_title],$H432),SUMIFS(AvgBase[Month 29],AvgBase[exp_item],$J432,AvgBase[company_name],$B432,AvgBase[bu_name],$C432,AvgBase[dept_name],$D432,AvgBase[team_consolidation],$K432,AvgBase[location_name],$G432,AvgBase[job_title],$H432))*(AN222+AM222)/2*(1-AN327))</f>
        <v>0</v>
      </c>
      <c r="AO432" s="652">
        <f>IF($B432="",,IF(LEFT($H432,5)="dummy",SUMIFS(AvgBase[Month 30],AvgBase[job_title],$H432),SUMIFS(AvgBase[Month 30],AvgBase[exp_item],$J432,AvgBase[company_name],$B432,AvgBase[bu_name],$C432,AvgBase[dept_name],$D432,AvgBase[team_consolidation],$K432,AvgBase[location_name],$G432,AvgBase[job_title],$H432))*(AO222+AN222)/2*(1-AO327))</f>
        <v>0</v>
      </c>
      <c r="AP432" s="652">
        <f>IF($B432="",,IF(LEFT($H432,5)="dummy",SUMIFS(AvgBase[Month 31],AvgBase[job_title],$H432),SUMIFS(AvgBase[Month 31],AvgBase[exp_item],$J432,AvgBase[company_name],$B432,AvgBase[bu_name],$C432,AvgBase[dept_name],$D432,AvgBase[team_consolidation],$K432,AvgBase[location_name],$G432,AvgBase[job_title],$H432))*(AP222+AO222)/2*(1-AP327))</f>
        <v>0</v>
      </c>
      <c r="AQ432" s="652">
        <f>IF($B432="",,IF(LEFT($H432,5)="dummy",SUMIFS(AvgBase[Month 32],AvgBase[job_title],$H432),SUMIFS(AvgBase[Month 32],AvgBase[exp_item],$J432,AvgBase[company_name],$B432,AvgBase[bu_name],$C432,AvgBase[dept_name],$D432,AvgBase[team_consolidation],$K432,AvgBase[location_name],$G432,AvgBase[job_title],$H432))*(AQ222+AP222)/2*(1-AQ327))</f>
        <v>0</v>
      </c>
      <c r="AR432" s="652">
        <f>IF($B432="",,IF(LEFT($H432,5)="dummy",SUMIFS(AvgBase[Month 33],AvgBase[job_title],$H432),SUMIFS(AvgBase[Month 33],AvgBase[exp_item],$J432,AvgBase[company_name],$B432,AvgBase[bu_name],$C432,AvgBase[dept_name],$D432,AvgBase[team_consolidation],$K432,AvgBase[location_name],$G432,AvgBase[job_title],$H432))*(AR222+AQ222)/2*(1-AR327))</f>
        <v>0</v>
      </c>
      <c r="AS432" s="652">
        <f>IF($B432="",,IF(LEFT($H432,5)="dummy",SUMIFS(AvgBase[Month 34],AvgBase[job_title],$H432),SUMIFS(AvgBase[Month 34],AvgBase[exp_item],$J432,AvgBase[company_name],$B432,AvgBase[bu_name],$C432,AvgBase[dept_name],$D432,AvgBase[team_consolidation],$K432,AvgBase[location_name],$G432,AvgBase[job_title],$H432))*(AS222+AR222)/2*(1-AS327))</f>
        <v>0</v>
      </c>
      <c r="AT432" s="652">
        <f>IF($B432="",,IF(LEFT($H432,5)="dummy",SUMIFS(AvgBase[Month 35],AvgBase[job_title],$H432),SUMIFS(AvgBase[Month 35],AvgBase[exp_item],$J432,AvgBase[company_name],$B432,AvgBase[bu_name],$C432,AvgBase[dept_name],$D432,AvgBase[team_consolidation],$K432,AvgBase[location_name],$G432,AvgBase[job_title],$H432))*(AT222+AS222)/2*(1-AT327))</f>
        <v>0</v>
      </c>
      <c r="AU432" s="652">
        <f>IF($B432="",,IF(LEFT($H432,5)="dummy",SUMIFS(AvgBase[Month 36],AvgBase[job_title],$H432),SUMIFS(AvgBase[Month 36],AvgBase[exp_item],$J432,AvgBase[company_name],$B432,AvgBase[bu_name],$C432,AvgBase[dept_name],$D432,AvgBase[team_consolidation],$K432,AvgBase[location_name],$G432,AvgBase[job_title],$H432))*(AU222+AT222)/2*(1-AU327))</f>
        <v>0</v>
      </c>
    </row>
    <row r="433" spans="2:47" x14ac:dyDescent="0.35">
      <c r="B433" t="str">
        <f t="shared" si="278"/>
        <v/>
      </c>
      <c r="C433" t="str">
        <f t="shared" si="278"/>
        <v/>
      </c>
      <c r="D433" t="str">
        <f t="shared" si="278"/>
        <v/>
      </c>
      <c r="E433" t="str">
        <f t="shared" si="278"/>
        <v/>
      </c>
      <c r="F433" t="str">
        <f t="shared" si="278"/>
        <v/>
      </c>
      <c r="G433" t="str">
        <f t="shared" si="278"/>
        <v/>
      </c>
      <c r="H433" t="str">
        <f t="shared" si="279"/>
        <v/>
      </c>
      <c r="J433" t="str">
        <f>IF($H433="","",IF(VLOOKUP($B$395,ExpItems[],2,0),$B$395&amp;" - "&amp;INDEX(DivisionMapping[category_code],MATCH($D433&amp;$C433,DivisionMapping[dept_bu],0)),$B$395))</f>
        <v/>
      </c>
      <c r="K433" t="str">
        <f t="shared" si="275"/>
        <v/>
      </c>
      <c r="L433" s="652">
        <f>IF($B433="",,IF(LEFT($H433,5)="dummy",SUMIFS(AvgBase[Month 1],AvgBase[job_title],$H433),SUMIFS(AvgBase[Month 1],AvgBase[exp_item],$J433,AvgBase[company_name],$B433,AvgBase[bu_name],$C433,AvgBase[dept_name],$D433,AvgBase[team_consolidation],$K433,AvgBase[location_name],$G433,AvgBase[job_title],$H433))*L223/2*(1-L328))</f>
        <v>0</v>
      </c>
      <c r="M433" s="652">
        <f>IF($B433="",,IF(LEFT($H433,5)="dummy",SUMIFS(AvgBase[Month 2],AvgBase[job_title],$H433),SUMIFS(AvgBase[Month 2],AvgBase[exp_item],$J433,AvgBase[company_name],$B433,AvgBase[bu_name],$C433,AvgBase[dept_name],$D433,AvgBase[team_consolidation],$K433,AvgBase[location_name],$G433,AvgBase[job_title],$H433))*(M223+L223)/2*(1-M328))</f>
        <v>0</v>
      </c>
      <c r="N433" s="652">
        <f>IF($B433="",,IF(LEFT($H433,5)="dummy",SUMIFS(AvgBase[Month 3],AvgBase[job_title],$H433),SUMIFS(AvgBase[Month 3],AvgBase[exp_item],$J433,AvgBase[company_name],$B433,AvgBase[bu_name],$C433,AvgBase[dept_name],$D433,AvgBase[team_consolidation],$K433,AvgBase[location_name],$G433,AvgBase[job_title],$H433))*(N223+M223)/2*(1-N328))</f>
        <v>0</v>
      </c>
      <c r="O433" s="652">
        <f>IF($B433="",,IF(LEFT($H433,5)="dummy",SUMIFS(AvgBase[Month 4],AvgBase[job_title],$H433),SUMIFS(AvgBase[Month 4],AvgBase[exp_item],$J433,AvgBase[company_name],$B433,AvgBase[bu_name],$C433,AvgBase[dept_name],$D433,AvgBase[team_consolidation],$K433,AvgBase[location_name],$G433,AvgBase[job_title],$H433))*(O223+N223)/2*(1-O328))</f>
        <v>0</v>
      </c>
      <c r="P433" s="652">
        <f>IF($B433="",,IF(LEFT($H433,5)="dummy",SUMIFS(AvgBase[Month 5],AvgBase[job_title],$H433),SUMIFS(AvgBase[Month 5],AvgBase[exp_item],$J433,AvgBase[company_name],$B433,AvgBase[bu_name],$C433,AvgBase[dept_name],$D433,AvgBase[team_consolidation],$K433,AvgBase[location_name],$G433,AvgBase[job_title],$H433))*(P223+O223)/2*(1-P328))</f>
        <v>0</v>
      </c>
      <c r="Q433" s="652">
        <f>IF($B433="",,IF(LEFT($H433,5)="dummy",SUMIFS(AvgBase[Month 6],AvgBase[job_title],$H433),SUMIFS(AvgBase[Month 6],AvgBase[exp_item],$J433,AvgBase[company_name],$B433,AvgBase[bu_name],$C433,AvgBase[dept_name],$D433,AvgBase[team_consolidation],$K433,AvgBase[location_name],$G433,AvgBase[job_title],$H433))*(Q223+P223)/2*(1-Q328))</f>
        <v>0</v>
      </c>
      <c r="R433" s="652">
        <f>IF($B433="",,IF(LEFT($H433,5)="dummy",SUMIFS(AvgBase[Month 7],AvgBase[job_title],$H433),SUMIFS(AvgBase[Month 7],AvgBase[exp_item],$J433,AvgBase[company_name],$B433,AvgBase[bu_name],$C433,AvgBase[dept_name],$D433,AvgBase[team_consolidation],$K433,AvgBase[location_name],$G433,AvgBase[job_title],$H433))*(R223+Q223)/2*(1-R328))</f>
        <v>0</v>
      </c>
      <c r="S433" s="652">
        <f>IF($B433="",,IF(LEFT($H433,5)="dummy",SUMIFS(AvgBase[Month 8],AvgBase[job_title],$H433),SUMIFS(AvgBase[Month 8],AvgBase[exp_item],$J433,AvgBase[company_name],$B433,AvgBase[bu_name],$C433,AvgBase[dept_name],$D433,AvgBase[team_consolidation],$K433,AvgBase[location_name],$G433,AvgBase[job_title],$H433))*(S223+R223)/2*(1-S328))</f>
        <v>0</v>
      </c>
      <c r="T433" s="652">
        <f>IF($B433="",,IF(LEFT($H433,5)="dummy",SUMIFS(AvgBase[Month 9],AvgBase[job_title],$H433),SUMIFS(AvgBase[Month 9],AvgBase[exp_item],$J433,AvgBase[company_name],$B433,AvgBase[bu_name],$C433,AvgBase[dept_name],$D433,AvgBase[team_consolidation],$K433,AvgBase[location_name],$G433,AvgBase[job_title],$H433))*(T223+S223)/2*(1-T328))</f>
        <v>0</v>
      </c>
      <c r="U433" s="652">
        <f>IF($B433="",,IF(LEFT($H433,5)="dummy",SUMIFS(AvgBase[Month 10],AvgBase[job_title],$H433),SUMIFS(AvgBase[Month 10],AvgBase[exp_item],$J433,AvgBase[company_name],$B433,AvgBase[bu_name],$C433,AvgBase[dept_name],$D433,AvgBase[team_consolidation],$K433,AvgBase[location_name],$G433,AvgBase[job_title],$H433))*(U223+T223)/2*(1-U328))</f>
        <v>0</v>
      </c>
      <c r="V433" s="652">
        <f>IF($B433="",,IF(LEFT($H433,5)="dummy",SUMIFS(AvgBase[Month 11],AvgBase[job_title],$H433),SUMIFS(AvgBase[Month 11],AvgBase[exp_item],$J433,AvgBase[company_name],$B433,AvgBase[bu_name],$C433,AvgBase[dept_name],$D433,AvgBase[team_consolidation],$K433,AvgBase[location_name],$G433,AvgBase[job_title],$H433))*(V223+U223)/2*(1-V328))</f>
        <v>0</v>
      </c>
      <c r="W433" s="652">
        <f>IF($B433="",,IF(LEFT($H433,5)="dummy",SUMIFS(AvgBase[Month 12],AvgBase[job_title],$H433),SUMIFS(AvgBase[Month 12],AvgBase[exp_item],$J433,AvgBase[company_name],$B433,AvgBase[bu_name],$C433,AvgBase[dept_name],$D433,AvgBase[team_consolidation],$K433,AvgBase[location_name],$G433,AvgBase[job_title],$H433))*(W223+V223)/2*(1-W328))</f>
        <v>0</v>
      </c>
      <c r="X433" s="652">
        <f>IF($B433="",,IF(LEFT($H433,5)="dummy",SUMIFS(AvgBase[Month 13],AvgBase[job_title],$H433),SUMIFS(AvgBase[Month 13],AvgBase[exp_item],$J433,AvgBase[company_name],$B433,AvgBase[bu_name],$C433,AvgBase[dept_name],$D433,AvgBase[team_consolidation],$K433,AvgBase[location_name],$G433,AvgBase[job_title],$H433))*(X223+W223)/2*(1-X328))</f>
        <v>0</v>
      </c>
      <c r="Y433" s="652">
        <f>IF($B433="",,IF(LEFT($H433,5)="dummy",SUMIFS(AvgBase[Month 14],AvgBase[job_title],$H433),SUMIFS(AvgBase[Month 14],AvgBase[exp_item],$J433,AvgBase[company_name],$B433,AvgBase[bu_name],$C433,AvgBase[dept_name],$D433,AvgBase[team_consolidation],$K433,AvgBase[location_name],$G433,AvgBase[job_title],$H433))*(Y223+X223)/2*(1-Y328))</f>
        <v>0</v>
      </c>
      <c r="Z433" s="652">
        <f>IF($B433="",,IF(LEFT($H433,5)="dummy",SUMIFS(AvgBase[Month 15],AvgBase[job_title],$H433),SUMIFS(AvgBase[Month 15],AvgBase[exp_item],$J433,AvgBase[company_name],$B433,AvgBase[bu_name],$C433,AvgBase[dept_name],$D433,AvgBase[team_consolidation],$K433,AvgBase[location_name],$G433,AvgBase[job_title],$H433))*(Z223+Y223)/2*(1-Z328))</f>
        <v>0</v>
      </c>
      <c r="AA433" s="652">
        <f>IF($B433="",,IF(LEFT($H433,5)="dummy",SUMIFS(AvgBase[Month 16],AvgBase[job_title],$H433),SUMIFS(AvgBase[Month 16],AvgBase[exp_item],$J433,AvgBase[company_name],$B433,AvgBase[bu_name],$C433,AvgBase[dept_name],$D433,AvgBase[team_consolidation],$K433,AvgBase[location_name],$G433,AvgBase[job_title],$H433))*(AA223+Z223)/2*(1-AA328))</f>
        <v>0</v>
      </c>
      <c r="AB433" s="652">
        <f>IF($B433="",,IF(LEFT($H433,5)="dummy",SUMIFS(AvgBase[Month 17],AvgBase[job_title],$H433),SUMIFS(AvgBase[Month 17],AvgBase[exp_item],$J433,AvgBase[company_name],$B433,AvgBase[bu_name],$C433,AvgBase[dept_name],$D433,AvgBase[team_consolidation],$K433,AvgBase[location_name],$G433,AvgBase[job_title],$H433))*(AB223+AA223)/2*(1-AB328))</f>
        <v>0</v>
      </c>
      <c r="AC433" s="652">
        <f>IF($B433="",,IF(LEFT($H433,5)="dummy",SUMIFS(AvgBase[Month 18],AvgBase[job_title],$H433),SUMIFS(AvgBase[Month 18],AvgBase[exp_item],$J433,AvgBase[company_name],$B433,AvgBase[bu_name],$C433,AvgBase[dept_name],$D433,AvgBase[team_consolidation],$K433,AvgBase[location_name],$G433,AvgBase[job_title],$H433))*(AC223+AB223)/2*(1-AC328))</f>
        <v>0</v>
      </c>
      <c r="AD433" s="652">
        <f>IF($B433="",,IF(LEFT($H433,5)="dummy",SUMIFS(AvgBase[Month 19],AvgBase[job_title],$H433),SUMIFS(AvgBase[Month 19],AvgBase[exp_item],$J433,AvgBase[company_name],$B433,AvgBase[bu_name],$C433,AvgBase[dept_name],$D433,AvgBase[team_consolidation],$K433,AvgBase[location_name],$G433,AvgBase[job_title],$H433))*(AD223+AC223)/2*(1-AD328))</f>
        <v>0</v>
      </c>
      <c r="AE433" s="652">
        <f>IF($B433="",,IF(LEFT($H433,5)="dummy",SUMIFS(AvgBase[Month 20],AvgBase[job_title],$H433),SUMIFS(AvgBase[Month 20],AvgBase[exp_item],$J433,AvgBase[company_name],$B433,AvgBase[bu_name],$C433,AvgBase[dept_name],$D433,AvgBase[team_consolidation],$K433,AvgBase[location_name],$G433,AvgBase[job_title],$H433))*(AE223+AD223)/2*(1-AE328))</f>
        <v>0</v>
      </c>
      <c r="AF433" s="652">
        <f>IF($B433="",,IF(LEFT($H433,5)="dummy",SUMIFS(AvgBase[Month 21],AvgBase[job_title],$H433),SUMIFS(AvgBase[Month 21],AvgBase[exp_item],$J433,AvgBase[company_name],$B433,AvgBase[bu_name],$C433,AvgBase[dept_name],$D433,AvgBase[team_consolidation],$K433,AvgBase[location_name],$G433,AvgBase[job_title],$H433))*(AF223+AE223)/2*(1-AF328))</f>
        <v>0</v>
      </c>
      <c r="AG433" s="652">
        <f>IF($B433="",,IF(LEFT($H433,5)="dummy",SUMIFS(AvgBase[Month 22],AvgBase[job_title],$H433),SUMIFS(AvgBase[Month 22],AvgBase[exp_item],$J433,AvgBase[company_name],$B433,AvgBase[bu_name],$C433,AvgBase[dept_name],$D433,AvgBase[team_consolidation],$K433,AvgBase[location_name],$G433,AvgBase[job_title],$H433))*(AG223+AF223)/2*(1-AG328))</f>
        <v>0</v>
      </c>
      <c r="AH433" s="652">
        <f>IF($B433="",,IF(LEFT($H433,5)="dummy",SUMIFS(AvgBase[Month 23],AvgBase[job_title],$H433),SUMIFS(AvgBase[Month 23],AvgBase[exp_item],$J433,AvgBase[company_name],$B433,AvgBase[bu_name],$C433,AvgBase[dept_name],$D433,AvgBase[team_consolidation],$K433,AvgBase[location_name],$G433,AvgBase[job_title],$H433))*(AH223+AG223)/2*(1-AH328))</f>
        <v>0</v>
      </c>
      <c r="AI433" s="652">
        <f>IF($B433="",,IF(LEFT($H433,5)="dummy",SUMIFS(AvgBase[Month 24],AvgBase[job_title],$H433),SUMIFS(AvgBase[Month 24],AvgBase[exp_item],$J433,AvgBase[company_name],$B433,AvgBase[bu_name],$C433,AvgBase[dept_name],$D433,AvgBase[team_consolidation],$K433,AvgBase[location_name],$G433,AvgBase[job_title],$H433))*(AI223+AH223)/2*(1-AI328))</f>
        <v>0</v>
      </c>
      <c r="AJ433" s="652">
        <f>IF($B433="",,IF(LEFT($H433,5)="dummy",SUMIFS(AvgBase[Month 25],AvgBase[job_title],$H433),SUMIFS(AvgBase[Month 25],AvgBase[exp_item],$J433,AvgBase[company_name],$B433,AvgBase[bu_name],$C433,AvgBase[dept_name],$D433,AvgBase[team_consolidation],$K433,AvgBase[location_name],$G433,AvgBase[job_title],$H433))*(AJ223+AI223)/2*(1-AJ328))</f>
        <v>0</v>
      </c>
      <c r="AK433" s="652">
        <f>IF($B433="",,IF(LEFT($H433,5)="dummy",SUMIFS(AvgBase[Month 26],AvgBase[job_title],$H433),SUMIFS(AvgBase[Month 26],AvgBase[exp_item],$J433,AvgBase[company_name],$B433,AvgBase[bu_name],$C433,AvgBase[dept_name],$D433,AvgBase[team_consolidation],$K433,AvgBase[location_name],$G433,AvgBase[job_title],$H433))*(AK223+AJ223)/2*(1-AK328))</f>
        <v>0</v>
      </c>
      <c r="AL433" s="652">
        <f>IF($B433="",,IF(LEFT($H433,5)="dummy",SUMIFS(AvgBase[Month 27],AvgBase[job_title],$H433),SUMIFS(AvgBase[Month 27],AvgBase[exp_item],$J433,AvgBase[company_name],$B433,AvgBase[bu_name],$C433,AvgBase[dept_name],$D433,AvgBase[team_consolidation],$K433,AvgBase[location_name],$G433,AvgBase[job_title],$H433))*(AL223+AK223)/2*(1-AL328))</f>
        <v>0</v>
      </c>
      <c r="AM433" s="652">
        <f>IF($B433="",,IF(LEFT($H433,5)="dummy",SUMIFS(AvgBase[Month 28],AvgBase[job_title],$H433),SUMIFS(AvgBase[Month 28],AvgBase[exp_item],$J433,AvgBase[company_name],$B433,AvgBase[bu_name],$C433,AvgBase[dept_name],$D433,AvgBase[team_consolidation],$K433,AvgBase[location_name],$G433,AvgBase[job_title],$H433))*(AM223+AL223)/2*(1-AM328))</f>
        <v>0</v>
      </c>
      <c r="AN433" s="652">
        <f>IF($B433="",,IF(LEFT($H433,5)="dummy",SUMIFS(AvgBase[Month 29],AvgBase[job_title],$H433),SUMIFS(AvgBase[Month 29],AvgBase[exp_item],$J433,AvgBase[company_name],$B433,AvgBase[bu_name],$C433,AvgBase[dept_name],$D433,AvgBase[team_consolidation],$K433,AvgBase[location_name],$G433,AvgBase[job_title],$H433))*(AN223+AM223)/2*(1-AN328))</f>
        <v>0</v>
      </c>
      <c r="AO433" s="652">
        <f>IF($B433="",,IF(LEFT($H433,5)="dummy",SUMIFS(AvgBase[Month 30],AvgBase[job_title],$H433),SUMIFS(AvgBase[Month 30],AvgBase[exp_item],$J433,AvgBase[company_name],$B433,AvgBase[bu_name],$C433,AvgBase[dept_name],$D433,AvgBase[team_consolidation],$K433,AvgBase[location_name],$G433,AvgBase[job_title],$H433))*(AO223+AN223)/2*(1-AO328))</f>
        <v>0</v>
      </c>
      <c r="AP433" s="652">
        <f>IF($B433="",,IF(LEFT($H433,5)="dummy",SUMIFS(AvgBase[Month 31],AvgBase[job_title],$H433),SUMIFS(AvgBase[Month 31],AvgBase[exp_item],$J433,AvgBase[company_name],$B433,AvgBase[bu_name],$C433,AvgBase[dept_name],$D433,AvgBase[team_consolidation],$K433,AvgBase[location_name],$G433,AvgBase[job_title],$H433))*(AP223+AO223)/2*(1-AP328))</f>
        <v>0</v>
      </c>
      <c r="AQ433" s="652">
        <f>IF($B433="",,IF(LEFT($H433,5)="dummy",SUMIFS(AvgBase[Month 32],AvgBase[job_title],$H433),SUMIFS(AvgBase[Month 32],AvgBase[exp_item],$J433,AvgBase[company_name],$B433,AvgBase[bu_name],$C433,AvgBase[dept_name],$D433,AvgBase[team_consolidation],$K433,AvgBase[location_name],$G433,AvgBase[job_title],$H433))*(AQ223+AP223)/2*(1-AQ328))</f>
        <v>0</v>
      </c>
      <c r="AR433" s="652">
        <f>IF($B433="",,IF(LEFT($H433,5)="dummy",SUMIFS(AvgBase[Month 33],AvgBase[job_title],$H433),SUMIFS(AvgBase[Month 33],AvgBase[exp_item],$J433,AvgBase[company_name],$B433,AvgBase[bu_name],$C433,AvgBase[dept_name],$D433,AvgBase[team_consolidation],$K433,AvgBase[location_name],$G433,AvgBase[job_title],$H433))*(AR223+AQ223)/2*(1-AR328))</f>
        <v>0</v>
      </c>
      <c r="AS433" s="652">
        <f>IF($B433="",,IF(LEFT($H433,5)="dummy",SUMIFS(AvgBase[Month 34],AvgBase[job_title],$H433),SUMIFS(AvgBase[Month 34],AvgBase[exp_item],$J433,AvgBase[company_name],$B433,AvgBase[bu_name],$C433,AvgBase[dept_name],$D433,AvgBase[team_consolidation],$K433,AvgBase[location_name],$G433,AvgBase[job_title],$H433))*(AS223+AR223)/2*(1-AS328))</f>
        <v>0</v>
      </c>
      <c r="AT433" s="652">
        <f>IF($B433="",,IF(LEFT($H433,5)="dummy",SUMIFS(AvgBase[Month 35],AvgBase[job_title],$H433),SUMIFS(AvgBase[Month 35],AvgBase[exp_item],$J433,AvgBase[company_name],$B433,AvgBase[bu_name],$C433,AvgBase[dept_name],$D433,AvgBase[team_consolidation],$K433,AvgBase[location_name],$G433,AvgBase[job_title],$H433))*(AT223+AS223)/2*(1-AT328))</f>
        <v>0</v>
      </c>
      <c r="AU433" s="652">
        <f>IF($B433="",,IF(LEFT($H433,5)="dummy",SUMIFS(AvgBase[Month 36],AvgBase[job_title],$H433),SUMIFS(AvgBase[Month 36],AvgBase[exp_item],$J433,AvgBase[company_name],$B433,AvgBase[bu_name],$C433,AvgBase[dept_name],$D433,AvgBase[team_consolidation],$K433,AvgBase[location_name],$G433,AvgBase[job_title],$H433))*(AU223+AT223)/2*(1-AU328))</f>
        <v>0</v>
      </c>
    </row>
    <row r="434" spans="2:47" x14ac:dyDescent="0.35">
      <c r="B434" t="str">
        <f t="shared" si="278"/>
        <v/>
      </c>
      <c r="C434" t="str">
        <f t="shared" si="278"/>
        <v/>
      </c>
      <c r="D434" t="str">
        <f t="shared" si="278"/>
        <v/>
      </c>
      <c r="E434" t="str">
        <f t="shared" si="278"/>
        <v/>
      </c>
      <c r="F434" t="str">
        <f t="shared" si="278"/>
        <v/>
      </c>
      <c r="G434" t="str">
        <f t="shared" si="278"/>
        <v/>
      </c>
      <c r="H434" t="str">
        <f t="shared" si="279"/>
        <v/>
      </c>
      <c r="J434" t="str">
        <f>IF($H434="","",IF(VLOOKUP($B$395,ExpItems[],2,0),$B$395&amp;" - "&amp;INDEX(DivisionMapping[category_code],MATCH($D434&amp;$C434,DivisionMapping[dept_bu],0)),$B$395))</f>
        <v/>
      </c>
      <c r="K434" t="str">
        <f t="shared" si="275"/>
        <v/>
      </c>
      <c r="L434" s="652">
        <f>IF($B434="",,IF(LEFT($H434,5)="dummy",SUMIFS(AvgBase[Month 1],AvgBase[job_title],$H434),SUMIFS(AvgBase[Month 1],AvgBase[exp_item],$J434,AvgBase[company_name],$B434,AvgBase[bu_name],$C434,AvgBase[dept_name],$D434,AvgBase[team_consolidation],$K434,AvgBase[location_name],$G434,AvgBase[job_title],$H434))*L224/2*(1-L329))</f>
        <v>0</v>
      </c>
      <c r="M434" s="652">
        <f>IF($B434="",,IF(LEFT($H434,5)="dummy",SUMIFS(AvgBase[Month 2],AvgBase[job_title],$H434),SUMIFS(AvgBase[Month 2],AvgBase[exp_item],$J434,AvgBase[company_name],$B434,AvgBase[bu_name],$C434,AvgBase[dept_name],$D434,AvgBase[team_consolidation],$K434,AvgBase[location_name],$G434,AvgBase[job_title],$H434))*(M224+L224)/2*(1-M329))</f>
        <v>0</v>
      </c>
      <c r="N434" s="652">
        <f>IF($B434="",,IF(LEFT($H434,5)="dummy",SUMIFS(AvgBase[Month 3],AvgBase[job_title],$H434),SUMIFS(AvgBase[Month 3],AvgBase[exp_item],$J434,AvgBase[company_name],$B434,AvgBase[bu_name],$C434,AvgBase[dept_name],$D434,AvgBase[team_consolidation],$K434,AvgBase[location_name],$G434,AvgBase[job_title],$H434))*(N224+M224)/2*(1-N329))</f>
        <v>0</v>
      </c>
      <c r="O434" s="652">
        <f>IF($B434="",,IF(LEFT($H434,5)="dummy",SUMIFS(AvgBase[Month 4],AvgBase[job_title],$H434),SUMIFS(AvgBase[Month 4],AvgBase[exp_item],$J434,AvgBase[company_name],$B434,AvgBase[bu_name],$C434,AvgBase[dept_name],$D434,AvgBase[team_consolidation],$K434,AvgBase[location_name],$G434,AvgBase[job_title],$H434))*(O224+N224)/2*(1-O329))</f>
        <v>0</v>
      </c>
      <c r="P434" s="652">
        <f>IF($B434="",,IF(LEFT($H434,5)="dummy",SUMIFS(AvgBase[Month 5],AvgBase[job_title],$H434),SUMIFS(AvgBase[Month 5],AvgBase[exp_item],$J434,AvgBase[company_name],$B434,AvgBase[bu_name],$C434,AvgBase[dept_name],$D434,AvgBase[team_consolidation],$K434,AvgBase[location_name],$G434,AvgBase[job_title],$H434))*(P224+O224)/2*(1-P329))</f>
        <v>0</v>
      </c>
      <c r="Q434" s="652">
        <f>IF($B434="",,IF(LEFT($H434,5)="dummy",SUMIFS(AvgBase[Month 6],AvgBase[job_title],$H434),SUMIFS(AvgBase[Month 6],AvgBase[exp_item],$J434,AvgBase[company_name],$B434,AvgBase[bu_name],$C434,AvgBase[dept_name],$D434,AvgBase[team_consolidation],$K434,AvgBase[location_name],$G434,AvgBase[job_title],$H434))*(Q224+P224)/2*(1-Q329))</f>
        <v>0</v>
      </c>
      <c r="R434" s="652">
        <f>IF($B434="",,IF(LEFT($H434,5)="dummy",SUMIFS(AvgBase[Month 7],AvgBase[job_title],$H434),SUMIFS(AvgBase[Month 7],AvgBase[exp_item],$J434,AvgBase[company_name],$B434,AvgBase[bu_name],$C434,AvgBase[dept_name],$D434,AvgBase[team_consolidation],$K434,AvgBase[location_name],$G434,AvgBase[job_title],$H434))*(R224+Q224)/2*(1-R329))</f>
        <v>0</v>
      </c>
      <c r="S434" s="652">
        <f>IF($B434="",,IF(LEFT($H434,5)="dummy",SUMIFS(AvgBase[Month 8],AvgBase[job_title],$H434),SUMIFS(AvgBase[Month 8],AvgBase[exp_item],$J434,AvgBase[company_name],$B434,AvgBase[bu_name],$C434,AvgBase[dept_name],$D434,AvgBase[team_consolidation],$K434,AvgBase[location_name],$G434,AvgBase[job_title],$H434))*(S224+R224)/2*(1-S329))</f>
        <v>0</v>
      </c>
      <c r="T434" s="652">
        <f>IF($B434="",,IF(LEFT($H434,5)="dummy",SUMIFS(AvgBase[Month 9],AvgBase[job_title],$H434),SUMIFS(AvgBase[Month 9],AvgBase[exp_item],$J434,AvgBase[company_name],$B434,AvgBase[bu_name],$C434,AvgBase[dept_name],$D434,AvgBase[team_consolidation],$K434,AvgBase[location_name],$G434,AvgBase[job_title],$H434))*(T224+S224)/2*(1-T329))</f>
        <v>0</v>
      </c>
      <c r="U434" s="652">
        <f>IF($B434="",,IF(LEFT($H434,5)="dummy",SUMIFS(AvgBase[Month 10],AvgBase[job_title],$H434),SUMIFS(AvgBase[Month 10],AvgBase[exp_item],$J434,AvgBase[company_name],$B434,AvgBase[bu_name],$C434,AvgBase[dept_name],$D434,AvgBase[team_consolidation],$K434,AvgBase[location_name],$G434,AvgBase[job_title],$H434))*(U224+T224)/2*(1-U329))</f>
        <v>0</v>
      </c>
      <c r="V434" s="652">
        <f>IF($B434="",,IF(LEFT($H434,5)="dummy",SUMIFS(AvgBase[Month 11],AvgBase[job_title],$H434),SUMIFS(AvgBase[Month 11],AvgBase[exp_item],$J434,AvgBase[company_name],$B434,AvgBase[bu_name],$C434,AvgBase[dept_name],$D434,AvgBase[team_consolidation],$K434,AvgBase[location_name],$G434,AvgBase[job_title],$H434))*(V224+U224)/2*(1-V329))</f>
        <v>0</v>
      </c>
      <c r="W434" s="652">
        <f>IF($B434="",,IF(LEFT($H434,5)="dummy",SUMIFS(AvgBase[Month 12],AvgBase[job_title],$H434),SUMIFS(AvgBase[Month 12],AvgBase[exp_item],$J434,AvgBase[company_name],$B434,AvgBase[bu_name],$C434,AvgBase[dept_name],$D434,AvgBase[team_consolidation],$K434,AvgBase[location_name],$G434,AvgBase[job_title],$H434))*(W224+V224)/2*(1-W329))</f>
        <v>0</v>
      </c>
      <c r="X434" s="652">
        <f>IF($B434="",,IF(LEFT($H434,5)="dummy",SUMIFS(AvgBase[Month 13],AvgBase[job_title],$H434),SUMIFS(AvgBase[Month 13],AvgBase[exp_item],$J434,AvgBase[company_name],$B434,AvgBase[bu_name],$C434,AvgBase[dept_name],$D434,AvgBase[team_consolidation],$K434,AvgBase[location_name],$G434,AvgBase[job_title],$H434))*(X224+W224)/2*(1-X329))</f>
        <v>0</v>
      </c>
      <c r="Y434" s="652">
        <f>IF($B434="",,IF(LEFT($H434,5)="dummy",SUMIFS(AvgBase[Month 14],AvgBase[job_title],$H434),SUMIFS(AvgBase[Month 14],AvgBase[exp_item],$J434,AvgBase[company_name],$B434,AvgBase[bu_name],$C434,AvgBase[dept_name],$D434,AvgBase[team_consolidation],$K434,AvgBase[location_name],$G434,AvgBase[job_title],$H434))*(Y224+X224)/2*(1-Y329))</f>
        <v>0</v>
      </c>
      <c r="Z434" s="652">
        <f>IF($B434="",,IF(LEFT($H434,5)="dummy",SUMIFS(AvgBase[Month 15],AvgBase[job_title],$H434),SUMIFS(AvgBase[Month 15],AvgBase[exp_item],$J434,AvgBase[company_name],$B434,AvgBase[bu_name],$C434,AvgBase[dept_name],$D434,AvgBase[team_consolidation],$K434,AvgBase[location_name],$G434,AvgBase[job_title],$H434))*(Z224+Y224)/2*(1-Z329))</f>
        <v>0</v>
      </c>
      <c r="AA434" s="652">
        <f>IF($B434="",,IF(LEFT($H434,5)="dummy",SUMIFS(AvgBase[Month 16],AvgBase[job_title],$H434),SUMIFS(AvgBase[Month 16],AvgBase[exp_item],$J434,AvgBase[company_name],$B434,AvgBase[bu_name],$C434,AvgBase[dept_name],$D434,AvgBase[team_consolidation],$K434,AvgBase[location_name],$G434,AvgBase[job_title],$H434))*(AA224+Z224)/2*(1-AA329))</f>
        <v>0</v>
      </c>
      <c r="AB434" s="652">
        <f>IF($B434="",,IF(LEFT($H434,5)="dummy",SUMIFS(AvgBase[Month 17],AvgBase[job_title],$H434),SUMIFS(AvgBase[Month 17],AvgBase[exp_item],$J434,AvgBase[company_name],$B434,AvgBase[bu_name],$C434,AvgBase[dept_name],$D434,AvgBase[team_consolidation],$K434,AvgBase[location_name],$G434,AvgBase[job_title],$H434))*(AB224+AA224)/2*(1-AB329))</f>
        <v>0</v>
      </c>
      <c r="AC434" s="652">
        <f>IF($B434="",,IF(LEFT($H434,5)="dummy",SUMIFS(AvgBase[Month 18],AvgBase[job_title],$H434),SUMIFS(AvgBase[Month 18],AvgBase[exp_item],$J434,AvgBase[company_name],$B434,AvgBase[bu_name],$C434,AvgBase[dept_name],$D434,AvgBase[team_consolidation],$K434,AvgBase[location_name],$G434,AvgBase[job_title],$H434))*(AC224+AB224)/2*(1-AC329))</f>
        <v>0</v>
      </c>
      <c r="AD434" s="652">
        <f>IF($B434="",,IF(LEFT($H434,5)="dummy",SUMIFS(AvgBase[Month 19],AvgBase[job_title],$H434),SUMIFS(AvgBase[Month 19],AvgBase[exp_item],$J434,AvgBase[company_name],$B434,AvgBase[bu_name],$C434,AvgBase[dept_name],$D434,AvgBase[team_consolidation],$K434,AvgBase[location_name],$G434,AvgBase[job_title],$H434))*(AD224+AC224)/2*(1-AD329))</f>
        <v>0</v>
      </c>
      <c r="AE434" s="652">
        <f>IF($B434="",,IF(LEFT($H434,5)="dummy",SUMIFS(AvgBase[Month 20],AvgBase[job_title],$H434),SUMIFS(AvgBase[Month 20],AvgBase[exp_item],$J434,AvgBase[company_name],$B434,AvgBase[bu_name],$C434,AvgBase[dept_name],$D434,AvgBase[team_consolidation],$K434,AvgBase[location_name],$G434,AvgBase[job_title],$H434))*(AE224+AD224)/2*(1-AE329))</f>
        <v>0</v>
      </c>
      <c r="AF434" s="652">
        <f>IF($B434="",,IF(LEFT($H434,5)="dummy",SUMIFS(AvgBase[Month 21],AvgBase[job_title],$H434),SUMIFS(AvgBase[Month 21],AvgBase[exp_item],$J434,AvgBase[company_name],$B434,AvgBase[bu_name],$C434,AvgBase[dept_name],$D434,AvgBase[team_consolidation],$K434,AvgBase[location_name],$G434,AvgBase[job_title],$H434))*(AF224+AE224)/2*(1-AF329))</f>
        <v>0</v>
      </c>
      <c r="AG434" s="652">
        <f>IF($B434="",,IF(LEFT($H434,5)="dummy",SUMIFS(AvgBase[Month 22],AvgBase[job_title],$H434),SUMIFS(AvgBase[Month 22],AvgBase[exp_item],$J434,AvgBase[company_name],$B434,AvgBase[bu_name],$C434,AvgBase[dept_name],$D434,AvgBase[team_consolidation],$K434,AvgBase[location_name],$G434,AvgBase[job_title],$H434))*(AG224+AF224)/2*(1-AG329))</f>
        <v>0</v>
      </c>
      <c r="AH434" s="652">
        <f>IF($B434="",,IF(LEFT($H434,5)="dummy",SUMIFS(AvgBase[Month 23],AvgBase[job_title],$H434),SUMIFS(AvgBase[Month 23],AvgBase[exp_item],$J434,AvgBase[company_name],$B434,AvgBase[bu_name],$C434,AvgBase[dept_name],$D434,AvgBase[team_consolidation],$K434,AvgBase[location_name],$G434,AvgBase[job_title],$H434))*(AH224+AG224)/2*(1-AH329))</f>
        <v>0</v>
      </c>
      <c r="AI434" s="652">
        <f>IF($B434="",,IF(LEFT($H434,5)="dummy",SUMIFS(AvgBase[Month 24],AvgBase[job_title],$H434),SUMIFS(AvgBase[Month 24],AvgBase[exp_item],$J434,AvgBase[company_name],$B434,AvgBase[bu_name],$C434,AvgBase[dept_name],$D434,AvgBase[team_consolidation],$K434,AvgBase[location_name],$G434,AvgBase[job_title],$H434))*(AI224+AH224)/2*(1-AI329))</f>
        <v>0</v>
      </c>
      <c r="AJ434" s="652">
        <f>IF($B434="",,IF(LEFT($H434,5)="dummy",SUMIFS(AvgBase[Month 25],AvgBase[job_title],$H434),SUMIFS(AvgBase[Month 25],AvgBase[exp_item],$J434,AvgBase[company_name],$B434,AvgBase[bu_name],$C434,AvgBase[dept_name],$D434,AvgBase[team_consolidation],$K434,AvgBase[location_name],$G434,AvgBase[job_title],$H434))*(AJ224+AI224)/2*(1-AJ329))</f>
        <v>0</v>
      </c>
      <c r="AK434" s="652">
        <f>IF($B434="",,IF(LEFT($H434,5)="dummy",SUMIFS(AvgBase[Month 26],AvgBase[job_title],$H434),SUMIFS(AvgBase[Month 26],AvgBase[exp_item],$J434,AvgBase[company_name],$B434,AvgBase[bu_name],$C434,AvgBase[dept_name],$D434,AvgBase[team_consolidation],$K434,AvgBase[location_name],$G434,AvgBase[job_title],$H434))*(AK224+AJ224)/2*(1-AK329))</f>
        <v>0</v>
      </c>
      <c r="AL434" s="652">
        <f>IF($B434="",,IF(LEFT($H434,5)="dummy",SUMIFS(AvgBase[Month 27],AvgBase[job_title],$H434),SUMIFS(AvgBase[Month 27],AvgBase[exp_item],$J434,AvgBase[company_name],$B434,AvgBase[bu_name],$C434,AvgBase[dept_name],$D434,AvgBase[team_consolidation],$K434,AvgBase[location_name],$G434,AvgBase[job_title],$H434))*(AL224+AK224)/2*(1-AL329))</f>
        <v>0</v>
      </c>
      <c r="AM434" s="652">
        <f>IF($B434="",,IF(LEFT($H434,5)="dummy",SUMIFS(AvgBase[Month 28],AvgBase[job_title],$H434),SUMIFS(AvgBase[Month 28],AvgBase[exp_item],$J434,AvgBase[company_name],$B434,AvgBase[bu_name],$C434,AvgBase[dept_name],$D434,AvgBase[team_consolidation],$K434,AvgBase[location_name],$G434,AvgBase[job_title],$H434))*(AM224+AL224)/2*(1-AM329))</f>
        <v>0</v>
      </c>
      <c r="AN434" s="652">
        <f>IF($B434="",,IF(LEFT($H434,5)="dummy",SUMIFS(AvgBase[Month 29],AvgBase[job_title],$H434),SUMIFS(AvgBase[Month 29],AvgBase[exp_item],$J434,AvgBase[company_name],$B434,AvgBase[bu_name],$C434,AvgBase[dept_name],$D434,AvgBase[team_consolidation],$K434,AvgBase[location_name],$G434,AvgBase[job_title],$H434))*(AN224+AM224)/2*(1-AN329))</f>
        <v>0</v>
      </c>
      <c r="AO434" s="652">
        <f>IF($B434="",,IF(LEFT($H434,5)="dummy",SUMIFS(AvgBase[Month 30],AvgBase[job_title],$H434),SUMIFS(AvgBase[Month 30],AvgBase[exp_item],$J434,AvgBase[company_name],$B434,AvgBase[bu_name],$C434,AvgBase[dept_name],$D434,AvgBase[team_consolidation],$K434,AvgBase[location_name],$G434,AvgBase[job_title],$H434))*(AO224+AN224)/2*(1-AO329))</f>
        <v>0</v>
      </c>
      <c r="AP434" s="652">
        <f>IF($B434="",,IF(LEFT($H434,5)="dummy",SUMIFS(AvgBase[Month 31],AvgBase[job_title],$H434),SUMIFS(AvgBase[Month 31],AvgBase[exp_item],$J434,AvgBase[company_name],$B434,AvgBase[bu_name],$C434,AvgBase[dept_name],$D434,AvgBase[team_consolidation],$K434,AvgBase[location_name],$G434,AvgBase[job_title],$H434))*(AP224+AO224)/2*(1-AP329))</f>
        <v>0</v>
      </c>
      <c r="AQ434" s="652">
        <f>IF($B434="",,IF(LEFT($H434,5)="dummy",SUMIFS(AvgBase[Month 32],AvgBase[job_title],$H434),SUMIFS(AvgBase[Month 32],AvgBase[exp_item],$J434,AvgBase[company_name],$B434,AvgBase[bu_name],$C434,AvgBase[dept_name],$D434,AvgBase[team_consolidation],$K434,AvgBase[location_name],$G434,AvgBase[job_title],$H434))*(AQ224+AP224)/2*(1-AQ329))</f>
        <v>0</v>
      </c>
      <c r="AR434" s="652">
        <f>IF($B434="",,IF(LEFT($H434,5)="dummy",SUMIFS(AvgBase[Month 33],AvgBase[job_title],$H434),SUMIFS(AvgBase[Month 33],AvgBase[exp_item],$J434,AvgBase[company_name],$B434,AvgBase[bu_name],$C434,AvgBase[dept_name],$D434,AvgBase[team_consolidation],$K434,AvgBase[location_name],$G434,AvgBase[job_title],$H434))*(AR224+AQ224)/2*(1-AR329))</f>
        <v>0</v>
      </c>
      <c r="AS434" s="652">
        <f>IF($B434="",,IF(LEFT($H434,5)="dummy",SUMIFS(AvgBase[Month 34],AvgBase[job_title],$H434),SUMIFS(AvgBase[Month 34],AvgBase[exp_item],$J434,AvgBase[company_name],$B434,AvgBase[bu_name],$C434,AvgBase[dept_name],$D434,AvgBase[team_consolidation],$K434,AvgBase[location_name],$G434,AvgBase[job_title],$H434))*(AS224+AR224)/2*(1-AS329))</f>
        <v>0</v>
      </c>
      <c r="AT434" s="652">
        <f>IF($B434="",,IF(LEFT($H434,5)="dummy",SUMIFS(AvgBase[Month 35],AvgBase[job_title],$H434),SUMIFS(AvgBase[Month 35],AvgBase[exp_item],$J434,AvgBase[company_name],$B434,AvgBase[bu_name],$C434,AvgBase[dept_name],$D434,AvgBase[team_consolidation],$K434,AvgBase[location_name],$G434,AvgBase[job_title],$H434))*(AT224+AS224)/2*(1-AT329))</f>
        <v>0</v>
      </c>
      <c r="AU434" s="652">
        <f>IF($B434="",,IF(LEFT($H434,5)="dummy",SUMIFS(AvgBase[Month 36],AvgBase[job_title],$H434),SUMIFS(AvgBase[Month 36],AvgBase[exp_item],$J434,AvgBase[company_name],$B434,AvgBase[bu_name],$C434,AvgBase[dept_name],$D434,AvgBase[team_consolidation],$K434,AvgBase[location_name],$G434,AvgBase[job_title],$H434))*(AU224+AT224)/2*(1-AU329))</f>
        <v>0</v>
      </c>
    </row>
    <row r="435" spans="2:47" x14ac:dyDescent="0.35">
      <c r="B435" t="str">
        <f t="shared" si="278"/>
        <v/>
      </c>
      <c r="C435" t="str">
        <f t="shared" si="278"/>
        <v/>
      </c>
      <c r="D435" t="str">
        <f t="shared" si="278"/>
        <v/>
      </c>
      <c r="E435" t="str">
        <f t="shared" si="278"/>
        <v/>
      </c>
      <c r="F435" t="str">
        <f t="shared" si="278"/>
        <v/>
      </c>
      <c r="G435" t="str">
        <f t="shared" si="278"/>
        <v/>
      </c>
      <c r="H435" t="str">
        <f t="shared" si="279"/>
        <v/>
      </c>
      <c r="J435" t="str">
        <f>IF($H435="","",IF(VLOOKUP($B$395,ExpItems[],2,0),$B$395&amp;" - "&amp;INDEX(DivisionMapping[category_code],MATCH($D435&amp;$C435,DivisionMapping[dept_bu],0)),$B$395))</f>
        <v/>
      </c>
      <c r="K435" t="str">
        <f t="shared" si="275"/>
        <v/>
      </c>
      <c r="L435" s="652">
        <f>IF($B435="",,IF(LEFT($H435,5)="dummy",SUMIFS(AvgBase[Month 1],AvgBase[job_title],$H435),SUMIFS(AvgBase[Month 1],AvgBase[exp_item],$J435,AvgBase[company_name],$B435,AvgBase[bu_name],$C435,AvgBase[dept_name],$D435,AvgBase[team_consolidation],$K435,AvgBase[location_name],$G435,AvgBase[job_title],$H435))*L225/2*(1-L330))</f>
        <v>0</v>
      </c>
      <c r="M435" s="652">
        <f>IF($B435="",,IF(LEFT($H435,5)="dummy",SUMIFS(AvgBase[Month 2],AvgBase[job_title],$H435),SUMIFS(AvgBase[Month 2],AvgBase[exp_item],$J435,AvgBase[company_name],$B435,AvgBase[bu_name],$C435,AvgBase[dept_name],$D435,AvgBase[team_consolidation],$K435,AvgBase[location_name],$G435,AvgBase[job_title],$H435))*(M225+L225)/2*(1-M330))</f>
        <v>0</v>
      </c>
      <c r="N435" s="652">
        <f>IF($B435="",,IF(LEFT($H435,5)="dummy",SUMIFS(AvgBase[Month 3],AvgBase[job_title],$H435),SUMIFS(AvgBase[Month 3],AvgBase[exp_item],$J435,AvgBase[company_name],$B435,AvgBase[bu_name],$C435,AvgBase[dept_name],$D435,AvgBase[team_consolidation],$K435,AvgBase[location_name],$G435,AvgBase[job_title],$H435))*(N225+M225)/2*(1-N330))</f>
        <v>0</v>
      </c>
      <c r="O435" s="652">
        <f>IF($B435="",,IF(LEFT($H435,5)="dummy",SUMIFS(AvgBase[Month 4],AvgBase[job_title],$H435),SUMIFS(AvgBase[Month 4],AvgBase[exp_item],$J435,AvgBase[company_name],$B435,AvgBase[bu_name],$C435,AvgBase[dept_name],$D435,AvgBase[team_consolidation],$K435,AvgBase[location_name],$G435,AvgBase[job_title],$H435))*(O225+N225)/2*(1-O330))</f>
        <v>0</v>
      </c>
      <c r="P435" s="652">
        <f>IF($B435="",,IF(LEFT($H435,5)="dummy",SUMIFS(AvgBase[Month 5],AvgBase[job_title],$H435),SUMIFS(AvgBase[Month 5],AvgBase[exp_item],$J435,AvgBase[company_name],$B435,AvgBase[bu_name],$C435,AvgBase[dept_name],$D435,AvgBase[team_consolidation],$K435,AvgBase[location_name],$G435,AvgBase[job_title],$H435))*(P225+O225)/2*(1-P330))</f>
        <v>0</v>
      </c>
      <c r="Q435" s="652">
        <f>IF($B435="",,IF(LEFT($H435,5)="dummy",SUMIFS(AvgBase[Month 6],AvgBase[job_title],$H435),SUMIFS(AvgBase[Month 6],AvgBase[exp_item],$J435,AvgBase[company_name],$B435,AvgBase[bu_name],$C435,AvgBase[dept_name],$D435,AvgBase[team_consolidation],$K435,AvgBase[location_name],$G435,AvgBase[job_title],$H435))*(Q225+P225)/2*(1-Q330))</f>
        <v>0</v>
      </c>
      <c r="R435" s="652">
        <f>IF($B435="",,IF(LEFT($H435,5)="dummy",SUMIFS(AvgBase[Month 7],AvgBase[job_title],$H435),SUMIFS(AvgBase[Month 7],AvgBase[exp_item],$J435,AvgBase[company_name],$B435,AvgBase[bu_name],$C435,AvgBase[dept_name],$D435,AvgBase[team_consolidation],$K435,AvgBase[location_name],$G435,AvgBase[job_title],$H435))*(R225+Q225)/2*(1-R330))</f>
        <v>0</v>
      </c>
      <c r="S435" s="652">
        <f>IF($B435="",,IF(LEFT($H435,5)="dummy",SUMIFS(AvgBase[Month 8],AvgBase[job_title],$H435),SUMIFS(AvgBase[Month 8],AvgBase[exp_item],$J435,AvgBase[company_name],$B435,AvgBase[bu_name],$C435,AvgBase[dept_name],$D435,AvgBase[team_consolidation],$K435,AvgBase[location_name],$G435,AvgBase[job_title],$H435))*(S225+R225)/2*(1-S330))</f>
        <v>0</v>
      </c>
      <c r="T435" s="652">
        <f>IF($B435="",,IF(LEFT($H435,5)="dummy",SUMIFS(AvgBase[Month 9],AvgBase[job_title],$H435),SUMIFS(AvgBase[Month 9],AvgBase[exp_item],$J435,AvgBase[company_name],$B435,AvgBase[bu_name],$C435,AvgBase[dept_name],$D435,AvgBase[team_consolidation],$K435,AvgBase[location_name],$G435,AvgBase[job_title],$H435))*(T225+S225)/2*(1-T330))</f>
        <v>0</v>
      </c>
      <c r="U435" s="652">
        <f>IF($B435="",,IF(LEFT($H435,5)="dummy",SUMIFS(AvgBase[Month 10],AvgBase[job_title],$H435),SUMIFS(AvgBase[Month 10],AvgBase[exp_item],$J435,AvgBase[company_name],$B435,AvgBase[bu_name],$C435,AvgBase[dept_name],$D435,AvgBase[team_consolidation],$K435,AvgBase[location_name],$G435,AvgBase[job_title],$H435))*(U225+T225)/2*(1-U330))</f>
        <v>0</v>
      </c>
      <c r="V435" s="652">
        <f>IF($B435="",,IF(LEFT($H435,5)="dummy",SUMIFS(AvgBase[Month 11],AvgBase[job_title],$H435),SUMIFS(AvgBase[Month 11],AvgBase[exp_item],$J435,AvgBase[company_name],$B435,AvgBase[bu_name],$C435,AvgBase[dept_name],$D435,AvgBase[team_consolidation],$K435,AvgBase[location_name],$G435,AvgBase[job_title],$H435))*(V225+U225)/2*(1-V330))</f>
        <v>0</v>
      </c>
      <c r="W435" s="652">
        <f>IF($B435="",,IF(LEFT($H435,5)="dummy",SUMIFS(AvgBase[Month 12],AvgBase[job_title],$H435),SUMIFS(AvgBase[Month 12],AvgBase[exp_item],$J435,AvgBase[company_name],$B435,AvgBase[bu_name],$C435,AvgBase[dept_name],$D435,AvgBase[team_consolidation],$K435,AvgBase[location_name],$G435,AvgBase[job_title],$H435))*(W225+V225)/2*(1-W330))</f>
        <v>0</v>
      </c>
      <c r="X435" s="652">
        <f>IF($B435="",,IF(LEFT($H435,5)="dummy",SUMIFS(AvgBase[Month 13],AvgBase[job_title],$H435),SUMIFS(AvgBase[Month 13],AvgBase[exp_item],$J435,AvgBase[company_name],$B435,AvgBase[bu_name],$C435,AvgBase[dept_name],$D435,AvgBase[team_consolidation],$K435,AvgBase[location_name],$G435,AvgBase[job_title],$H435))*(X225+W225)/2*(1-X330))</f>
        <v>0</v>
      </c>
      <c r="Y435" s="652">
        <f>IF($B435="",,IF(LEFT($H435,5)="dummy",SUMIFS(AvgBase[Month 14],AvgBase[job_title],$H435),SUMIFS(AvgBase[Month 14],AvgBase[exp_item],$J435,AvgBase[company_name],$B435,AvgBase[bu_name],$C435,AvgBase[dept_name],$D435,AvgBase[team_consolidation],$K435,AvgBase[location_name],$G435,AvgBase[job_title],$H435))*(Y225+X225)/2*(1-Y330))</f>
        <v>0</v>
      </c>
      <c r="Z435" s="652">
        <f>IF($B435="",,IF(LEFT($H435,5)="dummy",SUMIFS(AvgBase[Month 15],AvgBase[job_title],$H435),SUMIFS(AvgBase[Month 15],AvgBase[exp_item],$J435,AvgBase[company_name],$B435,AvgBase[bu_name],$C435,AvgBase[dept_name],$D435,AvgBase[team_consolidation],$K435,AvgBase[location_name],$G435,AvgBase[job_title],$H435))*(Z225+Y225)/2*(1-Z330))</f>
        <v>0</v>
      </c>
      <c r="AA435" s="652">
        <f>IF($B435="",,IF(LEFT($H435,5)="dummy",SUMIFS(AvgBase[Month 16],AvgBase[job_title],$H435),SUMIFS(AvgBase[Month 16],AvgBase[exp_item],$J435,AvgBase[company_name],$B435,AvgBase[bu_name],$C435,AvgBase[dept_name],$D435,AvgBase[team_consolidation],$K435,AvgBase[location_name],$G435,AvgBase[job_title],$H435))*(AA225+Z225)/2*(1-AA330))</f>
        <v>0</v>
      </c>
      <c r="AB435" s="652">
        <f>IF($B435="",,IF(LEFT($H435,5)="dummy",SUMIFS(AvgBase[Month 17],AvgBase[job_title],$H435),SUMIFS(AvgBase[Month 17],AvgBase[exp_item],$J435,AvgBase[company_name],$B435,AvgBase[bu_name],$C435,AvgBase[dept_name],$D435,AvgBase[team_consolidation],$K435,AvgBase[location_name],$G435,AvgBase[job_title],$H435))*(AB225+AA225)/2*(1-AB330))</f>
        <v>0</v>
      </c>
      <c r="AC435" s="652">
        <f>IF($B435="",,IF(LEFT($H435,5)="dummy",SUMIFS(AvgBase[Month 18],AvgBase[job_title],$H435),SUMIFS(AvgBase[Month 18],AvgBase[exp_item],$J435,AvgBase[company_name],$B435,AvgBase[bu_name],$C435,AvgBase[dept_name],$D435,AvgBase[team_consolidation],$K435,AvgBase[location_name],$G435,AvgBase[job_title],$H435))*(AC225+AB225)/2*(1-AC330))</f>
        <v>0</v>
      </c>
      <c r="AD435" s="652">
        <f>IF($B435="",,IF(LEFT($H435,5)="dummy",SUMIFS(AvgBase[Month 19],AvgBase[job_title],$H435),SUMIFS(AvgBase[Month 19],AvgBase[exp_item],$J435,AvgBase[company_name],$B435,AvgBase[bu_name],$C435,AvgBase[dept_name],$D435,AvgBase[team_consolidation],$K435,AvgBase[location_name],$G435,AvgBase[job_title],$H435))*(AD225+AC225)/2*(1-AD330))</f>
        <v>0</v>
      </c>
      <c r="AE435" s="652">
        <f>IF($B435="",,IF(LEFT($H435,5)="dummy",SUMIFS(AvgBase[Month 20],AvgBase[job_title],$H435),SUMIFS(AvgBase[Month 20],AvgBase[exp_item],$J435,AvgBase[company_name],$B435,AvgBase[bu_name],$C435,AvgBase[dept_name],$D435,AvgBase[team_consolidation],$K435,AvgBase[location_name],$G435,AvgBase[job_title],$H435))*(AE225+AD225)/2*(1-AE330))</f>
        <v>0</v>
      </c>
      <c r="AF435" s="652">
        <f>IF($B435="",,IF(LEFT($H435,5)="dummy",SUMIFS(AvgBase[Month 21],AvgBase[job_title],$H435),SUMIFS(AvgBase[Month 21],AvgBase[exp_item],$J435,AvgBase[company_name],$B435,AvgBase[bu_name],$C435,AvgBase[dept_name],$D435,AvgBase[team_consolidation],$K435,AvgBase[location_name],$G435,AvgBase[job_title],$H435))*(AF225+AE225)/2*(1-AF330))</f>
        <v>0</v>
      </c>
      <c r="AG435" s="652">
        <f>IF($B435="",,IF(LEFT($H435,5)="dummy",SUMIFS(AvgBase[Month 22],AvgBase[job_title],$H435),SUMIFS(AvgBase[Month 22],AvgBase[exp_item],$J435,AvgBase[company_name],$B435,AvgBase[bu_name],$C435,AvgBase[dept_name],$D435,AvgBase[team_consolidation],$K435,AvgBase[location_name],$G435,AvgBase[job_title],$H435))*(AG225+AF225)/2*(1-AG330))</f>
        <v>0</v>
      </c>
      <c r="AH435" s="652">
        <f>IF($B435="",,IF(LEFT($H435,5)="dummy",SUMIFS(AvgBase[Month 23],AvgBase[job_title],$H435),SUMIFS(AvgBase[Month 23],AvgBase[exp_item],$J435,AvgBase[company_name],$B435,AvgBase[bu_name],$C435,AvgBase[dept_name],$D435,AvgBase[team_consolidation],$K435,AvgBase[location_name],$G435,AvgBase[job_title],$H435))*(AH225+AG225)/2*(1-AH330))</f>
        <v>0</v>
      </c>
      <c r="AI435" s="652">
        <f>IF($B435="",,IF(LEFT($H435,5)="dummy",SUMIFS(AvgBase[Month 24],AvgBase[job_title],$H435),SUMIFS(AvgBase[Month 24],AvgBase[exp_item],$J435,AvgBase[company_name],$B435,AvgBase[bu_name],$C435,AvgBase[dept_name],$D435,AvgBase[team_consolidation],$K435,AvgBase[location_name],$G435,AvgBase[job_title],$H435))*(AI225+AH225)/2*(1-AI330))</f>
        <v>0</v>
      </c>
      <c r="AJ435" s="652">
        <f>IF($B435="",,IF(LEFT($H435,5)="dummy",SUMIFS(AvgBase[Month 25],AvgBase[job_title],$H435),SUMIFS(AvgBase[Month 25],AvgBase[exp_item],$J435,AvgBase[company_name],$B435,AvgBase[bu_name],$C435,AvgBase[dept_name],$D435,AvgBase[team_consolidation],$K435,AvgBase[location_name],$G435,AvgBase[job_title],$H435))*(AJ225+AI225)/2*(1-AJ330))</f>
        <v>0</v>
      </c>
      <c r="AK435" s="652">
        <f>IF($B435="",,IF(LEFT($H435,5)="dummy",SUMIFS(AvgBase[Month 26],AvgBase[job_title],$H435),SUMIFS(AvgBase[Month 26],AvgBase[exp_item],$J435,AvgBase[company_name],$B435,AvgBase[bu_name],$C435,AvgBase[dept_name],$D435,AvgBase[team_consolidation],$K435,AvgBase[location_name],$G435,AvgBase[job_title],$H435))*(AK225+AJ225)/2*(1-AK330))</f>
        <v>0</v>
      </c>
      <c r="AL435" s="652">
        <f>IF($B435="",,IF(LEFT($H435,5)="dummy",SUMIFS(AvgBase[Month 27],AvgBase[job_title],$H435),SUMIFS(AvgBase[Month 27],AvgBase[exp_item],$J435,AvgBase[company_name],$B435,AvgBase[bu_name],$C435,AvgBase[dept_name],$D435,AvgBase[team_consolidation],$K435,AvgBase[location_name],$G435,AvgBase[job_title],$H435))*(AL225+AK225)/2*(1-AL330))</f>
        <v>0</v>
      </c>
      <c r="AM435" s="652">
        <f>IF($B435="",,IF(LEFT($H435,5)="dummy",SUMIFS(AvgBase[Month 28],AvgBase[job_title],$H435),SUMIFS(AvgBase[Month 28],AvgBase[exp_item],$J435,AvgBase[company_name],$B435,AvgBase[bu_name],$C435,AvgBase[dept_name],$D435,AvgBase[team_consolidation],$K435,AvgBase[location_name],$G435,AvgBase[job_title],$H435))*(AM225+AL225)/2*(1-AM330))</f>
        <v>0</v>
      </c>
      <c r="AN435" s="652">
        <f>IF($B435="",,IF(LEFT($H435,5)="dummy",SUMIFS(AvgBase[Month 29],AvgBase[job_title],$H435),SUMIFS(AvgBase[Month 29],AvgBase[exp_item],$J435,AvgBase[company_name],$B435,AvgBase[bu_name],$C435,AvgBase[dept_name],$D435,AvgBase[team_consolidation],$K435,AvgBase[location_name],$G435,AvgBase[job_title],$H435))*(AN225+AM225)/2*(1-AN330))</f>
        <v>0</v>
      </c>
      <c r="AO435" s="652">
        <f>IF($B435="",,IF(LEFT($H435,5)="dummy",SUMIFS(AvgBase[Month 30],AvgBase[job_title],$H435),SUMIFS(AvgBase[Month 30],AvgBase[exp_item],$J435,AvgBase[company_name],$B435,AvgBase[bu_name],$C435,AvgBase[dept_name],$D435,AvgBase[team_consolidation],$K435,AvgBase[location_name],$G435,AvgBase[job_title],$H435))*(AO225+AN225)/2*(1-AO330))</f>
        <v>0</v>
      </c>
      <c r="AP435" s="652">
        <f>IF($B435="",,IF(LEFT($H435,5)="dummy",SUMIFS(AvgBase[Month 31],AvgBase[job_title],$H435),SUMIFS(AvgBase[Month 31],AvgBase[exp_item],$J435,AvgBase[company_name],$B435,AvgBase[bu_name],$C435,AvgBase[dept_name],$D435,AvgBase[team_consolidation],$K435,AvgBase[location_name],$G435,AvgBase[job_title],$H435))*(AP225+AO225)/2*(1-AP330))</f>
        <v>0</v>
      </c>
      <c r="AQ435" s="652">
        <f>IF($B435="",,IF(LEFT($H435,5)="dummy",SUMIFS(AvgBase[Month 32],AvgBase[job_title],$H435),SUMIFS(AvgBase[Month 32],AvgBase[exp_item],$J435,AvgBase[company_name],$B435,AvgBase[bu_name],$C435,AvgBase[dept_name],$D435,AvgBase[team_consolidation],$K435,AvgBase[location_name],$G435,AvgBase[job_title],$H435))*(AQ225+AP225)/2*(1-AQ330))</f>
        <v>0</v>
      </c>
      <c r="AR435" s="652">
        <f>IF($B435="",,IF(LEFT($H435,5)="dummy",SUMIFS(AvgBase[Month 33],AvgBase[job_title],$H435),SUMIFS(AvgBase[Month 33],AvgBase[exp_item],$J435,AvgBase[company_name],$B435,AvgBase[bu_name],$C435,AvgBase[dept_name],$D435,AvgBase[team_consolidation],$K435,AvgBase[location_name],$G435,AvgBase[job_title],$H435))*(AR225+AQ225)/2*(1-AR330))</f>
        <v>0</v>
      </c>
      <c r="AS435" s="652">
        <f>IF($B435="",,IF(LEFT($H435,5)="dummy",SUMIFS(AvgBase[Month 34],AvgBase[job_title],$H435),SUMIFS(AvgBase[Month 34],AvgBase[exp_item],$J435,AvgBase[company_name],$B435,AvgBase[bu_name],$C435,AvgBase[dept_name],$D435,AvgBase[team_consolidation],$K435,AvgBase[location_name],$G435,AvgBase[job_title],$H435))*(AS225+AR225)/2*(1-AS330))</f>
        <v>0</v>
      </c>
      <c r="AT435" s="652">
        <f>IF($B435="",,IF(LEFT($H435,5)="dummy",SUMIFS(AvgBase[Month 35],AvgBase[job_title],$H435),SUMIFS(AvgBase[Month 35],AvgBase[exp_item],$J435,AvgBase[company_name],$B435,AvgBase[bu_name],$C435,AvgBase[dept_name],$D435,AvgBase[team_consolidation],$K435,AvgBase[location_name],$G435,AvgBase[job_title],$H435))*(AT225+AS225)/2*(1-AT330))</f>
        <v>0</v>
      </c>
      <c r="AU435" s="652">
        <f>IF($B435="",,IF(LEFT($H435,5)="dummy",SUMIFS(AvgBase[Month 36],AvgBase[job_title],$H435),SUMIFS(AvgBase[Month 36],AvgBase[exp_item],$J435,AvgBase[company_name],$B435,AvgBase[bu_name],$C435,AvgBase[dept_name],$D435,AvgBase[team_consolidation],$K435,AvgBase[location_name],$G435,AvgBase[job_title],$H435))*(AU225+AT225)/2*(1-AU330))</f>
        <v>0</v>
      </c>
    </row>
    <row r="436" spans="2:47" x14ac:dyDescent="0.35">
      <c r="B436" t="str">
        <f t="shared" ref="B436:G445" si="280">IF(B331="","",B331)</f>
        <v/>
      </c>
      <c r="C436" t="str">
        <f t="shared" si="280"/>
        <v/>
      </c>
      <c r="D436" t="str">
        <f t="shared" si="280"/>
        <v/>
      </c>
      <c r="E436" t="str">
        <f t="shared" si="280"/>
        <v/>
      </c>
      <c r="F436" t="str">
        <f t="shared" si="280"/>
        <v/>
      </c>
      <c r="G436" t="str">
        <f t="shared" si="280"/>
        <v/>
      </c>
      <c r="H436" t="str">
        <f t="shared" si="279"/>
        <v/>
      </c>
      <c r="J436" t="str">
        <f>IF($H436="","",IF(VLOOKUP($B$395,ExpItems[],2,0),$B$395&amp;" - "&amp;INDEX(DivisionMapping[category_code],MATCH($D436&amp;$C436,DivisionMapping[dept_bu],0)),$B$395))</f>
        <v/>
      </c>
      <c r="K436" t="str">
        <f t="shared" si="275"/>
        <v/>
      </c>
      <c r="L436" s="652">
        <f>IF($B436="",,IF(LEFT($H436,5)="dummy",SUMIFS(AvgBase[Month 1],AvgBase[job_title],$H436),SUMIFS(AvgBase[Month 1],AvgBase[exp_item],$J436,AvgBase[company_name],$B436,AvgBase[bu_name],$C436,AvgBase[dept_name],$D436,AvgBase[team_consolidation],$K436,AvgBase[location_name],$G436,AvgBase[job_title],$H436))*L226/2*(1-L331))</f>
        <v>0</v>
      </c>
      <c r="M436" s="652">
        <f>IF($B436="",,IF(LEFT($H436,5)="dummy",SUMIFS(AvgBase[Month 2],AvgBase[job_title],$H436),SUMIFS(AvgBase[Month 2],AvgBase[exp_item],$J436,AvgBase[company_name],$B436,AvgBase[bu_name],$C436,AvgBase[dept_name],$D436,AvgBase[team_consolidation],$K436,AvgBase[location_name],$G436,AvgBase[job_title],$H436))*(M226+L226)/2*(1-M331))</f>
        <v>0</v>
      </c>
      <c r="N436" s="652">
        <f>IF($B436="",,IF(LEFT($H436,5)="dummy",SUMIFS(AvgBase[Month 3],AvgBase[job_title],$H436),SUMIFS(AvgBase[Month 3],AvgBase[exp_item],$J436,AvgBase[company_name],$B436,AvgBase[bu_name],$C436,AvgBase[dept_name],$D436,AvgBase[team_consolidation],$K436,AvgBase[location_name],$G436,AvgBase[job_title],$H436))*(N226+M226)/2*(1-N331))</f>
        <v>0</v>
      </c>
      <c r="O436" s="652">
        <f>IF($B436="",,IF(LEFT($H436,5)="dummy",SUMIFS(AvgBase[Month 4],AvgBase[job_title],$H436),SUMIFS(AvgBase[Month 4],AvgBase[exp_item],$J436,AvgBase[company_name],$B436,AvgBase[bu_name],$C436,AvgBase[dept_name],$D436,AvgBase[team_consolidation],$K436,AvgBase[location_name],$G436,AvgBase[job_title],$H436))*(O226+N226)/2*(1-O331))</f>
        <v>0</v>
      </c>
      <c r="P436" s="652">
        <f>IF($B436="",,IF(LEFT($H436,5)="dummy",SUMIFS(AvgBase[Month 5],AvgBase[job_title],$H436),SUMIFS(AvgBase[Month 5],AvgBase[exp_item],$J436,AvgBase[company_name],$B436,AvgBase[bu_name],$C436,AvgBase[dept_name],$D436,AvgBase[team_consolidation],$K436,AvgBase[location_name],$G436,AvgBase[job_title],$H436))*(P226+O226)/2*(1-P331))</f>
        <v>0</v>
      </c>
      <c r="Q436" s="652">
        <f>IF($B436="",,IF(LEFT($H436,5)="dummy",SUMIFS(AvgBase[Month 6],AvgBase[job_title],$H436),SUMIFS(AvgBase[Month 6],AvgBase[exp_item],$J436,AvgBase[company_name],$B436,AvgBase[bu_name],$C436,AvgBase[dept_name],$D436,AvgBase[team_consolidation],$K436,AvgBase[location_name],$G436,AvgBase[job_title],$H436))*(Q226+P226)/2*(1-Q331))</f>
        <v>0</v>
      </c>
      <c r="R436" s="652">
        <f>IF($B436="",,IF(LEFT($H436,5)="dummy",SUMIFS(AvgBase[Month 7],AvgBase[job_title],$H436),SUMIFS(AvgBase[Month 7],AvgBase[exp_item],$J436,AvgBase[company_name],$B436,AvgBase[bu_name],$C436,AvgBase[dept_name],$D436,AvgBase[team_consolidation],$K436,AvgBase[location_name],$G436,AvgBase[job_title],$H436))*(R226+Q226)/2*(1-R331))</f>
        <v>0</v>
      </c>
      <c r="S436" s="652">
        <f>IF($B436="",,IF(LEFT($H436,5)="dummy",SUMIFS(AvgBase[Month 8],AvgBase[job_title],$H436),SUMIFS(AvgBase[Month 8],AvgBase[exp_item],$J436,AvgBase[company_name],$B436,AvgBase[bu_name],$C436,AvgBase[dept_name],$D436,AvgBase[team_consolidation],$K436,AvgBase[location_name],$G436,AvgBase[job_title],$H436))*(S226+R226)/2*(1-S331))</f>
        <v>0</v>
      </c>
      <c r="T436" s="652">
        <f>IF($B436="",,IF(LEFT($H436,5)="dummy",SUMIFS(AvgBase[Month 9],AvgBase[job_title],$H436),SUMIFS(AvgBase[Month 9],AvgBase[exp_item],$J436,AvgBase[company_name],$B436,AvgBase[bu_name],$C436,AvgBase[dept_name],$D436,AvgBase[team_consolidation],$K436,AvgBase[location_name],$G436,AvgBase[job_title],$H436))*(T226+S226)/2*(1-T331))</f>
        <v>0</v>
      </c>
      <c r="U436" s="652">
        <f>IF($B436="",,IF(LEFT($H436,5)="dummy",SUMIFS(AvgBase[Month 10],AvgBase[job_title],$H436),SUMIFS(AvgBase[Month 10],AvgBase[exp_item],$J436,AvgBase[company_name],$B436,AvgBase[bu_name],$C436,AvgBase[dept_name],$D436,AvgBase[team_consolidation],$K436,AvgBase[location_name],$G436,AvgBase[job_title],$H436))*(U226+T226)/2*(1-U331))</f>
        <v>0</v>
      </c>
      <c r="V436" s="652">
        <f>IF($B436="",,IF(LEFT($H436,5)="dummy",SUMIFS(AvgBase[Month 11],AvgBase[job_title],$H436),SUMIFS(AvgBase[Month 11],AvgBase[exp_item],$J436,AvgBase[company_name],$B436,AvgBase[bu_name],$C436,AvgBase[dept_name],$D436,AvgBase[team_consolidation],$K436,AvgBase[location_name],$G436,AvgBase[job_title],$H436))*(V226+U226)/2*(1-V331))</f>
        <v>0</v>
      </c>
      <c r="W436" s="652">
        <f>IF($B436="",,IF(LEFT($H436,5)="dummy",SUMIFS(AvgBase[Month 12],AvgBase[job_title],$H436),SUMIFS(AvgBase[Month 12],AvgBase[exp_item],$J436,AvgBase[company_name],$B436,AvgBase[bu_name],$C436,AvgBase[dept_name],$D436,AvgBase[team_consolidation],$K436,AvgBase[location_name],$G436,AvgBase[job_title],$H436))*(W226+V226)/2*(1-W331))</f>
        <v>0</v>
      </c>
      <c r="X436" s="652">
        <f>IF($B436="",,IF(LEFT($H436,5)="dummy",SUMIFS(AvgBase[Month 13],AvgBase[job_title],$H436),SUMIFS(AvgBase[Month 13],AvgBase[exp_item],$J436,AvgBase[company_name],$B436,AvgBase[bu_name],$C436,AvgBase[dept_name],$D436,AvgBase[team_consolidation],$K436,AvgBase[location_name],$G436,AvgBase[job_title],$H436))*(X226+W226)/2*(1-X331))</f>
        <v>0</v>
      </c>
      <c r="Y436" s="652">
        <f>IF($B436="",,IF(LEFT($H436,5)="dummy",SUMIFS(AvgBase[Month 14],AvgBase[job_title],$H436),SUMIFS(AvgBase[Month 14],AvgBase[exp_item],$J436,AvgBase[company_name],$B436,AvgBase[bu_name],$C436,AvgBase[dept_name],$D436,AvgBase[team_consolidation],$K436,AvgBase[location_name],$G436,AvgBase[job_title],$H436))*(Y226+X226)/2*(1-Y331))</f>
        <v>0</v>
      </c>
      <c r="Z436" s="652">
        <f>IF($B436="",,IF(LEFT($H436,5)="dummy",SUMIFS(AvgBase[Month 15],AvgBase[job_title],$H436),SUMIFS(AvgBase[Month 15],AvgBase[exp_item],$J436,AvgBase[company_name],$B436,AvgBase[bu_name],$C436,AvgBase[dept_name],$D436,AvgBase[team_consolidation],$K436,AvgBase[location_name],$G436,AvgBase[job_title],$H436))*(Z226+Y226)/2*(1-Z331))</f>
        <v>0</v>
      </c>
      <c r="AA436" s="652">
        <f>IF($B436="",,IF(LEFT($H436,5)="dummy",SUMIFS(AvgBase[Month 16],AvgBase[job_title],$H436),SUMIFS(AvgBase[Month 16],AvgBase[exp_item],$J436,AvgBase[company_name],$B436,AvgBase[bu_name],$C436,AvgBase[dept_name],$D436,AvgBase[team_consolidation],$K436,AvgBase[location_name],$G436,AvgBase[job_title],$H436))*(AA226+Z226)/2*(1-AA331))</f>
        <v>0</v>
      </c>
      <c r="AB436" s="652">
        <f>IF($B436="",,IF(LEFT($H436,5)="dummy",SUMIFS(AvgBase[Month 17],AvgBase[job_title],$H436),SUMIFS(AvgBase[Month 17],AvgBase[exp_item],$J436,AvgBase[company_name],$B436,AvgBase[bu_name],$C436,AvgBase[dept_name],$D436,AvgBase[team_consolidation],$K436,AvgBase[location_name],$G436,AvgBase[job_title],$H436))*(AB226+AA226)/2*(1-AB331))</f>
        <v>0</v>
      </c>
      <c r="AC436" s="652">
        <f>IF($B436="",,IF(LEFT($H436,5)="dummy",SUMIFS(AvgBase[Month 18],AvgBase[job_title],$H436),SUMIFS(AvgBase[Month 18],AvgBase[exp_item],$J436,AvgBase[company_name],$B436,AvgBase[bu_name],$C436,AvgBase[dept_name],$D436,AvgBase[team_consolidation],$K436,AvgBase[location_name],$G436,AvgBase[job_title],$H436))*(AC226+AB226)/2*(1-AC331))</f>
        <v>0</v>
      </c>
      <c r="AD436" s="652">
        <f>IF($B436="",,IF(LEFT($H436,5)="dummy",SUMIFS(AvgBase[Month 19],AvgBase[job_title],$H436),SUMIFS(AvgBase[Month 19],AvgBase[exp_item],$J436,AvgBase[company_name],$B436,AvgBase[bu_name],$C436,AvgBase[dept_name],$D436,AvgBase[team_consolidation],$K436,AvgBase[location_name],$G436,AvgBase[job_title],$H436))*(AD226+AC226)/2*(1-AD331))</f>
        <v>0</v>
      </c>
      <c r="AE436" s="652">
        <f>IF($B436="",,IF(LEFT($H436,5)="dummy",SUMIFS(AvgBase[Month 20],AvgBase[job_title],$H436),SUMIFS(AvgBase[Month 20],AvgBase[exp_item],$J436,AvgBase[company_name],$B436,AvgBase[bu_name],$C436,AvgBase[dept_name],$D436,AvgBase[team_consolidation],$K436,AvgBase[location_name],$G436,AvgBase[job_title],$H436))*(AE226+AD226)/2*(1-AE331))</f>
        <v>0</v>
      </c>
      <c r="AF436" s="652">
        <f>IF($B436="",,IF(LEFT($H436,5)="dummy",SUMIFS(AvgBase[Month 21],AvgBase[job_title],$H436),SUMIFS(AvgBase[Month 21],AvgBase[exp_item],$J436,AvgBase[company_name],$B436,AvgBase[bu_name],$C436,AvgBase[dept_name],$D436,AvgBase[team_consolidation],$K436,AvgBase[location_name],$G436,AvgBase[job_title],$H436))*(AF226+AE226)/2*(1-AF331))</f>
        <v>0</v>
      </c>
      <c r="AG436" s="652">
        <f>IF($B436="",,IF(LEFT($H436,5)="dummy",SUMIFS(AvgBase[Month 22],AvgBase[job_title],$H436),SUMIFS(AvgBase[Month 22],AvgBase[exp_item],$J436,AvgBase[company_name],$B436,AvgBase[bu_name],$C436,AvgBase[dept_name],$D436,AvgBase[team_consolidation],$K436,AvgBase[location_name],$G436,AvgBase[job_title],$H436))*(AG226+AF226)/2*(1-AG331))</f>
        <v>0</v>
      </c>
      <c r="AH436" s="652">
        <f>IF($B436="",,IF(LEFT($H436,5)="dummy",SUMIFS(AvgBase[Month 23],AvgBase[job_title],$H436),SUMIFS(AvgBase[Month 23],AvgBase[exp_item],$J436,AvgBase[company_name],$B436,AvgBase[bu_name],$C436,AvgBase[dept_name],$D436,AvgBase[team_consolidation],$K436,AvgBase[location_name],$G436,AvgBase[job_title],$H436))*(AH226+AG226)/2*(1-AH331))</f>
        <v>0</v>
      </c>
      <c r="AI436" s="652">
        <f>IF($B436="",,IF(LEFT($H436,5)="dummy",SUMIFS(AvgBase[Month 24],AvgBase[job_title],$H436),SUMIFS(AvgBase[Month 24],AvgBase[exp_item],$J436,AvgBase[company_name],$B436,AvgBase[bu_name],$C436,AvgBase[dept_name],$D436,AvgBase[team_consolidation],$K436,AvgBase[location_name],$G436,AvgBase[job_title],$H436))*(AI226+AH226)/2*(1-AI331))</f>
        <v>0</v>
      </c>
      <c r="AJ436" s="652">
        <f>IF($B436="",,IF(LEFT($H436,5)="dummy",SUMIFS(AvgBase[Month 25],AvgBase[job_title],$H436),SUMIFS(AvgBase[Month 25],AvgBase[exp_item],$J436,AvgBase[company_name],$B436,AvgBase[bu_name],$C436,AvgBase[dept_name],$D436,AvgBase[team_consolidation],$K436,AvgBase[location_name],$G436,AvgBase[job_title],$H436))*(AJ226+AI226)/2*(1-AJ331))</f>
        <v>0</v>
      </c>
      <c r="AK436" s="652">
        <f>IF($B436="",,IF(LEFT($H436,5)="dummy",SUMIFS(AvgBase[Month 26],AvgBase[job_title],$H436),SUMIFS(AvgBase[Month 26],AvgBase[exp_item],$J436,AvgBase[company_name],$B436,AvgBase[bu_name],$C436,AvgBase[dept_name],$D436,AvgBase[team_consolidation],$K436,AvgBase[location_name],$G436,AvgBase[job_title],$H436))*(AK226+AJ226)/2*(1-AK331))</f>
        <v>0</v>
      </c>
      <c r="AL436" s="652">
        <f>IF($B436="",,IF(LEFT($H436,5)="dummy",SUMIFS(AvgBase[Month 27],AvgBase[job_title],$H436),SUMIFS(AvgBase[Month 27],AvgBase[exp_item],$J436,AvgBase[company_name],$B436,AvgBase[bu_name],$C436,AvgBase[dept_name],$D436,AvgBase[team_consolidation],$K436,AvgBase[location_name],$G436,AvgBase[job_title],$H436))*(AL226+AK226)/2*(1-AL331))</f>
        <v>0</v>
      </c>
      <c r="AM436" s="652">
        <f>IF($B436="",,IF(LEFT($H436,5)="dummy",SUMIFS(AvgBase[Month 28],AvgBase[job_title],$H436),SUMIFS(AvgBase[Month 28],AvgBase[exp_item],$J436,AvgBase[company_name],$B436,AvgBase[bu_name],$C436,AvgBase[dept_name],$D436,AvgBase[team_consolidation],$K436,AvgBase[location_name],$G436,AvgBase[job_title],$H436))*(AM226+AL226)/2*(1-AM331))</f>
        <v>0</v>
      </c>
      <c r="AN436" s="652">
        <f>IF($B436="",,IF(LEFT($H436,5)="dummy",SUMIFS(AvgBase[Month 29],AvgBase[job_title],$H436),SUMIFS(AvgBase[Month 29],AvgBase[exp_item],$J436,AvgBase[company_name],$B436,AvgBase[bu_name],$C436,AvgBase[dept_name],$D436,AvgBase[team_consolidation],$K436,AvgBase[location_name],$G436,AvgBase[job_title],$H436))*(AN226+AM226)/2*(1-AN331))</f>
        <v>0</v>
      </c>
      <c r="AO436" s="652">
        <f>IF($B436="",,IF(LEFT($H436,5)="dummy",SUMIFS(AvgBase[Month 30],AvgBase[job_title],$H436),SUMIFS(AvgBase[Month 30],AvgBase[exp_item],$J436,AvgBase[company_name],$B436,AvgBase[bu_name],$C436,AvgBase[dept_name],$D436,AvgBase[team_consolidation],$K436,AvgBase[location_name],$G436,AvgBase[job_title],$H436))*(AO226+AN226)/2*(1-AO331))</f>
        <v>0</v>
      </c>
      <c r="AP436" s="652">
        <f>IF($B436="",,IF(LEFT($H436,5)="dummy",SUMIFS(AvgBase[Month 31],AvgBase[job_title],$H436),SUMIFS(AvgBase[Month 31],AvgBase[exp_item],$J436,AvgBase[company_name],$B436,AvgBase[bu_name],$C436,AvgBase[dept_name],$D436,AvgBase[team_consolidation],$K436,AvgBase[location_name],$G436,AvgBase[job_title],$H436))*(AP226+AO226)/2*(1-AP331))</f>
        <v>0</v>
      </c>
      <c r="AQ436" s="652">
        <f>IF($B436="",,IF(LEFT($H436,5)="dummy",SUMIFS(AvgBase[Month 32],AvgBase[job_title],$H436),SUMIFS(AvgBase[Month 32],AvgBase[exp_item],$J436,AvgBase[company_name],$B436,AvgBase[bu_name],$C436,AvgBase[dept_name],$D436,AvgBase[team_consolidation],$K436,AvgBase[location_name],$G436,AvgBase[job_title],$H436))*(AQ226+AP226)/2*(1-AQ331))</f>
        <v>0</v>
      </c>
      <c r="AR436" s="652">
        <f>IF($B436="",,IF(LEFT($H436,5)="dummy",SUMIFS(AvgBase[Month 33],AvgBase[job_title],$H436),SUMIFS(AvgBase[Month 33],AvgBase[exp_item],$J436,AvgBase[company_name],$B436,AvgBase[bu_name],$C436,AvgBase[dept_name],$D436,AvgBase[team_consolidation],$K436,AvgBase[location_name],$G436,AvgBase[job_title],$H436))*(AR226+AQ226)/2*(1-AR331))</f>
        <v>0</v>
      </c>
      <c r="AS436" s="652">
        <f>IF($B436="",,IF(LEFT($H436,5)="dummy",SUMIFS(AvgBase[Month 34],AvgBase[job_title],$H436),SUMIFS(AvgBase[Month 34],AvgBase[exp_item],$J436,AvgBase[company_name],$B436,AvgBase[bu_name],$C436,AvgBase[dept_name],$D436,AvgBase[team_consolidation],$K436,AvgBase[location_name],$G436,AvgBase[job_title],$H436))*(AS226+AR226)/2*(1-AS331))</f>
        <v>0</v>
      </c>
      <c r="AT436" s="652">
        <f>IF($B436="",,IF(LEFT($H436,5)="dummy",SUMIFS(AvgBase[Month 35],AvgBase[job_title],$H436),SUMIFS(AvgBase[Month 35],AvgBase[exp_item],$J436,AvgBase[company_name],$B436,AvgBase[bu_name],$C436,AvgBase[dept_name],$D436,AvgBase[team_consolidation],$K436,AvgBase[location_name],$G436,AvgBase[job_title],$H436))*(AT226+AS226)/2*(1-AT331))</f>
        <v>0</v>
      </c>
      <c r="AU436" s="652">
        <f>IF($B436="",,IF(LEFT($H436,5)="dummy",SUMIFS(AvgBase[Month 36],AvgBase[job_title],$H436),SUMIFS(AvgBase[Month 36],AvgBase[exp_item],$J436,AvgBase[company_name],$B436,AvgBase[bu_name],$C436,AvgBase[dept_name],$D436,AvgBase[team_consolidation],$K436,AvgBase[location_name],$G436,AvgBase[job_title],$H436))*(AU226+AT226)/2*(1-AU331))</f>
        <v>0</v>
      </c>
    </row>
    <row r="437" spans="2:47" x14ac:dyDescent="0.35">
      <c r="B437" t="str">
        <f t="shared" si="280"/>
        <v/>
      </c>
      <c r="C437" t="str">
        <f t="shared" si="280"/>
        <v/>
      </c>
      <c r="D437" t="str">
        <f t="shared" si="280"/>
        <v/>
      </c>
      <c r="E437" t="str">
        <f t="shared" si="280"/>
        <v/>
      </c>
      <c r="F437" t="str">
        <f t="shared" si="280"/>
        <v/>
      </c>
      <c r="G437" t="str">
        <f t="shared" si="280"/>
        <v/>
      </c>
      <c r="H437" t="str">
        <f t="shared" si="279"/>
        <v/>
      </c>
      <c r="J437" t="str">
        <f>IF($H437="","",IF(VLOOKUP($B$395,ExpItems[],2,0),$B$395&amp;" - "&amp;INDEX(DivisionMapping[category_code],MATCH($D437&amp;$C437,DivisionMapping[dept_bu],0)),$B$395))</f>
        <v/>
      </c>
      <c r="K437" t="str">
        <f t="shared" si="275"/>
        <v/>
      </c>
      <c r="L437" s="652">
        <f>IF($B437="",,IF(LEFT($H437,5)="dummy",SUMIFS(AvgBase[Month 1],AvgBase[job_title],$H437),SUMIFS(AvgBase[Month 1],AvgBase[exp_item],$J437,AvgBase[company_name],$B437,AvgBase[bu_name],$C437,AvgBase[dept_name],$D437,AvgBase[team_consolidation],$K437,AvgBase[location_name],$G437,AvgBase[job_title],$H437))*L227/2*(1-L332))</f>
        <v>0</v>
      </c>
      <c r="M437" s="652">
        <f>IF($B437="",,IF(LEFT($H437,5)="dummy",SUMIFS(AvgBase[Month 2],AvgBase[job_title],$H437),SUMIFS(AvgBase[Month 2],AvgBase[exp_item],$J437,AvgBase[company_name],$B437,AvgBase[bu_name],$C437,AvgBase[dept_name],$D437,AvgBase[team_consolidation],$K437,AvgBase[location_name],$G437,AvgBase[job_title],$H437))*(M227+L227)/2*(1-M332))</f>
        <v>0</v>
      </c>
      <c r="N437" s="652">
        <f>IF($B437="",,IF(LEFT($H437,5)="dummy",SUMIFS(AvgBase[Month 3],AvgBase[job_title],$H437),SUMIFS(AvgBase[Month 3],AvgBase[exp_item],$J437,AvgBase[company_name],$B437,AvgBase[bu_name],$C437,AvgBase[dept_name],$D437,AvgBase[team_consolidation],$K437,AvgBase[location_name],$G437,AvgBase[job_title],$H437))*(N227+M227)/2*(1-N332))</f>
        <v>0</v>
      </c>
      <c r="O437" s="652">
        <f>IF($B437="",,IF(LEFT($H437,5)="dummy",SUMIFS(AvgBase[Month 4],AvgBase[job_title],$H437),SUMIFS(AvgBase[Month 4],AvgBase[exp_item],$J437,AvgBase[company_name],$B437,AvgBase[bu_name],$C437,AvgBase[dept_name],$D437,AvgBase[team_consolidation],$K437,AvgBase[location_name],$G437,AvgBase[job_title],$H437))*(O227+N227)/2*(1-O332))</f>
        <v>0</v>
      </c>
      <c r="P437" s="652">
        <f>IF($B437="",,IF(LEFT($H437,5)="dummy",SUMIFS(AvgBase[Month 5],AvgBase[job_title],$H437),SUMIFS(AvgBase[Month 5],AvgBase[exp_item],$J437,AvgBase[company_name],$B437,AvgBase[bu_name],$C437,AvgBase[dept_name],$D437,AvgBase[team_consolidation],$K437,AvgBase[location_name],$G437,AvgBase[job_title],$H437))*(P227+O227)/2*(1-P332))</f>
        <v>0</v>
      </c>
      <c r="Q437" s="652">
        <f>IF($B437="",,IF(LEFT($H437,5)="dummy",SUMIFS(AvgBase[Month 6],AvgBase[job_title],$H437),SUMIFS(AvgBase[Month 6],AvgBase[exp_item],$J437,AvgBase[company_name],$B437,AvgBase[bu_name],$C437,AvgBase[dept_name],$D437,AvgBase[team_consolidation],$K437,AvgBase[location_name],$G437,AvgBase[job_title],$H437))*(Q227+P227)/2*(1-Q332))</f>
        <v>0</v>
      </c>
      <c r="R437" s="652">
        <f>IF($B437="",,IF(LEFT($H437,5)="dummy",SUMIFS(AvgBase[Month 7],AvgBase[job_title],$H437),SUMIFS(AvgBase[Month 7],AvgBase[exp_item],$J437,AvgBase[company_name],$B437,AvgBase[bu_name],$C437,AvgBase[dept_name],$D437,AvgBase[team_consolidation],$K437,AvgBase[location_name],$G437,AvgBase[job_title],$H437))*(R227+Q227)/2*(1-R332))</f>
        <v>0</v>
      </c>
      <c r="S437" s="652">
        <f>IF($B437="",,IF(LEFT($H437,5)="dummy",SUMIFS(AvgBase[Month 8],AvgBase[job_title],$H437),SUMIFS(AvgBase[Month 8],AvgBase[exp_item],$J437,AvgBase[company_name],$B437,AvgBase[bu_name],$C437,AvgBase[dept_name],$D437,AvgBase[team_consolidation],$K437,AvgBase[location_name],$G437,AvgBase[job_title],$H437))*(S227+R227)/2*(1-S332))</f>
        <v>0</v>
      </c>
      <c r="T437" s="652">
        <f>IF($B437="",,IF(LEFT($H437,5)="dummy",SUMIFS(AvgBase[Month 9],AvgBase[job_title],$H437),SUMIFS(AvgBase[Month 9],AvgBase[exp_item],$J437,AvgBase[company_name],$B437,AvgBase[bu_name],$C437,AvgBase[dept_name],$D437,AvgBase[team_consolidation],$K437,AvgBase[location_name],$G437,AvgBase[job_title],$H437))*(T227+S227)/2*(1-T332))</f>
        <v>0</v>
      </c>
      <c r="U437" s="652">
        <f>IF($B437="",,IF(LEFT($H437,5)="dummy",SUMIFS(AvgBase[Month 10],AvgBase[job_title],$H437),SUMIFS(AvgBase[Month 10],AvgBase[exp_item],$J437,AvgBase[company_name],$B437,AvgBase[bu_name],$C437,AvgBase[dept_name],$D437,AvgBase[team_consolidation],$K437,AvgBase[location_name],$G437,AvgBase[job_title],$H437))*(U227+T227)/2*(1-U332))</f>
        <v>0</v>
      </c>
      <c r="V437" s="652">
        <f>IF($B437="",,IF(LEFT($H437,5)="dummy",SUMIFS(AvgBase[Month 11],AvgBase[job_title],$H437),SUMIFS(AvgBase[Month 11],AvgBase[exp_item],$J437,AvgBase[company_name],$B437,AvgBase[bu_name],$C437,AvgBase[dept_name],$D437,AvgBase[team_consolidation],$K437,AvgBase[location_name],$G437,AvgBase[job_title],$H437))*(V227+U227)/2*(1-V332))</f>
        <v>0</v>
      </c>
      <c r="W437" s="652">
        <f>IF($B437="",,IF(LEFT($H437,5)="dummy",SUMIFS(AvgBase[Month 12],AvgBase[job_title],$H437),SUMIFS(AvgBase[Month 12],AvgBase[exp_item],$J437,AvgBase[company_name],$B437,AvgBase[bu_name],$C437,AvgBase[dept_name],$D437,AvgBase[team_consolidation],$K437,AvgBase[location_name],$G437,AvgBase[job_title],$H437))*(W227+V227)/2*(1-W332))</f>
        <v>0</v>
      </c>
      <c r="X437" s="652">
        <f>IF($B437="",,IF(LEFT($H437,5)="dummy",SUMIFS(AvgBase[Month 13],AvgBase[job_title],$H437),SUMIFS(AvgBase[Month 13],AvgBase[exp_item],$J437,AvgBase[company_name],$B437,AvgBase[bu_name],$C437,AvgBase[dept_name],$D437,AvgBase[team_consolidation],$K437,AvgBase[location_name],$G437,AvgBase[job_title],$H437))*(X227+W227)/2*(1-X332))</f>
        <v>0</v>
      </c>
      <c r="Y437" s="652">
        <f>IF($B437="",,IF(LEFT($H437,5)="dummy",SUMIFS(AvgBase[Month 14],AvgBase[job_title],$H437),SUMIFS(AvgBase[Month 14],AvgBase[exp_item],$J437,AvgBase[company_name],$B437,AvgBase[bu_name],$C437,AvgBase[dept_name],$D437,AvgBase[team_consolidation],$K437,AvgBase[location_name],$G437,AvgBase[job_title],$H437))*(Y227+X227)/2*(1-Y332))</f>
        <v>0</v>
      </c>
      <c r="Z437" s="652">
        <f>IF($B437="",,IF(LEFT($H437,5)="dummy",SUMIFS(AvgBase[Month 15],AvgBase[job_title],$H437),SUMIFS(AvgBase[Month 15],AvgBase[exp_item],$J437,AvgBase[company_name],$B437,AvgBase[bu_name],$C437,AvgBase[dept_name],$D437,AvgBase[team_consolidation],$K437,AvgBase[location_name],$G437,AvgBase[job_title],$H437))*(Z227+Y227)/2*(1-Z332))</f>
        <v>0</v>
      </c>
      <c r="AA437" s="652">
        <f>IF($B437="",,IF(LEFT($H437,5)="dummy",SUMIFS(AvgBase[Month 16],AvgBase[job_title],$H437),SUMIFS(AvgBase[Month 16],AvgBase[exp_item],$J437,AvgBase[company_name],$B437,AvgBase[bu_name],$C437,AvgBase[dept_name],$D437,AvgBase[team_consolidation],$K437,AvgBase[location_name],$G437,AvgBase[job_title],$H437))*(AA227+Z227)/2*(1-AA332))</f>
        <v>0</v>
      </c>
      <c r="AB437" s="652">
        <f>IF($B437="",,IF(LEFT($H437,5)="dummy",SUMIFS(AvgBase[Month 17],AvgBase[job_title],$H437),SUMIFS(AvgBase[Month 17],AvgBase[exp_item],$J437,AvgBase[company_name],$B437,AvgBase[bu_name],$C437,AvgBase[dept_name],$D437,AvgBase[team_consolidation],$K437,AvgBase[location_name],$G437,AvgBase[job_title],$H437))*(AB227+AA227)/2*(1-AB332))</f>
        <v>0</v>
      </c>
      <c r="AC437" s="652">
        <f>IF($B437="",,IF(LEFT($H437,5)="dummy",SUMIFS(AvgBase[Month 18],AvgBase[job_title],$H437),SUMIFS(AvgBase[Month 18],AvgBase[exp_item],$J437,AvgBase[company_name],$B437,AvgBase[bu_name],$C437,AvgBase[dept_name],$D437,AvgBase[team_consolidation],$K437,AvgBase[location_name],$G437,AvgBase[job_title],$H437))*(AC227+AB227)/2*(1-AC332))</f>
        <v>0</v>
      </c>
      <c r="AD437" s="652">
        <f>IF($B437="",,IF(LEFT($H437,5)="dummy",SUMIFS(AvgBase[Month 19],AvgBase[job_title],$H437),SUMIFS(AvgBase[Month 19],AvgBase[exp_item],$J437,AvgBase[company_name],$B437,AvgBase[bu_name],$C437,AvgBase[dept_name],$D437,AvgBase[team_consolidation],$K437,AvgBase[location_name],$G437,AvgBase[job_title],$H437))*(AD227+AC227)/2*(1-AD332))</f>
        <v>0</v>
      </c>
      <c r="AE437" s="652">
        <f>IF($B437="",,IF(LEFT($H437,5)="dummy",SUMIFS(AvgBase[Month 20],AvgBase[job_title],$H437),SUMIFS(AvgBase[Month 20],AvgBase[exp_item],$J437,AvgBase[company_name],$B437,AvgBase[bu_name],$C437,AvgBase[dept_name],$D437,AvgBase[team_consolidation],$K437,AvgBase[location_name],$G437,AvgBase[job_title],$H437))*(AE227+AD227)/2*(1-AE332))</f>
        <v>0</v>
      </c>
      <c r="AF437" s="652">
        <f>IF($B437="",,IF(LEFT($H437,5)="dummy",SUMIFS(AvgBase[Month 21],AvgBase[job_title],$H437),SUMIFS(AvgBase[Month 21],AvgBase[exp_item],$J437,AvgBase[company_name],$B437,AvgBase[bu_name],$C437,AvgBase[dept_name],$D437,AvgBase[team_consolidation],$K437,AvgBase[location_name],$G437,AvgBase[job_title],$H437))*(AF227+AE227)/2*(1-AF332))</f>
        <v>0</v>
      </c>
      <c r="AG437" s="652">
        <f>IF($B437="",,IF(LEFT($H437,5)="dummy",SUMIFS(AvgBase[Month 22],AvgBase[job_title],$H437),SUMIFS(AvgBase[Month 22],AvgBase[exp_item],$J437,AvgBase[company_name],$B437,AvgBase[bu_name],$C437,AvgBase[dept_name],$D437,AvgBase[team_consolidation],$K437,AvgBase[location_name],$G437,AvgBase[job_title],$H437))*(AG227+AF227)/2*(1-AG332))</f>
        <v>0</v>
      </c>
      <c r="AH437" s="652">
        <f>IF($B437="",,IF(LEFT($H437,5)="dummy",SUMIFS(AvgBase[Month 23],AvgBase[job_title],$H437),SUMIFS(AvgBase[Month 23],AvgBase[exp_item],$J437,AvgBase[company_name],$B437,AvgBase[bu_name],$C437,AvgBase[dept_name],$D437,AvgBase[team_consolidation],$K437,AvgBase[location_name],$G437,AvgBase[job_title],$H437))*(AH227+AG227)/2*(1-AH332))</f>
        <v>0</v>
      </c>
      <c r="AI437" s="652">
        <f>IF($B437="",,IF(LEFT($H437,5)="dummy",SUMIFS(AvgBase[Month 24],AvgBase[job_title],$H437),SUMIFS(AvgBase[Month 24],AvgBase[exp_item],$J437,AvgBase[company_name],$B437,AvgBase[bu_name],$C437,AvgBase[dept_name],$D437,AvgBase[team_consolidation],$K437,AvgBase[location_name],$G437,AvgBase[job_title],$H437))*(AI227+AH227)/2*(1-AI332))</f>
        <v>0</v>
      </c>
      <c r="AJ437" s="652">
        <f>IF($B437="",,IF(LEFT($H437,5)="dummy",SUMIFS(AvgBase[Month 25],AvgBase[job_title],$H437),SUMIFS(AvgBase[Month 25],AvgBase[exp_item],$J437,AvgBase[company_name],$B437,AvgBase[bu_name],$C437,AvgBase[dept_name],$D437,AvgBase[team_consolidation],$K437,AvgBase[location_name],$G437,AvgBase[job_title],$H437))*(AJ227+AI227)/2*(1-AJ332))</f>
        <v>0</v>
      </c>
      <c r="AK437" s="652">
        <f>IF($B437="",,IF(LEFT($H437,5)="dummy",SUMIFS(AvgBase[Month 26],AvgBase[job_title],$H437),SUMIFS(AvgBase[Month 26],AvgBase[exp_item],$J437,AvgBase[company_name],$B437,AvgBase[bu_name],$C437,AvgBase[dept_name],$D437,AvgBase[team_consolidation],$K437,AvgBase[location_name],$G437,AvgBase[job_title],$H437))*(AK227+AJ227)/2*(1-AK332))</f>
        <v>0</v>
      </c>
      <c r="AL437" s="652">
        <f>IF($B437="",,IF(LEFT($H437,5)="dummy",SUMIFS(AvgBase[Month 27],AvgBase[job_title],$H437),SUMIFS(AvgBase[Month 27],AvgBase[exp_item],$J437,AvgBase[company_name],$B437,AvgBase[bu_name],$C437,AvgBase[dept_name],$D437,AvgBase[team_consolidation],$K437,AvgBase[location_name],$G437,AvgBase[job_title],$H437))*(AL227+AK227)/2*(1-AL332))</f>
        <v>0</v>
      </c>
      <c r="AM437" s="652">
        <f>IF($B437="",,IF(LEFT($H437,5)="dummy",SUMIFS(AvgBase[Month 28],AvgBase[job_title],$H437),SUMIFS(AvgBase[Month 28],AvgBase[exp_item],$J437,AvgBase[company_name],$B437,AvgBase[bu_name],$C437,AvgBase[dept_name],$D437,AvgBase[team_consolidation],$K437,AvgBase[location_name],$G437,AvgBase[job_title],$H437))*(AM227+AL227)/2*(1-AM332))</f>
        <v>0</v>
      </c>
      <c r="AN437" s="652">
        <f>IF($B437="",,IF(LEFT($H437,5)="dummy",SUMIFS(AvgBase[Month 29],AvgBase[job_title],$H437),SUMIFS(AvgBase[Month 29],AvgBase[exp_item],$J437,AvgBase[company_name],$B437,AvgBase[bu_name],$C437,AvgBase[dept_name],$D437,AvgBase[team_consolidation],$K437,AvgBase[location_name],$G437,AvgBase[job_title],$H437))*(AN227+AM227)/2*(1-AN332))</f>
        <v>0</v>
      </c>
      <c r="AO437" s="652">
        <f>IF($B437="",,IF(LEFT($H437,5)="dummy",SUMIFS(AvgBase[Month 30],AvgBase[job_title],$H437),SUMIFS(AvgBase[Month 30],AvgBase[exp_item],$J437,AvgBase[company_name],$B437,AvgBase[bu_name],$C437,AvgBase[dept_name],$D437,AvgBase[team_consolidation],$K437,AvgBase[location_name],$G437,AvgBase[job_title],$H437))*(AO227+AN227)/2*(1-AO332))</f>
        <v>0</v>
      </c>
      <c r="AP437" s="652">
        <f>IF($B437="",,IF(LEFT($H437,5)="dummy",SUMIFS(AvgBase[Month 31],AvgBase[job_title],$H437),SUMIFS(AvgBase[Month 31],AvgBase[exp_item],$J437,AvgBase[company_name],$B437,AvgBase[bu_name],$C437,AvgBase[dept_name],$D437,AvgBase[team_consolidation],$K437,AvgBase[location_name],$G437,AvgBase[job_title],$H437))*(AP227+AO227)/2*(1-AP332))</f>
        <v>0</v>
      </c>
      <c r="AQ437" s="652">
        <f>IF($B437="",,IF(LEFT($H437,5)="dummy",SUMIFS(AvgBase[Month 32],AvgBase[job_title],$H437),SUMIFS(AvgBase[Month 32],AvgBase[exp_item],$J437,AvgBase[company_name],$B437,AvgBase[bu_name],$C437,AvgBase[dept_name],$D437,AvgBase[team_consolidation],$K437,AvgBase[location_name],$G437,AvgBase[job_title],$H437))*(AQ227+AP227)/2*(1-AQ332))</f>
        <v>0</v>
      </c>
      <c r="AR437" s="652">
        <f>IF($B437="",,IF(LEFT($H437,5)="dummy",SUMIFS(AvgBase[Month 33],AvgBase[job_title],$H437),SUMIFS(AvgBase[Month 33],AvgBase[exp_item],$J437,AvgBase[company_name],$B437,AvgBase[bu_name],$C437,AvgBase[dept_name],$D437,AvgBase[team_consolidation],$K437,AvgBase[location_name],$G437,AvgBase[job_title],$H437))*(AR227+AQ227)/2*(1-AR332))</f>
        <v>0</v>
      </c>
      <c r="AS437" s="652">
        <f>IF($B437="",,IF(LEFT($H437,5)="dummy",SUMIFS(AvgBase[Month 34],AvgBase[job_title],$H437),SUMIFS(AvgBase[Month 34],AvgBase[exp_item],$J437,AvgBase[company_name],$B437,AvgBase[bu_name],$C437,AvgBase[dept_name],$D437,AvgBase[team_consolidation],$K437,AvgBase[location_name],$G437,AvgBase[job_title],$H437))*(AS227+AR227)/2*(1-AS332))</f>
        <v>0</v>
      </c>
      <c r="AT437" s="652">
        <f>IF($B437="",,IF(LEFT($H437,5)="dummy",SUMIFS(AvgBase[Month 35],AvgBase[job_title],$H437),SUMIFS(AvgBase[Month 35],AvgBase[exp_item],$J437,AvgBase[company_name],$B437,AvgBase[bu_name],$C437,AvgBase[dept_name],$D437,AvgBase[team_consolidation],$K437,AvgBase[location_name],$G437,AvgBase[job_title],$H437))*(AT227+AS227)/2*(1-AT332))</f>
        <v>0</v>
      </c>
      <c r="AU437" s="652">
        <f>IF($B437="",,IF(LEFT($H437,5)="dummy",SUMIFS(AvgBase[Month 36],AvgBase[job_title],$H437),SUMIFS(AvgBase[Month 36],AvgBase[exp_item],$J437,AvgBase[company_name],$B437,AvgBase[bu_name],$C437,AvgBase[dept_name],$D437,AvgBase[team_consolidation],$K437,AvgBase[location_name],$G437,AvgBase[job_title],$H437))*(AU227+AT227)/2*(1-AU332))</f>
        <v>0</v>
      </c>
    </row>
    <row r="438" spans="2:47" x14ac:dyDescent="0.35">
      <c r="B438" t="str">
        <f t="shared" si="280"/>
        <v/>
      </c>
      <c r="C438" t="str">
        <f t="shared" si="280"/>
        <v/>
      </c>
      <c r="D438" t="str">
        <f t="shared" si="280"/>
        <v/>
      </c>
      <c r="E438" t="str">
        <f t="shared" si="280"/>
        <v/>
      </c>
      <c r="F438" t="str">
        <f t="shared" si="280"/>
        <v/>
      </c>
      <c r="G438" t="str">
        <f t="shared" si="280"/>
        <v/>
      </c>
      <c r="H438" t="str">
        <f t="shared" si="279"/>
        <v/>
      </c>
      <c r="J438" t="str">
        <f>IF($H438="","",IF(VLOOKUP($B$395,ExpItems[],2,0),$B$395&amp;" - "&amp;INDEX(DivisionMapping[category_code],MATCH($D438&amp;$C438,DivisionMapping[dept_bu],0)),$B$395))</f>
        <v/>
      </c>
      <c r="K438" t="str">
        <f t="shared" si="275"/>
        <v/>
      </c>
      <c r="L438" s="652">
        <f>IF($B438="",,IF(LEFT($H438,5)="dummy",SUMIFS(AvgBase[Month 1],AvgBase[job_title],$H438),SUMIFS(AvgBase[Month 1],AvgBase[exp_item],$J438,AvgBase[company_name],$B438,AvgBase[bu_name],$C438,AvgBase[dept_name],$D438,AvgBase[team_consolidation],$K438,AvgBase[location_name],$G438,AvgBase[job_title],$H438))*L228/2*(1-L333))</f>
        <v>0</v>
      </c>
      <c r="M438" s="652">
        <f>IF($B438="",,IF(LEFT($H438,5)="dummy",SUMIFS(AvgBase[Month 2],AvgBase[job_title],$H438),SUMIFS(AvgBase[Month 2],AvgBase[exp_item],$J438,AvgBase[company_name],$B438,AvgBase[bu_name],$C438,AvgBase[dept_name],$D438,AvgBase[team_consolidation],$K438,AvgBase[location_name],$G438,AvgBase[job_title],$H438))*(M228+L228)/2*(1-M333))</f>
        <v>0</v>
      </c>
      <c r="N438" s="652">
        <f>IF($B438="",,IF(LEFT($H438,5)="dummy",SUMIFS(AvgBase[Month 3],AvgBase[job_title],$H438),SUMIFS(AvgBase[Month 3],AvgBase[exp_item],$J438,AvgBase[company_name],$B438,AvgBase[bu_name],$C438,AvgBase[dept_name],$D438,AvgBase[team_consolidation],$K438,AvgBase[location_name],$G438,AvgBase[job_title],$H438))*(N228+M228)/2*(1-N333))</f>
        <v>0</v>
      </c>
      <c r="O438" s="652">
        <f>IF($B438="",,IF(LEFT($H438,5)="dummy",SUMIFS(AvgBase[Month 4],AvgBase[job_title],$H438),SUMIFS(AvgBase[Month 4],AvgBase[exp_item],$J438,AvgBase[company_name],$B438,AvgBase[bu_name],$C438,AvgBase[dept_name],$D438,AvgBase[team_consolidation],$K438,AvgBase[location_name],$G438,AvgBase[job_title],$H438))*(O228+N228)/2*(1-O333))</f>
        <v>0</v>
      </c>
      <c r="P438" s="652">
        <f>IF($B438="",,IF(LEFT($H438,5)="dummy",SUMIFS(AvgBase[Month 5],AvgBase[job_title],$H438),SUMIFS(AvgBase[Month 5],AvgBase[exp_item],$J438,AvgBase[company_name],$B438,AvgBase[bu_name],$C438,AvgBase[dept_name],$D438,AvgBase[team_consolidation],$K438,AvgBase[location_name],$G438,AvgBase[job_title],$H438))*(P228+O228)/2*(1-P333))</f>
        <v>0</v>
      </c>
      <c r="Q438" s="652">
        <f>IF($B438="",,IF(LEFT($H438,5)="dummy",SUMIFS(AvgBase[Month 6],AvgBase[job_title],$H438),SUMIFS(AvgBase[Month 6],AvgBase[exp_item],$J438,AvgBase[company_name],$B438,AvgBase[bu_name],$C438,AvgBase[dept_name],$D438,AvgBase[team_consolidation],$K438,AvgBase[location_name],$G438,AvgBase[job_title],$H438))*(Q228+P228)/2*(1-Q333))</f>
        <v>0</v>
      </c>
      <c r="R438" s="652">
        <f>IF($B438="",,IF(LEFT($H438,5)="dummy",SUMIFS(AvgBase[Month 7],AvgBase[job_title],$H438),SUMIFS(AvgBase[Month 7],AvgBase[exp_item],$J438,AvgBase[company_name],$B438,AvgBase[bu_name],$C438,AvgBase[dept_name],$D438,AvgBase[team_consolidation],$K438,AvgBase[location_name],$G438,AvgBase[job_title],$H438))*(R228+Q228)/2*(1-R333))</f>
        <v>0</v>
      </c>
      <c r="S438" s="652">
        <f>IF($B438="",,IF(LEFT($H438,5)="dummy",SUMIFS(AvgBase[Month 8],AvgBase[job_title],$H438),SUMIFS(AvgBase[Month 8],AvgBase[exp_item],$J438,AvgBase[company_name],$B438,AvgBase[bu_name],$C438,AvgBase[dept_name],$D438,AvgBase[team_consolidation],$K438,AvgBase[location_name],$G438,AvgBase[job_title],$H438))*(S228+R228)/2*(1-S333))</f>
        <v>0</v>
      </c>
      <c r="T438" s="652">
        <f>IF($B438="",,IF(LEFT($H438,5)="dummy",SUMIFS(AvgBase[Month 9],AvgBase[job_title],$H438),SUMIFS(AvgBase[Month 9],AvgBase[exp_item],$J438,AvgBase[company_name],$B438,AvgBase[bu_name],$C438,AvgBase[dept_name],$D438,AvgBase[team_consolidation],$K438,AvgBase[location_name],$G438,AvgBase[job_title],$H438))*(T228+S228)/2*(1-T333))</f>
        <v>0</v>
      </c>
      <c r="U438" s="652">
        <f>IF($B438="",,IF(LEFT($H438,5)="dummy",SUMIFS(AvgBase[Month 10],AvgBase[job_title],$H438),SUMIFS(AvgBase[Month 10],AvgBase[exp_item],$J438,AvgBase[company_name],$B438,AvgBase[bu_name],$C438,AvgBase[dept_name],$D438,AvgBase[team_consolidation],$K438,AvgBase[location_name],$G438,AvgBase[job_title],$H438))*(U228+T228)/2*(1-U333))</f>
        <v>0</v>
      </c>
      <c r="V438" s="652">
        <f>IF($B438="",,IF(LEFT($H438,5)="dummy",SUMIFS(AvgBase[Month 11],AvgBase[job_title],$H438),SUMIFS(AvgBase[Month 11],AvgBase[exp_item],$J438,AvgBase[company_name],$B438,AvgBase[bu_name],$C438,AvgBase[dept_name],$D438,AvgBase[team_consolidation],$K438,AvgBase[location_name],$G438,AvgBase[job_title],$H438))*(V228+U228)/2*(1-V333))</f>
        <v>0</v>
      </c>
      <c r="W438" s="652">
        <f>IF($B438="",,IF(LEFT($H438,5)="dummy",SUMIFS(AvgBase[Month 12],AvgBase[job_title],$H438),SUMIFS(AvgBase[Month 12],AvgBase[exp_item],$J438,AvgBase[company_name],$B438,AvgBase[bu_name],$C438,AvgBase[dept_name],$D438,AvgBase[team_consolidation],$K438,AvgBase[location_name],$G438,AvgBase[job_title],$H438))*(W228+V228)/2*(1-W333))</f>
        <v>0</v>
      </c>
      <c r="X438" s="652">
        <f>IF($B438="",,IF(LEFT($H438,5)="dummy",SUMIFS(AvgBase[Month 13],AvgBase[job_title],$H438),SUMIFS(AvgBase[Month 13],AvgBase[exp_item],$J438,AvgBase[company_name],$B438,AvgBase[bu_name],$C438,AvgBase[dept_name],$D438,AvgBase[team_consolidation],$K438,AvgBase[location_name],$G438,AvgBase[job_title],$H438))*(X228+W228)/2*(1-X333))</f>
        <v>0</v>
      </c>
      <c r="Y438" s="652">
        <f>IF($B438="",,IF(LEFT($H438,5)="dummy",SUMIFS(AvgBase[Month 14],AvgBase[job_title],$H438),SUMIFS(AvgBase[Month 14],AvgBase[exp_item],$J438,AvgBase[company_name],$B438,AvgBase[bu_name],$C438,AvgBase[dept_name],$D438,AvgBase[team_consolidation],$K438,AvgBase[location_name],$G438,AvgBase[job_title],$H438))*(Y228+X228)/2*(1-Y333))</f>
        <v>0</v>
      </c>
      <c r="Z438" s="652">
        <f>IF($B438="",,IF(LEFT($H438,5)="dummy",SUMIFS(AvgBase[Month 15],AvgBase[job_title],$H438),SUMIFS(AvgBase[Month 15],AvgBase[exp_item],$J438,AvgBase[company_name],$B438,AvgBase[bu_name],$C438,AvgBase[dept_name],$D438,AvgBase[team_consolidation],$K438,AvgBase[location_name],$G438,AvgBase[job_title],$H438))*(Z228+Y228)/2*(1-Z333))</f>
        <v>0</v>
      </c>
      <c r="AA438" s="652">
        <f>IF($B438="",,IF(LEFT($H438,5)="dummy",SUMIFS(AvgBase[Month 16],AvgBase[job_title],$H438),SUMIFS(AvgBase[Month 16],AvgBase[exp_item],$J438,AvgBase[company_name],$B438,AvgBase[bu_name],$C438,AvgBase[dept_name],$D438,AvgBase[team_consolidation],$K438,AvgBase[location_name],$G438,AvgBase[job_title],$H438))*(AA228+Z228)/2*(1-AA333))</f>
        <v>0</v>
      </c>
      <c r="AB438" s="652">
        <f>IF($B438="",,IF(LEFT($H438,5)="dummy",SUMIFS(AvgBase[Month 17],AvgBase[job_title],$H438),SUMIFS(AvgBase[Month 17],AvgBase[exp_item],$J438,AvgBase[company_name],$B438,AvgBase[bu_name],$C438,AvgBase[dept_name],$D438,AvgBase[team_consolidation],$K438,AvgBase[location_name],$G438,AvgBase[job_title],$H438))*(AB228+AA228)/2*(1-AB333))</f>
        <v>0</v>
      </c>
      <c r="AC438" s="652">
        <f>IF($B438="",,IF(LEFT($H438,5)="dummy",SUMIFS(AvgBase[Month 18],AvgBase[job_title],$H438),SUMIFS(AvgBase[Month 18],AvgBase[exp_item],$J438,AvgBase[company_name],$B438,AvgBase[bu_name],$C438,AvgBase[dept_name],$D438,AvgBase[team_consolidation],$K438,AvgBase[location_name],$G438,AvgBase[job_title],$H438))*(AC228+AB228)/2*(1-AC333))</f>
        <v>0</v>
      </c>
      <c r="AD438" s="652">
        <f>IF($B438="",,IF(LEFT($H438,5)="dummy",SUMIFS(AvgBase[Month 19],AvgBase[job_title],$H438),SUMIFS(AvgBase[Month 19],AvgBase[exp_item],$J438,AvgBase[company_name],$B438,AvgBase[bu_name],$C438,AvgBase[dept_name],$D438,AvgBase[team_consolidation],$K438,AvgBase[location_name],$G438,AvgBase[job_title],$H438))*(AD228+AC228)/2*(1-AD333))</f>
        <v>0</v>
      </c>
      <c r="AE438" s="652">
        <f>IF($B438="",,IF(LEFT($H438,5)="dummy",SUMIFS(AvgBase[Month 20],AvgBase[job_title],$H438),SUMIFS(AvgBase[Month 20],AvgBase[exp_item],$J438,AvgBase[company_name],$B438,AvgBase[bu_name],$C438,AvgBase[dept_name],$D438,AvgBase[team_consolidation],$K438,AvgBase[location_name],$G438,AvgBase[job_title],$H438))*(AE228+AD228)/2*(1-AE333))</f>
        <v>0</v>
      </c>
      <c r="AF438" s="652">
        <f>IF($B438="",,IF(LEFT($H438,5)="dummy",SUMIFS(AvgBase[Month 21],AvgBase[job_title],$H438),SUMIFS(AvgBase[Month 21],AvgBase[exp_item],$J438,AvgBase[company_name],$B438,AvgBase[bu_name],$C438,AvgBase[dept_name],$D438,AvgBase[team_consolidation],$K438,AvgBase[location_name],$G438,AvgBase[job_title],$H438))*(AF228+AE228)/2*(1-AF333))</f>
        <v>0</v>
      </c>
      <c r="AG438" s="652">
        <f>IF($B438="",,IF(LEFT($H438,5)="dummy",SUMIFS(AvgBase[Month 22],AvgBase[job_title],$H438),SUMIFS(AvgBase[Month 22],AvgBase[exp_item],$J438,AvgBase[company_name],$B438,AvgBase[bu_name],$C438,AvgBase[dept_name],$D438,AvgBase[team_consolidation],$K438,AvgBase[location_name],$G438,AvgBase[job_title],$H438))*(AG228+AF228)/2*(1-AG333))</f>
        <v>0</v>
      </c>
      <c r="AH438" s="652">
        <f>IF($B438="",,IF(LEFT($H438,5)="dummy",SUMIFS(AvgBase[Month 23],AvgBase[job_title],$H438),SUMIFS(AvgBase[Month 23],AvgBase[exp_item],$J438,AvgBase[company_name],$B438,AvgBase[bu_name],$C438,AvgBase[dept_name],$D438,AvgBase[team_consolidation],$K438,AvgBase[location_name],$G438,AvgBase[job_title],$H438))*(AH228+AG228)/2*(1-AH333))</f>
        <v>0</v>
      </c>
      <c r="AI438" s="652">
        <f>IF($B438="",,IF(LEFT($H438,5)="dummy",SUMIFS(AvgBase[Month 24],AvgBase[job_title],$H438),SUMIFS(AvgBase[Month 24],AvgBase[exp_item],$J438,AvgBase[company_name],$B438,AvgBase[bu_name],$C438,AvgBase[dept_name],$D438,AvgBase[team_consolidation],$K438,AvgBase[location_name],$G438,AvgBase[job_title],$H438))*(AI228+AH228)/2*(1-AI333))</f>
        <v>0</v>
      </c>
      <c r="AJ438" s="652">
        <f>IF($B438="",,IF(LEFT($H438,5)="dummy",SUMIFS(AvgBase[Month 25],AvgBase[job_title],$H438),SUMIFS(AvgBase[Month 25],AvgBase[exp_item],$J438,AvgBase[company_name],$B438,AvgBase[bu_name],$C438,AvgBase[dept_name],$D438,AvgBase[team_consolidation],$K438,AvgBase[location_name],$G438,AvgBase[job_title],$H438))*(AJ228+AI228)/2*(1-AJ333))</f>
        <v>0</v>
      </c>
      <c r="AK438" s="652">
        <f>IF($B438="",,IF(LEFT($H438,5)="dummy",SUMIFS(AvgBase[Month 26],AvgBase[job_title],$H438),SUMIFS(AvgBase[Month 26],AvgBase[exp_item],$J438,AvgBase[company_name],$B438,AvgBase[bu_name],$C438,AvgBase[dept_name],$D438,AvgBase[team_consolidation],$K438,AvgBase[location_name],$G438,AvgBase[job_title],$H438))*(AK228+AJ228)/2*(1-AK333))</f>
        <v>0</v>
      </c>
      <c r="AL438" s="652">
        <f>IF($B438="",,IF(LEFT($H438,5)="dummy",SUMIFS(AvgBase[Month 27],AvgBase[job_title],$H438),SUMIFS(AvgBase[Month 27],AvgBase[exp_item],$J438,AvgBase[company_name],$B438,AvgBase[bu_name],$C438,AvgBase[dept_name],$D438,AvgBase[team_consolidation],$K438,AvgBase[location_name],$G438,AvgBase[job_title],$H438))*(AL228+AK228)/2*(1-AL333))</f>
        <v>0</v>
      </c>
      <c r="AM438" s="652">
        <f>IF($B438="",,IF(LEFT($H438,5)="dummy",SUMIFS(AvgBase[Month 28],AvgBase[job_title],$H438),SUMIFS(AvgBase[Month 28],AvgBase[exp_item],$J438,AvgBase[company_name],$B438,AvgBase[bu_name],$C438,AvgBase[dept_name],$D438,AvgBase[team_consolidation],$K438,AvgBase[location_name],$G438,AvgBase[job_title],$H438))*(AM228+AL228)/2*(1-AM333))</f>
        <v>0</v>
      </c>
      <c r="AN438" s="652">
        <f>IF($B438="",,IF(LEFT($H438,5)="dummy",SUMIFS(AvgBase[Month 29],AvgBase[job_title],$H438),SUMIFS(AvgBase[Month 29],AvgBase[exp_item],$J438,AvgBase[company_name],$B438,AvgBase[bu_name],$C438,AvgBase[dept_name],$D438,AvgBase[team_consolidation],$K438,AvgBase[location_name],$G438,AvgBase[job_title],$H438))*(AN228+AM228)/2*(1-AN333))</f>
        <v>0</v>
      </c>
      <c r="AO438" s="652">
        <f>IF($B438="",,IF(LEFT($H438,5)="dummy",SUMIFS(AvgBase[Month 30],AvgBase[job_title],$H438),SUMIFS(AvgBase[Month 30],AvgBase[exp_item],$J438,AvgBase[company_name],$B438,AvgBase[bu_name],$C438,AvgBase[dept_name],$D438,AvgBase[team_consolidation],$K438,AvgBase[location_name],$G438,AvgBase[job_title],$H438))*(AO228+AN228)/2*(1-AO333))</f>
        <v>0</v>
      </c>
      <c r="AP438" s="652">
        <f>IF($B438="",,IF(LEFT($H438,5)="dummy",SUMIFS(AvgBase[Month 31],AvgBase[job_title],$H438),SUMIFS(AvgBase[Month 31],AvgBase[exp_item],$J438,AvgBase[company_name],$B438,AvgBase[bu_name],$C438,AvgBase[dept_name],$D438,AvgBase[team_consolidation],$K438,AvgBase[location_name],$G438,AvgBase[job_title],$H438))*(AP228+AO228)/2*(1-AP333))</f>
        <v>0</v>
      </c>
      <c r="AQ438" s="652">
        <f>IF($B438="",,IF(LEFT($H438,5)="dummy",SUMIFS(AvgBase[Month 32],AvgBase[job_title],$H438),SUMIFS(AvgBase[Month 32],AvgBase[exp_item],$J438,AvgBase[company_name],$B438,AvgBase[bu_name],$C438,AvgBase[dept_name],$D438,AvgBase[team_consolidation],$K438,AvgBase[location_name],$G438,AvgBase[job_title],$H438))*(AQ228+AP228)/2*(1-AQ333))</f>
        <v>0</v>
      </c>
      <c r="AR438" s="652">
        <f>IF($B438="",,IF(LEFT($H438,5)="dummy",SUMIFS(AvgBase[Month 33],AvgBase[job_title],$H438),SUMIFS(AvgBase[Month 33],AvgBase[exp_item],$J438,AvgBase[company_name],$B438,AvgBase[bu_name],$C438,AvgBase[dept_name],$D438,AvgBase[team_consolidation],$K438,AvgBase[location_name],$G438,AvgBase[job_title],$H438))*(AR228+AQ228)/2*(1-AR333))</f>
        <v>0</v>
      </c>
      <c r="AS438" s="652">
        <f>IF($B438="",,IF(LEFT($H438,5)="dummy",SUMIFS(AvgBase[Month 34],AvgBase[job_title],$H438),SUMIFS(AvgBase[Month 34],AvgBase[exp_item],$J438,AvgBase[company_name],$B438,AvgBase[bu_name],$C438,AvgBase[dept_name],$D438,AvgBase[team_consolidation],$K438,AvgBase[location_name],$G438,AvgBase[job_title],$H438))*(AS228+AR228)/2*(1-AS333))</f>
        <v>0</v>
      </c>
      <c r="AT438" s="652">
        <f>IF($B438="",,IF(LEFT($H438,5)="dummy",SUMIFS(AvgBase[Month 35],AvgBase[job_title],$H438),SUMIFS(AvgBase[Month 35],AvgBase[exp_item],$J438,AvgBase[company_name],$B438,AvgBase[bu_name],$C438,AvgBase[dept_name],$D438,AvgBase[team_consolidation],$K438,AvgBase[location_name],$G438,AvgBase[job_title],$H438))*(AT228+AS228)/2*(1-AT333))</f>
        <v>0</v>
      </c>
      <c r="AU438" s="652">
        <f>IF($B438="",,IF(LEFT($H438,5)="dummy",SUMIFS(AvgBase[Month 36],AvgBase[job_title],$H438),SUMIFS(AvgBase[Month 36],AvgBase[exp_item],$J438,AvgBase[company_name],$B438,AvgBase[bu_name],$C438,AvgBase[dept_name],$D438,AvgBase[team_consolidation],$K438,AvgBase[location_name],$G438,AvgBase[job_title],$H438))*(AU228+AT228)/2*(1-AU333))</f>
        <v>0</v>
      </c>
    </row>
    <row r="439" spans="2:47" x14ac:dyDescent="0.35">
      <c r="B439" t="str">
        <f t="shared" si="280"/>
        <v/>
      </c>
      <c r="C439" t="str">
        <f t="shared" si="280"/>
        <v/>
      </c>
      <c r="D439" t="str">
        <f t="shared" si="280"/>
        <v/>
      </c>
      <c r="E439" t="str">
        <f t="shared" si="280"/>
        <v/>
      </c>
      <c r="F439" t="str">
        <f t="shared" si="280"/>
        <v/>
      </c>
      <c r="G439" t="str">
        <f t="shared" si="280"/>
        <v/>
      </c>
      <c r="H439" t="str">
        <f t="shared" si="279"/>
        <v/>
      </c>
      <c r="J439" t="str">
        <f>IF($H439="","",IF(VLOOKUP($B$395,ExpItems[],2,0),$B$395&amp;" - "&amp;INDEX(DivisionMapping[category_code],MATCH($D439&amp;$C439,DivisionMapping[dept_bu],0)),$B$395))</f>
        <v/>
      </c>
      <c r="K439" t="str">
        <f t="shared" si="275"/>
        <v/>
      </c>
      <c r="L439" s="652">
        <f>IF($B439="",,IF(LEFT($H439,5)="dummy",SUMIFS(AvgBase[Month 1],AvgBase[job_title],$H439),SUMIFS(AvgBase[Month 1],AvgBase[exp_item],$J439,AvgBase[company_name],$B439,AvgBase[bu_name],$C439,AvgBase[dept_name],$D439,AvgBase[team_consolidation],$K439,AvgBase[location_name],$G439,AvgBase[job_title],$H439))*L229/2*(1-L334))</f>
        <v>0</v>
      </c>
      <c r="M439" s="652">
        <f>IF($B439="",,IF(LEFT($H439,5)="dummy",SUMIFS(AvgBase[Month 2],AvgBase[job_title],$H439),SUMIFS(AvgBase[Month 2],AvgBase[exp_item],$J439,AvgBase[company_name],$B439,AvgBase[bu_name],$C439,AvgBase[dept_name],$D439,AvgBase[team_consolidation],$K439,AvgBase[location_name],$G439,AvgBase[job_title],$H439))*(M229+L229)/2*(1-M334))</f>
        <v>0</v>
      </c>
      <c r="N439" s="652">
        <f>IF($B439="",,IF(LEFT($H439,5)="dummy",SUMIFS(AvgBase[Month 3],AvgBase[job_title],$H439),SUMIFS(AvgBase[Month 3],AvgBase[exp_item],$J439,AvgBase[company_name],$B439,AvgBase[bu_name],$C439,AvgBase[dept_name],$D439,AvgBase[team_consolidation],$K439,AvgBase[location_name],$G439,AvgBase[job_title],$H439))*(N229+M229)/2*(1-N334))</f>
        <v>0</v>
      </c>
      <c r="O439" s="652">
        <f>IF($B439="",,IF(LEFT($H439,5)="dummy",SUMIFS(AvgBase[Month 4],AvgBase[job_title],$H439),SUMIFS(AvgBase[Month 4],AvgBase[exp_item],$J439,AvgBase[company_name],$B439,AvgBase[bu_name],$C439,AvgBase[dept_name],$D439,AvgBase[team_consolidation],$K439,AvgBase[location_name],$G439,AvgBase[job_title],$H439))*(O229+N229)/2*(1-O334))</f>
        <v>0</v>
      </c>
      <c r="P439" s="652">
        <f>IF($B439="",,IF(LEFT($H439,5)="dummy",SUMIFS(AvgBase[Month 5],AvgBase[job_title],$H439),SUMIFS(AvgBase[Month 5],AvgBase[exp_item],$J439,AvgBase[company_name],$B439,AvgBase[bu_name],$C439,AvgBase[dept_name],$D439,AvgBase[team_consolidation],$K439,AvgBase[location_name],$G439,AvgBase[job_title],$H439))*(P229+O229)/2*(1-P334))</f>
        <v>0</v>
      </c>
      <c r="Q439" s="652">
        <f>IF($B439="",,IF(LEFT($H439,5)="dummy",SUMIFS(AvgBase[Month 6],AvgBase[job_title],$H439),SUMIFS(AvgBase[Month 6],AvgBase[exp_item],$J439,AvgBase[company_name],$B439,AvgBase[bu_name],$C439,AvgBase[dept_name],$D439,AvgBase[team_consolidation],$K439,AvgBase[location_name],$G439,AvgBase[job_title],$H439))*(Q229+P229)/2*(1-Q334))</f>
        <v>0</v>
      </c>
      <c r="R439" s="652">
        <f>IF($B439="",,IF(LEFT($H439,5)="dummy",SUMIFS(AvgBase[Month 7],AvgBase[job_title],$H439),SUMIFS(AvgBase[Month 7],AvgBase[exp_item],$J439,AvgBase[company_name],$B439,AvgBase[bu_name],$C439,AvgBase[dept_name],$D439,AvgBase[team_consolidation],$K439,AvgBase[location_name],$G439,AvgBase[job_title],$H439))*(R229+Q229)/2*(1-R334))</f>
        <v>0</v>
      </c>
      <c r="S439" s="652">
        <f>IF($B439="",,IF(LEFT($H439,5)="dummy",SUMIFS(AvgBase[Month 8],AvgBase[job_title],$H439),SUMIFS(AvgBase[Month 8],AvgBase[exp_item],$J439,AvgBase[company_name],$B439,AvgBase[bu_name],$C439,AvgBase[dept_name],$D439,AvgBase[team_consolidation],$K439,AvgBase[location_name],$G439,AvgBase[job_title],$H439))*(S229+R229)/2*(1-S334))</f>
        <v>0</v>
      </c>
      <c r="T439" s="652">
        <f>IF($B439="",,IF(LEFT($H439,5)="dummy",SUMIFS(AvgBase[Month 9],AvgBase[job_title],$H439),SUMIFS(AvgBase[Month 9],AvgBase[exp_item],$J439,AvgBase[company_name],$B439,AvgBase[bu_name],$C439,AvgBase[dept_name],$D439,AvgBase[team_consolidation],$K439,AvgBase[location_name],$G439,AvgBase[job_title],$H439))*(T229+S229)/2*(1-T334))</f>
        <v>0</v>
      </c>
      <c r="U439" s="652">
        <f>IF($B439="",,IF(LEFT($H439,5)="dummy",SUMIFS(AvgBase[Month 10],AvgBase[job_title],$H439),SUMIFS(AvgBase[Month 10],AvgBase[exp_item],$J439,AvgBase[company_name],$B439,AvgBase[bu_name],$C439,AvgBase[dept_name],$D439,AvgBase[team_consolidation],$K439,AvgBase[location_name],$G439,AvgBase[job_title],$H439))*(U229+T229)/2*(1-U334))</f>
        <v>0</v>
      </c>
      <c r="V439" s="652">
        <f>IF($B439="",,IF(LEFT($H439,5)="dummy",SUMIFS(AvgBase[Month 11],AvgBase[job_title],$H439),SUMIFS(AvgBase[Month 11],AvgBase[exp_item],$J439,AvgBase[company_name],$B439,AvgBase[bu_name],$C439,AvgBase[dept_name],$D439,AvgBase[team_consolidation],$K439,AvgBase[location_name],$G439,AvgBase[job_title],$H439))*(V229+U229)/2*(1-V334))</f>
        <v>0</v>
      </c>
      <c r="W439" s="652">
        <f>IF($B439="",,IF(LEFT($H439,5)="dummy",SUMIFS(AvgBase[Month 12],AvgBase[job_title],$H439),SUMIFS(AvgBase[Month 12],AvgBase[exp_item],$J439,AvgBase[company_name],$B439,AvgBase[bu_name],$C439,AvgBase[dept_name],$D439,AvgBase[team_consolidation],$K439,AvgBase[location_name],$G439,AvgBase[job_title],$H439))*(W229+V229)/2*(1-W334))</f>
        <v>0</v>
      </c>
      <c r="X439" s="652">
        <f>IF($B439="",,IF(LEFT($H439,5)="dummy",SUMIFS(AvgBase[Month 13],AvgBase[job_title],$H439),SUMIFS(AvgBase[Month 13],AvgBase[exp_item],$J439,AvgBase[company_name],$B439,AvgBase[bu_name],$C439,AvgBase[dept_name],$D439,AvgBase[team_consolidation],$K439,AvgBase[location_name],$G439,AvgBase[job_title],$H439))*(X229+W229)/2*(1-X334))</f>
        <v>0</v>
      </c>
      <c r="Y439" s="652">
        <f>IF($B439="",,IF(LEFT($H439,5)="dummy",SUMIFS(AvgBase[Month 14],AvgBase[job_title],$H439),SUMIFS(AvgBase[Month 14],AvgBase[exp_item],$J439,AvgBase[company_name],$B439,AvgBase[bu_name],$C439,AvgBase[dept_name],$D439,AvgBase[team_consolidation],$K439,AvgBase[location_name],$G439,AvgBase[job_title],$H439))*(Y229+X229)/2*(1-Y334))</f>
        <v>0</v>
      </c>
      <c r="Z439" s="652">
        <f>IF($B439="",,IF(LEFT($H439,5)="dummy",SUMIFS(AvgBase[Month 15],AvgBase[job_title],$H439),SUMIFS(AvgBase[Month 15],AvgBase[exp_item],$J439,AvgBase[company_name],$B439,AvgBase[bu_name],$C439,AvgBase[dept_name],$D439,AvgBase[team_consolidation],$K439,AvgBase[location_name],$G439,AvgBase[job_title],$H439))*(Z229+Y229)/2*(1-Z334))</f>
        <v>0</v>
      </c>
      <c r="AA439" s="652">
        <f>IF($B439="",,IF(LEFT($H439,5)="dummy",SUMIFS(AvgBase[Month 16],AvgBase[job_title],$H439),SUMIFS(AvgBase[Month 16],AvgBase[exp_item],$J439,AvgBase[company_name],$B439,AvgBase[bu_name],$C439,AvgBase[dept_name],$D439,AvgBase[team_consolidation],$K439,AvgBase[location_name],$G439,AvgBase[job_title],$H439))*(AA229+Z229)/2*(1-AA334))</f>
        <v>0</v>
      </c>
      <c r="AB439" s="652">
        <f>IF($B439="",,IF(LEFT($H439,5)="dummy",SUMIFS(AvgBase[Month 17],AvgBase[job_title],$H439),SUMIFS(AvgBase[Month 17],AvgBase[exp_item],$J439,AvgBase[company_name],$B439,AvgBase[bu_name],$C439,AvgBase[dept_name],$D439,AvgBase[team_consolidation],$K439,AvgBase[location_name],$G439,AvgBase[job_title],$H439))*(AB229+AA229)/2*(1-AB334))</f>
        <v>0</v>
      </c>
      <c r="AC439" s="652">
        <f>IF($B439="",,IF(LEFT($H439,5)="dummy",SUMIFS(AvgBase[Month 18],AvgBase[job_title],$H439),SUMIFS(AvgBase[Month 18],AvgBase[exp_item],$J439,AvgBase[company_name],$B439,AvgBase[bu_name],$C439,AvgBase[dept_name],$D439,AvgBase[team_consolidation],$K439,AvgBase[location_name],$G439,AvgBase[job_title],$H439))*(AC229+AB229)/2*(1-AC334))</f>
        <v>0</v>
      </c>
      <c r="AD439" s="652">
        <f>IF($B439="",,IF(LEFT($H439,5)="dummy",SUMIFS(AvgBase[Month 19],AvgBase[job_title],$H439),SUMIFS(AvgBase[Month 19],AvgBase[exp_item],$J439,AvgBase[company_name],$B439,AvgBase[bu_name],$C439,AvgBase[dept_name],$D439,AvgBase[team_consolidation],$K439,AvgBase[location_name],$G439,AvgBase[job_title],$H439))*(AD229+AC229)/2*(1-AD334))</f>
        <v>0</v>
      </c>
      <c r="AE439" s="652">
        <f>IF($B439="",,IF(LEFT($H439,5)="dummy",SUMIFS(AvgBase[Month 20],AvgBase[job_title],$H439),SUMIFS(AvgBase[Month 20],AvgBase[exp_item],$J439,AvgBase[company_name],$B439,AvgBase[bu_name],$C439,AvgBase[dept_name],$D439,AvgBase[team_consolidation],$K439,AvgBase[location_name],$G439,AvgBase[job_title],$H439))*(AE229+AD229)/2*(1-AE334))</f>
        <v>0</v>
      </c>
      <c r="AF439" s="652">
        <f>IF($B439="",,IF(LEFT($H439,5)="dummy",SUMIFS(AvgBase[Month 21],AvgBase[job_title],$H439),SUMIFS(AvgBase[Month 21],AvgBase[exp_item],$J439,AvgBase[company_name],$B439,AvgBase[bu_name],$C439,AvgBase[dept_name],$D439,AvgBase[team_consolidation],$K439,AvgBase[location_name],$G439,AvgBase[job_title],$H439))*(AF229+AE229)/2*(1-AF334))</f>
        <v>0</v>
      </c>
      <c r="AG439" s="652">
        <f>IF($B439="",,IF(LEFT($H439,5)="dummy",SUMIFS(AvgBase[Month 22],AvgBase[job_title],$H439),SUMIFS(AvgBase[Month 22],AvgBase[exp_item],$J439,AvgBase[company_name],$B439,AvgBase[bu_name],$C439,AvgBase[dept_name],$D439,AvgBase[team_consolidation],$K439,AvgBase[location_name],$G439,AvgBase[job_title],$H439))*(AG229+AF229)/2*(1-AG334))</f>
        <v>0</v>
      </c>
      <c r="AH439" s="652">
        <f>IF($B439="",,IF(LEFT($H439,5)="dummy",SUMIFS(AvgBase[Month 23],AvgBase[job_title],$H439),SUMIFS(AvgBase[Month 23],AvgBase[exp_item],$J439,AvgBase[company_name],$B439,AvgBase[bu_name],$C439,AvgBase[dept_name],$D439,AvgBase[team_consolidation],$K439,AvgBase[location_name],$G439,AvgBase[job_title],$H439))*(AH229+AG229)/2*(1-AH334))</f>
        <v>0</v>
      </c>
      <c r="AI439" s="652">
        <f>IF($B439="",,IF(LEFT($H439,5)="dummy",SUMIFS(AvgBase[Month 24],AvgBase[job_title],$H439),SUMIFS(AvgBase[Month 24],AvgBase[exp_item],$J439,AvgBase[company_name],$B439,AvgBase[bu_name],$C439,AvgBase[dept_name],$D439,AvgBase[team_consolidation],$K439,AvgBase[location_name],$G439,AvgBase[job_title],$H439))*(AI229+AH229)/2*(1-AI334))</f>
        <v>0</v>
      </c>
      <c r="AJ439" s="652">
        <f>IF($B439="",,IF(LEFT($H439,5)="dummy",SUMIFS(AvgBase[Month 25],AvgBase[job_title],$H439),SUMIFS(AvgBase[Month 25],AvgBase[exp_item],$J439,AvgBase[company_name],$B439,AvgBase[bu_name],$C439,AvgBase[dept_name],$D439,AvgBase[team_consolidation],$K439,AvgBase[location_name],$G439,AvgBase[job_title],$H439))*(AJ229+AI229)/2*(1-AJ334))</f>
        <v>0</v>
      </c>
      <c r="AK439" s="652">
        <f>IF($B439="",,IF(LEFT($H439,5)="dummy",SUMIFS(AvgBase[Month 26],AvgBase[job_title],$H439),SUMIFS(AvgBase[Month 26],AvgBase[exp_item],$J439,AvgBase[company_name],$B439,AvgBase[bu_name],$C439,AvgBase[dept_name],$D439,AvgBase[team_consolidation],$K439,AvgBase[location_name],$G439,AvgBase[job_title],$H439))*(AK229+AJ229)/2*(1-AK334))</f>
        <v>0</v>
      </c>
      <c r="AL439" s="652">
        <f>IF($B439="",,IF(LEFT($H439,5)="dummy",SUMIFS(AvgBase[Month 27],AvgBase[job_title],$H439),SUMIFS(AvgBase[Month 27],AvgBase[exp_item],$J439,AvgBase[company_name],$B439,AvgBase[bu_name],$C439,AvgBase[dept_name],$D439,AvgBase[team_consolidation],$K439,AvgBase[location_name],$G439,AvgBase[job_title],$H439))*(AL229+AK229)/2*(1-AL334))</f>
        <v>0</v>
      </c>
      <c r="AM439" s="652">
        <f>IF($B439="",,IF(LEFT($H439,5)="dummy",SUMIFS(AvgBase[Month 28],AvgBase[job_title],$H439),SUMIFS(AvgBase[Month 28],AvgBase[exp_item],$J439,AvgBase[company_name],$B439,AvgBase[bu_name],$C439,AvgBase[dept_name],$D439,AvgBase[team_consolidation],$K439,AvgBase[location_name],$G439,AvgBase[job_title],$H439))*(AM229+AL229)/2*(1-AM334))</f>
        <v>0</v>
      </c>
      <c r="AN439" s="652">
        <f>IF($B439="",,IF(LEFT($H439,5)="dummy",SUMIFS(AvgBase[Month 29],AvgBase[job_title],$H439),SUMIFS(AvgBase[Month 29],AvgBase[exp_item],$J439,AvgBase[company_name],$B439,AvgBase[bu_name],$C439,AvgBase[dept_name],$D439,AvgBase[team_consolidation],$K439,AvgBase[location_name],$G439,AvgBase[job_title],$H439))*(AN229+AM229)/2*(1-AN334))</f>
        <v>0</v>
      </c>
      <c r="AO439" s="652">
        <f>IF($B439="",,IF(LEFT($H439,5)="dummy",SUMIFS(AvgBase[Month 30],AvgBase[job_title],$H439),SUMIFS(AvgBase[Month 30],AvgBase[exp_item],$J439,AvgBase[company_name],$B439,AvgBase[bu_name],$C439,AvgBase[dept_name],$D439,AvgBase[team_consolidation],$K439,AvgBase[location_name],$G439,AvgBase[job_title],$H439))*(AO229+AN229)/2*(1-AO334))</f>
        <v>0</v>
      </c>
      <c r="AP439" s="652">
        <f>IF($B439="",,IF(LEFT($H439,5)="dummy",SUMIFS(AvgBase[Month 31],AvgBase[job_title],$H439),SUMIFS(AvgBase[Month 31],AvgBase[exp_item],$J439,AvgBase[company_name],$B439,AvgBase[bu_name],$C439,AvgBase[dept_name],$D439,AvgBase[team_consolidation],$K439,AvgBase[location_name],$G439,AvgBase[job_title],$H439))*(AP229+AO229)/2*(1-AP334))</f>
        <v>0</v>
      </c>
      <c r="AQ439" s="652">
        <f>IF($B439="",,IF(LEFT($H439,5)="dummy",SUMIFS(AvgBase[Month 32],AvgBase[job_title],$H439),SUMIFS(AvgBase[Month 32],AvgBase[exp_item],$J439,AvgBase[company_name],$B439,AvgBase[bu_name],$C439,AvgBase[dept_name],$D439,AvgBase[team_consolidation],$K439,AvgBase[location_name],$G439,AvgBase[job_title],$H439))*(AQ229+AP229)/2*(1-AQ334))</f>
        <v>0</v>
      </c>
      <c r="AR439" s="652">
        <f>IF($B439="",,IF(LEFT($H439,5)="dummy",SUMIFS(AvgBase[Month 33],AvgBase[job_title],$H439),SUMIFS(AvgBase[Month 33],AvgBase[exp_item],$J439,AvgBase[company_name],$B439,AvgBase[bu_name],$C439,AvgBase[dept_name],$D439,AvgBase[team_consolidation],$K439,AvgBase[location_name],$G439,AvgBase[job_title],$H439))*(AR229+AQ229)/2*(1-AR334))</f>
        <v>0</v>
      </c>
      <c r="AS439" s="652">
        <f>IF($B439="",,IF(LEFT($H439,5)="dummy",SUMIFS(AvgBase[Month 34],AvgBase[job_title],$H439),SUMIFS(AvgBase[Month 34],AvgBase[exp_item],$J439,AvgBase[company_name],$B439,AvgBase[bu_name],$C439,AvgBase[dept_name],$D439,AvgBase[team_consolidation],$K439,AvgBase[location_name],$G439,AvgBase[job_title],$H439))*(AS229+AR229)/2*(1-AS334))</f>
        <v>0</v>
      </c>
      <c r="AT439" s="652">
        <f>IF($B439="",,IF(LEFT($H439,5)="dummy",SUMIFS(AvgBase[Month 35],AvgBase[job_title],$H439),SUMIFS(AvgBase[Month 35],AvgBase[exp_item],$J439,AvgBase[company_name],$B439,AvgBase[bu_name],$C439,AvgBase[dept_name],$D439,AvgBase[team_consolidation],$K439,AvgBase[location_name],$G439,AvgBase[job_title],$H439))*(AT229+AS229)/2*(1-AT334))</f>
        <v>0</v>
      </c>
      <c r="AU439" s="652">
        <f>IF($B439="",,IF(LEFT($H439,5)="dummy",SUMIFS(AvgBase[Month 36],AvgBase[job_title],$H439),SUMIFS(AvgBase[Month 36],AvgBase[exp_item],$J439,AvgBase[company_name],$B439,AvgBase[bu_name],$C439,AvgBase[dept_name],$D439,AvgBase[team_consolidation],$K439,AvgBase[location_name],$G439,AvgBase[job_title],$H439))*(AU229+AT229)/2*(1-AU334))</f>
        <v>0</v>
      </c>
    </row>
    <row r="440" spans="2:47" x14ac:dyDescent="0.35">
      <c r="B440" t="str">
        <f t="shared" si="280"/>
        <v/>
      </c>
      <c r="C440" t="str">
        <f t="shared" si="280"/>
        <v/>
      </c>
      <c r="D440" t="str">
        <f t="shared" si="280"/>
        <v/>
      </c>
      <c r="E440" t="str">
        <f t="shared" si="280"/>
        <v/>
      </c>
      <c r="F440" t="str">
        <f t="shared" si="280"/>
        <v/>
      </c>
      <c r="G440" t="str">
        <f t="shared" si="280"/>
        <v/>
      </c>
      <c r="H440" t="str">
        <f t="shared" si="279"/>
        <v/>
      </c>
      <c r="J440" t="str">
        <f>IF($H440="","",IF(VLOOKUP($B$395,ExpItems[],2,0),$B$395&amp;" - "&amp;INDEX(DivisionMapping[category_code],MATCH($D440&amp;$C440,DivisionMapping[dept_bu],0)),$B$395))</f>
        <v/>
      </c>
      <c r="K440" t="str">
        <f t="shared" si="275"/>
        <v/>
      </c>
      <c r="L440" s="652">
        <f>IF($B440="",,IF(LEFT($H440,5)="dummy",SUMIFS(AvgBase[Month 1],AvgBase[job_title],$H440),SUMIFS(AvgBase[Month 1],AvgBase[exp_item],$J440,AvgBase[company_name],$B440,AvgBase[bu_name],$C440,AvgBase[dept_name],$D440,AvgBase[team_consolidation],$K440,AvgBase[location_name],$G440,AvgBase[job_title],$H440))*L230/2*(1-L335))</f>
        <v>0</v>
      </c>
      <c r="M440" s="652">
        <f>IF($B440="",,IF(LEFT($H440,5)="dummy",SUMIFS(AvgBase[Month 2],AvgBase[job_title],$H440),SUMIFS(AvgBase[Month 2],AvgBase[exp_item],$J440,AvgBase[company_name],$B440,AvgBase[bu_name],$C440,AvgBase[dept_name],$D440,AvgBase[team_consolidation],$K440,AvgBase[location_name],$G440,AvgBase[job_title],$H440))*(M230+L230)/2*(1-M335))</f>
        <v>0</v>
      </c>
      <c r="N440" s="652">
        <f>IF($B440="",,IF(LEFT($H440,5)="dummy",SUMIFS(AvgBase[Month 3],AvgBase[job_title],$H440),SUMIFS(AvgBase[Month 3],AvgBase[exp_item],$J440,AvgBase[company_name],$B440,AvgBase[bu_name],$C440,AvgBase[dept_name],$D440,AvgBase[team_consolidation],$K440,AvgBase[location_name],$G440,AvgBase[job_title],$H440))*(N230+M230)/2*(1-N335))</f>
        <v>0</v>
      </c>
      <c r="O440" s="652">
        <f>IF($B440="",,IF(LEFT($H440,5)="dummy",SUMIFS(AvgBase[Month 4],AvgBase[job_title],$H440),SUMIFS(AvgBase[Month 4],AvgBase[exp_item],$J440,AvgBase[company_name],$B440,AvgBase[bu_name],$C440,AvgBase[dept_name],$D440,AvgBase[team_consolidation],$K440,AvgBase[location_name],$G440,AvgBase[job_title],$H440))*(O230+N230)/2*(1-O335))</f>
        <v>0</v>
      </c>
      <c r="P440" s="652">
        <f>IF($B440="",,IF(LEFT($H440,5)="dummy",SUMIFS(AvgBase[Month 5],AvgBase[job_title],$H440),SUMIFS(AvgBase[Month 5],AvgBase[exp_item],$J440,AvgBase[company_name],$B440,AvgBase[bu_name],$C440,AvgBase[dept_name],$D440,AvgBase[team_consolidation],$K440,AvgBase[location_name],$G440,AvgBase[job_title],$H440))*(P230+O230)/2*(1-P335))</f>
        <v>0</v>
      </c>
      <c r="Q440" s="652">
        <f>IF($B440="",,IF(LEFT($H440,5)="dummy",SUMIFS(AvgBase[Month 6],AvgBase[job_title],$H440),SUMIFS(AvgBase[Month 6],AvgBase[exp_item],$J440,AvgBase[company_name],$B440,AvgBase[bu_name],$C440,AvgBase[dept_name],$D440,AvgBase[team_consolidation],$K440,AvgBase[location_name],$G440,AvgBase[job_title],$H440))*(Q230+P230)/2*(1-Q335))</f>
        <v>0</v>
      </c>
      <c r="R440" s="652">
        <f>IF($B440="",,IF(LEFT($H440,5)="dummy",SUMIFS(AvgBase[Month 7],AvgBase[job_title],$H440),SUMIFS(AvgBase[Month 7],AvgBase[exp_item],$J440,AvgBase[company_name],$B440,AvgBase[bu_name],$C440,AvgBase[dept_name],$D440,AvgBase[team_consolidation],$K440,AvgBase[location_name],$G440,AvgBase[job_title],$H440))*(R230+Q230)/2*(1-R335))</f>
        <v>0</v>
      </c>
      <c r="S440" s="652">
        <f>IF($B440="",,IF(LEFT($H440,5)="dummy",SUMIFS(AvgBase[Month 8],AvgBase[job_title],$H440),SUMIFS(AvgBase[Month 8],AvgBase[exp_item],$J440,AvgBase[company_name],$B440,AvgBase[bu_name],$C440,AvgBase[dept_name],$D440,AvgBase[team_consolidation],$K440,AvgBase[location_name],$G440,AvgBase[job_title],$H440))*(S230+R230)/2*(1-S335))</f>
        <v>0</v>
      </c>
      <c r="T440" s="652">
        <f>IF($B440="",,IF(LEFT($H440,5)="dummy",SUMIFS(AvgBase[Month 9],AvgBase[job_title],$H440),SUMIFS(AvgBase[Month 9],AvgBase[exp_item],$J440,AvgBase[company_name],$B440,AvgBase[bu_name],$C440,AvgBase[dept_name],$D440,AvgBase[team_consolidation],$K440,AvgBase[location_name],$G440,AvgBase[job_title],$H440))*(T230+S230)/2*(1-T335))</f>
        <v>0</v>
      </c>
      <c r="U440" s="652">
        <f>IF($B440="",,IF(LEFT($H440,5)="dummy",SUMIFS(AvgBase[Month 10],AvgBase[job_title],$H440),SUMIFS(AvgBase[Month 10],AvgBase[exp_item],$J440,AvgBase[company_name],$B440,AvgBase[bu_name],$C440,AvgBase[dept_name],$D440,AvgBase[team_consolidation],$K440,AvgBase[location_name],$G440,AvgBase[job_title],$H440))*(U230+T230)/2*(1-U335))</f>
        <v>0</v>
      </c>
      <c r="V440" s="652">
        <f>IF($B440="",,IF(LEFT($H440,5)="dummy",SUMIFS(AvgBase[Month 11],AvgBase[job_title],$H440),SUMIFS(AvgBase[Month 11],AvgBase[exp_item],$J440,AvgBase[company_name],$B440,AvgBase[bu_name],$C440,AvgBase[dept_name],$D440,AvgBase[team_consolidation],$K440,AvgBase[location_name],$G440,AvgBase[job_title],$H440))*(V230+U230)/2*(1-V335))</f>
        <v>0</v>
      </c>
      <c r="W440" s="652">
        <f>IF($B440="",,IF(LEFT($H440,5)="dummy",SUMIFS(AvgBase[Month 12],AvgBase[job_title],$H440),SUMIFS(AvgBase[Month 12],AvgBase[exp_item],$J440,AvgBase[company_name],$B440,AvgBase[bu_name],$C440,AvgBase[dept_name],$D440,AvgBase[team_consolidation],$K440,AvgBase[location_name],$G440,AvgBase[job_title],$H440))*(W230+V230)/2*(1-W335))</f>
        <v>0</v>
      </c>
      <c r="X440" s="652">
        <f>IF($B440="",,IF(LEFT($H440,5)="dummy",SUMIFS(AvgBase[Month 13],AvgBase[job_title],$H440),SUMIFS(AvgBase[Month 13],AvgBase[exp_item],$J440,AvgBase[company_name],$B440,AvgBase[bu_name],$C440,AvgBase[dept_name],$D440,AvgBase[team_consolidation],$K440,AvgBase[location_name],$G440,AvgBase[job_title],$H440))*(X230+W230)/2*(1-X335))</f>
        <v>0</v>
      </c>
      <c r="Y440" s="652">
        <f>IF($B440="",,IF(LEFT($H440,5)="dummy",SUMIFS(AvgBase[Month 14],AvgBase[job_title],$H440),SUMIFS(AvgBase[Month 14],AvgBase[exp_item],$J440,AvgBase[company_name],$B440,AvgBase[bu_name],$C440,AvgBase[dept_name],$D440,AvgBase[team_consolidation],$K440,AvgBase[location_name],$G440,AvgBase[job_title],$H440))*(Y230+X230)/2*(1-Y335))</f>
        <v>0</v>
      </c>
      <c r="Z440" s="652">
        <f>IF($B440="",,IF(LEFT($H440,5)="dummy",SUMIFS(AvgBase[Month 15],AvgBase[job_title],$H440),SUMIFS(AvgBase[Month 15],AvgBase[exp_item],$J440,AvgBase[company_name],$B440,AvgBase[bu_name],$C440,AvgBase[dept_name],$D440,AvgBase[team_consolidation],$K440,AvgBase[location_name],$G440,AvgBase[job_title],$H440))*(Z230+Y230)/2*(1-Z335))</f>
        <v>0</v>
      </c>
      <c r="AA440" s="652">
        <f>IF($B440="",,IF(LEFT($H440,5)="dummy",SUMIFS(AvgBase[Month 16],AvgBase[job_title],$H440),SUMIFS(AvgBase[Month 16],AvgBase[exp_item],$J440,AvgBase[company_name],$B440,AvgBase[bu_name],$C440,AvgBase[dept_name],$D440,AvgBase[team_consolidation],$K440,AvgBase[location_name],$G440,AvgBase[job_title],$H440))*(AA230+Z230)/2*(1-AA335))</f>
        <v>0</v>
      </c>
      <c r="AB440" s="652">
        <f>IF($B440="",,IF(LEFT($H440,5)="dummy",SUMIFS(AvgBase[Month 17],AvgBase[job_title],$H440),SUMIFS(AvgBase[Month 17],AvgBase[exp_item],$J440,AvgBase[company_name],$B440,AvgBase[bu_name],$C440,AvgBase[dept_name],$D440,AvgBase[team_consolidation],$K440,AvgBase[location_name],$G440,AvgBase[job_title],$H440))*(AB230+AA230)/2*(1-AB335))</f>
        <v>0</v>
      </c>
      <c r="AC440" s="652">
        <f>IF($B440="",,IF(LEFT($H440,5)="dummy",SUMIFS(AvgBase[Month 18],AvgBase[job_title],$H440),SUMIFS(AvgBase[Month 18],AvgBase[exp_item],$J440,AvgBase[company_name],$B440,AvgBase[bu_name],$C440,AvgBase[dept_name],$D440,AvgBase[team_consolidation],$K440,AvgBase[location_name],$G440,AvgBase[job_title],$H440))*(AC230+AB230)/2*(1-AC335))</f>
        <v>0</v>
      </c>
      <c r="AD440" s="652">
        <f>IF($B440="",,IF(LEFT($H440,5)="dummy",SUMIFS(AvgBase[Month 19],AvgBase[job_title],$H440),SUMIFS(AvgBase[Month 19],AvgBase[exp_item],$J440,AvgBase[company_name],$B440,AvgBase[bu_name],$C440,AvgBase[dept_name],$D440,AvgBase[team_consolidation],$K440,AvgBase[location_name],$G440,AvgBase[job_title],$H440))*(AD230+AC230)/2*(1-AD335))</f>
        <v>0</v>
      </c>
      <c r="AE440" s="652">
        <f>IF($B440="",,IF(LEFT($H440,5)="dummy",SUMIFS(AvgBase[Month 20],AvgBase[job_title],$H440),SUMIFS(AvgBase[Month 20],AvgBase[exp_item],$J440,AvgBase[company_name],$B440,AvgBase[bu_name],$C440,AvgBase[dept_name],$D440,AvgBase[team_consolidation],$K440,AvgBase[location_name],$G440,AvgBase[job_title],$H440))*(AE230+AD230)/2*(1-AE335))</f>
        <v>0</v>
      </c>
      <c r="AF440" s="652">
        <f>IF($B440="",,IF(LEFT($H440,5)="dummy",SUMIFS(AvgBase[Month 21],AvgBase[job_title],$H440),SUMIFS(AvgBase[Month 21],AvgBase[exp_item],$J440,AvgBase[company_name],$B440,AvgBase[bu_name],$C440,AvgBase[dept_name],$D440,AvgBase[team_consolidation],$K440,AvgBase[location_name],$G440,AvgBase[job_title],$H440))*(AF230+AE230)/2*(1-AF335))</f>
        <v>0</v>
      </c>
      <c r="AG440" s="652">
        <f>IF($B440="",,IF(LEFT($H440,5)="dummy",SUMIFS(AvgBase[Month 22],AvgBase[job_title],$H440),SUMIFS(AvgBase[Month 22],AvgBase[exp_item],$J440,AvgBase[company_name],$B440,AvgBase[bu_name],$C440,AvgBase[dept_name],$D440,AvgBase[team_consolidation],$K440,AvgBase[location_name],$G440,AvgBase[job_title],$H440))*(AG230+AF230)/2*(1-AG335))</f>
        <v>0</v>
      </c>
      <c r="AH440" s="652">
        <f>IF($B440="",,IF(LEFT($H440,5)="dummy",SUMIFS(AvgBase[Month 23],AvgBase[job_title],$H440),SUMIFS(AvgBase[Month 23],AvgBase[exp_item],$J440,AvgBase[company_name],$B440,AvgBase[bu_name],$C440,AvgBase[dept_name],$D440,AvgBase[team_consolidation],$K440,AvgBase[location_name],$G440,AvgBase[job_title],$H440))*(AH230+AG230)/2*(1-AH335))</f>
        <v>0</v>
      </c>
      <c r="AI440" s="652">
        <f>IF($B440="",,IF(LEFT($H440,5)="dummy",SUMIFS(AvgBase[Month 24],AvgBase[job_title],$H440),SUMIFS(AvgBase[Month 24],AvgBase[exp_item],$J440,AvgBase[company_name],$B440,AvgBase[bu_name],$C440,AvgBase[dept_name],$D440,AvgBase[team_consolidation],$K440,AvgBase[location_name],$G440,AvgBase[job_title],$H440))*(AI230+AH230)/2*(1-AI335))</f>
        <v>0</v>
      </c>
      <c r="AJ440" s="652">
        <f>IF($B440="",,IF(LEFT($H440,5)="dummy",SUMIFS(AvgBase[Month 25],AvgBase[job_title],$H440),SUMIFS(AvgBase[Month 25],AvgBase[exp_item],$J440,AvgBase[company_name],$B440,AvgBase[bu_name],$C440,AvgBase[dept_name],$D440,AvgBase[team_consolidation],$K440,AvgBase[location_name],$G440,AvgBase[job_title],$H440))*(AJ230+AI230)/2*(1-AJ335))</f>
        <v>0</v>
      </c>
      <c r="AK440" s="652">
        <f>IF($B440="",,IF(LEFT($H440,5)="dummy",SUMIFS(AvgBase[Month 26],AvgBase[job_title],$H440),SUMIFS(AvgBase[Month 26],AvgBase[exp_item],$J440,AvgBase[company_name],$B440,AvgBase[bu_name],$C440,AvgBase[dept_name],$D440,AvgBase[team_consolidation],$K440,AvgBase[location_name],$G440,AvgBase[job_title],$H440))*(AK230+AJ230)/2*(1-AK335))</f>
        <v>0</v>
      </c>
      <c r="AL440" s="652">
        <f>IF($B440="",,IF(LEFT($H440,5)="dummy",SUMIFS(AvgBase[Month 27],AvgBase[job_title],$H440),SUMIFS(AvgBase[Month 27],AvgBase[exp_item],$J440,AvgBase[company_name],$B440,AvgBase[bu_name],$C440,AvgBase[dept_name],$D440,AvgBase[team_consolidation],$K440,AvgBase[location_name],$G440,AvgBase[job_title],$H440))*(AL230+AK230)/2*(1-AL335))</f>
        <v>0</v>
      </c>
      <c r="AM440" s="652">
        <f>IF($B440="",,IF(LEFT($H440,5)="dummy",SUMIFS(AvgBase[Month 28],AvgBase[job_title],$H440),SUMIFS(AvgBase[Month 28],AvgBase[exp_item],$J440,AvgBase[company_name],$B440,AvgBase[bu_name],$C440,AvgBase[dept_name],$D440,AvgBase[team_consolidation],$K440,AvgBase[location_name],$G440,AvgBase[job_title],$H440))*(AM230+AL230)/2*(1-AM335))</f>
        <v>0</v>
      </c>
      <c r="AN440" s="652">
        <f>IF($B440="",,IF(LEFT($H440,5)="dummy",SUMIFS(AvgBase[Month 29],AvgBase[job_title],$H440),SUMIFS(AvgBase[Month 29],AvgBase[exp_item],$J440,AvgBase[company_name],$B440,AvgBase[bu_name],$C440,AvgBase[dept_name],$D440,AvgBase[team_consolidation],$K440,AvgBase[location_name],$G440,AvgBase[job_title],$H440))*(AN230+AM230)/2*(1-AN335))</f>
        <v>0</v>
      </c>
      <c r="AO440" s="652">
        <f>IF($B440="",,IF(LEFT($H440,5)="dummy",SUMIFS(AvgBase[Month 30],AvgBase[job_title],$H440),SUMIFS(AvgBase[Month 30],AvgBase[exp_item],$J440,AvgBase[company_name],$B440,AvgBase[bu_name],$C440,AvgBase[dept_name],$D440,AvgBase[team_consolidation],$K440,AvgBase[location_name],$G440,AvgBase[job_title],$H440))*(AO230+AN230)/2*(1-AO335))</f>
        <v>0</v>
      </c>
      <c r="AP440" s="652">
        <f>IF($B440="",,IF(LEFT($H440,5)="dummy",SUMIFS(AvgBase[Month 31],AvgBase[job_title],$H440),SUMIFS(AvgBase[Month 31],AvgBase[exp_item],$J440,AvgBase[company_name],$B440,AvgBase[bu_name],$C440,AvgBase[dept_name],$D440,AvgBase[team_consolidation],$K440,AvgBase[location_name],$G440,AvgBase[job_title],$H440))*(AP230+AO230)/2*(1-AP335))</f>
        <v>0</v>
      </c>
      <c r="AQ440" s="652">
        <f>IF($B440="",,IF(LEFT($H440,5)="dummy",SUMIFS(AvgBase[Month 32],AvgBase[job_title],$H440),SUMIFS(AvgBase[Month 32],AvgBase[exp_item],$J440,AvgBase[company_name],$B440,AvgBase[bu_name],$C440,AvgBase[dept_name],$D440,AvgBase[team_consolidation],$K440,AvgBase[location_name],$G440,AvgBase[job_title],$H440))*(AQ230+AP230)/2*(1-AQ335))</f>
        <v>0</v>
      </c>
      <c r="AR440" s="652">
        <f>IF($B440="",,IF(LEFT($H440,5)="dummy",SUMIFS(AvgBase[Month 33],AvgBase[job_title],$H440),SUMIFS(AvgBase[Month 33],AvgBase[exp_item],$J440,AvgBase[company_name],$B440,AvgBase[bu_name],$C440,AvgBase[dept_name],$D440,AvgBase[team_consolidation],$K440,AvgBase[location_name],$G440,AvgBase[job_title],$H440))*(AR230+AQ230)/2*(1-AR335))</f>
        <v>0</v>
      </c>
      <c r="AS440" s="652">
        <f>IF($B440="",,IF(LEFT($H440,5)="dummy",SUMIFS(AvgBase[Month 34],AvgBase[job_title],$H440),SUMIFS(AvgBase[Month 34],AvgBase[exp_item],$J440,AvgBase[company_name],$B440,AvgBase[bu_name],$C440,AvgBase[dept_name],$D440,AvgBase[team_consolidation],$K440,AvgBase[location_name],$G440,AvgBase[job_title],$H440))*(AS230+AR230)/2*(1-AS335))</f>
        <v>0</v>
      </c>
      <c r="AT440" s="652">
        <f>IF($B440="",,IF(LEFT($H440,5)="dummy",SUMIFS(AvgBase[Month 35],AvgBase[job_title],$H440),SUMIFS(AvgBase[Month 35],AvgBase[exp_item],$J440,AvgBase[company_name],$B440,AvgBase[bu_name],$C440,AvgBase[dept_name],$D440,AvgBase[team_consolidation],$K440,AvgBase[location_name],$G440,AvgBase[job_title],$H440))*(AT230+AS230)/2*(1-AT335))</f>
        <v>0</v>
      </c>
      <c r="AU440" s="652">
        <f>IF($B440="",,IF(LEFT($H440,5)="dummy",SUMIFS(AvgBase[Month 36],AvgBase[job_title],$H440),SUMIFS(AvgBase[Month 36],AvgBase[exp_item],$J440,AvgBase[company_name],$B440,AvgBase[bu_name],$C440,AvgBase[dept_name],$D440,AvgBase[team_consolidation],$K440,AvgBase[location_name],$G440,AvgBase[job_title],$H440))*(AU230+AT230)/2*(1-AU335))</f>
        <v>0</v>
      </c>
    </row>
    <row r="441" spans="2:47" x14ac:dyDescent="0.35">
      <c r="B441" t="str">
        <f t="shared" si="280"/>
        <v/>
      </c>
      <c r="C441" t="str">
        <f t="shared" si="280"/>
        <v/>
      </c>
      <c r="D441" t="str">
        <f t="shared" si="280"/>
        <v/>
      </c>
      <c r="E441" t="str">
        <f t="shared" si="280"/>
        <v/>
      </c>
      <c r="F441" t="str">
        <f t="shared" si="280"/>
        <v/>
      </c>
      <c r="G441" t="str">
        <f t="shared" si="280"/>
        <v/>
      </c>
      <c r="H441" t="str">
        <f t="shared" si="279"/>
        <v/>
      </c>
      <c r="J441" t="str">
        <f>IF($H441="","",IF(VLOOKUP($B$395,ExpItems[],2,0),$B$395&amp;" - "&amp;INDEX(DivisionMapping[category_code],MATCH($D441&amp;$C441,DivisionMapping[dept_bu],0)),$B$395))</f>
        <v/>
      </c>
      <c r="K441" t="str">
        <f t="shared" si="275"/>
        <v/>
      </c>
      <c r="L441" s="652">
        <f>IF($B441="",,IF(LEFT($H441,5)="dummy",SUMIFS(AvgBase[Month 1],AvgBase[job_title],$H441),SUMIFS(AvgBase[Month 1],AvgBase[exp_item],$J441,AvgBase[company_name],$B441,AvgBase[bu_name],$C441,AvgBase[dept_name],$D441,AvgBase[team_consolidation],$K441,AvgBase[location_name],$G441,AvgBase[job_title],$H441))*L231/2*(1-L336))</f>
        <v>0</v>
      </c>
      <c r="M441" s="652">
        <f>IF($B441="",,IF(LEFT($H441,5)="dummy",SUMIFS(AvgBase[Month 2],AvgBase[job_title],$H441),SUMIFS(AvgBase[Month 2],AvgBase[exp_item],$J441,AvgBase[company_name],$B441,AvgBase[bu_name],$C441,AvgBase[dept_name],$D441,AvgBase[team_consolidation],$K441,AvgBase[location_name],$G441,AvgBase[job_title],$H441))*(M231+L231)/2*(1-M336))</f>
        <v>0</v>
      </c>
      <c r="N441" s="652">
        <f>IF($B441="",,IF(LEFT($H441,5)="dummy",SUMIFS(AvgBase[Month 3],AvgBase[job_title],$H441),SUMIFS(AvgBase[Month 3],AvgBase[exp_item],$J441,AvgBase[company_name],$B441,AvgBase[bu_name],$C441,AvgBase[dept_name],$D441,AvgBase[team_consolidation],$K441,AvgBase[location_name],$G441,AvgBase[job_title],$H441))*(N231+M231)/2*(1-N336))</f>
        <v>0</v>
      </c>
      <c r="O441" s="652">
        <f>IF($B441="",,IF(LEFT($H441,5)="dummy",SUMIFS(AvgBase[Month 4],AvgBase[job_title],$H441),SUMIFS(AvgBase[Month 4],AvgBase[exp_item],$J441,AvgBase[company_name],$B441,AvgBase[bu_name],$C441,AvgBase[dept_name],$D441,AvgBase[team_consolidation],$K441,AvgBase[location_name],$G441,AvgBase[job_title],$H441))*(O231+N231)/2*(1-O336))</f>
        <v>0</v>
      </c>
      <c r="P441" s="652">
        <f>IF($B441="",,IF(LEFT($H441,5)="dummy",SUMIFS(AvgBase[Month 5],AvgBase[job_title],$H441),SUMIFS(AvgBase[Month 5],AvgBase[exp_item],$J441,AvgBase[company_name],$B441,AvgBase[bu_name],$C441,AvgBase[dept_name],$D441,AvgBase[team_consolidation],$K441,AvgBase[location_name],$G441,AvgBase[job_title],$H441))*(P231+O231)/2*(1-P336))</f>
        <v>0</v>
      </c>
      <c r="Q441" s="652">
        <f>IF($B441="",,IF(LEFT($H441,5)="dummy",SUMIFS(AvgBase[Month 6],AvgBase[job_title],$H441),SUMIFS(AvgBase[Month 6],AvgBase[exp_item],$J441,AvgBase[company_name],$B441,AvgBase[bu_name],$C441,AvgBase[dept_name],$D441,AvgBase[team_consolidation],$K441,AvgBase[location_name],$G441,AvgBase[job_title],$H441))*(Q231+P231)/2*(1-Q336))</f>
        <v>0</v>
      </c>
      <c r="R441" s="652">
        <f>IF($B441="",,IF(LEFT($H441,5)="dummy",SUMIFS(AvgBase[Month 7],AvgBase[job_title],$H441),SUMIFS(AvgBase[Month 7],AvgBase[exp_item],$J441,AvgBase[company_name],$B441,AvgBase[bu_name],$C441,AvgBase[dept_name],$D441,AvgBase[team_consolidation],$K441,AvgBase[location_name],$G441,AvgBase[job_title],$H441))*(R231+Q231)/2*(1-R336))</f>
        <v>0</v>
      </c>
      <c r="S441" s="652">
        <f>IF($B441="",,IF(LEFT($H441,5)="dummy",SUMIFS(AvgBase[Month 8],AvgBase[job_title],$H441),SUMIFS(AvgBase[Month 8],AvgBase[exp_item],$J441,AvgBase[company_name],$B441,AvgBase[bu_name],$C441,AvgBase[dept_name],$D441,AvgBase[team_consolidation],$K441,AvgBase[location_name],$G441,AvgBase[job_title],$H441))*(S231+R231)/2*(1-S336))</f>
        <v>0</v>
      </c>
      <c r="T441" s="652">
        <f>IF($B441="",,IF(LEFT($H441,5)="dummy",SUMIFS(AvgBase[Month 9],AvgBase[job_title],$H441),SUMIFS(AvgBase[Month 9],AvgBase[exp_item],$J441,AvgBase[company_name],$B441,AvgBase[bu_name],$C441,AvgBase[dept_name],$D441,AvgBase[team_consolidation],$K441,AvgBase[location_name],$G441,AvgBase[job_title],$H441))*(T231+S231)/2*(1-T336))</f>
        <v>0</v>
      </c>
      <c r="U441" s="652">
        <f>IF($B441="",,IF(LEFT($H441,5)="dummy",SUMIFS(AvgBase[Month 10],AvgBase[job_title],$H441),SUMIFS(AvgBase[Month 10],AvgBase[exp_item],$J441,AvgBase[company_name],$B441,AvgBase[bu_name],$C441,AvgBase[dept_name],$D441,AvgBase[team_consolidation],$K441,AvgBase[location_name],$G441,AvgBase[job_title],$H441))*(U231+T231)/2*(1-U336))</f>
        <v>0</v>
      </c>
      <c r="V441" s="652">
        <f>IF($B441="",,IF(LEFT($H441,5)="dummy",SUMIFS(AvgBase[Month 11],AvgBase[job_title],$H441),SUMIFS(AvgBase[Month 11],AvgBase[exp_item],$J441,AvgBase[company_name],$B441,AvgBase[bu_name],$C441,AvgBase[dept_name],$D441,AvgBase[team_consolidation],$K441,AvgBase[location_name],$G441,AvgBase[job_title],$H441))*(V231+U231)/2*(1-V336))</f>
        <v>0</v>
      </c>
      <c r="W441" s="652">
        <f>IF($B441="",,IF(LEFT($H441,5)="dummy",SUMIFS(AvgBase[Month 12],AvgBase[job_title],$H441),SUMIFS(AvgBase[Month 12],AvgBase[exp_item],$J441,AvgBase[company_name],$B441,AvgBase[bu_name],$C441,AvgBase[dept_name],$D441,AvgBase[team_consolidation],$K441,AvgBase[location_name],$G441,AvgBase[job_title],$H441))*(W231+V231)/2*(1-W336))</f>
        <v>0</v>
      </c>
      <c r="X441" s="652">
        <f>IF($B441="",,IF(LEFT($H441,5)="dummy",SUMIFS(AvgBase[Month 13],AvgBase[job_title],$H441),SUMIFS(AvgBase[Month 13],AvgBase[exp_item],$J441,AvgBase[company_name],$B441,AvgBase[bu_name],$C441,AvgBase[dept_name],$D441,AvgBase[team_consolidation],$K441,AvgBase[location_name],$G441,AvgBase[job_title],$H441))*(X231+W231)/2*(1-X336))</f>
        <v>0</v>
      </c>
      <c r="Y441" s="652">
        <f>IF($B441="",,IF(LEFT($H441,5)="dummy",SUMIFS(AvgBase[Month 14],AvgBase[job_title],$H441),SUMIFS(AvgBase[Month 14],AvgBase[exp_item],$J441,AvgBase[company_name],$B441,AvgBase[bu_name],$C441,AvgBase[dept_name],$D441,AvgBase[team_consolidation],$K441,AvgBase[location_name],$G441,AvgBase[job_title],$H441))*(Y231+X231)/2*(1-Y336))</f>
        <v>0</v>
      </c>
      <c r="Z441" s="652">
        <f>IF($B441="",,IF(LEFT($H441,5)="dummy",SUMIFS(AvgBase[Month 15],AvgBase[job_title],$H441),SUMIFS(AvgBase[Month 15],AvgBase[exp_item],$J441,AvgBase[company_name],$B441,AvgBase[bu_name],$C441,AvgBase[dept_name],$D441,AvgBase[team_consolidation],$K441,AvgBase[location_name],$G441,AvgBase[job_title],$H441))*(Z231+Y231)/2*(1-Z336))</f>
        <v>0</v>
      </c>
      <c r="AA441" s="652">
        <f>IF($B441="",,IF(LEFT($H441,5)="dummy",SUMIFS(AvgBase[Month 16],AvgBase[job_title],$H441),SUMIFS(AvgBase[Month 16],AvgBase[exp_item],$J441,AvgBase[company_name],$B441,AvgBase[bu_name],$C441,AvgBase[dept_name],$D441,AvgBase[team_consolidation],$K441,AvgBase[location_name],$G441,AvgBase[job_title],$H441))*(AA231+Z231)/2*(1-AA336))</f>
        <v>0</v>
      </c>
      <c r="AB441" s="652">
        <f>IF($B441="",,IF(LEFT($H441,5)="dummy",SUMIFS(AvgBase[Month 17],AvgBase[job_title],$H441),SUMIFS(AvgBase[Month 17],AvgBase[exp_item],$J441,AvgBase[company_name],$B441,AvgBase[bu_name],$C441,AvgBase[dept_name],$D441,AvgBase[team_consolidation],$K441,AvgBase[location_name],$G441,AvgBase[job_title],$H441))*(AB231+AA231)/2*(1-AB336))</f>
        <v>0</v>
      </c>
      <c r="AC441" s="652">
        <f>IF($B441="",,IF(LEFT($H441,5)="dummy",SUMIFS(AvgBase[Month 18],AvgBase[job_title],$H441),SUMIFS(AvgBase[Month 18],AvgBase[exp_item],$J441,AvgBase[company_name],$B441,AvgBase[bu_name],$C441,AvgBase[dept_name],$D441,AvgBase[team_consolidation],$K441,AvgBase[location_name],$G441,AvgBase[job_title],$H441))*(AC231+AB231)/2*(1-AC336))</f>
        <v>0</v>
      </c>
      <c r="AD441" s="652">
        <f>IF($B441="",,IF(LEFT($H441,5)="dummy",SUMIFS(AvgBase[Month 19],AvgBase[job_title],$H441),SUMIFS(AvgBase[Month 19],AvgBase[exp_item],$J441,AvgBase[company_name],$B441,AvgBase[bu_name],$C441,AvgBase[dept_name],$D441,AvgBase[team_consolidation],$K441,AvgBase[location_name],$G441,AvgBase[job_title],$H441))*(AD231+AC231)/2*(1-AD336))</f>
        <v>0</v>
      </c>
      <c r="AE441" s="652">
        <f>IF($B441="",,IF(LEFT($H441,5)="dummy",SUMIFS(AvgBase[Month 20],AvgBase[job_title],$H441),SUMIFS(AvgBase[Month 20],AvgBase[exp_item],$J441,AvgBase[company_name],$B441,AvgBase[bu_name],$C441,AvgBase[dept_name],$D441,AvgBase[team_consolidation],$K441,AvgBase[location_name],$G441,AvgBase[job_title],$H441))*(AE231+AD231)/2*(1-AE336))</f>
        <v>0</v>
      </c>
      <c r="AF441" s="652">
        <f>IF($B441="",,IF(LEFT($H441,5)="dummy",SUMIFS(AvgBase[Month 21],AvgBase[job_title],$H441),SUMIFS(AvgBase[Month 21],AvgBase[exp_item],$J441,AvgBase[company_name],$B441,AvgBase[bu_name],$C441,AvgBase[dept_name],$D441,AvgBase[team_consolidation],$K441,AvgBase[location_name],$G441,AvgBase[job_title],$H441))*(AF231+AE231)/2*(1-AF336))</f>
        <v>0</v>
      </c>
      <c r="AG441" s="652">
        <f>IF($B441="",,IF(LEFT($H441,5)="dummy",SUMIFS(AvgBase[Month 22],AvgBase[job_title],$H441),SUMIFS(AvgBase[Month 22],AvgBase[exp_item],$J441,AvgBase[company_name],$B441,AvgBase[bu_name],$C441,AvgBase[dept_name],$D441,AvgBase[team_consolidation],$K441,AvgBase[location_name],$G441,AvgBase[job_title],$H441))*(AG231+AF231)/2*(1-AG336))</f>
        <v>0</v>
      </c>
      <c r="AH441" s="652">
        <f>IF($B441="",,IF(LEFT($H441,5)="dummy",SUMIFS(AvgBase[Month 23],AvgBase[job_title],$H441),SUMIFS(AvgBase[Month 23],AvgBase[exp_item],$J441,AvgBase[company_name],$B441,AvgBase[bu_name],$C441,AvgBase[dept_name],$D441,AvgBase[team_consolidation],$K441,AvgBase[location_name],$G441,AvgBase[job_title],$H441))*(AH231+AG231)/2*(1-AH336))</f>
        <v>0</v>
      </c>
      <c r="AI441" s="652">
        <f>IF($B441="",,IF(LEFT($H441,5)="dummy",SUMIFS(AvgBase[Month 24],AvgBase[job_title],$H441),SUMIFS(AvgBase[Month 24],AvgBase[exp_item],$J441,AvgBase[company_name],$B441,AvgBase[bu_name],$C441,AvgBase[dept_name],$D441,AvgBase[team_consolidation],$K441,AvgBase[location_name],$G441,AvgBase[job_title],$H441))*(AI231+AH231)/2*(1-AI336))</f>
        <v>0</v>
      </c>
      <c r="AJ441" s="652">
        <f>IF($B441="",,IF(LEFT($H441,5)="dummy",SUMIFS(AvgBase[Month 25],AvgBase[job_title],$H441),SUMIFS(AvgBase[Month 25],AvgBase[exp_item],$J441,AvgBase[company_name],$B441,AvgBase[bu_name],$C441,AvgBase[dept_name],$D441,AvgBase[team_consolidation],$K441,AvgBase[location_name],$G441,AvgBase[job_title],$H441))*(AJ231+AI231)/2*(1-AJ336))</f>
        <v>0</v>
      </c>
      <c r="AK441" s="652">
        <f>IF($B441="",,IF(LEFT($H441,5)="dummy",SUMIFS(AvgBase[Month 26],AvgBase[job_title],$H441),SUMIFS(AvgBase[Month 26],AvgBase[exp_item],$J441,AvgBase[company_name],$B441,AvgBase[bu_name],$C441,AvgBase[dept_name],$D441,AvgBase[team_consolidation],$K441,AvgBase[location_name],$G441,AvgBase[job_title],$H441))*(AK231+AJ231)/2*(1-AK336))</f>
        <v>0</v>
      </c>
      <c r="AL441" s="652">
        <f>IF($B441="",,IF(LEFT($H441,5)="dummy",SUMIFS(AvgBase[Month 27],AvgBase[job_title],$H441),SUMIFS(AvgBase[Month 27],AvgBase[exp_item],$J441,AvgBase[company_name],$B441,AvgBase[bu_name],$C441,AvgBase[dept_name],$D441,AvgBase[team_consolidation],$K441,AvgBase[location_name],$G441,AvgBase[job_title],$H441))*(AL231+AK231)/2*(1-AL336))</f>
        <v>0</v>
      </c>
      <c r="AM441" s="652">
        <f>IF($B441="",,IF(LEFT($H441,5)="dummy",SUMIFS(AvgBase[Month 28],AvgBase[job_title],$H441),SUMIFS(AvgBase[Month 28],AvgBase[exp_item],$J441,AvgBase[company_name],$B441,AvgBase[bu_name],$C441,AvgBase[dept_name],$D441,AvgBase[team_consolidation],$K441,AvgBase[location_name],$G441,AvgBase[job_title],$H441))*(AM231+AL231)/2*(1-AM336))</f>
        <v>0</v>
      </c>
      <c r="AN441" s="652">
        <f>IF($B441="",,IF(LEFT($H441,5)="dummy",SUMIFS(AvgBase[Month 29],AvgBase[job_title],$H441),SUMIFS(AvgBase[Month 29],AvgBase[exp_item],$J441,AvgBase[company_name],$B441,AvgBase[bu_name],$C441,AvgBase[dept_name],$D441,AvgBase[team_consolidation],$K441,AvgBase[location_name],$G441,AvgBase[job_title],$H441))*(AN231+AM231)/2*(1-AN336))</f>
        <v>0</v>
      </c>
      <c r="AO441" s="652">
        <f>IF($B441="",,IF(LEFT($H441,5)="dummy",SUMIFS(AvgBase[Month 30],AvgBase[job_title],$H441),SUMIFS(AvgBase[Month 30],AvgBase[exp_item],$J441,AvgBase[company_name],$B441,AvgBase[bu_name],$C441,AvgBase[dept_name],$D441,AvgBase[team_consolidation],$K441,AvgBase[location_name],$G441,AvgBase[job_title],$H441))*(AO231+AN231)/2*(1-AO336))</f>
        <v>0</v>
      </c>
      <c r="AP441" s="652">
        <f>IF($B441="",,IF(LEFT($H441,5)="dummy",SUMIFS(AvgBase[Month 31],AvgBase[job_title],$H441),SUMIFS(AvgBase[Month 31],AvgBase[exp_item],$J441,AvgBase[company_name],$B441,AvgBase[bu_name],$C441,AvgBase[dept_name],$D441,AvgBase[team_consolidation],$K441,AvgBase[location_name],$G441,AvgBase[job_title],$H441))*(AP231+AO231)/2*(1-AP336))</f>
        <v>0</v>
      </c>
      <c r="AQ441" s="652">
        <f>IF($B441="",,IF(LEFT($H441,5)="dummy",SUMIFS(AvgBase[Month 32],AvgBase[job_title],$H441),SUMIFS(AvgBase[Month 32],AvgBase[exp_item],$J441,AvgBase[company_name],$B441,AvgBase[bu_name],$C441,AvgBase[dept_name],$D441,AvgBase[team_consolidation],$K441,AvgBase[location_name],$G441,AvgBase[job_title],$H441))*(AQ231+AP231)/2*(1-AQ336))</f>
        <v>0</v>
      </c>
      <c r="AR441" s="652">
        <f>IF($B441="",,IF(LEFT($H441,5)="dummy",SUMIFS(AvgBase[Month 33],AvgBase[job_title],$H441),SUMIFS(AvgBase[Month 33],AvgBase[exp_item],$J441,AvgBase[company_name],$B441,AvgBase[bu_name],$C441,AvgBase[dept_name],$D441,AvgBase[team_consolidation],$K441,AvgBase[location_name],$G441,AvgBase[job_title],$H441))*(AR231+AQ231)/2*(1-AR336))</f>
        <v>0</v>
      </c>
      <c r="AS441" s="652">
        <f>IF($B441="",,IF(LEFT($H441,5)="dummy",SUMIFS(AvgBase[Month 34],AvgBase[job_title],$H441),SUMIFS(AvgBase[Month 34],AvgBase[exp_item],$J441,AvgBase[company_name],$B441,AvgBase[bu_name],$C441,AvgBase[dept_name],$D441,AvgBase[team_consolidation],$K441,AvgBase[location_name],$G441,AvgBase[job_title],$H441))*(AS231+AR231)/2*(1-AS336))</f>
        <v>0</v>
      </c>
      <c r="AT441" s="652">
        <f>IF($B441="",,IF(LEFT($H441,5)="dummy",SUMIFS(AvgBase[Month 35],AvgBase[job_title],$H441),SUMIFS(AvgBase[Month 35],AvgBase[exp_item],$J441,AvgBase[company_name],$B441,AvgBase[bu_name],$C441,AvgBase[dept_name],$D441,AvgBase[team_consolidation],$K441,AvgBase[location_name],$G441,AvgBase[job_title],$H441))*(AT231+AS231)/2*(1-AT336))</f>
        <v>0</v>
      </c>
      <c r="AU441" s="652">
        <f>IF($B441="",,IF(LEFT($H441,5)="dummy",SUMIFS(AvgBase[Month 36],AvgBase[job_title],$H441),SUMIFS(AvgBase[Month 36],AvgBase[exp_item],$J441,AvgBase[company_name],$B441,AvgBase[bu_name],$C441,AvgBase[dept_name],$D441,AvgBase[team_consolidation],$K441,AvgBase[location_name],$G441,AvgBase[job_title],$H441))*(AU231+AT231)/2*(1-AU336))</f>
        <v>0</v>
      </c>
    </row>
    <row r="442" spans="2:47" x14ac:dyDescent="0.35">
      <c r="B442" t="str">
        <f t="shared" si="280"/>
        <v/>
      </c>
      <c r="C442" t="str">
        <f t="shared" si="280"/>
        <v/>
      </c>
      <c r="D442" t="str">
        <f t="shared" si="280"/>
        <v/>
      </c>
      <c r="E442" t="str">
        <f t="shared" si="280"/>
        <v/>
      </c>
      <c r="F442" t="str">
        <f t="shared" si="280"/>
        <v/>
      </c>
      <c r="G442" t="str">
        <f t="shared" si="280"/>
        <v/>
      </c>
      <c r="H442" t="str">
        <f t="shared" si="279"/>
        <v/>
      </c>
      <c r="J442" t="str">
        <f>IF($H442="","",IF(VLOOKUP($B$395,ExpItems[],2,0),$B$395&amp;" - "&amp;INDEX(DivisionMapping[category_code],MATCH($D442&amp;$C442,DivisionMapping[dept_bu],0)),$B$395))</f>
        <v/>
      </c>
      <c r="K442" t="str">
        <f t="shared" si="275"/>
        <v/>
      </c>
      <c r="L442" s="652">
        <f>IF($B442="",,IF(LEFT($H442,5)="dummy",SUMIFS(AvgBase[Month 1],AvgBase[job_title],$H442),SUMIFS(AvgBase[Month 1],AvgBase[exp_item],$J442,AvgBase[company_name],$B442,AvgBase[bu_name],$C442,AvgBase[dept_name],$D442,AvgBase[team_consolidation],$K442,AvgBase[location_name],$G442,AvgBase[job_title],$H442))*L232/2*(1-L337))</f>
        <v>0</v>
      </c>
      <c r="M442" s="652">
        <f>IF($B442="",,IF(LEFT($H442,5)="dummy",SUMIFS(AvgBase[Month 2],AvgBase[job_title],$H442),SUMIFS(AvgBase[Month 2],AvgBase[exp_item],$J442,AvgBase[company_name],$B442,AvgBase[bu_name],$C442,AvgBase[dept_name],$D442,AvgBase[team_consolidation],$K442,AvgBase[location_name],$G442,AvgBase[job_title],$H442))*(M232+L232)/2*(1-M337))</f>
        <v>0</v>
      </c>
      <c r="N442" s="652">
        <f>IF($B442="",,IF(LEFT($H442,5)="dummy",SUMIFS(AvgBase[Month 3],AvgBase[job_title],$H442),SUMIFS(AvgBase[Month 3],AvgBase[exp_item],$J442,AvgBase[company_name],$B442,AvgBase[bu_name],$C442,AvgBase[dept_name],$D442,AvgBase[team_consolidation],$K442,AvgBase[location_name],$G442,AvgBase[job_title],$H442))*(N232+M232)/2*(1-N337))</f>
        <v>0</v>
      </c>
      <c r="O442" s="652">
        <f>IF($B442="",,IF(LEFT($H442,5)="dummy",SUMIFS(AvgBase[Month 4],AvgBase[job_title],$H442),SUMIFS(AvgBase[Month 4],AvgBase[exp_item],$J442,AvgBase[company_name],$B442,AvgBase[bu_name],$C442,AvgBase[dept_name],$D442,AvgBase[team_consolidation],$K442,AvgBase[location_name],$G442,AvgBase[job_title],$H442))*(O232+N232)/2*(1-O337))</f>
        <v>0</v>
      </c>
      <c r="P442" s="652">
        <f>IF($B442="",,IF(LEFT($H442,5)="dummy",SUMIFS(AvgBase[Month 5],AvgBase[job_title],$H442),SUMIFS(AvgBase[Month 5],AvgBase[exp_item],$J442,AvgBase[company_name],$B442,AvgBase[bu_name],$C442,AvgBase[dept_name],$D442,AvgBase[team_consolidation],$K442,AvgBase[location_name],$G442,AvgBase[job_title],$H442))*(P232+O232)/2*(1-P337))</f>
        <v>0</v>
      </c>
      <c r="Q442" s="652">
        <f>IF($B442="",,IF(LEFT($H442,5)="dummy",SUMIFS(AvgBase[Month 6],AvgBase[job_title],$H442),SUMIFS(AvgBase[Month 6],AvgBase[exp_item],$J442,AvgBase[company_name],$B442,AvgBase[bu_name],$C442,AvgBase[dept_name],$D442,AvgBase[team_consolidation],$K442,AvgBase[location_name],$G442,AvgBase[job_title],$H442))*(Q232+P232)/2*(1-Q337))</f>
        <v>0</v>
      </c>
      <c r="R442" s="652">
        <f>IF($B442="",,IF(LEFT($H442,5)="dummy",SUMIFS(AvgBase[Month 7],AvgBase[job_title],$H442),SUMIFS(AvgBase[Month 7],AvgBase[exp_item],$J442,AvgBase[company_name],$B442,AvgBase[bu_name],$C442,AvgBase[dept_name],$D442,AvgBase[team_consolidation],$K442,AvgBase[location_name],$G442,AvgBase[job_title],$H442))*(R232+Q232)/2*(1-R337))</f>
        <v>0</v>
      </c>
      <c r="S442" s="652">
        <f>IF($B442="",,IF(LEFT($H442,5)="dummy",SUMIFS(AvgBase[Month 8],AvgBase[job_title],$H442),SUMIFS(AvgBase[Month 8],AvgBase[exp_item],$J442,AvgBase[company_name],$B442,AvgBase[bu_name],$C442,AvgBase[dept_name],$D442,AvgBase[team_consolidation],$K442,AvgBase[location_name],$G442,AvgBase[job_title],$H442))*(S232+R232)/2*(1-S337))</f>
        <v>0</v>
      </c>
      <c r="T442" s="652">
        <f>IF($B442="",,IF(LEFT($H442,5)="dummy",SUMIFS(AvgBase[Month 9],AvgBase[job_title],$H442),SUMIFS(AvgBase[Month 9],AvgBase[exp_item],$J442,AvgBase[company_name],$B442,AvgBase[bu_name],$C442,AvgBase[dept_name],$D442,AvgBase[team_consolidation],$K442,AvgBase[location_name],$G442,AvgBase[job_title],$H442))*(T232+S232)/2*(1-T337))</f>
        <v>0</v>
      </c>
      <c r="U442" s="652">
        <f>IF($B442="",,IF(LEFT($H442,5)="dummy",SUMIFS(AvgBase[Month 10],AvgBase[job_title],$H442),SUMIFS(AvgBase[Month 10],AvgBase[exp_item],$J442,AvgBase[company_name],$B442,AvgBase[bu_name],$C442,AvgBase[dept_name],$D442,AvgBase[team_consolidation],$K442,AvgBase[location_name],$G442,AvgBase[job_title],$H442))*(U232+T232)/2*(1-U337))</f>
        <v>0</v>
      </c>
      <c r="V442" s="652">
        <f>IF($B442="",,IF(LEFT($H442,5)="dummy",SUMIFS(AvgBase[Month 11],AvgBase[job_title],$H442),SUMIFS(AvgBase[Month 11],AvgBase[exp_item],$J442,AvgBase[company_name],$B442,AvgBase[bu_name],$C442,AvgBase[dept_name],$D442,AvgBase[team_consolidation],$K442,AvgBase[location_name],$G442,AvgBase[job_title],$H442))*(V232+U232)/2*(1-V337))</f>
        <v>0</v>
      </c>
      <c r="W442" s="652">
        <f>IF($B442="",,IF(LEFT($H442,5)="dummy",SUMIFS(AvgBase[Month 12],AvgBase[job_title],$H442),SUMIFS(AvgBase[Month 12],AvgBase[exp_item],$J442,AvgBase[company_name],$B442,AvgBase[bu_name],$C442,AvgBase[dept_name],$D442,AvgBase[team_consolidation],$K442,AvgBase[location_name],$G442,AvgBase[job_title],$H442))*(W232+V232)/2*(1-W337))</f>
        <v>0</v>
      </c>
      <c r="X442" s="652">
        <f>IF($B442="",,IF(LEFT($H442,5)="dummy",SUMIFS(AvgBase[Month 13],AvgBase[job_title],$H442),SUMIFS(AvgBase[Month 13],AvgBase[exp_item],$J442,AvgBase[company_name],$B442,AvgBase[bu_name],$C442,AvgBase[dept_name],$D442,AvgBase[team_consolidation],$K442,AvgBase[location_name],$G442,AvgBase[job_title],$H442))*(X232+W232)/2*(1-X337))</f>
        <v>0</v>
      </c>
      <c r="Y442" s="652">
        <f>IF($B442="",,IF(LEFT($H442,5)="dummy",SUMIFS(AvgBase[Month 14],AvgBase[job_title],$H442),SUMIFS(AvgBase[Month 14],AvgBase[exp_item],$J442,AvgBase[company_name],$B442,AvgBase[bu_name],$C442,AvgBase[dept_name],$D442,AvgBase[team_consolidation],$K442,AvgBase[location_name],$G442,AvgBase[job_title],$H442))*(Y232+X232)/2*(1-Y337))</f>
        <v>0</v>
      </c>
      <c r="Z442" s="652">
        <f>IF($B442="",,IF(LEFT($H442,5)="dummy",SUMIFS(AvgBase[Month 15],AvgBase[job_title],$H442),SUMIFS(AvgBase[Month 15],AvgBase[exp_item],$J442,AvgBase[company_name],$B442,AvgBase[bu_name],$C442,AvgBase[dept_name],$D442,AvgBase[team_consolidation],$K442,AvgBase[location_name],$G442,AvgBase[job_title],$H442))*(Z232+Y232)/2*(1-Z337))</f>
        <v>0</v>
      </c>
      <c r="AA442" s="652">
        <f>IF($B442="",,IF(LEFT($H442,5)="dummy",SUMIFS(AvgBase[Month 16],AvgBase[job_title],$H442),SUMIFS(AvgBase[Month 16],AvgBase[exp_item],$J442,AvgBase[company_name],$B442,AvgBase[bu_name],$C442,AvgBase[dept_name],$D442,AvgBase[team_consolidation],$K442,AvgBase[location_name],$G442,AvgBase[job_title],$H442))*(AA232+Z232)/2*(1-AA337))</f>
        <v>0</v>
      </c>
      <c r="AB442" s="652">
        <f>IF($B442="",,IF(LEFT($H442,5)="dummy",SUMIFS(AvgBase[Month 17],AvgBase[job_title],$H442),SUMIFS(AvgBase[Month 17],AvgBase[exp_item],$J442,AvgBase[company_name],$B442,AvgBase[bu_name],$C442,AvgBase[dept_name],$D442,AvgBase[team_consolidation],$K442,AvgBase[location_name],$G442,AvgBase[job_title],$H442))*(AB232+AA232)/2*(1-AB337))</f>
        <v>0</v>
      </c>
      <c r="AC442" s="652">
        <f>IF($B442="",,IF(LEFT($H442,5)="dummy",SUMIFS(AvgBase[Month 18],AvgBase[job_title],$H442),SUMIFS(AvgBase[Month 18],AvgBase[exp_item],$J442,AvgBase[company_name],$B442,AvgBase[bu_name],$C442,AvgBase[dept_name],$D442,AvgBase[team_consolidation],$K442,AvgBase[location_name],$G442,AvgBase[job_title],$H442))*(AC232+AB232)/2*(1-AC337))</f>
        <v>0</v>
      </c>
      <c r="AD442" s="652">
        <f>IF($B442="",,IF(LEFT($H442,5)="dummy",SUMIFS(AvgBase[Month 19],AvgBase[job_title],$H442),SUMIFS(AvgBase[Month 19],AvgBase[exp_item],$J442,AvgBase[company_name],$B442,AvgBase[bu_name],$C442,AvgBase[dept_name],$D442,AvgBase[team_consolidation],$K442,AvgBase[location_name],$G442,AvgBase[job_title],$H442))*(AD232+AC232)/2*(1-AD337))</f>
        <v>0</v>
      </c>
      <c r="AE442" s="652">
        <f>IF($B442="",,IF(LEFT($H442,5)="dummy",SUMIFS(AvgBase[Month 20],AvgBase[job_title],$H442),SUMIFS(AvgBase[Month 20],AvgBase[exp_item],$J442,AvgBase[company_name],$B442,AvgBase[bu_name],$C442,AvgBase[dept_name],$D442,AvgBase[team_consolidation],$K442,AvgBase[location_name],$G442,AvgBase[job_title],$H442))*(AE232+AD232)/2*(1-AE337))</f>
        <v>0</v>
      </c>
      <c r="AF442" s="652">
        <f>IF($B442="",,IF(LEFT($H442,5)="dummy",SUMIFS(AvgBase[Month 21],AvgBase[job_title],$H442),SUMIFS(AvgBase[Month 21],AvgBase[exp_item],$J442,AvgBase[company_name],$B442,AvgBase[bu_name],$C442,AvgBase[dept_name],$D442,AvgBase[team_consolidation],$K442,AvgBase[location_name],$G442,AvgBase[job_title],$H442))*(AF232+AE232)/2*(1-AF337))</f>
        <v>0</v>
      </c>
      <c r="AG442" s="652">
        <f>IF($B442="",,IF(LEFT($H442,5)="dummy",SUMIFS(AvgBase[Month 22],AvgBase[job_title],$H442),SUMIFS(AvgBase[Month 22],AvgBase[exp_item],$J442,AvgBase[company_name],$B442,AvgBase[bu_name],$C442,AvgBase[dept_name],$D442,AvgBase[team_consolidation],$K442,AvgBase[location_name],$G442,AvgBase[job_title],$H442))*(AG232+AF232)/2*(1-AG337))</f>
        <v>0</v>
      </c>
      <c r="AH442" s="652">
        <f>IF($B442="",,IF(LEFT($H442,5)="dummy",SUMIFS(AvgBase[Month 23],AvgBase[job_title],$H442),SUMIFS(AvgBase[Month 23],AvgBase[exp_item],$J442,AvgBase[company_name],$B442,AvgBase[bu_name],$C442,AvgBase[dept_name],$D442,AvgBase[team_consolidation],$K442,AvgBase[location_name],$G442,AvgBase[job_title],$H442))*(AH232+AG232)/2*(1-AH337))</f>
        <v>0</v>
      </c>
      <c r="AI442" s="652">
        <f>IF($B442="",,IF(LEFT($H442,5)="dummy",SUMIFS(AvgBase[Month 24],AvgBase[job_title],$H442),SUMIFS(AvgBase[Month 24],AvgBase[exp_item],$J442,AvgBase[company_name],$B442,AvgBase[bu_name],$C442,AvgBase[dept_name],$D442,AvgBase[team_consolidation],$K442,AvgBase[location_name],$G442,AvgBase[job_title],$H442))*(AI232+AH232)/2*(1-AI337))</f>
        <v>0</v>
      </c>
      <c r="AJ442" s="652">
        <f>IF($B442="",,IF(LEFT($H442,5)="dummy",SUMIFS(AvgBase[Month 25],AvgBase[job_title],$H442),SUMIFS(AvgBase[Month 25],AvgBase[exp_item],$J442,AvgBase[company_name],$B442,AvgBase[bu_name],$C442,AvgBase[dept_name],$D442,AvgBase[team_consolidation],$K442,AvgBase[location_name],$G442,AvgBase[job_title],$H442))*(AJ232+AI232)/2*(1-AJ337))</f>
        <v>0</v>
      </c>
      <c r="AK442" s="652">
        <f>IF($B442="",,IF(LEFT($H442,5)="dummy",SUMIFS(AvgBase[Month 26],AvgBase[job_title],$H442),SUMIFS(AvgBase[Month 26],AvgBase[exp_item],$J442,AvgBase[company_name],$B442,AvgBase[bu_name],$C442,AvgBase[dept_name],$D442,AvgBase[team_consolidation],$K442,AvgBase[location_name],$G442,AvgBase[job_title],$H442))*(AK232+AJ232)/2*(1-AK337))</f>
        <v>0</v>
      </c>
      <c r="AL442" s="652">
        <f>IF($B442="",,IF(LEFT($H442,5)="dummy",SUMIFS(AvgBase[Month 27],AvgBase[job_title],$H442),SUMIFS(AvgBase[Month 27],AvgBase[exp_item],$J442,AvgBase[company_name],$B442,AvgBase[bu_name],$C442,AvgBase[dept_name],$D442,AvgBase[team_consolidation],$K442,AvgBase[location_name],$G442,AvgBase[job_title],$H442))*(AL232+AK232)/2*(1-AL337))</f>
        <v>0</v>
      </c>
      <c r="AM442" s="652">
        <f>IF($B442="",,IF(LEFT($H442,5)="dummy",SUMIFS(AvgBase[Month 28],AvgBase[job_title],$H442),SUMIFS(AvgBase[Month 28],AvgBase[exp_item],$J442,AvgBase[company_name],$B442,AvgBase[bu_name],$C442,AvgBase[dept_name],$D442,AvgBase[team_consolidation],$K442,AvgBase[location_name],$G442,AvgBase[job_title],$H442))*(AM232+AL232)/2*(1-AM337))</f>
        <v>0</v>
      </c>
      <c r="AN442" s="652">
        <f>IF($B442="",,IF(LEFT($H442,5)="dummy",SUMIFS(AvgBase[Month 29],AvgBase[job_title],$H442),SUMIFS(AvgBase[Month 29],AvgBase[exp_item],$J442,AvgBase[company_name],$B442,AvgBase[bu_name],$C442,AvgBase[dept_name],$D442,AvgBase[team_consolidation],$K442,AvgBase[location_name],$G442,AvgBase[job_title],$H442))*(AN232+AM232)/2*(1-AN337))</f>
        <v>0</v>
      </c>
      <c r="AO442" s="652">
        <f>IF($B442="",,IF(LEFT($H442,5)="dummy",SUMIFS(AvgBase[Month 30],AvgBase[job_title],$H442),SUMIFS(AvgBase[Month 30],AvgBase[exp_item],$J442,AvgBase[company_name],$B442,AvgBase[bu_name],$C442,AvgBase[dept_name],$D442,AvgBase[team_consolidation],$K442,AvgBase[location_name],$G442,AvgBase[job_title],$H442))*(AO232+AN232)/2*(1-AO337))</f>
        <v>0</v>
      </c>
      <c r="AP442" s="652">
        <f>IF($B442="",,IF(LEFT($H442,5)="dummy",SUMIFS(AvgBase[Month 31],AvgBase[job_title],$H442),SUMIFS(AvgBase[Month 31],AvgBase[exp_item],$J442,AvgBase[company_name],$B442,AvgBase[bu_name],$C442,AvgBase[dept_name],$D442,AvgBase[team_consolidation],$K442,AvgBase[location_name],$G442,AvgBase[job_title],$H442))*(AP232+AO232)/2*(1-AP337))</f>
        <v>0</v>
      </c>
      <c r="AQ442" s="652">
        <f>IF($B442="",,IF(LEFT($H442,5)="dummy",SUMIFS(AvgBase[Month 32],AvgBase[job_title],$H442),SUMIFS(AvgBase[Month 32],AvgBase[exp_item],$J442,AvgBase[company_name],$B442,AvgBase[bu_name],$C442,AvgBase[dept_name],$D442,AvgBase[team_consolidation],$K442,AvgBase[location_name],$G442,AvgBase[job_title],$H442))*(AQ232+AP232)/2*(1-AQ337))</f>
        <v>0</v>
      </c>
      <c r="AR442" s="652">
        <f>IF($B442="",,IF(LEFT($H442,5)="dummy",SUMIFS(AvgBase[Month 33],AvgBase[job_title],$H442),SUMIFS(AvgBase[Month 33],AvgBase[exp_item],$J442,AvgBase[company_name],$B442,AvgBase[bu_name],$C442,AvgBase[dept_name],$D442,AvgBase[team_consolidation],$K442,AvgBase[location_name],$G442,AvgBase[job_title],$H442))*(AR232+AQ232)/2*(1-AR337))</f>
        <v>0</v>
      </c>
      <c r="AS442" s="652">
        <f>IF($B442="",,IF(LEFT($H442,5)="dummy",SUMIFS(AvgBase[Month 34],AvgBase[job_title],$H442),SUMIFS(AvgBase[Month 34],AvgBase[exp_item],$J442,AvgBase[company_name],$B442,AvgBase[bu_name],$C442,AvgBase[dept_name],$D442,AvgBase[team_consolidation],$K442,AvgBase[location_name],$G442,AvgBase[job_title],$H442))*(AS232+AR232)/2*(1-AS337))</f>
        <v>0</v>
      </c>
      <c r="AT442" s="652">
        <f>IF($B442="",,IF(LEFT($H442,5)="dummy",SUMIFS(AvgBase[Month 35],AvgBase[job_title],$H442),SUMIFS(AvgBase[Month 35],AvgBase[exp_item],$J442,AvgBase[company_name],$B442,AvgBase[bu_name],$C442,AvgBase[dept_name],$D442,AvgBase[team_consolidation],$K442,AvgBase[location_name],$G442,AvgBase[job_title],$H442))*(AT232+AS232)/2*(1-AT337))</f>
        <v>0</v>
      </c>
      <c r="AU442" s="652">
        <f>IF($B442="",,IF(LEFT($H442,5)="dummy",SUMIFS(AvgBase[Month 36],AvgBase[job_title],$H442),SUMIFS(AvgBase[Month 36],AvgBase[exp_item],$J442,AvgBase[company_name],$B442,AvgBase[bu_name],$C442,AvgBase[dept_name],$D442,AvgBase[team_consolidation],$K442,AvgBase[location_name],$G442,AvgBase[job_title],$H442))*(AU232+AT232)/2*(1-AU337))</f>
        <v>0</v>
      </c>
    </row>
    <row r="443" spans="2:47" x14ac:dyDescent="0.35">
      <c r="B443" t="str">
        <f t="shared" si="280"/>
        <v/>
      </c>
      <c r="C443" t="str">
        <f t="shared" si="280"/>
        <v/>
      </c>
      <c r="D443" t="str">
        <f t="shared" si="280"/>
        <v/>
      </c>
      <c r="E443" t="str">
        <f t="shared" si="280"/>
        <v/>
      </c>
      <c r="F443" t="str">
        <f t="shared" si="280"/>
        <v/>
      </c>
      <c r="G443" t="str">
        <f t="shared" si="280"/>
        <v/>
      </c>
      <c r="H443" t="str">
        <f t="shared" si="279"/>
        <v/>
      </c>
      <c r="J443" t="str">
        <f>IF($H443="","",IF(VLOOKUP($B$395,ExpItems[],2,0),$B$395&amp;" - "&amp;INDEX(DivisionMapping[category_code],MATCH($D443&amp;$C443,DivisionMapping[dept_bu],0)),$B$395))</f>
        <v/>
      </c>
      <c r="K443" t="str">
        <f t="shared" si="275"/>
        <v/>
      </c>
      <c r="L443" s="652">
        <f>IF($B443="",,IF(LEFT($H443,5)="dummy",SUMIFS(AvgBase[Month 1],AvgBase[job_title],$H443),SUMIFS(AvgBase[Month 1],AvgBase[exp_item],$J443,AvgBase[company_name],$B443,AvgBase[bu_name],$C443,AvgBase[dept_name],$D443,AvgBase[team_consolidation],$K443,AvgBase[location_name],$G443,AvgBase[job_title],$H443))*L233/2*(1-L338))</f>
        <v>0</v>
      </c>
      <c r="M443" s="652">
        <f>IF($B443="",,IF(LEFT($H443,5)="dummy",SUMIFS(AvgBase[Month 2],AvgBase[job_title],$H443),SUMIFS(AvgBase[Month 2],AvgBase[exp_item],$J443,AvgBase[company_name],$B443,AvgBase[bu_name],$C443,AvgBase[dept_name],$D443,AvgBase[team_consolidation],$K443,AvgBase[location_name],$G443,AvgBase[job_title],$H443))*(M233+L233)/2*(1-M338))</f>
        <v>0</v>
      </c>
      <c r="N443" s="652">
        <f>IF($B443="",,IF(LEFT($H443,5)="dummy",SUMIFS(AvgBase[Month 3],AvgBase[job_title],$H443),SUMIFS(AvgBase[Month 3],AvgBase[exp_item],$J443,AvgBase[company_name],$B443,AvgBase[bu_name],$C443,AvgBase[dept_name],$D443,AvgBase[team_consolidation],$K443,AvgBase[location_name],$G443,AvgBase[job_title],$H443))*(N233+M233)/2*(1-N338))</f>
        <v>0</v>
      </c>
      <c r="O443" s="652">
        <f>IF($B443="",,IF(LEFT($H443,5)="dummy",SUMIFS(AvgBase[Month 4],AvgBase[job_title],$H443),SUMIFS(AvgBase[Month 4],AvgBase[exp_item],$J443,AvgBase[company_name],$B443,AvgBase[bu_name],$C443,AvgBase[dept_name],$D443,AvgBase[team_consolidation],$K443,AvgBase[location_name],$G443,AvgBase[job_title],$H443))*(O233+N233)/2*(1-O338))</f>
        <v>0</v>
      </c>
      <c r="P443" s="652">
        <f>IF($B443="",,IF(LEFT($H443,5)="dummy",SUMIFS(AvgBase[Month 5],AvgBase[job_title],$H443),SUMIFS(AvgBase[Month 5],AvgBase[exp_item],$J443,AvgBase[company_name],$B443,AvgBase[bu_name],$C443,AvgBase[dept_name],$D443,AvgBase[team_consolidation],$K443,AvgBase[location_name],$G443,AvgBase[job_title],$H443))*(P233+O233)/2*(1-P338))</f>
        <v>0</v>
      </c>
      <c r="Q443" s="652">
        <f>IF($B443="",,IF(LEFT($H443,5)="dummy",SUMIFS(AvgBase[Month 6],AvgBase[job_title],$H443),SUMIFS(AvgBase[Month 6],AvgBase[exp_item],$J443,AvgBase[company_name],$B443,AvgBase[bu_name],$C443,AvgBase[dept_name],$D443,AvgBase[team_consolidation],$K443,AvgBase[location_name],$G443,AvgBase[job_title],$H443))*(Q233+P233)/2*(1-Q338))</f>
        <v>0</v>
      </c>
      <c r="R443" s="652">
        <f>IF($B443="",,IF(LEFT($H443,5)="dummy",SUMIFS(AvgBase[Month 7],AvgBase[job_title],$H443),SUMIFS(AvgBase[Month 7],AvgBase[exp_item],$J443,AvgBase[company_name],$B443,AvgBase[bu_name],$C443,AvgBase[dept_name],$D443,AvgBase[team_consolidation],$K443,AvgBase[location_name],$G443,AvgBase[job_title],$H443))*(R233+Q233)/2*(1-R338))</f>
        <v>0</v>
      </c>
      <c r="S443" s="652">
        <f>IF($B443="",,IF(LEFT($H443,5)="dummy",SUMIFS(AvgBase[Month 8],AvgBase[job_title],$H443),SUMIFS(AvgBase[Month 8],AvgBase[exp_item],$J443,AvgBase[company_name],$B443,AvgBase[bu_name],$C443,AvgBase[dept_name],$D443,AvgBase[team_consolidation],$K443,AvgBase[location_name],$G443,AvgBase[job_title],$H443))*(S233+R233)/2*(1-S338))</f>
        <v>0</v>
      </c>
      <c r="T443" s="652">
        <f>IF($B443="",,IF(LEFT($H443,5)="dummy",SUMIFS(AvgBase[Month 9],AvgBase[job_title],$H443),SUMIFS(AvgBase[Month 9],AvgBase[exp_item],$J443,AvgBase[company_name],$B443,AvgBase[bu_name],$C443,AvgBase[dept_name],$D443,AvgBase[team_consolidation],$K443,AvgBase[location_name],$G443,AvgBase[job_title],$H443))*(T233+S233)/2*(1-T338))</f>
        <v>0</v>
      </c>
      <c r="U443" s="652">
        <f>IF($B443="",,IF(LEFT($H443,5)="dummy",SUMIFS(AvgBase[Month 10],AvgBase[job_title],$H443),SUMIFS(AvgBase[Month 10],AvgBase[exp_item],$J443,AvgBase[company_name],$B443,AvgBase[bu_name],$C443,AvgBase[dept_name],$D443,AvgBase[team_consolidation],$K443,AvgBase[location_name],$G443,AvgBase[job_title],$H443))*(U233+T233)/2*(1-U338))</f>
        <v>0</v>
      </c>
      <c r="V443" s="652">
        <f>IF($B443="",,IF(LEFT($H443,5)="dummy",SUMIFS(AvgBase[Month 11],AvgBase[job_title],$H443),SUMIFS(AvgBase[Month 11],AvgBase[exp_item],$J443,AvgBase[company_name],$B443,AvgBase[bu_name],$C443,AvgBase[dept_name],$D443,AvgBase[team_consolidation],$K443,AvgBase[location_name],$G443,AvgBase[job_title],$H443))*(V233+U233)/2*(1-V338))</f>
        <v>0</v>
      </c>
      <c r="W443" s="652">
        <f>IF($B443="",,IF(LEFT($H443,5)="dummy",SUMIFS(AvgBase[Month 12],AvgBase[job_title],$H443),SUMIFS(AvgBase[Month 12],AvgBase[exp_item],$J443,AvgBase[company_name],$B443,AvgBase[bu_name],$C443,AvgBase[dept_name],$D443,AvgBase[team_consolidation],$K443,AvgBase[location_name],$G443,AvgBase[job_title],$H443))*(W233+V233)/2*(1-W338))</f>
        <v>0</v>
      </c>
      <c r="X443" s="652">
        <f>IF($B443="",,IF(LEFT($H443,5)="dummy",SUMIFS(AvgBase[Month 13],AvgBase[job_title],$H443),SUMIFS(AvgBase[Month 13],AvgBase[exp_item],$J443,AvgBase[company_name],$B443,AvgBase[bu_name],$C443,AvgBase[dept_name],$D443,AvgBase[team_consolidation],$K443,AvgBase[location_name],$G443,AvgBase[job_title],$H443))*(X233+W233)/2*(1-X338))</f>
        <v>0</v>
      </c>
      <c r="Y443" s="652">
        <f>IF($B443="",,IF(LEFT($H443,5)="dummy",SUMIFS(AvgBase[Month 14],AvgBase[job_title],$H443),SUMIFS(AvgBase[Month 14],AvgBase[exp_item],$J443,AvgBase[company_name],$B443,AvgBase[bu_name],$C443,AvgBase[dept_name],$D443,AvgBase[team_consolidation],$K443,AvgBase[location_name],$G443,AvgBase[job_title],$H443))*(Y233+X233)/2*(1-Y338))</f>
        <v>0</v>
      </c>
      <c r="Z443" s="652">
        <f>IF($B443="",,IF(LEFT($H443,5)="dummy",SUMIFS(AvgBase[Month 15],AvgBase[job_title],$H443),SUMIFS(AvgBase[Month 15],AvgBase[exp_item],$J443,AvgBase[company_name],$B443,AvgBase[bu_name],$C443,AvgBase[dept_name],$D443,AvgBase[team_consolidation],$K443,AvgBase[location_name],$G443,AvgBase[job_title],$H443))*(Z233+Y233)/2*(1-Z338))</f>
        <v>0</v>
      </c>
      <c r="AA443" s="652">
        <f>IF($B443="",,IF(LEFT($H443,5)="dummy",SUMIFS(AvgBase[Month 16],AvgBase[job_title],$H443),SUMIFS(AvgBase[Month 16],AvgBase[exp_item],$J443,AvgBase[company_name],$B443,AvgBase[bu_name],$C443,AvgBase[dept_name],$D443,AvgBase[team_consolidation],$K443,AvgBase[location_name],$G443,AvgBase[job_title],$H443))*(AA233+Z233)/2*(1-AA338))</f>
        <v>0</v>
      </c>
      <c r="AB443" s="652">
        <f>IF($B443="",,IF(LEFT($H443,5)="dummy",SUMIFS(AvgBase[Month 17],AvgBase[job_title],$H443),SUMIFS(AvgBase[Month 17],AvgBase[exp_item],$J443,AvgBase[company_name],$B443,AvgBase[bu_name],$C443,AvgBase[dept_name],$D443,AvgBase[team_consolidation],$K443,AvgBase[location_name],$G443,AvgBase[job_title],$H443))*(AB233+AA233)/2*(1-AB338))</f>
        <v>0</v>
      </c>
      <c r="AC443" s="652">
        <f>IF($B443="",,IF(LEFT($H443,5)="dummy",SUMIFS(AvgBase[Month 18],AvgBase[job_title],$H443),SUMIFS(AvgBase[Month 18],AvgBase[exp_item],$J443,AvgBase[company_name],$B443,AvgBase[bu_name],$C443,AvgBase[dept_name],$D443,AvgBase[team_consolidation],$K443,AvgBase[location_name],$G443,AvgBase[job_title],$H443))*(AC233+AB233)/2*(1-AC338))</f>
        <v>0</v>
      </c>
      <c r="AD443" s="652">
        <f>IF($B443="",,IF(LEFT($H443,5)="dummy",SUMIFS(AvgBase[Month 19],AvgBase[job_title],$H443),SUMIFS(AvgBase[Month 19],AvgBase[exp_item],$J443,AvgBase[company_name],$B443,AvgBase[bu_name],$C443,AvgBase[dept_name],$D443,AvgBase[team_consolidation],$K443,AvgBase[location_name],$G443,AvgBase[job_title],$H443))*(AD233+AC233)/2*(1-AD338))</f>
        <v>0</v>
      </c>
      <c r="AE443" s="652">
        <f>IF($B443="",,IF(LEFT($H443,5)="dummy",SUMIFS(AvgBase[Month 20],AvgBase[job_title],$H443),SUMIFS(AvgBase[Month 20],AvgBase[exp_item],$J443,AvgBase[company_name],$B443,AvgBase[bu_name],$C443,AvgBase[dept_name],$D443,AvgBase[team_consolidation],$K443,AvgBase[location_name],$G443,AvgBase[job_title],$H443))*(AE233+AD233)/2*(1-AE338))</f>
        <v>0</v>
      </c>
      <c r="AF443" s="652">
        <f>IF($B443="",,IF(LEFT($H443,5)="dummy",SUMIFS(AvgBase[Month 21],AvgBase[job_title],$H443),SUMIFS(AvgBase[Month 21],AvgBase[exp_item],$J443,AvgBase[company_name],$B443,AvgBase[bu_name],$C443,AvgBase[dept_name],$D443,AvgBase[team_consolidation],$K443,AvgBase[location_name],$G443,AvgBase[job_title],$H443))*(AF233+AE233)/2*(1-AF338))</f>
        <v>0</v>
      </c>
      <c r="AG443" s="652">
        <f>IF($B443="",,IF(LEFT($H443,5)="dummy",SUMIFS(AvgBase[Month 22],AvgBase[job_title],$H443),SUMIFS(AvgBase[Month 22],AvgBase[exp_item],$J443,AvgBase[company_name],$B443,AvgBase[bu_name],$C443,AvgBase[dept_name],$D443,AvgBase[team_consolidation],$K443,AvgBase[location_name],$G443,AvgBase[job_title],$H443))*(AG233+AF233)/2*(1-AG338))</f>
        <v>0</v>
      </c>
      <c r="AH443" s="652">
        <f>IF($B443="",,IF(LEFT($H443,5)="dummy",SUMIFS(AvgBase[Month 23],AvgBase[job_title],$H443),SUMIFS(AvgBase[Month 23],AvgBase[exp_item],$J443,AvgBase[company_name],$B443,AvgBase[bu_name],$C443,AvgBase[dept_name],$D443,AvgBase[team_consolidation],$K443,AvgBase[location_name],$G443,AvgBase[job_title],$H443))*(AH233+AG233)/2*(1-AH338))</f>
        <v>0</v>
      </c>
      <c r="AI443" s="652">
        <f>IF($B443="",,IF(LEFT($H443,5)="dummy",SUMIFS(AvgBase[Month 24],AvgBase[job_title],$H443),SUMIFS(AvgBase[Month 24],AvgBase[exp_item],$J443,AvgBase[company_name],$B443,AvgBase[bu_name],$C443,AvgBase[dept_name],$D443,AvgBase[team_consolidation],$K443,AvgBase[location_name],$G443,AvgBase[job_title],$H443))*(AI233+AH233)/2*(1-AI338))</f>
        <v>0</v>
      </c>
      <c r="AJ443" s="652">
        <f>IF($B443="",,IF(LEFT($H443,5)="dummy",SUMIFS(AvgBase[Month 25],AvgBase[job_title],$H443),SUMIFS(AvgBase[Month 25],AvgBase[exp_item],$J443,AvgBase[company_name],$B443,AvgBase[bu_name],$C443,AvgBase[dept_name],$D443,AvgBase[team_consolidation],$K443,AvgBase[location_name],$G443,AvgBase[job_title],$H443))*(AJ233+AI233)/2*(1-AJ338))</f>
        <v>0</v>
      </c>
      <c r="AK443" s="652">
        <f>IF($B443="",,IF(LEFT($H443,5)="dummy",SUMIFS(AvgBase[Month 26],AvgBase[job_title],$H443),SUMIFS(AvgBase[Month 26],AvgBase[exp_item],$J443,AvgBase[company_name],$B443,AvgBase[bu_name],$C443,AvgBase[dept_name],$D443,AvgBase[team_consolidation],$K443,AvgBase[location_name],$G443,AvgBase[job_title],$H443))*(AK233+AJ233)/2*(1-AK338))</f>
        <v>0</v>
      </c>
      <c r="AL443" s="652">
        <f>IF($B443="",,IF(LEFT($H443,5)="dummy",SUMIFS(AvgBase[Month 27],AvgBase[job_title],$H443),SUMIFS(AvgBase[Month 27],AvgBase[exp_item],$J443,AvgBase[company_name],$B443,AvgBase[bu_name],$C443,AvgBase[dept_name],$D443,AvgBase[team_consolidation],$K443,AvgBase[location_name],$G443,AvgBase[job_title],$H443))*(AL233+AK233)/2*(1-AL338))</f>
        <v>0</v>
      </c>
      <c r="AM443" s="652">
        <f>IF($B443="",,IF(LEFT($H443,5)="dummy",SUMIFS(AvgBase[Month 28],AvgBase[job_title],$H443),SUMIFS(AvgBase[Month 28],AvgBase[exp_item],$J443,AvgBase[company_name],$B443,AvgBase[bu_name],$C443,AvgBase[dept_name],$D443,AvgBase[team_consolidation],$K443,AvgBase[location_name],$G443,AvgBase[job_title],$H443))*(AM233+AL233)/2*(1-AM338))</f>
        <v>0</v>
      </c>
      <c r="AN443" s="652">
        <f>IF($B443="",,IF(LEFT($H443,5)="dummy",SUMIFS(AvgBase[Month 29],AvgBase[job_title],$H443),SUMIFS(AvgBase[Month 29],AvgBase[exp_item],$J443,AvgBase[company_name],$B443,AvgBase[bu_name],$C443,AvgBase[dept_name],$D443,AvgBase[team_consolidation],$K443,AvgBase[location_name],$G443,AvgBase[job_title],$H443))*(AN233+AM233)/2*(1-AN338))</f>
        <v>0</v>
      </c>
      <c r="AO443" s="652">
        <f>IF($B443="",,IF(LEFT($H443,5)="dummy",SUMIFS(AvgBase[Month 30],AvgBase[job_title],$H443),SUMIFS(AvgBase[Month 30],AvgBase[exp_item],$J443,AvgBase[company_name],$B443,AvgBase[bu_name],$C443,AvgBase[dept_name],$D443,AvgBase[team_consolidation],$K443,AvgBase[location_name],$G443,AvgBase[job_title],$H443))*(AO233+AN233)/2*(1-AO338))</f>
        <v>0</v>
      </c>
      <c r="AP443" s="652">
        <f>IF($B443="",,IF(LEFT($H443,5)="dummy",SUMIFS(AvgBase[Month 31],AvgBase[job_title],$H443),SUMIFS(AvgBase[Month 31],AvgBase[exp_item],$J443,AvgBase[company_name],$B443,AvgBase[bu_name],$C443,AvgBase[dept_name],$D443,AvgBase[team_consolidation],$K443,AvgBase[location_name],$G443,AvgBase[job_title],$H443))*(AP233+AO233)/2*(1-AP338))</f>
        <v>0</v>
      </c>
      <c r="AQ443" s="652">
        <f>IF($B443="",,IF(LEFT($H443,5)="dummy",SUMIFS(AvgBase[Month 32],AvgBase[job_title],$H443),SUMIFS(AvgBase[Month 32],AvgBase[exp_item],$J443,AvgBase[company_name],$B443,AvgBase[bu_name],$C443,AvgBase[dept_name],$D443,AvgBase[team_consolidation],$K443,AvgBase[location_name],$G443,AvgBase[job_title],$H443))*(AQ233+AP233)/2*(1-AQ338))</f>
        <v>0</v>
      </c>
      <c r="AR443" s="652">
        <f>IF($B443="",,IF(LEFT($H443,5)="dummy",SUMIFS(AvgBase[Month 33],AvgBase[job_title],$H443),SUMIFS(AvgBase[Month 33],AvgBase[exp_item],$J443,AvgBase[company_name],$B443,AvgBase[bu_name],$C443,AvgBase[dept_name],$D443,AvgBase[team_consolidation],$K443,AvgBase[location_name],$G443,AvgBase[job_title],$H443))*(AR233+AQ233)/2*(1-AR338))</f>
        <v>0</v>
      </c>
      <c r="AS443" s="652">
        <f>IF($B443="",,IF(LEFT($H443,5)="dummy",SUMIFS(AvgBase[Month 34],AvgBase[job_title],$H443),SUMIFS(AvgBase[Month 34],AvgBase[exp_item],$J443,AvgBase[company_name],$B443,AvgBase[bu_name],$C443,AvgBase[dept_name],$D443,AvgBase[team_consolidation],$K443,AvgBase[location_name],$G443,AvgBase[job_title],$H443))*(AS233+AR233)/2*(1-AS338))</f>
        <v>0</v>
      </c>
      <c r="AT443" s="652">
        <f>IF($B443="",,IF(LEFT($H443,5)="dummy",SUMIFS(AvgBase[Month 35],AvgBase[job_title],$H443),SUMIFS(AvgBase[Month 35],AvgBase[exp_item],$J443,AvgBase[company_name],$B443,AvgBase[bu_name],$C443,AvgBase[dept_name],$D443,AvgBase[team_consolidation],$K443,AvgBase[location_name],$G443,AvgBase[job_title],$H443))*(AT233+AS233)/2*(1-AT338))</f>
        <v>0</v>
      </c>
      <c r="AU443" s="652">
        <f>IF($B443="",,IF(LEFT($H443,5)="dummy",SUMIFS(AvgBase[Month 36],AvgBase[job_title],$H443),SUMIFS(AvgBase[Month 36],AvgBase[exp_item],$J443,AvgBase[company_name],$B443,AvgBase[bu_name],$C443,AvgBase[dept_name],$D443,AvgBase[team_consolidation],$K443,AvgBase[location_name],$G443,AvgBase[job_title],$H443))*(AU233+AT233)/2*(1-AU338))</f>
        <v>0</v>
      </c>
    </row>
    <row r="444" spans="2:47" x14ac:dyDescent="0.35">
      <c r="B444" t="str">
        <f t="shared" si="280"/>
        <v/>
      </c>
      <c r="C444" t="str">
        <f t="shared" si="280"/>
        <v/>
      </c>
      <c r="D444" t="str">
        <f t="shared" si="280"/>
        <v/>
      </c>
      <c r="E444" t="str">
        <f t="shared" si="280"/>
        <v/>
      </c>
      <c r="F444" t="str">
        <f t="shared" si="280"/>
        <v/>
      </c>
      <c r="G444" t="str">
        <f t="shared" si="280"/>
        <v/>
      </c>
      <c r="H444" t="str">
        <f t="shared" si="279"/>
        <v/>
      </c>
      <c r="J444" t="str">
        <f>IF($H444="","",IF(VLOOKUP($B$395,ExpItems[],2,0),$B$395&amp;" - "&amp;INDEX(DivisionMapping[category_code],MATCH($D444&amp;$C444,DivisionMapping[dept_bu],0)),$B$395))</f>
        <v/>
      </c>
      <c r="K444" t="str">
        <f t="shared" si="275"/>
        <v/>
      </c>
      <c r="L444" s="652">
        <f>IF($B444="",,IF(LEFT($H444,5)="dummy",SUMIFS(AvgBase[Month 1],AvgBase[job_title],$H444),SUMIFS(AvgBase[Month 1],AvgBase[exp_item],$J444,AvgBase[company_name],$B444,AvgBase[bu_name],$C444,AvgBase[dept_name],$D444,AvgBase[team_consolidation],$K444,AvgBase[location_name],$G444,AvgBase[job_title],$H444))*L234/2*(1-L339))</f>
        <v>0</v>
      </c>
      <c r="M444" s="652">
        <f>IF($B444="",,IF(LEFT($H444,5)="dummy",SUMIFS(AvgBase[Month 2],AvgBase[job_title],$H444),SUMIFS(AvgBase[Month 2],AvgBase[exp_item],$J444,AvgBase[company_name],$B444,AvgBase[bu_name],$C444,AvgBase[dept_name],$D444,AvgBase[team_consolidation],$K444,AvgBase[location_name],$G444,AvgBase[job_title],$H444))*(M234+L234)/2*(1-M339))</f>
        <v>0</v>
      </c>
      <c r="N444" s="652">
        <f>IF($B444="",,IF(LEFT($H444,5)="dummy",SUMIFS(AvgBase[Month 3],AvgBase[job_title],$H444),SUMIFS(AvgBase[Month 3],AvgBase[exp_item],$J444,AvgBase[company_name],$B444,AvgBase[bu_name],$C444,AvgBase[dept_name],$D444,AvgBase[team_consolidation],$K444,AvgBase[location_name],$G444,AvgBase[job_title],$H444))*(N234+M234)/2*(1-N339))</f>
        <v>0</v>
      </c>
      <c r="O444" s="652">
        <f>IF($B444="",,IF(LEFT($H444,5)="dummy",SUMIFS(AvgBase[Month 4],AvgBase[job_title],$H444),SUMIFS(AvgBase[Month 4],AvgBase[exp_item],$J444,AvgBase[company_name],$B444,AvgBase[bu_name],$C444,AvgBase[dept_name],$D444,AvgBase[team_consolidation],$K444,AvgBase[location_name],$G444,AvgBase[job_title],$H444))*(O234+N234)/2*(1-O339))</f>
        <v>0</v>
      </c>
      <c r="P444" s="652">
        <f>IF($B444="",,IF(LEFT($H444,5)="dummy",SUMIFS(AvgBase[Month 5],AvgBase[job_title],$H444),SUMIFS(AvgBase[Month 5],AvgBase[exp_item],$J444,AvgBase[company_name],$B444,AvgBase[bu_name],$C444,AvgBase[dept_name],$D444,AvgBase[team_consolidation],$K444,AvgBase[location_name],$G444,AvgBase[job_title],$H444))*(P234+O234)/2*(1-P339))</f>
        <v>0</v>
      </c>
      <c r="Q444" s="652">
        <f>IF($B444="",,IF(LEFT($H444,5)="dummy",SUMIFS(AvgBase[Month 6],AvgBase[job_title],$H444),SUMIFS(AvgBase[Month 6],AvgBase[exp_item],$J444,AvgBase[company_name],$B444,AvgBase[bu_name],$C444,AvgBase[dept_name],$D444,AvgBase[team_consolidation],$K444,AvgBase[location_name],$G444,AvgBase[job_title],$H444))*(Q234+P234)/2*(1-Q339))</f>
        <v>0</v>
      </c>
      <c r="R444" s="652">
        <f>IF($B444="",,IF(LEFT($H444,5)="dummy",SUMIFS(AvgBase[Month 7],AvgBase[job_title],$H444),SUMIFS(AvgBase[Month 7],AvgBase[exp_item],$J444,AvgBase[company_name],$B444,AvgBase[bu_name],$C444,AvgBase[dept_name],$D444,AvgBase[team_consolidation],$K444,AvgBase[location_name],$G444,AvgBase[job_title],$H444))*(R234+Q234)/2*(1-R339))</f>
        <v>0</v>
      </c>
      <c r="S444" s="652">
        <f>IF($B444="",,IF(LEFT($H444,5)="dummy",SUMIFS(AvgBase[Month 8],AvgBase[job_title],$H444),SUMIFS(AvgBase[Month 8],AvgBase[exp_item],$J444,AvgBase[company_name],$B444,AvgBase[bu_name],$C444,AvgBase[dept_name],$D444,AvgBase[team_consolidation],$K444,AvgBase[location_name],$G444,AvgBase[job_title],$H444))*(S234+R234)/2*(1-S339))</f>
        <v>0</v>
      </c>
      <c r="T444" s="652">
        <f>IF($B444="",,IF(LEFT($H444,5)="dummy",SUMIFS(AvgBase[Month 9],AvgBase[job_title],$H444),SUMIFS(AvgBase[Month 9],AvgBase[exp_item],$J444,AvgBase[company_name],$B444,AvgBase[bu_name],$C444,AvgBase[dept_name],$D444,AvgBase[team_consolidation],$K444,AvgBase[location_name],$G444,AvgBase[job_title],$H444))*(T234+S234)/2*(1-T339))</f>
        <v>0</v>
      </c>
      <c r="U444" s="652">
        <f>IF($B444="",,IF(LEFT($H444,5)="dummy",SUMIFS(AvgBase[Month 10],AvgBase[job_title],$H444),SUMIFS(AvgBase[Month 10],AvgBase[exp_item],$J444,AvgBase[company_name],$B444,AvgBase[bu_name],$C444,AvgBase[dept_name],$D444,AvgBase[team_consolidation],$K444,AvgBase[location_name],$G444,AvgBase[job_title],$H444))*(U234+T234)/2*(1-U339))</f>
        <v>0</v>
      </c>
      <c r="V444" s="652">
        <f>IF($B444="",,IF(LEFT($H444,5)="dummy",SUMIFS(AvgBase[Month 11],AvgBase[job_title],$H444),SUMIFS(AvgBase[Month 11],AvgBase[exp_item],$J444,AvgBase[company_name],$B444,AvgBase[bu_name],$C444,AvgBase[dept_name],$D444,AvgBase[team_consolidation],$K444,AvgBase[location_name],$G444,AvgBase[job_title],$H444))*(V234+U234)/2*(1-V339))</f>
        <v>0</v>
      </c>
      <c r="W444" s="652">
        <f>IF($B444="",,IF(LEFT($H444,5)="dummy",SUMIFS(AvgBase[Month 12],AvgBase[job_title],$H444),SUMIFS(AvgBase[Month 12],AvgBase[exp_item],$J444,AvgBase[company_name],$B444,AvgBase[bu_name],$C444,AvgBase[dept_name],$D444,AvgBase[team_consolidation],$K444,AvgBase[location_name],$G444,AvgBase[job_title],$H444))*(W234+V234)/2*(1-W339))</f>
        <v>0</v>
      </c>
      <c r="X444" s="652">
        <f>IF($B444="",,IF(LEFT($H444,5)="dummy",SUMIFS(AvgBase[Month 13],AvgBase[job_title],$H444),SUMIFS(AvgBase[Month 13],AvgBase[exp_item],$J444,AvgBase[company_name],$B444,AvgBase[bu_name],$C444,AvgBase[dept_name],$D444,AvgBase[team_consolidation],$K444,AvgBase[location_name],$G444,AvgBase[job_title],$H444))*(X234+W234)/2*(1-X339))</f>
        <v>0</v>
      </c>
      <c r="Y444" s="652">
        <f>IF($B444="",,IF(LEFT($H444,5)="dummy",SUMIFS(AvgBase[Month 14],AvgBase[job_title],$H444),SUMIFS(AvgBase[Month 14],AvgBase[exp_item],$J444,AvgBase[company_name],$B444,AvgBase[bu_name],$C444,AvgBase[dept_name],$D444,AvgBase[team_consolidation],$K444,AvgBase[location_name],$G444,AvgBase[job_title],$H444))*(Y234+X234)/2*(1-Y339))</f>
        <v>0</v>
      </c>
      <c r="Z444" s="652">
        <f>IF($B444="",,IF(LEFT($H444,5)="dummy",SUMIFS(AvgBase[Month 15],AvgBase[job_title],$H444),SUMIFS(AvgBase[Month 15],AvgBase[exp_item],$J444,AvgBase[company_name],$B444,AvgBase[bu_name],$C444,AvgBase[dept_name],$D444,AvgBase[team_consolidation],$K444,AvgBase[location_name],$G444,AvgBase[job_title],$H444))*(Z234+Y234)/2*(1-Z339))</f>
        <v>0</v>
      </c>
      <c r="AA444" s="652">
        <f>IF($B444="",,IF(LEFT($H444,5)="dummy",SUMIFS(AvgBase[Month 16],AvgBase[job_title],$H444),SUMIFS(AvgBase[Month 16],AvgBase[exp_item],$J444,AvgBase[company_name],$B444,AvgBase[bu_name],$C444,AvgBase[dept_name],$D444,AvgBase[team_consolidation],$K444,AvgBase[location_name],$G444,AvgBase[job_title],$H444))*(AA234+Z234)/2*(1-AA339))</f>
        <v>0</v>
      </c>
      <c r="AB444" s="652">
        <f>IF($B444="",,IF(LEFT($H444,5)="dummy",SUMIFS(AvgBase[Month 17],AvgBase[job_title],$H444),SUMIFS(AvgBase[Month 17],AvgBase[exp_item],$J444,AvgBase[company_name],$B444,AvgBase[bu_name],$C444,AvgBase[dept_name],$D444,AvgBase[team_consolidation],$K444,AvgBase[location_name],$G444,AvgBase[job_title],$H444))*(AB234+AA234)/2*(1-AB339))</f>
        <v>0</v>
      </c>
      <c r="AC444" s="652">
        <f>IF($B444="",,IF(LEFT($H444,5)="dummy",SUMIFS(AvgBase[Month 18],AvgBase[job_title],$H444),SUMIFS(AvgBase[Month 18],AvgBase[exp_item],$J444,AvgBase[company_name],$B444,AvgBase[bu_name],$C444,AvgBase[dept_name],$D444,AvgBase[team_consolidation],$K444,AvgBase[location_name],$G444,AvgBase[job_title],$H444))*(AC234+AB234)/2*(1-AC339))</f>
        <v>0</v>
      </c>
      <c r="AD444" s="652">
        <f>IF($B444="",,IF(LEFT($H444,5)="dummy",SUMIFS(AvgBase[Month 19],AvgBase[job_title],$H444),SUMIFS(AvgBase[Month 19],AvgBase[exp_item],$J444,AvgBase[company_name],$B444,AvgBase[bu_name],$C444,AvgBase[dept_name],$D444,AvgBase[team_consolidation],$K444,AvgBase[location_name],$G444,AvgBase[job_title],$H444))*(AD234+AC234)/2*(1-AD339))</f>
        <v>0</v>
      </c>
      <c r="AE444" s="652">
        <f>IF($B444="",,IF(LEFT($H444,5)="dummy",SUMIFS(AvgBase[Month 20],AvgBase[job_title],$H444),SUMIFS(AvgBase[Month 20],AvgBase[exp_item],$J444,AvgBase[company_name],$B444,AvgBase[bu_name],$C444,AvgBase[dept_name],$D444,AvgBase[team_consolidation],$K444,AvgBase[location_name],$G444,AvgBase[job_title],$H444))*(AE234+AD234)/2*(1-AE339))</f>
        <v>0</v>
      </c>
      <c r="AF444" s="652">
        <f>IF($B444="",,IF(LEFT($H444,5)="dummy",SUMIFS(AvgBase[Month 21],AvgBase[job_title],$H444),SUMIFS(AvgBase[Month 21],AvgBase[exp_item],$J444,AvgBase[company_name],$B444,AvgBase[bu_name],$C444,AvgBase[dept_name],$D444,AvgBase[team_consolidation],$K444,AvgBase[location_name],$G444,AvgBase[job_title],$H444))*(AF234+AE234)/2*(1-AF339))</f>
        <v>0</v>
      </c>
      <c r="AG444" s="652">
        <f>IF($B444="",,IF(LEFT($H444,5)="dummy",SUMIFS(AvgBase[Month 22],AvgBase[job_title],$H444),SUMIFS(AvgBase[Month 22],AvgBase[exp_item],$J444,AvgBase[company_name],$B444,AvgBase[bu_name],$C444,AvgBase[dept_name],$D444,AvgBase[team_consolidation],$K444,AvgBase[location_name],$G444,AvgBase[job_title],$H444))*(AG234+AF234)/2*(1-AG339))</f>
        <v>0</v>
      </c>
      <c r="AH444" s="652">
        <f>IF($B444="",,IF(LEFT($H444,5)="dummy",SUMIFS(AvgBase[Month 23],AvgBase[job_title],$H444),SUMIFS(AvgBase[Month 23],AvgBase[exp_item],$J444,AvgBase[company_name],$B444,AvgBase[bu_name],$C444,AvgBase[dept_name],$D444,AvgBase[team_consolidation],$K444,AvgBase[location_name],$G444,AvgBase[job_title],$H444))*(AH234+AG234)/2*(1-AH339))</f>
        <v>0</v>
      </c>
      <c r="AI444" s="652">
        <f>IF($B444="",,IF(LEFT($H444,5)="dummy",SUMIFS(AvgBase[Month 24],AvgBase[job_title],$H444),SUMIFS(AvgBase[Month 24],AvgBase[exp_item],$J444,AvgBase[company_name],$B444,AvgBase[bu_name],$C444,AvgBase[dept_name],$D444,AvgBase[team_consolidation],$K444,AvgBase[location_name],$G444,AvgBase[job_title],$H444))*(AI234+AH234)/2*(1-AI339))</f>
        <v>0</v>
      </c>
      <c r="AJ444" s="652">
        <f>IF($B444="",,IF(LEFT($H444,5)="dummy",SUMIFS(AvgBase[Month 25],AvgBase[job_title],$H444),SUMIFS(AvgBase[Month 25],AvgBase[exp_item],$J444,AvgBase[company_name],$B444,AvgBase[bu_name],$C444,AvgBase[dept_name],$D444,AvgBase[team_consolidation],$K444,AvgBase[location_name],$G444,AvgBase[job_title],$H444))*(AJ234+AI234)/2*(1-AJ339))</f>
        <v>0</v>
      </c>
      <c r="AK444" s="652">
        <f>IF($B444="",,IF(LEFT($H444,5)="dummy",SUMIFS(AvgBase[Month 26],AvgBase[job_title],$H444),SUMIFS(AvgBase[Month 26],AvgBase[exp_item],$J444,AvgBase[company_name],$B444,AvgBase[bu_name],$C444,AvgBase[dept_name],$D444,AvgBase[team_consolidation],$K444,AvgBase[location_name],$G444,AvgBase[job_title],$H444))*(AK234+AJ234)/2*(1-AK339))</f>
        <v>0</v>
      </c>
      <c r="AL444" s="652">
        <f>IF($B444="",,IF(LEFT($H444,5)="dummy",SUMIFS(AvgBase[Month 27],AvgBase[job_title],$H444),SUMIFS(AvgBase[Month 27],AvgBase[exp_item],$J444,AvgBase[company_name],$B444,AvgBase[bu_name],$C444,AvgBase[dept_name],$D444,AvgBase[team_consolidation],$K444,AvgBase[location_name],$G444,AvgBase[job_title],$H444))*(AL234+AK234)/2*(1-AL339))</f>
        <v>0</v>
      </c>
      <c r="AM444" s="652">
        <f>IF($B444="",,IF(LEFT($H444,5)="dummy",SUMIFS(AvgBase[Month 28],AvgBase[job_title],$H444),SUMIFS(AvgBase[Month 28],AvgBase[exp_item],$J444,AvgBase[company_name],$B444,AvgBase[bu_name],$C444,AvgBase[dept_name],$D444,AvgBase[team_consolidation],$K444,AvgBase[location_name],$G444,AvgBase[job_title],$H444))*(AM234+AL234)/2*(1-AM339))</f>
        <v>0</v>
      </c>
      <c r="AN444" s="652">
        <f>IF($B444="",,IF(LEFT($H444,5)="dummy",SUMIFS(AvgBase[Month 29],AvgBase[job_title],$H444),SUMIFS(AvgBase[Month 29],AvgBase[exp_item],$J444,AvgBase[company_name],$B444,AvgBase[bu_name],$C444,AvgBase[dept_name],$D444,AvgBase[team_consolidation],$K444,AvgBase[location_name],$G444,AvgBase[job_title],$H444))*(AN234+AM234)/2*(1-AN339))</f>
        <v>0</v>
      </c>
      <c r="AO444" s="652">
        <f>IF($B444="",,IF(LEFT($H444,5)="dummy",SUMIFS(AvgBase[Month 30],AvgBase[job_title],$H444),SUMIFS(AvgBase[Month 30],AvgBase[exp_item],$J444,AvgBase[company_name],$B444,AvgBase[bu_name],$C444,AvgBase[dept_name],$D444,AvgBase[team_consolidation],$K444,AvgBase[location_name],$G444,AvgBase[job_title],$H444))*(AO234+AN234)/2*(1-AO339))</f>
        <v>0</v>
      </c>
      <c r="AP444" s="652">
        <f>IF($B444="",,IF(LEFT($H444,5)="dummy",SUMIFS(AvgBase[Month 31],AvgBase[job_title],$H444),SUMIFS(AvgBase[Month 31],AvgBase[exp_item],$J444,AvgBase[company_name],$B444,AvgBase[bu_name],$C444,AvgBase[dept_name],$D444,AvgBase[team_consolidation],$K444,AvgBase[location_name],$G444,AvgBase[job_title],$H444))*(AP234+AO234)/2*(1-AP339))</f>
        <v>0</v>
      </c>
      <c r="AQ444" s="652">
        <f>IF($B444="",,IF(LEFT($H444,5)="dummy",SUMIFS(AvgBase[Month 32],AvgBase[job_title],$H444),SUMIFS(AvgBase[Month 32],AvgBase[exp_item],$J444,AvgBase[company_name],$B444,AvgBase[bu_name],$C444,AvgBase[dept_name],$D444,AvgBase[team_consolidation],$K444,AvgBase[location_name],$G444,AvgBase[job_title],$H444))*(AQ234+AP234)/2*(1-AQ339))</f>
        <v>0</v>
      </c>
      <c r="AR444" s="652">
        <f>IF($B444="",,IF(LEFT($H444,5)="dummy",SUMIFS(AvgBase[Month 33],AvgBase[job_title],$H444),SUMIFS(AvgBase[Month 33],AvgBase[exp_item],$J444,AvgBase[company_name],$B444,AvgBase[bu_name],$C444,AvgBase[dept_name],$D444,AvgBase[team_consolidation],$K444,AvgBase[location_name],$G444,AvgBase[job_title],$H444))*(AR234+AQ234)/2*(1-AR339))</f>
        <v>0</v>
      </c>
      <c r="AS444" s="652">
        <f>IF($B444="",,IF(LEFT($H444,5)="dummy",SUMIFS(AvgBase[Month 34],AvgBase[job_title],$H444),SUMIFS(AvgBase[Month 34],AvgBase[exp_item],$J444,AvgBase[company_name],$B444,AvgBase[bu_name],$C444,AvgBase[dept_name],$D444,AvgBase[team_consolidation],$K444,AvgBase[location_name],$G444,AvgBase[job_title],$H444))*(AS234+AR234)/2*(1-AS339))</f>
        <v>0</v>
      </c>
      <c r="AT444" s="652">
        <f>IF($B444="",,IF(LEFT($H444,5)="dummy",SUMIFS(AvgBase[Month 35],AvgBase[job_title],$H444),SUMIFS(AvgBase[Month 35],AvgBase[exp_item],$J444,AvgBase[company_name],$B444,AvgBase[bu_name],$C444,AvgBase[dept_name],$D444,AvgBase[team_consolidation],$K444,AvgBase[location_name],$G444,AvgBase[job_title],$H444))*(AT234+AS234)/2*(1-AT339))</f>
        <v>0</v>
      </c>
      <c r="AU444" s="652">
        <f>IF($B444="",,IF(LEFT($H444,5)="dummy",SUMIFS(AvgBase[Month 36],AvgBase[job_title],$H444),SUMIFS(AvgBase[Month 36],AvgBase[exp_item],$J444,AvgBase[company_name],$B444,AvgBase[bu_name],$C444,AvgBase[dept_name],$D444,AvgBase[team_consolidation],$K444,AvgBase[location_name],$G444,AvgBase[job_title],$H444))*(AU234+AT234)/2*(1-AU339))</f>
        <v>0</v>
      </c>
    </row>
    <row r="445" spans="2:47" x14ac:dyDescent="0.35">
      <c r="B445" t="str">
        <f t="shared" si="280"/>
        <v/>
      </c>
      <c r="C445" t="str">
        <f t="shared" si="280"/>
        <v/>
      </c>
      <c r="D445" t="str">
        <f t="shared" si="280"/>
        <v/>
      </c>
      <c r="E445" t="str">
        <f t="shared" si="280"/>
        <v/>
      </c>
      <c r="F445" t="str">
        <f t="shared" si="280"/>
        <v/>
      </c>
      <c r="G445" t="str">
        <f t="shared" si="280"/>
        <v/>
      </c>
      <c r="H445" t="str">
        <f t="shared" si="279"/>
        <v/>
      </c>
      <c r="J445" t="str">
        <f>IF($H445="","",IF(VLOOKUP($B$395,ExpItems[],2,0),$B$395&amp;" - "&amp;INDEX(DivisionMapping[category_code],MATCH($D445&amp;$C445,DivisionMapping[dept_bu],0)),$B$395))</f>
        <v/>
      </c>
      <c r="K445" t="str">
        <f t="shared" si="275"/>
        <v/>
      </c>
      <c r="L445" s="652">
        <f>IF($B445="",,IF(LEFT($H445,5)="dummy",SUMIFS(AvgBase[Month 1],AvgBase[job_title],$H445),SUMIFS(AvgBase[Month 1],AvgBase[exp_item],$J445,AvgBase[company_name],$B445,AvgBase[bu_name],$C445,AvgBase[dept_name],$D445,AvgBase[team_consolidation],$K445,AvgBase[location_name],$G445,AvgBase[job_title],$H445))*L235/2*(1-L340))</f>
        <v>0</v>
      </c>
      <c r="M445" s="652">
        <f>IF($B445="",,IF(LEFT($H445,5)="dummy",SUMIFS(AvgBase[Month 2],AvgBase[job_title],$H445),SUMIFS(AvgBase[Month 2],AvgBase[exp_item],$J445,AvgBase[company_name],$B445,AvgBase[bu_name],$C445,AvgBase[dept_name],$D445,AvgBase[team_consolidation],$K445,AvgBase[location_name],$G445,AvgBase[job_title],$H445))*(M235+L235)/2*(1-M340))</f>
        <v>0</v>
      </c>
      <c r="N445" s="652">
        <f>IF($B445="",,IF(LEFT($H445,5)="dummy",SUMIFS(AvgBase[Month 3],AvgBase[job_title],$H445),SUMIFS(AvgBase[Month 3],AvgBase[exp_item],$J445,AvgBase[company_name],$B445,AvgBase[bu_name],$C445,AvgBase[dept_name],$D445,AvgBase[team_consolidation],$K445,AvgBase[location_name],$G445,AvgBase[job_title],$H445))*(N235+M235)/2*(1-N340))</f>
        <v>0</v>
      </c>
      <c r="O445" s="652">
        <f>IF($B445="",,IF(LEFT($H445,5)="dummy",SUMIFS(AvgBase[Month 4],AvgBase[job_title],$H445),SUMIFS(AvgBase[Month 4],AvgBase[exp_item],$J445,AvgBase[company_name],$B445,AvgBase[bu_name],$C445,AvgBase[dept_name],$D445,AvgBase[team_consolidation],$K445,AvgBase[location_name],$G445,AvgBase[job_title],$H445))*(O235+N235)/2*(1-O340))</f>
        <v>0</v>
      </c>
      <c r="P445" s="652">
        <f>IF($B445="",,IF(LEFT($H445,5)="dummy",SUMIFS(AvgBase[Month 5],AvgBase[job_title],$H445),SUMIFS(AvgBase[Month 5],AvgBase[exp_item],$J445,AvgBase[company_name],$B445,AvgBase[bu_name],$C445,AvgBase[dept_name],$D445,AvgBase[team_consolidation],$K445,AvgBase[location_name],$G445,AvgBase[job_title],$H445))*(P235+O235)/2*(1-P340))</f>
        <v>0</v>
      </c>
      <c r="Q445" s="652">
        <f>IF($B445="",,IF(LEFT($H445,5)="dummy",SUMIFS(AvgBase[Month 6],AvgBase[job_title],$H445),SUMIFS(AvgBase[Month 6],AvgBase[exp_item],$J445,AvgBase[company_name],$B445,AvgBase[bu_name],$C445,AvgBase[dept_name],$D445,AvgBase[team_consolidation],$K445,AvgBase[location_name],$G445,AvgBase[job_title],$H445))*(Q235+P235)/2*(1-Q340))</f>
        <v>0</v>
      </c>
      <c r="R445" s="652">
        <f>IF($B445="",,IF(LEFT($H445,5)="dummy",SUMIFS(AvgBase[Month 7],AvgBase[job_title],$H445),SUMIFS(AvgBase[Month 7],AvgBase[exp_item],$J445,AvgBase[company_name],$B445,AvgBase[bu_name],$C445,AvgBase[dept_name],$D445,AvgBase[team_consolidation],$K445,AvgBase[location_name],$G445,AvgBase[job_title],$H445))*(R235+Q235)/2*(1-R340))</f>
        <v>0</v>
      </c>
      <c r="S445" s="652">
        <f>IF($B445="",,IF(LEFT($H445,5)="dummy",SUMIFS(AvgBase[Month 8],AvgBase[job_title],$H445),SUMIFS(AvgBase[Month 8],AvgBase[exp_item],$J445,AvgBase[company_name],$B445,AvgBase[bu_name],$C445,AvgBase[dept_name],$D445,AvgBase[team_consolidation],$K445,AvgBase[location_name],$G445,AvgBase[job_title],$H445))*(S235+R235)/2*(1-S340))</f>
        <v>0</v>
      </c>
      <c r="T445" s="652">
        <f>IF($B445="",,IF(LEFT($H445,5)="dummy",SUMIFS(AvgBase[Month 9],AvgBase[job_title],$H445),SUMIFS(AvgBase[Month 9],AvgBase[exp_item],$J445,AvgBase[company_name],$B445,AvgBase[bu_name],$C445,AvgBase[dept_name],$D445,AvgBase[team_consolidation],$K445,AvgBase[location_name],$G445,AvgBase[job_title],$H445))*(T235+S235)/2*(1-T340))</f>
        <v>0</v>
      </c>
      <c r="U445" s="652">
        <f>IF($B445="",,IF(LEFT($H445,5)="dummy",SUMIFS(AvgBase[Month 10],AvgBase[job_title],$H445),SUMIFS(AvgBase[Month 10],AvgBase[exp_item],$J445,AvgBase[company_name],$B445,AvgBase[bu_name],$C445,AvgBase[dept_name],$D445,AvgBase[team_consolidation],$K445,AvgBase[location_name],$G445,AvgBase[job_title],$H445))*(U235+T235)/2*(1-U340))</f>
        <v>0</v>
      </c>
      <c r="V445" s="652">
        <f>IF($B445="",,IF(LEFT($H445,5)="dummy",SUMIFS(AvgBase[Month 11],AvgBase[job_title],$H445),SUMIFS(AvgBase[Month 11],AvgBase[exp_item],$J445,AvgBase[company_name],$B445,AvgBase[bu_name],$C445,AvgBase[dept_name],$D445,AvgBase[team_consolidation],$K445,AvgBase[location_name],$G445,AvgBase[job_title],$H445))*(V235+U235)/2*(1-V340))</f>
        <v>0</v>
      </c>
      <c r="W445" s="652">
        <f>IF($B445="",,IF(LEFT($H445,5)="dummy",SUMIFS(AvgBase[Month 12],AvgBase[job_title],$H445),SUMIFS(AvgBase[Month 12],AvgBase[exp_item],$J445,AvgBase[company_name],$B445,AvgBase[bu_name],$C445,AvgBase[dept_name],$D445,AvgBase[team_consolidation],$K445,AvgBase[location_name],$G445,AvgBase[job_title],$H445))*(W235+V235)/2*(1-W340))</f>
        <v>0</v>
      </c>
      <c r="X445" s="652">
        <f>IF($B445="",,IF(LEFT($H445,5)="dummy",SUMIFS(AvgBase[Month 13],AvgBase[job_title],$H445),SUMIFS(AvgBase[Month 13],AvgBase[exp_item],$J445,AvgBase[company_name],$B445,AvgBase[bu_name],$C445,AvgBase[dept_name],$D445,AvgBase[team_consolidation],$K445,AvgBase[location_name],$G445,AvgBase[job_title],$H445))*(X235+W235)/2*(1-X340))</f>
        <v>0</v>
      </c>
      <c r="Y445" s="652">
        <f>IF($B445="",,IF(LEFT($H445,5)="dummy",SUMIFS(AvgBase[Month 14],AvgBase[job_title],$H445),SUMIFS(AvgBase[Month 14],AvgBase[exp_item],$J445,AvgBase[company_name],$B445,AvgBase[bu_name],$C445,AvgBase[dept_name],$D445,AvgBase[team_consolidation],$K445,AvgBase[location_name],$G445,AvgBase[job_title],$H445))*(Y235+X235)/2*(1-Y340))</f>
        <v>0</v>
      </c>
      <c r="Z445" s="652">
        <f>IF($B445="",,IF(LEFT($H445,5)="dummy",SUMIFS(AvgBase[Month 15],AvgBase[job_title],$H445),SUMIFS(AvgBase[Month 15],AvgBase[exp_item],$J445,AvgBase[company_name],$B445,AvgBase[bu_name],$C445,AvgBase[dept_name],$D445,AvgBase[team_consolidation],$K445,AvgBase[location_name],$G445,AvgBase[job_title],$H445))*(Z235+Y235)/2*(1-Z340))</f>
        <v>0</v>
      </c>
      <c r="AA445" s="652">
        <f>IF($B445="",,IF(LEFT($H445,5)="dummy",SUMIFS(AvgBase[Month 16],AvgBase[job_title],$H445),SUMIFS(AvgBase[Month 16],AvgBase[exp_item],$J445,AvgBase[company_name],$B445,AvgBase[bu_name],$C445,AvgBase[dept_name],$D445,AvgBase[team_consolidation],$K445,AvgBase[location_name],$G445,AvgBase[job_title],$H445))*(AA235+Z235)/2*(1-AA340))</f>
        <v>0</v>
      </c>
      <c r="AB445" s="652">
        <f>IF($B445="",,IF(LEFT($H445,5)="dummy",SUMIFS(AvgBase[Month 17],AvgBase[job_title],$H445),SUMIFS(AvgBase[Month 17],AvgBase[exp_item],$J445,AvgBase[company_name],$B445,AvgBase[bu_name],$C445,AvgBase[dept_name],$D445,AvgBase[team_consolidation],$K445,AvgBase[location_name],$G445,AvgBase[job_title],$H445))*(AB235+AA235)/2*(1-AB340))</f>
        <v>0</v>
      </c>
      <c r="AC445" s="652">
        <f>IF($B445="",,IF(LEFT($H445,5)="dummy",SUMIFS(AvgBase[Month 18],AvgBase[job_title],$H445),SUMIFS(AvgBase[Month 18],AvgBase[exp_item],$J445,AvgBase[company_name],$B445,AvgBase[bu_name],$C445,AvgBase[dept_name],$D445,AvgBase[team_consolidation],$K445,AvgBase[location_name],$G445,AvgBase[job_title],$H445))*(AC235+AB235)/2*(1-AC340))</f>
        <v>0</v>
      </c>
      <c r="AD445" s="652">
        <f>IF($B445="",,IF(LEFT($H445,5)="dummy",SUMIFS(AvgBase[Month 19],AvgBase[job_title],$H445),SUMIFS(AvgBase[Month 19],AvgBase[exp_item],$J445,AvgBase[company_name],$B445,AvgBase[bu_name],$C445,AvgBase[dept_name],$D445,AvgBase[team_consolidation],$K445,AvgBase[location_name],$G445,AvgBase[job_title],$H445))*(AD235+AC235)/2*(1-AD340))</f>
        <v>0</v>
      </c>
      <c r="AE445" s="652">
        <f>IF($B445="",,IF(LEFT($H445,5)="dummy",SUMIFS(AvgBase[Month 20],AvgBase[job_title],$H445),SUMIFS(AvgBase[Month 20],AvgBase[exp_item],$J445,AvgBase[company_name],$B445,AvgBase[bu_name],$C445,AvgBase[dept_name],$D445,AvgBase[team_consolidation],$K445,AvgBase[location_name],$G445,AvgBase[job_title],$H445))*(AE235+AD235)/2*(1-AE340))</f>
        <v>0</v>
      </c>
      <c r="AF445" s="652">
        <f>IF($B445="",,IF(LEFT($H445,5)="dummy",SUMIFS(AvgBase[Month 21],AvgBase[job_title],$H445),SUMIFS(AvgBase[Month 21],AvgBase[exp_item],$J445,AvgBase[company_name],$B445,AvgBase[bu_name],$C445,AvgBase[dept_name],$D445,AvgBase[team_consolidation],$K445,AvgBase[location_name],$G445,AvgBase[job_title],$H445))*(AF235+AE235)/2*(1-AF340))</f>
        <v>0</v>
      </c>
      <c r="AG445" s="652">
        <f>IF($B445="",,IF(LEFT($H445,5)="dummy",SUMIFS(AvgBase[Month 22],AvgBase[job_title],$H445),SUMIFS(AvgBase[Month 22],AvgBase[exp_item],$J445,AvgBase[company_name],$B445,AvgBase[bu_name],$C445,AvgBase[dept_name],$D445,AvgBase[team_consolidation],$K445,AvgBase[location_name],$G445,AvgBase[job_title],$H445))*(AG235+AF235)/2*(1-AG340))</f>
        <v>0</v>
      </c>
      <c r="AH445" s="652">
        <f>IF($B445="",,IF(LEFT($H445,5)="dummy",SUMIFS(AvgBase[Month 23],AvgBase[job_title],$H445),SUMIFS(AvgBase[Month 23],AvgBase[exp_item],$J445,AvgBase[company_name],$B445,AvgBase[bu_name],$C445,AvgBase[dept_name],$D445,AvgBase[team_consolidation],$K445,AvgBase[location_name],$G445,AvgBase[job_title],$H445))*(AH235+AG235)/2*(1-AH340))</f>
        <v>0</v>
      </c>
      <c r="AI445" s="652">
        <f>IF($B445="",,IF(LEFT($H445,5)="dummy",SUMIFS(AvgBase[Month 24],AvgBase[job_title],$H445),SUMIFS(AvgBase[Month 24],AvgBase[exp_item],$J445,AvgBase[company_name],$B445,AvgBase[bu_name],$C445,AvgBase[dept_name],$D445,AvgBase[team_consolidation],$K445,AvgBase[location_name],$G445,AvgBase[job_title],$H445))*(AI235+AH235)/2*(1-AI340))</f>
        <v>0</v>
      </c>
      <c r="AJ445" s="652">
        <f>IF($B445="",,IF(LEFT($H445,5)="dummy",SUMIFS(AvgBase[Month 25],AvgBase[job_title],$H445),SUMIFS(AvgBase[Month 25],AvgBase[exp_item],$J445,AvgBase[company_name],$B445,AvgBase[bu_name],$C445,AvgBase[dept_name],$D445,AvgBase[team_consolidation],$K445,AvgBase[location_name],$G445,AvgBase[job_title],$H445))*(AJ235+AI235)/2*(1-AJ340))</f>
        <v>0</v>
      </c>
      <c r="AK445" s="652">
        <f>IF($B445="",,IF(LEFT($H445,5)="dummy",SUMIFS(AvgBase[Month 26],AvgBase[job_title],$H445),SUMIFS(AvgBase[Month 26],AvgBase[exp_item],$J445,AvgBase[company_name],$B445,AvgBase[bu_name],$C445,AvgBase[dept_name],$D445,AvgBase[team_consolidation],$K445,AvgBase[location_name],$G445,AvgBase[job_title],$H445))*(AK235+AJ235)/2*(1-AK340))</f>
        <v>0</v>
      </c>
      <c r="AL445" s="652">
        <f>IF($B445="",,IF(LEFT($H445,5)="dummy",SUMIFS(AvgBase[Month 27],AvgBase[job_title],$H445),SUMIFS(AvgBase[Month 27],AvgBase[exp_item],$J445,AvgBase[company_name],$B445,AvgBase[bu_name],$C445,AvgBase[dept_name],$D445,AvgBase[team_consolidation],$K445,AvgBase[location_name],$G445,AvgBase[job_title],$H445))*(AL235+AK235)/2*(1-AL340))</f>
        <v>0</v>
      </c>
      <c r="AM445" s="652">
        <f>IF($B445="",,IF(LEFT($H445,5)="dummy",SUMIFS(AvgBase[Month 28],AvgBase[job_title],$H445),SUMIFS(AvgBase[Month 28],AvgBase[exp_item],$J445,AvgBase[company_name],$B445,AvgBase[bu_name],$C445,AvgBase[dept_name],$D445,AvgBase[team_consolidation],$K445,AvgBase[location_name],$G445,AvgBase[job_title],$H445))*(AM235+AL235)/2*(1-AM340))</f>
        <v>0</v>
      </c>
      <c r="AN445" s="652">
        <f>IF($B445="",,IF(LEFT($H445,5)="dummy",SUMIFS(AvgBase[Month 29],AvgBase[job_title],$H445),SUMIFS(AvgBase[Month 29],AvgBase[exp_item],$J445,AvgBase[company_name],$B445,AvgBase[bu_name],$C445,AvgBase[dept_name],$D445,AvgBase[team_consolidation],$K445,AvgBase[location_name],$G445,AvgBase[job_title],$H445))*(AN235+AM235)/2*(1-AN340))</f>
        <v>0</v>
      </c>
      <c r="AO445" s="652">
        <f>IF($B445="",,IF(LEFT($H445,5)="dummy",SUMIFS(AvgBase[Month 30],AvgBase[job_title],$H445),SUMIFS(AvgBase[Month 30],AvgBase[exp_item],$J445,AvgBase[company_name],$B445,AvgBase[bu_name],$C445,AvgBase[dept_name],$D445,AvgBase[team_consolidation],$K445,AvgBase[location_name],$G445,AvgBase[job_title],$H445))*(AO235+AN235)/2*(1-AO340))</f>
        <v>0</v>
      </c>
      <c r="AP445" s="652">
        <f>IF($B445="",,IF(LEFT($H445,5)="dummy",SUMIFS(AvgBase[Month 31],AvgBase[job_title],$H445),SUMIFS(AvgBase[Month 31],AvgBase[exp_item],$J445,AvgBase[company_name],$B445,AvgBase[bu_name],$C445,AvgBase[dept_name],$D445,AvgBase[team_consolidation],$K445,AvgBase[location_name],$G445,AvgBase[job_title],$H445))*(AP235+AO235)/2*(1-AP340))</f>
        <v>0</v>
      </c>
      <c r="AQ445" s="652">
        <f>IF($B445="",,IF(LEFT($H445,5)="dummy",SUMIFS(AvgBase[Month 32],AvgBase[job_title],$H445),SUMIFS(AvgBase[Month 32],AvgBase[exp_item],$J445,AvgBase[company_name],$B445,AvgBase[bu_name],$C445,AvgBase[dept_name],$D445,AvgBase[team_consolidation],$K445,AvgBase[location_name],$G445,AvgBase[job_title],$H445))*(AQ235+AP235)/2*(1-AQ340))</f>
        <v>0</v>
      </c>
      <c r="AR445" s="652">
        <f>IF($B445="",,IF(LEFT($H445,5)="dummy",SUMIFS(AvgBase[Month 33],AvgBase[job_title],$H445),SUMIFS(AvgBase[Month 33],AvgBase[exp_item],$J445,AvgBase[company_name],$B445,AvgBase[bu_name],$C445,AvgBase[dept_name],$D445,AvgBase[team_consolidation],$K445,AvgBase[location_name],$G445,AvgBase[job_title],$H445))*(AR235+AQ235)/2*(1-AR340))</f>
        <v>0</v>
      </c>
      <c r="AS445" s="652">
        <f>IF($B445="",,IF(LEFT($H445,5)="dummy",SUMIFS(AvgBase[Month 34],AvgBase[job_title],$H445),SUMIFS(AvgBase[Month 34],AvgBase[exp_item],$J445,AvgBase[company_name],$B445,AvgBase[bu_name],$C445,AvgBase[dept_name],$D445,AvgBase[team_consolidation],$K445,AvgBase[location_name],$G445,AvgBase[job_title],$H445))*(AS235+AR235)/2*(1-AS340))</f>
        <v>0</v>
      </c>
      <c r="AT445" s="652">
        <f>IF($B445="",,IF(LEFT($H445,5)="dummy",SUMIFS(AvgBase[Month 35],AvgBase[job_title],$H445),SUMIFS(AvgBase[Month 35],AvgBase[exp_item],$J445,AvgBase[company_name],$B445,AvgBase[bu_name],$C445,AvgBase[dept_name],$D445,AvgBase[team_consolidation],$K445,AvgBase[location_name],$G445,AvgBase[job_title],$H445))*(AT235+AS235)/2*(1-AT340))</f>
        <v>0</v>
      </c>
      <c r="AU445" s="652">
        <f>IF($B445="",,IF(LEFT($H445,5)="dummy",SUMIFS(AvgBase[Month 36],AvgBase[job_title],$H445),SUMIFS(AvgBase[Month 36],AvgBase[exp_item],$J445,AvgBase[company_name],$B445,AvgBase[bu_name],$C445,AvgBase[dept_name],$D445,AvgBase[team_consolidation],$K445,AvgBase[location_name],$G445,AvgBase[job_title],$H445))*(AU235+AT235)/2*(1-AU340))</f>
        <v>0</v>
      </c>
    </row>
    <row r="446" spans="2:47" x14ac:dyDescent="0.35">
      <c r="B446" t="str">
        <f t="shared" ref="B446:G455" si="281">IF(B341="","",B341)</f>
        <v/>
      </c>
      <c r="C446" t="str">
        <f t="shared" si="281"/>
        <v/>
      </c>
      <c r="D446" t="str">
        <f t="shared" si="281"/>
        <v/>
      </c>
      <c r="E446" t="str">
        <f t="shared" si="281"/>
        <v/>
      </c>
      <c r="F446" t="str">
        <f t="shared" si="281"/>
        <v/>
      </c>
      <c r="G446" t="str">
        <f t="shared" si="281"/>
        <v/>
      </c>
      <c r="H446" t="str">
        <f t="shared" si="279"/>
        <v/>
      </c>
      <c r="J446" t="str">
        <f>IF($H446="","",IF(VLOOKUP($B$395,ExpItems[],2,0),$B$395&amp;" - "&amp;INDEX(DivisionMapping[category_code],MATCH($D446&amp;$C446,DivisionMapping[dept_bu],0)),$B$395))</f>
        <v/>
      </c>
      <c r="K446" t="str">
        <f t="shared" si="275"/>
        <v/>
      </c>
      <c r="L446" s="652">
        <f>IF($B446="",,IF(LEFT($H446,5)="dummy",SUMIFS(AvgBase[Month 1],AvgBase[job_title],$H446),SUMIFS(AvgBase[Month 1],AvgBase[exp_item],$J446,AvgBase[company_name],$B446,AvgBase[bu_name],$C446,AvgBase[dept_name],$D446,AvgBase[team_consolidation],$K446,AvgBase[location_name],$G446,AvgBase[job_title],$H446))*L236/2*(1-L341))</f>
        <v>0</v>
      </c>
      <c r="M446" s="652">
        <f>IF($B446="",,IF(LEFT($H446,5)="dummy",SUMIFS(AvgBase[Month 2],AvgBase[job_title],$H446),SUMIFS(AvgBase[Month 2],AvgBase[exp_item],$J446,AvgBase[company_name],$B446,AvgBase[bu_name],$C446,AvgBase[dept_name],$D446,AvgBase[team_consolidation],$K446,AvgBase[location_name],$G446,AvgBase[job_title],$H446))*(M236+L236)/2*(1-M341))</f>
        <v>0</v>
      </c>
      <c r="N446" s="652">
        <f>IF($B446="",,IF(LEFT($H446,5)="dummy",SUMIFS(AvgBase[Month 3],AvgBase[job_title],$H446),SUMIFS(AvgBase[Month 3],AvgBase[exp_item],$J446,AvgBase[company_name],$B446,AvgBase[bu_name],$C446,AvgBase[dept_name],$D446,AvgBase[team_consolidation],$K446,AvgBase[location_name],$G446,AvgBase[job_title],$H446))*(N236+M236)/2*(1-N341))</f>
        <v>0</v>
      </c>
      <c r="O446" s="652">
        <f>IF($B446="",,IF(LEFT($H446,5)="dummy",SUMIFS(AvgBase[Month 4],AvgBase[job_title],$H446),SUMIFS(AvgBase[Month 4],AvgBase[exp_item],$J446,AvgBase[company_name],$B446,AvgBase[bu_name],$C446,AvgBase[dept_name],$D446,AvgBase[team_consolidation],$K446,AvgBase[location_name],$G446,AvgBase[job_title],$H446))*(O236+N236)/2*(1-O341))</f>
        <v>0</v>
      </c>
      <c r="P446" s="652">
        <f>IF($B446="",,IF(LEFT($H446,5)="dummy",SUMIFS(AvgBase[Month 5],AvgBase[job_title],$H446),SUMIFS(AvgBase[Month 5],AvgBase[exp_item],$J446,AvgBase[company_name],$B446,AvgBase[bu_name],$C446,AvgBase[dept_name],$D446,AvgBase[team_consolidation],$K446,AvgBase[location_name],$G446,AvgBase[job_title],$H446))*(P236+O236)/2*(1-P341))</f>
        <v>0</v>
      </c>
      <c r="Q446" s="652">
        <f>IF($B446="",,IF(LEFT($H446,5)="dummy",SUMIFS(AvgBase[Month 6],AvgBase[job_title],$H446),SUMIFS(AvgBase[Month 6],AvgBase[exp_item],$J446,AvgBase[company_name],$B446,AvgBase[bu_name],$C446,AvgBase[dept_name],$D446,AvgBase[team_consolidation],$K446,AvgBase[location_name],$G446,AvgBase[job_title],$H446))*(Q236+P236)/2*(1-Q341))</f>
        <v>0</v>
      </c>
      <c r="R446" s="652">
        <f>IF($B446="",,IF(LEFT($H446,5)="dummy",SUMIFS(AvgBase[Month 7],AvgBase[job_title],$H446),SUMIFS(AvgBase[Month 7],AvgBase[exp_item],$J446,AvgBase[company_name],$B446,AvgBase[bu_name],$C446,AvgBase[dept_name],$D446,AvgBase[team_consolidation],$K446,AvgBase[location_name],$G446,AvgBase[job_title],$H446))*(R236+Q236)/2*(1-R341))</f>
        <v>0</v>
      </c>
      <c r="S446" s="652">
        <f>IF($B446="",,IF(LEFT($H446,5)="dummy",SUMIFS(AvgBase[Month 8],AvgBase[job_title],$H446),SUMIFS(AvgBase[Month 8],AvgBase[exp_item],$J446,AvgBase[company_name],$B446,AvgBase[bu_name],$C446,AvgBase[dept_name],$D446,AvgBase[team_consolidation],$K446,AvgBase[location_name],$G446,AvgBase[job_title],$H446))*(S236+R236)/2*(1-S341))</f>
        <v>0</v>
      </c>
      <c r="T446" s="652">
        <f>IF($B446="",,IF(LEFT($H446,5)="dummy",SUMIFS(AvgBase[Month 9],AvgBase[job_title],$H446),SUMIFS(AvgBase[Month 9],AvgBase[exp_item],$J446,AvgBase[company_name],$B446,AvgBase[bu_name],$C446,AvgBase[dept_name],$D446,AvgBase[team_consolidation],$K446,AvgBase[location_name],$G446,AvgBase[job_title],$H446))*(T236+S236)/2*(1-T341))</f>
        <v>0</v>
      </c>
      <c r="U446" s="652">
        <f>IF($B446="",,IF(LEFT($H446,5)="dummy",SUMIFS(AvgBase[Month 10],AvgBase[job_title],$H446),SUMIFS(AvgBase[Month 10],AvgBase[exp_item],$J446,AvgBase[company_name],$B446,AvgBase[bu_name],$C446,AvgBase[dept_name],$D446,AvgBase[team_consolidation],$K446,AvgBase[location_name],$G446,AvgBase[job_title],$H446))*(U236+T236)/2*(1-U341))</f>
        <v>0</v>
      </c>
      <c r="V446" s="652">
        <f>IF($B446="",,IF(LEFT($H446,5)="dummy",SUMIFS(AvgBase[Month 11],AvgBase[job_title],$H446),SUMIFS(AvgBase[Month 11],AvgBase[exp_item],$J446,AvgBase[company_name],$B446,AvgBase[bu_name],$C446,AvgBase[dept_name],$D446,AvgBase[team_consolidation],$K446,AvgBase[location_name],$G446,AvgBase[job_title],$H446))*(V236+U236)/2*(1-V341))</f>
        <v>0</v>
      </c>
      <c r="W446" s="652">
        <f>IF($B446="",,IF(LEFT($H446,5)="dummy",SUMIFS(AvgBase[Month 12],AvgBase[job_title],$H446),SUMIFS(AvgBase[Month 12],AvgBase[exp_item],$J446,AvgBase[company_name],$B446,AvgBase[bu_name],$C446,AvgBase[dept_name],$D446,AvgBase[team_consolidation],$K446,AvgBase[location_name],$G446,AvgBase[job_title],$H446))*(W236+V236)/2*(1-W341))</f>
        <v>0</v>
      </c>
      <c r="X446" s="652">
        <f>IF($B446="",,IF(LEFT($H446,5)="dummy",SUMIFS(AvgBase[Month 13],AvgBase[job_title],$H446),SUMIFS(AvgBase[Month 13],AvgBase[exp_item],$J446,AvgBase[company_name],$B446,AvgBase[bu_name],$C446,AvgBase[dept_name],$D446,AvgBase[team_consolidation],$K446,AvgBase[location_name],$G446,AvgBase[job_title],$H446))*(X236+W236)/2*(1-X341))</f>
        <v>0</v>
      </c>
      <c r="Y446" s="652">
        <f>IF($B446="",,IF(LEFT($H446,5)="dummy",SUMIFS(AvgBase[Month 14],AvgBase[job_title],$H446),SUMIFS(AvgBase[Month 14],AvgBase[exp_item],$J446,AvgBase[company_name],$B446,AvgBase[bu_name],$C446,AvgBase[dept_name],$D446,AvgBase[team_consolidation],$K446,AvgBase[location_name],$G446,AvgBase[job_title],$H446))*(Y236+X236)/2*(1-Y341))</f>
        <v>0</v>
      </c>
      <c r="Z446" s="652">
        <f>IF($B446="",,IF(LEFT($H446,5)="dummy",SUMIFS(AvgBase[Month 15],AvgBase[job_title],$H446),SUMIFS(AvgBase[Month 15],AvgBase[exp_item],$J446,AvgBase[company_name],$B446,AvgBase[bu_name],$C446,AvgBase[dept_name],$D446,AvgBase[team_consolidation],$K446,AvgBase[location_name],$G446,AvgBase[job_title],$H446))*(Z236+Y236)/2*(1-Z341))</f>
        <v>0</v>
      </c>
      <c r="AA446" s="652">
        <f>IF($B446="",,IF(LEFT($H446,5)="dummy",SUMIFS(AvgBase[Month 16],AvgBase[job_title],$H446),SUMIFS(AvgBase[Month 16],AvgBase[exp_item],$J446,AvgBase[company_name],$B446,AvgBase[bu_name],$C446,AvgBase[dept_name],$D446,AvgBase[team_consolidation],$K446,AvgBase[location_name],$G446,AvgBase[job_title],$H446))*(AA236+Z236)/2*(1-AA341))</f>
        <v>0</v>
      </c>
      <c r="AB446" s="652">
        <f>IF($B446="",,IF(LEFT($H446,5)="dummy",SUMIFS(AvgBase[Month 17],AvgBase[job_title],$H446),SUMIFS(AvgBase[Month 17],AvgBase[exp_item],$J446,AvgBase[company_name],$B446,AvgBase[bu_name],$C446,AvgBase[dept_name],$D446,AvgBase[team_consolidation],$K446,AvgBase[location_name],$G446,AvgBase[job_title],$H446))*(AB236+AA236)/2*(1-AB341))</f>
        <v>0</v>
      </c>
      <c r="AC446" s="652">
        <f>IF($B446="",,IF(LEFT($H446,5)="dummy",SUMIFS(AvgBase[Month 18],AvgBase[job_title],$H446),SUMIFS(AvgBase[Month 18],AvgBase[exp_item],$J446,AvgBase[company_name],$B446,AvgBase[bu_name],$C446,AvgBase[dept_name],$D446,AvgBase[team_consolidation],$K446,AvgBase[location_name],$G446,AvgBase[job_title],$H446))*(AC236+AB236)/2*(1-AC341))</f>
        <v>0</v>
      </c>
      <c r="AD446" s="652">
        <f>IF($B446="",,IF(LEFT($H446,5)="dummy",SUMIFS(AvgBase[Month 19],AvgBase[job_title],$H446),SUMIFS(AvgBase[Month 19],AvgBase[exp_item],$J446,AvgBase[company_name],$B446,AvgBase[bu_name],$C446,AvgBase[dept_name],$D446,AvgBase[team_consolidation],$K446,AvgBase[location_name],$G446,AvgBase[job_title],$H446))*(AD236+AC236)/2*(1-AD341))</f>
        <v>0</v>
      </c>
      <c r="AE446" s="652">
        <f>IF($B446="",,IF(LEFT($H446,5)="dummy",SUMIFS(AvgBase[Month 20],AvgBase[job_title],$H446),SUMIFS(AvgBase[Month 20],AvgBase[exp_item],$J446,AvgBase[company_name],$B446,AvgBase[bu_name],$C446,AvgBase[dept_name],$D446,AvgBase[team_consolidation],$K446,AvgBase[location_name],$G446,AvgBase[job_title],$H446))*(AE236+AD236)/2*(1-AE341))</f>
        <v>0</v>
      </c>
      <c r="AF446" s="652">
        <f>IF($B446="",,IF(LEFT($H446,5)="dummy",SUMIFS(AvgBase[Month 21],AvgBase[job_title],$H446),SUMIFS(AvgBase[Month 21],AvgBase[exp_item],$J446,AvgBase[company_name],$B446,AvgBase[bu_name],$C446,AvgBase[dept_name],$D446,AvgBase[team_consolidation],$K446,AvgBase[location_name],$G446,AvgBase[job_title],$H446))*(AF236+AE236)/2*(1-AF341))</f>
        <v>0</v>
      </c>
      <c r="AG446" s="652">
        <f>IF($B446="",,IF(LEFT($H446,5)="dummy",SUMIFS(AvgBase[Month 22],AvgBase[job_title],$H446),SUMIFS(AvgBase[Month 22],AvgBase[exp_item],$J446,AvgBase[company_name],$B446,AvgBase[bu_name],$C446,AvgBase[dept_name],$D446,AvgBase[team_consolidation],$K446,AvgBase[location_name],$G446,AvgBase[job_title],$H446))*(AG236+AF236)/2*(1-AG341))</f>
        <v>0</v>
      </c>
      <c r="AH446" s="652">
        <f>IF($B446="",,IF(LEFT($H446,5)="dummy",SUMIFS(AvgBase[Month 23],AvgBase[job_title],$H446),SUMIFS(AvgBase[Month 23],AvgBase[exp_item],$J446,AvgBase[company_name],$B446,AvgBase[bu_name],$C446,AvgBase[dept_name],$D446,AvgBase[team_consolidation],$K446,AvgBase[location_name],$G446,AvgBase[job_title],$H446))*(AH236+AG236)/2*(1-AH341))</f>
        <v>0</v>
      </c>
      <c r="AI446" s="652">
        <f>IF($B446="",,IF(LEFT($H446,5)="dummy",SUMIFS(AvgBase[Month 24],AvgBase[job_title],$H446),SUMIFS(AvgBase[Month 24],AvgBase[exp_item],$J446,AvgBase[company_name],$B446,AvgBase[bu_name],$C446,AvgBase[dept_name],$D446,AvgBase[team_consolidation],$K446,AvgBase[location_name],$G446,AvgBase[job_title],$H446))*(AI236+AH236)/2*(1-AI341))</f>
        <v>0</v>
      </c>
      <c r="AJ446" s="652">
        <f>IF($B446="",,IF(LEFT($H446,5)="dummy",SUMIFS(AvgBase[Month 25],AvgBase[job_title],$H446),SUMIFS(AvgBase[Month 25],AvgBase[exp_item],$J446,AvgBase[company_name],$B446,AvgBase[bu_name],$C446,AvgBase[dept_name],$D446,AvgBase[team_consolidation],$K446,AvgBase[location_name],$G446,AvgBase[job_title],$H446))*(AJ236+AI236)/2*(1-AJ341))</f>
        <v>0</v>
      </c>
      <c r="AK446" s="652">
        <f>IF($B446="",,IF(LEFT($H446,5)="dummy",SUMIFS(AvgBase[Month 26],AvgBase[job_title],$H446),SUMIFS(AvgBase[Month 26],AvgBase[exp_item],$J446,AvgBase[company_name],$B446,AvgBase[bu_name],$C446,AvgBase[dept_name],$D446,AvgBase[team_consolidation],$K446,AvgBase[location_name],$G446,AvgBase[job_title],$H446))*(AK236+AJ236)/2*(1-AK341))</f>
        <v>0</v>
      </c>
      <c r="AL446" s="652">
        <f>IF($B446="",,IF(LEFT($H446,5)="dummy",SUMIFS(AvgBase[Month 27],AvgBase[job_title],$H446),SUMIFS(AvgBase[Month 27],AvgBase[exp_item],$J446,AvgBase[company_name],$B446,AvgBase[bu_name],$C446,AvgBase[dept_name],$D446,AvgBase[team_consolidation],$K446,AvgBase[location_name],$G446,AvgBase[job_title],$H446))*(AL236+AK236)/2*(1-AL341))</f>
        <v>0</v>
      </c>
      <c r="AM446" s="652">
        <f>IF($B446="",,IF(LEFT($H446,5)="dummy",SUMIFS(AvgBase[Month 28],AvgBase[job_title],$H446),SUMIFS(AvgBase[Month 28],AvgBase[exp_item],$J446,AvgBase[company_name],$B446,AvgBase[bu_name],$C446,AvgBase[dept_name],$D446,AvgBase[team_consolidation],$K446,AvgBase[location_name],$G446,AvgBase[job_title],$H446))*(AM236+AL236)/2*(1-AM341))</f>
        <v>0</v>
      </c>
      <c r="AN446" s="652">
        <f>IF($B446="",,IF(LEFT($H446,5)="dummy",SUMIFS(AvgBase[Month 29],AvgBase[job_title],$H446),SUMIFS(AvgBase[Month 29],AvgBase[exp_item],$J446,AvgBase[company_name],$B446,AvgBase[bu_name],$C446,AvgBase[dept_name],$D446,AvgBase[team_consolidation],$K446,AvgBase[location_name],$G446,AvgBase[job_title],$H446))*(AN236+AM236)/2*(1-AN341))</f>
        <v>0</v>
      </c>
      <c r="AO446" s="652">
        <f>IF($B446="",,IF(LEFT($H446,5)="dummy",SUMIFS(AvgBase[Month 30],AvgBase[job_title],$H446),SUMIFS(AvgBase[Month 30],AvgBase[exp_item],$J446,AvgBase[company_name],$B446,AvgBase[bu_name],$C446,AvgBase[dept_name],$D446,AvgBase[team_consolidation],$K446,AvgBase[location_name],$G446,AvgBase[job_title],$H446))*(AO236+AN236)/2*(1-AO341))</f>
        <v>0</v>
      </c>
      <c r="AP446" s="652">
        <f>IF($B446="",,IF(LEFT($H446,5)="dummy",SUMIFS(AvgBase[Month 31],AvgBase[job_title],$H446),SUMIFS(AvgBase[Month 31],AvgBase[exp_item],$J446,AvgBase[company_name],$B446,AvgBase[bu_name],$C446,AvgBase[dept_name],$D446,AvgBase[team_consolidation],$K446,AvgBase[location_name],$G446,AvgBase[job_title],$H446))*(AP236+AO236)/2*(1-AP341))</f>
        <v>0</v>
      </c>
      <c r="AQ446" s="652">
        <f>IF($B446="",,IF(LEFT($H446,5)="dummy",SUMIFS(AvgBase[Month 32],AvgBase[job_title],$H446),SUMIFS(AvgBase[Month 32],AvgBase[exp_item],$J446,AvgBase[company_name],$B446,AvgBase[bu_name],$C446,AvgBase[dept_name],$D446,AvgBase[team_consolidation],$K446,AvgBase[location_name],$G446,AvgBase[job_title],$H446))*(AQ236+AP236)/2*(1-AQ341))</f>
        <v>0</v>
      </c>
      <c r="AR446" s="652">
        <f>IF($B446="",,IF(LEFT($H446,5)="dummy",SUMIFS(AvgBase[Month 33],AvgBase[job_title],$H446),SUMIFS(AvgBase[Month 33],AvgBase[exp_item],$J446,AvgBase[company_name],$B446,AvgBase[bu_name],$C446,AvgBase[dept_name],$D446,AvgBase[team_consolidation],$K446,AvgBase[location_name],$G446,AvgBase[job_title],$H446))*(AR236+AQ236)/2*(1-AR341))</f>
        <v>0</v>
      </c>
      <c r="AS446" s="652">
        <f>IF($B446="",,IF(LEFT($H446,5)="dummy",SUMIFS(AvgBase[Month 34],AvgBase[job_title],$H446),SUMIFS(AvgBase[Month 34],AvgBase[exp_item],$J446,AvgBase[company_name],$B446,AvgBase[bu_name],$C446,AvgBase[dept_name],$D446,AvgBase[team_consolidation],$K446,AvgBase[location_name],$G446,AvgBase[job_title],$H446))*(AS236+AR236)/2*(1-AS341))</f>
        <v>0</v>
      </c>
      <c r="AT446" s="652">
        <f>IF($B446="",,IF(LEFT($H446,5)="dummy",SUMIFS(AvgBase[Month 35],AvgBase[job_title],$H446),SUMIFS(AvgBase[Month 35],AvgBase[exp_item],$J446,AvgBase[company_name],$B446,AvgBase[bu_name],$C446,AvgBase[dept_name],$D446,AvgBase[team_consolidation],$K446,AvgBase[location_name],$G446,AvgBase[job_title],$H446))*(AT236+AS236)/2*(1-AT341))</f>
        <v>0</v>
      </c>
      <c r="AU446" s="652">
        <f>IF($B446="",,IF(LEFT($H446,5)="dummy",SUMIFS(AvgBase[Month 36],AvgBase[job_title],$H446),SUMIFS(AvgBase[Month 36],AvgBase[exp_item],$J446,AvgBase[company_name],$B446,AvgBase[bu_name],$C446,AvgBase[dept_name],$D446,AvgBase[team_consolidation],$K446,AvgBase[location_name],$G446,AvgBase[job_title],$H446))*(AU236+AT236)/2*(1-AU341))</f>
        <v>0</v>
      </c>
    </row>
    <row r="447" spans="2:47" x14ac:dyDescent="0.35">
      <c r="B447" t="str">
        <f t="shared" si="281"/>
        <v/>
      </c>
      <c r="C447" t="str">
        <f t="shared" si="281"/>
        <v/>
      </c>
      <c r="D447" t="str">
        <f t="shared" si="281"/>
        <v/>
      </c>
      <c r="E447" t="str">
        <f t="shared" si="281"/>
        <v/>
      </c>
      <c r="F447" t="str">
        <f t="shared" si="281"/>
        <v/>
      </c>
      <c r="G447" t="str">
        <f t="shared" si="281"/>
        <v/>
      </c>
      <c r="H447" t="str">
        <f t="shared" si="279"/>
        <v/>
      </c>
      <c r="J447" t="str">
        <f>IF($H447="","",IF(VLOOKUP($B$395,ExpItems[],2,0),$B$395&amp;" - "&amp;INDEX(DivisionMapping[category_code],MATCH($D447&amp;$C447,DivisionMapping[dept_bu],0)),$B$395))</f>
        <v/>
      </c>
      <c r="K447" t="str">
        <f t="shared" si="275"/>
        <v/>
      </c>
      <c r="L447" s="652">
        <f>IF($B447="",,IF(LEFT($H447,5)="dummy",SUMIFS(AvgBase[Month 1],AvgBase[job_title],$H447),SUMIFS(AvgBase[Month 1],AvgBase[exp_item],$J447,AvgBase[company_name],$B447,AvgBase[bu_name],$C447,AvgBase[dept_name],$D447,AvgBase[team_consolidation],$K447,AvgBase[location_name],$G447,AvgBase[job_title],$H447))*L237/2*(1-L342))</f>
        <v>0</v>
      </c>
      <c r="M447" s="652">
        <f>IF($B447="",,IF(LEFT($H447,5)="dummy",SUMIFS(AvgBase[Month 2],AvgBase[job_title],$H447),SUMIFS(AvgBase[Month 2],AvgBase[exp_item],$J447,AvgBase[company_name],$B447,AvgBase[bu_name],$C447,AvgBase[dept_name],$D447,AvgBase[team_consolidation],$K447,AvgBase[location_name],$G447,AvgBase[job_title],$H447))*(M237+L237)/2*(1-M342))</f>
        <v>0</v>
      </c>
      <c r="N447" s="652">
        <f>IF($B447="",,IF(LEFT($H447,5)="dummy",SUMIFS(AvgBase[Month 3],AvgBase[job_title],$H447),SUMIFS(AvgBase[Month 3],AvgBase[exp_item],$J447,AvgBase[company_name],$B447,AvgBase[bu_name],$C447,AvgBase[dept_name],$D447,AvgBase[team_consolidation],$K447,AvgBase[location_name],$G447,AvgBase[job_title],$H447))*(N237+M237)/2*(1-N342))</f>
        <v>0</v>
      </c>
      <c r="O447" s="652">
        <f>IF($B447="",,IF(LEFT($H447,5)="dummy",SUMIFS(AvgBase[Month 4],AvgBase[job_title],$H447),SUMIFS(AvgBase[Month 4],AvgBase[exp_item],$J447,AvgBase[company_name],$B447,AvgBase[bu_name],$C447,AvgBase[dept_name],$D447,AvgBase[team_consolidation],$K447,AvgBase[location_name],$G447,AvgBase[job_title],$H447))*(O237+N237)/2*(1-O342))</f>
        <v>0</v>
      </c>
      <c r="P447" s="652">
        <f>IF($B447="",,IF(LEFT($H447,5)="dummy",SUMIFS(AvgBase[Month 5],AvgBase[job_title],$H447),SUMIFS(AvgBase[Month 5],AvgBase[exp_item],$J447,AvgBase[company_name],$B447,AvgBase[bu_name],$C447,AvgBase[dept_name],$D447,AvgBase[team_consolidation],$K447,AvgBase[location_name],$G447,AvgBase[job_title],$H447))*(P237+O237)/2*(1-P342))</f>
        <v>0</v>
      </c>
      <c r="Q447" s="652">
        <f>IF($B447="",,IF(LEFT($H447,5)="dummy",SUMIFS(AvgBase[Month 6],AvgBase[job_title],$H447),SUMIFS(AvgBase[Month 6],AvgBase[exp_item],$J447,AvgBase[company_name],$B447,AvgBase[bu_name],$C447,AvgBase[dept_name],$D447,AvgBase[team_consolidation],$K447,AvgBase[location_name],$G447,AvgBase[job_title],$H447))*(Q237+P237)/2*(1-Q342))</f>
        <v>0</v>
      </c>
      <c r="R447" s="652">
        <f>IF($B447="",,IF(LEFT($H447,5)="dummy",SUMIFS(AvgBase[Month 7],AvgBase[job_title],$H447),SUMIFS(AvgBase[Month 7],AvgBase[exp_item],$J447,AvgBase[company_name],$B447,AvgBase[bu_name],$C447,AvgBase[dept_name],$D447,AvgBase[team_consolidation],$K447,AvgBase[location_name],$G447,AvgBase[job_title],$H447))*(R237+Q237)/2*(1-R342))</f>
        <v>0</v>
      </c>
      <c r="S447" s="652">
        <f>IF($B447="",,IF(LEFT($H447,5)="dummy",SUMIFS(AvgBase[Month 8],AvgBase[job_title],$H447),SUMIFS(AvgBase[Month 8],AvgBase[exp_item],$J447,AvgBase[company_name],$B447,AvgBase[bu_name],$C447,AvgBase[dept_name],$D447,AvgBase[team_consolidation],$K447,AvgBase[location_name],$G447,AvgBase[job_title],$H447))*(S237+R237)/2*(1-S342))</f>
        <v>0</v>
      </c>
      <c r="T447" s="652">
        <f>IF($B447="",,IF(LEFT($H447,5)="dummy",SUMIFS(AvgBase[Month 9],AvgBase[job_title],$H447),SUMIFS(AvgBase[Month 9],AvgBase[exp_item],$J447,AvgBase[company_name],$B447,AvgBase[bu_name],$C447,AvgBase[dept_name],$D447,AvgBase[team_consolidation],$K447,AvgBase[location_name],$G447,AvgBase[job_title],$H447))*(T237+S237)/2*(1-T342))</f>
        <v>0</v>
      </c>
      <c r="U447" s="652">
        <f>IF($B447="",,IF(LEFT($H447,5)="dummy",SUMIFS(AvgBase[Month 10],AvgBase[job_title],$H447),SUMIFS(AvgBase[Month 10],AvgBase[exp_item],$J447,AvgBase[company_name],$B447,AvgBase[bu_name],$C447,AvgBase[dept_name],$D447,AvgBase[team_consolidation],$K447,AvgBase[location_name],$G447,AvgBase[job_title],$H447))*(U237+T237)/2*(1-U342))</f>
        <v>0</v>
      </c>
      <c r="V447" s="652">
        <f>IF($B447="",,IF(LEFT($H447,5)="dummy",SUMIFS(AvgBase[Month 11],AvgBase[job_title],$H447),SUMIFS(AvgBase[Month 11],AvgBase[exp_item],$J447,AvgBase[company_name],$B447,AvgBase[bu_name],$C447,AvgBase[dept_name],$D447,AvgBase[team_consolidation],$K447,AvgBase[location_name],$G447,AvgBase[job_title],$H447))*(V237+U237)/2*(1-V342))</f>
        <v>0</v>
      </c>
      <c r="W447" s="652">
        <f>IF($B447="",,IF(LEFT($H447,5)="dummy",SUMIFS(AvgBase[Month 12],AvgBase[job_title],$H447),SUMIFS(AvgBase[Month 12],AvgBase[exp_item],$J447,AvgBase[company_name],$B447,AvgBase[bu_name],$C447,AvgBase[dept_name],$D447,AvgBase[team_consolidation],$K447,AvgBase[location_name],$G447,AvgBase[job_title],$H447))*(W237+V237)/2*(1-W342))</f>
        <v>0</v>
      </c>
      <c r="X447" s="652">
        <f>IF($B447="",,IF(LEFT($H447,5)="dummy",SUMIFS(AvgBase[Month 13],AvgBase[job_title],$H447),SUMIFS(AvgBase[Month 13],AvgBase[exp_item],$J447,AvgBase[company_name],$B447,AvgBase[bu_name],$C447,AvgBase[dept_name],$D447,AvgBase[team_consolidation],$K447,AvgBase[location_name],$G447,AvgBase[job_title],$H447))*(X237+W237)/2*(1-X342))</f>
        <v>0</v>
      </c>
      <c r="Y447" s="652">
        <f>IF($B447="",,IF(LEFT($H447,5)="dummy",SUMIFS(AvgBase[Month 14],AvgBase[job_title],$H447),SUMIFS(AvgBase[Month 14],AvgBase[exp_item],$J447,AvgBase[company_name],$B447,AvgBase[bu_name],$C447,AvgBase[dept_name],$D447,AvgBase[team_consolidation],$K447,AvgBase[location_name],$G447,AvgBase[job_title],$H447))*(Y237+X237)/2*(1-Y342))</f>
        <v>0</v>
      </c>
      <c r="Z447" s="652">
        <f>IF($B447="",,IF(LEFT($H447,5)="dummy",SUMIFS(AvgBase[Month 15],AvgBase[job_title],$H447),SUMIFS(AvgBase[Month 15],AvgBase[exp_item],$J447,AvgBase[company_name],$B447,AvgBase[bu_name],$C447,AvgBase[dept_name],$D447,AvgBase[team_consolidation],$K447,AvgBase[location_name],$G447,AvgBase[job_title],$H447))*(Z237+Y237)/2*(1-Z342))</f>
        <v>0</v>
      </c>
      <c r="AA447" s="652">
        <f>IF($B447="",,IF(LEFT($H447,5)="dummy",SUMIFS(AvgBase[Month 16],AvgBase[job_title],$H447),SUMIFS(AvgBase[Month 16],AvgBase[exp_item],$J447,AvgBase[company_name],$B447,AvgBase[bu_name],$C447,AvgBase[dept_name],$D447,AvgBase[team_consolidation],$K447,AvgBase[location_name],$G447,AvgBase[job_title],$H447))*(AA237+Z237)/2*(1-AA342))</f>
        <v>0</v>
      </c>
      <c r="AB447" s="652">
        <f>IF($B447="",,IF(LEFT($H447,5)="dummy",SUMIFS(AvgBase[Month 17],AvgBase[job_title],$H447),SUMIFS(AvgBase[Month 17],AvgBase[exp_item],$J447,AvgBase[company_name],$B447,AvgBase[bu_name],$C447,AvgBase[dept_name],$D447,AvgBase[team_consolidation],$K447,AvgBase[location_name],$G447,AvgBase[job_title],$H447))*(AB237+AA237)/2*(1-AB342))</f>
        <v>0</v>
      </c>
      <c r="AC447" s="652">
        <f>IF($B447="",,IF(LEFT($H447,5)="dummy",SUMIFS(AvgBase[Month 18],AvgBase[job_title],$H447),SUMIFS(AvgBase[Month 18],AvgBase[exp_item],$J447,AvgBase[company_name],$B447,AvgBase[bu_name],$C447,AvgBase[dept_name],$D447,AvgBase[team_consolidation],$K447,AvgBase[location_name],$G447,AvgBase[job_title],$H447))*(AC237+AB237)/2*(1-AC342))</f>
        <v>0</v>
      </c>
      <c r="AD447" s="652">
        <f>IF($B447="",,IF(LEFT($H447,5)="dummy",SUMIFS(AvgBase[Month 19],AvgBase[job_title],$H447),SUMIFS(AvgBase[Month 19],AvgBase[exp_item],$J447,AvgBase[company_name],$B447,AvgBase[bu_name],$C447,AvgBase[dept_name],$D447,AvgBase[team_consolidation],$K447,AvgBase[location_name],$G447,AvgBase[job_title],$H447))*(AD237+AC237)/2*(1-AD342))</f>
        <v>0</v>
      </c>
      <c r="AE447" s="652">
        <f>IF($B447="",,IF(LEFT($H447,5)="dummy",SUMIFS(AvgBase[Month 20],AvgBase[job_title],$H447),SUMIFS(AvgBase[Month 20],AvgBase[exp_item],$J447,AvgBase[company_name],$B447,AvgBase[bu_name],$C447,AvgBase[dept_name],$D447,AvgBase[team_consolidation],$K447,AvgBase[location_name],$G447,AvgBase[job_title],$H447))*(AE237+AD237)/2*(1-AE342))</f>
        <v>0</v>
      </c>
      <c r="AF447" s="652">
        <f>IF($B447="",,IF(LEFT($H447,5)="dummy",SUMIFS(AvgBase[Month 21],AvgBase[job_title],$H447),SUMIFS(AvgBase[Month 21],AvgBase[exp_item],$J447,AvgBase[company_name],$B447,AvgBase[bu_name],$C447,AvgBase[dept_name],$D447,AvgBase[team_consolidation],$K447,AvgBase[location_name],$G447,AvgBase[job_title],$H447))*(AF237+AE237)/2*(1-AF342))</f>
        <v>0</v>
      </c>
      <c r="AG447" s="652">
        <f>IF($B447="",,IF(LEFT($H447,5)="dummy",SUMIFS(AvgBase[Month 22],AvgBase[job_title],$H447),SUMIFS(AvgBase[Month 22],AvgBase[exp_item],$J447,AvgBase[company_name],$B447,AvgBase[bu_name],$C447,AvgBase[dept_name],$D447,AvgBase[team_consolidation],$K447,AvgBase[location_name],$G447,AvgBase[job_title],$H447))*(AG237+AF237)/2*(1-AG342))</f>
        <v>0</v>
      </c>
      <c r="AH447" s="652">
        <f>IF($B447="",,IF(LEFT($H447,5)="dummy",SUMIFS(AvgBase[Month 23],AvgBase[job_title],$H447),SUMIFS(AvgBase[Month 23],AvgBase[exp_item],$J447,AvgBase[company_name],$B447,AvgBase[bu_name],$C447,AvgBase[dept_name],$D447,AvgBase[team_consolidation],$K447,AvgBase[location_name],$G447,AvgBase[job_title],$H447))*(AH237+AG237)/2*(1-AH342))</f>
        <v>0</v>
      </c>
      <c r="AI447" s="652">
        <f>IF($B447="",,IF(LEFT($H447,5)="dummy",SUMIFS(AvgBase[Month 24],AvgBase[job_title],$H447),SUMIFS(AvgBase[Month 24],AvgBase[exp_item],$J447,AvgBase[company_name],$B447,AvgBase[bu_name],$C447,AvgBase[dept_name],$D447,AvgBase[team_consolidation],$K447,AvgBase[location_name],$G447,AvgBase[job_title],$H447))*(AI237+AH237)/2*(1-AI342))</f>
        <v>0</v>
      </c>
      <c r="AJ447" s="652">
        <f>IF($B447="",,IF(LEFT($H447,5)="dummy",SUMIFS(AvgBase[Month 25],AvgBase[job_title],$H447),SUMIFS(AvgBase[Month 25],AvgBase[exp_item],$J447,AvgBase[company_name],$B447,AvgBase[bu_name],$C447,AvgBase[dept_name],$D447,AvgBase[team_consolidation],$K447,AvgBase[location_name],$G447,AvgBase[job_title],$H447))*(AJ237+AI237)/2*(1-AJ342))</f>
        <v>0</v>
      </c>
      <c r="AK447" s="652">
        <f>IF($B447="",,IF(LEFT($H447,5)="dummy",SUMIFS(AvgBase[Month 26],AvgBase[job_title],$H447),SUMIFS(AvgBase[Month 26],AvgBase[exp_item],$J447,AvgBase[company_name],$B447,AvgBase[bu_name],$C447,AvgBase[dept_name],$D447,AvgBase[team_consolidation],$K447,AvgBase[location_name],$G447,AvgBase[job_title],$H447))*(AK237+AJ237)/2*(1-AK342))</f>
        <v>0</v>
      </c>
      <c r="AL447" s="652">
        <f>IF($B447="",,IF(LEFT($H447,5)="dummy",SUMIFS(AvgBase[Month 27],AvgBase[job_title],$H447),SUMIFS(AvgBase[Month 27],AvgBase[exp_item],$J447,AvgBase[company_name],$B447,AvgBase[bu_name],$C447,AvgBase[dept_name],$D447,AvgBase[team_consolidation],$K447,AvgBase[location_name],$G447,AvgBase[job_title],$H447))*(AL237+AK237)/2*(1-AL342))</f>
        <v>0</v>
      </c>
      <c r="AM447" s="652">
        <f>IF($B447="",,IF(LEFT($H447,5)="dummy",SUMIFS(AvgBase[Month 28],AvgBase[job_title],$H447),SUMIFS(AvgBase[Month 28],AvgBase[exp_item],$J447,AvgBase[company_name],$B447,AvgBase[bu_name],$C447,AvgBase[dept_name],$D447,AvgBase[team_consolidation],$K447,AvgBase[location_name],$G447,AvgBase[job_title],$H447))*(AM237+AL237)/2*(1-AM342))</f>
        <v>0</v>
      </c>
      <c r="AN447" s="652">
        <f>IF($B447="",,IF(LEFT($H447,5)="dummy",SUMIFS(AvgBase[Month 29],AvgBase[job_title],$H447),SUMIFS(AvgBase[Month 29],AvgBase[exp_item],$J447,AvgBase[company_name],$B447,AvgBase[bu_name],$C447,AvgBase[dept_name],$D447,AvgBase[team_consolidation],$K447,AvgBase[location_name],$G447,AvgBase[job_title],$H447))*(AN237+AM237)/2*(1-AN342))</f>
        <v>0</v>
      </c>
      <c r="AO447" s="652">
        <f>IF($B447="",,IF(LEFT($H447,5)="dummy",SUMIFS(AvgBase[Month 30],AvgBase[job_title],$H447),SUMIFS(AvgBase[Month 30],AvgBase[exp_item],$J447,AvgBase[company_name],$B447,AvgBase[bu_name],$C447,AvgBase[dept_name],$D447,AvgBase[team_consolidation],$K447,AvgBase[location_name],$G447,AvgBase[job_title],$H447))*(AO237+AN237)/2*(1-AO342))</f>
        <v>0</v>
      </c>
      <c r="AP447" s="652">
        <f>IF($B447="",,IF(LEFT($H447,5)="dummy",SUMIFS(AvgBase[Month 31],AvgBase[job_title],$H447),SUMIFS(AvgBase[Month 31],AvgBase[exp_item],$J447,AvgBase[company_name],$B447,AvgBase[bu_name],$C447,AvgBase[dept_name],$D447,AvgBase[team_consolidation],$K447,AvgBase[location_name],$G447,AvgBase[job_title],$H447))*(AP237+AO237)/2*(1-AP342))</f>
        <v>0</v>
      </c>
      <c r="AQ447" s="652">
        <f>IF($B447="",,IF(LEFT($H447,5)="dummy",SUMIFS(AvgBase[Month 32],AvgBase[job_title],$H447),SUMIFS(AvgBase[Month 32],AvgBase[exp_item],$J447,AvgBase[company_name],$B447,AvgBase[bu_name],$C447,AvgBase[dept_name],$D447,AvgBase[team_consolidation],$K447,AvgBase[location_name],$G447,AvgBase[job_title],$H447))*(AQ237+AP237)/2*(1-AQ342))</f>
        <v>0</v>
      </c>
      <c r="AR447" s="652">
        <f>IF($B447="",,IF(LEFT($H447,5)="dummy",SUMIFS(AvgBase[Month 33],AvgBase[job_title],$H447),SUMIFS(AvgBase[Month 33],AvgBase[exp_item],$J447,AvgBase[company_name],$B447,AvgBase[bu_name],$C447,AvgBase[dept_name],$D447,AvgBase[team_consolidation],$K447,AvgBase[location_name],$G447,AvgBase[job_title],$H447))*(AR237+AQ237)/2*(1-AR342))</f>
        <v>0</v>
      </c>
      <c r="AS447" s="652">
        <f>IF($B447="",,IF(LEFT($H447,5)="dummy",SUMIFS(AvgBase[Month 34],AvgBase[job_title],$H447),SUMIFS(AvgBase[Month 34],AvgBase[exp_item],$J447,AvgBase[company_name],$B447,AvgBase[bu_name],$C447,AvgBase[dept_name],$D447,AvgBase[team_consolidation],$K447,AvgBase[location_name],$G447,AvgBase[job_title],$H447))*(AS237+AR237)/2*(1-AS342))</f>
        <v>0</v>
      </c>
      <c r="AT447" s="652">
        <f>IF($B447="",,IF(LEFT($H447,5)="dummy",SUMIFS(AvgBase[Month 35],AvgBase[job_title],$H447),SUMIFS(AvgBase[Month 35],AvgBase[exp_item],$J447,AvgBase[company_name],$B447,AvgBase[bu_name],$C447,AvgBase[dept_name],$D447,AvgBase[team_consolidation],$K447,AvgBase[location_name],$G447,AvgBase[job_title],$H447))*(AT237+AS237)/2*(1-AT342))</f>
        <v>0</v>
      </c>
      <c r="AU447" s="652">
        <f>IF($B447="",,IF(LEFT($H447,5)="dummy",SUMIFS(AvgBase[Month 36],AvgBase[job_title],$H447),SUMIFS(AvgBase[Month 36],AvgBase[exp_item],$J447,AvgBase[company_name],$B447,AvgBase[bu_name],$C447,AvgBase[dept_name],$D447,AvgBase[team_consolidation],$K447,AvgBase[location_name],$G447,AvgBase[job_title],$H447))*(AU237+AT237)/2*(1-AU342))</f>
        <v>0</v>
      </c>
    </row>
    <row r="448" spans="2:47" x14ac:dyDescent="0.35">
      <c r="B448" t="str">
        <f t="shared" si="281"/>
        <v/>
      </c>
      <c r="C448" t="str">
        <f t="shared" si="281"/>
        <v/>
      </c>
      <c r="D448" t="str">
        <f t="shared" si="281"/>
        <v/>
      </c>
      <c r="E448" t="str">
        <f t="shared" si="281"/>
        <v/>
      </c>
      <c r="F448" t="str">
        <f t="shared" si="281"/>
        <v/>
      </c>
      <c r="G448" t="str">
        <f t="shared" si="281"/>
        <v/>
      </c>
      <c r="H448" t="str">
        <f t="shared" si="279"/>
        <v/>
      </c>
      <c r="J448" t="str">
        <f>IF($H448="","",IF(VLOOKUP($B$395,ExpItems[],2,0),$B$395&amp;" - "&amp;INDEX(DivisionMapping[category_code],MATCH($D448&amp;$C448,DivisionMapping[dept_bu],0)),$B$395))</f>
        <v/>
      </c>
      <c r="K448" t="str">
        <f t="shared" si="275"/>
        <v/>
      </c>
      <c r="L448" s="652">
        <f>IF($B448="",,IF(LEFT($H448,5)="dummy",SUMIFS(AvgBase[Month 1],AvgBase[job_title],$H448),SUMIFS(AvgBase[Month 1],AvgBase[exp_item],$J448,AvgBase[company_name],$B448,AvgBase[bu_name],$C448,AvgBase[dept_name],$D448,AvgBase[team_consolidation],$K448,AvgBase[location_name],$G448,AvgBase[job_title],$H448))*L238/2*(1-L343))</f>
        <v>0</v>
      </c>
      <c r="M448" s="652">
        <f>IF($B448="",,IF(LEFT($H448,5)="dummy",SUMIFS(AvgBase[Month 2],AvgBase[job_title],$H448),SUMIFS(AvgBase[Month 2],AvgBase[exp_item],$J448,AvgBase[company_name],$B448,AvgBase[bu_name],$C448,AvgBase[dept_name],$D448,AvgBase[team_consolidation],$K448,AvgBase[location_name],$G448,AvgBase[job_title],$H448))*(M238+L238)/2*(1-M343))</f>
        <v>0</v>
      </c>
      <c r="N448" s="652">
        <f>IF($B448="",,IF(LEFT($H448,5)="dummy",SUMIFS(AvgBase[Month 3],AvgBase[job_title],$H448),SUMIFS(AvgBase[Month 3],AvgBase[exp_item],$J448,AvgBase[company_name],$B448,AvgBase[bu_name],$C448,AvgBase[dept_name],$D448,AvgBase[team_consolidation],$K448,AvgBase[location_name],$G448,AvgBase[job_title],$H448))*(N238+M238)/2*(1-N343))</f>
        <v>0</v>
      </c>
      <c r="O448" s="652">
        <f>IF($B448="",,IF(LEFT($H448,5)="dummy",SUMIFS(AvgBase[Month 4],AvgBase[job_title],$H448),SUMIFS(AvgBase[Month 4],AvgBase[exp_item],$J448,AvgBase[company_name],$B448,AvgBase[bu_name],$C448,AvgBase[dept_name],$D448,AvgBase[team_consolidation],$K448,AvgBase[location_name],$G448,AvgBase[job_title],$H448))*(O238+N238)/2*(1-O343))</f>
        <v>0</v>
      </c>
      <c r="P448" s="652">
        <f>IF($B448="",,IF(LEFT($H448,5)="dummy",SUMIFS(AvgBase[Month 5],AvgBase[job_title],$H448),SUMIFS(AvgBase[Month 5],AvgBase[exp_item],$J448,AvgBase[company_name],$B448,AvgBase[bu_name],$C448,AvgBase[dept_name],$D448,AvgBase[team_consolidation],$K448,AvgBase[location_name],$G448,AvgBase[job_title],$H448))*(P238+O238)/2*(1-P343))</f>
        <v>0</v>
      </c>
      <c r="Q448" s="652">
        <f>IF($B448="",,IF(LEFT($H448,5)="dummy",SUMIFS(AvgBase[Month 6],AvgBase[job_title],$H448),SUMIFS(AvgBase[Month 6],AvgBase[exp_item],$J448,AvgBase[company_name],$B448,AvgBase[bu_name],$C448,AvgBase[dept_name],$D448,AvgBase[team_consolidation],$K448,AvgBase[location_name],$G448,AvgBase[job_title],$H448))*(Q238+P238)/2*(1-Q343))</f>
        <v>0</v>
      </c>
      <c r="R448" s="652">
        <f>IF($B448="",,IF(LEFT($H448,5)="dummy",SUMIFS(AvgBase[Month 7],AvgBase[job_title],$H448),SUMIFS(AvgBase[Month 7],AvgBase[exp_item],$J448,AvgBase[company_name],$B448,AvgBase[bu_name],$C448,AvgBase[dept_name],$D448,AvgBase[team_consolidation],$K448,AvgBase[location_name],$G448,AvgBase[job_title],$H448))*(R238+Q238)/2*(1-R343))</f>
        <v>0</v>
      </c>
      <c r="S448" s="652">
        <f>IF($B448="",,IF(LEFT($H448,5)="dummy",SUMIFS(AvgBase[Month 8],AvgBase[job_title],$H448),SUMIFS(AvgBase[Month 8],AvgBase[exp_item],$J448,AvgBase[company_name],$B448,AvgBase[bu_name],$C448,AvgBase[dept_name],$D448,AvgBase[team_consolidation],$K448,AvgBase[location_name],$G448,AvgBase[job_title],$H448))*(S238+R238)/2*(1-S343))</f>
        <v>0</v>
      </c>
      <c r="T448" s="652">
        <f>IF($B448="",,IF(LEFT($H448,5)="dummy",SUMIFS(AvgBase[Month 9],AvgBase[job_title],$H448),SUMIFS(AvgBase[Month 9],AvgBase[exp_item],$J448,AvgBase[company_name],$B448,AvgBase[bu_name],$C448,AvgBase[dept_name],$D448,AvgBase[team_consolidation],$K448,AvgBase[location_name],$G448,AvgBase[job_title],$H448))*(T238+S238)/2*(1-T343))</f>
        <v>0</v>
      </c>
      <c r="U448" s="652">
        <f>IF($B448="",,IF(LEFT($H448,5)="dummy",SUMIFS(AvgBase[Month 10],AvgBase[job_title],$H448),SUMIFS(AvgBase[Month 10],AvgBase[exp_item],$J448,AvgBase[company_name],$B448,AvgBase[bu_name],$C448,AvgBase[dept_name],$D448,AvgBase[team_consolidation],$K448,AvgBase[location_name],$G448,AvgBase[job_title],$H448))*(U238+T238)/2*(1-U343))</f>
        <v>0</v>
      </c>
      <c r="V448" s="652">
        <f>IF($B448="",,IF(LEFT($H448,5)="dummy",SUMIFS(AvgBase[Month 11],AvgBase[job_title],$H448),SUMIFS(AvgBase[Month 11],AvgBase[exp_item],$J448,AvgBase[company_name],$B448,AvgBase[bu_name],$C448,AvgBase[dept_name],$D448,AvgBase[team_consolidation],$K448,AvgBase[location_name],$G448,AvgBase[job_title],$H448))*(V238+U238)/2*(1-V343))</f>
        <v>0</v>
      </c>
      <c r="W448" s="652">
        <f>IF($B448="",,IF(LEFT($H448,5)="dummy",SUMIFS(AvgBase[Month 12],AvgBase[job_title],$H448),SUMIFS(AvgBase[Month 12],AvgBase[exp_item],$J448,AvgBase[company_name],$B448,AvgBase[bu_name],$C448,AvgBase[dept_name],$D448,AvgBase[team_consolidation],$K448,AvgBase[location_name],$G448,AvgBase[job_title],$H448))*(W238+V238)/2*(1-W343))</f>
        <v>0</v>
      </c>
      <c r="X448" s="652">
        <f>IF($B448="",,IF(LEFT($H448,5)="dummy",SUMIFS(AvgBase[Month 13],AvgBase[job_title],$H448),SUMIFS(AvgBase[Month 13],AvgBase[exp_item],$J448,AvgBase[company_name],$B448,AvgBase[bu_name],$C448,AvgBase[dept_name],$D448,AvgBase[team_consolidation],$K448,AvgBase[location_name],$G448,AvgBase[job_title],$H448))*(X238+W238)/2*(1-X343))</f>
        <v>0</v>
      </c>
      <c r="Y448" s="652">
        <f>IF($B448="",,IF(LEFT($H448,5)="dummy",SUMIFS(AvgBase[Month 14],AvgBase[job_title],$H448),SUMIFS(AvgBase[Month 14],AvgBase[exp_item],$J448,AvgBase[company_name],$B448,AvgBase[bu_name],$C448,AvgBase[dept_name],$D448,AvgBase[team_consolidation],$K448,AvgBase[location_name],$G448,AvgBase[job_title],$H448))*(Y238+X238)/2*(1-Y343))</f>
        <v>0</v>
      </c>
      <c r="Z448" s="652">
        <f>IF($B448="",,IF(LEFT($H448,5)="dummy",SUMIFS(AvgBase[Month 15],AvgBase[job_title],$H448),SUMIFS(AvgBase[Month 15],AvgBase[exp_item],$J448,AvgBase[company_name],$B448,AvgBase[bu_name],$C448,AvgBase[dept_name],$D448,AvgBase[team_consolidation],$K448,AvgBase[location_name],$G448,AvgBase[job_title],$H448))*(Z238+Y238)/2*(1-Z343))</f>
        <v>0</v>
      </c>
      <c r="AA448" s="652">
        <f>IF($B448="",,IF(LEFT($H448,5)="dummy",SUMIFS(AvgBase[Month 16],AvgBase[job_title],$H448),SUMIFS(AvgBase[Month 16],AvgBase[exp_item],$J448,AvgBase[company_name],$B448,AvgBase[bu_name],$C448,AvgBase[dept_name],$D448,AvgBase[team_consolidation],$K448,AvgBase[location_name],$G448,AvgBase[job_title],$H448))*(AA238+Z238)/2*(1-AA343))</f>
        <v>0</v>
      </c>
      <c r="AB448" s="652">
        <f>IF($B448="",,IF(LEFT($H448,5)="dummy",SUMIFS(AvgBase[Month 17],AvgBase[job_title],$H448),SUMIFS(AvgBase[Month 17],AvgBase[exp_item],$J448,AvgBase[company_name],$B448,AvgBase[bu_name],$C448,AvgBase[dept_name],$D448,AvgBase[team_consolidation],$K448,AvgBase[location_name],$G448,AvgBase[job_title],$H448))*(AB238+AA238)/2*(1-AB343))</f>
        <v>0</v>
      </c>
      <c r="AC448" s="652">
        <f>IF($B448="",,IF(LEFT($H448,5)="dummy",SUMIFS(AvgBase[Month 18],AvgBase[job_title],$H448),SUMIFS(AvgBase[Month 18],AvgBase[exp_item],$J448,AvgBase[company_name],$B448,AvgBase[bu_name],$C448,AvgBase[dept_name],$D448,AvgBase[team_consolidation],$K448,AvgBase[location_name],$G448,AvgBase[job_title],$H448))*(AC238+AB238)/2*(1-AC343))</f>
        <v>0</v>
      </c>
      <c r="AD448" s="652">
        <f>IF($B448="",,IF(LEFT($H448,5)="dummy",SUMIFS(AvgBase[Month 19],AvgBase[job_title],$H448),SUMIFS(AvgBase[Month 19],AvgBase[exp_item],$J448,AvgBase[company_name],$B448,AvgBase[bu_name],$C448,AvgBase[dept_name],$D448,AvgBase[team_consolidation],$K448,AvgBase[location_name],$G448,AvgBase[job_title],$H448))*(AD238+AC238)/2*(1-AD343))</f>
        <v>0</v>
      </c>
      <c r="AE448" s="652">
        <f>IF($B448="",,IF(LEFT($H448,5)="dummy",SUMIFS(AvgBase[Month 20],AvgBase[job_title],$H448),SUMIFS(AvgBase[Month 20],AvgBase[exp_item],$J448,AvgBase[company_name],$B448,AvgBase[bu_name],$C448,AvgBase[dept_name],$D448,AvgBase[team_consolidation],$K448,AvgBase[location_name],$G448,AvgBase[job_title],$H448))*(AE238+AD238)/2*(1-AE343))</f>
        <v>0</v>
      </c>
      <c r="AF448" s="652">
        <f>IF($B448="",,IF(LEFT($H448,5)="dummy",SUMIFS(AvgBase[Month 21],AvgBase[job_title],$H448),SUMIFS(AvgBase[Month 21],AvgBase[exp_item],$J448,AvgBase[company_name],$B448,AvgBase[bu_name],$C448,AvgBase[dept_name],$D448,AvgBase[team_consolidation],$K448,AvgBase[location_name],$G448,AvgBase[job_title],$H448))*(AF238+AE238)/2*(1-AF343))</f>
        <v>0</v>
      </c>
      <c r="AG448" s="652">
        <f>IF($B448="",,IF(LEFT($H448,5)="dummy",SUMIFS(AvgBase[Month 22],AvgBase[job_title],$H448),SUMIFS(AvgBase[Month 22],AvgBase[exp_item],$J448,AvgBase[company_name],$B448,AvgBase[bu_name],$C448,AvgBase[dept_name],$D448,AvgBase[team_consolidation],$K448,AvgBase[location_name],$G448,AvgBase[job_title],$H448))*(AG238+AF238)/2*(1-AG343))</f>
        <v>0</v>
      </c>
      <c r="AH448" s="652">
        <f>IF($B448="",,IF(LEFT($H448,5)="dummy",SUMIFS(AvgBase[Month 23],AvgBase[job_title],$H448),SUMIFS(AvgBase[Month 23],AvgBase[exp_item],$J448,AvgBase[company_name],$B448,AvgBase[bu_name],$C448,AvgBase[dept_name],$D448,AvgBase[team_consolidation],$K448,AvgBase[location_name],$G448,AvgBase[job_title],$H448))*(AH238+AG238)/2*(1-AH343))</f>
        <v>0</v>
      </c>
      <c r="AI448" s="652">
        <f>IF($B448="",,IF(LEFT($H448,5)="dummy",SUMIFS(AvgBase[Month 24],AvgBase[job_title],$H448),SUMIFS(AvgBase[Month 24],AvgBase[exp_item],$J448,AvgBase[company_name],$B448,AvgBase[bu_name],$C448,AvgBase[dept_name],$D448,AvgBase[team_consolidation],$K448,AvgBase[location_name],$G448,AvgBase[job_title],$H448))*(AI238+AH238)/2*(1-AI343))</f>
        <v>0</v>
      </c>
      <c r="AJ448" s="652">
        <f>IF($B448="",,IF(LEFT($H448,5)="dummy",SUMIFS(AvgBase[Month 25],AvgBase[job_title],$H448),SUMIFS(AvgBase[Month 25],AvgBase[exp_item],$J448,AvgBase[company_name],$B448,AvgBase[bu_name],$C448,AvgBase[dept_name],$D448,AvgBase[team_consolidation],$K448,AvgBase[location_name],$G448,AvgBase[job_title],$H448))*(AJ238+AI238)/2*(1-AJ343))</f>
        <v>0</v>
      </c>
      <c r="AK448" s="652">
        <f>IF($B448="",,IF(LEFT($H448,5)="dummy",SUMIFS(AvgBase[Month 26],AvgBase[job_title],$H448),SUMIFS(AvgBase[Month 26],AvgBase[exp_item],$J448,AvgBase[company_name],$B448,AvgBase[bu_name],$C448,AvgBase[dept_name],$D448,AvgBase[team_consolidation],$K448,AvgBase[location_name],$G448,AvgBase[job_title],$H448))*(AK238+AJ238)/2*(1-AK343))</f>
        <v>0</v>
      </c>
      <c r="AL448" s="652">
        <f>IF($B448="",,IF(LEFT($H448,5)="dummy",SUMIFS(AvgBase[Month 27],AvgBase[job_title],$H448),SUMIFS(AvgBase[Month 27],AvgBase[exp_item],$J448,AvgBase[company_name],$B448,AvgBase[bu_name],$C448,AvgBase[dept_name],$D448,AvgBase[team_consolidation],$K448,AvgBase[location_name],$G448,AvgBase[job_title],$H448))*(AL238+AK238)/2*(1-AL343))</f>
        <v>0</v>
      </c>
      <c r="AM448" s="652">
        <f>IF($B448="",,IF(LEFT($H448,5)="dummy",SUMIFS(AvgBase[Month 28],AvgBase[job_title],$H448),SUMIFS(AvgBase[Month 28],AvgBase[exp_item],$J448,AvgBase[company_name],$B448,AvgBase[bu_name],$C448,AvgBase[dept_name],$D448,AvgBase[team_consolidation],$K448,AvgBase[location_name],$G448,AvgBase[job_title],$H448))*(AM238+AL238)/2*(1-AM343))</f>
        <v>0</v>
      </c>
      <c r="AN448" s="652">
        <f>IF($B448="",,IF(LEFT($H448,5)="dummy",SUMIFS(AvgBase[Month 29],AvgBase[job_title],$H448),SUMIFS(AvgBase[Month 29],AvgBase[exp_item],$J448,AvgBase[company_name],$B448,AvgBase[bu_name],$C448,AvgBase[dept_name],$D448,AvgBase[team_consolidation],$K448,AvgBase[location_name],$G448,AvgBase[job_title],$H448))*(AN238+AM238)/2*(1-AN343))</f>
        <v>0</v>
      </c>
      <c r="AO448" s="652">
        <f>IF($B448="",,IF(LEFT($H448,5)="dummy",SUMIFS(AvgBase[Month 30],AvgBase[job_title],$H448),SUMIFS(AvgBase[Month 30],AvgBase[exp_item],$J448,AvgBase[company_name],$B448,AvgBase[bu_name],$C448,AvgBase[dept_name],$D448,AvgBase[team_consolidation],$K448,AvgBase[location_name],$G448,AvgBase[job_title],$H448))*(AO238+AN238)/2*(1-AO343))</f>
        <v>0</v>
      </c>
      <c r="AP448" s="652">
        <f>IF($B448="",,IF(LEFT($H448,5)="dummy",SUMIFS(AvgBase[Month 31],AvgBase[job_title],$H448),SUMIFS(AvgBase[Month 31],AvgBase[exp_item],$J448,AvgBase[company_name],$B448,AvgBase[bu_name],$C448,AvgBase[dept_name],$D448,AvgBase[team_consolidation],$K448,AvgBase[location_name],$G448,AvgBase[job_title],$H448))*(AP238+AO238)/2*(1-AP343))</f>
        <v>0</v>
      </c>
      <c r="AQ448" s="652">
        <f>IF($B448="",,IF(LEFT($H448,5)="dummy",SUMIFS(AvgBase[Month 32],AvgBase[job_title],$H448),SUMIFS(AvgBase[Month 32],AvgBase[exp_item],$J448,AvgBase[company_name],$B448,AvgBase[bu_name],$C448,AvgBase[dept_name],$D448,AvgBase[team_consolidation],$K448,AvgBase[location_name],$G448,AvgBase[job_title],$H448))*(AQ238+AP238)/2*(1-AQ343))</f>
        <v>0</v>
      </c>
      <c r="AR448" s="652">
        <f>IF($B448="",,IF(LEFT($H448,5)="dummy",SUMIFS(AvgBase[Month 33],AvgBase[job_title],$H448),SUMIFS(AvgBase[Month 33],AvgBase[exp_item],$J448,AvgBase[company_name],$B448,AvgBase[bu_name],$C448,AvgBase[dept_name],$D448,AvgBase[team_consolidation],$K448,AvgBase[location_name],$G448,AvgBase[job_title],$H448))*(AR238+AQ238)/2*(1-AR343))</f>
        <v>0</v>
      </c>
      <c r="AS448" s="652">
        <f>IF($B448="",,IF(LEFT($H448,5)="dummy",SUMIFS(AvgBase[Month 34],AvgBase[job_title],$H448),SUMIFS(AvgBase[Month 34],AvgBase[exp_item],$J448,AvgBase[company_name],$B448,AvgBase[bu_name],$C448,AvgBase[dept_name],$D448,AvgBase[team_consolidation],$K448,AvgBase[location_name],$G448,AvgBase[job_title],$H448))*(AS238+AR238)/2*(1-AS343))</f>
        <v>0</v>
      </c>
      <c r="AT448" s="652">
        <f>IF($B448="",,IF(LEFT($H448,5)="dummy",SUMIFS(AvgBase[Month 35],AvgBase[job_title],$H448),SUMIFS(AvgBase[Month 35],AvgBase[exp_item],$J448,AvgBase[company_name],$B448,AvgBase[bu_name],$C448,AvgBase[dept_name],$D448,AvgBase[team_consolidation],$K448,AvgBase[location_name],$G448,AvgBase[job_title],$H448))*(AT238+AS238)/2*(1-AT343))</f>
        <v>0</v>
      </c>
      <c r="AU448" s="652">
        <f>IF($B448="",,IF(LEFT($H448,5)="dummy",SUMIFS(AvgBase[Month 36],AvgBase[job_title],$H448),SUMIFS(AvgBase[Month 36],AvgBase[exp_item],$J448,AvgBase[company_name],$B448,AvgBase[bu_name],$C448,AvgBase[dept_name],$D448,AvgBase[team_consolidation],$K448,AvgBase[location_name],$G448,AvgBase[job_title],$H448))*(AU238+AT238)/2*(1-AU343))</f>
        <v>0</v>
      </c>
    </row>
    <row r="449" spans="2:47" x14ac:dyDescent="0.35">
      <c r="B449" t="str">
        <f t="shared" si="281"/>
        <v/>
      </c>
      <c r="C449" t="str">
        <f t="shared" si="281"/>
        <v/>
      </c>
      <c r="D449" t="str">
        <f t="shared" si="281"/>
        <v/>
      </c>
      <c r="E449" t="str">
        <f t="shared" si="281"/>
        <v/>
      </c>
      <c r="F449" t="str">
        <f t="shared" si="281"/>
        <v/>
      </c>
      <c r="G449" t="str">
        <f t="shared" si="281"/>
        <v/>
      </c>
      <c r="H449" t="str">
        <f t="shared" si="279"/>
        <v/>
      </c>
      <c r="J449" t="str">
        <f>IF($H449="","",IF(VLOOKUP($B$395,ExpItems[],2,0),$B$395&amp;" - "&amp;INDEX(DivisionMapping[category_code],MATCH($D449&amp;$C449,DivisionMapping[dept_bu],0)),$B$395))</f>
        <v/>
      </c>
      <c r="K449" t="str">
        <f t="shared" si="275"/>
        <v/>
      </c>
      <c r="L449" s="652">
        <f>IF($B449="",,IF(LEFT($H449,5)="dummy",SUMIFS(AvgBase[Month 1],AvgBase[job_title],$H449),SUMIFS(AvgBase[Month 1],AvgBase[exp_item],$J449,AvgBase[company_name],$B449,AvgBase[bu_name],$C449,AvgBase[dept_name],$D449,AvgBase[team_consolidation],$K449,AvgBase[location_name],$G449,AvgBase[job_title],$H449))*L239/2*(1-L344))</f>
        <v>0</v>
      </c>
      <c r="M449" s="652">
        <f>IF($B449="",,IF(LEFT($H449,5)="dummy",SUMIFS(AvgBase[Month 2],AvgBase[job_title],$H449),SUMIFS(AvgBase[Month 2],AvgBase[exp_item],$J449,AvgBase[company_name],$B449,AvgBase[bu_name],$C449,AvgBase[dept_name],$D449,AvgBase[team_consolidation],$K449,AvgBase[location_name],$G449,AvgBase[job_title],$H449))*(M239+L239)/2*(1-M344))</f>
        <v>0</v>
      </c>
      <c r="N449" s="652">
        <f>IF($B449="",,IF(LEFT($H449,5)="dummy",SUMIFS(AvgBase[Month 3],AvgBase[job_title],$H449),SUMIFS(AvgBase[Month 3],AvgBase[exp_item],$J449,AvgBase[company_name],$B449,AvgBase[bu_name],$C449,AvgBase[dept_name],$D449,AvgBase[team_consolidation],$K449,AvgBase[location_name],$G449,AvgBase[job_title],$H449))*(N239+M239)/2*(1-N344))</f>
        <v>0</v>
      </c>
      <c r="O449" s="652">
        <f>IF($B449="",,IF(LEFT($H449,5)="dummy",SUMIFS(AvgBase[Month 4],AvgBase[job_title],$H449),SUMIFS(AvgBase[Month 4],AvgBase[exp_item],$J449,AvgBase[company_name],$B449,AvgBase[bu_name],$C449,AvgBase[dept_name],$D449,AvgBase[team_consolidation],$K449,AvgBase[location_name],$G449,AvgBase[job_title],$H449))*(O239+N239)/2*(1-O344))</f>
        <v>0</v>
      </c>
      <c r="P449" s="652">
        <f>IF($B449="",,IF(LEFT($H449,5)="dummy",SUMIFS(AvgBase[Month 5],AvgBase[job_title],$H449),SUMIFS(AvgBase[Month 5],AvgBase[exp_item],$J449,AvgBase[company_name],$B449,AvgBase[bu_name],$C449,AvgBase[dept_name],$D449,AvgBase[team_consolidation],$K449,AvgBase[location_name],$G449,AvgBase[job_title],$H449))*(P239+O239)/2*(1-P344))</f>
        <v>0</v>
      </c>
      <c r="Q449" s="652">
        <f>IF($B449="",,IF(LEFT($H449,5)="dummy",SUMIFS(AvgBase[Month 6],AvgBase[job_title],$H449),SUMIFS(AvgBase[Month 6],AvgBase[exp_item],$J449,AvgBase[company_name],$B449,AvgBase[bu_name],$C449,AvgBase[dept_name],$D449,AvgBase[team_consolidation],$K449,AvgBase[location_name],$G449,AvgBase[job_title],$H449))*(Q239+P239)/2*(1-Q344))</f>
        <v>0</v>
      </c>
      <c r="R449" s="652">
        <f>IF($B449="",,IF(LEFT($H449,5)="dummy",SUMIFS(AvgBase[Month 7],AvgBase[job_title],$H449),SUMIFS(AvgBase[Month 7],AvgBase[exp_item],$J449,AvgBase[company_name],$B449,AvgBase[bu_name],$C449,AvgBase[dept_name],$D449,AvgBase[team_consolidation],$K449,AvgBase[location_name],$G449,AvgBase[job_title],$H449))*(R239+Q239)/2*(1-R344))</f>
        <v>0</v>
      </c>
      <c r="S449" s="652">
        <f>IF($B449="",,IF(LEFT($H449,5)="dummy",SUMIFS(AvgBase[Month 8],AvgBase[job_title],$H449),SUMIFS(AvgBase[Month 8],AvgBase[exp_item],$J449,AvgBase[company_name],$B449,AvgBase[bu_name],$C449,AvgBase[dept_name],$D449,AvgBase[team_consolidation],$K449,AvgBase[location_name],$G449,AvgBase[job_title],$H449))*(S239+R239)/2*(1-S344))</f>
        <v>0</v>
      </c>
      <c r="T449" s="652">
        <f>IF($B449="",,IF(LEFT($H449,5)="dummy",SUMIFS(AvgBase[Month 9],AvgBase[job_title],$H449),SUMIFS(AvgBase[Month 9],AvgBase[exp_item],$J449,AvgBase[company_name],$B449,AvgBase[bu_name],$C449,AvgBase[dept_name],$D449,AvgBase[team_consolidation],$K449,AvgBase[location_name],$G449,AvgBase[job_title],$H449))*(T239+S239)/2*(1-T344))</f>
        <v>0</v>
      </c>
      <c r="U449" s="652">
        <f>IF($B449="",,IF(LEFT($H449,5)="dummy",SUMIFS(AvgBase[Month 10],AvgBase[job_title],$H449),SUMIFS(AvgBase[Month 10],AvgBase[exp_item],$J449,AvgBase[company_name],$B449,AvgBase[bu_name],$C449,AvgBase[dept_name],$D449,AvgBase[team_consolidation],$K449,AvgBase[location_name],$G449,AvgBase[job_title],$H449))*(U239+T239)/2*(1-U344))</f>
        <v>0</v>
      </c>
      <c r="V449" s="652">
        <f>IF($B449="",,IF(LEFT($H449,5)="dummy",SUMIFS(AvgBase[Month 11],AvgBase[job_title],$H449),SUMIFS(AvgBase[Month 11],AvgBase[exp_item],$J449,AvgBase[company_name],$B449,AvgBase[bu_name],$C449,AvgBase[dept_name],$D449,AvgBase[team_consolidation],$K449,AvgBase[location_name],$G449,AvgBase[job_title],$H449))*(V239+U239)/2*(1-V344))</f>
        <v>0</v>
      </c>
      <c r="W449" s="652">
        <f>IF($B449="",,IF(LEFT($H449,5)="dummy",SUMIFS(AvgBase[Month 12],AvgBase[job_title],$H449),SUMIFS(AvgBase[Month 12],AvgBase[exp_item],$J449,AvgBase[company_name],$B449,AvgBase[bu_name],$C449,AvgBase[dept_name],$D449,AvgBase[team_consolidation],$K449,AvgBase[location_name],$G449,AvgBase[job_title],$H449))*(W239+V239)/2*(1-W344))</f>
        <v>0</v>
      </c>
      <c r="X449" s="652">
        <f>IF($B449="",,IF(LEFT($H449,5)="dummy",SUMIFS(AvgBase[Month 13],AvgBase[job_title],$H449),SUMIFS(AvgBase[Month 13],AvgBase[exp_item],$J449,AvgBase[company_name],$B449,AvgBase[bu_name],$C449,AvgBase[dept_name],$D449,AvgBase[team_consolidation],$K449,AvgBase[location_name],$G449,AvgBase[job_title],$H449))*(X239+W239)/2*(1-X344))</f>
        <v>0</v>
      </c>
      <c r="Y449" s="652">
        <f>IF($B449="",,IF(LEFT($H449,5)="dummy",SUMIFS(AvgBase[Month 14],AvgBase[job_title],$H449),SUMIFS(AvgBase[Month 14],AvgBase[exp_item],$J449,AvgBase[company_name],$B449,AvgBase[bu_name],$C449,AvgBase[dept_name],$D449,AvgBase[team_consolidation],$K449,AvgBase[location_name],$G449,AvgBase[job_title],$H449))*(Y239+X239)/2*(1-Y344))</f>
        <v>0</v>
      </c>
      <c r="Z449" s="652">
        <f>IF($B449="",,IF(LEFT($H449,5)="dummy",SUMIFS(AvgBase[Month 15],AvgBase[job_title],$H449),SUMIFS(AvgBase[Month 15],AvgBase[exp_item],$J449,AvgBase[company_name],$B449,AvgBase[bu_name],$C449,AvgBase[dept_name],$D449,AvgBase[team_consolidation],$K449,AvgBase[location_name],$G449,AvgBase[job_title],$H449))*(Z239+Y239)/2*(1-Z344))</f>
        <v>0</v>
      </c>
      <c r="AA449" s="652">
        <f>IF($B449="",,IF(LEFT($H449,5)="dummy",SUMIFS(AvgBase[Month 16],AvgBase[job_title],$H449),SUMIFS(AvgBase[Month 16],AvgBase[exp_item],$J449,AvgBase[company_name],$B449,AvgBase[bu_name],$C449,AvgBase[dept_name],$D449,AvgBase[team_consolidation],$K449,AvgBase[location_name],$G449,AvgBase[job_title],$H449))*(AA239+Z239)/2*(1-AA344))</f>
        <v>0</v>
      </c>
      <c r="AB449" s="652">
        <f>IF($B449="",,IF(LEFT($H449,5)="dummy",SUMIFS(AvgBase[Month 17],AvgBase[job_title],$H449),SUMIFS(AvgBase[Month 17],AvgBase[exp_item],$J449,AvgBase[company_name],$B449,AvgBase[bu_name],$C449,AvgBase[dept_name],$D449,AvgBase[team_consolidation],$K449,AvgBase[location_name],$G449,AvgBase[job_title],$H449))*(AB239+AA239)/2*(1-AB344))</f>
        <v>0</v>
      </c>
      <c r="AC449" s="652">
        <f>IF($B449="",,IF(LEFT($H449,5)="dummy",SUMIFS(AvgBase[Month 18],AvgBase[job_title],$H449),SUMIFS(AvgBase[Month 18],AvgBase[exp_item],$J449,AvgBase[company_name],$B449,AvgBase[bu_name],$C449,AvgBase[dept_name],$D449,AvgBase[team_consolidation],$K449,AvgBase[location_name],$G449,AvgBase[job_title],$H449))*(AC239+AB239)/2*(1-AC344))</f>
        <v>0</v>
      </c>
      <c r="AD449" s="652">
        <f>IF($B449="",,IF(LEFT($H449,5)="dummy",SUMIFS(AvgBase[Month 19],AvgBase[job_title],$H449),SUMIFS(AvgBase[Month 19],AvgBase[exp_item],$J449,AvgBase[company_name],$B449,AvgBase[bu_name],$C449,AvgBase[dept_name],$D449,AvgBase[team_consolidation],$K449,AvgBase[location_name],$G449,AvgBase[job_title],$H449))*(AD239+AC239)/2*(1-AD344))</f>
        <v>0</v>
      </c>
      <c r="AE449" s="652">
        <f>IF($B449="",,IF(LEFT($H449,5)="dummy",SUMIFS(AvgBase[Month 20],AvgBase[job_title],$H449),SUMIFS(AvgBase[Month 20],AvgBase[exp_item],$J449,AvgBase[company_name],$B449,AvgBase[bu_name],$C449,AvgBase[dept_name],$D449,AvgBase[team_consolidation],$K449,AvgBase[location_name],$G449,AvgBase[job_title],$H449))*(AE239+AD239)/2*(1-AE344))</f>
        <v>0</v>
      </c>
      <c r="AF449" s="652">
        <f>IF($B449="",,IF(LEFT($H449,5)="dummy",SUMIFS(AvgBase[Month 21],AvgBase[job_title],$H449),SUMIFS(AvgBase[Month 21],AvgBase[exp_item],$J449,AvgBase[company_name],$B449,AvgBase[bu_name],$C449,AvgBase[dept_name],$D449,AvgBase[team_consolidation],$K449,AvgBase[location_name],$G449,AvgBase[job_title],$H449))*(AF239+AE239)/2*(1-AF344))</f>
        <v>0</v>
      </c>
      <c r="AG449" s="652">
        <f>IF($B449="",,IF(LEFT($H449,5)="dummy",SUMIFS(AvgBase[Month 22],AvgBase[job_title],$H449),SUMIFS(AvgBase[Month 22],AvgBase[exp_item],$J449,AvgBase[company_name],$B449,AvgBase[bu_name],$C449,AvgBase[dept_name],$D449,AvgBase[team_consolidation],$K449,AvgBase[location_name],$G449,AvgBase[job_title],$H449))*(AG239+AF239)/2*(1-AG344))</f>
        <v>0</v>
      </c>
      <c r="AH449" s="652">
        <f>IF($B449="",,IF(LEFT($H449,5)="dummy",SUMIFS(AvgBase[Month 23],AvgBase[job_title],$H449),SUMIFS(AvgBase[Month 23],AvgBase[exp_item],$J449,AvgBase[company_name],$B449,AvgBase[bu_name],$C449,AvgBase[dept_name],$D449,AvgBase[team_consolidation],$K449,AvgBase[location_name],$G449,AvgBase[job_title],$H449))*(AH239+AG239)/2*(1-AH344))</f>
        <v>0</v>
      </c>
      <c r="AI449" s="652">
        <f>IF($B449="",,IF(LEFT($H449,5)="dummy",SUMIFS(AvgBase[Month 24],AvgBase[job_title],$H449),SUMIFS(AvgBase[Month 24],AvgBase[exp_item],$J449,AvgBase[company_name],$B449,AvgBase[bu_name],$C449,AvgBase[dept_name],$D449,AvgBase[team_consolidation],$K449,AvgBase[location_name],$G449,AvgBase[job_title],$H449))*(AI239+AH239)/2*(1-AI344))</f>
        <v>0</v>
      </c>
      <c r="AJ449" s="652">
        <f>IF($B449="",,IF(LEFT($H449,5)="dummy",SUMIFS(AvgBase[Month 25],AvgBase[job_title],$H449),SUMIFS(AvgBase[Month 25],AvgBase[exp_item],$J449,AvgBase[company_name],$B449,AvgBase[bu_name],$C449,AvgBase[dept_name],$D449,AvgBase[team_consolidation],$K449,AvgBase[location_name],$G449,AvgBase[job_title],$H449))*(AJ239+AI239)/2*(1-AJ344))</f>
        <v>0</v>
      </c>
      <c r="AK449" s="652">
        <f>IF($B449="",,IF(LEFT($H449,5)="dummy",SUMIFS(AvgBase[Month 26],AvgBase[job_title],$H449),SUMIFS(AvgBase[Month 26],AvgBase[exp_item],$J449,AvgBase[company_name],$B449,AvgBase[bu_name],$C449,AvgBase[dept_name],$D449,AvgBase[team_consolidation],$K449,AvgBase[location_name],$G449,AvgBase[job_title],$H449))*(AK239+AJ239)/2*(1-AK344))</f>
        <v>0</v>
      </c>
      <c r="AL449" s="652">
        <f>IF($B449="",,IF(LEFT($H449,5)="dummy",SUMIFS(AvgBase[Month 27],AvgBase[job_title],$H449),SUMIFS(AvgBase[Month 27],AvgBase[exp_item],$J449,AvgBase[company_name],$B449,AvgBase[bu_name],$C449,AvgBase[dept_name],$D449,AvgBase[team_consolidation],$K449,AvgBase[location_name],$G449,AvgBase[job_title],$H449))*(AL239+AK239)/2*(1-AL344))</f>
        <v>0</v>
      </c>
      <c r="AM449" s="652">
        <f>IF($B449="",,IF(LEFT($H449,5)="dummy",SUMIFS(AvgBase[Month 28],AvgBase[job_title],$H449),SUMIFS(AvgBase[Month 28],AvgBase[exp_item],$J449,AvgBase[company_name],$B449,AvgBase[bu_name],$C449,AvgBase[dept_name],$D449,AvgBase[team_consolidation],$K449,AvgBase[location_name],$G449,AvgBase[job_title],$H449))*(AM239+AL239)/2*(1-AM344))</f>
        <v>0</v>
      </c>
      <c r="AN449" s="652">
        <f>IF($B449="",,IF(LEFT($H449,5)="dummy",SUMIFS(AvgBase[Month 29],AvgBase[job_title],$H449),SUMIFS(AvgBase[Month 29],AvgBase[exp_item],$J449,AvgBase[company_name],$B449,AvgBase[bu_name],$C449,AvgBase[dept_name],$D449,AvgBase[team_consolidation],$K449,AvgBase[location_name],$G449,AvgBase[job_title],$H449))*(AN239+AM239)/2*(1-AN344))</f>
        <v>0</v>
      </c>
      <c r="AO449" s="652">
        <f>IF($B449="",,IF(LEFT($H449,5)="dummy",SUMIFS(AvgBase[Month 30],AvgBase[job_title],$H449),SUMIFS(AvgBase[Month 30],AvgBase[exp_item],$J449,AvgBase[company_name],$B449,AvgBase[bu_name],$C449,AvgBase[dept_name],$D449,AvgBase[team_consolidation],$K449,AvgBase[location_name],$G449,AvgBase[job_title],$H449))*(AO239+AN239)/2*(1-AO344))</f>
        <v>0</v>
      </c>
      <c r="AP449" s="652">
        <f>IF($B449="",,IF(LEFT($H449,5)="dummy",SUMIFS(AvgBase[Month 31],AvgBase[job_title],$H449),SUMIFS(AvgBase[Month 31],AvgBase[exp_item],$J449,AvgBase[company_name],$B449,AvgBase[bu_name],$C449,AvgBase[dept_name],$D449,AvgBase[team_consolidation],$K449,AvgBase[location_name],$G449,AvgBase[job_title],$H449))*(AP239+AO239)/2*(1-AP344))</f>
        <v>0</v>
      </c>
      <c r="AQ449" s="652">
        <f>IF($B449="",,IF(LEFT($H449,5)="dummy",SUMIFS(AvgBase[Month 32],AvgBase[job_title],$H449),SUMIFS(AvgBase[Month 32],AvgBase[exp_item],$J449,AvgBase[company_name],$B449,AvgBase[bu_name],$C449,AvgBase[dept_name],$D449,AvgBase[team_consolidation],$K449,AvgBase[location_name],$G449,AvgBase[job_title],$H449))*(AQ239+AP239)/2*(1-AQ344))</f>
        <v>0</v>
      </c>
      <c r="AR449" s="652">
        <f>IF($B449="",,IF(LEFT($H449,5)="dummy",SUMIFS(AvgBase[Month 33],AvgBase[job_title],$H449),SUMIFS(AvgBase[Month 33],AvgBase[exp_item],$J449,AvgBase[company_name],$B449,AvgBase[bu_name],$C449,AvgBase[dept_name],$D449,AvgBase[team_consolidation],$K449,AvgBase[location_name],$G449,AvgBase[job_title],$H449))*(AR239+AQ239)/2*(1-AR344))</f>
        <v>0</v>
      </c>
      <c r="AS449" s="652">
        <f>IF($B449="",,IF(LEFT($H449,5)="dummy",SUMIFS(AvgBase[Month 34],AvgBase[job_title],$H449),SUMIFS(AvgBase[Month 34],AvgBase[exp_item],$J449,AvgBase[company_name],$B449,AvgBase[bu_name],$C449,AvgBase[dept_name],$D449,AvgBase[team_consolidation],$K449,AvgBase[location_name],$G449,AvgBase[job_title],$H449))*(AS239+AR239)/2*(1-AS344))</f>
        <v>0</v>
      </c>
      <c r="AT449" s="652">
        <f>IF($B449="",,IF(LEFT($H449,5)="dummy",SUMIFS(AvgBase[Month 35],AvgBase[job_title],$H449),SUMIFS(AvgBase[Month 35],AvgBase[exp_item],$J449,AvgBase[company_name],$B449,AvgBase[bu_name],$C449,AvgBase[dept_name],$D449,AvgBase[team_consolidation],$K449,AvgBase[location_name],$G449,AvgBase[job_title],$H449))*(AT239+AS239)/2*(1-AT344))</f>
        <v>0</v>
      </c>
      <c r="AU449" s="652">
        <f>IF($B449="",,IF(LEFT($H449,5)="dummy",SUMIFS(AvgBase[Month 36],AvgBase[job_title],$H449),SUMIFS(AvgBase[Month 36],AvgBase[exp_item],$J449,AvgBase[company_name],$B449,AvgBase[bu_name],$C449,AvgBase[dept_name],$D449,AvgBase[team_consolidation],$K449,AvgBase[location_name],$G449,AvgBase[job_title],$H449))*(AU239+AT239)/2*(1-AU344))</f>
        <v>0</v>
      </c>
    </row>
    <row r="450" spans="2:47" x14ac:dyDescent="0.35">
      <c r="B450" t="str">
        <f t="shared" si="281"/>
        <v/>
      </c>
      <c r="C450" t="str">
        <f t="shared" si="281"/>
        <v/>
      </c>
      <c r="D450" t="str">
        <f t="shared" si="281"/>
        <v/>
      </c>
      <c r="E450" t="str">
        <f t="shared" si="281"/>
        <v/>
      </c>
      <c r="F450" t="str">
        <f t="shared" si="281"/>
        <v/>
      </c>
      <c r="G450" t="str">
        <f t="shared" si="281"/>
        <v/>
      </c>
      <c r="H450" t="str">
        <f t="shared" si="279"/>
        <v/>
      </c>
      <c r="J450" t="str">
        <f>IF($H450="","",IF(VLOOKUP($B$395,ExpItems[],2,0),$B$395&amp;" - "&amp;INDEX(DivisionMapping[category_code],MATCH($D450&amp;$C450,DivisionMapping[dept_bu],0)),$B$395))</f>
        <v/>
      </c>
      <c r="K450" t="str">
        <f t="shared" si="275"/>
        <v/>
      </c>
      <c r="L450" s="652">
        <f>IF($B450="",,IF(LEFT($H450,5)="dummy",SUMIFS(AvgBase[Month 1],AvgBase[job_title],$H450),SUMIFS(AvgBase[Month 1],AvgBase[exp_item],$J450,AvgBase[company_name],$B450,AvgBase[bu_name],$C450,AvgBase[dept_name],$D450,AvgBase[team_consolidation],$K450,AvgBase[location_name],$G450,AvgBase[job_title],$H450))*L240/2*(1-L345))</f>
        <v>0</v>
      </c>
      <c r="M450" s="652">
        <f>IF($B450="",,IF(LEFT($H450,5)="dummy",SUMIFS(AvgBase[Month 2],AvgBase[job_title],$H450),SUMIFS(AvgBase[Month 2],AvgBase[exp_item],$J450,AvgBase[company_name],$B450,AvgBase[bu_name],$C450,AvgBase[dept_name],$D450,AvgBase[team_consolidation],$K450,AvgBase[location_name],$G450,AvgBase[job_title],$H450))*(M240+L240)/2*(1-M345))</f>
        <v>0</v>
      </c>
      <c r="N450" s="652">
        <f>IF($B450="",,IF(LEFT($H450,5)="dummy",SUMIFS(AvgBase[Month 3],AvgBase[job_title],$H450),SUMIFS(AvgBase[Month 3],AvgBase[exp_item],$J450,AvgBase[company_name],$B450,AvgBase[bu_name],$C450,AvgBase[dept_name],$D450,AvgBase[team_consolidation],$K450,AvgBase[location_name],$G450,AvgBase[job_title],$H450))*(N240+M240)/2*(1-N345))</f>
        <v>0</v>
      </c>
      <c r="O450" s="652">
        <f>IF($B450="",,IF(LEFT($H450,5)="dummy",SUMIFS(AvgBase[Month 4],AvgBase[job_title],$H450),SUMIFS(AvgBase[Month 4],AvgBase[exp_item],$J450,AvgBase[company_name],$B450,AvgBase[bu_name],$C450,AvgBase[dept_name],$D450,AvgBase[team_consolidation],$K450,AvgBase[location_name],$G450,AvgBase[job_title],$H450))*(O240+N240)/2*(1-O345))</f>
        <v>0</v>
      </c>
      <c r="P450" s="652">
        <f>IF($B450="",,IF(LEFT($H450,5)="dummy",SUMIFS(AvgBase[Month 5],AvgBase[job_title],$H450),SUMIFS(AvgBase[Month 5],AvgBase[exp_item],$J450,AvgBase[company_name],$B450,AvgBase[bu_name],$C450,AvgBase[dept_name],$D450,AvgBase[team_consolidation],$K450,AvgBase[location_name],$G450,AvgBase[job_title],$H450))*(P240+O240)/2*(1-P345))</f>
        <v>0</v>
      </c>
      <c r="Q450" s="652">
        <f>IF($B450="",,IF(LEFT($H450,5)="dummy",SUMIFS(AvgBase[Month 6],AvgBase[job_title],$H450),SUMIFS(AvgBase[Month 6],AvgBase[exp_item],$J450,AvgBase[company_name],$B450,AvgBase[bu_name],$C450,AvgBase[dept_name],$D450,AvgBase[team_consolidation],$K450,AvgBase[location_name],$G450,AvgBase[job_title],$H450))*(Q240+P240)/2*(1-Q345))</f>
        <v>0</v>
      </c>
      <c r="R450" s="652">
        <f>IF($B450="",,IF(LEFT($H450,5)="dummy",SUMIFS(AvgBase[Month 7],AvgBase[job_title],$H450),SUMIFS(AvgBase[Month 7],AvgBase[exp_item],$J450,AvgBase[company_name],$B450,AvgBase[bu_name],$C450,AvgBase[dept_name],$D450,AvgBase[team_consolidation],$K450,AvgBase[location_name],$G450,AvgBase[job_title],$H450))*(R240+Q240)/2*(1-R345))</f>
        <v>0</v>
      </c>
      <c r="S450" s="652">
        <f>IF($B450="",,IF(LEFT($H450,5)="dummy",SUMIFS(AvgBase[Month 8],AvgBase[job_title],$H450),SUMIFS(AvgBase[Month 8],AvgBase[exp_item],$J450,AvgBase[company_name],$B450,AvgBase[bu_name],$C450,AvgBase[dept_name],$D450,AvgBase[team_consolidation],$K450,AvgBase[location_name],$G450,AvgBase[job_title],$H450))*(S240+R240)/2*(1-S345))</f>
        <v>0</v>
      </c>
      <c r="T450" s="652">
        <f>IF($B450="",,IF(LEFT($H450,5)="dummy",SUMIFS(AvgBase[Month 9],AvgBase[job_title],$H450),SUMIFS(AvgBase[Month 9],AvgBase[exp_item],$J450,AvgBase[company_name],$B450,AvgBase[bu_name],$C450,AvgBase[dept_name],$D450,AvgBase[team_consolidation],$K450,AvgBase[location_name],$G450,AvgBase[job_title],$H450))*(T240+S240)/2*(1-T345))</f>
        <v>0</v>
      </c>
      <c r="U450" s="652">
        <f>IF($B450="",,IF(LEFT($H450,5)="dummy",SUMIFS(AvgBase[Month 10],AvgBase[job_title],$H450),SUMIFS(AvgBase[Month 10],AvgBase[exp_item],$J450,AvgBase[company_name],$B450,AvgBase[bu_name],$C450,AvgBase[dept_name],$D450,AvgBase[team_consolidation],$K450,AvgBase[location_name],$G450,AvgBase[job_title],$H450))*(U240+T240)/2*(1-U345))</f>
        <v>0</v>
      </c>
      <c r="V450" s="652">
        <f>IF($B450="",,IF(LEFT($H450,5)="dummy",SUMIFS(AvgBase[Month 11],AvgBase[job_title],$H450),SUMIFS(AvgBase[Month 11],AvgBase[exp_item],$J450,AvgBase[company_name],$B450,AvgBase[bu_name],$C450,AvgBase[dept_name],$D450,AvgBase[team_consolidation],$K450,AvgBase[location_name],$G450,AvgBase[job_title],$H450))*(V240+U240)/2*(1-V345))</f>
        <v>0</v>
      </c>
      <c r="W450" s="652">
        <f>IF($B450="",,IF(LEFT($H450,5)="dummy",SUMIFS(AvgBase[Month 12],AvgBase[job_title],$H450),SUMIFS(AvgBase[Month 12],AvgBase[exp_item],$J450,AvgBase[company_name],$B450,AvgBase[bu_name],$C450,AvgBase[dept_name],$D450,AvgBase[team_consolidation],$K450,AvgBase[location_name],$G450,AvgBase[job_title],$H450))*(W240+V240)/2*(1-W345))</f>
        <v>0</v>
      </c>
      <c r="X450" s="652">
        <f>IF($B450="",,IF(LEFT($H450,5)="dummy",SUMIFS(AvgBase[Month 13],AvgBase[job_title],$H450),SUMIFS(AvgBase[Month 13],AvgBase[exp_item],$J450,AvgBase[company_name],$B450,AvgBase[bu_name],$C450,AvgBase[dept_name],$D450,AvgBase[team_consolidation],$K450,AvgBase[location_name],$G450,AvgBase[job_title],$H450))*(X240+W240)/2*(1-X345))</f>
        <v>0</v>
      </c>
      <c r="Y450" s="652">
        <f>IF($B450="",,IF(LEFT($H450,5)="dummy",SUMIFS(AvgBase[Month 14],AvgBase[job_title],$H450),SUMIFS(AvgBase[Month 14],AvgBase[exp_item],$J450,AvgBase[company_name],$B450,AvgBase[bu_name],$C450,AvgBase[dept_name],$D450,AvgBase[team_consolidation],$K450,AvgBase[location_name],$G450,AvgBase[job_title],$H450))*(Y240+X240)/2*(1-Y345))</f>
        <v>0</v>
      </c>
      <c r="Z450" s="652">
        <f>IF($B450="",,IF(LEFT($H450,5)="dummy",SUMIFS(AvgBase[Month 15],AvgBase[job_title],$H450),SUMIFS(AvgBase[Month 15],AvgBase[exp_item],$J450,AvgBase[company_name],$B450,AvgBase[bu_name],$C450,AvgBase[dept_name],$D450,AvgBase[team_consolidation],$K450,AvgBase[location_name],$G450,AvgBase[job_title],$H450))*(Z240+Y240)/2*(1-Z345))</f>
        <v>0</v>
      </c>
      <c r="AA450" s="652">
        <f>IF($B450="",,IF(LEFT($H450,5)="dummy",SUMIFS(AvgBase[Month 16],AvgBase[job_title],$H450),SUMIFS(AvgBase[Month 16],AvgBase[exp_item],$J450,AvgBase[company_name],$B450,AvgBase[bu_name],$C450,AvgBase[dept_name],$D450,AvgBase[team_consolidation],$K450,AvgBase[location_name],$G450,AvgBase[job_title],$H450))*(AA240+Z240)/2*(1-AA345))</f>
        <v>0</v>
      </c>
      <c r="AB450" s="652">
        <f>IF($B450="",,IF(LEFT($H450,5)="dummy",SUMIFS(AvgBase[Month 17],AvgBase[job_title],$H450),SUMIFS(AvgBase[Month 17],AvgBase[exp_item],$J450,AvgBase[company_name],$B450,AvgBase[bu_name],$C450,AvgBase[dept_name],$D450,AvgBase[team_consolidation],$K450,AvgBase[location_name],$G450,AvgBase[job_title],$H450))*(AB240+AA240)/2*(1-AB345))</f>
        <v>0</v>
      </c>
      <c r="AC450" s="652">
        <f>IF($B450="",,IF(LEFT($H450,5)="dummy",SUMIFS(AvgBase[Month 18],AvgBase[job_title],$H450),SUMIFS(AvgBase[Month 18],AvgBase[exp_item],$J450,AvgBase[company_name],$B450,AvgBase[bu_name],$C450,AvgBase[dept_name],$D450,AvgBase[team_consolidation],$K450,AvgBase[location_name],$G450,AvgBase[job_title],$H450))*(AC240+AB240)/2*(1-AC345))</f>
        <v>0</v>
      </c>
      <c r="AD450" s="652">
        <f>IF($B450="",,IF(LEFT($H450,5)="dummy",SUMIFS(AvgBase[Month 19],AvgBase[job_title],$H450),SUMIFS(AvgBase[Month 19],AvgBase[exp_item],$J450,AvgBase[company_name],$B450,AvgBase[bu_name],$C450,AvgBase[dept_name],$D450,AvgBase[team_consolidation],$K450,AvgBase[location_name],$G450,AvgBase[job_title],$H450))*(AD240+AC240)/2*(1-AD345))</f>
        <v>0</v>
      </c>
      <c r="AE450" s="652">
        <f>IF($B450="",,IF(LEFT($H450,5)="dummy",SUMIFS(AvgBase[Month 20],AvgBase[job_title],$H450),SUMIFS(AvgBase[Month 20],AvgBase[exp_item],$J450,AvgBase[company_name],$B450,AvgBase[bu_name],$C450,AvgBase[dept_name],$D450,AvgBase[team_consolidation],$K450,AvgBase[location_name],$G450,AvgBase[job_title],$H450))*(AE240+AD240)/2*(1-AE345))</f>
        <v>0</v>
      </c>
      <c r="AF450" s="652">
        <f>IF($B450="",,IF(LEFT($H450,5)="dummy",SUMIFS(AvgBase[Month 21],AvgBase[job_title],$H450),SUMIFS(AvgBase[Month 21],AvgBase[exp_item],$J450,AvgBase[company_name],$B450,AvgBase[bu_name],$C450,AvgBase[dept_name],$D450,AvgBase[team_consolidation],$K450,AvgBase[location_name],$G450,AvgBase[job_title],$H450))*(AF240+AE240)/2*(1-AF345))</f>
        <v>0</v>
      </c>
      <c r="AG450" s="652">
        <f>IF($B450="",,IF(LEFT($H450,5)="dummy",SUMIFS(AvgBase[Month 22],AvgBase[job_title],$H450),SUMIFS(AvgBase[Month 22],AvgBase[exp_item],$J450,AvgBase[company_name],$B450,AvgBase[bu_name],$C450,AvgBase[dept_name],$D450,AvgBase[team_consolidation],$K450,AvgBase[location_name],$G450,AvgBase[job_title],$H450))*(AG240+AF240)/2*(1-AG345))</f>
        <v>0</v>
      </c>
      <c r="AH450" s="652">
        <f>IF($B450="",,IF(LEFT($H450,5)="dummy",SUMIFS(AvgBase[Month 23],AvgBase[job_title],$H450),SUMIFS(AvgBase[Month 23],AvgBase[exp_item],$J450,AvgBase[company_name],$B450,AvgBase[bu_name],$C450,AvgBase[dept_name],$D450,AvgBase[team_consolidation],$K450,AvgBase[location_name],$G450,AvgBase[job_title],$H450))*(AH240+AG240)/2*(1-AH345))</f>
        <v>0</v>
      </c>
      <c r="AI450" s="652">
        <f>IF($B450="",,IF(LEFT($H450,5)="dummy",SUMIFS(AvgBase[Month 24],AvgBase[job_title],$H450),SUMIFS(AvgBase[Month 24],AvgBase[exp_item],$J450,AvgBase[company_name],$B450,AvgBase[bu_name],$C450,AvgBase[dept_name],$D450,AvgBase[team_consolidation],$K450,AvgBase[location_name],$G450,AvgBase[job_title],$H450))*(AI240+AH240)/2*(1-AI345))</f>
        <v>0</v>
      </c>
      <c r="AJ450" s="652">
        <f>IF($B450="",,IF(LEFT($H450,5)="dummy",SUMIFS(AvgBase[Month 25],AvgBase[job_title],$H450),SUMIFS(AvgBase[Month 25],AvgBase[exp_item],$J450,AvgBase[company_name],$B450,AvgBase[bu_name],$C450,AvgBase[dept_name],$D450,AvgBase[team_consolidation],$K450,AvgBase[location_name],$G450,AvgBase[job_title],$H450))*(AJ240+AI240)/2*(1-AJ345))</f>
        <v>0</v>
      </c>
      <c r="AK450" s="652">
        <f>IF($B450="",,IF(LEFT($H450,5)="dummy",SUMIFS(AvgBase[Month 26],AvgBase[job_title],$H450),SUMIFS(AvgBase[Month 26],AvgBase[exp_item],$J450,AvgBase[company_name],$B450,AvgBase[bu_name],$C450,AvgBase[dept_name],$D450,AvgBase[team_consolidation],$K450,AvgBase[location_name],$G450,AvgBase[job_title],$H450))*(AK240+AJ240)/2*(1-AK345))</f>
        <v>0</v>
      </c>
      <c r="AL450" s="652">
        <f>IF($B450="",,IF(LEFT($H450,5)="dummy",SUMIFS(AvgBase[Month 27],AvgBase[job_title],$H450),SUMIFS(AvgBase[Month 27],AvgBase[exp_item],$J450,AvgBase[company_name],$B450,AvgBase[bu_name],$C450,AvgBase[dept_name],$D450,AvgBase[team_consolidation],$K450,AvgBase[location_name],$G450,AvgBase[job_title],$H450))*(AL240+AK240)/2*(1-AL345))</f>
        <v>0</v>
      </c>
      <c r="AM450" s="652">
        <f>IF($B450="",,IF(LEFT($H450,5)="dummy",SUMIFS(AvgBase[Month 28],AvgBase[job_title],$H450),SUMIFS(AvgBase[Month 28],AvgBase[exp_item],$J450,AvgBase[company_name],$B450,AvgBase[bu_name],$C450,AvgBase[dept_name],$D450,AvgBase[team_consolidation],$K450,AvgBase[location_name],$G450,AvgBase[job_title],$H450))*(AM240+AL240)/2*(1-AM345))</f>
        <v>0</v>
      </c>
      <c r="AN450" s="652">
        <f>IF($B450="",,IF(LEFT($H450,5)="dummy",SUMIFS(AvgBase[Month 29],AvgBase[job_title],$H450),SUMIFS(AvgBase[Month 29],AvgBase[exp_item],$J450,AvgBase[company_name],$B450,AvgBase[bu_name],$C450,AvgBase[dept_name],$D450,AvgBase[team_consolidation],$K450,AvgBase[location_name],$G450,AvgBase[job_title],$H450))*(AN240+AM240)/2*(1-AN345))</f>
        <v>0</v>
      </c>
      <c r="AO450" s="652">
        <f>IF($B450="",,IF(LEFT($H450,5)="dummy",SUMIFS(AvgBase[Month 30],AvgBase[job_title],$H450),SUMIFS(AvgBase[Month 30],AvgBase[exp_item],$J450,AvgBase[company_name],$B450,AvgBase[bu_name],$C450,AvgBase[dept_name],$D450,AvgBase[team_consolidation],$K450,AvgBase[location_name],$G450,AvgBase[job_title],$H450))*(AO240+AN240)/2*(1-AO345))</f>
        <v>0</v>
      </c>
      <c r="AP450" s="652">
        <f>IF($B450="",,IF(LEFT($H450,5)="dummy",SUMIFS(AvgBase[Month 31],AvgBase[job_title],$H450),SUMIFS(AvgBase[Month 31],AvgBase[exp_item],$J450,AvgBase[company_name],$B450,AvgBase[bu_name],$C450,AvgBase[dept_name],$D450,AvgBase[team_consolidation],$K450,AvgBase[location_name],$G450,AvgBase[job_title],$H450))*(AP240+AO240)/2*(1-AP345))</f>
        <v>0</v>
      </c>
      <c r="AQ450" s="652">
        <f>IF($B450="",,IF(LEFT($H450,5)="dummy",SUMIFS(AvgBase[Month 32],AvgBase[job_title],$H450),SUMIFS(AvgBase[Month 32],AvgBase[exp_item],$J450,AvgBase[company_name],$B450,AvgBase[bu_name],$C450,AvgBase[dept_name],$D450,AvgBase[team_consolidation],$K450,AvgBase[location_name],$G450,AvgBase[job_title],$H450))*(AQ240+AP240)/2*(1-AQ345))</f>
        <v>0</v>
      </c>
      <c r="AR450" s="652">
        <f>IF($B450="",,IF(LEFT($H450,5)="dummy",SUMIFS(AvgBase[Month 33],AvgBase[job_title],$H450),SUMIFS(AvgBase[Month 33],AvgBase[exp_item],$J450,AvgBase[company_name],$B450,AvgBase[bu_name],$C450,AvgBase[dept_name],$D450,AvgBase[team_consolidation],$K450,AvgBase[location_name],$G450,AvgBase[job_title],$H450))*(AR240+AQ240)/2*(1-AR345))</f>
        <v>0</v>
      </c>
      <c r="AS450" s="652">
        <f>IF($B450="",,IF(LEFT($H450,5)="dummy",SUMIFS(AvgBase[Month 34],AvgBase[job_title],$H450),SUMIFS(AvgBase[Month 34],AvgBase[exp_item],$J450,AvgBase[company_name],$B450,AvgBase[bu_name],$C450,AvgBase[dept_name],$D450,AvgBase[team_consolidation],$K450,AvgBase[location_name],$G450,AvgBase[job_title],$H450))*(AS240+AR240)/2*(1-AS345))</f>
        <v>0</v>
      </c>
      <c r="AT450" s="652">
        <f>IF($B450="",,IF(LEFT($H450,5)="dummy",SUMIFS(AvgBase[Month 35],AvgBase[job_title],$H450),SUMIFS(AvgBase[Month 35],AvgBase[exp_item],$J450,AvgBase[company_name],$B450,AvgBase[bu_name],$C450,AvgBase[dept_name],$D450,AvgBase[team_consolidation],$K450,AvgBase[location_name],$G450,AvgBase[job_title],$H450))*(AT240+AS240)/2*(1-AT345))</f>
        <v>0</v>
      </c>
      <c r="AU450" s="652">
        <f>IF($B450="",,IF(LEFT($H450,5)="dummy",SUMIFS(AvgBase[Month 36],AvgBase[job_title],$H450),SUMIFS(AvgBase[Month 36],AvgBase[exp_item],$J450,AvgBase[company_name],$B450,AvgBase[bu_name],$C450,AvgBase[dept_name],$D450,AvgBase[team_consolidation],$K450,AvgBase[location_name],$G450,AvgBase[job_title],$H450))*(AU240+AT240)/2*(1-AU345))</f>
        <v>0</v>
      </c>
    </row>
    <row r="451" spans="2:47" x14ac:dyDescent="0.35">
      <c r="B451" t="str">
        <f t="shared" si="281"/>
        <v/>
      </c>
      <c r="C451" t="str">
        <f t="shared" si="281"/>
        <v/>
      </c>
      <c r="D451" t="str">
        <f t="shared" si="281"/>
        <v/>
      </c>
      <c r="E451" t="str">
        <f t="shared" si="281"/>
        <v/>
      </c>
      <c r="F451" t="str">
        <f t="shared" si="281"/>
        <v/>
      </c>
      <c r="G451" t="str">
        <f t="shared" si="281"/>
        <v/>
      </c>
      <c r="H451" t="str">
        <f t="shared" si="279"/>
        <v/>
      </c>
      <c r="J451" t="str">
        <f>IF($H451="","",IF(VLOOKUP($B$395,ExpItems[],2,0),$B$395&amp;" - "&amp;INDEX(DivisionMapping[category_code],MATCH($D451&amp;$C451,DivisionMapping[dept_bu],0)),$B$395))</f>
        <v/>
      </c>
      <c r="K451" t="str">
        <f t="shared" si="275"/>
        <v/>
      </c>
      <c r="L451" s="652">
        <f>IF($B451="",,IF(LEFT($H451,5)="dummy",SUMIFS(AvgBase[Month 1],AvgBase[job_title],$H451),SUMIFS(AvgBase[Month 1],AvgBase[exp_item],$J451,AvgBase[company_name],$B451,AvgBase[bu_name],$C451,AvgBase[dept_name],$D451,AvgBase[team_consolidation],$K451,AvgBase[location_name],$G451,AvgBase[job_title],$H451))*L241/2*(1-L346))</f>
        <v>0</v>
      </c>
      <c r="M451" s="652">
        <f>IF($B451="",,IF(LEFT($H451,5)="dummy",SUMIFS(AvgBase[Month 2],AvgBase[job_title],$H451),SUMIFS(AvgBase[Month 2],AvgBase[exp_item],$J451,AvgBase[company_name],$B451,AvgBase[bu_name],$C451,AvgBase[dept_name],$D451,AvgBase[team_consolidation],$K451,AvgBase[location_name],$G451,AvgBase[job_title],$H451))*(M241+L241)/2*(1-M346))</f>
        <v>0</v>
      </c>
      <c r="N451" s="652">
        <f>IF($B451="",,IF(LEFT($H451,5)="dummy",SUMIFS(AvgBase[Month 3],AvgBase[job_title],$H451),SUMIFS(AvgBase[Month 3],AvgBase[exp_item],$J451,AvgBase[company_name],$B451,AvgBase[bu_name],$C451,AvgBase[dept_name],$D451,AvgBase[team_consolidation],$K451,AvgBase[location_name],$G451,AvgBase[job_title],$H451))*(N241+M241)/2*(1-N346))</f>
        <v>0</v>
      </c>
      <c r="O451" s="652">
        <f>IF($B451="",,IF(LEFT($H451,5)="dummy",SUMIFS(AvgBase[Month 4],AvgBase[job_title],$H451),SUMIFS(AvgBase[Month 4],AvgBase[exp_item],$J451,AvgBase[company_name],$B451,AvgBase[bu_name],$C451,AvgBase[dept_name],$D451,AvgBase[team_consolidation],$K451,AvgBase[location_name],$G451,AvgBase[job_title],$H451))*(O241+N241)/2*(1-O346))</f>
        <v>0</v>
      </c>
      <c r="P451" s="652">
        <f>IF($B451="",,IF(LEFT($H451,5)="dummy",SUMIFS(AvgBase[Month 5],AvgBase[job_title],$H451),SUMIFS(AvgBase[Month 5],AvgBase[exp_item],$J451,AvgBase[company_name],$B451,AvgBase[bu_name],$C451,AvgBase[dept_name],$D451,AvgBase[team_consolidation],$K451,AvgBase[location_name],$G451,AvgBase[job_title],$H451))*(P241+O241)/2*(1-P346))</f>
        <v>0</v>
      </c>
      <c r="Q451" s="652">
        <f>IF($B451="",,IF(LEFT($H451,5)="dummy",SUMIFS(AvgBase[Month 6],AvgBase[job_title],$H451),SUMIFS(AvgBase[Month 6],AvgBase[exp_item],$J451,AvgBase[company_name],$B451,AvgBase[bu_name],$C451,AvgBase[dept_name],$D451,AvgBase[team_consolidation],$K451,AvgBase[location_name],$G451,AvgBase[job_title],$H451))*(Q241+P241)/2*(1-Q346))</f>
        <v>0</v>
      </c>
      <c r="R451" s="652">
        <f>IF($B451="",,IF(LEFT($H451,5)="dummy",SUMIFS(AvgBase[Month 7],AvgBase[job_title],$H451),SUMIFS(AvgBase[Month 7],AvgBase[exp_item],$J451,AvgBase[company_name],$B451,AvgBase[bu_name],$C451,AvgBase[dept_name],$D451,AvgBase[team_consolidation],$K451,AvgBase[location_name],$G451,AvgBase[job_title],$H451))*(R241+Q241)/2*(1-R346))</f>
        <v>0</v>
      </c>
      <c r="S451" s="652">
        <f>IF($B451="",,IF(LEFT($H451,5)="dummy",SUMIFS(AvgBase[Month 8],AvgBase[job_title],$H451),SUMIFS(AvgBase[Month 8],AvgBase[exp_item],$J451,AvgBase[company_name],$B451,AvgBase[bu_name],$C451,AvgBase[dept_name],$D451,AvgBase[team_consolidation],$K451,AvgBase[location_name],$G451,AvgBase[job_title],$H451))*(S241+R241)/2*(1-S346))</f>
        <v>0</v>
      </c>
      <c r="T451" s="652">
        <f>IF($B451="",,IF(LEFT($H451,5)="dummy",SUMIFS(AvgBase[Month 9],AvgBase[job_title],$H451),SUMIFS(AvgBase[Month 9],AvgBase[exp_item],$J451,AvgBase[company_name],$B451,AvgBase[bu_name],$C451,AvgBase[dept_name],$D451,AvgBase[team_consolidation],$K451,AvgBase[location_name],$G451,AvgBase[job_title],$H451))*(T241+S241)/2*(1-T346))</f>
        <v>0</v>
      </c>
      <c r="U451" s="652">
        <f>IF($B451="",,IF(LEFT($H451,5)="dummy",SUMIFS(AvgBase[Month 10],AvgBase[job_title],$H451),SUMIFS(AvgBase[Month 10],AvgBase[exp_item],$J451,AvgBase[company_name],$B451,AvgBase[bu_name],$C451,AvgBase[dept_name],$D451,AvgBase[team_consolidation],$K451,AvgBase[location_name],$G451,AvgBase[job_title],$H451))*(U241+T241)/2*(1-U346))</f>
        <v>0</v>
      </c>
      <c r="V451" s="652">
        <f>IF($B451="",,IF(LEFT($H451,5)="dummy",SUMIFS(AvgBase[Month 11],AvgBase[job_title],$H451),SUMIFS(AvgBase[Month 11],AvgBase[exp_item],$J451,AvgBase[company_name],$B451,AvgBase[bu_name],$C451,AvgBase[dept_name],$D451,AvgBase[team_consolidation],$K451,AvgBase[location_name],$G451,AvgBase[job_title],$H451))*(V241+U241)/2*(1-V346))</f>
        <v>0</v>
      </c>
      <c r="W451" s="652">
        <f>IF($B451="",,IF(LEFT($H451,5)="dummy",SUMIFS(AvgBase[Month 12],AvgBase[job_title],$H451),SUMIFS(AvgBase[Month 12],AvgBase[exp_item],$J451,AvgBase[company_name],$B451,AvgBase[bu_name],$C451,AvgBase[dept_name],$D451,AvgBase[team_consolidation],$K451,AvgBase[location_name],$G451,AvgBase[job_title],$H451))*(W241+V241)/2*(1-W346))</f>
        <v>0</v>
      </c>
      <c r="X451" s="652">
        <f>IF($B451="",,IF(LEFT($H451,5)="dummy",SUMIFS(AvgBase[Month 13],AvgBase[job_title],$H451),SUMIFS(AvgBase[Month 13],AvgBase[exp_item],$J451,AvgBase[company_name],$B451,AvgBase[bu_name],$C451,AvgBase[dept_name],$D451,AvgBase[team_consolidation],$K451,AvgBase[location_name],$G451,AvgBase[job_title],$H451))*(X241+W241)/2*(1-X346))</f>
        <v>0</v>
      </c>
      <c r="Y451" s="652">
        <f>IF($B451="",,IF(LEFT($H451,5)="dummy",SUMIFS(AvgBase[Month 14],AvgBase[job_title],$H451),SUMIFS(AvgBase[Month 14],AvgBase[exp_item],$J451,AvgBase[company_name],$B451,AvgBase[bu_name],$C451,AvgBase[dept_name],$D451,AvgBase[team_consolidation],$K451,AvgBase[location_name],$G451,AvgBase[job_title],$H451))*(Y241+X241)/2*(1-Y346))</f>
        <v>0</v>
      </c>
      <c r="Z451" s="652">
        <f>IF($B451="",,IF(LEFT($H451,5)="dummy",SUMIFS(AvgBase[Month 15],AvgBase[job_title],$H451),SUMIFS(AvgBase[Month 15],AvgBase[exp_item],$J451,AvgBase[company_name],$B451,AvgBase[bu_name],$C451,AvgBase[dept_name],$D451,AvgBase[team_consolidation],$K451,AvgBase[location_name],$G451,AvgBase[job_title],$H451))*(Z241+Y241)/2*(1-Z346))</f>
        <v>0</v>
      </c>
      <c r="AA451" s="652">
        <f>IF($B451="",,IF(LEFT($H451,5)="dummy",SUMIFS(AvgBase[Month 16],AvgBase[job_title],$H451),SUMIFS(AvgBase[Month 16],AvgBase[exp_item],$J451,AvgBase[company_name],$B451,AvgBase[bu_name],$C451,AvgBase[dept_name],$D451,AvgBase[team_consolidation],$K451,AvgBase[location_name],$G451,AvgBase[job_title],$H451))*(AA241+Z241)/2*(1-AA346))</f>
        <v>0</v>
      </c>
      <c r="AB451" s="652">
        <f>IF($B451="",,IF(LEFT($H451,5)="dummy",SUMIFS(AvgBase[Month 17],AvgBase[job_title],$H451),SUMIFS(AvgBase[Month 17],AvgBase[exp_item],$J451,AvgBase[company_name],$B451,AvgBase[bu_name],$C451,AvgBase[dept_name],$D451,AvgBase[team_consolidation],$K451,AvgBase[location_name],$G451,AvgBase[job_title],$H451))*(AB241+AA241)/2*(1-AB346))</f>
        <v>0</v>
      </c>
      <c r="AC451" s="652">
        <f>IF($B451="",,IF(LEFT($H451,5)="dummy",SUMIFS(AvgBase[Month 18],AvgBase[job_title],$H451),SUMIFS(AvgBase[Month 18],AvgBase[exp_item],$J451,AvgBase[company_name],$B451,AvgBase[bu_name],$C451,AvgBase[dept_name],$D451,AvgBase[team_consolidation],$K451,AvgBase[location_name],$G451,AvgBase[job_title],$H451))*(AC241+AB241)/2*(1-AC346))</f>
        <v>0</v>
      </c>
      <c r="AD451" s="652">
        <f>IF($B451="",,IF(LEFT($H451,5)="dummy",SUMIFS(AvgBase[Month 19],AvgBase[job_title],$H451),SUMIFS(AvgBase[Month 19],AvgBase[exp_item],$J451,AvgBase[company_name],$B451,AvgBase[bu_name],$C451,AvgBase[dept_name],$D451,AvgBase[team_consolidation],$K451,AvgBase[location_name],$G451,AvgBase[job_title],$H451))*(AD241+AC241)/2*(1-AD346))</f>
        <v>0</v>
      </c>
      <c r="AE451" s="652">
        <f>IF($B451="",,IF(LEFT($H451,5)="dummy",SUMIFS(AvgBase[Month 20],AvgBase[job_title],$H451),SUMIFS(AvgBase[Month 20],AvgBase[exp_item],$J451,AvgBase[company_name],$B451,AvgBase[bu_name],$C451,AvgBase[dept_name],$D451,AvgBase[team_consolidation],$K451,AvgBase[location_name],$G451,AvgBase[job_title],$H451))*(AE241+AD241)/2*(1-AE346))</f>
        <v>0</v>
      </c>
      <c r="AF451" s="652">
        <f>IF($B451="",,IF(LEFT($H451,5)="dummy",SUMIFS(AvgBase[Month 21],AvgBase[job_title],$H451),SUMIFS(AvgBase[Month 21],AvgBase[exp_item],$J451,AvgBase[company_name],$B451,AvgBase[bu_name],$C451,AvgBase[dept_name],$D451,AvgBase[team_consolidation],$K451,AvgBase[location_name],$G451,AvgBase[job_title],$H451))*(AF241+AE241)/2*(1-AF346))</f>
        <v>0</v>
      </c>
      <c r="AG451" s="652">
        <f>IF($B451="",,IF(LEFT($H451,5)="dummy",SUMIFS(AvgBase[Month 22],AvgBase[job_title],$H451),SUMIFS(AvgBase[Month 22],AvgBase[exp_item],$J451,AvgBase[company_name],$B451,AvgBase[bu_name],$C451,AvgBase[dept_name],$D451,AvgBase[team_consolidation],$K451,AvgBase[location_name],$G451,AvgBase[job_title],$H451))*(AG241+AF241)/2*(1-AG346))</f>
        <v>0</v>
      </c>
      <c r="AH451" s="652">
        <f>IF($B451="",,IF(LEFT($H451,5)="dummy",SUMIFS(AvgBase[Month 23],AvgBase[job_title],$H451),SUMIFS(AvgBase[Month 23],AvgBase[exp_item],$J451,AvgBase[company_name],$B451,AvgBase[bu_name],$C451,AvgBase[dept_name],$D451,AvgBase[team_consolidation],$K451,AvgBase[location_name],$G451,AvgBase[job_title],$H451))*(AH241+AG241)/2*(1-AH346))</f>
        <v>0</v>
      </c>
      <c r="AI451" s="652">
        <f>IF($B451="",,IF(LEFT($H451,5)="dummy",SUMIFS(AvgBase[Month 24],AvgBase[job_title],$H451),SUMIFS(AvgBase[Month 24],AvgBase[exp_item],$J451,AvgBase[company_name],$B451,AvgBase[bu_name],$C451,AvgBase[dept_name],$D451,AvgBase[team_consolidation],$K451,AvgBase[location_name],$G451,AvgBase[job_title],$H451))*(AI241+AH241)/2*(1-AI346))</f>
        <v>0</v>
      </c>
      <c r="AJ451" s="652">
        <f>IF($B451="",,IF(LEFT($H451,5)="dummy",SUMIFS(AvgBase[Month 25],AvgBase[job_title],$H451),SUMIFS(AvgBase[Month 25],AvgBase[exp_item],$J451,AvgBase[company_name],$B451,AvgBase[bu_name],$C451,AvgBase[dept_name],$D451,AvgBase[team_consolidation],$K451,AvgBase[location_name],$G451,AvgBase[job_title],$H451))*(AJ241+AI241)/2*(1-AJ346))</f>
        <v>0</v>
      </c>
      <c r="AK451" s="652">
        <f>IF($B451="",,IF(LEFT($H451,5)="dummy",SUMIFS(AvgBase[Month 26],AvgBase[job_title],$H451),SUMIFS(AvgBase[Month 26],AvgBase[exp_item],$J451,AvgBase[company_name],$B451,AvgBase[bu_name],$C451,AvgBase[dept_name],$D451,AvgBase[team_consolidation],$K451,AvgBase[location_name],$G451,AvgBase[job_title],$H451))*(AK241+AJ241)/2*(1-AK346))</f>
        <v>0</v>
      </c>
      <c r="AL451" s="652">
        <f>IF($B451="",,IF(LEFT($H451,5)="dummy",SUMIFS(AvgBase[Month 27],AvgBase[job_title],$H451),SUMIFS(AvgBase[Month 27],AvgBase[exp_item],$J451,AvgBase[company_name],$B451,AvgBase[bu_name],$C451,AvgBase[dept_name],$D451,AvgBase[team_consolidation],$K451,AvgBase[location_name],$G451,AvgBase[job_title],$H451))*(AL241+AK241)/2*(1-AL346))</f>
        <v>0</v>
      </c>
      <c r="AM451" s="652">
        <f>IF($B451="",,IF(LEFT($H451,5)="dummy",SUMIFS(AvgBase[Month 28],AvgBase[job_title],$H451),SUMIFS(AvgBase[Month 28],AvgBase[exp_item],$J451,AvgBase[company_name],$B451,AvgBase[bu_name],$C451,AvgBase[dept_name],$D451,AvgBase[team_consolidation],$K451,AvgBase[location_name],$G451,AvgBase[job_title],$H451))*(AM241+AL241)/2*(1-AM346))</f>
        <v>0</v>
      </c>
      <c r="AN451" s="652">
        <f>IF($B451="",,IF(LEFT($H451,5)="dummy",SUMIFS(AvgBase[Month 29],AvgBase[job_title],$H451),SUMIFS(AvgBase[Month 29],AvgBase[exp_item],$J451,AvgBase[company_name],$B451,AvgBase[bu_name],$C451,AvgBase[dept_name],$D451,AvgBase[team_consolidation],$K451,AvgBase[location_name],$G451,AvgBase[job_title],$H451))*(AN241+AM241)/2*(1-AN346))</f>
        <v>0</v>
      </c>
      <c r="AO451" s="652">
        <f>IF($B451="",,IF(LEFT($H451,5)="dummy",SUMIFS(AvgBase[Month 30],AvgBase[job_title],$H451),SUMIFS(AvgBase[Month 30],AvgBase[exp_item],$J451,AvgBase[company_name],$B451,AvgBase[bu_name],$C451,AvgBase[dept_name],$D451,AvgBase[team_consolidation],$K451,AvgBase[location_name],$G451,AvgBase[job_title],$H451))*(AO241+AN241)/2*(1-AO346))</f>
        <v>0</v>
      </c>
      <c r="AP451" s="652">
        <f>IF($B451="",,IF(LEFT($H451,5)="dummy",SUMIFS(AvgBase[Month 31],AvgBase[job_title],$H451),SUMIFS(AvgBase[Month 31],AvgBase[exp_item],$J451,AvgBase[company_name],$B451,AvgBase[bu_name],$C451,AvgBase[dept_name],$D451,AvgBase[team_consolidation],$K451,AvgBase[location_name],$G451,AvgBase[job_title],$H451))*(AP241+AO241)/2*(1-AP346))</f>
        <v>0</v>
      </c>
      <c r="AQ451" s="652">
        <f>IF($B451="",,IF(LEFT($H451,5)="dummy",SUMIFS(AvgBase[Month 32],AvgBase[job_title],$H451),SUMIFS(AvgBase[Month 32],AvgBase[exp_item],$J451,AvgBase[company_name],$B451,AvgBase[bu_name],$C451,AvgBase[dept_name],$D451,AvgBase[team_consolidation],$K451,AvgBase[location_name],$G451,AvgBase[job_title],$H451))*(AQ241+AP241)/2*(1-AQ346))</f>
        <v>0</v>
      </c>
      <c r="AR451" s="652">
        <f>IF($B451="",,IF(LEFT($H451,5)="dummy",SUMIFS(AvgBase[Month 33],AvgBase[job_title],$H451),SUMIFS(AvgBase[Month 33],AvgBase[exp_item],$J451,AvgBase[company_name],$B451,AvgBase[bu_name],$C451,AvgBase[dept_name],$D451,AvgBase[team_consolidation],$K451,AvgBase[location_name],$G451,AvgBase[job_title],$H451))*(AR241+AQ241)/2*(1-AR346))</f>
        <v>0</v>
      </c>
      <c r="AS451" s="652">
        <f>IF($B451="",,IF(LEFT($H451,5)="dummy",SUMIFS(AvgBase[Month 34],AvgBase[job_title],$H451),SUMIFS(AvgBase[Month 34],AvgBase[exp_item],$J451,AvgBase[company_name],$B451,AvgBase[bu_name],$C451,AvgBase[dept_name],$D451,AvgBase[team_consolidation],$K451,AvgBase[location_name],$G451,AvgBase[job_title],$H451))*(AS241+AR241)/2*(1-AS346))</f>
        <v>0</v>
      </c>
      <c r="AT451" s="652">
        <f>IF($B451="",,IF(LEFT($H451,5)="dummy",SUMIFS(AvgBase[Month 35],AvgBase[job_title],$H451),SUMIFS(AvgBase[Month 35],AvgBase[exp_item],$J451,AvgBase[company_name],$B451,AvgBase[bu_name],$C451,AvgBase[dept_name],$D451,AvgBase[team_consolidation],$K451,AvgBase[location_name],$G451,AvgBase[job_title],$H451))*(AT241+AS241)/2*(1-AT346))</f>
        <v>0</v>
      </c>
      <c r="AU451" s="652">
        <f>IF($B451="",,IF(LEFT($H451,5)="dummy",SUMIFS(AvgBase[Month 36],AvgBase[job_title],$H451),SUMIFS(AvgBase[Month 36],AvgBase[exp_item],$J451,AvgBase[company_name],$B451,AvgBase[bu_name],$C451,AvgBase[dept_name],$D451,AvgBase[team_consolidation],$K451,AvgBase[location_name],$G451,AvgBase[job_title],$H451))*(AU241+AT241)/2*(1-AU346))</f>
        <v>0</v>
      </c>
    </row>
    <row r="452" spans="2:47" x14ac:dyDescent="0.35">
      <c r="B452" t="str">
        <f t="shared" si="281"/>
        <v/>
      </c>
      <c r="C452" t="str">
        <f t="shared" si="281"/>
        <v/>
      </c>
      <c r="D452" t="str">
        <f t="shared" si="281"/>
        <v/>
      </c>
      <c r="E452" t="str">
        <f t="shared" si="281"/>
        <v/>
      </c>
      <c r="F452" t="str">
        <f t="shared" si="281"/>
        <v/>
      </c>
      <c r="G452" t="str">
        <f t="shared" si="281"/>
        <v/>
      </c>
      <c r="H452" t="str">
        <f t="shared" si="279"/>
        <v/>
      </c>
      <c r="J452" t="str">
        <f>IF($H452="","",IF(VLOOKUP($B$395,ExpItems[],2,0),$B$395&amp;" - "&amp;INDEX(DivisionMapping[category_code],MATCH($D452&amp;$C452,DivisionMapping[dept_bu],0)),$B$395))</f>
        <v/>
      </c>
      <c r="K452" t="str">
        <f t="shared" si="275"/>
        <v/>
      </c>
      <c r="L452" s="652">
        <f>IF($B452="",,IF(LEFT($H452,5)="dummy",SUMIFS(AvgBase[Month 1],AvgBase[job_title],$H452),SUMIFS(AvgBase[Month 1],AvgBase[exp_item],$J452,AvgBase[company_name],$B452,AvgBase[bu_name],$C452,AvgBase[dept_name],$D452,AvgBase[team_consolidation],$K452,AvgBase[location_name],$G452,AvgBase[job_title],$H452))*L242/2*(1-L347))</f>
        <v>0</v>
      </c>
      <c r="M452" s="652">
        <f>IF($B452="",,IF(LEFT($H452,5)="dummy",SUMIFS(AvgBase[Month 2],AvgBase[job_title],$H452),SUMIFS(AvgBase[Month 2],AvgBase[exp_item],$J452,AvgBase[company_name],$B452,AvgBase[bu_name],$C452,AvgBase[dept_name],$D452,AvgBase[team_consolidation],$K452,AvgBase[location_name],$G452,AvgBase[job_title],$H452))*(M242+L242)/2*(1-M347))</f>
        <v>0</v>
      </c>
      <c r="N452" s="652">
        <f>IF($B452="",,IF(LEFT($H452,5)="dummy",SUMIFS(AvgBase[Month 3],AvgBase[job_title],$H452),SUMIFS(AvgBase[Month 3],AvgBase[exp_item],$J452,AvgBase[company_name],$B452,AvgBase[bu_name],$C452,AvgBase[dept_name],$D452,AvgBase[team_consolidation],$K452,AvgBase[location_name],$G452,AvgBase[job_title],$H452))*(N242+M242)/2*(1-N347))</f>
        <v>0</v>
      </c>
      <c r="O452" s="652">
        <f>IF($B452="",,IF(LEFT($H452,5)="dummy",SUMIFS(AvgBase[Month 4],AvgBase[job_title],$H452),SUMIFS(AvgBase[Month 4],AvgBase[exp_item],$J452,AvgBase[company_name],$B452,AvgBase[bu_name],$C452,AvgBase[dept_name],$D452,AvgBase[team_consolidation],$K452,AvgBase[location_name],$G452,AvgBase[job_title],$H452))*(O242+N242)/2*(1-O347))</f>
        <v>0</v>
      </c>
      <c r="P452" s="652">
        <f>IF($B452="",,IF(LEFT($H452,5)="dummy",SUMIFS(AvgBase[Month 5],AvgBase[job_title],$H452),SUMIFS(AvgBase[Month 5],AvgBase[exp_item],$J452,AvgBase[company_name],$B452,AvgBase[bu_name],$C452,AvgBase[dept_name],$D452,AvgBase[team_consolidation],$K452,AvgBase[location_name],$G452,AvgBase[job_title],$H452))*(P242+O242)/2*(1-P347))</f>
        <v>0</v>
      </c>
      <c r="Q452" s="652">
        <f>IF($B452="",,IF(LEFT($H452,5)="dummy",SUMIFS(AvgBase[Month 6],AvgBase[job_title],$H452),SUMIFS(AvgBase[Month 6],AvgBase[exp_item],$J452,AvgBase[company_name],$B452,AvgBase[bu_name],$C452,AvgBase[dept_name],$D452,AvgBase[team_consolidation],$K452,AvgBase[location_name],$G452,AvgBase[job_title],$H452))*(Q242+P242)/2*(1-Q347))</f>
        <v>0</v>
      </c>
      <c r="R452" s="652">
        <f>IF($B452="",,IF(LEFT($H452,5)="dummy",SUMIFS(AvgBase[Month 7],AvgBase[job_title],$H452),SUMIFS(AvgBase[Month 7],AvgBase[exp_item],$J452,AvgBase[company_name],$B452,AvgBase[bu_name],$C452,AvgBase[dept_name],$D452,AvgBase[team_consolidation],$K452,AvgBase[location_name],$G452,AvgBase[job_title],$H452))*(R242+Q242)/2*(1-R347))</f>
        <v>0</v>
      </c>
      <c r="S452" s="652">
        <f>IF($B452="",,IF(LEFT($H452,5)="dummy",SUMIFS(AvgBase[Month 8],AvgBase[job_title],$H452),SUMIFS(AvgBase[Month 8],AvgBase[exp_item],$J452,AvgBase[company_name],$B452,AvgBase[bu_name],$C452,AvgBase[dept_name],$D452,AvgBase[team_consolidation],$K452,AvgBase[location_name],$G452,AvgBase[job_title],$H452))*(S242+R242)/2*(1-S347))</f>
        <v>0</v>
      </c>
      <c r="T452" s="652">
        <f>IF($B452="",,IF(LEFT($H452,5)="dummy",SUMIFS(AvgBase[Month 9],AvgBase[job_title],$H452),SUMIFS(AvgBase[Month 9],AvgBase[exp_item],$J452,AvgBase[company_name],$B452,AvgBase[bu_name],$C452,AvgBase[dept_name],$D452,AvgBase[team_consolidation],$K452,AvgBase[location_name],$G452,AvgBase[job_title],$H452))*(T242+S242)/2*(1-T347))</f>
        <v>0</v>
      </c>
      <c r="U452" s="652">
        <f>IF($B452="",,IF(LEFT($H452,5)="dummy",SUMIFS(AvgBase[Month 10],AvgBase[job_title],$H452),SUMIFS(AvgBase[Month 10],AvgBase[exp_item],$J452,AvgBase[company_name],$B452,AvgBase[bu_name],$C452,AvgBase[dept_name],$D452,AvgBase[team_consolidation],$K452,AvgBase[location_name],$G452,AvgBase[job_title],$H452))*(U242+T242)/2*(1-U347))</f>
        <v>0</v>
      </c>
      <c r="V452" s="652">
        <f>IF($B452="",,IF(LEFT($H452,5)="dummy",SUMIFS(AvgBase[Month 11],AvgBase[job_title],$H452),SUMIFS(AvgBase[Month 11],AvgBase[exp_item],$J452,AvgBase[company_name],$B452,AvgBase[bu_name],$C452,AvgBase[dept_name],$D452,AvgBase[team_consolidation],$K452,AvgBase[location_name],$G452,AvgBase[job_title],$H452))*(V242+U242)/2*(1-V347))</f>
        <v>0</v>
      </c>
      <c r="W452" s="652">
        <f>IF($B452="",,IF(LEFT($H452,5)="dummy",SUMIFS(AvgBase[Month 12],AvgBase[job_title],$H452),SUMIFS(AvgBase[Month 12],AvgBase[exp_item],$J452,AvgBase[company_name],$B452,AvgBase[bu_name],$C452,AvgBase[dept_name],$D452,AvgBase[team_consolidation],$K452,AvgBase[location_name],$G452,AvgBase[job_title],$H452))*(W242+V242)/2*(1-W347))</f>
        <v>0</v>
      </c>
      <c r="X452" s="652">
        <f>IF($B452="",,IF(LEFT($H452,5)="dummy",SUMIFS(AvgBase[Month 13],AvgBase[job_title],$H452),SUMIFS(AvgBase[Month 13],AvgBase[exp_item],$J452,AvgBase[company_name],$B452,AvgBase[bu_name],$C452,AvgBase[dept_name],$D452,AvgBase[team_consolidation],$K452,AvgBase[location_name],$G452,AvgBase[job_title],$H452))*(X242+W242)/2*(1-X347))</f>
        <v>0</v>
      </c>
      <c r="Y452" s="652">
        <f>IF($B452="",,IF(LEFT($H452,5)="dummy",SUMIFS(AvgBase[Month 14],AvgBase[job_title],$H452),SUMIFS(AvgBase[Month 14],AvgBase[exp_item],$J452,AvgBase[company_name],$B452,AvgBase[bu_name],$C452,AvgBase[dept_name],$D452,AvgBase[team_consolidation],$K452,AvgBase[location_name],$G452,AvgBase[job_title],$H452))*(Y242+X242)/2*(1-Y347))</f>
        <v>0</v>
      </c>
      <c r="Z452" s="652">
        <f>IF($B452="",,IF(LEFT($H452,5)="dummy",SUMIFS(AvgBase[Month 15],AvgBase[job_title],$H452),SUMIFS(AvgBase[Month 15],AvgBase[exp_item],$J452,AvgBase[company_name],$B452,AvgBase[bu_name],$C452,AvgBase[dept_name],$D452,AvgBase[team_consolidation],$K452,AvgBase[location_name],$G452,AvgBase[job_title],$H452))*(Z242+Y242)/2*(1-Z347))</f>
        <v>0</v>
      </c>
      <c r="AA452" s="652">
        <f>IF($B452="",,IF(LEFT($H452,5)="dummy",SUMIFS(AvgBase[Month 16],AvgBase[job_title],$H452),SUMIFS(AvgBase[Month 16],AvgBase[exp_item],$J452,AvgBase[company_name],$B452,AvgBase[bu_name],$C452,AvgBase[dept_name],$D452,AvgBase[team_consolidation],$K452,AvgBase[location_name],$G452,AvgBase[job_title],$H452))*(AA242+Z242)/2*(1-AA347))</f>
        <v>0</v>
      </c>
      <c r="AB452" s="652">
        <f>IF($B452="",,IF(LEFT($H452,5)="dummy",SUMIFS(AvgBase[Month 17],AvgBase[job_title],$H452),SUMIFS(AvgBase[Month 17],AvgBase[exp_item],$J452,AvgBase[company_name],$B452,AvgBase[bu_name],$C452,AvgBase[dept_name],$D452,AvgBase[team_consolidation],$K452,AvgBase[location_name],$G452,AvgBase[job_title],$H452))*(AB242+AA242)/2*(1-AB347))</f>
        <v>0</v>
      </c>
      <c r="AC452" s="652">
        <f>IF($B452="",,IF(LEFT($H452,5)="dummy",SUMIFS(AvgBase[Month 18],AvgBase[job_title],$H452),SUMIFS(AvgBase[Month 18],AvgBase[exp_item],$J452,AvgBase[company_name],$B452,AvgBase[bu_name],$C452,AvgBase[dept_name],$D452,AvgBase[team_consolidation],$K452,AvgBase[location_name],$G452,AvgBase[job_title],$H452))*(AC242+AB242)/2*(1-AC347))</f>
        <v>0</v>
      </c>
      <c r="AD452" s="652">
        <f>IF($B452="",,IF(LEFT($H452,5)="dummy",SUMIFS(AvgBase[Month 19],AvgBase[job_title],$H452),SUMIFS(AvgBase[Month 19],AvgBase[exp_item],$J452,AvgBase[company_name],$B452,AvgBase[bu_name],$C452,AvgBase[dept_name],$D452,AvgBase[team_consolidation],$K452,AvgBase[location_name],$G452,AvgBase[job_title],$H452))*(AD242+AC242)/2*(1-AD347))</f>
        <v>0</v>
      </c>
      <c r="AE452" s="652">
        <f>IF($B452="",,IF(LEFT($H452,5)="dummy",SUMIFS(AvgBase[Month 20],AvgBase[job_title],$H452),SUMIFS(AvgBase[Month 20],AvgBase[exp_item],$J452,AvgBase[company_name],$B452,AvgBase[bu_name],$C452,AvgBase[dept_name],$D452,AvgBase[team_consolidation],$K452,AvgBase[location_name],$G452,AvgBase[job_title],$H452))*(AE242+AD242)/2*(1-AE347))</f>
        <v>0</v>
      </c>
      <c r="AF452" s="652">
        <f>IF($B452="",,IF(LEFT($H452,5)="dummy",SUMIFS(AvgBase[Month 21],AvgBase[job_title],$H452),SUMIFS(AvgBase[Month 21],AvgBase[exp_item],$J452,AvgBase[company_name],$B452,AvgBase[bu_name],$C452,AvgBase[dept_name],$D452,AvgBase[team_consolidation],$K452,AvgBase[location_name],$G452,AvgBase[job_title],$H452))*(AF242+AE242)/2*(1-AF347))</f>
        <v>0</v>
      </c>
      <c r="AG452" s="652">
        <f>IF($B452="",,IF(LEFT($H452,5)="dummy",SUMIFS(AvgBase[Month 22],AvgBase[job_title],$H452),SUMIFS(AvgBase[Month 22],AvgBase[exp_item],$J452,AvgBase[company_name],$B452,AvgBase[bu_name],$C452,AvgBase[dept_name],$D452,AvgBase[team_consolidation],$K452,AvgBase[location_name],$G452,AvgBase[job_title],$H452))*(AG242+AF242)/2*(1-AG347))</f>
        <v>0</v>
      </c>
      <c r="AH452" s="652">
        <f>IF($B452="",,IF(LEFT($H452,5)="dummy",SUMIFS(AvgBase[Month 23],AvgBase[job_title],$H452),SUMIFS(AvgBase[Month 23],AvgBase[exp_item],$J452,AvgBase[company_name],$B452,AvgBase[bu_name],$C452,AvgBase[dept_name],$D452,AvgBase[team_consolidation],$K452,AvgBase[location_name],$G452,AvgBase[job_title],$H452))*(AH242+AG242)/2*(1-AH347))</f>
        <v>0</v>
      </c>
      <c r="AI452" s="652">
        <f>IF($B452="",,IF(LEFT($H452,5)="dummy",SUMIFS(AvgBase[Month 24],AvgBase[job_title],$H452),SUMIFS(AvgBase[Month 24],AvgBase[exp_item],$J452,AvgBase[company_name],$B452,AvgBase[bu_name],$C452,AvgBase[dept_name],$D452,AvgBase[team_consolidation],$K452,AvgBase[location_name],$G452,AvgBase[job_title],$H452))*(AI242+AH242)/2*(1-AI347))</f>
        <v>0</v>
      </c>
      <c r="AJ452" s="652">
        <f>IF($B452="",,IF(LEFT($H452,5)="dummy",SUMIFS(AvgBase[Month 25],AvgBase[job_title],$H452),SUMIFS(AvgBase[Month 25],AvgBase[exp_item],$J452,AvgBase[company_name],$B452,AvgBase[bu_name],$C452,AvgBase[dept_name],$D452,AvgBase[team_consolidation],$K452,AvgBase[location_name],$G452,AvgBase[job_title],$H452))*(AJ242+AI242)/2*(1-AJ347))</f>
        <v>0</v>
      </c>
      <c r="AK452" s="652">
        <f>IF($B452="",,IF(LEFT($H452,5)="dummy",SUMIFS(AvgBase[Month 26],AvgBase[job_title],$H452),SUMIFS(AvgBase[Month 26],AvgBase[exp_item],$J452,AvgBase[company_name],$B452,AvgBase[bu_name],$C452,AvgBase[dept_name],$D452,AvgBase[team_consolidation],$K452,AvgBase[location_name],$G452,AvgBase[job_title],$H452))*(AK242+AJ242)/2*(1-AK347))</f>
        <v>0</v>
      </c>
      <c r="AL452" s="652">
        <f>IF($B452="",,IF(LEFT($H452,5)="dummy",SUMIFS(AvgBase[Month 27],AvgBase[job_title],$H452),SUMIFS(AvgBase[Month 27],AvgBase[exp_item],$J452,AvgBase[company_name],$B452,AvgBase[bu_name],$C452,AvgBase[dept_name],$D452,AvgBase[team_consolidation],$K452,AvgBase[location_name],$G452,AvgBase[job_title],$H452))*(AL242+AK242)/2*(1-AL347))</f>
        <v>0</v>
      </c>
      <c r="AM452" s="652">
        <f>IF($B452="",,IF(LEFT($H452,5)="dummy",SUMIFS(AvgBase[Month 28],AvgBase[job_title],$H452),SUMIFS(AvgBase[Month 28],AvgBase[exp_item],$J452,AvgBase[company_name],$B452,AvgBase[bu_name],$C452,AvgBase[dept_name],$D452,AvgBase[team_consolidation],$K452,AvgBase[location_name],$G452,AvgBase[job_title],$H452))*(AM242+AL242)/2*(1-AM347))</f>
        <v>0</v>
      </c>
      <c r="AN452" s="652">
        <f>IF($B452="",,IF(LEFT($H452,5)="dummy",SUMIFS(AvgBase[Month 29],AvgBase[job_title],$H452),SUMIFS(AvgBase[Month 29],AvgBase[exp_item],$J452,AvgBase[company_name],$B452,AvgBase[bu_name],$C452,AvgBase[dept_name],$D452,AvgBase[team_consolidation],$K452,AvgBase[location_name],$G452,AvgBase[job_title],$H452))*(AN242+AM242)/2*(1-AN347))</f>
        <v>0</v>
      </c>
      <c r="AO452" s="652">
        <f>IF($B452="",,IF(LEFT($H452,5)="dummy",SUMIFS(AvgBase[Month 30],AvgBase[job_title],$H452),SUMIFS(AvgBase[Month 30],AvgBase[exp_item],$J452,AvgBase[company_name],$B452,AvgBase[bu_name],$C452,AvgBase[dept_name],$D452,AvgBase[team_consolidation],$K452,AvgBase[location_name],$G452,AvgBase[job_title],$H452))*(AO242+AN242)/2*(1-AO347))</f>
        <v>0</v>
      </c>
      <c r="AP452" s="652">
        <f>IF($B452="",,IF(LEFT($H452,5)="dummy",SUMIFS(AvgBase[Month 31],AvgBase[job_title],$H452),SUMIFS(AvgBase[Month 31],AvgBase[exp_item],$J452,AvgBase[company_name],$B452,AvgBase[bu_name],$C452,AvgBase[dept_name],$D452,AvgBase[team_consolidation],$K452,AvgBase[location_name],$G452,AvgBase[job_title],$H452))*(AP242+AO242)/2*(1-AP347))</f>
        <v>0</v>
      </c>
      <c r="AQ452" s="652">
        <f>IF($B452="",,IF(LEFT($H452,5)="dummy",SUMIFS(AvgBase[Month 32],AvgBase[job_title],$H452),SUMIFS(AvgBase[Month 32],AvgBase[exp_item],$J452,AvgBase[company_name],$B452,AvgBase[bu_name],$C452,AvgBase[dept_name],$D452,AvgBase[team_consolidation],$K452,AvgBase[location_name],$G452,AvgBase[job_title],$H452))*(AQ242+AP242)/2*(1-AQ347))</f>
        <v>0</v>
      </c>
      <c r="AR452" s="652">
        <f>IF($B452="",,IF(LEFT($H452,5)="dummy",SUMIFS(AvgBase[Month 33],AvgBase[job_title],$H452),SUMIFS(AvgBase[Month 33],AvgBase[exp_item],$J452,AvgBase[company_name],$B452,AvgBase[bu_name],$C452,AvgBase[dept_name],$D452,AvgBase[team_consolidation],$K452,AvgBase[location_name],$G452,AvgBase[job_title],$H452))*(AR242+AQ242)/2*(1-AR347))</f>
        <v>0</v>
      </c>
      <c r="AS452" s="652">
        <f>IF($B452="",,IF(LEFT($H452,5)="dummy",SUMIFS(AvgBase[Month 34],AvgBase[job_title],$H452),SUMIFS(AvgBase[Month 34],AvgBase[exp_item],$J452,AvgBase[company_name],$B452,AvgBase[bu_name],$C452,AvgBase[dept_name],$D452,AvgBase[team_consolidation],$K452,AvgBase[location_name],$G452,AvgBase[job_title],$H452))*(AS242+AR242)/2*(1-AS347))</f>
        <v>0</v>
      </c>
      <c r="AT452" s="652">
        <f>IF($B452="",,IF(LEFT($H452,5)="dummy",SUMIFS(AvgBase[Month 35],AvgBase[job_title],$H452),SUMIFS(AvgBase[Month 35],AvgBase[exp_item],$J452,AvgBase[company_name],$B452,AvgBase[bu_name],$C452,AvgBase[dept_name],$D452,AvgBase[team_consolidation],$K452,AvgBase[location_name],$G452,AvgBase[job_title],$H452))*(AT242+AS242)/2*(1-AT347))</f>
        <v>0</v>
      </c>
      <c r="AU452" s="652">
        <f>IF($B452="",,IF(LEFT($H452,5)="dummy",SUMIFS(AvgBase[Month 36],AvgBase[job_title],$H452),SUMIFS(AvgBase[Month 36],AvgBase[exp_item],$J452,AvgBase[company_name],$B452,AvgBase[bu_name],$C452,AvgBase[dept_name],$D452,AvgBase[team_consolidation],$K452,AvgBase[location_name],$G452,AvgBase[job_title],$H452))*(AU242+AT242)/2*(1-AU347))</f>
        <v>0</v>
      </c>
    </row>
    <row r="453" spans="2:47" x14ac:dyDescent="0.35">
      <c r="B453" t="str">
        <f t="shared" si="281"/>
        <v/>
      </c>
      <c r="C453" t="str">
        <f t="shared" si="281"/>
        <v/>
      </c>
      <c r="D453" t="str">
        <f t="shared" si="281"/>
        <v/>
      </c>
      <c r="E453" t="str">
        <f t="shared" si="281"/>
        <v/>
      </c>
      <c r="F453" t="str">
        <f t="shared" si="281"/>
        <v/>
      </c>
      <c r="G453" t="str">
        <f t="shared" si="281"/>
        <v/>
      </c>
      <c r="H453" t="str">
        <f t="shared" si="279"/>
        <v/>
      </c>
      <c r="J453" t="str">
        <f>IF($H453="","",IF(VLOOKUP($B$395,ExpItems[],2,0),$B$395&amp;" - "&amp;INDEX(DivisionMapping[category_code],MATCH($D453&amp;$C453,DivisionMapping[dept_bu],0)),$B$395))</f>
        <v/>
      </c>
      <c r="K453" t="str">
        <f t="shared" si="275"/>
        <v/>
      </c>
      <c r="L453" s="652">
        <f>IF($B453="",,IF(LEFT($H453,5)="dummy",SUMIFS(AvgBase[Month 1],AvgBase[job_title],$H453),SUMIFS(AvgBase[Month 1],AvgBase[exp_item],$J453,AvgBase[company_name],$B453,AvgBase[bu_name],$C453,AvgBase[dept_name],$D453,AvgBase[team_consolidation],$K453,AvgBase[location_name],$G453,AvgBase[job_title],$H453))*L243/2*(1-L348))</f>
        <v>0</v>
      </c>
      <c r="M453" s="652">
        <f>IF($B453="",,IF(LEFT($H453,5)="dummy",SUMIFS(AvgBase[Month 2],AvgBase[job_title],$H453),SUMIFS(AvgBase[Month 2],AvgBase[exp_item],$J453,AvgBase[company_name],$B453,AvgBase[bu_name],$C453,AvgBase[dept_name],$D453,AvgBase[team_consolidation],$K453,AvgBase[location_name],$G453,AvgBase[job_title],$H453))*(M243+L243)/2*(1-M348))</f>
        <v>0</v>
      </c>
      <c r="N453" s="652">
        <f>IF($B453="",,IF(LEFT($H453,5)="dummy",SUMIFS(AvgBase[Month 3],AvgBase[job_title],$H453),SUMIFS(AvgBase[Month 3],AvgBase[exp_item],$J453,AvgBase[company_name],$B453,AvgBase[bu_name],$C453,AvgBase[dept_name],$D453,AvgBase[team_consolidation],$K453,AvgBase[location_name],$G453,AvgBase[job_title],$H453))*(N243+M243)/2*(1-N348))</f>
        <v>0</v>
      </c>
      <c r="O453" s="652">
        <f>IF($B453="",,IF(LEFT($H453,5)="dummy",SUMIFS(AvgBase[Month 4],AvgBase[job_title],$H453),SUMIFS(AvgBase[Month 4],AvgBase[exp_item],$J453,AvgBase[company_name],$B453,AvgBase[bu_name],$C453,AvgBase[dept_name],$D453,AvgBase[team_consolidation],$K453,AvgBase[location_name],$G453,AvgBase[job_title],$H453))*(O243+N243)/2*(1-O348))</f>
        <v>0</v>
      </c>
      <c r="P453" s="652">
        <f>IF($B453="",,IF(LEFT($H453,5)="dummy",SUMIFS(AvgBase[Month 5],AvgBase[job_title],$H453),SUMIFS(AvgBase[Month 5],AvgBase[exp_item],$J453,AvgBase[company_name],$B453,AvgBase[bu_name],$C453,AvgBase[dept_name],$D453,AvgBase[team_consolidation],$K453,AvgBase[location_name],$G453,AvgBase[job_title],$H453))*(P243+O243)/2*(1-P348))</f>
        <v>0</v>
      </c>
      <c r="Q453" s="652">
        <f>IF($B453="",,IF(LEFT($H453,5)="dummy",SUMIFS(AvgBase[Month 6],AvgBase[job_title],$H453),SUMIFS(AvgBase[Month 6],AvgBase[exp_item],$J453,AvgBase[company_name],$B453,AvgBase[bu_name],$C453,AvgBase[dept_name],$D453,AvgBase[team_consolidation],$K453,AvgBase[location_name],$G453,AvgBase[job_title],$H453))*(Q243+P243)/2*(1-Q348))</f>
        <v>0</v>
      </c>
      <c r="R453" s="652">
        <f>IF($B453="",,IF(LEFT($H453,5)="dummy",SUMIFS(AvgBase[Month 7],AvgBase[job_title],$H453),SUMIFS(AvgBase[Month 7],AvgBase[exp_item],$J453,AvgBase[company_name],$B453,AvgBase[bu_name],$C453,AvgBase[dept_name],$D453,AvgBase[team_consolidation],$K453,AvgBase[location_name],$G453,AvgBase[job_title],$H453))*(R243+Q243)/2*(1-R348))</f>
        <v>0</v>
      </c>
      <c r="S453" s="652">
        <f>IF($B453="",,IF(LEFT($H453,5)="dummy",SUMIFS(AvgBase[Month 8],AvgBase[job_title],$H453),SUMIFS(AvgBase[Month 8],AvgBase[exp_item],$J453,AvgBase[company_name],$B453,AvgBase[bu_name],$C453,AvgBase[dept_name],$D453,AvgBase[team_consolidation],$K453,AvgBase[location_name],$G453,AvgBase[job_title],$H453))*(S243+R243)/2*(1-S348))</f>
        <v>0</v>
      </c>
      <c r="T453" s="652">
        <f>IF($B453="",,IF(LEFT($H453,5)="dummy",SUMIFS(AvgBase[Month 9],AvgBase[job_title],$H453),SUMIFS(AvgBase[Month 9],AvgBase[exp_item],$J453,AvgBase[company_name],$B453,AvgBase[bu_name],$C453,AvgBase[dept_name],$D453,AvgBase[team_consolidation],$K453,AvgBase[location_name],$G453,AvgBase[job_title],$H453))*(T243+S243)/2*(1-T348))</f>
        <v>0</v>
      </c>
      <c r="U453" s="652">
        <f>IF($B453="",,IF(LEFT($H453,5)="dummy",SUMIFS(AvgBase[Month 10],AvgBase[job_title],$H453),SUMIFS(AvgBase[Month 10],AvgBase[exp_item],$J453,AvgBase[company_name],$B453,AvgBase[bu_name],$C453,AvgBase[dept_name],$D453,AvgBase[team_consolidation],$K453,AvgBase[location_name],$G453,AvgBase[job_title],$H453))*(U243+T243)/2*(1-U348))</f>
        <v>0</v>
      </c>
      <c r="V453" s="652">
        <f>IF($B453="",,IF(LEFT($H453,5)="dummy",SUMIFS(AvgBase[Month 11],AvgBase[job_title],$H453),SUMIFS(AvgBase[Month 11],AvgBase[exp_item],$J453,AvgBase[company_name],$B453,AvgBase[bu_name],$C453,AvgBase[dept_name],$D453,AvgBase[team_consolidation],$K453,AvgBase[location_name],$G453,AvgBase[job_title],$H453))*(V243+U243)/2*(1-V348))</f>
        <v>0</v>
      </c>
      <c r="W453" s="652">
        <f>IF($B453="",,IF(LEFT($H453,5)="dummy",SUMIFS(AvgBase[Month 12],AvgBase[job_title],$H453),SUMIFS(AvgBase[Month 12],AvgBase[exp_item],$J453,AvgBase[company_name],$B453,AvgBase[bu_name],$C453,AvgBase[dept_name],$D453,AvgBase[team_consolidation],$K453,AvgBase[location_name],$G453,AvgBase[job_title],$H453))*(W243+V243)/2*(1-W348))</f>
        <v>0</v>
      </c>
      <c r="X453" s="652">
        <f>IF($B453="",,IF(LEFT($H453,5)="dummy",SUMIFS(AvgBase[Month 13],AvgBase[job_title],$H453),SUMIFS(AvgBase[Month 13],AvgBase[exp_item],$J453,AvgBase[company_name],$B453,AvgBase[bu_name],$C453,AvgBase[dept_name],$D453,AvgBase[team_consolidation],$K453,AvgBase[location_name],$G453,AvgBase[job_title],$H453))*(X243+W243)/2*(1-X348))</f>
        <v>0</v>
      </c>
      <c r="Y453" s="652">
        <f>IF($B453="",,IF(LEFT($H453,5)="dummy",SUMIFS(AvgBase[Month 14],AvgBase[job_title],$H453),SUMIFS(AvgBase[Month 14],AvgBase[exp_item],$J453,AvgBase[company_name],$B453,AvgBase[bu_name],$C453,AvgBase[dept_name],$D453,AvgBase[team_consolidation],$K453,AvgBase[location_name],$G453,AvgBase[job_title],$H453))*(Y243+X243)/2*(1-Y348))</f>
        <v>0</v>
      </c>
      <c r="Z453" s="652">
        <f>IF($B453="",,IF(LEFT($H453,5)="dummy",SUMIFS(AvgBase[Month 15],AvgBase[job_title],$H453),SUMIFS(AvgBase[Month 15],AvgBase[exp_item],$J453,AvgBase[company_name],$B453,AvgBase[bu_name],$C453,AvgBase[dept_name],$D453,AvgBase[team_consolidation],$K453,AvgBase[location_name],$G453,AvgBase[job_title],$H453))*(Z243+Y243)/2*(1-Z348))</f>
        <v>0</v>
      </c>
      <c r="AA453" s="652">
        <f>IF($B453="",,IF(LEFT($H453,5)="dummy",SUMIFS(AvgBase[Month 16],AvgBase[job_title],$H453),SUMIFS(AvgBase[Month 16],AvgBase[exp_item],$J453,AvgBase[company_name],$B453,AvgBase[bu_name],$C453,AvgBase[dept_name],$D453,AvgBase[team_consolidation],$K453,AvgBase[location_name],$G453,AvgBase[job_title],$H453))*(AA243+Z243)/2*(1-AA348))</f>
        <v>0</v>
      </c>
      <c r="AB453" s="652">
        <f>IF($B453="",,IF(LEFT($H453,5)="dummy",SUMIFS(AvgBase[Month 17],AvgBase[job_title],$H453),SUMIFS(AvgBase[Month 17],AvgBase[exp_item],$J453,AvgBase[company_name],$B453,AvgBase[bu_name],$C453,AvgBase[dept_name],$D453,AvgBase[team_consolidation],$K453,AvgBase[location_name],$G453,AvgBase[job_title],$H453))*(AB243+AA243)/2*(1-AB348))</f>
        <v>0</v>
      </c>
      <c r="AC453" s="652">
        <f>IF($B453="",,IF(LEFT($H453,5)="dummy",SUMIFS(AvgBase[Month 18],AvgBase[job_title],$H453),SUMIFS(AvgBase[Month 18],AvgBase[exp_item],$J453,AvgBase[company_name],$B453,AvgBase[bu_name],$C453,AvgBase[dept_name],$D453,AvgBase[team_consolidation],$K453,AvgBase[location_name],$G453,AvgBase[job_title],$H453))*(AC243+AB243)/2*(1-AC348))</f>
        <v>0</v>
      </c>
      <c r="AD453" s="652">
        <f>IF($B453="",,IF(LEFT($H453,5)="dummy",SUMIFS(AvgBase[Month 19],AvgBase[job_title],$H453),SUMIFS(AvgBase[Month 19],AvgBase[exp_item],$J453,AvgBase[company_name],$B453,AvgBase[bu_name],$C453,AvgBase[dept_name],$D453,AvgBase[team_consolidation],$K453,AvgBase[location_name],$G453,AvgBase[job_title],$H453))*(AD243+AC243)/2*(1-AD348))</f>
        <v>0</v>
      </c>
      <c r="AE453" s="652">
        <f>IF($B453="",,IF(LEFT($H453,5)="dummy",SUMIFS(AvgBase[Month 20],AvgBase[job_title],$H453),SUMIFS(AvgBase[Month 20],AvgBase[exp_item],$J453,AvgBase[company_name],$B453,AvgBase[bu_name],$C453,AvgBase[dept_name],$D453,AvgBase[team_consolidation],$K453,AvgBase[location_name],$G453,AvgBase[job_title],$H453))*(AE243+AD243)/2*(1-AE348))</f>
        <v>0</v>
      </c>
      <c r="AF453" s="652">
        <f>IF($B453="",,IF(LEFT($H453,5)="dummy",SUMIFS(AvgBase[Month 21],AvgBase[job_title],$H453),SUMIFS(AvgBase[Month 21],AvgBase[exp_item],$J453,AvgBase[company_name],$B453,AvgBase[bu_name],$C453,AvgBase[dept_name],$D453,AvgBase[team_consolidation],$K453,AvgBase[location_name],$G453,AvgBase[job_title],$H453))*(AF243+AE243)/2*(1-AF348))</f>
        <v>0</v>
      </c>
      <c r="AG453" s="652">
        <f>IF($B453="",,IF(LEFT($H453,5)="dummy",SUMIFS(AvgBase[Month 22],AvgBase[job_title],$H453),SUMIFS(AvgBase[Month 22],AvgBase[exp_item],$J453,AvgBase[company_name],$B453,AvgBase[bu_name],$C453,AvgBase[dept_name],$D453,AvgBase[team_consolidation],$K453,AvgBase[location_name],$G453,AvgBase[job_title],$H453))*(AG243+AF243)/2*(1-AG348))</f>
        <v>0</v>
      </c>
      <c r="AH453" s="652">
        <f>IF($B453="",,IF(LEFT($H453,5)="dummy",SUMIFS(AvgBase[Month 23],AvgBase[job_title],$H453),SUMIFS(AvgBase[Month 23],AvgBase[exp_item],$J453,AvgBase[company_name],$B453,AvgBase[bu_name],$C453,AvgBase[dept_name],$D453,AvgBase[team_consolidation],$K453,AvgBase[location_name],$G453,AvgBase[job_title],$H453))*(AH243+AG243)/2*(1-AH348))</f>
        <v>0</v>
      </c>
      <c r="AI453" s="652">
        <f>IF($B453="",,IF(LEFT($H453,5)="dummy",SUMIFS(AvgBase[Month 24],AvgBase[job_title],$H453),SUMIFS(AvgBase[Month 24],AvgBase[exp_item],$J453,AvgBase[company_name],$B453,AvgBase[bu_name],$C453,AvgBase[dept_name],$D453,AvgBase[team_consolidation],$K453,AvgBase[location_name],$G453,AvgBase[job_title],$H453))*(AI243+AH243)/2*(1-AI348))</f>
        <v>0</v>
      </c>
      <c r="AJ453" s="652">
        <f>IF($B453="",,IF(LEFT($H453,5)="dummy",SUMIFS(AvgBase[Month 25],AvgBase[job_title],$H453),SUMIFS(AvgBase[Month 25],AvgBase[exp_item],$J453,AvgBase[company_name],$B453,AvgBase[bu_name],$C453,AvgBase[dept_name],$D453,AvgBase[team_consolidation],$K453,AvgBase[location_name],$G453,AvgBase[job_title],$H453))*(AJ243+AI243)/2*(1-AJ348))</f>
        <v>0</v>
      </c>
      <c r="AK453" s="652">
        <f>IF($B453="",,IF(LEFT($H453,5)="dummy",SUMIFS(AvgBase[Month 26],AvgBase[job_title],$H453),SUMIFS(AvgBase[Month 26],AvgBase[exp_item],$J453,AvgBase[company_name],$B453,AvgBase[bu_name],$C453,AvgBase[dept_name],$D453,AvgBase[team_consolidation],$K453,AvgBase[location_name],$G453,AvgBase[job_title],$H453))*(AK243+AJ243)/2*(1-AK348))</f>
        <v>0</v>
      </c>
      <c r="AL453" s="652">
        <f>IF($B453="",,IF(LEFT($H453,5)="dummy",SUMIFS(AvgBase[Month 27],AvgBase[job_title],$H453),SUMIFS(AvgBase[Month 27],AvgBase[exp_item],$J453,AvgBase[company_name],$B453,AvgBase[bu_name],$C453,AvgBase[dept_name],$D453,AvgBase[team_consolidation],$K453,AvgBase[location_name],$G453,AvgBase[job_title],$H453))*(AL243+AK243)/2*(1-AL348))</f>
        <v>0</v>
      </c>
      <c r="AM453" s="652">
        <f>IF($B453="",,IF(LEFT($H453,5)="dummy",SUMIFS(AvgBase[Month 28],AvgBase[job_title],$H453),SUMIFS(AvgBase[Month 28],AvgBase[exp_item],$J453,AvgBase[company_name],$B453,AvgBase[bu_name],$C453,AvgBase[dept_name],$D453,AvgBase[team_consolidation],$K453,AvgBase[location_name],$G453,AvgBase[job_title],$H453))*(AM243+AL243)/2*(1-AM348))</f>
        <v>0</v>
      </c>
      <c r="AN453" s="652">
        <f>IF($B453="",,IF(LEFT($H453,5)="dummy",SUMIFS(AvgBase[Month 29],AvgBase[job_title],$H453),SUMIFS(AvgBase[Month 29],AvgBase[exp_item],$J453,AvgBase[company_name],$B453,AvgBase[bu_name],$C453,AvgBase[dept_name],$D453,AvgBase[team_consolidation],$K453,AvgBase[location_name],$G453,AvgBase[job_title],$H453))*(AN243+AM243)/2*(1-AN348))</f>
        <v>0</v>
      </c>
      <c r="AO453" s="652">
        <f>IF($B453="",,IF(LEFT($H453,5)="dummy",SUMIFS(AvgBase[Month 30],AvgBase[job_title],$H453),SUMIFS(AvgBase[Month 30],AvgBase[exp_item],$J453,AvgBase[company_name],$B453,AvgBase[bu_name],$C453,AvgBase[dept_name],$D453,AvgBase[team_consolidation],$K453,AvgBase[location_name],$G453,AvgBase[job_title],$H453))*(AO243+AN243)/2*(1-AO348))</f>
        <v>0</v>
      </c>
      <c r="AP453" s="652">
        <f>IF($B453="",,IF(LEFT($H453,5)="dummy",SUMIFS(AvgBase[Month 31],AvgBase[job_title],$H453),SUMIFS(AvgBase[Month 31],AvgBase[exp_item],$J453,AvgBase[company_name],$B453,AvgBase[bu_name],$C453,AvgBase[dept_name],$D453,AvgBase[team_consolidation],$K453,AvgBase[location_name],$G453,AvgBase[job_title],$H453))*(AP243+AO243)/2*(1-AP348))</f>
        <v>0</v>
      </c>
      <c r="AQ453" s="652">
        <f>IF($B453="",,IF(LEFT($H453,5)="dummy",SUMIFS(AvgBase[Month 32],AvgBase[job_title],$H453),SUMIFS(AvgBase[Month 32],AvgBase[exp_item],$J453,AvgBase[company_name],$B453,AvgBase[bu_name],$C453,AvgBase[dept_name],$D453,AvgBase[team_consolidation],$K453,AvgBase[location_name],$G453,AvgBase[job_title],$H453))*(AQ243+AP243)/2*(1-AQ348))</f>
        <v>0</v>
      </c>
      <c r="AR453" s="652">
        <f>IF($B453="",,IF(LEFT($H453,5)="dummy",SUMIFS(AvgBase[Month 33],AvgBase[job_title],$H453),SUMIFS(AvgBase[Month 33],AvgBase[exp_item],$J453,AvgBase[company_name],$B453,AvgBase[bu_name],$C453,AvgBase[dept_name],$D453,AvgBase[team_consolidation],$K453,AvgBase[location_name],$G453,AvgBase[job_title],$H453))*(AR243+AQ243)/2*(1-AR348))</f>
        <v>0</v>
      </c>
      <c r="AS453" s="652">
        <f>IF($B453="",,IF(LEFT($H453,5)="dummy",SUMIFS(AvgBase[Month 34],AvgBase[job_title],$H453),SUMIFS(AvgBase[Month 34],AvgBase[exp_item],$J453,AvgBase[company_name],$B453,AvgBase[bu_name],$C453,AvgBase[dept_name],$D453,AvgBase[team_consolidation],$K453,AvgBase[location_name],$G453,AvgBase[job_title],$H453))*(AS243+AR243)/2*(1-AS348))</f>
        <v>0</v>
      </c>
      <c r="AT453" s="652">
        <f>IF($B453="",,IF(LEFT($H453,5)="dummy",SUMIFS(AvgBase[Month 35],AvgBase[job_title],$H453),SUMIFS(AvgBase[Month 35],AvgBase[exp_item],$J453,AvgBase[company_name],$B453,AvgBase[bu_name],$C453,AvgBase[dept_name],$D453,AvgBase[team_consolidation],$K453,AvgBase[location_name],$G453,AvgBase[job_title],$H453))*(AT243+AS243)/2*(1-AT348))</f>
        <v>0</v>
      </c>
      <c r="AU453" s="652">
        <f>IF($B453="",,IF(LEFT($H453,5)="dummy",SUMIFS(AvgBase[Month 36],AvgBase[job_title],$H453),SUMIFS(AvgBase[Month 36],AvgBase[exp_item],$J453,AvgBase[company_name],$B453,AvgBase[bu_name],$C453,AvgBase[dept_name],$D453,AvgBase[team_consolidation],$K453,AvgBase[location_name],$G453,AvgBase[job_title],$H453))*(AU243+AT243)/2*(1-AU348))</f>
        <v>0</v>
      </c>
    </row>
    <row r="454" spans="2:47" x14ac:dyDescent="0.35">
      <c r="B454" t="str">
        <f t="shared" si="281"/>
        <v/>
      </c>
      <c r="C454" t="str">
        <f t="shared" si="281"/>
        <v/>
      </c>
      <c r="D454" t="str">
        <f t="shared" si="281"/>
        <v/>
      </c>
      <c r="E454" t="str">
        <f t="shared" si="281"/>
        <v/>
      </c>
      <c r="F454" t="str">
        <f t="shared" si="281"/>
        <v/>
      </c>
      <c r="G454" t="str">
        <f t="shared" si="281"/>
        <v/>
      </c>
      <c r="H454" t="str">
        <f t="shared" si="279"/>
        <v/>
      </c>
      <c r="J454" t="str">
        <f>IF($H454="","",IF(VLOOKUP($B$395,ExpItems[],2,0),$B$395&amp;" - "&amp;INDEX(DivisionMapping[category_code],MATCH($D454&amp;$C454,DivisionMapping[dept_bu],0)),$B$395))</f>
        <v/>
      </c>
      <c r="K454" t="str">
        <f t="shared" si="275"/>
        <v/>
      </c>
      <c r="L454" s="652">
        <f>IF($B454="",,IF(LEFT($H454,5)="dummy",SUMIFS(AvgBase[Month 1],AvgBase[job_title],$H454),SUMIFS(AvgBase[Month 1],AvgBase[exp_item],$J454,AvgBase[company_name],$B454,AvgBase[bu_name],$C454,AvgBase[dept_name],$D454,AvgBase[team_consolidation],$K454,AvgBase[location_name],$G454,AvgBase[job_title],$H454))*L244/2*(1-L349))</f>
        <v>0</v>
      </c>
      <c r="M454" s="652">
        <f>IF($B454="",,IF(LEFT($H454,5)="dummy",SUMIFS(AvgBase[Month 2],AvgBase[job_title],$H454),SUMIFS(AvgBase[Month 2],AvgBase[exp_item],$J454,AvgBase[company_name],$B454,AvgBase[bu_name],$C454,AvgBase[dept_name],$D454,AvgBase[team_consolidation],$K454,AvgBase[location_name],$G454,AvgBase[job_title],$H454))*(M244+L244)/2*(1-M349))</f>
        <v>0</v>
      </c>
      <c r="N454" s="652">
        <f>IF($B454="",,IF(LEFT($H454,5)="dummy",SUMIFS(AvgBase[Month 3],AvgBase[job_title],$H454),SUMIFS(AvgBase[Month 3],AvgBase[exp_item],$J454,AvgBase[company_name],$B454,AvgBase[bu_name],$C454,AvgBase[dept_name],$D454,AvgBase[team_consolidation],$K454,AvgBase[location_name],$G454,AvgBase[job_title],$H454))*(N244+M244)/2*(1-N349))</f>
        <v>0</v>
      </c>
      <c r="O454" s="652">
        <f>IF($B454="",,IF(LEFT($H454,5)="dummy",SUMIFS(AvgBase[Month 4],AvgBase[job_title],$H454),SUMIFS(AvgBase[Month 4],AvgBase[exp_item],$J454,AvgBase[company_name],$B454,AvgBase[bu_name],$C454,AvgBase[dept_name],$D454,AvgBase[team_consolidation],$K454,AvgBase[location_name],$G454,AvgBase[job_title],$H454))*(O244+N244)/2*(1-O349))</f>
        <v>0</v>
      </c>
      <c r="P454" s="652">
        <f>IF($B454="",,IF(LEFT($H454,5)="dummy",SUMIFS(AvgBase[Month 5],AvgBase[job_title],$H454),SUMIFS(AvgBase[Month 5],AvgBase[exp_item],$J454,AvgBase[company_name],$B454,AvgBase[bu_name],$C454,AvgBase[dept_name],$D454,AvgBase[team_consolidation],$K454,AvgBase[location_name],$G454,AvgBase[job_title],$H454))*(P244+O244)/2*(1-P349))</f>
        <v>0</v>
      </c>
      <c r="Q454" s="652">
        <f>IF($B454="",,IF(LEFT($H454,5)="dummy",SUMIFS(AvgBase[Month 6],AvgBase[job_title],$H454),SUMIFS(AvgBase[Month 6],AvgBase[exp_item],$J454,AvgBase[company_name],$B454,AvgBase[bu_name],$C454,AvgBase[dept_name],$D454,AvgBase[team_consolidation],$K454,AvgBase[location_name],$G454,AvgBase[job_title],$H454))*(Q244+P244)/2*(1-Q349))</f>
        <v>0</v>
      </c>
      <c r="R454" s="652">
        <f>IF($B454="",,IF(LEFT($H454,5)="dummy",SUMIFS(AvgBase[Month 7],AvgBase[job_title],$H454),SUMIFS(AvgBase[Month 7],AvgBase[exp_item],$J454,AvgBase[company_name],$B454,AvgBase[bu_name],$C454,AvgBase[dept_name],$D454,AvgBase[team_consolidation],$K454,AvgBase[location_name],$G454,AvgBase[job_title],$H454))*(R244+Q244)/2*(1-R349))</f>
        <v>0</v>
      </c>
      <c r="S454" s="652">
        <f>IF($B454="",,IF(LEFT($H454,5)="dummy",SUMIFS(AvgBase[Month 8],AvgBase[job_title],$H454),SUMIFS(AvgBase[Month 8],AvgBase[exp_item],$J454,AvgBase[company_name],$B454,AvgBase[bu_name],$C454,AvgBase[dept_name],$D454,AvgBase[team_consolidation],$K454,AvgBase[location_name],$G454,AvgBase[job_title],$H454))*(S244+R244)/2*(1-S349))</f>
        <v>0</v>
      </c>
      <c r="T454" s="652">
        <f>IF($B454="",,IF(LEFT($H454,5)="dummy",SUMIFS(AvgBase[Month 9],AvgBase[job_title],$H454),SUMIFS(AvgBase[Month 9],AvgBase[exp_item],$J454,AvgBase[company_name],$B454,AvgBase[bu_name],$C454,AvgBase[dept_name],$D454,AvgBase[team_consolidation],$K454,AvgBase[location_name],$G454,AvgBase[job_title],$H454))*(T244+S244)/2*(1-T349))</f>
        <v>0</v>
      </c>
      <c r="U454" s="652">
        <f>IF($B454="",,IF(LEFT($H454,5)="dummy",SUMIFS(AvgBase[Month 10],AvgBase[job_title],$H454),SUMIFS(AvgBase[Month 10],AvgBase[exp_item],$J454,AvgBase[company_name],$B454,AvgBase[bu_name],$C454,AvgBase[dept_name],$D454,AvgBase[team_consolidation],$K454,AvgBase[location_name],$G454,AvgBase[job_title],$H454))*(U244+T244)/2*(1-U349))</f>
        <v>0</v>
      </c>
      <c r="V454" s="652">
        <f>IF($B454="",,IF(LEFT($H454,5)="dummy",SUMIFS(AvgBase[Month 11],AvgBase[job_title],$H454),SUMIFS(AvgBase[Month 11],AvgBase[exp_item],$J454,AvgBase[company_name],$B454,AvgBase[bu_name],$C454,AvgBase[dept_name],$D454,AvgBase[team_consolidation],$K454,AvgBase[location_name],$G454,AvgBase[job_title],$H454))*(V244+U244)/2*(1-V349))</f>
        <v>0</v>
      </c>
      <c r="W454" s="652">
        <f>IF($B454="",,IF(LEFT($H454,5)="dummy",SUMIFS(AvgBase[Month 12],AvgBase[job_title],$H454),SUMIFS(AvgBase[Month 12],AvgBase[exp_item],$J454,AvgBase[company_name],$B454,AvgBase[bu_name],$C454,AvgBase[dept_name],$D454,AvgBase[team_consolidation],$K454,AvgBase[location_name],$G454,AvgBase[job_title],$H454))*(W244+V244)/2*(1-W349))</f>
        <v>0</v>
      </c>
      <c r="X454" s="652">
        <f>IF($B454="",,IF(LEFT($H454,5)="dummy",SUMIFS(AvgBase[Month 13],AvgBase[job_title],$H454),SUMIFS(AvgBase[Month 13],AvgBase[exp_item],$J454,AvgBase[company_name],$B454,AvgBase[bu_name],$C454,AvgBase[dept_name],$D454,AvgBase[team_consolidation],$K454,AvgBase[location_name],$G454,AvgBase[job_title],$H454))*(X244+W244)/2*(1-X349))</f>
        <v>0</v>
      </c>
      <c r="Y454" s="652">
        <f>IF($B454="",,IF(LEFT($H454,5)="dummy",SUMIFS(AvgBase[Month 14],AvgBase[job_title],$H454),SUMIFS(AvgBase[Month 14],AvgBase[exp_item],$J454,AvgBase[company_name],$B454,AvgBase[bu_name],$C454,AvgBase[dept_name],$D454,AvgBase[team_consolidation],$K454,AvgBase[location_name],$G454,AvgBase[job_title],$H454))*(Y244+X244)/2*(1-Y349))</f>
        <v>0</v>
      </c>
      <c r="Z454" s="652">
        <f>IF($B454="",,IF(LEFT($H454,5)="dummy",SUMIFS(AvgBase[Month 15],AvgBase[job_title],$H454),SUMIFS(AvgBase[Month 15],AvgBase[exp_item],$J454,AvgBase[company_name],$B454,AvgBase[bu_name],$C454,AvgBase[dept_name],$D454,AvgBase[team_consolidation],$K454,AvgBase[location_name],$G454,AvgBase[job_title],$H454))*(Z244+Y244)/2*(1-Z349))</f>
        <v>0</v>
      </c>
      <c r="AA454" s="652">
        <f>IF($B454="",,IF(LEFT($H454,5)="dummy",SUMIFS(AvgBase[Month 16],AvgBase[job_title],$H454),SUMIFS(AvgBase[Month 16],AvgBase[exp_item],$J454,AvgBase[company_name],$B454,AvgBase[bu_name],$C454,AvgBase[dept_name],$D454,AvgBase[team_consolidation],$K454,AvgBase[location_name],$G454,AvgBase[job_title],$H454))*(AA244+Z244)/2*(1-AA349))</f>
        <v>0</v>
      </c>
      <c r="AB454" s="652">
        <f>IF($B454="",,IF(LEFT($H454,5)="dummy",SUMIFS(AvgBase[Month 17],AvgBase[job_title],$H454),SUMIFS(AvgBase[Month 17],AvgBase[exp_item],$J454,AvgBase[company_name],$B454,AvgBase[bu_name],$C454,AvgBase[dept_name],$D454,AvgBase[team_consolidation],$K454,AvgBase[location_name],$G454,AvgBase[job_title],$H454))*(AB244+AA244)/2*(1-AB349))</f>
        <v>0</v>
      </c>
      <c r="AC454" s="652">
        <f>IF($B454="",,IF(LEFT($H454,5)="dummy",SUMIFS(AvgBase[Month 18],AvgBase[job_title],$H454),SUMIFS(AvgBase[Month 18],AvgBase[exp_item],$J454,AvgBase[company_name],$B454,AvgBase[bu_name],$C454,AvgBase[dept_name],$D454,AvgBase[team_consolidation],$K454,AvgBase[location_name],$G454,AvgBase[job_title],$H454))*(AC244+AB244)/2*(1-AC349))</f>
        <v>0</v>
      </c>
      <c r="AD454" s="652">
        <f>IF($B454="",,IF(LEFT($H454,5)="dummy",SUMIFS(AvgBase[Month 19],AvgBase[job_title],$H454),SUMIFS(AvgBase[Month 19],AvgBase[exp_item],$J454,AvgBase[company_name],$B454,AvgBase[bu_name],$C454,AvgBase[dept_name],$D454,AvgBase[team_consolidation],$K454,AvgBase[location_name],$G454,AvgBase[job_title],$H454))*(AD244+AC244)/2*(1-AD349))</f>
        <v>0</v>
      </c>
      <c r="AE454" s="652">
        <f>IF($B454="",,IF(LEFT($H454,5)="dummy",SUMIFS(AvgBase[Month 20],AvgBase[job_title],$H454),SUMIFS(AvgBase[Month 20],AvgBase[exp_item],$J454,AvgBase[company_name],$B454,AvgBase[bu_name],$C454,AvgBase[dept_name],$D454,AvgBase[team_consolidation],$K454,AvgBase[location_name],$G454,AvgBase[job_title],$H454))*(AE244+AD244)/2*(1-AE349))</f>
        <v>0</v>
      </c>
      <c r="AF454" s="652">
        <f>IF($B454="",,IF(LEFT($H454,5)="dummy",SUMIFS(AvgBase[Month 21],AvgBase[job_title],$H454),SUMIFS(AvgBase[Month 21],AvgBase[exp_item],$J454,AvgBase[company_name],$B454,AvgBase[bu_name],$C454,AvgBase[dept_name],$D454,AvgBase[team_consolidation],$K454,AvgBase[location_name],$G454,AvgBase[job_title],$H454))*(AF244+AE244)/2*(1-AF349))</f>
        <v>0</v>
      </c>
      <c r="AG454" s="652">
        <f>IF($B454="",,IF(LEFT($H454,5)="dummy",SUMIFS(AvgBase[Month 22],AvgBase[job_title],$H454),SUMIFS(AvgBase[Month 22],AvgBase[exp_item],$J454,AvgBase[company_name],$B454,AvgBase[bu_name],$C454,AvgBase[dept_name],$D454,AvgBase[team_consolidation],$K454,AvgBase[location_name],$G454,AvgBase[job_title],$H454))*(AG244+AF244)/2*(1-AG349))</f>
        <v>0</v>
      </c>
      <c r="AH454" s="652">
        <f>IF($B454="",,IF(LEFT($H454,5)="dummy",SUMIFS(AvgBase[Month 23],AvgBase[job_title],$H454),SUMIFS(AvgBase[Month 23],AvgBase[exp_item],$J454,AvgBase[company_name],$B454,AvgBase[bu_name],$C454,AvgBase[dept_name],$D454,AvgBase[team_consolidation],$K454,AvgBase[location_name],$G454,AvgBase[job_title],$H454))*(AH244+AG244)/2*(1-AH349))</f>
        <v>0</v>
      </c>
      <c r="AI454" s="652">
        <f>IF($B454="",,IF(LEFT($H454,5)="dummy",SUMIFS(AvgBase[Month 24],AvgBase[job_title],$H454),SUMIFS(AvgBase[Month 24],AvgBase[exp_item],$J454,AvgBase[company_name],$B454,AvgBase[bu_name],$C454,AvgBase[dept_name],$D454,AvgBase[team_consolidation],$K454,AvgBase[location_name],$G454,AvgBase[job_title],$H454))*(AI244+AH244)/2*(1-AI349))</f>
        <v>0</v>
      </c>
      <c r="AJ454" s="652">
        <f>IF($B454="",,IF(LEFT($H454,5)="dummy",SUMIFS(AvgBase[Month 25],AvgBase[job_title],$H454),SUMIFS(AvgBase[Month 25],AvgBase[exp_item],$J454,AvgBase[company_name],$B454,AvgBase[bu_name],$C454,AvgBase[dept_name],$D454,AvgBase[team_consolidation],$K454,AvgBase[location_name],$G454,AvgBase[job_title],$H454))*(AJ244+AI244)/2*(1-AJ349))</f>
        <v>0</v>
      </c>
      <c r="AK454" s="652">
        <f>IF($B454="",,IF(LEFT($H454,5)="dummy",SUMIFS(AvgBase[Month 26],AvgBase[job_title],$H454),SUMIFS(AvgBase[Month 26],AvgBase[exp_item],$J454,AvgBase[company_name],$B454,AvgBase[bu_name],$C454,AvgBase[dept_name],$D454,AvgBase[team_consolidation],$K454,AvgBase[location_name],$G454,AvgBase[job_title],$H454))*(AK244+AJ244)/2*(1-AK349))</f>
        <v>0</v>
      </c>
      <c r="AL454" s="652">
        <f>IF($B454="",,IF(LEFT($H454,5)="dummy",SUMIFS(AvgBase[Month 27],AvgBase[job_title],$H454),SUMIFS(AvgBase[Month 27],AvgBase[exp_item],$J454,AvgBase[company_name],$B454,AvgBase[bu_name],$C454,AvgBase[dept_name],$D454,AvgBase[team_consolidation],$K454,AvgBase[location_name],$G454,AvgBase[job_title],$H454))*(AL244+AK244)/2*(1-AL349))</f>
        <v>0</v>
      </c>
      <c r="AM454" s="652">
        <f>IF($B454="",,IF(LEFT($H454,5)="dummy",SUMIFS(AvgBase[Month 28],AvgBase[job_title],$H454),SUMIFS(AvgBase[Month 28],AvgBase[exp_item],$J454,AvgBase[company_name],$B454,AvgBase[bu_name],$C454,AvgBase[dept_name],$D454,AvgBase[team_consolidation],$K454,AvgBase[location_name],$G454,AvgBase[job_title],$H454))*(AM244+AL244)/2*(1-AM349))</f>
        <v>0</v>
      </c>
      <c r="AN454" s="652">
        <f>IF($B454="",,IF(LEFT($H454,5)="dummy",SUMIFS(AvgBase[Month 29],AvgBase[job_title],$H454),SUMIFS(AvgBase[Month 29],AvgBase[exp_item],$J454,AvgBase[company_name],$B454,AvgBase[bu_name],$C454,AvgBase[dept_name],$D454,AvgBase[team_consolidation],$K454,AvgBase[location_name],$G454,AvgBase[job_title],$H454))*(AN244+AM244)/2*(1-AN349))</f>
        <v>0</v>
      </c>
      <c r="AO454" s="652">
        <f>IF($B454="",,IF(LEFT($H454,5)="dummy",SUMIFS(AvgBase[Month 30],AvgBase[job_title],$H454),SUMIFS(AvgBase[Month 30],AvgBase[exp_item],$J454,AvgBase[company_name],$B454,AvgBase[bu_name],$C454,AvgBase[dept_name],$D454,AvgBase[team_consolidation],$K454,AvgBase[location_name],$G454,AvgBase[job_title],$H454))*(AO244+AN244)/2*(1-AO349))</f>
        <v>0</v>
      </c>
      <c r="AP454" s="652">
        <f>IF($B454="",,IF(LEFT($H454,5)="dummy",SUMIFS(AvgBase[Month 31],AvgBase[job_title],$H454),SUMIFS(AvgBase[Month 31],AvgBase[exp_item],$J454,AvgBase[company_name],$B454,AvgBase[bu_name],$C454,AvgBase[dept_name],$D454,AvgBase[team_consolidation],$K454,AvgBase[location_name],$G454,AvgBase[job_title],$H454))*(AP244+AO244)/2*(1-AP349))</f>
        <v>0</v>
      </c>
      <c r="AQ454" s="652">
        <f>IF($B454="",,IF(LEFT($H454,5)="dummy",SUMIFS(AvgBase[Month 32],AvgBase[job_title],$H454),SUMIFS(AvgBase[Month 32],AvgBase[exp_item],$J454,AvgBase[company_name],$B454,AvgBase[bu_name],$C454,AvgBase[dept_name],$D454,AvgBase[team_consolidation],$K454,AvgBase[location_name],$G454,AvgBase[job_title],$H454))*(AQ244+AP244)/2*(1-AQ349))</f>
        <v>0</v>
      </c>
      <c r="AR454" s="652">
        <f>IF($B454="",,IF(LEFT($H454,5)="dummy",SUMIFS(AvgBase[Month 33],AvgBase[job_title],$H454),SUMIFS(AvgBase[Month 33],AvgBase[exp_item],$J454,AvgBase[company_name],$B454,AvgBase[bu_name],$C454,AvgBase[dept_name],$D454,AvgBase[team_consolidation],$K454,AvgBase[location_name],$G454,AvgBase[job_title],$H454))*(AR244+AQ244)/2*(1-AR349))</f>
        <v>0</v>
      </c>
      <c r="AS454" s="652">
        <f>IF($B454="",,IF(LEFT($H454,5)="dummy",SUMIFS(AvgBase[Month 34],AvgBase[job_title],$H454),SUMIFS(AvgBase[Month 34],AvgBase[exp_item],$J454,AvgBase[company_name],$B454,AvgBase[bu_name],$C454,AvgBase[dept_name],$D454,AvgBase[team_consolidation],$K454,AvgBase[location_name],$G454,AvgBase[job_title],$H454))*(AS244+AR244)/2*(1-AS349))</f>
        <v>0</v>
      </c>
      <c r="AT454" s="652">
        <f>IF($B454="",,IF(LEFT($H454,5)="dummy",SUMIFS(AvgBase[Month 35],AvgBase[job_title],$H454),SUMIFS(AvgBase[Month 35],AvgBase[exp_item],$J454,AvgBase[company_name],$B454,AvgBase[bu_name],$C454,AvgBase[dept_name],$D454,AvgBase[team_consolidation],$K454,AvgBase[location_name],$G454,AvgBase[job_title],$H454))*(AT244+AS244)/2*(1-AT349))</f>
        <v>0</v>
      </c>
      <c r="AU454" s="652">
        <f>IF($B454="",,IF(LEFT($H454,5)="dummy",SUMIFS(AvgBase[Month 36],AvgBase[job_title],$H454),SUMIFS(AvgBase[Month 36],AvgBase[exp_item],$J454,AvgBase[company_name],$B454,AvgBase[bu_name],$C454,AvgBase[dept_name],$D454,AvgBase[team_consolidation],$K454,AvgBase[location_name],$G454,AvgBase[job_title],$H454))*(AU244+AT244)/2*(1-AU349))</f>
        <v>0</v>
      </c>
    </row>
    <row r="455" spans="2:47" x14ac:dyDescent="0.35">
      <c r="B455" t="str">
        <f t="shared" si="281"/>
        <v/>
      </c>
      <c r="C455" t="str">
        <f t="shared" si="281"/>
        <v/>
      </c>
      <c r="D455" t="str">
        <f t="shared" si="281"/>
        <v/>
      </c>
      <c r="E455" t="str">
        <f t="shared" si="281"/>
        <v/>
      </c>
      <c r="F455" t="str">
        <f t="shared" si="281"/>
        <v/>
      </c>
      <c r="G455" t="str">
        <f t="shared" si="281"/>
        <v/>
      </c>
      <c r="H455" t="str">
        <f t="shared" si="279"/>
        <v/>
      </c>
      <c r="J455" t="str">
        <f>IF($H455="","",IF(VLOOKUP($B$395,ExpItems[],2,0),$B$395&amp;" - "&amp;INDEX(DivisionMapping[category_code],MATCH($D455&amp;$C455,DivisionMapping[dept_bu],0)),$B$395))</f>
        <v/>
      </c>
      <c r="K455" t="str">
        <f t="shared" si="275"/>
        <v/>
      </c>
      <c r="L455" s="652">
        <f>IF($B455="",,IF(LEFT($H455,5)="dummy",SUMIFS(AvgBase[Month 1],AvgBase[job_title],$H455),SUMIFS(AvgBase[Month 1],AvgBase[exp_item],$J455,AvgBase[company_name],$B455,AvgBase[bu_name],$C455,AvgBase[dept_name],$D455,AvgBase[team_consolidation],$K455,AvgBase[location_name],$G455,AvgBase[job_title],$H455))*L245/2*(1-L350))</f>
        <v>0</v>
      </c>
      <c r="M455" s="652">
        <f>IF($B455="",,IF(LEFT($H455,5)="dummy",SUMIFS(AvgBase[Month 2],AvgBase[job_title],$H455),SUMIFS(AvgBase[Month 2],AvgBase[exp_item],$J455,AvgBase[company_name],$B455,AvgBase[bu_name],$C455,AvgBase[dept_name],$D455,AvgBase[team_consolidation],$K455,AvgBase[location_name],$G455,AvgBase[job_title],$H455))*(M245+L245)/2*(1-M350))</f>
        <v>0</v>
      </c>
      <c r="N455" s="652">
        <f>IF($B455="",,IF(LEFT($H455,5)="dummy",SUMIFS(AvgBase[Month 3],AvgBase[job_title],$H455),SUMIFS(AvgBase[Month 3],AvgBase[exp_item],$J455,AvgBase[company_name],$B455,AvgBase[bu_name],$C455,AvgBase[dept_name],$D455,AvgBase[team_consolidation],$K455,AvgBase[location_name],$G455,AvgBase[job_title],$H455))*(N245+M245)/2*(1-N350))</f>
        <v>0</v>
      </c>
      <c r="O455" s="652">
        <f>IF($B455="",,IF(LEFT($H455,5)="dummy",SUMIFS(AvgBase[Month 4],AvgBase[job_title],$H455),SUMIFS(AvgBase[Month 4],AvgBase[exp_item],$J455,AvgBase[company_name],$B455,AvgBase[bu_name],$C455,AvgBase[dept_name],$D455,AvgBase[team_consolidation],$K455,AvgBase[location_name],$G455,AvgBase[job_title],$H455))*(O245+N245)/2*(1-O350))</f>
        <v>0</v>
      </c>
      <c r="P455" s="652">
        <f>IF($B455="",,IF(LEFT($H455,5)="dummy",SUMIFS(AvgBase[Month 5],AvgBase[job_title],$H455),SUMIFS(AvgBase[Month 5],AvgBase[exp_item],$J455,AvgBase[company_name],$B455,AvgBase[bu_name],$C455,AvgBase[dept_name],$D455,AvgBase[team_consolidation],$K455,AvgBase[location_name],$G455,AvgBase[job_title],$H455))*(P245+O245)/2*(1-P350))</f>
        <v>0</v>
      </c>
      <c r="Q455" s="652">
        <f>IF($B455="",,IF(LEFT($H455,5)="dummy",SUMIFS(AvgBase[Month 6],AvgBase[job_title],$H455),SUMIFS(AvgBase[Month 6],AvgBase[exp_item],$J455,AvgBase[company_name],$B455,AvgBase[bu_name],$C455,AvgBase[dept_name],$D455,AvgBase[team_consolidation],$K455,AvgBase[location_name],$G455,AvgBase[job_title],$H455))*(Q245+P245)/2*(1-Q350))</f>
        <v>0</v>
      </c>
      <c r="R455" s="652">
        <f>IF($B455="",,IF(LEFT($H455,5)="dummy",SUMIFS(AvgBase[Month 7],AvgBase[job_title],$H455),SUMIFS(AvgBase[Month 7],AvgBase[exp_item],$J455,AvgBase[company_name],$B455,AvgBase[bu_name],$C455,AvgBase[dept_name],$D455,AvgBase[team_consolidation],$K455,AvgBase[location_name],$G455,AvgBase[job_title],$H455))*(R245+Q245)/2*(1-R350))</f>
        <v>0</v>
      </c>
      <c r="S455" s="652">
        <f>IF($B455="",,IF(LEFT($H455,5)="dummy",SUMIFS(AvgBase[Month 8],AvgBase[job_title],$H455),SUMIFS(AvgBase[Month 8],AvgBase[exp_item],$J455,AvgBase[company_name],$B455,AvgBase[bu_name],$C455,AvgBase[dept_name],$D455,AvgBase[team_consolidation],$K455,AvgBase[location_name],$G455,AvgBase[job_title],$H455))*(S245+R245)/2*(1-S350))</f>
        <v>0</v>
      </c>
      <c r="T455" s="652">
        <f>IF($B455="",,IF(LEFT($H455,5)="dummy",SUMIFS(AvgBase[Month 9],AvgBase[job_title],$H455),SUMIFS(AvgBase[Month 9],AvgBase[exp_item],$J455,AvgBase[company_name],$B455,AvgBase[bu_name],$C455,AvgBase[dept_name],$D455,AvgBase[team_consolidation],$K455,AvgBase[location_name],$G455,AvgBase[job_title],$H455))*(T245+S245)/2*(1-T350))</f>
        <v>0</v>
      </c>
      <c r="U455" s="652">
        <f>IF($B455="",,IF(LEFT($H455,5)="dummy",SUMIFS(AvgBase[Month 10],AvgBase[job_title],$H455),SUMIFS(AvgBase[Month 10],AvgBase[exp_item],$J455,AvgBase[company_name],$B455,AvgBase[bu_name],$C455,AvgBase[dept_name],$D455,AvgBase[team_consolidation],$K455,AvgBase[location_name],$G455,AvgBase[job_title],$H455))*(U245+T245)/2*(1-U350))</f>
        <v>0</v>
      </c>
      <c r="V455" s="652">
        <f>IF($B455="",,IF(LEFT($H455,5)="dummy",SUMIFS(AvgBase[Month 11],AvgBase[job_title],$H455),SUMIFS(AvgBase[Month 11],AvgBase[exp_item],$J455,AvgBase[company_name],$B455,AvgBase[bu_name],$C455,AvgBase[dept_name],$D455,AvgBase[team_consolidation],$K455,AvgBase[location_name],$G455,AvgBase[job_title],$H455))*(V245+U245)/2*(1-V350))</f>
        <v>0</v>
      </c>
      <c r="W455" s="652">
        <f>IF($B455="",,IF(LEFT($H455,5)="dummy",SUMIFS(AvgBase[Month 12],AvgBase[job_title],$H455),SUMIFS(AvgBase[Month 12],AvgBase[exp_item],$J455,AvgBase[company_name],$B455,AvgBase[bu_name],$C455,AvgBase[dept_name],$D455,AvgBase[team_consolidation],$K455,AvgBase[location_name],$G455,AvgBase[job_title],$H455))*(W245+V245)/2*(1-W350))</f>
        <v>0</v>
      </c>
      <c r="X455" s="652">
        <f>IF($B455="",,IF(LEFT($H455,5)="dummy",SUMIFS(AvgBase[Month 13],AvgBase[job_title],$H455),SUMIFS(AvgBase[Month 13],AvgBase[exp_item],$J455,AvgBase[company_name],$B455,AvgBase[bu_name],$C455,AvgBase[dept_name],$D455,AvgBase[team_consolidation],$K455,AvgBase[location_name],$G455,AvgBase[job_title],$H455))*(X245+W245)/2*(1-X350))</f>
        <v>0</v>
      </c>
      <c r="Y455" s="652">
        <f>IF($B455="",,IF(LEFT($H455,5)="dummy",SUMIFS(AvgBase[Month 14],AvgBase[job_title],$H455),SUMIFS(AvgBase[Month 14],AvgBase[exp_item],$J455,AvgBase[company_name],$B455,AvgBase[bu_name],$C455,AvgBase[dept_name],$D455,AvgBase[team_consolidation],$K455,AvgBase[location_name],$G455,AvgBase[job_title],$H455))*(Y245+X245)/2*(1-Y350))</f>
        <v>0</v>
      </c>
      <c r="Z455" s="652">
        <f>IF($B455="",,IF(LEFT($H455,5)="dummy",SUMIFS(AvgBase[Month 15],AvgBase[job_title],$H455),SUMIFS(AvgBase[Month 15],AvgBase[exp_item],$J455,AvgBase[company_name],$B455,AvgBase[bu_name],$C455,AvgBase[dept_name],$D455,AvgBase[team_consolidation],$K455,AvgBase[location_name],$G455,AvgBase[job_title],$H455))*(Z245+Y245)/2*(1-Z350))</f>
        <v>0</v>
      </c>
      <c r="AA455" s="652">
        <f>IF($B455="",,IF(LEFT($H455,5)="dummy",SUMIFS(AvgBase[Month 16],AvgBase[job_title],$H455),SUMIFS(AvgBase[Month 16],AvgBase[exp_item],$J455,AvgBase[company_name],$B455,AvgBase[bu_name],$C455,AvgBase[dept_name],$D455,AvgBase[team_consolidation],$K455,AvgBase[location_name],$G455,AvgBase[job_title],$H455))*(AA245+Z245)/2*(1-AA350))</f>
        <v>0</v>
      </c>
      <c r="AB455" s="652">
        <f>IF($B455="",,IF(LEFT($H455,5)="dummy",SUMIFS(AvgBase[Month 17],AvgBase[job_title],$H455),SUMIFS(AvgBase[Month 17],AvgBase[exp_item],$J455,AvgBase[company_name],$B455,AvgBase[bu_name],$C455,AvgBase[dept_name],$D455,AvgBase[team_consolidation],$K455,AvgBase[location_name],$G455,AvgBase[job_title],$H455))*(AB245+AA245)/2*(1-AB350))</f>
        <v>0</v>
      </c>
      <c r="AC455" s="652">
        <f>IF($B455="",,IF(LEFT($H455,5)="dummy",SUMIFS(AvgBase[Month 18],AvgBase[job_title],$H455),SUMIFS(AvgBase[Month 18],AvgBase[exp_item],$J455,AvgBase[company_name],$B455,AvgBase[bu_name],$C455,AvgBase[dept_name],$D455,AvgBase[team_consolidation],$K455,AvgBase[location_name],$G455,AvgBase[job_title],$H455))*(AC245+AB245)/2*(1-AC350))</f>
        <v>0</v>
      </c>
      <c r="AD455" s="652">
        <f>IF($B455="",,IF(LEFT($H455,5)="dummy",SUMIFS(AvgBase[Month 19],AvgBase[job_title],$H455),SUMIFS(AvgBase[Month 19],AvgBase[exp_item],$J455,AvgBase[company_name],$B455,AvgBase[bu_name],$C455,AvgBase[dept_name],$D455,AvgBase[team_consolidation],$K455,AvgBase[location_name],$G455,AvgBase[job_title],$H455))*(AD245+AC245)/2*(1-AD350))</f>
        <v>0</v>
      </c>
      <c r="AE455" s="652">
        <f>IF($B455="",,IF(LEFT($H455,5)="dummy",SUMIFS(AvgBase[Month 20],AvgBase[job_title],$H455),SUMIFS(AvgBase[Month 20],AvgBase[exp_item],$J455,AvgBase[company_name],$B455,AvgBase[bu_name],$C455,AvgBase[dept_name],$D455,AvgBase[team_consolidation],$K455,AvgBase[location_name],$G455,AvgBase[job_title],$H455))*(AE245+AD245)/2*(1-AE350))</f>
        <v>0</v>
      </c>
      <c r="AF455" s="652">
        <f>IF($B455="",,IF(LEFT($H455,5)="dummy",SUMIFS(AvgBase[Month 21],AvgBase[job_title],$H455),SUMIFS(AvgBase[Month 21],AvgBase[exp_item],$J455,AvgBase[company_name],$B455,AvgBase[bu_name],$C455,AvgBase[dept_name],$D455,AvgBase[team_consolidation],$K455,AvgBase[location_name],$G455,AvgBase[job_title],$H455))*(AF245+AE245)/2*(1-AF350))</f>
        <v>0</v>
      </c>
      <c r="AG455" s="652">
        <f>IF($B455="",,IF(LEFT($H455,5)="dummy",SUMIFS(AvgBase[Month 22],AvgBase[job_title],$H455),SUMIFS(AvgBase[Month 22],AvgBase[exp_item],$J455,AvgBase[company_name],$B455,AvgBase[bu_name],$C455,AvgBase[dept_name],$D455,AvgBase[team_consolidation],$K455,AvgBase[location_name],$G455,AvgBase[job_title],$H455))*(AG245+AF245)/2*(1-AG350))</f>
        <v>0</v>
      </c>
      <c r="AH455" s="652">
        <f>IF($B455="",,IF(LEFT($H455,5)="dummy",SUMIFS(AvgBase[Month 23],AvgBase[job_title],$H455),SUMIFS(AvgBase[Month 23],AvgBase[exp_item],$J455,AvgBase[company_name],$B455,AvgBase[bu_name],$C455,AvgBase[dept_name],$D455,AvgBase[team_consolidation],$K455,AvgBase[location_name],$G455,AvgBase[job_title],$H455))*(AH245+AG245)/2*(1-AH350))</f>
        <v>0</v>
      </c>
      <c r="AI455" s="652">
        <f>IF($B455="",,IF(LEFT($H455,5)="dummy",SUMIFS(AvgBase[Month 24],AvgBase[job_title],$H455),SUMIFS(AvgBase[Month 24],AvgBase[exp_item],$J455,AvgBase[company_name],$B455,AvgBase[bu_name],$C455,AvgBase[dept_name],$D455,AvgBase[team_consolidation],$K455,AvgBase[location_name],$G455,AvgBase[job_title],$H455))*(AI245+AH245)/2*(1-AI350))</f>
        <v>0</v>
      </c>
      <c r="AJ455" s="652">
        <f>IF($B455="",,IF(LEFT($H455,5)="dummy",SUMIFS(AvgBase[Month 25],AvgBase[job_title],$H455),SUMIFS(AvgBase[Month 25],AvgBase[exp_item],$J455,AvgBase[company_name],$B455,AvgBase[bu_name],$C455,AvgBase[dept_name],$D455,AvgBase[team_consolidation],$K455,AvgBase[location_name],$G455,AvgBase[job_title],$H455))*(AJ245+AI245)/2*(1-AJ350))</f>
        <v>0</v>
      </c>
      <c r="AK455" s="652">
        <f>IF($B455="",,IF(LEFT($H455,5)="dummy",SUMIFS(AvgBase[Month 26],AvgBase[job_title],$H455),SUMIFS(AvgBase[Month 26],AvgBase[exp_item],$J455,AvgBase[company_name],$B455,AvgBase[bu_name],$C455,AvgBase[dept_name],$D455,AvgBase[team_consolidation],$K455,AvgBase[location_name],$G455,AvgBase[job_title],$H455))*(AK245+AJ245)/2*(1-AK350))</f>
        <v>0</v>
      </c>
      <c r="AL455" s="652">
        <f>IF($B455="",,IF(LEFT($H455,5)="dummy",SUMIFS(AvgBase[Month 27],AvgBase[job_title],$H455),SUMIFS(AvgBase[Month 27],AvgBase[exp_item],$J455,AvgBase[company_name],$B455,AvgBase[bu_name],$C455,AvgBase[dept_name],$D455,AvgBase[team_consolidation],$K455,AvgBase[location_name],$G455,AvgBase[job_title],$H455))*(AL245+AK245)/2*(1-AL350))</f>
        <v>0</v>
      </c>
      <c r="AM455" s="652">
        <f>IF($B455="",,IF(LEFT($H455,5)="dummy",SUMIFS(AvgBase[Month 28],AvgBase[job_title],$H455),SUMIFS(AvgBase[Month 28],AvgBase[exp_item],$J455,AvgBase[company_name],$B455,AvgBase[bu_name],$C455,AvgBase[dept_name],$D455,AvgBase[team_consolidation],$K455,AvgBase[location_name],$G455,AvgBase[job_title],$H455))*(AM245+AL245)/2*(1-AM350))</f>
        <v>0</v>
      </c>
      <c r="AN455" s="652">
        <f>IF($B455="",,IF(LEFT($H455,5)="dummy",SUMIFS(AvgBase[Month 29],AvgBase[job_title],$H455),SUMIFS(AvgBase[Month 29],AvgBase[exp_item],$J455,AvgBase[company_name],$B455,AvgBase[bu_name],$C455,AvgBase[dept_name],$D455,AvgBase[team_consolidation],$K455,AvgBase[location_name],$G455,AvgBase[job_title],$H455))*(AN245+AM245)/2*(1-AN350))</f>
        <v>0</v>
      </c>
      <c r="AO455" s="652">
        <f>IF($B455="",,IF(LEFT($H455,5)="dummy",SUMIFS(AvgBase[Month 30],AvgBase[job_title],$H455),SUMIFS(AvgBase[Month 30],AvgBase[exp_item],$J455,AvgBase[company_name],$B455,AvgBase[bu_name],$C455,AvgBase[dept_name],$D455,AvgBase[team_consolidation],$K455,AvgBase[location_name],$G455,AvgBase[job_title],$H455))*(AO245+AN245)/2*(1-AO350))</f>
        <v>0</v>
      </c>
      <c r="AP455" s="652">
        <f>IF($B455="",,IF(LEFT($H455,5)="dummy",SUMIFS(AvgBase[Month 31],AvgBase[job_title],$H455),SUMIFS(AvgBase[Month 31],AvgBase[exp_item],$J455,AvgBase[company_name],$B455,AvgBase[bu_name],$C455,AvgBase[dept_name],$D455,AvgBase[team_consolidation],$K455,AvgBase[location_name],$G455,AvgBase[job_title],$H455))*(AP245+AO245)/2*(1-AP350))</f>
        <v>0</v>
      </c>
      <c r="AQ455" s="652">
        <f>IF($B455="",,IF(LEFT($H455,5)="dummy",SUMIFS(AvgBase[Month 32],AvgBase[job_title],$H455),SUMIFS(AvgBase[Month 32],AvgBase[exp_item],$J455,AvgBase[company_name],$B455,AvgBase[bu_name],$C455,AvgBase[dept_name],$D455,AvgBase[team_consolidation],$K455,AvgBase[location_name],$G455,AvgBase[job_title],$H455))*(AQ245+AP245)/2*(1-AQ350))</f>
        <v>0</v>
      </c>
      <c r="AR455" s="652">
        <f>IF($B455="",,IF(LEFT($H455,5)="dummy",SUMIFS(AvgBase[Month 33],AvgBase[job_title],$H455),SUMIFS(AvgBase[Month 33],AvgBase[exp_item],$J455,AvgBase[company_name],$B455,AvgBase[bu_name],$C455,AvgBase[dept_name],$D455,AvgBase[team_consolidation],$K455,AvgBase[location_name],$G455,AvgBase[job_title],$H455))*(AR245+AQ245)/2*(1-AR350))</f>
        <v>0</v>
      </c>
      <c r="AS455" s="652">
        <f>IF($B455="",,IF(LEFT($H455,5)="dummy",SUMIFS(AvgBase[Month 34],AvgBase[job_title],$H455),SUMIFS(AvgBase[Month 34],AvgBase[exp_item],$J455,AvgBase[company_name],$B455,AvgBase[bu_name],$C455,AvgBase[dept_name],$D455,AvgBase[team_consolidation],$K455,AvgBase[location_name],$G455,AvgBase[job_title],$H455))*(AS245+AR245)/2*(1-AS350))</f>
        <v>0</v>
      </c>
      <c r="AT455" s="652">
        <f>IF($B455="",,IF(LEFT($H455,5)="dummy",SUMIFS(AvgBase[Month 35],AvgBase[job_title],$H455),SUMIFS(AvgBase[Month 35],AvgBase[exp_item],$J455,AvgBase[company_name],$B455,AvgBase[bu_name],$C455,AvgBase[dept_name],$D455,AvgBase[team_consolidation],$K455,AvgBase[location_name],$G455,AvgBase[job_title],$H455))*(AT245+AS245)/2*(1-AT350))</f>
        <v>0</v>
      </c>
      <c r="AU455" s="652">
        <f>IF($B455="",,IF(LEFT($H455,5)="dummy",SUMIFS(AvgBase[Month 36],AvgBase[job_title],$H455),SUMIFS(AvgBase[Month 36],AvgBase[exp_item],$J455,AvgBase[company_name],$B455,AvgBase[bu_name],$C455,AvgBase[dept_name],$D455,AvgBase[team_consolidation],$K455,AvgBase[location_name],$G455,AvgBase[job_title],$H455))*(AU245+AT245)/2*(1-AU350))</f>
        <v>0</v>
      </c>
    </row>
    <row r="456" spans="2:47" x14ac:dyDescent="0.35">
      <c r="B456" t="str">
        <f t="shared" ref="B456:G465" si="282">IF(B351="","",B351)</f>
        <v/>
      </c>
      <c r="C456" t="str">
        <f t="shared" si="282"/>
        <v/>
      </c>
      <c r="D456" t="str">
        <f t="shared" si="282"/>
        <v/>
      </c>
      <c r="E456" t="str">
        <f t="shared" si="282"/>
        <v/>
      </c>
      <c r="F456" t="str">
        <f t="shared" si="282"/>
        <v/>
      </c>
      <c r="G456" t="str">
        <f t="shared" si="282"/>
        <v/>
      </c>
      <c r="H456" t="str">
        <f t="shared" si="279"/>
        <v/>
      </c>
      <c r="J456" t="str">
        <f>IF($H456="","",IF(VLOOKUP($B$395,ExpItems[],2,0),$B$395&amp;" - "&amp;INDEX(DivisionMapping[category_code],MATCH($D456&amp;$C456,DivisionMapping[dept_bu],0)),$B$395))</f>
        <v/>
      </c>
      <c r="K456" t="str">
        <f t="shared" si="275"/>
        <v/>
      </c>
      <c r="L456" s="652">
        <f>IF($B456="",,IF(LEFT($H456,5)="dummy",SUMIFS(AvgBase[Month 1],AvgBase[job_title],$H456),SUMIFS(AvgBase[Month 1],AvgBase[exp_item],$J456,AvgBase[company_name],$B456,AvgBase[bu_name],$C456,AvgBase[dept_name],$D456,AvgBase[team_consolidation],$K456,AvgBase[location_name],$G456,AvgBase[job_title],$H456))*L246/2*(1-L351))</f>
        <v>0</v>
      </c>
      <c r="M456" s="652">
        <f>IF($B456="",,IF(LEFT($H456,5)="dummy",SUMIFS(AvgBase[Month 2],AvgBase[job_title],$H456),SUMIFS(AvgBase[Month 2],AvgBase[exp_item],$J456,AvgBase[company_name],$B456,AvgBase[bu_name],$C456,AvgBase[dept_name],$D456,AvgBase[team_consolidation],$K456,AvgBase[location_name],$G456,AvgBase[job_title],$H456))*(M246+L246)/2*(1-M351))</f>
        <v>0</v>
      </c>
      <c r="N456" s="652">
        <f>IF($B456="",,IF(LEFT($H456,5)="dummy",SUMIFS(AvgBase[Month 3],AvgBase[job_title],$H456),SUMIFS(AvgBase[Month 3],AvgBase[exp_item],$J456,AvgBase[company_name],$B456,AvgBase[bu_name],$C456,AvgBase[dept_name],$D456,AvgBase[team_consolidation],$K456,AvgBase[location_name],$G456,AvgBase[job_title],$H456))*(N246+M246)/2*(1-N351))</f>
        <v>0</v>
      </c>
      <c r="O456" s="652">
        <f>IF($B456="",,IF(LEFT($H456,5)="dummy",SUMIFS(AvgBase[Month 4],AvgBase[job_title],$H456),SUMIFS(AvgBase[Month 4],AvgBase[exp_item],$J456,AvgBase[company_name],$B456,AvgBase[bu_name],$C456,AvgBase[dept_name],$D456,AvgBase[team_consolidation],$K456,AvgBase[location_name],$G456,AvgBase[job_title],$H456))*(O246+N246)/2*(1-O351))</f>
        <v>0</v>
      </c>
      <c r="P456" s="652">
        <f>IF($B456="",,IF(LEFT($H456,5)="dummy",SUMIFS(AvgBase[Month 5],AvgBase[job_title],$H456),SUMIFS(AvgBase[Month 5],AvgBase[exp_item],$J456,AvgBase[company_name],$B456,AvgBase[bu_name],$C456,AvgBase[dept_name],$D456,AvgBase[team_consolidation],$K456,AvgBase[location_name],$G456,AvgBase[job_title],$H456))*(P246+O246)/2*(1-P351))</f>
        <v>0</v>
      </c>
      <c r="Q456" s="652">
        <f>IF($B456="",,IF(LEFT($H456,5)="dummy",SUMIFS(AvgBase[Month 6],AvgBase[job_title],$H456),SUMIFS(AvgBase[Month 6],AvgBase[exp_item],$J456,AvgBase[company_name],$B456,AvgBase[bu_name],$C456,AvgBase[dept_name],$D456,AvgBase[team_consolidation],$K456,AvgBase[location_name],$G456,AvgBase[job_title],$H456))*(Q246+P246)/2*(1-Q351))</f>
        <v>0</v>
      </c>
      <c r="R456" s="652">
        <f>IF($B456="",,IF(LEFT($H456,5)="dummy",SUMIFS(AvgBase[Month 7],AvgBase[job_title],$H456),SUMIFS(AvgBase[Month 7],AvgBase[exp_item],$J456,AvgBase[company_name],$B456,AvgBase[bu_name],$C456,AvgBase[dept_name],$D456,AvgBase[team_consolidation],$K456,AvgBase[location_name],$G456,AvgBase[job_title],$H456))*(R246+Q246)/2*(1-R351))</f>
        <v>0</v>
      </c>
      <c r="S456" s="652">
        <f>IF($B456="",,IF(LEFT($H456,5)="dummy",SUMIFS(AvgBase[Month 8],AvgBase[job_title],$H456),SUMIFS(AvgBase[Month 8],AvgBase[exp_item],$J456,AvgBase[company_name],$B456,AvgBase[bu_name],$C456,AvgBase[dept_name],$D456,AvgBase[team_consolidation],$K456,AvgBase[location_name],$G456,AvgBase[job_title],$H456))*(S246+R246)/2*(1-S351))</f>
        <v>0</v>
      </c>
      <c r="T456" s="652">
        <f>IF($B456="",,IF(LEFT($H456,5)="dummy",SUMIFS(AvgBase[Month 9],AvgBase[job_title],$H456),SUMIFS(AvgBase[Month 9],AvgBase[exp_item],$J456,AvgBase[company_name],$B456,AvgBase[bu_name],$C456,AvgBase[dept_name],$D456,AvgBase[team_consolidation],$K456,AvgBase[location_name],$G456,AvgBase[job_title],$H456))*(T246+S246)/2*(1-T351))</f>
        <v>0</v>
      </c>
      <c r="U456" s="652">
        <f>IF($B456="",,IF(LEFT($H456,5)="dummy",SUMIFS(AvgBase[Month 10],AvgBase[job_title],$H456),SUMIFS(AvgBase[Month 10],AvgBase[exp_item],$J456,AvgBase[company_name],$B456,AvgBase[bu_name],$C456,AvgBase[dept_name],$D456,AvgBase[team_consolidation],$K456,AvgBase[location_name],$G456,AvgBase[job_title],$H456))*(U246+T246)/2*(1-U351))</f>
        <v>0</v>
      </c>
      <c r="V456" s="652">
        <f>IF($B456="",,IF(LEFT($H456,5)="dummy",SUMIFS(AvgBase[Month 11],AvgBase[job_title],$H456),SUMIFS(AvgBase[Month 11],AvgBase[exp_item],$J456,AvgBase[company_name],$B456,AvgBase[bu_name],$C456,AvgBase[dept_name],$D456,AvgBase[team_consolidation],$K456,AvgBase[location_name],$G456,AvgBase[job_title],$H456))*(V246+U246)/2*(1-V351))</f>
        <v>0</v>
      </c>
      <c r="W456" s="652">
        <f>IF($B456="",,IF(LEFT($H456,5)="dummy",SUMIFS(AvgBase[Month 12],AvgBase[job_title],$H456),SUMIFS(AvgBase[Month 12],AvgBase[exp_item],$J456,AvgBase[company_name],$B456,AvgBase[bu_name],$C456,AvgBase[dept_name],$D456,AvgBase[team_consolidation],$K456,AvgBase[location_name],$G456,AvgBase[job_title],$H456))*(W246+V246)/2*(1-W351))</f>
        <v>0</v>
      </c>
      <c r="X456" s="652">
        <f>IF($B456="",,IF(LEFT($H456,5)="dummy",SUMIFS(AvgBase[Month 13],AvgBase[job_title],$H456),SUMIFS(AvgBase[Month 13],AvgBase[exp_item],$J456,AvgBase[company_name],$B456,AvgBase[bu_name],$C456,AvgBase[dept_name],$D456,AvgBase[team_consolidation],$K456,AvgBase[location_name],$G456,AvgBase[job_title],$H456))*(X246+W246)/2*(1-X351))</f>
        <v>0</v>
      </c>
      <c r="Y456" s="652">
        <f>IF($B456="",,IF(LEFT($H456,5)="dummy",SUMIFS(AvgBase[Month 14],AvgBase[job_title],$H456),SUMIFS(AvgBase[Month 14],AvgBase[exp_item],$J456,AvgBase[company_name],$B456,AvgBase[bu_name],$C456,AvgBase[dept_name],$D456,AvgBase[team_consolidation],$K456,AvgBase[location_name],$G456,AvgBase[job_title],$H456))*(Y246+X246)/2*(1-Y351))</f>
        <v>0</v>
      </c>
      <c r="Z456" s="652">
        <f>IF($B456="",,IF(LEFT($H456,5)="dummy",SUMIFS(AvgBase[Month 15],AvgBase[job_title],$H456),SUMIFS(AvgBase[Month 15],AvgBase[exp_item],$J456,AvgBase[company_name],$B456,AvgBase[bu_name],$C456,AvgBase[dept_name],$D456,AvgBase[team_consolidation],$K456,AvgBase[location_name],$G456,AvgBase[job_title],$H456))*(Z246+Y246)/2*(1-Z351))</f>
        <v>0</v>
      </c>
      <c r="AA456" s="652">
        <f>IF($B456="",,IF(LEFT($H456,5)="dummy",SUMIFS(AvgBase[Month 16],AvgBase[job_title],$H456),SUMIFS(AvgBase[Month 16],AvgBase[exp_item],$J456,AvgBase[company_name],$B456,AvgBase[bu_name],$C456,AvgBase[dept_name],$D456,AvgBase[team_consolidation],$K456,AvgBase[location_name],$G456,AvgBase[job_title],$H456))*(AA246+Z246)/2*(1-AA351))</f>
        <v>0</v>
      </c>
      <c r="AB456" s="652">
        <f>IF($B456="",,IF(LEFT($H456,5)="dummy",SUMIFS(AvgBase[Month 17],AvgBase[job_title],$H456),SUMIFS(AvgBase[Month 17],AvgBase[exp_item],$J456,AvgBase[company_name],$B456,AvgBase[bu_name],$C456,AvgBase[dept_name],$D456,AvgBase[team_consolidation],$K456,AvgBase[location_name],$G456,AvgBase[job_title],$H456))*(AB246+AA246)/2*(1-AB351))</f>
        <v>0</v>
      </c>
      <c r="AC456" s="652">
        <f>IF($B456="",,IF(LEFT($H456,5)="dummy",SUMIFS(AvgBase[Month 18],AvgBase[job_title],$H456),SUMIFS(AvgBase[Month 18],AvgBase[exp_item],$J456,AvgBase[company_name],$B456,AvgBase[bu_name],$C456,AvgBase[dept_name],$D456,AvgBase[team_consolidation],$K456,AvgBase[location_name],$G456,AvgBase[job_title],$H456))*(AC246+AB246)/2*(1-AC351))</f>
        <v>0</v>
      </c>
      <c r="AD456" s="652">
        <f>IF($B456="",,IF(LEFT($H456,5)="dummy",SUMIFS(AvgBase[Month 19],AvgBase[job_title],$H456),SUMIFS(AvgBase[Month 19],AvgBase[exp_item],$J456,AvgBase[company_name],$B456,AvgBase[bu_name],$C456,AvgBase[dept_name],$D456,AvgBase[team_consolidation],$K456,AvgBase[location_name],$G456,AvgBase[job_title],$H456))*(AD246+AC246)/2*(1-AD351))</f>
        <v>0</v>
      </c>
      <c r="AE456" s="652">
        <f>IF($B456="",,IF(LEFT($H456,5)="dummy",SUMIFS(AvgBase[Month 20],AvgBase[job_title],$H456),SUMIFS(AvgBase[Month 20],AvgBase[exp_item],$J456,AvgBase[company_name],$B456,AvgBase[bu_name],$C456,AvgBase[dept_name],$D456,AvgBase[team_consolidation],$K456,AvgBase[location_name],$G456,AvgBase[job_title],$H456))*(AE246+AD246)/2*(1-AE351))</f>
        <v>0</v>
      </c>
      <c r="AF456" s="652">
        <f>IF($B456="",,IF(LEFT($H456,5)="dummy",SUMIFS(AvgBase[Month 21],AvgBase[job_title],$H456),SUMIFS(AvgBase[Month 21],AvgBase[exp_item],$J456,AvgBase[company_name],$B456,AvgBase[bu_name],$C456,AvgBase[dept_name],$D456,AvgBase[team_consolidation],$K456,AvgBase[location_name],$G456,AvgBase[job_title],$H456))*(AF246+AE246)/2*(1-AF351))</f>
        <v>0</v>
      </c>
      <c r="AG456" s="652">
        <f>IF($B456="",,IF(LEFT($H456,5)="dummy",SUMIFS(AvgBase[Month 22],AvgBase[job_title],$H456),SUMIFS(AvgBase[Month 22],AvgBase[exp_item],$J456,AvgBase[company_name],$B456,AvgBase[bu_name],$C456,AvgBase[dept_name],$D456,AvgBase[team_consolidation],$K456,AvgBase[location_name],$G456,AvgBase[job_title],$H456))*(AG246+AF246)/2*(1-AG351))</f>
        <v>0</v>
      </c>
      <c r="AH456" s="652">
        <f>IF($B456="",,IF(LEFT($H456,5)="dummy",SUMIFS(AvgBase[Month 23],AvgBase[job_title],$H456),SUMIFS(AvgBase[Month 23],AvgBase[exp_item],$J456,AvgBase[company_name],$B456,AvgBase[bu_name],$C456,AvgBase[dept_name],$D456,AvgBase[team_consolidation],$K456,AvgBase[location_name],$G456,AvgBase[job_title],$H456))*(AH246+AG246)/2*(1-AH351))</f>
        <v>0</v>
      </c>
      <c r="AI456" s="652">
        <f>IF($B456="",,IF(LEFT($H456,5)="dummy",SUMIFS(AvgBase[Month 24],AvgBase[job_title],$H456),SUMIFS(AvgBase[Month 24],AvgBase[exp_item],$J456,AvgBase[company_name],$B456,AvgBase[bu_name],$C456,AvgBase[dept_name],$D456,AvgBase[team_consolidation],$K456,AvgBase[location_name],$G456,AvgBase[job_title],$H456))*(AI246+AH246)/2*(1-AI351))</f>
        <v>0</v>
      </c>
      <c r="AJ456" s="652">
        <f>IF($B456="",,IF(LEFT($H456,5)="dummy",SUMIFS(AvgBase[Month 25],AvgBase[job_title],$H456),SUMIFS(AvgBase[Month 25],AvgBase[exp_item],$J456,AvgBase[company_name],$B456,AvgBase[bu_name],$C456,AvgBase[dept_name],$D456,AvgBase[team_consolidation],$K456,AvgBase[location_name],$G456,AvgBase[job_title],$H456))*(AJ246+AI246)/2*(1-AJ351))</f>
        <v>0</v>
      </c>
      <c r="AK456" s="652">
        <f>IF($B456="",,IF(LEFT($H456,5)="dummy",SUMIFS(AvgBase[Month 26],AvgBase[job_title],$H456),SUMIFS(AvgBase[Month 26],AvgBase[exp_item],$J456,AvgBase[company_name],$B456,AvgBase[bu_name],$C456,AvgBase[dept_name],$D456,AvgBase[team_consolidation],$K456,AvgBase[location_name],$G456,AvgBase[job_title],$H456))*(AK246+AJ246)/2*(1-AK351))</f>
        <v>0</v>
      </c>
      <c r="AL456" s="652">
        <f>IF($B456="",,IF(LEFT($H456,5)="dummy",SUMIFS(AvgBase[Month 27],AvgBase[job_title],$H456),SUMIFS(AvgBase[Month 27],AvgBase[exp_item],$J456,AvgBase[company_name],$B456,AvgBase[bu_name],$C456,AvgBase[dept_name],$D456,AvgBase[team_consolidation],$K456,AvgBase[location_name],$G456,AvgBase[job_title],$H456))*(AL246+AK246)/2*(1-AL351))</f>
        <v>0</v>
      </c>
      <c r="AM456" s="652">
        <f>IF($B456="",,IF(LEFT($H456,5)="dummy",SUMIFS(AvgBase[Month 28],AvgBase[job_title],$H456),SUMIFS(AvgBase[Month 28],AvgBase[exp_item],$J456,AvgBase[company_name],$B456,AvgBase[bu_name],$C456,AvgBase[dept_name],$D456,AvgBase[team_consolidation],$K456,AvgBase[location_name],$G456,AvgBase[job_title],$H456))*(AM246+AL246)/2*(1-AM351))</f>
        <v>0</v>
      </c>
      <c r="AN456" s="652">
        <f>IF($B456="",,IF(LEFT($H456,5)="dummy",SUMIFS(AvgBase[Month 29],AvgBase[job_title],$H456),SUMIFS(AvgBase[Month 29],AvgBase[exp_item],$J456,AvgBase[company_name],$B456,AvgBase[bu_name],$C456,AvgBase[dept_name],$D456,AvgBase[team_consolidation],$K456,AvgBase[location_name],$G456,AvgBase[job_title],$H456))*(AN246+AM246)/2*(1-AN351))</f>
        <v>0</v>
      </c>
      <c r="AO456" s="652">
        <f>IF($B456="",,IF(LEFT($H456,5)="dummy",SUMIFS(AvgBase[Month 30],AvgBase[job_title],$H456),SUMIFS(AvgBase[Month 30],AvgBase[exp_item],$J456,AvgBase[company_name],$B456,AvgBase[bu_name],$C456,AvgBase[dept_name],$D456,AvgBase[team_consolidation],$K456,AvgBase[location_name],$G456,AvgBase[job_title],$H456))*(AO246+AN246)/2*(1-AO351))</f>
        <v>0</v>
      </c>
      <c r="AP456" s="652">
        <f>IF($B456="",,IF(LEFT($H456,5)="dummy",SUMIFS(AvgBase[Month 31],AvgBase[job_title],$H456),SUMIFS(AvgBase[Month 31],AvgBase[exp_item],$J456,AvgBase[company_name],$B456,AvgBase[bu_name],$C456,AvgBase[dept_name],$D456,AvgBase[team_consolidation],$K456,AvgBase[location_name],$G456,AvgBase[job_title],$H456))*(AP246+AO246)/2*(1-AP351))</f>
        <v>0</v>
      </c>
      <c r="AQ456" s="652">
        <f>IF($B456="",,IF(LEFT($H456,5)="dummy",SUMIFS(AvgBase[Month 32],AvgBase[job_title],$H456),SUMIFS(AvgBase[Month 32],AvgBase[exp_item],$J456,AvgBase[company_name],$B456,AvgBase[bu_name],$C456,AvgBase[dept_name],$D456,AvgBase[team_consolidation],$K456,AvgBase[location_name],$G456,AvgBase[job_title],$H456))*(AQ246+AP246)/2*(1-AQ351))</f>
        <v>0</v>
      </c>
      <c r="AR456" s="652">
        <f>IF($B456="",,IF(LEFT($H456,5)="dummy",SUMIFS(AvgBase[Month 33],AvgBase[job_title],$H456),SUMIFS(AvgBase[Month 33],AvgBase[exp_item],$J456,AvgBase[company_name],$B456,AvgBase[bu_name],$C456,AvgBase[dept_name],$D456,AvgBase[team_consolidation],$K456,AvgBase[location_name],$G456,AvgBase[job_title],$H456))*(AR246+AQ246)/2*(1-AR351))</f>
        <v>0</v>
      </c>
      <c r="AS456" s="652">
        <f>IF($B456="",,IF(LEFT($H456,5)="dummy",SUMIFS(AvgBase[Month 34],AvgBase[job_title],$H456),SUMIFS(AvgBase[Month 34],AvgBase[exp_item],$J456,AvgBase[company_name],$B456,AvgBase[bu_name],$C456,AvgBase[dept_name],$D456,AvgBase[team_consolidation],$K456,AvgBase[location_name],$G456,AvgBase[job_title],$H456))*(AS246+AR246)/2*(1-AS351))</f>
        <v>0</v>
      </c>
      <c r="AT456" s="652">
        <f>IF($B456="",,IF(LEFT($H456,5)="dummy",SUMIFS(AvgBase[Month 35],AvgBase[job_title],$H456),SUMIFS(AvgBase[Month 35],AvgBase[exp_item],$J456,AvgBase[company_name],$B456,AvgBase[bu_name],$C456,AvgBase[dept_name],$D456,AvgBase[team_consolidation],$K456,AvgBase[location_name],$G456,AvgBase[job_title],$H456))*(AT246+AS246)/2*(1-AT351))</f>
        <v>0</v>
      </c>
      <c r="AU456" s="652">
        <f>IF($B456="",,IF(LEFT($H456,5)="dummy",SUMIFS(AvgBase[Month 36],AvgBase[job_title],$H456),SUMIFS(AvgBase[Month 36],AvgBase[exp_item],$J456,AvgBase[company_name],$B456,AvgBase[bu_name],$C456,AvgBase[dept_name],$D456,AvgBase[team_consolidation],$K456,AvgBase[location_name],$G456,AvgBase[job_title],$H456))*(AU246+AT246)/2*(1-AU351))</f>
        <v>0</v>
      </c>
    </row>
    <row r="457" spans="2:47" x14ac:dyDescent="0.35">
      <c r="B457" t="str">
        <f t="shared" si="282"/>
        <v/>
      </c>
      <c r="C457" t="str">
        <f t="shared" si="282"/>
        <v/>
      </c>
      <c r="D457" t="str">
        <f t="shared" si="282"/>
        <v/>
      </c>
      <c r="E457" t="str">
        <f t="shared" si="282"/>
        <v/>
      </c>
      <c r="F457" t="str">
        <f t="shared" si="282"/>
        <v/>
      </c>
      <c r="G457" t="str">
        <f t="shared" si="282"/>
        <v/>
      </c>
      <c r="H457" t="str">
        <f t="shared" si="279"/>
        <v/>
      </c>
      <c r="J457" t="str">
        <f>IF($H457="","",IF(VLOOKUP($B$395,ExpItems[],2,0),$B$395&amp;" - "&amp;INDEX(DivisionMapping[category_code],MATCH($D457&amp;$C457,DivisionMapping[dept_bu],0)),$B$395))</f>
        <v/>
      </c>
      <c r="K457" t="str">
        <f t="shared" si="275"/>
        <v/>
      </c>
      <c r="L457" s="652">
        <f>IF($B457="",,IF(LEFT($H457,5)="dummy",SUMIFS(AvgBase[Month 1],AvgBase[job_title],$H457),SUMIFS(AvgBase[Month 1],AvgBase[exp_item],$J457,AvgBase[company_name],$B457,AvgBase[bu_name],$C457,AvgBase[dept_name],$D457,AvgBase[team_consolidation],$K457,AvgBase[location_name],$G457,AvgBase[job_title],$H457))*L247/2*(1-L352))</f>
        <v>0</v>
      </c>
      <c r="M457" s="652">
        <f>IF($B457="",,IF(LEFT($H457,5)="dummy",SUMIFS(AvgBase[Month 2],AvgBase[job_title],$H457),SUMIFS(AvgBase[Month 2],AvgBase[exp_item],$J457,AvgBase[company_name],$B457,AvgBase[bu_name],$C457,AvgBase[dept_name],$D457,AvgBase[team_consolidation],$K457,AvgBase[location_name],$G457,AvgBase[job_title],$H457))*(M247+L247)/2*(1-M352))</f>
        <v>0</v>
      </c>
      <c r="N457" s="652">
        <f>IF($B457="",,IF(LEFT($H457,5)="dummy",SUMIFS(AvgBase[Month 3],AvgBase[job_title],$H457),SUMIFS(AvgBase[Month 3],AvgBase[exp_item],$J457,AvgBase[company_name],$B457,AvgBase[bu_name],$C457,AvgBase[dept_name],$D457,AvgBase[team_consolidation],$K457,AvgBase[location_name],$G457,AvgBase[job_title],$H457))*(N247+M247)/2*(1-N352))</f>
        <v>0</v>
      </c>
      <c r="O457" s="652">
        <f>IF($B457="",,IF(LEFT($H457,5)="dummy",SUMIFS(AvgBase[Month 4],AvgBase[job_title],$H457),SUMIFS(AvgBase[Month 4],AvgBase[exp_item],$J457,AvgBase[company_name],$B457,AvgBase[bu_name],$C457,AvgBase[dept_name],$D457,AvgBase[team_consolidation],$K457,AvgBase[location_name],$G457,AvgBase[job_title],$H457))*(O247+N247)/2*(1-O352))</f>
        <v>0</v>
      </c>
      <c r="P457" s="652">
        <f>IF($B457="",,IF(LEFT($H457,5)="dummy",SUMIFS(AvgBase[Month 5],AvgBase[job_title],$H457),SUMIFS(AvgBase[Month 5],AvgBase[exp_item],$J457,AvgBase[company_name],$B457,AvgBase[bu_name],$C457,AvgBase[dept_name],$D457,AvgBase[team_consolidation],$K457,AvgBase[location_name],$G457,AvgBase[job_title],$H457))*(P247+O247)/2*(1-P352))</f>
        <v>0</v>
      </c>
      <c r="Q457" s="652">
        <f>IF($B457="",,IF(LEFT($H457,5)="dummy",SUMIFS(AvgBase[Month 6],AvgBase[job_title],$H457),SUMIFS(AvgBase[Month 6],AvgBase[exp_item],$J457,AvgBase[company_name],$B457,AvgBase[bu_name],$C457,AvgBase[dept_name],$D457,AvgBase[team_consolidation],$K457,AvgBase[location_name],$G457,AvgBase[job_title],$H457))*(Q247+P247)/2*(1-Q352))</f>
        <v>0</v>
      </c>
      <c r="R457" s="652">
        <f>IF($B457="",,IF(LEFT($H457,5)="dummy",SUMIFS(AvgBase[Month 7],AvgBase[job_title],$H457),SUMIFS(AvgBase[Month 7],AvgBase[exp_item],$J457,AvgBase[company_name],$B457,AvgBase[bu_name],$C457,AvgBase[dept_name],$D457,AvgBase[team_consolidation],$K457,AvgBase[location_name],$G457,AvgBase[job_title],$H457))*(R247+Q247)/2*(1-R352))</f>
        <v>0</v>
      </c>
      <c r="S457" s="652">
        <f>IF($B457="",,IF(LEFT($H457,5)="dummy",SUMIFS(AvgBase[Month 8],AvgBase[job_title],$H457),SUMIFS(AvgBase[Month 8],AvgBase[exp_item],$J457,AvgBase[company_name],$B457,AvgBase[bu_name],$C457,AvgBase[dept_name],$D457,AvgBase[team_consolidation],$K457,AvgBase[location_name],$G457,AvgBase[job_title],$H457))*(S247+R247)/2*(1-S352))</f>
        <v>0</v>
      </c>
      <c r="T457" s="652">
        <f>IF($B457="",,IF(LEFT($H457,5)="dummy",SUMIFS(AvgBase[Month 9],AvgBase[job_title],$H457),SUMIFS(AvgBase[Month 9],AvgBase[exp_item],$J457,AvgBase[company_name],$B457,AvgBase[bu_name],$C457,AvgBase[dept_name],$D457,AvgBase[team_consolidation],$K457,AvgBase[location_name],$G457,AvgBase[job_title],$H457))*(T247+S247)/2*(1-T352))</f>
        <v>0</v>
      </c>
      <c r="U457" s="652">
        <f>IF($B457="",,IF(LEFT($H457,5)="dummy",SUMIFS(AvgBase[Month 10],AvgBase[job_title],$H457),SUMIFS(AvgBase[Month 10],AvgBase[exp_item],$J457,AvgBase[company_name],$B457,AvgBase[bu_name],$C457,AvgBase[dept_name],$D457,AvgBase[team_consolidation],$K457,AvgBase[location_name],$G457,AvgBase[job_title],$H457))*(U247+T247)/2*(1-U352))</f>
        <v>0</v>
      </c>
      <c r="V457" s="652">
        <f>IF($B457="",,IF(LEFT($H457,5)="dummy",SUMIFS(AvgBase[Month 11],AvgBase[job_title],$H457),SUMIFS(AvgBase[Month 11],AvgBase[exp_item],$J457,AvgBase[company_name],$B457,AvgBase[bu_name],$C457,AvgBase[dept_name],$D457,AvgBase[team_consolidation],$K457,AvgBase[location_name],$G457,AvgBase[job_title],$H457))*(V247+U247)/2*(1-V352))</f>
        <v>0</v>
      </c>
      <c r="W457" s="652">
        <f>IF($B457="",,IF(LEFT($H457,5)="dummy",SUMIFS(AvgBase[Month 12],AvgBase[job_title],$H457),SUMIFS(AvgBase[Month 12],AvgBase[exp_item],$J457,AvgBase[company_name],$B457,AvgBase[bu_name],$C457,AvgBase[dept_name],$D457,AvgBase[team_consolidation],$K457,AvgBase[location_name],$G457,AvgBase[job_title],$H457))*(W247+V247)/2*(1-W352))</f>
        <v>0</v>
      </c>
      <c r="X457" s="652">
        <f>IF($B457="",,IF(LEFT($H457,5)="dummy",SUMIFS(AvgBase[Month 13],AvgBase[job_title],$H457),SUMIFS(AvgBase[Month 13],AvgBase[exp_item],$J457,AvgBase[company_name],$B457,AvgBase[bu_name],$C457,AvgBase[dept_name],$D457,AvgBase[team_consolidation],$K457,AvgBase[location_name],$G457,AvgBase[job_title],$H457))*(X247+W247)/2*(1-X352))</f>
        <v>0</v>
      </c>
      <c r="Y457" s="652">
        <f>IF($B457="",,IF(LEFT($H457,5)="dummy",SUMIFS(AvgBase[Month 14],AvgBase[job_title],$H457),SUMIFS(AvgBase[Month 14],AvgBase[exp_item],$J457,AvgBase[company_name],$B457,AvgBase[bu_name],$C457,AvgBase[dept_name],$D457,AvgBase[team_consolidation],$K457,AvgBase[location_name],$G457,AvgBase[job_title],$H457))*(Y247+X247)/2*(1-Y352))</f>
        <v>0</v>
      </c>
      <c r="Z457" s="652">
        <f>IF($B457="",,IF(LEFT($H457,5)="dummy",SUMIFS(AvgBase[Month 15],AvgBase[job_title],$H457),SUMIFS(AvgBase[Month 15],AvgBase[exp_item],$J457,AvgBase[company_name],$B457,AvgBase[bu_name],$C457,AvgBase[dept_name],$D457,AvgBase[team_consolidation],$K457,AvgBase[location_name],$G457,AvgBase[job_title],$H457))*(Z247+Y247)/2*(1-Z352))</f>
        <v>0</v>
      </c>
      <c r="AA457" s="652">
        <f>IF($B457="",,IF(LEFT($H457,5)="dummy",SUMIFS(AvgBase[Month 16],AvgBase[job_title],$H457),SUMIFS(AvgBase[Month 16],AvgBase[exp_item],$J457,AvgBase[company_name],$B457,AvgBase[bu_name],$C457,AvgBase[dept_name],$D457,AvgBase[team_consolidation],$K457,AvgBase[location_name],$G457,AvgBase[job_title],$H457))*(AA247+Z247)/2*(1-AA352))</f>
        <v>0</v>
      </c>
      <c r="AB457" s="652">
        <f>IF($B457="",,IF(LEFT($H457,5)="dummy",SUMIFS(AvgBase[Month 17],AvgBase[job_title],$H457),SUMIFS(AvgBase[Month 17],AvgBase[exp_item],$J457,AvgBase[company_name],$B457,AvgBase[bu_name],$C457,AvgBase[dept_name],$D457,AvgBase[team_consolidation],$K457,AvgBase[location_name],$G457,AvgBase[job_title],$H457))*(AB247+AA247)/2*(1-AB352))</f>
        <v>0</v>
      </c>
      <c r="AC457" s="652">
        <f>IF($B457="",,IF(LEFT($H457,5)="dummy",SUMIFS(AvgBase[Month 18],AvgBase[job_title],$H457),SUMIFS(AvgBase[Month 18],AvgBase[exp_item],$J457,AvgBase[company_name],$B457,AvgBase[bu_name],$C457,AvgBase[dept_name],$D457,AvgBase[team_consolidation],$K457,AvgBase[location_name],$G457,AvgBase[job_title],$H457))*(AC247+AB247)/2*(1-AC352))</f>
        <v>0</v>
      </c>
      <c r="AD457" s="652">
        <f>IF($B457="",,IF(LEFT($H457,5)="dummy",SUMIFS(AvgBase[Month 19],AvgBase[job_title],$H457),SUMIFS(AvgBase[Month 19],AvgBase[exp_item],$J457,AvgBase[company_name],$B457,AvgBase[bu_name],$C457,AvgBase[dept_name],$D457,AvgBase[team_consolidation],$K457,AvgBase[location_name],$G457,AvgBase[job_title],$H457))*(AD247+AC247)/2*(1-AD352))</f>
        <v>0</v>
      </c>
      <c r="AE457" s="652">
        <f>IF($B457="",,IF(LEFT($H457,5)="dummy",SUMIFS(AvgBase[Month 20],AvgBase[job_title],$H457),SUMIFS(AvgBase[Month 20],AvgBase[exp_item],$J457,AvgBase[company_name],$B457,AvgBase[bu_name],$C457,AvgBase[dept_name],$D457,AvgBase[team_consolidation],$K457,AvgBase[location_name],$G457,AvgBase[job_title],$H457))*(AE247+AD247)/2*(1-AE352))</f>
        <v>0</v>
      </c>
      <c r="AF457" s="652">
        <f>IF($B457="",,IF(LEFT($H457,5)="dummy",SUMIFS(AvgBase[Month 21],AvgBase[job_title],$H457),SUMIFS(AvgBase[Month 21],AvgBase[exp_item],$J457,AvgBase[company_name],$B457,AvgBase[bu_name],$C457,AvgBase[dept_name],$D457,AvgBase[team_consolidation],$K457,AvgBase[location_name],$G457,AvgBase[job_title],$H457))*(AF247+AE247)/2*(1-AF352))</f>
        <v>0</v>
      </c>
      <c r="AG457" s="652">
        <f>IF($B457="",,IF(LEFT($H457,5)="dummy",SUMIFS(AvgBase[Month 22],AvgBase[job_title],$H457),SUMIFS(AvgBase[Month 22],AvgBase[exp_item],$J457,AvgBase[company_name],$B457,AvgBase[bu_name],$C457,AvgBase[dept_name],$D457,AvgBase[team_consolidation],$K457,AvgBase[location_name],$G457,AvgBase[job_title],$H457))*(AG247+AF247)/2*(1-AG352))</f>
        <v>0</v>
      </c>
      <c r="AH457" s="652">
        <f>IF($B457="",,IF(LEFT($H457,5)="dummy",SUMIFS(AvgBase[Month 23],AvgBase[job_title],$H457),SUMIFS(AvgBase[Month 23],AvgBase[exp_item],$J457,AvgBase[company_name],$B457,AvgBase[bu_name],$C457,AvgBase[dept_name],$D457,AvgBase[team_consolidation],$K457,AvgBase[location_name],$G457,AvgBase[job_title],$H457))*(AH247+AG247)/2*(1-AH352))</f>
        <v>0</v>
      </c>
      <c r="AI457" s="652">
        <f>IF($B457="",,IF(LEFT($H457,5)="dummy",SUMIFS(AvgBase[Month 24],AvgBase[job_title],$H457),SUMIFS(AvgBase[Month 24],AvgBase[exp_item],$J457,AvgBase[company_name],$B457,AvgBase[bu_name],$C457,AvgBase[dept_name],$D457,AvgBase[team_consolidation],$K457,AvgBase[location_name],$G457,AvgBase[job_title],$H457))*(AI247+AH247)/2*(1-AI352))</f>
        <v>0</v>
      </c>
      <c r="AJ457" s="652">
        <f>IF($B457="",,IF(LEFT($H457,5)="dummy",SUMIFS(AvgBase[Month 25],AvgBase[job_title],$H457),SUMIFS(AvgBase[Month 25],AvgBase[exp_item],$J457,AvgBase[company_name],$B457,AvgBase[bu_name],$C457,AvgBase[dept_name],$D457,AvgBase[team_consolidation],$K457,AvgBase[location_name],$G457,AvgBase[job_title],$H457))*(AJ247+AI247)/2*(1-AJ352))</f>
        <v>0</v>
      </c>
      <c r="AK457" s="652">
        <f>IF($B457="",,IF(LEFT($H457,5)="dummy",SUMIFS(AvgBase[Month 26],AvgBase[job_title],$H457),SUMIFS(AvgBase[Month 26],AvgBase[exp_item],$J457,AvgBase[company_name],$B457,AvgBase[bu_name],$C457,AvgBase[dept_name],$D457,AvgBase[team_consolidation],$K457,AvgBase[location_name],$G457,AvgBase[job_title],$H457))*(AK247+AJ247)/2*(1-AK352))</f>
        <v>0</v>
      </c>
      <c r="AL457" s="652">
        <f>IF($B457="",,IF(LEFT($H457,5)="dummy",SUMIFS(AvgBase[Month 27],AvgBase[job_title],$H457),SUMIFS(AvgBase[Month 27],AvgBase[exp_item],$J457,AvgBase[company_name],$B457,AvgBase[bu_name],$C457,AvgBase[dept_name],$D457,AvgBase[team_consolidation],$K457,AvgBase[location_name],$G457,AvgBase[job_title],$H457))*(AL247+AK247)/2*(1-AL352))</f>
        <v>0</v>
      </c>
      <c r="AM457" s="652">
        <f>IF($B457="",,IF(LEFT($H457,5)="dummy",SUMIFS(AvgBase[Month 28],AvgBase[job_title],$H457),SUMIFS(AvgBase[Month 28],AvgBase[exp_item],$J457,AvgBase[company_name],$B457,AvgBase[bu_name],$C457,AvgBase[dept_name],$D457,AvgBase[team_consolidation],$K457,AvgBase[location_name],$G457,AvgBase[job_title],$H457))*(AM247+AL247)/2*(1-AM352))</f>
        <v>0</v>
      </c>
      <c r="AN457" s="652">
        <f>IF($B457="",,IF(LEFT($H457,5)="dummy",SUMIFS(AvgBase[Month 29],AvgBase[job_title],$H457),SUMIFS(AvgBase[Month 29],AvgBase[exp_item],$J457,AvgBase[company_name],$B457,AvgBase[bu_name],$C457,AvgBase[dept_name],$D457,AvgBase[team_consolidation],$K457,AvgBase[location_name],$G457,AvgBase[job_title],$H457))*(AN247+AM247)/2*(1-AN352))</f>
        <v>0</v>
      </c>
      <c r="AO457" s="652">
        <f>IF($B457="",,IF(LEFT($H457,5)="dummy",SUMIFS(AvgBase[Month 30],AvgBase[job_title],$H457),SUMIFS(AvgBase[Month 30],AvgBase[exp_item],$J457,AvgBase[company_name],$B457,AvgBase[bu_name],$C457,AvgBase[dept_name],$D457,AvgBase[team_consolidation],$K457,AvgBase[location_name],$G457,AvgBase[job_title],$H457))*(AO247+AN247)/2*(1-AO352))</f>
        <v>0</v>
      </c>
      <c r="AP457" s="652">
        <f>IF($B457="",,IF(LEFT($H457,5)="dummy",SUMIFS(AvgBase[Month 31],AvgBase[job_title],$H457),SUMIFS(AvgBase[Month 31],AvgBase[exp_item],$J457,AvgBase[company_name],$B457,AvgBase[bu_name],$C457,AvgBase[dept_name],$D457,AvgBase[team_consolidation],$K457,AvgBase[location_name],$G457,AvgBase[job_title],$H457))*(AP247+AO247)/2*(1-AP352))</f>
        <v>0</v>
      </c>
      <c r="AQ457" s="652">
        <f>IF($B457="",,IF(LEFT($H457,5)="dummy",SUMIFS(AvgBase[Month 32],AvgBase[job_title],$H457),SUMIFS(AvgBase[Month 32],AvgBase[exp_item],$J457,AvgBase[company_name],$B457,AvgBase[bu_name],$C457,AvgBase[dept_name],$D457,AvgBase[team_consolidation],$K457,AvgBase[location_name],$G457,AvgBase[job_title],$H457))*(AQ247+AP247)/2*(1-AQ352))</f>
        <v>0</v>
      </c>
      <c r="AR457" s="652">
        <f>IF($B457="",,IF(LEFT($H457,5)="dummy",SUMIFS(AvgBase[Month 33],AvgBase[job_title],$H457),SUMIFS(AvgBase[Month 33],AvgBase[exp_item],$J457,AvgBase[company_name],$B457,AvgBase[bu_name],$C457,AvgBase[dept_name],$D457,AvgBase[team_consolidation],$K457,AvgBase[location_name],$G457,AvgBase[job_title],$H457))*(AR247+AQ247)/2*(1-AR352))</f>
        <v>0</v>
      </c>
      <c r="AS457" s="652">
        <f>IF($B457="",,IF(LEFT($H457,5)="dummy",SUMIFS(AvgBase[Month 34],AvgBase[job_title],$H457),SUMIFS(AvgBase[Month 34],AvgBase[exp_item],$J457,AvgBase[company_name],$B457,AvgBase[bu_name],$C457,AvgBase[dept_name],$D457,AvgBase[team_consolidation],$K457,AvgBase[location_name],$G457,AvgBase[job_title],$H457))*(AS247+AR247)/2*(1-AS352))</f>
        <v>0</v>
      </c>
      <c r="AT457" s="652">
        <f>IF($B457="",,IF(LEFT($H457,5)="dummy",SUMIFS(AvgBase[Month 35],AvgBase[job_title],$H457),SUMIFS(AvgBase[Month 35],AvgBase[exp_item],$J457,AvgBase[company_name],$B457,AvgBase[bu_name],$C457,AvgBase[dept_name],$D457,AvgBase[team_consolidation],$K457,AvgBase[location_name],$G457,AvgBase[job_title],$H457))*(AT247+AS247)/2*(1-AT352))</f>
        <v>0</v>
      </c>
      <c r="AU457" s="652">
        <f>IF($B457="",,IF(LEFT($H457,5)="dummy",SUMIFS(AvgBase[Month 36],AvgBase[job_title],$H457),SUMIFS(AvgBase[Month 36],AvgBase[exp_item],$J457,AvgBase[company_name],$B457,AvgBase[bu_name],$C457,AvgBase[dept_name],$D457,AvgBase[team_consolidation],$K457,AvgBase[location_name],$G457,AvgBase[job_title],$H457))*(AU247+AT247)/2*(1-AU352))</f>
        <v>0</v>
      </c>
    </row>
    <row r="458" spans="2:47" x14ac:dyDescent="0.35">
      <c r="B458" t="str">
        <f t="shared" si="282"/>
        <v/>
      </c>
      <c r="C458" t="str">
        <f t="shared" si="282"/>
        <v/>
      </c>
      <c r="D458" t="str">
        <f t="shared" si="282"/>
        <v/>
      </c>
      <c r="E458" t="str">
        <f t="shared" si="282"/>
        <v/>
      </c>
      <c r="F458" t="str">
        <f t="shared" si="282"/>
        <v/>
      </c>
      <c r="G458" t="str">
        <f t="shared" si="282"/>
        <v/>
      </c>
      <c r="H458" t="str">
        <f t="shared" si="279"/>
        <v/>
      </c>
      <c r="J458" t="str">
        <f>IF($H458="","",IF(VLOOKUP($B$395,ExpItems[],2,0),$B$395&amp;" - "&amp;INDEX(DivisionMapping[category_code],MATCH($D458&amp;$C458,DivisionMapping[dept_bu],0)),$B$395))</f>
        <v/>
      </c>
      <c r="K458" t="str">
        <f t="shared" si="275"/>
        <v/>
      </c>
      <c r="L458" s="652">
        <f>IF($B458="",,IF(LEFT($H458,5)="dummy",SUMIFS(AvgBase[Month 1],AvgBase[job_title],$H458),SUMIFS(AvgBase[Month 1],AvgBase[exp_item],$J458,AvgBase[company_name],$B458,AvgBase[bu_name],$C458,AvgBase[dept_name],$D458,AvgBase[team_consolidation],$K458,AvgBase[location_name],$G458,AvgBase[job_title],$H458))*L248/2*(1-L353))</f>
        <v>0</v>
      </c>
      <c r="M458" s="652">
        <f>IF($B458="",,IF(LEFT($H458,5)="dummy",SUMIFS(AvgBase[Month 2],AvgBase[job_title],$H458),SUMIFS(AvgBase[Month 2],AvgBase[exp_item],$J458,AvgBase[company_name],$B458,AvgBase[bu_name],$C458,AvgBase[dept_name],$D458,AvgBase[team_consolidation],$K458,AvgBase[location_name],$G458,AvgBase[job_title],$H458))*(M248+L248)/2*(1-M353))</f>
        <v>0</v>
      </c>
      <c r="N458" s="652">
        <f>IF($B458="",,IF(LEFT($H458,5)="dummy",SUMIFS(AvgBase[Month 3],AvgBase[job_title],$H458),SUMIFS(AvgBase[Month 3],AvgBase[exp_item],$J458,AvgBase[company_name],$B458,AvgBase[bu_name],$C458,AvgBase[dept_name],$D458,AvgBase[team_consolidation],$K458,AvgBase[location_name],$G458,AvgBase[job_title],$H458))*(N248+M248)/2*(1-N353))</f>
        <v>0</v>
      </c>
      <c r="O458" s="652">
        <f>IF($B458="",,IF(LEFT($H458,5)="dummy",SUMIFS(AvgBase[Month 4],AvgBase[job_title],$H458),SUMIFS(AvgBase[Month 4],AvgBase[exp_item],$J458,AvgBase[company_name],$B458,AvgBase[bu_name],$C458,AvgBase[dept_name],$D458,AvgBase[team_consolidation],$K458,AvgBase[location_name],$G458,AvgBase[job_title],$H458))*(O248+N248)/2*(1-O353))</f>
        <v>0</v>
      </c>
      <c r="P458" s="652">
        <f>IF($B458="",,IF(LEFT($H458,5)="dummy",SUMIFS(AvgBase[Month 5],AvgBase[job_title],$H458),SUMIFS(AvgBase[Month 5],AvgBase[exp_item],$J458,AvgBase[company_name],$B458,AvgBase[bu_name],$C458,AvgBase[dept_name],$D458,AvgBase[team_consolidation],$K458,AvgBase[location_name],$G458,AvgBase[job_title],$H458))*(P248+O248)/2*(1-P353))</f>
        <v>0</v>
      </c>
      <c r="Q458" s="652">
        <f>IF($B458="",,IF(LEFT($H458,5)="dummy",SUMIFS(AvgBase[Month 6],AvgBase[job_title],$H458),SUMIFS(AvgBase[Month 6],AvgBase[exp_item],$J458,AvgBase[company_name],$B458,AvgBase[bu_name],$C458,AvgBase[dept_name],$D458,AvgBase[team_consolidation],$K458,AvgBase[location_name],$G458,AvgBase[job_title],$H458))*(Q248+P248)/2*(1-Q353))</f>
        <v>0</v>
      </c>
      <c r="R458" s="652">
        <f>IF($B458="",,IF(LEFT($H458,5)="dummy",SUMIFS(AvgBase[Month 7],AvgBase[job_title],$H458),SUMIFS(AvgBase[Month 7],AvgBase[exp_item],$J458,AvgBase[company_name],$B458,AvgBase[bu_name],$C458,AvgBase[dept_name],$D458,AvgBase[team_consolidation],$K458,AvgBase[location_name],$G458,AvgBase[job_title],$H458))*(R248+Q248)/2*(1-R353))</f>
        <v>0</v>
      </c>
      <c r="S458" s="652">
        <f>IF($B458="",,IF(LEFT($H458,5)="dummy",SUMIFS(AvgBase[Month 8],AvgBase[job_title],$H458),SUMIFS(AvgBase[Month 8],AvgBase[exp_item],$J458,AvgBase[company_name],$B458,AvgBase[bu_name],$C458,AvgBase[dept_name],$D458,AvgBase[team_consolidation],$K458,AvgBase[location_name],$G458,AvgBase[job_title],$H458))*(S248+R248)/2*(1-S353))</f>
        <v>0</v>
      </c>
      <c r="T458" s="652">
        <f>IF($B458="",,IF(LEFT($H458,5)="dummy",SUMIFS(AvgBase[Month 9],AvgBase[job_title],$H458),SUMIFS(AvgBase[Month 9],AvgBase[exp_item],$J458,AvgBase[company_name],$B458,AvgBase[bu_name],$C458,AvgBase[dept_name],$D458,AvgBase[team_consolidation],$K458,AvgBase[location_name],$G458,AvgBase[job_title],$H458))*(T248+S248)/2*(1-T353))</f>
        <v>0</v>
      </c>
      <c r="U458" s="652">
        <f>IF($B458="",,IF(LEFT($H458,5)="dummy",SUMIFS(AvgBase[Month 10],AvgBase[job_title],$H458),SUMIFS(AvgBase[Month 10],AvgBase[exp_item],$J458,AvgBase[company_name],$B458,AvgBase[bu_name],$C458,AvgBase[dept_name],$D458,AvgBase[team_consolidation],$K458,AvgBase[location_name],$G458,AvgBase[job_title],$H458))*(U248+T248)/2*(1-U353))</f>
        <v>0</v>
      </c>
      <c r="V458" s="652">
        <f>IF($B458="",,IF(LEFT($H458,5)="dummy",SUMIFS(AvgBase[Month 11],AvgBase[job_title],$H458),SUMIFS(AvgBase[Month 11],AvgBase[exp_item],$J458,AvgBase[company_name],$B458,AvgBase[bu_name],$C458,AvgBase[dept_name],$D458,AvgBase[team_consolidation],$K458,AvgBase[location_name],$G458,AvgBase[job_title],$H458))*(V248+U248)/2*(1-V353))</f>
        <v>0</v>
      </c>
      <c r="W458" s="652">
        <f>IF($B458="",,IF(LEFT($H458,5)="dummy",SUMIFS(AvgBase[Month 12],AvgBase[job_title],$H458),SUMIFS(AvgBase[Month 12],AvgBase[exp_item],$J458,AvgBase[company_name],$B458,AvgBase[bu_name],$C458,AvgBase[dept_name],$D458,AvgBase[team_consolidation],$K458,AvgBase[location_name],$G458,AvgBase[job_title],$H458))*(W248+V248)/2*(1-W353))</f>
        <v>0</v>
      </c>
      <c r="X458" s="652">
        <f>IF($B458="",,IF(LEFT($H458,5)="dummy",SUMIFS(AvgBase[Month 13],AvgBase[job_title],$H458),SUMIFS(AvgBase[Month 13],AvgBase[exp_item],$J458,AvgBase[company_name],$B458,AvgBase[bu_name],$C458,AvgBase[dept_name],$D458,AvgBase[team_consolidation],$K458,AvgBase[location_name],$G458,AvgBase[job_title],$H458))*(X248+W248)/2*(1-X353))</f>
        <v>0</v>
      </c>
      <c r="Y458" s="652">
        <f>IF($B458="",,IF(LEFT($H458,5)="dummy",SUMIFS(AvgBase[Month 14],AvgBase[job_title],$H458),SUMIFS(AvgBase[Month 14],AvgBase[exp_item],$J458,AvgBase[company_name],$B458,AvgBase[bu_name],$C458,AvgBase[dept_name],$D458,AvgBase[team_consolidation],$K458,AvgBase[location_name],$G458,AvgBase[job_title],$H458))*(Y248+X248)/2*(1-Y353))</f>
        <v>0</v>
      </c>
      <c r="Z458" s="652">
        <f>IF($B458="",,IF(LEFT($H458,5)="dummy",SUMIFS(AvgBase[Month 15],AvgBase[job_title],$H458),SUMIFS(AvgBase[Month 15],AvgBase[exp_item],$J458,AvgBase[company_name],$B458,AvgBase[bu_name],$C458,AvgBase[dept_name],$D458,AvgBase[team_consolidation],$K458,AvgBase[location_name],$G458,AvgBase[job_title],$H458))*(Z248+Y248)/2*(1-Z353))</f>
        <v>0</v>
      </c>
      <c r="AA458" s="652">
        <f>IF($B458="",,IF(LEFT($H458,5)="dummy",SUMIFS(AvgBase[Month 16],AvgBase[job_title],$H458),SUMIFS(AvgBase[Month 16],AvgBase[exp_item],$J458,AvgBase[company_name],$B458,AvgBase[bu_name],$C458,AvgBase[dept_name],$D458,AvgBase[team_consolidation],$K458,AvgBase[location_name],$G458,AvgBase[job_title],$H458))*(AA248+Z248)/2*(1-AA353))</f>
        <v>0</v>
      </c>
      <c r="AB458" s="652">
        <f>IF($B458="",,IF(LEFT($H458,5)="dummy",SUMIFS(AvgBase[Month 17],AvgBase[job_title],$H458),SUMIFS(AvgBase[Month 17],AvgBase[exp_item],$J458,AvgBase[company_name],$B458,AvgBase[bu_name],$C458,AvgBase[dept_name],$D458,AvgBase[team_consolidation],$K458,AvgBase[location_name],$G458,AvgBase[job_title],$H458))*(AB248+AA248)/2*(1-AB353))</f>
        <v>0</v>
      </c>
      <c r="AC458" s="652">
        <f>IF($B458="",,IF(LEFT($H458,5)="dummy",SUMIFS(AvgBase[Month 18],AvgBase[job_title],$H458),SUMIFS(AvgBase[Month 18],AvgBase[exp_item],$J458,AvgBase[company_name],$B458,AvgBase[bu_name],$C458,AvgBase[dept_name],$D458,AvgBase[team_consolidation],$K458,AvgBase[location_name],$G458,AvgBase[job_title],$H458))*(AC248+AB248)/2*(1-AC353))</f>
        <v>0</v>
      </c>
      <c r="AD458" s="652">
        <f>IF($B458="",,IF(LEFT($H458,5)="dummy",SUMIFS(AvgBase[Month 19],AvgBase[job_title],$H458),SUMIFS(AvgBase[Month 19],AvgBase[exp_item],$J458,AvgBase[company_name],$B458,AvgBase[bu_name],$C458,AvgBase[dept_name],$D458,AvgBase[team_consolidation],$K458,AvgBase[location_name],$G458,AvgBase[job_title],$H458))*(AD248+AC248)/2*(1-AD353))</f>
        <v>0</v>
      </c>
      <c r="AE458" s="652">
        <f>IF($B458="",,IF(LEFT($H458,5)="dummy",SUMIFS(AvgBase[Month 20],AvgBase[job_title],$H458),SUMIFS(AvgBase[Month 20],AvgBase[exp_item],$J458,AvgBase[company_name],$B458,AvgBase[bu_name],$C458,AvgBase[dept_name],$D458,AvgBase[team_consolidation],$K458,AvgBase[location_name],$G458,AvgBase[job_title],$H458))*(AE248+AD248)/2*(1-AE353))</f>
        <v>0</v>
      </c>
      <c r="AF458" s="652">
        <f>IF($B458="",,IF(LEFT($H458,5)="dummy",SUMIFS(AvgBase[Month 21],AvgBase[job_title],$H458),SUMIFS(AvgBase[Month 21],AvgBase[exp_item],$J458,AvgBase[company_name],$B458,AvgBase[bu_name],$C458,AvgBase[dept_name],$D458,AvgBase[team_consolidation],$K458,AvgBase[location_name],$G458,AvgBase[job_title],$H458))*(AF248+AE248)/2*(1-AF353))</f>
        <v>0</v>
      </c>
      <c r="AG458" s="652">
        <f>IF($B458="",,IF(LEFT($H458,5)="dummy",SUMIFS(AvgBase[Month 22],AvgBase[job_title],$H458),SUMIFS(AvgBase[Month 22],AvgBase[exp_item],$J458,AvgBase[company_name],$B458,AvgBase[bu_name],$C458,AvgBase[dept_name],$D458,AvgBase[team_consolidation],$K458,AvgBase[location_name],$G458,AvgBase[job_title],$H458))*(AG248+AF248)/2*(1-AG353))</f>
        <v>0</v>
      </c>
      <c r="AH458" s="652">
        <f>IF($B458="",,IF(LEFT($H458,5)="dummy",SUMIFS(AvgBase[Month 23],AvgBase[job_title],$H458),SUMIFS(AvgBase[Month 23],AvgBase[exp_item],$J458,AvgBase[company_name],$B458,AvgBase[bu_name],$C458,AvgBase[dept_name],$D458,AvgBase[team_consolidation],$K458,AvgBase[location_name],$G458,AvgBase[job_title],$H458))*(AH248+AG248)/2*(1-AH353))</f>
        <v>0</v>
      </c>
      <c r="AI458" s="652">
        <f>IF($B458="",,IF(LEFT($H458,5)="dummy",SUMIFS(AvgBase[Month 24],AvgBase[job_title],$H458),SUMIFS(AvgBase[Month 24],AvgBase[exp_item],$J458,AvgBase[company_name],$B458,AvgBase[bu_name],$C458,AvgBase[dept_name],$D458,AvgBase[team_consolidation],$K458,AvgBase[location_name],$G458,AvgBase[job_title],$H458))*(AI248+AH248)/2*(1-AI353))</f>
        <v>0</v>
      </c>
      <c r="AJ458" s="652">
        <f>IF($B458="",,IF(LEFT($H458,5)="dummy",SUMIFS(AvgBase[Month 25],AvgBase[job_title],$H458),SUMIFS(AvgBase[Month 25],AvgBase[exp_item],$J458,AvgBase[company_name],$B458,AvgBase[bu_name],$C458,AvgBase[dept_name],$D458,AvgBase[team_consolidation],$K458,AvgBase[location_name],$G458,AvgBase[job_title],$H458))*(AJ248+AI248)/2*(1-AJ353))</f>
        <v>0</v>
      </c>
      <c r="AK458" s="652">
        <f>IF($B458="",,IF(LEFT($H458,5)="dummy",SUMIFS(AvgBase[Month 26],AvgBase[job_title],$H458),SUMIFS(AvgBase[Month 26],AvgBase[exp_item],$J458,AvgBase[company_name],$B458,AvgBase[bu_name],$C458,AvgBase[dept_name],$D458,AvgBase[team_consolidation],$K458,AvgBase[location_name],$G458,AvgBase[job_title],$H458))*(AK248+AJ248)/2*(1-AK353))</f>
        <v>0</v>
      </c>
      <c r="AL458" s="652">
        <f>IF($B458="",,IF(LEFT($H458,5)="dummy",SUMIFS(AvgBase[Month 27],AvgBase[job_title],$H458),SUMIFS(AvgBase[Month 27],AvgBase[exp_item],$J458,AvgBase[company_name],$B458,AvgBase[bu_name],$C458,AvgBase[dept_name],$D458,AvgBase[team_consolidation],$K458,AvgBase[location_name],$G458,AvgBase[job_title],$H458))*(AL248+AK248)/2*(1-AL353))</f>
        <v>0</v>
      </c>
      <c r="AM458" s="652">
        <f>IF($B458="",,IF(LEFT($H458,5)="dummy",SUMIFS(AvgBase[Month 28],AvgBase[job_title],$H458),SUMIFS(AvgBase[Month 28],AvgBase[exp_item],$J458,AvgBase[company_name],$B458,AvgBase[bu_name],$C458,AvgBase[dept_name],$D458,AvgBase[team_consolidation],$K458,AvgBase[location_name],$G458,AvgBase[job_title],$H458))*(AM248+AL248)/2*(1-AM353))</f>
        <v>0</v>
      </c>
      <c r="AN458" s="652">
        <f>IF($B458="",,IF(LEFT($H458,5)="dummy",SUMIFS(AvgBase[Month 29],AvgBase[job_title],$H458),SUMIFS(AvgBase[Month 29],AvgBase[exp_item],$J458,AvgBase[company_name],$B458,AvgBase[bu_name],$C458,AvgBase[dept_name],$D458,AvgBase[team_consolidation],$K458,AvgBase[location_name],$G458,AvgBase[job_title],$H458))*(AN248+AM248)/2*(1-AN353))</f>
        <v>0</v>
      </c>
      <c r="AO458" s="652">
        <f>IF($B458="",,IF(LEFT($H458,5)="dummy",SUMIFS(AvgBase[Month 30],AvgBase[job_title],$H458),SUMIFS(AvgBase[Month 30],AvgBase[exp_item],$J458,AvgBase[company_name],$B458,AvgBase[bu_name],$C458,AvgBase[dept_name],$D458,AvgBase[team_consolidation],$K458,AvgBase[location_name],$G458,AvgBase[job_title],$H458))*(AO248+AN248)/2*(1-AO353))</f>
        <v>0</v>
      </c>
      <c r="AP458" s="652">
        <f>IF($B458="",,IF(LEFT($H458,5)="dummy",SUMIFS(AvgBase[Month 31],AvgBase[job_title],$H458),SUMIFS(AvgBase[Month 31],AvgBase[exp_item],$J458,AvgBase[company_name],$B458,AvgBase[bu_name],$C458,AvgBase[dept_name],$D458,AvgBase[team_consolidation],$K458,AvgBase[location_name],$G458,AvgBase[job_title],$H458))*(AP248+AO248)/2*(1-AP353))</f>
        <v>0</v>
      </c>
      <c r="AQ458" s="652">
        <f>IF($B458="",,IF(LEFT($H458,5)="dummy",SUMIFS(AvgBase[Month 32],AvgBase[job_title],$H458),SUMIFS(AvgBase[Month 32],AvgBase[exp_item],$J458,AvgBase[company_name],$B458,AvgBase[bu_name],$C458,AvgBase[dept_name],$D458,AvgBase[team_consolidation],$K458,AvgBase[location_name],$G458,AvgBase[job_title],$H458))*(AQ248+AP248)/2*(1-AQ353))</f>
        <v>0</v>
      </c>
      <c r="AR458" s="652">
        <f>IF($B458="",,IF(LEFT($H458,5)="dummy",SUMIFS(AvgBase[Month 33],AvgBase[job_title],$H458),SUMIFS(AvgBase[Month 33],AvgBase[exp_item],$J458,AvgBase[company_name],$B458,AvgBase[bu_name],$C458,AvgBase[dept_name],$D458,AvgBase[team_consolidation],$K458,AvgBase[location_name],$G458,AvgBase[job_title],$H458))*(AR248+AQ248)/2*(1-AR353))</f>
        <v>0</v>
      </c>
      <c r="AS458" s="652">
        <f>IF($B458="",,IF(LEFT($H458,5)="dummy",SUMIFS(AvgBase[Month 34],AvgBase[job_title],$H458),SUMIFS(AvgBase[Month 34],AvgBase[exp_item],$J458,AvgBase[company_name],$B458,AvgBase[bu_name],$C458,AvgBase[dept_name],$D458,AvgBase[team_consolidation],$K458,AvgBase[location_name],$G458,AvgBase[job_title],$H458))*(AS248+AR248)/2*(1-AS353))</f>
        <v>0</v>
      </c>
      <c r="AT458" s="652">
        <f>IF($B458="",,IF(LEFT($H458,5)="dummy",SUMIFS(AvgBase[Month 35],AvgBase[job_title],$H458),SUMIFS(AvgBase[Month 35],AvgBase[exp_item],$J458,AvgBase[company_name],$B458,AvgBase[bu_name],$C458,AvgBase[dept_name],$D458,AvgBase[team_consolidation],$K458,AvgBase[location_name],$G458,AvgBase[job_title],$H458))*(AT248+AS248)/2*(1-AT353))</f>
        <v>0</v>
      </c>
      <c r="AU458" s="652">
        <f>IF($B458="",,IF(LEFT($H458,5)="dummy",SUMIFS(AvgBase[Month 36],AvgBase[job_title],$H458),SUMIFS(AvgBase[Month 36],AvgBase[exp_item],$J458,AvgBase[company_name],$B458,AvgBase[bu_name],$C458,AvgBase[dept_name],$D458,AvgBase[team_consolidation],$K458,AvgBase[location_name],$G458,AvgBase[job_title],$H458))*(AU248+AT248)/2*(1-AU353))</f>
        <v>0</v>
      </c>
    </row>
    <row r="459" spans="2:47" x14ac:dyDescent="0.35">
      <c r="B459" t="str">
        <f t="shared" si="282"/>
        <v/>
      </c>
      <c r="C459" t="str">
        <f t="shared" si="282"/>
        <v/>
      </c>
      <c r="D459" t="str">
        <f t="shared" si="282"/>
        <v/>
      </c>
      <c r="E459" t="str">
        <f t="shared" si="282"/>
        <v/>
      </c>
      <c r="F459" t="str">
        <f t="shared" si="282"/>
        <v/>
      </c>
      <c r="G459" t="str">
        <f t="shared" si="282"/>
        <v/>
      </c>
      <c r="H459" t="str">
        <f t="shared" si="279"/>
        <v/>
      </c>
      <c r="J459" t="str">
        <f>IF($H459="","",IF(VLOOKUP($B$395,ExpItems[],2,0),$B$395&amp;" - "&amp;INDEX(DivisionMapping[category_code],MATCH($D459&amp;$C459,DivisionMapping[dept_bu],0)),$B$395))</f>
        <v/>
      </c>
      <c r="K459" t="str">
        <f t="shared" si="275"/>
        <v/>
      </c>
      <c r="L459" s="652">
        <f>IF($B459="",,IF(LEFT($H459,5)="dummy",SUMIFS(AvgBase[Month 1],AvgBase[job_title],$H459),SUMIFS(AvgBase[Month 1],AvgBase[exp_item],$J459,AvgBase[company_name],$B459,AvgBase[bu_name],$C459,AvgBase[dept_name],$D459,AvgBase[team_consolidation],$K459,AvgBase[location_name],$G459,AvgBase[job_title],$H459))*L249/2*(1-L354))</f>
        <v>0</v>
      </c>
      <c r="M459" s="652">
        <f>IF($B459="",,IF(LEFT($H459,5)="dummy",SUMIFS(AvgBase[Month 2],AvgBase[job_title],$H459),SUMIFS(AvgBase[Month 2],AvgBase[exp_item],$J459,AvgBase[company_name],$B459,AvgBase[bu_name],$C459,AvgBase[dept_name],$D459,AvgBase[team_consolidation],$K459,AvgBase[location_name],$G459,AvgBase[job_title],$H459))*(M249+L249)/2*(1-M354))</f>
        <v>0</v>
      </c>
      <c r="N459" s="652">
        <f>IF($B459="",,IF(LEFT($H459,5)="dummy",SUMIFS(AvgBase[Month 3],AvgBase[job_title],$H459),SUMIFS(AvgBase[Month 3],AvgBase[exp_item],$J459,AvgBase[company_name],$B459,AvgBase[bu_name],$C459,AvgBase[dept_name],$D459,AvgBase[team_consolidation],$K459,AvgBase[location_name],$G459,AvgBase[job_title],$H459))*(N249+M249)/2*(1-N354))</f>
        <v>0</v>
      </c>
      <c r="O459" s="652">
        <f>IF($B459="",,IF(LEFT($H459,5)="dummy",SUMIFS(AvgBase[Month 4],AvgBase[job_title],$H459),SUMIFS(AvgBase[Month 4],AvgBase[exp_item],$J459,AvgBase[company_name],$B459,AvgBase[bu_name],$C459,AvgBase[dept_name],$D459,AvgBase[team_consolidation],$K459,AvgBase[location_name],$G459,AvgBase[job_title],$H459))*(O249+N249)/2*(1-O354))</f>
        <v>0</v>
      </c>
      <c r="P459" s="652">
        <f>IF($B459="",,IF(LEFT($H459,5)="dummy",SUMIFS(AvgBase[Month 5],AvgBase[job_title],$H459),SUMIFS(AvgBase[Month 5],AvgBase[exp_item],$J459,AvgBase[company_name],$B459,AvgBase[bu_name],$C459,AvgBase[dept_name],$D459,AvgBase[team_consolidation],$K459,AvgBase[location_name],$G459,AvgBase[job_title],$H459))*(P249+O249)/2*(1-P354))</f>
        <v>0</v>
      </c>
      <c r="Q459" s="652">
        <f>IF($B459="",,IF(LEFT($H459,5)="dummy",SUMIFS(AvgBase[Month 6],AvgBase[job_title],$H459),SUMIFS(AvgBase[Month 6],AvgBase[exp_item],$J459,AvgBase[company_name],$B459,AvgBase[bu_name],$C459,AvgBase[dept_name],$D459,AvgBase[team_consolidation],$K459,AvgBase[location_name],$G459,AvgBase[job_title],$H459))*(Q249+P249)/2*(1-Q354))</f>
        <v>0</v>
      </c>
      <c r="R459" s="652">
        <f>IF($B459="",,IF(LEFT($H459,5)="dummy",SUMIFS(AvgBase[Month 7],AvgBase[job_title],$H459),SUMIFS(AvgBase[Month 7],AvgBase[exp_item],$J459,AvgBase[company_name],$B459,AvgBase[bu_name],$C459,AvgBase[dept_name],$D459,AvgBase[team_consolidation],$K459,AvgBase[location_name],$G459,AvgBase[job_title],$H459))*(R249+Q249)/2*(1-R354))</f>
        <v>0</v>
      </c>
      <c r="S459" s="652">
        <f>IF($B459="",,IF(LEFT($H459,5)="dummy",SUMIFS(AvgBase[Month 8],AvgBase[job_title],$H459),SUMIFS(AvgBase[Month 8],AvgBase[exp_item],$J459,AvgBase[company_name],$B459,AvgBase[bu_name],$C459,AvgBase[dept_name],$D459,AvgBase[team_consolidation],$K459,AvgBase[location_name],$G459,AvgBase[job_title],$H459))*(S249+R249)/2*(1-S354))</f>
        <v>0</v>
      </c>
      <c r="T459" s="652">
        <f>IF($B459="",,IF(LEFT($H459,5)="dummy",SUMIFS(AvgBase[Month 9],AvgBase[job_title],$H459),SUMIFS(AvgBase[Month 9],AvgBase[exp_item],$J459,AvgBase[company_name],$B459,AvgBase[bu_name],$C459,AvgBase[dept_name],$D459,AvgBase[team_consolidation],$K459,AvgBase[location_name],$G459,AvgBase[job_title],$H459))*(T249+S249)/2*(1-T354))</f>
        <v>0</v>
      </c>
      <c r="U459" s="652">
        <f>IF($B459="",,IF(LEFT($H459,5)="dummy",SUMIFS(AvgBase[Month 10],AvgBase[job_title],$H459),SUMIFS(AvgBase[Month 10],AvgBase[exp_item],$J459,AvgBase[company_name],$B459,AvgBase[bu_name],$C459,AvgBase[dept_name],$D459,AvgBase[team_consolidation],$K459,AvgBase[location_name],$G459,AvgBase[job_title],$H459))*(U249+T249)/2*(1-U354))</f>
        <v>0</v>
      </c>
      <c r="V459" s="652">
        <f>IF($B459="",,IF(LEFT($H459,5)="dummy",SUMIFS(AvgBase[Month 11],AvgBase[job_title],$H459),SUMIFS(AvgBase[Month 11],AvgBase[exp_item],$J459,AvgBase[company_name],$B459,AvgBase[bu_name],$C459,AvgBase[dept_name],$D459,AvgBase[team_consolidation],$K459,AvgBase[location_name],$G459,AvgBase[job_title],$H459))*(V249+U249)/2*(1-V354))</f>
        <v>0</v>
      </c>
      <c r="W459" s="652">
        <f>IF($B459="",,IF(LEFT($H459,5)="dummy",SUMIFS(AvgBase[Month 12],AvgBase[job_title],$H459),SUMIFS(AvgBase[Month 12],AvgBase[exp_item],$J459,AvgBase[company_name],$B459,AvgBase[bu_name],$C459,AvgBase[dept_name],$D459,AvgBase[team_consolidation],$K459,AvgBase[location_name],$G459,AvgBase[job_title],$H459))*(W249+V249)/2*(1-W354))</f>
        <v>0</v>
      </c>
      <c r="X459" s="652">
        <f>IF($B459="",,IF(LEFT($H459,5)="dummy",SUMIFS(AvgBase[Month 13],AvgBase[job_title],$H459),SUMIFS(AvgBase[Month 13],AvgBase[exp_item],$J459,AvgBase[company_name],$B459,AvgBase[bu_name],$C459,AvgBase[dept_name],$D459,AvgBase[team_consolidation],$K459,AvgBase[location_name],$G459,AvgBase[job_title],$H459))*(X249+W249)/2*(1-X354))</f>
        <v>0</v>
      </c>
      <c r="Y459" s="652">
        <f>IF($B459="",,IF(LEFT($H459,5)="dummy",SUMIFS(AvgBase[Month 14],AvgBase[job_title],$H459),SUMIFS(AvgBase[Month 14],AvgBase[exp_item],$J459,AvgBase[company_name],$B459,AvgBase[bu_name],$C459,AvgBase[dept_name],$D459,AvgBase[team_consolidation],$K459,AvgBase[location_name],$G459,AvgBase[job_title],$H459))*(Y249+X249)/2*(1-Y354))</f>
        <v>0</v>
      </c>
      <c r="Z459" s="652">
        <f>IF($B459="",,IF(LEFT($H459,5)="dummy",SUMIFS(AvgBase[Month 15],AvgBase[job_title],$H459),SUMIFS(AvgBase[Month 15],AvgBase[exp_item],$J459,AvgBase[company_name],$B459,AvgBase[bu_name],$C459,AvgBase[dept_name],$D459,AvgBase[team_consolidation],$K459,AvgBase[location_name],$G459,AvgBase[job_title],$H459))*(Z249+Y249)/2*(1-Z354))</f>
        <v>0</v>
      </c>
      <c r="AA459" s="652">
        <f>IF($B459="",,IF(LEFT($H459,5)="dummy",SUMIFS(AvgBase[Month 16],AvgBase[job_title],$H459),SUMIFS(AvgBase[Month 16],AvgBase[exp_item],$J459,AvgBase[company_name],$B459,AvgBase[bu_name],$C459,AvgBase[dept_name],$D459,AvgBase[team_consolidation],$K459,AvgBase[location_name],$G459,AvgBase[job_title],$H459))*(AA249+Z249)/2*(1-AA354))</f>
        <v>0</v>
      </c>
      <c r="AB459" s="652">
        <f>IF($B459="",,IF(LEFT($H459,5)="dummy",SUMIFS(AvgBase[Month 17],AvgBase[job_title],$H459),SUMIFS(AvgBase[Month 17],AvgBase[exp_item],$J459,AvgBase[company_name],$B459,AvgBase[bu_name],$C459,AvgBase[dept_name],$D459,AvgBase[team_consolidation],$K459,AvgBase[location_name],$G459,AvgBase[job_title],$H459))*(AB249+AA249)/2*(1-AB354))</f>
        <v>0</v>
      </c>
      <c r="AC459" s="652">
        <f>IF($B459="",,IF(LEFT($H459,5)="dummy",SUMIFS(AvgBase[Month 18],AvgBase[job_title],$H459),SUMIFS(AvgBase[Month 18],AvgBase[exp_item],$J459,AvgBase[company_name],$B459,AvgBase[bu_name],$C459,AvgBase[dept_name],$D459,AvgBase[team_consolidation],$K459,AvgBase[location_name],$G459,AvgBase[job_title],$H459))*(AC249+AB249)/2*(1-AC354))</f>
        <v>0</v>
      </c>
      <c r="AD459" s="652">
        <f>IF($B459="",,IF(LEFT($H459,5)="dummy",SUMIFS(AvgBase[Month 19],AvgBase[job_title],$H459),SUMIFS(AvgBase[Month 19],AvgBase[exp_item],$J459,AvgBase[company_name],$B459,AvgBase[bu_name],$C459,AvgBase[dept_name],$D459,AvgBase[team_consolidation],$K459,AvgBase[location_name],$G459,AvgBase[job_title],$H459))*(AD249+AC249)/2*(1-AD354))</f>
        <v>0</v>
      </c>
      <c r="AE459" s="652">
        <f>IF($B459="",,IF(LEFT($H459,5)="dummy",SUMIFS(AvgBase[Month 20],AvgBase[job_title],$H459),SUMIFS(AvgBase[Month 20],AvgBase[exp_item],$J459,AvgBase[company_name],$B459,AvgBase[bu_name],$C459,AvgBase[dept_name],$D459,AvgBase[team_consolidation],$K459,AvgBase[location_name],$G459,AvgBase[job_title],$H459))*(AE249+AD249)/2*(1-AE354))</f>
        <v>0</v>
      </c>
      <c r="AF459" s="652">
        <f>IF($B459="",,IF(LEFT($H459,5)="dummy",SUMIFS(AvgBase[Month 21],AvgBase[job_title],$H459),SUMIFS(AvgBase[Month 21],AvgBase[exp_item],$J459,AvgBase[company_name],$B459,AvgBase[bu_name],$C459,AvgBase[dept_name],$D459,AvgBase[team_consolidation],$K459,AvgBase[location_name],$G459,AvgBase[job_title],$H459))*(AF249+AE249)/2*(1-AF354))</f>
        <v>0</v>
      </c>
      <c r="AG459" s="652">
        <f>IF($B459="",,IF(LEFT($H459,5)="dummy",SUMIFS(AvgBase[Month 22],AvgBase[job_title],$H459),SUMIFS(AvgBase[Month 22],AvgBase[exp_item],$J459,AvgBase[company_name],$B459,AvgBase[bu_name],$C459,AvgBase[dept_name],$D459,AvgBase[team_consolidation],$K459,AvgBase[location_name],$G459,AvgBase[job_title],$H459))*(AG249+AF249)/2*(1-AG354))</f>
        <v>0</v>
      </c>
      <c r="AH459" s="652">
        <f>IF($B459="",,IF(LEFT($H459,5)="dummy",SUMIFS(AvgBase[Month 23],AvgBase[job_title],$H459),SUMIFS(AvgBase[Month 23],AvgBase[exp_item],$J459,AvgBase[company_name],$B459,AvgBase[bu_name],$C459,AvgBase[dept_name],$D459,AvgBase[team_consolidation],$K459,AvgBase[location_name],$G459,AvgBase[job_title],$H459))*(AH249+AG249)/2*(1-AH354))</f>
        <v>0</v>
      </c>
      <c r="AI459" s="652">
        <f>IF($B459="",,IF(LEFT($H459,5)="dummy",SUMIFS(AvgBase[Month 24],AvgBase[job_title],$H459),SUMIFS(AvgBase[Month 24],AvgBase[exp_item],$J459,AvgBase[company_name],$B459,AvgBase[bu_name],$C459,AvgBase[dept_name],$D459,AvgBase[team_consolidation],$K459,AvgBase[location_name],$G459,AvgBase[job_title],$H459))*(AI249+AH249)/2*(1-AI354))</f>
        <v>0</v>
      </c>
      <c r="AJ459" s="652">
        <f>IF($B459="",,IF(LEFT($H459,5)="dummy",SUMIFS(AvgBase[Month 25],AvgBase[job_title],$H459),SUMIFS(AvgBase[Month 25],AvgBase[exp_item],$J459,AvgBase[company_name],$B459,AvgBase[bu_name],$C459,AvgBase[dept_name],$D459,AvgBase[team_consolidation],$K459,AvgBase[location_name],$G459,AvgBase[job_title],$H459))*(AJ249+AI249)/2*(1-AJ354))</f>
        <v>0</v>
      </c>
      <c r="AK459" s="652">
        <f>IF($B459="",,IF(LEFT($H459,5)="dummy",SUMIFS(AvgBase[Month 26],AvgBase[job_title],$H459),SUMIFS(AvgBase[Month 26],AvgBase[exp_item],$J459,AvgBase[company_name],$B459,AvgBase[bu_name],$C459,AvgBase[dept_name],$D459,AvgBase[team_consolidation],$K459,AvgBase[location_name],$G459,AvgBase[job_title],$H459))*(AK249+AJ249)/2*(1-AK354))</f>
        <v>0</v>
      </c>
      <c r="AL459" s="652">
        <f>IF($B459="",,IF(LEFT($H459,5)="dummy",SUMIFS(AvgBase[Month 27],AvgBase[job_title],$H459),SUMIFS(AvgBase[Month 27],AvgBase[exp_item],$J459,AvgBase[company_name],$B459,AvgBase[bu_name],$C459,AvgBase[dept_name],$D459,AvgBase[team_consolidation],$K459,AvgBase[location_name],$G459,AvgBase[job_title],$H459))*(AL249+AK249)/2*(1-AL354))</f>
        <v>0</v>
      </c>
      <c r="AM459" s="652">
        <f>IF($B459="",,IF(LEFT($H459,5)="dummy",SUMIFS(AvgBase[Month 28],AvgBase[job_title],$H459),SUMIFS(AvgBase[Month 28],AvgBase[exp_item],$J459,AvgBase[company_name],$B459,AvgBase[bu_name],$C459,AvgBase[dept_name],$D459,AvgBase[team_consolidation],$K459,AvgBase[location_name],$G459,AvgBase[job_title],$H459))*(AM249+AL249)/2*(1-AM354))</f>
        <v>0</v>
      </c>
      <c r="AN459" s="652">
        <f>IF($B459="",,IF(LEFT($H459,5)="dummy",SUMIFS(AvgBase[Month 29],AvgBase[job_title],$H459),SUMIFS(AvgBase[Month 29],AvgBase[exp_item],$J459,AvgBase[company_name],$B459,AvgBase[bu_name],$C459,AvgBase[dept_name],$D459,AvgBase[team_consolidation],$K459,AvgBase[location_name],$G459,AvgBase[job_title],$H459))*(AN249+AM249)/2*(1-AN354))</f>
        <v>0</v>
      </c>
      <c r="AO459" s="652">
        <f>IF($B459="",,IF(LEFT($H459,5)="dummy",SUMIFS(AvgBase[Month 30],AvgBase[job_title],$H459),SUMIFS(AvgBase[Month 30],AvgBase[exp_item],$J459,AvgBase[company_name],$B459,AvgBase[bu_name],$C459,AvgBase[dept_name],$D459,AvgBase[team_consolidation],$K459,AvgBase[location_name],$G459,AvgBase[job_title],$H459))*(AO249+AN249)/2*(1-AO354))</f>
        <v>0</v>
      </c>
      <c r="AP459" s="652">
        <f>IF($B459="",,IF(LEFT($H459,5)="dummy",SUMIFS(AvgBase[Month 31],AvgBase[job_title],$H459),SUMIFS(AvgBase[Month 31],AvgBase[exp_item],$J459,AvgBase[company_name],$B459,AvgBase[bu_name],$C459,AvgBase[dept_name],$D459,AvgBase[team_consolidation],$K459,AvgBase[location_name],$G459,AvgBase[job_title],$H459))*(AP249+AO249)/2*(1-AP354))</f>
        <v>0</v>
      </c>
      <c r="AQ459" s="652">
        <f>IF($B459="",,IF(LEFT($H459,5)="dummy",SUMIFS(AvgBase[Month 32],AvgBase[job_title],$H459),SUMIFS(AvgBase[Month 32],AvgBase[exp_item],$J459,AvgBase[company_name],$B459,AvgBase[bu_name],$C459,AvgBase[dept_name],$D459,AvgBase[team_consolidation],$K459,AvgBase[location_name],$G459,AvgBase[job_title],$H459))*(AQ249+AP249)/2*(1-AQ354))</f>
        <v>0</v>
      </c>
      <c r="AR459" s="652">
        <f>IF($B459="",,IF(LEFT($H459,5)="dummy",SUMIFS(AvgBase[Month 33],AvgBase[job_title],$H459),SUMIFS(AvgBase[Month 33],AvgBase[exp_item],$J459,AvgBase[company_name],$B459,AvgBase[bu_name],$C459,AvgBase[dept_name],$D459,AvgBase[team_consolidation],$K459,AvgBase[location_name],$G459,AvgBase[job_title],$H459))*(AR249+AQ249)/2*(1-AR354))</f>
        <v>0</v>
      </c>
      <c r="AS459" s="652">
        <f>IF($B459="",,IF(LEFT($H459,5)="dummy",SUMIFS(AvgBase[Month 34],AvgBase[job_title],$H459),SUMIFS(AvgBase[Month 34],AvgBase[exp_item],$J459,AvgBase[company_name],$B459,AvgBase[bu_name],$C459,AvgBase[dept_name],$D459,AvgBase[team_consolidation],$K459,AvgBase[location_name],$G459,AvgBase[job_title],$H459))*(AS249+AR249)/2*(1-AS354))</f>
        <v>0</v>
      </c>
      <c r="AT459" s="652">
        <f>IF($B459="",,IF(LEFT($H459,5)="dummy",SUMIFS(AvgBase[Month 35],AvgBase[job_title],$H459),SUMIFS(AvgBase[Month 35],AvgBase[exp_item],$J459,AvgBase[company_name],$B459,AvgBase[bu_name],$C459,AvgBase[dept_name],$D459,AvgBase[team_consolidation],$K459,AvgBase[location_name],$G459,AvgBase[job_title],$H459))*(AT249+AS249)/2*(1-AT354))</f>
        <v>0</v>
      </c>
      <c r="AU459" s="652">
        <f>IF($B459="",,IF(LEFT($H459,5)="dummy",SUMIFS(AvgBase[Month 36],AvgBase[job_title],$H459),SUMIFS(AvgBase[Month 36],AvgBase[exp_item],$J459,AvgBase[company_name],$B459,AvgBase[bu_name],$C459,AvgBase[dept_name],$D459,AvgBase[team_consolidation],$K459,AvgBase[location_name],$G459,AvgBase[job_title],$H459))*(AU249+AT249)/2*(1-AU354))</f>
        <v>0</v>
      </c>
    </row>
    <row r="460" spans="2:47" x14ac:dyDescent="0.35">
      <c r="B460" t="str">
        <f t="shared" si="282"/>
        <v/>
      </c>
      <c r="C460" t="str">
        <f t="shared" si="282"/>
        <v/>
      </c>
      <c r="D460" t="str">
        <f t="shared" si="282"/>
        <v/>
      </c>
      <c r="E460" t="str">
        <f t="shared" si="282"/>
        <v/>
      </c>
      <c r="F460" t="str">
        <f t="shared" si="282"/>
        <v/>
      </c>
      <c r="G460" t="str">
        <f t="shared" si="282"/>
        <v/>
      </c>
      <c r="H460" t="str">
        <f t="shared" ref="H460:H491" si="283">IF(H250="","",H250)</f>
        <v/>
      </c>
      <c r="J460" t="str">
        <f>IF($H460="","",IF(VLOOKUP($B$395,ExpItems[],2,0),$B$395&amp;" - "&amp;INDEX(DivisionMapping[category_code],MATCH($D460&amp;$C460,DivisionMapping[dept_bu],0)),$B$395))</f>
        <v/>
      </c>
      <c r="K460" t="str">
        <f t="shared" si="275"/>
        <v/>
      </c>
      <c r="L460" s="652">
        <f>IF($B460="",,IF(LEFT($H460,5)="dummy",SUMIFS(AvgBase[Month 1],AvgBase[job_title],$H460),SUMIFS(AvgBase[Month 1],AvgBase[exp_item],$J460,AvgBase[company_name],$B460,AvgBase[bu_name],$C460,AvgBase[dept_name],$D460,AvgBase[team_consolidation],$K460,AvgBase[location_name],$G460,AvgBase[job_title],$H460))*L250/2*(1-L355))</f>
        <v>0</v>
      </c>
      <c r="M460" s="652">
        <f>IF($B460="",,IF(LEFT($H460,5)="dummy",SUMIFS(AvgBase[Month 2],AvgBase[job_title],$H460),SUMIFS(AvgBase[Month 2],AvgBase[exp_item],$J460,AvgBase[company_name],$B460,AvgBase[bu_name],$C460,AvgBase[dept_name],$D460,AvgBase[team_consolidation],$K460,AvgBase[location_name],$G460,AvgBase[job_title],$H460))*(M250+L250)/2*(1-M355))</f>
        <v>0</v>
      </c>
      <c r="N460" s="652">
        <f>IF($B460="",,IF(LEFT($H460,5)="dummy",SUMIFS(AvgBase[Month 3],AvgBase[job_title],$H460),SUMIFS(AvgBase[Month 3],AvgBase[exp_item],$J460,AvgBase[company_name],$B460,AvgBase[bu_name],$C460,AvgBase[dept_name],$D460,AvgBase[team_consolidation],$K460,AvgBase[location_name],$G460,AvgBase[job_title],$H460))*(N250+M250)/2*(1-N355))</f>
        <v>0</v>
      </c>
      <c r="O460" s="652">
        <f>IF($B460="",,IF(LEFT($H460,5)="dummy",SUMIFS(AvgBase[Month 4],AvgBase[job_title],$H460),SUMIFS(AvgBase[Month 4],AvgBase[exp_item],$J460,AvgBase[company_name],$B460,AvgBase[bu_name],$C460,AvgBase[dept_name],$D460,AvgBase[team_consolidation],$K460,AvgBase[location_name],$G460,AvgBase[job_title],$H460))*(O250+N250)/2*(1-O355))</f>
        <v>0</v>
      </c>
      <c r="P460" s="652">
        <f>IF($B460="",,IF(LEFT($H460,5)="dummy",SUMIFS(AvgBase[Month 5],AvgBase[job_title],$H460),SUMIFS(AvgBase[Month 5],AvgBase[exp_item],$J460,AvgBase[company_name],$B460,AvgBase[bu_name],$C460,AvgBase[dept_name],$D460,AvgBase[team_consolidation],$K460,AvgBase[location_name],$G460,AvgBase[job_title],$H460))*(P250+O250)/2*(1-P355))</f>
        <v>0</v>
      </c>
      <c r="Q460" s="652">
        <f>IF($B460="",,IF(LEFT($H460,5)="dummy",SUMIFS(AvgBase[Month 6],AvgBase[job_title],$H460),SUMIFS(AvgBase[Month 6],AvgBase[exp_item],$J460,AvgBase[company_name],$B460,AvgBase[bu_name],$C460,AvgBase[dept_name],$D460,AvgBase[team_consolidation],$K460,AvgBase[location_name],$G460,AvgBase[job_title],$H460))*(Q250+P250)/2*(1-Q355))</f>
        <v>0</v>
      </c>
      <c r="R460" s="652">
        <f>IF($B460="",,IF(LEFT($H460,5)="dummy",SUMIFS(AvgBase[Month 7],AvgBase[job_title],$H460),SUMIFS(AvgBase[Month 7],AvgBase[exp_item],$J460,AvgBase[company_name],$B460,AvgBase[bu_name],$C460,AvgBase[dept_name],$D460,AvgBase[team_consolidation],$K460,AvgBase[location_name],$G460,AvgBase[job_title],$H460))*(R250+Q250)/2*(1-R355))</f>
        <v>0</v>
      </c>
      <c r="S460" s="652">
        <f>IF($B460="",,IF(LEFT($H460,5)="dummy",SUMIFS(AvgBase[Month 8],AvgBase[job_title],$H460),SUMIFS(AvgBase[Month 8],AvgBase[exp_item],$J460,AvgBase[company_name],$B460,AvgBase[bu_name],$C460,AvgBase[dept_name],$D460,AvgBase[team_consolidation],$K460,AvgBase[location_name],$G460,AvgBase[job_title],$H460))*(S250+R250)/2*(1-S355))</f>
        <v>0</v>
      </c>
      <c r="T460" s="652">
        <f>IF($B460="",,IF(LEFT($H460,5)="dummy",SUMIFS(AvgBase[Month 9],AvgBase[job_title],$H460),SUMIFS(AvgBase[Month 9],AvgBase[exp_item],$J460,AvgBase[company_name],$B460,AvgBase[bu_name],$C460,AvgBase[dept_name],$D460,AvgBase[team_consolidation],$K460,AvgBase[location_name],$G460,AvgBase[job_title],$H460))*(T250+S250)/2*(1-T355))</f>
        <v>0</v>
      </c>
      <c r="U460" s="652">
        <f>IF($B460="",,IF(LEFT($H460,5)="dummy",SUMIFS(AvgBase[Month 10],AvgBase[job_title],$H460),SUMIFS(AvgBase[Month 10],AvgBase[exp_item],$J460,AvgBase[company_name],$B460,AvgBase[bu_name],$C460,AvgBase[dept_name],$D460,AvgBase[team_consolidation],$K460,AvgBase[location_name],$G460,AvgBase[job_title],$H460))*(U250+T250)/2*(1-U355))</f>
        <v>0</v>
      </c>
      <c r="V460" s="652">
        <f>IF($B460="",,IF(LEFT($H460,5)="dummy",SUMIFS(AvgBase[Month 11],AvgBase[job_title],$H460),SUMIFS(AvgBase[Month 11],AvgBase[exp_item],$J460,AvgBase[company_name],$B460,AvgBase[bu_name],$C460,AvgBase[dept_name],$D460,AvgBase[team_consolidation],$K460,AvgBase[location_name],$G460,AvgBase[job_title],$H460))*(V250+U250)/2*(1-V355))</f>
        <v>0</v>
      </c>
      <c r="W460" s="652">
        <f>IF($B460="",,IF(LEFT($H460,5)="dummy",SUMIFS(AvgBase[Month 12],AvgBase[job_title],$H460),SUMIFS(AvgBase[Month 12],AvgBase[exp_item],$J460,AvgBase[company_name],$B460,AvgBase[bu_name],$C460,AvgBase[dept_name],$D460,AvgBase[team_consolidation],$K460,AvgBase[location_name],$G460,AvgBase[job_title],$H460))*(W250+V250)/2*(1-W355))</f>
        <v>0</v>
      </c>
      <c r="X460" s="652">
        <f>IF($B460="",,IF(LEFT($H460,5)="dummy",SUMIFS(AvgBase[Month 13],AvgBase[job_title],$H460),SUMIFS(AvgBase[Month 13],AvgBase[exp_item],$J460,AvgBase[company_name],$B460,AvgBase[bu_name],$C460,AvgBase[dept_name],$D460,AvgBase[team_consolidation],$K460,AvgBase[location_name],$G460,AvgBase[job_title],$H460))*(X250+W250)/2*(1-X355))</f>
        <v>0</v>
      </c>
      <c r="Y460" s="652">
        <f>IF($B460="",,IF(LEFT($H460,5)="dummy",SUMIFS(AvgBase[Month 14],AvgBase[job_title],$H460),SUMIFS(AvgBase[Month 14],AvgBase[exp_item],$J460,AvgBase[company_name],$B460,AvgBase[bu_name],$C460,AvgBase[dept_name],$D460,AvgBase[team_consolidation],$K460,AvgBase[location_name],$G460,AvgBase[job_title],$H460))*(Y250+X250)/2*(1-Y355))</f>
        <v>0</v>
      </c>
      <c r="Z460" s="652">
        <f>IF($B460="",,IF(LEFT($H460,5)="dummy",SUMIFS(AvgBase[Month 15],AvgBase[job_title],$H460),SUMIFS(AvgBase[Month 15],AvgBase[exp_item],$J460,AvgBase[company_name],$B460,AvgBase[bu_name],$C460,AvgBase[dept_name],$D460,AvgBase[team_consolidation],$K460,AvgBase[location_name],$G460,AvgBase[job_title],$H460))*(Z250+Y250)/2*(1-Z355))</f>
        <v>0</v>
      </c>
      <c r="AA460" s="652">
        <f>IF($B460="",,IF(LEFT($H460,5)="dummy",SUMIFS(AvgBase[Month 16],AvgBase[job_title],$H460),SUMIFS(AvgBase[Month 16],AvgBase[exp_item],$J460,AvgBase[company_name],$B460,AvgBase[bu_name],$C460,AvgBase[dept_name],$D460,AvgBase[team_consolidation],$K460,AvgBase[location_name],$G460,AvgBase[job_title],$H460))*(AA250+Z250)/2*(1-AA355))</f>
        <v>0</v>
      </c>
      <c r="AB460" s="652">
        <f>IF($B460="",,IF(LEFT($H460,5)="dummy",SUMIFS(AvgBase[Month 17],AvgBase[job_title],$H460),SUMIFS(AvgBase[Month 17],AvgBase[exp_item],$J460,AvgBase[company_name],$B460,AvgBase[bu_name],$C460,AvgBase[dept_name],$D460,AvgBase[team_consolidation],$K460,AvgBase[location_name],$G460,AvgBase[job_title],$H460))*(AB250+AA250)/2*(1-AB355))</f>
        <v>0</v>
      </c>
      <c r="AC460" s="652">
        <f>IF($B460="",,IF(LEFT($H460,5)="dummy",SUMIFS(AvgBase[Month 18],AvgBase[job_title],$H460),SUMIFS(AvgBase[Month 18],AvgBase[exp_item],$J460,AvgBase[company_name],$B460,AvgBase[bu_name],$C460,AvgBase[dept_name],$D460,AvgBase[team_consolidation],$K460,AvgBase[location_name],$G460,AvgBase[job_title],$H460))*(AC250+AB250)/2*(1-AC355))</f>
        <v>0</v>
      </c>
      <c r="AD460" s="652">
        <f>IF($B460="",,IF(LEFT($H460,5)="dummy",SUMIFS(AvgBase[Month 19],AvgBase[job_title],$H460),SUMIFS(AvgBase[Month 19],AvgBase[exp_item],$J460,AvgBase[company_name],$B460,AvgBase[bu_name],$C460,AvgBase[dept_name],$D460,AvgBase[team_consolidation],$K460,AvgBase[location_name],$G460,AvgBase[job_title],$H460))*(AD250+AC250)/2*(1-AD355))</f>
        <v>0</v>
      </c>
      <c r="AE460" s="652">
        <f>IF($B460="",,IF(LEFT($H460,5)="dummy",SUMIFS(AvgBase[Month 20],AvgBase[job_title],$H460),SUMIFS(AvgBase[Month 20],AvgBase[exp_item],$J460,AvgBase[company_name],$B460,AvgBase[bu_name],$C460,AvgBase[dept_name],$D460,AvgBase[team_consolidation],$K460,AvgBase[location_name],$G460,AvgBase[job_title],$H460))*(AE250+AD250)/2*(1-AE355))</f>
        <v>0</v>
      </c>
      <c r="AF460" s="652">
        <f>IF($B460="",,IF(LEFT($H460,5)="dummy",SUMIFS(AvgBase[Month 21],AvgBase[job_title],$H460),SUMIFS(AvgBase[Month 21],AvgBase[exp_item],$J460,AvgBase[company_name],$B460,AvgBase[bu_name],$C460,AvgBase[dept_name],$D460,AvgBase[team_consolidation],$K460,AvgBase[location_name],$G460,AvgBase[job_title],$H460))*(AF250+AE250)/2*(1-AF355))</f>
        <v>0</v>
      </c>
      <c r="AG460" s="652">
        <f>IF($B460="",,IF(LEFT($H460,5)="dummy",SUMIFS(AvgBase[Month 22],AvgBase[job_title],$H460),SUMIFS(AvgBase[Month 22],AvgBase[exp_item],$J460,AvgBase[company_name],$B460,AvgBase[bu_name],$C460,AvgBase[dept_name],$D460,AvgBase[team_consolidation],$K460,AvgBase[location_name],$G460,AvgBase[job_title],$H460))*(AG250+AF250)/2*(1-AG355))</f>
        <v>0</v>
      </c>
      <c r="AH460" s="652">
        <f>IF($B460="",,IF(LEFT($H460,5)="dummy",SUMIFS(AvgBase[Month 23],AvgBase[job_title],$H460),SUMIFS(AvgBase[Month 23],AvgBase[exp_item],$J460,AvgBase[company_name],$B460,AvgBase[bu_name],$C460,AvgBase[dept_name],$D460,AvgBase[team_consolidation],$K460,AvgBase[location_name],$G460,AvgBase[job_title],$H460))*(AH250+AG250)/2*(1-AH355))</f>
        <v>0</v>
      </c>
      <c r="AI460" s="652">
        <f>IF($B460="",,IF(LEFT($H460,5)="dummy",SUMIFS(AvgBase[Month 24],AvgBase[job_title],$H460),SUMIFS(AvgBase[Month 24],AvgBase[exp_item],$J460,AvgBase[company_name],$B460,AvgBase[bu_name],$C460,AvgBase[dept_name],$D460,AvgBase[team_consolidation],$K460,AvgBase[location_name],$G460,AvgBase[job_title],$H460))*(AI250+AH250)/2*(1-AI355))</f>
        <v>0</v>
      </c>
      <c r="AJ460" s="652">
        <f>IF($B460="",,IF(LEFT($H460,5)="dummy",SUMIFS(AvgBase[Month 25],AvgBase[job_title],$H460),SUMIFS(AvgBase[Month 25],AvgBase[exp_item],$J460,AvgBase[company_name],$B460,AvgBase[bu_name],$C460,AvgBase[dept_name],$D460,AvgBase[team_consolidation],$K460,AvgBase[location_name],$G460,AvgBase[job_title],$H460))*(AJ250+AI250)/2*(1-AJ355))</f>
        <v>0</v>
      </c>
      <c r="AK460" s="652">
        <f>IF($B460="",,IF(LEFT($H460,5)="dummy",SUMIFS(AvgBase[Month 26],AvgBase[job_title],$H460),SUMIFS(AvgBase[Month 26],AvgBase[exp_item],$J460,AvgBase[company_name],$B460,AvgBase[bu_name],$C460,AvgBase[dept_name],$D460,AvgBase[team_consolidation],$K460,AvgBase[location_name],$G460,AvgBase[job_title],$H460))*(AK250+AJ250)/2*(1-AK355))</f>
        <v>0</v>
      </c>
      <c r="AL460" s="652">
        <f>IF($B460="",,IF(LEFT($H460,5)="dummy",SUMIFS(AvgBase[Month 27],AvgBase[job_title],$H460),SUMIFS(AvgBase[Month 27],AvgBase[exp_item],$J460,AvgBase[company_name],$B460,AvgBase[bu_name],$C460,AvgBase[dept_name],$D460,AvgBase[team_consolidation],$K460,AvgBase[location_name],$G460,AvgBase[job_title],$H460))*(AL250+AK250)/2*(1-AL355))</f>
        <v>0</v>
      </c>
      <c r="AM460" s="652">
        <f>IF($B460="",,IF(LEFT($H460,5)="dummy",SUMIFS(AvgBase[Month 28],AvgBase[job_title],$H460),SUMIFS(AvgBase[Month 28],AvgBase[exp_item],$J460,AvgBase[company_name],$B460,AvgBase[bu_name],$C460,AvgBase[dept_name],$D460,AvgBase[team_consolidation],$K460,AvgBase[location_name],$G460,AvgBase[job_title],$H460))*(AM250+AL250)/2*(1-AM355))</f>
        <v>0</v>
      </c>
      <c r="AN460" s="652">
        <f>IF($B460="",,IF(LEFT($H460,5)="dummy",SUMIFS(AvgBase[Month 29],AvgBase[job_title],$H460),SUMIFS(AvgBase[Month 29],AvgBase[exp_item],$J460,AvgBase[company_name],$B460,AvgBase[bu_name],$C460,AvgBase[dept_name],$D460,AvgBase[team_consolidation],$K460,AvgBase[location_name],$G460,AvgBase[job_title],$H460))*(AN250+AM250)/2*(1-AN355))</f>
        <v>0</v>
      </c>
      <c r="AO460" s="652">
        <f>IF($B460="",,IF(LEFT($H460,5)="dummy",SUMIFS(AvgBase[Month 30],AvgBase[job_title],$H460),SUMIFS(AvgBase[Month 30],AvgBase[exp_item],$J460,AvgBase[company_name],$B460,AvgBase[bu_name],$C460,AvgBase[dept_name],$D460,AvgBase[team_consolidation],$K460,AvgBase[location_name],$G460,AvgBase[job_title],$H460))*(AO250+AN250)/2*(1-AO355))</f>
        <v>0</v>
      </c>
      <c r="AP460" s="652">
        <f>IF($B460="",,IF(LEFT($H460,5)="dummy",SUMIFS(AvgBase[Month 31],AvgBase[job_title],$H460),SUMIFS(AvgBase[Month 31],AvgBase[exp_item],$J460,AvgBase[company_name],$B460,AvgBase[bu_name],$C460,AvgBase[dept_name],$D460,AvgBase[team_consolidation],$K460,AvgBase[location_name],$G460,AvgBase[job_title],$H460))*(AP250+AO250)/2*(1-AP355))</f>
        <v>0</v>
      </c>
      <c r="AQ460" s="652">
        <f>IF($B460="",,IF(LEFT($H460,5)="dummy",SUMIFS(AvgBase[Month 32],AvgBase[job_title],$H460),SUMIFS(AvgBase[Month 32],AvgBase[exp_item],$J460,AvgBase[company_name],$B460,AvgBase[bu_name],$C460,AvgBase[dept_name],$D460,AvgBase[team_consolidation],$K460,AvgBase[location_name],$G460,AvgBase[job_title],$H460))*(AQ250+AP250)/2*(1-AQ355))</f>
        <v>0</v>
      </c>
      <c r="AR460" s="652">
        <f>IF($B460="",,IF(LEFT($H460,5)="dummy",SUMIFS(AvgBase[Month 33],AvgBase[job_title],$H460),SUMIFS(AvgBase[Month 33],AvgBase[exp_item],$J460,AvgBase[company_name],$B460,AvgBase[bu_name],$C460,AvgBase[dept_name],$D460,AvgBase[team_consolidation],$K460,AvgBase[location_name],$G460,AvgBase[job_title],$H460))*(AR250+AQ250)/2*(1-AR355))</f>
        <v>0</v>
      </c>
      <c r="AS460" s="652">
        <f>IF($B460="",,IF(LEFT($H460,5)="dummy",SUMIFS(AvgBase[Month 34],AvgBase[job_title],$H460),SUMIFS(AvgBase[Month 34],AvgBase[exp_item],$J460,AvgBase[company_name],$B460,AvgBase[bu_name],$C460,AvgBase[dept_name],$D460,AvgBase[team_consolidation],$K460,AvgBase[location_name],$G460,AvgBase[job_title],$H460))*(AS250+AR250)/2*(1-AS355))</f>
        <v>0</v>
      </c>
      <c r="AT460" s="652">
        <f>IF($B460="",,IF(LEFT($H460,5)="dummy",SUMIFS(AvgBase[Month 35],AvgBase[job_title],$H460),SUMIFS(AvgBase[Month 35],AvgBase[exp_item],$J460,AvgBase[company_name],$B460,AvgBase[bu_name],$C460,AvgBase[dept_name],$D460,AvgBase[team_consolidation],$K460,AvgBase[location_name],$G460,AvgBase[job_title],$H460))*(AT250+AS250)/2*(1-AT355))</f>
        <v>0</v>
      </c>
      <c r="AU460" s="652">
        <f>IF($B460="",,IF(LEFT($H460,5)="dummy",SUMIFS(AvgBase[Month 36],AvgBase[job_title],$H460),SUMIFS(AvgBase[Month 36],AvgBase[exp_item],$J460,AvgBase[company_name],$B460,AvgBase[bu_name],$C460,AvgBase[dept_name],$D460,AvgBase[team_consolidation],$K460,AvgBase[location_name],$G460,AvgBase[job_title],$H460))*(AU250+AT250)/2*(1-AU355))</f>
        <v>0</v>
      </c>
    </row>
    <row r="461" spans="2:47" x14ac:dyDescent="0.35">
      <c r="B461" t="str">
        <f t="shared" si="282"/>
        <v/>
      </c>
      <c r="C461" t="str">
        <f t="shared" si="282"/>
        <v/>
      </c>
      <c r="D461" t="str">
        <f t="shared" si="282"/>
        <v/>
      </c>
      <c r="E461" t="str">
        <f t="shared" si="282"/>
        <v/>
      </c>
      <c r="F461" t="str">
        <f t="shared" si="282"/>
        <v/>
      </c>
      <c r="G461" t="str">
        <f t="shared" si="282"/>
        <v/>
      </c>
      <c r="H461" t="str">
        <f t="shared" si="283"/>
        <v/>
      </c>
      <c r="J461" t="str">
        <f>IF($H461="","",IF(VLOOKUP($B$395,ExpItems[],2,0),$B$395&amp;" - "&amp;INDEX(DivisionMapping[category_code],MATCH($D461&amp;$C461,DivisionMapping[dept_bu],0)),$B$395))</f>
        <v/>
      </c>
      <c r="K461" t="str">
        <f t="shared" ref="K461:K496" si="284">K356</f>
        <v/>
      </c>
      <c r="L461" s="652">
        <f>IF($B461="",,IF(LEFT($H461,5)="dummy",SUMIFS(AvgBase[Month 1],AvgBase[job_title],$H461),SUMIFS(AvgBase[Month 1],AvgBase[exp_item],$J461,AvgBase[company_name],$B461,AvgBase[bu_name],$C461,AvgBase[dept_name],$D461,AvgBase[team_consolidation],$K461,AvgBase[location_name],$G461,AvgBase[job_title],$H461))*L251/2*(1-L356))</f>
        <v>0</v>
      </c>
      <c r="M461" s="652">
        <f>IF($B461="",,IF(LEFT($H461,5)="dummy",SUMIFS(AvgBase[Month 2],AvgBase[job_title],$H461),SUMIFS(AvgBase[Month 2],AvgBase[exp_item],$J461,AvgBase[company_name],$B461,AvgBase[bu_name],$C461,AvgBase[dept_name],$D461,AvgBase[team_consolidation],$K461,AvgBase[location_name],$G461,AvgBase[job_title],$H461))*(M251+L251)/2*(1-M356))</f>
        <v>0</v>
      </c>
      <c r="N461" s="652">
        <f>IF($B461="",,IF(LEFT($H461,5)="dummy",SUMIFS(AvgBase[Month 3],AvgBase[job_title],$H461),SUMIFS(AvgBase[Month 3],AvgBase[exp_item],$J461,AvgBase[company_name],$B461,AvgBase[bu_name],$C461,AvgBase[dept_name],$D461,AvgBase[team_consolidation],$K461,AvgBase[location_name],$G461,AvgBase[job_title],$H461))*(N251+M251)/2*(1-N356))</f>
        <v>0</v>
      </c>
      <c r="O461" s="652">
        <f>IF($B461="",,IF(LEFT($H461,5)="dummy",SUMIFS(AvgBase[Month 4],AvgBase[job_title],$H461),SUMIFS(AvgBase[Month 4],AvgBase[exp_item],$J461,AvgBase[company_name],$B461,AvgBase[bu_name],$C461,AvgBase[dept_name],$D461,AvgBase[team_consolidation],$K461,AvgBase[location_name],$G461,AvgBase[job_title],$H461))*(O251+N251)/2*(1-O356))</f>
        <v>0</v>
      </c>
      <c r="P461" s="652">
        <f>IF($B461="",,IF(LEFT($H461,5)="dummy",SUMIFS(AvgBase[Month 5],AvgBase[job_title],$H461),SUMIFS(AvgBase[Month 5],AvgBase[exp_item],$J461,AvgBase[company_name],$B461,AvgBase[bu_name],$C461,AvgBase[dept_name],$D461,AvgBase[team_consolidation],$K461,AvgBase[location_name],$G461,AvgBase[job_title],$H461))*(P251+O251)/2*(1-P356))</f>
        <v>0</v>
      </c>
      <c r="Q461" s="652">
        <f>IF($B461="",,IF(LEFT($H461,5)="dummy",SUMIFS(AvgBase[Month 6],AvgBase[job_title],$H461),SUMIFS(AvgBase[Month 6],AvgBase[exp_item],$J461,AvgBase[company_name],$B461,AvgBase[bu_name],$C461,AvgBase[dept_name],$D461,AvgBase[team_consolidation],$K461,AvgBase[location_name],$G461,AvgBase[job_title],$H461))*(Q251+P251)/2*(1-Q356))</f>
        <v>0</v>
      </c>
      <c r="R461" s="652">
        <f>IF($B461="",,IF(LEFT($H461,5)="dummy",SUMIFS(AvgBase[Month 7],AvgBase[job_title],$H461),SUMIFS(AvgBase[Month 7],AvgBase[exp_item],$J461,AvgBase[company_name],$B461,AvgBase[bu_name],$C461,AvgBase[dept_name],$D461,AvgBase[team_consolidation],$K461,AvgBase[location_name],$G461,AvgBase[job_title],$H461))*(R251+Q251)/2*(1-R356))</f>
        <v>0</v>
      </c>
      <c r="S461" s="652">
        <f>IF($B461="",,IF(LEFT($H461,5)="dummy",SUMIFS(AvgBase[Month 8],AvgBase[job_title],$H461),SUMIFS(AvgBase[Month 8],AvgBase[exp_item],$J461,AvgBase[company_name],$B461,AvgBase[bu_name],$C461,AvgBase[dept_name],$D461,AvgBase[team_consolidation],$K461,AvgBase[location_name],$G461,AvgBase[job_title],$H461))*(S251+R251)/2*(1-S356))</f>
        <v>0</v>
      </c>
      <c r="T461" s="652">
        <f>IF($B461="",,IF(LEFT($H461,5)="dummy",SUMIFS(AvgBase[Month 9],AvgBase[job_title],$H461),SUMIFS(AvgBase[Month 9],AvgBase[exp_item],$J461,AvgBase[company_name],$B461,AvgBase[bu_name],$C461,AvgBase[dept_name],$D461,AvgBase[team_consolidation],$K461,AvgBase[location_name],$G461,AvgBase[job_title],$H461))*(T251+S251)/2*(1-T356))</f>
        <v>0</v>
      </c>
      <c r="U461" s="652">
        <f>IF($B461="",,IF(LEFT($H461,5)="dummy",SUMIFS(AvgBase[Month 10],AvgBase[job_title],$H461),SUMIFS(AvgBase[Month 10],AvgBase[exp_item],$J461,AvgBase[company_name],$B461,AvgBase[bu_name],$C461,AvgBase[dept_name],$D461,AvgBase[team_consolidation],$K461,AvgBase[location_name],$G461,AvgBase[job_title],$H461))*(U251+T251)/2*(1-U356))</f>
        <v>0</v>
      </c>
      <c r="V461" s="652">
        <f>IF($B461="",,IF(LEFT($H461,5)="dummy",SUMIFS(AvgBase[Month 11],AvgBase[job_title],$H461),SUMIFS(AvgBase[Month 11],AvgBase[exp_item],$J461,AvgBase[company_name],$B461,AvgBase[bu_name],$C461,AvgBase[dept_name],$D461,AvgBase[team_consolidation],$K461,AvgBase[location_name],$G461,AvgBase[job_title],$H461))*(V251+U251)/2*(1-V356))</f>
        <v>0</v>
      </c>
      <c r="W461" s="652">
        <f>IF($B461="",,IF(LEFT($H461,5)="dummy",SUMIFS(AvgBase[Month 12],AvgBase[job_title],$H461),SUMIFS(AvgBase[Month 12],AvgBase[exp_item],$J461,AvgBase[company_name],$B461,AvgBase[bu_name],$C461,AvgBase[dept_name],$D461,AvgBase[team_consolidation],$K461,AvgBase[location_name],$G461,AvgBase[job_title],$H461))*(W251+V251)/2*(1-W356))</f>
        <v>0</v>
      </c>
      <c r="X461" s="652">
        <f>IF($B461="",,IF(LEFT($H461,5)="dummy",SUMIFS(AvgBase[Month 13],AvgBase[job_title],$H461),SUMIFS(AvgBase[Month 13],AvgBase[exp_item],$J461,AvgBase[company_name],$B461,AvgBase[bu_name],$C461,AvgBase[dept_name],$D461,AvgBase[team_consolidation],$K461,AvgBase[location_name],$G461,AvgBase[job_title],$H461))*(X251+W251)/2*(1-X356))</f>
        <v>0</v>
      </c>
      <c r="Y461" s="652">
        <f>IF($B461="",,IF(LEFT($H461,5)="dummy",SUMIFS(AvgBase[Month 14],AvgBase[job_title],$H461),SUMIFS(AvgBase[Month 14],AvgBase[exp_item],$J461,AvgBase[company_name],$B461,AvgBase[bu_name],$C461,AvgBase[dept_name],$D461,AvgBase[team_consolidation],$K461,AvgBase[location_name],$G461,AvgBase[job_title],$H461))*(Y251+X251)/2*(1-Y356))</f>
        <v>0</v>
      </c>
      <c r="Z461" s="652">
        <f>IF($B461="",,IF(LEFT($H461,5)="dummy",SUMIFS(AvgBase[Month 15],AvgBase[job_title],$H461),SUMIFS(AvgBase[Month 15],AvgBase[exp_item],$J461,AvgBase[company_name],$B461,AvgBase[bu_name],$C461,AvgBase[dept_name],$D461,AvgBase[team_consolidation],$K461,AvgBase[location_name],$G461,AvgBase[job_title],$H461))*(Z251+Y251)/2*(1-Z356))</f>
        <v>0</v>
      </c>
      <c r="AA461" s="652">
        <f>IF($B461="",,IF(LEFT($H461,5)="dummy",SUMIFS(AvgBase[Month 16],AvgBase[job_title],$H461),SUMIFS(AvgBase[Month 16],AvgBase[exp_item],$J461,AvgBase[company_name],$B461,AvgBase[bu_name],$C461,AvgBase[dept_name],$D461,AvgBase[team_consolidation],$K461,AvgBase[location_name],$G461,AvgBase[job_title],$H461))*(AA251+Z251)/2*(1-AA356))</f>
        <v>0</v>
      </c>
      <c r="AB461" s="652">
        <f>IF($B461="",,IF(LEFT($H461,5)="dummy",SUMIFS(AvgBase[Month 17],AvgBase[job_title],$H461),SUMIFS(AvgBase[Month 17],AvgBase[exp_item],$J461,AvgBase[company_name],$B461,AvgBase[bu_name],$C461,AvgBase[dept_name],$D461,AvgBase[team_consolidation],$K461,AvgBase[location_name],$G461,AvgBase[job_title],$H461))*(AB251+AA251)/2*(1-AB356))</f>
        <v>0</v>
      </c>
      <c r="AC461" s="652">
        <f>IF($B461="",,IF(LEFT($H461,5)="dummy",SUMIFS(AvgBase[Month 18],AvgBase[job_title],$H461),SUMIFS(AvgBase[Month 18],AvgBase[exp_item],$J461,AvgBase[company_name],$B461,AvgBase[bu_name],$C461,AvgBase[dept_name],$D461,AvgBase[team_consolidation],$K461,AvgBase[location_name],$G461,AvgBase[job_title],$H461))*(AC251+AB251)/2*(1-AC356))</f>
        <v>0</v>
      </c>
      <c r="AD461" s="652">
        <f>IF($B461="",,IF(LEFT($H461,5)="dummy",SUMIFS(AvgBase[Month 19],AvgBase[job_title],$H461),SUMIFS(AvgBase[Month 19],AvgBase[exp_item],$J461,AvgBase[company_name],$B461,AvgBase[bu_name],$C461,AvgBase[dept_name],$D461,AvgBase[team_consolidation],$K461,AvgBase[location_name],$G461,AvgBase[job_title],$H461))*(AD251+AC251)/2*(1-AD356))</f>
        <v>0</v>
      </c>
      <c r="AE461" s="652">
        <f>IF($B461="",,IF(LEFT($H461,5)="dummy",SUMIFS(AvgBase[Month 20],AvgBase[job_title],$H461),SUMIFS(AvgBase[Month 20],AvgBase[exp_item],$J461,AvgBase[company_name],$B461,AvgBase[bu_name],$C461,AvgBase[dept_name],$D461,AvgBase[team_consolidation],$K461,AvgBase[location_name],$G461,AvgBase[job_title],$H461))*(AE251+AD251)/2*(1-AE356))</f>
        <v>0</v>
      </c>
      <c r="AF461" s="652">
        <f>IF($B461="",,IF(LEFT($H461,5)="dummy",SUMIFS(AvgBase[Month 21],AvgBase[job_title],$H461),SUMIFS(AvgBase[Month 21],AvgBase[exp_item],$J461,AvgBase[company_name],$B461,AvgBase[bu_name],$C461,AvgBase[dept_name],$D461,AvgBase[team_consolidation],$K461,AvgBase[location_name],$G461,AvgBase[job_title],$H461))*(AF251+AE251)/2*(1-AF356))</f>
        <v>0</v>
      </c>
      <c r="AG461" s="652">
        <f>IF($B461="",,IF(LEFT($H461,5)="dummy",SUMIFS(AvgBase[Month 22],AvgBase[job_title],$H461),SUMIFS(AvgBase[Month 22],AvgBase[exp_item],$J461,AvgBase[company_name],$B461,AvgBase[bu_name],$C461,AvgBase[dept_name],$D461,AvgBase[team_consolidation],$K461,AvgBase[location_name],$G461,AvgBase[job_title],$H461))*(AG251+AF251)/2*(1-AG356))</f>
        <v>0</v>
      </c>
      <c r="AH461" s="652">
        <f>IF($B461="",,IF(LEFT($H461,5)="dummy",SUMIFS(AvgBase[Month 23],AvgBase[job_title],$H461),SUMIFS(AvgBase[Month 23],AvgBase[exp_item],$J461,AvgBase[company_name],$B461,AvgBase[bu_name],$C461,AvgBase[dept_name],$D461,AvgBase[team_consolidation],$K461,AvgBase[location_name],$G461,AvgBase[job_title],$H461))*(AH251+AG251)/2*(1-AH356))</f>
        <v>0</v>
      </c>
      <c r="AI461" s="652">
        <f>IF($B461="",,IF(LEFT($H461,5)="dummy",SUMIFS(AvgBase[Month 24],AvgBase[job_title],$H461),SUMIFS(AvgBase[Month 24],AvgBase[exp_item],$J461,AvgBase[company_name],$B461,AvgBase[bu_name],$C461,AvgBase[dept_name],$D461,AvgBase[team_consolidation],$K461,AvgBase[location_name],$G461,AvgBase[job_title],$H461))*(AI251+AH251)/2*(1-AI356))</f>
        <v>0</v>
      </c>
      <c r="AJ461" s="652">
        <f>IF($B461="",,IF(LEFT($H461,5)="dummy",SUMIFS(AvgBase[Month 25],AvgBase[job_title],$H461),SUMIFS(AvgBase[Month 25],AvgBase[exp_item],$J461,AvgBase[company_name],$B461,AvgBase[bu_name],$C461,AvgBase[dept_name],$D461,AvgBase[team_consolidation],$K461,AvgBase[location_name],$G461,AvgBase[job_title],$H461))*(AJ251+AI251)/2*(1-AJ356))</f>
        <v>0</v>
      </c>
      <c r="AK461" s="652">
        <f>IF($B461="",,IF(LEFT($H461,5)="dummy",SUMIFS(AvgBase[Month 26],AvgBase[job_title],$H461),SUMIFS(AvgBase[Month 26],AvgBase[exp_item],$J461,AvgBase[company_name],$B461,AvgBase[bu_name],$C461,AvgBase[dept_name],$D461,AvgBase[team_consolidation],$K461,AvgBase[location_name],$G461,AvgBase[job_title],$H461))*(AK251+AJ251)/2*(1-AK356))</f>
        <v>0</v>
      </c>
      <c r="AL461" s="652">
        <f>IF($B461="",,IF(LEFT($H461,5)="dummy",SUMIFS(AvgBase[Month 27],AvgBase[job_title],$H461),SUMIFS(AvgBase[Month 27],AvgBase[exp_item],$J461,AvgBase[company_name],$B461,AvgBase[bu_name],$C461,AvgBase[dept_name],$D461,AvgBase[team_consolidation],$K461,AvgBase[location_name],$G461,AvgBase[job_title],$H461))*(AL251+AK251)/2*(1-AL356))</f>
        <v>0</v>
      </c>
      <c r="AM461" s="652">
        <f>IF($B461="",,IF(LEFT($H461,5)="dummy",SUMIFS(AvgBase[Month 28],AvgBase[job_title],$H461),SUMIFS(AvgBase[Month 28],AvgBase[exp_item],$J461,AvgBase[company_name],$B461,AvgBase[bu_name],$C461,AvgBase[dept_name],$D461,AvgBase[team_consolidation],$K461,AvgBase[location_name],$G461,AvgBase[job_title],$H461))*(AM251+AL251)/2*(1-AM356))</f>
        <v>0</v>
      </c>
      <c r="AN461" s="652">
        <f>IF($B461="",,IF(LEFT($H461,5)="dummy",SUMIFS(AvgBase[Month 29],AvgBase[job_title],$H461),SUMIFS(AvgBase[Month 29],AvgBase[exp_item],$J461,AvgBase[company_name],$B461,AvgBase[bu_name],$C461,AvgBase[dept_name],$D461,AvgBase[team_consolidation],$K461,AvgBase[location_name],$G461,AvgBase[job_title],$H461))*(AN251+AM251)/2*(1-AN356))</f>
        <v>0</v>
      </c>
      <c r="AO461" s="652">
        <f>IF($B461="",,IF(LEFT($H461,5)="dummy",SUMIFS(AvgBase[Month 30],AvgBase[job_title],$H461),SUMIFS(AvgBase[Month 30],AvgBase[exp_item],$J461,AvgBase[company_name],$B461,AvgBase[bu_name],$C461,AvgBase[dept_name],$D461,AvgBase[team_consolidation],$K461,AvgBase[location_name],$G461,AvgBase[job_title],$H461))*(AO251+AN251)/2*(1-AO356))</f>
        <v>0</v>
      </c>
      <c r="AP461" s="652">
        <f>IF($B461="",,IF(LEFT($H461,5)="dummy",SUMIFS(AvgBase[Month 31],AvgBase[job_title],$H461),SUMIFS(AvgBase[Month 31],AvgBase[exp_item],$J461,AvgBase[company_name],$B461,AvgBase[bu_name],$C461,AvgBase[dept_name],$D461,AvgBase[team_consolidation],$K461,AvgBase[location_name],$G461,AvgBase[job_title],$H461))*(AP251+AO251)/2*(1-AP356))</f>
        <v>0</v>
      </c>
      <c r="AQ461" s="652">
        <f>IF($B461="",,IF(LEFT($H461,5)="dummy",SUMIFS(AvgBase[Month 32],AvgBase[job_title],$H461),SUMIFS(AvgBase[Month 32],AvgBase[exp_item],$J461,AvgBase[company_name],$B461,AvgBase[bu_name],$C461,AvgBase[dept_name],$D461,AvgBase[team_consolidation],$K461,AvgBase[location_name],$G461,AvgBase[job_title],$H461))*(AQ251+AP251)/2*(1-AQ356))</f>
        <v>0</v>
      </c>
      <c r="AR461" s="652">
        <f>IF($B461="",,IF(LEFT($H461,5)="dummy",SUMIFS(AvgBase[Month 33],AvgBase[job_title],$H461),SUMIFS(AvgBase[Month 33],AvgBase[exp_item],$J461,AvgBase[company_name],$B461,AvgBase[bu_name],$C461,AvgBase[dept_name],$D461,AvgBase[team_consolidation],$K461,AvgBase[location_name],$G461,AvgBase[job_title],$H461))*(AR251+AQ251)/2*(1-AR356))</f>
        <v>0</v>
      </c>
      <c r="AS461" s="652">
        <f>IF($B461="",,IF(LEFT($H461,5)="dummy",SUMIFS(AvgBase[Month 34],AvgBase[job_title],$H461),SUMIFS(AvgBase[Month 34],AvgBase[exp_item],$J461,AvgBase[company_name],$B461,AvgBase[bu_name],$C461,AvgBase[dept_name],$D461,AvgBase[team_consolidation],$K461,AvgBase[location_name],$G461,AvgBase[job_title],$H461))*(AS251+AR251)/2*(1-AS356))</f>
        <v>0</v>
      </c>
      <c r="AT461" s="652">
        <f>IF($B461="",,IF(LEFT($H461,5)="dummy",SUMIFS(AvgBase[Month 35],AvgBase[job_title],$H461),SUMIFS(AvgBase[Month 35],AvgBase[exp_item],$J461,AvgBase[company_name],$B461,AvgBase[bu_name],$C461,AvgBase[dept_name],$D461,AvgBase[team_consolidation],$K461,AvgBase[location_name],$G461,AvgBase[job_title],$H461))*(AT251+AS251)/2*(1-AT356))</f>
        <v>0</v>
      </c>
      <c r="AU461" s="652">
        <f>IF($B461="",,IF(LEFT($H461,5)="dummy",SUMIFS(AvgBase[Month 36],AvgBase[job_title],$H461),SUMIFS(AvgBase[Month 36],AvgBase[exp_item],$J461,AvgBase[company_name],$B461,AvgBase[bu_name],$C461,AvgBase[dept_name],$D461,AvgBase[team_consolidation],$K461,AvgBase[location_name],$G461,AvgBase[job_title],$H461))*(AU251+AT251)/2*(1-AU356))</f>
        <v>0</v>
      </c>
    </row>
    <row r="462" spans="2:47" x14ac:dyDescent="0.35">
      <c r="B462" t="str">
        <f t="shared" si="282"/>
        <v/>
      </c>
      <c r="C462" t="str">
        <f t="shared" si="282"/>
        <v/>
      </c>
      <c r="D462" t="str">
        <f t="shared" si="282"/>
        <v/>
      </c>
      <c r="E462" t="str">
        <f t="shared" si="282"/>
        <v/>
      </c>
      <c r="F462" t="str">
        <f t="shared" si="282"/>
        <v/>
      </c>
      <c r="G462" t="str">
        <f t="shared" si="282"/>
        <v/>
      </c>
      <c r="H462" t="str">
        <f t="shared" si="283"/>
        <v/>
      </c>
      <c r="J462" t="str">
        <f>IF($H462="","",IF(VLOOKUP($B$395,ExpItems[],2,0),$B$395&amp;" - "&amp;INDEX(DivisionMapping[category_code],MATCH($D462&amp;$C462,DivisionMapping[dept_bu],0)),$B$395))</f>
        <v/>
      </c>
      <c r="K462" t="str">
        <f t="shared" si="284"/>
        <v/>
      </c>
      <c r="L462" s="652">
        <f>IF($B462="",,IF(LEFT($H462,5)="dummy",SUMIFS(AvgBase[Month 1],AvgBase[job_title],$H462),SUMIFS(AvgBase[Month 1],AvgBase[exp_item],$J462,AvgBase[company_name],$B462,AvgBase[bu_name],$C462,AvgBase[dept_name],$D462,AvgBase[team_consolidation],$K462,AvgBase[location_name],$G462,AvgBase[job_title],$H462))*L252/2*(1-L357))</f>
        <v>0</v>
      </c>
      <c r="M462" s="652">
        <f>IF($B462="",,IF(LEFT($H462,5)="dummy",SUMIFS(AvgBase[Month 2],AvgBase[job_title],$H462),SUMIFS(AvgBase[Month 2],AvgBase[exp_item],$J462,AvgBase[company_name],$B462,AvgBase[bu_name],$C462,AvgBase[dept_name],$D462,AvgBase[team_consolidation],$K462,AvgBase[location_name],$G462,AvgBase[job_title],$H462))*(M252+L252)/2*(1-M357))</f>
        <v>0</v>
      </c>
      <c r="N462" s="652">
        <f>IF($B462="",,IF(LEFT($H462,5)="dummy",SUMIFS(AvgBase[Month 3],AvgBase[job_title],$H462),SUMIFS(AvgBase[Month 3],AvgBase[exp_item],$J462,AvgBase[company_name],$B462,AvgBase[bu_name],$C462,AvgBase[dept_name],$D462,AvgBase[team_consolidation],$K462,AvgBase[location_name],$G462,AvgBase[job_title],$H462))*(N252+M252)/2*(1-N357))</f>
        <v>0</v>
      </c>
      <c r="O462" s="652">
        <f>IF($B462="",,IF(LEFT($H462,5)="dummy",SUMIFS(AvgBase[Month 4],AvgBase[job_title],$H462),SUMIFS(AvgBase[Month 4],AvgBase[exp_item],$J462,AvgBase[company_name],$B462,AvgBase[bu_name],$C462,AvgBase[dept_name],$D462,AvgBase[team_consolidation],$K462,AvgBase[location_name],$G462,AvgBase[job_title],$H462))*(O252+N252)/2*(1-O357))</f>
        <v>0</v>
      </c>
      <c r="P462" s="652">
        <f>IF($B462="",,IF(LEFT($H462,5)="dummy",SUMIFS(AvgBase[Month 5],AvgBase[job_title],$H462),SUMIFS(AvgBase[Month 5],AvgBase[exp_item],$J462,AvgBase[company_name],$B462,AvgBase[bu_name],$C462,AvgBase[dept_name],$D462,AvgBase[team_consolidation],$K462,AvgBase[location_name],$G462,AvgBase[job_title],$H462))*(P252+O252)/2*(1-P357))</f>
        <v>0</v>
      </c>
      <c r="Q462" s="652">
        <f>IF($B462="",,IF(LEFT($H462,5)="dummy",SUMIFS(AvgBase[Month 6],AvgBase[job_title],$H462),SUMIFS(AvgBase[Month 6],AvgBase[exp_item],$J462,AvgBase[company_name],$B462,AvgBase[bu_name],$C462,AvgBase[dept_name],$D462,AvgBase[team_consolidation],$K462,AvgBase[location_name],$G462,AvgBase[job_title],$H462))*(Q252+P252)/2*(1-Q357))</f>
        <v>0</v>
      </c>
      <c r="R462" s="652">
        <f>IF($B462="",,IF(LEFT($H462,5)="dummy",SUMIFS(AvgBase[Month 7],AvgBase[job_title],$H462),SUMIFS(AvgBase[Month 7],AvgBase[exp_item],$J462,AvgBase[company_name],$B462,AvgBase[bu_name],$C462,AvgBase[dept_name],$D462,AvgBase[team_consolidation],$K462,AvgBase[location_name],$G462,AvgBase[job_title],$H462))*(R252+Q252)/2*(1-R357))</f>
        <v>0</v>
      </c>
      <c r="S462" s="652">
        <f>IF($B462="",,IF(LEFT($H462,5)="dummy",SUMIFS(AvgBase[Month 8],AvgBase[job_title],$H462),SUMIFS(AvgBase[Month 8],AvgBase[exp_item],$J462,AvgBase[company_name],$B462,AvgBase[bu_name],$C462,AvgBase[dept_name],$D462,AvgBase[team_consolidation],$K462,AvgBase[location_name],$G462,AvgBase[job_title],$H462))*(S252+R252)/2*(1-S357))</f>
        <v>0</v>
      </c>
      <c r="T462" s="652">
        <f>IF($B462="",,IF(LEFT($H462,5)="dummy",SUMIFS(AvgBase[Month 9],AvgBase[job_title],$H462),SUMIFS(AvgBase[Month 9],AvgBase[exp_item],$J462,AvgBase[company_name],$B462,AvgBase[bu_name],$C462,AvgBase[dept_name],$D462,AvgBase[team_consolidation],$K462,AvgBase[location_name],$G462,AvgBase[job_title],$H462))*(T252+S252)/2*(1-T357))</f>
        <v>0</v>
      </c>
      <c r="U462" s="652">
        <f>IF($B462="",,IF(LEFT($H462,5)="dummy",SUMIFS(AvgBase[Month 10],AvgBase[job_title],$H462),SUMIFS(AvgBase[Month 10],AvgBase[exp_item],$J462,AvgBase[company_name],$B462,AvgBase[bu_name],$C462,AvgBase[dept_name],$D462,AvgBase[team_consolidation],$K462,AvgBase[location_name],$G462,AvgBase[job_title],$H462))*(U252+T252)/2*(1-U357))</f>
        <v>0</v>
      </c>
      <c r="V462" s="652">
        <f>IF($B462="",,IF(LEFT($H462,5)="dummy",SUMIFS(AvgBase[Month 11],AvgBase[job_title],$H462),SUMIFS(AvgBase[Month 11],AvgBase[exp_item],$J462,AvgBase[company_name],$B462,AvgBase[bu_name],$C462,AvgBase[dept_name],$D462,AvgBase[team_consolidation],$K462,AvgBase[location_name],$G462,AvgBase[job_title],$H462))*(V252+U252)/2*(1-V357))</f>
        <v>0</v>
      </c>
      <c r="W462" s="652">
        <f>IF($B462="",,IF(LEFT($H462,5)="dummy",SUMIFS(AvgBase[Month 12],AvgBase[job_title],$H462),SUMIFS(AvgBase[Month 12],AvgBase[exp_item],$J462,AvgBase[company_name],$B462,AvgBase[bu_name],$C462,AvgBase[dept_name],$D462,AvgBase[team_consolidation],$K462,AvgBase[location_name],$G462,AvgBase[job_title],$H462))*(W252+V252)/2*(1-W357))</f>
        <v>0</v>
      </c>
      <c r="X462" s="652">
        <f>IF($B462="",,IF(LEFT($H462,5)="dummy",SUMIFS(AvgBase[Month 13],AvgBase[job_title],$H462),SUMIFS(AvgBase[Month 13],AvgBase[exp_item],$J462,AvgBase[company_name],$B462,AvgBase[bu_name],$C462,AvgBase[dept_name],$D462,AvgBase[team_consolidation],$K462,AvgBase[location_name],$G462,AvgBase[job_title],$H462))*(X252+W252)/2*(1-X357))</f>
        <v>0</v>
      </c>
      <c r="Y462" s="652">
        <f>IF($B462="",,IF(LEFT($H462,5)="dummy",SUMIFS(AvgBase[Month 14],AvgBase[job_title],$H462),SUMIFS(AvgBase[Month 14],AvgBase[exp_item],$J462,AvgBase[company_name],$B462,AvgBase[bu_name],$C462,AvgBase[dept_name],$D462,AvgBase[team_consolidation],$K462,AvgBase[location_name],$G462,AvgBase[job_title],$H462))*(Y252+X252)/2*(1-Y357))</f>
        <v>0</v>
      </c>
      <c r="Z462" s="652">
        <f>IF($B462="",,IF(LEFT($H462,5)="dummy",SUMIFS(AvgBase[Month 15],AvgBase[job_title],$H462),SUMIFS(AvgBase[Month 15],AvgBase[exp_item],$J462,AvgBase[company_name],$B462,AvgBase[bu_name],$C462,AvgBase[dept_name],$D462,AvgBase[team_consolidation],$K462,AvgBase[location_name],$G462,AvgBase[job_title],$H462))*(Z252+Y252)/2*(1-Z357))</f>
        <v>0</v>
      </c>
      <c r="AA462" s="652">
        <f>IF($B462="",,IF(LEFT($H462,5)="dummy",SUMIFS(AvgBase[Month 16],AvgBase[job_title],$H462),SUMIFS(AvgBase[Month 16],AvgBase[exp_item],$J462,AvgBase[company_name],$B462,AvgBase[bu_name],$C462,AvgBase[dept_name],$D462,AvgBase[team_consolidation],$K462,AvgBase[location_name],$G462,AvgBase[job_title],$H462))*(AA252+Z252)/2*(1-AA357))</f>
        <v>0</v>
      </c>
      <c r="AB462" s="652">
        <f>IF($B462="",,IF(LEFT($H462,5)="dummy",SUMIFS(AvgBase[Month 17],AvgBase[job_title],$H462),SUMIFS(AvgBase[Month 17],AvgBase[exp_item],$J462,AvgBase[company_name],$B462,AvgBase[bu_name],$C462,AvgBase[dept_name],$D462,AvgBase[team_consolidation],$K462,AvgBase[location_name],$G462,AvgBase[job_title],$H462))*(AB252+AA252)/2*(1-AB357))</f>
        <v>0</v>
      </c>
      <c r="AC462" s="652">
        <f>IF($B462="",,IF(LEFT($H462,5)="dummy",SUMIFS(AvgBase[Month 18],AvgBase[job_title],$H462),SUMIFS(AvgBase[Month 18],AvgBase[exp_item],$J462,AvgBase[company_name],$B462,AvgBase[bu_name],$C462,AvgBase[dept_name],$D462,AvgBase[team_consolidation],$K462,AvgBase[location_name],$G462,AvgBase[job_title],$H462))*(AC252+AB252)/2*(1-AC357))</f>
        <v>0</v>
      </c>
      <c r="AD462" s="652">
        <f>IF($B462="",,IF(LEFT($H462,5)="dummy",SUMIFS(AvgBase[Month 19],AvgBase[job_title],$H462),SUMIFS(AvgBase[Month 19],AvgBase[exp_item],$J462,AvgBase[company_name],$B462,AvgBase[bu_name],$C462,AvgBase[dept_name],$D462,AvgBase[team_consolidation],$K462,AvgBase[location_name],$G462,AvgBase[job_title],$H462))*(AD252+AC252)/2*(1-AD357))</f>
        <v>0</v>
      </c>
      <c r="AE462" s="652">
        <f>IF($B462="",,IF(LEFT($H462,5)="dummy",SUMIFS(AvgBase[Month 20],AvgBase[job_title],$H462),SUMIFS(AvgBase[Month 20],AvgBase[exp_item],$J462,AvgBase[company_name],$B462,AvgBase[bu_name],$C462,AvgBase[dept_name],$D462,AvgBase[team_consolidation],$K462,AvgBase[location_name],$G462,AvgBase[job_title],$H462))*(AE252+AD252)/2*(1-AE357))</f>
        <v>0</v>
      </c>
      <c r="AF462" s="652">
        <f>IF($B462="",,IF(LEFT($H462,5)="dummy",SUMIFS(AvgBase[Month 21],AvgBase[job_title],$H462),SUMIFS(AvgBase[Month 21],AvgBase[exp_item],$J462,AvgBase[company_name],$B462,AvgBase[bu_name],$C462,AvgBase[dept_name],$D462,AvgBase[team_consolidation],$K462,AvgBase[location_name],$G462,AvgBase[job_title],$H462))*(AF252+AE252)/2*(1-AF357))</f>
        <v>0</v>
      </c>
      <c r="AG462" s="652">
        <f>IF($B462="",,IF(LEFT($H462,5)="dummy",SUMIFS(AvgBase[Month 22],AvgBase[job_title],$H462),SUMIFS(AvgBase[Month 22],AvgBase[exp_item],$J462,AvgBase[company_name],$B462,AvgBase[bu_name],$C462,AvgBase[dept_name],$D462,AvgBase[team_consolidation],$K462,AvgBase[location_name],$G462,AvgBase[job_title],$H462))*(AG252+AF252)/2*(1-AG357))</f>
        <v>0</v>
      </c>
      <c r="AH462" s="652">
        <f>IF($B462="",,IF(LEFT($H462,5)="dummy",SUMIFS(AvgBase[Month 23],AvgBase[job_title],$H462),SUMIFS(AvgBase[Month 23],AvgBase[exp_item],$J462,AvgBase[company_name],$B462,AvgBase[bu_name],$C462,AvgBase[dept_name],$D462,AvgBase[team_consolidation],$K462,AvgBase[location_name],$G462,AvgBase[job_title],$H462))*(AH252+AG252)/2*(1-AH357))</f>
        <v>0</v>
      </c>
      <c r="AI462" s="652">
        <f>IF($B462="",,IF(LEFT($H462,5)="dummy",SUMIFS(AvgBase[Month 24],AvgBase[job_title],$H462),SUMIFS(AvgBase[Month 24],AvgBase[exp_item],$J462,AvgBase[company_name],$B462,AvgBase[bu_name],$C462,AvgBase[dept_name],$D462,AvgBase[team_consolidation],$K462,AvgBase[location_name],$G462,AvgBase[job_title],$H462))*(AI252+AH252)/2*(1-AI357))</f>
        <v>0</v>
      </c>
      <c r="AJ462" s="652">
        <f>IF($B462="",,IF(LEFT($H462,5)="dummy",SUMIFS(AvgBase[Month 25],AvgBase[job_title],$H462),SUMIFS(AvgBase[Month 25],AvgBase[exp_item],$J462,AvgBase[company_name],$B462,AvgBase[bu_name],$C462,AvgBase[dept_name],$D462,AvgBase[team_consolidation],$K462,AvgBase[location_name],$G462,AvgBase[job_title],$H462))*(AJ252+AI252)/2*(1-AJ357))</f>
        <v>0</v>
      </c>
      <c r="AK462" s="652">
        <f>IF($B462="",,IF(LEFT($H462,5)="dummy",SUMIFS(AvgBase[Month 26],AvgBase[job_title],$H462),SUMIFS(AvgBase[Month 26],AvgBase[exp_item],$J462,AvgBase[company_name],$B462,AvgBase[bu_name],$C462,AvgBase[dept_name],$D462,AvgBase[team_consolidation],$K462,AvgBase[location_name],$G462,AvgBase[job_title],$H462))*(AK252+AJ252)/2*(1-AK357))</f>
        <v>0</v>
      </c>
      <c r="AL462" s="652">
        <f>IF($B462="",,IF(LEFT($H462,5)="dummy",SUMIFS(AvgBase[Month 27],AvgBase[job_title],$H462),SUMIFS(AvgBase[Month 27],AvgBase[exp_item],$J462,AvgBase[company_name],$B462,AvgBase[bu_name],$C462,AvgBase[dept_name],$D462,AvgBase[team_consolidation],$K462,AvgBase[location_name],$G462,AvgBase[job_title],$H462))*(AL252+AK252)/2*(1-AL357))</f>
        <v>0</v>
      </c>
      <c r="AM462" s="652">
        <f>IF($B462="",,IF(LEFT($H462,5)="dummy",SUMIFS(AvgBase[Month 28],AvgBase[job_title],$H462),SUMIFS(AvgBase[Month 28],AvgBase[exp_item],$J462,AvgBase[company_name],$B462,AvgBase[bu_name],$C462,AvgBase[dept_name],$D462,AvgBase[team_consolidation],$K462,AvgBase[location_name],$G462,AvgBase[job_title],$H462))*(AM252+AL252)/2*(1-AM357))</f>
        <v>0</v>
      </c>
      <c r="AN462" s="652">
        <f>IF($B462="",,IF(LEFT($H462,5)="dummy",SUMIFS(AvgBase[Month 29],AvgBase[job_title],$H462),SUMIFS(AvgBase[Month 29],AvgBase[exp_item],$J462,AvgBase[company_name],$B462,AvgBase[bu_name],$C462,AvgBase[dept_name],$D462,AvgBase[team_consolidation],$K462,AvgBase[location_name],$G462,AvgBase[job_title],$H462))*(AN252+AM252)/2*(1-AN357))</f>
        <v>0</v>
      </c>
      <c r="AO462" s="652">
        <f>IF($B462="",,IF(LEFT($H462,5)="dummy",SUMIFS(AvgBase[Month 30],AvgBase[job_title],$H462),SUMIFS(AvgBase[Month 30],AvgBase[exp_item],$J462,AvgBase[company_name],$B462,AvgBase[bu_name],$C462,AvgBase[dept_name],$D462,AvgBase[team_consolidation],$K462,AvgBase[location_name],$G462,AvgBase[job_title],$H462))*(AO252+AN252)/2*(1-AO357))</f>
        <v>0</v>
      </c>
      <c r="AP462" s="652">
        <f>IF($B462="",,IF(LEFT($H462,5)="dummy",SUMIFS(AvgBase[Month 31],AvgBase[job_title],$H462),SUMIFS(AvgBase[Month 31],AvgBase[exp_item],$J462,AvgBase[company_name],$B462,AvgBase[bu_name],$C462,AvgBase[dept_name],$D462,AvgBase[team_consolidation],$K462,AvgBase[location_name],$G462,AvgBase[job_title],$H462))*(AP252+AO252)/2*(1-AP357))</f>
        <v>0</v>
      </c>
      <c r="AQ462" s="652">
        <f>IF($B462="",,IF(LEFT($H462,5)="dummy",SUMIFS(AvgBase[Month 32],AvgBase[job_title],$H462),SUMIFS(AvgBase[Month 32],AvgBase[exp_item],$J462,AvgBase[company_name],$B462,AvgBase[bu_name],$C462,AvgBase[dept_name],$D462,AvgBase[team_consolidation],$K462,AvgBase[location_name],$G462,AvgBase[job_title],$H462))*(AQ252+AP252)/2*(1-AQ357))</f>
        <v>0</v>
      </c>
      <c r="AR462" s="652">
        <f>IF($B462="",,IF(LEFT($H462,5)="dummy",SUMIFS(AvgBase[Month 33],AvgBase[job_title],$H462),SUMIFS(AvgBase[Month 33],AvgBase[exp_item],$J462,AvgBase[company_name],$B462,AvgBase[bu_name],$C462,AvgBase[dept_name],$D462,AvgBase[team_consolidation],$K462,AvgBase[location_name],$G462,AvgBase[job_title],$H462))*(AR252+AQ252)/2*(1-AR357))</f>
        <v>0</v>
      </c>
      <c r="AS462" s="652">
        <f>IF($B462="",,IF(LEFT($H462,5)="dummy",SUMIFS(AvgBase[Month 34],AvgBase[job_title],$H462),SUMIFS(AvgBase[Month 34],AvgBase[exp_item],$J462,AvgBase[company_name],$B462,AvgBase[bu_name],$C462,AvgBase[dept_name],$D462,AvgBase[team_consolidation],$K462,AvgBase[location_name],$G462,AvgBase[job_title],$H462))*(AS252+AR252)/2*(1-AS357))</f>
        <v>0</v>
      </c>
      <c r="AT462" s="652">
        <f>IF($B462="",,IF(LEFT($H462,5)="dummy",SUMIFS(AvgBase[Month 35],AvgBase[job_title],$H462),SUMIFS(AvgBase[Month 35],AvgBase[exp_item],$J462,AvgBase[company_name],$B462,AvgBase[bu_name],$C462,AvgBase[dept_name],$D462,AvgBase[team_consolidation],$K462,AvgBase[location_name],$G462,AvgBase[job_title],$H462))*(AT252+AS252)/2*(1-AT357))</f>
        <v>0</v>
      </c>
      <c r="AU462" s="652">
        <f>IF($B462="",,IF(LEFT($H462,5)="dummy",SUMIFS(AvgBase[Month 36],AvgBase[job_title],$H462),SUMIFS(AvgBase[Month 36],AvgBase[exp_item],$J462,AvgBase[company_name],$B462,AvgBase[bu_name],$C462,AvgBase[dept_name],$D462,AvgBase[team_consolidation],$K462,AvgBase[location_name],$G462,AvgBase[job_title],$H462))*(AU252+AT252)/2*(1-AU357))</f>
        <v>0</v>
      </c>
    </row>
    <row r="463" spans="2:47" x14ac:dyDescent="0.35">
      <c r="B463" t="str">
        <f t="shared" si="282"/>
        <v/>
      </c>
      <c r="C463" t="str">
        <f t="shared" si="282"/>
        <v/>
      </c>
      <c r="D463" t="str">
        <f t="shared" si="282"/>
        <v/>
      </c>
      <c r="E463" t="str">
        <f t="shared" si="282"/>
        <v/>
      </c>
      <c r="F463" t="str">
        <f t="shared" si="282"/>
        <v/>
      </c>
      <c r="G463" t="str">
        <f t="shared" si="282"/>
        <v/>
      </c>
      <c r="H463" t="str">
        <f t="shared" si="283"/>
        <v/>
      </c>
      <c r="J463" t="str">
        <f>IF($H463="","",IF(VLOOKUP($B$395,ExpItems[],2,0),$B$395&amp;" - "&amp;INDEX(DivisionMapping[category_code],MATCH($D463&amp;$C463,DivisionMapping[dept_bu],0)),$B$395))</f>
        <v/>
      </c>
      <c r="K463" t="str">
        <f t="shared" si="284"/>
        <v/>
      </c>
      <c r="L463" s="652">
        <f>IF($B463="",,IF(LEFT($H463,5)="dummy",SUMIFS(AvgBase[Month 1],AvgBase[job_title],$H463),SUMIFS(AvgBase[Month 1],AvgBase[exp_item],$J463,AvgBase[company_name],$B463,AvgBase[bu_name],$C463,AvgBase[dept_name],$D463,AvgBase[team_consolidation],$K463,AvgBase[location_name],$G463,AvgBase[job_title],$H463))*L253/2*(1-L358))</f>
        <v>0</v>
      </c>
      <c r="M463" s="652">
        <f>IF($B463="",,IF(LEFT($H463,5)="dummy",SUMIFS(AvgBase[Month 2],AvgBase[job_title],$H463),SUMIFS(AvgBase[Month 2],AvgBase[exp_item],$J463,AvgBase[company_name],$B463,AvgBase[bu_name],$C463,AvgBase[dept_name],$D463,AvgBase[team_consolidation],$K463,AvgBase[location_name],$G463,AvgBase[job_title],$H463))*(M253+L253)/2*(1-M358))</f>
        <v>0</v>
      </c>
      <c r="N463" s="652">
        <f>IF($B463="",,IF(LEFT($H463,5)="dummy",SUMIFS(AvgBase[Month 3],AvgBase[job_title],$H463),SUMIFS(AvgBase[Month 3],AvgBase[exp_item],$J463,AvgBase[company_name],$B463,AvgBase[bu_name],$C463,AvgBase[dept_name],$D463,AvgBase[team_consolidation],$K463,AvgBase[location_name],$G463,AvgBase[job_title],$H463))*(N253+M253)/2*(1-N358))</f>
        <v>0</v>
      </c>
      <c r="O463" s="652">
        <f>IF($B463="",,IF(LEFT($H463,5)="dummy",SUMIFS(AvgBase[Month 4],AvgBase[job_title],$H463),SUMIFS(AvgBase[Month 4],AvgBase[exp_item],$J463,AvgBase[company_name],$B463,AvgBase[bu_name],$C463,AvgBase[dept_name],$D463,AvgBase[team_consolidation],$K463,AvgBase[location_name],$G463,AvgBase[job_title],$H463))*(O253+N253)/2*(1-O358))</f>
        <v>0</v>
      </c>
      <c r="P463" s="652">
        <f>IF($B463="",,IF(LEFT($H463,5)="dummy",SUMIFS(AvgBase[Month 5],AvgBase[job_title],$H463),SUMIFS(AvgBase[Month 5],AvgBase[exp_item],$J463,AvgBase[company_name],$B463,AvgBase[bu_name],$C463,AvgBase[dept_name],$D463,AvgBase[team_consolidation],$K463,AvgBase[location_name],$G463,AvgBase[job_title],$H463))*(P253+O253)/2*(1-P358))</f>
        <v>0</v>
      </c>
      <c r="Q463" s="652">
        <f>IF($B463="",,IF(LEFT($H463,5)="dummy",SUMIFS(AvgBase[Month 6],AvgBase[job_title],$H463),SUMIFS(AvgBase[Month 6],AvgBase[exp_item],$J463,AvgBase[company_name],$B463,AvgBase[bu_name],$C463,AvgBase[dept_name],$D463,AvgBase[team_consolidation],$K463,AvgBase[location_name],$G463,AvgBase[job_title],$H463))*(Q253+P253)/2*(1-Q358))</f>
        <v>0</v>
      </c>
      <c r="R463" s="652">
        <f>IF($B463="",,IF(LEFT($H463,5)="dummy",SUMIFS(AvgBase[Month 7],AvgBase[job_title],$H463),SUMIFS(AvgBase[Month 7],AvgBase[exp_item],$J463,AvgBase[company_name],$B463,AvgBase[bu_name],$C463,AvgBase[dept_name],$D463,AvgBase[team_consolidation],$K463,AvgBase[location_name],$G463,AvgBase[job_title],$H463))*(R253+Q253)/2*(1-R358))</f>
        <v>0</v>
      </c>
      <c r="S463" s="652">
        <f>IF($B463="",,IF(LEFT($H463,5)="dummy",SUMIFS(AvgBase[Month 8],AvgBase[job_title],$H463),SUMIFS(AvgBase[Month 8],AvgBase[exp_item],$J463,AvgBase[company_name],$B463,AvgBase[bu_name],$C463,AvgBase[dept_name],$D463,AvgBase[team_consolidation],$K463,AvgBase[location_name],$G463,AvgBase[job_title],$H463))*(S253+R253)/2*(1-S358))</f>
        <v>0</v>
      </c>
      <c r="T463" s="652">
        <f>IF($B463="",,IF(LEFT($H463,5)="dummy",SUMIFS(AvgBase[Month 9],AvgBase[job_title],$H463),SUMIFS(AvgBase[Month 9],AvgBase[exp_item],$J463,AvgBase[company_name],$B463,AvgBase[bu_name],$C463,AvgBase[dept_name],$D463,AvgBase[team_consolidation],$K463,AvgBase[location_name],$G463,AvgBase[job_title],$H463))*(T253+S253)/2*(1-T358))</f>
        <v>0</v>
      </c>
      <c r="U463" s="652">
        <f>IF($B463="",,IF(LEFT($H463,5)="dummy",SUMIFS(AvgBase[Month 10],AvgBase[job_title],$H463),SUMIFS(AvgBase[Month 10],AvgBase[exp_item],$J463,AvgBase[company_name],$B463,AvgBase[bu_name],$C463,AvgBase[dept_name],$D463,AvgBase[team_consolidation],$K463,AvgBase[location_name],$G463,AvgBase[job_title],$H463))*(U253+T253)/2*(1-U358))</f>
        <v>0</v>
      </c>
      <c r="V463" s="652">
        <f>IF($B463="",,IF(LEFT($H463,5)="dummy",SUMIFS(AvgBase[Month 11],AvgBase[job_title],$H463),SUMIFS(AvgBase[Month 11],AvgBase[exp_item],$J463,AvgBase[company_name],$B463,AvgBase[bu_name],$C463,AvgBase[dept_name],$D463,AvgBase[team_consolidation],$K463,AvgBase[location_name],$G463,AvgBase[job_title],$H463))*(V253+U253)/2*(1-V358))</f>
        <v>0</v>
      </c>
      <c r="W463" s="652">
        <f>IF($B463="",,IF(LEFT($H463,5)="dummy",SUMIFS(AvgBase[Month 12],AvgBase[job_title],$H463),SUMIFS(AvgBase[Month 12],AvgBase[exp_item],$J463,AvgBase[company_name],$B463,AvgBase[bu_name],$C463,AvgBase[dept_name],$D463,AvgBase[team_consolidation],$K463,AvgBase[location_name],$G463,AvgBase[job_title],$H463))*(W253+V253)/2*(1-W358))</f>
        <v>0</v>
      </c>
      <c r="X463" s="652">
        <f>IF($B463="",,IF(LEFT($H463,5)="dummy",SUMIFS(AvgBase[Month 13],AvgBase[job_title],$H463),SUMIFS(AvgBase[Month 13],AvgBase[exp_item],$J463,AvgBase[company_name],$B463,AvgBase[bu_name],$C463,AvgBase[dept_name],$D463,AvgBase[team_consolidation],$K463,AvgBase[location_name],$G463,AvgBase[job_title],$H463))*(X253+W253)/2*(1-X358))</f>
        <v>0</v>
      </c>
      <c r="Y463" s="652">
        <f>IF($B463="",,IF(LEFT($H463,5)="dummy",SUMIFS(AvgBase[Month 14],AvgBase[job_title],$H463),SUMIFS(AvgBase[Month 14],AvgBase[exp_item],$J463,AvgBase[company_name],$B463,AvgBase[bu_name],$C463,AvgBase[dept_name],$D463,AvgBase[team_consolidation],$K463,AvgBase[location_name],$G463,AvgBase[job_title],$H463))*(Y253+X253)/2*(1-Y358))</f>
        <v>0</v>
      </c>
      <c r="Z463" s="652">
        <f>IF($B463="",,IF(LEFT($H463,5)="dummy",SUMIFS(AvgBase[Month 15],AvgBase[job_title],$H463),SUMIFS(AvgBase[Month 15],AvgBase[exp_item],$J463,AvgBase[company_name],$B463,AvgBase[bu_name],$C463,AvgBase[dept_name],$D463,AvgBase[team_consolidation],$K463,AvgBase[location_name],$G463,AvgBase[job_title],$H463))*(Z253+Y253)/2*(1-Z358))</f>
        <v>0</v>
      </c>
      <c r="AA463" s="652">
        <f>IF($B463="",,IF(LEFT($H463,5)="dummy",SUMIFS(AvgBase[Month 16],AvgBase[job_title],$H463),SUMIFS(AvgBase[Month 16],AvgBase[exp_item],$J463,AvgBase[company_name],$B463,AvgBase[bu_name],$C463,AvgBase[dept_name],$D463,AvgBase[team_consolidation],$K463,AvgBase[location_name],$G463,AvgBase[job_title],$H463))*(AA253+Z253)/2*(1-AA358))</f>
        <v>0</v>
      </c>
      <c r="AB463" s="652">
        <f>IF($B463="",,IF(LEFT($H463,5)="dummy",SUMIFS(AvgBase[Month 17],AvgBase[job_title],$H463),SUMIFS(AvgBase[Month 17],AvgBase[exp_item],$J463,AvgBase[company_name],$B463,AvgBase[bu_name],$C463,AvgBase[dept_name],$D463,AvgBase[team_consolidation],$K463,AvgBase[location_name],$G463,AvgBase[job_title],$H463))*(AB253+AA253)/2*(1-AB358))</f>
        <v>0</v>
      </c>
      <c r="AC463" s="652">
        <f>IF($B463="",,IF(LEFT($H463,5)="dummy",SUMIFS(AvgBase[Month 18],AvgBase[job_title],$H463),SUMIFS(AvgBase[Month 18],AvgBase[exp_item],$J463,AvgBase[company_name],$B463,AvgBase[bu_name],$C463,AvgBase[dept_name],$D463,AvgBase[team_consolidation],$K463,AvgBase[location_name],$G463,AvgBase[job_title],$H463))*(AC253+AB253)/2*(1-AC358))</f>
        <v>0</v>
      </c>
      <c r="AD463" s="652">
        <f>IF($B463="",,IF(LEFT($H463,5)="dummy",SUMIFS(AvgBase[Month 19],AvgBase[job_title],$H463),SUMIFS(AvgBase[Month 19],AvgBase[exp_item],$J463,AvgBase[company_name],$B463,AvgBase[bu_name],$C463,AvgBase[dept_name],$D463,AvgBase[team_consolidation],$K463,AvgBase[location_name],$G463,AvgBase[job_title],$H463))*(AD253+AC253)/2*(1-AD358))</f>
        <v>0</v>
      </c>
      <c r="AE463" s="652">
        <f>IF($B463="",,IF(LEFT($H463,5)="dummy",SUMIFS(AvgBase[Month 20],AvgBase[job_title],$H463),SUMIFS(AvgBase[Month 20],AvgBase[exp_item],$J463,AvgBase[company_name],$B463,AvgBase[bu_name],$C463,AvgBase[dept_name],$D463,AvgBase[team_consolidation],$K463,AvgBase[location_name],$G463,AvgBase[job_title],$H463))*(AE253+AD253)/2*(1-AE358))</f>
        <v>0</v>
      </c>
      <c r="AF463" s="652">
        <f>IF($B463="",,IF(LEFT($H463,5)="dummy",SUMIFS(AvgBase[Month 21],AvgBase[job_title],$H463),SUMIFS(AvgBase[Month 21],AvgBase[exp_item],$J463,AvgBase[company_name],$B463,AvgBase[bu_name],$C463,AvgBase[dept_name],$D463,AvgBase[team_consolidation],$K463,AvgBase[location_name],$G463,AvgBase[job_title],$H463))*(AF253+AE253)/2*(1-AF358))</f>
        <v>0</v>
      </c>
      <c r="AG463" s="652">
        <f>IF($B463="",,IF(LEFT($H463,5)="dummy",SUMIFS(AvgBase[Month 22],AvgBase[job_title],$H463),SUMIFS(AvgBase[Month 22],AvgBase[exp_item],$J463,AvgBase[company_name],$B463,AvgBase[bu_name],$C463,AvgBase[dept_name],$D463,AvgBase[team_consolidation],$K463,AvgBase[location_name],$G463,AvgBase[job_title],$H463))*(AG253+AF253)/2*(1-AG358))</f>
        <v>0</v>
      </c>
      <c r="AH463" s="652">
        <f>IF($B463="",,IF(LEFT($H463,5)="dummy",SUMIFS(AvgBase[Month 23],AvgBase[job_title],$H463),SUMIFS(AvgBase[Month 23],AvgBase[exp_item],$J463,AvgBase[company_name],$B463,AvgBase[bu_name],$C463,AvgBase[dept_name],$D463,AvgBase[team_consolidation],$K463,AvgBase[location_name],$G463,AvgBase[job_title],$H463))*(AH253+AG253)/2*(1-AH358))</f>
        <v>0</v>
      </c>
      <c r="AI463" s="652">
        <f>IF($B463="",,IF(LEFT($H463,5)="dummy",SUMIFS(AvgBase[Month 24],AvgBase[job_title],$H463),SUMIFS(AvgBase[Month 24],AvgBase[exp_item],$J463,AvgBase[company_name],$B463,AvgBase[bu_name],$C463,AvgBase[dept_name],$D463,AvgBase[team_consolidation],$K463,AvgBase[location_name],$G463,AvgBase[job_title],$H463))*(AI253+AH253)/2*(1-AI358))</f>
        <v>0</v>
      </c>
      <c r="AJ463" s="652">
        <f>IF($B463="",,IF(LEFT($H463,5)="dummy",SUMIFS(AvgBase[Month 25],AvgBase[job_title],$H463),SUMIFS(AvgBase[Month 25],AvgBase[exp_item],$J463,AvgBase[company_name],$B463,AvgBase[bu_name],$C463,AvgBase[dept_name],$D463,AvgBase[team_consolidation],$K463,AvgBase[location_name],$G463,AvgBase[job_title],$H463))*(AJ253+AI253)/2*(1-AJ358))</f>
        <v>0</v>
      </c>
      <c r="AK463" s="652">
        <f>IF($B463="",,IF(LEFT($H463,5)="dummy",SUMIFS(AvgBase[Month 26],AvgBase[job_title],$H463),SUMIFS(AvgBase[Month 26],AvgBase[exp_item],$J463,AvgBase[company_name],$B463,AvgBase[bu_name],$C463,AvgBase[dept_name],$D463,AvgBase[team_consolidation],$K463,AvgBase[location_name],$G463,AvgBase[job_title],$H463))*(AK253+AJ253)/2*(1-AK358))</f>
        <v>0</v>
      </c>
      <c r="AL463" s="652">
        <f>IF($B463="",,IF(LEFT($H463,5)="dummy",SUMIFS(AvgBase[Month 27],AvgBase[job_title],$H463),SUMIFS(AvgBase[Month 27],AvgBase[exp_item],$J463,AvgBase[company_name],$B463,AvgBase[bu_name],$C463,AvgBase[dept_name],$D463,AvgBase[team_consolidation],$K463,AvgBase[location_name],$G463,AvgBase[job_title],$H463))*(AL253+AK253)/2*(1-AL358))</f>
        <v>0</v>
      </c>
      <c r="AM463" s="652">
        <f>IF($B463="",,IF(LEFT($H463,5)="dummy",SUMIFS(AvgBase[Month 28],AvgBase[job_title],$H463),SUMIFS(AvgBase[Month 28],AvgBase[exp_item],$J463,AvgBase[company_name],$B463,AvgBase[bu_name],$C463,AvgBase[dept_name],$D463,AvgBase[team_consolidation],$K463,AvgBase[location_name],$G463,AvgBase[job_title],$H463))*(AM253+AL253)/2*(1-AM358))</f>
        <v>0</v>
      </c>
      <c r="AN463" s="652">
        <f>IF($B463="",,IF(LEFT($H463,5)="dummy",SUMIFS(AvgBase[Month 29],AvgBase[job_title],$H463),SUMIFS(AvgBase[Month 29],AvgBase[exp_item],$J463,AvgBase[company_name],$B463,AvgBase[bu_name],$C463,AvgBase[dept_name],$D463,AvgBase[team_consolidation],$K463,AvgBase[location_name],$G463,AvgBase[job_title],$H463))*(AN253+AM253)/2*(1-AN358))</f>
        <v>0</v>
      </c>
      <c r="AO463" s="652">
        <f>IF($B463="",,IF(LEFT($H463,5)="dummy",SUMIFS(AvgBase[Month 30],AvgBase[job_title],$H463),SUMIFS(AvgBase[Month 30],AvgBase[exp_item],$J463,AvgBase[company_name],$B463,AvgBase[bu_name],$C463,AvgBase[dept_name],$D463,AvgBase[team_consolidation],$K463,AvgBase[location_name],$G463,AvgBase[job_title],$H463))*(AO253+AN253)/2*(1-AO358))</f>
        <v>0</v>
      </c>
      <c r="AP463" s="652">
        <f>IF($B463="",,IF(LEFT($H463,5)="dummy",SUMIFS(AvgBase[Month 31],AvgBase[job_title],$H463),SUMIFS(AvgBase[Month 31],AvgBase[exp_item],$J463,AvgBase[company_name],$B463,AvgBase[bu_name],$C463,AvgBase[dept_name],$D463,AvgBase[team_consolidation],$K463,AvgBase[location_name],$G463,AvgBase[job_title],$H463))*(AP253+AO253)/2*(1-AP358))</f>
        <v>0</v>
      </c>
      <c r="AQ463" s="652">
        <f>IF($B463="",,IF(LEFT($H463,5)="dummy",SUMIFS(AvgBase[Month 32],AvgBase[job_title],$H463),SUMIFS(AvgBase[Month 32],AvgBase[exp_item],$J463,AvgBase[company_name],$B463,AvgBase[bu_name],$C463,AvgBase[dept_name],$D463,AvgBase[team_consolidation],$K463,AvgBase[location_name],$G463,AvgBase[job_title],$H463))*(AQ253+AP253)/2*(1-AQ358))</f>
        <v>0</v>
      </c>
      <c r="AR463" s="652">
        <f>IF($B463="",,IF(LEFT($H463,5)="dummy",SUMIFS(AvgBase[Month 33],AvgBase[job_title],$H463),SUMIFS(AvgBase[Month 33],AvgBase[exp_item],$J463,AvgBase[company_name],$B463,AvgBase[bu_name],$C463,AvgBase[dept_name],$D463,AvgBase[team_consolidation],$K463,AvgBase[location_name],$G463,AvgBase[job_title],$H463))*(AR253+AQ253)/2*(1-AR358))</f>
        <v>0</v>
      </c>
      <c r="AS463" s="652">
        <f>IF($B463="",,IF(LEFT($H463,5)="dummy",SUMIFS(AvgBase[Month 34],AvgBase[job_title],$H463),SUMIFS(AvgBase[Month 34],AvgBase[exp_item],$J463,AvgBase[company_name],$B463,AvgBase[bu_name],$C463,AvgBase[dept_name],$D463,AvgBase[team_consolidation],$K463,AvgBase[location_name],$G463,AvgBase[job_title],$H463))*(AS253+AR253)/2*(1-AS358))</f>
        <v>0</v>
      </c>
      <c r="AT463" s="652">
        <f>IF($B463="",,IF(LEFT($H463,5)="dummy",SUMIFS(AvgBase[Month 35],AvgBase[job_title],$H463),SUMIFS(AvgBase[Month 35],AvgBase[exp_item],$J463,AvgBase[company_name],$B463,AvgBase[bu_name],$C463,AvgBase[dept_name],$D463,AvgBase[team_consolidation],$K463,AvgBase[location_name],$G463,AvgBase[job_title],$H463))*(AT253+AS253)/2*(1-AT358))</f>
        <v>0</v>
      </c>
      <c r="AU463" s="652">
        <f>IF($B463="",,IF(LEFT($H463,5)="dummy",SUMIFS(AvgBase[Month 36],AvgBase[job_title],$H463),SUMIFS(AvgBase[Month 36],AvgBase[exp_item],$J463,AvgBase[company_name],$B463,AvgBase[bu_name],$C463,AvgBase[dept_name],$D463,AvgBase[team_consolidation],$K463,AvgBase[location_name],$G463,AvgBase[job_title],$H463))*(AU253+AT253)/2*(1-AU358))</f>
        <v>0</v>
      </c>
    </row>
    <row r="464" spans="2:47" x14ac:dyDescent="0.35">
      <c r="B464" t="str">
        <f t="shared" si="282"/>
        <v/>
      </c>
      <c r="C464" t="str">
        <f t="shared" si="282"/>
        <v/>
      </c>
      <c r="D464" t="str">
        <f t="shared" si="282"/>
        <v/>
      </c>
      <c r="E464" t="str">
        <f t="shared" si="282"/>
        <v/>
      </c>
      <c r="F464" t="str">
        <f t="shared" si="282"/>
        <v/>
      </c>
      <c r="G464" t="str">
        <f t="shared" si="282"/>
        <v/>
      </c>
      <c r="H464" t="str">
        <f t="shared" si="283"/>
        <v/>
      </c>
      <c r="J464" t="str">
        <f>IF($H464="","",IF(VLOOKUP($B$395,ExpItems[],2,0),$B$395&amp;" - "&amp;INDEX(DivisionMapping[category_code],MATCH($D464&amp;$C464,DivisionMapping[dept_bu],0)),$B$395))</f>
        <v/>
      </c>
      <c r="K464" t="str">
        <f t="shared" si="284"/>
        <v/>
      </c>
      <c r="L464" s="652">
        <f>IF($B464="",,IF(LEFT($H464,5)="dummy",SUMIFS(AvgBase[Month 1],AvgBase[job_title],$H464),SUMIFS(AvgBase[Month 1],AvgBase[exp_item],$J464,AvgBase[company_name],$B464,AvgBase[bu_name],$C464,AvgBase[dept_name],$D464,AvgBase[team_consolidation],$K464,AvgBase[location_name],$G464,AvgBase[job_title],$H464))*L254/2*(1-L359))</f>
        <v>0</v>
      </c>
      <c r="M464" s="652">
        <f>IF($B464="",,IF(LEFT($H464,5)="dummy",SUMIFS(AvgBase[Month 2],AvgBase[job_title],$H464),SUMIFS(AvgBase[Month 2],AvgBase[exp_item],$J464,AvgBase[company_name],$B464,AvgBase[bu_name],$C464,AvgBase[dept_name],$D464,AvgBase[team_consolidation],$K464,AvgBase[location_name],$G464,AvgBase[job_title],$H464))*(M254+L254)/2*(1-M359))</f>
        <v>0</v>
      </c>
      <c r="N464" s="652">
        <f>IF($B464="",,IF(LEFT($H464,5)="dummy",SUMIFS(AvgBase[Month 3],AvgBase[job_title],$H464),SUMIFS(AvgBase[Month 3],AvgBase[exp_item],$J464,AvgBase[company_name],$B464,AvgBase[bu_name],$C464,AvgBase[dept_name],$D464,AvgBase[team_consolidation],$K464,AvgBase[location_name],$G464,AvgBase[job_title],$H464))*(N254+M254)/2*(1-N359))</f>
        <v>0</v>
      </c>
      <c r="O464" s="652">
        <f>IF($B464="",,IF(LEFT($H464,5)="dummy",SUMIFS(AvgBase[Month 4],AvgBase[job_title],$H464),SUMIFS(AvgBase[Month 4],AvgBase[exp_item],$J464,AvgBase[company_name],$B464,AvgBase[bu_name],$C464,AvgBase[dept_name],$D464,AvgBase[team_consolidation],$K464,AvgBase[location_name],$G464,AvgBase[job_title],$H464))*(O254+N254)/2*(1-O359))</f>
        <v>0</v>
      </c>
      <c r="P464" s="652">
        <f>IF($B464="",,IF(LEFT($H464,5)="dummy",SUMIFS(AvgBase[Month 5],AvgBase[job_title],$H464),SUMIFS(AvgBase[Month 5],AvgBase[exp_item],$J464,AvgBase[company_name],$B464,AvgBase[bu_name],$C464,AvgBase[dept_name],$D464,AvgBase[team_consolidation],$K464,AvgBase[location_name],$G464,AvgBase[job_title],$H464))*(P254+O254)/2*(1-P359))</f>
        <v>0</v>
      </c>
      <c r="Q464" s="652">
        <f>IF($B464="",,IF(LEFT($H464,5)="dummy",SUMIFS(AvgBase[Month 6],AvgBase[job_title],$H464),SUMIFS(AvgBase[Month 6],AvgBase[exp_item],$J464,AvgBase[company_name],$B464,AvgBase[bu_name],$C464,AvgBase[dept_name],$D464,AvgBase[team_consolidation],$K464,AvgBase[location_name],$G464,AvgBase[job_title],$H464))*(Q254+P254)/2*(1-Q359))</f>
        <v>0</v>
      </c>
      <c r="R464" s="652">
        <f>IF($B464="",,IF(LEFT($H464,5)="dummy",SUMIFS(AvgBase[Month 7],AvgBase[job_title],$H464),SUMIFS(AvgBase[Month 7],AvgBase[exp_item],$J464,AvgBase[company_name],$B464,AvgBase[bu_name],$C464,AvgBase[dept_name],$D464,AvgBase[team_consolidation],$K464,AvgBase[location_name],$G464,AvgBase[job_title],$H464))*(R254+Q254)/2*(1-R359))</f>
        <v>0</v>
      </c>
      <c r="S464" s="652">
        <f>IF($B464="",,IF(LEFT($H464,5)="dummy",SUMIFS(AvgBase[Month 8],AvgBase[job_title],$H464),SUMIFS(AvgBase[Month 8],AvgBase[exp_item],$J464,AvgBase[company_name],$B464,AvgBase[bu_name],$C464,AvgBase[dept_name],$D464,AvgBase[team_consolidation],$K464,AvgBase[location_name],$G464,AvgBase[job_title],$H464))*(S254+R254)/2*(1-S359))</f>
        <v>0</v>
      </c>
      <c r="T464" s="652">
        <f>IF($B464="",,IF(LEFT($H464,5)="dummy",SUMIFS(AvgBase[Month 9],AvgBase[job_title],$H464),SUMIFS(AvgBase[Month 9],AvgBase[exp_item],$J464,AvgBase[company_name],$B464,AvgBase[bu_name],$C464,AvgBase[dept_name],$D464,AvgBase[team_consolidation],$K464,AvgBase[location_name],$G464,AvgBase[job_title],$H464))*(T254+S254)/2*(1-T359))</f>
        <v>0</v>
      </c>
      <c r="U464" s="652">
        <f>IF($B464="",,IF(LEFT($H464,5)="dummy",SUMIFS(AvgBase[Month 10],AvgBase[job_title],$H464),SUMIFS(AvgBase[Month 10],AvgBase[exp_item],$J464,AvgBase[company_name],$B464,AvgBase[bu_name],$C464,AvgBase[dept_name],$D464,AvgBase[team_consolidation],$K464,AvgBase[location_name],$G464,AvgBase[job_title],$H464))*(U254+T254)/2*(1-U359))</f>
        <v>0</v>
      </c>
      <c r="V464" s="652">
        <f>IF($B464="",,IF(LEFT($H464,5)="dummy",SUMIFS(AvgBase[Month 11],AvgBase[job_title],$H464),SUMIFS(AvgBase[Month 11],AvgBase[exp_item],$J464,AvgBase[company_name],$B464,AvgBase[bu_name],$C464,AvgBase[dept_name],$D464,AvgBase[team_consolidation],$K464,AvgBase[location_name],$G464,AvgBase[job_title],$H464))*(V254+U254)/2*(1-V359))</f>
        <v>0</v>
      </c>
      <c r="W464" s="652">
        <f>IF($B464="",,IF(LEFT($H464,5)="dummy",SUMIFS(AvgBase[Month 12],AvgBase[job_title],$H464),SUMIFS(AvgBase[Month 12],AvgBase[exp_item],$J464,AvgBase[company_name],$B464,AvgBase[bu_name],$C464,AvgBase[dept_name],$D464,AvgBase[team_consolidation],$K464,AvgBase[location_name],$G464,AvgBase[job_title],$H464))*(W254+V254)/2*(1-W359))</f>
        <v>0</v>
      </c>
      <c r="X464" s="652">
        <f>IF($B464="",,IF(LEFT($H464,5)="dummy",SUMIFS(AvgBase[Month 13],AvgBase[job_title],$H464),SUMIFS(AvgBase[Month 13],AvgBase[exp_item],$J464,AvgBase[company_name],$B464,AvgBase[bu_name],$C464,AvgBase[dept_name],$D464,AvgBase[team_consolidation],$K464,AvgBase[location_name],$G464,AvgBase[job_title],$H464))*(X254+W254)/2*(1-X359))</f>
        <v>0</v>
      </c>
      <c r="Y464" s="652">
        <f>IF($B464="",,IF(LEFT($H464,5)="dummy",SUMIFS(AvgBase[Month 14],AvgBase[job_title],$H464),SUMIFS(AvgBase[Month 14],AvgBase[exp_item],$J464,AvgBase[company_name],$B464,AvgBase[bu_name],$C464,AvgBase[dept_name],$D464,AvgBase[team_consolidation],$K464,AvgBase[location_name],$G464,AvgBase[job_title],$H464))*(Y254+X254)/2*(1-Y359))</f>
        <v>0</v>
      </c>
      <c r="Z464" s="652">
        <f>IF($B464="",,IF(LEFT($H464,5)="dummy",SUMIFS(AvgBase[Month 15],AvgBase[job_title],$H464),SUMIFS(AvgBase[Month 15],AvgBase[exp_item],$J464,AvgBase[company_name],$B464,AvgBase[bu_name],$C464,AvgBase[dept_name],$D464,AvgBase[team_consolidation],$K464,AvgBase[location_name],$G464,AvgBase[job_title],$H464))*(Z254+Y254)/2*(1-Z359))</f>
        <v>0</v>
      </c>
      <c r="AA464" s="652">
        <f>IF($B464="",,IF(LEFT($H464,5)="dummy",SUMIFS(AvgBase[Month 16],AvgBase[job_title],$H464),SUMIFS(AvgBase[Month 16],AvgBase[exp_item],$J464,AvgBase[company_name],$B464,AvgBase[bu_name],$C464,AvgBase[dept_name],$D464,AvgBase[team_consolidation],$K464,AvgBase[location_name],$G464,AvgBase[job_title],$H464))*(AA254+Z254)/2*(1-AA359))</f>
        <v>0</v>
      </c>
      <c r="AB464" s="652">
        <f>IF($B464="",,IF(LEFT($H464,5)="dummy",SUMIFS(AvgBase[Month 17],AvgBase[job_title],$H464),SUMIFS(AvgBase[Month 17],AvgBase[exp_item],$J464,AvgBase[company_name],$B464,AvgBase[bu_name],$C464,AvgBase[dept_name],$D464,AvgBase[team_consolidation],$K464,AvgBase[location_name],$G464,AvgBase[job_title],$H464))*(AB254+AA254)/2*(1-AB359))</f>
        <v>0</v>
      </c>
      <c r="AC464" s="652">
        <f>IF($B464="",,IF(LEFT($H464,5)="dummy",SUMIFS(AvgBase[Month 18],AvgBase[job_title],$H464),SUMIFS(AvgBase[Month 18],AvgBase[exp_item],$J464,AvgBase[company_name],$B464,AvgBase[bu_name],$C464,AvgBase[dept_name],$D464,AvgBase[team_consolidation],$K464,AvgBase[location_name],$G464,AvgBase[job_title],$H464))*(AC254+AB254)/2*(1-AC359))</f>
        <v>0</v>
      </c>
      <c r="AD464" s="652">
        <f>IF($B464="",,IF(LEFT($H464,5)="dummy",SUMIFS(AvgBase[Month 19],AvgBase[job_title],$H464),SUMIFS(AvgBase[Month 19],AvgBase[exp_item],$J464,AvgBase[company_name],$B464,AvgBase[bu_name],$C464,AvgBase[dept_name],$D464,AvgBase[team_consolidation],$K464,AvgBase[location_name],$G464,AvgBase[job_title],$H464))*(AD254+AC254)/2*(1-AD359))</f>
        <v>0</v>
      </c>
      <c r="AE464" s="652">
        <f>IF($B464="",,IF(LEFT($H464,5)="dummy",SUMIFS(AvgBase[Month 20],AvgBase[job_title],$H464),SUMIFS(AvgBase[Month 20],AvgBase[exp_item],$J464,AvgBase[company_name],$B464,AvgBase[bu_name],$C464,AvgBase[dept_name],$D464,AvgBase[team_consolidation],$K464,AvgBase[location_name],$G464,AvgBase[job_title],$H464))*(AE254+AD254)/2*(1-AE359))</f>
        <v>0</v>
      </c>
      <c r="AF464" s="652">
        <f>IF($B464="",,IF(LEFT($H464,5)="dummy",SUMIFS(AvgBase[Month 21],AvgBase[job_title],$H464),SUMIFS(AvgBase[Month 21],AvgBase[exp_item],$J464,AvgBase[company_name],$B464,AvgBase[bu_name],$C464,AvgBase[dept_name],$D464,AvgBase[team_consolidation],$K464,AvgBase[location_name],$G464,AvgBase[job_title],$H464))*(AF254+AE254)/2*(1-AF359))</f>
        <v>0</v>
      </c>
      <c r="AG464" s="652">
        <f>IF($B464="",,IF(LEFT($H464,5)="dummy",SUMIFS(AvgBase[Month 22],AvgBase[job_title],$H464),SUMIFS(AvgBase[Month 22],AvgBase[exp_item],$J464,AvgBase[company_name],$B464,AvgBase[bu_name],$C464,AvgBase[dept_name],$D464,AvgBase[team_consolidation],$K464,AvgBase[location_name],$G464,AvgBase[job_title],$H464))*(AG254+AF254)/2*(1-AG359))</f>
        <v>0</v>
      </c>
      <c r="AH464" s="652">
        <f>IF($B464="",,IF(LEFT($H464,5)="dummy",SUMIFS(AvgBase[Month 23],AvgBase[job_title],$H464),SUMIFS(AvgBase[Month 23],AvgBase[exp_item],$J464,AvgBase[company_name],$B464,AvgBase[bu_name],$C464,AvgBase[dept_name],$D464,AvgBase[team_consolidation],$K464,AvgBase[location_name],$G464,AvgBase[job_title],$H464))*(AH254+AG254)/2*(1-AH359))</f>
        <v>0</v>
      </c>
      <c r="AI464" s="652">
        <f>IF($B464="",,IF(LEFT($H464,5)="dummy",SUMIFS(AvgBase[Month 24],AvgBase[job_title],$H464),SUMIFS(AvgBase[Month 24],AvgBase[exp_item],$J464,AvgBase[company_name],$B464,AvgBase[bu_name],$C464,AvgBase[dept_name],$D464,AvgBase[team_consolidation],$K464,AvgBase[location_name],$G464,AvgBase[job_title],$H464))*(AI254+AH254)/2*(1-AI359))</f>
        <v>0</v>
      </c>
      <c r="AJ464" s="652">
        <f>IF($B464="",,IF(LEFT($H464,5)="dummy",SUMIFS(AvgBase[Month 25],AvgBase[job_title],$H464),SUMIFS(AvgBase[Month 25],AvgBase[exp_item],$J464,AvgBase[company_name],$B464,AvgBase[bu_name],$C464,AvgBase[dept_name],$D464,AvgBase[team_consolidation],$K464,AvgBase[location_name],$G464,AvgBase[job_title],$H464))*(AJ254+AI254)/2*(1-AJ359))</f>
        <v>0</v>
      </c>
      <c r="AK464" s="652">
        <f>IF($B464="",,IF(LEFT($H464,5)="dummy",SUMIFS(AvgBase[Month 26],AvgBase[job_title],$H464),SUMIFS(AvgBase[Month 26],AvgBase[exp_item],$J464,AvgBase[company_name],$B464,AvgBase[bu_name],$C464,AvgBase[dept_name],$D464,AvgBase[team_consolidation],$K464,AvgBase[location_name],$G464,AvgBase[job_title],$H464))*(AK254+AJ254)/2*(1-AK359))</f>
        <v>0</v>
      </c>
      <c r="AL464" s="652">
        <f>IF($B464="",,IF(LEFT($H464,5)="dummy",SUMIFS(AvgBase[Month 27],AvgBase[job_title],$H464),SUMIFS(AvgBase[Month 27],AvgBase[exp_item],$J464,AvgBase[company_name],$B464,AvgBase[bu_name],$C464,AvgBase[dept_name],$D464,AvgBase[team_consolidation],$K464,AvgBase[location_name],$G464,AvgBase[job_title],$H464))*(AL254+AK254)/2*(1-AL359))</f>
        <v>0</v>
      </c>
      <c r="AM464" s="652">
        <f>IF($B464="",,IF(LEFT($H464,5)="dummy",SUMIFS(AvgBase[Month 28],AvgBase[job_title],$H464),SUMIFS(AvgBase[Month 28],AvgBase[exp_item],$J464,AvgBase[company_name],$B464,AvgBase[bu_name],$C464,AvgBase[dept_name],$D464,AvgBase[team_consolidation],$K464,AvgBase[location_name],$G464,AvgBase[job_title],$H464))*(AM254+AL254)/2*(1-AM359))</f>
        <v>0</v>
      </c>
      <c r="AN464" s="652">
        <f>IF($B464="",,IF(LEFT($H464,5)="dummy",SUMIFS(AvgBase[Month 29],AvgBase[job_title],$H464),SUMIFS(AvgBase[Month 29],AvgBase[exp_item],$J464,AvgBase[company_name],$B464,AvgBase[bu_name],$C464,AvgBase[dept_name],$D464,AvgBase[team_consolidation],$K464,AvgBase[location_name],$G464,AvgBase[job_title],$H464))*(AN254+AM254)/2*(1-AN359))</f>
        <v>0</v>
      </c>
      <c r="AO464" s="652">
        <f>IF($B464="",,IF(LEFT($H464,5)="dummy",SUMIFS(AvgBase[Month 30],AvgBase[job_title],$H464),SUMIFS(AvgBase[Month 30],AvgBase[exp_item],$J464,AvgBase[company_name],$B464,AvgBase[bu_name],$C464,AvgBase[dept_name],$D464,AvgBase[team_consolidation],$K464,AvgBase[location_name],$G464,AvgBase[job_title],$H464))*(AO254+AN254)/2*(1-AO359))</f>
        <v>0</v>
      </c>
      <c r="AP464" s="652">
        <f>IF($B464="",,IF(LEFT($H464,5)="dummy",SUMIFS(AvgBase[Month 31],AvgBase[job_title],$H464),SUMIFS(AvgBase[Month 31],AvgBase[exp_item],$J464,AvgBase[company_name],$B464,AvgBase[bu_name],$C464,AvgBase[dept_name],$D464,AvgBase[team_consolidation],$K464,AvgBase[location_name],$G464,AvgBase[job_title],$H464))*(AP254+AO254)/2*(1-AP359))</f>
        <v>0</v>
      </c>
      <c r="AQ464" s="652">
        <f>IF($B464="",,IF(LEFT($H464,5)="dummy",SUMIFS(AvgBase[Month 32],AvgBase[job_title],$H464),SUMIFS(AvgBase[Month 32],AvgBase[exp_item],$J464,AvgBase[company_name],$B464,AvgBase[bu_name],$C464,AvgBase[dept_name],$D464,AvgBase[team_consolidation],$K464,AvgBase[location_name],$G464,AvgBase[job_title],$H464))*(AQ254+AP254)/2*(1-AQ359))</f>
        <v>0</v>
      </c>
      <c r="AR464" s="652">
        <f>IF($B464="",,IF(LEFT($H464,5)="dummy",SUMIFS(AvgBase[Month 33],AvgBase[job_title],$H464),SUMIFS(AvgBase[Month 33],AvgBase[exp_item],$J464,AvgBase[company_name],$B464,AvgBase[bu_name],$C464,AvgBase[dept_name],$D464,AvgBase[team_consolidation],$K464,AvgBase[location_name],$G464,AvgBase[job_title],$H464))*(AR254+AQ254)/2*(1-AR359))</f>
        <v>0</v>
      </c>
      <c r="AS464" s="652">
        <f>IF($B464="",,IF(LEFT($H464,5)="dummy",SUMIFS(AvgBase[Month 34],AvgBase[job_title],$H464),SUMIFS(AvgBase[Month 34],AvgBase[exp_item],$J464,AvgBase[company_name],$B464,AvgBase[bu_name],$C464,AvgBase[dept_name],$D464,AvgBase[team_consolidation],$K464,AvgBase[location_name],$G464,AvgBase[job_title],$H464))*(AS254+AR254)/2*(1-AS359))</f>
        <v>0</v>
      </c>
      <c r="AT464" s="652">
        <f>IF($B464="",,IF(LEFT($H464,5)="dummy",SUMIFS(AvgBase[Month 35],AvgBase[job_title],$H464),SUMIFS(AvgBase[Month 35],AvgBase[exp_item],$J464,AvgBase[company_name],$B464,AvgBase[bu_name],$C464,AvgBase[dept_name],$D464,AvgBase[team_consolidation],$K464,AvgBase[location_name],$G464,AvgBase[job_title],$H464))*(AT254+AS254)/2*(1-AT359))</f>
        <v>0</v>
      </c>
      <c r="AU464" s="652">
        <f>IF($B464="",,IF(LEFT($H464,5)="dummy",SUMIFS(AvgBase[Month 36],AvgBase[job_title],$H464),SUMIFS(AvgBase[Month 36],AvgBase[exp_item],$J464,AvgBase[company_name],$B464,AvgBase[bu_name],$C464,AvgBase[dept_name],$D464,AvgBase[team_consolidation],$K464,AvgBase[location_name],$G464,AvgBase[job_title],$H464))*(AU254+AT254)/2*(1-AU359))</f>
        <v>0</v>
      </c>
    </row>
    <row r="465" spans="2:47" x14ac:dyDescent="0.35">
      <c r="B465" t="str">
        <f t="shared" si="282"/>
        <v/>
      </c>
      <c r="C465" t="str">
        <f t="shared" si="282"/>
        <v/>
      </c>
      <c r="D465" t="str">
        <f t="shared" si="282"/>
        <v/>
      </c>
      <c r="E465" t="str">
        <f t="shared" si="282"/>
        <v/>
      </c>
      <c r="F465" t="str">
        <f t="shared" si="282"/>
        <v/>
      </c>
      <c r="G465" t="str">
        <f t="shared" si="282"/>
        <v/>
      </c>
      <c r="H465" t="str">
        <f t="shared" si="283"/>
        <v/>
      </c>
      <c r="J465" t="str">
        <f>IF($H465="","",IF(VLOOKUP($B$395,ExpItems[],2,0),$B$395&amp;" - "&amp;INDEX(DivisionMapping[category_code],MATCH($D465&amp;$C465,DivisionMapping[dept_bu],0)),$B$395))</f>
        <v/>
      </c>
      <c r="K465" t="str">
        <f t="shared" si="284"/>
        <v/>
      </c>
      <c r="L465" s="652">
        <f>IF($B465="",,IF(LEFT($H465,5)="dummy",SUMIFS(AvgBase[Month 1],AvgBase[job_title],$H465),SUMIFS(AvgBase[Month 1],AvgBase[exp_item],$J465,AvgBase[company_name],$B465,AvgBase[bu_name],$C465,AvgBase[dept_name],$D465,AvgBase[team_consolidation],$K465,AvgBase[location_name],$G465,AvgBase[job_title],$H465))*L255/2*(1-L360))</f>
        <v>0</v>
      </c>
      <c r="M465" s="652">
        <f>IF($B465="",,IF(LEFT($H465,5)="dummy",SUMIFS(AvgBase[Month 2],AvgBase[job_title],$H465),SUMIFS(AvgBase[Month 2],AvgBase[exp_item],$J465,AvgBase[company_name],$B465,AvgBase[bu_name],$C465,AvgBase[dept_name],$D465,AvgBase[team_consolidation],$K465,AvgBase[location_name],$G465,AvgBase[job_title],$H465))*(M255+L255)/2*(1-M360))</f>
        <v>0</v>
      </c>
      <c r="N465" s="652">
        <f>IF($B465="",,IF(LEFT($H465,5)="dummy",SUMIFS(AvgBase[Month 3],AvgBase[job_title],$H465),SUMIFS(AvgBase[Month 3],AvgBase[exp_item],$J465,AvgBase[company_name],$B465,AvgBase[bu_name],$C465,AvgBase[dept_name],$D465,AvgBase[team_consolidation],$K465,AvgBase[location_name],$G465,AvgBase[job_title],$H465))*(N255+M255)/2*(1-N360))</f>
        <v>0</v>
      </c>
      <c r="O465" s="652">
        <f>IF($B465="",,IF(LEFT($H465,5)="dummy",SUMIFS(AvgBase[Month 4],AvgBase[job_title],$H465),SUMIFS(AvgBase[Month 4],AvgBase[exp_item],$J465,AvgBase[company_name],$B465,AvgBase[bu_name],$C465,AvgBase[dept_name],$D465,AvgBase[team_consolidation],$K465,AvgBase[location_name],$G465,AvgBase[job_title],$H465))*(O255+N255)/2*(1-O360))</f>
        <v>0</v>
      </c>
      <c r="P465" s="652">
        <f>IF($B465="",,IF(LEFT($H465,5)="dummy",SUMIFS(AvgBase[Month 5],AvgBase[job_title],$H465),SUMIFS(AvgBase[Month 5],AvgBase[exp_item],$J465,AvgBase[company_name],$B465,AvgBase[bu_name],$C465,AvgBase[dept_name],$D465,AvgBase[team_consolidation],$K465,AvgBase[location_name],$G465,AvgBase[job_title],$H465))*(P255+O255)/2*(1-P360))</f>
        <v>0</v>
      </c>
      <c r="Q465" s="652">
        <f>IF($B465="",,IF(LEFT($H465,5)="dummy",SUMIFS(AvgBase[Month 6],AvgBase[job_title],$H465),SUMIFS(AvgBase[Month 6],AvgBase[exp_item],$J465,AvgBase[company_name],$B465,AvgBase[bu_name],$C465,AvgBase[dept_name],$D465,AvgBase[team_consolidation],$K465,AvgBase[location_name],$G465,AvgBase[job_title],$H465))*(Q255+P255)/2*(1-Q360))</f>
        <v>0</v>
      </c>
      <c r="R465" s="652">
        <f>IF($B465="",,IF(LEFT($H465,5)="dummy",SUMIFS(AvgBase[Month 7],AvgBase[job_title],$H465),SUMIFS(AvgBase[Month 7],AvgBase[exp_item],$J465,AvgBase[company_name],$B465,AvgBase[bu_name],$C465,AvgBase[dept_name],$D465,AvgBase[team_consolidation],$K465,AvgBase[location_name],$G465,AvgBase[job_title],$H465))*(R255+Q255)/2*(1-R360))</f>
        <v>0</v>
      </c>
      <c r="S465" s="652">
        <f>IF($B465="",,IF(LEFT($H465,5)="dummy",SUMIFS(AvgBase[Month 8],AvgBase[job_title],$H465),SUMIFS(AvgBase[Month 8],AvgBase[exp_item],$J465,AvgBase[company_name],$B465,AvgBase[bu_name],$C465,AvgBase[dept_name],$D465,AvgBase[team_consolidation],$K465,AvgBase[location_name],$G465,AvgBase[job_title],$H465))*(S255+R255)/2*(1-S360))</f>
        <v>0</v>
      </c>
      <c r="T465" s="652">
        <f>IF($B465="",,IF(LEFT($H465,5)="dummy",SUMIFS(AvgBase[Month 9],AvgBase[job_title],$H465),SUMIFS(AvgBase[Month 9],AvgBase[exp_item],$J465,AvgBase[company_name],$B465,AvgBase[bu_name],$C465,AvgBase[dept_name],$D465,AvgBase[team_consolidation],$K465,AvgBase[location_name],$G465,AvgBase[job_title],$H465))*(T255+S255)/2*(1-T360))</f>
        <v>0</v>
      </c>
      <c r="U465" s="652">
        <f>IF($B465="",,IF(LEFT($H465,5)="dummy",SUMIFS(AvgBase[Month 10],AvgBase[job_title],$H465),SUMIFS(AvgBase[Month 10],AvgBase[exp_item],$J465,AvgBase[company_name],$B465,AvgBase[bu_name],$C465,AvgBase[dept_name],$D465,AvgBase[team_consolidation],$K465,AvgBase[location_name],$G465,AvgBase[job_title],$H465))*(U255+T255)/2*(1-U360))</f>
        <v>0</v>
      </c>
      <c r="V465" s="652">
        <f>IF($B465="",,IF(LEFT($H465,5)="dummy",SUMIFS(AvgBase[Month 11],AvgBase[job_title],$H465),SUMIFS(AvgBase[Month 11],AvgBase[exp_item],$J465,AvgBase[company_name],$B465,AvgBase[bu_name],$C465,AvgBase[dept_name],$D465,AvgBase[team_consolidation],$K465,AvgBase[location_name],$G465,AvgBase[job_title],$H465))*(V255+U255)/2*(1-V360))</f>
        <v>0</v>
      </c>
      <c r="W465" s="652">
        <f>IF($B465="",,IF(LEFT($H465,5)="dummy",SUMIFS(AvgBase[Month 12],AvgBase[job_title],$H465),SUMIFS(AvgBase[Month 12],AvgBase[exp_item],$J465,AvgBase[company_name],$B465,AvgBase[bu_name],$C465,AvgBase[dept_name],$D465,AvgBase[team_consolidation],$K465,AvgBase[location_name],$G465,AvgBase[job_title],$H465))*(W255+V255)/2*(1-W360))</f>
        <v>0</v>
      </c>
      <c r="X465" s="652">
        <f>IF($B465="",,IF(LEFT($H465,5)="dummy",SUMIFS(AvgBase[Month 13],AvgBase[job_title],$H465),SUMIFS(AvgBase[Month 13],AvgBase[exp_item],$J465,AvgBase[company_name],$B465,AvgBase[bu_name],$C465,AvgBase[dept_name],$D465,AvgBase[team_consolidation],$K465,AvgBase[location_name],$G465,AvgBase[job_title],$H465))*(X255+W255)/2*(1-X360))</f>
        <v>0</v>
      </c>
      <c r="Y465" s="652">
        <f>IF($B465="",,IF(LEFT($H465,5)="dummy",SUMIFS(AvgBase[Month 14],AvgBase[job_title],$H465),SUMIFS(AvgBase[Month 14],AvgBase[exp_item],$J465,AvgBase[company_name],$B465,AvgBase[bu_name],$C465,AvgBase[dept_name],$D465,AvgBase[team_consolidation],$K465,AvgBase[location_name],$G465,AvgBase[job_title],$H465))*(Y255+X255)/2*(1-Y360))</f>
        <v>0</v>
      </c>
      <c r="Z465" s="652">
        <f>IF($B465="",,IF(LEFT($H465,5)="dummy",SUMIFS(AvgBase[Month 15],AvgBase[job_title],$H465),SUMIFS(AvgBase[Month 15],AvgBase[exp_item],$J465,AvgBase[company_name],$B465,AvgBase[bu_name],$C465,AvgBase[dept_name],$D465,AvgBase[team_consolidation],$K465,AvgBase[location_name],$G465,AvgBase[job_title],$H465))*(Z255+Y255)/2*(1-Z360))</f>
        <v>0</v>
      </c>
      <c r="AA465" s="652">
        <f>IF($B465="",,IF(LEFT($H465,5)="dummy",SUMIFS(AvgBase[Month 16],AvgBase[job_title],$H465),SUMIFS(AvgBase[Month 16],AvgBase[exp_item],$J465,AvgBase[company_name],$B465,AvgBase[bu_name],$C465,AvgBase[dept_name],$D465,AvgBase[team_consolidation],$K465,AvgBase[location_name],$G465,AvgBase[job_title],$H465))*(AA255+Z255)/2*(1-AA360))</f>
        <v>0</v>
      </c>
      <c r="AB465" s="652">
        <f>IF($B465="",,IF(LEFT($H465,5)="dummy",SUMIFS(AvgBase[Month 17],AvgBase[job_title],$H465),SUMIFS(AvgBase[Month 17],AvgBase[exp_item],$J465,AvgBase[company_name],$B465,AvgBase[bu_name],$C465,AvgBase[dept_name],$D465,AvgBase[team_consolidation],$K465,AvgBase[location_name],$G465,AvgBase[job_title],$H465))*(AB255+AA255)/2*(1-AB360))</f>
        <v>0</v>
      </c>
      <c r="AC465" s="652">
        <f>IF($B465="",,IF(LEFT($H465,5)="dummy",SUMIFS(AvgBase[Month 18],AvgBase[job_title],$H465),SUMIFS(AvgBase[Month 18],AvgBase[exp_item],$J465,AvgBase[company_name],$B465,AvgBase[bu_name],$C465,AvgBase[dept_name],$D465,AvgBase[team_consolidation],$K465,AvgBase[location_name],$G465,AvgBase[job_title],$H465))*(AC255+AB255)/2*(1-AC360))</f>
        <v>0</v>
      </c>
      <c r="AD465" s="652">
        <f>IF($B465="",,IF(LEFT($H465,5)="dummy",SUMIFS(AvgBase[Month 19],AvgBase[job_title],$H465),SUMIFS(AvgBase[Month 19],AvgBase[exp_item],$J465,AvgBase[company_name],$B465,AvgBase[bu_name],$C465,AvgBase[dept_name],$D465,AvgBase[team_consolidation],$K465,AvgBase[location_name],$G465,AvgBase[job_title],$H465))*(AD255+AC255)/2*(1-AD360))</f>
        <v>0</v>
      </c>
      <c r="AE465" s="652">
        <f>IF($B465="",,IF(LEFT($H465,5)="dummy",SUMIFS(AvgBase[Month 20],AvgBase[job_title],$H465),SUMIFS(AvgBase[Month 20],AvgBase[exp_item],$J465,AvgBase[company_name],$B465,AvgBase[bu_name],$C465,AvgBase[dept_name],$D465,AvgBase[team_consolidation],$K465,AvgBase[location_name],$G465,AvgBase[job_title],$H465))*(AE255+AD255)/2*(1-AE360))</f>
        <v>0</v>
      </c>
      <c r="AF465" s="652">
        <f>IF($B465="",,IF(LEFT($H465,5)="dummy",SUMIFS(AvgBase[Month 21],AvgBase[job_title],$H465),SUMIFS(AvgBase[Month 21],AvgBase[exp_item],$J465,AvgBase[company_name],$B465,AvgBase[bu_name],$C465,AvgBase[dept_name],$D465,AvgBase[team_consolidation],$K465,AvgBase[location_name],$G465,AvgBase[job_title],$H465))*(AF255+AE255)/2*(1-AF360))</f>
        <v>0</v>
      </c>
      <c r="AG465" s="652">
        <f>IF($B465="",,IF(LEFT($H465,5)="dummy",SUMIFS(AvgBase[Month 22],AvgBase[job_title],$H465),SUMIFS(AvgBase[Month 22],AvgBase[exp_item],$J465,AvgBase[company_name],$B465,AvgBase[bu_name],$C465,AvgBase[dept_name],$D465,AvgBase[team_consolidation],$K465,AvgBase[location_name],$G465,AvgBase[job_title],$H465))*(AG255+AF255)/2*(1-AG360))</f>
        <v>0</v>
      </c>
      <c r="AH465" s="652">
        <f>IF($B465="",,IF(LEFT($H465,5)="dummy",SUMIFS(AvgBase[Month 23],AvgBase[job_title],$H465),SUMIFS(AvgBase[Month 23],AvgBase[exp_item],$J465,AvgBase[company_name],$B465,AvgBase[bu_name],$C465,AvgBase[dept_name],$D465,AvgBase[team_consolidation],$K465,AvgBase[location_name],$G465,AvgBase[job_title],$H465))*(AH255+AG255)/2*(1-AH360))</f>
        <v>0</v>
      </c>
      <c r="AI465" s="652">
        <f>IF($B465="",,IF(LEFT($H465,5)="dummy",SUMIFS(AvgBase[Month 24],AvgBase[job_title],$H465),SUMIFS(AvgBase[Month 24],AvgBase[exp_item],$J465,AvgBase[company_name],$B465,AvgBase[bu_name],$C465,AvgBase[dept_name],$D465,AvgBase[team_consolidation],$K465,AvgBase[location_name],$G465,AvgBase[job_title],$H465))*(AI255+AH255)/2*(1-AI360))</f>
        <v>0</v>
      </c>
      <c r="AJ465" s="652">
        <f>IF($B465="",,IF(LEFT($H465,5)="dummy",SUMIFS(AvgBase[Month 25],AvgBase[job_title],$H465),SUMIFS(AvgBase[Month 25],AvgBase[exp_item],$J465,AvgBase[company_name],$B465,AvgBase[bu_name],$C465,AvgBase[dept_name],$D465,AvgBase[team_consolidation],$K465,AvgBase[location_name],$G465,AvgBase[job_title],$H465))*(AJ255+AI255)/2*(1-AJ360))</f>
        <v>0</v>
      </c>
      <c r="AK465" s="652">
        <f>IF($B465="",,IF(LEFT($H465,5)="dummy",SUMIFS(AvgBase[Month 26],AvgBase[job_title],$H465),SUMIFS(AvgBase[Month 26],AvgBase[exp_item],$J465,AvgBase[company_name],$B465,AvgBase[bu_name],$C465,AvgBase[dept_name],$D465,AvgBase[team_consolidation],$K465,AvgBase[location_name],$G465,AvgBase[job_title],$H465))*(AK255+AJ255)/2*(1-AK360))</f>
        <v>0</v>
      </c>
      <c r="AL465" s="652">
        <f>IF($B465="",,IF(LEFT($H465,5)="dummy",SUMIFS(AvgBase[Month 27],AvgBase[job_title],$H465),SUMIFS(AvgBase[Month 27],AvgBase[exp_item],$J465,AvgBase[company_name],$B465,AvgBase[bu_name],$C465,AvgBase[dept_name],$D465,AvgBase[team_consolidation],$K465,AvgBase[location_name],$G465,AvgBase[job_title],$H465))*(AL255+AK255)/2*(1-AL360))</f>
        <v>0</v>
      </c>
      <c r="AM465" s="652">
        <f>IF($B465="",,IF(LEFT($H465,5)="dummy",SUMIFS(AvgBase[Month 28],AvgBase[job_title],$H465),SUMIFS(AvgBase[Month 28],AvgBase[exp_item],$J465,AvgBase[company_name],$B465,AvgBase[bu_name],$C465,AvgBase[dept_name],$D465,AvgBase[team_consolidation],$K465,AvgBase[location_name],$G465,AvgBase[job_title],$H465))*(AM255+AL255)/2*(1-AM360))</f>
        <v>0</v>
      </c>
      <c r="AN465" s="652">
        <f>IF($B465="",,IF(LEFT($H465,5)="dummy",SUMIFS(AvgBase[Month 29],AvgBase[job_title],$H465),SUMIFS(AvgBase[Month 29],AvgBase[exp_item],$J465,AvgBase[company_name],$B465,AvgBase[bu_name],$C465,AvgBase[dept_name],$D465,AvgBase[team_consolidation],$K465,AvgBase[location_name],$G465,AvgBase[job_title],$H465))*(AN255+AM255)/2*(1-AN360))</f>
        <v>0</v>
      </c>
      <c r="AO465" s="652">
        <f>IF($B465="",,IF(LEFT($H465,5)="dummy",SUMIFS(AvgBase[Month 30],AvgBase[job_title],$H465),SUMIFS(AvgBase[Month 30],AvgBase[exp_item],$J465,AvgBase[company_name],$B465,AvgBase[bu_name],$C465,AvgBase[dept_name],$D465,AvgBase[team_consolidation],$K465,AvgBase[location_name],$G465,AvgBase[job_title],$H465))*(AO255+AN255)/2*(1-AO360))</f>
        <v>0</v>
      </c>
      <c r="AP465" s="652">
        <f>IF($B465="",,IF(LEFT($H465,5)="dummy",SUMIFS(AvgBase[Month 31],AvgBase[job_title],$H465),SUMIFS(AvgBase[Month 31],AvgBase[exp_item],$J465,AvgBase[company_name],$B465,AvgBase[bu_name],$C465,AvgBase[dept_name],$D465,AvgBase[team_consolidation],$K465,AvgBase[location_name],$G465,AvgBase[job_title],$H465))*(AP255+AO255)/2*(1-AP360))</f>
        <v>0</v>
      </c>
      <c r="AQ465" s="652">
        <f>IF($B465="",,IF(LEFT($H465,5)="dummy",SUMIFS(AvgBase[Month 32],AvgBase[job_title],$H465),SUMIFS(AvgBase[Month 32],AvgBase[exp_item],$J465,AvgBase[company_name],$B465,AvgBase[bu_name],$C465,AvgBase[dept_name],$D465,AvgBase[team_consolidation],$K465,AvgBase[location_name],$G465,AvgBase[job_title],$H465))*(AQ255+AP255)/2*(1-AQ360))</f>
        <v>0</v>
      </c>
      <c r="AR465" s="652">
        <f>IF($B465="",,IF(LEFT($H465,5)="dummy",SUMIFS(AvgBase[Month 33],AvgBase[job_title],$H465),SUMIFS(AvgBase[Month 33],AvgBase[exp_item],$J465,AvgBase[company_name],$B465,AvgBase[bu_name],$C465,AvgBase[dept_name],$D465,AvgBase[team_consolidation],$K465,AvgBase[location_name],$G465,AvgBase[job_title],$H465))*(AR255+AQ255)/2*(1-AR360))</f>
        <v>0</v>
      </c>
      <c r="AS465" s="652">
        <f>IF($B465="",,IF(LEFT($H465,5)="dummy",SUMIFS(AvgBase[Month 34],AvgBase[job_title],$H465),SUMIFS(AvgBase[Month 34],AvgBase[exp_item],$J465,AvgBase[company_name],$B465,AvgBase[bu_name],$C465,AvgBase[dept_name],$D465,AvgBase[team_consolidation],$K465,AvgBase[location_name],$G465,AvgBase[job_title],$H465))*(AS255+AR255)/2*(1-AS360))</f>
        <v>0</v>
      </c>
      <c r="AT465" s="652">
        <f>IF($B465="",,IF(LEFT($H465,5)="dummy",SUMIFS(AvgBase[Month 35],AvgBase[job_title],$H465),SUMIFS(AvgBase[Month 35],AvgBase[exp_item],$J465,AvgBase[company_name],$B465,AvgBase[bu_name],$C465,AvgBase[dept_name],$D465,AvgBase[team_consolidation],$K465,AvgBase[location_name],$G465,AvgBase[job_title],$H465))*(AT255+AS255)/2*(1-AT360))</f>
        <v>0</v>
      </c>
      <c r="AU465" s="652">
        <f>IF($B465="",,IF(LEFT($H465,5)="dummy",SUMIFS(AvgBase[Month 36],AvgBase[job_title],$H465),SUMIFS(AvgBase[Month 36],AvgBase[exp_item],$J465,AvgBase[company_name],$B465,AvgBase[bu_name],$C465,AvgBase[dept_name],$D465,AvgBase[team_consolidation],$K465,AvgBase[location_name],$G465,AvgBase[job_title],$H465))*(AU255+AT255)/2*(1-AU360))</f>
        <v>0</v>
      </c>
    </row>
    <row r="466" spans="2:47" x14ac:dyDescent="0.35">
      <c r="B466" t="str">
        <f t="shared" ref="B466:G475" si="285">IF(B361="","",B361)</f>
        <v/>
      </c>
      <c r="C466" t="str">
        <f t="shared" si="285"/>
        <v/>
      </c>
      <c r="D466" t="str">
        <f t="shared" si="285"/>
        <v/>
      </c>
      <c r="E466" t="str">
        <f t="shared" si="285"/>
        <v/>
      </c>
      <c r="F466" t="str">
        <f t="shared" si="285"/>
        <v/>
      </c>
      <c r="G466" t="str">
        <f t="shared" si="285"/>
        <v/>
      </c>
      <c r="H466" t="str">
        <f t="shared" si="283"/>
        <v/>
      </c>
      <c r="J466" t="str">
        <f>IF($H466="","",IF(VLOOKUP($B$395,ExpItems[],2,0),$B$395&amp;" - "&amp;INDEX(DivisionMapping[category_code],MATCH($D466&amp;$C466,DivisionMapping[dept_bu],0)),$B$395))</f>
        <v/>
      </c>
      <c r="K466" t="str">
        <f t="shared" si="284"/>
        <v/>
      </c>
      <c r="L466" s="652">
        <f>IF($B466="",,IF(LEFT($H466,5)="dummy",SUMIFS(AvgBase[Month 1],AvgBase[job_title],$H466),SUMIFS(AvgBase[Month 1],AvgBase[exp_item],$J466,AvgBase[company_name],$B466,AvgBase[bu_name],$C466,AvgBase[dept_name],$D466,AvgBase[team_consolidation],$K466,AvgBase[location_name],$G466,AvgBase[job_title],$H466))*L256/2*(1-L361))</f>
        <v>0</v>
      </c>
      <c r="M466" s="652">
        <f>IF($B466="",,IF(LEFT($H466,5)="dummy",SUMIFS(AvgBase[Month 2],AvgBase[job_title],$H466),SUMIFS(AvgBase[Month 2],AvgBase[exp_item],$J466,AvgBase[company_name],$B466,AvgBase[bu_name],$C466,AvgBase[dept_name],$D466,AvgBase[team_consolidation],$K466,AvgBase[location_name],$G466,AvgBase[job_title],$H466))*(M256+L256)/2*(1-M361))</f>
        <v>0</v>
      </c>
      <c r="N466" s="652">
        <f>IF($B466="",,IF(LEFT($H466,5)="dummy",SUMIFS(AvgBase[Month 3],AvgBase[job_title],$H466),SUMIFS(AvgBase[Month 3],AvgBase[exp_item],$J466,AvgBase[company_name],$B466,AvgBase[bu_name],$C466,AvgBase[dept_name],$D466,AvgBase[team_consolidation],$K466,AvgBase[location_name],$G466,AvgBase[job_title],$H466))*(N256+M256)/2*(1-N361))</f>
        <v>0</v>
      </c>
      <c r="O466" s="652">
        <f>IF($B466="",,IF(LEFT($H466,5)="dummy",SUMIFS(AvgBase[Month 4],AvgBase[job_title],$H466),SUMIFS(AvgBase[Month 4],AvgBase[exp_item],$J466,AvgBase[company_name],$B466,AvgBase[bu_name],$C466,AvgBase[dept_name],$D466,AvgBase[team_consolidation],$K466,AvgBase[location_name],$G466,AvgBase[job_title],$H466))*(O256+N256)/2*(1-O361))</f>
        <v>0</v>
      </c>
      <c r="P466" s="652">
        <f>IF($B466="",,IF(LEFT($H466,5)="dummy",SUMIFS(AvgBase[Month 5],AvgBase[job_title],$H466),SUMIFS(AvgBase[Month 5],AvgBase[exp_item],$J466,AvgBase[company_name],$B466,AvgBase[bu_name],$C466,AvgBase[dept_name],$D466,AvgBase[team_consolidation],$K466,AvgBase[location_name],$G466,AvgBase[job_title],$H466))*(P256+O256)/2*(1-P361))</f>
        <v>0</v>
      </c>
      <c r="Q466" s="652">
        <f>IF($B466="",,IF(LEFT($H466,5)="dummy",SUMIFS(AvgBase[Month 6],AvgBase[job_title],$H466),SUMIFS(AvgBase[Month 6],AvgBase[exp_item],$J466,AvgBase[company_name],$B466,AvgBase[bu_name],$C466,AvgBase[dept_name],$D466,AvgBase[team_consolidation],$K466,AvgBase[location_name],$G466,AvgBase[job_title],$H466))*(Q256+P256)/2*(1-Q361))</f>
        <v>0</v>
      </c>
      <c r="R466" s="652">
        <f>IF($B466="",,IF(LEFT($H466,5)="dummy",SUMIFS(AvgBase[Month 7],AvgBase[job_title],$H466),SUMIFS(AvgBase[Month 7],AvgBase[exp_item],$J466,AvgBase[company_name],$B466,AvgBase[bu_name],$C466,AvgBase[dept_name],$D466,AvgBase[team_consolidation],$K466,AvgBase[location_name],$G466,AvgBase[job_title],$H466))*(R256+Q256)/2*(1-R361))</f>
        <v>0</v>
      </c>
      <c r="S466" s="652">
        <f>IF($B466="",,IF(LEFT($H466,5)="dummy",SUMIFS(AvgBase[Month 8],AvgBase[job_title],$H466),SUMIFS(AvgBase[Month 8],AvgBase[exp_item],$J466,AvgBase[company_name],$B466,AvgBase[bu_name],$C466,AvgBase[dept_name],$D466,AvgBase[team_consolidation],$K466,AvgBase[location_name],$G466,AvgBase[job_title],$H466))*(S256+R256)/2*(1-S361))</f>
        <v>0</v>
      </c>
      <c r="T466" s="652">
        <f>IF($B466="",,IF(LEFT($H466,5)="dummy",SUMIFS(AvgBase[Month 9],AvgBase[job_title],$H466),SUMIFS(AvgBase[Month 9],AvgBase[exp_item],$J466,AvgBase[company_name],$B466,AvgBase[bu_name],$C466,AvgBase[dept_name],$D466,AvgBase[team_consolidation],$K466,AvgBase[location_name],$G466,AvgBase[job_title],$H466))*(T256+S256)/2*(1-T361))</f>
        <v>0</v>
      </c>
      <c r="U466" s="652">
        <f>IF($B466="",,IF(LEFT($H466,5)="dummy",SUMIFS(AvgBase[Month 10],AvgBase[job_title],$H466),SUMIFS(AvgBase[Month 10],AvgBase[exp_item],$J466,AvgBase[company_name],$B466,AvgBase[bu_name],$C466,AvgBase[dept_name],$D466,AvgBase[team_consolidation],$K466,AvgBase[location_name],$G466,AvgBase[job_title],$H466))*(U256+T256)/2*(1-U361))</f>
        <v>0</v>
      </c>
      <c r="V466" s="652">
        <f>IF($B466="",,IF(LEFT($H466,5)="dummy",SUMIFS(AvgBase[Month 11],AvgBase[job_title],$H466),SUMIFS(AvgBase[Month 11],AvgBase[exp_item],$J466,AvgBase[company_name],$B466,AvgBase[bu_name],$C466,AvgBase[dept_name],$D466,AvgBase[team_consolidation],$K466,AvgBase[location_name],$G466,AvgBase[job_title],$H466))*(V256+U256)/2*(1-V361))</f>
        <v>0</v>
      </c>
      <c r="W466" s="652">
        <f>IF($B466="",,IF(LEFT($H466,5)="dummy",SUMIFS(AvgBase[Month 12],AvgBase[job_title],$H466),SUMIFS(AvgBase[Month 12],AvgBase[exp_item],$J466,AvgBase[company_name],$B466,AvgBase[bu_name],$C466,AvgBase[dept_name],$D466,AvgBase[team_consolidation],$K466,AvgBase[location_name],$G466,AvgBase[job_title],$H466))*(W256+V256)/2*(1-W361))</f>
        <v>0</v>
      </c>
      <c r="X466" s="652">
        <f>IF($B466="",,IF(LEFT($H466,5)="dummy",SUMIFS(AvgBase[Month 13],AvgBase[job_title],$H466),SUMIFS(AvgBase[Month 13],AvgBase[exp_item],$J466,AvgBase[company_name],$B466,AvgBase[bu_name],$C466,AvgBase[dept_name],$D466,AvgBase[team_consolidation],$K466,AvgBase[location_name],$G466,AvgBase[job_title],$H466))*(X256+W256)/2*(1-X361))</f>
        <v>0</v>
      </c>
      <c r="Y466" s="652">
        <f>IF($B466="",,IF(LEFT($H466,5)="dummy",SUMIFS(AvgBase[Month 14],AvgBase[job_title],$H466),SUMIFS(AvgBase[Month 14],AvgBase[exp_item],$J466,AvgBase[company_name],$B466,AvgBase[bu_name],$C466,AvgBase[dept_name],$D466,AvgBase[team_consolidation],$K466,AvgBase[location_name],$G466,AvgBase[job_title],$H466))*(Y256+X256)/2*(1-Y361))</f>
        <v>0</v>
      </c>
      <c r="Z466" s="652">
        <f>IF($B466="",,IF(LEFT($H466,5)="dummy",SUMIFS(AvgBase[Month 15],AvgBase[job_title],$H466),SUMIFS(AvgBase[Month 15],AvgBase[exp_item],$J466,AvgBase[company_name],$B466,AvgBase[bu_name],$C466,AvgBase[dept_name],$D466,AvgBase[team_consolidation],$K466,AvgBase[location_name],$G466,AvgBase[job_title],$H466))*(Z256+Y256)/2*(1-Z361))</f>
        <v>0</v>
      </c>
      <c r="AA466" s="652">
        <f>IF($B466="",,IF(LEFT($H466,5)="dummy",SUMIFS(AvgBase[Month 16],AvgBase[job_title],$H466),SUMIFS(AvgBase[Month 16],AvgBase[exp_item],$J466,AvgBase[company_name],$B466,AvgBase[bu_name],$C466,AvgBase[dept_name],$D466,AvgBase[team_consolidation],$K466,AvgBase[location_name],$G466,AvgBase[job_title],$H466))*(AA256+Z256)/2*(1-AA361))</f>
        <v>0</v>
      </c>
      <c r="AB466" s="652">
        <f>IF($B466="",,IF(LEFT($H466,5)="dummy",SUMIFS(AvgBase[Month 17],AvgBase[job_title],$H466),SUMIFS(AvgBase[Month 17],AvgBase[exp_item],$J466,AvgBase[company_name],$B466,AvgBase[bu_name],$C466,AvgBase[dept_name],$D466,AvgBase[team_consolidation],$K466,AvgBase[location_name],$G466,AvgBase[job_title],$H466))*(AB256+AA256)/2*(1-AB361))</f>
        <v>0</v>
      </c>
      <c r="AC466" s="652">
        <f>IF($B466="",,IF(LEFT($H466,5)="dummy",SUMIFS(AvgBase[Month 18],AvgBase[job_title],$H466),SUMIFS(AvgBase[Month 18],AvgBase[exp_item],$J466,AvgBase[company_name],$B466,AvgBase[bu_name],$C466,AvgBase[dept_name],$D466,AvgBase[team_consolidation],$K466,AvgBase[location_name],$G466,AvgBase[job_title],$H466))*(AC256+AB256)/2*(1-AC361))</f>
        <v>0</v>
      </c>
      <c r="AD466" s="652">
        <f>IF($B466="",,IF(LEFT($H466,5)="dummy",SUMIFS(AvgBase[Month 19],AvgBase[job_title],$H466),SUMIFS(AvgBase[Month 19],AvgBase[exp_item],$J466,AvgBase[company_name],$B466,AvgBase[bu_name],$C466,AvgBase[dept_name],$D466,AvgBase[team_consolidation],$K466,AvgBase[location_name],$G466,AvgBase[job_title],$H466))*(AD256+AC256)/2*(1-AD361))</f>
        <v>0</v>
      </c>
      <c r="AE466" s="652">
        <f>IF($B466="",,IF(LEFT($H466,5)="dummy",SUMIFS(AvgBase[Month 20],AvgBase[job_title],$H466),SUMIFS(AvgBase[Month 20],AvgBase[exp_item],$J466,AvgBase[company_name],$B466,AvgBase[bu_name],$C466,AvgBase[dept_name],$D466,AvgBase[team_consolidation],$K466,AvgBase[location_name],$G466,AvgBase[job_title],$H466))*(AE256+AD256)/2*(1-AE361))</f>
        <v>0</v>
      </c>
      <c r="AF466" s="652">
        <f>IF($B466="",,IF(LEFT($H466,5)="dummy",SUMIFS(AvgBase[Month 21],AvgBase[job_title],$H466),SUMIFS(AvgBase[Month 21],AvgBase[exp_item],$J466,AvgBase[company_name],$B466,AvgBase[bu_name],$C466,AvgBase[dept_name],$D466,AvgBase[team_consolidation],$K466,AvgBase[location_name],$G466,AvgBase[job_title],$H466))*(AF256+AE256)/2*(1-AF361))</f>
        <v>0</v>
      </c>
      <c r="AG466" s="652">
        <f>IF($B466="",,IF(LEFT($H466,5)="dummy",SUMIFS(AvgBase[Month 22],AvgBase[job_title],$H466),SUMIFS(AvgBase[Month 22],AvgBase[exp_item],$J466,AvgBase[company_name],$B466,AvgBase[bu_name],$C466,AvgBase[dept_name],$D466,AvgBase[team_consolidation],$K466,AvgBase[location_name],$G466,AvgBase[job_title],$H466))*(AG256+AF256)/2*(1-AG361))</f>
        <v>0</v>
      </c>
      <c r="AH466" s="652">
        <f>IF($B466="",,IF(LEFT($H466,5)="dummy",SUMIFS(AvgBase[Month 23],AvgBase[job_title],$H466),SUMIFS(AvgBase[Month 23],AvgBase[exp_item],$J466,AvgBase[company_name],$B466,AvgBase[bu_name],$C466,AvgBase[dept_name],$D466,AvgBase[team_consolidation],$K466,AvgBase[location_name],$G466,AvgBase[job_title],$H466))*(AH256+AG256)/2*(1-AH361))</f>
        <v>0</v>
      </c>
      <c r="AI466" s="652">
        <f>IF($B466="",,IF(LEFT($H466,5)="dummy",SUMIFS(AvgBase[Month 24],AvgBase[job_title],$H466),SUMIFS(AvgBase[Month 24],AvgBase[exp_item],$J466,AvgBase[company_name],$B466,AvgBase[bu_name],$C466,AvgBase[dept_name],$D466,AvgBase[team_consolidation],$K466,AvgBase[location_name],$G466,AvgBase[job_title],$H466))*(AI256+AH256)/2*(1-AI361))</f>
        <v>0</v>
      </c>
      <c r="AJ466" s="652">
        <f>IF($B466="",,IF(LEFT($H466,5)="dummy",SUMIFS(AvgBase[Month 25],AvgBase[job_title],$H466),SUMIFS(AvgBase[Month 25],AvgBase[exp_item],$J466,AvgBase[company_name],$B466,AvgBase[bu_name],$C466,AvgBase[dept_name],$D466,AvgBase[team_consolidation],$K466,AvgBase[location_name],$G466,AvgBase[job_title],$H466))*(AJ256+AI256)/2*(1-AJ361))</f>
        <v>0</v>
      </c>
      <c r="AK466" s="652">
        <f>IF($B466="",,IF(LEFT($H466,5)="dummy",SUMIFS(AvgBase[Month 26],AvgBase[job_title],$H466),SUMIFS(AvgBase[Month 26],AvgBase[exp_item],$J466,AvgBase[company_name],$B466,AvgBase[bu_name],$C466,AvgBase[dept_name],$D466,AvgBase[team_consolidation],$K466,AvgBase[location_name],$G466,AvgBase[job_title],$H466))*(AK256+AJ256)/2*(1-AK361))</f>
        <v>0</v>
      </c>
      <c r="AL466" s="652">
        <f>IF($B466="",,IF(LEFT($H466,5)="dummy",SUMIFS(AvgBase[Month 27],AvgBase[job_title],$H466),SUMIFS(AvgBase[Month 27],AvgBase[exp_item],$J466,AvgBase[company_name],$B466,AvgBase[bu_name],$C466,AvgBase[dept_name],$D466,AvgBase[team_consolidation],$K466,AvgBase[location_name],$G466,AvgBase[job_title],$H466))*(AL256+AK256)/2*(1-AL361))</f>
        <v>0</v>
      </c>
      <c r="AM466" s="652">
        <f>IF($B466="",,IF(LEFT($H466,5)="dummy",SUMIFS(AvgBase[Month 28],AvgBase[job_title],$H466),SUMIFS(AvgBase[Month 28],AvgBase[exp_item],$J466,AvgBase[company_name],$B466,AvgBase[bu_name],$C466,AvgBase[dept_name],$D466,AvgBase[team_consolidation],$K466,AvgBase[location_name],$G466,AvgBase[job_title],$H466))*(AM256+AL256)/2*(1-AM361))</f>
        <v>0</v>
      </c>
      <c r="AN466" s="652">
        <f>IF($B466="",,IF(LEFT($H466,5)="dummy",SUMIFS(AvgBase[Month 29],AvgBase[job_title],$H466),SUMIFS(AvgBase[Month 29],AvgBase[exp_item],$J466,AvgBase[company_name],$B466,AvgBase[bu_name],$C466,AvgBase[dept_name],$D466,AvgBase[team_consolidation],$K466,AvgBase[location_name],$G466,AvgBase[job_title],$H466))*(AN256+AM256)/2*(1-AN361))</f>
        <v>0</v>
      </c>
      <c r="AO466" s="652">
        <f>IF($B466="",,IF(LEFT($H466,5)="dummy",SUMIFS(AvgBase[Month 30],AvgBase[job_title],$H466),SUMIFS(AvgBase[Month 30],AvgBase[exp_item],$J466,AvgBase[company_name],$B466,AvgBase[bu_name],$C466,AvgBase[dept_name],$D466,AvgBase[team_consolidation],$K466,AvgBase[location_name],$G466,AvgBase[job_title],$H466))*(AO256+AN256)/2*(1-AO361))</f>
        <v>0</v>
      </c>
      <c r="AP466" s="652">
        <f>IF($B466="",,IF(LEFT($H466,5)="dummy",SUMIFS(AvgBase[Month 31],AvgBase[job_title],$H466),SUMIFS(AvgBase[Month 31],AvgBase[exp_item],$J466,AvgBase[company_name],$B466,AvgBase[bu_name],$C466,AvgBase[dept_name],$D466,AvgBase[team_consolidation],$K466,AvgBase[location_name],$G466,AvgBase[job_title],$H466))*(AP256+AO256)/2*(1-AP361))</f>
        <v>0</v>
      </c>
      <c r="AQ466" s="652">
        <f>IF($B466="",,IF(LEFT($H466,5)="dummy",SUMIFS(AvgBase[Month 32],AvgBase[job_title],$H466),SUMIFS(AvgBase[Month 32],AvgBase[exp_item],$J466,AvgBase[company_name],$B466,AvgBase[bu_name],$C466,AvgBase[dept_name],$D466,AvgBase[team_consolidation],$K466,AvgBase[location_name],$G466,AvgBase[job_title],$H466))*(AQ256+AP256)/2*(1-AQ361))</f>
        <v>0</v>
      </c>
      <c r="AR466" s="652">
        <f>IF($B466="",,IF(LEFT($H466,5)="dummy",SUMIFS(AvgBase[Month 33],AvgBase[job_title],$H466),SUMIFS(AvgBase[Month 33],AvgBase[exp_item],$J466,AvgBase[company_name],$B466,AvgBase[bu_name],$C466,AvgBase[dept_name],$D466,AvgBase[team_consolidation],$K466,AvgBase[location_name],$G466,AvgBase[job_title],$H466))*(AR256+AQ256)/2*(1-AR361))</f>
        <v>0</v>
      </c>
      <c r="AS466" s="652">
        <f>IF($B466="",,IF(LEFT($H466,5)="dummy",SUMIFS(AvgBase[Month 34],AvgBase[job_title],$H466),SUMIFS(AvgBase[Month 34],AvgBase[exp_item],$J466,AvgBase[company_name],$B466,AvgBase[bu_name],$C466,AvgBase[dept_name],$D466,AvgBase[team_consolidation],$K466,AvgBase[location_name],$G466,AvgBase[job_title],$H466))*(AS256+AR256)/2*(1-AS361))</f>
        <v>0</v>
      </c>
      <c r="AT466" s="652">
        <f>IF($B466="",,IF(LEFT($H466,5)="dummy",SUMIFS(AvgBase[Month 35],AvgBase[job_title],$H466),SUMIFS(AvgBase[Month 35],AvgBase[exp_item],$J466,AvgBase[company_name],$B466,AvgBase[bu_name],$C466,AvgBase[dept_name],$D466,AvgBase[team_consolidation],$K466,AvgBase[location_name],$G466,AvgBase[job_title],$H466))*(AT256+AS256)/2*(1-AT361))</f>
        <v>0</v>
      </c>
      <c r="AU466" s="652">
        <f>IF($B466="",,IF(LEFT($H466,5)="dummy",SUMIFS(AvgBase[Month 36],AvgBase[job_title],$H466),SUMIFS(AvgBase[Month 36],AvgBase[exp_item],$J466,AvgBase[company_name],$B466,AvgBase[bu_name],$C466,AvgBase[dept_name],$D466,AvgBase[team_consolidation],$K466,AvgBase[location_name],$G466,AvgBase[job_title],$H466))*(AU256+AT256)/2*(1-AU361))</f>
        <v>0</v>
      </c>
    </row>
    <row r="467" spans="2:47" x14ac:dyDescent="0.35">
      <c r="B467" t="str">
        <f t="shared" si="285"/>
        <v/>
      </c>
      <c r="C467" t="str">
        <f t="shared" si="285"/>
        <v/>
      </c>
      <c r="D467" t="str">
        <f t="shared" si="285"/>
        <v/>
      </c>
      <c r="E467" t="str">
        <f t="shared" si="285"/>
        <v/>
      </c>
      <c r="F467" t="str">
        <f t="shared" si="285"/>
        <v/>
      </c>
      <c r="G467" t="str">
        <f t="shared" si="285"/>
        <v/>
      </c>
      <c r="H467" t="str">
        <f t="shared" si="283"/>
        <v/>
      </c>
      <c r="J467" t="str">
        <f>IF($H467="","",IF(VLOOKUP($B$395,ExpItems[],2,0),$B$395&amp;" - "&amp;INDEX(DivisionMapping[category_code],MATCH($D467&amp;$C467,DivisionMapping[dept_bu],0)),$B$395))</f>
        <v/>
      </c>
      <c r="K467" t="str">
        <f t="shared" si="284"/>
        <v/>
      </c>
      <c r="L467" s="652">
        <f>IF($B467="",,IF(LEFT($H467,5)="dummy",SUMIFS(AvgBase[Month 1],AvgBase[job_title],$H467),SUMIFS(AvgBase[Month 1],AvgBase[exp_item],$J467,AvgBase[company_name],$B467,AvgBase[bu_name],$C467,AvgBase[dept_name],$D467,AvgBase[team_consolidation],$K467,AvgBase[location_name],$G467,AvgBase[job_title],$H467))*L257/2*(1-L362))</f>
        <v>0</v>
      </c>
      <c r="M467" s="652">
        <f>IF($B467="",,IF(LEFT($H467,5)="dummy",SUMIFS(AvgBase[Month 2],AvgBase[job_title],$H467),SUMIFS(AvgBase[Month 2],AvgBase[exp_item],$J467,AvgBase[company_name],$B467,AvgBase[bu_name],$C467,AvgBase[dept_name],$D467,AvgBase[team_consolidation],$K467,AvgBase[location_name],$G467,AvgBase[job_title],$H467))*(M257+L257)/2*(1-M362))</f>
        <v>0</v>
      </c>
      <c r="N467" s="652">
        <f>IF($B467="",,IF(LEFT($H467,5)="dummy",SUMIFS(AvgBase[Month 3],AvgBase[job_title],$H467),SUMIFS(AvgBase[Month 3],AvgBase[exp_item],$J467,AvgBase[company_name],$B467,AvgBase[bu_name],$C467,AvgBase[dept_name],$D467,AvgBase[team_consolidation],$K467,AvgBase[location_name],$G467,AvgBase[job_title],$H467))*(N257+M257)/2*(1-N362))</f>
        <v>0</v>
      </c>
      <c r="O467" s="652">
        <f>IF($B467="",,IF(LEFT($H467,5)="dummy",SUMIFS(AvgBase[Month 4],AvgBase[job_title],$H467),SUMIFS(AvgBase[Month 4],AvgBase[exp_item],$J467,AvgBase[company_name],$B467,AvgBase[bu_name],$C467,AvgBase[dept_name],$D467,AvgBase[team_consolidation],$K467,AvgBase[location_name],$G467,AvgBase[job_title],$H467))*(O257+N257)/2*(1-O362))</f>
        <v>0</v>
      </c>
      <c r="P467" s="652">
        <f>IF($B467="",,IF(LEFT($H467,5)="dummy",SUMIFS(AvgBase[Month 5],AvgBase[job_title],$H467),SUMIFS(AvgBase[Month 5],AvgBase[exp_item],$J467,AvgBase[company_name],$B467,AvgBase[bu_name],$C467,AvgBase[dept_name],$D467,AvgBase[team_consolidation],$K467,AvgBase[location_name],$G467,AvgBase[job_title],$H467))*(P257+O257)/2*(1-P362))</f>
        <v>0</v>
      </c>
      <c r="Q467" s="652">
        <f>IF($B467="",,IF(LEFT($H467,5)="dummy",SUMIFS(AvgBase[Month 6],AvgBase[job_title],$H467),SUMIFS(AvgBase[Month 6],AvgBase[exp_item],$J467,AvgBase[company_name],$B467,AvgBase[bu_name],$C467,AvgBase[dept_name],$D467,AvgBase[team_consolidation],$K467,AvgBase[location_name],$G467,AvgBase[job_title],$H467))*(Q257+P257)/2*(1-Q362))</f>
        <v>0</v>
      </c>
      <c r="R467" s="652">
        <f>IF($B467="",,IF(LEFT($H467,5)="dummy",SUMIFS(AvgBase[Month 7],AvgBase[job_title],$H467),SUMIFS(AvgBase[Month 7],AvgBase[exp_item],$J467,AvgBase[company_name],$B467,AvgBase[bu_name],$C467,AvgBase[dept_name],$D467,AvgBase[team_consolidation],$K467,AvgBase[location_name],$G467,AvgBase[job_title],$H467))*(R257+Q257)/2*(1-R362))</f>
        <v>0</v>
      </c>
      <c r="S467" s="652">
        <f>IF($B467="",,IF(LEFT($H467,5)="dummy",SUMIFS(AvgBase[Month 8],AvgBase[job_title],$H467),SUMIFS(AvgBase[Month 8],AvgBase[exp_item],$J467,AvgBase[company_name],$B467,AvgBase[bu_name],$C467,AvgBase[dept_name],$D467,AvgBase[team_consolidation],$K467,AvgBase[location_name],$G467,AvgBase[job_title],$H467))*(S257+R257)/2*(1-S362))</f>
        <v>0</v>
      </c>
      <c r="T467" s="652">
        <f>IF($B467="",,IF(LEFT($H467,5)="dummy",SUMIFS(AvgBase[Month 9],AvgBase[job_title],$H467),SUMIFS(AvgBase[Month 9],AvgBase[exp_item],$J467,AvgBase[company_name],$B467,AvgBase[bu_name],$C467,AvgBase[dept_name],$D467,AvgBase[team_consolidation],$K467,AvgBase[location_name],$G467,AvgBase[job_title],$H467))*(T257+S257)/2*(1-T362))</f>
        <v>0</v>
      </c>
      <c r="U467" s="652">
        <f>IF($B467="",,IF(LEFT($H467,5)="dummy",SUMIFS(AvgBase[Month 10],AvgBase[job_title],$H467),SUMIFS(AvgBase[Month 10],AvgBase[exp_item],$J467,AvgBase[company_name],$B467,AvgBase[bu_name],$C467,AvgBase[dept_name],$D467,AvgBase[team_consolidation],$K467,AvgBase[location_name],$G467,AvgBase[job_title],$H467))*(U257+T257)/2*(1-U362))</f>
        <v>0</v>
      </c>
      <c r="V467" s="652">
        <f>IF($B467="",,IF(LEFT($H467,5)="dummy",SUMIFS(AvgBase[Month 11],AvgBase[job_title],$H467),SUMIFS(AvgBase[Month 11],AvgBase[exp_item],$J467,AvgBase[company_name],$B467,AvgBase[bu_name],$C467,AvgBase[dept_name],$D467,AvgBase[team_consolidation],$K467,AvgBase[location_name],$G467,AvgBase[job_title],$H467))*(V257+U257)/2*(1-V362))</f>
        <v>0</v>
      </c>
      <c r="W467" s="652">
        <f>IF($B467="",,IF(LEFT($H467,5)="dummy",SUMIFS(AvgBase[Month 12],AvgBase[job_title],$H467),SUMIFS(AvgBase[Month 12],AvgBase[exp_item],$J467,AvgBase[company_name],$B467,AvgBase[bu_name],$C467,AvgBase[dept_name],$D467,AvgBase[team_consolidation],$K467,AvgBase[location_name],$G467,AvgBase[job_title],$H467))*(W257+V257)/2*(1-W362))</f>
        <v>0</v>
      </c>
      <c r="X467" s="652">
        <f>IF($B467="",,IF(LEFT($H467,5)="dummy",SUMIFS(AvgBase[Month 13],AvgBase[job_title],$H467),SUMIFS(AvgBase[Month 13],AvgBase[exp_item],$J467,AvgBase[company_name],$B467,AvgBase[bu_name],$C467,AvgBase[dept_name],$D467,AvgBase[team_consolidation],$K467,AvgBase[location_name],$G467,AvgBase[job_title],$H467))*(X257+W257)/2*(1-X362))</f>
        <v>0</v>
      </c>
      <c r="Y467" s="652">
        <f>IF($B467="",,IF(LEFT($H467,5)="dummy",SUMIFS(AvgBase[Month 14],AvgBase[job_title],$H467),SUMIFS(AvgBase[Month 14],AvgBase[exp_item],$J467,AvgBase[company_name],$B467,AvgBase[bu_name],$C467,AvgBase[dept_name],$D467,AvgBase[team_consolidation],$K467,AvgBase[location_name],$G467,AvgBase[job_title],$H467))*(Y257+X257)/2*(1-Y362))</f>
        <v>0</v>
      </c>
      <c r="Z467" s="652">
        <f>IF($B467="",,IF(LEFT($H467,5)="dummy",SUMIFS(AvgBase[Month 15],AvgBase[job_title],$H467),SUMIFS(AvgBase[Month 15],AvgBase[exp_item],$J467,AvgBase[company_name],$B467,AvgBase[bu_name],$C467,AvgBase[dept_name],$D467,AvgBase[team_consolidation],$K467,AvgBase[location_name],$G467,AvgBase[job_title],$H467))*(Z257+Y257)/2*(1-Z362))</f>
        <v>0</v>
      </c>
      <c r="AA467" s="652">
        <f>IF($B467="",,IF(LEFT($H467,5)="dummy",SUMIFS(AvgBase[Month 16],AvgBase[job_title],$H467),SUMIFS(AvgBase[Month 16],AvgBase[exp_item],$J467,AvgBase[company_name],$B467,AvgBase[bu_name],$C467,AvgBase[dept_name],$D467,AvgBase[team_consolidation],$K467,AvgBase[location_name],$G467,AvgBase[job_title],$H467))*(AA257+Z257)/2*(1-AA362))</f>
        <v>0</v>
      </c>
      <c r="AB467" s="652">
        <f>IF($B467="",,IF(LEFT($H467,5)="dummy",SUMIFS(AvgBase[Month 17],AvgBase[job_title],$H467),SUMIFS(AvgBase[Month 17],AvgBase[exp_item],$J467,AvgBase[company_name],$B467,AvgBase[bu_name],$C467,AvgBase[dept_name],$D467,AvgBase[team_consolidation],$K467,AvgBase[location_name],$G467,AvgBase[job_title],$H467))*(AB257+AA257)/2*(1-AB362))</f>
        <v>0</v>
      </c>
      <c r="AC467" s="652">
        <f>IF($B467="",,IF(LEFT($H467,5)="dummy",SUMIFS(AvgBase[Month 18],AvgBase[job_title],$H467),SUMIFS(AvgBase[Month 18],AvgBase[exp_item],$J467,AvgBase[company_name],$B467,AvgBase[bu_name],$C467,AvgBase[dept_name],$D467,AvgBase[team_consolidation],$K467,AvgBase[location_name],$G467,AvgBase[job_title],$H467))*(AC257+AB257)/2*(1-AC362))</f>
        <v>0</v>
      </c>
      <c r="AD467" s="652">
        <f>IF($B467="",,IF(LEFT($H467,5)="dummy",SUMIFS(AvgBase[Month 19],AvgBase[job_title],$H467),SUMIFS(AvgBase[Month 19],AvgBase[exp_item],$J467,AvgBase[company_name],$B467,AvgBase[bu_name],$C467,AvgBase[dept_name],$D467,AvgBase[team_consolidation],$K467,AvgBase[location_name],$G467,AvgBase[job_title],$H467))*(AD257+AC257)/2*(1-AD362))</f>
        <v>0</v>
      </c>
      <c r="AE467" s="652">
        <f>IF($B467="",,IF(LEFT($H467,5)="dummy",SUMIFS(AvgBase[Month 20],AvgBase[job_title],$H467),SUMIFS(AvgBase[Month 20],AvgBase[exp_item],$J467,AvgBase[company_name],$B467,AvgBase[bu_name],$C467,AvgBase[dept_name],$D467,AvgBase[team_consolidation],$K467,AvgBase[location_name],$G467,AvgBase[job_title],$H467))*(AE257+AD257)/2*(1-AE362))</f>
        <v>0</v>
      </c>
      <c r="AF467" s="652">
        <f>IF($B467="",,IF(LEFT($H467,5)="dummy",SUMIFS(AvgBase[Month 21],AvgBase[job_title],$H467),SUMIFS(AvgBase[Month 21],AvgBase[exp_item],$J467,AvgBase[company_name],$B467,AvgBase[bu_name],$C467,AvgBase[dept_name],$D467,AvgBase[team_consolidation],$K467,AvgBase[location_name],$G467,AvgBase[job_title],$H467))*(AF257+AE257)/2*(1-AF362))</f>
        <v>0</v>
      </c>
      <c r="AG467" s="652">
        <f>IF($B467="",,IF(LEFT($H467,5)="dummy",SUMIFS(AvgBase[Month 22],AvgBase[job_title],$H467),SUMIFS(AvgBase[Month 22],AvgBase[exp_item],$J467,AvgBase[company_name],$B467,AvgBase[bu_name],$C467,AvgBase[dept_name],$D467,AvgBase[team_consolidation],$K467,AvgBase[location_name],$G467,AvgBase[job_title],$H467))*(AG257+AF257)/2*(1-AG362))</f>
        <v>0</v>
      </c>
      <c r="AH467" s="652">
        <f>IF($B467="",,IF(LEFT($H467,5)="dummy",SUMIFS(AvgBase[Month 23],AvgBase[job_title],$H467),SUMIFS(AvgBase[Month 23],AvgBase[exp_item],$J467,AvgBase[company_name],$B467,AvgBase[bu_name],$C467,AvgBase[dept_name],$D467,AvgBase[team_consolidation],$K467,AvgBase[location_name],$G467,AvgBase[job_title],$H467))*(AH257+AG257)/2*(1-AH362))</f>
        <v>0</v>
      </c>
      <c r="AI467" s="652">
        <f>IF($B467="",,IF(LEFT($H467,5)="dummy",SUMIFS(AvgBase[Month 24],AvgBase[job_title],$H467),SUMIFS(AvgBase[Month 24],AvgBase[exp_item],$J467,AvgBase[company_name],$B467,AvgBase[bu_name],$C467,AvgBase[dept_name],$D467,AvgBase[team_consolidation],$K467,AvgBase[location_name],$G467,AvgBase[job_title],$H467))*(AI257+AH257)/2*(1-AI362))</f>
        <v>0</v>
      </c>
      <c r="AJ467" s="652">
        <f>IF($B467="",,IF(LEFT($H467,5)="dummy",SUMIFS(AvgBase[Month 25],AvgBase[job_title],$H467),SUMIFS(AvgBase[Month 25],AvgBase[exp_item],$J467,AvgBase[company_name],$B467,AvgBase[bu_name],$C467,AvgBase[dept_name],$D467,AvgBase[team_consolidation],$K467,AvgBase[location_name],$G467,AvgBase[job_title],$H467))*(AJ257+AI257)/2*(1-AJ362))</f>
        <v>0</v>
      </c>
      <c r="AK467" s="652">
        <f>IF($B467="",,IF(LEFT($H467,5)="dummy",SUMIFS(AvgBase[Month 26],AvgBase[job_title],$H467),SUMIFS(AvgBase[Month 26],AvgBase[exp_item],$J467,AvgBase[company_name],$B467,AvgBase[bu_name],$C467,AvgBase[dept_name],$D467,AvgBase[team_consolidation],$K467,AvgBase[location_name],$G467,AvgBase[job_title],$H467))*(AK257+AJ257)/2*(1-AK362))</f>
        <v>0</v>
      </c>
      <c r="AL467" s="652">
        <f>IF($B467="",,IF(LEFT($H467,5)="dummy",SUMIFS(AvgBase[Month 27],AvgBase[job_title],$H467),SUMIFS(AvgBase[Month 27],AvgBase[exp_item],$J467,AvgBase[company_name],$B467,AvgBase[bu_name],$C467,AvgBase[dept_name],$D467,AvgBase[team_consolidation],$K467,AvgBase[location_name],$G467,AvgBase[job_title],$H467))*(AL257+AK257)/2*(1-AL362))</f>
        <v>0</v>
      </c>
      <c r="AM467" s="652">
        <f>IF($B467="",,IF(LEFT($H467,5)="dummy",SUMIFS(AvgBase[Month 28],AvgBase[job_title],$H467),SUMIFS(AvgBase[Month 28],AvgBase[exp_item],$J467,AvgBase[company_name],$B467,AvgBase[bu_name],$C467,AvgBase[dept_name],$D467,AvgBase[team_consolidation],$K467,AvgBase[location_name],$G467,AvgBase[job_title],$H467))*(AM257+AL257)/2*(1-AM362))</f>
        <v>0</v>
      </c>
      <c r="AN467" s="652">
        <f>IF($B467="",,IF(LEFT($H467,5)="dummy",SUMIFS(AvgBase[Month 29],AvgBase[job_title],$H467),SUMIFS(AvgBase[Month 29],AvgBase[exp_item],$J467,AvgBase[company_name],$B467,AvgBase[bu_name],$C467,AvgBase[dept_name],$D467,AvgBase[team_consolidation],$K467,AvgBase[location_name],$G467,AvgBase[job_title],$H467))*(AN257+AM257)/2*(1-AN362))</f>
        <v>0</v>
      </c>
      <c r="AO467" s="652">
        <f>IF($B467="",,IF(LEFT($H467,5)="dummy",SUMIFS(AvgBase[Month 30],AvgBase[job_title],$H467),SUMIFS(AvgBase[Month 30],AvgBase[exp_item],$J467,AvgBase[company_name],$B467,AvgBase[bu_name],$C467,AvgBase[dept_name],$D467,AvgBase[team_consolidation],$K467,AvgBase[location_name],$G467,AvgBase[job_title],$H467))*(AO257+AN257)/2*(1-AO362))</f>
        <v>0</v>
      </c>
      <c r="AP467" s="652">
        <f>IF($B467="",,IF(LEFT($H467,5)="dummy",SUMIFS(AvgBase[Month 31],AvgBase[job_title],$H467),SUMIFS(AvgBase[Month 31],AvgBase[exp_item],$J467,AvgBase[company_name],$B467,AvgBase[bu_name],$C467,AvgBase[dept_name],$D467,AvgBase[team_consolidation],$K467,AvgBase[location_name],$G467,AvgBase[job_title],$H467))*(AP257+AO257)/2*(1-AP362))</f>
        <v>0</v>
      </c>
      <c r="AQ467" s="652">
        <f>IF($B467="",,IF(LEFT($H467,5)="dummy",SUMIFS(AvgBase[Month 32],AvgBase[job_title],$H467),SUMIFS(AvgBase[Month 32],AvgBase[exp_item],$J467,AvgBase[company_name],$B467,AvgBase[bu_name],$C467,AvgBase[dept_name],$D467,AvgBase[team_consolidation],$K467,AvgBase[location_name],$G467,AvgBase[job_title],$H467))*(AQ257+AP257)/2*(1-AQ362))</f>
        <v>0</v>
      </c>
      <c r="AR467" s="652">
        <f>IF($B467="",,IF(LEFT($H467,5)="dummy",SUMIFS(AvgBase[Month 33],AvgBase[job_title],$H467),SUMIFS(AvgBase[Month 33],AvgBase[exp_item],$J467,AvgBase[company_name],$B467,AvgBase[bu_name],$C467,AvgBase[dept_name],$D467,AvgBase[team_consolidation],$K467,AvgBase[location_name],$G467,AvgBase[job_title],$H467))*(AR257+AQ257)/2*(1-AR362))</f>
        <v>0</v>
      </c>
      <c r="AS467" s="652">
        <f>IF($B467="",,IF(LEFT($H467,5)="dummy",SUMIFS(AvgBase[Month 34],AvgBase[job_title],$H467),SUMIFS(AvgBase[Month 34],AvgBase[exp_item],$J467,AvgBase[company_name],$B467,AvgBase[bu_name],$C467,AvgBase[dept_name],$D467,AvgBase[team_consolidation],$K467,AvgBase[location_name],$G467,AvgBase[job_title],$H467))*(AS257+AR257)/2*(1-AS362))</f>
        <v>0</v>
      </c>
      <c r="AT467" s="652">
        <f>IF($B467="",,IF(LEFT($H467,5)="dummy",SUMIFS(AvgBase[Month 35],AvgBase[job_title],$H467),SUMIFS(AvgBase[Month 35],AvgBase[exp_item],$J467,AvgBase[company_name],$B467,AvgBase[bu_name],$C467,AvgBase[dept_name],$D467,AvgBase[team_consolidation],$K467,AvgBase[location_name],$G467,AvgBase[job_title],$H467))*(AT257+AS257)/2*(1-AT362))</f>
        <v>0</v>
      </c>
      <c r="AU467" s="652">
        <f>IF($B467="",,IF(LEFT($H467,5)="dummy",SUMIFS(AvgBase[Month 36],AvgBase[job_title],$H467),SUMIFS(AvgBase[Month 36],AvgBase[exp_item],$J467,AvgBase[company_name],$B467,AvgBase[bu_name],$C467,AvgBase[dept_name],$D467,AvgBase[team_consolidation],$K467,AvgBase[location_name],$G467,AvgBase[job_title],$H467))*(AU257+AT257)/2*(1-AU362))</f>
        <v>0</v>
      </c>
    </row>
    <row r="468" spans="2:47" x14ac:dyDescent="0.35">
      <c r="B468" t="str">
        <f t="shared" si="285"/>
        <v/>
      </c>
      <c r="C468" t="str">
        <f t="shared" si="285"/>
        <v/>
      </c>
      <c r="D468" t="str">
        <f t="shared" si="285"/>
        <v/>
      </c>
      <c r="E468" t="str">
        <f t="shared" si="285"/>
        <v/>
      </c>
      <c r="F468" t="str">
        <f t="shared" si="285"/>
        <v/>
      </c>
      <c r="G468" t="str">
        <f t="shared" si="285"/>
        <v/>
      </c>
      <c r="H468" t="str">
        <f t="shared" si="283"/>
        <v/>
      </c>
      <c r="J468" t="str">
        <f>IF($H468="","",IF(VLOOKUP($B$395,ExpItems[],2,0),$B$395&amp;" - "&amp;INDEX(DivisionMapping[category_code],MATCH($D468&amp;$C468,DivisionMapping[dept_bu],0)),$B$395))</f>
        <v/>
      </c>
      <c r="K468" t="str">
        <f t="shared" si="284"/>
        <v/>
      </c>
      <c r="L468" s="652">
        <f>IF($B468="",,IF(LEFT($H468,5)="dummy",SUMIFS(AvgBase[Month 1],AvgBase[job_title],$H468),SUMIFS(AvgBase[Month 1],AvgBase[exp_item],$J468,AvgBase[company_name],$B468,AvgBase[bu_name],$C468,AvgBase[dept_name],$D468,AvgBase[team_consolidation],$K468,AvgBase[location_name],$G468,AvgBase[job_title],$H468))*L258/2*(1-L363))</f>
        <v>0</v>
      </c>
      <c r="M468" s="652">
        <f>IF($B468="",,IF(LEFT($H468,5)="dummy",SUMIFS(AvgBase[Month 2],AvgBase[job_title],$H468),SUMIFS(AvgBase[Month 2],AvgBase[exp_item],$J468,AvgBase[company_name],$B468,AvgBase[bu_name],$C468,AvgBase[dept_name],$D468,AvgBase[team_consolidation],$K468,AvgBase[location_name],$G468,AvgBase[job_title],$H468))*(M258+L258)/2*(1-M363))</f>
        <v>0</v>
      </c>
      <c r="N468" s="652">
        <f>IF($B468="",,IF(LEFT($H468,5)="dummy",SUMIFS(AvgBase[Month 3],AvgBase[job_title],$H468),SUMIFS(AvgBase[Month 3],AvgBase[exp_item],$J468,AvgBase[company_name],$B468,AvgBase[bu_name],$C468,AvgBase[dept_name],$D468,AvgBase[team_consolidation],$K468,AvgBase[location_name],$G468,AvgBase[job_title],$H468))*(N258+M258)/2*(1-N363))</f>
        <v>0</v>
      </c>
      <c r="O468" s="652">
        <f>IF($B468="",,IF(LEFT($H468,5)="dummy",SUMIFS(AvgBase[Month 4],AvgBase[job_title],$H468),SUMIFS(AvgBase[Month 4],AvgBase[exp_item],$J468,AvgBase[company_name],$B468,AvgBase[bu_name],$C468,AvgBase[dept_name],$D468,AvgBase[team_consolidation],$K468,AvgBase[location_name],$G468,AvgBase[job_title],$H468))*(O258+N258)/2*(1-O363))</f>
        <v>0</v>
      </c>
      <c r="P468" s="652">
        <f>IF($B468="",,IF(LEFT($H468,5)="dummy",SUMIFS(AvgBase[Month 5],AvgBase[job_title],$H468),SUMIFS(AvgBase[Month 5],AvgBase[exp_item],$J468,AvgBase[company_name],$B468,AvgBase[bu_name],$C468,AvgBase[dept_name],$D468,AvgBase[team_consolidation],$K468,AvgBase[location_name],$G468,AvgBase[job_title],$H468))*(P258+O258)/2*(1-P363))</f>
        <v>0</v>
      </c>
      <c r="Q468" s="652">
        <f>IF($B468="",,IF(LEFT($H468,5)="dummy",SUMIFS(AvgBase[Month 6],AvgBase[job_title],$H468),SUMIFS(AvgBase[Month 6],AvgBase[exp_item],$J468,AvgBase[company_name],$B468,AvgBase[bu_name],$C468,AvgBase[dept_name],$D468,AvgBase[team_consolidation],$K468,AvgBase[location_name],$G468,AvgBase[job_title],$H468))*(Q258+P258)/2*(1-Q363))</f>
        <v>0</v>
      </c>
      <c r="R468" s="652">
        <f>IF($B468="",,IF(LEFT($H468,5)="dummy",SUMIFS(AvgBase[Month 7],AvgBase[job_title],$H468),SUMIFS(AvgBase[Month 7],AvgBase[exp_item],$J468,AvgBase[company_name],$B468,AvgBase[bu_name],$C468,AvgBase[dept_name],$D468,AvgBase[team_consolidation],$K468,AvgBase[location_name],$G468,AvgBase[job_title],$H468))*(R258+Q258)/2*(1-R363))</f>
        <v>0</v>
      </c>
      <c r="S468" s="652">
        <f>IF($B468="",,IF(LEFT($H468,5)="dummy",SUMIFS(AvgBase[Month 8],AvgBase[job_title],$H468),SUMIFS(AvgBase[Month 8],AvgBase[exp_item],$J468,AvgBase[company_name],$B468,AvgBase[bu_name],$C468,AvgBase[dept_name],$D468,AvgBase[team_consolidation],$K468,AvgBase[location_name],$G468,AvgBase[job_title],$H468))*(S258+R258)/2*(1-S363))</f>
        <v>0</v>
      </c>
      <c r="T468" s="652">
        <f>IF($B468="",,IF(LEFT($H468,5)="dummy",SUMIFS(AvgBase[Month 9],AvgBase[job_title],$H468),SUMIFS(AvgBase[Month 9],AvgBase[exp_item],$J468,AvgBase[company_name],$B468,AvgBase[bu_name],$C468,AvgBase[dept_name],$D468,AvgBase[team_consolidation],$K468,AvgBase[location_name],$G468,AvgBase[job_title],$H468))*(T258+S258)/2*(1-T363))</f>
        <v>0</v>
      </c>
      <c r="U468" s="652">
        <f>IF($B468="",,IF(LEFT($H468,5)="dummy",SUMIFS(AvgBase[Month 10],AvgBase[job_title],$H468),SUMIFS(AvgBase[Month 10],AvgBase[exp_item],$J468,AvgBase[company_name],$B468,AvgBase[bu_name],$C468,AvgBase[dept_name],$D468,AvgBase[team_consolidation],$K468,AvgBase[location_name],$G468,AvgBase[job_title],$H468))*(U258+T258)/2*(1-U363))</f>
        <v>0</v>
      </c>
      <c r="V468" s="652">
        <f>IF($B468="",,IF(LEFT($H468,5)="dummy",SUMIFS(AvgBase[Month 11],AvgBase[job_title],$H468),SUMIFS(AvgBase[Month 11],AvgBase[exp_item],$J468,AvgBase[company_name],$B468,AvgBase[bu_name],$C468,AvgBase[dept_name],$D468,AvgBase[team_consolidation],$K468,AvgBase[location_name],$G468,AvgBase[job_title],$H468))*(V258+U258)/2*(1-V363))</f>
        <v>0</v>
      </c>
      <c r="W468" s="652">
        <f>IF($B468="",,IF(LEFT($H468,5)="dummy",SUMIFS(AvgBase[Month 12],AvgBase[job_title],$H468),SUMIFS(AvgBase[Month 12],AvgBase[exp_item],$J468,AvgBase[company_name],$B468,AvgBase[bu_name],$C468,AvgBase[dept_name],$D468,AvgBase[team_consolidation],$K468,AvgBase[location_name],$G468,AvgBase[job_title],$H468))*(W258+V258)/2*(1-W363))</f>
        <v>0</v>
      </c>
      <c r="X468" s="652">
        <f>IF($B468="",,IF(LEFT($H468,5)="dummy",SUMIFS(AvgBase[Month 13],AvgBase[job_title],$H468),SUMIFS(AvgBase[Month 13],AvgBase[exp_item],$J468,AvgBase[company_name],$B468,AvgBase[bu_name],$C468,AvgBase[dept_name],$D468,AvgBase[team_consolidation],$K468,AvgBase[location_name],$G468,AvgBase[job_title],$H468))*(X258+W258)/2*(1-X363))</f>
        <v>0</v>
      </c>
      <c r="Y468" s="652">
        <f>IF($B468="",,IF(LEFT($H468,5)="dummy",SUMIFS(AvgBase[Month 14],AvgBase[job_title],$H468),SUMIFS(AvgBase[Month 14],AvgBase[exp_item],$J468,AvgBase[company_name],$B468,AvgBase[bu_name],$C468,AvgBase[dept_name],$D468,AvgBase[team_consolidation],$K468,AvgBase[location_name],$G468,AvgBase[job_title],$H468))*(Y258+X258)/2*(1-Y363))</f>
        <v>0</v>
      </c>
      <c r="Z468" s="652">
        <f>IF($B468="",,IF(LEFT($H468,5)="dummy",SUMIFS(AvgBase[Month 15],AvgBase[job_title],$H468),SUMIFS(AvgBase[Month 15],AvgBase[exp_item],$J468,AvgBase[company_name],$B468,AvgBase[bu_name],$C468,AvgBase[dept_name],$D468,AvgBase[team_consolidation],$K468,AvgBase[location_name],$G468,AvgBase[job_title],$H468))*(Z258+Y258)/2*(1-Z363))</f>
        <v>0</v>
      </c>
      <c r="AA468" s="652">
        <f>IF($B468="",,IF(LEFT($H468,5)="dummy",SUMIFS(AvgBase[Month 16],AvgBase[job_title],$H468),SUMIFS(AvgBase[Month 16],AvgBase[exp_item],$J468,AvgBase[company_name],$B468,AvgBase[bu_name],$C468,AvgBase[dept_name],$D468,AvgBase[team_consolidation],$K468,AvgBase[location_name],$G468,AvgBase[job_title],$H468))*(AA258+Z258)/2*(1-AA363))</f>
        <v>0</v>
      </c>
      <c r="AB468" s="652">
        <f>IF($B468="",,IF(LEFT($H468,5)="dummy",SUMIFS(AvgBase[Month 17],AvgBase[job_title],$H468),SUMIFS(AvgBase[Month 17],AvgBase[exp_item],$J468,AvgBase[company_name],$B468,AvgBase[bu_name],$C468,AvgBase[dept_name],$D468,AvgBase[team_consolidation],$K468,AvgBase[location_name],$G468,AvgBase[job_title],$H468))*(AB258+AA258)/2*(1-AB363))</f>
        <v>0</v>
      </c>
      <c r="AC468" s="652">
        <f>IF($B468="",,IF(LEFT($H468,5)="dummy",SUMIFS(AvgBase[Month 18],AvgBase[job_title],$H468),SUMIFS(AvgBase[Month 18],AvgBase[exp_item],$J468,AvgBase[company_name],$B468,AvgBase[bu_name],$C468,AvgBase[dept_name],$D468,AvgBase[team_consolidation],$K468,AvgBase[location_name],$G468,AvgBase[job_title],$H468))*(AC258+AB258)/2*(1-AC363))</f>
        <v>0</v>
      </c>
      <c r="AD468" s="652">
        <f>IF($B468="",,IF(LEFT($H468,5)="dummy",SUMIFS(AvgBase[Month 19],AvgBase[job_title],$H468),SUMIFS(AvgBase[Month 19],AvgBase[exp_item],$J468,AvgBase[company_name],$B468,AvgBase[bu_name],$C468,AvgBase[dept_name],$D468,AvgBase[team_consolidation],$K468,AvgBase[location_name],$G468,AvgBase[job_title],$H468))*(AD258+AC258)/2*(1-AD363))</f>
        <v>0</v>
      </c>
      <c r="AE468" s="652">
        <f>IF($B468="",,IF(LEFT($H468,5)="dummy",SUMIFS(AvgBase[Month 20],AvgBase[job_title],$H468),SUMIFS(AvgBase[Month 20],AvgBase[exp_item],$J468,AvgBase[company_name],$B468,AvgBase[bu_name],$C468,AvgBase[dept_name],$D468,AvgBase[team_consolidation],$K468,AvgBase[location_name],$G468,AvgBase[job_title],$H468))*(AE258+AD258)/2*(1-AE363))</f>
        <v>0</v>
      </c>
      <c r="AF468" s="652">
        <f>IF($B468="",,IF(LEFT($H468,5)="dummy",SUMIFS(AvgBase[Month 21],AvgBase[job_title],$H468),SUMIFS(AvgBase[Month 21],AvgBase[exp_item],$J468,AvgBase[company_name],$B468,AvgBase[bu_name],$C468,AvgBase[dept_name],$D468,AvgBase[team_consolidation],$K468,AvgBase[location_name],$G468,AvgBase[job_title],$H468))*(AF258+AE258)/2*(1-AF363))</f>
        <v>0</v>
      </c>
      <c r="AG468" s="652">
        <f>IF($B468="",,IF(LEFT($H468,5)="dummy",SUMIFS(AvgBase[Month 22],AvgBase[job_title],$H468),SUMIFS(AvgBase[Month 22],AvgBase[exp_item],$J468,AvgBase[company_name],$B468,AvgBase[bu_name],$C468,AvgBase[dept_name],$D468,AvgBase[team_consolidation],$K468,AvgBase[location_name],$G468,AvgBase[job_title],$H468))*(AG258+AF258)/2*(1-AG363))</f>
        <v>0</v>
      </c>
      <c r="AH468" s="652">
        <f>IF($B468="",,IF(LEFT($H468,5)="dummy",SUMIFS(AvgBase[Month 23],AvgBase[job_title],$H468),SUMIFS(AvgBase[Month 23],AvgBase[exp_item],$J468,AvgBase[company_name],$B468,AvgBase[bu_name],$C468,AvgBase[dept_name],$D468,AvgBase[team_consolidation],$K468,AvgBase[location_name],$G468,AvgBase[job_title],$H468))*(AH258+AG258)/2*(1-AH363))</f>
        <v>0</v>
      </c>
      <c r="AI468" s="652">
        <f>IF($B468="",,IF(LEFT($H468,5)="dummy",SUMIFS(AvgBase[Month 24],AvgBase[job_title],$H468),SUMIFS(AvgBase[Month 24],AvgBase[exp_item],$J468,AvgBase[company_name],$B468,AvgBase[bu_name],$C468,AvgBase[dept_name],$D468,AvgBase[team_consolidation],$K468,AvgBase[location_name],$G468,AvgBase[job_title],$H468))*(AI258+AH258)/2*(1-AI363))</f>
        <v>0</v>
      </c>
      <c r="AJ468" s="652">
        <f>IF($B468="",,IF(LEFT($H468,5)="dummy",SUMIFS(AvgBase[Month 25],AvgBase[job_title],$H468),SUMIFS(AvgBase[Month 25],AvgBase[exp_item],$J468,AvgBase[company_name],$B468,AvgBase[bu_name],$C468,AvgBase[dept_name],$D468,AvgBase[team_consolidation],$K468,AvgBase[location_name],$G468,AvgBase[job_title],$H468))*(AJ258+AI258)/2*(1-AJ363))</f>
        <v>0</v>
      </c>
      <c r="AK468" s="652">
        <f>IF($B468="",,IF(LEFT($H468,5)="dummy",SUMIFS(AvgBase[Month 26],AvgBase[job_title],$H468),SUMIFS(AvgBase[Month 26],AvgBase[exp_item],$J468,AvgBase[company_name],$B468,AvgBase[bu_name],$C468,AvgBase[dept_name],$D468,AvgBase[team_consolidation],$K468,AvgBase[location_name],$G468,AvgBase[job_title],$H468))*(AK258+AJ258)/2*(1-AK363))</f>
        <v>0</v>
      </c>
      <c r="AL468" s="652">
        <f>IF($B468="",,IF(LEFT($H468,5)="dummy",SUMIFS(AvgBase[Month 27],AvgBase[job_title],$H468),SUMIFS(AvgBase[Month 27],AvgBase[exp_item],$J468,AvgBase[company_name],$B468,AvgBase[bu_name],$C468,AvgBase[dept_name],$D468,AvgBase[team_consolidation],$K468,AvgBase[location_name],$G468,AvgBase[job_title],$H468))*(AL258+AK258)/2*(1-AL363))</f>
        <v>0</v>
      </c>
      <c r="AM468" s="652">
        <f>IF($B468="",,IF(LEFT($H468,5)="dummy",SUMIFS(AvgBase[Month 28],AvgBase[job_title],$H468),SUMIFS(AvgBase[Month 28],AvgBase[exp_item],$J468,AvgBase[company_name],$B468,AvgBase[bu_name],$C468,AvgBase[dept_name],$D468,AvgBase[team_consolidation],$K468,AvgBase[location_name],$G468,AvgBase[job_title],$H468))*(AM258+AL258)/2*(1-AM363))</f>
        <v>0</v>
      </c>
      <c r="AN468" s="652">
        <f>IF($B468="",,IF(LEFT($H468,5)="dummy",SUMIFS(AvgBase[Month 29],AvgBase[job_title],$H468),SUMIFS(AvgBase[Month 29],AvgBase[exp_item],$J468,AvgBase[company_name],$B468,AvgBase[bu_name],$C468,AvgBase[dept_name],$D468,AvgBase[team_consolidation],$K468,AvgBase[location_name],$G468,AvgBase[job_title],$H468))*(AN258+AM258)/2*(1-AN363))</f>
        <v>0</v>
      </c>
      <c r="AO468" s="652">
        <f>IF($B468="",,IF(LEFT($H468,5)="dummy",SUMIFS(AvgBase[Month 30],AvgBase[job_title],$H468),SUMIFS(AvgBase[Month 30],AvgBase[exp_item],$J468,AvgBase[company_name],$B468,AvgBase[bu_name],$C468,AvgBase[dept_name],$D468,AvgBase[team_consolidation],$K468,AvgBase[location_name],$G468,AvgBase[job_title],$H468))*(AO258+AN258)/2*(1-AO363))</f>
        <v>0</v>
      </c>
      <c r="AP468" s="652">
        <f>IF($B468="",,IF(LEFT($H468,5)="dummy",SUMIFS(AvgBase[Month 31],AvgBase[job_title],$H468),SUMIFS(AvgBase[Month 31],AvgBase[exp_item],$J468,AvgBase[company_name],$B468,AvgBase[bu_name],$C468,AvgBase[dept_name],$D468,AvgBase[team_consolidation],$K468,AvgBase[location_name],$G468,AvgBase[job_title],$H468))*(AP258+AO258)/2*(1-AP363))</f>
        <v>0</v>
      </c>
      <c r="AQ468" s="652">
        <f>IF($B468="",,IF(LEFT($H468,5)="dummy",SUMIFS(AvgBase[Month 32],AvgBase[job_title],$H468),SUMIFS(AvgBase[Month 32],AvgBase[exp_item],$J468,AvgBase[company_name],$B468,AvgBase[bu_name],$C468,AvgBase[dept_name],$D468,AvgBase[team_consolidation],$K468,AvgBase[location_name],$G468,AvgBase[job_title],$H468))*(AQ258+AP258)/2*(1-AQ363))</f>
        <v>0</v>
      </c>
      <c r="AR468" s="652">
        <f>IF($B468="",,IF(LEFT($H468,5)="dummy",SUMIFS(AvgBase[Month 33],AvgBase[job_title],$H468),SUMIFS(AvgBase[Month 33],AvgBase[exp_item],$J468,AvgBase[company_name],$B468,AvgBase[bu_name],$C468,AvgBase[dept_name],$D468,AvgBase[team_consolidation],$K468,AvgBase[location_name],$G468,AvgBase[job_title],$H468))*(AR258+AQ258)/2*(1-AR363))</f>
        <v>0</v>
      </c>
      <c r="AS468" s="652">
        <f>IF($B468="",,IF(LEFT($H468,5)="dummy",SUMIFS(AvgBase[Month 34],AvgBase[job_title],$H468),SUMIFS(AvgBase[Month 34],AvgBase[exp_item],$J468,AvgBase[company_name],$B468,AvgBase[bu_name],$C468,AvgBase[dept_name],$D468,AvgBase[team_consolidation],$K468,AvgBase[location_name],$G468,AvgBase[job_title],$H468))*(AS258+AR258)/2*(1-AS363))</f>
        <v>0</v>
      </c>
      <c r="AT468" s="652">
        <f>IF($B468="",,IF(LEFT($H468,5)="dummy",SUMIFS(AvgBase[Month 35],AvgBase[job_title],$H468),SUMIFS(AvgBase[Month 35],AvgBase[exp_item],$J468,AvgBase[company_name],$B468,AvgBase[bu_name],$C468,AvgBase[dept_name],$D468,AvgBase[team_consolidation],$K468,AvgBase[location_name],$G468,AvgBase[job_title],$H468))*(AT258+AS258)/2*(1-AT363))</f>
        <v>0</v>
      </c>
      <c r="AU468" s="652">
        <f>IF($B468="",,IF(LEFT($H468,5)="dummy",SUMIFS(AvgBase[Month 36],AvgBase[job_title],$H468),SUMIFS(AvgBase[Month 36],AvgBase[exp_item],$J468,AvgBase[company_name],$B468,AvgBase[bu_name],$C468,AvgBase[dept_name],$D468,AvgBase[team_consolidation],$K468,AvgBase[location_name],$G468,AvgBase[job_title],$H468))*(AU258+AT258)/2*(1-AU363))</f>
        <v>0</v>
      </c>
    </row>
    <row r="469" spans="2:47" x14ac:dyDescent="0.35">
      <c r="B469" t="str">
        <f t="shared" si="285"/>
        <v/>
      </c>
      <c r="C469" t="str">
        <f t="shared" si="285"/>
        <v/>
      </c>
      <c r="D469" t="str">
        <f t="shared" si="285"/>
        <v/>
      </c>
      <c r="E469" t="str">
        <f t="shared" si="285"/>
        <v/>
      </c>
      <c r="F469" t="str">
        <f t="shared" si="285"/>
        <v/>
      </c>
      <c r="G469" t="str">
        <f t="shared" si="285"/>
        <v/>
      </c>
      <c r="H469" t="str">
        <f t="shared" si="283"/>
        <v/>
      </c>
      <c r="J469" t="str">
        <f>IF($H469="","",IF(VLOOKUP($B$395,ExpItems[],2,0),$B$395&amp;" - "&amp;INDEX(DivisionMapping[category_code],MATCH($D469&amp;$C469,DivisionMapping[dept_bu],0)),$B$395))</f>
        <v/>
      </c>
      <c r="K469" t="str">
        <f t="shared" si="284"/>
        <v/>
      </c>
      <c r="L469" s="652">
        <f>IF($B469="",,IF(LEFT($H469,5)="dummy",SUMIFS(AvgBase[Month 1],AvgBase[job_title],$H469),SUMIFS(AvgBase[Month 1],AvgBase[exp_item],$J469,AvgBase[company_name],$B469,AvgBase[bu_name],$C469,AvgBase[dept_name],$D469,AvgBase[team_consolidation],$K469,AvgBase[location_name],$G469,AvgBase[job_title],$H469))*L259/2*(1-L364))</f>
        <v>0</v>
      </c>
      <c r="M469" s="652">
        <f>IF($B469="",,IF(LEFT($H469,5)="dummy",SUMIFS(AvgBase[Month 2],AvgBase[job_title],$H469),SUMIFS(AvgBase[Month 2],AvgBase[exp_item],$J469,AvgBase[company_name],$B469,AvgBase[bu_name],$C469,AvgBase[dept_name],$D469,AvgBase[team_consolidation],$K469,AvgBase[location_name],$G469,AvgBase[job_title],$H469))*(M259+L259)/2*(1-M364))</f>
        <v>0</v>
      </c>
      <c r="N469" s="652">
        <f>IF($B469="",,IF(LEFT($H469,5)="dummy",SUMIFS(AvgBase[Month 3],AvgBase[job_title],$H469),SUMIFS(AvgBase[Month 3],AvgBase[exp_item],$J469,AvgBase[company_name],$B469,AvgBase[bu_name],$C469,AvgBase[dept_name],$D469,AvgBase[team_consolidation],$K469,AvgBase[location_name],$G469,AvgBase[job_title],$H469))*(N259+M259)/2*(1-N364))</f>
        <v>0</v>
      </c>
      <c r="O469" s="652">
        <f>IF($B469="",,IF(LEFT($H469,5)="dummy",SUMIFS(AvgBase[Month 4],AvgBase[job_title],$H469),SUMIFS(AvgBase[Month 4],AvgBase[exp_item],$J469,AvgBase[company_name],$B469,AvgBase[bu_name],$C469,AvgBase[dept_name],$D469,AvgBase[team_consolidation],$K469,AvgBase[location_name],$G469,AvgBase[job_title],$H469))*(O259+N259)/2*(1-O364))</f>
        <v>0</v>
      </c>
      <c r="P469" s="652">
        <f>IF($B469="",,IF(LEFT($H469,5)="dummy",SUMIFS(AvgBase[Month 5],AvgBase[job_title],$H469),SUMIFS(AvgBase[Month 5],AvgBase[exp_item],$J469,AvgBase[company_name],$B469,AvgBase[bu_name],$C469,AvgBase[dept_name],$D469,AvgBase[team_consolidation],$K469,AvgBase[location_name],$G469,AvgBase[job_title],$H469))*(P259+O259)/2*(1-P364))</f>
        <v>0</v>
      </c>
      <c r="Q469" s="652">
        <f>IF($B469="",,IF(LEFT($H469,5)="dummy",SUMIFS(AvgBase[Month 6],AvgBase[job_title],$H469),SUMIFS(AvgBase[Month 6],AvgBase[exp_item],$J469,AvgBase[company_name],$B469,AvgBase[bu_name],$C469,AvgBase[dept_name],$D469,AvgBase[team_consolidation],$K469,AvgBase[location_name],$G469,AvgBase[job_title],$H469))*(Q259+P259)/2*(1-Q364))</f>
        <v>0</v>
      </c>
      <c r="R469" s="652">
        <f>IF($B469="",,IF(LEFT($H469,5)="dummy",SUMIFS(AvgBase[Month 7],AvgBase[job_title],$H469),SUMIFS(AvgBase[Month 7],AvgBase[exp_item],$J469,AvgBase[company_name],$B469,AvgBase[bu_name],$C469,AvgBase[dept_name],$D469,AvgBase[team_consolidation],$K469,AvgBase[location_name],$G469,AvgBase[job_title],$H469))*(R259+Q259)/2*(1-R364))</f>
        <v>0</v>
      </c>
      <c r="S469" s="652">
        <f>IF($B469="",,IF(LEFT($H469,5)="dummy",SUMIFS(AvgBase[Month 8],AvgBase[job_title],$H469),SUMIFS(AvgBase[Month 8],AvgBase[exp_item],$J469,AvgBase[company_name],$B469,AvgBase[bu_name],$C469,AvgBase[dept_name],$D469,AvgBase[team_consolidation],$K469,AvgBase[location_name],$G469,AvgBase[job_title],$H469))*(S259+R259)/2*(1-S364))</f>
        <v>0</v>
      </c>
      <c r="T469" s="652">
        <f>IF($B469="",,IF(LEFT($H469,5)="dummy",SUMIFS(AvgBase[Month 9],AvgBase[job_title],$H469),SUMIFS(AvgBase[Month 9],AvgBase[exp_item],$J469,AvgBase[company_name],$B469,AvgBase[bu_name],$C469,AvgBase[dept_name],$D469,AvgBase[team_consolidation],$K469,AvgBase[location_name],$G469,AvgBase[job_title],$H469))*(T259+S259)/2*(1-T364))</f>
        <v>0</v>
      </c>
      <c r="U469" s="652">
        <f>IF($B469="",,IF(LEFT($H469,5)="dummy",SUMIFS(AvgBase[Month 10],AvgBase[job_title],$H469),SUMIFS(AvgBase[Month 10],AvgBase[exp_item],$J469,AvgBase[company_name],$B469,AvgBase[bu_name],$C469,AvgBase[dept_name],$D469,AvgBase[team_consolidation],$K469,AvgBase[location_name],$G469,AvgBase[job_title],$H469))*(U259+T259)/2*(1-U364))</f>
        <v>0</v>
      </c>
      <c r="V469" s="652">
        <f>IF($B469="",,IF(LEFT($H469,5)="dummy",SUMIFS(AvgBase[Month 11],AvgBase[job_title],$H469),SUMIFS(AvgBase[Month 11],AvgBase[exp_item],$J469,AvgBase[company_name],$B469,AvgBase[bu_name],$C469,AvgBase[dept_name],$D469,AvgBase[team_consolidation],$K469,AvgBase[location_name],$G469,AvgBase[job_title],$H469))*(V259+U259)/2*(1-V364))</f>
        <v>0</v>
      </c>
      <c r="W469" s="652">
        <f>IF($B469="",,IF(LEFT($H469,5)="dummy",SUMIFS(AvgBase[Month 12],AvgBase[job_title],$H469),SUMIFS(AvgBase[Month 12],AvgBase[exp_item],$J469,AvgBase[company_name],$B469,AvgBase[bu_name],$C469,AvgBase[dept_name],$D469,AvgBase[team_consolidation],$K469,AvgBase[location_name],$G469,AvgBase[job_title],$H469))*(W259+V259)/2*(1-W364))</f>
        <v>0</v>
      </c>
      <c r="X469" s="652">
        <f>IF($B469="",,IF(LEFT($H469,5)="dummy",SUMIFS(AvgBase[Month 13],AvgBase[job_title],$H469),SUMIFS(AvgBase[Month 13],AvgBase[exp_item],$J469,AvgBase[company_name],$B469,AvgBase[bu_name],$C469,AvgBase[dept_name],$D469,AvgBase[team_consolidation],$K469,AvgBase[location_name],$G469,AvgBase[job_title],$H469))*(X259+W259)/2*(1-X364))</f>
        <v>0</v>
      </c>
      <c r="Y469" s="652">
        <f>IF($B469="",,IF(LEFT($H469,5)="dummy",SUMIFS(AvgBase[Month 14],AvgBase[job_title],$H469),SUMIFS(AvgBase[Month 14],AvgBase[exp_item],$J469,AvgBase[company_name],$B469,AvgBase[bu_name],$C469,AvgBase[dept_name],$D469,AvgBase[team_consolidation],$K469,AvgBase[location_name],$G469,AvgBase[job_title],$H469))*(Y259+X259)/2*(1-Y364))</f>
        <v>0</v>
      </c>
      <c r="Z469" s="652">
        <f>IF($B469="",,IF(LEFT($H469,5)="dummy",SUMIFS(AvgBase[Month 15],AvgBase[job_title],$H469),SUMIFS(AvgBase[Month 15],AvgBase[exp_item],$J469,AvgBase[company_name],$B469,AvgBase[bu_name],$C469,AvgBase[dept_name],$D469,AvgBase[team_consolidation],$K469,AvgBase[location_name],$G469,AvgBase[job_title],$H469))*(Z259+Y259)/2*(1-Z364))</f>
        <v>0</v>
      </c>
      <c r="AA469" s="652">
        <f>IF($B469="",,IF(LEFT($H469,5)="dummy",SUMIFS(AvgBase[Month 16],AvgBase[job_title],$H469),SUMIFS(AvgBase[Month 16],AvgBase[exp_item],$J469,AvgBase[company_name],$B469,AvgBase[bu_name],$C469,AvgBase[dept_name],$D469,AvgBase[team_consolidation],$K469,AvgBase[location_name],$G469,AvgBase[job_title],$H469))*(AA259+Z259)/2*(1-AA364))</f>
        <v>0</v>
      </c>
      <c r="AB469" s="652">
        <f>IF($B469="",,IF(LEFT($H469,5)="dummy",SUMIFS(AvgBase[Month 17],AvgBase[job_title],$H469),SUMIFS(AvgBase[Month 17],AvgBase[exp_item],$J469,AvgBase[company_name],$B469,AvgBase[bu_name],$C469,AvgBase[dept_name],$D469,AvgBase[team_consolidation],$K469,AvgBase[location_name],$G469,AvgBase[job_title],$H469))*(AB259+AA259)/2*(1-AB364))</f>
        <v>0</v>
      </c>
      <c r="AC469" s="652">
        <f>IF($B469="",,IF(LEFT($H469,5)="dummy",SUMIFS(AvgBase[Month 18],AvgBase[job_title],$H469),SUMIFS(AvgBase[Month 18],AvgBase[exp_item],$J469,AvgBase[company_name],$B469,AvgBase[bu_name],$C469,AvgBase[dept_name],$D469,AvgBase[team_consolidation],$K469,AvgBase[location_name],$G469,AvgBase[job_title],$H469))*(AC259+AB259)/2*(1-AC364))</f>
        <v>0</v>
      </c>
      <c r="AD469" s="652">
        <f>IF($B469="",,IF(LEFT($H469,5)="dummy",SUMIFS(AvgBase[Month 19],AvgBase[job_title],$H469),SUMIFS(AvgBase[Month 19],AvgBase[exp_item],$J469,AvgBase[company_name],$B469,AvgBase[bu_name],$C469,AvgBase[dept_name],$D469,AvgBase[team_consolidation],$K469,AvgBase[location_name],$G469,AvgBase[job_title],$H469))*(AD259+AC259)/2*(1-AD364))</f>
        <v>0</v>
      </c>
      <c r="AE469" s="652">
        <f>IF($B469="",,IF(LEFT($H469,5)="dummy",SUMIFS(AvgBase[Month 20],AvgBase[job_title],$H469),SUMIFS(AvgBase[Month 20],AvgBase[exp_item],$J469,AvgBase[company_name],$B469,AvgBase[bu_name],$C469,AvgBase[dept_name],$D469,AvgBase[team_consolidation],$K469,AvgBase[location_name],$G469,AvgBase[job_title],$H469))*(AE259+AD259)/2*(1-AE364))</f>
        <v>0</v>
      </c>
      <c r="AF469" s="652">
        <f>IF($B469="",,IF(LEFT($H469,5)="dummy",SUMIFS(AvgBase[Month 21],AvgBase[job_title],$H469),SUMIFS(AvgBase[Month 21],AvgBase[exp_item],$J469,AvgBase[company_name],$B469,AvgBase[bu_name],$C469,AvgBase[dept_name],$D469,AvgBase[team_consolidation],$K469,AvgBase[location_name],$G469,AvgBase[job_title],$H469))*(AF259+AE259)/2*(1-AF364))</f>
        <v>0</v>
      </c>
      <c r="AG469" s="652">
        <f>IF($B469="",,IF(LEFT($H469,5)="dummy",SUMIFS(AvgBase[Month 22],AvgBase[job_title],$H469),SUMIFS(AvgBase[Month 22],AvgBase[exp_item],$J469,AvgBase[company_name],$B469,AvgBase[bu_name],$C469,AvgBase[dept_name],$D469,AvgBase[team_consolidation],$K469,AvgBase[location_name],$G469,AvgBase[job_title],$H469))*(AG259+AF259)/2*(1-AG364))</f>
        <v>0</v>
      </c>
      <c r="AH469" s="652">
        <f>IF($B469="",,IF(LEFT($H469,5)="dummy",SUMIFS(AvgBase[Month 23],AvgBase[job_title],$H469),SUMIFS(AvgBase[Month 23],AvgBase[exp_item],$J469,AvgBase[company_name],$B469,AvgBase[bu_name],$C469,AvgBase[dept_name],$D469,AvgBase[team_consolidation],$K469,AvgBase[location_name],$G469,AvgBase[job_title],$H469))*(AH259+AG259)/2*(1-AH364))</f>
        <v>0</v>
      </c>
      <c r="AI469" s="652">
        <f>IF($B469="",,IF(LEFT($H469,5)="dummy",SUMIFS(AvgBase[Month 24],AvgBase[job_title],$H469),SUMIFS(AvgBase[Month 24],AvgBase[exp_item],$J469,AvgBase[company_name],$B469,AvgBase[bu_name],$C469,AvgBase[dept_name],$D469,AvgBase[team_consolidation],$K469,AvgBase[location_name],$G469,AvgBase[job_title],$H469))*(AI259+AH259)/2*(1-AI364))</f>
        <v>0</v>
      </c>
      <c r="AJ469" s="652">
        <f>IF($B469="",,IF(LEFT($H469,5)="dummy",SUMIFS(AvgBase[Month 25],AvgBase[job_title],$H469),SUMIFS(AvgBase[Month 25],AvgBase[exp_item],$J469,AvgBase[company_name],$B469,AvgBase[bu_name],$C469,AvgBase[dept_name],$D469,AvgBase[team_consolidation],$K469,AvgBase[location_name],$G469,AvgBase[job_title],$H469))*(AJ259+AI259)/2*(1-AJ364))</f>
        <v>0</v>
      </c>
      <c r="AK469" s="652">
        <f>IF($B469="",,IF(LEFT($H469,5)="dummy",SUMIFS(AvgBase[Month 26],AvgBase[job_title],$H469),SUMIFS(AvgBase[Month 26],AvgBase[exp_item],$J469,AvgBase[company_name],$B469,AvgBase[bu_name],$C469,AvgBase[dept_name],$D469,AvgBase[team_consolidation],$K469,AvgBase[location_name],$G469,AvgBase[job_title],$H469))*(AK259+AJ259)/2*(1-AK364))</f>
        <v>0</v>
      </c>
      <c r="AL469" s="652">
        <f>IF($B469="",,IF(LEFT($H469,5)="dummy",SUMIFS(AvgBase[Month 27],AvgBase[job_title],$H469),SUMIFS(AvgBase[Month 27],AvgBase[exp_item],$J469,AvgBase[company_name],$B469,AvgBase[bu_name],$C469,AvgBase[dept_name],$D469,AvgBase[team_consolidation],$K469,AvgBase[location_name],$G469,AvgBase[job_title],$H469))*(AL259+AK259)/2*(1-AL364))</f>
        <v>0</v>
      </c>
      <c r="AM469" s="652">
        <f>IF($B469="",,IF(LEFT($H469,5)="dummy",SUMIFS(AvgBase[Month 28],AvgBase[job_title],$H469),SUMIFS(AvgBase[Month 28],AvgBase[exp_item],$J469,AvgBase[company_name],$B469,AvgBase[bu_name],$C469,AvgBase[dept_name],$D469,AvgBase[team_consolidation],$K469,AvgBase[location_name],$G469,AvgBase[job_title],$H469))*(AM259+AL259)/2*(1-AM364))</f>
        <v>0</v>
      </c>
      <c r="AN469" s="652">
        <f>IF($B469="",,IF(LEFT($H469,5)="dummy",SUMIFS(AvgBase[Month 29],AvgBase[job_title],$H469),SUMIFS(AvgBase[Month 29],AvgBase[exp_item],$J469,AvgBase[company_name],$B469,AvgBase[bu_name],$C469,AvgBase[dept_name],$D469,AvgBase[team_consolidation],$K469,AvgBase[location_name],$G469,AvgBase[job_title],$H469))*(AN259+AM259)/2*(1-AN364))</f>
        <v>0</v>
      </c>
      <c r="AO469" s="652">
        <f>IF($B469="",,IF(LEFT($H469,5)="dummy",SUMIFS(AvgBase[Month 30],AvgBase[job_title],$H469),SUMIFS(AvgBase[Month 30],AvgBase[exp_item],$J469,AvgBase[company_name],$B469,AvgBase[bu_name],$C469,AvgBase[dept_name],$D469,AvgBase[team_consolidation],$K469,AvgBase[location_name],$G469,AvgBase[job_title],$H469))*(AO259+AN259)/2*(1-AO364))</f>
        <v>0</v>
      </c>
      <c r="AP469" s="652">
        <f>IF($B469="",,IF(LEFT($H469,5)="dummy",SUMIFS(AvgBase[Month 31],AvgBase[job_title],$H469),SUMIFS(AvgBase[Month 31],AvgBase[exp_item],$J469,AvgBase[company_name],$B469,AvgBase[bu_name],$C469,AvgBase[dept_name],$D469,AvgBase[team_consolidation],$K469,AvgBase[location_name],$G469,AvgBase[job_title],$H469))*(AP259+AO259)/2*(1-AP364))</f>
        <v>0</v>
      </c>
      <c r="AQ469" s="652">
        <f>IF($B469="",,IF(LEFT($H469,5)="dummy",SUMIFS(AvgBase[Month 32],AvgBase[job_title],$H469),SUMIFS(AvgBase[Month 32],AvgBase[exp_item],$J469,AvgBase[company_name],$B469,AvgBase[bu_name],$C469,AvgBase[dept_name],$D469,AvgBase[team_consolidation],$K469,AvgBase[location_name],$G469,AvgBase[job_title],$H469))*(AQ259+AP259)/2*(1-AQ364))</f>
        <v>0</v>
      </c>
      <c r="AR469" s="652">
        <f>IF($B469="",,IF(LEFT($H469,5)="dummy",SUMIFS(AvgBase[Month 33],AvgBase[job_title],$H469),SUMIFS(AvgBase[Month 33],AvgBase[exp_item],$J469,AvgBase[company_name],$B469,AvgBase[bu_name],$C469,AvgBase[dept_name],$D469,AvgBase[team_consolidation],$K469,AvgBase[location_name],$G469,AvgBase[job_title],$H469))*(AR259+AQ259)/2*(1-AR364))</f>
        <v>0</v>
      </c>
      <c r="AS469" s="652">
        <f>IF($B469="",,IF(LEFT($H469,5)="dummy",SUMIFS(AvgBase[Month 34],AvgBase[job_title],$H469),SUMIFS(AvgBase[Month 34],AvgBase[exp_item],$J469,AvgBase[company_name],$B469,AvgBase[bu_name],$C469,AvgBase[dept_name],$D469,AvgBase[team_consolidation],$K469,AvgBase[location_name],$G469,AvgBase[job_title],$H469))*(AS259+AR259)/2*(1-AS364))</f>
        <v>0</v>
      </c>
      <c r="AT469" s="652">
        <f>IF($B469="",,IF(LEFT($H469,5)="dummy",SUMIFS(AvgBase[Month 35],AvgBase[job_title],$H469),SUMIFS(AvgBase[Month 35],AvgBase[exp_item],$J469,AvgBase[company_name],$B469,AvgBase[bu_name],$C469,AvgBase[dept_name],$D469,AvgBase[team_consolidation],$K469,AvgBase[location_name],$G469,AvgBase[job_title],$H469))*(AT259+AS259)/2*(1-AT364))</f>
        <v>0</v>
      </c>
      <c r="AU469" s="652">
        <f>IF($B469="",,IF(LEFT($H469,5)="dummy",SUMIFS(AvgBase[Month 36],AvgBase[job_title],$H469),SUMIFS(AvgBase[Month 36],AvgBase[exp_item],$J469,AvgBase[company_name],$B469,AvgBase[bu_name],$C469,AvgBase[dept_name],$D469,AvgBase[team_consolidation],$K469,AvgBase[location_name],$G469,AvgBase[job_title],$H469))*(AU259+AT259)/2*(1-AU364))</f>
        <v>0</v>
      </c>
    </row>
    <row r="470" spans="2:47" x14ac:dyDescent="0.35">
      <c r="B470" t="str">
        <f t="shared" si="285"/>
        <v/>
      </c>
      <c r="C470" t="str">
        <f t="shared" si="285"/>
        <v/>
      </c>
      <c r="D470" t="str">
        <f t="shared" si="285"/>
        <v/>
      </c>
      <c r="E470" t="str">
        <f t="shared" si="285"/>
        <v/>
      </c>
      <c r="F470" t="str">
        <f t="shared" si="285"/>
        <v/>
      </c>
      <c r="G470" t="str">
        <f t="shared" si="285"/>
        <v/>
      </c>
      <c r="H470" t="str">
        <f t="shared" si="283"/>
        <v/>
      </c>
      <c r="J470" t="str">
        <f>IF($H470="","",IF(VLOOKUP($B$395,ExpItems[],2,0),$B$395&amp;" - "&amp;INDEX(DivisionMapping[category_code],MATCH($D470&amp;$C470,DivisionMapping[dept_bu],0)),$B$395))</f>
        <v/>
      </c>
      <c r="K470" t="str">
        <f t="shared" si="284"/>
        <v/>
      </c>
      <c r="L470" s="652">
        <f>IF($B470="",,IF(LEFT($H470,5)="dummy",SUMIFS(AvgBase[Month 1],AvgBase[job_title],$H470),SUMIFS(AvgBase[Month 1],AvgBase[exp_item],$J470,AvgBase[company_name],$B470,AvgBase[bu_name],$C470,AvgBase[dept_name],$D470,AvgBase[team_consolidation],$K470,AvgBase[location_name],$G470,AvgBase[job_title],$H470))*L260/2*(1-L365))</f>
        <v>0</v>
      </c>
      <c r="M470" s="652">
        <f>IF($B470="",,IF(LEFT($H470,5)="dummy",SUMIFS(AvgBase[Month 2],AvgBase[job_title],$H470),SUMIFS(AvgBase[Month 2],AvgBase[exp_item],$J470,AvgBase[company_name],$B470,AvgBase[bu_name],$C470,AvgBase[dept_name],$D470,AvgBase[team_consolidation],$K470,AvgBase[location_name],$G470,AvgBase[job_title],$H470))*(M260+L260)/2*(1-M365))</f>
        <v>0</v>
      </c>
      <c r="N470" s="652">
        <f>IF($B470="",,IF(LEFT($H470,5)="dummy",SUMIFS(AvgBase[Month 3],AvgBase[job_title],$H470),SUMIFS(AvgBase[Month 3],AvgBase[exp_item],$J470,AvgBase[company_name],$B470,AvgBase[bu_name],$C470,AvgBase[dept_name],$D470,AvgBase[team_consolidation],$K470,AvgBase[location_name],$G470,AvgBase[job_title],$H470))*(N260+M260)/2*(1-N365))</f>
        <v>0</v>
      </c>
      <c r="O470" s="652">
        <f>IF($B470="",,IF(LEFT($H470,5)="dummy",SUMIFS(AvgBase[Month 4],AvgBase[job_title],$H470),SUMIFS(AvgBase[Month 4],AvgBase[exp_item],$J470,AvgBase[company_name],$B470,AvgBase[bu_name],$C470,AvgBase[dept_name],$D470,AvgBase[team_consolidation],$K470,AvgBase[location_name],$G470,AvgBase[job_title],$H470))*(O260+N260)/2*(1-O365))</f>
        <v>0</v>
      </c>
      <c r="P470" s="652">
        <f>IF($B470="",,IF(LEFT($H470,5)="dummy",SUMIFS(AvgBase[Month 5],AvgBase[job_title],$H470),SUMIFS(AvgBase[Month 5],AvgBase[exp_item],$J470,AvgBase[company_name],$B470,AvgBase[bu_name],$C470,AvgBase[dept_name],$D470,AvgBase[team_consolidation],$K470,AvgBase[location_name],$G470,AvgBase[job_title],$H470))*(P260+O260)/2*(1-P365))</f>
        <v>0</v>
      </c>
      <c r="Q470" s="652">
        <f>IF($B470="",,IF(LEFT($H470,5)="dummy",SUMIFS(AvgBase[Month 6],AvgBase[job_title],$H470),SUMIFS(AvgBase[Month 6],AvgBase[exp_item],$J470,AvgBase[company_name],$B470,AvgBase[bu_name],$C470,AvgBase[dept_name],$D470,AvgBase[team_consolidation],$K470,AvgBase[location_name],$G470,AvgBase[job_title],$H470))*(Q260+P260)/2*(1-Q365))</f>
        <v>0</v>
      </c>
      <c r="R470" s="652">
        <f>IF($B470="",,IF(LEFT($H470,5)="dummy",SUMIFS(AvgBase[Month 7],AvgBase[job_title],$H470),SUMIFS(AvgBase[Month 7],AvgBase[exp_item],$J470,AvgBase[company_name],$B470,AvgBase[bu_name],$C470,AvgBase[dept_name],$D470,AvgBase[team_consolidation],$K470,AvgBase[location_name],$G470,AvgBase[job_title],$H470))*(R260+Q260)/2*(1-R365))</f>
        <v>0</v>
      </c>
      <c r="S470" s="652">
        <f>IF($B470="",,IF(LEFT($H470,5)="dummy",SUMIFS(AvgBase[Month 8],AvgBase[job_title],$H470),SUMIFS(AvgBase[Month 8],AvgBase[exp_item],$J470,AvgBase[company_name],$B470,AvgBase[bu_name],$C470,AvgBase[dept_name],$D470,AvgBase[team_consolidation],$K470,AvgBase[location_name],$G470,AvgBase[job_title],$H470))*(S260+R260)/2*(1-S365))</f>
        <v>0</v>
      </c>
      <c r="T470" s="652">
        <f>IF($B470="",,IF(LEFT($H470,5)="dummy",SUMIFS(AvgBase[Month 9],AvgBase[job_title],$H470),SUMIFS(AvgBase[Month 9],AvgBase[exp_item],$J470,AvgBase[company_name],$B470,AvgBase[bu_name],$C470,AvgBase[dept_name],$D470,AvgBase[team_consolidation],$K470,AvgBase[location_name],$G470,AvgBase[job_title],$H470))*(T260+S260)/2*(1-T365))</f>
        <v>0</v>
      </c>
      <c r="U470" s="652">
        <f>IF($B470="",,IF(LEFT($H470,5)="dummy",SUMIFS(AvgBase[Month 10],AvgBase[job_title],$H470),SUMIFS(AvgBase[Month 10],AvgBase[exp_item],$J470,AvgBase[company_name],$B470,AvgBase[bu_name],$C470,AvgBase[dept_name],$D470,AvgBase[team_consolidation],$K470,AvgBase[location_name],$G470,AvgBase[job_title],$H470))*(U260+T260)/2*(1-U365))</f>
        <v>0</v>
      </c>
      <c r="V470" s="652">
        <f>IF($B470="",,IF(LEFT($H470,5)="dummy",SUMIFS(AvgBase[Month 11],AvgBase[job_title],$H470),SUMIFS(AvgBase[Month 11],AvgBase[exp_item],$J470,AvgBase[company_name],$B470,AvgBase[bu_name],$C470,AvgBase[dept_name],$D470,AvgBase[team_consolidation],$K470,AvgBase[location_name],$G470,AvgBase[job_title],$H470))*(V260+U260)/2*(1-V365))</f>
        <v>0</v>
      </c>
      <c r="W470" s="652">
        <f>IF($B470="",,IF(LEFT($H470,5)="dummy",SUMIFS(AvgBase[Month 12],AvgBase[job_title],$H470),SUMIFS(AvgBase[Month 12],AvgBase[exp_item],$J470,AvgBase[company_name],$B470,AvgBase[bu_name],$C470,AvgBase[dept_name],$D470,AvgBase[team_consolidation],$K470,AvgBase[location_name],$G470,AvgBase[job_title],$H470))*(W260+V260)/2*(1-W365))</f>
        <v>0</v>
      </c>
      <c r="X470" s="652">
        <f>IF($B470="",,IF(LEFT($H470,5)="dummy",SUMIFS(AvgBase[Month 13],AvgBase[job_title],$H470),SUMIFS(AvgBase[Month 13],AvgBase[exp_item],$J470,AvgBase[company_name],$B470,AvgBase[bu_name],$C470,AvgBase[dept_name],$D470,AvgBase[team_consolidation],$K470,AvgBase[location_name],$G470,AvgBase[job_title],$H470))*(X260+W260)/2*(1-X365))</f>
        <v>0</v>
      </c>
      <c r="Y470" s="652">
        <f>IF($B470="",,IF(LEFT($H470,5)="dummy",SUMIFS(AvgBase[Month 14],AvgBase[job_title],$H470),SUMIFS(AvgBase[Month 14],AvgBase[exp_item],$J470,AvgBase[company_name],$B470,AvgBase[bu_name],$C470,AvgBase[dept_name],$D470,AvgBase[team_consolidation],$K470,AvgBase[location_name],$G470,AvgBase[job_title],$H470))*(Y260+X260)/2*(1-Y365))</f>
        <v>0</v>
      </c>
      <c r="Z470" s="652">
        <f>IF($B470="",,IF(LEFT($H470,5)="dummy",SUMIFS(AvgBase[Month 15],AvgBase[job_title],$H470),SUMIFS(AvgBase[Month 15],AvgBase[exp_item],$J470,AvgBase[company_name],$B470,AvgBase[bu_name],$C470,AvgBase[dept_name],$D470,AvgBase[team_consolidation],$K470,AvgBase[location_name],$G470,AvgBase[job_title],$H470))*(Z260+Y260)/2*(1-Z365))</f>
        <v>0</v>
      </c>
      <c r="AA470" s="652">
        <f>IF($B470="",,IF(LEFT($H470,5)="dummy",SUMIFS(AvgBase[Month 16],AvgBase[job_title],$H470),SUMIFS(AvgBase[Month 16],AvgBase[exp_item],$J470,AvgBase[company_name],$B470,AvgBase[bu_name],$C470,AvgBase[dept_name],$D470,AvgBase[team_consolidation],$K470,AvgBase[location_name],$G470,AvgBase[job_title],$H470))*(AA260+Z260)/2*(1-AA365))</f>
        <v>0</v>
      </c>
      <c r="AB470" s="652">
        <f>IF($B470="",,IF(LEFT($H470,5)="dummy",SUMIFS(AvgBase[Month 17],AvgBase[job_title],$H470),SUMIFS(AvgBase[Month 17],AvgBase[exp_item],$J470,AvgBase[company_name],$B470,AvgBase[bu_name],$C470,AvgBase[dept_name],$D470,AvgBase[team_consolidation],$K470,AvgBase[location_name],$G470,AvgBase[job_title],$H470))*(AB260+AA260)/2*(1-AB365))</f>
        <v>0</v>
      </c>
      <c r="AC470" s="652">
        <f>IF($B470="",,IF(LEFT($H470,5)="dummy",SUMIFS(AvgBase[Month 18],AvgBase[job_title],$H470),SUMIFS(AvgBase[Month 18],AvgBase[exp_item],$J470,AvgBase[company_name],$B470,AvgBase[bu_name],$C470,AvgBase[dept_name],$D470,AvgBase[team_consolidation],$K470,AvgBase[location_name],$G470,AvgBase[job_title],$H470))*(AC260+AB260)/2*(1-AC365))</f>
        <v>0</v>
      </c>
      <c r="AD470" s="652">
        <f>IF($B470="",,IF(LEFT($H470,5)="dummy",SUMIFS(AvgBase[Month 19],AvgBase[job_title],$H470),SUMIFS(AvgBase[Month 19],AvgBase[exp_item],$J470,AvgBase[company_name],$B470,AvgBase[bu_name],$C470,AvgBase[dept_name],$D470,AvgBase[team_consolidation],$K470,AvgBase[location_name],$G470,AvgBase[job_title],$H470))*(AD260+AC260)/2*(1-AD365))</f>
        <v>0</v>
      </c>
      <c r="AE470" s="652">
        <f>IF($B470="",,IF(LEFT($H470,5)="dummy",SUMIFS(AvgBase[Month 20],AvgBase[job_title],$H470),SUMIFS(AvgBase[Month 20],AvgBase[exp_item],$J470,AvgBase[company_name],$B470,AvgBase[bu_name],$C470,AvgBase[dept_name],$D470,AvgBase[team_consolidation],$K470,AvgBase[location_name],$G470,AvgBase[job_title],$H470))*(AE260+AD260)/2*(1-AE365))</f>
        <v>0</v>
      </c>
      <c r="AF470" s="652">
        <f>IF($B470="",,IF(LEFT($H470,5)="dummy",SUMIFS(AvgBase[Month 21],AvgBase[job_title],$H470),SUMIFS(AvgBase[Month 21],AvgBase[exp_item],$J470,AvgBase[company_name],$B470,AvgBase[bu_name],$C470,AvgBase[dept_name],$D470,AvgBase[team_consolidation],$K470,AvgBase[location_name],$G470,AvgBase[job_title],$H470))*(AF260+AE260)/2*(1-AF365))</f>
        <v>0</v>
      </c>
      <c r="AG470" s="652">
        <f>IF($B470="",,IF(LEFT($H470,5)="dummy",SUMIFS(AvgBase[Month 22],AvgBase[job_title],$H470),SUMIFS(AvgBase[Month 22],AvgBase[exp_item],$J470,AvgBase[company_name],$B470,AvgBase[bu_name],$C470,AvgBase[dept_name],$D470,AvgBase[team_consolidation],$K470,AvgBase[location_name],$G470,AvgBase[job_title],$H470))*(AG260+AF260)/2*(1-AG365))</f>
        <v>0</v>
      </c>
      <c r="AH470" s="652">
        <f>IF($B470="",,IF(LEFT($H470,5)="dummy",SUMIFS(AvgBase[Month 23],AvgBase[job_title],$H470),SUMIFS(AvgBase[Month 23],AvgBase[exp_item],$J470,AvgBase[company_name],$B470,AvgBase[bu_name],$C470,AvgBase[dept_name],$D470,AvgBase[team_consolidation],$K470,AvgBase[location_name],$G470,AvgBase[job_title],$H470))*(AH260+AG260)/2*(1-AH365))</f>
        <v>0</v>
      </c>
      <c r="AI470" s="652">
        <f>IF($B470="",,IF(LEFT($H470,5)="dummy",SUMIFS(AvgBase[Month 24],AvgBase[job_title],$H470),SUMIFS(AvgBase[Month 24],AvgBase[exp_item],$J470,AvgBase[company_name],$B470,AvgBase[bu_name],$C470,AvgBase[dept_name],$D470,AvgBase[team_consolidation],$K470,AvgBase[location_name],$G470,AvgBase[job_title],$H470))*(AI260+AH260)/2*(1-AI365))</f>
        <v>0</v>
      </c>
      <c r="AJ470" s="652">
        <f>IF($B470="",,IF(LEFT($H470,5)="dummy",SUMIFS(AvgBase[Month 25],AvgBase[job_title],$H470),SUMIFS(AvgBase[Month 25],AvgBase[exp_item],$J470,AvgBase[company_name],$B470,AvgBase[bu_name],$C470,AvgBase[dept_name],$D470,AvgBase[team_consolidation],$K470,AvgBase[location_name],$G470,AvgBase[job_title],$H470))*(AJ260+AI260)/2*(1-AJ365))</f>
        <v>0</v>
      </c>
      <c r="AK470" s="652">
        <f>IF($B470="",,IF(LEFT($H470,5)="dummy",SUMIFS(AvgBase[Month 26],AvgBase[job_title],$H470),SUMIFS(AvgBase[Month 26],AvgBase[exp_item],$J470,AvgBase[company_name],$B470,AvgBase[bu_name],$C470,AvgBase[dept_name],$D470,AvgBase[team_consolidation],$K470,AvgBase[location_name],$G470,AvgBase[job_title],$H470))*(AK260+AJ260)/2*(1-AK365))</f>
        <v>0</v>
      </c>
      <c r="AL470" s="652">
        <f>IF($B470="",,IF(LEFT($H470,5)="dummy",SUMIFS(AvgBase[Month 27],AvgBase[job_title],$H470),SUMIFS(AvgBase[Month 27],AvgBase[exp_item],$J470,AvgBase[company_name],$B470,AvgBase[bu_name],$C470,AvgBase[dept_name],$D470,AvgBase[team_consolidation],$K470,AvgBase[location_name],$G470,AvgBase[job_title],$H470))*(AL260+AK260)/2*(1-AL365))</f>
        <v>0</v>
      </c>
      <c r="AM470" s="652">
        <f>IF($B470="",,IF(LEFT($H470,5)="dummy",SUMIFS(AvgBase[Month 28],AvgBase[job_title],$H470),SUMIFS(AvgBase[Month 28],AvgBase[exp_item],$J470,AvgBase[company_name],$B470,AvgBase[bu_name],$C470,AvgBase[dept_name],$D470,AvgBase[team_consolidation],$K470,AvgBase[location_name],$G470,AvgBase[job_title],$H470))*(AM260+AL260)/2*(1-AM365))</f>
        <v>0</v>
      </c>
      <c r="AN470" s="652">
        <f>IF($B470="",,IF(LEFT($H470,5)="dummy",SUMIFS(AvgBase[Month 29],AvgBase[job_title],$H470),SUMIFS(AvgBase[Month 29],AvgBase[exp_item],$J470,AvgBase[company_name],$B470,AvgBase[bu_name],$C470,AvgBase[dept_name],$D470,AvgBase[team_consolidation],$K470,AvgBase[location_name],$G470,AvgBase[job_title],$H470))*(AN260+AM260)/2*(1-AN365))</f>
        <v>0</v>
      </c>
      <c r="AO470" s="652">
        <f>IF($B470="",,IF(LEFT($H470,5)="dummy",SUMIFS(AvgBase[Month 30],AvgBase[job_title],$H470),SUMIFS(AvgBase[Month 30],AvgBase[exp_item],$J470,AvgBase[company_name],$B470,AvgBase[bu_name],$C470,AvgBase[dept_name],$D470,AvgBase[team_consolidation],$K470,AvgBase[location_name],$G470,AvgBase[job_title],$H470))*(AO260+AN260)/2*(1-AO365))</f>
        <v>0</v>
      </c>
      <c r="AP470" s="652">
        <f>IF($B470="",,IF(LEFT($H470,5)="dummy",SUMIFS(AvgBase[Month 31],AvgBase[job_title],$H470),SUMIFS(AvgBase[Month 31],AvgBase[exp_item],$J470,AvgBase[company_name],$B470,AvgBase[bu_name],$C470,AvgBase[dept_name],$D470,AvgBase[team_consolidation],$K470,AvgBase[location_name],$G470,AvgBase[job_title],$H470))*(AP260+AO260)/2*(1-AP365))</f>
        <v>0</v>
      </c>
      <c r="AQ470" s="652">
        <f>IF($B470="",,IF(LEFT($H470,5)="dummy",SUMIFS(AvgBase[Month 32],AvgBase[job_title],$H470),SUMIFS(AvgBase[Month 32],AvgBase[exp_item],$J470,AvgBase[company_name],$B470,AvgBase[bu_name],$C470,AvgBase[dept_name],$D470,AvgBase[team_consolidation],$K470,AvgBase[location_name],$G470,AvgBase[job_title],$H470))*(AQ260+AP260)/2*(1-AQ365))</f>
        <v>0</v>
      </c>
      <c r="AR470" s="652">
        <f>IF($B470="",,IF(LEFT($H470,5)="dummy",SUMIFS(AvgBase[Month 33],AvgBase[job_title],$H470),SUMIFS(AvgBase[Month 33],AvgBase[exp_item],$J470,AvgBase[company_name],$B470,AvgBase[bu_name],$C470,AvgBase[dept_name],$D470,AvgBase[team_consolidation],$K470,AvgBase[location_name],$G470,AvgBase[job_title],$H470))*(AR260+AQ260)/2*(1-AR365))</f>
        <v>0</v>
      </c>
      <c r="AS470" s="652">
        <f>IF($B470="",,IF(LEFT($H470,5)="dummy",SUMIFS(AvgBase[Month 34],AvgBase[job_title],$H470),SUMIFS(AvgBase[Month 34],AvgBase[exp_item],$J470,AvgBase[company_name],$B470,AvgBase[bu_name],$C470,AvgBase[dept_name],$D470,AvgBase[team_consolidation],$K470,AvgBase[location_name],$G470,AvgBase[job_title],$H470))*(AS260+AR260)/2*(1-AS365))</f>
        <v>0</v>
      </c>
      <c r="AT470" s="652">
        <f>IF($B470="",,IF(LEFT($H470,5)="dummy",SUMIFS(AvgBase[Month 35],AvgBase[job_title],$H470),SUMIFS(AvgBase[Month 35],AvgBase[exp_item],$J470,AvgBase[company_name],$B470,AvgBase[bu_name],$C470,AvgBase[dept_name],$D470,AvgBase[team_consolidation],$K470,AvgBase[location_name],$G470,AvgBase[job_title],$H470))*(AT260+AS260)/2*(1-AT365))</f>
        <v>0</v>
      </c>
      <c r="AU470" s="652">
        <f>IF($B470="",,IF(LEFT($H470,5)="dummy",SUMIFS(AvgBase[Month 36],AvgBase[job_title],$H470),SUMIFS(AvgBase[Month 36],AvgBase[exp_item],$J470,AvgBase[company_name],$B470,AvgBase[bu_name],$C470,AvgBase[dept_name],$D470,AvgBase[team_consolidation],$K470,AvgBase[location_name],$G470,AvgBase[job_title],$H470))*(AU260+AT260)/2*(1-AU365))</f>
        <v>0</v>
      </c>
    </row>
    <row r="471" spans="2:47" x14ac:dyDescent="0.35">
      <c r="B471" t="str">
        <f t="shared" si="285"/>
        <v/>
      </c>
      <c r="C471" t="str">
        <f t="shared" si="285"/>
        <v/>
      </c>
      <c r="D471" t="str">
        <f t="shared" si="285"/>
        <v/>
      </c>
      <c r="E471" t="str">
        <f t="shared" si="285"/>
        <v/>
      </c>
      <c r="F471" t="str">
        <f t="shared" si="285"/>
        <v/>
      </c>
      <c r="G471" t="str">
        <f t="shared" si="285"/>
        <v/>
      </c>
      <c r="H471" t="str">
        <f t="shared" si="283"/>
        <v/>
      </c>
      <c r="J471" t="str">
        <f>IF($H471="","",IF(VLOOKUP($B$395,ExpItems[],2,0),$B$395&amp;" - "&amp;INDEX(DivisionMapping[category_code],MATCH($D471&amp;$C471,DivisionMapping[dept_bu],0)),$B$395))</f>
        <v/>
      </c>
      <c r="K471" t="str">
        <f t="shared" si="284"/>
        <v/>
      </c>
      <c r="L471" s="652">
        <f>IF($B471="",,IF(LEFT($H471,5)="dummy",SUMIFS(AvgBase[Month 1],AvgBase[job_title],$H471),SUMIFS(AvgBase[Month 1],AvgBase[exp_item],$J471,AvgBase[company_name],$B471,AvgBase[bu_name],$C471,AvgBase[dept_name],$D471,AvgBase[team_consolidation],$K471,AvgBase[location_name],$G471,AvgBase[job_title],$H471))*L261/2*(1-L366))</f>
        <v>0</v>
      </c>
      <c r="M471" s="652">
        <f>IF($B471="",,IF(LEFT($H471,5)="dummy",SUMIFS(AvgBase[Month 2],AvgBase[job_title],$H471),SUMIFS(AvgBase[Month 2],AvgBase[exp_item],$J471,AvgBase[company_name],$B471,AvgBase[bu_name],$C471,AvgBase[dept_name],$D471,AvgBase[team_consolidation],$K471,AvgBase[location_name],$G471,AvgBase[job_title],$H471))*(M261+L261)/2*(1-M366))</f>
        <v>0</v>
      </c>
      <c r="N471" s="652">
        <f>IF($B471="",,IF(LEFT($H471,5)="dummy",SUMIFS(AvgBase[Month 3],AvgBase[job_title],$H471),SUMIFS(AvgBase[Month 3],AvgBase[exp_item],$J471,AvgBase[company_name],$B471,AvgBase[bu_name],$C471,AvgBase[dept_name],$D471,AvgBase[team_consolidation],$K471,AvgBase[location_name],$G471,AvgBase[job_title],$H471))*(N261+M261)/2*(1-N366))</f>
        <v>0</v>
      </c>
      <c r="O471" s="652">
        <f>IF($B471="",,IF(LEFT($H471,5)="dummy",SUMIFS(AvgBase[Month 4],AvgBase[job_title],$H471),SUMIFS(AvgBase[Month 4],AvgBase[exp_item],$J471,AvgBase[company_name],$B471,AvgBase[bu_name],$C471,AvgBase[dept_name],$D471,AvgBase[team_consolidation],$K471,AvgBase[location_name],$G471,AvgBase[job_title],$H471))*(O261+N261)/2*(1-O366))</f>
        <v>0</v>
      </c>
      <c r="P471" s="652">
        <f>IF($B471="",,IF(LEFT($H471,5)="dummy",SUMIFS(AvgBase[Month 5],AvgBase[job_title],$H471),SUMIFS(AvgBase[Month 5],AvgBase[exp_item],$J471,AvgBase[company_name],$B471,AvgBase[bu_name],$C471,AvgBase[dept_name],$D471,AvgBase[team_consolidation],$K471,AvgBase[location_name],$G471,AvgBase[job_title],$H471))*(P261+O261)/2*(1-P366))</f>
        <v>0</v>
      </c>
      <c r="Q471" s="652">
        <f>IF($B471="",,IF(LEFT($H471,5)="dummy",SUMIFS(AvgBase[Month 6],AvgBase[job_title],$H471),SUMIFS(AvgBase[Month 6],AvgBase[exp_item],$J471,AvgBase[company_name],$B471,AvgBase[bu_name],$C471,AvgBase[dept_name],$D471,AvgBase[team_consolidation],$K471,AvgBase[location_name],$G471,AvgBase[job_title],$H471))*(Q261+P261)/2*(1-Q366))</f>
        <v>0</v>
      </c>
      <c r="R471" s="652">
        <f>IF($B471="",,IF(LEFT($H471,5)="dummy",SUMIFS(AvgBase[Month 7],AvgBase[job_title],$H471),SUMIFS(AvgBase[Month 7],AvgBase[exp_item],$J471,AvgBase[company_name],$B471,AvgBase[bu_name],$C471,AvgBase[dept_name],$D471,AvgBase[team_consolidation],$K471,AvgBase[location_name],$G471,AvgBase[job_title],$H471))*(R261+Q261)/2*(1-R366))</f>
        <v>0</v>
      </c>
      <c r="S471" s="652">
        <f>IF($B471="",,IF(LEFT($H471,5)="dummy",SUMIFS(AvgBase[Month 8],AvgBase[job_title],$H471),SUMIFS(AvgBase[Month 8],AvgBase[exp_item],$J471,AvgBase[company_name],$B471,AvgBase[bu_name],$C471,AvgBase[dept_name],$D471,AvgBase[team_consolidation],$K471,AvgBase[location_name],$G471,AvgBase[job_title],$H471))*(S261+R261)/2*(1-S366))</f>
        <v>0</v>
      </c>
      <c r="T471" s="652">
        <f>IF($B471="",,IF(LEFT($H471,5)="dummy",SUMIFS(AvgBase[Month 9],AvgBase[job_title],$H471),SUMIFS(AvgBase[Month 9],AvgBase[exp_item],$J471,AvgBase[company_name],$B471,AvgBase[bu_name],$C471,AvgBase[dept_name],$D471,AvgBase[team_consolidation],$K471,AvgBase[location_name],$G471,AvgBase[job_title],$H471))*(T261+S261)/2*(1-T366))</f>
        <v>0</v>
      </c>
      <c r="U471" s="652">
        <f>IF($B471="",,IF(LEFT($H471,5)="dummy",SUMIFS(AvgBase[Month 10],AvgBase[job_title],$H471),SUMIFS(AvgBase[Month 10],AvgBase[exp_item],$J471,AvgBase[company_name],$B471,AvgBase[bu_name],$C471,AvgBase[dept_name],$D471,AvgBase[team_consolidation],$K471,AvgBase[location_name],$G471,AvgBase[job_title],$H471))*(U261+T261)/2*(1-U366))</f>
        <v>0</v>
      </c>
      <c r="V471" s="652">
        <f>IF($B471="",,IF(LEFT($H471,5)="dummy",SUMIFS(AvgBase[Month 11],AvgBase[job_title],$H471),SUMIFS(AvgBase[Month 11],AvgBase[exp_item],$J471,AvgBase[company_name],$B471,AvgBase[bu_name],$C471,AvgBase[dept_name],$D471,AvgBase[team_consolidation],$K471,AvgBase[location_name],$G471,AvgBase[job_title],$H471))*(V261+U261)/2*(1-V366))</f>
        <v>0</v>
      </c>
      <c r="W471" s="652">
        <f>IF($B471="",,IF(LEFT($H471,5)="dummy",SUMIFS(AvgBase[Month 12],AvgBase[job_title],$H471),SUMIFS(AvgBase[Month 12],AvgBase[exp_item],$J471,AvgBase[company_name],$B471,AvgBase[bu_name],$C471,AvgBase[dept_name],$D471,AvgBase[team_consolidation],$K471,AvgBase[location_name],$G471,AvgBase[job_title],$H471))*(W261+V261)/2*(1-W366))</f>
        <v>0</v>
      </c>
      <c r="X471" s="652">
        <f>IF($B471="",,IF(LEFT($H471,5)="dummy",SUMIFS(AvgBase[Month 13],AvgBase[job_title],$H471),SUMIFS(AvgBase[Month 13],AvgBase[exp_item],$J471,AvgBase[company_name],$B471,AvgBase[bu_name],$C471,AvgBase[dept_name],$D471,AvgBase[team_consolidation],$K471,AvgBase[location_name],$G471,AvgBase[job_title],$H471))*(X261+W261)/2*(1-X366))</f>
        <v>0</v>
      </c>
      <c r="Y471" s="652">
        <f>IF($B471="",,IF(LEFT($H471,5)="dummy",SUMIFS(AvgBase[Month 14],AvgBase[job_title],$H471),SUMIFS(AvgBase[Month 14],AvgBase[exp_item],$J471,AvgBase[company_name],$B471,AvgBase[bu_name],$C471,AvgBase[dept_name],$D471,AvgBase[team_consolidation],$K471,AvgBase[location_name],$G471,AvgBase[job_title],$H471))*(Y261+X261)/2*(1-Y366))</f>
        <v>0</v>
      </c>
      <c r="Z471" s="652">
        <f>IF($B471="",,IF(LEFT($H471,5)="dummy",SUMIFS(AvgBase[Month 15],AvgBase[job_title],$H471),SUMIFS(AvgBase[Month 15],AvgBase[exp_item],$J471,AvgBase[company_name],$B471,AvgBase[bu_name],$C471,AvgBase[dept_name],$D471,AvgBase[team_consolidation],$K471,AvgBase[location_name],$G471,AvgBase[job_title],$H471))*(Z261+Y261)/2*(1-Z366))</f>
        <v>0</v>
      </c>
      <c r="AA471" s="652">
        <f>IF($B471="",,IF(LEFT($H471,5)="dummy",SUMIFS(AvgBase[Month 16],AvgBase[job_title],$H471),SUMIFS(AvgBase[Month 16],AvgBase[exp_item],$J471,AvgBase[company_name],$B471,AvgBase[bu_name],$C471,AvgBase[dept_name],$D471,AvgBase[team_consolidation],$K471,AvgBase[location_name],$G471,AvgBase[job_title],$H471))*(AA261+Z261)/2*(1-AA366))</f>
        <v>0</v>
      </c>
      <c r="AB471" s="652">
        <f>IF($B471="",,IF(LEFT($H471,5)="dummy",SUMIFS(AvgBase[Month 17],AvgBase[job_title],$H471),SUMIFS(AvgBase[Month 17],AvgBase[exp_item],$J471,AvgBase[company_name],$B471,AvgBase[bu_name],$C471,AvgBase[dept_name],$D471,AvgBase[team_consolidation],$K471,AvgBase[location_name],$G471,AvgBase[job_title],$H471))*(AB261+AA261)/2*(1-AB366))</f>
        <v>0</v>
      </c>
      <c r="AC471" s="652">
        <f>IF($B471="",,IF(LEFT($H471,5)="dummy",SUMIFS(AvgBase[Month 18],AvgBase[job_title],$H471),SUMIFS(AvgBase[Month 18],AvgBase[exp_item],$J471,AvgBase[company_name],$B471,AvgBase[bu_name],$C471,AvgBase[dept_name],$D471,AvgBase[team_consolidation],$K471,AvgBase[location_name],$G471,AvgBase[job_title],$H471))*(AC261+AB261)/2*(1-AC366))</f>
        <v>0</v>
      </c>
      <c r="AD471" s="652">
        <f>IF($B471="",,IF(LEFT($H471,5)="dummy",SUMIFS(AvgBase[Month 19],AvgBase[job_title],$H471),SUMIFS(AvgBase[Month 19],AvgBase[exp_item],$J471,AvgBase[company_name],$B471,AvgBase[bu_name],$C471,AvgBase[dept_name],$D471,AvgBase[team_consolidation],$K471,AvgBase[location_name],$G471,AvgBase[job_title],$H471))*(AD261+AC261)/2*(1-AD366))</f>
        <v>0</v>
      </c>
      <c r="AE471" s="652">
        <f>IF($B471="",,IF(LEFT($H471,5)="dummy",SUMIFS(AvgBase[Month 20],AvgBase[job_title],$H471),SUMIFS(AvgBase[Month 20],AvgBase[exp_item],$J471,AvgBase[company_name],$B471,AvgBase[bu_name],$C471,AvgBase[dept_name],$D471,AvgBase[team_consolidation],$K471,AvgBase[location_name],$G471,AvgBase[job_title],$H471))*(AE261+AD261)/2*(1-AE366))</f>
        <v>0</v>
      </c>
      <c r="AF471" s="652">
        <f>IF($B471="",,IF(LEFT($H471,5)="dummy",SUMIFS(AvgBase[Month 21],AvgBase[job_title],$H471),SUMIFS(AvgBase[Month 21],AvgBase[exp_item],$J471,AvgBase[company_name],$B471,AvgBase[bu_name],$C471,AvgBase[dept_name],$D471,AvgBase[team_consolidation],$K471,AvgBase[location_name],$G471,AvgBase[job_title],$H471))*(AF261+AE261)/2*(1-AF366))</f>
        <v>0</v>
      </c>
      <c r="AG471" s="652">
        <f>IF($B471="",,IF(LEFT($H471,5)="dummy",SUMIFS(AvgBase[Month 22],AvgBase[job_title],$H471),SUMIFS(AvgBase[Month 22],AvgBase[exp_item],$J471,AvgBase[company_name],$B471,AvgBase[bu_name],$C471,AvgBase[dept_name],$D471,AvgBase[team_consolidation],$K471,AvgBase[location_name],$G471,AvgBase[job_title],$H471))*(AG261+AF261)/2*(1-AG366))</f>
        <v>0</v>
      </c>
      <c r="AH471" s="652">
        <f>IF($B471="",,IF(LEFT($H471,5)="dummy",SUMIFS(AvgBase[Month 23],AvgBase[job_title],$H471),SUMIFS(AvgBase[Month 23],AvgBase[exp_item],$J471,AvgBase[company_name],$B471,AvgBase[bu_name],$C471,AvgBase[dept_name],$D471,AvgBase[team_consolidation],$K471,AvgBase[location_name],$G471,AvgBase[job_title],$H471))*(AH261+AG261)/2*(1-AH366))</f>
        <v>0</v>
      </c>
      <c r="AI471" s="652">
        <f>IF($B471="",,IF(LEFT($H471,5)="dummy",SUMIFS(AvgBase[Month 24],AvgBase[job_title],$H471),SUMIFS(AvgBase[Month 24],AvgBase[exp_item],$J471,AvgBase[company_name],$B471,AvgBase[bu_name],$C471,AvgBase[dept_name],$D471,AvgBase[team_consolidation],$K471,AvgBase[location_name],$G471,AvgBase[job_title],$H471))*(AI261+AH261)/2*(1-AI366))</f>
        <v>0</v>
      </c>
      <c r="AJ471" s="652">
        <f>IF($B471="",,IF(LEFT($H471,5)="dummy",SUMIFS(AvgBase[Month 25],AvgBase[job_title],$H471),SUMIFS(AvgBase[Month 25],AvgBase[exp_item],$J471,AvgBase[company_name],$B471,AvgBase[bu_name],$C471,AvgBase[dept_name],$D471,AvgBase[team_consolidation],$K471,AvgBase[location_name],$G471,AvgBase[job_title],$H471))*(AJ261+AI261)/2*(1-AJ366))</f>
        <v>0</v>
      </c>
      <c r="AK471" s="652">
        <f>IF($B471="",,IF(LEFT($H471,5)="dummy",SUMIFS(AvgBase[Month 26],AvgBase[job_title],$H471),SUMIFS(AvgBase[Month 26],AvgBase[exp_item],$J471,AvgBase[company_name],$B471,AvgBase[bu_name],$C471,AvgBase[dept_name],$D471,AvgBase[team_consolidation],$K471,AvgBase[location_name],$G471,AvgBase[job_title],$H471))*(AK261+AJ261)/2*(1-AK366))</f>
        <v>0</v>
      </c>
      <c r="AL471" s="652">
        <f>IF($B471="",,IF(LEFT($H471,5)="dummy",SUMIFS(AvgBase[Month 27],AvgBase[job_title],$H471),SUMIFS(AvgBase[Month 27],AvgBase[exp_item],$J471,AvgBase[company_name],$B471,AvgBase[bu_name],$C471,AvgBase[dept_name],$D471,AvgBase[team_consolidation],$K471,AvgBase[location_name],$G471,AvgBase[job_title],$H471))*(AL261+AK261)/2*(1-AL366))</f>
        <v>0</v>
      </c>
      <c r="AM471" s="652">
        <f>IF($B471="",,IF(LEFT($H471,5)="dummy",SUMIFS(AvgBase[Month 28],AvgBase[job_title],$H471),SUMIFS(AvgBase[Month 28],AvgBase[exp_item],$J471,AvgBase[company_name],$B471,AvgBase[bu_name],$C471,AvgBase[dept_name],$D471,AvgBase[team_consolidation],$K471,AvgBase[location_name],$G471,AvgBase[job_title],$H471))*(AM261+AL261)/2*(1-AM366))</f>
        <v>0</v>
      </c>
      <c r="AN471" s="652">
        <f>IF($B471="",,IF(LEFT($H471,5)="dummy",SUMIFS(AvgBase[Month 29],AvgBase[job_title],$H471),SUMIFS(AvgBase[Month 29],AvgBase[exp_item],$J471,AvgBase[company_name],$B471,AvgBase[bu_name],$C471,AvgBase[dept_name],$D471,AvgBase[team_consolidation],$K471,AvgBase[location_name],$G471,AvgBase[job_title],$H471))*(AN261+AM261)/2*(1-AN366))</f>
        <v>0</v>
      </c>
      <c r="AO471" s="652">
        <f>IF($B471="",,IF(LEFT($H471,5)="dummy",SUMIFS(AvgBase[Month 30],AvgBase[job_title],$H471),SUMIFS(AvgBase[Month 30],AvgBase[exp_item],$J471,AvgBase[company_name],$B471,AvgBase[bu_name],$C471,AvgBase[dept_name],$D471,AvgBase[team_consolidation],$K471,AvgBase[location_name],$G471,AvgBase[job_title],$H471))*(AO261+AN261)/2*(1-AO366))</f>
        <v>0</v>
      </c>
      <c r="AP471" s="652">
        <f>IF($B471="",,IF(LEFT($H471,5)="dummy",SUMIFS(AvgBase[Month 31],AvgBase[job_title],$H471),SUMIFS(AvgBase[Month 31],AvgBase[exp_item],$J471,AvgBase[company_name],$B471,AvgBase[bu_name],$C471,AvgBase[dept_name],$D471,AvgBase[team_consolidation],$K471,AvgBase[location_name],$G471,AvgBase[job_title],$H471))*(AP261+AO261)/2*(1-AP366))</f>
        <v>0</v>
      </c>
      <c r="AQ471" s="652">
        <f>IF($B471="",,IF(LEFT($H471,5)="dummy",SUMIFS(AvgBase[Month 32],AvgBase[job_title],$H471),SUMIFS(AvgBase[Month 32],AvgBase[exp_item],$J471,AvgBase[company_name],$B471,AvgBase[bu_name],$C471,AvgBase[dept_name],$D471,AvgBase[team_consolidation],$K471,AvgBase[location_name],$G471,AvgBase[job_title],$H471))*(AQ261+AP261)/2*(1-AQ366))</f>
        <v>0</v>
      </c>
      <c r="AR471" s="652">
        <f>IF($B471="",,IF(LEFT($H471,5)="dummy",SUMIFS(AvgBase[Month 33],AvgBase[job_title],$H471),SUMIFS(AvgBase[Month 33],AvgBase[exp_item],$J471,AvgBase[company_name],$B471,AvgBase[bu_name],$C471,AvgBase[dept_name],$D471,AvgBase[team_consolidation],$K471,AvgBase[location_name],$G471,AvgBase[job_title],$H471))*(AR261+AQ261)/2*(1-AR366))</f>
        <v>0</v>
      </c>
      <c r="AS471" s="652">
        <f>IF($B471="",,IF(LEFT($H471,5)="dummy",SUMIFS(AvgBase[Month 34],AvgBase[job_title],$H471),SUMIFS(AvgBase[Month 34],AvgBase[exp_item],$J471,AvgBase[company_name],$B471,AvgBase[bu_name],$C471,AvgBase[dept_name],$D471,AvgBase[team_consolidation],$K471,AvgBase[location_name],$G471,AvgBase[job_title],$H471))*(AS261+AR261)/2*(1-AS366))</f>
        <v>0</v>
      </c>
      <c r="AT471" s="652">
        <f>IF($B471="",,IF(LEFT($H471,5)="dummy",SUMIFS(AvgBase[Month 35],AvgBase[job_title],$H471),SUMIFS(AvgBase[Month 35],AvgBase[exp_item],$J471,AvgBase[company_name],$B471,AvgBase[bu_name],$C471,AvgBase[dept_name],$D471,AvgBase[team_consolidation],$K471,AvgBase[location_name],$G471,AvgBase[job_title],$H471))*(AT261+AS261)/2*(1-AT366))</f>
        <v>0</v>
      </c>
      <c r="AU471" s="652">
        <f>IF($B471="",,IF(LEFT($H471,5)="dummy",SUMIFS(AvgBase[Month 36],AvgBase[job_title],$H471),SUMIFS(AvgBase[Month 36],AvgBase[exp_item],$J471,AvgBase[company_name],$B471,AvgBase[bu_name],$C471,AvgBase[dept_name],$D471,AvgBase[team_consolidation],$K471,AvgBase[location_name],$G471,AvgBase[job_title],$H471))*(AU261+AT261)/2*(1-AU366))</f>
        <v>0</v>
      </c>
    </row>
    <row r="472" spans="2:47" x14ac:dyDescent="0.35">
      <c r="B472" t="str">
        <f t="shared" si="285"/>
        <v/>
      </c>
      <c r="C472" t="str">
        <f t="shared" si="285"/>
        <v/>
      </c>
      <c r="D472" t="str">
        <f t="shared" si="285"/>
        <v/>
      </c>
      <c r="E472" t="str">
        <f t="shared" si="285"/>
        <v/>
      </c>
      <c r="F472" t="str">
        <f t="shared" si="285"/>
        <v/>
      </c>
      <c r="G472" t="str">
        <f t="shared" si="285"/>
        <v/>
      </c>
      <c r="H472" t="str">
        <f t="shared" si="283"/>
        <v/>
      </c>
      <c r="J472" t="str">
        <f>IF($H472="","",IF(VLOOKUP($B$395,ExpItems[],2,0),$B$395&amp;" - "&amp;INDEX(DivisionMapping[category_code],MATCH($D472&amp;$C472,DivisionMapping[dept_bu],0)),$B$395))</f>
        <v/>
      </c>
      <c r="K472" t="str">
        <f t="shared" si="284"/>
        <v/>
      </c>
      <c r="L472" s="652">
        <f>IF($B472="",,IF(LEFT($H472,5)="dummy",SUMIFS(AvgBase[Month 1],AvgBase[job_title],$H472),SUMIFS(AvgBase[Month 1],AvgBase[exp_item],$J472,AvgBase[company_name],$B472,AvgBase[bu_name],$C472,AvgBase[dept_name],$D472,AvgBase[team_consolidation],$K472,AvgBase[location_name],$G472,AvgBase[job_title],$H472))*L262/2*(1-L367))</f>
        <v>0</v>
      </c>
      <c r="M472" s="652">
        <f>IF($B472="",,IF(LEFT($H472,5)="dummy",SUMIFS(AvgBase[Month 2],AvgBase[job_title],$H472),SUMIFS(AvgBase[Month 2],AvgBase[exp_item],$J472,AvgBase[company_name],$B472,AvgBase[bu_name],$C472,AvgBase[dept_name],$D472,AvgBase[team_consolidation],$K472,AvgBase[location_name],$G472,AvgBase[job_title],$H472))*(M262+L262)/2*(1-M367))</f>
        <v>0</v>
      </c>
      <c r="N472" s="652">
        <f>IF($B472="",,IF(LEFT($H472,5)="dummy",SUMIFS(AvgBase[Month 3],AvgBase[job_title],$H472),SUMIFS(AvgBase[Month 3],AvgBase[exp_item],$J472,AvgBase[company_name],$B472,AvgBase[bu_name],$C472,AvgBase[dept_name],$D472,AvgBase[team_consolidation],$K472,AvgBase[location_name],$G472,AvgBase[job_title],$H472))*(N262+M262)/2*(1-N367))</f>
        <v>0</v>
      </c>
      <c r="O472" s="652">
        <f>IF($B472="",,IF(LEFT($H472,5)="dummy",SUMIFS(AvgBase[Month 4],AvgBase[job_title],$H472),SUMIFS(AvgBase[Month 4],AvgBase[exp_item],$J472,AvgBase[company_name],$B472,AvgBase[bu_name],$C472,AvgBase[dept_name],$D472,AvgBase[team_consolidation],$K472,AvgBase[location_name],$G472,AvgBase[job_title],$H472))*(O262+N262)/2*(1-O367))</f>
        <v>0</v>
      </c>
      <c r="P472" s="652">
        <f>IF($B472="",,IF(LEFT($H472,5)="dummy",SUMIFS(AvgBase[Month 5],AvgBase[job_title],$H472),SUMIFS(AvgBase[Month 5],AvgBase[exp_item],$J472,AvgBase[company_name],$B472,AvgBase[bu_name],$C472,AvgBase[dept_name],$D472,AvgBase[team_consolidation],$K472,AvgBase[location_name],$G472,AvgBase[job_title],$H472))*(P262+O262)/2*(1-P367))</f>
        <v>0</v>
      </c>
      <c r="Q472" s="652">
        <f>IF($B472="",,IF(LEFT($H472,5)="dummy",SUMIFS(AvgBase[Month 6],AvgBase[job_title],$H472),SUMIFS(AvgBase[Month 6],AvgBase[exp_item],$J472,AvgBase[company_name],$B472,AvgBase[bu_name],$C472,AvgBase[dept_name],$D472,AvgBase[team_consolidation],$K472,AvgBase[location_name],$G472,AvgBase[job_title],$H472))*(Q262+P262)/2*(1-Q367))</f>
        <v>0</v>
      </c>
      <c r="R472" s="652">
        <f>IF($B472="",,IF(LEFT($H472,5)="dummy",SUMIFS(AvgBase[Month 7],AvgBase[job_title],$H472),SUMIFS(AvgBase[Month 7],AvgBase[exp_item],$J472,AvgBase[company_name],$B472,AvgBase[bu_name],$C472,AvgBase[dept_name],$D472,AvgBase[team_consolidation],$K472,AvgBase[location_name],$G472,AvgBase[job_title],$H472))*(R262+Q262)/2*(1-R367))</f>
        <v>0</v>
      </c>
      <c r="S472" s="652">
        <f>IF($B472="",,IF(LEFT($H472,5)="dummy",SUMIFS(AvgBase[Month 8],AvgBase[job_title],$H472),SUMIFS(AvgBase[Month 8],AvgBase[exp_item],$J472,AvgBase[company_name],$B472,AvgBase[bu_name],$C472,AvgBase[dept_name],$D472,AvgBase[team_consolidation],$K472,AvgBase[location_name],$G472,AvgBase[job_title],$H472))*(S262+R262)/2*(1-S367))</f>
        <v>0</v>
      </c>
      <c r="T472" s="652">
        <f>IF($B472="",,IF(LEFT($H472,5)="dummy",SUMIFS(AvgBase[Month 9],AvgBase[job_title],$H472),SUMIFS(AvgBase[Month 9],AvgBase[exp_item],$J472,AvgBase[company_name],$B472,AvgBase[bu_name],$C472,AvgBase[dept_name],$D472,AvgBase[team_consolidation],$K472,AvgBase[location_name],$G472,AvgBase[job_title],$H472))*(T262+S262)/2*(1-T367))</f>
        <v>0</v>
      </c>
      <c r="U472" s="652">
        <f>IF($B472="",,IF(LEFT($H472,5)="dummy",SUMIFS(AvgBase[Month 10],AvgBase[job_title],$H472),SUMIFS(AvgBase[Month 10],AvgBase[exp_item],$J472,AvgBase[company_name],$B472,AvgBase[bu_name],$C472,AvgBase[dept_name],$D472,AvgBase[team_consolidation],$K472,AvgBase[location_name],$G472,AvgBase[job_title],$H472))*(U262+T262)/2*(1-U367))</f>
        <v>0</v>
      </c>
      <c r="V472" s="652">
        <f>IF($B472="",,IF(LEFT($H472,5)="dummy",SUMIFS(AvgBase[Month 11],AvgBase[job_title],$H472),SUMIFS(AvgBase[Month 11],AvgBase[exp_item],$J472,AvgBase[company_name],$B472,AvgBase[bu_name],$C472,AvgBase[dept_name],$D472,AvgBase[team_consolidation],$K472,AvgBase[location_name],$G472,AvgBase[job_title],$H472))*(V262+U262)/2*(1-V367))</f>
        <v>0</v>
      </c>
      <c r="W472" s="652">
        <f>IF($B472="",,IF(LEFT($H472,5)="dummy",SUMIFS(AvgBase[Month 12],AvgBase[job_title],$H472),SUMIFS(AvgBase[Month 12],AvgBase[exp_item],$J472,AvgBase[company_name],$B472,AvgBase[bu_name],$C472,AvgBase[dept_name],$D472,AvgBase[team_consolidation],$K472,AvgBase[location_name],$G472,AvgBase[job_title],$H472))*(W262+V262)/2*(1-W367))</f>
        <v>0</v>
      </c>
      <c r="X472" s="652">
        <f>IF($B472="",,IF(LEFT($H472,5)="dummy",SUMIFS(AvgBase[Month 13],AvgBase[job_title],$H472),SUMIFS(AvgBase[Month 13],AvgBase[exp_item],$J472,AvgBase[company_name],$B472,AvgBase[bu_name],$C472,AvgBase[dept_name],$D472,AvgBase[team_consolidation],$K472,AvgBase[location_name],$G472,AvgBase[job_title],$H472))*(X262+W262)/2*(1-X367))</f>
        <v>0</v>
      </c>
      <c r="Y472" s="652">
        <f>IF($B472="",,IF(LEFT($H472,5)="dummy",SUMIFS(AvgBase[Month 14],AvgBase[job_title],$H472),SUMIFS(AvgBase[Month 14],AvgBase[exp_item],$J472,AvgBase[company_name],$B472,AvgBase[bu_name],$C472,AvgBase[dept_name],$D472,AvgBase[team_consolidation],$K472,AvgBase[location_name],$G472,AvgBase[job_title],$H472))*(Y262+X262)/2*(1-Y367))</f>
        <v>0</v>
      </c>
      <c r="Z472" s="652">
        <f>IF($B472="",,IF(LEFT($H472,5)="dummy",SUMIFS(AvgBase[Month 15],AvgBase[job_title],$H472),SUMIFS(AvgBase[Month 15],AvgBase[exp_item],$J472,AvgBase[company_name],$B472,AvgBase[bu_name],$C472,AvgBase[dept_name],$D472,AvgBase[team_consolidation],$K472,AvgBase[location_name],$G472,AvgBase[job_title],$H472))*(Z262+Y262)/2*(1-Z367))</f>
        <v>0</v>
      </c>
      <c r="AA472" s="652">
        <f>IF($B472="",,IF(LEFT($H472,5)="dummy",SUMIFS(AvgBase[Month 16],AvgBase[job_title],$H472),SUMIFS(AvgBase[Month 16],AvgBase[exp_item],$J472,AvgBase[company_name],$B472,AvgBase[bu_name],$C472,AvgBase[dept_name],$D472,AvgBase[team_consolidation],$K472,AvgBase[location_name],$G472,AvgBase[job_title],$H472))*(AA262+Z262)/2*(1-AA367))</f>
        <v>0</v>
      </c>
      <c r="AB472" s="652">
        <f>IF($B472="",,IF(LEFT($H472,5)="dummy",SUMIFS(AvgBase[Month 17],AvgBase[job_title],$H472),SUMIFS(AvgBase[Month 17],AvgBase[exp_item],$J472,AvgBase[company_name],$B472,AvgBase[bu_name],$C472,AvgBase[dept_name],$D472,AvgBase[team_consolidation],$K472,AvgBase[location_name],$G472,AvgBase[job_title],$H472))*(AB262+AA262)/2*(1-AB367))</f>
        <v>0</v>
      </c>
      <c r="AC472" s="652">
        <f>IF($B472="",,IF(LEFT($H472,5)="dummy",SUMIFS(AvgBase[Month 18],AvgBase[job_title],$H472),SUMIFS(AvgBase[Month 18],AvgBase[exp_item],$J472,AvgBase[company_name],$B472,AvgBase[bu_name],$C472,AvgBase[dept_name],$D472,AvgBase[team_consolidation],$K472,AvgBase[location_name],$G472,AvgBase[job_title],$H472))*(AC262+AB262)/2*(1-AC367))</f>
        <v>0</v>
      </c>
      <c r="AD472" s="652">
        <f>IF($B472="",,IF(LEFT($H472,5)="dummy",SUMIFS(AvgBase[Month 19],AvgBase[job_title],$H472),SUMIFS(AvgBase[Month 19],AvgBase[exp_item],$J472,AvgBase[company_name],$B472,AvgBase[bu_name],$C472,AvgBase[dept_name],$D472,AvgBase[team_consolidation],$K472,AvgBase[location_name],$G472,AvgBase[job_title],$H472))*(AD262+AC262)/2*(1-AD367))</f>
        <v>0</v>
      </c>
      <c r="AE472" s="652">
        <f>IF($B472="",,IF(LEFT($H472,5)="dummy",SUMIFS(AvgBase[Month 20],AvgBase[job_title],$H472),SUMIFS(AvgBase[Month 20],AvgBase[exp_item],$J472,AvgBase[company_name],$B472,AvgBase[bu_name],$C472,AvgBase[dept_name],$D472,AvgBase[team_consolidation],$K472,AvgBase[location_name],$G472,AvgBase[job_title],$H472))*(AE262+AD262)/2*(1-AE367))</f>
        <v>0</v>
      </c>
      <c r="AF472" s="652">
        <f>IF($B472="",,IF(LEFT($H472,5)="dummy",SUMIFS(AvgBase[Month 21],AvgBase[job_title],$H472),SUMIFS(AvgBase[Month 21],AvgBase[exp_item],$J472,AvgBase[company_name],$B472,AvgBase[bu_name],$C472,AvgBase[dept_name],$D472,AvgBase[team_consolidation],$K472,AvgBase[location_name],$G472,AvgBase[job_title],$H472))*(AF262+AE262)/2*(1-AF367))</f>
        <v>0</v>
      </c>
      <c r="AG472" s="652">
        <f>IF($B472="",,IF(LEFT($H472,5)="dummy",SUMIFS(AvgBase[Month 22],AvgBase[job_title],$H472),SUMIFS(AvgBase[Month 22],AvgBase[exp_item],$J472,AvgBase[company_name],$B472,AvgBase[bu_name],$C472,AvgBase[dept_name],$D472,AvgBase[team_consolidation],$K472,AvgBase[location_name],$G472,AvgBase[job_title],$H472))*(AG262+AF262)/2*(1-AG367))</f>
        <v>0</v>
      </c>
      <c r="AH472" s="652">
        <f>IF($B472="",,IF(LEFT($H472,5)="dummy",SUMIFS(AvgBase[Month 23],AvgBase[job_title],$H472),SUMIFS(AvgBase[Month 23],AvgBase[exp_item],$J472,AvgBase[company_name],$B472,AvgBase[bu_name],$C472,AvgBase[dept_name],$D472,AvgBase[team_consolidation],$K472,AvgBase[location_name],$G472,AvgBase[job_title],$H472))*(AH262+AG262)/2*(1-AH367))</f>
        <v>0</v>
      </c>
      <c r="AI472" s="652">
        <f>IF($B472="",,IF(LEFT($H472,5)="dummy",SUMIFS(AvgBase[Month 24],AvgBase[job_title],$H472),SUMIFS(AvgBase[Month 24],AvgBase[exp_item],$J472,AvgBase[company_name],$B472,AvgBase[bu_name],$C472,AvgBase[dept_name],$D472,AvgBase[team_consolidation],$K472,AvgBase[location_name],$G472,AvgBase[job_title],$H472))*(AI262+AH262)/2*(1-AI367))</f>
        <v>0</v>
      </c>
      <c r="AJ472" s="652">
        <f>IF($B472="",,IF(LEFT($H472,5)="dummy",SUMIFS(AvgBase[Month 25],AvgBase[job_title],$H472),SUMIFS(AvgBase[Month 25],AvgBase[exp_item],$J472,AvgBase[company_name],$B472,AvgBase[bu_name],$C472,AvgBase[dept_name],$D472,AvgBase[team_consolidation],$K472,AvgBase[location_name],$G472,AvgBase[job_title],$H472))*(AJ262+AI262)/2*(1-AJ367))</f>
        <v>0</v>
      </c>
      <c r="AK472" s="652">
        <f>IF($B472="",,IF(LEFT($H472,5)="dummy",SUMIFS(AvgBase[Month 26],AvgBase[job_title],$H472),SUMIFS(AvgBase[Month 26],AvgBase[exp_item],$J472,AvgBase[company_name],$B472,AvgBase[bu_name],$C472,AvgBase[dept_name],$D472,AvgBase[team_consolidation],$K472,AvgBase[location_name],$G472,AvgBase[job_title],$H472))*(AK262+AJ262)/2*(1-AK367))</f>
        <v>0</v>
      </c>
      <c r="AL472" s="652">
        <f>IF($B472="",,IF(LEFT($H472,5)="dummy",SUMIFS(AvgBase[Month 27],AvgBase[job_title],$H472),SUMIFS(AvgBase[Month 27],AvgBase[exp_item],$J472,AvgBase[company_name],$B472,AvgBase[bu_name],$C472,AvgBase[dept_name],$D472,AvgBase[team_consolidation],$K472,AvgBase[location_name],$G472,AvgBase[job_title],$H472))*(AL262+AK262)/2*(1-AL367))</f>
        <v>0</v>
      </c>
      <c r="AM472" s="652">
        <f>IF($B472="",,IF(LEFT($H472,5)="dummy",SUMIFS(AvgBase[Month 28],AvgBase[job_title],$H472),SUMIFS(AvgBase[Month 28],AvgBase[exp_item],$J472,AvgBase[company_name],$B472,AvgBase[bu_name],$C472,AvgBase[dept_name],$D472,AvgBase[team_consolidation],$K472,AvgBase[location_name],$G472,AvgBase[job_title],$H472))*(AM262+AL262)/2*(1-AM367))</f>
        <v>0</v>
      </c>
      <c r="AN472" s="652">
        <f>IF($B472="",,IF(LEFT($H472,5)="dummy",SUMIFS(AvgBase[Month 29],AvgBase[job_title],$H472),SUMIFS(AvgBase[Month 29],AvgBase[exp_item],$J472,AvgBase[company_name],$B472,AvgBase[bu_name],$C472,AvgBase[dept_name],$D472,AvgBase[team_consolidation],$K472,AvgBase[location_name],$G472,AvgBase[job_title],$H472))*(AN262+AM262)/2*(1-AN367))</f>
        <v>0</v>
      </c>
      <c r="AO472" s="652">
        <f>IF($B472="",,IF(LEFT($H472,5)="dummy",SUMIFS(AvgBase[Month 30],AvgBase[job_title],$H472),SUMIFS(AvgBase[Month 30],AvgBase[exp_item],$J472,AvgBase[company_name],$B472,AvgBase[bu_name],$C472,AvgBase[dept_name],$D472,AvgBase[team_consolidation],$K472,AvgBase[location_name],$G472,AvgBase[job_title],$H472))*(AO262+AN262)/2*(1-AO367))</f>
        <v>0</v>
      </c>
      <c r="AP472" s="652">
        <f>IF($B472="",,IF(LEFT($H472,5)="dummy",SUMIFS(AvgBase[Month 31],AvgBase[job_title],$H472),SUMIFS(AvgBase[Month 31],AvgBase[exp_item],$J472,AvgBase[company_name],$B472,AvgBase[bu_name],$C472,AvgBase[dept_name],$D472,AvgBase[team_consolidation],$K472,AvgBase[location_name],$G472,AvgBase[job_title],$H472))*(AP262+AO262)/2*(1-AP367))</f>
        <v>0</v>
      </c>
      <c r="AQ472" s="652">
        <f>IF($B472="",,IF(LEFT($H472,5)="dummy",SUMIFS(AvgBase[Month 32],AvgBase[job_title],$H472),SUMIFS(AvgBase[Month 32],AvgBase[exp_item],$J472,AvgBase[company_name],$B472,AvgBase[bu_name],$C472,AvgBase[dept_name],$D472,AvgBase[team_consolidation],$K472,AvgBase[location_name],$G472,AvgBase[job_title],$H472))*(AQ262+AP262)/2*(1-AQ367))</f>
        <v>0</v>
      </c>
      <c r="AR472" s="652">
        <f>IF($B472="",,IF(LEFT($H472,5)="dummy",SUMIFS(AvgBase[Month 33],AvgBase[job_title],$H472),SUMIFS(AvgBase[Month 33],AvgBase[exp_item],$J472,AvgBase[company_name],$B472,AvgBase[bu_name],$C472,AvgBase[dept_name],$D472,AvgBase[team_consolidation],$K472,AvgBase[location_name],$G472,AvgBase[job_title],$H472))*(AR262+AQ262)/2*(1-AR367))</f>
        <v>0</v>
      </c>
      <c r="AS472" s="652">
        <f>IF($B472="",,IF(LEFT($H472,5)="dummy",SUMIFS(AvgBase[Month 34],AvgBase[job_title],$H472),SUMIFS(AvgBase[Month 34],AvgBase[exp_item],$J472,AvgBase[company_name],$B472,AvgBase[bu_name],$C472,AvgBase[dept_name],$D472,AvgBase[team_consolidation],$K472,AvgBase[location_name],$G472,AvgBase[job_title],$H472))*(AS262+AR262)/2*(1-AS367))</f>
        <v>0</v>
      </c>
      <c r="AT472" s="652">
        <f>IF($B472="",,IF(LEFT($H472,5)="dummy",SUMIFS(AvgBase[Month 35],AvgBase[job_title],$H472),SUMIFS(AvgBase[Month 35],AvgBase[exp_item],$J472,AvgBase[company_name],$B472,AvgBase[bu_name],$C472,AvgBase[dept_name],$D472,AvgBase[team_consolidation],$K472,AvgBase[location_name],$G472,AvgBase[job_title],$H472))*(AT262+AS262)/2*(1-AT367))</f>
        <v>0</v>
      </c>
      <c r="AU472" s="652">
        <f>IF($B472="",,IF(LEFT($H472,5)="dummy",SUMIFS(AvgBase[Month 36],AvgBase[job_title],$H472),SUMIFS(AvgBase[Month 36],AvgBase[exp_item],$J472,AvgBase[company_name],$B472,AvgBase[bu_name],$C472,AvgBase[dept_name],$D472,AvgBase[team_consolidation],$K472,AvgBase[location_name],$G472,AvgBase[job_title],$H472))*(AU262+AT262)/2*(1-AU367))</f>
        <v>0</v>
      </c>
    </row>
    <row r="473" spans="2:47" x14ac:dyDescent="0.35">
      <c r="B473" t="str">
        <f t="shared" si="285"/>
        <v/>
      </c>
      <c r="C473" t="str">
        <f t="shared" si="285"/>
        <v/>
      </c>
      <c r="D473" t="str">
        <f t="shared" si="285"/>
        <v/>
      </c>
      <c r="E473" t="str">
        <f t="shared" si="285"/>
        <v/>
      </c>
      <c r="F473" t="str">
        <f t="shared" si="285"/>
        <v/>
      </c>
      <c r="G473" t="str">
        <f t="shared" si="285"/>
        <v/>
      </c>
      <c r="H473" t="str">
        <f t="shared" si="283"/>
        <v/>
      </c>
      <c r="J473" t="str">
        <f>IF($H473="","",IF(VLOOKUP($B$395,ExpItems[],2,0),$B$395&amp;" - "&amp;INDEX(DivisionMapping[category_code],MATCH($D473&amp;$C473,DivisionMapping[dept_bu],0)),$B$395))</f>
        <v/>
      </c>
      <c r="K473" t="str">
        <f t="shared" si="284"/>
        <v/>
      </c>
      <c r="L473" s="652">
        <f>IF($B473="",,IF(LEFT($H473,5)="dummy",SUMIFS(AvgBase[Month 1],AvgBase[job_title],$H473),SUMIFS(AvgBase[Month 1],AvgBase[exp_item],$J473,AvgBase[company_name],$B473,AvgBase[bu_name],$C473,AvgBase[dept_name],$D473,AvgBase[team_consolidation],$K473,AvgBase[location_name],$G473,AvgBase[job_title],$H473))*L263/2*(1-L368))</f>
        <v>0</v>
      </c>
      <c r="M473" s="652">
        <f>IF($B473="",,IF(LEFT($H473,5)="dummy",SUMIFS(AvgBase[Month 2],AvgBase[job_title],$H473),SUMIFS(AvgBase[Month 2],AvgBase[exp_item],$J473,AvgBase[company_name],$B473,AvgBase[bu_name],$C473,AvgBase[dept_name],$D473,AvgBase[team_consolidation],$K473,AvgBase[location_name],$G473,AvgBase[job_title],$H473))*(M263+L263)/2*(1-M368))</f>
        <v>0</v>
      </c>
      <c r="N473" s="652">
        <f>IF($B473="",,IF(LEFT($H473,5)="dummy",SUMIFS(AvgBase[Month 3],AvgBase[job_title],$H473),SUMIFS(AvgBase[Month 3],AvgBase[exp_item],$J473,AvgBase[company_name],$B473,AvgBase[bu_name],$C473,AvgBase[dept_name],$D473,AvgBase[team_consolidation],$K473,AvgBase[location_name],$G473,AvgBase[job_title],$H473))*(N263+M263)/2*(1-N368))</f>
        <v>0</v>
      </c>
      <c r="O473" s="652">
        <f>IF($B473="",,IF(LEFT($H473,5)="dummy",SUMIFS(AvgBase[Month 4],AvgBase[job_title],$H473),SUMIFS(AvgBase[Month 4],AvgBase[exp_item],$J473,AvgBase[company_name],$B473,AvgBase[bu_name],$C473,AvgBase[dept_name],$D473,AvgBase[team_consolidation],$K473,AvgBase[location_name],$G473,AvgBase[job_title],$H473))*(O263+N263)/2*(1-O368))</f>
        <v>0</v>
      </c>
      <c r="P473" s="652">
        <f>IF($B473="",,IF(LEFT($H473,5)="dummy",SUMIFS(AvgBase[Month 5],AvgBase[job_title],$H473),SUMIFS(AvgBase[Month 5],AvgBase[exp_item],$J473,AvgBase[company_name],$B473,AvgBase[bu_name],$C473,AvgBase[dept_name],$D473,AvgBase[team_consolidation],$K473,AvgBase[location_name],$G473,AvgBase[job_title],$H473))*(P263+O263)/2*(1-P368))</f>
        <v>0</v>
      </c>
      <c r="Q473" s="652">
        <f>IF($B473="",,IF(LEFT($H473,5)="dummy",SUMIFS(AvgBase[Month 6],AvgBase[job_title],$H473),SUMIFS(AvgBase[Month 6],AvgBase[exp_item],$J473,AvgBase[company_name],$B473,AvgBase[bu_name],$C473,AvgBase[dept_name],$D473,AvgBase[team_consolidation],$K473,AvgBase[location_name],$G473,AvgBase[job_title],$H473))*(Q263+P263)/2*(1-Q368))</f>
        <v>0</v>
      </c>
      <c r="R473" s="652">
        <f>IF($B473="",,IF(LEFT($H473,5)="dummy",SUMIFS(AvgBase[Month 7],AvgBase[job_title],$H473),SUMIFS(AvgBase[Month 7],AvgBase[exp_item],$J473,AvgBase[company_name],$B473,AvgBase[bu_name],$C473,AvgBase[dept_name],$D473,AvgBase[team_consolidation],$K473,AvgBase[location_name],$G473,AvgBase[job_title],$H473))*(R263+Q263)/2*(1-R368))</f>
        <v>0</v>
      </c>
      <c r="S473" s="652">
        <f>IF($B473="",,IF(LEFT($H473,5)="dummy",SUMIFS(AvgBase[Month 8],AvgBase[job_title],$H473),SUMIFS(AvgBase[Month 8],AvgBase[exp_item],$J473,AvgBase[company_name],$B473,AvgBase[bu_name],$C473,AvgBase[dept_name],$D473,AvgBase[team_consolidation],$K473,AvgBase[location_name],$G473,AvgBase[job_title],$H473))*(S263+R263)/2*(1-S368))</f>
        <v>0</v>
      </c>
      <c r="T473" s="652">
        <f>IF($B473="",,IF(LEFT($H473,5)="dummy",SUMIFS(AvgBase[Month 9],AvgBase[job_title],$H473),SUMIFS(AvgBase[Month 9],AvgBase[exp_item],$J473,AvgBase[company_name],$B473,AvgBase[bu_name],$C473,AvgBase[dept_name],$D473,AvgBase[team_consolidation],$K473,AvgBase[location_name],$G473,AvgBase[job_title],$H473))*(T263+S263)/2*(1-T368))</f>
        <v>0</v>
      </c>
      <c r="U473" s="652">
        <f>IF($B473="",,IF(LEFT($H473,5)="dummy",SUMIFS(AvgBase[Month 10],AvgBase[job_title],$H473),SUMIFS(AvgBase[Month 10],AvgBase[exp_item],$J473,AvgBase[company_name],$B473,AvgBase[bu_name],$C473,AvgBase[dept_name],$D473,AvgBase[team_consolidation],$K473,AvgBase[location_name],$G473,AvgBase[job_title],$H473))*(U263+T263)/2*(1-U368))</f>
        <v>0</v>
      </c>
      <c r="V473" s="652">
        <f>IF($B473="",,IF(LEFT($H473,5)="dummy",SUMIFS(AvgBase[Month 11],AvgBase[job_title],$H473),SUMIFS(AvgBase[Month 11],AvgBase[exp_item],$J473,AvgBase[company_name],$B473,AvgBase[bu_name],$C473,AvgBase[dept_name],$D473,AvgBase[team_consolidation],$K473,AvgBase[location_name],$G473,AvgBase[job_title],$H473))*(V263+U263)/2*(1-V368))</f>
        <v>0</v>
      </c>
      <c r="W473" s="652">
        <f>IF($B473="",,IF(LEFT($H473,5)="dummy",SUMIFS(AvgBase[Month 12],AvgBase[job_title],$H473),SUMIFS(AvgBase[Month 12],AvgBase[exp_item],$J473,AvgBase[company_name],$B473,AvgBase[bu_name],$C473,AvgBase[dept_name],$D473,AvgBase[team_consolidation],$K473,AvgBase[location_name],$G473,AvgBase[job_title],$H473))*(W263+V263)/2*(1-W368))</f>
        <v>0</v>
      </c>
      <c r="X473" s="652">
        <f>IF($B473="",,IF(LEFT($H473,5)="dummy",SUMIFS(AvgBase[Month 13],AvgBase[job_title],$H473),SUMIFS(AvgBase[Month 13],AvgBase[exp_item],$J473,AvgBase[company_name],$B473,AvgBase[bu_name],$C473,AvgBase[dept_name],$D473,AvgBase[team_consolidation],$K473,AvgBase[location_name],$G473,AvgBase[job_title],$H473))*(X263+W263)/2*(1-X368))</f>
        <v>0</v>
      </c>
      <c r="Y473" s="652">
        <f>IF($B473="",,IF(LEFT($H473,5)="dummy",SUMIFS(AvgBase[Month 14],AvgBase[job_title],$H473),SUMIFS(AvgBase[Month 14],AvgBase[exp_item],$J473,AvgBase[company_name],$B473,AvgBase[bu_name],$C473,AvgBase[dept_name],$D473,AvgBase[team_consolidation],$K473,AvgBase[location_name],$G473,AvgBase[job_title],$H473))*(Y263+X263)/2*(1-Y368))</f>
        <v>0</v>
      </c>
      <c r="Z473" s="652">
        <f>IF($B473="",,IF(LEFT($H473,5)="dummy",SUMIFS(AvgBase[Month 15],AvgBase[job_title],$H473),SUMIFS(AvgBase[Month 15],AvgBase[exp_item],$J473,AvgBase[company_name],$B473,AvgBase[bu_name],$C473,AvgBase[dept_name],$D473,AvgBase[team_consolidation],$K473,AvgBase[location_name],$G473,AvgBase[job_title],$H473))*(Z263+Y263)/2*(1-Z368))</f>
        <v>0</v>
      </c>
      <c r="AA473" s="652">
        <f>IF($B473="",,IF(LEFT($H473,5)="dummy",SUMIFS(AvgBase[Month 16],AvgBase[job_title],$H473),SUMIFS(AvgBase[Month 16],AvgBase[exp_item],$J473,AvgBase[company_name],$B473,AvgBase[bu_name],$C473,AvgBase[dept_name],$D473,AvgBase[team_consolidation],$K473,AvgBase[location_name],$G473,AvgBase[job_title],$H473))*(AA263+Z263)/2*(1-AA368))</f>
        <v>0</v>
      </c>
      <c r="AB473" s="652">
        <f>IF($B473="",,IF(LEFT($H473,5)="dummy",SUMIFS(AvgBase[Month 17],AvgBase[job_title],$H473),SUMIFS(AvgBase[Month 17],AvgBase[exp_item],$J473,AvgBase[company_name],$B473,AvgBase[bu_name],$C473,AvgBase[dept_name],$D473,AvgBase[team_consolidation],$K473,AvgBase[location_name],$G473,AvgBase[job_title],$H473))*(AB263+AA263)/2*(1-AB368))</f>
        <v>0</v>
      </c>
      <c r="AC473" s="652">
        <f>IF($B473="",,IF(LEFT($H473,5)="dummy",SUMIFS(AvgBase[Month 18],AvgBase[job_title],$H473),SUMIFS(AvgBase[Month 18],AvgBase[exp_item],$J473,AvgBase[company_name],$B473,AvgBase[bu_name],$C473,AvgBase[dept_name],$D473,AvgBase[team_consolidation],$K473,AvgBase[location_name],$G473,AvgBase[job_title],$H473))*(AC263+AB263)/2*(1-AC368))</f>
        <v>0</v>
      </c>
      <c r="AD473" s="652">
        <f>IF($B473="",,IF(LEFT($H473,5)="dummy",SUMIFS(AvgBase[Month 19],AvgBase[job_title],$H473),SUMIFS(AvgBase[Month 19],AvgBase[exp_item],$J473,AvgBase[company_name],$B473,AvgBase[bu_name],$C473,AvgBase[dept_name],$D473,AvgBase[team_consolidation],$K473,AvgBase[location_name],$G473,AvgBase[job_title],$H473))*(AD263+AC263)/2*(1-AD368))</f>
        <v>0</v>
      </c>
      <c r="AE473" s="652">
        <f>IF($B473="",,IF(LEFT($H473,5)="dummy",SUMIFS(AvgBase[Month 20],AvgBase[job_title],$H473),SUMIFS(AvgBase[Month 20],AvgBase[exp_item],$J473,AvgBase[company_name],$B473,AvgBase[bu_name],$C473,AvgBase[dept_name],$D473,AvgBase[team_consolidation],$K473,AvgBase[location_name],$G473,AvgBase[job_title],$H473))*(AE263+AD263)/2*(1-AE368))</f>
        <v>0</v>
      </c>
      <c r="AF473" s="652">
        <f>IF($B473="",,IF(LEFT($H473,5)="dummy",SUMIFS(AvgBase[Month 21],AvgBase[job_title],$H473),SUMIFS(AvgBase[Month 21],AvgBase[exp_item],$J473,AvgBase[company_name],$B473,AvgBase[bu_name],$C473,AvgBase[dept_name],$D473,AvgBase[team_consolidation],$K473,AvgBase[location_name],$G473,AvgBase[job_title],$H473))*(AF263+AE263)/2*(1-AF368))</f>
        <v>0</v>
      </c>
      <c r="AG473" s="652">
        <f>IF($B473="",,IF(LEFT($H473,5)="dummy",SUMIFS(AvgBase[Month 22],AvgBase[job_title],$H473),SUMIFS(AvgBase[Month 22],AvgBase[exp_item],$J473,AvgBase[company_name],$B473,AvgBase[bu_name],$C473,AvgBase[dept_name],$D473,AvgBase[team_consolidation],$K473,AvgBase[location_name],$G473,AvgBase[job_title],$H473))*(AG263+AF263)/2*(1-AG368))</f>
        <v>0</v>
      </c>
      <c r="AH473" s="652">
        <f>IF($B473="",,IF(LEFT($H473,5)="dummy",SUMIFS(AvgBase[Month 23],AvgBase[job_title],$H473),SUMIFS(AvgBase[Month 23],AvgBase[exp_item],$J473,AvgBase[company_name],$B473,AvgBase[bu_name],$C473,AvgBase[dept_name],$D473,AvgBase[team_consolidation],$K473,AvgBase[location_name],$G473,AvgBase[job_title],$H473))*(AH263+AG263)/2*(1-AH368))</f>
        <v>0</v>
      </c>
      <c r="AI473" s="652">
        <f>IF($B473="",,IF(LEFT($H473,5)="dummy",SUMIFS(AvgBase[Month 24],AvgBase[job_title],$H473),SUMIFS(AvgBase[Month 24],AvgBase[exp_item],$J473,AvgBase[company_name],$B473,AvgBase[bu_name],$C473,AvgBase[dept_name],$D473,AvgBase[team_consolidation],$K473,AvgBase[location_name],$G473,AvgBase[job_title],$H473))*(AI263+AH263)/2*(1-AI368))</f>
        <v>0</v>
      </c>
      <c r="AJ473" s="652">
        <f>IF($B473="",,IF(LEFT($H473,5)="dummy",SUMIFS(AvgBase[Month 25],AvgBase[job_title],$H473),SUMIFS(AvgBase[Month 25],AvgBase[exp_item],$J473,AvgBase[company_name],$B473,AvgBase[bu_name],$C473,AvgBase[dept_name],$D473,AvgBase[team_consolidation],$K473,AvgBase[location_name],$G473,AvgBase[job_title],$H473))*(AJ263+AI263)/2*(1-AJ368))</f>
        <v>0</v>
      </c>
      <c r="AK473" s="652">
        <f>IF($B473="",,IF(LEFT($H473,5)="dummy",SUMIFS(AvgBase[Month 26],AvgBase[job_title],$H473),SUMIFS(AvgBase[Month 26],AvgBase[exp_item],$J473,AvgBase[company_name],$B473,AvgBase[bu_name],$C473,AvgBase[dept_name],$D473,AvgBase[team_consolidation],$K473,AvgBase[location_name],$G473,AvgBase[job_title],$H473))*(AK263+AJ263)/2*(1-AK368))</f>
        <v>0</v>
      </c>
      <c r="AL473" s="652">
        <f>IF($B473="",,IF(LEFT($H473,5)="dummy",SUMIFS(AvgBase[Month 27],AvgBase[job_title],$H473),SUMIFS(AvgBase[Month 27],AvgBase[exp_item],$J473,AvgBase[company_name],$B473,AvgBase[bu_name],$C473,AvgBase[dept_name],$D473,AvgBase[team_consolidation],$K473,AvgBase[location_name],$G473,AvgBase[job_title],$H473))*(AL263+AK263)/2*(1-AL368))</f>
        <v>0</v>
      </c>
      <c r="AM473" s="652">
        <f>IF($B473="",,IF(LEFT($H473,5)="dummy",SUMIFS(AvgBase[Month 28],AvgBase[job_title],$H473),SUMIFS(AvgBase[Month 28],AvgBase[exp_item],$J473,AvgBase[company_name],$B473,AvgBase[bu_name],$C473,AvgBase[dept_name],$D473,AvgBase[team_consolidation],$K473,AvgBase[location_name],$G473,AvgBase[job_title],$H473))*(AM263+AL263)/2*(1-AM368))</f>
        <v>0</v>
      </c>
      <c r="AN473" s="652">
        <f>IF($B473="",,IF(LEFT($H473,5)="dummy",SUMIFS(AvgBase[Month 29],AvgBase[job_title],$H473),SUMIFS(AvgBase[Month 29],AvgBase[exp_item],$J473,AvgBase[company_name],$B473,AvgBase[bu_name],$C473,AvgBase[dept_name],$D473,AvgBase[team_consolidation],$K473,AvgBase[location_name],$G473,AvgBase[job_title],$H473))*(AN263+AM263)/2*(1-AN368))</f>
        <v>0</v>
      </c>
      <c r="AO473" s="652">
        <f>IF($B473="",,IF(LEFT($H473,5)="dummy",SUMIFS(AvgBase[Month 30],AvgBase[job_title],$H473),SUMIFS(AvgBase[Month 30],AvgBase[exp_item],$J473,AvgBase[company_name],$B473,AvgBase[bu_name],$C473,AvgBase[dept_name],$D473,AvgBase[team_consolidation],$K473,AvgBase[location_name],$G473,AvgBase[job_title],$H473))*(AO263+AN263)/2*(1-AO368))</f>
        <v>0</v>
      </c>
      <c r="AP473" s="652">
        <f>IF($B473="",,IF(LEFT($H473,5)="dummy",SUMIFS(AvgBase[Month 31],AvgBase[job_title],$H473),SUMIFS(AvgBase[Month 31],AvgBase[exp_item],$J473,AvgBase[company_name],$B473,AvgBase[bu_name],$C473,AvgBase[dept_name],$D473,AvgBase[team_consolidation],$K473,AvgBase[location_name],$G473,AvgBase[job_title],$H473))*(AP263+AO263)/2*(1-AP368))</f>
        <v>0</v>
      </c>
      <c r="AQ473" s="652">
        <f>IF($B473="",,IF(LEFT($H473,5)="dummy",SUMIFS(AvgBase[Month 32],AvgBase[job_title],$H473),SUMIFS(AvgBase[Month 32],AvgBase[exp_item],$J473,AvgBase[company_name],$B473,AvgBase[bu_name],$C473,AvgBase[dept_name],$D473,AvgBase[team_consolidation],$K473,AvgBase[location_name],$G473,AvgBase[job_title],$H473))*(AQ263+AP263)/2*(1-AQ368))</f>
        <v>0</v>
      </c>
      <c r="AR473" s="652">
        <f>IF($B473="",,IF(LEFT($H473,5)="dummy",SUMIFS(AvgBase[Month 33],AvgBase[job_title],$H473),SUMIFS(AvgBase[Month 33],AvgBase[exp_item],$J473,AvgBase[company_name],$B473,AvgBase[bu_name],$C473,AvgBase[dept_name],$D473,AvgBase[team_consolidation],$K473,AvgBase[location_name],$G473,AvgBase[job_title],$H473))*(AR263+AQ263)/2*(1-AR368))</f>
        <v>0</v>
      </c>
      <c r="AS473" s="652">
        <f>IF($B473="",,IF(LEFT($H473,5)="dummy",SUMIFS(AvgBase[Month 34],AvgBase[job_title],$H473),SUMIFS(AvgBase[Month 34],AvgBase[exp_item],$J473,AvgBase[company_name],$B473,AvgBase[bu_name],$C473,AvgBase[dept_name],$D473,AvgBase[team_consolidation],$K473,AvgBase[location_name],$G473,AvgBase[job_title],$H473))*(AS263+AR263)/2*(1-AS368))</f>
        <v>0</v>
      </c>
      <c r="AT473" s="652">
        <f>IF($B473="",,IF(LEFT($H473,5)="dummy",SUMIFS(AvgBase[Month 35],AvgBase[job_title],$H473),SUMIFS(AvgBase[Month 35],AvgBase[exp_item],$J473,AvgBase[company_name],$B473,AvgBase[bu_name],$C473,AvgBase[dept_name],$D473,AvgBase[team_consolidation],$K473,AvgBase[location_name],$G473,AvgBase[job_title],$H473))*(AT263+AS263)/2*(1-AT368))</f>
        <v>0</v>
      </c>
      <c r="AU473" s="652">
        <f>IF($B473="",,IF(LEFT($H473,5)="dummy",SUMIFS(AvgBase[Month 36],AvgBase[job_title],$H473),SUMIFS(AvgBase[Month 36],AvgBase[exp_item],$J473,AvgBase[company_name],$B473,AvgBase[bu_name],$C473,AvgBase[dept_name],$D473,AvgBase[team_consolidation],$K473,AvgBase[location_name],$G473,AvgBase[job_title],$H473))*(AU263+AT263)/2*(1-AU368))</f>
        <v>0</v>
      </c>
    </row>
    <row r="474" spans="2:47" x14ac:dyDescent="0.35">
      <c r="B474" t="str">
        <f t="shared" si="285"/>
        <v/>
      </c>
      <c r="C474" t="str">
        <f t="shared" si="285"/>
        <v/>
      </c>
      <c r="D474" t="str">
        <f t="shared" si="285"/>
        <v/>
      </c>
      <c r="E474" t="str">
        <f t="shared" si="285"/>
        <v/>
      </c>
      <c r="F474" t="str">
        <f t="shared" si="285"/>
        <v/>
      </c>
      <c r="G474" t="str">
        <f t="shared" si="285"/>
        <v/>
      </c>
      <c r="H474" t="str">
        <f t="shared" si="283"/>
        <v/>
      </c>
      <c r="J474" t="str">
        <f>IF($H474="","",IF(VLOOKUP($B$395,ExpItems[],2,0),$B$395&amp;" - "&amp;INDEX(DivisionMapping[category_code],MATCH($D474&amp;$C474,DivisionMapping[dept_bu],0)),$B$395))</f>
        <v/>
      </c>
      <c r="K474" t="str">
        <f t="shared" si="284"/>
        <v/>
      </c>
      <c r="L474" s="652">
        <f>IF($B474="",,IF(LEFT($H474,5)="dummy",SUMIFS(AvgBase[Month 1],AvgBase[job_title],$H474),SUMIFS(AvgBase[Month 1],AvgBase[exp_item],$J474,AvgBase[company_name],$B474,AvgBase[bu_name],$C474,AvgBase[dept_name],$D474,AvgBase[team_consolidation],$K474,AvgBase[location_name],$G474,AvgBase[job_title],$H474))*L264/2*(1-L369))</f>
        <v>0</v>
      </c>
      <c r="M474" s="652">
        <f>IF($B474="",,IF(LEFT($H474,5)="dummy",SUMIFS(AvgBase[Month 2],AvgBase[job_title],$H474),SUMIFS(AvgBase[Month 2],AvgBase[exp_item],$J474,AvgBase[company_name],$B474,AvgBase[bu_name],$C474,AvgBase[dept_name],$D474,AvgBase[team_consolidation],$K474,AvgBase[location_name],$G474,AvgBase[job_title],$H474))*(M264+L264)/2*(1-M369))</f>
        <v>0</v>
      </c>
      <c r="N474" s="652">
        <f>IF($B474="",,IF(LEFT($H474,5)="dummy",SUMIFS(AvgBase[Month 3],AvgBase[job_title],$H474),SUMIFS(AvgBase[Month 3],AvgBase[exp_item],$J474,AvgBase[company_name],$B474,AvgBase[bu_name],$C474,AvgBase[dept_name],$D474,AvgBase[team_consolidation],$K474,AvgBase[location_name],$G474,AvgBase[job_title],$H474))*(N264+M264)/2*(1-N369))</f>
        <v>0</v>
      </c>
      <c r="O474" s="652">
        <f>IF($B474="",,IF(LEFT($H474,5)="dummy",SUMIFS(AvgBase[Month 4],AvgBase[job_title],$H474),SUMIFS(AvgBase[Month 4],AvgBase[exp_item],$J474,AvgBase[company_name],$B474,AvgBase[bu_name],$C474,AvgBase[dept_name],$D474,AvgBase[team_consolidation],$K474,AvgBase[location_name],$G474,AvgBase[job_title],$H474))*(O264+N264)/2*(1-O369))</f>
        <v>0</v>
      </c>
      <c r="P474" s="652">
        <f>IF($B474="",,IF(LEFT($H474,5)="dummy",SUMIFS(AvgBase[Month 5],AvgBase[job_title],$H474),SUMIFS(AvgBase[Month 5],AvgBase[exp_item],$J474,AvgBase[company_name],$B474,AvgBase[bu_name],$C474,AvgBase[dept_name],$D474,AvgBase[team_consolidation],$K474,AvgBase[location_name],$G474,AvgBase[job_title],$H474))*(P264+O264)/2*(1-P369))</f>
        <v>0</v>
      </c>
      <c r="Q474" s="652">
        <f>IF($B474="",,IF(LEFT($H474,5)="dummy",SUMIFS(AvgBase[Month 6],AvgBase[job_title],$H474),SUMIFS(AvgBase[Month 6],AvgBase[exp_item],$J474,AvgBase[company_name],$B474,AvgBase[bu_name],$C474,AvgBase[dept_name],$D474,AvgBase[team_consolidation],$K474,AvgBase[location_name],$G474,AvgBase[job_title],$H474))*(Q264+P264)/2*(1-Q369))</f>
        <v>0</v>
      </c>
      <c r="R474" s="652">
        <f>IF($B474="",,IF(LEFT($H474,5)="dummy",SUMIFS(AvgBase[Month 7],AvgBase[job_title],$H474),SUMIFS(AvgBase[Month 7],AvgBase[exp_item],$J474,AvgBase[company_name],$B474,AvgBase[bu_name],$C474,AvgBase[dept_name],$D474,AvgBase[team_consolidation],$K474,AvgBase[location_name],$G474,AvgBase[job_title],$H474))*(R264+Q264)/2*(1-R369))</f>
        <v>0</v>
      </c>
      <c r="S474" s="652">
        <f>IF($B474="",,IF(LEFT($H474,5)="dummy",SUMIFS(AvgBase[Month 8],AvgBase[job_title],$H474),SUMIFS(AvgBase[Month 8],AvgBase[exp_item],$J474,AvgBase[company_name],$B474,AvgBase[bu_name],$C474,AvgBase[dept_name],$D474,AvgBase[team_consolidation],$K474,AvgBase[location_name],$G474,AvgBase[job_title],$H474))*(S264+R264)/2*(1-S369))</f>
        <v>0</v>
      </c>
      <c r="T474" s="652">
        <f>IF($B474="",,IF(LEFT($H474,5)="dummy",SUMIFS(AvgBase[Month 9],AvgBase[job_title],$H474),SUMIFS(AvgBase[Month 9],AvgBase[exp_item],$J474,AvgBase[company_name],$B474,AvgBase[bu_name],$C474,AvgBase[dept_name],$D474,AvgBase[team_consolidation],$K474,AvgBase[location_name],$G474,AvgBase[job_title],$H474))*(T264+S264)/2*(1-T369))</f>
        <v>0</v>
      </c>
      <c r="U474" s="652">
        <f>IF($B474="",,IF(LEFT($H474,5)="dummy",SUMIFS(AvgBase[Month 10],AvgBase[job_title],$H474),SUMIFS(AvgBase[Month 10],AvgBase[exp_item],$J474,AvgBase[company_name],$B474,AvgBase[bu_name],$C474,AvgBase[dept_name],$D474,AvgBase[team_consolidation],$K474,AvgBase[location_name],$G474,AvgBase[job_title],$H474))*(U264+T264)/2*(1-U369))</f>
        <v>0</v>
      </c>
      <c r="V474" s="652">
        <f>IF($B474="",,IF(LEFT($H474,5)="dummy",SUMIFS(AvgBase[Month 11],AvgBase[job_title],$H474),SUMIFS(AvgBase[Month 11],AvgBase[exp_item],$J474,AvgBase[company_name],$B474,AvgBase[bu_name],$C474,AvgBase[dept_name],$D474,AvgBase[team_consolidation],$K474,AvgBase[location_name],$G474,AvgBase[job_title],$H474))*(V264+U264)/2*(1-V369))</f>
        <v>0</v>
      </c>
      <c r="W474" s="652">
        <f>IF($B474="",,IF(LEFT($H474,5)="dummy",SUMIFS(AvgBase[Month 12],AvgBase[job_title],$H474),SUMIFS(AvgBase[Month 12],AvgBase[exp_item],$J474,AvgBase[company_name],$B474,AvgBase[bu_name],$C474,AvgBase[dept_name],$D474,AvgBase[team_consolidation],$K474,AvgBase[location_name],$G474,AvgBase[job_title],$H474))*(W264+V264)/2*(1-W369))</f>
        <v>0</v>
      </c>
      <c r="X474" s="652">
        <f>IF($B474="",,IF(LEFT($H474,5)="dummy",SUMIFS(AvgBase[Month 13],AvgBase[job_title],$H474),SUMIFS(AvgBase[Month 13],AvgBase[exp_item],$J474,AvgBase[company_name],$B474,AvgBase[bu_name],$C474,AvgBase[dept_name],$D474,AvgBase[team_consolidation],$K474,AvgBase[location_name],$G474,AvgBase[job_title],$H474))*(X264+W264)/2*(1-X369))</f>
        <v>0</v>
      </c>
      <c r="Y474" s="652">
        <f>IF($B474="",,IF(LEFT($H474,5)="dummy",SUMIFS(AvgBase[Month 14],AvgBase[job_title],$H474),SUMIFS(AvgBase[Month 14],AvgBase[exp_item],$J474,AvgBase[company_name],$B474,AvgBase[bu_name],$C474,AvgBase[dept_name],$D474,AvgBase[team_consolidation],$K474,AvgBase[location_name],$G474,AvgBase[job_title],$H474))*(Y264+X264)/2*(1-Y369))</f>
        <v>0</v>
      </c>
      <c r="Z474" s="652">
        <f>IF($B474="",,IF(LEFT($H474,5)="dummy",SUMIFS(AvgBase[Month 15],AvgBase[job_title],$H474),SUMIFS(AvgBase[Month 15],AvgBase[exp_item],$J474,AvgBase[company_name],$B474,AvgBase[bu_name],$C474,AvgBase[dept_name],$D474,AvgBase[team_consolidation],$K474,AvgBase[location_name],$G474,AvgBase[job_title],$H474))*(Z264+Y264)/2*(1-Z369))</f>
        <v>0</v>
      </c>
      <c r="AA474" s="652">
        <f>IF($B474="",,IF(LEFT($H474,5)="dummy",SUMIFS(AvgBase[Month 16],AvgBase[job_title],$H474),SUMIFS(AvgBase[Month 16],AvgBase[exp_item],$J474,AvgBase[company_name],$B474,AvgBase[bu_name],$C474,AvgBase[dept_name],$D474,AvgBase[team_consolidation],$K474,AvgBase[location_name],$G474,AvgBase[job_title],$H474))*(AA264+Z264)/2*(1-AA369))</f>
        <v>0</v>
      </c>
      <c r="AB474" s="652">
        <f>IF($B474="",,IF(LEFT($H474,5)="dummy",SUMIFS(AvgBase[Month 17],AvgBase[job_title],$H474),SUMIFS(AvgBase[Month 17],AvgBase[exp_item],$J474,AvgBase[company_name],$B474,AvgBase[bu_name],$C474,AvgBase[dept_name],$D474,AvgBase[team_consolidation],$K474,AvgBase[location_name],$G474,AvgBase[job_title],$H474))*(AB264+AA264)/2*(1-AB369))</f>
        <v>0</v>
      </c>
      <c r="AC474" s="652">
        <f>IF($B474="",,IF(LEFT($H474,5)="dummy",SUMIFS(AvgBase[Month 18],AvgBase[job_title],$H474),SUMIFS(AvgBase[Month 18],AvgBase[exp_item],$J474,AvgBase[company_name],$B474,AvgBase[bu_name],$C474,AvgBase[dept_name],$D474,AvgBase[team_consolidation],$K474,AvgBase[location_name],$G474,AvgBase[job_title],$H474))*(AC264+AB264)/2*(1-AC369))</f>
        <v>0</v>
      </c>
      <c r="AD474" s="652">
        <f>IF($B474="",,IF(LEFT($H474,5)="dummy",SUMIFS(AvgBase[Month 19],AvgBase[job_title],$H474),SUMIFS(AvgBase[Month 19],AvgBase[exp_item],$J474,AvgBase[company_name],$B474,AvgBase[bu_name],$C474,AvgBase[dept_name],$D474,AvgBase[team_consolidation],$K474,AvgBase[location_name],$G474,AvgBase[job_title],$H474))*(AD264+AC264)/2*(1-AD369))</f>
        <v>0</v>
      </c>
      <c r="AE474" s="652">
        <f>IF($B474="",,IF(LEFT($H474,5)="dummy",SUMIFS(AvgBase[Month 20],AvgBase[job_title],$H474),SUMIFS(AvgBase[Month 20],AvgBase[exp_item],$J474,AvgBase[company_name],$B474,AvgBase[bu_name],$C474,AvgBase[dept_name],$D474,AvgBase[team_consolidation],$K474,AvgBase[location_name],$G474,AvgBase[job_title],$H474))*(AE264+AD264)/2*(1-AE369))</f>
        <v>0</v>
      </c>
      <c r="AF474" s="652">
        <f>IF($B474="",,IF(LEFT($H474,5)="dummy",SUMIFS(AvgBase[Month 21],AvgBase[job_title],$H474),SUMIFS(AvgBase[Month 21],AvgBase[exp_item],$J474,AvgBase[company_name],$B474,AvgBase[bu_name],$C474,AvgBase[dept_name],$D474,AvgBase[team_consolidation],$K474,AvgBase[location_name],$G474,AvgBase[job_title],$H474))*(AF264+AE264)/2*(1-AF369))</f>
        <v>0</v>
      </c>
      <c r="AG474" s="652">
        <f>IF($B474="",,IF(LEFT($H474,5)="dummy",SUMIFS(AvgBase[Month 22],AvgBase[job_title],$H474),SUMIFS(AvgBase[Month 22],AvgBase[exp_item],$J474,AvgBase[company_name],$B474,AvgBase[bu_name],$C474,AvgBase[dept_name],$D474,AvgBase[team_consolidation],$K474,AvgBase[location_name],$G474,AvgBase[job_title],$H474))*(AG264+AF264)/2*(1-AG369))</f>
        <v>0</v>
      </c>
      <c r="AH474" s="652">
        <f>IF($B474="",,IF(LEFT($H474,5)="dummy",SUMIFS(AvgBase[Month 23],AvgBase[job_title],$H474),SUMIFS(AvgBase[Month 23],AvgBase[exp_item],$J474,AvgBase[company_name],$B474,AvgBase[bu_name],$C474,AvgBase[dept_name],$D474,AvgBase[team_consolidation],$K474,AvgBase[location_name],$G474,AvgBase[job_title],$H474))*(AH264+AG264)/2*(1-AH369))</f>
        <v>0</v>
      </c>
      <c r="AI474" s="652">
        <f>IF($B474="",,IF(LEFT($H474,5)="dummy",SUMIFS(AvgBase[Month 24],AvgBase[job_title],$H474),SUMIFS(AvgBase[Month 24],AvgBase[exp_item],$J474,AvgBase[company_name],$B474,AvgBase[bu_name],$C474,AvgBase[dept_name],$D474,AvgBase[team_consolidation],$K474,AvgBase[location_name],$G474,AvgBase[job_title],$H474))*(AI264+AH264)/2*(1-AI369))</f>
        <v>0</v>
      </c>
      <c r="AJ474" s="652">
        <f>IF($B474="",,IF(LEFT($H474,5)="dummy",SUMIFS(AvgBase[Month 25],AvgBase[job_title],$H474),SUMIFS(AvgBase[Month 25],AvgBase[exp_item],$J474,AvgBase[company_name],$B474,AvgBase[bu_name],$C474,AvgBase[dept_name],$D474,AvgBase[team_consolidation],$K474,AvgBase[location_name],$G474,AvgBase[job_title],$H474))*(AJ264+AI264)/2*(1-AJ369))</f>
        <v>0</v>
      </c>
      <c r="AK474" s="652">
        <f>IF($B474="",,IF(LEFT($H474,5)="dummy",SUMIFS(AvgBase[Month 26],AvgBase[job_title],$H474),SUMIFS(AvgBase[Month 26],AvgBase[exp_item],$J474,AvgBase[company_name],$B474,AvgBase[bu_name],$C474,AvgBase[dept_name],$D474,AvgBase[team_consolidation],$K474,AvgBase[location_name],$G474,AvgBase[job_title],$H474))*(AK264+AJ264)/2*(1-AK369))</f>
        <v>0</v>
      </c>
      <c r="AL474" s="652">
        <f>IF($B474="",,IF(LEFT($H474,5)="dummy",SUMIFS(AvgBase[Month 27],AvgBase[job_title],$H474),SUMIFS(AvgBase[Month 27],AvgBase[exp_item],$J474,AvgBase[company_name],$B474,AvgBase[bu_name],$C474,AvgBase[dept_name],$D474,AvgBase[team_consolidation],$K474,AvgBase[location_name],$G474,AvgBase[job_title],$H474))*(AL264+AK264)/2*(1-AL369))</f>
        <v>0</v>
      </c>
      <c r="AM474" s="652">
        <f>IF($B474="",,IF(LEFT($H474,5)="dummy",SUMIFS(AvgBase[Month 28],AvgBase[job_title],$H474),SUMIFS(AvgBase[Month 28],AvgBase[exp_item],$J474,AvgBase[company_name],$B474,AvgBase[bu_name],$C474,AvgBase[dept_name],$D474,AvgBase[team_consolidation],$K474,AvgBase[location_name],$G474,AvgBase[job_title],$H474))*(AM264+AL264)/2*(1-AM369))</f>
        <v>0</v>
      </c>
      <c r="AN474" s="652">
        <f>IF($B474="",,IF(LEFT($H474,5)="dummy",SUMIFS(AvgBase[Month 29],AvgBase[job_title],$H474),SUMIFS(AvgBase[Month 29],AvgBase[exp_item],$J474,AvgBase[company_name],$B474,AvgBase[bu_name],$C474,AvgBase[dept_name],$D474,AvgBase[team_consolidation],$K474,AvgBase[location_name],$G474,AvgBase[job_title],$H474))*(AN264+AM264)/2*(1-AN369))</f>
        <v>0</v>
      </c>
      <c r="AO474" s="652">
        <f>IF($B474="",,IF(LEFT($H474,5)="dummy",SUMIFS(AvgBase[Month 30],AvgBase[job_title],$H474),SUMIFS(AvgBase[Month 30],AvgBase[exp_item],$J474,AvgBase[company_name],$B474,AvgBase[bu_name],$C474,AvgBase[dept_name],$D474,AvgBase[team_consolidation],$K474,AvgBase[location_name],$G474,AvgBase[job_title],$H474))*(AO264+AN264)/2*(1-AO369))</f>
        <v>0</v>
      </c>
      <c r="AP474" s="652">
        <f>IF($B474="",,IF(LEFT($H474,5)="dummy",SUMIFS(AvgBase[Month 31],AvgBase[job_title],$H474),SUMIFS(AvgBase[Month 31],AvgBase[exp_item],$J474,AvgBase[company_name],$B474,AvgBase[bu_name],$C474,AvgBase[dept_name],$D474,AvgBase[team_consolidation],$K474,AvgBase[location_name],$G474,AvgBase[job_title],$H474))*(AP264+AO264)/2*(1-AP369))</f>
        <v>0</v>
      </c>
      <c r="AQ474" s="652">
        <f>IF($B474="",,IF(LEFT($H474,5)="dummy",SUMIFS(AvgBase[Month 32],AvgBase[job_title],$H474),SUMIFS(AvgBase[Month 32],AvgBase[exp_item],$J474,AvgBase[company_name],$B474,AvgBase[bu_name],$C474,AvgBase[dept_name],$D474,AvgBase[team_consolidation],$K474,AvgBase[location_name],$G474,AvgBase[job_title],$H474))*(AQ264+AP264)/2*(1-AQ369))</f>
        <v>0</v>
      </c>
      <c r="AR474" s="652">
        <f>IF($B474="",,IF(LEFT($H474,5)="dummy",SUMIFS(AvgBase[Month 33],AvgBase[job_title],$H474),SUMIFS(AvgBase[Month 33],AvgBase[exp_item],$J474,AvgBase[company_name],$B474,AvgBase[bu_name],$C474,AvgBase[dept_name],$D474,AvgBase[team_consolidation],$K474,AvgBase[location_name],$G474,AvgBase[job_title],$H474))*(AR264+AQ264)/2*(1-AR369))</f>
        <v>0</v>
      </c>
      <c r="AS474" s="652">
        <f>IF($B474="",,IF(LEFT($H474,5)="dummy",SUMIFS(AvgBase[Month 34],AvgBase[job_title],$H474),SUMIFS(AvgBase[Month 34],AvgBase[exp_item],$J474,AvgBase[company_name],$B474,AvgBase[bu_name],$C474,AvgBase[dept_name],$D474,AvgBase[team_consolidation],$K474,AvgBase[location_name],$G474,AvgBase[job_title],$H474))*(AS264+AR264)/2*(1-AS369))</f>
        <v>0</v>
      </c>
      <c r="AT474" s="652">
        <f>IF($B474="",,IF(LEFT($H474,5)="dummy",SUMIFS(AvgBase[Month 35],AvgBase[job_title],$H474),SUMIFS(AvgBase[Month 35],AvgBase[exp_item],$J474,AvgBase[company_name],$B474,AvgBase[bu_name],$C474,AvgBase[dept_name],$D474,AvgBase[team_consolidation],$K474,AvgBase[location_name],$G474,AvgBase[job_title],$H474))*(AT264+AS264)/2*(1-AT369))</f>
        <v>0</v>
      </c>
      <c r="AU474" s="652">
        <f>IF($B474="",,IF(LEFT($H474,5)="dummy",SUMIFS(AvgBase[Month 36],AvgBase[job_title],$H474),SUMIFS(AvgBase[Month 36],AvgBase[exp_item],$J474,AvgBase[company_name],$B474,AvgBase[bu_name],$C474,AvgBase[dept_name],$D474,AvgBase[team_consolidation],$K474,AvgBase[location_name],$G474,AvgBase[job_title],$H474))*(AU264+AT264)/2*(1-AU369))</f>
        <v>0</v>
      </c>
    </row>
    <row r="475" spans="2:47" x14ac:dyDescent="0.35">
      <c r="B475" t="str">
        <f t="shared" si="285"/>
        <v/>
      </c>
      <c r="C475" t="str">
        <f t="shared" si="285"/>
        <v/>
      </c>
      <c r="D475" t="str">
        <f t="shared" si="285"/>
        <v/>
      </c>
      <c r="E475" t="str">
        <f t="shared" si="285"/>
        <v/>
      </c>
      <c r="F475" t="str">
        <f t="shared" si="285"/>
        <v/>
      </c>
      <c r="G475" t="str">
        <f t="shared" si="285"/>
        <v/>
      </c>
      <c r="H475" t="str">
        <f t="shared" si="283"/>
        <v/>
      </c>
      <c r="J475" t="str">
        <f>IF($H475="","",IF(VLOOKUP($B$395,ExpItems[],2,0),$B$395&amp;" - "&amp;INDEX(DivisionMapping[category_code],MATCH($D475&amp;$C475,DivisionMapping[dept_bu],0)),$B$395))</f>
        <v/>
      </c>
      <c r="K475" t="str">
        <f t="shared" si="284"/>
        <v/>
      </c>
      <c r="L475" s="652">
        <f>IF($B475="",,IF(LEFT($H475,5)="dummy",SUMIFS(AvgBase[Month 1],AvgBase[job_title],$H475),SUMIFS(AvgBase[Month 1],AvgBase[exp_item],$J475,AvgBase[company_name],$B475,AvgBase[bu_name],$C475,AvgBase[dept_name],$D475,AvgBase[team_consolidation],$K475,AvgBase[location_name],$G475,AvgBase[job_title],$H475))*L265/2*(1-L370))</f>
        <v>0</v>
      </c>
      <c r="M475" s="652">
        <f>IF($B475="",,IF(LEFT($H475,5)="dummy",SUMIFS(AvgBase[Month 2],AvgBase[job_title],$H475),SUMIFS(AvgBase[Month 2],AvgBase[exp_item],$J475,AvgBase[company_name],$B475,AvgBase[bu_name],$C475,AvgBase[dept_name],$D475,AvgBase[team_consolidation],$K475,AvgBase[location_name],$G475,AvgBase[job_title],$H475))*(M265+L265)/2*(1-M370))</f>
        <v>0</v>
      </c>
      <c r="N475" s="652">
        <f>IF($B475="",,IF(LEFT($H475,5)="dummy",SUMIFS(AvgBase[Month 3],AvgBase[job_title],$H475),SUMIFS(AvgBase[Month 3],AvgBase[exp_item],$J475,AvgBase[company_name],$B475,AvgBase[bu_name],$C475,AvgBase[dept_name],$D475,AvgBase[team_consolidation],$K475,AvgBase[location_name],$G475,AvgBase[job_title],$H475))*(N265+M265)/2*(1-N370))</f>
        <v>0</v>
      </c>
      <c r="O475" s="652">
        <f>IF($B475="",,IF(LEFT($H475,5)="dummy",SUMIFS(AvgBase[Month 4],AvgBase[job_title],$H475),SUMIFS(AvgBase[Month 4],AvgBase[exp_item],$J475,AvgBase[company_name],$B475,AvgBase[bu_name],$C475,AvgBase[dept_name],$D475,AvgBase[team_consolidation],$K475,AvgBase[location_name],$G475,AvgBase[job_title],$H475))*(O265+N265)/2*(1-O370))</f>
        <v>0</v>
      </c>
      <c r="P475" s="652">
        <f>IF($B475="",,IF(LEFT($H475,5)="dummy",SUMIFS(AvgBase[Month 5],AvgBase[job_title],$H475),SUMIFS(AvgBase[Month 5],AvgBase[exp_item],$J475,AvgBase[company_name],$B475,AvgBase[bu_name],$C475,AvgBase[dept_name],$D475,AvgBase[team_consolidation],$K475,AvgBase[location_name],$G475,AvgBase[job_title],$H475))*(P265+O265)/2*(1-P370))</f>
        <v>0</v>
      </c>
      <c r="Q475" s="652">
        <f>IF($B475="",,IF(LEFT($H475,5)="dummy",SUMIFS(AvgBase[Month 6],AvgBase[job_title],$H475),SUMIFS(AvgBase[Month 6],AvgBase[exp_item],$J475,AvgBase[company_name],$B475,AvgBase[bu_name],$C475,AvgBase[dept_name],$D475,AvgBase[team_consolidation],$K475,AvgBase[location_name],$G475,AvgBase[job_title],$H475))*(Q265+P265)/2*(1-Q370))</f>
        <v>0</v>
      </c>
      <c r="R475" s="652">
        <f>IF($B475="",,IF(LEFT($H475,5)="dummy",SUMIFS(AvgBase[Month 7],AvgBase[job_title],$H475),SUMIFS(AvgBase[Month 7],AvgBase[exp_item],$J475,AvgBase[company_name],$B475,AvgBase[bu_name],$C475,AvgBase[dept_name],$D475,AvgBase[team_consolidation],$K475,AvgBase[location_name],$G475,AvgBase[job_title],$H475))*(R265+Q265)/2*(1-R370))</f>
        <v>0</v>
      </c>
      <c r="S475" s="652">
        <f>IF($B475="",,IF(LEFT($H475,5)="dummy",SUMIFS(AvgBase[Month 8],AvgBase[job_title],$H475),SUMIFS(AvgBase[Month 8],AvgBase[exp_item],$J475,AvgBase[company_name],$B475,AvgBase[bu_name],$C475,AvgBase[dept_name],$D475,AvgBase[team_consolidation],$K475,AvgBase[location_name],$G475,AvgBase[job_title],$H475))*(S265+R265)/2*(1-S370))</f>
        <v>0</v>
      </c>
      <c r="T475" s="652">
        <f>IF($B475="",,IF(LEFT($H475,5)="dummy",SUMIFS(AvgBase[Month 9],AvgBase[job_title],$H475),SUMIFS(AvgBase[Month 9],AvgBase[exp_item],$J475,AvgBase[company_name],$B475,AvgBase[bu_name],$C475,AvgBase[dept_name],$D475,AvgBase[team_consolidation],$K475,AvgBase[location_name],$G475,AvgBase[job_title],$H475))*(T265+S265)/2*(1-T370))</f>
        <v>0</v>
      </c>
      <c r="U475" s="652">
        <f>IF($B475="",,IF(LEFT($H475,5)="dummy",SUMIFS(AvgBase[Month 10],AvgBase[job_title],$H475),SUMIFS(AvgBase[Month 10],AvgBase[exp_item],$J475,AvgBase[company_name],$B475,AvgBase[bu_name],$C475,AvgBase[dept_name],$D475,AvgBase[team_consolidation],$K475,AvgBase[location_name],$G475,AvgBase[job_title],$H475))*(U265+T265)/2*(1-U370))</f>
        <v>0</v>
      </c>
      <c r="V475" s="652">
        <f>IF($B475="",,IF(LEFT($H475,5)="dummy",SUMIFS(AvgBase[Month 11],AvgBase[job_title],$H475),SUMIFS(AvgBase[Month 11],AvgBase[exp_item],$J475,AvgBase[company_name],$B475,AvgBase[bu_name],$C475,AvgBase[dept_name],$D475,AvgBase[team_consolidation],$K475,AvgBase[location_name],$G475,AvgBase[job_title],$H475))*(V265+U265)/2*(1-V370))</f>
        <v>0</v>
      </c>
      <c r="W475" s="652">
        <f>IF($B475="",,IF(LEFT($H475,5)="dummy",SUMIFS(AvgBase[Month 12],AvgBase[job_title],$H475),SUMIFS(AvgBase[Month 12],AvgBase[exp_item],$J475,AvgBase[company_name],$B475,AvgBase[bu_name],$C475,AvgBase[dept_name],$D475,AvgBase[team_consolidation],$K475,AvgBase[location_name],$G475,AvgBase[job_title],$H475))*(W265+V265)/2*(1-W370))</f>
        <v>0</v>
      </c>
      <c r="X475" s="652">
        <f>IF($B475="",,IF(LEFT($H475,5)="dummy",SUMIFS(AvgBase[Month 13],AvgBase[job_title],$H475),SUMIFS(AvgBase[Month 13],AvgBase[exp_item],$J475,AvgBase[company_name],$B475,AvgBase[bu_name],$C475,AvgBase[dept_name],$D475,AvgBase[team_consolidation],$K475,AvgBase[location_name],$G475,AvgBase[job_title],$H475))*(X265+W265)/2*(1-X370))</f>
        <v>0</v>
      </c>
      <c r="Y475" s="652">
        <f>IF($B475="",,IF(LEFT($H475,5)="dummy",SUMIFS(AvgBase[Month 14],AvgBase[job_title],$H475),SUMIFS(AvgBase[Month 14],AvgBase[exp_item],$J475,AvgBase[company_name],$B475,AvgBase[bu_name],$C475,AvgBase[dept_name],$D475,AvgBase[team_consolidation],$K475,AvgBase[location_name],$G475,AvgBase[job_title],$H475))*(Y265+X265)/2*(1-Y370))</f>
        <v>0</v>
      </c>
      <c r="Z475" s="652">
        <f>IF($B475="",,IF(LEFT($H475,5)="dummy",SUMIFS(AvgBase[Month 15],AvgBase[job_title],$H475),SUMIFS(AvgBase[Month 15],AvgBase[exp_item],$J475,AvgBase[company_name],$B475,AvgBase[bu_name],$C475,AvgBase[dept_name],$D475,AvgBase[team_consolidation],$K475,AvgBase[location_name],$G475,AvgBase[job_title],$H475))*(Z265+Y265)/2*(1-Z370))</f>
        <v>0</v>
      </c>
      <c r="AA475" s="652">
        <f>IF($B475="",,IF(LEFT($H475,5)="dummy",SUMIFS(AvgBase[Month 16],AvgBase[job_title],$H475),SUMIFS(AvgBase[Month 16],AvgBase[exp_item],$J475,AvgBase[company_name],$B475,AvgBase[bu_name],$C475,AvgBase[dept_name],$D475,AvgBase[team_consolidation],$K475,AvgBase[location_name],$G475,AvgBase[job_title],$H475))*(AA265+Z265)/2*(1-AA370))</f>
        <v>0</v>
      </c>
      <c r="AB475" s="652">
        <f>IF($B475="",,IF(LEFT($H475,5)="dummy",SUMIFS(AvgBase[Month 17],AvgBase[job_title],$H475),SUMIFS(AvgBase[Month 17],AvgBase[exp_item],$J475,AvgBase[company_name],$B475,AvgBase[bu_name],$C475,AvgBase[dept_name],$D475,AvgBase[team_consolidation],$K475,AvgBase[location_name],$G475,AvgBase[job_title],$H475))*(AB265+AA265)/2*(1-AB370))</f>
        <v>0</v>
      </c>
      <c r="AC475" s="652">
        <f>IF($B475="",,IF(LEFT($H475,5)="dummy",SUMIFS(AvgBase[Month 18],AvgBase[job_title],$H475),SUMIFS(AvgBase[Month 18],AvgBase[exp_item],$J475,AvgBase[company_name],$B475,AvgBase[bu_name],$C475,AvgBase[dept_name],$D475,AvgBase[team_consolidation],$K475,AvgBase[location_name],$G475,AvgBase[job_title],$H475))*(AC265+AB265)/2*(1-AC370))</f>
        <v>0</v>
      </c>
      <c r="AD475" s="652">
        <f>IF($B475="",,IF(LEFT($H475,5)="dummy",SUMIFS(AvgBase[Month 19],AvgBase[job_title],$H475),SUMIFS(AvgBase[Month 19],AvgBase[exp_item],$J475,AvgBase[company_name],$B475,AvgBase[bu_name],$C475,AvgBase[dept_name],$D475,AvgBase[team_consolidation],$K475,AvgBase[location_name],$G475,AvgBase[job_title],$H475))*(AD265+AC265)/2*(1-AD370))</f>
        <v>0</v>
      </c>
      <c r="AE475" s="652">
        <f>IF($B475="",,IF(LEFT($H475,5)="dummy",SUMIFS(AvgBase[Month 20],AvgBase[job_title],$H475),SUMIFS(AvgBase[Month 20],AvgBase[exp_item],$J475,AvgBase[company_name],$B475,AvgBase[bu_name],$C475,AvgBase[dept_name],$D475,AvgBase[team_consolidation],$K475,AvgBase[location_name],$G475,AvgBase[job_title],$H475))*(AE265+AD265)/2*(1-AE370))</f>
        <v>0</v>
      </c>
      <c r="AF475" s="652">
        <f>IF($B475="",,IF(LEFT($H475,5)="dummy",SUMIFS(AvgBase[Month 21],AvgBase[job_title],$H475),SUMIFS(AvgBase[Month 21],AvgBase[exp_item],$J475,AvgBase[company_name],$B475,AvgBase[bu_name],$C475,AvgBase[dept_name],$D475,AvgBase[team_consolidation],$K475,AvgBase[location_name],$G475,AvgBase[job_title],$H475))*(AF265+AE265)/2*(1-AF370))</f>
        <v>0</v>
      </c>
      <c r="AG475" s="652">
        <f>IF($B475="",,IF(LEFT($H475,5)="dummy",SUMIFS(AvgBase[Month 22],AvgBase[job_title],$H475),SUMIFS(AvgBase[Month 22],AvgBase[exp_item],$J475,AvgBase[company_name],$B475,AvgBase[bu_name],$C475,AvgBase[dept_name],$D475,AvgBase[team_consolidation],$K475,AvgBase[location_name],$G475,AvgBase[job_title],$H475))*(AG265+AF265)/2*(1-AG370))</f>
        <v>0</v>
      </c>
      <c r="AH475" s="652">
        <f>IF($B475="",,IF(LEFT($H475,5)="dummy",SUMIFS(AvgBase[Month 23],AvgBase[job_title],$H475),SUMIFS(AvgBase[Month 23],AvgBase[exp_item],$J475,AvgBase[company_name],$B475,AvgBase[bu_name],$C475,AvgBase[dept_name],$D475,AvgBase[team_consolidation],$K475,AvgBase[location_name],$G475,AvgBase[job_title],$H475))*(AH265+AG265)/2*(1-AH370))</f>
        <v>0</v>
      </c>
      <c r="AI475" s="652">
        <f>IF($B475="",,IF(LEFT($H475,5)="dummy",SUMIFS(AvgBase[Month 24],AvgBase[job_title],$H475),SUMIFS(AvgBase[Month 24],AvgBase[exp_item],$J475,AvgBase[company_name],$B475,AvgBase[bu_name],$C475,AvgBase[dept_name],$D475,AvgBase[team_consolidation],$K475,AvgBase[location_name],$G475,AvgBase[job_title],$H475))*(AI265+AH265)/2*(1-AI370))</f>
        <v>0</v>
      </c>
      <c r="AJ475" s="652">
        <f>IF($B475="",,IF(LEFT($H475,5)="dummy",SUMIFS(AvgBase[Month 25],AvgBase[job_title],$H475),SUMIFS(AvgBase[Month 25],AvgBase[exp_item],$J475,AvgBase[company_name],$B475,AvgBase[bu_name],$C475,AvgBase[dept_name],$D475,AvgBase[team_consolidation],$K475,AvgBase[location_name],$G475,AvgBase[job_title],$H475))*(AJ265+AI265)/2*(1-AJ370))</f>
        <v>0</v>
      </c>
      <c r="AK475" s="652">
        <f>IF($B475="",,IF(LEFT($H475,5)="dummy",SUMIFS(AvgBase[Month 26],AvgBase[job_title],$H475),SUMIFS(AvgBase[Month 26],AvgBase[exp_item],$J475,AvgBase[company_name],$B475,AvgBase[bu_name],$C475,AvgBase[dept_name],$D475,AvgBase[team_consolidation],$K475,AvgBase[location_name],$G475,AvgBase[job_title],$H475))*(AK265+AJ265)/2*(1-AK370))</f>
        <v>0</v>
      </c>
      <c r="AL475" s="652">
        <f>IF($B475="",,IF(LEFT($H475,5)="dummy",SUMIFS(AvgBase[Month 27],AvgBase[job_title],$H475),SUMIFS(AvgBase[Month 27],AvgBase[exp_item],$J475,AvgBase[company_name],$B475,AvgBase[bu_name],$C475,AvgBase[dept_name],$D475,AvgBase[team_consolidation],$K475,AvgBase[location_name],$G475,AvgBase[job_title],$H475))*(AL265+AK265)/2*(1-AL370))</f>
        <v>0</v>
      </c>
      <c r="AM475" s="652">
        <f>IF($B475="",,IF(LEFT($H475,5)="dummy",SUMIFS(AvgBase[Month 28],AvgBase[job_title],$H475),SUMIFS(AvgBase[Month 28],AvgBase[exp_item],$J475,AvgBase[company_name],$B475,AvgBase[bu_name],$C475,AvgBase[dept_name],$D475,AvgBase[team_consolidation],$K475,AvgBase[location_name],$G475,AvgBase[job_title],$H475))*(AM265+AL265)/2*(1-AM370))</f>
        <v>0</v>
      </c>
      <c r="AN475" s="652">
        <f>IF($B475="",,IF(LEFT($H475,5)="dummy",SUMIFS(AvgBase[Month 29],AvgBase[job_title],$H475),SUMIFS(AvgBase[Month 29],AvgBase[exp_item],$J475,AvgBase[company_name],$B475,AvgBase[bu_name],$C475,AvgBase[dept_name],$D475,AvgBase[team_consolidation],$K475,AvgBase[location_name],$G475,AvgBase[job_title],$H475))*(AN265+AM265)/2*(1-AN370))</f>
        <v>0</v>
      </c>
      <c r="AO475" s="652">
        <f>IF($B475="",,IF(LEFT($H475,5)="dummy",SUMIFS(AvgBase[Month 30],AvgBase[job_title],$H475),SUMIFS(AvgBase[Month 30],AvgBase[exp_item],$J475,AvgBase[company_name],$B475,AvgBase[bu_name],$C475,AvgBase[dept_name],$D475,AvgBase[team_consolidation],$K475,AvgBase[location_name],$G475,AvgBase[job_title],$H475))*(AO265+AN265)/2*(1-AO370))</f>
        <v>0</v>
      </c>
      <c r="AP475" s="652">
        <f>IF($B475="",,IF(LEFT($H475,5)="dummy",SUMIFS(AvgBase[Month 31],AvgBase[job_title],$H475),SUMIFS(AvgBase[Month 31],AvgBase[exp_item],$J475,AvgBase[company_name],$B475,AvgBase[bu_name],$C475,AvgBase[dept_name],$D475,AvgBase[team_consolidation],$K475,AvgBase[location_name],$G475,AvgBase[job_title],$H475))*(AP265+AO265)/2*(1-AP370))</f>
        <v>0</v>
      </c>
      <c r="AQ475" s="652">
        <f>IF($B475="",,IF(LEFT($H475,5)="dummy",SUMIFS(AvgBase[Month 32],AvgBase[job_title],$H475),SUMIFS(AvgBase[Month 32],AvgBase[exp_item],$J475,AvgBase[company_name],$B475,AvgBase[bu_name],$C475,AvgBase[dept_name],$D475,AvgBase[team_consolidation],$K475,AvgBase[location_name],$G475,AvgBase[job_title],$H475))*(AQ265+AP265)/2*(1-AQ370))</f>
        <v>0</v>
      </c>
      <c r="AR475" s="652">
        <f>IF($B475="",,IF(LEFT($H475,5)="dummy",SUMIFS(AvgBase[Month 33],AvgBase[job_title],$H475),SUMIFS(AvgBase[Month 33],AvgBase[exp_item],$J475,AvgBase[company_name],$B475,AvgBase[bu_name],$C475,AvgBase[dept_name],$D475,AvgBase[team_consolidation],$K475,AvgBase[location_name],$G475,AvgBase[job_title],$H475))*(AR265+AQ265)/2*(1-AR370))</f>
        <v>0</v>
      </c>
      <c r="AS475" s="652">
        <f>IF($B475="",,IF(LEFT($H475,5)="dummy",SUMIFS(AvgBase[Month 34],AvgBase[job_title],$H475),SUMIFS(AvgBase[Month 34],AvgBase[exp_item],$J475,AvgBase[company_name],$B475,AvgBase[bu_name],$C475,AvgBase[dept_name],$D475,AvgBase[team_consolidation],$K475,AvgBase[location_name],$G475,AvgBase[job_title],$H475))*(AS265+AR265)/2*(1-AS370))</f>
        <v>0</v>
      </c>
      <c r="AT475" s="652">
        <f>IF($B475="",,IF(LEFT($H475,5)="dummy",SUMIFS(AvgBase[Month 35],AvgBase[job_title],$H475),SUMIFS(AvgBase[Month 35],AvgBase[exp_item],$J475,AvgBase[company_name],$B475,AvgBase[bu_name],$C475,AvgBase[dept_name],$D475,AvgBase[team_consolidation],$K475,AvgBase[location_name],$G475,AvgBase[job_title],$H475))*(AT265+AS265)/2*(1-AT370))</f>
        <v>0</v>
      </c>
      <c r="AU475" s="652">
        <f>IF($B475="",,IF(LEFT($H475,5)="dummy",SUMIFS(AvgBase[Month 36],AvgBase[job_title],$H475),SUMIFS(AvgBase[Month 36],AvgBase[exp_item],$J475,AvgBase[company_name],$B475,AvgBase[bu_name],$C475,AvgBase[dept_name],$D475,AvgBase[team_consolidation],$K475,AvgBase[location_name],$G475,AvgBase[job_title],$H475))*(AU265+AT265)/2*(1-AU370))</f>
        <v>0</v>
      </c>
    </row>
    <row r="476" spans="2:47" x14ac:dyDescent="0.35">
      <c r="B476" t="str">
        <f t="shared" ref="B476:G485" si="286">IF(B371="","",B371)</f>
        <v/>
      </c>
      <c r="C476" t="str">
        <f t="shared" si="286"/>
        <v/>
      </c>
      <c r="D476" t="str">
        <f t="shared" si="286"/>
        <v/>
      </c>
      <c r="E476" t="str">
        <f t="shared" si="286"/>
        <v/>
      </c>
      <c r="F476" t="str">
        <f t="shared" si="286"/>
        <v/>
      </c>
      <c r="G476" t="str">
        <f t="shared" si="286"/>
        <v/>
      </c>
      <c r="H476" t="str">
        <f t="shared" si="283"/>
        <v/>
      </c>
      <c r="J476" t="str">
        <f>IF($H476="","",IF(VLOOKUP($B$395,ExpItems[],2,0),$B$395&amp;" - "&amp;INDEX(DivisionMapping[category_code],MATCH($D476&amp;$C476,DivisionMapping[dept_bu],0)),$B$395))</f>
        <v/>
      </c>
      <c r="K476" t="str">
        <f t="shared" si="284"/>
        <v/>
      </c>
      <c r="L476" s="652">
        <f>IF($B476="",,IF(LEFT($H476,5)="dummy",SUMIFS(AvgBase[Month 1],AvgBase[job_title],$H476),SUMIFS(AvgBase[Month 1],AvgBase[exp_item],$J476,AvgBase[company_name],$B476,AvgBase[bu_name],$C476,AvgBase[dept_name],$D476,AvgBase[team_consolidation],$K476,AvgBase[location_name],$G476,AvgBase[job_title],$H476))*L266/2*(1-L371))</f>
        <v>0</v>
      </c>
      <c r="M476" s="652">
        <f>IF($B476="",,IF(LEFT($H476,5)="dummy",SUMIFS(AvgBase[Month 2],AvgBase[job_title],$H476),SUMIFS(AvgBase[Month 2],AvgBase[exp_item],$J476,AvgBase[company_name],$B476,AvgBase[bu_name],$C476,AvgBase[dept_name],$D476,AvgBase[team_consolidation],$K476,AvgBase[location_name],$G476,AvgBase[job_title],$H476))*(M266+L266)/2*(1-M371))</f>
        <v>0</v>
      </c>
      <c r="N476" s="652">
        <f>IF($B476="",,IF(LEFT($H476,5)="dummy",SUMIFS(AvgBase[Month 3],AvgBase[job_title],$H476),SUMIFS(AvgBase[Month 3],AvgBase[exp_item],$J476,AvgBase[company_name],$B476,AvgBase[bu_name],$C476,AvgBase[dept_name],$D476,AvgBase[team_consolidation],$K476,AvgBase[location_name],$G476,AvgBase[job_title],$H476))*(N266+M266)/2*(1-N371))</f>
        <v>0</v>
      </c>
      <c r="O476" s="652">
        <f>IF($B476="",,IF(LEFT($H476,5)="dummy",SUMIFS(AvgBase[Month 4],AvgBase[job_title],$H476),SUMIFS(AvgBase[Month 4],AvgBase[exp_item],$J476,AvgBase[company_name],$B476,AvgBase[bu_name],$C476,AvgBase[dept_name],$D476,AvgBase[team_consolidation],$K476,AvgBase[location_name],$G476,AvgBase[job_title],$H476))*(O266+N266)/2*(1-O371))</f>
        <v>0</v>
      </c>
      <c r="P476" s="652">
        <f>IF($B476="",,IF(LEFT($H476,5)="dummy",SUMIFS(AvgBase[Month 5],AvgBase[job_title],$H476),SUMIFS(AvgBase[Month 5],AvgBase[exp_item],$J476,AvgBase[company_name],$B476,AvgBase[bu_name],$C476,AvgBase[dept_name],$D476,AvgBase[team_consolidation],$K476,AvgBase[location_name],$G476,AvgBase[job_title],$H476))*(P266+O266)/2*(1-P371))</f>
        <v>0</v>
      </c>
      <c r="Q476" s="652">
        <f>IF($B476="",,IF(LEFT($H476,5)="dummy",SUMIFS(AvgBase[Month 6],AvgBase[job_title],$H476),SUMIFS(AvgBase[Month 6],AvgBase[exp_item],$J476,AvgBase[company_name],$B476,AvgBase[bu_name],$C476,AvgBase[dept_name],$D476,AvgBase[team_consolidation],$K476,AvgBase[location_name],$G476,AvgBase[job_title],$H476))*(Q266+P266)/2*(1-Q371))</f>
        <v>0</v>
      </c>
      <c r="R476" s="652">
        <f>IF($B476="",,IF(LEFT($H476,5)="dummy",SUMIFS(AvgBase[Month 7],AvgBase[job_title],$H476),SUMIFS(AvgBase[Month 7],AvgBase[exp_item],$J476,AvgBase[company_name],$B476,AvgBase[bu_name],$C476,AvgBase[dept_name],$D476,AvgBase[team_consolidation],$K476,AvgBase[location_name],$G476,AvgBase[job_title],$H476))*(R266+Q266)/2*(1-R371))</f>
        <v>0</v>
      </c>
      <c r="S476" s="652">
        <f>IF($B476="",,IF(LEFT($H476,5)="dummy",SUMIFS(AvgBase[Month 8],AvgBase[job_title],$H476),SUMIFS(AvgBase[Month 8],AvgBase[exp_item],$J476,AvgBase[company_name],$B476,AvgBase[bu_name],$C476,AvgBase[dept_name],$D476,AvgBase[team_consolidation],$K476,AvgBase[location_name],$G476,AvgBase[job_title],$H476))*(S266+R266)/2*(1-S371))</f>
        <v>0</v>
      </c>
      <c r="T476" s="652">
        <f>IF($B476="",,IF(LEFT($H476,5)="dummy",SUMIFS(AvgBase[Month 9],AvgBase[job_title],$H476),SUMIFS(AvgBase[Month 9],AvgBase[exp_item],$J476,AvgBase[company_name],$B476,AvgBase[bu_name],$C476,AvgBase[dept_name],$D476,AvgBase[team_consolidation],$K476,AvgBase[location_name],$G476,AvgBase[job_title],$H476))*(T266+S266)/2*(1-T371))</f>
        <v>0</v>
      </c>
      <c r="U476" s="652">
        <f>IF($B476="",,IF(LEFT($H476,5)="dummy",SUMIFS(AvgBase[Month 10],AvgBase[job_title],$H476),SUMIFS(AvgBase[Month 10],AvgBase[exp_item],$J476,AvgBase[company_name],$B476,AvgBase[bu_name],$C476,AvgBase[dept_name],$D476,AvgBase[team_consolidation],$K476,AvgBase[location_name],$G476,AvgBase[job_title],$H476))*(U266+T266)/2*(1-U371))</f>
        <v>0</v>
      </c>
      <c r="V476" s="652">
        <f>IF($B476="",,IF(LEFT($H476,5)="dummy",SUMIFS(AvgBase[Month 11],AvgBase[job_title],$H476),SUMIFS(AvgBase[Month 11],AvgBase[exp_item],$J476,AvgBase[company_name],$B476,AvgBase[bu_name],$C476,AvgBase[dept_name],$D476,AvgBase[team_consolidation],$K476,AvgBase[location_name],$G476,AvgBase[job_title],$H476))*(V266+U266)/2*(1-V371))</f>
        <v>0</v>
      </c>
      <c r="W476" s="652">
        <f>IF($B476="",,IF(LEFT($H476,5)="dummy",SUMIFS(AvgBase[Month 12],AvgBase[job_title],$H476),SUMIFS(AvgBase[Month 12],AvgBase[exp_item],$J476,AvgBase[company_name],$B476,AvgBase[bu_name],$C476,AvgBase[dept_name],$D476,AvgBase[team_consolidation],$K476,AvgBase[location_name],$G476,AvgBase[job_title],$H476))*(W266+V266)/2*(1-W371))</f>
        <v>0</v>
      </c>
      <c r="X476" s="652">
        <f>IF($B476="",,IF(LEFT($H476,5)="dummy",SUMIFS(AvgBase[Month 13],AvgBase[job_title],$H476),SUMIFS(AvgBase[Month 13],AvgBase[exp_item],$J476,AvgBase[company_name],$B476,AvgBase[bu_name],$C476,AvgBase[dept_name],$D476,AvgBase[team_consolidation],$K476,AvgBase[location_name],$G476,AvgBase[job_title],$H476))*(X266+W266)/2*(1-X371))</f>
        <v>0</v>
      </c>
      <c r="Y476" s="652">
        <f>IF($B476="",,IF(LEFT($H476,5)="dummy",SUMIFS(AvgBase[Month 14],AvgBase[job_title],$H476),SUMIFS(AvgBase[Month 14],AvgBase[exp_item],$J476,AvgBase[company_name],$B476,AvgBase[bu_name],$C476,AvgBase[dept_name],$D476,AvgBase[team_consolidation],$K476,AvgBase[location_name],$G476,AvgBase[job_title],$H476))*(Y266+X266)/2*(1-Y371))</f>
        <v>0</v>
      </c>
      <c r="Z476" s="652">
        <f>IF($B476="",,IF(LEFT($H476,5)="dummy",SUMIFS(AvgBase[Month 15],AvgBase[job_title],$H476),SUMIFS(AvgBase[Month 15],AvgBase[exp_item],$J476,AvgBase[company_name],$B476,AvgBase[bu_name],$C476,AvgBase[dept_name],$D476,AvgBase[team_consolidation],$K476,AvgBase[location_name],$G476,AvgBase[job_title],$H476))*(Z266+Y266)/2*(1-Z371))</f>
        <v>0</v>
      </c>
      <c r="AA476" s="652">
        <f>IF($B476="",,IF(LEFT($H476,5)="dummy",SUMIFS(AvgBase[Month 16],AvgBase[job_title],$H476),SUMIFS(AvgBase[Month 16],AvgBase[exp_item],$J476,AvgBase[company_name],$B476,AvgBase[bu_name],$C476,AvgBase[dept_name],$D476,AvgBase[team_consolidation],$K476,AvgBase[location_name],$G476,AvgBase[job_title],$H476))*(AA266+Z266)/2*(1-AA371))</f>
        <v>0</v>
      </c>
      <c r="AB476" s="652">
        <f>IF($B476="",,IF(LEFT($H476,5)="dummy",SUMIFS(AvgBase[Month 17],AvgBase[job_title],$H476),SUMIFS(AvgBase[Month 17],AvgBase[exp_item],$J476,AvgBase[company_name],$B476,AvgBase[bu_name],$C476,AvgBase[dept_name],$D476,AvgBase[team_consolidation],$K476,AvgBase[location_name],$G476,AvgBase[job_title],$H476))*(AB266+AA266)/2*(1-AB371))</f>
        <v>0</v>
      </c>
      <c r="AC476" s="652">
        <f>IF($B476="",,IF(LEFT($H476,5)="dummy",SUMIFS(AvgBase[Month 18],AvgBase[job_title],$H476),SUMIFS(AvgBase[Month 18],AvgBase[exp_item],$J476,AvgBase[company_name],$B476,AvgBase[bu_name],$C476,AvgBase[dept_name],$D476,AvgBase[team_consolidation],$K476,AvgBase[location_name],$G476,AvgBase[job_title],$H476))*(AC266+AB266)/2*(1-AC371))</f>
        <v>0</v>
      </c>
      <c r="AD476" s="652">
        <f>IF($B476="",,IF(LEFT($H476,5)="dummy",SUMIFS(AvgBase[Month 19],AvgBase[job_title],$H476),SUMIFS(AvgBase[Month 19],AvgBase[exp_item],$J476,AvgBase[company_name],$B476,AvgBase[bu_name],$C476,AvgBase[dept_name],$D476,AvgBase[team_consolidation],$K476,AvgBase[location_name],$G476,AvgBase[job_title],$H476))*(AD266+AC266)/2*(1-AD371))</f>
        <v>0</v>
      </c>
      <c r="AE476" s="652">
        <f>IF($B476="",,IF(LEFT($H476,5)="dummy",SUMIFS(AvgBase[Month 20],AvgBase[job_title],$H476),SUMIFS(AvgBase[Month 20],AvgBase[exp_item],$J476,AvgBase[company_name],$B476,AvgBase[bu_name],$C476,AvgBase[dept_name],$D476,AvgBase[team_consolidation],$K476,AvgBase[location_name],$G476,AvgBase[job_title],$H476))*(AE266+AD266)/2*(1-AE371))</f>
        <v>0</v>
      </c>
      <c r="AF476" s="652">
        <f>IF($B476="",,IF(LEFT($H476,5)="dummy",SUMIFS(AvgBase[Month 21],AvgBase[job_title],$H476),SUMIFS(AvgBase[Month 21],AvgBase[exp_item],$J476,AvgBase[company_name],$B476,AvgBase[bu_name],$C476,AvgBase[dept_name],$D476,AvgBase[team_consolidation],$K476,AvgBase[location_name],$G476,AvgBase[job_title],$H476))*(AF266+AE266)/2*(1-AF371))</f>
        <v>0</v>
      </c>
      <c r="AG476" s="652">
        <f>IF($B476="",,IF(LEFT($H476,5)="dummy",SUMIFS(AvgBase[Month 22],AvgBase[job_title],$H476),SUMIFS(AvgBase[Month 22],AvgBase[exp_item],$J476,AvgBase[company_name],$B476,AvgBase[bu_name],$C476,AvgBase[dept_name],$D476,AvgBase[team_consolidation],$K476,AvgBase[location_name],$G476,AvgBase[job_title],$H476))*(AG266+AF266)/2*(1-AG371))</f>
        <v>0</v>
      </c>
      <c r="AH476" s="652">
        <f>IF($B476="",,IF(LEFT($H476,5)="dummy",SUMIFS(AvgBase[Month 23],AvgBase[job_title],$H476),SUMIFS(AvgBase[Month 23],AvgBase[exp_item],$J476,AvgBase[company_name],$B476,AvgBase[bu_name],$C476,AvgBase[dept_name],$D476,AvgBase[team_consolidation],$K476,AvgBase[location_name],$G476,AvgBase[job_title],$H476))*(AH266+AG266)/2*(1-AH371))</f>
        <v>0</v>
      </c>
      <c r="AI476" s="652">
        <f>IF($B476="",,IF(LEFT($H476,5)="dummy",SUMIFS(AvgBase[Month 24],AvgBase[job_title],$H476),SUMIFS(AvgBase[Month 24],AvgBase[exp_item],$J476,AvgBase[company_name],$B476,AvgBase[bu_name],$C476,AvgBase[dept_name],$D476,AvgBase[team_consolidation],$K476,AvgBase[location_name],$G476,AvgBase[job_title],$H476))*(AI266+AH266)/2*(1-AI371))</f>
        <v>0</v>
      </c>
      <c r="AJ476" s="652">
        <f>IF($B476="",,IF(LEFT($H476,5)="dummy",SUMIFS(AvgBase[Month 25],AvgBase[job_title],$H476),SUMIFS(AvgBase[Month 25],AvgBase[exp_item],$J476,AvgBase[company_name],$B476,AvgBase[bu_name],$C476,AvgBase[dept_name],$D476,AvgBase[team_consolidation],$K476,AvgBase[location_name],$G476,AvgBase[job_title],$H476))*(AJ266+AI266)/2*(1-AJ371))</f>
        <v>0</v>
      </c>
      <c r="AK476" s="652">
        <f>IF($B476="",,IF(LEFT($H476,5)="dummy",SUMIFS(AvgBase[Month 26],AvgBase[job_title],$H476),SUMIFS(AvgBase[Month 26],AvgBase[exp_item],$J476,AvgBase[company_name],$B476,AvgBase[bu_name],$C476,AvgBase[dept_name],$D476,AvgBase[team_consolidation],$K476,AvgBase[location_name],$G476,AvgBase[job_title],$H476))*(AK266+AJ266)/2*(1-AK371))</f>
        <v>0</v>
      </c>
      <c r="AL476" s="652">
        <f>IF($B476="",,IF(LEFT($H476,5)="dummy",SUMIFS(AvgBase[Month 27],AvgBase[job_title],$H476),SUMIFS(AvgBase[Month 27],AvgBase[exp_item],$J476,AvgBase[company_name],$B476,AvgBase[bu_name],$C476,AvgBase[dept_name],$D476,AvgBase[team_consolidation],$K476,AvgBase[location_name],$G476,AvgBase[job_title],$H476))*(AL266+AK266)/2*(1-AL371))</f>
        <v>0</v>
      </c>
      <c r="AM476" s="652">
        <f>IF($B476="",,IF(LEFT($H476,5)="dummy",SUMIFS(AvgBase[Month 28],AvgBase[job_title],$H476),SUMIFS(AvgBase[Month 28],AvgBase[exp_item],$J476,AvgBase[company_name],$B476,AvgBase[bu_name],$C476,AvgBase[dept_name],$D476,AvgBase[team_consolidation],$K476,AvgBase[location_name],$G476,AvgBase[job_title],$H476))*(AM266+AL266)/2*(1-AM371))</f>
        <v>0</v>
      </c>
      <c r="AN476" s="652">
        <f>IF($B476="",,IF(LEFT($H476,5)="dummy",SUMIFS(AvgBase[Month 29],AvgBase[job_title],$H476),SUMIFS(AvgBase[Month 29],AvgBase[exp_item],$J476,AvgBase[company_name],$B476,AvgBase[bu_name],$C476,AvgBase[dept_name],$D476,AvgBase[team_consolidation],$K476,AvgBase[location_name],$G476,AvgBase[job_title],$H476))*(AN266+AM266)/2*(1-AN371))</f>
        <v>0</v>
      </c>
      <c r="AO476" s="652">
        <f>IF($B476="",,IF(LEFT($H476,5)="dummy",SUMIFS(AvgBase[Month 30],AvgBase[job_title],$H476),SUMIFS(AvgBase[Month 30],AvgBase[exp_item],$J476,AvgBase[company_name],$B476,AvgBase[bu_name],$C476,AvgBase[dept_name],$D476,AvgBase[team_consolidation],$K476,AvgBase[location_name],$G476,AvgBase[job_title],$H476))*(AO266+AN266)/2*(1-AO371))</f>
        <v>0</v>
      </c>
      <c r="AP476" s="652">
        <f>IF($B476="",,IF(LEFT($H476,5)="dummy",SUMIFS(AvgBase[Month 31],AvgBase[job_title],$H476),SUMIFS(AvgBase[Month 31],AvgBase[exp_item],$J476,AvgBase[company_name],$B476,AvgBase[bu_name],$C476,AvgBase[dept_name],$D476,AvgBase[team_consolidation],$K476,AvgBase[location_name],$G476,AvgBase[job_title],$H476))*(AP266+AO266)/2*(1-AP371))</f>
        <v>0</v>
      </c>
      <c r="AQ476" s="652">
        <f>IF($B476="",,IF(LEFT($H476,5)="dummy",SUMIFS(AvgBase[Month 32],AvgBase[job_title],$H476),SUMIFS(AvgBase[Month 32],AvgBase[exp_item],$J476,AvgBase[company_name],$B476,AvgBase[bu_name],$C476,AvgBase[dept_name],$D476,AvgBase[team_consolidation],$K476,AvgBase[location_name],$G476,AvgBase[job_title],$H476))*(AQ266+AP266)/2*(1-AQ371))</f>
        <v>0</v>
      </c>
      <c r="AR476" s="652">
        <f>IF($B476="",,IF(LEFT($H476,5)="dummy",SUMIFS(AvgBase[Month 33],AvgBase[job_title],$H476),SUMIFS(AvgBase[Month 33],AvgBase[exp_item],$J476,AvgBase[company_name],$B476,AvgBase[bu_name],$C476,AvgBase[dept_name],$D476,AvgBase[team_consolidation],$K476,AvgBase[location_name],$G476,AvgBase[job_title],$H476))*(AR266+AQ266)/2*(1-AR371))</f>
        <v>0</v>
      </c>
      <c r="AS476" s="652">
        <f>IF($B476="",,IF(LEFT($H476,5)="dummy",SUMIFS(AvgBase[Month 34],AvgBase[job_title],$H476),SUMIFS(AvgBase[Month 34],AvgBase[exp_item],$J476,AvgBase[company_name],$B476,AvgBase[bu_name],$C476,AvgBase[dept_name],$D476,AvgBase[team_consolidation],$K476,AvgBase[location_name],$G476,AvgBase[job_title],$H476))*(AS266+AR266)/2*(1-AS371))</f>
        <v>0</v>
      </c>
      <c r="AT476" s="652">
        <f>IF($B476="",,IF(LEFT($H476,5)="dummy",SUMIFS(AvgBase[Month 35],AvgBase[job_title],$H476),SUMIFS(AvgBase[Month 35],AvgBase[exp_item],$J476,AvgBase[company_name],$B476,AvgBase[bu_name],$C476,AvgBase[dept_name],$D476,AvgBase[team_consolidation],$K476,AvgBase[location_name],$G476,AvgBase[job_title],$H476))*(AT266+AS266)/2*(1-AT371))</f>
        <v>0</v>
      </c>
      <c r="AU476" s="652">
        <f>IF($B476="",,IF(LEFT($H476,5)="dummy",SUMIFS(AvgBase[Month 36],AvgBase[job_title],$H476),SUMIFS(AvgBase[Month 36],AvgBase[exp_item],$J476,AvgBase[company_name],$B476,AvgBase[bu_name],$C476,AvgBase[dept_name],$D476,AvgBase[team_consolidation],$K476,AvgBase[location_name],$G476,AvgBase[job_title],$H476))*(AU266+AT266)/2*(1-AU371))</f>
        <v>0</v>
      </c>
    </row>
    <row r="477" spans="2:47" x14ac:dyDescent="0.35">
      <c r="B477" t="str">
        <f t="shared" si="286"/>
        <v/>
      </c>
      <c r="C477" t="str">
        <f t="shared" si="286"/>
        <v/>
      </c>
      <c r="D477" t="str">
        <f t="shared" si="286"/>
        <v/>
      </c>
      <c r="E477" t="str">
        <f t="shared" si="286"/>
        <v/>
      </c>
      <c r="F477" t="str">
        <f t="shared" si="286"/>
        <v/>
      </c>
      <c r="G477" t="str">
        <f t="shared" si="286"/>
        <v/>
      </c>
      <c r="H477" t="str">
        <f t="shared" si="283"/>
        <v/>
      </c>
      <c r="J477" t="str">
        <f>IF($H477="","",IF(VLOOKUP($B$395,ExpItems[],2,0),$B$395&amp;" - "&amp;INDEX(DivisionMapping[category_code],MATCH($D477&amp;$C477,DivisionMapping[dept_bu],0)),$B$395))</f>
        <v/>
      </c>
      <c r="K477" t="str">
        <f t="shared" si="284"/>
        <v/>
      </c>
      <c r="L477" s="652">
        <f>IF($B477="",,IF(LEFT($H477,5)="dummy",SUMIFS(AvgBase[Month 1],AvgBase[job_title],$H477),SUMIFS(AvgBase[Month 1],AvgBase[exp_item],$J477,AvgBase[company_name],$B477,AvgBase[bu_name],$C477,AvgBase[dept_name],$D477,AvgBase[team_consolidation],$K477,AvgBase[location_name],$G477,AvgBase[job_title],$H477))*L267/2*(1-L372))</f>
        <v>0</v>
      </c>
      <c r="M477" s="652">
        <f>IF($B477="",,IF(LEFT($H477,5)="dummy",SUMIFS(AvgBase[Month 2],AvgBase[job_title],$H477),SUMIFS(AvgBase[Month 2],AvgBase[exp_item],$J477,AvgBase[company_name],$B477,AvgBase[bu_name],$C477,AvgBase[dept_name],$D477,AvgBase[team_consolidation],$K477,AvgBase[location_name],$G477,AvgBase[job_title],$H477))*(M267+L267)/2*(1-M372))</f>
        <v>0</v>
      </c>
      <c r="N477" s="652">
        <f>IF($B477="",,IF(LEFT($H477,5)="dummy",SUMIFS(AvgBase[Month 3],AvgBase[job_title],$H477),SUMIFS(AvgBase[Month 3],AvgBase[exp_item],$J477,AvgBase[company_name],$B477,AvgBase[bu_name],$C477,AvgBase[dept_name],$D477,AvgBase[team_consolidation],$K477,AvgBase[location_name],$G477,AvgBase[job_title],$H477))*(N267+M267)/2*(1-N372))</f>
        <v>0</v>
      </c>
      <c r="O477" s="652">
        <f>IF($B477="",,IF(LEFT($H477,5)="dummy",SUMIFS(AvgBase[Month 4],AvgBase[job_title],$H477),SUMIFS(AvgBase[Month 4],AvgBase[exp_item],$J477,AvgBase[company_name],$B477,AvgBase[bu_name],$C477,AvgBase[dept_name],$D477,AvgBase[team_consolidation],$K477,AvgBase[location_name],$G477,AvgBase[job_title],$H477))*(O267+N267)/2*(1-O372))</f>
        <v>0</v>
      </c>
      <c r="P477" s="652">
        <f>IF($B477="",,IF(LEFT($H477,5)="dummy",SUMIFS(AvgBase[Month 5],AvgBase[job_title],$H477),SUMIFS(AvgBase[Month 5],AvgBase[exp_item],$J477,AvgBase[company_name],$B477,AvgBase[bu_name],$C477,AvgBase[dept_name],$D477,AvgBase[team_consolidation],$K477,AvgBase[location_name],$G477,AvgBase[job_title],$H477))*(P267+O267)/2*(1-P372))</f>
        <v>0</v>
      </c>
      <c r="Q477" s="652">
        <f>IF($B477="",,IF(LEFT($H477,5)="dummy",SUMIFS(AvgBase[Month 6],AvgBase[job_title],$H477),SUMIFS(AvgBase[Month 6],AvgBase[exp_item],$J477,AvgBase[company_name],$B477,AvgBase[bu_name],$C477,AvgBase[dept_name],$D477,AvgBase[team_consolidation],$K477,AvgBase[location_name],$G477,AvgBase[job_title],$H477))*(Q267+P267)/2*(1-Q372))</f>
        <v>0</v>
      </c>
      <c r="R477" s="652">
        <f>IF($B477="",,IF(LEFT($H477,5)="dummy",SUMIFS(AvgBase[Month 7],AvgBase[job_title],$H477),SUMIFS(AvgBase[Month 7],AvgBase[exp_item],$J477,AvgBase[company_name],$B477,AvgBase[bu_name],$C477,AvgBase[dept_name],$D477,AvgBase[team_consolidation],$K477,AvgBase[location_name],$G477,AvgBase[job_title],$H477))*(R267+Q267)/2*(1-R372))</f>
        <v>0</v>
      </c>
      <c r="S477" s="652">
        <f>IF($B477="",,IF(LEFT($H477,5)="dummy",SUMIFS(AvgBase[Month 8],AvgBase[job_title],$H477),SUMIFS(AvgBase[Month 8],AvgBase[exp_item],$J477,AvgBase[company_name],$B477,AvgBase[bu_name],$C477,AvgBase[dept_name],$D477,AvgBase[team_consolidation],$K477,AvgBase[location_name],$G477,AvgBase[job_title],$H477))*(S267+R267)/2*(1-S372))</f>
        <v>0</v>
      </c>
      <c r="T477" s="652">
        <f>IF($B477="",,IF(LEFT($H477,5)="dummy",SUMIFS(AvgBase[Month 9],AvgBase[job_title],$H477),SUMIFS(AvgBase[Month 9],AvgBase[exp_item],$J477,AvgBase[company_name],$B477,AvgBase[bu_name],$C477,AvgBase[dept_name],$D477,AvgBase[team_consolidation],$K477,AvgBase[location_name],$G477,AvgBase[job_title],$H477))*(T267+S267)/2*(1-T372))</f>
        <v>0</v>
      </c>
      <c r="U477" s="652">
        <f>IF($B477="",,IF(LEFT($H477,5)="dummy",SUMIFS(AvgBase[Month 10],AvgBase[job_title],$H477),SUMIFS(AvgBase[Month 10],AvgBase[exp_item],$J477,AvgBase[company_name],$B477,AvgBase[bu_name],$C477,AvgBase[dept_name],$D477,AvgBase[team_consolidation],$K477,AvgBase[location_name],$G477,AvgBase[job_title],$H477))*(U267+T267)/2*(1-U372))</f>
        <v>0</v>
      </c>
      <c r="V477" s="652">
        <f>IF($B477="",,IF(LEFT($H477,5)="dummy",SUMIFS(AvgBase[Month 11],AvgBase[job_title],$H477),SUMIFS(AvgBase[Month 11],AvgBase[exp_item],$J477,AvgBase[company_name],$B477,AvgBase[bu_name],$C477,AvgBase[dept_name],$D477,AvgBase[team_consolidation],$K477,AvgBase[location_name],$G477,AvgBase[job_title],$H477))*(V267+U267)/2*(1-V372))</f>
        <v>0</v>
      </c>
      <c r="W477" s="652">
        <f>IF($B477="",,IF(LEFT($H477,5)="dummy",SUMIFS(AvgBase[Month 12],AvgBase[job_title],$H477),SUMIFS(AvgBase[Month 12],AvgBase[exp_item],$J477,AvgBase[company_name],$B477,AvgBase[bu_name],$C477,AvgBase[dept_name],$D477,AvgBase[team_consolidation],$K477,AvgBase[location_name],$G477,AvgBase[job_title],$H477))*(W267+V267)/2*(1-W372))</f>
        <v>0</v>
      </c>
      <c r="X477" s="652">
        <f>IF($B477="",,IF(LEFT($H477,5)="dummy",SUMIFS(AvgBase[Month 13],AvgBase[job_title],$H477),SUMIFS(AvgBase[Month 13],AvgBase[exp_item],$J477,AvgBase[company_name],$B477,AvgBase[bu_name],$C477,AvgBase[dept_name],$D477,AvgBase[team_consolidation],$K477,AvgBase[location_name],$G477,AvgBase[job_title],$H477))*(X267+W267)/2*(1-X372))</f>
        <v>0</v>
      </c>
      <c r="Y477" s="652">
        <f>IF($B477="",,IF(LEFT($H477,5)="dummy",SUMIFS(AvgBase[Month 14],AvgBase[job_title],$H477),SUMIFS(AvgBase[Month 14],AvgBase[exp_item],$J477,AvgBase[company_name],$B477,AvgBase[bu_name],$C477,AvgBase[dept_name],$D477,AvgBase[team_consolidation],$K477,AvgBase[location_name],$G477,AvgBase[job_title],$H477))*(Y267+X267)/2*(1-Y372))</f>
        <v>0</v>
      </c>
      <c r="Z477" s="652">
        <f>IF($B477="",,IF(LEFT($H477,5)="dummy",SUMIFS(AvgBase[Month 15],AvgBase[job_title],$H477),SUMIFS(AvgBase[Month 15],AvgBase[exp_item],$J477,AvgBase[company_name],$B477,AvgBase[bu_name],$C477,AvgBase[dept_name],$D477,AvgBase[team_consolidation],$K477,AvgBase[location_name],$G477,AvgBase[job_title],$H477))*(Z267+Y267)/2*(1-Z372))</f>
        <v>0</v>
      </c>
      <c r="AA477" s="652">
        <f>IF($B477="",,IF(LEFT($H477,5)="dummy",SUMIFS(AvgBase[Month 16],AvgBase[job_title],$H477),SUMIFS(AvgBase[Month 16],AvgBase[exp_item],$J477,AvgBase[company_name],$B477,AvgBase[bu_name],$C477,AvgBase[dept_name],$D477,AvgBase[team_consolidation],$K477,AvgBase[location_name],$G477,AvgBase[job_title],$H477))*(AA267+Z267)/2*(1-AA372))</f>
        <v>0</v>
      </c>
      <c r="AB477" s="652">
        <f>IF($B477="",,IF(LEFT($H477,5)="dummy",SUMIFS(AvgBase[Month 17],AvgBase[job_title],$H477),SUMIFS(AvgBase[Month 17],AvgBase[exp_item],$J477,AvgBase[company_name],$B477,AvgBase[bu_name],$C477,AvgBase[dept_name],$D477,AvgBase[team_consolidation],$K477,AvgBase[location_name],$G477,AvgBase[job_title],$H477))*(AB267+AA267)/2*(1-AB372))</f>
        <v>0</v>
      </c>
      <c r="AC477" s="652">
        <f>IF($B477="",,IF(LEFT($H477,5)="dummy",SUMIFS(AvgBase[Month 18],AvgBase[job_title],$H477),SUMIFS(AvgBase[Month 18],AvgBase[exp_item],$J477,AvgBase[company_name],$B477,AvgBase[bu_name],$C477,AvgBase[dept_name],$D477,AvgBase[team_consolidation],$K477,AvgBase[location_name],$G477,AvgBase[job_title],$H477))*(AC267+AB267)/2*(1-AC372))</f>
        <v>0</v>
      </c>
      <c r="AD477" s="652">
        <f>IF($B477="",,IF(LEFT($H477,5)="dummy",SUMIFS(AvgBase[Month 19],AvgBase[job_title],$H477),SUMIFS(AvgBase[Month 19],AvgBase[exp_item],$J477,AvgBase[company_name],$B477,AvgBase[bu_name],$C477,AvgBase[dept_name],$D477,AvgBase[team_consolidation],$K477,AvgBase[location_name],$G477,AvgBase[job_title],$H477))*(AD267+AC267)/2*(1-AD372))</f>
        <v>0</v>
      </c>
      <c r="AE477" s="652">
        <f>IF($B477="",,IF(LEFT($H477,5)="dummy",SUMIFS(AvgBase[Month 20],AvgBase[job_title],$H477),SUMIFS(AvgBase[Month 20],AvgBase[exp_item],$J477,AvgBase[company_name],$B477,AvgBase[bu_name],$C477,AvgBase[dept_name],$D477,AvgBase[team_consolidation],$K477,AvgBase[location_name],$G477,AvgBase[job_title],$H477))*(AE267+AD267)/2*(1-AE372))</f>
        <v>0</v>
      </c>
      <c r="AF477" s="652">
        <f>IF($B477="",,IF(LEFT($H477,5)="dummy",SUMIFS(AvgBase[Month 21],AvgBase[job_title],$H477),SUMIFS(AvgBase[Month 21],AvgBase[exp_item],$J477,AvgBase[company_name],$B477,AvgBase[bu_name],$C477,AvgBase[dept_name],$D477,AvgBase[team_consolidation],$K477,AvgBase[location_name],$G477,AvgBase[job_title],$H477))*(AF267+AE267)/2*(1-AF372))</f>
        <v>0</v>
      </c>
      <c r="AG477" s="652">
        <f>IF($B477="",,IF(LEFT($H477,5)="dummy",SUMIFS(AvgBase[Month 22],AvgBase[job_title],$H477),SUMIFS(AvgBase[Month 22],AvgBase[exp_item],$J477,AvgBase[company_name],$B477,AvgBase[bu_name],$C477,AvgBase[dept_name],$D477,AvgBase[team_consolidation],$K477,AvgBase[location_name],$G477,AvgBase[job_title],$H477))*(AG267+AF267)/2*(1-AG372))</f>
        <v>0</v>
      </c>
      <c r="AH477" s="652">
        <f>IF($B477="",,IF(LEFT($H477,5)="dummy",SUMIFS(AvgBase[Month 23],AvgBase[job_title],$H477),SUMIFS(AvgBase[Month 23],AvgBase[exp_item],$J477,AvgBase[company_name],$B477,AvgBase[bu_name],$C477,AvgBase[dept_name],$D477,AvgBase[team_consolidation],$K477,AvgBase[location_name],$G477,AvgBase[job_title],$H477))*(AH267+AG267)/2*(1-AH372))</f>
        <v>0</v>
      </c>
      <c r="AI477" s="652">
        <f>IF($B477="",,IF(LEFT($H477,5)="dummy",SUMIFS(AvgBase[Month 24],AvgBase[job_title],$H477),SUMIFS(AvgBase[Month 24],AvgBase[exp_item],$J477,AvgBase[company_name],$B477,AvgBase[bu_name],$C477,AvgBase[dept_name],$D477,AvgBase[team_consolidation],$K477,AvgBase[location_name],$G477,AvgBase[job_title],$H477))*(AI267+AH267)/2*(1-AI372))</f>
        <v>0</v>
      </c>
      <c r="AJ477" s="652">
        <f>IF($B477="",,IF(LEFT($H477,5)="dummy",SUMIFS(AvgBase[Month 25],AvgBase[job_title],$H477),SUMIFS(AvgBase[Month 25],AvgBase[exp_item],$J477,AvgBase[company_name],$B477,AvgBase[bu_name],$C477,AvgBase[dept_name],$D477,AvgBase[team_consolidation],$K477,AvgBase[location_name],$G477,AvgBase[job_title],$H477))*(AJ267+AI267)/2*(1-AJ372))</f>
        <v>0</v>
      </c>
      <c r="AK477" s="652">
        <f>IF($B477="",,IF(LEFT($H477,5)="dummy",SUMIFS(AvgBase[Month 26],AvgBase[job_title],$H477),SUMIFS(AvgBase[Month 26],AvgBase[exp_item],$J477,AvgBase[company_name],$B477,AvgBase[bu_name],$C477,AvgBase[dept_name],$D477,AvgBase[team_consolidation],$K477,AvgBase[location_name],$G477,AvgBase[job_title],$H477))*(AK267+AJ267)/2*(1-AK372))</f>
        <v>0</v>
      </c>
      <c r="AL477" s="652">
        <f>IF($B477="",,IF(LEFT($H477,5)="dummy",SUMIFS(AvgBase[Month 27],AvgBase[job_title],$H477),SUMIFS(AvgBase[Month 27],AvgBase[exp_item],$J477,AvgBase[company_name],$B477,AvgBase[bu_name],$C477,AvgBase[dept_name],$D477,AvgBase[team_consolidation],$K477,AvgBase[location_name],$G477,AvgBase[job_title],$H477))*(AL267+AK267)/2*(1-AL372))</f>
        <v>0</v>
      </c>
      <c r="AM477" s="652">
        <f>IF($B477="",,IF(LEFT($H477,5)="dummy",SUMIFS(AvgBase[Month 28],AvgBase[job_title],$H477),SUMIFS(AvgBase[Month 28],AvgBase[exp_item],$J477,AvgBase[company_name],$B477,AvgBase[bu_name],$C477,AvgBase[dept_name],$D477,AvgBase[team_consolidation],$K477,AvgBase[location_name],$G477,AvgBase[job_title],$H477))*(AM267+AL267)/2*(1-AM372))</f>
        <v>0</v>
      </c>
      <c r="AN477" s="652">
        <f>IF($B477="",,IF(LEFT($H477,5)="dummy",SUMIFS(AvgBase[Month 29],AvgBase[job_title],$H477),SUMIFS(AvgBase[Month 29],AvgBase[exp_item],$J477,AvgBase[company_name],$B477,AvgBase[bu_name],$C477,AvgBase[dept_name],$D477,AvgBase[team_consolidation],$K477,AvgBase[location_name],$G477,AvgBase[job_title],$H477))*(AN267+AM267)/2*(1-AN372))</f>
        <v>0</v>
      </c>
      <c r="AO477" s="652">
        <f>IF($B477="",,IF(LEFT($H477,5)="dummy",SUMIFS(AvgBase[Month 30],AvgBase[job_title],$H477),SUMIFS(AvgBase[Month 30],AvgBase[exp_item],$J477,AvgBase[company_name],$B477,AvgBase[bu_name],$C477,AvgBase[dept_name],$D477,AvgBase[team_consolidation],$K477,AvgBase[location_name],$G477,AvgBase[job_title],$H477))*(AO267+AN267)/2*(1-AO372))</f>
        <v>0</v>
      </c>
      <c r="AP477" s="652">
        <f>IF($B477="",,IF(LEFT($H477,5)="dummy",SUMIFS(AvgBase[Month 31],AvgBase[job_title],$H477),SUMIFS(AvgBase[Month 31],AvgBase[exp_item],$J477,AvgBase[company_name],$B477,AvgBase[bu_name],$C477,AvgBase[dept_name],$D477,AvgBase[team_consolidation],$K477,AvgBase[location_name],$G477,AvgBase[job_title],$H477))*(AP267+AO267)/2*(1-AP372))</f>
        <v>0</v>
      </c>
      <c r="AQ477" s="652">
        <f>IF($B477="",,IF(LEFT($H477,5)="dummy",SUMIFS(AvgBase[Month 32],AvgBase[job_title],$H477),SUMIFS(AvgBase[Month 32],AvgBase[exp_item],$J477,AvgBase[company_name],$B477,AvgBase[bu_name],$C477,AvgBase[dept_name],$D477,AvgBase[team_consolidation],$K477,AvgBase[location_name],$G477,AvgBase[job_title],$H477))*(AQ267+AP267)/2*(1-AQ372))</f>
        <v>0</v>
      </c>
      <c r="AR477" s="652">
        <f>IF($B477="",,IF(LEFT($H477,5)="dummy",SUMIFS(AvgBase[Month 33],AvgBase[job_title],$H477),SUMIFS(AvgBase[Month 33],AvgBase[exp_item],$J477,AvgBase[company_name],$B477,AvgBase[bu_name],$C477,AvgBase[dept_name],$D477,AvgBase[team_consolidation],$K477,AvgBase[location_name],$G477,AvgBase[job_title],$H477))*(AR267+AQ267)/2*(1-AR372))</f>
        <v>0</v>
      </c>
      <c r="AS477" s="652">
        <f>IF($B477="",,IF(LEFT($H477,5)="dummy",SUMIFS(AvgBase[Month 34],AvgBase[job_title],$H477),SUMIFS(AvgBase[Month 34],AvgBase[exp_item],$J477,AvgBase[company_name],$B477,AvgBase[bu_name],$C477,AvgBase[dept_name],$D477,AvgBase[team_consolidation],$K477,AvgBase[location_name],$G477,AvgBase[job_title],$H477))*(AS267+AR267)/2*(1-AS372))</f>
        <v>0</v>
      </c>
      <c r="AT477" s="652">
        <f>IF($B477="",,IF(LEFT($H477,5)="dummy",SUMIFS(AvgBase[Month 35],AvgBase[job_title],$H477),SUMIFS(AvgBase[Month 35],AvgBase[exp_item],$J477,AvgBase[company_name],$B477,AvgBase[bu_name],$C477,AvgBase[dept_name],$D477,AvgBase[team_consolidation],$K477,AvgBase[location_name],$G477,AvgBase[job_title],$H477))*(AT267+AS267)/2*(1-AT372))</f>
        <v>0</v>
      </c>
      <c r="AU477" s="652">
        <f>IF($B477="",,IF(LEFT($H477,5)="dummy",SUMIFS(AvgBase[Month 36],AvgBase[job_title],$H477),SUMIFS(AvgBase[Month 36],AvgBase[exp_item],$J477,AvgBase[company_name],$B477,AvgBase[bu_name],$C477,AvgBase[dept_name],$D477,AvgBase[team_consolidation],$K477,AvgBase[location_name],$G477,AvgBase[job_title],$H477))*(AU267+AT267)/2*(1-AU372))</f>
        <v>0</v>
      </c>
    </row>
    <row r="478" spans="2:47" x14ac:dyDescent="0.35">
      <c r="B478" t="str">
        <f t="shared" si="286"/>
        <v/>
      </c>
      <c r="C478" t="str">
        <f t="shared" si="286"/>
        <v/>
      </c>
      <c r="D478" t="str">
        <f t="shared" si="286"/>
        <v/>
      </c>
      <c r="E478" t="str">
        <f t="shared" si="286"/>
        <v/>
      </c>
      <c r="F478" t="str">
        <f t="shared" si="286"/>
        <v/>
      </c>
      <c r="G478" t="str">
        <f t="shared" si="286"/>
        <v/>
      </c>
      <c r="H478" t="str">
        <f t="shared" si="283"/>
        <v/>
      </c>
      <c r="J478" t="str">
        <f>IF($H478="","",IF(VLOOKUP($B$395,ExpItems[],2,0),$B$395&amp;" - "&amp;INDEX(DivisionMapping[category_code],MATCH($D478&amp;$C478,DivisionMapping[dept_bu],0)),$B$395))</f>
        <v/>
      </c>
      <c r="K478" t="str">
        <f t="shared" si="284"/>
        <v/>
      </c>
      <c r="L478" s="652">
        <f>IF($B478="",,IF(LEFT($H478,5)="dummy",SUMIFS(AvgBase[Month 1],AvgBase[job_title],$H478),SUMIFS(AvgBase[Month 1],AvgBase[exp_item],$J478,AvgBase[company_name],$B478,AvgBase[bu_name],$C478,AvgBase[dept_name],$D478,AvgBase[team_consolidation],$K478,AvgBase[location_name],$G478,AvgBase[job_title],$H478))*L268/2*(1-L373))</f>
        <v>0</v>
      </c>
      <c r="M478" s="652">
        <f>IF($B478="",,IF(LEFT($H478,5)="dummy",SUMIFS(AvgBase[Month 2],AvgBase[job_title],$H478),SUMIFS(AvgBase[Month 2],AvgBase[exp_item],$J478,AvgBase[company_name],$B478,AvgBase[bu_name],$C478,AvgBase[dept_name],$D478,AvgBase[team_consolidation],$K478,AvgBase[location_name],$G478,AvgBase[job_title],$H478))*(M268+L268)/2*(1-M373))</f>
        <v>0</v>
      </c>
      <c r="N478" s="652">
        <f>IF($B478="",,IF(LEFT($H478,5)="dummy",SUMIFS(AvgBase[Month 3],AvgBase[job_title],$H478),SUMIFS(AvgBase[Month 3],AvgBase[exp_item],$J478,AvgBase[company_name],$B478,AvgBase[bu_name],$C478,AvgBase[dept_name],$D478,AvgBase[team_consolidation],$K478,AvgBase[location_name],$G478,AvgBase[job_title],$H478))*(N268+M268)/2*(1-N373))</f>
        <v>0</v>
      </c>
      <c r="O478" s="652">
        <f>IF($B478="",,IF(LEFT($H478,5)="dummy",SUMIFS(AvgBase[Month 4],AvgBase[job_title],$H478),SUMIFS(AvgBase[Month 4],AvgBase[exp_item],$J478,AvgBase[company_name],$B478,AvgBase[bu_name],$C478,AvgBase[dept_name],$D478,AvgBase[team_consolidation],$K478,AvgBase[location_name],$G478,AvgBase[job_title],$H478))*(O268+N268)/2*(1-O373))</f>
        <v>0</v>
      </c>
      <c r="P478" s="652">
        <f>IF($B478="",,IF(LEFT($H478,5)="dummy",SUMIFS(AvgBase[Month 5],AvgBase[job_title],$H478),SUMIFS(AvgBase[Month 5],AvgBase[exp_item],$J478,AvgBase[company_name],$B478,AvgBase[bu_name],$C478,AvgBase[dept_name],$D478,AvgBase[team_consolidation],$K478,AvgBase[location_name],$G478,AvgBase[job_title],$H478))*(P268+O268)/2*(1-P373))</f>
        <v>0</v>
      </c>
      <c r="Q478" s="652">
        <f>IF($B478="",,IF(LEFT($H478,5)="dummy",SUMIFS(AvgBase[Month 6],AvgBase[job_title],$H478),SUMIFS(AvgBase[Month 6],AvgBase[exp_item],$J478,AvgBase[company_name],$B478,AvgBase[bu_name],$C478,AvgBase[dept_name],$D478,AvgBase[team_consolidation],$K478,AvgBase[location_name],$G478,AvgBase[job_title],$H478))*(Q268+P268)/2*(1-Q373))</f>
        <v>0</v>
      </c>
      <c r="R478" s="652">
        <f>IF($B478="",,IF(LEFT($H478,5)="dummy",SUMIFS(AvgBase[Month 7],AvgBase[job_title],$H478),SUMIFS(AvgBase[Month 7],AvgBase[exp_item],$J478,AvgBase[company_name],$B478,AvgBase[bu_name],$C478,AvgBase[dept_name],$D478,AvgBase[team_consolidation],$K478,AvgBase[location_name],$G478,AvgBase[job_title],$H478))*(R268+Q268)/2*(1-R373))</f>
        <v>0</v>
      </c>
      <c r="S478" s="652">
        <f>IF($B478="",,IF(LEFT($H478,5)="dummy",SUMIFS(AvgBase[Month 8],AvgBase[job_title],$H478),SUMIFS(AvgBase[Month 8],AvgBase[exp_item],$J478,AvgBase[company_name],$B478,AvgBase[bu_name],$C478,AvgBase[dept_name],$D478,AvgBase[team_consolidation],$K478,AvgBase[location_name],$G478,AvgBase[job_title],$H478))*(S268+R268)/2*(1-S373))</f>
        <v>0</v>
      </c>
      <c r="T478" s="652">
        <f>IF($B478="",,IF(LEFT($H478,5)="dummy",SUMIFS(AvgBase[Month 9],AvgBase[job_title],$H478),SUMIFS(AvgBase[Month 9],AvgBase[exp_item],$J478,AvgBase[company_name],$B478,AvgBase[bu_name],$C478,AvgBase[dept_name],$D478,AvgBase[team_consolidation],$K478,AvgBase[location_name],$G478,AvgBase[job_title],$H478))*(T268+S268)/2*(1-T373))</f>
        <v>0</v>
      </c>
      <c r="U478" s="652">
        <f>IF($B478="",,IF(LEFT($H478,5)="dummy",SUMIFS(AvgBase[Month 10],AvgBase[job_title],$H478),SUMIFS(AvgBase[Month 10],AvgBase[exp_item],$J478,AvgBase[company_name],$B478,AvgBase[bu_name],$C478,AvgBase[dept_name],$D478,AvgBase[team_consolidation],$K478,AvgBase[location_name],$G478,AvgBase[job_title],$H478))*(U268+T268)/2*(1-U373))</f>
        <v>0</v>
      </c>
      <c r="V478" s="652">
        <f>IF($B478="",,IF(LEFT($H478,5)="dummy",SUMIFS(AvgBase[Month 11],AvgBase[job_title],$H478),SUMIFS(AvgBase[Month 11],AvgBase[exp_item],$J478,AvgBase[company_name],$B478,AvgBase[bu_name],$C478,AvgBase[dept_name],$D478,AvgBase[team_consolidation],$K478,AvgBase[location_name],$G478,AvgBase[job_title],$H478))*(V268+U268)/2*(1-V373))</f>
        <v>0</v>
      </c>
      <c r="W478" s="652">
        <f>IF($B478="",,IF(LEFT($H478,5)="dummy",SUMIFS(AvgBase[Month 12],AvgBase[job_title],$H478),SUMIFS(AvgBase[Month 12],AvgBase[exp_item],$J478,AvgBase[company_name],$B478,AvgBase[bu_name],$C478,AvgBase[dept_name],$D478,AvgBase[team_consolidation],$K478,AvgBase[location_name],$G478,AvgBase[job_title],$H478))*(W268+V268)/2*(1-W373))</f>
        <v>0</v>
      </c>
      <c r="X478" s="652">
        <f>IF($B478="",,IF(LEFT($H478,5)="dummy",SUMIFS(AvgBase[Month 13],AvgBase[job_title],$H478),SUMIFS(AvgBase[Month 13],AvgBase[exp_item],$J478,AvgBase[company_name],$B478,AvgBase[bu_name],$C478,AvgBase[dept_name],$D478,AvgBase[team_consolidation],$K478,AvgBase[location_name],$G478,AvgBase[job_title],$H478))*(X268+W268)/2*(1-X373))</f>
        <v>0</v>
      </c>
      <c r="Y478" s="652">
        <f>IF($B478="",,IF(LEFT($H478,5)="dummy",SUMIFS(AvgBase[Month 14],AvgBase[job_title],$H478),SUMIFS(AvgBase[Month 14],AvgBase[exp_item],$J478,AvgBase[company_name],$B478,AvgBase[bu_name],$C478,AvgBase[dept_name],$D478,AvgBase[team_consolidation],$K478,AvgBase[location_name],$G478,AvgBase[job_title],$H478))*(Y268+X268)/2*(1-Y373))</f>
        <v>0</v>
      </c>
      <c r="Z478" s="652">
        <f>IF($B478="",,IF(LEFT($H478,5)="dummy",SUMIFS(AvgBase[Month 15],AvgBase[job_title],$H478),SUMIFS(AvgBase[Month 15],AvgBase[exp_item],$J478,AvgBase[company_name],$B478,AvgBase[bu_name],$C478,AvgBase[dept_name],$D478,AvgBase[team_consolidation],$K478,AvgBase[location_name],$G478,AvgBase[job_title],$H478))*(Z268+Y268)/2*(1-Z373))</f>
        <v>0</v>
      </c>
      <c r="AA478" s="652">
        <f>IF($B478="",,IF(LEFT($H478,5)="dummy",SUMIFS(AvgBase[Month 16],AvgBase[job_title],$H478),SUMIFS(AvgBase[Month 16],AvgBase[exp_item],$J478,AvgBase[company_name],$B478,AvgBase[bu_name],$C478,AvgBase[dept_name],$D478,AvgBase[team_consolidation],$K478,AvgBase[location_name],$G478,AvgBase[job_title],$H478))*(AA268+Z268)/2*(1-AA373))</f>
        <v>0</v>
      </c>
      <c r="AB478" s="652">
        <f>IF($B478="",,IF(LEFT($H478,5)="dummy",SUMIFS(AvgBase[Month 17],AvgBase[job_title],$H478),SUMIFS(AvgBase[Month 17],AvgBase[exp_item],$J478,AvgBase[company_name],$B478,AvgBase[bu_name],$C478,AvgBase[dept_name],$D478,AvgBase[team_consolidation],$K478,AvgBase[location_name],$G478,AvgBase[job_title],$H478))*(AB268+AA268)/2*(1-AB373))</f>
        <v>0</v>
      </c>
      <c r="AC478" s="652">
        <f>IF($B478="",,IF(LEFT($H478,5)="dummy",SUMIFS(AvgBase[Month 18],AvgBase[job_title],$H478),SUMIFS(AvgBase[Month 18],AvgBase[exp_item],$J478,AvgBase[company_name],$B478,AvgBase[bu_name],$C478,AvgBase[dept_name],$D478,AvgBase[team_consolidation],$K478,AvgBase[location_name],$G478,AvgBase[job_title],$H478))*(AC268+AB268)/2*(1-AC373))</f>
        <v>0</v>
      </c>
      <c r="AD478" s="652">
        <f>IF($B478="",,IF(LEFT($H478,5)="dummy",SUMIFS(AvgBase[Month 19],AvgBase[job_title],$H478),SUMIFS(AvgBase[Month 19],AvgBase[exp_item],$J478,AvgBase[company_name],$B478,AvgBase[bu_name],$C478,AvgBase[dept_name],$D478,AvgBase[team_consolidation],$K478,AvgBase[location_name],$G478,AvgBase[job_title],$H478))*(AD268+AC268)/2*(1-AD373))</f>
        <v>0</v>
      </c>
      <c r="AE478" s="652">
        <f>IF($B478="",,IF(LEFT($H478,5)="dummy",SUMIFS(AvgBase[Month 20],AvgBase[job_title],$H478),SUMIFS(AvgBase[Month 20],AvgBase[exp_item],$J478,AvgBase[company_name],$B478,AvgBase[bu_name],$C478,AvgBase[dept_name],$D478,AvgBase[team_consolidation],$K478,AvgBase[location_name],$G478,AvgBase[job_title],$H478))*(AE268+AD268)/2*(1-AE373))</f>
        <v>0</v>
      </c>
      <c r="AF478" s="652">
        <f>IF($B478="",,IF(LEFT($H478,5)="dummy",SUMIFS(AvgBase[Month 21],AvgBase[job_title],$H478),SUMIFS(AvgBase[Month 21],AvgBase[exp_item],$J478,AvgBase[company_name],$B478,AvgBase[bu_name],$C478,AvgBase[dept_name],$D478,AvgBase[team_consolidation],$K478,AvgBase[location_name],$G478,AvgBase[job_title],$H478))*(AF268+AE268)/2*(1-AF373))</f>
        <v>0</v>
      </c>
      <c r="AG478" s="652">
        <f>IF($B478="",,IF(LEFT($H478,5)="dummy",SUMIFS(AvgBase[Month 22],AvgBase[job_title],$H478),SUMIFS(AvgBase[Month 22],AvgBase[exp_item],$J478,AvgBase[company_name],$B478,AvgBase[bu_name],$C478,AvgBase[dept_name],$D478,AvgBase[team_consolidation],$K478,AvgBase[location_name],$G478,AvgBase[job_title],$H478))*(AG268+AF268)/2*(1-AG373))</f>
        <v>0</v>
      </c>
      <c r="AH478" s="652">
        <f>IF($B478="",,IF(LEFT($H478,5)="dummy",SUMIFS(AvgBase[Month 23],AvgBase[job_title],$H478),SUMIFS(AvgBase[Month 23],AvgBase[exp_item],$J478,AvgBase[company_name],$B478,AvgBase[bu_name],$C478,AvgBase[dept_name],$D478,AvgBase[team_consolidation],$K478,AvgBase[location_name],$G478,AvgBase[job_title],$H478))*(AH268+AG268)/2*(1-AH373))</f>
        <v>0</v>
      </c>
      <c r="AI478" s="652">
        <f>IF($B478="",,IF(LEFT($H478,5)="dummy",SUMIFS(AvgBase[Month 24],AvgBase[job_title],$H478),SUMIFS(AvgBase[Month 24],AvgBase[exp_item],$J478,AvgBase[company_name],$B478,AvgBase[bu_name],$C478,AvgBase[dept_name],$D478,AvgBase[team_consolidation],$K478,AvgBase[location_name],$G478,AvgBase[job_title],$H478))*(AI268+AH268)/2*(1-AI373))</f>
        <v>0</v>
      </c>
      <c r="AJ478" s="652">
        <f>IF($B478="",,IF(LEFT($H478,5)="dummy",SUMIFS(AvgBase[Month 25],AvgBase[job_title],$H478),SUMIFS(AvgBase[Month 25],AvgBase[exp_item],$J478,AvgBase[company_name],$B478,AvgBase[bu_name],$C478,AvgBase[dept_name],$D478,AvgBase[team_consolidation],$K478,AvgBase[location_name],$G478,AvgBase[job_title],$H478))*(AJ268+AI268)/2*(1-AJ373))</f>
        <v>0</v>
      </c>
      <c r="AK478" s="652">
        <f>IF($B478="",,IF(LEFT($H478,5)="dummy",SUMIFS(AvgBase[Month 26],AvgBase[job_title],$H478),SUMIFS(AvgBase[Month 26],AvgBase[exp_item],$J478,AvgBase[company_name],$B478,AvgBase[bu_name],$C478,AvgBase[dept_name],$D478,AvgBase[team_consolidation],$K478,AvgBase[location_name],$G478,AvgBase[job_title],$H478))*(AK268+AJ268)/2*(1-AK373))</f>
        <v>0</v>
      </c>
      <c r="AL478" s="652">
        <f>IF($B478="",,IF(LEFT($H478,5)="dummy",SUMIFS(AvgBase[Month 27],AvgBase[job_title],$H478),SUMIFS(AvgBase[Month 27],AvgBase[exp_item],$J478,AvgBase[company_name],$B478,AvgBase[bu_name],$C478,AvgBase[dept_name],$D478,AvgBase[team_consolidation],$K478,AvgBase[location_name],$G478,AvgBase[job_title],$H478))*(AL268+AK268)/2*(1-AL373))</f>
        <v>0</v>
      </c>
      <c r="AM478" s="652">
        <f>IF($B478="",,IF(LEFT($H478,5)="dummy",SUMIFS(AvgBase[Month 28],AvgBase[job_title],$H478),SUMIFS(AvgBase[Month 28],AvgBase[exp_item],$J478,AvgBase[company_name],$B478,AvgBase[bu_name],$C478,AvgBase[dept_name],$D478,AvgBase[team_consolidation],$K478,AvgBase[location_name],$G478,AvgBase[job_title],$H478))*(AM268+AL268)/2*(1-AM373))</f>
        <v>0</v>
      </c>
      <c r="AN478" s="652">
        <f>IF($B478="",,IF(LEFT($H478,5)="dummy",SUMIFS(AvgBase[Month 29],AvgBase[job_title],$H478),SUMIFS(AvgBase[Month 29],AvgBase[exp_item],$J478,AvgBase[company_name],$B478,AvgBase[bu_name],$C478,AvgBase[dept_name],$D478,AvgBase[team_consolidation],$K478,AvgBase[location_name],$G478,AvgBase[job_title],$H478))*(AN268+AM268)/2*(1-AN373))</f>
        <v>0</v>
      </c>
      <c r="AO478" s="652">
        <f>IF($B478="",,IF(LEFT($H478,5)="dummy",SUMIFS(AvgBase[Month 30],AvgBase[job_title],$H478),SUMIFS(AvgBase[Month 30],AvgBase[exp_item],$J478,AvgBase[company_name],$B478,AvgBase[bu_name],$C478,AvgBase[dept_name],$D478,AvgBase[team_consolidation],$K478,AvgBase[location_name],$G478,AvgBase[job_title],$H478))*(AO268+AN268)/2*(1-AO373))</f>
        <v>0</v>
      </c>
      <c r="AP478" s="652">
        <f>IF($B478="",,IF(LEFT($H478,5)="dummy",SUMIFS(AvgBase[Month 31],AvgBase[job_title],$H478),SUMIFS(AvgBase[Month 31],AvgBase[exp_item],$J478,AvgBase[company_name],$B478,AvgBase[bu_name],$C478,AvgBase[dept_name],$D478,AvgBase[team_consolidation],$K478,AvgBase[location_name],$G478,AvgBase[job_title],$H478))*(AP268+AO268)/2*(1-AP373))</f>
        <v>0</v>
      </c>
      <c r="AQ478" s="652">
        <f>IF($B478="",,IF(LEFT($H478,5)="dummy",SUMIFS(AvgBase[Month 32],AvgBase[job_title],$H478),SUMIFS(AvgBase[Month 32],AvgBase[exp_item],$J478,AvgBase[company_name],$B478,AvgBase[bu_name],$C478,AvgBase[dept_name],$D478,AvgBase[team_consolidation],$K478,AvgBase[location_name],$G478,AvgBase[job_title],$H478))*(AQ268+AP268)/2*(1-AQ373))</f>
        <v>0</v>
      </c>
      <c r="AR478" s="652">
        <f>IF($B478="",,IF(LEFT($H478,5)="dummy",SUMIFS(AvgBase[Month 33],AvgBase[job_title],$H478),SUMIFS(AvgBase[Month 33],AvgBase[exp_item],$J478,AvgBase[company_name],$B478,AvgBase[bu_name],$C478,AvgBase[dept_name],$D478,AvgBase[team_consolidation],$K478,AvgBase[location_name],$G478,AvgBase[job_title],$H478))*(AR268+AQ268)/2*(1-AR373))</f>
        <v>0</v>
      </c>
      <c r="AS478" s="652">
        <f>IF($B478="",,IF(LEFT($H478,5)="dummy",SUMIFS(AvgBase[Month 34],AvgBase[job_title],$H478),SUMIFS(AvgBase[Month 34],AvgBase[exp_item],$J478,AvgBase[company_name],$B478,AvgBase[bu_name],$C478,AvgBase[dept_name],$D478,AvgBase[team_consolidation],$K478,AvgBase[location_name],$G478,AvgBase[job_title],$H478))*(AS268+AR268)/2*(1-AS373))</f>
        <v>0</v>
      </c>
      <c r="AT478" s="652">
        <f>IF($B478="",,IF(LEFT($H478,5)="dummy",SUMIFS(AvgBase[Month 35],AvgBase[job_title],$H478),SUMIFS(AvgBase[Month 35],AvgBase[exp_item],$J478,AvgBase[company_name],$B478,AvgBase[bu_name],$C478,AvgBase[dept_name],$D478,AvgBase[team_consolidation],$K478,AvgBase[location_name],$G478,AvgBase[job_title],$H478))*(AT268+AS268)/2*(1-AT373))</f>
        <v>0</v>
      </c>
      <c r="AU478" s="652">
        <f>IF($B478="",,IF(LEFT($H478,5)="dummy",SUMIFS(AvgBase[Month 36],AvgBase[job_title],$H478),SUMIFS(AvgBase[Month 36],AvgBase[exp_item],$J478,AvgBase[company_name],$B478,AvgBase[bu_name],$C478,AvgBase[dept_name],$D478,AvgBase[team_consolidation],$K478,AvgBase[location_name],$G478,AvgBase[job_title],$H478))*(AU268+AT268)/2*(1-AU373))</f>
        <v>0</v>
      </c>
    </row>
    <row r="479" spans="2:47" x14ac:dyDescent="0.35">
      <c r="B479" t="str">
        <f t="shared" si="286"/>
        <v/>
      </c>
      <c r="C479" t="str">
        <f t="shared" si="286"/>
        <v/>
      </c>
      <c r="D479" t="str">
        <f t="shared" si="286"/>
        <v/>
      </c>
      <c r="E479" t="str">
        <f t="shared" si="286"/>
        <v/>
      </c>
      <c r="F479" t="str">
        <f t="shared" si="286"/>
        <v/>
      </c>
      <c r="G479" t="str">
        <f t="shared" si="286"/>
        <v/>
      </c>
      <c r="H479" t="str">
        <f t="shared" si="283"/>
        <v/>
      </c>
      <c r="J479" t="str">
        <f>IF($H479="","",IF(VLOOKUP($B$395,ExpItems[],2,0),$B$395&amp;" - "&amp;INDEX(DivisionMapping[category_code],MATCH($D479&amp;$C479,DivisionMapping[dept_bu],0)),$B$395))</f>
        <v/>
      </c>
      <c r="K479" t="str">
        <f t="shared" si="284"/>
        <v/>
      </c>
      <c r="L479" s="652">
        <f>IF($B479="",,IF(LEFT($H479,5)="dummy",SUMIFS(AvgBase[Month 1],AvgBase[job_title],$H479),SUMIFS(AvgBase[Month 1],AvgBase[exp_item],$J479,AvgBase[company_name],$B479,AvgBase[bu_name],$C479,AvgBase[dept_name],$D479,AvgBase[team_consolidation],$K479,AvgBase[location_name],$G479,AvgBase[job_title],$H479))*L269/2*(1-L374))</f>
        <v>0</v>
      </c>
      <c r="M479" s="652">
        <f>IF($B479="",,IF(LEFT($H479,5)="dummy",SUMIFS(AvgBase[Month 2],AvgBase[job_title],$H479),SUMIFS(AvgBase[Month 2],AvgBase[exp_item],$J479,AvgBase[company_name],$B479,AvgBase[bu_name],$C479,AvgBase[dept_name],$D479,AvgBase[team_consolidation],$K479,AvgBase[location_name],$G479,AvgBase[job_title],$H479))*(M269+L269)/2*(1-M374))</f>
        <v>0</v>
      </c>
      <c r="N479" s="652">
        <f>IF($B479="",,IF(LEFT($H479,5)="dummy",SUMIFS(AvgBase[Month 3],AvgBase[job_title],$H479),SUMIFS(AvgBase[Month 3],AvgBase[exp_item],$J479,AvgBase[company_name],$B479,AvgBase[bu_name],$C479,AvgBase[dept_name],$D479,AvgBase[team_consolidation],$K479,AvgBase[location_name],$G479,AvgBase[job_title],$H479))*(N269+M269)/2*(1-N374))</f>
        <v>0</v>
      </c>
      <c r="O479" s="652">
        <f>IF($B479="",,IF(LEFT($H479,5)="dummy",SUMIFS(AvgBase[Month 4],AvgBase[job_title],$H479),SUMIFS(AvgBase[Month 4],AvgBase[exp_item],$J479,AvgBase[company_name],$B479,AvgBase[bu_name],$C479,AvgBase[dept_name],$D479,AvgBase[team_consolidation],$K479,AvgBase[location_name],$G479,AvgBase[job_title],$H479))*(O269+N269)/2*(1-O374))</f>
        <v>0</v>
      </c>
      <c r="P479" s="652">
        <f>IF($B479="",,IF(LEFT($H479,5)="dummy",SUMIFS(AvgBase[Month 5],AvgBase[job_title],$H479),SUMIFS(AvgBase[Month 5],AvgBase[exp_item],$J479,AvgBase[company_name],$B479,AvgBase[bu_name],$C479,AvgBase[dept_name],$D479,AvgBase[team_consolidation],$K479,AvgBase[location_name],$G479,AvgBase[job_title],$H479))*(P269+O269)/2*(1-P374))</f>
        <v>0</v>
      </c>
      <c r="Q479" s="652">
        <f>IF($B479="",,IF(LEFT($H479,5)="dummy",SUMIFS(AvgBase[Month 6],AvgBase[job_title],$H479),SUMIFS(AvgBase[Month 6],AvgBase[exp_item],$J479,AvgBase[company_name],$B479,AvgBase[bu_name],$C479,AvgBase[dept_name],$D479,AvgBase[team_consolidation],$K479,AvgBase[location_name],$G479,AvgBase[job_title],$H479))*(Q269+P269)/2*(1-Q374))</f>
        <v>0</v>
      </c>
      <c r="R479" s="652">
        <f>IF($B479="",,IF(LEFT($H479,5)="dummy",SUMIFS(AvgBase[Month 7],AvgBase[job_title],$H479),SUMIFS(AvgBase[Month 7],AvgBase[exp_item],$J479,AvgBase[company_name],$B479,AvgBase[bu_name],$C479,AvgBase[dept_name],$D479,AvgBase[team_consolidation],$K479,AvgBase[location_name],$G479,AvgBase[job_title],$H479))*(R269+Q269)/2*(1-R374))</f>
        <v>0</v>
      </c>
      <c r="S479" s="652">
        <f>IF($B479="",,IF(LEFT($H479,5)="dummy",SUMIFS(AvgBase[Month 8],AvgBase[job_title],$H479),SUMIFS(AvgBase[Month 8],AvgBase[exp_item],$J479,AvgBase[company_name],$B479,AvgBase[bu_name],$C479,AvgBase[dept_name],$D479,AvgBase[team_consolidation],$K479,AvgBase[location_name],$G479,AvgBase[job_title],$H479))*(S269+R269)/2*(1-S374))</f>
        <v>0</v>
      </c>
      <c r="T479" s="652">
        <f>IF($B479="",,IF(LEFT($H479,5)="dummy",SUMIFS(AvgBase[Month 9],AvgBase[job_title],$H479),SUMIFS(AvgBase[Month 9],AvgBase[exp_item],$J479,AvgBase[company_name],$B479,AvgBase[bu_name],$C479,AvgBase[dept_name],$D479,AvgBase[team_consolidation],$K479,AvgBase[location_name],$G479,AvgBase[job_title],$H479))*(T269+S269)/2*(1-T374))</f>
        <v>0</v>
      </c>
      <c r="U479" s="652">
        <f>IF($B479="",,IF(LEFT($H479,5)="dummy",SUMIFS(AvgBase[Month 10],AvgBase[job_title],$H479),SUMIFS(AvgBase[Month 10],AvgBase[exp_item],$J479,AvgBase[company_name],$B479,AvgBase[bu_name],$C479,AvgBase[dept_name],$D479,AvgBase[team_consolidation],$K479,AvgBase[location_name],$G479,AvgBase[job_title],$H479))*(U269+T269)/2*(1-U374))</f>
        <v>0</v>
      </c>
      <c r="V479" s="652">
        <f>IF($B479="",,IF(LEFT($H479,5)="dummy",SUMIFS(AvgBase[Month 11],AvgBase[job_title],$H479),SUMIFS(AvgBase[Month 11],AvgBase[exp_item],$J479,AvgBase[company_name],$B479,AvgBase[bu_name],$C479,AvgBase[dept_name],$D479,AvgBase[team_consolidation],$K479,AvgBase[location_name],$G479,AvgBase[job_title],$H479))*(V269+U269)/2*(1-V374))</f>
        <v>0</v>
      </c>
      <c r="W479" s="652">
        <f>IF($B479="",,IF(LEFT($H479,5)="dummy",SUMIFS(AvgBase[Month 12],AvgBase[job_title],$H479),SUMIFS(AvgBase[Month 12],AvgBase[exp_item],$J479,AvgBase[company_name],$B479,AvgBase[bu_name],$C479,AvgBase[dept_name],$D479,AvgBase[team_consolidation],$K479,AvgBase[location_name],$G479,AvgBase[job_title],$H479))*(W269+V269)/2*(1-W374))</f>
        <v>0</v>
      </c>
      <c r="X479" s="652">
        <f>IF($B479="",,IF(LEFT($H479,5)="dummy",SUMIFS(AvgBase[Month 13],AvgBase[job_title],$H479),SUMIFS(AvgBase[Month 13],AvgBase[exp_item],$J479,AvgBase[company_name],$B479,AvgBase[bu_name],$C479,AvgBase[dept_name],$D479,AvgBase[team_consolidation],$K479,AvgBase[location_name],$G479,AvgBase[job_title],$H479))*(X269+W269)/2*(1-X374))</f>
        <v>0</v>
      </c>
      <c r="Y479" s="652">
        <f>IF($B479="",,IF(LEFT($H479,5)="dummy",SUMIFS(AvgBase[Month 14],AvgBase[job_title],$H479),SUMIFS(AvgBase[Month 14],AvgBase[exp_item],$J479,AvgBase[company_name],$B479,AvgBase[bu_name],$C479,AvgBase[dept_name],$D479,AvgBase[team_consolidation],$K479,AvgBase[location_name],$G479,AvgBase[job_title],$H479))*(Y269+X269)/2*(1-Y374))</f>
        <v>0</v>
      </c>
      <c r="Z479" s="652">
        <f>IF($B479="",,IF(LEFT($H479,5)="dummy",SUMIFS(AvgBase[Month 15],AvgBase[job_title],$H479),SUMIFS(AvgBase[Month 15],AvgBase[exp_item],$J479,AvgBase[company_name],$B479,AvgBase[bu_name],$C479,AvgBase[dept_name],$D479,AvgBase[team_consolidation],$K479,AvgBase[location_name],$G479,AvgBase[job_title],$H479))*(Z269+Y269)/2*(1-Z374))</f>
        <v>0</v>
      </c>
      <c r="AA479" s="652">
        <f>IF($B479="",,IF(LEFT($H479,5)="dummy",SUMIFS(AvgBase[Month 16],AvgBase[job_title],$H479),SUMIFS(AvgBase[Month 16],AvgBase[exp_item],$J479,AvgBase[company_name],$B479,AvgBase[bu_name],$C479,AvgBase[dept_name],$D479,AvgBase[team_consolidation],$K479,AvgBase[location_name],$G479,AvgBase[job_title],$H479))*(AA269+Z269)/2*(1-AA374))</f>
        <v>0</v>
      </c>
      <c r="AB479" s="652">
        <f>IF($B479="",,IF(LEFT($H479,5)="dummy",SUMIFS(AvgBase[Month 17],AvgBase[job_title],$H479),SUMIFS(AvgBase[Month 17],AvgBase[exp_item],$J479,AvgBase[company_name],$B479,AvgBase[bu_name],$C479,AvgBase[dept_name],$D479,AvgBase[team_consolidation],$K479,AvgBase[location_name],$G479,AvgBase[job_title],$H479))*(AB269+AA269)/2*(1-AB374))</f>
        <v>0</v>
      </c>
      <c r="AC479" s="652">
        <f>IF($B479="",,IF(LEFT($H479,5)="dummy",SUMIFS(AvgBase[Month 18],AvgBase[job_title],$H479),SUMIFS(AvgBase[Month 18],AvgBase[exp_item],$J479,AvgBase[company_name],$B479,AvgBase[bu_name],$C479,AvgBase[dept_name],$D479,AvgBase[team_consolidation],$K479,AvgBase[location_name],$G479,AvgBase[job_title],$H479))*(AC269+AB269)/2*(1-AC374))</f>
        <v>0</v>
      </c>
      <c r="AD479" s="652">
        <f>IF($B479="",,IF(LEFT($H479,5)="dummy",SUMIFS(AvgBase[Month 19],AvgBase[job_title],$H479),SUMIFS(AvgBase[Month 19],AvgBase[exp_item],$J479,AvgBase[company_name],$B479,AvgBase[bu_name],$C479,AvgBase[dept_name],$D479,AvgBase[team_consolidation],$K479,AvgBase[location_name],$G479,AvgBase[job_title],$H479))*(AD269+AC269)/2*(1-AD374))</f>
        <v>0</v>
      </c>
      <c r="AE479" s="652">
        <f>IF($B479="",,IF(LEFT($H479,5)="dummy",SUMIFS(AvgBase[Month 20],AvgBase[job_title],$H479),SUMIFS(AvgBase[Month 20],AvgBase[exp_item],$J479,AvgBase[company_name],$B479,AvgBase[bu_name],$C479,AvgBase[dept_name],$D479,AvgBase[team_consolidation],$K479,AvgBase[location_name],$G479,AvgBase[job_title],$H479))*(AE269+AD269)/2*(1-AE374))</f>
        <v>0</v>
      </c>
      <c r="AF479" s="652">
        <f>IF($B479="",,IF(LEFT($H479,5)="dummy",SUMIFS(AvgBase[Month 21],AvgBase[job_title],$H479),SUMIFS(AvgBase[Month 21],AvgBase[exp_item],$J479,AvgBase[company_name],$B479,AvgBase[bu_name],$C479,AvgBase[dept_name],$D479,AvgBase[team_consolidation],$K479,AvgBase[location_name],$G479,AvgBase[job_title],$H479))*(AF269+AE269)/2*(1-AF374))</f>
        <v>0</v>
      </c>
      <c r="AG479" s="652">
        <f>IF($B479="",,IF(LEFT($H479,5)="dummy",SUMIFS(AvgBase[Month 22],AvgBase[job_title],$H479),SUMIFS(AvgBase[Month 22],AvgBase[exp_item],$J479,AvgBase[company_name],$B479,AvgBase[bu_name],$C479,AvgBase[dept_name],$D479,AvgBase[team_consolidation],$K479,AvgBase[location_name],$G479,AvgBase[job_title],$H479))*(AG269+AF269)/2*(1-AG374))</f>
        <v>0</v>
      </c>
      <c r="AH479" s="652">
        <f>IF($B479="",,IF(LEFT($H479,5)="dummy",SUMIFS(AvgBase[Month 23],AvgBase[job_title],$H479),SUMIFS(AvgBase[Month 23],AvgBase[exp_item],$J479,AvgBase[company_name],$B479,AvgBase[bu_name],$C479,AvgBase[dept_name],$D479,AvgBase[team_consolidation],$K479,AvgBase[location_name],$G479,AvgBase[job_title],$H479))*(AH269+AG269)/2*(1-AH374))</f>
        <v>0</v>
      </c>
      <c r="AI479" s="652">
        <f>IF($B479="",,IF(LEFT($H479,5)="dummy",SUMIFS(AvgBase[Month 24],AvgBase[job_title],$H479),SUMIFS(AvgBase[Month 24],AvgBase[exp_item],$J479,AvgBase[company_name],$B479,AvgBase[bu_name],$C479,AvgBase[dept_name],$D479,AvgBase[team_consolidation],$K479,AvgBase[location_name],$G479,AvgBase[job_title],$H479))*(AI269+AH269)/2*(1-AI374))</f>
        <v>0</v>
      </c>
      <c r="AJ479" s="652">
        <f>IF($B479="",,IF(LEFT($H479,5)="dummy",SUMIFS(AvgBase[Month 25],AvgBase[job_title],$H479),SUMIFS(AvgBase[Month 25],AvgBase[exp_item],$J479,AvgBase[company_name],$B479,AvgBase[bu_name],$C479,AvgBase[dept_name],$D479,AvgBase[team_consolidation],$K479,AvgBase[location_name],$G479,AvgBase[job_title],$H479))*(AJ269+AI269)/2*(1-AJ374))</f>
        <v>0</v>
      </c>
      <c r="AK479" s="652">
        <f>IF($B479="",,IF(LEFT($H479,5)="dummy",SUMIFS(AvgBase[Month 26],AvgBase[job_title],$H479),SUMIFS(AvgBase[Month 26],AvgBase[exp_item],$J479,AvgBase[company_name],$B479,AvgBase[bu_name],$C479,AvgBase[dept_name],$D479,AvgBase[team_consolidation],$K479,AvgBase[location_name],$G479,AvgBase[job_title],$H479))*(AK269+AJ269)/2*(1-AK374))</f>
        <v>0</v>
      </c>
      <c r="AL479" s="652">
        <f>IF($B479="",,IF(LEFT($H479,5)="dummy",SUMIFS(AvgBase[Month 27],AvgBase[job_title],$H479),SUMIFS(AvgBase[Month 27],AvgBase[exp_item],$J479,AvgBase[company_name],$B479,AvgBase[bu_name],$C479,AvgBase[dept_name],$D479,AvgBase[team_consolidation],$K479,AvgBase[location_name],$G479,AvgBase[job_title],$H479))*(AL269+AK269)/2*(1-AL374))</f>
        <v>0</v>
      </c>
      <c r="AM479" s="652">
        <f>IF($B479="",,IF(LEFT($H479,5)="dummy",SUMIFS(AvgBase[Month 28],AvgBase[job_title],$H479),SUMIFS(AvgBase[Month 28],AvgBase[exp_item],$J479,AvgBase[company_name],$B479,AvgBase[bu_name],$C479,AvgBase[dept_name],$D479,AvgBase[team_consolidation],$K479,AvgBase[location_name],$G479,AvgBase[job_title],$H479))*(AM269+AL269)/2*(1-AM374))</f>
        <v>0</v>
      </c>
      <c r="AN479" s="652">
        <f>IF($B479="",,IF(LEFT($H479,5)="dummy",SUMIFS(AvgBase[Month 29],AvgBase[job_title],$H479),SUMIFS(AvgBase[Month 29],AvgBase[exp_item],$J479,AvgBase[company_name],$B479,AvgBase[bu_name],$C479,AvgBase[dept_name],$D479,AvgBase[team_consolidation],$K479,AvgBase[location_name],$G479,AvgBase[job_title],$H479))*(AN269+AM269)/2*(1-AN374))</f>
        <v>0</v>
      </c>
      <c r="AO479" s="652">
        <f>IF($B479="",,IF(LEFT($H479,5)="dummy",SUMIFS(AvgBase[Month 30],AvgBase[job_title],$H479),SUMIFS(AvgBase[Month 30],AvgBase[exp_item],$J479,AvgBase[company_name],$B479,AvgBase[bu_name],$C479,AvgBase[dept_name],$D479,AvgBase[team_consolidation],$K479,AvgBase[location_name],$G479,AvgBase[job_title],$H479))*(AO269+AN269)/2*(1-AO374))</f>
        <v>0</v>
      </c>
      <c r="AP479" s="652">
        <f>IF($B479="",,IF(LEFT($H479,5)="dummy",SUMIFS(AvgBase[Month 31],AvgBase[job_title],$H479),SUMIFS(AvgBase[Month 31],AvgBase[exp_item],$J479,AvgBase[company_name],$B479,AvgBase[bu_name],$C479,AvgBase[dept_name],$D479,AvgBase[team_consolidation],$K479,AvgBase[location_name],$G479,AvgBase[job_title],$H479))*(AP269+AO269)/2*(1-AP374))</f>
        <v>0</v>
      </c>
      <c r="AQ479" s="652">
        <f>IF($B479="",,IF(LEFT($H479,5)="dummy",SUMIFS(AvgBase[Month 32],AvgBase[job_title],$H479),SUMIFS(AvgBase[Month 32],AvgBase[exp_item],$J479,AvgBase[company_name],$B479,AvgBase[bu_name],$C479,AvgBase[dept_name],$D479,AvgBase[team_consolidation],$K479,AvgBase[location_name],$G479,AvgBase[job_title],$H479))*(AQ269+AP269)/2*(1-AQ374))</f>
        <v>0</v>
      </c>
      <c r="AR479" s="652">
        <f>IF($B479="",,IF(LEFT($H479,5)="dummy",SUMIFS(AvgBase[Month 33],AvgBase[job_title],$H479),SUMIFS(AvgBase[Month 33],AvgBase[exp_item],$J479,AvgBase[company_name],$B479,AvgBase[bu_name],$C479,AvgBase[dept_name],$D479,AvgBase[team_consolidation],$K479,AvgBase[location_name],$G479,AvgBase[job_title],$H479))*(AR269+AQ269)/2*(1-AR374))</f>
        <v>0</v>
      </c>
      <c r="AS479" s="652">
        <f>IF($B479="",,IF(LEFT($H479,5)="dummy",SUMIFS(AvgBase[Month 34],AvgBase[job_title],$H479),SUMIFS(AvgBase[Month 34],AvgBase[exp_item],$J479,AvgBase[company_name],$B479,AvgBase[bu_name],$C479,AvgBase[dept_name],$D479,AvgBase[team_consolidation],$K479,AvgBase[location_name],$G479,AvgBase[job_title],$H479))*(AS269+AR269)/2*(1-AS374))</f>
        <v>0</v>
      </c>
      <c r="AT479" s="652">
        <f>IF($B479="",,IF(LEFT($H479,5)="dummy",SUMIFS(AvgBase[Month 35],AvgBase[job_title],$H479),SUMIFS(AvgBase[Month 35],AvgBase[exp_item],$J479,AvgBase[company_name],$B479,AvgBase[bu_name],$C479,AvgBase[dept_name],$D479,AvgBase[team_consolidation],$K479,AvgBase[location_name],$G479,AvgBase[job_title],$H479))*(AT269+AS269)/2*(1-AT374))</f>
        <v>0</v>
      </c>
      <c r="AU479" s="652">
        <f>IF($B479="",,IF(LEFT($H479,5)="dummy",SUMIFS(AvgBase[Month 36],AvgBase[job_title],$H479),SUMIFS(AvgBase[Month 36],AvgBase[exp_item],$J479,AvgBase[company_name],$B479,AvgBase[bu_name],$C479,AvgBase[dept_name],$D479,AvgBase[team_consolidation],$K479,AvgBase[location_name],$G479,AvgBase[job_title],$H479))*(AU269+AT269)/2*(1-AU374))</f>
        <v>0</v>
      </c>
    </row>
    <row r="480" spans="2:47" x14ac:dyDescent="0.35">
      <c r="B480" t="str">
        <f t="shared" si="286"/>
        <v/>
      </c>
      <c r="C480" t="str">
        <f t="shared" si="286"/>
        <v/>
      </c>
      <c r="D480" t="str">
        <f t="shared" si="286"/>
        <v/>
      </c>
      <c r="E480" t="str">
        <f t="shared" si="286"/>
        <v/>
      </c>
      <c r="F480" t="str">
        <f t="shared" si="286"/>
        <v/>
      </c>
      <c r="G480" t="str">
        <f t="shared" si="286"/>
        <v/>
      </c>
      <c r="H480" t="str">
        <f t="shared" si="283"/>
        <v/>
      </c>
      <c r="J480" t="str">
        <f>IF($H480="","",IF(VLOOKUP($B$395,ExpItems[],2,0),$B$395&amp;" - "&amp;INDEX(DivisionMapping[category_code],MATCH($D480&amp;$C480,DivisionMapping[dept_bu],0)),$B$395))</f>
        <v/>
      </c>
      <c r="K480" t="str">
        <f t="shared" si="284"/>
        <v/>
      </c>
      <c r="L480" s="652">
        <f>IF($B480="",,IF(LEFT($H480,5)="dummy",SUMIFS(AvgBase[Month 1],AvgBase[job_title],$H480),SUMIFS(AvgBase[Month 1],AvgBase[exp_item],$J480,AvgBase[company_name],$B480,AvgBase[bu_name],$C480,AvgBase[dept_name],$D480,AvgBase[team_consolidation],$K480,AvgBase[location_name],$G480,AvgBase[job_title],$H480))*L270/2*(1-L375))</f>
        <v>0</v>
      </c>
      <c r="M480" s="652">
        <f>IF($B480="",,IF(LEFT($H480,5)="dummy",SUMIFS(AvgBase[Month 2],AvgBase[job_title],$H480),SUMIFS(AvgBase[Month 2],AvgBase[exp_item],$J480,AvgBase[company_name],$B480,AvgBase[bu_name],$C480,AvgBase[dept_name],$D480,AvgBase[team_consolidation],$K480,AvgBase[location_name],$G480,AvgBase[job_title],$H480))*(M270+L270)/2*(1-M375))</f>
        <v>0</v>
      </c>
      <c r="N480" s="652">
        <f>IF($B480="",,IF(LEFT($H480,5)="dummy",SUMIFS(AvgBase[Month 3],AvgBase[job_title],$H480),SUMIFS(AvgBase[Month 3],AvgBase[exp_item],$J480,AvgBase[company_name],$B480,AvgBase[bu_name],$C480,AvgBase[dept_name],$D480,AvgBase[team_consolidation],$K480,AvgBase[location_name],$G480,AvgBase[job_title],$H480))*(N270+M270)/2*(1-N375))</f>
        <v>0</v>
      </c>
      <c r="O480" s="652">
        <f>IF($B480="",,IF(LEFT($H480,5)="dummy",SUMIFS(AvgBase[Month 4],AvgBase[job_title],$H480),SUMIFS(AvgBase[Month 4],AvgBase[exp_item],$J480,AvgBase[company_name],$B480,AvgBase[bu_name],$C480,AvgBase[dept_name],$D480,AvgBase[team_consolidation],$K480,AvgBase[location_name],$G480,AvgBase[job_title],$H480))*(O270+N270)/2*(1-O375))</f>
        <v>0</v>
      </c>
      <c r="P480" s="652">
        <f>IF($B480="",,IF(LEFT($H480,5)="dummy",SUMIFS(AvgBase[Month 5],AvgBase[job_title],$H480),SUMIFS(AvgBase[Month 5],AvgBase[exp_item],$J480,AvgBase[company_name],$B480,AvgBase[bu_name],$C480,AvgBase[dept_name],$D480,AvgBase[team_consolidation],$K480,AvgBase[location_name],$G480,AvgBase[job_title],$H480))*(P270+O270)/2*(1-P375))</f>
        <v>0</v>
      </c>
      <c r="Q480" s="652">
        <f>IF($B480="",,IF(LEFT($H480,5)="dummy",SUMIFS(AvgBase[Month 6],AvgBase[job_title],$H480),SUMIFS(AvgBase[Month 6],AvgBase[exp_item],$J480,AvgBase[company_name],$B480,AvgBase[bu_name],$C480,AvgBase[dept_name],$D480,AvgBase[team_consolidation],$K480,AvgBase[location_name],$G480,AvgBase[job_title],$H480))*(Q270+P270)/2*(1-Q375))</f>
        <v>0</v>
      </c>
      <c r="R480" s="652">
        <f>IF($B480="",,IF(LEFT($H480,5)="dummy",SUMIFS(AvgBase[Month 7],AvgBase[job_title],$H480),SUMIFS(AvgBase[Month 7],AvgBase[exp_item],$J480,AvgBase[company_name],$B480,AvgBase[bu_name],$C480,AvgBase[dept_name],$D480,AvgBase[team_consolidation],$K480,AvgBase[location_name],$G480,AvgBase[job_title],$H480))*(R270+Q270)/2*(1-R375))</f>
        <v>0</v>
      </c>
      <c r="S480" s="652">
        <f>IF($B480="",,IF(LEFT($H480,5)="dummy",SUMIFS(AvgBase[Month 8],AvgBase[job_title],$H480),SUMIFS(AvgBase[Month 8],AvgBase[exp_item],$J480,AvgBase[company_name],$B480,AvgBase[bu_name],$C480,AvgBase[dept_name],$D480,AvgBase[team_consolidation],$K480,AvgBase[location_name],$G480,AvgBase[job_title],$H480))*(S270+R270)/2*(1-S375))</f>
        <v>0</v>
      </c>
      <c r="T480" s="652">
        <f>IF($B480="",,IF(LEFT($H480,5)="dummy",SUMIFS(AvgBase[Month 9],AvgBase[job_title],$H480),SUMIFS(AvgBase[Month 9],AvgBase[exp_item],$J480,AvgBase[company_name],$B480,AvgBase[bu_name],$C480,AvgBase[dept_name],$D480,AvgBase[team_consolidation],$K480,AvgBase[location_name],$G480,AvgBase[job_title],$H480))*(T270+S270)/2*(1-T375))</f>
        <v>0</v>
      </c>
      <c r="U480" s="652">
        <f>IF($B480="",,IF(LEFT($H480,5)="dummy",SUMIFS(AvgBase[Month 10],AvgBase[job_title],$H480),SUMIFS(AvgBase[Month 10],AvgBase[exp_item],$J480,AvgBase[company_name],$B480,AvgBase[bu_name],$C480,AvgBase[dept_name],$D480,AvgBase[team_consolidation],$K480,AvgBase[location_name],$G480,AvgBase[job_title],$H480))*(U270+T270)/2*(1-U375))</f>
        <v>0</v>
      </c>
      <c r="V480" s="652">
        <f>IF($B480="",,IF(LEFT($H480,5)="dummy",SUMIFS(AvgBase[Month 11],AvgBase[job_title],$H480),SUMIFS(AvgBase[Month 11],AvgBase[exp_item],$J480,AvgBase[company_name],$B480,AvgBase[bu_name],$C480,AvgBase[dept_name],$D480,AvgBase[team_consolidation],$K480,AvgBase[location_name],$G480,AvgBase[job_title],$H480))*(V270+U270)/2*(1-V375))</f>
        <v>0</v>
      </c>
      <c r="W480" s="652">
        <f>IF($B480="",,IF(LEFT($H480,5)="dummy",SUMIFS(AvgBase[Month 12],AvgBase[job_title],$H480),SUMIFS(AvgBase[Month 12],AvgBase[exp_item],$J480,AvgBase[company_name],$B480,AvgBase[bu_name],$C480,AvgBase[dept_name],$D480,AvgBase[team_consolidation],$K480,AvgBase[location_name],$G480,AvgBase[job_title],$H480))*(W270+V270)/2*(1-W375))</f>
        <v>0</v>
      </c>
      <c r="X480" s="652">
        <f>IF($B480="",,IF(LEFT($H480,5)="dummy",SUMIFS(AvgBase[Month 13],AvgBase[job_title],$H480),SUMIFS(AvgBase[Month 13],AvgBase[exp_item],$J480,AvgBase[company_name],$B480,AvgBase[bu_name],$C480,AvgBase[dept_name],$D480,AvgBase[team_consolidation],$K480,AvgBase[location_name],$G480,AvgBase[job_title],$H480))*(X270+W270)/2*(1-X375))</f>
        <v>0</v>
      </c>
      <c r="Y480" s="652">
        <f>IF($B480="",,IF(LEFT($H480,5)="dummy",SUMIFS(AvgBase[Month 14],AvgBase[job_title],$H480),SUMIFS(AvgBase[Month 14],AvgBase[exp_item],$J480,AvgBase[company_name],$B480,AvgBase[bu_name],$C480,AvgBase[dept_name],$D480,AvgBase[team_consolidation],$K480,AvgBase[location_name],$G480,AvgBase[job_title],$H480))*(Y270+X270)/2*(1-Y375))</f>
        <v>0</v>
      </c>
      <c r="Z480" s="652">
        <f>IF($B480="",,IF(LEFT($H480,5)="dummy",SUMIFS(AvgBase[Month 15],AvgBase[job_title],$H480),SUMIFS(AvgBase[Month 15],AvgBase[exp_item],$J480,AvgBase[company_name],$B480,AvgBase[bu_name],$C480,AvgBase[dept_name],$D480,AvgBase[team_consolidation],$K480,AvgBase[location_name],$G480,AvgBase[job_title],$H480))*(Z270+Y270)/2*(1-Z375))</f>
        <v>0</v>
      </c>
      <c r="AA480" s="652">
        <f>IF($B480="",,IF(LEFT($H480,5)="dummy",SUMIFS(AvgBase[Month 16],AvgBase[job_title],$H480),SUMIFS(AvgBase[Month 16],AvgBase[exp_item],$J480,AvgBase[company_name],$B480,AvgBase[bu_name],$C480,AvgBase[dept_name],$D480,AvgBase[team_consolidation],$K480,AvgBase[location_name],$G480,AvgBase[job_title],$H480))*(AA270+Z270)/2*(1-AA375))</f>
        <v>0</v>
      </c>
      <c r="AB480" s="652">
        <f>IF($B480="",,IF(LEFT($H480,5)="dummy",SUMIFS(AvgBase[Month 17],AvgBase[job_title],$H480),SUMIFS(AvgBase[Month 17],AvgBase[exp_item],$J480,AvgBase[company_name],$B480,AvgBase[bu_name],$C480,AvgBase[dept_name],$D480,AvgBase[team_consolidation],$K480,AvgBase[location_name],$G480,AvgBase[job_title],$H480))*(AB270+AA270)/2*(1-AB375))</f>
        <v>0</v>
      </c>
      <c r="AC480" s="652">
        <f>IF($B480="",,IF(LEFT($H480,5)="dummy",SUMIFS(AvgBase[Month 18],AvgBase[job_title],$H480),SUMIFS(AvgBase[Month 18],AvgBase[exp_item],$J480,AvgBase[company_name],$B480,AvgBase[bu_name],$C480,AvgBase[dept_name],$D480,AvgBase[team_consolidation],$K480,AvgBase[location_name],$G480,AvgBase[job_title],$H480))*(AC270+AB270)/2*(1-AC375))</f>
        <v>0</v>
      </c>
      <c r="AD480" s="652">
        <f>IF($B480="",,IF(LEFT($H480,5)="dummy",SUMIFS(AvgBase[Month 19],AvgBase[job_title],$H480),SUMIFS(AvgBase[Month 19],AvgBase[exp_item],$J480,AvgBase[company_name],$B480,AvgBase[bu_name],$C480,AvgBase[dept_name],$D480,AvgBase[team_consolidation],$K480,AvgBase[location_name],$G480,AvgBase[job_title],$H480))*(AD270+AC270)/2*(1-AD375))</f>
        <v>0</v>
      </c>
      <c r="AE480" s="652">
        <f>IF($B480="",,IF(LEFT($H480,5)="dummy",SUMIFS(AvgBase[Month 20],AvgBase[job_title],$H480),SUMIFS(AvgBase[Month 20],AvgBase[exp_item],$J480,AvgBase[company_name],$B480,AvgBase[bu_name],$C480,AvgBase[dept_name],$D480,AvgBase[team_consolidation],$K480,AvgBase[location_name],$G480,AvgBase[job_title],$H480))*(AE270+AD270)/2*(1-AE375))</f>
        <v>0</v>
      </c>
      <c r="AF480" s="652">
        <f>IF($B480="",,IF(LEFT($H480,5)="dummy",SUMIFS(AvgBase[Month 21],AvgBase[job_title],$H480),SUMIFS(AvgBase[Month 21],AvgBase[exp_item],$J480,AvgBase[company_name],$B480,AvgBase[bu_name],$C480,AvgBase[dept_name],$D480,AvgBase[team_consolidation],$K480,AvgBase[location_name],$G480,AvgBase[job_title],$H480))*(AF270+AE270)/2*(1-AF375))</f>
        <v>0</v>
      </c>
      <c r="AG480" s="652">
        <f>IF($B480="",,IF(LEFT($H480,5)="dummy",SUMIFS(AvgBase[Month 22],AvgBase[job_title],$H480),SUMIFS(AvgBase[Month 22],AvgBase[exp_item],$J480,AvgBase[company_name],$B480,AvgBase[bu_name],$C480,AvgBase[dept_name],$D480,AvgBase[team_consolidation],$K480,AvgBase[location_name],$G480,AvgBase[job_title],$H480))*(AG270+AF270)/2*(1-AG375))</f>
        <v>0</v>
      </c>
      <c r="AH480" s="652">
        <f>IF($B480="",,IF(LEFT($H480,5)="dummy",SUMIFS(AvgBase[Month 23],AvgBase[job_title],$H480),SUMIFS(AvgBase[Month 23],AvgBase[exp_item],$J480,AvgBase[company_name],$B480,AvgBase[bu_name],$C480,AvgBase[dept_name],$D480,AvgBase[team_consolidation],$K480,AvgBase[location_name],$G480,AvgBase[job_title],$H480))*(AH270+AG270)/2*(1-AH375))</f>
        <v>0</v>
      </c>
      <c r="AI480" s="652">
        <f>IF($B480="",,IF(LEFT($H480,5)="dummy",SUMIFS(AvgBase[Month 24],AvgBase[job_title],$H480),SUMIFS(AvgBase[Month 24],AvgBase[exp_item],$J480,AvgBase[company_name],$B480,AvgBase[bu_name],$C480,AvgBase[dept_name],$D480,AvgBase[team_consolidation],$K480,AvgBase[location_name],$G480,AvgBase[job_title],$H480))*(AI270+AH270)/2*(1-AI375))</f>
        <v>0</v>
      </c>
      <c r="AJ480" s="652">
        <f>IF($B480="",,IF(LEFT($H480,5)="dummy",SUMIFS(AvgBase[Month 25],AvgBase[job_title],$H480),SUMIFS(AvgBase[Month 25],AvgBase[exp_item],$J480,AvgBase[company_name],$B480,AvgBase[bu_name],$C480,AvgBase[dept_name],$D480,AvgBase[team_consolidation],$K480,AvgBase[location_name],$G480,AvgBase[job_title],$H480))*(AJ270+AI270)/2*(1-AJ375))</f>
        <v>0</v>
      </c>
      <c r="AK480" s="652">
        <f>IF($B480="",,IF(LEFT($H480,5)="dummy",SUMIFS(AvgBase[Month 26],AvgBase[job_title],$H480),SUMIFS(AvgBase[Month 26],AvgBase[exp_item],$J480,AvgBase[company_name],$B480,AvgBase[bu_name],$C480,AvgBase[dept_name],$D480,AvgBase[team_consolidation],$K480,AvgBase[location_name],$G480,AvgBase[job_title],$H480))*(AK270+AJ270)/2*(1-AK375))</f>
        <v>0</v>
      </c>
      <c r="AL480" s="652">
        <f>IF($B480="",,IF(LEFT($H480,5)="dummy",SUMIFS(AvgBase[Month 27],AvgBase[job_title],$H480),SUMIFS(AvgBase[Month 27],AvgBase[exp_item],$J480,AvgBase[company_name],$B480,AvgBase[bu_name],$C480,AvgBase[dept_name],$D480,AvgBase[team_consolidation],$K480,AvgBase[location_name],$G480,AvgBase[job_title],$H480))*(AL270+AK270)/2*(1-AL375))</f>
        <v>0</v>
      </c>
      <c r="AM480" s="652">
        <f>IF($B480="",,IF(LEFT($H480,5)="dummy",SUMIFS(AvgBase[Month 28],AvgBase[job_title],$H480),SUMIFS(AvgBase[Month 28],AvgBase[exp_item],$J480,AvgBase[company_name],$B480,AvgBase[bu_name],$C480,AvgBase[dept_name],$D480,AvgBase[team_consolidation],$K480,AvgBase[location_name],$G480,AvgBase[job_title],$H480))*(AM270+AL270)/2*(1-AM375))</f>
        <v>0</v>
      </c>
      <c r="AN480" s="652">
        <f>IF($B480="",,IF(LEFT($H480,5)="dummy",SUMIFS(AvgBase[Month 29],AvgBase[job_title],$H480),SUMIFS(AvgBase[Month 29],AvgBase[exp_item],$J480,AvgBase[company_name],$B480,AvgBase[bu_name],$C480,AvgBase[dept_name],$D480,AvgBase[team_consolidation],$K480,AvgBase[location_name],$G480,AvgBase[job_title],$H480))*(AN270+AM270)/2*(1-AN375))</f>
        <v>0</v>
      </c>
      <c r="AO480" s="652">
        <f>IF($B480="",,IF(LEFT($H480,5)="dummy",SUMIFS(AvgBase[Month 30],AvgBase[job_title],$H480),SUMIFS(AvgBase[Month 30],AvgBase[exp_item],$J480,AvgBase[company_name],$B480,AvgBase[bu_name],$C480,AvgBase[dept_name],$D480,AvgBase[team_consolidation],$K480,AvgBase[location_name],$G480,AvgBase[job_title],$H480))*(AO270+AN270)/2*(1-AO375))</f>
        <v>0</v>
      </c>
      <c r="AP480" s="652">
        <f>IF($B480="",,IF(LEFT($H480,5)="dummy",SUMIFS(AvgBase[Month 31],AvgBase[job_title],$H480),SUMIFS(AvgBase[Month 31],AvgBase[exp_item],$J480,AvgBase[company_name],$B480,AvgBase[bu_name],$C480,AvgBase[dept_name],$D480,AvgBase[team_consolidation],$K480,AvgBase[location_name],$G480,AvgBase[job_title],$H480))*(AP270+AO270)/2*(1-AP375))</f>
        <v>0</v>
      </c>
      <c r="AQ480" s="652">
        <f>IF($B480="",,IF(LEFT($H480,5)="dummy",SUMIFS(AvgBase[Month 32],AvgBase[job_title],$H480),SUMIFS(AvgBase[Month 32],AvgBase[exp_item],$J480,AvgBase[company_name],$B480,AvgBase[bu_name],$C480,AvgBase[dept_name],$D480,AvgBase[team_consolidation],$K480,AvgBase[location_name],$G480,AvgBase[job_title],$H480))*(AQ270+AP270)/2*(1-AQ375))</f>
        <v>0</v>
      </c>
      <c r="AR480" s="652">
        <f>IF($B480="",,IF(LEFT($H480,5)="dummy",SUMIFS(AvgBase[Month 33],AvgBase[job_title],$H480),SUMIFS(AvgBase[Month 33],AvgBase[exp_item],$J480,AvgBase[company_name],$B480,AvgBase[bu_name],$C480,AvgBase[dept_name],$D480,AvgBase[team_consolidation],$K480,AvgBase[location_name],$G480,AvgBase[job_title],$H480))*(AR270+AQ270)/2*(1-AR375))</f>
        <v>0</v>
      </c>
      <c r="AS480" s="652">
        <f>IF($B480="",,IF(LEFT($H480,5)="dummy",SUMIFS(AvgBase[Month 34],AvgBase[job_title],$H480),SUMIFS(AvgBase[Month 34],AvgBase[exp_item],$J480,AvgBase[company_name],$B480,AvgBase[bu_name],$C480,AvgBase[dept_name],$D480,AvgBase[team_consolidation],$K480,AvgBase[location_name],$G480,AvgBase[job_title],$H480))*(AS270+AR270)/2*(1-AS375))</f>
        <v>0</v>
      </c>
      <c r="AT480" s="652">
        <f>IF($B480="",,IF(LEFT($H480,5)="dummy",SUMIFS(AvgBase[Month 35],AvgBase[job_title],$H480),SUMIFS(AvgBase[Month 35],AvgBase[exp_item],$J480,AvgBase[company_name],$B480,AvgBase[bu_name],$C480,AvgBase[dept_name],$D480,AvgBase[team_consolidation],$K480,AvgBase[location_name],$G480,AvgBase[job_title],$H480))*(AT270+AS270)/2*(1-AT375))</f>
        <v>0</v>
      </c>
      <c r="AU480" s="652">
        <f>IF($B480="",,IF(LEFT($H480,5)="dummy",SUMIFS(AvgBase[Month 36],AvgBase[job_title],$H480),SUMIFS(AvgBase[Month 36],AvgBase[exp_item],$J480,AvgBase[company_name],$B480,AvgBase[bu_name],$C480,AvgBase[dept_name],$D480,AvgBase[team_consolidation],$K480,AvgBase[location_name],$G480,AvgBase[job_title],$H480))*(AU270+AT270)/2*(1-AU375))</f>
        <v>0</v>
      </c>
    </row>
    <row r="481" spans="2:47" x14ac:dyDescent="0.35">
      <c r="B481" t="str">
        <f t="shared" si="286"/>
        <v/>
      </c>
      <c r="C481" t="str">
        <f t="shared" si="286"/>
        <v/>
      </c>
      <c r="D481" t="str">
        <f t="shared" si="286"/>
        <v/>
      </c>
      <c r="E481" t="str">
        <f t="shared" si="286"/>
        <v/>
      </c>
      <c r="F481" t="str">
        <f t="shared" si="286"/>
        <v/>
      </c>
      <c r="G481" t="str">
        <f t="shared" si="286"/>
        <v/>
      </c>
      <c r="H481" t="str">
        <f t="shared" si="283"/>
        <v/>
      </c>
      <c r="J481" t="str">
        <f>IF($H481="","",IF(VLOOKUP($B$395,ExpItems[],2,0),$B$395&amp;" - "&amp;INDEX(DivisionMapping[category_code],MATCH($D481&amp;$C481,DivisionMapping[dept_bu],0)),$B$395))</f>
        <v/>
      </c>
      <c r="K481" t="str">
        <f t="shared" si="284"/>
        <v/>
      </c>
      <c r="L481" s="652">
        <f>IF($B481="",,IF(LEFT($H481,5)="dummy",SUMIFS(AvgBase[Month 1],AvgBase[job_title],$H481),SUMIFS(AvgBase[Month 1],AvgBase[exp_item],$J481,AvgBase[company_name],$B481,AvgBase[bu_name],$C481,AvgBase[dept_name],$D481,AvgBase[team_consolidation],$K481,AvgBase[location_name],$G481,AvgBase[job_title],$H481))*L271/2*(1-L376))</f>
        <v>0</v>
      </c>
      <c r="M481" s="652">
        <f>IF($B481="",,IF(LEFT($H481,5)="dummy",SUMIFS(AvgBase[Month 2],AvgBase[job_title],$H481),SUMIFS(AvgBase[Month 2],AvgBase[exp_item],$J481,AvgBase[company_name],$B481,AvgBase[bu_name],$C481,AvgBase[dept_name],$D481,AvgBase[team_consolidation],$K481,AvgBase[location_name],$G481,AvgBase[job_title],$H481))*(M271+L271)/2*(1-M376))</f>
        <v>0</v>
      </c>
      <c r="N481" s="652">
        <f>IF($B481="",,IF(LEFT($H481,5)="dummy",SUMIFS(AvgBase[Month 3],AvgBase[job_title],$H481),SUMIFS(AvgBase[Month 3],AvgBase[exp_item],$J481,AvgBase[company_name],$B481,AvgBase[bu_name],$C481,AvgBase[dept_name],$D481,AvgBase[team_consolidation],$K481,AvgBase[location_name],$G481,AvgBase[job_title],$H481))*(N271+M271)/2*(1-N376))</f>
        <v>0</v>
      </c>
      <c r="O481" s="652">
        <f>IF($B481="",,IF(LEFT($H481,5)="dummy",SUMIFS(AvgBase[Month 4],AvgBase[job_title],$H481),SUMIFS(AvgBase[Month 4],AvgBase[exp_item],$J481,AvgBase[company_name],$B481,AvgBase[bu_name],$C481,AvgBase[dept_name],$D481,AvgBase[team_consolidation],$K481,AvgBase[location_name],$G481,AvgBase[job_title],$H481))*(O271+N271)/2*(1-O376))</f>
        <v>0</v>
      </c>
      <c r="P481" s="652">
        <f>IF($B481="",,IF(LEFT($H481,5)="dummy",SUMIFS(AvgBase[Month 5],AvgBase[job_title],$H481),SUMIFS(AvgBase[Month 5],AvgBase[exp_item],$J481,AvgBase[company_name],$B481,AvgBase[bu_name],$C481,AvgBase[dept_name],$D481,AvgBase[team_consolidation],$K481,AvgBase[location_name],$G481,AvgBase[job_title],$H481))*(P271+O271)/2*(1-P376))</f>
        <v>0</v>
      </c>
      <c r="Q481" s="652">
        <f>IF($B481="",,IF(LEFT($H481,5)="dummy",SUMIFS(AvgBase[Month 6],AvgBase[job_title],$H481),SUMIFS(AvgBase[Month 6],AvgBase[exp_item],$J481,AvgBase[company_name],$B481,AvgBase[bu_name],$C481,AvgBase[dept_name],$D481,AvgBase[team_consolidation],$K481,AvgBase[location_name],$G481,AvgBase[job_title],$H481))*(Q271+P271)/2*(1-Q376))</f>
        <v>0</v>
      </c>
      <c r="R481" s="652">
        <f>IF($B481="",,IF(LEFT($H481,5)="dummy",SUMIFS(AvgBase[Month 7],AvgBase[job_title],$H481),SUMIFS(AvgBase[Month 7],AvgBase[exp_item],$J481,AvgBase[company_name],$B481,AvgBase[bu_name],$C481,AvgBase[dept_name],$D481,AvgBase[team_consolidation],$K481,AvgBase[location_name],$G481,AvgBase[job_title],$H481))*(R271+Q271)/2*(1-R376))</f>
        <v>0</v>
      </c>
      <c r="S481" s="652">
        <f>IF($B481="",,IF(LEFT($H481,5)="dummy",SUMIFS(AvgBase[Month 8],AvgBase[job_title],$H481),SUMIFS(AvgBase[Month 8],AvgBase[exp_item],$J481,AvgBase[company_name],$B481,AvgBase[bu_name],$C481,AvgBase[dept_name],$D481,AvgBase[team_consolidation],$K481,AvgBase[location_name],$G481,AvgBase[job_title],$H481))*(S271+R271)/2*(1-S376))</f>
        <v>0</v>
      </c>
      <c r="T481" s="652">
        <f>IF($B481="",,IF(LEFT($H481,5)="dummy",SUMIFS(AvgBase[Month 9],AvgBase[job_title],$H481),SUMIFS(AvgBase[Month 9],AvgBase[exp_item],$J481,AvgBase[company_name],$B481,AvgBase[bu_name],$C481,AvgBase[dept_name],$D481,AvgBase[team_consolidation],$K481,AvgBase[location_name],$G481,AvgBase[job_title],$H481))*(T271+S271)/2*(1-T376))</f>
        <v>0</v>
      </c>
      <c r="U481" s="652">
        <f>IF($B481="",,IF(LEFT($H481,5)="dummy",SUMIFS(AvgBase[Month 10],AvgBase[job_title],$H481),SUMIFS(AvgBase[Month 10],AvgBase[exp_item],$J481,AvgBase[company_name],$B481,AvgBase[bu_name],$C481,AvgBase[dept_name],$D481,AvgBase[team_consolidation],$K481,AvgBase[location_name],$G481,AvgBase[job_title],$H481))*(U271+T271)/2*(1-U376))</f>
        <v>0</v>
      </c>
      <c r="V481" s="652">
        <f>IF($B481="",,IF(LEFT($H481,5)="dummy",SUMIFS(AvgBase[Month 11],AvgBase[job_title],$H481),SUMIFS(AvgBase[Month 11],AvgBase[exp_item],$J481,AvgBase[company_name],$B481,AvgBase[bu_name],$C481,AvgBase[dept_name],$D481,AvgBase[team_consolidation],$K481,AvgBase[location_name],$G481,AvgBase[job_title],$H481))*(V271+U271)/2*(1-V376))</f>
        <v>0</v>
      </c>
      <c r="W481" s="652">
        <f>IF($B481="",,IF(LEFT($H481,5)="dummy",SUMIFS(AvgBase[Month 12],AvgBase[job_title],$H481),SUMIFS(AvgBase[Month 12],AvgBase[exp_item],$J481,AvgBase[company_name],$B481,AvgBase[bu_name],$C481,AvgBase[dept_name],$D481,AvgBase[team_consolidation],$K481,AvgBase[location_name],$G481,AvgBase[job_title],$H481))*(W271+V271)/2*(1-W376))</f>
        <v>0</v>
      </c>
      <c r="X481" s="652">
        <f>IF($B481="",,IF(LEFT($H481,5)="dummy",SUMIFS(AvgBase[Month 13],AvgBase[job_title],$H481),SUMIFS(AvgBase[Month 13],AvgBase[exp_item],$J481,AvgBase[company_name],$B481,AvgBase[bu_name],$C481,AvgBase[dept_name],$D481,AvgBase[team_consolidation],$K481,AvgBase[location_name],$G481,AvgBase[job_title],$H481))*(X271+W271)/2*(1-X376))</f>
        <v>0</v>
      </c>
      <c r="Y481" s="652">
        <f>IF($B481="",,IF(LEFT($H481,5)="dummy",SUMIFS(AvgBase[Month 14],AvgBase[job_title],$H481),SUMIFS(AvgBase[Month 14],AvgBase[exp_item],$J481,AvgBase[company_name],$B481,AvgBase[bu_name],$C481,AvgBase[dept_name],$D481,AvgBase[team_consolidation],$K481,AvgBase[location_name],$G481,AvgBase[job_title],$H481))*(Y271+X271)/2*(1-Y376))</f>
        <v>0</v>
      </c>
      <c r="Z481" s="652">
        <f>IF($B481="",,IF(LEFT($H481,5)="dummy",SUMIFS(AvgBase[Month 15],AvgBase[job_title],$H481),SUMIFS(AvgBase[Month 15],AvgBase[exp_item],$J481,AvgBase[company_name],$B481,AvgBase[bu_name],$C481,AvgBase[dept_name],$D481,AvgBase[team_consolidation],$K481,AvgBase[location_name],$G481,AvgBase[job_title],$H481))*(Z271+Y271)/2*(1-Z376))</f>
        <v>0</v>
      </c>
      <c r="AA481" s="652">
        <f>IF($B481="",,IF(LEFT($H481,5)="dummy",SUMIFS(AvgBase[Month 16],AvgBase[job_title],$H481),SUMIFS(AvgBase[Month 16],AvgBase[exp_item],$J481,AvgBase[company_name],$B481,AvgBase[bu_name],$C481,AvgBase[dept_name],$D481,AvgBase[team_consolidation],$K481,AvgBase[location_name],$G481,AvgBase[job_title],$H481))*(AA271+Z271)/2*(1-AA376))</f>
        <v>0</v>
      </c>
      <c r="AB481" s="652">
        <f>IF($B481="",,IF(LEFT($H481,5)="dummy",SUMIFS(AvgBase[Month 17],AvgBase[job_title],$H481),SUMIFS(AvgBase[Month 17],AvgBase[exp_item],$J481,AvgBase[company_name],$B481,AvgBase[bu_name],$C481,AvgBase[dept_name],$D481,AvgBase[team_consolidation],$K481,AvgBase[location_name],$G481,AvgBase[job_title],$H481))*(AB271+AA271)/2*(1-AB376))</f>
        <v>0</v>
      </c>
      <c r="AC481" s="652">
        <f>IF($B481="",,IF(LEFT($H481,5)="dummy",SUMIFS(AvgBase[Month 18],AvgBase[job_title],$H481),SUMIFS(AvgBase[Month 18],AvgBase[exp_item],$J481,AvgBase[company_name],$B481,AvgBase[bu_name],$C481,AvgBase[dept_name],$D481,AvgBase[team_consolidation],$K481,AvgBase[location_name],$G481,AvgBase[job_title],$H481))*(AC271+AB271)/2*(1-AC376))</f>
        <v>0</v>
      </c>
      <c r="AD481" s="652">
        <f>IF($B481="",,IF(LEFT($H481,5)="dummy",SUMIFS(AvgBase[Month 19],AvgBase[job_title],$H481),SUMIFS(AvgBase[Month 19],AvgBase[exp_item],$J481,AvgBase[company_name],$B481,AvgBase[bu_name],$C481,AvgBase[dept_name],$D481,AvgBase[team_consolidation],$K481,AvgBase[location_name],$G481,AvgBase[job_title],$H481))*(AD271+AC271)/2*(1-AD376))</f>
        <v>0</v>
      </c>
      <c r="AE481" s="652">
        <f>IF($B481="",,IF(LEFT($H481,5)="dummy",SUMIFS(AvgBase[Month 20],AvgBase[job_title],$H481),SUMIFS(AvgBase[Month 20],AvgBase[exp_item],$J481,AvgBase[company_name],$B481,AvgBase[bu_name],$C481,AvgBase[dept_name],$D481,AvgBase[team_consolidation],$K481,AvgBase[location_name],$G481,AvgBase[job_title],$H481))*(AE271+AD271)/2*(1-AE376))</f>
        <v>0</v>
      </c>
      <c r="AF481" s="652">
        <f>IF($B481="",,IF(LEFT($H481,5)="dummy",SUMIFS(AvgBase[Month 21],AvgBase[job_title],$H481),SUMIFS(AvgBase[Month 21],AvgBase[exp_item],$J481,AvgBase[company_name],$B481,AvgBase[bu_name],$C481,AvgBase[dept_name],$D481,AvgBase[team_consolidation],$K481,AvgBase[location_name],$G481,AvgBase[job_title],$H481))*(AF271+AE271)/2*(1-AF376))</f>
        <v>0</v>
      </c>
      <c r="AG481" s="652">
        <f>IF($B481="",,IF(LEFT($H481,5)="dummy",SUMIFS(AvgBase[Month 22],AvgBase[job_title],$H481),SUMIFS(AvgBase[Month 22],AvgBase[exp_item],$J481,AvgBase[company_name],$B481,AvgBase[bu_name],$C481,AvgBase[dept_name],$D481,AvgBase[team_consolidation],$K481,AvgBase[location_name],$G481,AvgBase[job_title],$H481))*(AG271+AF271)/2*(1-AG376))</f>
        <v>0</v>
      </c>
      <c r="AH481" s="652">
        <f>IF($B481="",,IF(LEFT($H481,5)="dummy",SUMIFS(AvgBase[Month 23],AvgBase[job_title],$H481),SUMIFS(AvgBase[Month 23],AvgBase[exp_item],$J481,AvgBase[company_name],$B481,AvgBase[bu_name],$C481,AvgBase[dept_name],$D481,AvgBase[team_consolidation],$K481,AvgBase[location_name],$G481,AvgBase[job_title],$H481))*(AH271+AG271)/2*(1-AH376))</f>
        <v>0</v>
      </c>
      <c r="AI481" s="652">
        <f>IF($B481="",,IF(LEFT($H481,5)="dummy",SUMIFS(AvgBase[Month 24],AvgBase[job_title],$H481),SUMIFS(AvgBase[Month 24],AvgBase[exp_item],$J481,AvgBase[company_name],$B481,AvgBase[bu_name],$C481,AvgBase[dept_name],$D481,AvgBase[team_consolidation],$K481,AvgBase[location_name],$G481,AvgBase[job_title],$H481))*(AI271+AH271)/2*(1-AI376))</f>
        <v>0</v>
      </c>
      <c r="AJ481" s="652">
        <f>IF($B481="",,IF(LEFT($H481,5)="dummy",SUMIFS(AvgBase[Month 25],AvgBase[job_title],$H481),SUMIFS(AvgBase[Month 25],AvgBase[exp_item],$J481,AvgBase[company_name],$B481,AvgBase[bu_name],$C481,AvgBase[dept_name],$D481,AvgBase[team_consolidation],$K481,AvgBase[location_name],$G481,AvgBase[job_title],$H481))*(AJ271+AI271)/2*(1-AJ376))</f>
        <v>0</v>
      </c>
      <c r="AK481" s="652">
        <f>IF($B481="",,IF(LEFT($H481,5)="dummy",SUMIFS(AvgBase[Month 26],AvgBase[job_title],$H481),SUMIFS(AvgBase[Month 26],AvgBase[exp_item],$J481,AvgBase[company_name],$B481,AvgBase[bu_name],$C481,AvgBase[dept_name],$D481,AvgBase[team_consolidation],$K481,AvgBase[location_name],$G481,AvgBase[job_title],$H481))*(AK271+AJ271)/2*(1-AK376))</f>
        <v>0</v>
      </c>
      <c r="AL481" s="652">
        <f>IF($B481="",,IF(LEFT($H481,5)="dummy",SUMIFS(AvgBase[Month 27],AvgBase[job_title],$H481),SUMIFS(AvgBase[Month 27],AvgBase[exp_item],$J481,AvgBase[company_name],$B481,AvgBase[bu_name],$C481,AvgBase[dept_name],$D481,AvgBase[team_consolidation],$K481,AvgBase[location_name],$G481,AvgBase[job_title],$H481))*(AL271+AK271)/2*(1-AL376))</f>
        <v>0</v>
      </c>
      <c r="AM481" s="652">
        <f>IF($B481="",,IF(LEFT($H481,5)="dummy",SUMIFS(AvgBase[Month 28],AvgBase[job_title],$H481),SUMIFS(AvgBase[Month 28],AvgBase[exp_item],$J481,AvgBase[company_name],$B481,AvgBase[bu_name],$C481,AvgBase[dept_name],$D481,AvgBase[team_consolidation],$K481,AvgBase[location_name],$G481,AvgBase[job_title],$H481))*(AM271+AL271)/2*(1-AM376))</f>
        <v>0</v>
      </c>
      <c r="AN481" s="652">
        <f>IF($B481="",,IF(LEFT($H481,5)="dummy",SUMIFS(AvgBase[Month 29],AvgBase[job_title],$H481),SUMIFS(AvgBase[Month 29],AvgBase[exp_item],$J481,AvgBase[company_name],$B481,AvgBase[bu_name],$C481,AvgBase[dept_name],$D481,AvgBase[team_consolidation],$K481,AvgBase[location_name],$G481,AvgBase[job_title],$H481))*(AN271+AM271)/2*(1-AN376))</f>
        <v>0</v>
      </c>
      <c r="AO481" s="652">
        <f>IF($B481="",,IF(LEFT($H481,5)="dummy",SUMIFS(AvgBase[Month 30],AvgBase[job_title],$H481),SUMIFS(AvgBase[Month 30],AvgBase[exp_item],$J481,AvgBase[company_name],$B481,AvgBase[bu_name],$C481,AvgBase[dept_name],$D481,AvgBase[team_consolidation],$K481,AvgBase[location_name],$G481,AvgBase[job_title],$H481))*(AO271+AN271)/2*(1-AO376))</f>
        <v>0</v>
      </c>
      <c r="AP481" s="652">
        <f>IF($B481="",,IF(LEFT($H481,5)="dummy",SUMIFS(AvgBase[Month 31],AvgBase[job_title],$H481),SUMIFS(AvgBase[Month 31],AvgBase[exp_item],$J481,AvgBase[company_name],$B481,AvgBase[bu_name],$C481,AvgBase[dept_name],$D481,AvgBase[team_consolidation],$K481,AvgBase[location_name],$G481,AvgBase[job_title],$H481))*(AP271+AO271)/2*(1-AP376))</f>
        <v>0</v>
      </c>
      <c r="AQ481" s="652">
        <f>IF($B481="",,IF(LEFT($H481,5)="dummy",SUMIFS(AvgBase[Month 32],AvgBase[job_title],$H481),SUMIFS(AvgBase[Month 32],AvgBase[exp_item],$J481,AvgBase[company_name],$B481,AvgBase[bu_name],$C481,AvgBase[dept_name],$D481,AvgBase[team_consolidation],$K481,AvgBase[location_name],$G481,AvgBase[job_title],$H481))*(AQ271+AP271)/2*(1-AQ376))</f>
        <v>0</v>
      </c>
      <c r="AR481" s="652">
        <f>IF($B481="",,IF(LEFT($H481,5)="dummy",SUMIFS(AvgBase[Month 33],AvgBase[job_title],$H481),SUMIFS(AvgBase[Month 33],AvgBase[exp_item],$J481,AvgBase[company_name],$B481,AvgBase[bu_name],$C481,AvgBase[dept_name],$D481,AvgBase[team_consolidation],$K481,AvgBase[location_name],$G481,AvgBase[job_title],$H481))*(AR271+AQ271)/2*(1-AR376))</f>
        <v>0</v>
      </c>
      <c r="AS481" s="652">
        <f>IF($B481="",,IF(LEFT($H481,5)="dummy",SUMIFS(AvgBase[Month 34],AvgBase[job_title],$H481),SUMIFS(AvgBase[Month 34],AvgBase[exp_item],$J481,AvgBase[company_name],$B481,AvgBase[bu_name],$C481,AvgBase[dept_name],$D481,AvgBase[team_consolidation],$K481,AvgBase[location_name],$G481,AvgBase[job_title],$H481))*(AS271+AR271)/2*(1-AS376))</f>
        <v>0</v>
      </c>
      <c r="AT481" s="652">
        <f>IF($B481="",,IF(LEFT($H481,5)="dummy",SUMIFS(AvgBase[Month 35],AvgBase[job_title],$H481),SUMIFS(AvgBase[Month 35],AvgBase[exp_item],$J481,AvgBase[company_name],$B481,AvgBase[bu_name],$C481,AvgBase[dept_name],$D481,AvgBase[team_consolidation],$K481,AvgBase[location_name],$G481,AvgBase[job_title],$H481))*(AT271+AS271)/2*(1-AT376))</f>
        <v>0</v>
      </c>
      <c r="AU481" s="652">
        <f>IF($B481="",,IF(LEFT($H481,5)="dummy",SUMIFS(AvgBase[Month 36],AvgBase[job_title],$H481),SUMIFS(AvgBase[Month 36],AvgBase[exp_item],$J481,AvgBase[company_name],$B481,AvgBase[bu_name],$C481,AvgBase[dept_name],$D481,AvgBase[team_consolidation],$K481,AvgBase[location_name],$G481,AvgBase[job_title],$H481))*(AU271+AT271)/2*(1-AU376))</f>
        <v>0</v>
      </c>
    </row>
    <row r="482" spans="2:47" x14ac:dyDescent="0.35">
      <c r="B482" t="str">
        <f t="shared" si="286"/>
        <v/>
      </c>
      <c r="C482" t="str">
        <f t="shared" si="286"/>
        <v/>
      </c>
      <c r="D482" t="str">
        <f t="shared" si="286"/>
        <v/>
      </c>
      <c r="E482" t="str">
        <f t="shared" si="286"/>
        <v/>
      </c>
      <c r="F482" t="str">
        <f t="shared" si="286"/>
        <v/>
      </c>
      <c r="G482" t="str">
        <f t="shared" si="286"/>
        <v/>
      </c>
      <c r="H482" t="str">
        <f t="shared" si="283"/>
        <v/>
      </c>
      <c r="J482" t="str">
        <f>IF($H482="","",IF(VLOOKUP($B$395,ExpItems[],2,0),$B$395&amp;" - "&amp;INDEX(DivisionMapping[category_code],MATCH($D482&amp;$C482,DivisionMapping[dept_bu],0)),$B$395))</f>
        <v/>
      </c>
      <c r="K482" t="str">
        <f t="shared" si="284"/>
        <v/>
      </c>
      <c r="L482" s="652">
        <f>IF($B482="",,IF(LEFT($H482,5)="dummy",SUMIFS(AvgBase[Month 1],AvgBase[job_title],$H482),SUMIFS(AvgBase[Month 1],AvgBase[exp_item],$J482,AvgBase[company_name],$B482,AvgBase[bu_name],$C482,AvgBase[dept_name],$D482,AvgBase[team_consolidation],$K482,AvgBase[location_name],$G482,AvgBase[job_title],$H482))*L272/2*(1-L377))</f>
        <v>0</v>
      </c>
      <c r="M482" s="652">
        <f>IF($B482="",,IF(LEFT($H482,5)="dummy",SUMIFS(AvgBase[Month 2],AvgBase[job_title],$H482),SUMIFS(AvgBase[Month 2],AvgBase[exp_item],$J482,AvgBase[company_name],$B482,AvgBase[bu_name],$C482,AvgBase[dept_name],$D482,AvgBase[team_consolidation],$K482,AvgBase[location_name],$G482,AvgBase[job_title],$H482))*(M272+L272)/2*(1-M377))</f>
        <v>0</v>
      </c>
      <c r="N482" s="652">
        <f>IF($B482="",,IF(LEFT($H482,5)="dummy",SUMIFS(AvgBase[Month 3],AvgBase[job_title],$H482),SUMIFS(AvgBase[Month 3],AvgBase[exp_item],$J482,AvgBase[company_name],$B482,AvgBase[bu_name],$C482,AvgBase[dept_name],$D482,AvgBase[team_consolidation],$K482,AvgBase[location_name],$G482,AvgBase[job_title],$H482))*(N272+M272)/2*(1-N377))</f>
        <v>0</v>
      </c>
      <c r="O482" s="652">
        <f>IF($B482="",,IF(LEFT($H482,5)="dummy",SUMIFS(AvgBase[Month 4],AvgBase[job_title],$H482),SUMIFS(AvgBase[Month 4],AvgBase[exp_item],$J482,AvgBase[company_name],$B482,AvgBase[bu_name],$C482,AvgBase[dept_name],$D482,AvgBase[team_consolidation],$K482,AvgBase[location_name],$G482,AvgBase[job_title],$H482))*(O272+N272)/2*(1-O377))</f>
        <v>0</v>
      </c>
      <c r="P482" s="652">
        <f>IF($B482="",,IF(LEFT($H482,5)="dummy",SUMIFS(AvgBase[Month 5],AvgBase[job_title],$H482),SUMIFS(AvgBase[Month 5],AvgBase[exp_item],$J482,AvgBase[company_name],$B482,AvgBase[bu_name],$C482,AvgBase[dept_name],$D482,AvgBase[team_consolidation],$K482,AvgBase[location_name],$G482,AvgBase[job_title],$H482))*(P272+O272)/2*(1-P377))</f>
        <v>0</v>
      </c>
      <c r="Q482" s="652">
        <f>IF($B482="",,IF(LEFT($H482,5)="dummy",SUMIFS(AvgBase[Month 6],AvgBase[job_title],$H482),SUMIFS(AvgBase[Month 6],AvgBase[exp_item],$J482,AvgBase[company_name],$B482,AvgBase[bu_name],$C482,AvgBase[dept_name],$D482,AvgBase[team_consolidation],$K482,AvgBase[location_name],$G482,AvgBase[job_title],$H482))*(Q272+P272)/2*(1-Q377))</f>
        <v>0</v>
      </c>
      <c r="R482" s="652">
        <f>IF($B482="",,IF(LEFT($H482,5)="dummy",SUMIFS(AvgBase[Month 7],AvgBase[job_title],$H482),SUMIFS(AvgBase[Month 7],AvgBase[exp_item],$J482,AvgBase[company_name],$B482,AvgBase[bu_name],$C482,AvgBase[dept_name],$D482,AvgBase[team_consolidation],$K482,AvgBase[location_name],$G482,AvgBase[job_title],$H482))*(R272+Q272)/2*(1-R377))</f>
        <v>0</v>
      </c>
      <c r="S482" s="652">
        <f>IF($B482="",,IF(LEFT($H482,5)="dummy",SUMIFS(AvgBase[Month 8],AvgBase[job_title],$H482),SUMIFS(AvgBase[Month 8],AvgBase[exp_item],$J482,AvgBase[company_name],$B482,AvgBase[bu_name],$C482,AvgBase[dept_name],$D482,AvgBase[team_consolidation],$K482,AvgBase[location_name],$G482,AvgBase[job_title],$H482))*(S272+R272)/2*(1-S377))</f>
        <v>0</v>
      </c>
      <c r="T482" s="652">
        <f>IF($B482="",,IF(LEFT($H482,5)="dummy",SUMIFS(AvgBase[Month 9],AvgBase[job_title],$H482),SUMIFS(AvgBase[Month 9],AvgBase[exp_item],$J482,AvgBase[company_name],$B482,AvgBase[bu_name],$C482,AvgBase[dept_name],$D482,AvgBase[team_consolidation],$K482,AvgBase[location_name],$G482,AvgBase[job_title],$H482))*(T272+S272)/2*(1-T377))</f>
        <v>0</v>
      </c>
      <c r="U482" s="652">
        <f>IF($B482="",,IF(LEFT($H482,5)="dummy",SUMIFS(AvgBase[Month 10],AvgBase[job_title],$H482),SUMIFS(AvgBase[Month 10],AvgBase[exp_item],$J482,AvgBase[company_name],$B482,AvgBase[bu_name],$C482,AvgBase[dept_name],$D482,AvgBase[team_consolidation],$K482,AvgBase[location_name],$G482,AvgBase[job_title],$H482))*(U272+T272)/2*(1-U377))</f>
        <v>0</v>
      </c>
      <c r="V482" s="652">
        <f>IF($B482="",,IF(LEFT($H482,5)="dummy",SUMIFS(AvgBase[Month 11],AvgBase[job_title],$H482),SUMIFS(AvgBase[Month 11],AvgBase[exp_item],$J482,AvgBase[company_name],$B482,AvgBase[bu_name],$C482,AvgBase[dept_name],$D482,AvgBase[team_consolidation],$K482,AvgBase[location_name],$G482,AvgBase[job_title],$H482))*(V272+U272)/2*(1-V377))</f>
        <v>0</v>
      </c>
      <c r="W482" s="652">
        <f>IF($B482="",,IF(LEFT($H482,5)="dummy",SUMIFS(AvgBase[Month 12],AvgBase[job_title],$H482),SUMIFS(AvgBase[Month 12],AvgBase[exp_item],$J482,AvgBase[company_name],$B482,AvgBase[bu_name],$C482,AvgBase[dept_name],$D482,AvgBase[team_consolidation],$K482,AvgBase[location_name],$G482,AvgBase[job_title],$H482))*(W272+V272)/2*(1-W377))</f>
        <v>0</v>
      </c>
      <c r="X482" s="652">
        <f>IF($B482="",,IF(LEFT($H482,5)="dummy",SUMIFS(AvgBase[Month 13],AvgBase[job_title],$H482),SUMIFS(AvgBase[Month 13],AvgBase[exp_item],$J482,AvgBase[company_name],$B482,AvgBase[bu_name],$C482,AvgBase[dept_name],$D482,AvgBase[team_consolidation],$K482,AvgBase[location_name],$G482,AvgBase[job_title],$H482))*(X272+W272)/2*(1-X377))</f>
        <v>0</v>
      </c>
      <c r="Y482" s="652">
        <f>IF($B482="",,IF(LEFT($H482,5)="dummy",SUMIFS(AvgBase[Month 14],AvgBase[job_title],$H482),SUMIFS(AvgBase[Month 14],AvgBase[exp_item],$J482,AvgBase[company_name],$B482,AvgBase[bu_name],$C482,AvgBase[dept_name],$D482,AvgBase[team_consolidation],$K482,AvgBase[location_name],$G482,AvgBase[job_title],$H482))*(Y272+X272)/2*(1-Y377))</f>
        <v>0</v>
      </c>
      <c r="Z482" s="652">
        <f>IF($B482="",,IF(LEFT($H482,5)="dummy",SUMIFS(AvgBase[Month 15],AvgBase[job_title],$H482),SUMIFS(AvgBase[Month 15],AvgBase[exp_item],$J482,AvgBase[company_name],$B482,AvgBase[bu_name],$C482,AvgBase[dept_name],$D482,AvgBase[team_consolidation],$K482,AvgBase[location_name],$G482,AvgBase[job_title],$H482))*(Z272+Y272)/2*(1-Z377))</f>
        <v>0</v>
      </c>
      <c r="AA482" s="652">
        <f>IF($B482="",,IF(LEFT($H482,5)="dummy",SUMIFS(AvgBase[Month 16],AvgBase[job_title],$H482),SUMIFS(AvgBase[Month 16],AvgBase[exp_item],$J482,AvgBase[company_name],$B482,AvgBase[bu_name],$C482,AvgBase[dept_name],$D482,AvgBase[team_consolidation],$K482,AvgBase[location_name],$G482,AvgBase[job_title],$H482))*(AA272+Z272)/2*(1-AA377))</f>
        <v>0</v>
      </c>
      <c r="AB482" s="652">
        <f>IF($B482="",,IF(LEFT($H482,5)="dummy",SUMIFS(AvgBase[Month 17],AvgBase[job_title],$H482),SUMIFS(AvgBase[Month 17],AvgBase[exp_item],$J482,AvgBase[company_name],$B482,AvgBase[bu_name],$C482,AvgBase[dept_name],$D482,AvgBase[team_consolidation],$K482,AvgBase[location_name],$G482,AvgBase[job_title],$H482))*(AB272+AA272)/2*(1-AB377))</f>
        <v>0</v>
      </c>
      <c r="AC482" s="652">
        <f>IF($B482="",,IF(LEFT($H482,5)="dummy",SUMIFS(AvgBase[Month 18],AvgBase[job_title],$H482),SUMIFS(AvgBase[Month 18],AvgBase[exp_item],$J482,AvgBase[company_name],$B482,AvgBase[bu_name],$C482,AvgBase[dept_name],$D482,AvgBase[team_consolidation],$K482,AvgBase[location_name],$G482,AvgBase[job_title],$H482))*(AC272+AB272)/2*(1-AC377))</f>
        <v>0</v>
      </c>
      <c r="AD482" s="652">
        <f>IF($B482="",,IF(LEFT($H482,5)="dummy",SUMIFS(AvgBase[Month 19],AvgBase[job_title],$H482),SUMIFS(AvgBase[Month 19],AvgBase[exp_item],$J482,AvgBase[company_name],$B482,AvgBase[bu_name],$C482,AvgBase[dept_name],$D482,AvgBase[team_consolidation],$K482,AvgBase[location_name],$G482,AvgBase[job_title],$H482))*(AD272+AC272)/2*(1-AD377))</f>
        <v>0</v>
      </c>
      <c r="AE482" s="652">
        <f>IF($B482="",,IF(LEFT($H482,5)="dummy",SUMIFS(AvgBase[Month 20],AvgBase[job_title],$H482),SUMIFS(AvgBase[Month 20],AvgBase[exp_item],$J482,AvgBase[company_name],$B482,AvgBase[bu_name],$C482,AvgBase[dept_name],$D482,AvgBase[team_consolidation],$K482,AvgBase[location_name],$G482,AvgBase[job_title],$H482))*(AE272+AD272)/2*(1-AE377))</f>
        <v>0</v>
      </c>
      <c r="AF482" s="652">
        <f>IF($B482="",,IF(LEFT($H482,5)="dummy",SUMIFS(AvgBase[Month 21],AvgBase[job_title],$H482),SUMIFS(AvgBase[Month 21],AvgBase[exp_item],$J482,AvgBase[company_name],$B482,AvgBase[bu_name],$C482,AvgBase[dept_name],$D482,AvgBase[team_consolidation],$K482,AvgBase[location_name],$G482,AvgBase[job_title],$H482))*(AF272+AE272)/2*(1-AF377))</f>
        <v>0</v>
      </c>
      <c r="AG482" s="652">
        <f>IF($B482="",,IF(LEFT($H482,5)="dummy",SUMIFS(AvgBase[Month 22],AvgBase[job_title],$H482),SUMIFS(AvgBase[Month 22],AvgBase[exp_item],$J482,AvgBase[company_name],$B482,AvgBase[bu_name],$C482,AvgBase[dept_name],$D482,AvgBase[team_consolidation],$K482,AvgBase[location_name],$G482,AvgBase[job_title],$H482))*(AG272+AF272)/2*(1-AG377))</f>
        <v>0</v>
      </c>
      <c r="AH482" s="652">
        <f>IF($B482="",,IF(LEFT($H482,5)="dummy",SUMIFS(AvgBase[Month 23],AvgBase[job_title],$H482),SUMIFS(AvgBase[Month 23],AvgBase[exp_item],$J482,AvgBase[company_name],$B482,AvgBase[bu_name],$C482,AvgBase[dept_name],$D482,AvgBase[team_consolidation],$K482,AvgBase[location_name],$G482,AvgBase[job_title],$H482))*(AH272+AG272)/2*(1-AH377))</f>
        <v>0</v>
      </c>
      <c r="AI482" s="652">
        <f>IF($B482="",,IF(LEFT($H482,5)="dummy",SUMIFS(AvgBase[Month 24],AvgBase[job_title],$H482),SUMIFS(AvgBase[Month 24],AvgBase[exp_item],$J482,AvgBase[company_name],$B482,AvgBase[bu_name],$C482,AvgBase[dept_name],$D482,AvgBase[team_consolidation],$K482,AvgBase[location_name],$G482,AvgBase[job_title],$H482))*(AI272+AH272)/2*(1-AI377))</f>
        <v>0</v>
      </c>
      <c r="AJ482" s="652">
        <f>IF($B482="",,IF(LEFT($H482,5)="dummy",SUMIFS(AvgBase[Month 25],AvgBase[job_title],$H482),SUMIFS(AvgBase[Month 25],AvgBase[exp_item],$J482,AvgBase[company_name],$B482,AvgBase[bu_name],$C482,AvgBase[dept_name],$D482,AvgBase[team_consolidation],$K482,AvgBase[location_name],$G482,AvgBase[job_title],$H482))*(AJ272+AI272)/2*(1-AJ377))</f>
        <v>0</v>
      </c>
      <c r="AK482" s="652">
        <f>IF($B482="",,IF(LEFT($H482,5)="dummy",SUMIFS(AvgBase[Month 26],AvgBase[job_title],$H482),SUMIFS(AvgBase[Month 26],AvgBase[exp_item],$J482,AvgBase[company_name],$B482,AvgBase[bu_name],$C482,AvgBase[dept_name],$D482,AvgBase[team_consolidation],$K482,AvgBase[location_name],$G482,AvgBase[job_title],$H482))*(AK272+AJ272)/2*(1-AK377))</f>
        <v>0</v>
      </c>
      <c r="AL482" s="652">
        <f>IF($B482="",,IF(LEFT($H482,5)="dummy",SUMIFS(AvgBase[Month 27],AvgBase[job_title],$H482),SUMIFS(AvgBase[Month 27],AvgBase[exp_item],$J482,AvgBase[company_name],$B482,AvgBase[bu_name],$C482,AvgBase[dept_name],$D482,AvgBase[team_consolidation],$K482,AvgBase[location_name],$G482,AvgBase[job_title],$H482))*(AL272+AK272)/2*(1-AL377))</f>
        <v>0</v>
      </c>
      <c r="AM482" s="652">
        <f>IF($B482="",,IF(LEFT($H482,5)="dummy",SUMIFS(AvgBase[Month 28],AvgBase[job_title],$H482),SUMIFS(AvgBase[Month 28],AvgBase[exp_item],$J482,AvgBase[company_name],$B482,AvgBase[bu_name],$C482,AvgBase[dept_name],$D482,AvgBase[team_consolidation],$K482,AvgBase[location_name],$G482,AvgBase[job_title],$H482))*(AM272+AL272)/2*(1-AM377))</f>
        <v>0</v>
      </c>
      <c r="AN482" s="652">
        <f>IF($B482="",,IF(LEFT($H482,5)="dummy",SUMIFS(AvgBase[Month 29],AvgBase[job_title],$H482),SUMIFS(AvgBase[Month 29],AvgBase[exp_item],$J482,AvgBase[company_name],$B482,AvgBase[bu_name],$C482,AvgBase[dept_name],$D482,AvgBase[team_consolidation],$K482,AvgBase[location_name],$G482,AvgBase[job_title],$H482))*(AN272+AM272)/2*(1-AN377))</f>
        <v>0</v>
      </c>
      <c r="AO482" s="652">
        <f>IF($B482="",,IF(LEFT($H482,5)="dummy",SUMIFS(AvgBase[Month 30],AvgBase[job_title],$H482),SUMIFS(AvgBase[Month 30],AvgBase[exp_item],$J482,AvgBase[company_name],$B482,AvgBase[bu_name],$C482,AvgBase[dept_name],$D482,AvgBase[team_consolidation],$K482,AvgBase[location_name],$G482,AvgBase[job_title],$H482))*(AO272+AN272)/2*(1-AO377))</f>
        <v>0</v>
      </c>
      <c r="AP482" s="652">
        <f>IF($B482="",,IF(LEFT($H482,5)="dummy",SUMIFS(AvgBase[Month 31],AvgBase[job_title],$H482),SUMIFS(AvgBase[Month 31],AvgBase[exp_item],$J482,AvgBase[company_name],$B482,AvgBase[bu_name],$C482,AvgBase[dept_name],$D482,AvgBase[team_consolidation],$K482,AvgBase[location_name],$G482,AvgBase[job_title],$H482))*(AP272+AO272)/2*(1-AP377))</f>
        <v>0</v>
      </c>
      <c r="AQ482" s="652">
        <f>IF($B482="",,IF(LEFT($H482,5)="dummy",SUMIFS(AvgBase[Month 32],AvgBase[job_title],$H482),SUMIFS(AvgBase[Month 32],AvgBase[exp_item],$J482,AvgBase[company_name],$B482,AvgBase[bu_name],$C482,AvgBase[dept_name],$D482,AvgBase[team_consolidation],$K482,AvgBase[location_name],$G482,AvgBase[job_title],$H482))*(AQ272+AP272)/2*(1-AQ377))</f>
        <v>0</v>
      </c>
      <c r="AR482" s="652">
        <f>IF($B482="",,IF(LEFT($H482,5)="dummy",SUMIFS(AvgBase[Month 33],AvgBase[job_title],$H482),SUMIFS(AvgBase[Month 33],AvgBase[exp_item],$J482,AvgBase[company_name],$B482,AvgBase[bu_name],$C482,AvgBase[dept_name],$D482,AvgBase[team_consolidation],$K482,AvgBase[location_name],$G482,AvgBase[job_title],$H482))*(AR272+AQ272)/2*(1-AR377))</f>
        <v>0</v>
      </c>
      <c r="AS482" s="652">
        <f>IF($B482="",,IF(LEFT($H482,5)="dummy",SUMIFS(AvgBase[Month 34],AvgBase[job_title],$H482),SUMIFS(AvgBase[Month 34],AvgBase[exp_item],$J482,AvgBase[company_name],$B482,AvgBase[bu_name],$C482,AvgBase[dept_name],$D482,AvgBase[team_consolidation],$K482,AvgBase[location_name],$G482,AvgBase[job_title],$H482))*(AS272+AR272)/2*(1-AS377))</f>
        <v>0</v>
      </c>
      <c r="AT482" s="652">
        <f>IF($B482="",,IF(LEFT($H482,5)="dummy",SUMIFS(AvgBase[Month 35],AvgBase[job_title],$H482),SUMIFS(AvgBase[Month 35],AvgBase[exp_item],$J482,AvgBase[company_name],$B482,AvgBase[bu_name],$C482,AvgBase[dept_name],$D482,AvgBase[team_consolidation],$K482,AvgBase[location_name],$G482,AvgBase[job_title],$H482))*(AT272+AS272)/2*(1-AT377))</f>
        <v>0</v>
      </c>
      <c r="AU482" s="652">
        <f>IF($B482="",,IF(LEFT($H482,5)="dummy",SUMIFS(AvgBase[Month 36],AvgBase[job_title],$H482),SUMIFS(AvgBase[Month 36],AvgBase[exp_item],$J482,AvgBase[company_name],$B482,AvgBase[bu_name],$C482,AvgBase[dept_name],$D482,AvgBase[team_consolidation],$K482,AvgBase[location_name],$G482,AvgBase[job_title],$H482))*(AU272+AT272)/2*(1-AU377))</f>
        <v>0</v>
      </c>
    </row>
    <row r="483" spans="2:47" x14ac:dyDescent="0.35">
      <c r="B483" t="str">
        <f t="shared" si="286"/>
        <v/>
      </c>
      <c r="C483" t="str">
        <f t="shared" si="286"/>
        <v/>
      </c>
      <c r="D483" t="str">
        <f t="shared" si="286"/>
        <v/>
      </c>
      <c r="E483" t="str">
        <f t="shared" si="286"/>
        <v/>
      </c>
      <c r="F483" t="str">
        <f t="shared" si="286"/>
        <v/>
      </c>
      <c r="G483" t="str">
        <f t="shared" si="286"/>
        <v/>
      </c>
      <c r="H483" t="str">
        <f t="shared" si="283"/>
        <v/>
      </c>
      <c r="J483" t="str">
        <f>IF($H483="","",IF(VLOOKUP($B$395,ExpItems[],2,0),$B$395&amp;" - "&amp;INDEX(DivisionMapping[category_code],MATCH($D483&amp;$C483,DivisionMapping[dept_bu],0)),$B$395))</f>
        <v/>
      </c>
      <c r="K483" t="str">
        <f t="shared" si="284"/>
        <v/>
      </c>
      <c r="L483" s="652">
        <f>IF($B483="",,IF(LEFT($H483,5)="dummy",SUMIFS(AvgBase[Month 1],AvgBase[job_title],$H483),SUMIFS(AvgBase[Month 1],AvgBase[exp_item],$J483,AvgBase[company_name],$B483,AvgBase[bu_name],$C483,AvgBase[dept_name],$D483,AvgBase[team_consolidation],$K483,AvgBase[location_name],$G483,AvgBase[job_title],$H483))*L273/2*(1-L378))</f>
        <v>0</v>
      </c>
      <c r="M483" s="652">
        <f>IF($B483="",,IF(LEFT($H483,5)="dummy",SUMIFS(AvgBase[Month 2],AvgBase[job_title],$H483),SUMIFS(AvgBase[Month 2],AvgBase[exp_item],$J483,AvgBase[company_name],$B483,AvgBase[bu_name],$C483,AvgBase[dept_name],$D483,AvgBase[team_consolidation],$K483,AvgBase[location_name],$G483,AvgBase[job_title],$H483))*(M273+L273)/2*(1-M378))</f>
        <v>0</v>
      </c>
      <c r="N483" s="652">
        <f>IF($B483="",,IF(LEFT($H483,5)="dummy",SUMIFS(AvgBase[Month 3],AvgBase[job_title],$H483),SUMIFS(AvgBase[Month 3],AvgBase[exp_item],$J483,AvgBase[company_name],$B483,AvgBase[bu_name],$C483,AvgBase[dept_name],$D483,AvgBase[team_consolidation],$K483,AvgBase[location_name],$G483,AvgBase[job_title],$H483))*(N273+M273)/2*(1-N378))</f>
        <v>0</v>
      </c>
      <c r="O483" s="652">
        <f>IF($B483="",,IF(LEFT($H483,5)="dummy",SUMIFS(AvgBase[Month 4],AvgBase[job_title],$H483),SUMIFS(AvgBase[Month 4],AvgBase[exp_item],$J483,AvgBase[company_name],$B483,AvgBase[bu_name],$C483,AvgBase[dept_name],$D483,AvgBase[team_consolidation],$K483,AvgBase[location_name],$G483,AvgBase[job_title],$H483))*(O273+N273)/2*(1-O378))</f>
        <v>0</v>
      </c>
      <c r="P483" s="652">
        <f>IF($B483="",,IF(LEFT($H483,5)="dummy",SUMIFS(AvgBase[Month 5],AvgBase[job_title],$H483),SUMIFS(AvgBase[Month 5],AvgBase[exp_item],$J483,AvgBase[company_name],$B483,AvgBase[bu_name],$C483,AvgBase[dept_name],$D483,AvgBase[team_consolidation],$K483,AvgBase[location_name],$G483,AvgBase[job_title],$H483))*(P273+O273)/2*(1-P378))</f>
        <v>0</v>
      </c>
      <c r="Q483" s="652">
        <f>IF($B483="",,IF(LEFT($H483,5)="dummy",SUMIFS(AvgBase[Month 6],AvgBase[job_title],$H483),SUMIFS(AvgBase[Month 6],AvgBase[exp_item],$J483,AvgBase[company_name],$B483,AvgBase[bu_name],$C483,AvgBase[dept_name],$D483,AvgBase[team_consolidation],$K483,AvgBase[location_name],$G483,AvgBase[job_title],$H483))*(Q273+P273)/2*(1-Q378))</f>
        <v>0</v>
      </c>
      <c r="R483" s="652">
        <f>IF($B483="",,IF(LEFT($H483,5)="dummy",SUMIFS(AvgBase[Month 7],AvgBase[job_title],$H483),SUMIFS(AvgBase[Month 7],AvgBase[exp_item],$J483,AvgBase[company_name],$B483,AvgBase[bu_name],$C483,AvgBase[dept_name],$D483,AvgBase[team_consolidation],$K483,AvgBase[location_name],$G483,AvgBase[job_title],$H483))*(R273+Q273)/2*(1-R378))</f>
        <v>0</v>
      </c>
      <c r="S483" s="652">
        <f>IF($B483="",,IF(LEFT($H483,5)="dummy",SUMIFS(AvgBase[Month 8],AvgBase[job_title],$H483),SUMIFS(AvgBase[Month 8],AvgBase[exp_item],$J483,AvgBase[company_name],$B483,AvgBase[bu_name],$C483,AvgBase[dept_name],$D483,AvgBase[team_consolidation],$K483,AvgBase[location_name],$G483,AvgBase[job_title],$H483))*(S273+R273)/2*(1-S378))</f>
        <v>0</v>
      </c>
      <c r="T483" s="652">
        <f>IF($B483="",,IF(LEFT($H483,5)="dummy",SUMIFS(AvgBase[Month 9],AvgBase[job_title],$H483),SUMIFS(AvgBase[Month 9],AvgBase[exp_item],$J483,AvgBase[company_name],$B483,AvgBase[bu_name],$C483,AvgBase[dept_name],$D483,AvgBase[team_consolidation],$K483,AvgBase[location_name],$G483,AvgBase[job_title],$H483))*(T273+S273)/2*(1-T378))</f>
        <v>0</v>
      </c>
      <c r="U483" s="652">
        <f>IF($B483="",,IF(LEFT($H483,5)="dummy",SUMIFS(AvgBase[Month 10],AvgBase[job_title],$H483),SUMIFS(AvgBase[Month 10],AvgBase[exp_item],$J483,AvgBase[company_name],$B483,AvgBase[bu_name],$C483,AvgBase[dept_name],$D483,AvgBase[team_consolidation],$K483,AvgBase[location_name],$G483,AvgBase[job_title],$H483))*(U273+T273)/2*(1-U378))</f>
        <v>0</v>
      </c>
      <c r="V483" s="652">
        <f>IF($B483="",,IF(LEFT($H483,5)="dummy",SUMIFS(AvgBase[Month 11],AvgBase[job_title],$H483),SUMIFS(AvgBase[Month 11],AvgBase[exp_item],$J483,AvgBase[company_name],$B483,AvgBase[bu_name],$C483,AvgBase[dept_name],$D483,AvgBase[team_consolidation],$K483,AvgBase[location_name],$G483,AvgBase[job_title],$H483))*(V273+U273)/2*(1-V378))</f>
        <v>0</v>
      </c>
      <c r="W483" s="652">
        <f>IF($B483="",,IF(LEFT($H483,5)="dummy",SUMIFS(AvgBase[Month 12],AvgBase[job_title],$H483),SUMIFS(AvgBase[Month 12],AvgBase[exp_item],$J483,AvgBase[company_name],$B483,AvgBase[bu_name],$C483,AvgBase[dept_name],$D483,AvgBase[team_consolidation],$K483,AvgBase[location_name],$G483,AvgBase[job_title],$H483))*(W273+V273)/2*(1-W378))</f>
        <v>0</v>
      </c>
      <c r="X483" s="652">
        <f>IF($B483="",,IF(LEFT($H483,5)="dummy",SUMIFS(AvgBase[Month 13],AvgBase[job_title],$H483),SUMIFS(AvgBase[Month 13],AvgBase[exp_item],$J483,AvgBase[company_name],$B483,AvgBase[bu_name],$C483,AvgBase[dept_name],$D483,AvgBase[team_consolidation],$K483,AvgBase[location_name],$G483,AvgBase[job_title],$H483))*(X273+W273)/2*(1-X378))</f>
        <v>0</v>
      </c>
      <c r="Y483" s="652">
        <f>IF($B483="",,IF(LEFT($H483,5)="dummy",SUMIFS(AvgBase[Month 14],AvgBase[job_title],$H483),SUMIFS(AvgBase[Month 14],AvgBase[exp_item],$J483,AvgBase[company_name],$B483,AvgBase[bu_name],$C483,AvgBase[dept_name],$D483,AvgBase[team_consolidation],$K483,AvgBase[location_name],$G483,AvgBase[job_title],$H483))*(Y273+X273)/2*(1-Y378))</f>
        <v>0</v>
      </c>
      <c r="Z483" s="652">
        <f>IF($B483="",,IF(LEFT($H483,5)="dummy",SUMIFS(AvgBase[Month 15],AvgBase[job_title],$H483),SUMIFS(AvgBase[Month 15],AvgBase[exp_item],$J483,AvgBase[company_name],$B483,AvgBase[bu_name],$C483,AvgBase[dept_name],$D483,AvgBase[team_consolidation],$K483,AvgBase[location_name],$G483,AvgBase[job_title],$H483))*(Z273+Y273)/2*(1-Z378))</f>
        <v>0</v>
      </c>
      <c r="AA483" s="652">
        <f>IF($B483="",,IF(LEFT($H483,5)="dummy",SUMIFS(AvgBase[Month 16],AvgBase[job_title],$H483),SUMIFS(AvgBase[Month 16],AvgBase[exp_item],$J483,AvgBase[company_name],$B483,AvgBase[bu_name],$C483,AvgBase[dept_name],$D483,AvgBase[team_consolidation],$K483,AvgBase[location_name],$G483,AvgBase[job_title],$H483))*(AA273+Z273)/2*(1-AA378))</f>
        <v>0</v>
      </c>
      <c r="AB483" s="652">
        <f>IF($B483="",,IF(LEFT($H483,5)="dummy",SUMIFS(AvgBase[Month 17],AvgBase[job_title],$H483),SUMIFS(AvgBase[Month 17],AvgBase[exp_item],$J483,AvgBase[company_name],$B483,AvgBase[bu_name],$C483,AvgBase[dept_name],$D483,AvgBase[team_consolidation],$K483,AvgBase[location_name],$G483,AvgBase[job_title],$H483))*(AB273+AA273)/2*(1-AB378))</f>
        <v>0</v>
      </c>
      <c r="AC483" s="652">
        <f>IF($B483="",,IF(LEFT($H483,5)="dummy",SUMIFS(AvgBase[Month 18],AvgBase[job_title],$H483),SUMIFS(AvgBase[Month 18],AvgBase[exp_item],$J483,AvgBase[company_name],$B483,AvgBase[bu_name],$C483,AvgBase[dept_name],$D483,AvgBase[team_consolidation],$K483,AvgBase[location_name],$G483,AvgBase[job_title],$H483))*(AC273+AB273)/2*(1-AC378))</f>
        <v>0</v>
      </c>
      <c r="AD483" s="652">
        <f>IF($B483="",,IF(LEFT($H483,5)="dummy",SUMIFS(AvgBase[Month 19],AvgBase[job_title],$H483),SUMIFS(AvgBase[Month 19],AvgBase[exp_item],$J483,AvgBase[company_name],$B483,AvgBase[bu_name],$C483,AvgBase[dept_name],$D483,AvgBase[team_consolidation],$K483,AvgBase[location_name],$G483,AvgBase[job_title],$H483))*(AD273+AC273)/2*(1-AD378))</f>
        <v>0</v>
      </c>
      <c r="AE483" s="652">
        <f>IF($B483="",,IF(LEFT($H483,5)="dummy",SUMIFS(AvgBase[Month 20],AvgBase[job_title],$H483),SUMIFS(AvgBase[Month 20],AvgBase[exp_item],$J483,AvgBase[company_name],$B483,AvgBase[bu_name],$C483,AvgBase[dept_name],$D483,AvgBase[team_consolidation],$K483,AvgBase[location_name],$G483,AvgBase[job_title],$H483))*(AE273+AD273)/2*(1-AE378))</f>
        <v>0</v>
      </c>
      <c r="AF483" s="652">
        <f>IF($B483="",,IF(LEFT($H483,5)="dummy",SUMIFS(AvgBase[Month 21],AvgBase[job_title],$H483),SUMIFS(AvgBase[Month 21],AvgBase[exp_item],$J483,AvgBase[company_name],$B483,AvgBase[bu_name],$C483,AvgBase[dept_name],$D483,AvgBase[team_consolidation],$K483,AvgBase[location_name],$G483,AvgBase[job_title],$H483))*(AF273+AE273)/2*(1-AF378))</f>
        <v>0</v>
      </c>
      <c r="AG483" s="652">
        <f>IF($B483="",,IF(LEFT($H483,5)="dummy",SUMIFS(AvgBase[Month 22],AvgBase[job_title],$H483),SUMIFS(AvgBase[Month 22],AvgBase[exp_item],$J483,AvgBase[company_name],$B483,AvgBase[bu_name],$C483,AvgBase[dept_name],$D483,AvgBase[team_consolidation],$K483,AvgBase[location_name],$G483,AvgBase[job_title],$H483))*(AG273+AF273)/2*(1-AG378))</f>
        <v>0</v>
      </c>
      <c r="AH483" s="652">
        <f>IF($B483="",,IF(LEFT($H483,5)="dummy",SUMIFS(AvgBase[Month 23],AvgBase[job_title],$H483),SUMIFS(AvgBase[Month 23],AvgBase[exp_item],$J483,AvgBase[company_name],$B483,AvgBase[bu_name],$C483,AvgBase[dept_name],$D483,AvgBase[team_consolidation],$K483,AvgBase[location_name],$G483,AvgBase[job_title],$H483))*(AH273+AG273)/2*(1-AH378))</f>
        <v>0</v>
      </c>
      <c r="AI483" s="652">
        <f>IF($B483="",,IF(LEFT($H483,5)="dummy",SUMIFS(AvgBase[Month 24],AvgBase[job_title],$H483),SUMIFS(AvgBase[Month 24],AvgBase[exp_item],$J483,AvgBase[company_name],$B483,AvgBase[bu_name],$C483,AvgBase[dept_name],$D483,AvgBase[team_consolidation],$K483,AvgBase[location_name],$G483,AvgBase[job_title],$H483))*(AI273+AH273)/2*(1-AI378))</f>
        <v>0</v>
      </c>
      <c r="AJ483" s="652">
        <f>IF($B483="",,IF(LEFT($H483,5)="dummy",SUMIFS(AvgBase[Month 25],AvgBase[job_title],$H483),SUMIFS(AvgBase[Month 25],AvgBase[exp_item],$J483,AvgBase[company_name],$B483,AvgBase[bu_name],$C483,AvgBase[dept_name],$D483,AvgBase[team_consolidation],$K483,AvgBase[location_name],$G483,AvgBase[job_title],$H483))*(AJ273+AI273)/2*(1-AJ378))</f>
        <v>0</v>
      </c>
      <c r="AK483" s="652">
        <f>IF($B483="",,IF(LEFT($H483,5)="dummy",SUMIFS(AvgBase[Month 26],AvgBase[job_title],$H483),SUMIFS(AvgBase[Month 26],AvgBase[exp_item],$J483,AvgBase[company_name],$B483,AvgBase[bu_name],$C483,AvgBase[dept_name],$D483,AvgBase[team_consolidation],$K483,AvgBase[location_name],$G483,AvgBase[job_title],$H483))*(AK273+AJ273)/2*(1-AK378))</f>
        <v>0</v>
      </c>
      <c r="AL483" s="652">
        <f>IF($B483="",,IF(LEFT($H483,5)="dummy",SUMIFS(AvgBase[Month 27],AvgBase[job_title],$H483),SUMIFS(AvgBase[Month 27],AvgBase[exp_item],$J483,AvgBase[company_name],$B483,AvgBase[bu_name],$C483,AvgBase[dept_name],$D483,AvgBase[team_consolidation],$K483,AvgBase[location_name],$G483,AvgBase[job_title],$H483))*(AL273+AK273)/2*(1-AL378))</f>
        <v>0</v>
      </c>
      <c r="AM483" s="652">
        <f>IF($B483="",,IF(LEFT($H483,5)="dummy",SUMIFS(AvgBase[Month 28],AvgBase[job_title],$H483),SUMIFS(AvgBase[Month 28],AvgBase[exp_item],$J483,AvgBase[company_name],$B483,AvgBase[bu_name],$C483,AvgBase[dept_name],$D483,AvgBase[team_consolidation],$K483,AvgBase[location_name],$G483,AvgBase[job_title],$H483))*(AM273+AL273)/2*(1-AM378))</f>
        <v>0</v>
      </c>
      <c r="AN483" s="652">
        <f>IF($B483="",,IF(LEFT($H483,5)="dummy",SUMIFS(AvgBase[Month 29],AvgBase[job_title],$H483),SUMIFS(AvgBase[Month 29],AvgBase[exp_item],$J483,AvgBase[company_name],$B483,AvgBase[bu_name],$C483,AvgBase[dept_name],$D483,AvgBase[team_consolidation],$K483,AvgBase[location_name],$G483,AvgBase[job_title],$H483))*(AN273+AM273)/2*(1-AN378))</f>
        <v>0</v>
      </c>
      <c r="AO483" s="652">
        <f>IF($B483="",,IF(LEFT($H483,5)="dummy",SUMIFS(AvgBase[Month 30],AvgBase[job_title],$H483),SUMIFS(AvgBase[Month 30],AvgBase[exp_item],$J483,AvgBase[company_name],$B483,AvgBase[bu_name],$C483,AvgBase[dept_name],$D483,AvgBase[team_consolidation],$K483,AvgBase[location_name],$G483,AvgBase[job_title],$H483))*(AO273+AN273)/2*(1-AO378))</f>
        <v>0</v>
      </c>
      <c r="AP483" s="652">
        <f>IF($B483="",,IF(LEFT($H483,5)="dummy",SUMIFS(AvgBase[Month 31],AvgBase[job_title],$H483),SUMIFS(AvgBase[Month 31],AvgBase[exp_item],$J483,AvgBase[company_name],$B483,AvgBase[bu_name],$C483,AvgBase[dept_name],$D483,AvgBase[team_consolidation],$K483,AvgBase[location_name],$G483,AvgBase[job_title],$H483))*(AP273+AO273)/2*(1-AP378))</f>
        <v>0</v>
      </c>
      <c r="AQ483" s="652">
        <f>IF($B483="",,IF(LEFT($H483,5)="dummy",SUMIFS(AvgBase[Month 32],AvgBase[job_title],$H483),SUMIFS(AvgBase[Month 32],AvgBase[exp_item],$J483,AvgBase[company_name],$B483,AvgBase[bu_name],$C483,AvgBase[dept_name],$D483,AvgBase[team_consolidation],$K483,AvgBase[location_name],$G483,AvgBase[job_title],$H483))*(AQ273+AP273)/2*(1-AQ378))</f>
        <v>0</v>
      </c>
      <c r="AR483" s="652">
        <f>IF($B483="",,IF(LEFT($H483,5)="dummy",SUMIFS(AvgBase[Month 33],AvgBase[job_title],$H483),SUMIFS(AvgBase[Month 33],AvgBase[exp_item],$J483,AvgBase[company_name],$B483,AvgBase[bu_name],$C483,AvgBase[dept_name],$D483,AvgBase[team_consolidation],$K483,AvgBase[location_name],$G483,AvgBase[job_title],$H483))*(AR273+AQ273)/2*(1-AR378))</f>
        <v>0</v>
      </c>
      <c r="AS483" s="652">
        <f>IF($B483="",,IF(LEFT($H483,5)="dummy",SUMIFS(AvgBase[Month 34],AvgBase[job_title],$H483),SUMIFS(AvgBase[Month 34],AvgBase[exp_item],$J483,AvgBase[company_name],$B483,AvgBase[bu_name],$C483,AvgBase[dept_name],$D483,AvgBase[team_consolidation],$K483,AvgBase[location_name],$G483,AvgBase[job_title],$H483))*(AS273+AR273)/2*(1-AS378))</f>
        <v>0</v>
      </c>
      <c r="AT483" s="652">
        <f>IF($B483="",,IF(LEFT($H483,5)="dummy",SUMIFS(AvgBase[Month 35],AvgBase[job_title],$H483),SUMIFS(AvgBase[Month 35],AvgBase[exp_item],$J483,AvgBase[company_name],$B483,AvgBase[bu_name],$C483,AvgBase[dept_name],$D483,AvgBase[team_consolidation],$K483,AvgBase[location_name],$G483,AvgBase[job_title],$H483))*(AT273+AS273)/2*(1-AT378))</f>
        <v>0</v>
      </c>
      <c r="AU483" s="652">
        <f>IF($B483="",,IF(LEFT($H483,5)="dummy",SUMIFS(AvgBase[Month 36],AvgBase[job_title],$H483),SUMIFS(AvgBase[Month 36],AvgBase[exp_item],$J483,AvgBase[company_name],$B483,AvgBase[bu_name],$C483,AvgBase[dept_name],$D483,AvgBase[team_consolidation],$K483,AvgBase[location_name],$G483,AvgBase[job_title],$H483))*(AU273+AT273)/2*(1-AU378))</f>
        <v>0</v>
      </c>
    </row>
    <row r="484" spans="2:47" x14ac:dyDescent="0.35">
      <c r="B484" t="str">
        <f t="shared" si="286"/>
        <v/>
      </c>
      <c r="C484" t="str">
        <f t="shared" si="286"/>
        <v/>
      </c>
      <c r="D484" t="str">
        <f t="shared" si="286"/>
        <v/>
      </c>
      <c r="E484" t="str">
        <f t="shared" si="286"/>
        <v/>
      </c>
      <c r="F484" t="str">
        <f t="shared" si="286"/>
        <v/>
      </c>
      <c r="G484" t="str">
        <f t="shared" si="286"/>
        <v/>
      </c>
      <c r="H484" t="str">
        <f t="shared" si="283"/>
        <v/>
      </c>
      <c r="J484" t="str">
        <f>IF($H484="","",IF(VLOOKUP($B$395,ExpItems[],2,0),$B$395&amp;" - "&amp;INDEX(DivisionMapping[category_code],MATCH($D484&amp;$C484,DivisionMapping[dept_bu],0)),$B$395))</f>
        <v/>
      </c>
      <c r="K484" t="str">
        <f t="shared" si="284"/>
        <v/>
      </c>
      <c r="L484" s="652">
        <f>IF($B484="",,IF(LEFT($H484,5)="dummy",SUMIFS(AvgBase[Month 1],AvgBase[job_title],$H484),SUMIFS(AvgBase[Month 1],AvgBase[exp_item],$J484,AvgBase[company_name],$B484,AvgBase[bu_name],$C484,AvgBase[dept_name],$D484,AvgBase[team_consolidation],$K484,AvgBase[location_name],$G484,AvgBase[job_title],$H484))*L274/2*(1-L379))</f>
        <v>0</v>
      </c>
      <c r="M484" s="652">
        <f>IF($B484="",,IF(LEFT($H484,5)="dummy",SUMIFS(AvgBase[Month 2],AvgBase[job_title],$H484),SUMIFS(AvgBase[Month 2],AvgBase[exp_item],$J484,AvgBase[company_name],$B484,AvgBase[bu_name],$C484,AvgBase[dept_name],$D484,AvgBase[team_consolidation],$K484,AvgBase[location_name],$G484,AvgBase[job_title],$H484))*(M274+L274)/2*(1-M379))</f>
        <v>0</v>
      </c>
      <c r="N484" s="652">
        <f>IF($B484="",,IF(LEFT($H484,5)="dummy",SUMIFS(AvgBase[Month 3],AvgBase[job_title],$H484),SUMIFS(AvgBase[Month 3],AvgBase[exp_item],$J484,AvgBase[company_name],$B484,AvgBase[bu_name],$C484,AvgBase[dept_name],$D484,AvgBase[team_consolidation],$K484,AvgBase[location_name],$G484,AvgBase[job_title],$H484))*(N274+M274)/2*(1-N379))</f>
        <v>0</v>
      </c>
      <c r="O484" s="652">
        <f>IF($B484="",,IF(LEFT($H484,5)="dummy",SUMIFS(AvgBase[Month 4],AvgBase[job_title],$H484),SUMIFS(AvgBase[Month 4],AvgBase[exp_item],$J484,AvgBase[company_name],$B484,AvgBase[bu_name],$C484,AvgBase[dept_name],$D484,AvgBase[team_consolidation],$K484,AvgBase[location_name],$G484,AvgBase[job_title],$H484))*(O274+N274)/2*(1-O379))</f>
        <v>0</v>
      </c>
      <c r="P484" s="652">
        <f>IF($B484="",,IF(LEFT($H484,5)="dummy",SUMIFS(AvgBase[Month 5],AvgBase[job_title],$H484),SUMIFS(AvgBase[Month 5],AvgBase[exp_item],$J484,AvgBase[company_name],$B484,AvgBase[bu_name],$C484,AvgBase[dept_name],$D484,AvgBase[team_consolidation],$K484,AvgBase[location_name],$G484,AvgBase[job_title],$H484))*(P274+O274)/2*(1-P379))</f>
        <v>0</v>
      </c>
      <c r="Q484" s="652">
        <f>IF($B484="",,IF(LEFT($H484,5)="dummy",SUMIFS(AvgBase[Month 6],AvgBase[job_title],$H484),SUMIFS(AvgBase[Month 6],AvgBase[exp_item],$J484,AvgBase[company_name],$B484,AvgBase[bu_name],$C484,AvgBase[dept_name],$D484,AvgBase[team_consolidation],$K484,AvgBase[location_name],$G484,AvgBase[job_title],$H484))*(Q274+P274)/2*(1-Q379))</f>
        <v>0</v>
      </c>
      <c r="R484" s="652">
        <f>IF($B484="",,IF(LEFT($H484,5)="dummy",SUMIFS(AvgBase[Month 7],AvgBase[job_title],$H484),SUMIFS(AvgBase[Month 7],AvgBase[exp_item],$J484,AvgBase[company_name],$B484,AvgBase[bu_name],$C484,AvgBase[dept_name],$D484,AvgBase[team_consolidation],$K484,AvgBase[location_name],$G484,AvgBase[job_title],$H484))*(R274+Q274)/2*(1-R379))</f>
        <v>0</v>
      </c>
      <c r="S484" s="652">
        <f>IF($B484="",,IF(LEFT($H484,5)="dummy",SUMIFS(AvgBase[Month 8],AvgBase[job_title],$H484),SUMIFS(AvgBase[Month 8],AvgBase[exp_item],$J484,AvgBase[company_name],$B484,AvgBase[bu_name],$C484,AvgBase[dept_name],$D484,AvgBase[team_consolidation],$K484,AvgBase[location_name],$G484,AvgBase[job_title],$H484))*(S274+R274)/2*(1-S379))</f>
        <v>0</v>
      </c>
      <c r="T484" s="652">
        <f>IF($B484="",,IF(LEFT($H484,5)="dummy",SUMIFS(AvgBase[Month 9],AvgBase[job_title],$H484),SUMIFS(AvgBase[Month 9],AvgBase[exp_item],$J484,AvgBase[company_name],$B484,AvgBase[bu_name],$C484,AvgBase[dept_name],$D484,AvgBase[team_consolidation],$K484,AvgBase[location_name],$G484,AvgBase[job_title],$H484))*(T274+S274)/2*(1-T379))</f>
        <v>0</v>
      </c>
      <c r="U484" s="652">
        <f>IF($B484="",,IF(LEFT($H484,5)="dummy",SUMIFS(AvgBase[Month 10],AvgBase[job_title],$H484),SUMIFS(AvgBase[Month 10],AvgBase[exp_item],$J484,AvgBase[company_name],$B484,AvgBase[bu_name],$C484,AvgBase[dept_name],$D484,AvgBase[team_consolidation],$K484,AvgBase[location_name],$G484,AvgBase[job_title],$H484))*(U274+T274)/2*(1-U379))</f>
        <v>0</v>
      </c>
      <c r="V484" s="652">
        <f>IF($B484="",,IF(LEFT($H484,5)="dummy",SUMIFS(AvgBase[Month 11],AvgBase[job_title],$H484),SUMIFS(AvgBase[Month 11],AvgBase[exp_item],$J484,AvgBase[company_name],$B484,AvgBase[bu_name],$C484,AvgBase[dept_name],$D484,AvgBase[team_consolidation],$K484,AvgBase[location_name],$G484,AvgBase[job_title],$H484))*(V274+U274)/2*(1-V379))</f>
        <v>0</v>
      </c>
      <c r="W484" s="652">
        <f>IF($B484="",,IF(LEFT($H484,5)="dummy",SUMIFS(AvgBase[Month 12],AvgBase[job_title],$H484),SUMIFS(AvgBase[Month 12],AvgBase[exp_item],$J484,AvgBase[company_name],$B484,AvgBase[bu_name],$C484,AvgBase[dept_name],$D484,AvgBase[team_consolidation],$K484,AvgBase[location_name],$G484,AvgBase[job_title],$H484))*(W274+V274)/2*(1-W379))</f>
        <v>0</v>
      </c>
      <c r="X484" s="652">
        <f>IF($B484="",,IF(LEFT($H484,5)="dummy",SUMIFS(AvgBase[Month 13],AvgBase[job_title],$H484),SUMIFS(AvgBase[Month 13],AvgBase[exp_item],$J484,AvgBase[company_name],$B484,AvgBase[bu_name],$C484,AvgBase[dept_name],$D484,AvgBase[team_consolidation],$K484,AvgBase[location_name],$G484,AvgBase[job_title],$H484))*(X274+W274)/2*(1-X379))</f>
        <v>0</v>
      </c>
      <c r="Y484" s="652">
        <f>IF($B484="",,IF(LEFT($H484,5)="dummy",SUMIFS(AvgBase[Month 14],AvgBase[job_title],$H484),SUMIFS(AvgBase[Month 14],AvgBase[exp_item],$J484,AvgBase[company_name],$B484,AvgBase[bu_name],$C484,AvgBase[dept_name],$D484,AvgBase[team_consolidation],$K484,AvgBase[location_name],$G484,AvgBase[job_title],$H484))*(Y274+X274)/2*(1-Y379))</f>
        <v>0</v>
      </c>
      <c r="Z484" s="652">
        <f>IF($B484="",,IF(LEFT($H484,5)="dummy",SUMIFS(AvgBase[Month 15],AvgBase[job_title],$H484),SUMIFS(AvgBase[Month 15],AvgBase[exp_item],$J484,AvgBase[company_name],$B484,AvgBase[bu_name],$C484,AvgBase[dept_name],$D484,AvgBase[team_consolidation],$K484,AvgBase[location_name],$G484,AvgBase[job_title],$H484))*(Z274+Y274)/2*(1-Z379))</f>
        <v>0</v>
      </c>
      <c r="AA484" s="652">
        <f>IF($B484="",,IF(LEFT($H484,5)="dummy",SUMIFS(AvgBase[Month 16],AvgBase[job_title],$H484),SUMIFS(AvgBase[Month 16],AvgBase[exp_item],$J484,AvgBase[company_name],$B484,AvgBase[bu_name],$C484,AvgBase[dept_name],$D484,AvgBase[team_consolidation],$K484,AvgBase[location_name],$G484,AvgBase[job_title],$H484))*(AA274+Z274)/2*(1-AA379))</f>
        <v>0</v>
      </c>
      <c r="AB484" s="652">
        <f>IF($B484="",,IF(LEFT($H484,5)="dummy",SUMIFS(AvgBase[Month 17],AvgBase[job_title],$H484),SUMIFS(AvgBase[Month 17],AvgBase[exp_item],$J484,AvgBase[company_name],$B484,AvgBase[bu_name],$C484,AvgBase[dept_name],$D484,AvgBase[team_consolidation],$K484,AvgBase[location_name],$G484,AvgBase[job_title],$H484))*(AB274+AA274)/2*(1-AB379))</f>
        <v>0</v>
      </c>
      <c r="AC484" s="652">
        <f>IF($B484="",,IF(LEFT($H484,5)="dummy",SUMIFS(AvgBase[Month 18],AvgBase[job_title],$H484),SUMIFS(AvgBase[Month 18],AvgBase[exp_item],$J484,AvgBase[company_name],$B484,AvgBase[bu_name],$C484,AvgBase[dept_name],$D484,AvgBase[team_consolidation],$K484,AvgBase[location_name],$G484,AvgBase[job_title],$H484))*(AC274+AB274)/2*(1-AC379))</f>
        <v>0</v>
      </c>
      <c r="AD484" s="652">
        <f>IF($B484="",,IF(LEFT($H484,5)="dummy",SUMIFS(AvgBase[Month 19],AvgBase[job_title],$H484),SUMIFS(AvgBase[Month 19],AvgBase[exp_item],$J484,AvgBase[company_name],$B484,AvgBase[bu_name],$C484,AvgBase[dept_name],$D484,AvgBase[team_consolidation],$K484,AvgBase[location_name],$G484,AvgBase[job_title],$H484))*(AD274+AC274)/2*(1-AD379))</f>
        <v>0</v>
      </c>
      <c r="AE484" s="652">
        <f>IF($B484="",,IF(LEFT($H484,5)="dummy",SUMIFS(AvgBase[Month 20],AvgBase[job_title],$H484),SUMIFS(AvgBase[Month 20],AvgBase[exp_item],$J484,AvgBase[company_name],$B484,AvgBase[bu_name],$C484,AvgBase[dept_name],$D484,AvgBase[team_consolidation],$K484,AvgBase[location_name],$G484,AvgBase[job_title],$H484))*(AE274+AD274)/2*(1-AE379))</f>
        <v>0</v>
      </c>
      <c r="AF484" s="652">
        <f>IF($B484="",,IF(LEFT($H484,5)="dummy",SUMIFS(AvgBase[Month 21],AvgBase[job_title],$H484),SUMIFS(AvgBase[Month 21],AvgBase[exp_item],$J484,AvgBase[company_name],$B484,AvgBase[bu_name],$C484,AvgBase[dept_name],$D484,AvgBase[team_consolidation],$K484,AvgBase[location_name],$G484,AvgBase[job_title],$H484))*(AF274+AE274)/2*(1-AF379))</f>
        <v>0</v>
      </c>
      <c r="AG484" s="652">
        <f>IF($B484="",,IF(LEFT($H484,5)="dummy",SUMIFS(AvgBase[Month 22],AvgBase[job_title],$H484),SUMIFS(AvgBase[Month 22],AvgBase[exp_item],$J484,AvgBase[company_name],$B484,AvgBase[bu_name],$C484,AvgBase[dept_name],$D484,AvgBase[team_consolidation],$K484,AvgBase[location_name],$G484,AvgBase[job_title],$H484))*(AG274+AF274)/2*(1-AG379))</f>
        <v>0</v>
      </c>
      <c r="AH484" s="652">
        <f>IF($B484="",,IF(LEFT($H484,5)="dummy",SUMIFS(AvgBase[Month 23],AvgBase[job_title],$H484),SUMIFS(AvgBase[Month 23],AvgBase[exp_item],$J484,AvgBase[company_name],$B484,AvgBase[bu_name],$C484,AvgBase[dept_name],$D484,AvgBase[team_consolidation],$K484,AvgBase[location_name],$G484,AvgBase[job_title],$H484))*(AH274+AG274)/2*(1-AH379))</f>
        <v>0</v>
      </c>
      <c r="AI484" s="652">
        <f>IF($B484="",,IF(LEFT($H484,5)="dummy",SUMIFS(AvgBase[Month 24],AvgBase[job_title],$H484),SUMIFS(AvgBase[Month 24],AvgBase[exp_item],$J484,AvgBase[company_name],$B484,AvgBase[bu_name],$C484,AvgBase[dept_name],$D484,AvgBase[team_consolidation],$K484,AvgBase[location_name],$G484,AvgBase[job_title],$H484))*(AI274+AH274)/2*(1-AI379))</f>
        <v>0</v>
      </c>
      <c r="AJ484" s="652">
        <f>IF($B484="",,IF(LEFT($H484,5)="dummy",SUMIFS(AvgBase[Month 25],AvgBase[job_title],$H484),SUMIFS(AvgBase[Month 25],AvgBase[exp_item],$J484,AvgBase[company_name],$B484,AvgBase[bu_name],$C484,AvgBase[dept_name],$D484,AvgBase[team_consolidation],$K484,AvgBase[location_name],$G484,AvgBase[job_title],$H484))*(AJ274+AI274)/2*(1-AJ379))</f>
        <v>0</v>
      </c>
      <c r="AK484" s="652">
        <f>IF($B484="",,IF(LEFT($H484,5)="dummy",SUMIFS(AvgBase[Month 26],AvgBase[job_title],$H484),SUMIFS(AvgBase[Month 26],AvgBase[exp_item],$J484,AvgBase[company_name],$B484,AvgBase[bu_name],$C484,AvgBase[dept_name],$D484,AvgBase[team_consolidation],$K484,AvgBase[location_name],$G484,AvgBase[job_title],$H484))*(AK274+AJ274)/2*(1-AK379))</f>
        <v>0</v>
      </c>
      <c r="AL484" s="652">
        <f>IF($B484="",,IF(LEFT($H484,5)="dummy",SUMIFS(AvgBase[Month 27],AvgBase[job_title],$H484),SUMIFS(AvgBase[Month 27],AvgBase[exp_item],$J484,AvgBase[company_name],$B484,AvgBase[bu_name],$C484,AvgBase[dept_name],$D484,AvgBase[team_consolidation],$K484,AvgBase[location_name],$G484,AvgBase[job_title],$H484))*(AL274+AK274)/2*(1-AL379))</f>
        <v>0</v>
      </c>
      <c r="AM484" s="652">
        <f>IF($B484="",,IF(LEFT($H484,5)="dummy",SUMIFS(AvgBase[Month 28],AvgBase[job_title],$H484),SUMIFS(AvgBase[Month 28],AvgBase[exp_item],$J484,AvgBase[company_name],$B484,AvgBase[bu_name],$C484,AvgBase[dept_name],$D484,AvgBase[team_consolidation],$K484,AvgBase[location_name],$G484,AvgBase[job_title],$H484))*(AM274+AL274)/2*(1-AM379))</f>
        <v>0</v>
      </c>
      <c r="AN484" s="652">
        <f>IF($B484="",,IF(LEFT($H484,5)="dummy",SUMIFS(AvgBase[Month 29],AvgBase[job_title],$H484),SUMIFS(AvgBase[Month 29],AvgBase[exp_item],$J484,AvgBase[company_name],$B484,AvgBase[bu_name],$C484,AvgBase[dept_name],$D484,AvgBase[team_consolidation],$K484,AvgBase[location_name],$G484,AvgBase[job_title],$H484))*(AN274+AM274)/2*(1-AN379))</f>
        <v>0</v>
      </c>
      <c r="AO484" s="652">
        <f>IF($B484="",,IF(LEFT($H484,5)="dummy",SUMIFS(AvgBase[Month 30],AvgBase[job_title],$H484),SUMIFS(AvgBase[Month 30],AvgBase[exp_item],$J484,AvgBase[company_name],$B484,AvgBase[bu_name],$C484,AvgBase[dept_name],$D484,AvgBase[team_consolidation],$K484,AvgBase[location_name],$G484,AvgBase[job_title],$H484))*(AO274+AN274)/2*(1-AO379))</f>
        <v>0</v>
      </c>
      <c r="AP484" s="652">
        <f>IF($B484="",,IF(LEFT($H484,5)="dummy",SUMIFS(AvgBase[Month 31],AvgBase[job_title],$H484),SUMIFS(AvgBase[Month 31],AvgBase[exp_item],$J484,AvgBase[company_name],$B484,AvgBase[bu_name],$C484,AvgBase[dept_name],$D484,AvgBase[team_consolidation],$K484,AvgBase[location_name],$G484,AvgBase[job_title],$H484))*(AP274+AO274)/2*(1-AP379))</f>
        <v>0</v>
      </c>
      <c r="AQ484" s="652">
        <f>IF($B484="",,IF(LEFT($H484,5)="dummy",SUMIFS(AvgBase[Month 32],AvgBase[job_title],$H484),SUMIFS(AvgBase[Month 32],AvgBase[exp_item],$J484,AvgBase[company_name],$B484,AvgBase[bu_name],$C484,AvgBase[dept_name],$D484,AvgBase[team_consolidation],$K484,AvgBase[location_name],$G484,AvgBase[job_title],$H484))*(AQ274+AP274)/2*(1-AQ379))</f>
        <v>0</v>
      </c>
      <c r="AR484" s="652">
        <f>IF($B484="",,IF(LEFT($H484,5)="dummy",SUMIFS(AvgBase[Month 33],AvgBase[job_title],$H484),SUMIFS(AvgBase[Month 33],AvgBase[exp_item],$J484,AvgBase[company_name],$B484,AvgBase[bu_name],$C484,AvgBase[dept_name],$D484,AvgBase[team_consolidation],$K484,AvgBase[location_name],$G484,AvgBase[job_title],$H484))*(AR274+AQ274)/2*(1-AR379))</f>
        <v>0</v>
      </c>
      <c r="AS484" s="652">
        <f>IF($B484="",,IF(LEFT($H484,5)="dummy",SUMIFS(AvgBase[Month 34],AvgBase[job_title],$H484),SUMIFS(AvgBase[Month 34],AvgBase[exp_item],$J484,AvgBase[company_name],$B484,AvgBase[bu_name],$C484,AvgBase[dept_name],$D484,AvgBase[team_consolidation],$K484,AvgBase[location_name],$G484,AvgBase[job_title],$H484))*(AS274+AR274)/2*(1-AS379))</f>
        <v>0</v>
      </c>
      <c r="AT484" s="652">
        <f>IF($B484="",,IF(LEFT($H484,5)="dummy",SUMIFS(AvgBase[Month 35],AvgBase[job_title],$H484),SUMIFS(AvgBase[Month 35],AvgBase[exp_item],$J484,AvgBase[company_name],$B484,AvgBase[bu_name],$C484,AvgBase[dept_name],$D484,AvgBase[team_consolidation],$K484,AvgBase[location_name],$G484,AvgBase[job_title],$H484))*(AT274+AS274)/2*(1-AT379))</f>
        <v>0</v>
      </c>
      <c r="AU484" s="652">
        <f>IF($B484="",,IF(LEFT($H484,5)="dummy",SUMIFS(AvgBase[Month 36],AvgBase[job_title],$H484),SUMIFS(AvgBase[Month 36],AvgBase[exp_item],$J484,AvgBase[company_name],$B484,AvgBase[bu_name],$C484,AvgBase[dept_name],$D484,AvgBase[team_consolidation],$K484,AvgBase[location_name],$G484,AvgBase[job_title],$H484))*(AU274+AT274)/2*(1-AU379))</f>
        <v>0</v>
      </c>
    </row>
    <row r="485" spans="2:47" x14ac:dyDescent="0.35">
      <c r="B485" t="str">
        <f t="shared" si="286"/>
        <v/>
      </c>
      <c r="C485" t="str">
        <f t="shared" si="286"/>
        <v/>
      </c>
      <c r="D485" t="str">
        <f t="shared" si="286"/>
        <v/>
      </c>
      <c r="E485" t="str">
        <f t="shared" si="286"/>
        <v/>
      </c>
      <c r="F485" t="str">
        <f t="shared" si="286"/>
        <v/>
      </c>
      <c r="G485" t="str">
        <f t="shared" si="286"/>
        <v/>
      </c>
      <c r="H485" t="str">
        <f t="shared" si="283"/>
        <v/>
      </c>
      <c r="J485" t="str">
        <f>IF($H485="","",IF(VLOOKUP($B$395,ExpItems[],2,0),$B$395&amp;" - "&amp;INDEX(DivisionMapping[category_code],MATCH($D485&amp;$C485,DivisionMapping[dept_bu],0)),$B$395))</f>
        <v/>
      </c>
      <c r="K485" t="str">
        <f t="shared" si="284"/>
        <v/>
      </c>
      <c r="L485" s="652">
        <f>IF($B485="",,IF(LEFT($H485,5)="dummy",SUMIFS(AvgBase[Month 1],AvgBase[job_title],$H485),SUMIFS(AvgBase[Month 1],AvgBase[exp_item],$J485,AvgBase[company_name],$B485,AvgBase[bu_name],$C485,AvgBase[dept_name],$D485,AvgBase[team_consolidation],$K485,AvgBase[location_name],$G485,AvgBase[job_title],$H485))*L275/2*(1-L380))</f>
        <v>0</v>
      </c>
      <c r="M485" s="652">
        <f>IF($B485="",,IF(LEFT($H485,5)="dummy",SUMIFS(AvgBase[Month 2],AvgBase[job_title],$H485),SUMIFS(AvgBase[Month 2],AvgBase[exp_item],$J485,AvgBase[company_name],$B485,AvgBase[bu_name],$C485,AvgBase[dept_name],$D485,AvgBase[team_consolidation],$K485,AvgBase[location_name],$G485,AvgBase[job_title],$H485))*(M275+L275)/2*(1-M380))</f>
        <v>0</v>
      </c>
      <c r="N485" s="652">
        <f>IF($B485="",,IF(LEFT($H485,5)="dummy",SUMIFS(AvgBase[Month 3],AvgBase[job_title],$H485),SUMIFS(AvgBase[Month 3],AvgBase[exp_item],$J485,AvgBase[company_name],$B485,AvgBase[bu_name],$C485,AvgBase[dept_name],$D485,AvgBase[team_consolidation],$K485,AvgBase[location_name],$G485,AvgBase[job_title],$H485))*(N275+M275)/2*(1-N380))</f>
        <v>0</v>
      </c>
      <c r="O485" s="652">
        <f>IF($B485="",,IF(LEFT($H485,5)="dummy",SUMIFS(AvgBase[Month 4],AvgBase[job_title],$H485),SUMIFS(AvgBase[Month 4],AvgBase[exp_item],$J485,AvgBase[company_name],$B485,AvgBase[bu_name],$C485,AvgBase[dept_name],$D485,AvgBase[team_consolidation],$K485,AvgBase[location_name],$G485,AvgBase[job_title],$H485))*(O275+N275)/2*(1-O380))</f>
        <v>0</v>
      </c>
      <c r="P485" s="652">
        <f>IF($B485="",,IF(LEFT($H485,5)="dummy",SUMIFS(AvgBase[Month 5],AvgBase[job_title],$H485),SUMIFS(AvgBase[Month 5],AvgBase[exp_item],$J485,AvgBase[company_name],$B485,AvgBase[bu_name],$C485,AvgBase[dept_name],$D485,AvgBase[team_consolidation],$K485,AvgBase[location_name],$G485,AvgBase[job_title],$H485))*(P275+O275)/2*(1-P380))</f>
        <v>0</v>
      </c>
      <c r="Q485" s="652">
        <f>IF($B485="",,IF(LEFT($H485,5)="dummy",SUMIFS(AvgBase[Month 6],AvgBase[job_title],$H485),SUMIFS(AvgBase[Month 6],AvgBase[exp_item],$J485,AvgBase[company_name],$B485,AvgBase[bu_name],$C485,AvgBase[dept_name],$D485,AvgBase[team_consolidation],$K485,AvgBase[location_name],$G485,AvgBase[job_title],$H485))*(Q275+P275)/2*(1-Q380))</f>
        <v>0</v>
      </c>
      <c r="R485" s="652">
        <f>IF($B485="",,IF(LEFT($H485,5)="dummy",SUMIFS(AvgBase[Month 7],AvgBase[job_title],$H485),SUMIFS(AvgBase[Month 7],AvgBase[exp_item],$J485,AvgBase[company_name],$B485,AvgBase[bu_name],$C485,AvgBase[dept_name],$D485,AvgBase[team_consolidation],$K485,AvgBase[location_name],$G485,AvgBase[job_title],$H485))*(R275+Q275)/2*(1-R380))</f>
        <v>0</v>
      </c>
      <c r="S485" s="652">
        <f>IF($B485="",,IF(LEFT($H485,5)="dummy",SUMIFS(AvgBase[Month 8],AvgBase[job_title],$H485),SUMIFS(AvgBase[Month 8],AvgBase[exp_item],$J485,AvgBase[company_name],$B485,AvgBase[bu_name],$C485,AvgBase[dept_name],$D485,AvgBase[team_consolidation],$K485,AvgBase[location_name],$G485,AvgBase[job_title],$H485))*(S275+R275)/2*(1-S380))</f>
        <v>0</v>
      </c>
      <c r="T485" s="652">
        <f>IF($B485="",,IF(LEFT($H485,5)="dummy",SUMIFS(AvgBase[Month 9],AvgBase[job_title],$H485),SUMIFS(AvgBase[Month 9],AvgBase[exp_item],$J485,AvgBase[company_name],$B485,AvgBase[bu_name],$C485,AvgBase[dept_name],$D485,AvgBase[team_consolidation],$K485,AvgBase[location_name],$G485,AvgBase[job_title],$H485))*(T275+S275)/2*(1-T380))</f>
        <v>0</v>
      </c>
      <c r="U485" s="652">
        <f>IF($B485="",,IF(LEFT($H485,5)="dummy",SUMIFS(AvgBase[Month 10],AvgBase[job_title],$H485),SUMIFS(AvgBase[Month 10],AvgBase[exp_item],$J485,AvgBase[company_name],$B485,AvgBase[bu_name],$C485,AvgBase[dept_name],$D485,AvgBase[team_consolidation],$K485,AvgBase[location_name],$G485,AvgBase[job_title],$H485))*(U275+T275)/2*(1-U380))</f>
        <v>0</v>
      </c>
      <c r="V485" s="652">
        <f>IF($B485="",,IF(LEFT($H485,5)="dummy",SUMIFS(AvgBase[Month 11],AvgBase[job_title],$H485),SUMIFS(AvgBase[Month 11],AvgBase[exp_item],$J485,AvgBase[company_name],$B485,AvgBase[bu_name],$C485,AvgBase[dept_name],$D485,AvgBase[team_consolidation],$K485,AvgBase[location_name],$G485,AvgBase[job_title],$H485))*(V275+U275)/2*(1-V380))</f>
        <v>0</v>
      </c>
      <c r="W485" s="652">
        <f>IF($B485="",,IF(LEFT($H485,5)="dummy",SUMIFS(AvgBase[Month 12],AvgBase[job_title],$H485),SUMIFS(AvgBase[Month 12],AvgBase[exp_item],$J485,AvgBase[company_name],$B485,AvgBase[bu_name],$C485,AvgBase[dept_name],$D485,AvgBase[team_consolidation],$K485,AvgBase[location_name],$G485,AvgBase[job_title],$H485))*(W275+V275)/2*(1-W380))</f>
        <v>0</v>
      </c>
      <c r="X485" s="652">
        <f>IF($B485="",,IF(LEFT($H485,5)="dummy",SUMIFS(AvgBase[Month 13],AvgBase[job_title],$H485),SUMIFS(AvgBase[Month 13],AvgBase[exp_item],$J485,AvgBase[company_name],$B485,AvgBase[bu_name],$C485,AvgBase[dept_name],$D485,AvgBase[team_consolidation],$K485,AvgBase[location_name],$G485,AvgBase[job_title],$H485))*(X275+W275)/2*(1-X380))</f>
        <v>0</v>
      </c>
      <c r="Y485" s="652">
        <f>IF($B485="",,IF(LEFT($H485,5)="dummy",SUMIFS(AvgBase[Month 14],AvgBase[job_title],$H485),SUMIFS(AvgBase[Month 14],AvgBase[exp_item],$J485,AvgBase[company_name],$B485,AvgBase[bu_name],$C485,AvgBase[dept_name],$D485,AvgBase[team_consolidation],$K485,AvgBase[location_name],$G485,AvgBase[job_title],$H485))*(Y275+X275)/2*(1-Y380))</f>
        <v>0</v>
      </c>
      <c r="Z485" s="652">
        <f>IF($B485="",,IF(LEFT($H485,5)="dummy",SUMIFS(AvgBase[Month 15],AvgBase[job_title],$H485),SUMIFS(AvgBase[Month 15],AvgBase[exp_item],$J485,AvgBase[company_name],$B485,AvgBase[bu_name],$C485,AvgBase[dept_name],$D485,AvgBase[team_consolidation],$K485,AvgBase[location_name],$G485,AvgBase[job_title],$H485))*(Z275+Y275)/2*(1-Z380))</f>
        <v>0</v>
      </c>
      <c r="AA485" s="652">
        <f>IF($B485="",,IF(LEFT($H485,5)="dummy",SUMIFS(AvgBase[Month 16],AvgBase[job_title],$H485),SUMIFS(AvgBase[Month 16],AvgBase[exp_item],$J485,AvgBase[company_name],$B485,AvgBase[bu_name],$C485,AvgBase[dept_name],$D485,AvgBase[team_consolidation],$K485,AvgBase[location_name],$G485,AvgBase[job_title],$H485))*(AA275+Z275)/2*(1-AA380))</f>
        <v>0</v>
      </c>
      <c r="AB485" s="652">
        <f>IF($B485="",,IF(LEFT($H485,5)="dummy",SUMIFS(AvgBase[Month 17],AvgBase[job_title],$H485),SUMIFS(AvgBase[Month 17],AvgBase[exp_item],$J485,AvgBase[company_name],$B485,AvgBase[bu_name],$C485,AvgBase[dept_name],$D485,AvgBase[team_consolidation],$K485,AvgBase[location_name],$G485,AvgBase[job_title],$H485))*(AB275+AA275)/2*(1-AB380))</f>
        <v>0</v>
      </c>
      <c r="AC485" s="652">
        <f>IF($B485="",,IF(LEFT($H485,5)="dummy",SUMIFS(AvgBase[Month 18],AvgBase[job_title],$H485),SUMIFS(AvgBase[Month 18],AvgBase[exp_item],$J485,AvgBase[company_name],$B485,AvgBase[bu_name],$C485,AvgBase[dept_name],$D485,AvgBase[team_consolidation],$K485,AvgBase[location_name],$G485,AvgBase[job_title],$H485))*(AC275+AB275)/2*(1-AC380))</f>
        <v>0</v>
      </c>
      <c r="AD485" s="652">
        <f>IF($B485="",,IF(LEFT($H485,5)="dummy",SUMIFS(AvgBase[Month 19],AvgBase[job_title],$H485),SUMIFS(AvgBase[Month 19],AvgBase[exp_item],$J485,AvgBase[company_name],$B485,AvgBase[bu_name],$C485,AvgBase[dept_name],$D485,AvgBase[team_consolidation],$K485,AvgBase[location_name],$G485,AvgBase[job_title],$H485))*(AD275+AC275)/2*(1-AD380))</f>
        <v>0</v>
      </c>
      <c r="AE485" s="652">
        <f>IF($B485="",,IF(LEFT($H485,5)="dummy",SUMIFS(AvgBase[Month 20],AvgBase[job_title],$H485),SUMIFS(AvgBase[Month 20],AvgBase[exp_item],$J485,AvgBase[company_name],$B485,AvgBase[bu_name],$C485,AvgBase[dept_name],$D485,AvgBase[team_consolidation],$K485,AvgBase[location_name],$G485,AvgBase[job_title],$H485))*(AE275+AD275)/2*(1-AE380))</f>
        <v>0</v>
      </c>
      <c r="AF485" s="652">
        <f>IF($B485="",,IF(LEFT($H485,5)="dummy",SUMIFS(AvgBase[Month 21],AvgBase[job_title],$H485),SUMIFS(AvgBase[Month 21],AvgBase[exp_item],$J485,AvgBase[company_name],$B485,AvgBase[bu_name],$C485,AvgBase[dept_name],$D485,AvgBase[team_consolidation],$K485,AvgBase[location_name],$G485,AvgBase[job_title],$H485))*(AF275+AE275)/2*(1-AF380))</f>
        <v>0</v>
      </c>
      <c r="AG485" s="652">
        <f>IF($B485="",,IF(LEFT($H485,5)="dummy",SUMIFS(AvgBase[Month 22],AvgBase[job_title],$H485),SUMIFS(AvgBase[Month 22],AvgBase[exp_item],$J485,AvgBase[company_name],$B485,AvgBase[bu_name],$C485,AvgBase[dept_name],$D485,AvgBase[team_consolidation],$K485,AvgBase[location_name],$G485,AvgBase[job_title],$H485))*(AG275+AF275)/2*(1-AG380))</f>
        <v>0</v>
      </c>
      <c r="AH485" s="652">
        <f>IF($B485="",,IF(LEFT($H485,5)="dummy",SUMIFS(AvgBase[Month 23],AvgBase[job_title],$H485),SUMIFS(AvgBase[Month 23],AvgBase[exp_item],$J485,AvgBase[company_name],$B485,AvgBase[bu_name],$C485,AvgBase[dept_name],$D485,AvgBase[team_consolidation],$K485,AvgBase[location_name],$G485,AvgBase[job_title],$H485))*(AH275+AG275)/2*(1-AH380))</f>
        <v>0</v>
      </c>
      <c r="AI485" s="652">
        <f>IF($B485="",,IF(LEFT($H485,5)="dummy",SUMIFS(AvgBase[Month 24],AvgBase[job_title],$H485),SUMIFS(AvgBase[Month 24],AvgBase[exp_item],$J485,AvgBase[company_name],$B485,AvgBase[bu_name],$C485,AvgBase[dept_name],$D485,AvgBase[team_consolidation],$K485,AvgBase[location_name],$G485,AvgBase[job_title],$H485))*(AI275+AH275)/2*(1-AI380))</f>
        <v>0</v>
      </c>
      <c r="AJ485" s="652">
        <f>IF($B485="",,IF(LEFT($H485,5)="dummy",SUMIFS(AvgBase[Month 25],AvgBase[job_title],$H485),SUMIFS(AvgBase[Month 25],AvgBase[exp_item],$J485,AvgBase[company_name],$B485,AvgBase[bu_name],$C485,AvgBase[dept_name],$D485,AvgBase[team_consolidation],$K485,AvgBase[location_name],$G485,AvgBase[job_title],$H485))*(AJ275+AI275)/2*(1-AJ380))</f>
        <v>0</v>
      </c>
      <c r="AK485" s="652">
        <f>IF($B485="",,IF(LEFT($H485,5)="dummy",SUMIFS(AvgBase[Month 26],AvgBase[job_title],$H485),SUMIFS(AvgBase[Month 26],AvgBase[exp_item],$J485,AvgBase[company_name],$B485,AvgBase[bu_name],$C485,AvgBase[dept_name],$D485,AvgBase[team_consolidation],$K485,AvgBase[location_name],$G485,AvgBase[job_title],$H485))*(AK275+AJ275)/2*(1-AK380))</f>
        <v>0</v>
      </c>
      <c r="AL485" s="652">
        <f>IF($B485="",,IF(LEFT($H485,5)="dummy",SUMIFS(AvgBase[Month 27],AvgBase[job_title],$H485),SUMIFS(AvgBase[Month 27],AvgBase[exp_item],$J485,AvgBase[company_name],$B485,AvgBase[bu_name],$C485,AvgBase[dept_name],$D485,AvgBase[team_consolidation],$K485,AvgBase[location_name],$G485,AvgBase[job_title],$H485))*(AL275+AK275)/2*(1-AL380))</f>
        <v>0</v>
      </c>
      <c r="AM485" s="652">
        <f>IF($B485="",,IF(LEFT($H485,5)="dummy",SUMIFS(AvgBase[Month 28],AvgBase[job_title],$H485),SUMIFS(AvgBase[Month 28],AvgBase[exp_item],$J485,AvgBase[company_name],$B485,AvgBase[bu_name],$C485,AvgBase[dept_name],$D485,AvgBase[team_consolidation],$K485,AvgBase[location_name],$G485,AvgBase[job_title],$H485))*(AM275+AL275)/2*(1-AM380))</f>
        <v>0</v>
      </c>
      <c r="AN485" s="652">
        <f>IF($B485="",,IF(LEFT($H485,5)="dummy",SUMIFS(AvgBase[Month 29],AvgBase[job_title],$H485),SUMIFS(AvgBase[Month 29],AvgBase[exp_item],$J485,AvgBase[company_name],$B485,AvgBase[bu_name],$C485,AvgBase[dept_name],$D485,AvgBase[team_consolidation],$K485,AvgBase[location_name],$G485,AvgBase[job_title],$H485))*(AN275+AM275)/2*(1-AN380))</f>
        <v>0</v>
      </c>
      <c r="AO485" s="652">
        <f>IF($B485="",,IF(LEFT($H485,5)="dummy",SUMIFS(AvgBase[Month 30],AvgBase[job_title],$H485),SUMIFS(AvgBase[Month 30],AvgBase[exp_item],$J485,AvgBase[company_name],$B485,AvgBase[bu_name],$C485,AvgBase[dept_name],$D485,AvgBase[team_consolidation],$K485,AvgBase[location_name],$G485,AvgBase[job_title],$H485))*(AO275+AN275)/2*(1-AO380))</f>
        <v>0</v>
      </c>
      <c r="AP485" s="652">
        <f>IF($B485="",,IF(LEFT($H485,5)="dummy",SUMIFS(AvgBase[Month 31],AvgBase[job_title],$H485),SUMIFS(AvgBase[Month 31],AvgBase[exp_item],$J485,AvgBase[company_name],$B485,AvgBase[bu_name],$C485,AvgBase[dept_name],$D485,AvgBase[team_consolidation],$K485,AvgBase[location_name],$G485,AvgBase[job_title],$H485))*(AP275+AO275)/2*(1-AP380))</f>
        <v>0</v>
      </c>
      <c r="AQ485" s="652">
        <f>IF($B485="",,IF(LEFT($H485,5)="dummy",SUMIFS(AvgBase[Month 32],AvgBase[job_title],$H485),SUMIFS(AvgBase[Month 32],AvgBase[exp_item],$J485,AvgBase[company_name],$B485,AvgBase[bu_name],$C485,AvgBase[dept_name],$D485,AvgBase[team_consolidation],$K485,AvgBase[location_name],$G485,AvgBase[job_title],$H485))*(AQ275+AP275)/2*(1-AQ380))</f>
        <v>0</v>
      </c>
      <c r="AR485" s="652">
        <f>IF($B485="",,IF(LEFT($H485,5)="dummy",SUMIFS(AvgBase[Month 33],AvgBase[job_title],$H485),SUMIFS(AvgBase[Month 33],AvgBase[exp_item],$J485,AvgBase[company_name],$B485,AvgBase[bu_name],$C485,AvgBase[dept_name],$D485,AvgBase[team_consolidation],$K485,AvgBase[location_name],$G485,AvgBase[job_title],$H485))*(AR275+AQ275)/2*(1-AR380))</f>
        <v>0</v>
      </c>
      <c r="AS485" s="652">
        <f>IF($B485="",,IF(LEFT($H485,5)="dummy",SUMIFS(AvgBase[Month 34],AvgBase[job_title],$H485),SUMIFS(AvgBase[Month 34],AvgBase[exp_item],$J485,AvgBase[company_name],$B485,AvgBase[bu_name],$C485,AvgBase[dept_name],$D485,AvgBase[team_consolidation],$K485,AvgBase[location_name],$G485,AvgBase[job_title],$H485))*(AS275+AR275)/2*(1-AS380))</f>
        <v>0</v>
      </c>
      <c r="AT485" s="652">
        <f>IF($B485="",,IF(LEFT($H485,5)="dummy",SUMIFS(AvgBase[Month 35],AvgBase[job_title],$H485),SUMIFS(AvgBase[Month 35],AvgBase[exp_item],$J485,AvgBase[company_name],$B485,AvgBase[bu_name],$C485,AvgBase[dept_name],$D485,AvgBase[team_consolidation],$K485,AvgBase[location_name],$G485,AvgBase[job_title],$H485))*(AT275+AS275)/2*(1-AT380))</f>
        <v>0</v>
      </c>
      <c r="AU485" s="652">
        <f>IF($B485="",,IF(LEFT($H485,5)="dummy",SUMIFS(AvgBase[Month 36],AvgBase[job_title],$H485),SUMIFS(AvgBase[Month 36],AvgBase[exp_item],$J485,AvgBase[company_name],$B485,AvgBase[bu_name],$C485,AvgBase[dept_name],$D485,AvgBase[team_consolidation],$K485,AvgBase[location_name],$G485,AvgBase[job_title],$H485))*(AU275+AT275)/2*(1-AU380))</f>
        <v>0</v>
      </c>
    </row>
    <row r="486" spans="2:47" x14ac:dyDescent="0.35">
      <c r="B486" t="str">
        <f t="shared" ref="B486:G495" si="287">IF(B381="","",B381)</f>
        <v/>
      </c>
      <c r="C486" t="str">
        <f t="shared" si="287"/>
        <v/>
      </c>
      <c r="D486" t="str">
        <f t="shared" si="287"/>
        <v/>
      </c>
      <c r="E486" t="str">
        <f t="shared" si="287"/>
        <v/>
      </c>
      <c r="F486" t="str">
        <f t="shared" si="287"/>
        <v/>
      </c>
      <c r="G486" t="str">
        <f t="shared" si="287"/>
        <v/>
      </c>
      <c r="H486" t="str">
        <f t="shared" si="283"/>
        <v/>
      </c>
      <c r="J486" t="str">
        <f>IF($H486="","",IF(VLOOKUP($B$395,ExpItems[],2,0),$B$395&amp;" - "&amp;INDEX(DivisionMapping[category_code],MATCH($D486&amp;$C486,DivisionMapping[dept_bu],0)),$B$395))</f>
        <v/>
      </c>
      <c r="K486" t="str">
        <f t="shared" si="284"/>
        <v/>
      </c>
      <c r="L486" s="652">
        <f>IF($B486="",,IF(LEFT($H486,5)="dummy",SUMIFS(AvgBase[Month 1],AvgBase[job_title],$H486),SUMIFS(AvgBase[Month 1],AvgBase[exp_item],$J486,AvgBase[company_name],$B486,AvgBase[bu_name],$C486,AvgBase[dept_name],$D486,AvgBase[team_consolidation],$K486,AvgBase[location_name],$G486,AvgBase[job_title],$H486))*L276/2*(1-L381))</f>
        <v>0</v>
      </c>
      <c r="M486" s="652">
        <f>IF($B486="",,IF(LEFT($H486,5)="dummy",SUMIFS(AvgBase[Month 2],AvgBase[job_title],$H486),SUMIFS(AvgBase[Month 2],AvgBase[exp_item],$J486,AvgBase[company_name],$B486,AvgBase[bu_name],$C486,AvgBase[dept_name],$D486,AvgBase[team_consolidation],$K486,AvgBase[location_name],$G486,AvgBase[job_title],$H486))*(M276+L276)/2*(1-M381))</f>
        <v>0</v>
      </c>
      <c r="N486" s="652">
        <f>IF($B486="",,IF(LEFT($H486,5)="dummy",SUMIFS(AvgBase[Month 3],AvgBase[job_title],$H486),SUMIFS(AvgBase[Month 3],AvgBase[exp_item],$J486,AvgBase[company_name],$B486,AvgBase[bu_name],$C486,AvgBase[dept_name],$D486,AvgBase[team_consolidation],$K486,AvgBase[location_name],$G486,AvgBase[job_title],$H486))*(N276+M276)/2*(1-N381))</f>
        <v>0</v>
      </c>
      <c r="O486" s="652">
        <f>IF($B486="",,IF(LEFT($H486,5)="dummy",SUMIFS(AvgBase[Month 4],AvgBase[job_title],$H486),SUMIFS(AvgBase[Month 4],AvgBase[exp_item],$J486,AvgBase[company_name],$B486,AvgBase[bu_name],$C486,AvgBase[dept_name],$D486,AvgBase[team_consolidation],$K486,AvgBase[location_name],$G486,AvgBase[job_title],$H486))*(O276+N276)/2*(1-O381))</f>
        <v>0</v>
      </c>
      <c r="P486" s="652">
        <f>IF($B486="",,IF(LEFT($H486,5)="dummy",SUMIFS(AvgBase[Month 5],AvgBase[job_title],$H486),SUMIFS(AvgBase[Month 5],AvgBase[exp_item],$J486,AvgBase[company_name],$B486,AvgBase[bu_name],$C486,AvgBase[dept_name],$D486,AvgBase[team_consolidation],$K486,AvgBase[location_name],$G486,AvgBase[job_title],$H486))*(P276+O276)/2*(1-P381))</f>
        <v>0</v>
      </c>
      <c r="Q486" s="652">
        <f>IF($B486="",,IF(LEFT($H486,5)="dummy",SUMIFS(AvgBase[Month 6],AvgBase[job_title],$H486),SUMIFS(AvgBase[Month 6],AvgBase[exp_item],$J486,AvgBase[company_name],$B486,AvgBase[bu_name],$C486,AvgBase[dept_name],$D486,AvgBase[team_consolidation],$K486,AvgBase[location_name],$G486,AvgBase[job_title],$H486))*(Q276+P276)/2*(1-Q381))</f>
        <v>0</v>
      </c>
      <c r="R486" s="652">
        <f>IF($B486="",,IF(LEFT($H486,5)="dummy",SUMIFS(AvgBase[Month 7],AvgBase[job_title],$H486),SUMIFS(AvgBase[Month 7],AvgBase[exp_item],$J486,AvgBase[company_name],$B486,AvgBase[bu_name],$C486,AvgBase[dept_name],$D486,AvgBase[team_consolidation],$K486,AvgBase[location_name],$G486,AvgBase[job_title],$H486))*(R276+Q276)/2*(1-R381))</f>
        <v>0</v>
      </c>
      <c r="S486" s="652">
        <f>IF($B486="",,IF(LEFT($H486,5)="dummy",SUMIFS(AvgBase[Month 8],AvgBase[job_title],$H486),SUMIFS(AvgBase[Month 8],AvgBase[exp_item],$J486,AvgBase[company_name],$B486,AvgBase[bu_name],$C486,AvgBase[dept_name],$D486,AvgBase[team_consolidation],$K486,AvgBase[location_name],$G486,AvgBase[job_title],$H486))*(S276+R276)/2*(1-S381))</f>
        <v>0</v>
      </c>
      <c r="T486" s="652">
        <f>IF($B486="",,IF(LEFT($H486,5)="dummy",SUMIFS(AvgBase[Month 9],AvgBase[job_title],$H486),SUMIFS(AvgBase[Month 9],AvgBase[exp_item],$J486,AvgBase[company_name],$B486,AvgBase[bu_name],$C486,AvgBase[dept_name],$D486,AvgBase[team_consolidation],$K486,AvgBase[location_name],$G486,AvgBase[job_title],$H486))*(T276+S276)/2*(1-T381))</f>
        <v>0</v>
      </c>
      <c r="U486" s="652">
        <f>IF($B486="",,IF(LEFT($H486,5)="dummy",SUMIFS(AvgBase[Month 10],AvgBase[job_title],$H486),SUMIFS(AvgBase[Month 10],AvgBase[exp_item],$J486,AvgBase[company_name],$B486,AvgBase[bu_name],$C486,AvgBase[dept_name],$D486,AvgBase[team_consolidation],$K486,AvgBase[location_name],$G486,AvgBase[job_title],$H486))*(U276+T276)/2*(1-U381))</f>
        <v>0</v>
      </c>
      <c r="V486" s="652">
        <f>IF($B486="",,IF(LEFT($H486,5)="dummy",SUMIFS(AvgBase[Month 11],AvgBase[job_title],$H486),SUMIFS(AvgBase[Month 11],AvgBase[exp_item],$J486,AvgBase[company_name],$B486,AvgBase[bu_name],$C486,AvgBase[dept_name],$D486,AvgBase[team_consolidation],$K486,AvgBase[location_name],$G486,AvgBase[job_title],$H486))*(V276+U276)/2*(1-V381))</f>
        <v>0</v>
      </c>
      <c r="W486" s="652">
        <f>IF($B486="",,IF(LEFT($H486,5)="dummy",SUMIFS(AvgBase[Month 12],AvgBase[job_title],$H486),SUMIFS(AvgBase[Month 12],AvgBase[exp_item],$J486,AvgBase[company_name],$B486,AvgBase[bu_name],$C486,AvgBase[dept_name],$D486,AvgBase[team_consolidation],$K486,AvgBase[location_name],$G486,AvgBase[job_title],$H486))*(W276+V276)/2*(1-W381))</f>
        <v>0</v>
      </c>
      <c r="X486" s="652">
        <f>IF($B486="",,IF(LEFT($H486,5)="dummy",SUMIFS(AvgBase[Month 13],AvgBase[job_title],$H486),SUMIFS(AvgBase[Month 13],AvgBase[exp_item],$J486,AvgBase[company_name],$B486,AvgBase[bu_name],$C486,AvgBase[dept_name],$D486,AvgBase[team_consolidation],$K486,AvgBase[location_name],$G486,AvgBase[job_title],$H486))*(X276+W276)/2*(1-X381))</f>
        <v>0</v>
      </c>
      <c r="Y486" s="652">
        <f>IF($B486="",,IF(LEFT($H486,5)="dummy",SUMIFS(AvgBase[Month 14],AvgBase[job_title],$H486),SUMIFS(AvgBase[Month 14],AvgBase[exp_item],$J486,AvgBase[company_name],$B486,AvgBase[bu_name],$C486,AvgBase[dept_name],$D486,AvgBase[team_consolidation],$K486,AvgBase[location_name],$G486,AvgBase[job_title],$H486))*(Y276+X276)/2*(1-Y381))</f>
        <v>0</v>
      </c>
      <c r="Z486" s="652">
        <f>IF($B486="",,IF(LEFT($H486,5)="dummy",SUMIFS(AvgBase[Month 15],AvgBase[job_title],$H486),SUMIFS(AvgBase[Month 15],AvgBase[exp_item],$J486,AvgBase[company_name],$B486,AvgBase[bu_name],$C486,AvgBase[dept_name],$D486,AvgBase[team_consolidation],$K486,AvgBase[location_name],$G486,AvgBase[job_title],$H486))*(Z276+Y276)/2*(1-Z381))</f>
        <v>0</v>
      </c>
      <c r="AA486" s="652">
        <f>IF($B486="",,IF(LEFT($H486,5)="dummy",SUMIFS(AvgBase[Month 16],AvgBase[job_title],$H486),SUMIFS(AvgBase[Month 16],AvgBase[exp_item],$J486,AvgBase[company_name],$B486,AvgBase[bu_name],$C486,AvgBase[dept_name],$D486,AvgBase[team_consolidation],$K486,AvgBase[location_name],$G486,AvgBase[job_title],$H486))*(AA276+Z276)/2*(1-AA381))</f>
        <v>0</v>
      </c>
      <c r="AB486" s="652">
        <f>IF($B486="",,IF(LEFT($H486,5)="dummy",SUMIFS(AvgBase[Month 17],AvgBase[job_title],$H486),SUMIFS(AvgBase[Month 17],AvgBase[exp_item],$J486,AvgBase[company_name],$B486,AvgBase[bu_name],$C486,AvgBase[dept_name],$D486,AvgBase[team_consolidation],$K486,AvgBase[location_name],$G486,AvgBase[job_title],$H486))*(AB276+AA276)/2*(1-AB381))</f>
        <v>0</v>
      </c>
      <c r="AC486" s="652">
        <f>IF($B486="",,IF(LEFT($H486,5)="dummy",SUMIFS(AvgBase[Month 18],AvgBase[job_title],$H486),SUMIFS(AvgBase[Month 18],AvgBase[exp_item],$J486,AvgBase[company_name],$B486,AvgBase[bu_name],$C486,AvgBase[dept_name],$D486,AvgBase[team_consolidation],$K486,AvgBase[location_name],$G486,AvgBase[job_title],$H486))*(AC276+AB276)/2*(1-AC381))</f>
        <v>0</v>
      </c>
      <c r="AD486" s="652">
        <f>IF($B486="",,IF(LEFT($H486,5)="dummy",SUMIFS(AvgBase[Month 19],AvgBase[job_title],$H486),SUMIFS(AvgBase[Month 19],AvgBase[exp_item],$J486,AvgBase[company_name],$B486,AvgBase[bu_name],$C486,AvgBase[dept_name],$D486,AvgBase[team_consolidation],$K486,AvgBase[location_name],$G486,AvgBase[job_title],$H486))*(AD276+AC276)/2*(1-AD381))</f>
        <v>0</v>
      </c>
      <c r="AE486" s="652">
        <f>IF($B486="",,IF(LEFT($H486,5)="dummy",SUMIFS(AvgBase[Month 20],AvgBase[job_title],$H486),SUMIFS(AvgBase[Month 20],AvgBase[exp_item],$J486,AvgBase[company_name],$B486,AvgBase[bu_name],$C486,AvgBase[dept_name],$D486,AvgBase[team_consolidation],$K486,AvgBase[location_name],$G486,AvgBase[job_title],$H486))*(AE276+AD276)/2*(1-AE381))</f>
        <v>0</v>
      </c>
      <c r="AF486" s="652">
        <f>IF($B486="",,IF(LEFT($H486,5)="dummy",SUMIFS(AvgBase[Month 21],AvgBase[job_title],$H486),SUMIFS(AvgBase[Month 21],AvgBase[exp_item],$J486,AvgBase[company_name],$B486,AvgBase[bu_name],$C486,AvgBase[dept_name],$D486,AvgBase[team_consolidation],$K486,AvgBase[location_name],$G486,AvgBase[job_title],$H486))*(AF276+AE276)/2*(1-AF381))</f>
        <v>0</v>
      </c>
      <c r="AG486" s="652">
        <f>IF($B486="",,IF(LEFT($H486,5)="dummy",SUMIFS(AvgBase[Month 22],AvgBase[job_title],$H486),SUMIFS(AvgBase[Month 22],AvgBase[exp_item],$J486,AvgBase[company_name],$B486,AvgBase[bu_name],$C486,AvgBase[dept_name],$D486,AvgBase[team_consolidation],$K486,AvgBase[location_name],$G486,AvgBase[job_title],$H486))*(AG276+AF276)/2*(1-AG381))</f>
        <v>0</v>
      </c>
      <c r="AH486" s="652">
        <f>IF($B486="",,IF(LEFT($H486,5)="dummy",SUMIFS(AvgBase[Month 23],AvgBase[job_title],$H486),SUMIFS(AvgBase[Month 23],AvgBase[exp_item],$J486,AvgBase[company_name],$B486,AvgBase[bu_name],$C486,AvgBase[dept_name],$D486,AvgBase[team_consolidation],$K486,AvgBase[location_name],$G486,AvgBase[job_title],$H486))*(AH276+AG276)/2*(1-AH381))</f>
        <v>0</v>
      </c>
      <c r="AI486" s="652">
        <f>IF($B486="",,IF(LEFT($H486,5)="dummy",SUMIFS(AvgBase[Month 24],AvgBase[job_title],$H486),SUMIFS(AvgBase[Month 24],AvgBase[exp_item],$J486,AvgBase[company_name],$B486,AvgBase[bu_name],$C486,AvgBase[dept_name],$D486,AvgBase[team_consolidation],$K486,AvgBase[location_name],$G486,AvgBase[job_title],$H486))*(AI276+AH276)/2*(1-AI381))</f>
        <v>0</v>
      </c>
      <c r="AJ486" s="652">
        <f>IF($B486="",,IF(LEFT($H486,5)="dummy",SUMIFS(AvgBase[Month 25],AvgBase[job_title],$H486),SUMIFS(AvgBase[Month 25],AvgBase[exp_item],$J486,AvgBase[company_name],$B486,AvgBase[bu_name],$C486,AvgBase[dept_name],$D486,AvgBase[team_consolidation],$K486,AvgBase[location_name],$G486,AvgBase[job_title],$H486))*(AJ276+AI276)/2*(1-AJ381))</f>
        <v>0</v>
      </c>
      <c r="AK486" s="652">
        <f>IF($B486="",,IF(LEFT($H486,5)="dummy",SUMIFS(AvgBase[Month 26],AvgBase[job_title],$H486),SUMIFS(AvgBase[Month 26],AvgBase[exp_item],$J486,AvgBase[company_name],$B486,AvgBase[bu_name],$C486,AvgBase[dept_name],$D486,AvgBase[team_consolidation],$K486,AvgBase[location_name],$G486,AvgBase[job_title],$H486))*(AK276+AJ276)/2*(1-AK381))</f>
        <v>0</v>
      </c>
      <c r="AL486" s="652">
        <f>IF($B486="",,IF(LEFT($H486,5)="dummy",SUMIFS(AvgBase[Month 27],AvgBase[job_title],$H486),SUMIFS(AvgBase[Month 27],AvgBase[exp_item],$J486,AvgBase[company_name],$B486,AvgBase[bu_name],$C486,AvgBase[dept_name],$D486,AvgBase[team_consolidation],$K486,AvgBase[location_name],$G486,AvgBase[job_title],$H486))*(AL276+AK276)/2*(1-AL381))</f>
        <v>0</v>
      </c>
      <c r="AM486" s="652">
        <f>IF($B486="",,IF(LEFT($H486,5)="dummy",SUMIFS(AvgBase[Month 28],AvgBase[job_title],$H486),SUMIFS(AvgBase[Month 28],AvgBase[exp_item],$J486,AvgBase[company_name],$B486,AvgBase[bu_name],$C486,AvgBase[dept_name],$D486,AvgBase[team_consolidation],$K486,AvgBase[location_name],$G486,AvgBase[job_title],$H486))*(AM276+AL276)/2*(1-AM381))</f>
        <v>0</v>
      </c>
      <c r="AN486" s="652">
        <f>IF($B486="",,IF(LEFT($H486,5)="dummy",SUMIFS(AvgBase[Month 29],AvgBase[job_title],$H486),SUMIFS(AvgBase[Month 29],AvgBase[exp_item],$J486,AvgBase[company_name],$B486,AvgBase[bu_name],$C486,AvgBase[dept_name],$D486,AvgBase[team_consolidation],$K486,AvgBase[location_name],$G486,AvgBase[job_title],$H486))*(AN276+AM276)/2*(1-AN381))</f>
        <v>0</v>
      </c>
      <c r="AO486" s="652">
        <f>IF($B486="",,IF(LEFT($H486,5)="dummy",SUMIFS(AvgBase[Month 30],AvgBase[job_title],$H486),SUMIFS(AvgBase[Month 30],AvgBase[exp_item],$J486,AvgBase[company_name],$B486,AvgBase[bu_name],$C486,AvgBase[dept_name],$D486,AvgBase[team_consolidation],$K486,AvgBase[location_name],$G486,AvgBase[job_title],$H486))*(AO276+AN276)/2*(1-AO381))</f>
        <v>0</v>
      </c>
      <c r="AP486" s="652">
        <f>IF($B486="",,IF(LEFT($H486,5)="dummy",SUMIFS(AvgBase[Month 31],AvgBase[job_title],$H486),SUMIFS(AvgBase[Month 31],AvgBase[exp_item],$J486,AvgBase[company_name],$B486,AvgBase[bu_name],$C486,AvgBase[dept_name],$D486,AvgBase[team_consolidation],$K486,AvgBase[location_name],$G486,AvgBase[job_title],$H486))*(AP276+AO276)/2*(1-AP381))</f>
        <v>0</v>
      </c>
      <c r="AQ486" s="652">
        <f>IF($B486="",,IF(LEFT($H486,5)="dummy",SUMIFS(AvgBase[Month 32],AvgBase[job_title],$H486),SUMIFS(AvgBase[Month 32],AvgBase[exp_item],$J486,AvgBase[company_name],$B486,AvgBase[bu_name],$C486,AvgBase[dept_name],$D486,AvgBase[team_consolidation],$K486,AvgBase[location_name],$G486,AvgBase[job_title],$H486))*(AQ276+AP276)/2*(1-AQ381))</f>
        <v>0</v>
      </c>
      <c r="AR486" s="652">
        <f>IF($B486="",,IF(LEFT($H486,5)="dummy",SUMIFS(AvgBase[Month 33],AvgBase[job_title],$H486),SUMIFS(AvgBase[Month 33],AvgBase[exp_item],$J486,AvgBase[company_name],$B486,AvgBase[bu_name],$C486,AvgBase[dept_name],$D486,AvgBase[team_consolidation],$K486,AvgBase[location_name],$G486,AvgBase[job_title],$H486))*(AR276+AQ276)/2*(1-AR381))</f>
        <v>0</v>
      </c>
      <c r="AS486" s="652">
        <f>IF($B486="",,IF(LEFT($H486,5)="dummy",SUMIFS(AvgBase[Month 34],AvgBase[job_title],$H486),SUMIFS(AvgBase[Month 34],AvgBase[exp_item],$J486,AvgBase[company_name],$B486,AvgBase[bu_name],$C486,AvgBase[dept_name],$D486,AvgBase[team_consolidation],$K486,AvgBase[location_name],$G486,AvgBase[job_title],$H486))*(AS276+AR276)/2*(1-AS381))</f>
        <v>0</v>
      </c>
      <c r="AT486" s="652">
        <f>IF($B486="",,IF(LEFT($H486,5)="dummy",SUMIFS(AvgBase[Month 35],AvgBase[job_title],$H486),SUMIFS(AvgBase[Month 35],AvgBase[exp_item],$J486,AvgBase[company_name],$B486,AvgBase[bu_name],$C486,AvgBase[dept_name],$D486,AvgBase[team_consolidation],$K486,AvgBase[location_name],$G486,AvgBase[job_title],$H486))*(AT276+AS276)/2*(1-AT381))</f>
        <v>0</v>
      </c>
      <c r="AU486" s="652">
        <f>IF($B486="",,IF(LEFT($H486,5)="dummy",SUMIFS(AvgBase[Month 36],AvgBase[job_title],$H486),SUMIFS(AvgBase[Month 36],AvgBase[exp_item],$J486,AvgBase[company_name],$B486,AvgBase[bu_name],$C486,AvgBase[dept_name],$D486,AvgBase[team_consolidation],$K486,AvgBase[location_name],$G486,AvgBase[job_title],$H486))*(AU276+AT276)/2*(1-AU381))</f>
        <v>0</v>
      </c>
    </row>
    <row r="487" spans="2:47" x14ac:dyDescent="0.35">
      <c r="B487" t="str">
        <f t="shared" si="287"/>
        <v/>
      </c>
      <c r="C487" t="str">
        <f t="shared" si="287"/>
        <v/>
      </c>
      <c r="D487" t="str">
        <f t="shared" si="287"/>
        <v/>
      </c>
      <c r="E487" t="str">
        <f t="shared" si="287"/>
        <v/>
      </c>
      <c r="F487" t="str">
        <f t="shared" si="287"/>
        <v/>
      </c>
      <c r="G487" t="str">
        <f t="shared" si="287"/>
        <v/>
      </c>
      <c r="H487" t="str">
        <f t="shared" si="283"/>
        <v/>
      </c>
      <c r="J487" t="str">
        <f>IF($H487="","",IF(VLOOKUP($B$395,ExpItems[],2,0),$B$395&amp;" - "&amp;INDEX(DivisionMapping[category_code],MATCH($D487&amp;$C487,DivisionMapping[dept_bu],0)),$B$395))</f>
        <v/>
      </c>
      <c r="K487" t="str">
        <f t="shared" si="284"/>
        <v/>
      </c>
      <c r="L487" s="652">
        <f>IF($B487="",,IF(LEFT($H487,5)="dummy",SUMIFS(AvgBase[Month 1],AvgBase[job_title],$H487),SUMIFS(AvgBase[Month 1],AvgBase[exp_item],$J487,AvgBase[company_name],$B487,AvgBase[bu_name],$C487,AvgBase[dept_name],$D487,AvgBase[team_consolidation],$K487,AvgBase[location_name],$G487,AvgBase[job_title],$H487))*L277/2*(1-L382))</f>
        <v>0</v>
      </c>
      <c r="M487" s="652">
        <f>IF($B487="",,IF(LEFT($H487,5)="dummy",SUMIFS(AvgBase[Month 2],AvgBase[job_title],$H487),SUMIFS(AvgBase[Month 2],AvgBase[exp_item],$J487,AvgBase[company_name],$B487,AvgBase[bu_name],$C487,AvgBase[dept_name],$D487,AvgBase[team_consolidation],$K487,AvgBase[location_name],$G487,AvgBase[job_title],$H487))*(M277+L277)/2*(1-M382))</f>
        <v>0</v>
      </c>
      <c r="N487" s="652">
        <f>IF($B487="",,IF(LEFT($H487,5)="dummy",SUMIFS(AvgBase[Month 3],AvgBase[job_title],$H487),SUMIFS(AvgBase[Month 3],AvgBase[exp_item],$J487,AvgBase[company_name],$B487,AvgBase[bu_name],$C487,AvgBase[dept_name],$D487,AvgBase[team_consolidation],$K487,AvgBase[location_name],$G487,AvgBase[job_title],$H487))*(N277+M277)/2*(1-N382))</f>
        <v>0</v>
      </c>
      <c r="O487" s="652">
        <f>IF($B487="",,IF(LEFT($H487,5)="dummy",SUMIFS(AvgBase[Month 4],AvgBase[job_title],$H487),SUMIFS(AvgBase[Month 4],AvgBase[exp_item],$J487,AvgBase[company_name],$B487,AvgBase[bu_name],$C487,AvgBase[dept_name],$D487,AvgBase[team_consolidation],$K487,AvgBase[location_name],$G487,AvgBase[job_title],$H487))*(O277+N277)/2*(1-O382))</f>
        <v>0</v>
      </c>
      <c r="P487" s="652">
        <f>IF($B487="",,IF(LEFT($H487,5)="dummy",SUMIFS(AvgBase[Month 5],AvgBase[job_title],$H487),SUMIFS(AvgBase[Month 5],AvgBase[exp_item],$J487,AvgBase[company_name],$B487,AvgBase[bu_name],$C487,AvgBase[dept_name],$D487,AvgBase[team_consolidation],$K487,AvgBase[location_name],$G487,AvgBase[job_title],$H487))*(P277+O277)/2*(1-P382))</f>
        <v>0</v>
      </c>
      <c r="Q487" s="652">
        <f>IF($B487="",,IF(LEFT($H487,5)="dummy",SUMIFS(AvgBase[Month 6],AvgBase[job_title],$H487),SUMIFS(AvgBase[Month 6],AvgBase[exp_item],$J487,AvgBase[company_name],$B487,AvgBase[bu_name],$C487,AvgBase[dept_name],$D487,AvgBase[team_consolidation],$K487,AvgBase[location_name],$G487,AvgBase[job_title],$H487))*(Q277+P277)/2*(1-Q382))</f>
        <v>0</v>
      </c>
      <c r="R487" s="652">
        <f>IF($B487="",,IF(LEFT($H487,5)="dummy",SUMIFS(AvgBase[Month 7],AvgBase[job_title],$H487),SUMIFS(AvgBase[Month 7],AvgBase[exp_item],$J487,AvgBase[company_name],$B487,AvgBase[bu_name],$C487,AvgBase[dept_name],$D487,AvgBase[team_consolidation],$K487,AvgBase[location_name],$G487,AvgBase[job_title],$H487))*(R277+Q277)/2*(1-R382))</f>
        <v>0</v>
      </c>
      <c r="S487" s="652">
        <f>IF($B487="",,IF(LEFT($H487,5)="dummy",SUMIFS(AvgBase[Month 8],AvgBase[job_title],$H487),SUMIFS(AvgBase[Month 8],AvgBase[exp_item],$J487,AvgBase[company_name],$B487,AvgBase[bu_name],$C487,AvgBase[dept_name],$D487,AvgBase[team_consolidation],$K487,AvgBase[location_name],$G487,AvgBase[job_title],$H487))*(S277+R277)/2*(1-S382))</f>
        <v>0</v>
      </c>
      <c r="T487" s="652">
        <f>IF($B487="",,IF(LEFT($H487,5)="dummy",SUMIFS(AvgBase[Month 9],AvgBase[job_title],$H487),SUMIFS(AvgBase[Month 9],AvgBase[exp_item],$J487,AvgBase[company_name],$B487,AvgBase[bu_name],$C487,AvgBase[dept_name],$D487,AvgBase[team_consolidation],$K487,AvgBase[location_name],$G487,AvgBase[job_title],$H487))*(T277+S277)/2*(1-T382))</f>
        <v>0</v>
      </c>
      <c r="U487" s="652">
        <f>IF($B487="",,IF(LEFT($H487,5)="dummy",SUMIFS(AvgBase[Month 10],AvgBase[job_title],$H487),SUMIFS(AvgBase[Month 10],AvgBase[exp_item],$J487,AvgBase[company_name],$B487,AvgBase[bu_name],$C487,AvgBase[dept_name],$D487,AvgBase[team_consolidation],$K487,AvgBase[location_name],$G487,AvgBase[job_title],$H487))*(U277+T277)/2*(1-U382))</f>
        <v>0</v>
      </c>
      <c r="V487" s="652">
        <f>IF($B487="",,IF(LEFT($H487,5)="dummy",SUMIFS(AvgBase[Month 11],AvgBase[job_title],$H487),SUMIFS(AvgBase[Month 11],AvgBase[exp_item],$J487,AvgBase[company_name],$B487,AvgBase[bu_name],$C487,AvgBase[dept_name],$D487,AvgBase[team_consolidation],$K487,AvgBase[location_name],$G487,AvgBase[job_title],$H487))*(V277+U277)/2*(1-V382))</f>
        <v>0</v>
      </c>
      <c r="W487" s="652">
        <f>IF($B487="",,IF(LEFT($H487,5)="dummy",SUMIFS(AvgBase[Month 12],AvgBase[job_title],$H487),SUMIFS(AvgBase[Month 12],AvgBase[exp_item],$J487,AvgBase[company_name],$B487,AvgBase[bu_name],$C487,AvgBase[dept_name],$D487,AvgBase[team_consolidation],$K487,AvgBase[location_name],$G487,AvgBase[job_title],$H487))*(W277+V277)/2*(1-W382))</f>
        <v>0</v>
      </c>
      <c r="X487" s="652">
        <f>IF($B487="",,IF(LEFT($H487,5)="dummy",SUMIFS(AvgBase[Month 13],AvgBase[job_title],$H487),SUMIFS(AvgBase[Month 13],AvgBase[exp_item],$J487,AvgBase[company_name],$B487,AvgBase[bu_name],$C487,AvgBase[dept_name],$D487,AvgBase[team_consolidation],$K487,AvgBase[location_name],$G487,AvgBase[job_title],$H487))*(X277+W277)/2*(1-X382))</f>
        <v>0</v>
      </c>
      <c r="Y487" s="652">
        <f>IF($B487="",,IF(LEFT($H487,5)="dummy",SUMIFS(AvgBase[Month 14],AvgBase[job_title],$H487),SUMIFS(AvgBase[Month 14],AvgBase[exp_item],$J487,AvgBase[company_name],$B487,AvgBase[bu_name],$C487,AvgBase[dept_name],$D487,AvgBase[team_consolidation],$K487,AvgBase[location_name],$G487,AvgBase[job_title],$H487))*(Y277+X277)/2*(1-Y382))</f>
        <v>0</v>
      </c>
      <c r="Z487" s="652">
        <f>IF($B487="",,IF(LEFT($H487,5)="dummy",SUMIFS(AvgBase[Month 15],AvgBase[job_title],$H487),SUMIFS(AvgBase[Month 15],AvgBase[exp_item],$J487,AvgBase[company_name],$B487,AvgBase[bu_name],$C487,AvgBase[dept_name],$D487,AvgBase[team_consolidation],$K487,AvgBase[location_name],$G487,AvgBase[job_title],$H487))*(Z277+Y277)/2*(1-Z382))</f>
        <v>0</v>
      </c>
      <c r="AA487" s="652">
        <f>IF($B487="",,IF(LEFT($H487,5)="dummy",SUMIFS(AvgBase[Month 16],AvgBase[job_title],$H487),SUMIFS(AvgBase[Month 16],AvgBase[exp_item],$J487,AvgBase[company_name],$B487,AvgBase[bu_name],$C487,AvgBase[dept_name],$D487,AvgBase[team_consolidation],$K487,AvgBase[location_name],$G487,AvgBase[job_title],$H487))*(AA277+Z277)/2*(1-AA382))</f>
        <v>0</v>
      </c>
      <c r="AB487" s="652">
        <f>IF($B487="",,IF(LEFT($H487,5)="dummy",SUMIFS(AvgBase[Month 17],AvgBase[job_title],$H487),SUMIFS(AvgBase[Month 17],AvgBase[exp_item],$J487,AvgBase[company_name],$B487,AvgBase[bu_name],$C487,AvgBase[dept_name],$D487,AvgBase[team_consolidation],$K487,AvgBase[location_name],$G487,AvgBase[job_title],$H487))*(AB277+AA277)/2*(1-AB382))</f>
        <v>0</v>
      </c>
      <c r="AC487" s="652">
        <f>IF($B487="",,IF(LEFT($H487,5)="dummy",SUMIFS(AvgBase[Month 18],AvgBase[job_title],$H487),SUMIFS(AvgBase[Month 18],AvgBase[exp_item],$J487,AvgBase[company_name],$B487,AvgBase[bu_name],$C487,AvgBase[dept_name],$D487,AvgBase[team_consolidation],$K487,AvgBase[location_name],$G487,AvgBase[job_title],$H487))*(AC277+AB277)/2*(1-AC382))</f>
        <v>0</v>
      </c>
      <c r="AD487" s="652">
        <f>IF($B487="",,IF(LEFT($H487,5)="dummy",SUMIFS(AvgBase[Month 19],AvgBase[job_title],$H487),SUMIFS(AvgBase[Month 19],AvgBase[exp_item],$J487,AvgBase[company_name],$B487,AvgBase[bu_name],$C487,AvgBase[dept_name],$D487,AvgBase[team_consolidation],$K487,AvgBase[location_name],$G487,AvgBase[job_title],$H487))*(AD277+AC277)/2*(1-AD382))</f>
        <v>0</v>
      </c>
      <c r="AE487" s="652">
        <f>IF($B487="",,IF(LEFT($H487,5)="dummy",SUMIFS(AvgBase[Month 20],AvgBase[job_title],$H487),SUMIFS(AvgBase[Month 20],AvgBase[exp_item],$J487,AvgBase[company_name],$B487,AvgBase[bu_name],$C487,AvgBase[dept_name],$D487,AvgBase[team_consolidation],$K487,AvgBase[location_name],$G487,AvgBase[job_title],$H487))*(AE277+AD277)/2*(1-AE382))</f>
        <v>0</v>
      </c>
      <c r="AF487" s="652">
        <f>IF($B487="",,IF(LEFT($H487,5)="dummy",SUMIFS(AvgBase[Month 21],AvgBase[job_title],$H487),SUMIFS(AvgBase[Month 21],AvgBase[exp_item],$J487,AvgBase[company_name],$B487,AvgBase[bu_name],$C487,AvgBase[dept_name],$D487,AvgBase[team_consolidation],$K487,AvgBase[location_name],$G487,AvgBase[job_title],$H487))*(AF277+AE277)/2*(1-AF382))</f>
        <v>0</v>
      </c>
      <c r="AG487" s="652">
        <f>IF($B487="",,IF(LEFT($H487,5)="dummy",SUMIFS(AvgBase[Month 22],AvgBase[job_title],$H487),SUMIFS(AvgBase[Month 22],AvgBase[exp_item],$J487,AvgBase[company_name],$B487,AvgBase[bu_name],$C487,AvgBase[dept_name],$D487,AvgBase[team_consolidation],$K487,AvgBase[location_name],$G487,AvgBase[job_title],$H487))*(AG277+AF277)/2*(1-AG382))</f>
        <v>0</v>
      </c>
      <c r="AH487" s="652">
        <f>IF($B487="",,IF(LEFT($H487,5)="dummy",SUMIFS(AvgBase[Month 23],AvgBase[job_title],$H487),SUMIFS(AvgBase[Month 23],AvgBase[exp_item],$J487,AvgBase[company_name],$B487,AvgBase[bu_name],$C487,AvgBase[dept_name],$D487,AvgBase[team_consolidation],$K487,AvgBase[location_name],$G487,AvgBase[job_title],$H487))*(AH277+AG277)/2*(1-AH382))</f>
        <v>0</v>
      </c>
      <c r="AI487" s="652">
        <f>IF($B487="",,IF(LEFT($H487,5)="dummy",SUMIFS(AvgBase[Month 24],AvgBase[job_title],$H487),SUMIFS(AvgBase[Month 24],AvgBase[exp_item],$J487,AvgBase[company_name],$B487,AvgBase[bu_name],$C487,AvgBase[dept_name],$D487,AvgBase[team_consolidation],$K487,AvgBase[location_name],$G487,AvgBase[job_title],$H487))*(AI277+AH277)/2*(1-AI382))</f>
        <v>0</v>
      </c>
      <c r="AJ487" s="652">
        <f>IF($B487="",,IF(LEFT($H487,5)="dummy",SUMIFS(AvgBase[Month 25],AvgBase[job_title],$H487),SUMIFS(AvgBase[Month 25],AvgBase[exp_item],$J487,AvgBase[company_name],$B487,AvgBase[bu_name],$C487,AvgBase[dept_name],$D487,AvgBase[team_consolidation],$K487,AvgBase[location_name],$G487,AvgBase[job_title],$H487))*(AJ277+AI277)/2*(1-AJ382))</f>
        <v>0</v>
      </c>
      <c r="AK487" s="652">
        <f>IF($B487="",,IF(LEFT($H487,5)="dummy",SUMIFS(AvgBase[Month 26],AvgBase[job_title],$H487),SUMIFS(AvgBase[Month 26],AvgBase[exp_item],$J487,AvgBase[company_name],$B487,AvgBase[bu_name],$C487,AvgBase[dept_name],$D487,AvgBase[team_consolidation],$K487,AvgBase[location_name],$G487,AvgBase[job_title],$H487))*(AK277+AJ277)/2*(1-AK382))</f>
        <v>0</v>
      </c>
      <c r="AL487" s="652">
        <f>IF($B487="",,IF(LEFT($H487,5)="dummy",SUMIFS(AvgBase[Month 27],AvgBase[job_title],$H487),SUMIFS(AvgBase[Month 27],AvgBase[exp_item],$J487,AvgBase[company_name],$B487,AvgBase[bu_name],$C487,AvgBase[dept_name],$D487,AvgBase[team_consolidation],$K487,AvgBase[location_name],$G487,AvgBase[job_title],$H487))*(AL277+AK277)/2*(1-AL382))</f>
        <v>0</v>
      </c>
      <c r="AM487" s="652">
        <f>IF($B487="",,IF(LEFT($H487,5)="dummy",SUMIFS(AvgBase[Month 28],AvgBase[job_title],$H487),SUMIFS(AvgBase[Month 28],AvgBase[exp_item],$J487,AvgBase[company_name],$B487,AvgBase[bu_name],$C487,AvgBase[dept_name],$D487,AvgBase[team_consolidation],$K487,AvgBase[location_name],$G487,AvgBase[job_title],$H487))*(AM277+AL277)/2*(1-AM382))</f>
        <v>0</v>
      </c>
      <c r="AN487" s="652">
        <f>IF($B487="",,IF(LEFT($H487,5)="dummy",SUMIFS(AvgBase[Month 29],AvgBase[job_title],$H487),SUMIFS(AvgBase[Month 29],AvgBase[exp_item],$J487,AvgBase[company_name],$B487,AvgBase[bu_name],$C487,AvgBase[dept_name],$D487,AvgBase[team_consolidation],$K487,AvgBase[location_name],$G487,AvgBase[job_title],$H487))*(AN277+AM277)/2*(1-AN382))</f>
        <v>0</v>
      </c>
      <c r="AO487" s="652">
        <f>IF($B487="",,IF(LEFT($H487,5)="dummy",SUMIFS(AvgBase[Month 30],AvgBase[job_title],$H487),SUMIFS(AvgBase[Month 30],AvgBase[exp_item],$J487,AvgBase[company_name],$B487,AvgBase[bu_name],$C487,AvgBase[dept_name],$D487,AvgBase[team_consolidation],$K487,AvgBase[location_name],$G487,AvgBase[job_title],$H487))*(AO277+AN277)/2*(1-AO382))</f>
        <v>0</v>
      </c>
      <c r="AP487" s="652">
        <f>IF($B487="",,IF(LEFT($H487,5)="dummy",SUMIFS(AvgBase[Month 31],AvgBase[job_title],$H487),SUMIFS(AvgBase[Month 31],AvgBase[exp_item],$J487,AvgBase[company_name],$B487,AvgBase[bu_name],$C487,AvgBase[dept_name],$D487,AvgBase[team_consolidation],$K487,AvgBase[location_name],$G487,AvgBase[job_title],$H487))*(AP277+AO277)/2*(1-AP382))</f>
        <v>0</v>
      </c>
      <c r="AQ487" s="652">
        <f>IF($B487="",,IF(LEFT($H487,5)="dummy",SUMIFS(AvgBase[Month 32],AvgBase[job_title],$H487),SUMIFS(AvgBase[Month 32],AvgBase[exp_item],$J487,AvgBase[company_name],$B487,AvgBase[bu_name],$C487,AvgBase[dept_name],$D487,AvgBase[team_consolidation],$K487,AvgBase[location_name],$G487,AvgBase[job_title],$H487))*(AQ277+AP277)/2*(1-AQ382))</f>
        <v>0</v>
      </c>
      <c r="AR487" s="652">
        <f>IF($B487="",,IF(LEFT($H487,5)="dummy",SUMIFS(AvgBase[Month 33],AvgBase[job_title],$H487),SUMIFS(AvgBase[Month 33],AvgBase[exp_item],$J487,AvgBase[company_name],$B487,AvgBase[bu_name],$C487,AvgBase[dept_name],$D487,AvgBase[team_consolidation],$K487,AvgBase[location_name],$G487,AvgBase[job_title],$H487))*(AR277+AQ277)/2*(1-AR382))</f>
        <v>0</v>
      </c>
      <c r="AS487" s="652">
        <f>IF($B487="",,IF(LEFT($H487,5)="dummy",SUMIFS(AvgBase[Month 34],AvgBase[job_title],$H487),SUMIFS(AvgBase[Month 34],AvgBase[exp_item],$J487,AvgBase[company_name],$B487,AvgBase[bu_name],$C487,AvgBase[dept_name],$D487,AvgBase[team_consolidation],$K487,AvgBase[location_name],$G487,AvgBase[job_title],$H487))*(AS277+AR277)/2*(1-AS382))</f>
        <v>0</v>
      </c>
      <c r="AT487" s="652">
        <f>IF($B487="",,IF(LEFT($H487,5)="dummy",SUMIFS(AvgBase[Month 35],AvgBase[job_title],$H487),SUMIFS(AvgBase[Month 35],AvgBase[exp_item],$J487,AvgBase[company_name],$B487,AvgBase[bu_name],$C487,AvgBase[dept_name],$D487,AvgBase[team_consolidation],$K487,AvgBase[location_name],$G487,AvgBase[job_title],$H487))*(AT277+AS277)/2*(1-AT382))</f>
        <v>0</v>
      </c>
      <c r="AU487" s="652">
        <f>IF($B487="",,IF(LEFT($H487,5)="dummy",SUMIFS(AvgBase[Month 36],AvgBase[job_title],$H487),SUMIFS(AvgBase[Month 36],AvgBase[exp_item],$J487,AvgBase[company_name],$B487,AvgBase[bu_name],$C487,AvgBase[dept_name],$D487,AvgBase[team_consolidation],$K487,AvgBase[location_name],$G487,AvgBase[job_title],$H487))*(AU277+AT277)/2*(1-AU382))</f>
        <v>0</v>
      </c>
    </row>
    <row r="488" spans="2:47" x14ac:dyDescent="0.35">
      <c r="B488" t="str">
        <f t="shared" si="287"/>
        <v/>
      </c>
      <c r="C488" t="str">
        <f t="shared" si="287"/>
        <v/>
      </c>
      <c r="D488" t="str">
        <f t="shared" si="287"/>
        <v/>
      </c>
      <c r="E488" t="str">
        <f t="shared" si="287"/>
        <v/>
      </c>
      <c r="F488" t="str">
        <f t="shared" si="287"/>
        <v/>
      </c>
      <c r="G488" t="str">
        <f t="shared" si="287"/>
        <v/>
      </c>
      <c r="H488" t="str">
        <f t="shared" si="283"/>
        <v/>
      </c>
      <c r="J488" t="str">
        <f>IF($H488="","",IF(VLOOKUP($B$395,ExpItems[],2,0),$B$395&amp;" - "&amp;INDEX(DivisionMapping[category_code],MATCH($D488&amp;$C488,DivisionMapping[dept_bu],0)),$B$395))</f>
        <v/>
      </c>
      <c r="K488" t="str">
        <f t="shared" si="284"/>
        <v/>
      </c>
      <c r="L488" s="652">
        <f>IF($B488="",,IF(LEFT($H488,5)="dummy",SUMIFS(AvgBase[Month 1],AvgBase[job_title],$H488),SUMIFS(AvgBase[Month 1],AvgBase[exp_item],$J488,AvgBase[company_name],$B488,AvgBase[bu_name],$C488,AvgBase[dept_name],$D488,AvgBase[team_consolidation],$K488,AvgBase[location_name],$G488,AvgBase[job_title],$H488))*L278/2*(1-L383))</f>
        <v>0</v>
      </c>
      <c r="M488" s="652">
        <f>IF($B488="",,IF(LEFT($H488,5)="dummy",SUMIFS(AvgBase[Month 2],AvgBase[job_title],$H488),SUMIFS(AvgBase[Month 2],AvgBase[exp_item],$J488,AvgBase[company_name],$B488,AvgBase[bu_name],$C488,AvgBase[dept_name],$D488,AvgBase[team_consolidation],$K488,AvgBase[location_name],$G488,AvgBase[job_title],$H488))*(M278+L278)/2*(1-M383))</f>
        <v>0</v>
      </c>
      <c r="N488" s="652">
        <f>IF($B488="",,IF(LEFT($H488,5)="dummy",SUMIFS(AvgBase[Month 3],AvgBase[job_title],$H488),SUMIFS(AvgBase[Month 3],AvgBase[exp_item],$J488,AvgBase[company_name],$B488,AvgBase[bu_name],$C488,AvgBase[dept_name],$D488,AvgBase[team_consolidation],$K488,AvgBase[location_name],$G488,AvgBase[job_title],$H488))*(N278+M278)/2*(1-N383))</f>
        <v>0</v>
      </c>
      <c r="O488" s="652">
        <f>IF($B488="",,IF(LEFT($H488,5)="dummy",SUMIFS(AvgBase[Month 4],AvgBase[job_title],$H488),SUMIFS(AvgBase[Month 4],AvgBase[exp_item],$J488,AvgBase[company_name],$B488,AvgBase[bu_name],$C488,AvgBase[dept_name],$D488,AvgBase[team_consolidation],$K488,AvgBase[location_name],$G488,AvgBase[job_title],$H488))*(O278+N278)/2*(1-O383))</f>
        <v>0</v>
      </c>
      <c r="P488" s="652">
        <f>IF($B488="",,IF(LEFT($H488,5)="dummy",SUMIFS(AvgBase[Month 5],AvgBase[job_title],$H488),SUMIFS(AvgBase[Month 5],AvgBase[exp_item],$J488,AvgBase[company_name],$B488,AvgBase[bu_name],$C488,AvgBase[dept_name],$D488,AvgBase[team_consolidation],$K488,AvgBase[location_name],$G488,AvgBase[job_title],$H488))*(P278+O278)/2*(1-P383))</f>
        <v>0</v>
      </c>
      <c r="Q488" s="652">
        <f>IF($B488="",,IF(LEFT($H488,5)="dummy",SUMIFS(AvgBase[Month 6],AvgBase[job_title],$H488),SUMIFS(AvgBase[Month 6],AvgBase[exp_item],$J488,AvgBase[company_name],$B488,AvgBase[bu_name],$C488,AvgBase[dept_name],$D488,AvgBase[team_consolidation],$K488,AvgBase[location_name],$G488,AvgBase[job_title],$H488))*(Q278+P278)/2*(1-Q383))</f>
        <v>0</v>
      </c>
      <c r="R488" s="652">
        <f>IF($B488="",,IF(LEFT($H488,5)="dummy",SUMIFS(AvgBase[Month 7],AvgBase[job_title],$H488),SUMIFS(AvgBase[Month 7],AvgBase[exp_item],$J488,AvgBase[company_name],$B488,AvgBase[bu_name],$C488,AvgBase[dept_name],$D488,AvgBase[team_consolidation],$K488,AvgBase[location_name],$G488,AvgBase[job_title],$H488))*(R278+Q278)/2*(1-R383))</f>
        <v>0</v>
      </c>
      <c r="S488" s="652">
        <f>IF($B488="",,IF(LEFT($H488,5)="dummy",SUMIFS(AvgBase[Month 8],AvgBase[job_title],$H488),SUMIFS(AvgBase[Month 8],AvgBase[exp_item],$J488,AvgBase[company_name],$B488,AvgBase[bu_name],$C488,AvgBase[dept_name],$D488,AvgBase[team_consolidation],$K488,AvgBase[location_name],$G488,AvgBase[job_title],$H488))*(S278+R278)/2*(1-S383))</f>
        <v>0</v>
      </c>
      <c r="T488" s="652">
        <f>IF($B488="",,IF(LEFT($H488,5)="dummy",SUMIFS(AvgBase[Month 9],AvgBase[job_title],$H488),SUMIFS(AvgBase[Month 9],AvgBase[exp_item],$J488,AvgBase[company_name],$B488,AvgBase[bu_name],$C488,AvgBase[dept_name],$D488,AvgBase[team_consolidation],$K488,AvgBase[location_name],$G488,AvgBase[job_title],$H488))*(T278+S278)/2*(1-T383))</f>
        <v>0</v>
      </c>
      <c r="U488" s="652">
        <f>IF($B488="",,IF(LEFT($H488,5)="dummy",SUMIFS(AvgBase[Month 10],AvgBase[job_title],$H488),SUMIFS(AvgBase[Month 10],AvgBase[exp_item],$J488,AvgBase[company_name],$B488,AvgBase[bu_name],$C488,AvgBase[dept_name],$D488,AvgBase[team_consolidation],$K488,AvgBase[location_name],$G488,AvgBase[job_title],$H488))*(U278+T278)/2*(1-U383))</f>
        <v>0</v>
      </c>
      <c r="V488" s="652">
        <f>IF($B488="",,IF(LEFT($H488,5)="dummy",SUMIFS(AvgBase[Month 11],AvgBase[job_title],$H488),SUMIFS(AvgBase[Month 11],AvgBase[exp_item],$J488,AvgBase[company_name],$B488,AvgBase[bu_name],$C488,AvgBase[dept_name],$D488,AvgBase[team_consolidation],$K488,AvgBase[location_name],$G488,AvgBase[job_title],$H488))*(V278+U278)/2*(1-V383))</f>
        <v>0</v>
      </c>
      <c r="W488" s="652">
        <f>IF($B488="",,IF(LEFT($H488,5)="dummy",SUMIFS(AvgBase[Month 12],AvgBase[job_title],$H488),SUMIFS(AvgBase[Month 12],AvgBase[exp_item],$J488,AvgBase[company_name],$B488,AvgBase[bu_name],$C488,AvgBase[dept_name],$D488,AvgBase[team_consolidation],$K488,AvgBase[location_name],$G488,AvgBase[job_title],$H488))*(W278+V278)/2*(1-W383))</f>
        <v>0</v>
      </c>
      <c r="X488" s="652">
        <f>IF($B488="",,IF(LEFT($H488,5)="dummy",SUMIFS(AvgBase[Month 13],AvgBase[job_title],$H488),SUMIFS(AvgBase[Month 13],AvgBase[exp_item],$J488,AvgBase[company_name],$B488,AvgBase[bu_name],$C488,AvgBase[dept_name],$D488,AvgBase[team_consolidation],$K488,AvgBase[location_name],$G488,AvgBase[job_title],$H488))*(X278+W278)/2*(1-X383))</f>
        <v>0</v>
      </c>
      <c r="Y488" s="652">
        <f>IF($B488="",,IF(LEFT($H488,5)="dummy",SUMIFS(AvgBase[Month 14],AvgBase[job_title],$H488),SUMIFS(AvgBase[Month 14],AvgBase[exp_item],$J488,AvgBase[company_name],$B488,AvgBase[bu_name],$C488,AvgBase[dept_name],$D488,AvgBase[team_consolidation],$K488,AvgBase[location_name],$G488,AvgBase[job_title],$H488))*(Y278+X278)/2*(1-Y383))</f>
        <v>0</v>
      </c>
      <c r="Z488" s="652">
        <f>IF($B488="",,IF(LEFT($H488,5)="dummy",SUMIFS(AvgBase[Month 15],AvgBase[job_title],$H488),SUMIFS(AvgBase[Month 15],AvgBase[exp_item],$J488,AvgBase[company_name],$B488,AvgBase[bu_name],$C488,AvgBase[dept_name],$D488,AvgBase[team_consolidation],$K488,AvgBase[location_name],$G488,AvgBase[job_title],$H488))*(Z278+Y278)/2*(1-Z383))</f>
        <v>0</v>
      </c>
      <c r="AA488" s="652">
        <f>IF($B488="",,IF(LEFT($H488,5)="dummy",SUMIFS(AvgBase[Month 16],AvgBase[job_title],$H488),SUMIFS(AvgBase[Month 16],AvgBase[exp_item],$J488,AvgBase[company_name],$B488,AvgBase[bu_name],$C488,AvgBase[dept_name],$D488,AvgBase[team_consolidation],$K488,AvgBase[location_name],$G488,AvgBase[job_title],$H488))*(AA278+Z278)/2*(1-AA383))</f>
        <v>0</v>
      </c>
      <c r="AB488" s="652">
        <f>IF($B488="",,IF(LEFT($H488,5)="dummy",SUMIFS(AvgBase[Month 17],AvgBase[job_title],$H488),SUMIFS(AvgBase[Month 17],AvgBase[exp_item],$J488,AvgBase[company_name],$B488,AvgBase[bu_name],$C488,AvgBase[dept_name],$D488,AvgBase[team_consolidation],$K488,AvgBase[location_name],$G488,AvgBase[job_title],$H488))*(AB278+AA278)/2*(1-AB383))</f>
        <v>0</v>
      </c>
      <c r="AC488" s="652">
        <f>IF($B488="",,IF(LEFT($H488,5)="dummy",SUMIFS(AvgBase[Month 18],AvgBase[job_title],$H488),SUMIFS(AvgBase[Month 18],AvgBase[exp_item],$J488,AvgBase[company_name],$B488,AvgBase[bu_name],$C488,AvgBase[dept_name],$D488,AvgBase[team_consolidation],$K488,AvgBase[location_name],$G488,AvgBase[job_title],$H488))*(AC278+AB278)/2*(1-AC383))</f>
        <v>0</v>
      </c>
      <c r="AD488" s="652">
        <f>IF($B488="",,IF(LEFT($H488,5)="dummy",SUMIFS(AvgBase[Month 19],AvgBase[job_title],$H488),SUMIFS(AvgBase[Month 19],AvgBase[exp_item],$J488,AvgBase[company_name],$B488,AvgBase[bu_name],$C488,AvgBase[dept_name],$D488,AvgBase[team_consolidation],$K488,AvgBase[location_name],$G488,AvgBase[job_title],$H488))*(AD278+AC278)/2*(1-AD383))</f>
        <v>0</v>
      </c>
      <c r="AE488" s="652">
        <f>IF($B488="",,IF(LEFT($H488,5)="dummy",SUMIFS(AvgBase[Month 20],AvgBase[job_title],$H488),SUMIFS(AvgBase[Month 20],AvgBase[exp_item],$J488,AvgBase[company_name],$B488,AvgBase[bu_name],$C488,AvgBase[dept_name],$D488,AvgBase[team_consolidation],$K488,AvgBase[location_name],$G488,AvgBase[job_title],$H488))*(AE278+AD278)/2*(1-AE383))</f>
        <v>0</v>
      </c>
      <c r="AF488" s="652">
        <f>IF($B488="",,IF(LEFT($H488,5)="dummy",SUMIFS(AvgBase[Month 21],AvgBase[job_title],$H488),SUMIFS(AvgBase[Month 21],AvgBase[exp_item],$J488,AvgBase[company_name],$B488,AvgBase[bu_name],$C488,AvgBase[dept_name],$D488,AvgBase[team_consolidation],$K488,AvgBase[location_name],$G488,AvgBase[job_title],$H488))*(AF278+AE278)/2*(1-AF383))</f>
        <v>0</v>
      </c>
      <c r="AG488" s="652">
        <f>IF($B488="",,IF(LEFT($H488,5)="dummy",SUMIFS(AvgBase[Month 22],AvgBase[job_title],$H488),SUMIFS(AvgBase[Month 22],AvgBase[exp_item],$J488,AvgBase[company_name],$B488,AvgBase[bu_name],$C488,AvgBase[dept_name],$D488,AvgBase[team_consolidation],$K488,AvgBase[location_name],$G488,AvgBase[job_title],$H488))*(AG278+AF278)/2*(1-AG383))</f>
        <v>0</v>
      </c>
      <c r="AH488" s="652">
        <f>IF($B488="",,IF(LEFT($H488,5)="dummy",SUMIFS(AvgBase[Month 23],AvgBase[job_title],$H488),SUMIFS(AvgBase[Month 23],AvgBase[exp_item],$J488,AvgBase[company_name],$B488,AvgBase[bu_name],$C488,AvgBase[dept_name],$D488,AvgBase[team_consolidation],$K488,AvgBase[location_name],$G488,AvgBase[job_title],$H488))*(AH278+AG278)/2*(1-AH383))</f>
        <v>0</v>
      </c>
      <c r="AI488" s="652">
        <f>IF($B488="",,IF(LEFT($H488,5)="dummy",SUMIFS(AvgBase[Month 24],AvgBase[job_title],$H488),SUMIFS(AvgBase[Month 24],AvgBase[exp_item],$J488,AvgBase[company_name],$B488,AvgBase[bu_name],$C488,AvgBase[dept_name],$D488,AvgBase[team_consolidation],$K488,AvgBase[location_name],$G488,AvgBase[job_title],$H488))*(AI278+AH278)/2*(1-AI383))</f>
        <v>0</v>
      </c>
      <c r="AJ488" s="652">
        <f>IF($B488="",,IF(LEFT($H488,5)="dummy",SUMIFS(AvgBase[Month 25],AvgBase[job_title],$H488),SUMIFS(AvgBase[Month 25],AvgBase[exp_item],$J488,AvgBase[company_name],$B488,AvgBase[bu_name],$C488,AvgBase[dept_name],$D488,AvgBase[team_consolidation],$K488,AvgBase[location_name],$G488,AvgBase[job_title],$H488))*(AJ278+AI278)/2*(1-AJ383))</f>
        <v>0</v>
      </c>
      <c r="AK488" s="652">
        <f>IF($B488="",,IF(LEFT($H488,5)="dummy",SUMIFS(AvgBase[Month 26],AvgBase[job_title],$H488),SUMIFS(AvgBase[Month 26],AvgBase[exp_item],$J488,AvgBase[company_name],$B488,AvgBase[bu_name],$C488,AvgBase[dept_name],$D488,AvgBase[team_consolidation],$K488,AvgBase[location_name],$G488,AvgBase[job_title],$H488))*(AK278+AJ278)/2*(1-AK383))</f>
        <v>0</v>
      </c>
      <c r="AL488" s="652">
        <f>IF($B488="",,IF(LEFT($H488,5)="dummy",SUMIFS(AvgBase[Month 27],AvgBase[job_title],$H488),SUMIFS(AvgBase[Month 27],AvgBase[exp_item],$J488,AvgBase[company_name],$B488,AvgBase[bu_name],$C488,AvgBase[dept_name],$D488,AvgBase[team_consolidation],$K488,AvgBase[location_name],$G488,AvgBase[job_title],$H488))*(AL278+AK278)/2*(1-AL383))</f>
        <v>0</v>
      </c>
      <c r="AM488" s="652">
        <f>IF($B488="",,IF(LEFT($H488,5)="dummy",SUMIFS(AvgBase[Month 28],AvgBase[job_title],$H488),SUMIFS(AvgBase[Month 28],AvgBase[exp_item],$J488,AvgBase[company_name],$B488,AvgBase[bu_name],$C488,AvgBase[dept_name],$D488,AvgBase[team_consolidation],$K488,AvgBase[location_name],$G488,AvgBase[job_title],$H488))*(AM278+AL278)/2*(1-AM383))</f>
        <v>0</v>
      </c>
      <c r="AN488" s="652">
        <f>IF($B488="",,IF(LEFT($H488,5)="dummy",SUMIFS(AvgBase[Month 29],AvgBase[job_title],$H488),SUMIFS(AvgBase[Month 29],AvgBase[exp_item],$J488,AvgBase[company_name],$B488,AvgBase[bu_name],$C488,AvgBase[dept_name],$D488,AvgBase[team_consolidation],$K488,AvgBase[location_name],$G488,AvgBase[job_title],$H488))*(AN278+AM278)/2*(1-AN383))</f>
        <v>0</v>
      </c>
      <c r="AO488" s="652">
        <f>IF($B488="",,IF(LEFT($H488,5)="dummy",SUMIFS(AvgBase[Month 30],AvgBase[job_title],$H488),SUMIFS(AvgBase[Month 30],AvgBase[exp_item],$J488,AvgBase[company_name],$B488,AvgBase[bu_name],$C488,AvgBase[dept_name],$D488,AvgBase[team_consolidation],$K488,AvgBase[location_name],$G488,AvgBase[job_title],$H488))*(AO278+AN278)/2*(1-AO383))</f>
        <v>0</v>
      </c>
      <c r="AP488" s="652">
        <f>IF($B488="",,IF(LEFT($H488,5)="dummy",SUMIFS(AvgBase[Month 31],AvgBase[job_title],$H488),SUMIFS(AvgBase[Month 31],AvgBase[exp_item],$J488,AvgBase[company_name],$B488,AvgBase[bu_name],$C488,AvgBase[dept_name],$D488,AvgBase[team_consolidation],$K488,AvgBase[location_name],$G488,AvgBase[job_title],$H488))*(AP278+AO278)/2*(1-AP383))</f>
        <v>0</v>
      </c>
      <c r="AQ488" s="652">
        <f>IF($B488="",,IF(LEFT($H488,5)="dummy",SUMIFS(AvgBase[Month 32],AvgBase[job_title],$H488),SUMIFS(AvgBase[Month 32],AvgBase[exp_item],$J488,AvgBase[company_name],$B488,AvgBase[bu_name],$C488,AvgBase[dept_name],$D488,AvgBase[team_consolidation],$K488,AvgBase[location_name],$G488,AvgBase[job_title],$H488))*(AQ278+AP278)/2*(1-AQ383))</f>
        <v>0</v>
      </c>
      <c r="AR488" s="652">
        <f>IF($B488="",,IF(LEFT($H488,5)="dummy",SUMIFS(AvgBase[Month 33],AvgBase[job_title],$H488),SUMIFS(AvgBase[Month 33],AvgBase[exp_item],$J488,AvgBase[company_name],$B488,AvgBase[bu_name],$C488,AvgBase[dept_name],$D488,AvgBase[team_consolidation],$K488,AvgBase[location_name],$G488,AvgBase[job_title],$H488))*(AR278+AQ278)/2*(1-AR383))</f>
        <v>0</v>
      </c>
      <c r="AS488" s="652">
        <f>IF($B488="",,IF(LEFT($H488,5)="dummy",SUMIFS(AvgBase[Month 34],AvgBase[job_title],$H488),SUMIFS(AvgBase[Month 34],AvgBase[exp_item],$J488,AvgBase[company_name],$B488,AvgBase[bu_name],$C488,AvgBase[dept_name],$D488,AvgBase[team_consolidation],$K488,AvgBase[location_name],$G488,AvgBase[job_title],$H488))*(AS278+AR278)/2*(1-AS383))</f>
        <v>0</v>
      </c>
      <c r="AT488" s="652">
        <f>IF($B488="",,IF(LEFT($H488,5)="dummy",SUMIFS(AvgBase[Month 35],AvgBase[job_title],$H488),SUMIFS(AvgBase[Month 35],AvgBase[exp_item],$J488,AvgBase[company_name],$B488,AvgBase[bu_name],$C488,AvgBase[dept_name],$D488,AvgBase[team_consolidation],$K488,AvgBase[location_name],$G488,AvgBase[job_title],$H488))*(AT278+AS278)/2*(1-AT383))</f>
        <v>0</v>
      </c>
      <c r="AU488" s="652">
        <f>IF($B488="",,IF(LEFT($H488,5)="dummy",SUMIFS(AvgBase[Month 36],AvgBase[job_title],$H488),SUMIFS(AvgBase[Month 36],AvgBase[exp_item],$J488,AvgBase[company_name],$B488,AvgBase[bu_name],$C488,AvgBase[dept_name],$D488,AvgBase[team_consolidation],$K488,AvgBase[location_name],$G488,AvgBase[job_title],$H488))*(AU278+AT278)/2*(1-AU383))</f>
        <v>0</v>
      </c>
    </row>
    <row r="489" spans="2:47" x14ac:dyDescent="0.35">
      <c r="B489" t="str">
        <f t="shared" si="287"/>
        <v/>
      </c>
      <c r="C489" t="str">
        <f t="shared" si="287"/>
        <v/>
      </c>
      <c r="D489" t="str">
        <f t="shared" si="287"/>
        <v/>
      </c>
      <c r="E489" t="str">
        <f t="shared" si="287"/>
        <v/>
      </c>
      <c r="F489" t="str">
        <f t="shared" si="287"/>
        <v/>
      </c>
      <c r="G489" t="str">
        <f t="shared" si="287"/>
        <v/>
      </c>
      <c r="H489" t="str">
        <f t="shared" si="283"/>
        <v/>
      </c>
      <c r="J489" t="str">
        <f>IF($H489="","",IF(VLOOKUP($B$395,ExpItems[],2,0),$B$395&amp;" - "&amp;INDEX(DivisionMapping[category_code],MATCH($D489&amp;$C489,DivisionMapping[dept_bu],0)),$B$395))</f>
        <v/>
      </c>
      <c r="K489" t="str">
        <f t="shared" si="284"/>
        <v/>
      </c>
      <c r="L489" s="652">
        <f>IF($B489="",,IF(LEFT($H489,5)="dummy",SUMIFS(AvgBase[Month 1],AvgBase[job_title],$H489),SUMIFS(AvgBase[Month 1],AvgBase[exp_item],$J489,AvgBase[company_name],$B489,AvgBase[bu_name],$C489,AvgBase[dept_name],$D489,AvgBase[team_consolidation],$K489,AvgBase[location_name],$G489,AvgBase[job_title],$H489))*L279/2*(1-L384))</f>
        <v>0</v>
      </c>
      <c r="M489" s="652">
        <f>IF($B489="",,IF(LEFT($H489,5)="dummy",SUMIFS(AvgBase[Month 2],AvgBase[job_title],$H489),SUMIFS(AvgBase[Month 2],AvgBase[exp_item],$J489,AvgBase[company_name],$B489,AvgBase[bu_name],$C489,AvgBase[dept_name],$D489,AvgBase[team_consolidation],$K489,AvgBase[location_name],$G489,AvgBase[job_title],$H489))*(M279+L279)/2*(1-M384))</f>
        <v>0</v>
      </c>
      <c r="N489" s="652">
        <f>IF($B489="",,IF(LEFT($H489,5)="dummy",SUMIFS(AvgBase[Month 3],AvgBase[job_title],$H489),SUMIFS(AvgBase[Month 3],AvgBase[exp_item],$J489,AvgBase[company_name],$B489,AvgBase[bu_name],$C489,AvgBase[dept_name],$D489,AvgBase[team_consolidation],$K489,AvgBase[location_name],$G489,AvgBase[job_title],$H489))*(N279+M279)/2*(1-N384))</f>
        <v>0</v>
      </c>
      <c r="O489" s="652">
        <f>IF($B489="",,IF(LEFT($H489,5)="dummy",SUMIFS(AvgBase[Month 4],AvgBase[job_title],$H489),SUMIFS(AvgBase[Month 4],AvgBase[exp_item],$J489,AvgBase[company_name],$B489,AvgBase[bu_name],$C489,AvgBase[dept_name],$D489,AvgBase[team_consolidation],$K489,AvgBase[location_name],$G489,AvgBase[job_title],$H489))*(O279+N279)/2*(1-O384))</f>
        <v>0</v>
      </c>
      <c r="P489" s="652">
        <f>IF($B489="",,IF(LEFT($H489,5)="dummy",SUMIFS(AvgBase[Month 5],AvgBase[job_title],$H489),SUMIFS(AvgBase[Month 5],AvgBase[exp_item],$J489,AvgBase[company_name],$B489,AvgBase[bu_name],$C489,AvgBase[dept_name],$D489,AvgBase[team_consolidation],$K489,AvgBase[location_name],$G489,AvgBase[job_title],$H489))*(P279+O279)/2*(1-P384))</f>
        <v>0</v>
      </c>
      <c r="Q489" s="652">
        <f>IF($B489="",,IF(LEFT($H489,5)="dummy",SUMIFS(AvgBase[Month 6],AvgBase[job_title],$H489),SUMIFS(AvgBase[Month 6],AvgBase[exp_item],$J489,AvgBase[company_name],$B489,AvgBase[bu_name],$C489,AvgBase[dept_name],$D489,AvgBase[team_consolidation],$K489,AvgBase[location_name],$G489,AvgBase[job_title],$H489))*(Q279+P279)/2*(1-Q384))</f>
        <v>0</v>
      </c>
      <c r="R489" s="652">
        <f>IF($B489="",,IF(LEFT($H489,5)="dummy",SUMIFS(AvgBase[Month 7],AvgBase[job_title],$H489),SUMIFS(AvgBase[Month 7],AvgBase[exp_item],$J489,AvgBase[company_name],$B489,AvgBase[bu_name],$C489,AvgBase[dept_name],$D489,AvgBase[team_consolidation],$K489,AvgBase[location_name],$G489,AvgBase[job_title],$H489))*(R279+Q279)/2*(1-R384))</f>
        <v>0</v>
      </c>
      <c r="S489" s="652">
        <f>IF($B489="",,IF(LEFT($H489,5)="dummy",SUMIFS(AvgBase[Month 8],AvgBase[job_title],$H489),SUMIFS(AvgBase[Month 8],AvgBase[exp_item],$J489,AvgBase[company_name],$B489,AvgBase[bu_name],$C489,AvgBase[dept_name],$D489,AvgBase[team_consolidation],$K489,AvgBase[location_name],$G489,AvgBase[job_title],$H489))*(S279+R279)/2*(1-S384))</f>
        <v>0</v>
      </c>
      <c r="T489" s="652">
        <f>IF($B489="",,IF(LEFT($H489,5)="dummy",SUMIFS(AvgBase[Month 9],AvgBase[job_title],$H489),SUMIFS(AvgBase[Month 9],AvgBase[exp_item],$J489,AvgBase[company_name],$B489,AvgBase[bu_name],$C489,AvgBase[dept_name],$D489,AvgBase[team_consolidation],$K489,AvgBase[location_name],$G489,AvgBase[job_title],$H489))*(T279+S279)/2*(1-T384))</f>
        <v>0</v>
      </c>
      <c r="U489" s="652">
        <f>IF($B489="",,IF(LEFT($H489,5)="dummy",SUMIFS(AvgBase[Month 10],AvgBase[job_title],$H489),SUMIFS(AvgBase[Month 10],AvgBase[exp_item],$J489,AvgBase[company_name],$B489,AvgBase[bu_name],$C489,AvgBase[dept_name],$D489,AvgBase[team_consolidation],$K489,AvgBase[location_name],$G489,AvgBase[job_title],$H489))*(U279+T279)/2*(1-U384))</f>
        <v>0</v>
      </c>
      <c r="V489" s="652">
        <f>IF($B489="",,IF(LEFT($H489,5)="dummy",SUMIFS(AvgBase[Month 11],AvgBase[job_title],$H489),SUMIFS(AvgBase[Month 11],AvgBase[exp_item],$J489,AvgBase[company_name],$B489,AvgBase[bu_name],$C489,AvgBase[dept_name],$D489,AvgBase[team_consolidation],$K489,AvgBase[location_name],$G489,AvgBase[job_title],$H489))*(V279+U279)/2*(1-V384))</f>
        <v>0</v>
      </c>
      <c r="W489" s="652">
        <f>IF($B489="",,IF(LEFT($H489,5)="dummy",SUMIFS(AvgBase[Month 12],AvgBase[job_title],$H489),SUMIFS(AvgBase[Month 12],AvgBase[exp_item],$J489,AvgBase[company_name],$B489,AvgBase[bu_name],$C489,AvgBase[dept_name],$D489,AvgBase[team_consolidation],$K489,AvgBase[location_name],$G489,AvgBase[job_title],$H489))*(W279+V279)/2*(1-W384))</f>
        <v>0</v>
      </c>
      <c r="X489" s="652">
        <f>IF($B489="",,IF(LEFT($H489,5)="dummy",SUMIFS(AvgBase[Month 13],AvgBase[job_title],$H489),SUMIFS(AvgBase[Month 13],AvgBase[exp_item],$J489,AvgBase[company_name],$B489,AvgBase[bu_name],$C489,AvgBase[dept_name],$D489,AvgBase[team_consolidation],$K489,AvgBase[location_name],$G489,AvgBase[job_title],$H489))*(X279+W279)/2*(1-X384))</f>
        <v>0</v>
      </c>
      <c r="Y489" s="652">
        <f>IF($B489="",,IF(LEFT($H489,5)="dummy",SUMIFS(AvgBase[Month 14],AvgBase[job_title],$H489),SUMIFS(AvgBase[Month 14],AvgBase[exp_item],$J489,AvgBase[company_name],$B489,AvgBase[bu_name],$C489,AvgBase[dept_name],$D489,AvgBase[team_consolidation],$K489,AvgBase[location_name],$G489,AvgBase[job_title],$H489))*(Y279+X279)/2*(1-Y384))</f>
        <v>0</v>
      </c>
      <c r="Z489" s="652">
        <f>IF($B489="",,IF(LEFT($H489,5)="dummy",SUMIFS(AvgBase[Month 15],AvgBase[job_title],$H489),SUMIFS(AvgBase[Month 15],AvgBase[exp_item],$J489,AvgBase[company_name],$B489,AvgBase[bu_name],$C489,AvgBase[dept_name],$D489,AvgBase[team_consolidation],$K489,AvgBase[location_name],$G489,AvgBase[job_title],$H489))*(Z279+Y279)/2*(1-Z384))</f>
        <v>0</v>
      </c>
      <c r="AA489" s="652">
        <f>IF($B489="",,IF(LEFT($H489,5)="dummy",SUMIFS(AvgBase[Month 16],AvgBase[job_title],$H489),SUMIFS(AvgBase[Month 16],AvgBase[exp_item],$J489,AvgBase[company_name],$B489,AvgBase[bu_name],$C489,AvgBase[dept_name],$D489,AvgBase[team_consolidation],$K489,AvgBase[location_name],$G489,AvgBase[job_title],$H489))*(AA279+Z279)/2*(1-AA384))</f>
        <v>0</v>
      </c>
      <c r="AB489" s="652">
        <f>IF($B489="",,IF(LEFT($H489,5)="dummy",SUMIFS(AvgBase[Month 17],AvgBase[job_title],$H489),SUMIFS(AvgBase[Month 17],AvgBase[exp_item],$J489,AvgBase[company_name],$B489,AvgBase[bu_name],$C489,AvgBase[dept_name],$D489,AvgBase[team_consolidation],$K489,AvgBase[location_name],$G489,AvgBase[job_title],$H489))*(AB279+AA279)/2*(1-AB384))</f>
        <v>0</v>
      </c>
      <c r="AC489" s="652">
        <f>IF($B489="",,IF(LEFT($H489,5)="dummy",SUMIFS(AvgBase[Month 18],AvgBase[job_title],$H489),SUMIFS(AvgBase[Month 18],AvgBase[exp_item],$J489,AvgBase[company_name],$B489,AvgBase[bu_name],$C489,AvgBase[dept_name],$D489,AvgBase[team_consolidation],$K489,AvgBase[location_name],$G489,AvgBase[job_title],$H489))*(AC279+AB279)/2*(1-AC384))</f>
        <v>0</v>
      </c>
      <c r="AD489" s="652">
        <f>IF($B489="",,IF(LEFT($H489,5)="dummy",SUMIFS(AvgBase[Month 19],AvgBase[job_title],$H489),SUMIFS(AvgBase[Month 19],AvgBase[exp_item],$J489,AvgBase[company_name],$B489,AvgBase[bu_name],$C489,AvgBase[dept_name],$D489,AvgBase[team_consolidation],$K489,AvgBase[location_name],$G489,AvgBase[job_title],$H489))*(AD279+AC279)/2*(1-AD384))</f>
        <v>0</v>
      </c>
      <c r="AE489" s="652">
        <f>IF($B489="",,IF(LEFT($H489,5)="dummy",SUMIFS(AvgBase[Month 20],AvgBase[job_title],$H489),SUMIFS(AvgBase[Month 20],AvgBase[exp_item],$J489,AvgBase[company_name],$B489,AvgBase[bu_name],$C489,AvgBase[dept_name],$D489,AvgBase[team_consolidation],$K489,AvgBase[location_name],$G489,AvgBase[job_title],$H489))*(AE279+AD279)/2*(1-AE384))</f>
        <v>0</v>
      </c>
      <c r="AF489" s="652">
        <f>IF($B489="",,IF(LEFT($H489,5)="dummy",SUMIFS(AvgBase[Month 21],AvgBase[job_title],$H489),SUMIFS(AvgBase[Month 21],AvgBase[exp_item],$J489,AvgBase[company_name],$B489,AvgBase[bu_name],$C489,AvgBase[dept_name],$D489,AvgBase[team_consolidation],$K489,AvgBase[location_name],$G489,AvgBase[job_title],$H489))*(AF279+AE279)/2*(1-AF384))</f>
        <v>0</v>
      </c>
      <c r="AG489" s="652">
        <f>IF($B489="",,IF(LEFT($H489,5)="dummy",SUMIFS(AvgBase[Month 22],AvgBase[job_title],$H489),SUMIFS(AvgBase[Month 22],AvgBase[exp_item],$J489,AvgBase[company_name],$B489,AvgBase[bu_name],$C489,AvgBase[dept_name],$D489,AvgBase[team_consolidation],$K489,AvgBase[location_name],$G489,AvgBase[job_title],$H489))*(AG279+AF279)/2*(1-AG384))</f>
        <v>0</v>
      </c>
      <c r="AH489" s="652">
        <f>IF($B489="",,IF(LEFT($H489,5)="dummy",SUMIFS(AvgBase[Month 23],AvgBase[job_title],$H489),SUMIFS(AvgBase[Month 23],AvgBase[exp_item],$J489,AvgBase[company_name],$B489,AvgBase[bu_name],$C489,AvgBase[dept_name],$D489,AvgBase[team_consolidation],$K489,AvgBase[location_name],$G489,AvgBase[job_title],$H489))*(AH279+AG279)/2*(1-AH384))</f>
        <v>0</v>
      </c>
      <c r="AI489" s="652">
        <f>IF($B489="",,IF(LEFT($H489,5)="dummy",SUMIFS(AvgBase[Month 24],AvgBase[job_title],$H489),SUMIFS(AvgBase[Month 24],AvgBase[exp_item],$J489,AvgBase[company_name],$B489,AvgBase[bu_name],$C489,AvgBase[dept_name],$D489,AvgBase[team_consolidation],$K489,AvgBase[location_name],$G489,AvgBase[job_title],$H489))*(AI279+AH279)/2*(1-AI384))</f>
        <v>0</v>
      </c>
      <c r="AJ489" s="652">
        <f>IF($B489="",,IF(LEFT($H489,5)="dummy",SUMIFS(AvgBase[Month 25],AvgBase[job_title],$H489),SUMIFS(AvgBase[Month 25],AvgBase[exp_item],$J489,AvgBase[company_name],$B489,AvgBase[bu_name],$C489,AvgBase[dept_name],$D489,AvgBase[team_consolidation],$K489,AvgBase[location_name],$G489,AvgBase[job_title],$H489))*(AJ279+AI279)/2*(1-AJ384))</f>
        <v>0</v>
      </c>
      <c r="AK489" s="652">
        <f>IF($B489="",,IF(LEFT($H489,5)="dummy",SUMIFS(AvgBase[Month 26],AvgBase[job_title],$H489),SUMIFS(AvgBase[Month 26],AvgBase[exp_item],$J489,AvgBase[company_name],$B489,AvgBase[bu_name],$C489,AvgBase[dept_name],$D489,AvgBase[team_consolidation],$K489,AvgBase[location_name],$G489,AvgBase[job_title],$H489))*(AK279+AJ279)/2*(1-AK384))</f>
        <v>0</v>
      </c>
      <c r="AL489" s="652">
        <f>IF($B489="",,IF(LEFT($H489,5)="dummy",SUMIFS(AvgBase[Month 27],AvgBase[job_title],$H489),SUMIFS(AvgBase[Month 27],AvgBase[exp_item],$J489,AvgBase[company_name],$B489,AvgBase[bu_name],$C489,AvgBase[dept_name],$D489,AvgBase[team_consolidation],$K489,AvgBase[location_name],$G489,AvgBase[job_title],$H489))*(AL279+AK279)/2*(1-AL384))</f>
        <v>0</v>
      </c>
      <c r="AM489" s="652">
        <f>IF($B489="",,IF(LEFT($H489,5)="dummy",SUMIFS(AvgBase[Month 28],AvgBase[job_title],$H489),SUMIFS(AvgBase[Month 28],AvgBase[exp_item],$J489,AvgBase[company_name],$B489,AvgBase[bu_name],$C489,AvgBase[dept_name],$D489,AvgBase[team_consolidation],$K489,AvgBase[location_name],$G489,AvgBase[job_title],$H489))*(AM279+AL279)/2*(1-AM384))</f>
        <v>0</v>
      </c>
      <c r="AN489" s="652">
        <f>IF($B489="",,IF(LEFT($H489,5)="dummy",SUMIFS(AvgBase[Month 29],AvgBase[job_title],$H489),SUMIFS(AvgBase[Month 29],AvgBase[exp_item],$J489,AvgBase[company_name],$B489,AvgBase[bu_name],$C489,AvgBase[dept_name],$D489,AvgBase[team_consolidation],$K489,AvgBase[location_name],$G489,AvgBase[job_title],$H489))*(AN279+AM279)/2*(1-AN384))</f>
        <v>0</v>
      </c>
      <c r="AO489" s="652">
        <f>IF($B489="",,IF(LEFT($H489,5)="dummy",SUMIFS(AvgBase[Month 30],AvgBase[job_title],$H489),SUMIFS(AvgBase[Month 30],AvgBase[exp_item],$J489,AvgBase[company_name],$B489,AvgBase[bu_name],$C489,AvgBase[dept_name],$D489,AvgBase[team_consolidation],$K489,AvgBase[location_name],$G489,AvgBase[job_title],$H489))*(AO279+AN279)/2*(1-AO384))</f>
        <v>0</v>
      </c>
      <c r="AP489" s="652">
        <f>IF($B489="",,IF(LEFT($H489,5)="dummy",SUMIFS(AvgBase[Month 31],AvgBase[job_title],$H489),SUMIFS(AvgBase[Month 31],AvgBase[exp_item],$J489,AvgBase[company_name],$B489,AvgBase[bu_name],$C489,AvgBase[dept_name],$D489,AvgBase[team_consolidation],$K489,AvgBase[location_name],$G489,AvgBase[job_title],$H489))*(AP279+AO279)/2*(1-AP384))</f>
        <v>0</v>
      </c>
      <c r="AQ489" s="652">
        <f>IF($B489="",,IF(LEFT($H489,5)="dummy",SUMIFS(AvgBase[Month 32],AvgBase[job_title],$H489),SUMIFS(AvgBase[Month 32],AvgBase[exp_item],$J489,AvgBase[company_name],$B489,AvgBase[bu_name],$C489,AvgBase[dept_name],$D489,AvgBase[team_consolidation],$K489,AvgBase[location_name],$G489,AvgBase[job_title],$H489))*(AQ279+AP279)/2*(1-AQ384))</f>
        <v>0</v>
      </c>
      <c r="AR489" s="652">
        <f>IF($B489="",,IF(LEFT($H489,5)="dummy",SUMIFS(AvgBase[Month 33],AvgBase[job_title],$H489),SUMIFS(AvgBase[Month 33],AvgBase[exp_item],$J489,AvgBase[company_name],$B489,AvgBase[bu_name],$C489,AvgBase[dept_name],$D489,AvgBase[team_consolidation],$K489,AvgBase[location_name],$G489,AvgBase[job_title],$H489))*(AR279+AQ279)/2*(1-AR384))</f>
        <v>0</v>
      </c>
      <c r="AS489" s="652">
        <f>IF($B489="",,IF(LEFT($H489,5)="dummy",SUMIFS(AvgBase[Month 34],AvgBase[job_title],$H489),SUMIFS(AvgBase[Month 34],AvgBase[exp_item],$J489,AvgBase[company_name],$B489,AvgBase[bu_name],$C489,AvgBase[dept_name],$D489,AvgBase[team_consolidation],$K489,AvgBase[location_name],$G489,AvgBase[job_title],$H489))*(AS279+AR279)/2*(1-AS384))</f>
        <v>0</v>
      </c>
      <c r="AT489" s="652">
        <f>IF($B489="",,IF(LEFT($H489,5)="dummy",SUMIFS(AvgBase[Month 35],AvgBase[job_title],$H489),SUMIFS(AvgBase[Month 35],AvgBase[exp_item],$J489,AvgBase[company_name],$B489,AvgBase[bu_name],$C489,AvgBase[dept_name],$D489,AvgBase[team_consolidation],$K489,AvgBase[location_name],$G489,AvgBase[job_title],$H489))*(AT279+AS279)/2*(1-AT384))</f>
        <v>0</v>
      </c>
      <c r="AU489" s="652">
        <f>IF($B489="",,IF(LEFT($H489,5)="dummy",SUMIFS(AvgBase[Month 36],AvgBase[job_title],$H489),SUMIFS(AvgBase[Month 36],AvgBase[exp_item],$J489,AvgBase[company_name],$B489,AvgBase[bu_name],$C489,AvgBase[dept_name],$D489,AvgBase[team_consolidation],$K489,AvgBase[location_name],$G489,AvgBase[job_title],$H489))*(AU279+AT279)/2*(1-AU384))</f>
        <v>0</v>
      </c>
    </row>
    <row r="490" spans="2:47" x14ac:dyDescent="0.35">
      <c r="B490" t="str">
        <f t="shared" si="287"/>
        <v/>
      </c>
      <c r="C490" t="str">
        <f t="shared" si="287"/>
        <v/>
      </c>
      <c r="D490" t="str">
        <f t="shared" si="287"/>
        <v/>
      </c>
      <c r="E490" t="str">
        <f t="shared" si="287"/>
        <v/>
      </c>
      <c r="F490" t="str">
        <f t="shared" si="287"/>
        <v/>
      </c>
      <c r="G490" t="str">
        <f t="shared" si="287"/>
        <v/>
      </c>
      <c r="H490" t="str">
        <f t="shared" si="283"/>
        <v/>
      </c>
      <c r="J490" t="str">
        <f>IF($H490="","",IF(VLOOKUP($B$395,ExpItems[],2,0),$B$395&amp;" - "&amp;INDEX(DivisionMapping[category_code],MATCH($D490&amp;$C490,DivisionMapping[dept_bu],0)),$B$395))</f>
        <v/>
      </c>
      <c r="K490" t="str">
        <f t="shared" si="284"/>
        <v/>
      </c>
      <c r="L490" s="652">
        <f>IF($B490="",,IF(LEFT($H490,5)="dummy",SUMIFS(AvgBase[Month 1],AvgBase[job_title],$H490),SUMIFS(AvgBase[Month 1],AvgBase[exp_item],$J490,AvgBase[company_name],$B490,AvgBase[bu_name],$C490,AvgBase[dept_name],$D490,AvgBase[team_consolidation],$K490,AvgBase[location_name],$G490,AvgBase[job_title],$H490))*L280/2*(1-L385))</f>
        <v>0</v>
      </c>
      <c r="M490" s="652">
        <f>IF($B490="",,IF(LEFT($H490,5)="dummy",SUMIFS(AvgBase[Month 2],AvgBase[job_title],$H490),SUMIFS(AvgBase[Month 2],AvgBase[exp_item],$J490,AvgBase[company_name],$B490,AvgBase[bu_name],$C490,AvgBase[dept_name],$D490,AvgBase[team_consolidation],$K490,AvgBase[location_name],$G490,AvgBase[job_title],$H490))*(M280+L280)/2*(1-M385))</f>
        <v>0</v>
      </c>
      <c r="N490" s="652">
        <f>IF($B490="",,IF(LEFT($H490,5)="dummy",SUMIFS(AvgBase[Month 3],AvgBase[job_title],$H490),SUMIFS(AvgBase[Month 3],AvgBase[exp_item],$J490,AvgBase[company_name],$B490,AvgBase[bu_name],$C490,AvgBase[dept_name],$D490,AvgBase[team_consolidation],$K490,AvgBase[location_name],$G490,AvgBase[job_title],$H490))*(N280+M280)/2*(1-N385))</f>
        <v>0</v>
      </c>
      <c r="O490" s="652">
        <f>IF($B490="",,IF(LEFT($H490,5)="dummy",SUMIFS(AvgBase[Month 4],AvgBase[job_title],$H490),SUMIFS(AvgBase[Month 4],AvgBase[exp_item],$J490,AvgBase[company_name],$B490,AvgBase[bu_name],$C490,AvgBase[dept_name],$D490,AvgBase[team_consolidation],$K490,AvgBase[location_name],$G490,AvgBase[job_title],$H490))*(O280+N280)/2*(1-O385))</f>
        <v>0</v>
      </c>
      <c r="P490" s="652">
        <f>IF($B490="",,IF(LEFT($H490,5)="dummy",SUMIFS(AvgBase[Month 5],AvgBase[job_title],$H490),SUMIFS(AvgBase[Month 5],AvgBase[exp_item],$J490,AvgBase[company_name],$B490,AvgBase[bu_name],$C490,AvgBase[dept_name],$D490,AvgBase[team_consolidation],$K490,AvgBase[location_name],$G490,AvgBase[job_title],$H490))*(P280+O280)/2*(1-P385))</f>
        <v>0</v>
      </c>
      <c r="Q490" s="652">
        <f>IF($B490="",,IF(LEFT($H490,5)="dummy",SUMIFS(AvgBase[Month 6],AvgBase[job_title],$H490),SUMIFS(AvgBase[Month 6],AvgBase[exp_item],$J490,AvgBase[company_name],$B490,AvgBase[bu_name],$C490,AvgBase[dept_name],$D490,AvgBase[team_consolidation],$K490,AvgBase[location_name],$G490,AvgBase[job_title],$H490))*(Q280+P280)/2*(1-Q385))</f>
        <v>0</v>
      </c>
      <c r="R490" s="652">
        <f>IF($B490="",,IF(LEFT($H490,5)="dummy",SUMIFS(AvgBase[Month 7],AvgBase[job_title],$H490),SUMIFS(AvgBase[Month 7],AvgBase[exp_item],$J490,AvgBase[company_name],$B490,AvgBase[bu_name],$C490,AvgBase[dept_name],$D490,AvgBase[team_consolidation],$K490,AvgBase[location_name],$G490,AvgBase[job_title],$H490))*(R280+Q280)/2*(1-R385))</f>
        <v>0</v>
      </c>
      <c r="S490" s="652">
        <f>IF($B490="",,IF(LEFT($H490,5)="dummy",SUMIFS(AvgBase[Month 8],AvgBase[job_title],$H490),SUMIFS(AvgBase[Month 8],AvgBase[exp_item],$J490,AvgBase[company_name],$B490,AvgBase[bu_name],$C490,AvgBase[dept_name],$D490,AvgBase[team_consolidation],$K490,AvgBase[location_name],$G490,AvgBase[job_title],$H490))*(S280+R280)/2*(1-S385))</f>
        <v>0</v>
      </c>
      <c r="T490" s="652">
        <f>IF($B490="",,IF(LEFT($H490,5)="dummy",SUMIFS(AvgBase[Month 9],AvgBase[job_title],$H490),SUMIFS(AvgBase[Month 9],AvgBase[exp_item],$J490,AvgBase[company_name],$B490,AvgBase[bu_name],$C490,AvgBase[dept_name],$D490,AvgBase[team_consolidation],$K490,AvgBase[location_name],$G490,AvgBase[job_title],$H490))*(T280+S280)/2*(1-T385))</f>
        <v>0</v>
      </c>
      <c r="U490" s="652">
        <f>IF($B490="",,IF(LEFT($H490,5)="dummy",SUMIFS(AvgBase[Month 10],AvgBase[job_title],$H490),SUMIFS(AvgBase[Month 10],AvgBase[exp_item],$J490,AvgBase[company_name],$B490,AvgBase[bu_name],$C490,AvgBase[dept_name],$D490,AvgBase[team_consolidation],$K490,AvgBase[location_name],$G490,AvgBase[job_title],$H490))*(U280+T280)/2*(1-U385))</f>
        <v>0</v>
      </c>
      <c r="V490" s="652">
        <f>IF($B490="",,IF(LEFT($H490,5)="dummy",SUMIFS(AvgBase[Month 11],AvgBase[job_title],$H490),SUMIFS(AvgBase[Month 11],AvgBase[exp_item],$J490,AvgBase[company_name],$B490,AvgBase[bu_name],$C490,AvgBase[dept_name],$D490,AvgBase[team_consolidation],$K490,AvgBase[location_name],$G490,AvgBase[job_title],$H490))*(V280+U280)/2*(1-V385))</f>
        <v>0</v>
      </c>
      <c r="W490" s="652">
        <f>IF($B490="",,IF(LEFT($H490,5)="dummy",SUMIFS(AvgBase[Month 12],AvgBase[job_title],$H490),SUMIFS(AvgBase[Month 12],AvgBase[exp_item],$J490,AvgBase[company_name],$B490,AvgBase[bu_name],$C490,AvgBase[dept_name],$D490,AvgBase[team_consolidation],$K490,AvgBase[location_name],$G490,AvgBase[job_title],$H490))*(W280+V280)/2*(1-W385))</f>
        <v>0</v>
      </c>
      <c r="X490" s="652">
        <f>IF($B490="",,IF(LEFT($H490,5)="dummy",SUMIFS(AvgBase[Month 13],AvgBase[job_title],$H490),SUMIFS(AvgBase[Month 13],AvgBase[exp_item],$J490,AvgBase[company_name],$B490,AvgBase[bu_name],$C490,AvgBase[dept_name],$D490,AvgBase[team_consolidation],$K490,AvgBase[location_name],$G490,AvgBase[job_title],$H490))*(X280+W280)/2*(1-X385))</f>
        <v>0</v>
      </c>
      <c r="Y490" s="652">
        <f>IF($B490="",,IF(LEFT($H490,5)="dummy",SUMIFS(AvgBase[Month 14],AvgBase[job_title],$H490),SUMIFS(AvgBase[Month 14],AvgBase[exp_item],$J490,AvgBase[company_name],$B490,AvgBase[bu_name],$C490,AvgBase[dept_name],$D490,AvgBase[team_consolidation],$K490,AvgBase[location_name],$G490,AvgBase[job_title],$H490))*(Y280+X280)/2*(1-Y385))</f>
        <v>0</v>
      </c>
      <c r="Z490" s="652">
        <f>IF($B490="",,IF(LEFT($H490,5)="dummy",SUMIFS(AvgBase[Month 15],AvgBase[job_title],$H490),SUMIFS(AvgBase[Month 15],AvgBase[exp_item],$J490,AvgBase[company_name],$B490,AvgBase[bu_name],$C490,AvgBase[dept_name],$D490,AvgBase[team_consolidation],$K490,AvgBase[location_name],$G490,AvgBase[job_title],$H490))*(Z280+Y280)/2*(1-Z385))</f>
        <v>0</v>
      </c>
      <c r="AA490" s="652">
        <f>IF($B490="",,IF(LEFT($H490,5)="dummy",SUMIFS(AvgBase[Month 16],AvgBase[job_title],$H490),SUMIFS(AvgBase[Month 16],AvgBase[exp_item],$J490,AvgBase[company_name],$B490,AvgBase[bu_name],$C490,AvgBase[dept_name],$D490,AvgBase[team_consolidation],$K490,AvgBase[location_name],$G490,AvgBase[job_title],$H490))*(AA280+Z280)/2*(1-AA385))</f>
        <v>0</v>
      </c>
      <c r="AB490" s="652">
        <f>IF($B490="",,IF(LEFT($H490,5)="dummy",SUMIFS(AvgBase[Month 17],AvgBase[job_title],$H490),SUMIFS(AvgBase[Month 17],AvgBase[exp_item],$J490,AvgBase[company_name],$B490,AvgBase[bu_name],$C490,AvgBase[dept_name],$D490,AvgBase[team_consolidation],$K490,AvgBase[location_name],$G490,AvgBase[job_title],$H490))*(AB280+AA280)/2*(1-AB385))</f>
        <v>0</v>
      </c>
      <c r="AC490" s="652">
        <f>IF($B490="",,IF(LEFT($H490,5)="dummy",SUMIFS(AvgBase[Month 18],AvgBase[job_title],$H490),SUMIFS(AvgBase[Month 18],AvgBase[exp_item],$J490,AvgBase[company_name],$B490,AvgBase[bu_name],$C490,AvgBase[dept_name],$D490,AvgBase[team_consolidation],$K490,AvgBase[location_name],$G490,AvgBase[job_title],$H490))*(AC280+AB280)/2*(1-AC385))</f>
        <v>0</v>
      </c>
      <c r="AD490" s="652">
        <f>IF($B490="",,IF(LEFT($H490,5)="dummy",SUMIFS(AvgBase[Month 19],AvgBase[job_title],$H490),SUMIFS(AvgBase[Month 19],AvgBase[exp_item],$J490,AvgBase[company_name],$B490,AvgBase[bu_name],$C490,AvgBase[dept_name],$D490,AvgBase[team_consolidation],$K490,AvgBase[location_name],$G490,AvgBase[job_title],$H490))*(AD280+AC280)/2*(1-AD385))</f>
        <v>0</v>
      </c>
      <c r="AE490" s="652">
        <f>IF($B490="",,IF(LEFT($H490,5)="dummy",SUMIFS(AvgBase[Month 20],AvgBase[job_title],$H490),SUMIFS(AvgBase[Month 20],AvgBase[exp_item],$J490,AvgBase[company_name],$B490,AvgBase[bu_name],$C490,AvgBase[dept_name],$D490,AvgBase[team_consolidation],$K490,AvgBase[location_name],$G490,AvgBase[job_title],$H490))*(AE280+AD280)/2*(1-AE385))</f>
        <v>0</v>
      </c>
      <c r="AF490" s="652">
        <f>IF($B490="",,IF(LEFT($H490,5)="dummy",SUMIFS(AvgBase[Month 21],AvgBase[job_title],$H490),SUMIFS(AvgBase[Month 21],AvgBase[exp_item],$J490,AvgBase[company_name],$B490,AvgBase[bu_name],$C490,AvgBase[dept_name],$D490,AvgBase[team_consolidation],$K490,AvgBase[location_name],$G490,AvgBase[job_title],$H490))*(AF280+AE280)/2*(1-AF385))</f>
        <v>0</v>
      </c>
      <c r="AG490" s="652">
        <f>IF($B490="",,IF(LEFT($H490,5)="dummy",SUMIFS(AvgBase[Month 22],AvgBase[job_title],$H490),SUMIFS(AvgBase[Month 22],AvgBase[exp_item],$J490,AvgBase[company_name],$B490,AvgBase[bu_name],$C490,AvgBase[dept_name],$D490,AvgBase[team_consolidation],$K490,AvgBase[location_name],$G490,AvgBase[job_title],$H490))*(AG280+AF280)/2*(1-AG385))</f>
        <v>0</v>
      </c>
      <c r="AH490" s="652">
        <f>IF($B490="",,IF(LEFT($H490,5)="dummy",SUMIFS(AvgBase[Month 23],AvgBase[job_title],$H490),SUMIFS(AvgBase[Month 23],AvgBase[exp_item],$J490,AvgBase[company_name],$B490,AvgBase[bu_name],$C490,AvgBase[dept_name],$D490,AvgBase[team_consolidation],$K490,AvgBase[location_name],$G490,AvgBase[job_title],$H490))*(AH280+AG280)/2*(1-AH385))</f>
        <v>0</v>
      </c>
      <c r="AI490" s="652">
        <f>IF($B490="",,IF(LEFT($H490,5)="dummy",SUMIFS(AvgBase[Month 24],AvgBase[job_title],$H490),SUMIFS(AvgBase[Month 24],AvgBase[exp_item],$J490,AvgBase[company_name],$B490,AvgBase[bu_name],$C490,AvgBase[dept_name],$D490,AvgBase[team_consolidation],$K490,AvgBase[location_name],$G490,AvgBase[job_title],$H490))*(AI280+AH280)/2*(1-AI385))</f>
        <v>0</v>
      </c>
      <c r="AJ490" s="652">
        <f>IF($B490="",,IF(LEFT($H490,5)="dummy",SUMIFS(AvgBase[Month 25],AvgBase[job_title],$H490),SUMIFS(AvgBase[Month 25],AvgBase[exp_item],$J490,AvgBase[company_name],$B490,AvgBase[bu_name],$C490,AvgBase[dept_name],$D490,AvgBase[team_consolidation],$K490,AvgBase[location_name],$G490,AvgBase[job_title],$H490))*(AJ280+AI280)/2*(1-AJ385))</f>
        <v>0</v>
      </c>
      <c r="AK490" s="652">
        <f>IF($B490="",,IF(LEFT($H490,5)="dummy",SUMIFS(AvgBase[Month 26],AvgBase[job_title],$H490),SUMIFS(AvgBase[Month 26],AvgBase[exp_item],$J490,AvgBase[company_name],$B490,AvgBase[bu_name],$C490,AvgBase[dept_name],$D490,AvgBase[team_consolidation],$K490,AvgBase[location_name],$G490,AvgBase[job_title],$H490))*(AK280+AJ280)/2*(1-AK385))</f>
        <v>0</v>
      </c>
      <c r="AL490" s="652">
        <f>IF($B490="",,IF(LEFT($H490,5)="dummy",SUMIFS(AvgBase[Month 27],AvgBase[job_title],$H490),SUMIFS(AvgBase[Month 27],AvgBase[exp_item],$J490,AvgBase[company_name],$B490,AvgBase[bu_name],$C490,AvgBase[dept_name],$D490,AvgBase[team_consolidation],$K490,AvgBase[location_name],$G490,AvgBase[job_title],$H490))*(AL280+AK280)/2*(1-AL385))</f>
        <v>0</v>
      </c>
      <c r="AM490" s="652">
        <f>IF($B490="",,IF(LEFT($H490,5)="dummy",SUMIFS(AvgBase[Month 28],AvgBase[job_title],$H490),SUMIFS(AvgBase[Month 28],AvgBase[exp_item],$J490,AvgBase[company_name],$B490,AvgBase[bu_name],$C490,AvgBase[dept_name],$D490,AvgBase[team_consolidation],$K490,AvgBase[location_name],$G490,AvgBase[job_title],$H490))*(AM280+AL280)/2*(1-AM385))</f>
        <v>0</v>
      </c>
      <c r="AN490" s="652">
        <f>IF($B490="",,IF(LEFT($H490,5)="dummy",SUMIFS(AvgBase[Month 29],AvgBase[job_title],$H490),SUMIFS(AvgBase[Month 29],AvgBase[exp_item],$J490,AvgBase[company_name],$B490,AvgBase[bu_name],$C490,AvgBase[dept_name],$D490,AvgBase[team_consolidation],$K490,AvgBase[location_name],$G490,AvgBase[job_title],$H490))*(AN280+AM280)/2*(1-AN385))</f>
        <v>0</v>
      </c>
      <c r="AO490" s="652">
        <f>IF($B490="",,IF(LEFT($H490,5)="dummy",SUMIFS(AvgBase[Month 30],AvgBase[job_title],$H490),SUMIFS(AvgBase[Month 30],AvgBase[exp_item],$J490,AvgBase[company_name],$B490,AvgBase[bu_name],$C490,AvgBase[dept_name],$D490,AvgBase[team_consolidation],$K490,AvgBase[location_name],$G490,AvgBase[job_title],$H490))*(AO280+AN280)/2*(1-AO385))</f>
        <v>0</v>
      </c>
      <c r="AP490" s="652">
        <f>IF($B490="",,IF(LEFT($H490,5)="dummy",SUMIFS(AvgBase[Month 31],AvgBase[job_title],$H490),SUMIFS(AvgBase[Month 31],AvgBase[exp_item],$J490,AvgBase[company_name],$B490,AvgBase[bu_name],$C490,AvgBase[dept_name],$D490,AvgBase[team_consolidation],$K490,AvgBase[location_name],$G490,AvgBase[job_title],$H490))*(AP280+AO280)/2*(1-AP385))</f>
        <v>0</v>
      </c>
      <c r="AQ490" s="652">
        <f>IF($B490="",,IF(LEFT($H490,5)="dummy",SUMIFS(AvgBase[Month 32],AvgBase[job_title],$H490),SUMIFS(AvgBase[Month 32],AvgBase[exp_item],$J490,AvgBase[company_name],$B490,AvgBase[bu_name],$C490,AvgBase[dept_name],$D490,AvgBase[team_consolidation],$K490,AvgBase[location_name],$G490,AvgBase[job_title],$H490))*(AQ280+AP280)/2*(1-AQ385))</f>
        <v>0</v>
      </c>
      <c r="AR490" s="652">
        <f>IF($B490="",,IF(LEFT($H490,5)="dummy",SUMIFS(AvgBase[Month 33],AvgBase[job_title],$H490),SUMIFS(AvgBase[Month 33],AvgBase[exp_item],$J490,AvgBase[company_name],$B490,AvgBase[bu_name],$C490,AvgBase[dept_name],$D490,AvgBase[team_consolidation],$K490,AvgBase[location_name],$G490,AvgBase[job_title],$H490))*(AR280+AQ280)/2*(1-AR385))</f>
        <v>0</v>
      </c>
      <c r="AS490" s="652">
        <f>IF($B490="",,IF(LEFT($H490,5)="dummy",SUMIFS(AvgBase[Month 34],AvgBase[job_title],$H490),SUMIFS(AvgBase[Month 34],AvgBase[exp_item],$J490,AvgBase[company_name],$B490,AvgBase[bu_name],$C490,AvgBase[dept_name],$D490,AvgBase[team_consolidation],$K490,AvgBase[location_name],$G490,AvgBase[job_title],$H490))*(AS280+AR280)/2*(1-AS385))</f>
        <v>0</v>
      </c>
      <c r="AT490" s="652">
        <f>IF($B490="",,IF(LEFT($H490,5)="dummy",SUMIFS(AvgBase[Month 35],AvgBase[job_title],$H490),SUMIFS(AvgBase[Month 35],AvgBase[exp_item],$J490,AvgBase[company_name],$B490,AvgBase[bu_name],$C490,AvgBase[dept_name],$D490,AvgBase[team_consolidation],$K490,AvgBase[location_name],$G490,AvgBase[job_title],$H490))*(AT280+AS280)/2*(1-AT385))</f>
        <v>0</v>
      </c>
      <c r="AU490" s="652">
        <f>IF($B490="",,IF(LEFT($H490,5)="dummy",SUMIFS(AvgBase[Month 36],AvgBase[job_title],$H490),SUMIFS(AvgBase[Month 36],AvgBase[exp_item],$J490,AvgBase[company_name],$B490,AvgBase[bu_name],$C490,AvgBase[dept_name],$D490,AvgBase[team_consolidation],$K490,AvgBase[location_name],$G490,AvgBase[job_title],$H490))*(AU280+AT280)/2*(1-AU385))</f>
        <v>0</v>
      </c>
    </row>
    <row r="491" spans="2:47" x14ac:dyDescent="0.35">
      <c r="B491" t="str">
        <f t="shared" si="287"/>
        <v/>
      </c>
      <c r="C491" t="str">
        <f t="shared" si="287"/>
        <v/>
      </c>
      <c r="D491" t="str">
        <f t="shared" si="287"/>
        <v/>
      </c>
      <c r="E491" t="str">
        <f t="shared" si="287"/>
        <v/>
      </c>
      <c r="F491" t="str">
        <f t="shared" si="287"/>
        <v/>
      </c>
      <c r="G491" t="str">
        <f t="shared" si="287"/>
        <v/>
      </c>
      <c r="H491" t="str">
        <f t="shared" si="283"/>
        <v/>
      </c>
      <c r="J491" t="str">
        <f>IF($H491="","",IF(VLOOKUP($B$395,ExpItems[],2,0),$B$395&amp;" - "&amp;INDEX(DivisionMapping[category_code],MATCH($D491&amp;$C491,DivisionMapping[dept_bu],0)),$B$395))</f>
        <v/>
      </c>
      <c r="K491" t="str">
        <f t="shared" si="284"/>
        <v/>
      </c>
      <c r="L491" s="652">
        <f>IF($B491="",,IF(LEFT($H491,5)="dummy",SUMIFS(AvgBase[Month 1],AvgBase[job_title],$H491),SUMIFS(AvgBase[Month 1],AvgBase[exp_item],$J491,AvgBase[company_name],$B491,AvgBase[bu_name],$C491,AvgBase[dept_name],$D491,AvgBase[team_consolidation],$K491,AvgBase[location_name],$G491,AvgBase[job_title],$H491))*L281/2*(1-L386))</f>
        <v>0</v>
      </c>
      <c r="M491" s="652">
        <f>IF($B491="",,IF(LEFT($H491,5)="dummy",SUMIFS(AvgBase[Month 2],AvgBase[job_title],$H491),SUMIFS(AvgBase[Month 2],AvgBase[exp_item],$J491,AvgBase[company_name],$B491,AvgBase[bu_name],$C491,AvgBase[dept_name],$D491,AvgBase[team_consolidation],$K491,AvgBase[location_name],$G491,AvgBase[job_title],$H491))*(M281+L281)/2*(1-M386))</f>
        <v>0</v>
      </c>
      <c r="N491" s="652">
        <f>IF($B491="",,IF(LEFT($H491,5)="dummy",SUMIFS(AvgBase[Month 3],AvgBase[job_title],$H491),SUMIFS(AvgBase[Month 3],AvgBase[exp_item],$J491,AvgBase[company_name],$B491,AvgBase[bu_name],$C491,AvgBase[dept_name],$D491,AvgBase[team_consolidation],$K491,AvgBase[location_name],$G491,AvgBase[job_title],$H491))*(N281+M281)/2*(1-N386))</f>
        <v>0</v>
      </c>
      <c r="O491" s="652">
        <f>IF($B491="",,IF(LEFT($H491,5)="dummy",SUMIFS(AvgBase[Month 4],AvgBase[job_title],$H491),SUMIFS(AvgBase[Month 4],AvgBase[exp_item],$J491,AvgBase[company_name],$B491,AvgBase[bu_name],$C491,AvgBase[dept_name],$D491,AvgBase[team_consolidation],$K491,AvgBase[location_name],$G491,AvgBase[job_title],$H491))*(O281+N281)/2*(1-O386))</f>
        <v>0</v>
      </c>
      <c r="P491" s="652">
        <f>IF($B491="",,IF(LEFT($H491,5)="dummy",SUMIFS(AvgBase[Month 5],AvgBase[job_title],$H491),SUMIFS(AvgBase[Month 5],AvgBase[exp_item],$J491,AvgBase[company_name],$B491,AvgBase[bu_name],$C491,AvgBase[dept_name],$D491,AvgBase[team_consolidation],$K491,AvgBase[location_name],$G491,AvgBase[job_title],$H491))*(P281+O281)/2*(1-P386))</f>
        <v>0</v>
      </c>
      <c r="Q491" s="652">
        <f>IF($B491="",,IF(LEFT($H491,5)="dummy",SUMIFS(AvgBase[Month 6],AvgBase[job_title],$H491),SUMIFS(AvgBase[Month 6],AvgBase[exp_item],$J491,AvgBase[company_name],$B491,AvgBase[bu_name],$C491,AvgBase[dept_name],$D491,AvgBase[team_consolidation],$K491,AvgBase[location_name],$G491,AvgBase[job_title],$H491))*(Q281+P281)/2*(1-Q386))</f>
        <v>0</v>
      </c>
      <c r="R491" s="652">
        <f>IF($B491="",,IF(LEFT($H491,5)="dummy",SUMIFS(AvgBase[Month 7],AvgBase[job_title],$H491),SUMIFS(AvgBase[Month 7],AvgBase[exp_item],$J491,AvgBase[company_name],$B491,AvgBase[bu_name],$C491,AvgBase[dept_name],$D491,AvgBase[team_consolidation],$K491,AvgBase[location_name],$G491,AvgBase[job_title],$H491))*(R281+Q281)/2*(1-R386))</f>
        <v>0</v>
      </c>
      <c r="S491" s="652">
        <f>IF($B491="",,IF(LEFT($H491,5)="dummy",SUMIFS(AvgBase[Month 8],AvgBase[job_title],$H491),SUMIFS(AvgBase[Month 8],AvgBase[exp_item],$J491,AvgBase[company_name],$B491,AvgBase[bu_name],$C491,AvgBase[dept_name],$D491,AvgBase[team_consolidation],$K491,AvgBase[location_name],$G491,AvgBase[job_title],$H491))*(S281+R281)/2*(1-S386))</f>
        <v>0</v>
      </c>
      <c r="T491" s="652">
        <f>IF($B491="",,IF(LEFT($H491,5)="dummy",SUMIFS(AvgBase[Month 9],AvgBase[job_title],$H491),SUMIFS(AvgBase[Month 9],AvgBase[exp_item],$J491,AvgBase[company_name],$B491,AvgBase[bu_name],$C491,AvgBase[dept_name],$D491,AvgBase[team_consolidation],$K491,AvgBase[location_name],$G491,AvgBase[job_title],$H491))*(T281+S281)/2*(1-T386))</f>
        <v>0</v>
      </c>
      <c r="U491" s="652">
        <f>IF($B491="",,IF(LEFT($H491,5)="dummy",SUMIFS(AvgBase[Month 10],AvgBase[job_title],$H491),SUMIFS(AvgBase[Month 10],AvgBase[exp_item],$J491,AvgBase[company_name],$B491,AvgBase[bu_name],$C491,AvgBase[dept_name],$D491,AvgBase[team_consolidation],$K491,AvgBase[location_name],$G491,AvgBase[job_title],$H491))*(U281+T281)/2*(1-U386))</f>
        <v>0</v>
      </c>
      <c r="V491" s="652">
        <f>IF($B491="",,IF(LEFT($H491,5)="dummy",SUMIFS(AvgBase[Month 11],AvgBase[job_title],$H491),SUMIFS(AvgBase[Month 11],AvgBase[exp_item],$J491,AvgBase[company_name],$B491,AvgBase[bu_name],$C491,AvgBase[dept_name],$D491,AvgBase[team_consolidation],$K491,AvgBase[location_name],$G491,AvgBase[job_title],$H491))*(V281+U281)/2*(1-V386))</f>
        <v>0</v>
      </c>
      <c r="W491" s="652">
        <f>IF($B491="",,IF(LEFT($H491,5)="dummy",SUMIFS(AvgBase[Month 12],AvgBase[job_title],$H491),SUMIFS(AvgBase[Month 12],AvgBase[exp_item],$J491,AvgBase[company_name],$B491,AvgBase[bu_name],$C491,AvgBase[dept_name],$D491,AvgBase[team_consolidation],$K491,AvgBase[location_name],$G491,AvgBase[job_title],$H491))*(W281+V281)/2*(1-W386))</f>
        <v>0</v>
      </c>
      <c r="X491" s="652">
        <f>IF($B491="",,IF(LEFT($H491,5)="dummy",SUMIFS(AvgBase[Month 13],AvgBase[job_title],$H491),SUMIFS(AvgBase[Month 13],AvgBase[exp_item],$J491,AvgBase[company_name],$B491,AvgBase[bu_name],$C491,AvgBase[dept_name],$D491,AvgBase[team_consolidation],$K491,AvgBase[location_name],$G491,AvgBase[job_title],$H491))*(X281+W281)/2*(1-X386))</f>
        <v>0</v>
      </c>
      <c r="Y491" s="652">
        <f>IF($B491="",,IF(LEFT($H491,5)="dummy",SUMIFS(AvgBase[Month 14],AvgBase[job_title],$H491),SUMIFS(AvgBase[Month 14],AvgBase[exp_item],$J491,AvgBase[company_name],$B491,AvgBase[bu_name],$C491,AvgBase[dept_name],$D491,AvgBase[team_consolidation],$K491,AvgBase[location_name],$G491,AvgBase[job_title],$H491))*(Y281+X281)/2*(1-Y386))</f>
        <v>0</v>
      </c>
      <c r="Z491" s="652">
        <f>IF($B491="",,IF(LEFT($H491,5)="dummy",SUMIFS(AvgBase[Month 15],AvgBase[job_title],$H491),SUMIFS(AvgBase[Month 15],AvgBase[exp_item],$J491,AvgBase[company_name],$B491,AvgBase[bu_name],$C491,AvgBase[dept_name],$D491,AvgBase[team_consolidation],$K491,AvgBase[location_name],$G491,AvgBase[job_title],$H491))*(Z281+Y281)/2*(1-Z386))</f>
        <v>0</v>
      </c>
      <c r="AA491" s="652">
        <f>IF($B491="",,IF(LEFT($H491,5)="dummy",SUMIFS(AvgBase[Month 16],AvgBase[job_title],$H491),SUMIFS(AvgBase[Month 16],AvgBase[exp_item],$J491,AvgBase[company_name],$B491,AvgBase[bu_name],$C491,AvgBase[dept_name],$D491,AvgBase[team_consolidation],$K491,AvgBase[location_name],$G491,AvgBase[job_title],$H491))*(AA281+Z281)/2*(1-AA386))</f>
        <v>0</v>
      </c>
      <c r="AB491" s="652">
        <f>IF($B491="",,IF(LEFT($H491,5)="dummy",SUMIFS(AvgBase[Month 17],AvgBase[job_title],$H491),SUMIFS(AvgBase[Month 17],AvgBase[exp_item],$J491,AvgBase[company_name],$B491,AvgBase[bu_name],$C491,AvgBase[dept_name],$D491,AvgBase[team_consolidation],$K491,AvgBase[location_name],$G491,AvgBase[job_title],$H491))*(AB281+AA281)/2*(1-AB386))</f>
        <v>0</v>
      </c>
      <c r="AC491" s="652">
        <f>IF($B491="",,IF(LEFT($H491,5)="dummy",SUMIFS(AvgBase[Month 18],AvgBase[job_title],$H491),SUMIFS(AvgBase[Month 18],AvgBase[exp_item],$J491,AvgBase[company_name],$B491,AvgBase[bu_name],$C491,AvgBase[dept_name],$D491,AvgBase[team_consolidation],$K491,AvgBase[location_name],$G491,AvgBase[job_title],$H491))*(AC281+AB281)/2*(1-AC386))</f>
        <v>0</v>
      </c>
      <c r="AD491" s="652">
        <f>IF($B491="",,IF(LEFT($H491,5)="dummy",SUMIFS(AvgBase[Month 19],AvgBase[job_title],$H491),SUMIFS(AvgBase[Month 19],AvgBase[exp_item],$J491,AvgBase[company_name],$B491,AvgBase[bu_name],$C491,AvgBase[dept_name],$D491,AvgBase[team_consolidation],$K491,AvgBase[location_name],$G491,AvgBase[job_title],$H491))*(AD281+AC281)/2*(1-AD386))</f>
        <v>0</v>
      </c>
      <c r="AE491" s="652">
        <f>IF($B491="",,IF(LEFT($H491,5)="dummy",SUMIFS(AvgBase[Month 20],AvgBase[job_title],$H491),SUMIFS(AvgBase[Month 20],AvgBase[exp_item],$J491,AvgBase[company_name],$B491,AvgBase[bu_name],$C491,AvgBase[dept_name],$D491,AvgBase[team_consolidation],$K491,AvgBase[location_name],$G491,AvgBase[job_title],$H491))*(AE281+AD281)/2*(1-AE386))</f>
        <v>0</v>
      </c>
      <c r="AF491" s="652">
        <f>IF($B491="",,IF(LEFT($H491,5)="dummy",SUMIFS(AvgBase[Month 21],AvgBase[job_title],$H491),SUMIFS(AvgBase[Month 21],AvgBase[exp_item],$J491,AvgBase[company_name],$B491,AvgBase[bu_name],$C491,AvgBase[dept_name],$D491,AvgBase[team_consolidation],$K491,AvgBase[location_name],$G491,AvgBase[job_title],$H491))*(AF281+AE281)/2*(1-AF386))</f>
        <v>0</v>
      </c>
      <c r="AG491" s="652">
        <f>IF($B491="",,IF(LEFT($H491,5)="dummy",SUMIFS(AvgBase[Month 22],AvgBase[job_title],$H491),SUMIFS(AvgBase[Month 22],AvgBase[exp_item],$J491,AvgBase[company_name],$B491,AvgBase[bu_name],$C491,AvgBase[dept_name],$D491,AvgBase[team_consolidation],$K491,AvgBase[location_name],$G491,AvgBase[job_title],$H491))*(AG281+AF281)/2*(1-AG386))</f>
        <v>0</v>
      </c>
      <c r="AH491" s="652">
        <f>IF($B491="",,IF(LEFT($H491,5)="dummy",SUMIFS(AvgBase[Month 23],AvgBase[job_title],$H491),SUMIFS(AvgBase[Month 23],AvgBase[exp_item],$J491,AvgBase[company_name],$B491,AvgBase[bu_name],$C491,AvgBase[dept_name],$D491,AvgBase[team_consolidation],$K491,AvgBase[location_name],$G491,AvgBase[job_title],$H491))*(AH281+AG281)/2*(1-AH386))</f>
        <v>0</v>
      </c>
      <c r="AI491" s="652">
        <f>IF($B491="",,IF(LEFT($H491,5)="dummy",SUMIFS(AvgBase[Month 24],AvgBase[job_title],$H491),SUMIFS(AvgBase[Month 24],AvgBase[exp_item],$J491,AvgBase[company_name],$B491,AvgBase[bu_name],$C491,AvgBase[dept_name],$D491,AvgBase[team_consolidation],$K491,AvgBase[location_name],$G491,AvgBase[job_title],$H491))*(AI281+AH281)/2*(1-AI386))</f>
        <v>0</v>
      </c>
      <c r="AJ491" s="652">
        <f>IF($B491="",,IF(LEFT($H491,5)="dummy",SUMIFS(AvgBase[Month 25],AvgBase[job_title],$H491),SUMIFS(AvgBase[Month 25],AvgBase[exp_item],$J491,AvgBase[company_name],$B491,AvgBase[bu_name],$C491,AvgBase[dept_name],$D491,AvgBase[team_consolidation],$K491,AvgBase[location_name],$G491,AvgBase[job_title],$H491))*(AJ281+AI281)/2*(1-AJ386))</f>
        <v>0</v>
      </c>
      <c r="AK491" s="652">
        <f>IF($B491="",,IF(LEFT($H491,5)="dummy",SUMIFS(AvgBase[Month 26],AvgBase[job_title],$H491),SUMIFS(AvgBase[Month 26],AvgBase[exp_item],$J491,AvgBase[company_name],$B491,AvgBase[bu_name],$C491,AvgBase[dept_name],$D491,AvgBase[team_consolidation],$K491,AvgBase[location_name],$G491,AvgBase[job_title],$H491))*(AK281+AJ281)/2*(1-AK386))</f>
        <v>0</v>
      </c>
      <c r="AL491" s="652">
        <f>IF($B491="",,IF(LEFT($H491,5)="dummy",SUMIFS(AvgBase[Month 27],AvgBase[job_title],$H491),SUMIFS(AvgBase[Month 27],AvgBase[exp_item],$J491,AvgBase[company_name],$B491,AvgBase[bu_name],$C491,AvgBase[dept_name],$D491,AvgBase[team_consolidation],$K491,AvgBase[location_name],$G491,AvgBase[job_title],$H491))*(AL281+AK281)/2*(1-AL386))</f>
        <v>0</v>
      </c>
      <c r="AM491" s="652">
        <f>IF($B491="",,IF(LEFT($H491,5)="dummy",SUMIFS(AvgBase[Month 28],AvgBase[job_title],$H491),SUMIFS(AvgBase[Month 28],AvgBase[exp_item],$J491,AvgBase[company_name],$B491,AvgBase[bu_name],$C491,AvgBase[dept_name],$D491,AvgBase[team_consolidation],$K491,AvgBase[location_name],$G491,AvgBase[job_title],$H491))*(AM281+AL281)/2*(1-AM386))</f>
        <v>0</v>
      </c>
      <c r="AN491" s="652">
        <f>IF($B491="",,IF(LEFT($H491,5)="dummy",SUMIFS(AvgBase[Month 29],AvgBase[job_title],$H491),SUMIFS(AvgBase[Month 29],AvgBase[exp_item],$J491,AvgBase[company_name],$B491,AvgBase[bu_name],$C491,AvgBase[dept_name],$D491,AvgBase[team_consolidation],$K491,AvgBase[location_name],$G491,AvgBase[job_title],$H491))*(AN281+AM281)/2*(1-AN386))</f>
        <v>0</v>
      </c>
      <c r="AO491" s="652">
        <f>IF($B491="",,IF(LEFT($H491,5)="dummy",SUMIFS(AvgBase[Month 30],AvgBase[job_title],$H491),SUMIFS(AvgBase[Month 30],AvgBase[exp_item],$J491,AvgBase[company_name],$B491,AvgBase[bu_name],$C491,AvgBase[dept_name],$D491,AvgBase[team_consolidation],$K491,AvgBase[location_name],$G491,AvgBase[job_title],$H491))*(AO281+AN281)/2*(1-AO386))</f>
        <v>0</v>
      </c>
      <c r="AP491" s="652">
        <f>IF($B491="",,IF(LEFT($H491,5)="dummy",SUMIFS(AvgBase[Month 31],AvgBase[job_title],$H491),SUMIFS(AvgBase[Month 31],AvgBase[exp_item],$J491,AvgBase[company_name],$B491,AvgBase[bu_name],$C491,AvgBase[dept_name],$D491,AvgBase[team_consolidation],$K491,AvgBase[location_name],$G491,AvgBase[job_title],$H491))*(AP281+AO281)/2*(1-AP386))</f>
        <v>0</v>
      </c>
      <c r="AQ491" s="652">
        <f>IF($B491="",,IF(LEFT($H491,5)="dummy",SUMIFS(AvgBase[Month 32],AvgBase[job_title],$H491),SUMIFS(AvgBase[Month 32],AvgBase[exp_item],$J491,AvgBase[company_name],$B491,AvgBase[bu_name],$C491,AvgBase[dept_name],$D491,AvgBase[team_consolidation],$K491,AvgBase[location_name],$G491,AvgBase[job_title],$H491))*(AQ281+AP281)/2*(1-AQ386))</f>
        <v>0</v>
      </c>
      <c r="AR491" s="652">
        <f>IF($B491="",,IF(LEFT($H491,5)="dummy",SUMIFS(AvgBase[Month 33],AvgBase[job_title],$H491),SUMIFS(AvgBase[Month 33],AvgBase[exp_item],$J491,AvgBase[company_name],$B491,AvgBase[bu_name],$C491,AvgBase[dept_name],$D491,AvgBase[team_consolidation],$K491,AvgBase[location_name],$G491,AvgBase[job_title],$H491))*(AR281+AQ281)/2*(1-AR386))</f>
        <v>0</v>
      </c>
      <c r="AS491" s="652">
        <f>IF($B491="",,IF(LEFT($H491,5)="dummy",SUMIFS(AvgBase[Month 34],AvgBase[job_title],$H491),SUMIFS(AvgBase[Month 34],AvgBase[exp_item],$J491,AvgBase[company_name],$B491,AvgBase[bu_name],$C491,AvgBase[dept_name],$D491,AvgBase[team_consolidation],$K491,AvgBase[location_name],$G491,AvgBase[job_title],$H491))*(AS281+AR281)/2*(1-AS386))</f>
        <v>0</v>
      </c>
      <c r="AT491" s="652">
        <f>IF($B491="",,IF(LEFT($H491,5)="dummy",SUMIFS(AvgBase[Month 35],AvgBase[job_title],$H491),SUMIFS(AvgBase[Month 35],AvgBase[exp_item],$J491,AvgBase[company_name],$B491,AvgBase[bu_name],$C491,AvgBase[dept_name],$D491,AvgBase[team_consolidation],$K491,AvgBase[location_name],$G491,AvgBase[job_title],$H491))*(AT281+AS281)/2*(1-AT386))</f>
        <v>0</v>
      </c>
      <c r="AU491" s="652">
        <f>IF($B491="",,IF(LEFT($H491,5)="dummy",SUMIFS(AvgBase[Month 36],AvgBase[job_title],$H491),SUMIFS(AvgBase[Month 36],AvgBase[exp_item],$J491,AvgBase[company_name],$B491,AvgBase[bu_name],$C491,AvgBase[dept_name],$D491,AvgBase[team_consolidation],$K491,AvgBase[location_name],$G491,AvgBase[job_title],$H491))*(AU281+AT281)/2*(1-AU386))</f>
        <v>0</v>
      </c>
    </row>
    <row r="492" spans="2:47" x14ac:dyDescent="0.35">
      <c r="B492" t="str">
        <f t="shared" si="287"/>
        <v/>
      </c>
      <c r="C492" t="str">
        <f t="shared" si="287"/>
        <v/>
      </c>
      <c r="D492" t="str">
        <f t="shared" si="287"/>
        <v/>
      </c>
      <c r="E492" t="str">
        <f t="shared" si="287"/>
        <v/>
      </c>
      <c r="F492" t="str">
        <f t="shared" si="287"/>
        <v/>
      </c>
      <c r="G492" t="str">
        <f t="shared" si="287"/>
        <v/>
      </c>
      <c r="H492" t="str">
        <f t="shared" ref="H492:H496" si="288">IF(H282="","",H282)</f>
        <v/>
      </c>
      <c r="J492" t="str">
        <f>IF($H492="","",IF(VLOOKUP($B$395,ExpItems[],2,0),$B$395&amp;" - "&amp;INDEX(DivisionMapping[category_code],MATCH($D492&amp;$C492,DivisionMapping[dept_bu],0)),$B$395))</f>
        <v/>
      </c>
      <c r="K492" t="str">
        <f t="shared" si="284"/>
        <v/>
      </c>
      <c r="L492" s="652">
        <f>IF($B492="",,IF(LEFT($H492,5)="dummy",SUMIFS(AvgBase[Month 1],AvgBase[job_title],$H492),SUMIFS(AvgBase[Month 1],AvgBase[exp_item],$J492,AvgBase[company_name],$B492,AvgBase[bu_name],$C492,AvgBase[dept_name],$D492,AvgBase[team_consolidation],$K492,AvgBase[location_name],$G492,AvgBase[job_title],$H492))*L282/2*(1-L387))</f>
        <v>0</v>
      </c>
      <c r="M492" s="652">
        <f>IF($B492="",,IF(LEFT($H492,5)="dummy",SUMIFS(AvgBase[Month 2],AvgBase[job_title],$H492),SUMIFS(AvgBase[Month 2],AvgBase[exp_item],$J492,AvgBase[company_name],$B492,AvgBase[bu_name],$C492,AvgBase[dept_name],$D492,AvgBase[team_consolidation],$K492,AvgBase[location_name],$G492,AvgBase[job_title],$H492))*(M282+L282)/2*(1-M387))</f>
        <v>0</v>
      </c>
      <c r="N492" s="652">
        <f>IF($B492="",,IF(LEFT($H492,5)="dummy",SUMIFS(AvgBase[Month 3],AvgBase[job_title],$H492),SUMIFS(AvgBase[Month 3],AvgBase[exp_item],$J492,AvgBase[company_name],$B492,AvgBase[bu_name],$C492,AvgBase[dept_name],$D492,AvgBase[team_consolidation],$K492,AvgBase[location_name],$G492,AvgBase[job_title],$H492))*(N282+M282)/2*(1-N387))</f>
        <v>0</v>
      </c>
      <c r="O492" s="652">
        <f>IF($B492="",,IF(LEFT($H492,5)="dummy",SUMIFS(AvgBase[Month 4],AvgBase[job_title],$H492),SUMIFS(AvgBase[Month 4],AvgBase[exp_item],$J492,AvgBase[company_name],$B492,AvgBase[bu_name],$C492,AvgBase[dept_name],$D492,AvgBase[team_consolidation],$K492,AvgBase[location_name],$G492,AvgBase[job_title],$H492))*(O282+N282)/2*(1-O387))</f>
        <v>0</v>
      </c>
      <c r="P492" s="652">
        <f>IF($B492="",,IF(LEFT($H492,5)="dummy",SUMIFS(AvgBase[Month 5],AvgBase[job_title],$H492),SUMIFS(AvgBase[Month 5],AvgBase[exp_item],$J492,AvgBase[company_name],$B492,AvgBase[bu_name],$C492,AvgBase[dept_name],$D492,AvgBase[team_consolidation],$K492,AvgBase[location_name],$G492,AvgBase[job_title],$H492))*(P282+O282)/2*(1-P387))</f>
        <v>0</v>
      </c>
      <c r="Q492" s="652">
        <f>IF($B492="",,IF(LEFT($H492,5)="dummy",SUMIFS(AvgBase[Month 6],AvgBase[job_title],$H492),SUMIFS(AvgBase[Month 6],AvgBase[exp_item],$J492,AvgBase[company_name],$B492,AvgBase[bu_name],$C492,AvgBase[dept_name],$D492,AvgBase[team_consolidation],$K492,AvgBase[location_name],$G492,AvgBase[job_title],$H492))*(Q282+P282)/2*(1-Q387))</f>
        <v>0</v>
      </c>
      <c r="R492" s="652">
        <f>IF($B492="",,IF(LEFT($H492,5)="dummy",SUMIFS(AvgBase[Month 7],AvgBase[job_title],$H492),SUMIFS(AvgBase[Month 7],AvgBase[exp_item],$J492,AvgBase[company_name],$B492,AvgBase[bu_name],$C492,AvgBase[dept_name],$D492,AvgBase[team_consolidation],$K492,AvgBase[location_name],$G492,AvgBase[job_title],$H492))*(R282+Q282)/2*(1-R387))</f>
        <v>0</v>
      </c>
      <c r="S492" s="652">
        <f>IF($B492="",,IF(LEFT($H492,5)="dummy",SUMIFS(AvgBase[Month 8],AvgBase[job_title],$H492),SUMIFS(AvgBase[Month 8],AvgBase[exp_item],$J492,AvgBase[company_name],$B492,AvgBase[bu_name],$C492,AvgBase[dept_name],$D492,AvgBase[team_consolidation],$K492,AvgBase[location_name],$G492,AvgBase[job_title],$H492))*(S282+R282)/2*(1-S387))</f>
        <v>0</v>
      </c>
      <c r="T492" s="652">
        <f>IF($B492="",,IF(LEFT($H492,5)="dummy",SUMIFS(AvgBase[Month 9],AvgBase[job_title],$H492),SUMIFS(AvgBase[Month 9],AvgBase[exp_item],$J492,AvgBase[company_name],$B492,AvgBase[bu_name],$C492,AvgBase[dept_name],$D492,AvgBase[team_consolidation],$K492,AvgBase[location_name],$G492,AvgBase[job_title],$H492))*(T282+S282)/2*(1-T387))</f>
        <v>0</v>
      </c>
      <c r="U492" s="652">
        <f>IF($B492="",,IF(LEFT($H492,5)="dummy",SUMIFS(AvgBase[Month 10],AvgBase[job_title],$H492),SUMIFS(AvgBase[Month 10],AvgBase[exp_item],$J492,AvgBase[company_name],$B492,AvgBase[bu_name],$C492,AvgBase[dept_name],$D492,AvgBase[team_consolidation],$K492,AvgBase[location_name],$G492,AvgBase[job_title],$H492))*(U282+T282)/2*(1-U387))</f>
        <v>0</v>
      </c>
      <c r="V492" s="652">
        <f>IF($B492="",,IF(LEFT($H492,5)="dummy",SUMIFS(AvgBase[Month 11],AvgBase[job_title],$H492),SUMIFS(AvgBase[Month 11],AvgBase[exp_item],$J492,AvgBase[company_name],$B492,AvgBase[bu_name],$C492,AvgBase[dept_name],$D492,AvgBase[team_consolidation],$K492,AvgBase[location_name],$G492,AvgBase[job_title],$H492))*(V282+U282)/2*(1-V387))</f>
        <v>0</v>
      </c>
      <c r="W492" s="652">
        <f>IF($B492="",,IF(LEFT($H492,5)="dummy",SUMIFS(AvgBase[Month 12],AvgBase[job_title],$H492),SUMIFS(AvgBase[Month 12],AvgBase[exp_item],$J492,AvgBase[company_name],$B492,AvgBase[bu_name],$C492,AvgBase[dept_name],$D492,AvgBase[team_consolidation],$K492,AvgBase[location_name],$G492,AvgBase[job_title],$H492))*(W282+V282)/2*(1-W387))</f>
        <v>0</v>
      </c>
      <c r="X492" s="652">
        <f>IF($B492="",,IF(LEFT($H492,5)="dummy",SUMIFS(AvgBase[Month 13],AvgBase[job_title],$H492),SUMIFS(AvgBase[Month 13],AvgBase[exp_item],$J492,AvgBase[company_name],$B492,AvgBase[bu_name],$C492,AvgBase[dept_name],$D492,AvgBase[team_consolidation],$K492,AvgBase[location_name],$G492,AvgBase[job_title],$H492))*(X282+W282)/2*(1-X387))</f>
        <v>0</v>
      </c>
      <c r="Y492" s="652">
        <f>IF($B492="",,IF(LEFT($H492,5)="dummy",SUMIFS(AvgBase[Month 14],AvgBase[job_title],$H492),SUMIFS(AvgBase[Month 14],AvgBase[exp_item],$J492,AvgBase[company_name],$B492,AvgBase[bu_name],$C492,AvgBase[dept_name],$D492,AvgBase[team_consolidation],$K492,AvgBase[location_name],$G492,AvgBase[job_title],$H492))*(Y282+X282)/2*(1-Y387))</f>
        <v>0</v>
      </c>
      <c r="Z492" s="652">
        <f>IF($B492="",,IF(LEFT($H492,5)="dummy",SUMIFS(AvgBase[Month 15],AvgBase[job_title],$H492),SUMIFS(AvgBase[Month 15],AvgBase[exp_item],$J492,AvgBase[company_name],$B492,AvgBase[bu_name],$C492,AvgBase[dept_name],$D492,AvgBase[team_consolidation],$K492,AvgBase[location_name],$G492,AvgBase[job_title],$H492))*(Z282+Y282)/2*(1-Z387))</f>
        <v>0</v>
      </c>
      <c r="AA492" s="652">
        <f>IF($B492="",,IF(LEFT($H492,5)="dummy",SUMIFS(AvgBase[Month 16],AvgBase[job_title],$H492),SUMIFS(AvgBase[Month 16],AvgBase[exp_item],$J492,AvgBase[company_name],$B492,AvgBase[bu_name],$C492,AvgBase[dept_name],$D492,AvgBase[team_consolidation],$K492,AvgBase[location_name],$G492,AvgBase[job_title],$H492))*(AA282+Z282)/2*(1-AA387))</f>
        <v>0</v>
      </c>
      <c r="AB492" s="652">
        <f>IF($B492="",,IF(LEFT($H492,5)="dummy",SUMIFS(AvgBase[Month 17],AvgBase[job_title],$H492),SUMIFS(AvgBase[Month 17],AvgBase[exp_item],$J492,AvgBase[company_name],$B492,AvgBase[bu_name],$C492,AvgBase[dept_name],$D492,AvgBase[team_consolidation],$K492,AvgBase[location_name],$G492,AvgBase[job_title],$H492))*(AB282+AA282)/2*(1-AB387))</f>
        <v>0</v>
      </c>
      <c r="AC492" s="652">
        <f>IF($B492="",,IF(LEFT($H492,5)="dummy",SUMIFS(AvgBase[Month 18],AvgBase[job_title],$H492),SUMIFS(AvgBase[Month 18],AvgBase[exp_item],$J492,AvgBase[company_name],$B492,AvgBase[bu_name],$C492,AvgBase[dept_name],$D492,AvgBase[team_consolidation],$K492,AvgBase[location_name],$G492,AvgBase[job_title],$H492))*(AC282+AB282)/2*(1-AC387))</f>
        <v>0</v>
      </c>
      <c r="AD492" s="652">
        <f>IF($B492="",,IF(LEFT($H492,5)="dummy",SUMIFS(AvgBase[Month 19],AvgBase[job_title],$H492),SUMIFS(AvgBase[Month 19],AvgBase[exp_item],$J492,AvgBase[company_name],$B492,AvgBase[bu_name],$C492,AvgBase[dept_name],$D492,AvgBase[team_consolidation],$K492,AvgBase[location_name],$G492,AvgBase[job_title],$H492))*(AD282+AC282)/2*(1-AD387))</f>
        <v>0</v>
      </c>
      <c r="AE492" s="652">
        <f>IF($B492="",,IF(LEFT($H492,5)="dummy",SUMIFS(AvgBase[Month 20],AvgBase[job_title],$H492),SUMIFS(AvgBase[Month 20],AvgBase[exp_item],$J492,AvgBase[company_name],$B492,AvgBase[bu_name],$C492,AvgBase[dept_name],$D492,AvgBase[team_consolidation],$K492,AvgBase[location_name],$G492,AvgBase[job_title],$H492))*(AE282+AD282)/2*(1-AE387))</f>
        <v>0</v>
      </c>
      <c r="AF492" s="652">
        <f>IF($B492="",,IF(LEFT($H492,5)="dummy",SUMIFS(AvgBase[Month 21],AvgBase[job_title],$H492),SUMIFS(AvgBase[Month 21],AvgBase[exp_item],$J492,AvgBase[company_name],$B492,AvgBase[bu_name],$C492,AvgBase[dept_name],$D492,AvgBase[team_consolidation],$K492,AvgBase[location_name],$G492,AvgBase[job_title],$H492))*(AF282+AE282)/2*(1-AF387))</f>
        <v>0</v>
      </c>
      <c r="AG492" s="652">
        <f>IF($B492="",,IF(LEFT($H492,5)="dummy",SUMIFS(AvgBase[Month 22],AvgBase[job_title],$H492),SUMIFS(AvgBase[Month 22],AvgBase[exp_item],$J492,AvgBase[company_name],$B492,AvgBase[bu_name],$C492,AvgBase[dept_name],$D492,AvgBase[team_consolidation],$K492,AvgBase[location_name],$G492,AvgBase[job_title],$H492))*(AG282+AF282)/2*(1-AG387))</f>
        <v>0</v>
      </c>
      <c r="AH492" s="652">
        <f>IF($B492="",,IF(LEFT($H492,5)="dummy",SUMIFS(AvgBase[Month 23],AvgBase[job_title],$H492),SUMIFS(AvgBase[Month 23],AvgBase[exp_item],$J492,AvgBase[company_name],$B492,AvgBase[bu_name],$C492,AvgBase[dept_name],$D492,AvgBase[team_consolidation],$K492,AvgBase[location_name],$G492,AvgBase[job_title],$H492))*(AH282+AG282)/2*(1-AH387))</f>
        <v>0</v>
      </c>
      <c r="AI492" s="652">
        <f>IF($B492="",,IF(LEFT($H492,5)="dummy",SUMIFS(AvgBase[Month 24],AvgBase[job_title],$H492),SUMIFS(AvgBase[Month 24],AvgBase[exp_item],$J492,AvgBase[company_name],$B492,AvgBase[bu_name],$C492,AvgBase[dept_name],$D492,AvgBase[team_consolidation],$K492,AvgBase[location_name],$G492,AvgBase[job_title],$H492))*(AI282+AH282)/2*(1-AI387))</f>
        <v>0</v>
      </c>
      <c r="AJ492" s="652">
        <f>IF($B492="",,IF(LEFT($H492,5)="dummy",SUMIFS(AvgBase[Month 25],AvgBase[job_title],$H492),SUMIFS(AvgBase[Month 25],AvgBase[exp_item],$J492,AvgBase[company_name],$B492,AvgBase[bu_name],$C492,AvgBase[dept_name],$D492,AvgBase[team_consolidation],$K492,AvgBase[location_name],$G492,AvgBase[job_title],$H492))*(AJ282+AI282)/2*(1-AJ387))</f>
        <v>0</v>
      </c>
      <c r="AK492" s="652">
        <f>IF($B492="",,IF(LEFT($H492,5)="dummy",SUMIFS(AvgBase[Month 26],AvgBase[job_title],$H492),SUMIFS(AvgBase[Month 26],AvgBase[exp_item],$J492,AvgBase[company_name],$B492,AvgBase[bu_name],$C492,AvgBase[dept_name],$D492,AvgBase[team_consolidation],$K492,AvgBase[location_name],$G492,AvgBase[job_title],$H492))*(AK282+AJ282)/2*(1-AK387))</f>
        <v>0</v>
      </c>
      <c r="AL492" s="652">
        <f>IF($B492="",,IF(LEFT($H492,5)="dummy",SUMIFS(AvgBase[Month 27],AvgBase[job_title],$H492),SUMIFS(AvgBase[Month 27],AvgBase[exp_item],$J492,AvgBase[company_name],$B492,AvgBase[bu_name],$C492,AvgBase[dept_name],$D492,AvgBase[team_consolidation],$K492,AvgBase[location_name],$G492,AvgBase[job_title],$H492))*(AL282+AK282)/2*(1-AL387))</f>
        <v>0</v>
      </c>
      <c r="AM492" s="652">
        <f>IF($B492="",,IF(LEFT($H492,5)="dummy",SUMIFS(AvgBase[Month 28],AvgBase[job_title],$H492),SUMIFS(AvgBase[Month 28],AvgBase[exp_item],$J492,AvgBase[company_name],$B492,AvgBase[bu_name],$C492,AvgBase[dept_name],$D492,AvgBase[team_consolidation],$K492,AvgBase[location_name],$G492,AvgBase[job_title],$H492))*(AM282+AL282)/2*(1-AM387))</f>
        <v>0</v>
      </c>
      <c r="AN492" s="652">
        <f>IF($B492="",,IF(LEFT($H492,5)="dummy",SUMIFS(AvgBase[Month 29],AvgBase[job_title],$H492),SUMIFS(AvgBase[Month 29],AvgBase[exp_item],$J492,AvgBase[company_name],$B492,AvgBase[bu_name],$C492,AvgBase[dept_name],$D492,AvgBase[team_consolidation],$K492,AvgBase[location_name],$G492,AvgBase[job_title],$H492))*(AN282+AM282)/2*(1-AN387))</f>
        <v>0</v>
      </c>
      <c r="AO492" s="652">
        <f>IF($B492="",,IF(LEFT($H492,5)="dummy",SUMIFS(AvgBase[Month 30],AvgBase[job_title],$H492),SUMIFS(AvgBase[Month 30],AvgBase[exp_item],$J492,AvgBase[company_name],$B492,AvgBase[bu_name],$C492,AvgBase[dept_name],$D492,AvgBase[team_consolidation],$K492,AvgBase[location_name],$G492,AvgBase[job_title],$H492))*(AO282+AN282)/2*(1-AO387))</f>
        <v>0</v>
      </c>
      <c r="AP492" s="652">
        <f>IF($B492="",,IF(LEFT($H492,5)="dummy",SUMIFS(AvgBase[Month 31],AvgBase[job_title],$H492),SUMIFS(AvgBase[Month 31],AvgBase[exp_item],$J492,AvgBase[company_name],$B492,AvgBase[bu_name],$C492,AvgBase[dept_name],$D492,AvgBase[team_consolidation],$K492,AvgBase[location_name],$G492,AvgBase[job_title],$H492))*(AP282+AO282)/2*(1-AP387))</f>
        <v>0</v>
      </c>
      <c r="AQ492" s="652">
        <f>IF($B492="",,IF(LEFT($H492,5)="dummy",SUMIFS(AvgBase[Month 32],AvgBase[job_title],$H492),SUMIFS(AvgBase[Month 32],AvgBase[exp_item],$J492,AvgBase[company_name],$B492,AvgBase[bu_name],$C492,AvgBase[dept_name],$D492,AvgBase[team_consolidation],$K492,AvgBase[location_name],$G492,AvgBase[job_title],$H492))*(AQ282+AP282)/2*(1-AQ387))</f>
        <v>0</v>
      </c>
      <c r="AR492" s="652">
        <f>IF($B492="",,IF(LEFT($H492,5)="dummy",SUMIFS(AvgBase[Month 33],AvgBase[job_title],$H492),SUMIFS(AvgBase[Month 33],AvgBase[exp_item],$J492,AvgBase[company_name],$B492,AvgBase[bu_name],$C492,AvgBase[dept_name],$D492,AvgBase[team_consolidation],$K492,AvgBase[location_name],$G492,AvgBase[job_title],$H492))*(AR282+AQ282)/2*(1-AR387))</f>
        <v>0</v>
      </c>
      <c r="AS492" s="652">
        <f>IF($B492="",,IF(LEFT($H492,5)="dummy",SUMIFS(AvgBase[Month 34],AvgBase[job_title],$H492),SUMIFS(AvgBase[Month 34],AvgBase[exp_item],$J492,AvgBase[company_name],$B492,AvgBase[bu_name],$C492,AvgBase[dept_name],$D492,AvgBase[team_consolidation],$K492,AvgBase[location_name],$G492,AvgBase[job_title],$H492))*(AS282+AR282)/2*(1-AS387))</f>
        <v>0</v>
      </c>
      <c r="AT492" s="652">
        <f>IF($B492="",,IF(LEFT($H492,5)="dummy",SUMIFS(AvgBase[Month 35],AvgBase[job_title],$H492),SUMIFS(AvgBase[Month 35],AvgBase[exp_item],$J492,AvgBase[company_name],$B492,AvgBase[bu_name],$C492,AvgBase[dept_name],$D492,AvgBase[team_consolidation],$K492,AvgBase[location_name],$G492,AvgBase[job_title],$H492))*(AT282+AS282)/2*(1-AT387))</f>
        <v>0</v>
      </c>
      <c r="AU492" s="652">
        <f>IF($B492="",,IF(LEFT($H492,5)="dummy",SUMIFS(AvgBase[Month 36],AvgBase[job_title],$H492),SUMIFS(AvgBase[Month 36],AvgBase[exp_item],$J492,AvgBase[company_name],$B492,AvgBase[bu_name],$C492,AvgBase[dept_name],$D492,AvgBase[team_consolidation],$K492,AvgBase[location_name],$G492,AvgBase[job_title],$H492))*(AU282+AT282)/2*(1-AU387))</f>
        <v>0</v>
      </c>
    </row>
    <row r="493" spans="2:47" x14ac:dyDescent="0.35">
      <c r="B493" t="str">
        <f t="shared" si="287"/>
        <v/>
      </c>
      <c r="C493" t="str">
        <f t="shared" si="287"/>
        <v/>
      </c>
      <c r="D493" t="str">
        <f t="shared" si="287"/>
        <v/>
      </c>
      <c r="E493" t="str">
        <f t="shared" si="287"/>
        <v/>
      </c>
      <c r="F493" t="str">
        <f t="shared" si="287"/>
        <v/>
      </c>
      <c r="G493" t="str">
        <f t="shared" si="287"/>
        <v/>
      </c>
      <c r="H493" t="str">
        <f t="shared" si="288"/>
        <v/>
      </c>
      <c r="J493" t="str">
        <f>IF($H493="","",IF(VLOOKUP($B$395,ExpItems[],2,0),$B$395&amp;" - "&amp;INDEX(DivisionMapping[category_code],MATCH($D493&amp;$C493,DivisionMapping[dept_bu],0)),$B$395))</f>
        <v/>
      </c>
      <c r="K493" t="str">
        <f t="shared" si="284"/>
        <v/>
      </c>
      <c r="L493" s="652">
        <f>IF($B493="",,IF(LEFT($H493,5)="dummy",SUMIFS(AvgBase[Month 1],AvgBase[job_title],$H493),SUMIFS(AvgBase[Month 1],AvgBase[exp_item],$J493,AvgBase[company_name],$B493,AvgBase[bu_name],$C493,AvgBase[dept_name],$D493,AvgBase[team_consolidation],$K493,AvgBase[location_name],$G493,AvgBase[job_title],$H493))*L283/2*(1-L388))</f>
        <v>0</v>
      </c>
      <c r="M493" s="652">
        <f>IF($B493="",,IF(LEFT($H493,5)="dummy",SUMIFS(AvgBase[Month 2],AvgBase[job_title],$H493),SUMIFS(AvgBase[Month 2],AvgBase[exp_item],$J493,AvgBase[company_name],$B493,AvgBase[bu_name],$C493,AvgBase[dept_name],$D493,AvgBase[team_consolidation],$K493,AvgBase[location_name],$G493,AvgBase[job_title],$H493))*(M283+L283)/2*(1-M388))</f>
        <v>0</v>
      </c>
      <c r="N493" s="652">
        <f>IF($B493="",,IF(LEFT($H493,5)="dummy",SUMIFS(AvgBase[Month 3],AvgBase[job_title],$H493),SUMIFS(AvgBase[Month 3],AvgBase[exp_item],$J493,AvgBase[company_name],$B493,AvgBase[bu_name],$C493,AvgBase[dept_name],$D493,AvgBase[team_consolidation],$K493,AvgBase[location_name],$G493,AvgBase[job_title],$H493))*(N283+M283)/2*(1-N388))</f>
        <v>0</v>
      </c>
      <c r="O493" s="652">
        <f>IF($B493="",,IF(LEFT($H493,5)="dummy",SUMIFS(AvgBase[Month 4],AvgBase[job_title],$H493),SUMIFS(AvgBase[Month 4],AvgBase[exp_item],$J493,AvgBase[company_name],$B493,AvgBase[bu_name],$C493,AvgBase[dept_name],$D493,AvgBase[team_consolidation],$K493,AvgBase[location_name],$G493,AvgBase[job_title],$H493))*(O283+N283)/2*(1-O388))</f>
        <v>0</v>
      </c>
      <c r="P493" s="652">
        <f>IF($B493="",,IF(LEFT($H493,5)="dummy",SUMIFS(AvgBase[Month 5],AvgBase[job_title],$H493),SUMIFS(AvgBase[Month 5],AvgBase[exp_item],$J493,AvgBase[company_name],$B493,AvgBase[bu_name],$C493,AvgBase[dept_name],$D493,AvgBase[team_consolidation],$K493,AvgBase[location_name],$G493,AvgBase[job_title],$H493))*(P283+O283)/2*(1-P388))</f>
        <v>0</v>
      </c>
      <c r="Q493" s="652">
        <f>IF($B493="",,IF(LEFT($H493,5)="dummy",SUMIFS(AvgBase[Month 6],AvgBase[job_title],$H493),SUMIFS(AvgBase[Month 6],AvgBase[exp_item],$J493,AvgBase[company_name],$B493,AvgBase[bu_name],$C493,AvgBase[dept_name],$D493,AvgBase[team_consolidation],$K493,AvgBase[location_name],$G493,AvgBase[job_title],$H493))*(Q283+P283)/2*(1-Q388))</f>
        <v>0</v>
      </c>
      <c r="R493" s="652">
        <f>IF($B493="",,IF(LEFT($H493,5)="dummy",SUMIFS(AvgBase[Month 7],AvgBase[job_title],$H493),SUMIFS(AvgBase[Month 7],AvgBase[exp_item],$J493,AvgBase[company_name],$B493,AvgBase[bu_name],$C493,AvgBase[dept_name],$D493,AvgBase[team_consolidation],$K493,AvgBase[location_name],$G493,AvgBase[job_title],$H493))*(R283+Q283)/2*(1-R388))</f>
        <v>0</v>
      </c>
      <c r="S493" s="652">
        <f>IF($B493="",,IF(LEFT($H493,5)="dummy",SUMIFS(AvgBase[Month 8],AvgBase[job_title],$H493),SUMIFS(AvgBase[Month 8],AvgBase[exp_item],$J493,AvgBase[company_name],$B493,AvgBase[bu_name],$C493,AvgBase[dept_name],$D493,AvgBase[team_consolidation],$K493,AvgBase[location_name],$G493,AvgBase[job_title],$H493))*(S283+R283)/2*(1-S388))</f>
        <v>0</v>
      </c>
      <c r="T493" s="652">
        <f>IF($B493="",,IF(LEFT($H493,5)="dummy",SUMIFS(AvgBase[Month 9],AvgBase[job_title],$H493),SUMIFS(AvgBase[Month 9],AvgBase[exp_item],$J493,AvgBase[company_name],$B493,AvgBase[bu_name],$C493,AvgBase[dept_name],$D493,AvgBase[team_consolidation],$K493,AvgBase[location_name],$G493,AvgBase[job_title],$H493))*(T283+S283)/2*(1-T388))</f>
        <v>0</v>
      </c>
      <c r="U493" s="652">
        <f>IF($B493="",,IF(LEFT($H493,5)="dummy",SUMIFS(AvgBase[Month 10],AvgBase[job_title],$H493),SUMIFS(AvgBase[Month 10],AvgBase[exp_item],$J493,AvgBase[company_name],$B493,AvgBase[bu_name],$C493,AvgBase[dept_name],$D493,AvgBase[team_consolidation],$K493,AvgBase[location_name],$G493,AvgBase[job_title],$H493))*(U283+T283)/2*(1-U388))</f>
        <v>0</v>
      </c>
      <c r="V493" s="652">
        <f>IF($B493="",,IF(LEFT($H493,5)="dummy",SUMIFS(AvgBase[Month 11],AvgBase[job_title],$H493),SUMIFS(AvgBase[Month 11],AvgBase[exp_item],$J493,AvgBase[company_name],$B493,AvgBase[bu_name],$C493,AvgBase[dept_name],$D493,AvgBase[team_consolidation],$K493,AvgBase[location_name],$G493,AvgBase[job_title],$H493))*(V283+U283)/2*(1-V388))</f>
        <v>0</v>
      </c>
      <c r="W493" s="652">
        <f>IF($B493="",,IF(LEFT($H493,5)="dummy",SUMIFS(AvgBase[Month 12],AvgBase[job_title],$H493),SUMIFS(AvgBase[Month 12],AvgBase[exp_item],$J493,AvgBase[company_name],$B493,AvgBase[bu_name],$C493,AvgBase[dept_name],$D493,AvgBase[team_consolidation],$K493,AvgBase[location_name],$G493,AvgBase[job_title],$H493))*(W283+V283)/2*(1-W388))</f>
        <v>0</v>
      </c>
      <c r="X493" s="652">
        <f>IF($B493="",,IF(LEFT($H493,5)="dummy",SUMIFS(AvgBase[Month 13],AvgBase[job_title],$H493),SUMIFS(AvgBase[Month 13],AvgBase[exp_item],$J493,AvgBase[company_name],$B493,AvgBase[bu_name],$C493,AvgBase[dept_name],$D493,AvgBase[team_consolidation],$K493,AvgBase[location_name],$G493,AvgBase[job_title],$H493))*(X283+W283)/2*(1-X388))</f>
        <v>0</v>
      </c>
      <c r="Y493" s="652">
        <f>IF($B493="",,IF(LEFT($H493,5)="dummy",SUMIFS(AvgBase[Month 14],AvgBase[job_title],$H493),SUMIFS(AvgBase[Month 14],AvgBase[exp_item],$J493,AvgBase[company_name],$B493,AvgBase[bu_name],$C493,AvgBase[dept_name],$D493,AvgBase[team_consolidation],$K493,AvgBase[location_name],$G493,AvgBase[job_title],$H493))*(Y283+X283)/2*(1-Y388))</f>
        <v>0</v>
      </c>
      <c r="Z493" s="652">
        <f>IF($B493="",,IF(LEFT($H493,5)="dummy",SUMIFS(AvgBase[Month 15],AvgBase[job_title],$H493),SUMIFS(AvgBase[Month 15],AvgBase[exp_item],$J493,AvgBase[company_name],$B493,AvgBase[bu_name],$C493,AvgBase[dept_name],$D493,AvgBase[team_consolidation],$K493,AvgBase[location_name],$G493,AvgBase[job_title],$H493))*(Z283+Y283)/2*(1-Z388))</f>
        <v>0</v>
      </c>
      <c r="AA493" s="652">
        <f>IF($B493="",,IF(LEFT($H493,5)="dummy",SUMIFS(AvgBase[Month 16],AvgBase[job_title],$H493),SUMIFS(AvgBase[Month 16],AvgBase[exp_item],$J493,AvgBase[company_name],$B493,AvgBase[bu_name],$C493,AvgBase[dept_name],$D493,AvgBase[team_consolidation],$K493,AvgBase[location_name],$G493,AvgBase[job_title],$H493))*(AA283+Z283)/2*(1-AA388))</f>
        <v>0</v>
      </c>
      <c r="AB493" s="652">
        <f>IF($B493="",,IF(LEFT($H493,5)="dummy",SUMIFS(AvgBase[Month 17],AvgBase[job_title],$H493),SUMIFS(AvgBase[Month 17],AvgBase[exp_item],$J493,AvgBase[company_name],$B493,AvgBase[bu_name],$C493,AvgBase[dept_name],$D493,AvgBase[team_consolidation],$K493,AvgBase[location_name],$G493,AvgBase[job_title],$H493))*(AB283+AA283)/2*(1-AB388))</f>
        <v>0</v>
      </c>
      <c r="AC493" s="652">
        <f>IF($B493="",,IF(LEFT($H493,5)="dummy",SUMIFS(AvgBase[Month 18],AvgBase[job_title],$H493),SUMIFS(AvgBase[Month 18],AvgBase[exp_item],$J493,AvgBase[company_name],$B493,AvgBase[bu_name],$C493,AvgBase[dept_name],$D493,AvgBase[team_consolidation],$K493,AvgBase[location_name],$G493,AvgBase[job_title],$H493))*(AC283+AB283)/2*(1-AC388))</f>
        <v>0</v>
      </c>
      <c r="AD493" s="652">
        <f>IF($B493="",,IF(LEFT($H493,5)="dummy",SUMIFS(AvgBase[Month 19],AvgBase[job_title],$H493),SUMIFS(AvgBase[Month 19],AvgBase[exp_item],$J493,AvgBase[company_name],$B493,AvgBase[bu_name],$C493,AvgBase[dept_name],$D493,AvgBase[team_consolidation],$K493,AvgBase[location_name],$G493,AvgBase[job_title],$H493))*(AD283+AC283)/2*(1-AD388))</f>
        <v>0</v>
      </c>
      <c r="AE493" s="652">
        <f>IF($B493="",,IF(LEFT($H493,5)="dummy",SUMIFS(AvgBase[Month 20],AvgBase[job_title],$H493),SUMIFS(AvgBase[Month 20],AvgBase[exp_item],$J493,AvgBase[company_name],$B493,AvgBase[bu_name],$C493,AvgBase[dept_name],$D493,AvgBase[team_consolidation],$K493,AvgBase[location_name],$G493,AvgBase[job_title],$H493))*(AE283+AD283)/2*(1-AE388))</f>
        <v>0</v>
      </c>
      <c r="AF493" s="652">
        <f>IF($B493="",,IF(LEFT($H493,5)="dummy",SUMIFS(AvgBase[Month 21],AvgBase[job_title],$H493),SUMIFS(AvgBase[Month 21],AvgBase[exp_item],$J493,AvgBase[company_name],$B493,AvgBase[bu_name],$C493,AvgBase[dept_name],$D493,AvgBase[team_consolidation],$K493,AvgBase[location_name],$G493,AvgBase[job_title],$H493))*(AF283+AE283)/2*(1-AF388))</f>
        <v>0</v>
      </c>
      <c r="AG493" s="652">
        <f>IF($B493="",,IF(LEFT($H493,5)="dummy",SUMIFS(AvgBase[Month 22],AvgBase[job_title],$H493),SUMIFS(AvgBase[Month 22],AvgBase[exp_item],$J493,AvgBase[company_name],$B493,AvgBase[bu_name],$C493,AvgBase[dept_name],$D493,AvgBase[team_consolidation],$K493,AvgBase[location_name],$G493,AvgBase[job_title],$H493))*(AG283+AF283)/2*(1-AG388))</f>
        <v>0</v>
      </c>
      <c r="AH493" s="652">
        <f>IF($B493="",,IF(LEFT($H493,5)="dummy",SUMIFS(AvgBase[Month 23],AvgBase[job_title],$H493),SUMIFS(AvgBase[Month 23],AvgBase[exp_item],$J493,AvgBase[company_name],$B493,AvgBase[bu_name],$C493,AvgBase[dept_name],$D493,AvgBase[team_consolidation],$K493,AvgBase[location_name],$G493,AvgBase[job_title],$H493))*(AH283+AG283)/2*(1-AH388))</f>
        <v>0</v>
      </c>
      <c r="AI493" s="652">
        <f>IF($B493="",,IF(LEFT($H493,5)="dummy",SUMIFS(AvgBase[Month 24],AvgBase[job_title],$H493),SUMIFS(AvgBase[Month 24],AvgBase[exp_item],$J493,AvgBase[company_name],$B493,AvgBase[bu_name],$C493,AvgBase[dept_name],$D493,AvgBase[team_consolidation],$K493,AvgBase[location_name],$G493,AvgBase[job_title],$H493))*(AI283+AH283)/2*(1-AI388))</f>
        <v>0</v>
      </c>
      <c r="AJ493" s="652">
        <f>IF($B493="",,IF(LEFT($H493,5)="dummy",SUMIFS(AvgBase[Month 25],AvgBase[job_title],$H493),SUMIFS(AvgBase[Month 25],AvgBase[exp_item],$J493,AvgBase[company_name],$B493,AvgBase[bu_name],$C493,AvgBase[dept_name],$D493,AvgBase[team_consolidation],$K493,AvgBase[location_name],$G493,AvgBase[job_title],$H493))*(AJ283+AI283)/2*(1-AJ388))</f>
        <v>0</v>
      </c>
      <c r="AK493" s="652">
        <f>IF($B493="",,IF(LEFT($H493,5)="dummy",SUMIFS(AvgBase[Month 26],AvgBase[job_title],$H493),SUMIFS(AvgBase[Month 26],AvgBase[exp_item],$J493,AvgBase[company_name],$B493,AvgBase[bu_name],$C493,AvgBase[dept_name],$D493,AvgBase[team_consolidation],$K493,AvgBase[location_name],$G493,AvgBase[job_title],$H493))*(AK283+AJ283)/2*(1-AK388))</f>
        <v>0</v>
      </c>
      <c r="AL493" s="652">
        <f>IF($B493="",,IF(LEFT($H493,5)="dummy",SUMIFS(AvgBase[Month 27],AvgBase[job_title],$H493),SUMIFS(AvgBase[Month 27],AvgBase[exp_item],$J493,AvgBase[company_name],$B493,AvgBase[bu_name],$C493,AvgBase[dept_name],$D493,AvgBase[team_consolidation],$K493,AvgBase[location_name],$G493,AvgBase[job_title],$H493))*(AL283+AK283)/2*(1-AL388))</f>
        <v>0</v>
      </c>
      <c r="AM493" s="652">
        <f>IF($B493="",,IF(LEFT($H493,5)="dummy",SUMIFS(AvgBase[Month 28],AvgBase[job_title],$H493),SUMIFS(AvgBase[Month 28],AvgBase[exp_item],$J493,AvgBase[company_name],$B493,AvgBase[bu_name],$C493,AvgBase[dept_name],$D493,AvgBase[team_consolidation],$K493,AvgBase[location_name],$G493,AvgBase[job_title],$H493))*(AM283+AL283)/2*(1-AM388))</f>
        <v>0</v>
      </c>
      <c r="AN493" s="652">
        <f>IF($B493="",,IF(LEFT($H493,5)="dummy",SUMIFS(AvgBase[Month 29],AvgBase[job_title],$H493),SUMIFS(AvgBase[Month 29],AvgBase[exp_item],$J493,AvgBase[company_name],$B493,AvgBase[bu_name],$C493,AvgBase[dept_name],$D493,AvgBase[team_consolidation],$K493,AvgBase[location_name],$G493,AvgBase[job_title],$H493))*(AN283+AM283)/2*(1-AN388))</f>
        <v>0</v>
      </c>
      <c r="AO493" s="652">
        <f>IF($B493="",,IF(LEFT($H493,5)="dummy",SUMIFS(AvgBase[Month 30],AvgBase[job_title],$H493),SUMIFS(AvgBase[Month 30],AvgBase[exp_item],$J493,AvgBase[company_name],$B493,AvgBase[bu_name],$C493,AvgBase[dept_name],$D493,AvgBase[team_consolidation],$K493,AvgBase[location_name],$G493,AvgBase[job_title],$H493))*(AO283+AN283)/2*(1-AO388))</f>
        <v>0</v>
      </c>
      <c r="AP493" s="652">
        <f>IF($B493="",,IF(LEFT($H493,5)="dummy",SUMIFS(AvgBase[Month 31],AvgBase[job_title],$H493),SUMIFS(AvgBase[Month 31],AvgBase[exp_item],$J493,AvgBase[company_name],$B493,AvgBase[bu_name],$C493,AvgBase[dept_name],$D493,AvgBase[team_consolidation],$K493,AvgBase[location_name],$G493,AvgBase[job_title],$H493))*(AP283+AO283)/2*(1-AP388))</f>
        <v>0</v>
      </c>
      <c r="AQ493" s="652">
        <f>IF($B493="",,IF(LEFT($H493,5)="dummy",SUMIFS(AvgBase[Month 32],AvgBase[job_title],$H493),SUMIFS(AvgBase[Month 32],AvgBase[exp_item],$J493,AvgBase[company_name],$B493,AvgBase[bu_name],$C493,AvgBase[dept_name],$D493,AvgBase[team_consolidation],$K493,AvgBase[location_name],$G493,AvgBase[job_title],$H493))*(AQ283+AP283)/2*(1-AQ388))</f>
        <v>0</v>
      </c>
      <c r="AR493" s="652">
        <f>IF($B493="",,IF(LEFT($H493,5)="dummy",SUMIFS(AvgBase[Month 33],AvgBase[job_title],$H493),SUMIFS(AvgBase[Month 33],AvgBase[exp_item],$J493,AvgBase[company_name],$B493,AvgBase[bu_name],$C493,AvgBase[dept_name],$D493,AvgBase[team_consolidation],$K493,AvgBase[location_name],$G493,AvgBase[job_title],$H493))*(AR283+AQ283)/2*(1-AR388))</f>
        <v>0</v>
      </c>
      <c r="AS493" s="652">
        <f>IF($B493="",,IF(LEFT($H493,5)="dummy",SUMIFS(AvgBase[Month 34],AvgBase[job_title],$H493),SUMIFS(AvgBase[Month 34],AvgBase[exp_item],$J493,AvgBase[company_name],$B493,AvgBase[bu_name],$C493,AvgBase[dept_name],$D493,AvgBase[team_consolidation],$K493,AvgBase[location_name],$G493,AvgBase[job_title],$H493))*(AS283+AR283)/2*(1-AS388))</f>
        <v>0</v>
      </c>
      <c r="AT493" s="652">
        <f>IF($B493="",,IF(LEFT($H493,5)="dummy",SUMIFS(AvgBase[Month 35],AvgBase[job_title],$H493),SUMIFS(AvgBase[Month 35],AvgBase[exp_item],$J493,AvgBase[company_name],$B493,AvgBase[bu_name],$C493,AvgBase[dept_name],$D493,AvgBase[team_consolidation],$K493,AvgBase[location_name],$G493,AvgBase[job_title],$H493))*(AT283+AS283)/2*(1-AT388))</f>
        <v>0</v>
      </c>
      <c r="AU493" s="652">
        <f>IF($B493="",,IF(LEFT($H493,5)="dummy",SUMIFS(AvgBase[Month 36],AvgBase[job_title],$H493),SUMIFS(AvgBase[Month 36],AvgBase[exp_item],$J493,AvgBase[company_name],$B493,AvgBase[bu_name],$C493,AvgBase[dept_name],$D493,AvgBase[team_consolidation],$K493,AvgBase[location_name],$G493,AvgBase[job_title],$H493))*(AU283+AT283)/2*(1-AU388))</f>
        <v>0</v>
      </c>
    </row>
    <row r="494" spans="2:47" x14ac:dyDescent="0.35">
      <c r="B494" t="str">
        <f t="shared" si="287"/>
        <v/>
      </c>
      <c r="C494" t="str">
        <f t="shared" si="287"/>
        <v/>
      </c>
      <c r="D494" t="str">
        <f t="shared" si="287"/>
        <v/>
      </c>
      <c r="E494" t="str">
        <f t="shared" si="287"/>
        <v/>
      </c>
      <c r="F494" t="str">
        <f t="shared" si="287"/>
        <v/>
      </c>
      <c r="G494" t="str">
        <f t="shared" si="287"/>
        <v/>
      </c>
      <c r="H494" t="str">
        <f t="shared" si="288"/>
        <v/>
      </c>
      <c r="J494" t="str">
        <f>IF($H494="","",IF(VLOOKUP($B$395,ExpItems[],2,0),$B$395&amp;" - "&amp;INDEX(DivisionMapping[category_code],MATCH($D494&amp;$C494,DivisionMapping[dept_bu],0)),$B$395))</f>
        <v/>
      </c>
      <c r="K494" t="str">
        <f t="shared" si="284"/>
        <v/>
      </c>
      <c r="L494" s="652">
        <f>IF($B494="",,IF(LEFT($H494,5)="dummy",SUMIFS(AvgBase[Month 1],AvgBase[job_title],$H494),SUMIFS(AvgBase[Month 1],AvgBase[exp_item],$J494,AvgBase[company_name],$B494,AvgBase[bu_name],$C494,AvgBase[dept_name],$D494,AvgBase[team_consolidation],$K494,AvgBase[location_name],$G494,AvgBase[job_title],$H494))*L284/2*(1-L389))</f>
        <v>0</v>
      </c>
      <c r="M494" s="652">
        <f>IF($B494="",,IF(LEFT($H494,5)="dummy",SUMIFS(AvgBase[Month 2],AvgBase[job_title],$H494),SUMIFS(AvgBase[Month 2],AvgBase[exp_item],$J494,AvgBase[company_name],$B494,AvgBase[bu_name],$C494,AvgBase[dept_name],$D494,AvgBase[team_consolidation],$K494,AvgBase[location_name],$G494,AvgBase[job_title],$H494))*(M284+L284)/2*(1-M389))</f>
        <v>0</v>
      </c>
      <c r="N494" s="652">
        <f>IF($B494="",,IF(LEFT($H494,5)="dummy",SUMIFS(AvgBase[Month 3],AvgBase[job_title],$H494),SUMIFS(AvgBase[Month 3],AvgBase[exp_item],$J494,AvgBase[company_name],$B494,AvgBase[bu_name],$C494,AvgBase[dept_name],$D494,AvgBase[team_consolidation],$K494,AvgBase[location_name],$G494,AvgBase[job_title],$H494))*(N284+M284)/2*(1-N389))</f>
        <v>0</v>
      </c>
      <c r="O494" s="652">
        <f>IF($B494="",,IF(LEFT($H494,5)="dummy",SUMIFS(AvgBase[Month 4],AvgBase[job_title],$H494),SUMIFS(AvgBase[Month 4],AvgBase[exp_item],$J494,AvgBase[company_name],$B494,AvgBase[bu_name],$C494,AvgBase[dept_name],$D494,AvgBase[team_consolidation],$K494,AvgBase[location_name],$G494,AvgBase[job_title],$H494))*(O284+N284)/2*(1-O389))</f>
        <v>0</v>
      </c>
      <c r="P494" s="652">
        <f>IF($B494="",,IF(LEFT($H494,5)="dummy",SUMIFS(AvgBase[Month 5],AvgBase[job_title],$H494),SUMIFS(AvgBase[Month 5],AvgBase[exp_item],$J494,AvgBase[company_name],$B494,AvgBase[bu_name],$C494,AvgBase[dept_name],$D494,AvgBase[team_consolidation],$K494,AvgBase[location_name],$G494,AvgBase[job_title],$H494))*(P284+O284)/2*(1-P389))</f>
        <v>0</v>
      </c>
      <c r="Q494" s="652">
        <f>IF($B494="",,IF(LEFT($H494,5)="dummy",SUMIFS(AvgBase[Month 6],AvgBase[job_title],$H494),SUMIFS(AvgBase[Month 6],AvgBase[exp_item],$J494,AvgBase[company_name],$B494,AvgBase[bu_name],$C494,AvgBase[dept_name],$D494,AvgBase[team_consolidation],$K494,AvgBase[location_name],$G494,AvgBase[job_title],$H494))*(Q284+P284)/2*(1-Q389))</f>
        <v>0</v>
      </c>
      <c r="R494" s="652">
        <f>IF($B494="",,IF(LEFT($H494,5)="dummy",SUMIFS(AvgBase[Month 7],AvgBase[job_title],$H494),SUMIFS(AvgBase[Month 7],AvgBase[exp_item],$J494,AvgBase[company_name],$B494,AvgBase[bu_name],$C494,AvgBase[dept_name],$D494,AvgBase[team_consolidation],$K494,AvgBase[location_name],$G494,AvgBase[job_title],$H494))*(R284+Q284)/2*(1-R389))</f>
        <v>0</v>
      </c>
      <c r="S494" s="652">
        <f>IF($B494="",,IF(LEFT($H494,5)="dummy",SUMIFS(AvgBase[Month 8],AvgBase[job_title],$H494),SUMIFS(AvgBase[Month 8],AvgBase[exp_item],$J494,AvgBase[company_name],$B494,AvgBase[bu_name],$C494,AvgBase[dept_name],$D494,AvgBase[team_consolidation],$K494,AvgBase[location_name],$G494,AvgBase[job_title],$H494))*(S284+R284)/2*(1-S389))</f>
        <v>0</v>
      </c>
      <c r="T494" s="652">
        <f>IF($B494="",,IF(LEFT($H494,5)="dummy",SUMIFS(AvgBase[Month 9],AvgBase[job_title],$H494),SUMIFS(AvgBase[Month 9],AvgBase[exp_item],$J494,AvgBase[company_name],$B494,AvgBase[bu_name],$C494,AvgBase[dept_name],$D494,AvgBase[team_consolidation],$K494,AvgBase[location_name],$G494,AvgBase[job_title],$H494))*(T284+S284)/2*(1-T389))</f>
        <v>0</v>
      </c>
      <c r="U494" s="652">
        <f>IF($B494="",,IF(LEFT($H494,5)="dummy",SUMIFS(AvgBase[Month 10],AvgBase[job_title],$H494),SUMIFS(AvgBase[Month 10],AvgBase[exp_item],$J494,AvgBase[company_name],$B494,AvgBase[bu_name],$C494,AvgBase[dept_name],$D494,AvgBase[team_consolidation],$K494,AvgBase[location_name],$G494,AvgBase[job_title],$H494))*(U284+T284)/2*(1-U389))</f>
        <v>0</v>
      </c>
      <c r="V494" s="652">
        <f>IF($B494="",,IF(LEFT($H494,5)="dummy",SUMIFS(AvgBase[Month 11],AvgBase[job_title],$H494),SUMIFS(AvgBase[Month 11],AvgBase[exp_item],$J494,AvgBase[company_name],$B494,AvgBase[bu_name],$C494,AvgBase[dept_name],$D494,AvgBase[team_consolidation],$K494,AvgBase[location_name],$G494,AvgBase[job_title],$H494))*(V284+U284)/2*(1-V389))</f>
        <v>0</v>
      </c>
      <c r="W494" s="652">
        <f>IF($B494="",,IF(LEFT($H494,5)="dummy",SUMIFS(AvgBase[Month 12],AvgBase[job_title],$H494),SUMIFS(AvgBase[Month 12],AvgBase[exp_item],$J494,AvgBase[company_name],$B494,AvgBase[bu_name],$C494,AvgBase[dept_name],$D494,AvgBase[team_consolidation],$K494,AvgBase[location_name],$G494,AvgBase[job_title],$H494))*(W284+V284)/2*(1-W389))</f>
        <v>0</v>
      </c>
      <c r="X494" s="652">
        <f>IF($B494="",,IF(LEFT($H494,5)="dummy",SUMIFS(AvgBase[Month 13],AvgBase[job_title],$H494),SUMIFS(AvgBase[Month 13],AvgBase[exp_item],$J494,AvgBase[company_name],$B494,AvgBase[bu_name],$C494,AvgBase[dept_name],$D494,AvgBase[team_consolidation],$K494,AvgBase[location_name],$G494,AvgBase[job_title],$H494))*(X284+W284)/2*(1-X389))</f>
        <v>0</v>
      </c>
      <c r="Y494" s="652">
        <f>IF($B494="",,IF(LEFT($H494,5)="dummy",SUMIFS(AvgBase[Month 14],AvgBase[job_title],$H494),SUMIFS(AvgBase[Month 14],AvgBase[exp_item],$J494,AvgBase[company_name],$B494,AvgBase[bu_name],$C494,AvgBase[dept_name],$D494,AvgBase[team_consolidation],$K494,AvgBase[location_name],$G494,AvgBase[job_title],$H494))*(Y284+X284)/2*(1-Y389))</f>
        <v>0</v>
      </c>
      <c r="Z494" s="652">
        <f>IF($B494="",,IF(LEFT($H494,5)="dummy",SUMIFS(AvgBase[Month 15],AvgBase[job_title],$H494),SUMIFS(AvgBase[Month 15],AvgBase[exp_item],$J494,AvgBase[company_name],$B494,AvgBase[bu_name],$C494,AvgBase[dept_name],$D494,AvgBase[team_consolidation],$K494,AvgBase[location_name],$G494,AvgBase[job_title],$H494))*(Z284+Y284)/2*(1-Z389))</f>
        <v>0</v>
      </c>
      <c r="AA494" s="652">
        <f>IF($B494="",,IF(LEFT($H494,5)="dummy",SUMIFS(AvgBase[Month 16],AvgBase[job_title],$H494),SUMIFS(AvgBase[Month 16],AvgBase[exp_item],$J494,AvgBase[company_name],$B494,AvgBase[bu_name],$C494,AvgBase[dept_name],$D494,AvgBase[team_consolidation],$K494,AvgBase[location_name],$G494,AvgBase[job_title],$H494))*(AA284+Z284)/2*(1-AA389))</f>
        <v>0</v>
      </c>
      <c r="AB494" s="652">
        <f>IF($B494="",,IF(LEFT($H494,5)="dummy",SUMIFS(AvgBase[Month 17],AvgBase[job_title],$H494),SUMIFS(AvgBase[Month 17],AvgBase[exp_item],$J494,AvgBase[company_name],$B494,AvgBase[bu_name],$C494,AvgBase[dept_name],$D494,AvgBase[team_consolidation],$K494,AvgBase[location_name],$G494,AvgBase[job_title],$H494))*(AB284+AA284)/2*(1-AB389))</f>
        <v>0</v>
      </c>
      <c r="AC494" s="652">
        <f>IF($B494="",,IF(LEFT($H494,5)="dummy",SUMIFS(AvgBase[Month 18],AvgBase[job_title],$H494),SUMIFS(AvgBase[Month 18],AvgBase[exp_item],$J494,AvgBase[company_name],$B494,AvgBase[bu_name],$C494,AvgBase[dept_name],$D494,AvgBase[team_consolidation],$K494,AvgBase[location_name],$G494,AvgBase[job_title],$H494))*(AC284+AB284)/2*(1-AC389))</f>
        <v>0</v>
      </c>
      <c r="AD494" s="652">
        <f>IF($B494="",,IF(LEFT($H494,5)="dummy",SUMIFS(AvgBase[Month 19],AvgBase[job_title],$H494),SUMIFS(AvgBase[Month 19],AvgBase[exp_item],$J494,AvgBase[company_name],$B494,AvgBase[bu_name],$C494,AvgBase[dept_name],$D494,AvgBase[team_consolidation],$K494,AvgBase[location_name],$G494,AvgBase[job_title],$H494))*(AD284+AC284)/2*(1-AD389))</f>
        <v>0</v>
      </c>
      <c r="AE494" s="652">
        <f>IF($B494="",,IF(LEFT($H494,5)="dummy",SUMIFS(AvgBase[Month 20],AvgBase[job_title],$H494),SUMIFS(AvgBase[Month 20],AvgBase[exp_item],$J494,AvgBase[company_name],$B494,AvgBase[bu_name],$C494,AvgBase[dept_name],$D494,AvgBase[team_consolidation],$K494,AvgBase[location_name],$G494,AvgBase[job_title],$H494))*(AE284+AD284)/2*(1-AE389))</f>
        <v>0</v>
      </c>
      <c r="AF494" s="652">
        <f>IF($B494="",,IF(LEFT($H494,5)="dummy",SUMIFS(AvgBase[Month 21],AvgBase[job_title],$H494),SUMIFS(AvgBase[Month 21],AvgBase[exp_item],$J494,AvgBase[company_name],$B494,AvgBase[bu_name],$C494,AvgBase[dept_name],$D494,AvgBase[team_consolidation],$K494,AvgBase[location_name],$G494,AvgBase[job_title],$H494))*(AF284+AE284)/2*(1-AF389))</f>
        <v>0</v>
      </c>
      <c r="AG494" s="652">
        <f>IF($B494="",,IF(LEFT($H494,5)="dummy",SUMIFS(AvgBase[Month 22],AvgBase[job_title],$H494),SUMIFS(AvgBase[Month 22],AvgBase[exp_item],$J494,AvgBase[company_name],$B494,AvgBase[bu_name],$C494,AvgBase[dept_name],$D494,AvgBase[team_consolidation],$K494,AvgBase[location_name],$G494,AvgBase[job_title],$H494))*(AG284+AF284)/2*(1-AG389))</f>
        <v>0</v>
      </c>
      <c r="AH494" s="652">
        <f>IF($B494="",,IF(LEFT($H494,5)="dummy",SUMIFS(AvgBase[Month 23],AvgBase[job_title],$H494),SUMIFS(AvgBase[Month 23],AvgBase[exp_item],$J494,AvgBase[company_name],$B494,AvgBase[bu_name],$C494,AvgBase[dept_name],$D494,AvgBase[team_consolidation],$K494,AvgBase[location_name],$G494,AvgBase[job_title],$H494))*(AH284+AG284)/2*(1-AH389))</f>
        <v>0</v>
      </c>
      <c r="AI494" s="652">
        <f>IF($B494="",,IF(LEFT($H494,5)="dummy",SUMIFS(AvgBase[Month 24],AvgBase[job_title],$H494),SUMIFS(AvgBase[Month 24],AvgBase[exp_item],$J494,AvgBase[company_name],$B494,AvgBase[bu_name],$C494,AvgBase[dept_name],$D494,AvgBase[team_consolidation],$K494,AvgBase[location_name],$G494,AvgBase[job_title],$H494))*(AI284+AH284)/2*(1-AI389))</f>
        <v>0</v>
      </c>
      <c r="AJ494" s="652">
        <f>IF($B494="",,IF(LEFT($H494,5)="dummy",SUMIFS(AvgBase[Month 25],AvgBase[job_title],$H494),SUMIFS(AvgBase[Month 25],AvgBase[exp_item],$J494,AvgBase[company_name],$B494,AvgBase[bu_name],$C494,AvgBase[dept_name],$D494,AvgBase[team_consolidation],$K494,AvgBase[location_name],$G494,AvgBase[job_title],$H494))*(AJ284+AI284)/2*(1-AJ389))</f>
        <v>0</v>
      </c>
      <c r="AK494" s="652">
        <f>IF($B494="",,IF(LEFT($H494,5)="dummy",SUMIFS(AvgBase[Month 26],AvgBase[job_title],$H494),SUMIFS(AvgBase[Month 26],AvgBase[exp_item],$J494,AvgBase[company_name],$B494,AvgBase[bu_name],$C494,AvgBase[dept_name],$D494,AvgBase[team_consolidation],$K494,AvgBase[location_name],$G494,AvgBase[job_title],$H494))*(AK284+AJ284)/2*(1-AK389))</f>
        <v>0</v>
      </c>
      <c r="AL494" s="652">
        <f>IF($B494="",,IF(LEFT($H494,5)="dummy",SUMIFS(AvgBase[Month 27],AvgBase[job_title],$H494),SUMIFS(AvgBase[Month 27],AvgBase[exp_item],$J494,AvgBase[company_name],$B494,AvgBase[bu_name],$C494,AvgBase[dept_name],$D494,AvgBase[team_consolidation],$K494,AvgBase[location_name],$G494,AvgBase[job_title],$H494))*(AL284+AK284)/2*(1-AL389))</f>
        <v>0</v>
      </c>
      <c r="AM494" s="652">
        <f>IF($B494="",,IF(LEFT($H494,5)="dummy",SUMIFS(AvgBase[Month 28],AvgBase[job_title],$H494),SUMIFS(AvgBase[Month 28],AvgBase[exp_item],$J494,AvgBase[company_name],$B494,AvgBase[bu_name],$C494,AvgBase[dept_name],$D494,AvgBase[team_consolidation],$K494,AvgBase[location_name],$G494,AvgBase[job_title],$H494))*(AM284+AL284)/2*(1-AM389))</f>
        <v>0</v>
      </c>
      <c r="AN494" s="652">
        <f>IF($B494="",,IF(LEFT($H494,5)="dummy",SUMIFS(AvgBase[Month 29],AvgBase[job_title],$H494),SUMIFS(AvgBase[Month 29],AvgBase[exp_item],$J494,AvgBase[company_name],$B494,AvgBase[bu_name],$C494,AvgBase[dept_name],$D494,AvgBase[team_consolidation],$K494,AvgBase[location_name],$G494,AvgBase[job_title],$H494))*(AN284+AM284)/2*(1-AN389))</f>
        <v>0</v>
      </c>
      <c r="AO494" s="652">
        <f>IF($B494="",,IF(LEFT($H494,5)="dummy",SUMIFS(AvgBase[Month 30],AvgBase[job_title],$H494),SUMIFS(AvgBase[Month 30],AvgBase[exp_item],$J494,AvgBase[company_name],$B494,AvgBase[bu_name],$C494,AvgBase[dept_name],$D494,AvgBase[team_consolidation],$K494,AvgBase[location_name],$G494,AvgBase[job_title],$H494))*(AO284+AN284)/2*(1-AO389))</f>
        <v>0</v>
      </c>
      <c r="AP494" s="652">
        <f>IF($B494="",,IF(LEFT($H494,5)="dummy",SUMIFS(AvgBase[Month 31],AvgBase[job_title],$H494),SUMIFS(AvgBase[Month 31],AvgBase[exp_item],$J494,AvgBase[company_name],$B494,AvgBase[bu_name],$C494,AvgBase[dept_name],$D494,AvgBase[team_consolidation],$K494,AvgBase[location_name],$G494,AvgBase[job_title],$H494))*(AP284+AO284)/2*(1-AP389))</f>
        <v>0</v>
      </c>
      <c r="AQ494" s="652">
        <f>IF($B494="",,IF(LEFT($H494,5)="dummy",SUMIFS(AvgBase[Month 32],AvgBase[job_title],$H494),SUMIFS(AvgBase[Month 32],AvgBase[exp_item],$J494,AvgBase[company_name],$B494,AvgBase[bu_name],$C494,AvgBase[dept_name],$D494,AvgBase[team_consolidation],$K494,AvgBase[location_name],$G494,AvgBase[job_title],$H494))*(AQ284+AP284)/2*(1-AQ389))</f>
        <v>0</v>
      </c>
      <c r="AR494" s="652">
        <f>IF($B494="",,IF(LEFT($H494,5)="dummy",SUMIFS(AvgBase[Month 33],AvgBase[job_title],$H494),SUMIFS(AvgBase[Month 33],AvgBase[exp_item],$J494,AvgBase[company_name],$B494,AvgBase[bu_name],$C494,AvgBase[dept_name],$D494,AvgBase[team_consolidation],$K494,AvgBase[location_name],$G494,AvgBase[job_title],$H494))*(AR284+AQ284)/2*(1-AR389))</f>
        <v>0</v>
      </c>
      <c r="AS494" s="652">
        <f>IF($B494="",,IF(LEFT($H494,5)="dummy",SUMIFS(AvgBase[Month 34],AvgBase[job_title],$H494),SUMIFS(AvgBase[Month 34],AvgBase[exp_item],$J494,AvgBase[company_name],$B494,AvgBase[bu_name],$C494,AvgBase[dept_name],$D494,AvgBase[team_consolidation],$K494,AvgBase[location_name],$G494,AvgBase[job_title],$H494))*(AS284+AR284)/2*(1-AS389))</f>
        <v>0</v>
      </c>
      <c r="AT494" s="652">
        <f>IF($B494="",,IF(LEFT($H494,5)="dummy",SUMIFS(AvgBase[Month 35],AvgBase[job_title],$H494),SUMIFS(AvgBase[Month 35],AvgBase[exp_item],$J494,AvgBase[company_name],$B494,AvgBase[bu_name],$C494,AvgBase[dept_name],$D494,AvgBase[team_consolidation],$K494,AvgBase[location_name],$G494,AvgBase[job_title],$H494))*(AT284+AS284)/2*(1-AT389))</f>
        <v>0</v>
      </c>
      <c r="AU494" s="652">
        <f>IF($B494="",,IF(LEFT($H494,5)="dummy",SUMIFS(AvgBase[Month 36],AvgBase[job_title],$H494),SUMIFS(AvgBase[Month 36],AvgBase[exp_item],$J494,AvgBase[company_name],$B494,AvgBase[bu_name],$C494,AvgBase[dept_name],$D494,AvgBase[team_consolidation],$K494,AvgBase[location_name],$G494,AvgBase[job_title],$H494))*(AU284+AT284)/2*(1-AU389))</f>
        <v>0</v>
      </c>
    </row>
    <row r="495" spans="2:47" x14ac:dyDescent="0.35">
      <c r="B495" t="str">
        <f t="shared" si="287"/>
        <v/>
      </c>
      <c r="C495" t="str">
        <f t="shared" si="287"/>
        <v/>
      </c>
      <c r="D495" t="str">
        <f t="shared" si="287"/>
        <v/>
      </c>
      <c r="E495" t="str">
        <f t="shared" si="287"/>
        <v/>
      </c>
      <c r="F495" t="str">
        <f t="shared" si="287"/>
        <v/>
      </c>
      <c r="G495" t="str">
        <f t="shared" si="287"/>
        <v/>
      </c>
      <c r="H495" t="str">
        <f t="shared" si="288"/>
        <v/>
      </c>
      <c r="J495" t="str">
        <f>IF($H495="","",IF(VLOOKUP($B$395,ExpItems[],2,0),$B$395&amp;" - "&amp;INDEX(DivisionMapping[category_code],MATCH($D495&amp;$C495,DivisionMapping[dept_bu],0)),$B$395))</f>
        <v/>
      </c>
      <c r="K495" t="str">
        <f t="shared" si="284"/>
        <v/>
      </c>
      <c r="L495" s="652">
        <f>IF($B495="",,IF(LEFT($H495,5)="dummy",SUMIFS(AvgBase[Month 1],AvgBase[job_title],$H495),SUMIFS(AvgBase[Month 1],AvgBase[exp_item],$J495,AvgBase[company_name],$B495,AvgBase[bu_name],$C495,AvgBase[dept_name],$D495,AvgBase[team_consolidation],$K495,AvgBase[location_name],$G495,AvgBase[job_title],$H495))*L285/2*(1-L390))</f>
        <v>0</v>
      </c>
      <c r="M495" s="652">
        <f>IF($B495="",,IF(LEFT($H495,5)="dummy",SUMIFS(AvgBase[Month 2],AvgBase[job_title],$H495),SUMIFS(AvgBase[Month 2],AvgBase[exp_item],$J495,AvgBase[company_name],$B495,AvgBase[bu_name],$C495,AvgBase[dept_name],$D495,AvgBase[team_consolidation],$K495,AvgBase[location_name],$G495,AvgBase[job_title],$H495))*(M285+L285)/2*(1-M390))</f>
        <v>0</v>
      </c>
      <c r="N495" s="652">
        <f>IF($B495="",,IF(LEFT($H495,5)="dummy",SUMIFS(AvgBase[Month 3],AvgBase[job_title],$H495),SUMIFS(AvgBase[Month 3],AvgBase[exp_item],$J495,AvgBase[company_name],$B495,AvgBase[bu_name],$C495,AvgBase[dept_name],$D495,AvgBase[team_consolidation],$K495,AvgBase[location_name],$G495,AvgBase[job_title],$H495))*(N285+M285)/2*(1-N390))</f>
        <v>0</v>
      </c>
      <c r="O495" s="652">
        <f>IF($B495="",,IF(LEFT($H495,5)="dummy",SUMIFS(AvgBase[Month 4],AvgBase[job_title],$H495),SUMIFS(AvgBase[Month 4],AvgBase[exp_item],$J495,AvgBase[company_name],$B495,AvgBase[bu_name],$C495,AvgBase[dept_name],$D495,AvgBase[team_consolidation],$K495,AvgBase[location_name],$G495,AvgBase[job_title],$H495))*(O285+N285)/2*(1-O390))</f>
        <v>0</v>
      </c>
      <c r="P495" s="652">
        <f>IF($B495="",,IF(LEFT($H495,5)="dummy",SUMIFS(AvgBase[Month 5],AvgBase[job_title],$H495),SUMIFS(AvgBase[Month 5],AvgBase[exp_item],$J495,AvgBase[company_name],$B495,AvgBase[bu_name],$C495,AvgBase[dept_name],$D495,AvgBase[team_consolidation],$K495,AvgBase[location_name],$G495,AvgBase[job_title],$H495))*(P285+O285)/2*(1-P390))</f>
        <v>0</v>
      </c>
      <c r="Q495" s="652">
        <f>IF($B495="",,IF(LEFT($H495,5)="dummy",SUMIFS(AvgBase[Month 6],AvgBase[job_title],$H495),SUMIFS(AvgBase[Month 6],AvgBase[exp_item],$J495,AvgBase[company_name],$B495,AvgBase[bu_name],$C495,AvgBase[dept_name],$D495,AvgBase[team_consolidation],$K495,AvgBase[location_name],$G495,AvgBase[job_title],$H495))*(Q285+P285)/2*(1-Q390))</f>
        <v>0</v>
      </c>
      <c r="R495" s="652">
        <f>IF($B495="",,IF(LEFT($H495,5)="dummy",SUMIFS(AvgBase[Month 7],AvgBase[job_title],$H495),SUMIFS(AvgBase[Month 7],AvgBase[exp_item],$J495,AvgBase[company_name],$B495,AvgBase[bu_name],$C495,AvgBase[dept_name],$D495,AvgBase[team_consolidation],$K495,AvgBase[location_name],$G495,AvgBase[job_title],$H495))*(R285+Q285)/2*(1-R390))</f>
        <v>0</v>
      </c>
      <c r="S495" s="652">
        <f>IF($B495="",,IF(LEFT($H495,5)="dummy",SUMIFS(AvgBase[Month 8],AvgBase[job_title],$H495),SUMIFS(AvgBase[Month 8],AvgBase[exp_item],$J495,AvgBase[company_name],$B495,AvgBase[bu_name],$C495,AvgBase[dept_name],$D495,AvgBase[team_consolidation],$K495,AvgBase[location_name],$G495,AvgBase[job_title],$H495))*(S285+R285)/2*(1-S390))</f>
        <v>0</v>
      </c>
      <c r="T495" s="652">
        <f>IF($B495="",,IF(LEFT($H495,5)="dummy",SUMIFS(AvgBase[Month 9],AvgBase[job_title],$H495),SUMIFS(AvgBase[Month 9],AvgBase[exp_item],$J495,AvgBase[company_name],$B495,AvgBase[bu_name],$C495,AvgBase[dept_name],$D495,AvgBase[team_consolidation],$K495,AvgBase[location_name],$G495,AvgBase[job_title],$H495))*(T285+S285)/2*(1-T390))</f>
        <v>0</v>
      </c>
      <c r="U495" s="652">
        <f>IF($B495="",,IF(LEFT($H495,5)="dummy",SUMIFS(AvgBase[Month 10],AvgBase[job_title],$H495),SUMIFS(AvgBase[Month 10],AvgBase[exp_item],$J495,AvgBase[company_name],$B495,AvgBase[bu_name],$C495,AvgBase[dept_name],$D495,AvgBase[team_consolidation],$K495,AvgBase[location_name],$G495,AvgBase[job_title],$H495))*(U285+T285)/2*(1-U390))</f>
        <v>0</v>
      </c>
      <c r="V495" s="652">
        <f>IF($B495="",,IF(LEFT($H495,5)="dummy",SUMIFS(AvgBase[Month 11],AvgBase[job_title],$H495),SUMIFS(AvgBase[Month 11],AvgBase[exp_item],$J495,AvgBase[company_name],$B495,AvgBase[bu_name],$C495,AvgBase[dept_name],$D495,AvgBase[team_consolidation],$K495,AvgBase[location_name],$G495,AvgBase[job_title],$H495))*(V285+U285)/2*(1-V390))</f>
        <v>0</v>
      </c>
      <c r="W495" s="652">
        <f>IF($B495="",,IF(LEFT($H495,5)="dummy",SUMIFS(AvgBase[Month 12],AvgBase[job_title],$H495),SUMIFS(AvgBase[Month 12],AvgBase[exp_item],$J495,AvgBase[company_name],$B495,AvgBase[bu_name],$C495,AvgBase[dept_name],$D495,AvgBase[team_consolidation],$K495,AvgBase[location_name],$G495,AvgBase[job_title],$H495))*(W285+V285)/2*(1-W390))</f>
        <v>0</v>
      </c>
      <c r="X495" s="652">
        <f>IF($B495="",,IF(LEFT($H495,5)="dummy",SUMIFS(AvgBase[Month 13],AvgBase[job_title],$H495),SUMIFS(AvgBase[Month 13],AvgBase[exp_item],$J495,AvgBase[company_name],$B495,AvgBase[bu_name],$C495,AvgBase[dept_name],$D495,AvgBase[team_consolidation],$K495,AvgBase[location_name],$G495,AvgBase[job_title],$H495))*(X285+W285)/2*(1-X390))</f>
        <v>0</v>
      </c>
      <c r="Y495" s="652">
        <f>IF($B495="",,IF(LEFT($H495,5)="dummy",SUMIFS(AvgBase[Month 14],AvgBase[job_title],$H495),SUMIFS(AvgBase[Month 14],AvgBase[exp_item],$J495,AvgBase[company_name],$B495,AvgBase[bu_name],$C495,AvgBase[dept_name],$D495,AvgBase[team_consolidation],$K495,AvgBase[location_name],$G495,AvgBase[job_title],$H495))*(Y285+X285)/2*(1-Y390))</f>
        <v>0</v>
      </c>
      <c r="Z495" s="652">
        <f>IF($B495="",,IF(LEFT($H495,5)="dummy",SUMIFS(AvgBase[Month 15],AvgBase[job_title],$H495),SUMIFS(AvgBase[Month 15],AvgBase[exp_item],$J495,AvgBase[company_name],$B495,AvgBase[bu_name],$C495,AvgBase[dept_name],$D495,AvgBase[team_consolidation],$K495,AvgBase[location_name],$G495,AvgBase[job_title],$H495))*(Z285+Y285)/2*(1-Z390))</f>
        <v>0</v>
      </c>
      <c r="AA495" s="652">
        <f>IF($B495="",,IF(LEFT($H495,5)="dummy",SUMIFS(AvgBase[Month 16],AvgBase[job_title],$H495),SUMIFS(AvgBase[Month 16],AvgBase[exp_item],$J495,AvgBase[company_name],$B495,AvgBase[bu_name],$C495,AvgBase[dept_name],$D495,AvgBase[team_consolidation],$K495,AvgBase[location_name],$G495,AvgBase[job_title],$H495))*(AA285+Z285)/2*(1-AA390))</f>
        <v>0</v>
      </c>
      <c r="AB495" s="652">
        <f>IF($B495="",,IF(LEFT($H495,5)="dummy",SUMIFS(AvgBase[Month 17],AvgBase[job_title],$H495),SUMIFS(AvgBase[Month 17],AvgBase[exp_item],$J495,AvgBase[company_name],$B495,AvgBase[bu_name],$C495,AvgBase[dept_name],$D495,AvgBase[team_consolidation],$K495,AvgBase[location_name],$G495,AvgBase[job_title],$H495))*(AB285+AA285)/2*(1-AB390))</f>
        <v>0</v>
      </c>
      <c r="AC495" s="652">
        <f>IF($B495="",,IF(LEFT($H495,5)="dummy",SUMIFS(AvgBase[Month 18],AvgBase[job_title],$H495),SUMIFS(AvgBase[Month 18],AvgBase[exp_item],$J495,AvgBase[company_name],$B495,AvgBase[bu_name],$C495,AvgBase[dept_name],$D495,AvgBase[team_consolidation],$K495,AvgBase[location_name],$G495,AvgBase[job_title],$H495))*(AC285+AB285)/2*(1-AC390))</f>
        <v>0</v>
      </c>
      <c r="AD495" s="652">
        <f>IF($B495="",,IF(LEFT($H495,5)="dummy",SUMIFS(AvgBase[Month 19],AvgBase[job_title],$H495),SUMIFS(AvgBase[Month 19],AvgBase[exp_item],$J495,AvgBase[company_name],$B495,AvgBase[bu_name],$C495,AvgBase[dept_name],$D495,AvgBase[team_consolidation],$K495,AvgBase[location_name],$G495,AvgBase[job_title],$H495))*(AD285+AC285)/2*(1-AD390))</f>
        <v>0</v>
      </c>
      <c r="AE495" s="652">
        <f>IF($B495="",,IF(LEFT($H495,5)="dummy",SUMIFS(AvgBase[Month 20],AvgBase[job_title],$H495),SUMIFS(AvgBase[Month 20],AvgBase[exp_item],$J495,AvgBase[company_name],$B495,AvgBase[bu_name],$C495,AvgBase[dept_name],$D495,AvgBase[team_consolidation],$K495,AvgBase[location_name],$G495,AvgBase[job_title],$H495))*(AE285+AD285)/2*(1-AE390))</f>
        <v>0</v>
      </c>
      <c r="AF495" s="652">
        <f>IF($B495="",,IF(LEFT($H495,5)="dummy",SUMIFS(AvgBase[Month 21],AvgBase[job_title],$H495),SUMIFS(AvgBase[Month 21],AvgBase[exp_item],$J495,AvgBase[company_name],$B495,AvgBase[bu_name],$C495,AvgBase[dept_name],$D495,AvgBase[team_consolidation],$K495,AvgBase[location_name],$G495,AvgBase[job_title],$H495))*(AF285+AE285)/2*(1-AF390))</f>
        <v>0</v>
      </c>
      <c r="AG495" s="652">
        <f>IF($B495="",,IF(LEFT($H495,5)="dummy",SUMIFS(AvgBase[Month 22],AvgBase[job_title],$H495),SUMIFS(AvgBase[Month 22],AvgBase[exp_item],$J495,AvgBase[company_name],$B495,AvgBase[bu_name],$C495,AvgBase[dept_name],$D495,AvgBase[team_consolidation],$K495,AvgBase[location_name],$G495,AvgBase[job_title],$H495))*(AG285+AF285)/2*(1-AG390))</f>
        <v>0</v>
      </c>
      <c r="AH495" s="652">
        <f>IF($B495="",,IF(LEFT($H495,5)="dummy",SUMIFS(AvgBase[Month 23],AvgBase[job_title],$H495),SUMIFS(AvgBase[Month 23],AvgBase[exp_item],$J495,AvgBase[company_name],$B495,AvgBase[bu_name],$C495,AvgBase[dept_name],$D495,AvgBase[team_consolidation],$K495,AvgBase[location_name],$G495,AvgBase[job_title],$H495))*(AH285+AG285)/2*(1-AH390))</f>
        <v>0</v>
      </c>
      <c r="AI495" s="652">
        <f>IF($B495="",,IF(LEFT($H495,5)="dummy",SUMIFS(AvgBase[Month 24],AvgBase[job_title],$H495),SUMIFS(AvgBase[Month 24],AvgBase[exp_item],$J495,AvgBase[company_name],$B495,AvgBase[bu_name],$C495,AvgBase[dept_name],$D495,AvgBase[team_consolidation],$K495,AvgBase[location_name],$G495,AvgBase[job_title],$H495))*(AI285+AH285)/2*(1-AI390))</f>
        <v>0</v>
      </c>
      <c r="AJ495" s="652">
        <f>IF($B495="",,IF(LEFT($H495,5)="dummy",SUMIFS(AvgBase[Month 25],AvgBase[job_title],$H495),SUMIFS(AvgBase[Month 25],AvgBase[exp_item],$J495,AvgBase[company_name],$B495,AvgBase[bu_name],$C495,AvgBase[dept_name],$D495,AvgBase[team_consolidation],$K495,AvgBase[location_name],$G495,AvgBase[job_title],$H495))*(AJ285+AI285)/2*(1-AJ390))</f>
        <v>0</v>
      </c>
      <c r="AK495" s="652">
        <f>IF($B495="",,IF(LEFT($H495,5)="dummy",SUMIFS(AvgBase[Month 26],AvgBase[job_title],$H495),SUMIFS(AvgBase[Month 26],AvgBase[exp_item],$J495,AvgBase[company_name],$B495,AvgBase[bu_name],$C495,AvgBase[dept_name],$D495,AvgBase[team_consolidation],$K495,AvgBase[location_name],$G495,AvgBase[job_title],$H495))*(AK285+AJ285)/2*(1-AK390))</f>
        <v>0</v>
      </c>
      <c r="AL495" s="652">
        <f>IF($B495="",,IF(LEFT($H495,5)="dummy",SUMIFS(AvgBase[Month 27],AvgBase[job_title],$H495),SUMIFS(AvgBase[Month 27],AvgBase[exp_item],$J495,AvgBase[company_name],$B495,AvgBase[bu_name],$C495,AvgBase[dept_name],$D495,AvgBase[team_consolidation],$K495,AvgBase[location_name],$G495,AvgBase[job_title],$H495))*(AL285+AK285)/2*(1-AL390))</f>
        <v>0</v>
      </c>
      <c r="AM495" s="652">
        <f>IF($B495="",,IF(LEFT($H495,5)="dummy",SUMIFS(AvgBase[Month 28],AvgBase[job_title],$H495),SUMIFS(AvgBase[Month 28],AvgBase[exp_item],$J495,AvgBase[company_name],$B495,AvgBase[bu_name],$C495,AvgBase[dept_name],$D495,AvgBase[team_consolidation],$K495,AvgBase[location_name],$G495,AvgBase[job_title],$H495))*(AM285+AL285)/2*(1-AM390))</f>
        <v>0</v>
      </c>
      <c r="AN495" s="652">
        <f>IF($B495="",,IF(LEFT($H495,5)="dummy",SUMIFS(AvgBase[Month 29],AvgBase[job_title],$H495),SUMIFS(AvgBase[Month 29],AvgBase[exp_item],$J495,AvgBase[company_name],$B495,AvgBase[bu_name],$C495,AvgBase[dept_name],$D495,AvgBase[team_consolidation],$K495,AvgBase[location_name],$G495,AvgBase[job_title],$H495))*(AN285+AM285)/2*(1-AN390))</f>
        <v>0</v>
      </c>
      <c r="AO495" s="652">
        <f>IF($B495="",,IF(LEFT($H495,5)="dummy",SUMIFS(AvgBase[Month 30],AvgBase[job_title],$H495),SUMIFS(AvgBase[Month 30],AvgBase[exp_item],$J495,AvgBase[company_name],$B495,AvgBase[bu_name],$C495,AvgBase[dept_name],$D495,AvgBase[team_consolidation],$K495,AvgBase[location_name],$G495,AvgBase[job_title],$H495))*(AO285+AN285)/2*(1-AO390))</f>
        <v>0</v>
      </c>
      <c r="AP495" s="652">
        <f>IF($B495="",,IF(LEFT($H495,5)="dummy",SUMIFS(AvgBase[Month 31],AvgBase[job_title],$H495),SUMIFS(AvgBase[Month 31],AvgBase[exp_item],$J495,AvgBase[company_name],$B495,AvgBase[bu_name],$C495,AvgBase[dept_name],$D495,AvgBase[team_consolidation],$K495,AvgBase[location_name],$G495,AvgBase[job_title],$H495))*(AP285+AO285)/2*(1-AP390))</f>
        <v>0</v>
      </c>
      <c r="AQ495" s="652">
        <f>IF($B495="",,IF(LEFT($H495,5)="dummy",SUMIFS(AvgBase[Month 32],AvgBase[job_title],$H495),SUMIFS(AvgBase[Month 32],AvgBase[exp_item],$J495,AvgBase[company_name],$B495,AvgBase[bu_name],$C495,AvgBase[dept_name],$D495,AvgBase[team_consolidation],$K495,AvgBase[location_name],$G495,AvgBase[job_title],$H495))*(AQ285+AP285)/2*(1-AQ390))</f>
        <v>0</v>
      </c>
      <c r="AR495" s="652">
        <f>IF($B495="",,IF(LEFT($H495,5)="dummy",SUMIFS(AvgBase[Month 33],AvgBase[job_title],$H495),SUMIFS(AvgBase[Month 33],AvgBase[exp_item],$J495,AvgBase[company_name],$B495,AvgBase[bu_name],$C495,AvgBase[dept_name],$D495,AvgBase[team_consolidation],$K495,AvgBase[location_name],$G495,AvgBase[job_title],$H495))*(AR285+AQ285)/2*(1-AR390))</f>
        <v>0</v>
      </c>
      <c r="AS495" s="652">
        <f>IF($B495="",,IF(LEFT($H495,5)="dummy",SUMIFS(AvgBase[Month 34],AvgBase[job_title],$H495),SUMIFS(AvgBase[Month 34],AvgBase[exp_item],$J495,AvgBase[company_name],$B495,AvgBase[bu_name],$C495,AvgBase[dept_name],$D495,AvgBase[team_consolidation],$K495,AvgBase[location_name],$G495,AvgBase[job_title],$H495))*(AS285+AR285)/2*(1-AS390))</f>
        <v>0</v>
      </c>
      <c r="AT495" s="652">
        <f>IF($B495="",,IF(LEFT($H495,5)="dummy",SUMIFS(AvgBase[Month 35],AvgBase[job_title],$H495),SUMIFS(AvgBase[Month 35],AvgBase[exp_item],$J495,AvgBase[company_name],$B495,AvgBase[bu_name],$C495,AvgBase[dept_name],$D495,AvgBase[team_consolidation],$K495,AvgBase[location_name],$G495,AvgBase[job_title],$H495))*(AT285+AS285)/2*(1-AT390))</f>
        <v>0</v>
      </c>
      <c r="AU495" s="652">
        <f>IF($B495="",,IF(LEFT($H495,5)="dummy",SUMIFS(AvgBase[Month 36],AvgBase[job_title],$H495),SUMIFS(AvgBase[Month 36],AvgBase[exp_item],$J495,AvgBase[company_name],$B495,AvgBase[bu_name],$C495,AvgBase[dept_name],$D495,AvgBase[team_consolidation],$K495,AvgBase[location_name],$G495,AvgBase[job_title],$H495))*(AU285+AT285)/2*(1-AU390))</f>
        <v>0</v>
      </c>
    </row>
    <row r="496" spans="2:47" x14ac:dyDescent="0.35">
      <c r="B496" t="str">
        <f t="shared" ref="B496:G496" si="289">IF(B391="","",B391)</f>
        <v/>
      </c>
      <c r="C496" t="str">
        <f t="shared" si="289"/>
        <v/>
      </c>
      <c r="D496" t="str">
        <f t="shared" si="289"/>
        <v/>
      </c>
      <c r="E496" t="str">
        <f t="shared" si="289"/>
        <v/>
      </c>
      <c r="F496" t="str">
        <f t="shared" si="289"/>
        <v/>
      </c>
      <c r="G496" t="str">
        <f t="shared" si="289"/>
        <v/>
      </c>
      <c r="H496" t="str">
        <f t="shared" si="288"/>
        <v/>
      </c>
      <c r="J496" t="str">
        <f>IF($H496="","",IF(VLOOKUP($B$395,ExpItems[],2,0),$B$395&amp;" - "&amp;INDEX(DivisionMapping[category_code],MATCH($D496&amp;$C496,DivisionMapping[dept_bu],0)),$B$395))</f>
        <v/>
      </c>
      <c r="K496" t="str">
        <f t="shared" si="284"/>
        <v/>
      </c>
      <c r="L496" s="652">
        <f>IF($B496="",,IF(LEFT($H496,5)="dummy",SUMIFS(AvgBase[Month 1],AvgBase[job_title],$H496),SUMIFS(AvgBase[Month 1],AvgBase[exp_item],$J496,AvgBase[company_name],$B496,AvgBase[bu_name],$C496,AvgBase[dept_name],$D496,AvgBase[team_consolidation],$K496,AvgBase[location_name],$G496,AvgBase[job_title],$H496))*L286/2*(1-L391))</f>
        <v>0</v>
      </c>
      <c r="M496" s="652">
        <f>IF($B496="",,IF(LEFT($H496,5)="dummy",SUMIFS(AvgBase[Month 2],AvgBase[job_title],$H496),SUMIFS(AvgBase[Month 2],AvgBase[exp_item],$J496,AvgBase[company_name],$B496,AvgBase[bu_name],$C496,AvgBase[dept_name],$D496,AvgBase[team_consolidation],$K496,AvgBase[location_name],$G496,AvgBase[job_title],$H496))*(M286+L286)/2*(1-M391))</f>
        <v>0</v>
      </c>
      <c r="N496" s="652">
        <f>IF($B496="",,IF(LEFT($H496,5)="dummy",SUMIFS(AvgBase[Month 3],AvgBase[job_title],$H496),SUMIFS(AvgBase[Month 3],AvgBase[exp_item],$J496,AvgBase[company_name],$B496,AvgBase[bu_name],$C496,AvgBase[dept_name],$D496,AvgBase[team_consolidation],$K496,AvgBase[location_name],$G496,AvgBase[job_title],$H496))*(N286+M286)/2*(1-N391))</f>
        <v>0</v>
      </c>
      <c r="O496" s="652">
        <f>IF($B496="",,IF(LEFT($H496,5)="dummy",SUMIFS(AvgBase[Month 4],AvgBase[job_title],$H496),SUMIFS(AvgBase[Month 4],AvgBase[exp_item],$J496,AvgBase[company_name],$B496,AvgBase[bu_name],$C496,AvgBase[dept_name],$D496,AvgBase[team_consolidation],$K496,AvgBase[location_name],$G496,AvgBase[job_title],$H496))*(O286+N286)/2*(1-O391))</f>
        <v>0</v>
      </c>
      <c r="P496" s="652">
        <f>IF($B496="",,IF(LEFT($H496,5)="dummy",SUMIFS(AvgBase[Month 5],AvgBase[job_title],$H496),SUMIFS(AvgBase[Month 5],AvgBase[exp_item],$J496,AvgBase[company_name],$B496,AvgBase[bu_name],$C496,AvgBase[dept_name],$D496,AvgBase[team_consolidation],$K496,AvgBase[location_name],$G496,AvgBase[job_title],$H496))*(P286+O286)/2*(1-P391))</f>
        <v>0</v>
      </c>
      <c r="Q496" s="652">
        <f>IF($B496="",,IF(LEFT($H496,5)="dummy",SUMIFS(AvgBase[Month 6],AvgBase[job_title],$H496),SUMIFS(AvgBase[Month 6],AvgBase[exp_item],$J496,AvgBase[company_name],$B496,AvgBase[bu_name],$C496,AvgBase[dept_name],$D496,AvgBase[team_consolidation],$K496,AvgBase[location_name],$G496,AvgBase[job_title],$H496))*(Q286+P286)/2*(1-Q391))</f>
        <v>0</v>
      </c>
      <c r="R496" s="652">
        <f>IF($B496="",,IF(LEFT($H496,5)="dummy",SUMIFS(AvgBase[Month 7],AvgBase[job_title],$H496),SUMIFS(AvgBase[Month 7],AvgBase[exp_item],$J496,AvgBase[company_name],$B496,AvgBase[bu_name],$C496,AvgBase[dept_name],$D496,AvgBase[team_consolidation],$K496,AvgBase[location_name],$G496,AvgBase[job_title],$H496))*(R286+Q286)/2*(1-R391))</f>
        <v>0</v>
      </c>
      <c r="S496" s="652">
        <f>IF($B496="",,IF(LEFT($H496,5)="dummy",SUMIFS(AvgBase[Month 8],AvgBase[job_title],$H496),SUMIFS(AvgBase[Month 8],AvgBase[exp_item],$J496,AvgBase[company_name],$B496,AvgBase[bu_name],$C496,AvgBase[dept_name],$D496,AvgBase[team_consolidation],$K496,AvgBase[location_name],$G496,AvgBase[job_title],$H496))*(S286+R286)/2*(1-S391))</f>
        <v>0</v>
      </c>
      <c r="T496" s="652">
        <f>IF($B496="",,IF(LEFT($H496,5)="dummy",SUMIFS(AvgBase[Month 9],AvgBase[job_title],$H496),SUMIFS(AvgBase[Month 9],AvgBase[exp_item],$J496,AvgBase[company_name],$B496,AvgBase[bu_name],$C496,AvgBase[dept_name],$D496,AvgBase[team_consolidation],$K496,AvgBase[location_name],$G496,AvgBase[job_title],$H496))*(T286+S286)/2*(1-T391))</f>
        <v>0</v>
      </c>
      <c r="U496" s="652">
        <f>IF($B496="",,IF(LEFT($H496,5)="dummy",SUMIFS(AvgBase[Month 10],AvgBase[job_title],$H496),SUMIFS(AvgBase[Month 10],AvgBase[exp_item],$J496,AvgBase[company_name],$B496,AvgBase[bu_name],$C496,AvgBase[dept_name],$D496,AvgBase[team_consolidation],$K496,AvgBase[location_name],$G496,AvgBase[job_title],$H496))*(U286+T286)/2*(1-U391))</f>
        <v>0</v>
      </c>
      <c r="V496" s="652">
        <f>IF($B496="",,IF(LEFT($H496,5)="dummy",SUMIFS(AvgBase[Month 11],AvgBase[job_title],$H496),SUMIFS(AvgBase[Month 11],AvgBase[exp_item],$J496,AvgBase[company_name],$B496,AvgBase[bu_name],$C496,AvgBase[dept_name],$D496,AvgBase[team_consolidation],$K496,AvgBase[location_name],$G496,AvgBase[job_title],$H496))*(V286+U286)/2*(1-V391))</f>
        <v>0</v>
      </c>
      <c r="W496" s="652">
        <f>IF($B496="",,IF(LEFT($H496,5)="dummy",SUMIFS(AvgBase[Month 12],AvgBase[job_title],$H496),SUMIFS(AvgBase[Month 12],AvgBase[exp_item],$J496,AvgBase[company_name],$B496,AvgBase[bu_name],$C496,AvgBase[dept_name],$D496,AvgBase[team_consolidation],$K496,AvgBase[location_name],$G496,AvgBase[job_title],$H496))*(W286+V286)/2*(1-W391))</f>
        <v>0</v>
      </c>
      <c r="X496" s="652">
        <f>IF($B496="",,IF(LEFT($H496,5)="dummy",SUMIFS(AvgBase[Month 13],AvgBase[job_title],$H496),SUMIFS(AvgBase[Month 13],AvgBase[exp_item],$J496,AvgBase[company_name],$B496,AvgBase[bu_name],$C496,AvgBase[dept_name],$D496,AvgBase[team_consolidation],$K496,AvgBase[location_name],$G496,AvgBase[job_title],$H496))*(X286+W286)/2*(1-X391))</f>
        <v>0</v>
      </c>
      <c r="Y496" s="652">
        <f>IF($B496="",,IF(LEFT($H496,5)="dummy",SUMIFS(AvgBase[Month 14],AvgBase[job_title],$H496),SUMIFS(AvgBase[Month 14],AvgBase[exp_item],$J496,AvgBase[company_name],$B496,AvgBase[bu_name],$C496,AvgBase[dept_name],$D496,AvgBase[team_consolidation],$K496,AvgBase[location_name],$G496,AvgBase[job_title],$H496))*(Y286+X286)/2*(1-Y391))</f>
        <v>0</v>
      </c>
      <c r="Z496" s="652">
        <f>IF($B496="",,IF(LEFT($H496,5)="dummy",SUMIFS(AvgBase[Month 15],AvgBase[job_title],$H496),SUMIFS(AvgBase[Month 15],AvgBase[exp_item],$J496,AvgBase[company_name],$B496,AvgBase[bu_name],$C496,AvgBase[dept_name],$D496,AvgBase[team_consolidation],$K496,AvgBase[location_name],$G496,AvgBase[job_title],$H496))*(Z286+Y286)/2*(1-Z391))</f>
        <v>0</v>
      </c>
      <c r="AA496" s="652">
        <f>IF($B496="",,IF(LEFT($H496,5)="dummy",SUMIFS(AvgBase[Month 16],AvgBase[job_title],$H496),SUMIFS(AvgBase[Month 16],AvgBase[exp_item],$J496,AvgBase[company_name],$B496,AvgBase[bu_name],$C496,AvgBase[dept_name],$D496,AvgBase[team_consolidation],$K496,AvgBase[location_name],$G496,AvgBase[job_title],$H496))*(AA286+Z286)/2*(1-AA391))</f>
        <v>0</v>
      </c>
      <c r="AB496" s="652">
        <f>IF($B496="",,IF(LEFT($H496,5)="dummy",SUMIFS(AvgBase[Month 17],AvgBase[job_title],$H496),SUMIFS(AvgBase[Month 17],AvgBase[exp_item],$J496,AvgBase[company_name],$B496,AvgBase[bu_name],$C496,AvgBase[dept_name],$D496,AvgBase[team_consolidation],$K496,AvgBase[location_name],$G496,AvgBase[job_title],$H496))*(AB286+AA286)/2*(1-AB391))</f>
        <v>0</v>
      </c>
      <c r="AC496" s="652">
        <f>IF($B496="",,IF(LEFT($H496,5)="dummy",SUMIFS(AvgBase[Month 18],AvgBase[job_title],$H496),SUMIFS(AvgBase[Month 18],AvgBase[exp_item],$J496,AvgBase[company_name],$B496,AvgBase[bu_name],$C496,AvgBase[dept_name],$D496,AvgBase[team_consolidation],$K496,AvgBase[location_name],$G496,AvgBase[job_title],$H496))*(AC286+AB286)/2*(1-AC391))</f>
        <v>0</v>
      </c>
      <c r="AD496" s="652">
        <f>IF($B496="",,IF(LEFT($H496,5)="dummy",SUMIFS(AvgBase[Month 19],AvgBase[job_title],$H496),SUMIFS(AvgBase[Month 19],AvgBase[exp_item],$J496,AvgBase[company_name],$B496,AvgBase[bu_name],$C496,AvgBase[dept_name],$D496,AvgBase[team_consolidation],$K496,AvgBase[location_name],$G496,AvgBase[job_title],$H496))*(AD286+AC286)/2*(1-AD391))</f>
        <v>0</v>
      </c>
      <c r="AE496" s="652">
        <f>IF($B496="",,IF(LEFT($H496,5)="dummy",SUMIFS(AvgBase[Month 20],AvgBase[job_title],$H496),SUMIFS(AvgBase[Month 20],AvgBase[exp_item],$J496,AvgBase[company_name],$B496,AvgBase[bu_name],$C496,AvgBase[dept_name],$D496,AvgBase[team_consolidation],$K496,AvgBase[location_name],$G496,AvgBase[job_title],$H496))*(AE286+AD286)/2*(1-AE391))</f>
        <v>0</v>
      </c>
      <c r="AF496" s="652">
        <f>IF($B496="",,IF(LEFT($H496,5)="dummy",SUMIFS(AvgBase[Month 21],AvgBase[job_title],$H496),SUMIFS(AvgBase[Month 21],AvgBase[exp_item],$J496,AvgBase[company_name],$B496,AvgBase[bu_name],$C496,AvgBase[dept_name],$D496,AvgBase[team_consolidation],$K496,AvgBase[location_name],$G496,AvgBase[job_title],$H496))*(AF286+AE286)/2*(1-AF391))</f>
        <v>0</v>
      </c>
      <c r="AG496" s="652">
        <f>IF($B496="",,IF(LEFT($H496,5)="dummy",SUMIFS(AvgBase[Month 22],AvgBase[job_title],$H496),SUMIFS(AvgBase[Month 22],AvgBase[exp_item],$J496,AvgBase[company_name],$B496,AvgBase[bu_name],$C496,AvgBase[dept_name],$D496,AvgBase[team_consolidation],$K496,AvgBase[location_name],$G496,AvgBase[job_title],$H496))*(AG286+AF286)/2*(1-AG391))</f>
        <v>0</v>
      </c>
      <c r="AH496" s="652">
        <f>IF($B496="",,IF(LEFT($H496,5)="dummy",SUMIFS(AvgBase[Month 23],AvgBase[job_title],$H496),SUMIFS(AvgBase[Month 23],AvgBase[exp_item],$J496,AvgBase[company_name],$B496,AvgBase[bu_name],$C496,AvgBase[dept_name],$D496,AvgBase[team_consolidation],$K496,AvgBase[location_name],$G496,AvgBase[job_title],$H496))*(AH286+AG286)/2*(1-AH391))</f>
        <v>0</v>
      </c>
      <c r="AI496" s="652">
        <f>IF($B496="",,IF(LEFT($H496,5)="dummy",SUMIFS(AvgBase[Month 24],AvgBase[job_title],$H496),SUMIFS(AvgBase[Month 24],AvgBase[exp_item],$J496,AvgBase[company_name],$B496,AvgBase[bu_name],$C496,AvgBase[dept_name],$D496,AvgBase[team_consolidation],$K496,AvgBase[location_name],$G496,AvgBase[job_title],$H496))*(AI286+AH286)/2*(1-AI391))</f>
        <v>0</v>
      </c>
      <c r="AJ496" s="652">
        <f>IF($B496="",,IF(LEFT($H496,5)="dummy",SUMIFS(AvgBase[Month 25],AvgBase[job_title],$H496),SUMIFS(AvgBase[Month 25],AvgBase[exp_item],$J496,AvgBase[company_name],$B496,AvgBase[bu_name],$C496,AvgBase[dept_name],$D496,AvgBase[team_consolidation],$K496,AvgBase[location_name],$G496,AvgBase[job_title],$H496))*(AJ286+AI286)/2*(1-AJ391))</f>
        <v>0</v>
      </c>
      <c r="AK496" s="652">
        <f>IF($B496="",,IF(LEFT($H496,5)="dummy",SUMIFS(AvgBase[Month 26],AvgBase[job_title],$H496),SUMIFS(AvgBase[Month 26],AvgBase[exp_item],$J496,AvgBase[company_name],$B496,AvgBase[bu_name],$C496,AvgBase[dept_name],$D496,AvgBase[team_consolidation],$K496,AvgBase[location_name],$G496,AvgBase[job_title],$H496))*(AK286+AJ286)/2*(1-AK391))</f>
        <v>0</v>
      </c>
      <c r="AL496" s="652">
        <f>IF($B496="",,IF(LEFT($H496,5)="dummy",SUMIFS(AvgBase[Month 27],AvgBase[job_title],$H496),SUMIFS(AvgBase[Month 27],AvgBase[exp_item],$J496,AvgBase[company_name],$B496,AvgBase[bu_name],$C496,AvgBase[dept_name],$D496,AvgBase[team_consolidation],$K496,AvgBase[location_name],$G496,AvgBase[job_title],$H496))*(AL286+AK286)/2*(1-AL391))</f>
        <v>0</v>
      </c>
      <c r="AM496" s="652">
        <f>IF($B496="",,IF(LEFT($H496,5)="dummy",SUMIFS(AvgBase[Month 28],AvgBase[job_title],$H496),SUMIFS(AvgBase[Month 28],AvgBase[exp_item],$J496,AvgBase[company_name],$B496,AvgBase[bu_name],$C496,AvgBase[dept_name],$D496,AvgBase[team_consolidation],$K496,AvgBase[location_name],$G496,AvgBase[job_title],$H496))*(AM286+AL286)/2*(1-AM391))</f>
        <v>0</v>
      </c>
      <c r="AN496" s="652">
        <f>IF($B496="",,IF(LEFT($H496,5)="dummy",SUMIFS(AvgBase[Month 29],AvgBase[job_title],$H496),SUMIFS(AvgBase[Month 29],AvgBase[exp_item],$J496,AvgBase[company_name],$B496,AvgBase[bu_name],$C496,AvgBase[dept_name],$D496,AvgBase[team_consolidation],$K496,AvgBase[location_name],$G496,AvgBase[job_title],$H496))*(AN286+AM286)/2*(1-AN391))</f>
        <v>0</v>
      </c>
      <c r="AO496" s="652">
        <f>IF($B496="",,IF(LEFT($H496,5)="dummy",SUMIFS(AvgBase[Month 30],AvgBase[job_title],$H496),SUMIFS(AvgBase[Month 30],AvgBase[exp_item],$J496,AvgBase[company_name],$B496,AvgBase[bu_name],$C496,AvgBase[dept_name],$D496,AvgBase[team_consolidation],$K496,AvgBase[location_name],$G496,AvgBase[job_title],$H496))*(AO286+AN286)/2*(1-AO391))</f>
        <v>0</v>
      </c>
      <c r="AP496" s="652">
        <f>IF($B496="",,IF(LEFT($H496,5)="dummy",SUMIFS(AvgBase[Month 31],AvgBase[job_title],$H496),SUMIFS(AvgBase[Month 31],AvgBase[exp_item],$J496,AvgBase[company_name],$B496,AvgBase[bu_name],$C496,AvgBase[dept_name],$D496,AvgBase[team_consolidation],$K496,AvgBase[location_name],$G496,AvgBase[job_title],$H496))*(AP286+AO286)/2*(1-AP391))</f>
        <v>0</v>
      </c>
      <c r="AQ496" s="652">
        <f>IF($B496="",,IF(LEFT($H496,5)="dummy",SUMIFS(AvgBase[Month 32],AvgBase[job_title],$H496),SUMIFS(AvgBase[Month 32],AvgBase[exp_item],$J496,AvgBase[company_name],$B496,AvgBase[bu_name],$C496,AvgBase[dept_name],$D496,AvgBase[team_consolidation],$K496,AvgBase[location_name],$G496,AvgBase[job_title],$H496))*(AQ286+AP286)/2*(1-AQ391))</f>
        <v>0</v>
      </c>
      <c r="AR496" s="652">
        <f>IF($B496="",,IF(LEFT($H496,5)="dummy",SUMIFS(AvgBase[Month 33],AvgBase[job_title],$H496),SUMIFS(AvgBase[Month 33],AvgBase[exp_item],$J496,AvgBase[company_name],$B496,AvgBase[bu_name],$C496,AvgBase[dept_name],$D496,AvgBase[team_consolidation],$K496,AvgBase[location_name],$G496,AvgBase[job_title],$H496))*(AR286+AQ286)/2*(1-AR391))</f>
        <v>0</v>
      </c>
      <c r="AS496" s="652">
        <f>IF($B496="",,IF(LEFT($H496,5)="dummy",SUMIFS(AvgBase[Month 34],AvgBase[job_title],$H496),SUMIFS(AvgBase[Month 34],AvgBase[exp_item],$J496,AvgBase[company_name],$B496,AvgBase[bu_name],$C496,AvgBase[dept_name],$D496,AvgBase[team_consolidation],$K496,AvgBase[location_name],$G496,AvgBase[job_title],$H496))*(AS286+AR286)/2*(1-AS391))</f>
        <v>0</v>
      </c>
      <c r="AT496" s="652">
        <f>IF($B496="",,IF(LEFT($H496,5)="dummy",SUMIFS(AvgBase[Month 35],AvgBase[job_title],$H496),SUMIFS(AvgBase[Month 35],AvgBase[exp_item],$J496,AvgBase[company_name],$B496,AvgBase[bu_name],$C496,AvgBase[dept_name],$D496,AvgBase[team_consolidation],$K496,AvgBase[location_name],$G496,AvgBase[job_title],$H496))*(AT286+AS286)/2*(1-AT391))</f>
        <v>0</v>
      </c>
      <c r="AU496" s="652">
        <f>IF($B496="",,IF(LEFT($H496,5)="dummy",SUMIFS(AvgBase[Month 36],AvgBase[job_title],$H496),SUMIFS(AvgBase[Month 36],AvgBase[exp_item],$J496,AvgBase[company_name],$B496,AvgBase[bu_name],$C496,AvgBase[dept_name],$D496,AvgBase[team_consolidation],$K496,AvgBase[location_name],$G496,AvgBase[job_title],$H496))*(AU286+AT286)/2*(1-AU391))</f>
        <v>0</v>
      </c>
    </row>
    <row r="498" spans="1:52" x14ac:dyDescent="0.35">
      <c r="A498" s="285" t="s">
        <v>1157</v>
      </c>
      <c r="B498" s="285" t="s">
        <v>1157</v>
      </c>
      <c r="C498" s="285" t="s">
        <v>1157</v>
      </c>
      <c r="D498" s="285" t="s">
        <v>1157</v>
      </c>
      <c r="E498" s="285" t="s">
        <v>1157</v>
      </c>
      <c r="F498" s="285" t="s">
        <v>1157</v>
      </c>
      <c r="G498" s="285" t="s">
        <v>1157</v>
      </c>
      <c r="H498" s="285" t="s">
        <v>1157</v>
      </c>
      <c r="I498" s="285" t="s">
        <v>1157</v>
      </c>
      <c r="J498" s="285" t="s">
        <v>1157</v>
      </c>
      <c r="K498" s="285" t="s">
        <v>1157</v>
      </c>
      <c r="L498" s="285" t="s">
        <v>1157</v>
      </c>
      <c r="M498" s="285" t="s">
        <v>1157</v>
      </c>
      <c r="N498" s="285" t="s">
        <v>1157</v>
      </c>
      <c r="O498" s="285" t="s">
        <v>1157</v>
      </c>
      <c r="P498" s="285" t="s">
        <v>1157</v>
      </c>
      <c r="Q498" s="285" t="s">
        <v>1157</v>
      </c>
      <c r="R498" s="285" t="s">
        <v>1157</v>
      </c>
      <c r="S498" s="285" t="s">
        <v>1157</v>
      </c>
      <c r="T498" s="285" t="s">
        <v>1157</v>
      </c>
      <c r="U498" s="285" t="s">
        <v>1157</v>
      </c>
      <c r="V498" s="285" t="s">
        <v>1157</v>
      </c>
      <c r="W498" s="285" t="s">
        <v>1157</v>
      </c>
      <c r="X498" s="285" t="s">
        <v>1157</v>
      </c>
      <c r="Y498" s="285" t="s">
        <v>1157</v>
      </c>
      <c r="Z498" s="285" t="s">
        <v>1157</v>
      </c>
      <c r="AA498" s="285" t="s">
        <v>1157</v>
      </c>
      <c r="AB498" s="285" t="s">
        <v>1157</v>
      </c>
      <c r="AC498" s="285" t="s">
        <v>1157</v>
      </c>
      <c r="AD498" s="285" t="s">
        <v>1157</v>
      </c>
      <c r="AE498" s="285" t="s">
        <v>1157</v>
      </c>
      <c r="AF498" s="285" t="s">
        <v>1157</v>
      </c>
      <c r="AG498" s="285" t="s">
        <v>1157</v>
      </c>
      <c r="AH498" s="285" t="s">
        <v>1157</v>
      </c>
      <c r="AI498" s="285" t="s">
        <v>1157</v>
      </c>
      <c r="AJ498" s="285" t="s">
        <v>1157</v>
      </c>
      <c r="AK498" s="285" t="s">
        <v>1157</v>
      </c>
      <c r="AL498" s="285" t="s">
        <v>1157</v>
      </c>
      <c r="AM498" s="285" t="s">
        <v>1157</v>
      </c>
      <c r="AN498" s="285" t="s">
        <v>1157</v>
      </c>
      <c r="AO498" s="285" t="s">
        <v>1157</v>
      </c>
      <c r="AP498" s="285" t="s">
        <v>1157</v>
      </c>
      <c r="AQ498" s="285" t="s">
        <v>1157</v>
      </c>
      <c r="AR498" s="285" t="s">
        <v>1157</v>
      </c>
      <c r="AS498" s="285" t="s">
        <v>1157</v>
      </c>
      <c r="AT498" s="285" t="s">
        <v>1157</v>
      </c>
      <c r="AU498" s="285" t="s">
        <v>1157</v>
      </c>
      <c r="AV498" s="285" t="s">
        <v>1157</v>
      </c>
      <c r="AW498" s="285" t="s">
        <v>1157</v>
      </c>
      <c r="AX498" s="285" t="s">
        <v>1157</v>
      </c>
      <c r="AY498" s="285" t="s">
        <v>1157</v>
      </c>
      <c r="AZ498" s="285" t="s">
        <v>1157</v>
      </c>
    </row>
    <row r="500" spans="1:52" ht="23.5" x14ac:dyDescent="0.55000000000000004">
      <c r="B500" s="252" t="s">
        <v>21</v>
      </c>
    </row>
    <row r="501" spans="1:52" x14ac:dyDescent="0.35">
      <c r="B501" t="str">
        <f t="shared" ref="B501:G501" si="290">IF(B396="","",B396)</f>
        <v/>
      </c>
      <c r="C501" t="str">
        <f t="shared" si="290"/>
        <v/>
      </c>
      <c r="D501" t="str">
        <f t="shared" si="290"/>
        <v/>
      </c>
      <c r="E501" t="str">
        <f t="shared" si="290"/>
        <v/>
      </c>
      <c r="F501" t="str">
        <f t="shared" si="290"/>
        <v/>
      </c>
      <c r="G501" t="str">
        <f t="shared" si="290"/>
        <v/>
      </c>
      <c r="H501" t="str">
        <f t="shared" ref="H501:H532" si="291">IF(H186="","",H186)</f>
        <v/>
      </c>
      <c r="J501" t="str">
        <f>IF($H501="","",IF(VLOOKUP($B$500,ExpItems[],2,0),$B$500&amp;" - "&amp;INDEX(DivisionMapping[category_code],MATCH($D501&amp;$C501,DivisionMapping[dept_bu],0)),$B$500))</f>
        <v/>
      </c>
      <c r="K501" t="str">
        <f>K396</f>
        <v/>
      </c>
      <c r="L501" s="652">
        <f>IF($B501="",,IF(LEFT($H501,5)="dummy",SUMIFS(AvgBonus[avg_bonus],AvgBonus[job_title],$H501),SUMIFS(AvgBonus[avg_bonus],AvgBonus[exp_item],$J501,AvgBonus[company_name],$B501,AvgBonus[bu_name],$C501,AvgBonus[dept_name],$D501,AvgBonus[team_consolidation],$K501,AvgBonus[location_name],$G501,AvgBonus[job_title],$H501))*L396*SUM(BonusPayout[Month 1]))</f>
        <v>0</v>
      </c>
      <c r="M501" s="652">
        <f>IF($B501="",,IF(LEFT($H501,5)="dummy",SUMIFS(AvgBonus[avg_bonus],AvgBonus[job_title],$H501),SUMIFS(AvgBonus[avg_bonus],AvgBonus[exp_item],$J501,AvgBonus[company_name],$B501,AvgBonus[bu_name],$C501,AvgBonus[dept_name],$D501,AvgBonus[team_consolidation],$K501,AvgBonus[location_name],$G501,AvgBonus[job_title],$H501))*M396*SUM(BonusPayout[Month 2]))</f>
        <v>0</v>
      </c>
      <c r="N501" s="652">
        <f>IF($B501="",,IF(LEFT($H501,5)="dummy",SUMIFS(AvgBonus[avg_bonus],AvgBonus[job_title],$H501),SUMIFS(AvgBonus[avg_bonus],AvgBonus[exp_item],$J501,AvgBonus[company_name],$B501,AvgBonus[bu_name],$C501,AvgBonus[dept_name],$D501,AvgBonus[team_consolidation],$K501,AvgBonus[location_name],$G501,AvgBonus[job_title],$H501))*N396*SUM(BonusPayout[Month 3]))</f>
        <v>0</v>
      </c>
      <c r="O501" s="652">
        <f>IF($B501="",,IF(LEFT($H501,5)="dummy",SUMIFS(AvgBonus[avg_bonus],AvgBonus[job_title],$H501),SUMIFS(AvgBonus[avg_bonus],AvgBonus[exp_item],$J501,AvgBonus[company_name],$B501,AvgBonus[bu_name],$C501,AvgBonus[dept_name],$D501,AvgBonus[team_consolidation],$K501,AvgBonus[location_name],$G501,AvgBonus[job_title],$H501))*O396*SUM(BonusPayout[Month 4]))</f>
        <v>0</v>
      </c>
      <c r="P501" s="652">
        <f>IF($B501="",,IF(LEFT($H501,5)="dummy",SUMIFS(AvgBonus[avg_bonus],AvgBonus[job_title],$H501),SUMIFS(AvgBonus[avg_bonus],AvgBonus[exp_item],$J501,AvgBonus[company_name],$B501,AvgBonus[bu_name],$C501,AvgBonus[dept_name],$D501,AvgBonus[team_consolidation],$K501,AvgBonus[location_name],$G501,AvgBonus[job_title],$H501))*P396*SUM(BonusPayout[Month 5]))</f>
        <v>0</v>
      </c>
      <c r="Q501" s="652">
        <f>IF($B501="",,IF(LEFT($H501,5)="dummy",SUMIFS(AvgBonus[avg_bonus],AvgBonus[job_title],$H501),SUMIFS(AvgBonus[avg_bonus],AvgBonus[exp_item],$J501,AvgBonus[company_name],$B501,AvgBonus[bu_name],$C501,AvgBonus[dept_name],$D501,AvgBonus[team_consolidation],$K501,AvgBonus[location_name],$G501,AvgBonus[job_title],$H501))*Q396*SUM(BonusPayout[Month 6]))</f>
        <v>0</v>
      </c>
      <c r="R501" s="652">
        <f>IF($B501="",,IF(LEFT($H501,5)="dummy",SUMIFS(AvgBonus[avg_bonus],AvgBonus[job_title],$H501),SUMIFS(AvgBonus[avg_bonus],AvgBonus[exp_item],$J501,AvgBonus[company_name],$B501,AvgBonus[bu_name],$C501,AvgBonus[dept_name],$D501,AvgBonus[team_consolidation],$K501,AvgBonus[location_name],$G501,AvgBonus[job_title],$H501))*R396*SUM(BonusPayout[Month 7]))</f>
        <v>0</v>
      </c>
      <c r="S501" s="652">
        <f>IF($B501="",,IF(LEFT($H501,5)="dummy",SUMIFS(AvgBonus[avg_bonus],AvgBonus[job_title],$H501),SUMIFS(AvgBonus[avg_bonus],AvgBonus[exp_item],$J501,AvgBonus[company_name],$B501,AvgBonus[bu_name],$C501,AvgBonus[dept_name],$D501,AvgBonus[team_consolidation],$K501,AvgBonus[location_name],$G501,AvgBonus[job_title],$H501))*S396*SUM(BonusPayout[Month 8]))</f>
        <v>0</v>
      </c>
      <c r="T501" s="652">
        <f>IF($B501="",,IF(LEFT($H501,5)="dummy",SUMIFS(AvgBonus[avg_bonus],AvgBonus[job_title],$H501),SUMIFS(AvgBonus[avg_bonus],AvgBonus[exp_item],$J501,AvgBonus[company_name],$B501,AvgBonus[bu_name],$C501,AvgBonus[dept_name],$D501,AvgBonus[team_consolidation],$K501,AvgBonus[location_name],$G501,AvgBonus[job_title],$H501))*T396*SUM(BonusPayout[Month 9]))</f>
        <v>0</v>
      </c>
      <c r="U501" s="652">
        <f>IF($B501="",,IF(LEFT($H501,5)="dummy",SUMIFS(AvgBonus[avg_bonus],AvgBonus[job_title],$H501),SUMIFS(AvgBonus[avg_bonus],AvgBonus[exp_item],$J501,AvgBonus[company_name],$B501,AvgBonus[bu_name],$C501,AvgBonus[dept_name],$D501,AvgBonus[team_consolidation],$K501,AvgBonus[location_name],$G501,AvgBonus[job_title],$H501))*U396*SUM(BonusPayout[Month 10]))</f>
        <v>0</v>
      </c>
      <c r="V501" s="652">
        <f>IF($B501="",,IF(LEFT($H501,5)="dummy",SUMIFS(AvgBonus[avg_bonus],AvgBonus[job_title],$H501),SUMIFS(AvgBonus[avg_bonus],AvgBonus[exp_item],$J501,AvgBonus[company_name],$B501,AvgBonus[bu_name],$C501,AvgBonus[dept_name],$D501,AvgBonus[team_consolidation],$K501,AvgBonus[location_name],$G501,AvgBonus[job_title],$H501))*V396*SUM(BonusPayout[Month 11]))</f>
        <v>0</v>
      </c>
      <c r="W501" s="652">
        <f>IF($B501="",,IF(LEFT($H501,5)="dummy",SUMIFS(AvgBonus[avg_bonus],AvgBonus[job_title],$H501),SUMIFS(AvgBonus[avg_bonus],AvgBonus[exp_item],$J501,AvgBonus[company_name],$B501,AvgBonus[bu_name],$C501,AvgBonus[dept_name],$D501,AvgBonus[team_consolidation],$K501,AvgBonus[location_name],$G501,AvgBonus[job_title],$H501))*W396*SUM(BonusPayout[Month 12]))</f>
        <v>0</v>
      </c>
      <c r="X501" s="652">
        <f>IF($B501="",,IF(LEFT($H501,5)="dummy",SUMIFS(AvgBonus[avg_bonus],AvgBonus[job_title],$H501),SUMIFS(AvgBonus[avg_bonus],AvgBonus[exp_item],$J501,AvgBonus[company_name],$B501,AvgBonus[bu_name],$C501,AvgBonus[dept_name],$D501,AvgBonus[team_consolidation],$K501,AvgBonus[location_name],$G501,AvgBonus[job_title],$H501))*X396*SUM(BonusPayout[Month 13]))</f>
        <v>0</v>
      </c>
      <c r="Y501" s="652">
        <f>IF($B501="",,IF(LEFT($H501,5)="dummy",SUMIFS(AvgBonus[avg_bonus],AvgBonus[job_title],$H501),SUMIFS(AvgBonus[avg_bonus],AvgBonus[exp_item],$J501,AvgBonus[company_name],$B501,AvgBonus[bu_name],$C501,AvgBonus[dept_name],$D501,AvgBonus[team_consolidation],$K501,AvgBonus[location_name],$G501,AvgBonus[job_title],$H501))*Y396*SUM(BonusPayout[Month 14]))</f>
        <v>0</v>
      </c>
      <c r="Z501" s="652">
        <f>IF($B501="",,IF(LEFT($H501,5)="dummy",SUMIFS(AvgBonus[avg_bonus],AvgBonus[job_title],$H501),SUMIFS(AvgBonus[avg_bonus],AvgBonus[exp_item],$J501,AvgBonus[company_name],$B501,AvgBonus[bu_name],$C501,AvgBonus[dept_name],$D501,AvgBonus[team_consolidation],$K501,AvgBonus[location_name],$G501,AvgBonus[job_title],$H501))*Z396*SUM(BonusPayout[Month 15]))</f>
        <v>0</v>
      </c>
      <c r="AA501" s="652">
        <f>IF($B501="",,IF(LEFT($H501,5)="dummy",SUMIFS(AvgBonus[avg_bonus],AvgBonus[job_title],$H501),SUMIFS(AvgBonus[avg_bonus],AvgBonus[exp_item],$J501,AvgBonus[company_name],$B501,AvgBonus[bu_name],$C501,AvgBonus[dept_name],$D501,AvgBonus[team_consolidation],$K501,AvgBonus[location_name],$G501,AvgBonus[job_title],$H501))*AA396*SUM(BonusPayout[Month 16]))</f>
        <v>0</v>
      </c>
      <c r="AB501" s="652">
        <f>IF($B501="",,IF(LEFT($H501,5)="dummy",SUMIFS(AvgBonus[avg_bonus],AvgBonus[job_title],$H501),SUMIFS(AvgBonus[avg_bonus],AvgBonus[exp_item],$J501,AvgBonus[company_name],$B501,AvgBonus[bu_name],$C501,AvgBonus[dept_name],$D501,AvgBonus[team_consolidation],$K501,AvgBonus[location_name],$G501,AvgBonus[job_title],$H501))*AB396*SUM(BonusPayout[Month 17]))</f>
        <v>0</v>
      </c>
      <c r="AC501" s="652">
        <f>IF($B501="",,IF(LEFT($H501,5)="dummy",SUMIFS(AvgBonus[avg_bonus],AvgBonus[job_title],$H501),SUMIFS(AvgBonus[avg_bonus],AvgBonus[exp_item],$J501,AvgBonus[company_name],$B501,AvgBonus[bu_name],$C501,AvgBonus[dept_name],$D501,AvgBonus[team_consolidation],$K501,AvgBonus[location_name],$G501,AvgBonus[job_title],$H501))*AC396*SUM(BonusPayout[Month 18]))</f>
        <v>0</v>
      </c>
      <c r="AD501" s="652">
        <f>IF($B501="",,IF(LEFT($H501,5)="dummy",SUMIFS(AvgBonus[avg_bonus],AvgBonus[job_title],$H501),SUMIFS(AvgBonus[avg_bonus],AvgBonus[exp_item],$J501,AvgBonus[company_name],$B501,AvgBonus[bu_name],$C501,AvgBonus[dept_name],$D501,AvgBonus[team_consolidation],$K501,AvgBonus[location_name],$G501,AvgBonus[job_title],$H501))*AD396*SUM(BonusPayout[Month 19]))</f>
        <v>0</v>
      </c>
      <c r="AE501" s="652">
        <f>IF($B501="",,IF(LEFT($H501,5)="dummy",SUMIFS(AvgBonus[avg_bonus],AvgBonus[job_title],$H501),SUMIFS(AvgBonus[avg_bonus],AvgBonus[exp_item],$J501,AvgBonus[company_name],$B501,AvgBonus[bu_name],$C501,AvgBonus[dept_name],$D501,AvgBonus[team_consolidation],$K501,AvgBonus[location_name],$G501,AvgBonus[job_title],$H501))*AE396*SUM(BonusPayout[Month 20]))</f>
        <v>0</v>
      </c>
      <c r="AF501" s="652">
        <f>IF($B501="",,IF(LEFT($H501,5)="dummy",SUMIFS(AvgBonus[avg_bonus],AvgBonus[job_title],$H501),SUMIFS(AvgBonus[avg_bonus],AvgBonus[exp_item],$J501,AvgBonus[company_name],$B501,AvgBonus[bu_name],$C501,AvgBonus[dept_name],$D501,AvgBonus[team_consolidation],$K501,AvgBonus[location_name],$G501,AvgBonus[job_title],$H501))*AF396*SUM(BonusPayout[Month 21]))</f>
        <v>0</v>
      </c>
      <c r="AG501" s="652">
        <f>IF($B501="",,IF(LEFT($H501,5)="dummy",SUMIFS(AvgBonus[avg_bonus],AvgBonus[job_title],$H501),SUMIFS(AvgBonus[avg_bonus],AvgBonus[exp_item],$J501,AvgBonus[company_name],$B501,AvgBonus[bu_name],$C501,AvgBonus[dept_name],$D501,AvgBonus[team_consolidation],$K501,AvgBonus[location_name],$G501,AvgBonus[job_title],$H501))*AG396*SUM(BonusPayout[Month 22]))</f>
        <v>0</v>
      </c>
      <c r="AH501" s="652">
        <f>IF($B501="",,IF(LEFT($H501,5)="dummy",SUMIFS(AvgBonus[avg_bonus],AvgBonus[job_title],$H501),SUMIFS(AvgBonus[avg_bonus],AvgBonus[exp_item],$J501,AvgBonus[company_name],$B501,AvgBonus[bu_name],$C501,AvgBonus[dept_name],$D501,AvgBonus[team_consolidation],$K501,AvgBonus[location_name],$G501,AvgBonus[job_title],$H501))*AH396*SUM(BonusPayout[Month 23]))</f>
        <v>0</v>
      </c>
      <c r="AI501" s="652">
        <f>IF($B501="",,IF(LEFT($H501,5)="dummy",SUMIFS(AvgBonus[avg_bonus],AvgBonus[job_title],$H501),SUMIFS(AvgBonus[avg_bonus],AvgBonus[exp_item],$J501,AvgBonus[company_name],$B501,AvgBonus[bu_name],$C501,AvgBonus[dept_name],$D501,AvgBonus[team_consolidation],$K501,AvgBonus[location_name],$G501,AvgBonus[job_title],$H501))*AI396*SUM(BonusPayout[Month 24]))</f>
        <v>0</v>
      </c>
      <c r="AJ501" s="652">
        <f>IF($B501="",,IF(LEFT($H501,5)="dummy",SUMIFS(AvgBonus[avg_bonus],AvgBonus[job_title],$H501),SUMIFS(AvgBonus[avg_bonus],AvgBonus[exp_item],$J501,AvgBonus[company_name],$B501,AvgBonus[bu_name],$C501,AvgBonus[dept_name],$D501,AvgBonus[team_consolidation],$K501,AvgBonus[location_name],$G501,AvgBonus[job_title],$H501))*AJ396*SUM(BonusPayout[Month 25]))</f>
        <v>0</v>
      </c>
      <c r="AK501" s="652">
        <f>IF($B501="",,IF(LEFT($H501,5)="dummy",SUMIFS(AvgBonus[avg_bonus],AvgBonus[job_title],$H501),SUMIFS(AvgBonus[avg_bonus],AvgBonus[exp_item],$J501,AvgBonus[company_name],$B501,AvgBonus[bu_name],$C501,AvgBonus[dept_name],$D501,AvgBonus[team_consolidation],$K501,AvgBonus[location_name],$G501,AvgBonus[job_title],$H501))*AK396*SUM(BonusPayout[Month 26]))</f>
        <v>0</v>
      </c>
      <c r="AL501" s="652">
        <f>IF($B501="",,IF(LEFT($H501,5)="dummy",SUMIFS(AvgBonus[avg_bonus],AvgBonus[job_title],$H501),SUMIFS(AvgBonus[avg_bonus],AvgBonus[exp_item],$J501,AvgBonus[company_name],$B501,AvgBonus[bu_name],$C501,AvgBonus[dept_name],$D501,AvgBonus[team_consolidation],$K501,AvgBonus[location_name],$G501,AvgBonus[job_title],$H501))*AL396*SUM(BonusPayout[Month 27]))</f>
        <v>0</v>
      </c>
      <c r="AM501" s="652">
        <f>IF($B501="",,IF(LEFT($H501,5)="dummy",SUMIFS(AvgBonus[avg_bonus],AvgBonus[job_title],$H501),SUMIFS(AvgBonus[avg_bonus],AvgBonus[exp_item],$J501,AvgBonus[company_name],$B501,AvgBonus[bu_name],$C501,AvgBonus[dept_name],$D501,AvgBonus[team_consolidation],$K501,AvgBonus[location_name],$G501,AvgBonus[job_title],$H501))*AM396*SUM(BonusPayout[Month 28]))</f>
        <v>0</v>
      </c>
      <c r="AN501" s="652">
        <f>IF($B501="",,IF(LEFT($H501,5)="dummy",SUMIFS(AvgBonus[avg_bonus],AvgBonus[job_title],$H501),SUMIFS(AvgBonus[avg_bonus],AvgBonus[exp_item],$J501,AvgBonus[company_name],$B501,AvgBonus[bu_name],$C501,AvgBonus[dept_name],$D501,AvgBonus[team_consolidation],$K501,AvgBonus[location_name],$G501,AvgBonus[job_title],$H501))*AN396*SUM(BonusPayout[Month 29]))</f>
        <v>0</v>
      </c>
      <c r="AO501" s="652">
        <f>IF($B501="",,IF(LEFT($H501,5)="dummy",SUMIFS(AvgBonus[avg_bonus],AvgBonus[job_title],$H501),SUMIFS(AvgBonus[avg_bonus],AvgBonus[exp_item],$J501,AvgBonus[company_name],$B501,AvgBonus[bu_name],$C501,AvgBonus[dept_name],$D501,AvgBonus[team_consolidation],$K501,AvgBonus[location_name],$G501,AvgBonus[job_title],$H501))*AO396*SUM(BonusPayout[Month 30]))</f>
        <v>0</v>
      </c>
      <c r="AP501" s="652">
        <f>IF($B501="",,IF(LEFT($H501,5)="dummy",SUMIFS(AvgBonus[avg_bonus],AvgBonus[job_title],$H501),SUMIFS(AvgBonus[avg_bonus],AvgBonus[exp_item],$J501,AvgBonus[company_name],$B501,AvgBonus[bu_name],$C501,AvgBonus[dept_name],$D501,AvgBonus[team_consolidation],$K501,AvgBonus[location_name],$G501,AvgBonus[job_title],$H501))*AP396*SUM(BonusPayout[Month 31]))</f>
        <v>0</v>
      </c>
      <c r="AQ501" s="652">
        <f>IF($B501="",,IF(LEFT($H501,5)="dummy",SUMIFS(AvgBonus[avg_bonus],AvgBonus[job_title],$H501),SUMIFS(AvgBonus[avg_bonus],AvgBonus[exp_item],$J501,AvgBonus[company_name],$B501,AvgBonus[bu_name],$C501,AvgBonus[dept_name],$D501,AvgBonus[team_consolidation],$K501,AvgBonus[location_name],$G501,AvgBonus[job_title],$H501))*AQ396*SUM(BonusPayout[Month 32]))</f>
        <v>0</v>
      </c>
      <c r="AR501" s="652">
        <f>IF($B501="",,IF(LEFT($H501,5)="dummy",SUMIFS(AvgBonus[avg_bonus],AvgBonus[job_title],$H501),SUMIFS(AvgBonus[avg_bonus],AvgBonus[exp_item],$J501,AvgBonus[company_name],$B501,AvgBonus[bu_name],$C501,AvgBonus[dept_name],$D501,AvgBonus[team_consolidation],$K501,AvgBonus[location_name],$G501,AvgBonus[job_title],$H501))*AR396*SUM(BonusPayout[Month 33]))</f>
        <v>0</v>
      </c>
      <c r="AS501" s="652">
        <f>IF($B501="",,IF(LEFT($H501,5)="dummy",SUMIFS(AvgBonus[avg_bonus],AvgBonus[job_title],$H501),SUMIFS(AvgBonus[avg_bonus],AvgBonus[exp_item],$J501,AvgBonus[company_name],$B501,AvgBonus[bu_name],$C501,AvgBonus[dept_name],$D501,AvgBonus[team_consolidation],$K501,AvgBonus[location_name],$G501,AvgBonus[job_title],$H501))*AS396*SUM(BonusPayout[Month 34]))</f>
        <v>0</v>
      </c>
      <c r="AT501" s="652">
        <f>IF($B501="",,IF(LEFT($H501,5)="dummy",SUMIFS(AvgBonus[avg_bonus],AvgBonus[job_title],$H501),SUMIFS(AvgBonus[avg_bonus],AvgBonus[exp_item],$J501,AvgBonus[company_name],$B501,AvgBonus[bu_name],$C501,AvgBonus[dept_name],$D501,AvgBonus[team_consolidation],$K501,AvgBonus[location_name],$G501,AvgBonus[job_title],$H501))*AT396*SUM(BonusPayout[Month 35]))</f>
        <v>0</v>
      </c>
      <c r="AU501" s="652">
        <f>IF($B501="",,IF(LEFT($H501,5)="dummy",SUMIFS(AvgBonus[avg_bonus],AvgBonus[job_title],$H501),SUMIFS(AvgBonus[avg_bonus],AvgBonus[exp_item],$J501,AvgBonus[company_name],$B501,AvgBonus[bu_name],$C501,AvgBonus[dept_name],$D501,AvgBonus[team_consolidation],$K501,AvgBonus[location_name],$G501,AvgBonus[job_title],$H501))*AU396*SUM(BonusPayout[Month 36]))</f>
        <v>0</v>
      </c>
    </row>
    <row r="502" spans="1:52" x14ac:dyDescent="0.35">
      <c r="B502" t="str">
        <f t="shared" ref="B502:B533" si="292">IF(B397="","",B397)</f>
        <v/>
      </c>
      <c r="C502" t="str">
        <f t="shared" ref="C502:G502" si="293">IF(C397="","",C397)</f>
        <v/>
      </c>
      <c r="D502" t="str">
        <f t="shared" si="293"/>
        <v/>
      </c>
      <c r="E502" t="str">
        <f t="shared" si="293"/>
        <v/>
      </c>
      <c r="F502" t="str">
        <f t="shared" si="293"/>
        <v/>
      </c>
      <c r="G502" t="str">
        <f t="shared" si="293"/>
        <v/>
      </c>
      <c r="H502" t="str">
        <f t="shared" si="291"/>
        <v/>
      </c>
      <c r="J502" t="str">
        <f>IF($H502="","",IF(VLOOKUP($B$500,ExpItems[],2,0),$B$500&amp;" - "&amp;INDEX(DivisionMapping[category_code],MATCH($D502&amp;$C502,DivisionMapping[dept_bu],0)),$B$500))</f>
        <v/>
      </c>
      <c r="K502" t="str">
        <f t="shared" ref="K502:K565" si="294">K397</f>
        <v/>
      </c>
      <c r="L502" s="652">
        <f>IF($B502="",,IF(LEFT($H502,5)="dummy",SUMIFS(AvgBonus[avg_bonus],AvgBonus[job_title],$H502),SUMIFS(AvgBonus[avg_bonus],AvgBonus[exp_item],$J502,AvgBonus[company_name],$B502,AvgBonus[bu_name],$C502,AvgBonus[dept_name],$D502,AvgBonus[team_consolidation],$K502,AvgBonus[location_name],$G502,AvgBonus[job_title],$H502))*L397*SUM(BonusPayout[Month 1]))</f>
        <v>0</v>
      </c>
      <c r="M502" s="652">
        <f>IF($B502="",,IF(LEFT($H502,5)="dummy",SUMIFS(AvgBonus[avg_bonus],AvgBonus[job_title],$H502),SUMIFS(AvgBonus[avg_bonus],AvgBonus[exp_item],$J502,AvgBonus[company_name],$B502,AvgBonus[bu_name],$C502,AvgBonus[dept_name],$D502,AvgBonus[team_consolidation],$K502,AvgBonus[location_name],$G502,AvgBonus[job_title],$H502))*M397*SUM(BonusPayout[Month 2]))</f>
        <v>0</v>
      </c>
      <c r="N502" s="652">
        <f>IF($B502="",,IF(LEFT($H502,5)="dummy",SUMIFS(AvgBonus[avg_bonus],AvgBonus[job_title],$H502),SUMIFS(AvgBonus[avg_bonus],AvgBonus[exp_item],$J502,AvgBonus[company_name],$B502,AvgBonus[bu_name],$C502,AvgBonus[dept_name],$D502,AvgBonus[team_consolidation],$K502,AvgBonus[location_name],$G502,AvgBonus[job_title],$H502))*N397*SUM(BonusPayout[Month 3]))</f>
        <v>0</v>
      </c>
      <c r="O502" s="652">
        <f>IF($B502="",,IF(LEFT($H502,5)="dummy",SUMIFS(AvgBonus[avg_bonus],AvgBonus[job_title],$H502),SUMIFS(AvgBonus[avg_bonus],AvgBonus[exp_item],$J502,AvgBonus[company_name],$B502,AvgBonus[bu_name],$C502,AvgBonus[dept_name],$D502,AvgBonus[team_consolidation],$K502,AvgBonus[location_name],$G502,AvgBonus[job_title],$H502))*O397*SUM(BonusPayout[Month 4]))</f>
        <v>0</v>
      </c>
      <c r="P502" s="652">
        <f>IF($B502="",,IF(LEFT($H502,5)="dummy",SUMIFS(AvgBonus[avg_bonus],AvgBonus[job_title],$H502),SUMIFS(AvgBonus[avg_bonus],AvgBonus[exp_item],$J502,AvgBonus[company_name],$B502,AvgBonus[bu_name],$C502,AvgBonus[dept_name],$D502,AvgBonus[team_consolidation],$K502,AvgBonus[location_name],$G502,AvgBonus[job_title],$H502))*P397*SUM(BonusPayout[Month 5]))</f>
        <v>0</v>
      </c>
      <c r="Q502" s="652">
        <f>IF($B502="",,IF(LEFT($H502,5)="dummy",SUMIFS(AvgBonus[avg_bonus],AvgBonus[job_title],$H502),SUMIFS(AvgBonus[avg_bonus],AvgBonus[exp_item],$J502,AvgBonus[company_name],$B502,AvgBonus[bu_name],$C502,AvgBonus[dept_name],$D502,AvgBonus[team_consolidation],$K502,AvgBonus[location_name],$G502,AvgBonus[job_title],$H502))*Q397*SUM(BonusPayout[Month 6]))</f>
        <v>0</v>
      </c>
      <c r="R502" s="652">
        <f>IF($B502="",,IF(LEFT($H502,5)="dummy",SUMIFS(AvgBonus[avg_bonus],AvgBonus[job_title],$H502),SUMIFS(AvgBonus[avg_bonus],AvgBonus[exp_item],$J502,AvgBonus[company_name],$B502,AvgBonus[bu_name],$C502,AvgBonus[dept_name],$D502,AvgBonus[team_consolidation],$K502,AvgBonus[location_name],$G502,AvgBonus[job_title],$H502))*R397*SUM(BonusPayout[Month 7]))</f>
        <v>0</v>
      </c>
      <c r="S502" s="652">
        <f>IF($B502="",,IF(LEFT($H502,5)="dummy",SUMIFS(AvgBonus[avg_bonus],AvgBonus[job_title],$H502),SUMIFS(AvgBonus[avg_bonus],AvgBonus[exp_item],$J502,AvgBonus[company_name],$B502,AvgBonus[bu_name],$C502,AvgBonus[dept_name],$D502,AvgBonus[team_consolidation],$K502,AvgBonus[location_name],$G502,AvgBonus[job_title],$H502))*S397*SUM(BonusPayout[Month 8]))</f>
        <v>0</v>
      </c>
      <c r="T502" s="652">
        <f>IF($B502="",,IF(LEFT($H502,5)="dummy",SUMIFS(AvgBonus[avg_bonus],AvgBonus[job_title],$H502),SUMIFS(AvgBonus[avg_bonus],AvgBonus[exp_item],$J502,AvgBonus[company_name],$B502,AvgBonus[bu_name],$C502,AvgBonus[dept_name],$D502,AvgBonus[team_consolidation],$K502,AvgBonus[location_name],$G502,AvgBonus[job_title],$H502))*T397*SUM(BonusPayout[Month 9]))</f>
        <v>0</v>
      </c>
      <c r="U502" s="652">
        <f>IF($B502="",,IF(LEFT($H502,5)="dummy",SUMIFS(AvgBonus[avg_bonus],AvgBonus[job_title],$H502),SUMIFS(AvgBonus[avg_bonus],AvgBonus[exp_item],$J502,AvgBonus[company_name],$B502,AvgBonus[bu_name],$C502,AvgBonus[dept_name],$D502,AvgBonus[team_consolidation],$K502,AvgBonus[location_name],$G502,AvgBonus[job_title],$H502))*U397*SUM(BonusPayout[Month 10]))</f>
        <v>0</v>
      </c>
      <c r="V502" s="652">
        <f>IF($B502="",,IF(LEFT($H502,5)="dummy",SUMIFS(AvgBonus[avg_bonus],AvgBonus[job_title],$H502),SUMIFS(AvgBonus[avg_bonus],AvgBonus[exp_item],$J502,AvgBonus[company_name],$B502,AvgBonus[bu_name],$C502,AvgBonus[dept_name],$D502,AvgBonus[team_consolidation],$K502,AvgBonus[location_name],$G502,AvgBonus[job_title],$H502))*V397*SUM(BonusPayout[Month 11]))</f>
        <v>0</v>
      </c>
      <c r="W502" s="652">
        <f>IF($B502="",,IF(LEFT($H502,5)="dummy",SUMIFS(AvgBonus[avg_bonus],AvgBonus[job_title],$H502),SUMIFS(AvgBonus[avg_bonus],AvgBonus[exp_item],$J502,AvgBonus[company_name],$B502,AvgBonus[bu_name],$C502,AvgBonus[dept_name],$D502,AvgBonus[team_consolidation],$K502,AvgBonus[location_name],$G502,AvgBonus[job_title],$H502))*W397*SUM(BonusPayout[Month 12]))</f>
        <v>0</v>
      </c>
      <c r="X502" s="652">
        <f>IF($B502="",,IF(LEFT($H502,5)="dummy",SUMIFS(AvgBonus[avg_bonus],AvgBonus[job_title],$H502),SUMIFS(AvgBonus[avg_bonus],AvgBonus[exp_item],$J502,AvgBonus[company_name],$B502,AvgBonus[bu_name],$C502,AvgBonus[dept_name],$D502,AvgBonus[team_consolidation],$K502,AvgBonus[location_name],$G502,AvgBonus[job_title],$H502))*X397*SUM(BonusPayout[Month 13]))</f>
        <v>0</v>
      </c>
      <c r="Y502" s="652">
        <f>IF($B502="",,IF(LEFT($H502,5)="dummy",SUMIFS(AvgBonus[avg_bonus],AvgBonus[job_title],$H502),SUMIFS(AvgBonus[avg_bonus],AvgBonus[exp_item],$J502,AvgBonus[company_name],$B502,AvgBonus[bu_name],$C502,AvgBonus[dept_name],$D502,AvgBonus[team_consolidation],$K502,AvgBonus[location_name],$G502,AvgBonus[job_title],$H502))*Y397*SUM(BonusPayout[Month 14]))</f>
        <v>0</v>
      </c>
      <c r="Z502" s="652">
        <f>IF($B502="",,IF(LEFT($H502,5)="dummy",SUMIFS(AvgBonus[avg_bonus],AvgBonus[job_title],$H502),SUMIFS(AvgBonus[avg_bonus],AvgBonus[exp_item],$J502,AvgBonus[company_name],$B502,AvgBonus[bu_name],$C502,AvgBonus[dept_name],$D502,AvgBonus[team_consolidation],$K502,AvgBonus[location_name],$G502,AvgBonus[job_title],$H502))*Z397*SUM(BonusPayout[Month 15]))</f>
        <v>0</v>
      </c>
      <c r="AA502" s="652">
        <f>IF($B502="",,IF(LEFT($H502,5)="dummy",SUMIFS(AvgBonus[avg_bonus],AvgBonus[job_title],$H502),SUMIFS(AvgBonus[avg_bonus],AvgBonus[exp_item],$J502,AvgBonus[company_name],$B502,AvgBonus[bu_name],$C502,AvgBonus[dept_name],$D502,AvgBonus[team_consolidation],$K502,AvgBonus[location_name],$G502,AvgBonus[job_title],$H502))*AA397*SUM(BonusPayout[Month 16]))</f>
        <v>0</v>
      </c>
      <c r="AB502" s="652">
        <f>IF($B502="",,IF(LEFT($H502,5)="dummy",SUMIFS(AvgBonus[avg_bonus],AvgBonus[job_title],$H502),SUMIFS(AvgBonus[avg_bonus],AvgBonus[exp_item],$J502,AvgBonus[company_name],$B502,AvgBonus[bu_name],$C502,AvgBonus[dept_name],$D502,AvgBonus[team_consolidation],$K502,AvgBonus[location_name],$G502,AvgBonus[job_title],$H502))*AB397*SUM(BonusPayout[Month 17]))</f>
        <v>0</v>
      </c>
      <c r="AC502" s="652">
        <f>IF($B502="",,IF(LEFT($H502,5)="dummy",SUMIFS(AvgBonus[avg_bonus],AvgBonus[job_title],$H502),SUMIFS(AvgBonus[avg_bonus],AvgBonus[exp_item],$J502,AvgBonus[company_name],$B502,AvgBonus[bu_name],$C502,AvgBonus[dept_name],$D502,AvgBonus[team_consolidation],$K502,AvgBonus[location_name],$G502,AvgBonus[job_title],$H502))*AC397*SUM(BonusPayout[Month 18]))</f>
        <v>0</v>
      </c>
      <c r="AD502" s="652">
        <f>IF($B502="",,IF(LEFT($H502,5)="dummy",SUMIFS(AvgBonus[avg_bonus],AvgBonus[job_title],$H502),SUMIFS(AvgBonus[avg_bonus],AvgBonus[exp_item],$J502,AvgBonus[company_name],$B502,AvgBonus[bu_name],$C502,AvgBonus[dept_name],$D502,AvgBonus[team_consolidation],$K502,AvgBonus[location_name],$G502,AvgBonus[job_title],$H502))*AD397*SUM(BonusPayout[Month 19]))</f>
        <v>0</v>
      </c>
      <c r="AE502" s="652">
        <f>IF($B502="",,IF(LEFT($H502,5)="dummy",SUMIFS(AvgBonus[avg_bonus],AvgBonus[job_title],$H502),SUMIFS(AvgBonus[avg_bonus],AvgBonus[exp_item],$J502,AvgBonus[company_name],$B502,AvgBonus[bu_name],$C502,AvgBonus[dept_name],$D502,AvgBonus[team_consolidation],$K502,AvgBonus[location_name],$G502,AvgBonus[job_title],$H502))*AE397*SUM(BonusPayout[Month 20]))</f>
        <v>0</v>
      </c>
      <c r="AF502" s="652">
        <f>IF($B502="",,IF(LEFT($H502,5)="dummy",SUMIFS(AvgBonus[avg_bonus],AvgBonus[job_title],$H502),SUMIFS(AvgBonus[avg_bonus],AvgBonus[exp_item],$J502,AvgBonus[company_name],$B502,AvgBonus[bu_name],$C502,AvgBonus[dept_name],$D502,AvgBonus[team_consolidation],$K502,AvgBonus[location_name],$G502,AvgBonus[job_title],$H502))*AF397*SUM(BonusPayout[Month 21]))</f>
        <v>0</v>
      </c>
      <c r="AG502" s="652">
        <f>IF($B502="",,IF(LEFT($H502,5)="dummy",SUMIFS(AvgBonus[avg_bonus],AvgBonus[job_title],$H502),SUMIFS(AvgBonus[avg_bonus],AvgBonus[exp_item],$J502,AvgBonus[company_name],$B502,AvgBonus[bu_name],$C502,AvgBonus[dept_name],$D502,AvgBonus[team_consolidation],$K502,AvgBonus[location_name],$G502,AvgBonus[job_title],$H502))*AG397*SUM(BonusPayout[Month 22]))</f>
        <v>0</v>
      </c>
      <c r="AH502" s="652">
        <f>IF($B502="",,IF(LEFT($H502,5)="dummy",SUMIFS(AvgBonus[avg_bonus],AvgBonus[job_title],$H502),SUMIFS(AvgBonus[avg_bonus],AvgBonus[exp_item],$J502,AvgBonus[company_name],$B502,AvgBonus[bu_name],$C502,AvgBonus[dept_name],$D502,AvgBonus[team_consolidation],$K502,AvgBonus[location_name],$G502,AvgBonus[job_title],$H502))*AH397*SUM(BonusPayout[Month 23]))</f>
        <v>0</v>
      </c>
      <c r="AI502" s="652">
        <f>IF($B502="",,IF(LEFT($H502,5)="dummy",SUMIFS(AvgBonus[avg_bonus],AvgBonus[job_title],$H502),SUMIFS(AvgBonus[avg_bonus],AvgBonus[exp_item],$J502,AvgBonus[company_name],$B502,AvgBonus[bu_name],$C502,AvgBonus[dept_name],$D502,AvgBonus[team_consolidation],$K502,AvgBonus[location_name],$G502,AvgBonus[job_title],$H502))*AI397*SUM(BonusPayout[Month 24]))</f>
        <v>0</v>
      </c>
      <c r="AJ502" s="652">
        <f>IF($B502="",,IF(LEFT($H502,5)="dummy",SUMIFS(AvgBonus[avg_bonus],AvgBonus[job_title],$H502),SUMIFS(AvgBonus[avg_bonus],AvgBonus[exp_item],$J502,AvgBonus[company_name],$B502,AvgBonus[bu_name],$C502,AvgBonus[dept_name],$D502,AvgBonus[team_consolidation],$K502,AvgBonus[location_name],$G502,AvgBonus[job_title],$H502))*AJ397*SUM(BonusPayout[Month 25]))</f>
        <v>0</v>
      </c>
      <c r="AK502" s="652">
        <f>IF($B502="",,IF(LEFT($H502,5)="dummy",SUMIFS(AvgBonus[avg_bonus],AvgBonus[job_title],$H502),SUMIFS(AvgBonus[avg_bonus],AvgBonus[exp_item],$J502,AvgBonus[company_name],$B502,AvgBonus[bu_name],$C502,AvgBonus[dept_name],$D502,AvgBonus[team_consolidation],$K502,AvgBonus[location_name],$G502,AvgBonus[job_title],$H502))*AK397*SUM(BonusPayout[Month 26]))</f>
        <v>0</v>
      </c>
      <c r="AL502" s="652">
        <f>IF($B502="",,IF(LEFT($H502,5)="dummy",SUMIFS(AvgBonus[avg_bonus],AvgBonus[job_title],$H502),SUMIFS(AvgBonus[avg_bonus],AvgBonus[exp_item],$J502,AvgBonus[company_name],$B502,AvgBonus[bu_name],$C502,AvgBonus[dept_name],$D502,AvgBonus[team_consolidation],$K502,AvgBonus[location_name],$G502,AvgBonus[job_title],$H502))*AL397*SUM(BonusPayout[Month 27]))</f>
        <v>0</v>
      </c>
      <c r="AM502" s="652">
        <f>IF($B502="",,IF(LEFT($H502,5)="dummy",SUMIFS(AvgBonus[avg_bonus],AvgBonus[job_title],$H502),SUMIFS(AvgBonus[avg_bonus],AvgBonus[exp_item],$J502,AvgBonus[company_name],$B502,AvgBonus[bu_name],$C502,AvgBonus[dept_name],$D502,AvgBonus[team_consolidation],$K502,AvgBonus[location_name],$G502,AvgBonus[job_title],$H502))*AM397*SUM(BonusPayout[Month 28]))</f>
        <v>0</v>
      </c>
      <c r="AN502" s="652">
        <f>IF($B502="",,IF(LEFT($H502,5)="dummy",SUMIFS(AvgBonus[avg_bonus],AvgBonus[job_title],$H502),SUMIFS(AvgBonus[avg_bonus],AvgBonus[exp_item],$J502,AvgBonus[company_name],$B502,AvgBonus[bu_name],$C502,AvgBonus[dept_name],$D502,AvgBonus[team_consolidation],$K502,AvgBonus[location_name],$G502,AvgBonus[job_title],$H502))*AN397*SUM(BonusPayout[Month 29]))</f>
        <v>0</v>
      </c>
      <c r="AO502" s="652">
        <f>IF($B502="",,IF(LEFT($H502,5)="dummy",SUMIFS(AvgBonus[avg_bonus],AvgBonus[job_title],$H502),SUMIFS(AvgBonus[avg_bonus],AvgBonus[exp_item],$J502,AvgBonus[company_name],$B502,AvgBonus[bu_name],$C502,AvgBonus[dept_name],$D502,AvgBonus[team_consolidation],$K502,AvgBonus[location_name],$G502,AvgBonus[job_title],$H502))*AO397*SUM(BonusPayout[Month 30]))</f>
        <v>0</v>
      </c>
      <c r="AP502" s="652">
        <f>IF($B502="",,IF(LEFT($H502,5)="dummy",SUMIFS(AvgBonus[avg_bonus],AvgBonus[job_title],$H502),SUMIFS(AvgBonus[avg_bonus],AvgBonus[exp_item],$J502,AvgBonus[company_name],$B502,AvgBonus[bu_name],$C502,AvgBonus[dept_name],$D502,AvgBonus[team_consolidation],$K502,AvgBonus[location_name],$G502,AvgBonus[job_title],$H502))*AP397*SUM(BonusPayout[Month 31]))</f>
        <v>0</v>
      </c>
      <c r="AQ502" s="652">
        <f>IF($B502="",,IF(LEFT($H502,5)="dummy",SUMIFS(AvgBonus[avg_bonus],AvgBonus[job_title],$H502),SUMIFS(AvgBonus[avg_bonus],AvgBonus[exp_item],$J502,AvgBonus[company_name],$B502,AvgBonus[bu_name],$C502,AvgBonus[dept_name],$D502,AvgBonus[team_consolidation],$K502,AvgBonus[location_name],$G502,AvgBonus[job_title],$H502))*AQ397*SUM(BonusPayout[Month 32]))</f>
        <v>0</v>
      </c>
      <c r="AR502" s="652">
        <f>IF($B502="",,IF(LEFT($H502,5)="dummy",SUMIFS(AvgBonus[avg_bonus],AvgBonus[job_title],$H502),SUMIFS(AvgBonus[avg_bonus],AvgBonus[exp_item],$J502,AvgBonus[company_name],$B502,AvgBonus[bu_name],$C502,AvgBonus[dept_name],$D502,AvgBonus[team_consolidation],$K502,AvgBonus[location_name],$G502,AvgBonus[job_title],$H502))*AR397*SUM(BonusPayout[Month 33]))</f>
        <v>0</v>
      </c>
      <c r="AS502" s="652">
        <f>IF($B502="",,IF(LEFT($H502,5)="dummy",SUMIFS(AvgBonus[avg_bonus],AvgBonus[job_title],$H502),SUMIFS(AvgBonus[avg_bonus],AvgBonus[exp_item],$J502,AvgBonus[company_name],$B502,AvgBonus[bu_name],$C502,AvgBonus[dept_name],$D502,AvgBonus[team_consolidation],$K502,AvgBonus[location_name],$G502,AvgBonus[job_title],$H502))*AS397*SUM(BonusPayout[Month 34]))</f>
        <v>0</v>
      </c>
      <c r="AT502" s="652">
        <f>IF($B502="",,IF(LEFT($H502,5)="dummy",SUMIFS(AvgBonus[avg_bonus],AvgBonus[job_title],$H502),SUMIFS(AvgBonus[avg_bonus],AvgBonus[exp_item],$J502,AvgBonus[company_name],$B502,AvgBonus[bu_name],$C502,AvgBonus[dept_name],$D502,AvgBonus[team_consolidation],$K502,AvgBonus[location_name],$G502,AvgBonus[job_title],$H502))*AT397*SUM(BonusPayout[Month 35]))</f>
        <v>0</v>
      </c>
      <c r="AU502" s="652">
        <f>IF($B502="",,IF(LEFT($H502,5)="dummy",SUMIFS(AvgBonus[avg_bonus],AvgBonus[job_title],$H502),SUMIFS(AvgBonus[avg_bonus],AvgBonus[exp_item],$J502,AvgBonus[company_name],$B502,AvgBonus[bu_name],$C502,AvgBonus[dept_name],$D502,AvgBonus[team_consolidation],$K502,AvgBonus[location_name],$G502,AvgBonus[job_title],$H502))*AU397*SUM(BonusPayout[Month 36]))</f>
        <v>0</v>
      </c>
    </row>
    <row r="503" spans="1:52" x14ac:dyDescent="0.35">
      <c r="B503" t="str">
        <f t="shared" si="292"/>
        <v/>
      </c>
      <c r="C503" t="str">
        <f t="shared" ref="C503:G503" si="295">IF(C398="","",C398)</f>
        <v/>
      </c>
      <c r="D503" t="str">
        <f t="shared" si="295"/>
        <v/>
      </c>
      <c r="E503" t="str">
        <f t="shared" si="295"/>
        <v/>
      </c>
      <c r="F503" t="str">
        <f t="shared" si="295"/>
        <v/>
      </c>
      <c r="G503" t="str">
        <f t="shared" si="295"/>
        <v/>
      </c>
      <c r="H503" t="str">
        <f t="shared" si="291"/>
        <v/>
      </c>
      <c r="J503" t="str">
        <f>IF($H503="","",IF(VLOOKUP($B$500,ExpItems[],2,0),$B$500&amp;" - "&amp;INDEX(DivisionMapping[category_code],MATCH($D503&amp;$C503,DivisionMapping[dept_bu],0)),$B$500))</f>
        <v/>
      </c>
      <c r="K503" t="str">
        <f t="shared" si="294"/>
        <v/>
      </c>
      <c r="L503" s="652">
        <f>IF($B503="",,IF(LEFT($H503,5)="dummy",SUMIFS(AvgBonus[avg_bonus],AvgBonus[job_title],$H503),SUMIFS(AvgBonus[avg_bonus],AvgBonus[exp_item],$J503,AvgBonus[company_name],$B503,AvgBonus[bu_name],$C503,AvgBonus[dept_name],$D503,AvgBonus[team_consolidation],$K503,AvgBonus[location_name],$G503,AvgBonus[job_title],$H503))*L398*SUM(BonusPayout[Month 1]))</f>
        <v>0</v>
      </c>
      <c r="M503" s="652">
        <f>IF($B503="",,IF(LEFT($H503,5)="dummy",SUMIFS(AvgBonus[avg_bonus],AvgBonus[job_title],$H503),SUMIFS(AvgBonus[avg_bonus],AvgBonus[exp_item],$J503,AvgBonus[company_name],$B503,AvgBonus[bu_name],$C503,AvgBonus[dept_name],$D503,AvgBonus[team_consolidation],$K503,AvgBonus[location_name],$G503,AvgBonus[job_title],$H503))*M398*SUM(BonusPayout[Month 2]))</f>
        <v>0</v>
      </c>
      <c r="N503" s="652">
        <f>IF($B503="",,IF(LEFT($H503,5)="dummy",SUMIFS(AvgBonus[avg_bonus],AvgBonus[job_title],$H503),SUMIFS(AvgBonus[avg_bonus],AvgBonus[exp_item],$J503,AvgBonus[company_name],$B503,AvgBonus[bu_name],$C503,AvgBonus[dept_name],$D503,AvgBonus[team_consolidation],$K503,AvgBonus[location_name],$G503,AvgBonus[job_title],$H503))*N398*SUM(BonusPayout[Month 3]))</f>
        <v>0</v>
      </c>
      <c r="O503" s="652">
        <f>IF($B503="",,IF(LEFT($H503,5)="dummy",SUMIFS(AvgBonus[avg_bonus],AvgBonus[job_title],$H503),SUMIFS(AvgBonus[avg_bonus],AvgBonus[exp_item],$J503,AvgBonus[company_name],$B503,AvgBonus[bu_name],$C503,AvgBonus[dept_name],$D503,AvgBonus[team_consolidation],$K503,AvgBonus[location_name],$G503,AvgBonus[job_title],$H503))*O398*SUM(BonusPayout[Month 4]))</f>
        <v>0</v>
      </c>
      <c r="P503" s="652">
        <f>IF($B503="",,IF(LEFT($H503,5)="dummy",SUMIFS(AvgBonus[avg_bonus],AvgBonus[job_title],$H503),SUMIFS(AvgBonus[avg_bonus],AvgBonus[exp_item],$J503,AvgBonus[company_name],$B503,AvgBonus[bu_name],$C503,AvgBonus[dept_name],$D503,AvgBonus[team_consolidation],$K503,AvgBonus[location_name],$G503,AvgBonus[job_title],$H503))*P398*SUM(BonusPayout[Month 5]))</f>
        <v>0</v>
      </c>
      <c r="Q503" s="652">
        <f>IF($B503="",,IF(LEFT($H503,5)="dummy",SUMIFS(AvgBonus[avg_bonus],AvgBonus[job_title],$H503),SUMIFS(AvgBonus[avg_bonus],AvgBonus[exp_item],$J503,AvgBonus[company_name],$B503,AvgBonus[bu_name],$C503,AvgBonus[dept_name],$D503,AvgBonus[team_consolidation],$K503,AvgBonus[location_name],$G503,AvgBonus[job_title],$H503))*Q398*SUM(BonusPayout[Month 6]))</f>
        <v>0</v>
      </c>
      <c r="R503" s="652">
        <f>IF($B503="",,IF(LEFT($H503,5)="dummy",SUMIFS(AvgBonus[avg_bonus],AvgBonus[job_title],$H503),SUMIFS(AvgBonus[avg_bonus],AvgBonus[exp_item],$J503,AvgBonus[company_name],$B503,AvgBonus[bu_name],$C503,AvgBonus[dept_name],$D503,AvgBonus[team_consolidation],$K503,AvgBonus[location_name],$G503,AvgBonus[job_title],$H503))*R398*SUM(BonusPayout[Month 7]))</f>
        <v>0</v>
      </c>
      <c r="S503" s="652">
        <f>IF($B503="",,IF(LEFT($H503,5)="dummy",SUMIFS(AvgBonus[avg_bonus],AvgBonus[job_title],$H503),SUMIFS(AvgBonus[avg_bonus],AvgBonus[exp_item],$J503,AvgBonus[company_name],$B503,AvgBonus[bu_name],$C503,AvgBonus[dept_name],$D503,AvgBonus[team_consolidation],$K503,AvgBonus[location_name],$G503,AvgBonus[job_title],$H503))*S398*SUM(BonusPayout[Month 8]))</f>
        <v>0</v>
      </c>
      <c r="T503" s="652">
        <f>IF($B503="",,IF(LEFT($H503,5)="dummy",SUMIFS(AvgBonus[avg_bonus],AvgBonus[job_title],$H503),SUMIFS(AvgBonus[avg_bonus],AvgBonus[exp_item],$J503,AvgBonus[company_name],$B503,AvgBonus[bu_name],$C503,AvgBonus[dept_name],$D503,AvgBonus[team_consolidation],$K503,AvgBonus[location_name],$G503,AvgBonus[job_title],$H503))*T398*SUM(BonusPayout[Month 9]))</f>
        <v>0</v>
      </c>
      <c r="U503" s="652">
        <f>IF($B503="",,IF(LEFT($H503,5)="dummy",SUMIFS(AvgBonus[avg_bonus],AvgBonus[job_title],$H503),SUMIFS(AvgBonus[avg_bonus],AvgBonus[exp_item],$J503,AvgBonus[company_name],$B503,AvgBonus[bu_name],$C503,AvgBonus[dept_name],$D503,AvgBonus[team_consolidation],$K503,AvgBonus[location_name],$G503,AvgBonus[job_title],$H503))*U398*SUM(BonusPayout[Month 10]))</f>
        <v>0</v>
      </c>
      <c r="V503" s="652">
        <f>IF($B503="",,IF(LEFT($H503,5)="dummy",SUMIFS(AvgBonus[avg_bonus],AvgBonus[job_title],$H503),SUMIFS(AvgBonus[avg_bonus],AvgBonus[exp_item],$J503,AvgBonus[company_name],$B503,AvgBonus[bu_name],$C503,AvgBonus[dept_name],$D503,AvgBonus[team_consolidation],$K503,AvgBonus[location_name],$G503,AvgBonus[job_title],$H503))*V398*SUM(BonusPayout[Month 11]))</f>
        <v>0</v>
      </c>
      <c r="W503" s="652">
        <f>IF($B503="",,IF(LEFT($H503,5)="dummy",SUMIFS(AvgBonus[avg_bonus],AvgBonus[job_title],$H503),SUMIFS(AvgBonus[avg_bonus],AvgBonus[exp_item],$J503,AvgBonus[company_name],$B503,AvgBonus[bu_name],$C503,AvgBonus[dept_name],$D503,AvgBonus[team_consolidation],$K503,AvgBonus[location_name],$G503,AvgBonus[job_title],$H503))*W398*SUM(BonusPayout[Month 12]))</f>
        <v>0</v>
      </c>
      <c r="X503" s="652">
        <f>IF($B503="",,IF(LEFT($H503,5)="dummy",SUMIFS(AvgBonus[avg_bonus],AvgBonus[job_title],$H503),SUMIFS(AvgBonus[avg_bonus],AvgBonus[exp_item],$J503,AvgBonus[company_name],$B503,AvgBonus[bu_name],$C503,AvgBonus[dept_name],$D503,AvgBonus[team_consolidation],$K503,AvgBonus[location_name],$G503,AvgBonus[job_title],$H503))*X398*SUM(BonusPayout[Month 13]))</f>
        <v>0</v>
      </c>
      <c r="Y503" s="652">
        <f>IF($B503="",,IF(LEFT($H503,5)="dummy",SUMIFS(AvgBonus[avg_bonus],AvgBonus[job_title],$H503),SUMIFS(AvgBonus[avg_bonus],AvgBonus[exp_item],$J503,AvgBonus[company_name],$B503,AvgBonus[bu_name],$C503,AvgBonus[dept_name],$D503,AvgBonus[team_consolidation],$K503,AvgBonus[location_name],$G503,AvgBonus[job_title],$H503))*Y398*SUM(BonusPayout[Month 14]))</f>
        <v>0</v>
      </c>
      <c r="Z503" s="652">
        <f>IF($B503="",,IF(LEFT($H503,5)="dummy",SUMIFS(AvgBonus[avg_bonus],AvgBonus[job_title],$H503),SUMIFS(AvgBonus[avg_bonus],AvgBonus[exp_item],$J503,AvgBonus[company_name],$B503,AvgBonus[bu_name],$C503,AvgBonus[dept_name],$D503,AvgBonus[team_consolidation],$K503,AvgBonus[location_name],$G503,AvgBonus[job_title],$H503))*Z398*SUM(BonusPayout[Month 15]))</f>
        <v>0</v>
      </c>
      <c r="AA503" s="652">
        <f>IF($B503="",,IF(LEFT($H503,5)="dummy",SUMIFS(AvgBonus[avg_bonus],AvgBonus[job_title],$H503),SUMIFS(AvgBonus[avg_bonus],AvgBonus[exp_item],$J503,AvgBonus[company_name],$B503,AvgBonus[bu_name],$C503,AvgBonus[dept_name],$D503,AvgBonus[team_consolidation],$K503,AvgBonus[location_name],$G503,AvgBonus[job_title],$H503))*AA398*SUM(BonusPayout[Month 16]))</f>
        <v>0</v>
      </c>
      <c r="AB503" s="652">
        <f>IF($B503="",,IF(LEFT($H503,5)="dummy",SUMIFS(AvgBonus[avg_bonus],AvgBonus[job_title],$H503),SUMIFS(AvgBonus[avg_bonus],AvgBonus[exp_item],$J503,AvgBonus[company_name],$B503,AvgBonus[bu_name],$C503,AvgBonus[dept_name],$D503,AvgBonus[team_consolidation],$K503,AvgBonus[location_name],$G503,AvgBonus[job_title],$H503))*AB398*SUM(BonusPayout[Month 17]))</f>
        <v>0</v>
      </c>
      <c r="AC503" s="652">
        <f>IF($B503="",,IF(LEFT($H503,5)="dummy",SUMIFS(AvgBonus[avg_bonus],AvgBonus[job_title],$H503),SUMIFS(AvgBonus[avg_bonus],AvgBonus[exp_item],$J503,AvgBonus[company_name],$B503,AvgBonus[bu_name],$C503,AvgBonus[dept_name],$D503,AvgBonus[team_consolidation],$K503,AvgBonus[location_name],$G503,AvgBonus[job_title],$H503))*AC398*SUM(BonusPayout[Month 18]))</f>
        <v>0</v>
      </c>
      <c r="AD503" s="652">
        <f>IF($B503="",,IF(LEFT($H503,5)="dummy",SUMIFS(AvgBonus[avg_bonus],AvgBonus[job_title],$H503),SUMIFS(AvgBonus[avg_bonus],AvgBonus[exp_item],$J503,AvgBonus[company_name],$B503,AvgBonus[bu_name],$C503,AvgBonus[dept_name],$D503,AvgBonus[team_consolidation],$K503,AvgBonus[location_name],$G503,AvgBonus[job_title],$H503))*AD398*SUM(BonusPayout[Month 19]))</f>
        <v>0</v>
      </c>
      <c r="AE503" s="652">
        <f>IF($B503="",,IF(LEFT($H503,5)="dummy",SUMIFS(AvgBonus[avg_bonus],AvgBonus[job_title],$H503),SUMIFS(AvgBonus[avg_bonus],AvgBonus[exp_item],$J503,AvgBonus[company_name],$B503,AvgBonus[bu_name],$C503,AvgBonus[dept_name],$D503,AvgBonus[team_consolidation],$K503,AvgBonus[location_name],$G503,AvgBonus[job_title],$H503))*AE398*SUM(BonusPayout[Month 20]))</f>
        <v>0</v>
      </c>
      <c r="AF503" s="652">
        <f>IF($B503="",,IF(LEFT($H503,5)="dummy",SUMIFS(AvgBonus[avg_bonus],AvgBonus[job_title],$H503),SUMIFS(AvgBonus[avg_bonus],AvgBonus[exp_item],$J503,AvgBonus[company_name],$B503,AvgBonus[bu_name],$C503,AvgBonus[dept_name],$D503,AvgBonus[team_consolidation],$K503,AvgBonus[location_name],$G503,AvgBonus[job_title],$H503))*AF398*SUM(BonusPayout[Month 21]))</f>
        <v>0</v>
      </c>
      <c r="AG503" s="652">
        <f>IF($B503="",,IF(LEFT($H503,5)="dummy",SUMIFS(AvgBonus[avg_bonus],AvgBonus[job_title],$H503),SUMIFS(AvgBonus[avg_bonus],AvgBonus[exp_item],$J503,AvgBonus[company_name],$B503,AvgBonus[bu_name],$C503,AvgBonus[dept_name],$D503,AvgBonus[team_consolidation],$K503,AvgBonus[location_name],$G503,AvgBonus[job_title],$H503))*AG398*SUM(BonusPayout[Month 22]))</f>
        <v>0</v>
      </c>
      <c r="AH503" s="652">
        <f>IF($B503="",,IF(LEFT($H503,5)="dummy",SUMIFS(AvgBonus[avg_bonus],AvgBonus[job_title],$H503),SUMIFS(AvgBonus[avg_bonus],AvgBonus[exp_item],$J503,AvgBonus[company_name],$B503,AvgBonus[bu_name],$C503,AvgBonus[dept_name],$D503,AvgBonus[team_consolidation],$K503,AvgBonus[location_name],$G503,AvgBonus[job_title],$H503))*AH398*SUM(BonusPayout[Month 23]))</f>
        <v>0</v>
      </c>
      <c r="AI503" s="652">
        <f>IF($B503="",,IF(LEFT($H503,5)="dummy",SUMIFS(AvgBonus[avg_bonus],AvgBonus[job_title],$H503),SUMIFS(AvgBonus[avg_bonus],AvgBonus[exp_item],$J503,AvgBonus[company_name],$B503,AvgBonus[bu_name],$C503,AvgBonus[dept_name],$D503,AvgBonus[team_consolidation],$K503,AvgBonus[location_name],$G503,AvgBonus[job_title],$H503))*AI398*SUM(BonusPayout[Month 24]))</f>
        <v>0</v>
      </c>
      <c r="AJ503" s="652">
        <f>IF($B503="",,IF(LEFT($H503,5)="dummy",SUMIFS(AvgBonus[avg_bonus],AvgBonus[job_title],$H503),SUMIFS(AvgBonus[avg_bonus],AvgBonus[exp_item],$J503,AvgBonus[company_name],$B503,AvgBonus[bu_name],$C503,AvgBonus[dept_name],$D503,AvgBonus[team_consolidation],$K503,AvgBonus[location_name],$G503,AvgBonus[job_title],$H503))*AJ398*SUM(BonusPayout[Month 25]))</f>
        <v>0</v>
      </c>
      <c r="AK503" s="652">
        <f>IF($B503="",,IF(LEFT($H503,5)="dummy",SUMIFS(AvgBonus[avg_bonus],AvgBonus[job_title],$H503),SUMIFS(AvgBonus[avg_bonus],AvgBonus[exp_item],$J503,AvgBonus[company_name],$B503,AvgBonus[bu_name],$C503,AvgBonus[dept_name],$D503,AvgBonus[team_consolidation],$K503,AvgBonus[location_name],$G503,AvgBonus[job_title],$H503))*AK398*SUM(BonusPayout[Month 26]))</f>
        <v>0</v>
      </c>
      <c r="AL503" s="652">
        <f>IF($B503="",,IF(LEFT($H503,5)="dummy",SUMIFS(AvgBonus[avg_bonus],AvgBonus[job_title],$H503),SUMIFS(AvgBonus[avg_bonus],AvgBonus[exp_item],$J503,AvgBonus[company_name],$B503,AvgBonus[bu_name],$C503,AvgBonus[dept_name],$D503,AvgBonus[team_consolidation],$K503,AvgBonus[location_name],$G503,AvgBonus[job_title],$H503))*AL398*SUM(BonusPayout[Month 27]))</f>
        <v>0</v>
      </c>
      <c r="AM503" s="652">
        <f>IF($B503="",,IF(LEFT($H503,5)="dummy",SUMIFS(AvgBonus[avg_bonus],AvgBonus[job_title],$H503),SUMIFS(AvgBonus[avg_bonus],AvgBonus[exp_item],$J503,AvgBonus[company_name],$B503,AvgBonus[bu_name],$C503,AvgBonus[dept_name],$D503,AvgBonus[team_consolidation],$K503,AvgBonus[location_name],$G503,AvgBonus[job_title],$H503))*AM398*SUM(BonusPayout[Month 28]))</f>
        <v>0</v>
      </c>
      <c r="AN503" s="652">
        <f>IF($B503="",,IF(LEFT($H503,5)="dummy",SUMIFS(AvgBonus[avg_bonus],AvgBonus[job_title],$H503),SUMIFS(AvgBonus[avg_bonus],AvgBonus[exp_item],$J503,AvgBonus[company_name],$B503,AvgBonus[bu_name],$C503,AvgBonus[dept_name],$D503,AvgBonus[team_consolidation],$K503,AvgBonus[location_name],$G503,AvgBonus[job_title],$H503))*AN398*SUM(BonusPayout[Month 29]))</f>
        <v>0</v>
      </c>
      <c r="AO503" s="652">
        <f>IF($B503="",,IF(LEFT($H503,5)="dummy",SUMIFS(AvgBonus[avg_bonus],AvgBonus[job_title],$H503),SUMIFS(AvgBonus[avg_bonus],AvgBonus[exp_item],$J503,AvgBonus[company_name],$B503,AvgBonus[bu_name],$C503,AvgBonus[dept_name],$D503,AvgBonus[team_consolidation],$K503,AvgBonus[location_name],$G503,AvgBonus[job_title],$H503))*AO398*SUM(BonusPayout[Month 30]))</f>
        <v>0</v>
      </c>
      <c r="AP503" s="652">
        <f>IF($B503="",,IF(LEFT($H503,5)="dummy",SUMIFS(AvgBonus[avg_bonus],AvgBonus[job_title],$H503),SUMIFS(AvgBonus[avg_bonus],AvgBonus[exp_item],$J503,AvgBonus[company_name],$B503,AvgBonus[bu_name],$C503,AvgBonus[dept_name],$D503,AvgBonus[team_consolidation],$K503,AvgBonus[location_name],$G503,AvgBonus[job_title],$H503))*AP398*SUM(BonusPayout[Month 31]))</f>
        <v>0</v>
      </c>
      <c r="AQ503" s="652">
        <f>IF($B503="",,IF(LEFT($H503,5)="dummy",SUMIFS(AvgBonus[avg_bonus],AvgBonus[job_title],$H503),SUMIFS(AvgBonus[avg_bonus],AvgBonus[exp_item],$J503,AvgBonus[company_name],$B503,AvgBonus[bu_name],$C503,AvgBonus[dept_name],$D503,AvgBonus[team_consolidation],$K503,AvgBonus[location_name],$G503,AvgBonus[job_title],$H503))*AQ398*SUM(BonusPayout[Month 32]))</f>
        <v>0</v>
      </c>
      <c r="AR503" s="652">
        <f>IF($B503="",,IF(LEFT($H503,5)="dummy",SUMIFS(AvgBonus[avg_bonus],AvgBonus[job_title],$H503),SUMIFS(AvgBonus[avg_bonus],AvgBonus[exp_item],$J503,AvgBonus[company_name],$B503,AvgBonus[bu_name],$C503,AvgBonus[dept_name],$D503,AvgBonus[team_consolidation],$K503,AvgBonus[location_name],$G503,AvgBonus[job_title],$H503))*AR398*SUM(BonusPayout[Month 33]))</f>
        <v>0</v>
      </c>
      <c r="AS503" s="652">
        <f>IF($B503="",,IF(LEFT($H503,5)="dummy",SUMIFS(AvgBonus[avg_bonus],AvgBonus[job_title],$H503),SUMIFS(AvgBonus[avg_bonus],AvgBonus[exp_item],$J503,AvgBonus[company_name],$B503,AvgBonus[bu_name],$C503,AvgBonus[dept_name],$D503,AvgBonus[team_consolidation],$K503,AvgBonus[location_name],$G503,AvgBonus[job_title],$H503))*AS398*SUM(BonusPayout[Month 34]))</f>
        <v>0</v>
      </c>
      <c r="AT503" s="652">
        <f>IF($B503="",,IF(LEFT($H503,5)="dummy",SUMIFS(AvgBonus[avg_bonus],AvgBonus[job_title],$H503),SUMIFS(AvgBonus[avg_bonus],AvgBonus[exp_item],$J503,AvgBonus[company_name],$B503,AvgBonus[bu_name],$C503,AvgBonus[dept_name],$D503,AvgBonus[team_consolidation],$K503,AvgBonus[location_name],$G503,AvgBonus[job_title],$H503))*AT398*SUM(BonusPayout[Month 35]))</f>
        <v>0</v>
      </c>
      <c r="AU503" s="652">
        <f>IF($B503="",,IF(LEFT($H503,5)="dummy",SUMIFS(AvgBonus[avg_bonus],AvgBonus[job_title],$H503),SUMIFS(AvgBonus[avg_bonus],AvgBonus[exp_item],$J503,AvgBonus[company_name],$B503,AvgBonus[bu_name],$C503,AvgBonus[dept_name],$D503,AvgBonus[team_consolidation],$K503,AvgBonus[location_name],$G503,AvgBonus[job_title],$H503))*AU398*SUM(BonusPayout[Month 36]))</f>
        <v>0</v>
      </c>
    </row>
    <row r="504" spans="1:52" x14ac:dyDescent="0.35">
      <c r="B504" t="str">
        <f t="shared" si="292"/>
        <v/>
      </c>
      <c r="C504" t="str">
        <f t="shared" ref="C504:G504" si="296">IF(C399="","",C399)</f>
        <v/>
      </c>
      <c r="D504" t="str">
        <f t="shared" si="296"/>
        <v/>
      </c>
      <c r="E504" t="str">
        <f t="shared" si="296"/>
        <v/>
      </c>
      <c r="F504" t="str">
        <f t="shared" si="296"/>
        <v/>
      </c>
      <c r="G504" t="str">
        <f t="shared" si="296"/>
        <v/>
      </c>
      <c r="H504" t="str">
        <f t="shared" si="291"/>
        <v/>
      </c>
      <c r="J504" t="str">
        <f>IF($H504="","",IF(VLOOKUP($B$500,ExpItems[],2,0),$B$500&amp;" - "&amp;INDEX(DivisionMapping[category_code],MATCH($D504&amp;$C504,DivisionMapping[dept_bu],0)),$B$500))</f>
        <v/>
      </c>
      <c r="K504" t="str">
        <f t="shared" si="294"/>
        <v/>
      </c>
      <c r="L504" s="652">
        <f>IF($B504="",,IF(LEFT($H504,5)="dummy",SUMIFS(AvgBonus[avg_bonus],AvgBonus[job_title],$H504),SUMIFS(AvgBonus[avg_bonus],AvgBonus[exp_item],$J504,AvgBonus[company_name],$B504,AvgBonus[bu_name],$C504,AvgBonus[dept_name],$D504,AvgBonus[team_consolidation],$K504,AvgBonus[location_name],$G504,AvgBonus[job_title],$H504))*L399*SUM(BonusPayout[Month 1]))</f>
        <v>0</v>
      </c>
      <c r="M504" s="652">
        <f>IF($B504="",,IF(LEFT($H504,5)="dummy",SUMIFS(AvgBonus[avg_bonus],AvgBonus[job_title],$H504),SUMIFS(AvgBonus[avg_bonus],AvgBonus[exp_item],$J504,AvgBonus[company_name],$B504,AvgBonus[bu_name],$C504,AvgBonus[dept_name],$D504,AvgBonus[team_consolidation],$K504,AvgBonus[location_name],$G504,AvgBonus[job_title],$H504))*M399*SUM(BonusPayout[Month 2]))</f>
        <v>0</v>
      </c>
      <c r="N504" s="652">
        <f>IF($B504="",,IF(LEFT($H504,5)="dummy",SUMIFS(AvgBonus[avg_bonus],AvgBonus[job_title],$H504),SUMIFS(AvgBonus[avg_bonus],AvgBonus[exp_item],$J504,AvgBonus[company_name],$B504,AvgBonus[bu_name],$C504,AvgBonus[dept_name],$D504,AvgBonus[team_consolidation],$K504,AvgBonus[location_name],$G504,AvgBonus[job_title],$H504))*N399*SUM(BonusPayout[Month 3]))</f>
        <v>0</v>
      </c>
      <c r="O504" s="652">
        <f>IF($B504="",,IF(LEFT($H504,5)="dummy",SUMIFS(AvgBonus[avg_bonus],AvgBonus[job_title],$H504),SUMIFS(AvgBonus[avg_bonus],AvgBonus[exp_item],$J504,AvgBonus[company_name],$B504,AvgBonus[bu_name],$C504,AvgBonus[dept_name],$D504,AvgBonus[team_consolidation],$K504,AvgBonus[location_name],$G504,AvgBonus[job_title],$H504))*O399*SUM(BonusPayout[Month 4]))</f>
        <v>0</v>
      </c>
      <c r="P504" s="652">
        <f>IF($B504="",,IF(LEFT($H504,5)="dummy",SUMIFS(AvgBonus[avg_bonus],AvgBonus[job_title],$H504),SUMIFS(AvgBonus[avg_bonus],AvgBonus[exp_item],$J504,AvgBonus[company_name],$B504,AvgBonus[bu_name],$C504,AvgBonus[dept_name],$D504,AvgBonus[team_consolidation],$K504,AvgBonus[location_name],$G504,AvgBonus[job_title],$H504))*P399*SUM(BonusPayout[Month 5]))</f>
        <v>0</v>
      </c>
      <c r="Q504" s="652">
        <f>IF($B504="",,IF(LEFT($H504,5)="dummy",SUMIFS(AvgBonus[avg_bonus],AvgBonus[job_title],$H504),SUMIFS(AvgBonus[avg_bonus],AvgBonus[exp_item],$J504,AvgBonus[company_name],$B504,AvgBonus[bu_name],$C504,AvgBonus[dept_name],$D504,AvgBonus[team_consolidation],$K504,AvgBonus[location_name],$G504,AvgBonus[job_title],$H504))*Q399*SUM(BonusPayout[Month 6]))</f>
        <v>0</v>
      </c>
      <c r="R504" s="652">
        <f>IF($B504="",,IF(LEFT($H504,5)="dummy",SUMIFS(AvgBonus[avg_bonus],AvgBonus[job_title],$H504),SUMIFS(AvgBonus[avg_bonus],AvgBonus[exp_item],$J504,AvgBonus[company_name],$B504,AvgBonus[bu_name],$C504,AvgBonus[dept_name],$D504,AvgBonus[team_consolidation],$K504,AvgBonus[location_name],$G504,AvgBonus[job_title],$H504))*R399*SUM(BonusPayout[Month 7]))</f>
        <v>0</v>
      </c>
      <c r="S504" s="652">
        <f>IF($B504="",,IF(LEFT($H504,5)="dummy",SUMIFS(AvgBonus[avg_bonus],AvgBonus[job_title],$H504),SUMIFS(AvgBonus[avg_bonus],AvgBonus[exp_item],$J504,AvgBonus[company_name],$B504,AvgBonus[bu_name],$C504,AvgBonus[dept_name],$D504,AvgBonus[team_consolidation],$K504,AvgBonus[location_name],$G504,AvgBonus[job_title],$H504))*S399*SUM(BonusPayout[Month 8]))</f>
        <v>0</v>
      </c>
      <c r="T504" s="652">
        <f>IF($B504="",,IF(LEFT($H504,5)="dummy",SUMIFS(AvgBonus[avg_bonus],AvgBonus[job_title],$H504),SUMIFS(AvgBonus[avg_bonus],AvgBonus[exp_item],$J504,AvgBonus[company_name],$B504,AvgBonus[bu_name],$C504,AvgBonus[dept_name],$D504,AvgBonus[team_consolidation],$K504,AvgBonus[location_name],$G504,AvgBonus[job_title],$H504))*T399*SUM(BonusPayout[Month 9]))</f>
        <v>0</v>
      </c>
      <c r="U504" s="652">
        <f>IF($B504="",,IF(LEFT($H504,5)="dummy",SUMIFS(AvgBonus[avg_bonus],AvgBonus[job_title],$H504),SUMIFS(AvgBonus[avg_bonus],AvgBonus[exp_item],$J504,AvgBonus[company_name],$B504,AvgBonus[bu_name],$C504,AvgBonus[dept_name],$D504,AvgBonus[team_consolidation],$K504,AvgBonus[location_name],$G504,AvgBonus[job_title],$H504))*U399*SUM(BonusPayout[Month 10]))</f>
        <v>0</v>
      </c>
      <c r="V504" s="652">
        <f>IF($B504="",,IF(LEFT($H504,5)="dummy",SUMIFS(AvgBonus[avg_bonus],AvgBonus[job_title],$H504),SUMIFS(AvgBonus[avg_bonus],AvgBonus[exp_item],$J504,AvgBonus[company_name],$B504,AvgBonus[bu_name],$C504,AvgBonus[dept_name],$D504,AvgBonus[team_consolidation],$K504,AvgBonus[location_name],$G504,AvgBonus[job_title],$H504))*V399*SUM(BonusPayout[Month 11]))</f>
        <v>0</v>
      </c>
      <c r="W504" s="652">
        <f>IF($B504="",,IF(LEFT($H504,5)="dummy",SUMIFS(AvgBonus[avg_bonus],AvgBonus[job_title],$H504),SUMIFS(AvgBonus[avg_bonus],AvgBonus[exp_item],$J504,AvgBonus[company_name],$B504,AvgBonus[bu_name],$C504,AvgBonus[dept_name],$D504,AvgBonus[team_consolidation],$K504,AvgBonus[location_name],$G504,AvgBonus[job_title],$H504))*W399*SUM(BonusPayout[Month 12]))</f>
        <v>0</v>
      </c>
      <c r="X504" s="652">
        <f>IF($B504="",,IF(LEFT($H504,5)="dummy",SUMIFS(AvgBonus[avg_bonus],AvgBonus[job_title],$H504),SUMIFS(AvgBonus[avg_bonus],AvgBonus[exp_item],$J504,AvgBonus[company_name],$B504,AvgBonus[bu_name],$C504,AvgBonus[dept_name],$D504,AvgBonus[team_consolidation],$K504,AvgBonus[location_name],$G504,AvgBonus[job_title],$H504))*X399*SUM(BonusPayout[Month 13]))</f>
        <v>0</v>
      </c>
      <c r="Y504" s="652">
        <f>IF($B504="",,IF(LEFT($H504,5)="dummy",SUMIFS(AvgBonus[avg_bonus],AvgBonus[job_title],$H504),SUMIFS(AvgBonus[avg_bonus],AvgBonus[exp_item],$J504,AvgBonus[company_name],$B504,AvgBonus[bu_name],$C504,AvgBonus[dept_name],$D504,AvgBonus[team_consolidation],$K504,AvgBonus[location_name],$G504,AvgBonus[job_title],$H504))*Y399*SUM(BonusPayout[Month 14]))</f>
        <v>0</v>
      </c>
      <c r="Z504" s="652">
        <f>IF($B504="",,IF(LEFT($H504,5)="dummy",SUMIFS(AvgBonus[avg_bonus],AvgBonus[job_title],$H504),SUMIFS(AvgBonus[avg_bonus],AvgBonus[exp_item],$J504,AvgBonus[company_name],$B504,AvgBonus[bu_name],$C504,AvgBonus[dept_name],$D504,AvgBonus[team_consolidation],$K504,AvgBonus[location_name],$G504,AvgBonus[job_title],$H504))*Z399*SUM(BonusPayout[Month 15]))</f>
        <v>0</v>
      </c>
      <c r="AA504" s="652">
        <f>IF($B504="",,IF(LEFT($H504,5)="dummy",SUMIFS(AvgBonus[avg_bonus],AvgBonus[job_title],$H504),SUMIFS(AvgBonus[avg_bonus],AvgBonus[exp_item],$J504,AvgBonus[company_name],$B504,AvgBonus[bu_name],$C504,AvgBonus[dept_name],$D504,AvgBonus[team_consolidation],$K504,AvgBonus[location_name],$G504,AvgBonus[job_title],$H504))*AA399*SUM(BonusPayout[Month 16]))</f>
        <v>0</v>
      </c>
      <c r="AB504" s="652">
        <f>IF($B504="",,IF(LEFT($H504,5)="dummy",SUMIFS(AvgBonus[avg_bonus],AvgBonus[job_title],$H504),SUMIFS(AvgBonus[avg_bonus],AvgBonus[exp_item],$J504,AvgBonus[company_name],$B504,AvgBonus[bu_name],$C504,AvgBonus[dept_name],$D504,AvgBonus[team_consolidation],$K504,AvgBonus[location_name],$G504,AvgBonus[job_title],$H504))*AB399*SUM(BonusPayout[Month 17]))</f>
        <v>0</v>
      </c>
      <c r="AC504" s="652">
        <f>IF($B504="",,IF(LEFT($H504,5)="dummy",SUMIFS(AvgBonus[avg_bonus],AvgBonus[job_title],$H504),SUMIFS(AvgBonus[avg_bonus],AvgBonus[exp_item],$J504,AvgBonus[company_name],$B504,AvgBonus[bu_name],$C504,AvgBonus[dept_name],$D504,AvgBonus[team_consolidation],$K504,AvgBonus[location_name],$G504,AvgBonus[job_title],$H504))*AC399*SUM(BonusPayout[Month 18]))</f>
        <v>0</v>
      </c>
      <c r="AD504" s="652">
        <f>IF($B504="",,IF(LEFT($H504,5)="dummy",SUMIFS(AvgBonus[avg_bonus],AvgBonus[job_title],$H504),SUMIFS(AvgBonus[avg_bonus],AvgBonus[exp_item],$J504,AvgBonus[company_name],$B504,AvgBonus[bu_name],$C504,AvgBonus[dept_name],$D504,AvgBonus[team_consolidation],$K504,AvgBonus[location_name],$G504,AvgBonus[job_title],$H504))*AD399*SUM(BonusPayout[Month 19]))</f>
        <v>0</v>
      </c>
      <c r="AE504" s="652">
        <f>IF($B504="",,IF(LEFT($H504,5)="dummy",SUMIFS(AvgBonus[avg_bonus],AvgBonus[job_title],$H504),SUMIFS(AvgBonus[avg_bonus],AvgBonus[exp_item],$J504,AvgBonus[company_name],$B504,AvgBonus[bu_name],$C504,AvgBonus[dept_name],$D504,AvgBonus[team_consolidation],$K504,AvgBonus[location_name],$G504,AvgBonus[job_title],$H504))*AE399*SUM(BonusPayout[Month 20]))</f>
        <v>0</v>
      </c>
      <c r="AF504" s="652">
        <f>IF($B504="",,IF(LEFT($H504,5)="dummy",SUMIFS(AvgBonus[avg_bonus],AvgBonus[job_title],$H504),SUMIFS(AvgBonus[avg_bonus],AvgBonus[exp_item],$J504,AvgBonus[company_name],$B504,AvgBonus[bu_name],$C504,AvgBonus[dept_name],$D504,AvgBonus[team_consolidation],$K504,AvgBonus[location_name],$G504,AvgBonus[job_title],$H504))*AF399*SUM(BonusPayout[Month 21]))</f>
        <v>0</v>
      </c>
      <c r="AG504" s="652">
        <f>IF($B504="",,IF(LEFT($H504,5)="dummy",SUMIFS(AvgBonus[avg_bonus],AvgBonus[job_title],$H504),SUMIFS(AvgBonus[avg_bonus],AvgBonus[exp_item],$J504,AvgBonus[company_name],$B504,AvgBonus[bu_name],$C504,AvgBonus[dept_name],$D504,AvgBonus[team_consolidation],$K504,AvgBonus[location_name],$G504,AvgBonus[job_title],$H504))*AG399*SUM(BonusPayout[Month 22]))</f>
        <v>0</v>
      </c>
      <c r="AH504" s="652">
        <f>IF($B504="",,IF(LEFT($H504,5)="dummy",SUMIFS(AvgBonus[avg_bonus],AvgBonus[job_title],$H504),SUMIFS(AvgBonus[avg_bonus],AvgBonus[exp_item],$J504,AvgBonus[company_name],$B504,AvgBonus[bu_name],$C504,AvgBonus[dept_name],$D504,AvgBonus[team_consolidation],$K504,AvgBonus[location_name],$G504,AvgBonus[job_title],$H504))*AH399*SUM(BonusPayout[Month 23]))</f>
        <v>0</v>
      </c>
      <c r="AI504" s="652">
        <f>IF($B504="",,IF(LEFT($H504,5)="dummy",SUMIFS(AvgBonus[avg_bonus],AvgBonus[job_title],$H504),SUMIFS(AvgBonus[avg_bonus],AvgBonus[exp_item],$J504,AvgBonus[company_name],$B504,AvgBonus[bu_name],$C504,AvgBonus[dept_name],$D504,AvgBonus[team_consolidation],$K504,AvgBonus[location_name],$G504,AvgBonus[job_title],$H504))*AI399*SUM(BonusPayout[Month 24]))</f>
        <v>0</v>
      </c>
      <c r="AJ504" s="652">
        <f>IF($B504="",,IF(LEFT($H504,5)="dummy",SUMIFS(AvgBonus[avg_bonus],AvgBonus[job_title],$H504),SUMIFS(AvgBonus[avg_bonus],AvgBonus[exp_item],$J504,AvgBonus[company_name],$B504,AvgBonus[bu_name],$C504,AvgBonus[dept_name],$D504,AvgBonus[team_consolidation],$K504,AvgBonus[location_name],$G504,AvgBonus[job_title],$H504))*AJ399*SUM(BonusPayout[Month 25]))</f>
        <v>0</v>
      </c>
      <c r="AK504" s="652">
        <f>IF($B504="",,IF(LEFT($H504,5)="dummy",SUMIFS(AvgBonus[avg_bonus],AvgBonus[job_title],$H504),SUMIFS(AvgBonus[avg_bonus],AvgBonus[exp_item],$J504,AvgBonus[company_name],$B504,AvgBonus[bu_name],$C504,AvgBonus[dept_name],$D504,AvgBonus[team_consolidation],$K504,AvgBonus[location_name],$G504,AvgBonus[job_title],$H504))*AK399*SUM(BonusPayout[Month 26]))</f>
        <v>0</v>
      </c>
      <c r="AL504" s="652">
        <f>IF($B504="",,IF(LEFT($H504,5)="dummy",SUMIFS(AvgBonus[avg_bonus],AvgBonus[job_title],$H504),SUMIFS(AvgBonus[avg_bonus],AvgBonus[exp_item],$J504,AvgBonus[company_name],$B504,AvgBonus[bu_name],$C504,AvgBonus[dept_name],$D504,AvgBonus[team_consolidation],$K504,AvgBonus[location_name],$G504,AvgBonus[job_title],$H504))*AL399*SUM(BonusPayout[Month 27]))</f>
        <v>0</v>
      </c>
      <c r="AM504" s="652">
        <f>IF($B504="",,IF(LEFT($H504,5)="dummy",SUMIFS(AvgBonus[avg_bonus],AvgBonus[job_title],$H504),SUMIFS(AvgBonus[avg_bonus],AvgBonus[exp_item],$J504,AvgBonus[company_name],$B504,AvgBonus[bu_name],$C504,AvgBonus[dept_name],$D504,AvgBonus[team_consolidation],$K504,AvgBonus[location_name],$G504,AvgBonus[job_title],$H504))*AM399*SUM(BonusPayout[Month 28]))</f>
        <v>0</v>
      </c>
      <c r="AN504" s="652">
        <f>IF($B504="",,IF(LEFT($H504,5)="dummy",SUMIFS(AvgBonus[avg_bonus],AvgBonus[job_title],$H504),SUMIFS(AvgBonus[avg_bonus],AvgBonus[exp_item],$J504,AvgBonus[company_name],$B504,AvgBonus[bu_name],$C504,AvgBonus[dept_name],$D504,AvgBonus[team_consolidation],$K504,AvgBonus[location_name],$G504,AvgBonus[job_title],$H504))*AN399*SUM(BonusPayout[Month 29]))</f>
        <v>0</v>
      </c>
      <c r="AO504" s="652">
        <f>IF($B504="",,IF(LEFT($H504,5)="dummy",SUMIFS(AvgBonus[avg_bonus],AvgBonus[job_title],$H504),SUMIFS(AvgBonus[avg_bonus],AvgBonus[exp_item],$J504,AvgBonus[company_name],$B504,AvgBonus[bu_name],$C504,AvgBonus[dept_name],$D504,AvgBonus[team_consolidation],$K504,AvgBonus[location_name],$G504,AvgBonus[job_title],$H504))*AO399*SUM(BonusPayout[Month 30]))</f>
        <v>0</v>
      </c>
      <c r="AP504" s="652">
        <f>IF($B504="",,IF(LEFT($H504,5)="dummy",SUMIFS(AvgBonus[avg_bonus],AvgBonus[job_title],$H504),SUMIFS(AvgBonus[avg_bonus],AvgBonus[exp_item],$J504,AvgBonus[company_name],$B504,AvgBonus[bu_name],$C504,AvgBonus[dept_name],$D504,AvgBonus[team_consolidation],$K504,AvgBonus[location_name],$G504,AvgBonus[job_title],$H504))*AP399*SUM(BonusPayout[Month 31]))</f>
        <v>0</v>
      </c>
      <c r="AQ504" s="652">
        <f>IF($B504="",,IF(LEFT($H504,5)="dummy",SUMIFS(AvgBonus[avg_bonus],AvgBonus[job_title],$H504),SUMIFS(AvgBonus[avg_bonus],AvgBonus[exp_item],$J504,AvgBonus[company_name],$B504,AvgBonus[bu_name],$C504,AvgBonus[dept_name],$D504,AvgBonus[team_consolidation],$K504,AvgBonus[location_name],$G504,AvgBonus[job_title],$H504))*AQ399*SUM(BonusPayout[Month 32]))</f>
        <v>0</v>
      </c>
      <c r="AR504" s="652">
        <f>IF($B504="",,IF(LEFT($H504,5)="dummy",SUMIFS(AvgBonus[avg_bonus],AvgBonus[job_title],$H504),SUMIFS(AvgBonus[avg_bonus],AvgBonus[exp_item],$J504,AvgBonus[company_name],$B504,AvgBonus[bu_name],$C504,AvgBonus[dept_name],$D504,AvgBonus[team_consolidation],$K504,AvgBonus[location_name],$G504,AvgBonus[job_title],$H504))*AR399*SUM(BonusPayout[Month 33]))</f>
        <v>0</v>
      </c>
      <c r="AS504" s="652">
        <f>IF($B504="",,IF(LEFT($H504,5)="dummy",SUMIFS(AvgBonus[avg_bonus],AvgBonus[job_title],$H504),SUMIFS(AvgBonus[avg_bonus],AvgBonus[exp_item],$J504,AvgBonus[company_name],$B504,AvgBonus[bu_name],$C504,AvgBonus[dept_name],$D504,AvgBonus[team_consolidation],$K504,AvgBonus[location_name],$G504,AvgBonus[job_title],$H504))*AS399*SUM(BonusPayout[Month 34]))</f>
        <v>0</v>
      </c>
      <c r="AT504" s="652">
        <f>IF($B504="",,IF(LEFT($H504,5)="dummy",SUMIFS(AvgBonus[avg_bonus],AvgBonus[job_title],$H504),SUMIFS(AvgBonus[avg_bonus],AvgBonus[exp_item],$J504,AvgBonus[company_name],$B504,AvgBonus[bu_name],$C504,AvgBonus[dept_name],$D504,AvgBonus[team_consolidation],$K504,AvgBonus[location_name],$G504,AvgBonus[job_title],$H504))*AT399*SUM(BonusPayout[Month 35]))</f>
        <v>0</v>
      </c>
      <c r="AU504" s="652">
        <f>IF($B504="",,IF(LEFT($H504,5)="dummy",SUMIFS(AvgBonus[avg_bonus],AvgBonus[job_title],$H504),SUMIFS(AvgBonus[avg_bonus],AvgBonus[exp_item],$J504,AvgBonus[company_name],$B504,AvgBonus[bu_name],$C504,AvgBonus[dept_name],$D504,AvgBonus[team_consolidation],$K504,AvgBonus[location_name],$G504,AvgBonus[job_title],$H504))*AU399*SUM(BonusPayout[Month 36]))</f>
        <v>0</v>
      </c>
    </row>
    <row r="505" spans="1:52" x14ac:dyDescent="0.35">
      <c r="B505" t="str">
        <f t="shared" si="292"/>
        <v/>
      </c>
      <c r="C505" t="str">
        <f t="shared" ref="C505:G505" si="297">IF(C400="","",C400)</f>
        <v/>
      </c>
      <c r="D505" t="str">
        <f t="shared" si="297"/>
        <v/>
      </c>
      <c r="E505" t="str">
        <f t="shared" si="297"/>
        <v/>
      </c>
      <c r="F505" t="str">
        <f t="shared" si="297"/>
        <v/>
      </c>
      <c r="G505" t="str">
        <f t="shared" si="297"/>
        <v/>
      </c>
      <c r="H505" t="str">
        <f t="shared" si="291"/>
        <v/>
      </c>
      <c r="J505" t="str">
        <f>IF($H505="","",IF(VLOOKUP($B$500,ExpItems[],2,0),$B$500&amp;" - "&amp;INDEX(DivisionMapping[category_code],MATCH($D505&amp;$C505,DivisionMapping[dept_bu],0)),$B$500))</f>
        <v/>
      </c>
      <c r="K505" t="str">
        <f t="shared" si="294"/>
        <v/>
      </c>
      <c r="L505" s="652">
        <f>IF($B505="",,IF(LEFT($H505,5)="dummy",SUMIFS(AvgBonus[avg_bonus],AvgBonus[job_title],$H505),SUMIFS(AvgBonus[avg_bonus],AvgBonus[exp_item],$J505,AvgBonus[company_name],$B505,AvgBonus[bu_name],$C505,AvgBonus[dept_name],$D505,AvgBonus[team_consolidation],$K505,AvgBonus[location_name],$G505,AvgBonus[job_title],$H505))*L400*SUM(BonusPayout[Month 1]))</f>
        <v>0</v>
      </c>
      <c r="M505" s="652">
        <f>IF($B505="",,IF(LEFT($H505,5)="dummy",SUMIFS(AvgBonus[avg_bonus],AvgBonus[job_title],$H505),SUMIFS(AvgBonus[avg_bonus],AvgBonus[exp_item],$J505,AvgBonus[company_name],$B505,AvgBonus[bu_name],$C505,AvgBonus[dept_name],$D505,AvgBonus[team_consolidation],$K505,AvgBonus[location_name],$G505,AvgBonus[job_title],$H505))*M400*SUM(BonusPayout[Month 2]))</f>
        <v>0</v>
      </c>
      <c r="N505" s="652">
        <f>IF($B505="",,IF(LEFT($H505,5)="dummy",SUMIFS(AvgBonus[avg_bonus],AvgBonus[job_title],$H505),SUMIFS(AvgBonus[avg_bonus],AvgBonus[exp_item],$J505,AvgBonus[company_name],$B505,AvgBonus[bu_name],$C505,AvgBonus[dept_name],$D505,AvgBonus[team_consolidation],$K505,AvgBonus[location_name],$G505,AvgBonus[job_title],$H505))*N400*SUM(BonusPayout[Month 3]))</f>
        <v>0</v>
      </c>
      <c r="O505" s="652">
        <f>IF($B505="",,IF(LEFT($H505,5)="dummy",SUMIFS(AvgBonus[avg_bonus],AvgBonus[job_title],$H505),SUMIFS(AvgBonus[avg_bonus],AvgBonus[exp_item],$J505,AvgBonus[company_name],$B505,AvgBonus[bu_name],$C505,AvgBonus[dept_name],$D505,AvgBonus[team_consolidation],$K505,AvgBonus[location_name],$G505,AvgBonus[job_title],$H505))*O400*SUM(BonusPayout[Month 4]))</f>
        <v>0</v>
      </c>
      <c r="P505" s="652">
        <f>IF($B505="",,IF(LEFT($H505,5)="dummy",SUMIFS(AvgBonus[avg_bonus],AvgBonus[job_title],$H505),SUMIFS(AvgBonus[avg_bonus],AvgBonus[exp_item],$J505,AvgBonus[company_name],$B505,AvgBonus[bu_name],$C505,AvgBonus[dept_name],$D505,AvgBonus[team_consolidation],$K505,AvgBonus[location_name],$G505,AvgBonus[job_title],$H505))*P400*SUM(BonusPayout[Month 5]))</f>
        <v>0</v>
      </c>
      <c r="Q505" s="652">
        <f>IF($B505="",,IF(LEFT($H505,5)="dummy",SUMIFS(AvgBonus[avg_bonus],AvgBonus[job_title],$H505),SUMIFS(AvgBonus[avg_bonus],AvgBonus[exp_item],$J505,AvgBonus[company_name],$B505,AvgBonus[bu_name],$C505,AvgBonus[dept_name],$D505,AvgBonus[team_consolidation],$K505,AvgBonus[location_name],$G505,AvgBonus[job_title],$H505))*Q400*SUM(BonusPayout[Month 6]))</f>
        <v>0</v>
      </c>
      <c r="R505" s="652">
        <f>IF($B505="",,IF(LEFT($H505,5)="dummy",SUMIFS(AvgBonus[avg_bonus],AvgBonus[job_title],$H505),SUMIFS(AvgBonus[avg_bonus],AvgBonus[exp_item],$J505,AvgBonus[company_name],$B505,AvgBonus[bu_name],$C505,AvgBonus[dept_name],$D505,AvgBonus[team_consolidation],$K505,AvgBonus[location_name],$G505,AvgBonus[job_title],$H505))*R400*SUM(BonusPayout[Month 7]))</f>
        <v>0</v>
      </c>
      <c r="S505" s="652">
        <f>IF($B505="",,IF(LEFT($H505,5)="dummy",SUMIFS(AvgBonus[avg_bonus],AvgBonus[job_title],$H505),SUMIFS(AvgBonus[avg_bonus],AvgBonus[exp_item],$J505,AvgBonus[company_name],$B505,AvgBonus[bu_name],$C505,AvgBonus[dept_name],$D505,AvgBonus[team_consolidation],$K505,AvgBonus[location_name],$G505,AvgBonus[job_title],$H505))*S400*SUM(BonusPayout[Month 8]))</f>
        <v>0</v>
      </c>
      <c r="T505" s="652">
        <f>IF($B505="",,IF(LEFT($H505,5)="dummy",SUMIFS(AvgBonus[avg_bonus],AvgBonus[job_title],$H505),SUMIFS(AvgBonus[avg_bonus],AvgBonus[exp_item],$J505,AvgBonus[company_name],$B505,AvgBonus[bu_name],$C505,AvgBonus[dept_name],$D505,AvgBonus[team_consolidation],$K505,AvgBonus[location_name],$G505,AvgBonus[job_title],$H505))*T400*SUM(BonusPayout[Month 9]))</f>
        <v>0</v>
      </c>
      <c r="U505" s="652">
        <f>IF($B505="",,IF(LEFT($H505,5)="dummy",SUMIFS(AvgBonus[avg_bonus],AvgBonus[job_title],$H505),SUMIFS(AvgBonus[avg_bonus],AvgBonus[exp_item],$J505,AvgBonus[company_name],$B505,AvgBonus[bu_name],$C505,AvgBonus[dept_name],$D505,AvgBonus[team_consolidation],$K505,AvgBonus[location_name],$G505,AvgBonus[job_title],$H505))*U400*SUM(BonusPayout[Month 10]))</f>
        <v>0</v>
      </c>
      <c r="V505" s="652">
        <f>IF($B505="",,IF(LEFT($H505,5)="dummy",SUMIFS(AvgBonus[avg_bonus],AvgBonus[job_title],$H505),SUMIFS(AvgBonus[avg_bonus],AvgBonus[exp_item],$J505,AvgBonus[company_name],$B505,AvgBonus[bu_name],$C505,AvgBonus[dept_name],$D505,AvgBonus[team_consolidation],$K505,AvgBonus[location_name],$G505,AvgBonus[job_title],$H505))*V400*SUM(BonusPayout[Month 11]))</f>
        <v>0</v>
      </c>
      <c r="W505" s="652">
        <f>IF($B505="",,IF(LEFT($H505,5)="dummy",SUMIFS(AvgBonus[avg_bonus],AvgBonus[job_title],$H505),SUMIFS(AvgBonus[avg_bonus],AvgBonus[exp_item],$J505,AvgBonus[company_name],$B505,AvgBonus[bu_name],$C505,AvgBonus[dept_name],$D505,AvgBonus[team_consolidation],$K505,AvgBonus[location_name],$G505,AvgBonus[job_title],$H505))*W400*SUM(BonusPayout[Month 12]))</f>
        <v>0</v>
      </c>
      <c r="X505" s="652">
        <f>IF($B505="",,IF(LEFT($H505,5)="dummy",SUMIFS(AvgBonus[avg_bonus],AvgBonus[job_title],$H505),SUMIFS(AvgBonus[avg_bonus],AvgBonus[exp_item],$J505,AvgBonus[company_name],$B505,AvgBonus[bu_name],$C505,AvgBonus[dept_name],$D505,AvgBonus[team_consolidation],$K505,AvgBonus[location_name],$G505,AvgBonus[job_title],$H505))*X400*SUM(BonusPayout[Month 13]))</f>
        <v>0</v>
      </c>
      <c r="Y505" s="652">
        <f>IF($B505="",,IF(LEFT($H505,5)="dummy",SUMIFS(AvgBonus[avg_bonus],AvgBonus[job_title],$H505),SUMIFS(AvgBonus[avg_bonus],AvgBonus[exp_item],$J505,AvgBonus[company_name],$B505,AvgBonus[bu_name],$C505,AvgBonus[dept_name],$D505,AvgBonus[team_consolidation],$K505,AvgBonus[location_name],$G505,AvgBonus[job_title],$H505))*Y400*SUM(BonusPayout[Month 14]))</f>
        <v>0</v>
      </c>
      <c r="Z505" s="652">
        <f>IF($B505="",,IF(LEFT($H505,5)="dummy",SUMIFS(AvgBonus[avg_bonus],AvgBonus[job_title],$H505),SUMIFS(AvgBonus[avg_bonus],AvgBonus[exp_item],$J505,AvgBonus[company_name],$B505,AvgBonus[bu_name],$C505,AvgBonus[dept_name],$D505,AvgBonus[team_consolidation],$K505,AvgBonus[location_name],$G505,AvgBonus[job_title],$H505))*Z400*SUM(BonusPayout[Month 15]))</f>
        <v>0</v>
      </c>
      <c r="AA505" s="652">
        <f>IF($B505="",,IF(LEFT($H505,5)="dummy",SUMIFS(AvgBonus[avg_bonus],AvgBonus[job_title],$H505),SUMIFS(AvgBonus[avg_bonus],AvgBonus[exp_item],$J505,AvgBonus[company_name],$B505,AvgBonus[bu_name],$C505,AvgBonus[dept_name],$D505,AvgBonus[team_consolidation],$K505,AvgBonus[location_name],$G505,AvgBonus[job_title],$H505))*AA400*SUM(BonusPayout[Month 16]))</f>
        <v>0</v>
      </c>
      <c r="AB505" s="652">
        <f>IF($B505="",,IF(LEFT($H505,5)="dummy",SUMIFS(AvgBonus[avg_bonus],AvgBonus[job_title],$H505),SUMIFS(AvgBonus[avg_bonus],AvgBonus[exp_item],$J505,AvgBonus[company_name],$B505,AvgBonus[bu_name],$C505,AvgBonus[dept_name],$D505,AvgBonus[team_consolidation],$K505,AvgBonus[location_name],$G505,AvgBonus[job_title],$H505))*AB400*SUM(BonusPayout[Month 17]))</f>
        <v>0</v>
      </c>
      <c r="AC505" s="652">
        <f>IF($B505="",,IF(LEFT($H505,5)="dummy",SUMIFS(AvgBonus[avg_bonus],AvgBonus[job_title],$H505),SUMIFS(AvgBonus[avg_bonus],AvgBonus[exp_item],$J505,AvgBonus[company_name],$B505,AvgBonus[bu_name],$C505,AvgBonus[dept_name],$D505,AvgBonus[team_consolidation],$K505,AvgBonus[location_name],$G505,AvgBonus[job_title],$H505))*AC400*SUM(BonusPayout[Month 18]))</f>
        <v>0</v>
      </c>
      <c r="AD505" s="652">
        <f>IF($B505="",,IF(LEFT($H505,5)="dummy",SUMIFS(AvgBonus[avg_bonus],AvgBonus[job_title],$H505),SUMIFS(AvgBonus[avg_bonus],AvgBonus[exp_item],$J505,AvgBonus[company_name],$B505,AvgBonus[bu_name],$C505,AvgBonus[dept_name],$D505,AvgBonus[team_consolidation],$K505,AvgBonus[location_name],$G505,AvgBonus[job_title],$H505))*AD400*SUM(BonusPayout[Month 19]))</f>
        <v>0</v>
      </c>
      <c r="AE505" s="652">
        <f>IF($B505="",,IF(LEFT($H505,5)="dummy",SUMIFS(AvgBonus[avg_bonus],AvgBonus[job_title],$H505),SUMIFS(AvgBonus[avg_bonus],AvgBonus[exp_item],$J505,AvgBonus[company_name],$B505,AvgBonus[bu_name],$C505,AvgBonus[dept_name],$D505,AvgBonus[team_consolidation],$K505,AvgBonus[location_name],$G505,AvgBonus[job_title],$H505))*AE400*SUM(BonusPayout[Month 20]))</f>
        <v>0</v>
      </c>
      <c r="AF505" s="652">
        <f>IF($B505="",,IF(LEFT($H505,5)="dummy",SUMIFS(AvgBonus[avg_bonus],AvgBonus[job_title],$H505),SUMIFS(AvgBonus[avg_bonus],AvgBonus[exp_item],$J505,AvgBonus[company_name],$B505,AvgBonus[bu_name],$C505,AvgBonus[dept_name],$D505,AvgBonus[team_consolidation],$K505,AvgBonus[location_name],$G505,AvgBonus[job_title],$H505))*AF400*SUM(BonusPayout[Month 21]))</f>
        <v>0</v>
      </c>
      <c r="AG505" s="652">
        <f>IF($B505="",,IF(LEFT($H505,5)="dummy",SUMIFS(AvgBonus[avg_bonus],AvgBonus[job_title],$H505),SUMIFS(AvgBonus[avg_bonus],AvgBonus[exp_item],$J505,AvgBonus[company_name],$B505,AvgBonus[bu_name],$C505,AvgBonus[dept_name],$D505,AvgBonus[team_consolidation],$K505,AvgBonus[location_name],$G505,AvgBonus[job_title],$H505))*AG400*SUM(BonusPayout[Month 22]))</f>
        <v>0</v>
      </c>
      <c r="AH505" s="652">
        <f>IF($B505="",,IF(LEFT($H505,5)="dummy",SUMIFS(AvgBonus[avg_bonus],AvgBonus[job_title],$H505),SUMIFS(AvgBonus[avg_bonus],AvgBonus[exp_item],$J505,AvgBonus[company_name],$B505,AvgBonus[bu_name],$C505,AvgBonus[dept_name],$D505,AvgBonus[team_consolidation],$K505,AvgBonus[location_name],$G505,AvgBonus[job_title],$H505))*AH400*SUM(BonusPayout[Month 23]))</f>
        <v>0</v>
      </c>
      <c r="AI505" s="652">
        <f>IF($B505="",,IF(LEFT($H505,5)="dummy",SUMIFS(AvgBonus[avg_bonus],AvgBonus[job_title],$H505),SUMIFS(AvgBonus[avg_bonus],AvgBonus[exp_item],$J505,AvgBonus[company_name],$B505,AvgBonus[bu_name],$C505,AvgBonus[dept_name],$D505,AvgBonus[team_consolidation],$K505,AvgBonus[location_name],$G505,AvgBonus[job_title],$H505))*AI400*SUM(BonusPayout[Month 24]))</f>
        <v>0</v>
      </c>
      <c r="AJ505" s="652">
        <f>IF($B505="",,IF(LEFT($H505,5)="dummy",SUMIFS(AvgBonus[avg_bonus],AvgBonus[job_title],$H505),SUMIFS(AvgBonus[avg_bonus],AvgBonus[exp_item],$J505,AvgBonus[company_name],$B505,AvgBonus[bu_name],$C505,AvgBonus[dept_name],$D505,AvgBonus[team_consolidation],$K505,AvgBonus[location_name],$G505,AvgBonus[job_title],$H505))*AJ400*SUM(BonusPayout[Month 25]))</f>
        <v>0</v>
      </c>
      <c r="AK505" s="652">
        <f>IF($B505="",,IF(LEFT($H505,5)="dummy",SUMIFS(AvgBonus[avg_bonus],AvgBonus[job_title],$H505),SUMIFS(AvgBonus[avg_bonus],AvgBonus[exp_item],$J505,AvgBonus[company_name],$B505,AvgBonus[bu_name],$C505,AvgBonus[dept_name],$D505,AvgBonus[team_consolidation],$K505,AvgBonus[location_name],$G505,AvgBonus[job_title],$H505))*AK400*SUM(BonusPayout[Month 26]))</f>
        <v>0</v>
      </c>
      <c r="AL505" s="652">
        <f>IF($B505="",,IF(LEFT($H505,5)="dummy",SUMIFS(AvgBonus[avg_bonus],AvgBonus[job_title],$H505),SUMIFS(AvgBonus[avg_bonus],AvgBonus[exp_item],$J505,AvgBonus[company_name],$B505,AvgBonus[bu_name],$C505,AvgBonus[dept_name],$D505,AvgBonus[team_consolidation],$K505,AvgBonus[location_name],$G505,AvgBonus[job_title],$H505))*AL400*SUM(BonusPayout[Month 27]))</f>
        <v>0</v>
      </c>
      <c r="AM505" s="652">
        <f>IF($B505="",,IF(LEFT($H505,5)="dummy",SUMIFS(AvgBonus[avg_bonus],AvgBonus[job_title],$H505),SUMIFS(AvgBonus[avg_bonus],AvgBonus[exp_item],$J505,AvgBonus[company_name],$B505,AvgBonus[bu_name],$C505,AvgBonus[dept_name],$D505,AvgBonus[team_consolidation],$K505,AvgBonus[location_name],$G505,AvgBonus[job_title],$H505))*AM400*SUM(BonusPayout[Month 28]))</f>
        <v>0</v>
      </c>
      <c r="AN505" s="652">
        <f>IF($B505="",,IF(LEFT($H505,5)="dummy",SUMIFS(AvgBonus[avg_bonus],AvgBonus[job_title],$H505),SUMIFS(AvgBonus[avg_bonus],AvgBonus[exp_item],$J505,AvgBonus[company_name],$B505,AvgBonus[bu_name],$C505,AvgBonus[dept_name],$D505,AvgBonus[team_consolidation],$K505,AvgBonus[location_name],$G505,AvgBonus[job_title],$H505))*AN400*SUM(BonusPayout[Month 29]))</f>
        <v>0</v>
      </c>
      <c r="AO505" s="652">
        <f>IF($B505="",,IF(LEFT($H505,5)="dummy",SUMIFS(AvgBonus[avg_bonus],AvgBonus[job_title],$H505),SUMIFS(AvgBonus[avg_bonus],AvgBonus[exp_item],$J505,AvgBonus[company_name],$B505,AvgBonus[bu_name],$C505,AvgBonus[dept_name],$D505,AvgBonus[team_consolidation],$K505,AvgBonus[location_name],$G505,AvgBonus[job_title],$H505))*AO400*SUM(BonusPayout[Month 30]))</f>
        <v>0</v>
      </c>
      <c r="AP505" s="652">
        <f>IF($B505="",,IF(LEFT($H505,5)="dummy",SUMIFS(AvgBonus[avg_bonus],AvgBonus[job_title],$H505),SUMIFS(AvgBonus[avg_bonus],AvgBonus[exp_item],$J505,AvgBonus[company_name],$B505,AvgBonus[bu_name],$C505,AvgBonus[dept_name],$D505,AvgBonus[team_consolidation],$K505,AvgBonus[location_name],$G505,AvgBonus[job_title],$H505))*AP400*SUM(BonusPayout[Month 31]))</f>
        <v>0</v>
      </c>
      <c r="AQ505" s="652">
        <f>IF($B505="",,IF(LEFT($H505,5)="dummy",SUMIFS(AvgBonus[avg_bonus],AvgBonus[job_title],$H505),SUMIFS(AvgBonus[avg_bonus],AvgBonus[exp_item],$J505,AvgBonus[company_name],$B505,AvgBonus[bu_name],$C505,AvgBonus[dept_name],$D505,AvgBonus[team_consolidation],$K505,AvgBonus[location_name],$G505,AvgBonus[job_title],$H505))*AQ400*SUM(BonusPayout[Month 32]))</f>
        <v>0</v>
      </c>
      <c r="AR505" s="652">
        <f>IF($B505="",,IF(LEFT($H505,5)="dummy",SUMIFS(AvgBonus[avg_bonus],AvgBonus[job_title],$H505),SUMIFS(AvgBonus[avg_bonus],AvgBonus[exp_item],$J505,AvgBonus[company_name],$B505,AvgBonus[bu_name],$C505,AvgBonus[dept_name],$D505,AvgBonus[team_consolidation],$K505,AvgBonus[location_name],$G505,AvgBonus[job_title],$H505))*AR400*SUM(BonusPayout[Month 33]))</f>
        <v>0</v>
      </c>
      <c r="AS505" s="652">
        <f>IF($B505="",,IF(LEFT($H505,5)="dummy",SUMIFS(AvgBonus[avg_bonus],AvgBonus[job_title],$H505),SUMIFS(AvgBonus[avg_bonus],AvgBonus[exp_item],$J505,AvgBonus[company_name],$B505,AvgBonus[bu_name],$C505,AvgBonus[dept_name],$D505,AvgBonus[team_consolidation],$K505,AvgBonus[location_name],$G505,AvgBonus[job_title],$H505))*AS400*SUM(BonusPayout[Month 34]))</f>
        <v>0</v>
      </c>
      <c r="AT505" s="652">
        <f>IF($B505="",,IF(LEFT($H505,5)="dummy",SUMIFS(AvgBonus[avg_bonus],AvgBonus[job_title],$H505),SUMIFS(AvgBonus[avg_bonus],AvgBonus[exp_item],$J505,AvgBonus[company_name],$B505,AvgBonus[bu_name],$C505,AvgBonus[dept_name],$D505,AvgBonus[team_consolidation],$K505,AvgBonus[location_name],$G505,AvgBonus[job_title],$H505))*AT400*SUM(BonusPayout[Month 35]))</f>
        <v>0</v>
      </c>
      <c r="AU505" s="652">
        <f>IF($B505="",,IF(LEFT($H505,5)="dummy",SUMIFS(AvgBonus[avg_bonus],AvgBonus[job_title],$H505),SUMIFS(AvgBonus[avg_bonus],AvgBonus[exp_item],$J505,AvgBonus[company_name],$B505,AvgBonus[bu_name],$C505,AvgBonus[dept_name],$D505,AvgBonus[team_consolidation],$K505,AvgBonus[location_name],$G505,AvgBonus[job_title],$H505))*AU400*SUM(BonusPayout[Month 36]))</f>
        <v>0</v>
      </c>
    </row>
    <row r="506" spans="1:52" x14ac:dyDescent="0.35">
      <c r="B506" t="str">
        <f t="shared" si="292"/>
        <v/>
      </c>
      <c r="C506" t="str">
        <f t="shared" ref="C506:G506" si="298">IF(C401="","",C401)</f>
        <v/>
      </c>
      <c r="D506" t="str">
        <f t="shared" si="298"/>
        <v/>
      </c>
      <c r="E506" t="str">
        <f t="shared" si="298"/>
        <v/>
      </c>
      <c r="F506" t="str">
        <f t="shared" si="298"/>
        <v/>
      </c>
      <c r="G506" t="str">
        <f t="shared" si="298"/>
        <v/>
      </c>
      <c r="H506" t="str">
        <f t="shared" si="291"/>
        <v/>
      </c>
      <c r="J506" t="str">
        <f>IF($H506="","",IF(VLOOKUP($B$500,ExpItems[],2,0),$B$500&amp;" - "&amp;INDEX(DivisionMapping[category_code],MATCH($D506&amp;$C506,DivisionMapping[dept_bu],0)),$B$500))</f>
        <v/>
      </c>
      <c r="K506" t="str">
        <f t="shared" si="294"/>
        <v/>
      </c>
      <c r="L506" s="652">
        <f>IF($B506="",,IF(LEFT($H506,5)="dummy",SUMIFS(AvgBonus[avg_bonus],AvgBonus[job_title],$H506),SUMIFS(AvgBonus[avg_bonus],AvgBonus[exp_item],$J506,AvgBonus[company_name],$B506,AvgBonus[bu_name],$C506,AvgBonus[dept_name],$D506,AvgBonus[team_consolidation],$K506,AvgBonus[location_name],$G506,AvgBonus[job_title],$H506))*L401*SUM(BonusPayout[Month 1]))</f>
        <v>0</v>
      </c>
      <c r="M506" s="652">
        <f>IF($B506="",,IF(LEFT($H506,5)="dummy",SUMIFS(AvgBonus[avg_bonus],AvgBonus[job_title],$H506),SUMIFS(AvgBonus[avg_bonus],AvgBonus[exp_item],$J506,AvgBonus[company_name],$B506,AvgBonus[bu_name],$C506,AvgBonus[dept_name],$D506,AvgBonus[team_consolidation],$K506,AvgBonus[location_name],$G506,AvgBonus[job_title],$H506))*M401*SUM(BonusPayout[Month 2]))</f>
        <v>0</v>
      </c>
      <c r="N506" s="652">
        <f>IF($B506="",,IF(LEFT($H506,5)="dummy",SUMIFS(AvgBonus[avg_bonus],AvgBonus[job_title],$H506),SUMIFS(AvgBonus[avg_bonus],AvgBonus[exp_item],$J506,AvgBonus[company_name],$B506,AvgBonus[bu_name],$C506,AvgBonus[dept_name],$D506,AvgBonus[team_consolidation],$K506,AvgBonus[location_name],$G506,AvgBonus[job_title],$H506))*N401*SUM(BonusPayout[Month 3]))</f>
        <v>0</v>
      </c>
      <c r="O506" s="652">
        <f>IF($B506="",,IF(LEFT($H506,5)="dummy",SUMIFS(AvgBonus[avg_bonus],AvgBonus[job_title],$H506),SUMIFS(AvgBonus[avg_bonus],AvgBonus[exp_item],$J506,AvgBonus[company_name],$B506,AvgBonus[bu_name],$C506,AvgBonus[dept_name],$D506,AvgBonus[team_consolidation],$K506,AvgBonus[location_name],$G506,AvgBonus[job_title],$H506))*O401*SUM(BonusPayout[Month 4]))</f>
        <v>0</v>
      </c>
      <c r="P506" s="652">
        <f>IF($B506="",,IF(LEFT($H506,5)="dummy",SUMIFS(AvgBonus[avg_bonus],AvgBonus[job_title],$H506),SUMIFS(AvgBonus[avg_bonus],AvgBonus[exp_item],$J506,AvgBonus[company_name],$B506,AvgBonus[bu_name],$C506,AvgBonus[dept_name],$D506,AvgBonus[team_consolidation],$K506,AvgBonus[location_name],$G506,AvgBonus[job_title],$H506))*P401*SUM(BonusPayout[Month 5]))</f>
        <v>0</v>
      </c>
      <c r="Q506" s="652">
        <f>IF($B506="",,IF(LEFT($H506,5)="dummy",SUMIFS(AvgBonus[avg_bonus],AvgBonus[job_title],$H506),SUMIFS(AvgBonus[avg_bonus],AvgBonus[exp_item],$J506,AvgBonus[company_name],$B506,AvgBonus[bu_name],$C506,AvgBonus[dept_name],$D506,AvgBonus[team_consolidation],$K506,AvgBonus[location_name],$G506,AvgBonus[job_title],$H506))*Q401*SUM(BonusPayout[Month 6]))</f>
        <v>0</v>
      </c>
      <c r="R506" s="652">
        <f>IF($B506="",,IF(LEFT($H506,5)="dummy",SUMIFS(AvgBonus[avg_bonus],AvgBonus[job_title],$H506),SUMIFS(AvgBonus[avg_bonus],AvgBonus[exp_item],$J506,AvgBonus[company_name],$B506,AvgBonus[bu_name],$C506,AvgBonus[dept_name],$D506,AvgBonus[team_consolidation],$K506,AvgBonus[location_name],$G506,AvgBonus[job_title],$H506))*R401*SUM(BonusPayout[Month 7]))</f>
        <v>0</v>
      </c>
      <c r="S506" s="652">
        <f>IF($B506="",,IF(LEFT($H506,5)="dummy",SUMIFS(AvgBonus[avg_bonus],AvgBonus[job_title],$H506),SUMIFS(AvgBonus[avg_bonus],AvgBonus[exp_item],$J506,AvgBonus[company_name],$B506,AvgBonus[bu_name],$C506,AvgBonus[dept_name],$D506,AvgBonus[team_consolidation],$K506,AvgBonus[location_name],$G506,AvgBonus[job_title],$H506))*S401*SUM(BonusPayout[Month 8]))</f>
        <v>0</v>
      </c>
      <c r="T506" s="652">
        <f>IF($B506="",,IF(LEFT($H506,5)="dummy",SUMIFS(AvgBonus[avg_bonus],AvgBonus[job_title],$H506),SUMIFS(AvgBonus[avg_bonus],AvgBonus[exp_item],$J506,AvgBonus[company_name],$B506,AvgBonus[bu_name],$C506,AvgBonus[dept_name],$D506,AvgBonus[team_consolidation],$K506,AvgBonus[location_name],$G506,AvgBonus[job_title],$H506))*T401*SUM(BonusPayout[Month 9]))</f>
        <v>0</v>
      </c>
      <c r="U506" s="652">
        <f>IF($B506="",,IF(LEFT($H506,5)="dummy",SUMIFS(AvgBonus[avg_bonus],AvgBonus[job_title],$H506),SUMIFS(AvgBonus[avg_bonus],AvgBonus[exp_item],$J506,AvgBonus[company_name],$B506,AvgBonus[bu_name],$C506,AvgBonus[dept_name],$D506,AvgBonus[team_consolidation],$K506,AvgBonus[location_name],$G506,AvgBonus[job_title],$H506))*U401*SUM(BonusPayout[Month 10]))</f>
        <v>0</v>
      </c>
      <c r="V506" s="652">
        <f>IF($B506="",,IF(LEFT($H506,5)="dummy",SUMIFS(AvgBonus[avg_bonus],AvgBonus[job_title],$H506),SUMIFS(AvgBonus[avg_bonus],AvgBonus[exp_item],$J506,AvgBonus[company_name],$B506,AvgBonus[bu_name],$C506,AvgBonus[dept_name],$D506,AvgBonus[team_consolidation],$K506,AvgBonus[location_name],$G506,AvgBonus[job_title],$H506))*V401*SUM(BonusPayout[Month 11]))</f>
        <v>0</v>
      </c>
      <c r="W506" s="652">
        <f>IF($B506="",,IF(LEFT($H506,5)="dummy",SUMIFS(AvgBonus[avg_bonus],AvgBonus[job_title],$H506),SUMIFS(AvgBonus[avg_bonus],AvgBonus[exp_item],$J506,AvgBonus[company_name],$B506,AvgBonus[bu_name],$C506,AvgBonus[dept_name],$D506,AvgBonus[team_consolidation],$K506,AvgBonus[location_name],$G506,AvgBonus[job_title],$H506))*W401*SUM(BonusPayout[Month 12]))</f>
        <v>0</v>
      </c>
      <c r="X506" s="652">
        <f>IF($B506="",,IF(LEFT($H506,5)="dummy",SUMIFS(AvgBonus[avg_bonus],AvgBonus[job_title],$H506),SUMIFS(AvgBonus[avg_bonus],AvgBonus[exp_item],$J506,AvgBonus[company_name],$B506,AvgBonus[bu_name],$C506,AvgBonus[dept_name],$D506,AvgBonus[team_consolidation],$K506,AvgBonus[location_name],$G506,AvgBonus[job_title],$H506))*X401*SUM(BonusPayout[Month 13]))</f>
        <v>0</v>
      </c>
      <c r="Y506" s="652">
        <f>IF($B506="",,IF(LEFT($H506,5)="dummy",SUMIFS(AvgBonus[avg_bonus],AvgBonus[job_title],$H506),SUMIFS(AvgBonus[avg_bonus],AvgBonus[exp_item],$J506,AvgBonus[company_name],$B506,AvgBonus[bu_name],$C506,AvgBonus[dept_name],$D506,AvgBonus[team_consolidation],$K506,AvgBonus[location_name],$G506,AvgBonus[job_title],$H506))*Y401*SUM(BonusPayout[Month 14]))</f>
        <v>0</v>
      </c>
      <c r="Z506" s="652">
        <f>IF($B506="",,IF(LEFT($H506,5)="dummy",SUMIFS(AvgBonus[avg_bonus],AvgBonus[job_title],$H506),SUMIFS(AvgBonus[avg_bonus],AvgBonus[exp_item],$J506,AvgBonus[company_name],$B506,AvgBonus[bu_name],$C506,AvgBonus[dept_name],$D506,AvgBonus[team_consolidation],$K506,AvgBonus[location_name],$G506,AvgBonus[job_title],$H506))*Z401*SUM(BonusPayout[Month 15]))</f>
        <v>0</v>
      </c>
      <c r="AA506" s="652">
        <f>IF($B506="",,IF(LEFT($H506,5)="dummy",SUMIFS(AvgBonus[avg_bonus],AvgBonus[job_title],$H506),SUMIFS(AvgBonus[avg_bonus],AvgBonus[exp_item],$J506,AvgBonus[company_name],$B506,AvgBonus[bu_name],$C506,AvgBonus[dept_name],$D506,AvgBonus[team_consolidation],$K506,AvgBonus[location_name],$G506,AvgBonus[job_title],$H506))*AA401*SUM(BonusPayout[Month 16]))</f>
        <v>0</v>
      </c>
      <c r="AB506" s="652">
        <f>IF($B506="",,IF(LEFT($H506,5)="dummy",SUMIFS(AvgBonus[avg_bonus],AvgBonus[job_title],$H506),SUMIFS(AvgBonus[avg_bonus],AvgBonus[exp_item],$J506,AvgBonus[company_name],$B506,AvgBonus[bu_name],$C506,AvgBonus[dept_name],$D506,AvgBonus[team_consolidation],$K506,AvgBonus[location_name],$G506,AvgBonus[job_title],$H506))*AB401*SUM(BonusPayout[Month 17]))</f>
        <v>0</v>
      </c>
      <c r="AC506" s="652">
        <f>IF($B506="",,IF(LEFT($H506,5)="dummy",SUMIFS(AvgBonus[avg_bonus],AvgBonus[job_title],$H506),SUMIFS(AvgBonus[avg_bonus],AvgBonus[exp_item],$J506,AvgBonus[company_name],$B506,AvgBonus[bu_name],$C506,AvgBonus[dept_name],$D506,AvgBonus[team_consolidation],$K506,AvgBonus[location_name],$G506,AvgBonus[job_title],$H506))*AC401*SUM(BonusPayout[Month 18]))</f>
        <v>0</v>
      </c>
      <c r="AD506" s="652">
        <f>IF($B506="",,IF(LEFT($H506,5)="dummy",SUMIFS(AvgBonus[avg_bonus],AvgBonus[job_title],$H506),SUMIFS(AvgBonus[avg_bonus],AvgBonus[exp_item],$J506,AvgBonus[company_name],$B506,AvgBonus[bu_name],$C506,AvgBonus[dept_name],$D506,AvgBonus[team_consolidation],$K506,AvgBonus[location_name],$G506,AvgBonus[job_title],$H506))*AD401*SUM(BonusPayout[Month 19]))</f>
        <v>0</v>
      </c>
      <c r="AE506" s="652">
        <f>IF($B506="",,IF(LEFT($H506,5)="dummy",SUMIFS(AvgBonus[avg_bonus],AvgBonus[job_title],$H506),SUMIFS(AvgBonus[avg_bonus],AvgBonus[exp_item],$J506,AvgBonus[company_name],$B506,AvgBonus[bu_name],$C506,AvgBonus[dept_name],$D506,AvgBonus[team_consolidation],$K506,AvgBonus[location_name],$G506,AvgBonus[job_title],$H506))*AE401*SUM(BonusPayout[Month 20]))</f>
        <v>0</v>
      </c>
      <c r="AF506" s="652">
        <f>IF($B506="",,IF(LEFT($H506,5)="dummy",SUMIFS(AvgBonus[avg_bonus],AvgBonus[job_title],$H506),SUMIFS(AvgBonus[avg_bonus],AvgBonus[exp_item],$J506,AvgBonus[company_name],$B506,AvgBonus[bu_name],$C506,AvgBonus[dept_name],$D506,AvgBonus[team_consolidation],$K506,AvgBonus[location_name],$G506,AvgBonus[job_title],$H506))*AF401*SUM(BonusPayout[Month 21]))</f>
        <v>0</v>
      </c>
      <c r="AG506" s="652">
        <f>IF($B506="",,IF(LEFT($H506,5)="dummy",SUMIFS(AvgBonus[avg_bonus],AvgBonus[job_title],$H506),SUMIFS(AvgBonus[avg_bonus],AvgBonus[exp_item],$J506,AvgBonus[company_name],$B506,AvgBonus[bu_name],$C506,AvgBonus[dept_name],$D506,AvgBonus[team_consolidation],$K506,AvgBonus[location_name],$G506,AvgBonus[job_title],$H506))*AG401*SUM(BonusPayout[Month 22]))</f>
        <v>0</v>
      </c>
      <c r="AH506" s="652">
        <f>IF($B506="",,IF(LEFT($H506,5)="dummy",SUMIFS(AvgBonus[avg_bonus],AvgBonus[job_title],$H506),SUMIFS(AvgBonus[avg_bonus],AvgBonus[exp_item],$J506,AvgBonus[company_name],$B506,AvgBonus[bu_name],$C506,AvgBonus[dept_name],$D506,AvgBonus[team_consolidation],$K506,AvgBonus[location_name],$G506,AvgBonus[job_title],$H506))*AH401*SUM(BonusPayout[Month 23]))</f>
        <v>0</v>
      </c>
      <c r="AI506" s="652">
        <f>IF($B506="",,IF(LEFT($H506,5)="dummy",SUMIFS(AvgBonus[avg_bonus],AvgBonus[job_title],$H506),SUMIFS(AvgBonus[avg_bonus],AvgBonus[exp_item],$J506,AvgBonus[company_name],$B506,AvgBonus[bu_name],$C506,AvgBonus[dept_name],$D506,AvgBonus[team_consolidation],$K506,AvgBonus[location_name],$G506,AvgBonus[job_title],$H506))*AI401*SUM(BonusPayout[Month 24]))</f>
        <v>0</v>
      </c>
      <c r="AJ506" s="652">
        <f>IF($B506="",,IF(LEFT($H506,5)="dummy",SUMIFS(AvgBonus[avg_bonus],AvgBonus[job_title],$H506),SUMIFS(AvgBonus[avg_bonus],AvgBonus[exp_item],$J506,AvgBonus[company_name],$B506,AvgBonus[bu_name],$C506,AvgBonus[dept_name],$D506,AvgBonus[team_consolidation],$K506,AvgBonus[location_name],$G506,AvgBonus[job_title],$H506))*AJ401*SUM(BonusPayout[Month 25]))</f>
        <v>0</v>
      </c>
      <c r="AK506" s="652">
        <f>IF($B506="",,IF(LEFT($H506,5)="dummy",SUMIFS(AvgBonus[avg_bonus],AvgBonus[job_title],$H506),SUMIFS(AvgBonus[avg_bonus],AvgBonus[exp_item],$J506,AvgBonus[company_name],$B506,AvgBonus[bu_name],$C506,AvgBonus[dept_name],$D506,AvgBonus[team_consolidation],$K506,AvgBonus[location_name],$G506,AvgBonus[job_title],$H506))*AK401*SUM(BonusPayout[Month 26]))</f>
        <v>0</v>
      </c>
      <c r="AL506" s="652">
        <f>IF($B506="",,IF(LEFT($H506,5)="dummy",SUMIFS(AvgBonus[avg_bonus],AvgBonus[job_title],$H506),SUMIFS(AvgBonus[avg_bonus],AvgBonus[exp_item],$J506,AvgBonus[company_name],$B506,AvgBonus[bu_name],$C506,AvgBonus[dept_name],$D506,AvgBonus[team_consolidation],$K506,AvgBonus[location_name],$G506,AvgBonus[job_title],$H506))*AL401*SUM(BonusPayout[Month 27]))</f>
        <v>0</v>
      </c>
      <c r="AM506" s="652">
        <f>IF($B506="",,IF(LEFT($H506,5)="dummy",SUMIFS(AvgBonus[avg_bonus],AvgBonus[job_title],$H506),SUMIFS(AvgBonus[avg_bonus],AvgBonus[exp_item],$J506,AvgBonus[company_name],$B506,AvgBonus[bu_name],$C506,AvgBonus[dept_name],$D506,AvgBonus[team_consolidation],$K506,AvgBonus[location_name],$G506,AvgBonus[job_title],$H506))*AM401*SUM(BonusPayout[Month 28]))</f>
        <v>0</v>
      </c>
      <c r="AN506" s="652">
        <f>IF($B506="",,IF(LEFT($H506,5)="dummy",SUMIFS(AvgBonus[avg_bonus],AvgBonus[job_title],$H506),SUMIFS(AvgBonus[avg_bonus],AvgBonus[exp_item],$J506,AvgBonus[company_name],$B506,AvgBonus[bu_name],$C506,AvgBonus[dept_name],$D506,AvgBonus[team_consolidation],$K506,AvgBonus[location_name],$G506,AvgBonus[job_title],$H506))*AN401*SUM(BonusPayout[Month 29]))</f>
        <v>0</v>
      </c>
      <c r="AO506" s="652">
        <f>IF($B506="",,IF(LEFT($H506,5)="dummy",SUMIFS(AvgBonus[avg_bonus],AvgBonus[job_title],$H506),SUMIFS(AvgBonus[avg_bonus],AvgBonus[exp_item],$J506,AvgBonus[company_name],$B506,AvgBonus[bu_name],$C506,AvgBonus[dept_name],$D506,AvgBonus[team_consolidation],$K506,AvgBonus[location_name],$G506,AvgBonus[job_title],$H506))*AO401*SUM(BonusPayout[Month 30]))</f>
        <v>0</v>
      </c>
      <c r="AP506" s="652">
        <f>IF($B506="",,IF(LEFT($H506,5)="dummy",SUMIFS(AvgBonus[avg_bonus],AvgBonus[job_title],$H506),SUMIFS(AvgBonus[avg_bonus],AvgBonus[exp_item],$J506,AvgBonus[company_name],$B506,AvgBonus[bu_name],$C506,AvgBonus[dept_name],$D506,AvgBonus[team_consolidation],$K506,AvgBonus[location_name],$G506,AvgBonus[job_title],$H506))*AP401*SUM(BonusPayout[Month 31]))</f>
        <v>0</v>
      </c>
      <c r="AQ506" s="652">
        <f>IF($B506="",,IF(LEFT($H506,5)="dummy",SUMIFS(AvgBonus[avg_bonus],AvgBonus[job_title],$H506),SUMIFS(AvgBonus[avg_bonus],AvgBonus[exp_item],$J506,AvgBonus[company_name],$B506,AvgBonus[bu_name],$C506,AvgBonus[dept_name],$D506,AvgBonus[team_consolidation],$K506,AvgBonus[location_name],$G506,AvgBonus[job_title],$H506))*AQ401*SUM(BonusPayout[Month 32]))</f>
        <v>0</v>
      </c>
      <c r="AR506" s="652">
        <f>IF($B506="",,IF(LEFT($H506,5)="dummy",SUMIFS(AvgBonus[avg_bonus],AvgBonus[job_title],$H506),SUMIFS(AvgBonus[avg_bonus],AvgBonus[exp_item],$J506,AvgBonus[company_name],$B506,AvgBonus[bu_name],$C506,AvgBonus[dept_name],$D506,AvgBonus[team_consolidation],$K506,AvgBonus[location_name],$G506,AvgBonus[job_title],$H506))*AR401*SUM(BonusPayout[Month 33]))</f>
        <v>0</v>
      </c>
      <c r="AS506" s="652">
        <f>IF($B506="",,IF(LEFT($H506,5)="dummy",SUMIFS(AvgBonus[avg_bonus],AvgBonus[job_title],$H506),SUMIFS(AvgBonus[avg_bonus],AvgBonus[exp_item],$J506,AvgBonus[company_name],$B506,AvgBonus[bu_name],$C506,AvgBonus[dept_name],$D506,AvgBonus[team_consolidation],$K506,AvgBonus[location_name],$G506,AvgBonus[job_title],$H506))*AS401*SUM(BonusPayout[Month 34]))</f>
        <v>0</v>
      </c>
      <c r="AT506" s="652">
        <f>IF($B506="",,IF(LEFT($H506,5)="dummy",SUMIFS(AvgBonus[avg_bonus],AvgBonus[job_title],$H506),SUMIFS(AvgBonus[avg_bonus],AvgBonus[exp_item],$J506,AvgBonus[company_name],$B506,AvgBonus[bu_name],$C506,AvgBonus[dept_name],$D506,AvgBonus[team_consolidation],$K506,AvgBonus[location_name],$G506,AvgBonus[job_title],$H506))*AT401*SUM(BonusPayout[Month 35]))</f>
        <v>0</v>
      </c>
      <c r="AU506" s="652">
        <f>IF($B506="",,IF(LEFT($H506,5)="dummy",SUMIFS(AvgBonus[avg_bonus],AvgBonus[job_title],$H506),SUMIFS(AvgBonus[avg_bonus],AvgBonus[exp_item],$J506,AvgBonus[company_name],$B506,AvgBonus[bu_name],$C506,AvgBonus[dept_name],$D506,AvgBonus[team_consolidation],$K506,AvgBonus[location_name],$G506,AvgBonus[job_title],$H506))*AU401*SUM(BonusPayout[Month 36]))</f>
        <v>0</v>
      </c>
    </row>
    <row r="507" spans="1:52" x14ac:dyDescent="0.35">
      <c r="B507" t="str">
        <f t="shared" si="292"/>
        <v/>
      </c>
      <c r="C507" t="str">
        <f t="shared" ref="C507:G507" si="299">IF(C402="","",C402)</f>
        <v/>
      </c>
      <c r="D507" t="str">
        <f t="shared" si="299"/>
        <v/>
      </c>
      <c r="E507" t="str">
        <f t="shared" si="299"/>
        <v/>
      </c>
      <c r="F507" t="str">
        <f t="shared" si="299"/>
        <v/>
      </c>
      <c r="G507" t="str">
        <f t="shared" si="299"/>
        <v/>
      </c>
      <c r="H507" t="str">
        <f t="shared" si="291"/>
        <v/>
      </c>
      <c r="J507" t="str">
        <f>IF($H507="","",IF(VLOOKUP($B$500,ExpItems[],2,0),$B$500&amp;" - "&amp;INDEX(DivisionMapping[category_code],MATCH($D507&amp;$C507,DivisionMapping[dept_bu],0)),$B$500))</f>
        <v/>
      </c>
      <c r="K507" t="str">
        <f t="shared" si="294"/>
        <v/>
      </c>
      <c r="L507" s="652">
        <f>IF($B507="",,IF(LEFT($H507,5)="dummy",SUMIFS(AvgBonus[avg_bonus],AvgBonus[job_title],$H507),SUMIFS(AvgBonus[avg_bonus],AvgBonus[exp_item],$J507,AvgBonus[company_name],$B507,AvgBonus[bu_name],$C507,AvgBonus[dept_name],$D507,AvgBonus[team_consolidation],$K507,AvgBonus[location_name],$G507,AvgBonus[job_title],$H507))*L402*SUM(BonusPayout[Month 1]))</f>
        <v>0</v>
      </c>
      <c r="M507" s="652">
        <f>IF($B507="",,IF(LEFT($H507,5)="dummy",SUMIFS(AvgBonus[avg_bonus],AvgBonus[job_title],$H507),SUMIFS(AvgBonus[avg_bonus],AvgBonus[exp_item],$J507,AvgBonus[company_name],$B507,AvgBonus[bu_name],$C507,AvgBonus[dept_name],$D507,AvgBonus[team_consolidation],$K507,AvgBonus[location_name],$G507,AvgBonus[job_title],$H507))*M402*SUM(BonusPayout[Month 2]))</f>
        <v>0</v>
      </c>
      <c r="N507" s="652">
        <f>IF($B507="",,IF(LEFT($H507,5)="dummy",SUMIFS(AvgBonus[avg_bonus],AvgBonus[job_title],$H507),SUMIFS(AvgBonus[avg_bonus],AvgBonus[exp_item],$J507,AvgBonus[company_name],$B507,AvgBonus[bu_name],$C507,AvgBonus[dept_name],$D507,AvgBonus[team_consolidation],$K507,AvgBonus[location_name],$G507,AvgBonus[job_title],$H507))*N402*SUM(BonusPayout[Month 3]))</f>
        <v>0</v>
      </c>
      <c r="O507" s="652">
        <f>IF($B507="",,IF(LEFT($H507,5)="dummy",SUMIFS(AvgBonus[avg_bonus],AvgBonus[job_title],$H507),SUMIFS(AvgBonus[avg_bonus],AvgBonus[exp_item],$J507,AvgBonus[company_name],$B507,AvgBonus[bu_name],$C507,AvgBonus[dept_name],$D507,AvgBonus[team_consolidation],$K507,AvgBonus[location_name],$G507,AvgBonus[job_title],$H507))*O402*SUM(BonusPayout[Month 4]))</f>
        <v>0</v>
      </c>
      <c r="P507" s="652">
        <f>IF($B507="",,IF(LEFT($H507,5)="dummy",SUMIFS(AvgBonus[avg_bonus],AvgBonus[job_title],$H507),SUMIFS(AvgBonus[avg_bonus],AvgBonus[exp_item],$J507,AvgBonus[company_name],$B507,AvgBonus[bu_name],$C507,AvgBonus[dept_name],$D507,AvgBonus[team_consolidation],$K507,AvgBonus[location_name],$G507,AvgBonus[job_title],$H507))*P402*SUM(BonusPayout[Month 5]))</f>
        <v>0</v>
      </c>
      <c r="Q507" s="652">
        <f>IF($B507="",,IF(LEFT($H507,5)="dummy",SUMIFS(AvgBonus[avg_bonus],AvgBonus[job_title],$H507),SUMIFS(AvgBonus[avg_bonus],AvgBonus[exp_item],$J507,AvgBonus[company_name],$B507,AvgBonus[bu_name],$C507,AvgBonus[dept_name],$D507,AvgBonus[team_consolidation],$K507,AvgBonus[location_name],$G507,AvgBonus[job_title],$H507))*Q402*SUM(BonusPayout[Month 6]))</f>
        <v>0</v>
      </c>
      <c r="R507" s="652">
        <f>IF($B507="",,IF(LEFT($H507,5)="dummy",SUMIFS(AvgBonus[avg_bonus],AvgBonus[job_title],$H507),SUMIFS(AvgBonus[avg_bonus],AvgBonus[exp_item],$J507,AvgBonus[company_name],$B507,AvgBonus[bu_name],$C507,AvgBonus[dept_name],$D507,AvgBonus[team_consolidation],$K507,AvgBonus[location_name],$G507,AvgBonus[job_title],$H507))*R402*SUM(BonusPayout[Month 7]))</f>
        <v>0</v>
      </c>
      <c r="S507" s="652">
        <f>IF($B507="",,IF(LEFT($H507,5)="dummy",SUMIFS(AvgBonus[avg_bonus],AvgBonus[job_title],$H507),SUMIFS(AvgBonus[avg_bonus],AvgBonus[exp_item],$J507,AvgBonus[company_name],$B507,AvgBonus[bu_name],$C507,AvgBonus[dept_name],$D507,AvgBonus[team_consolidation],$K507,AvgBonus[location_name],$G507,AvgBonus[job_title],$H507))*S402*SUM(BonusPayout[Month 8]))</f>
        <v>0</v>
      </c>
      <c r="T507" s="652">
        <f>IF($B507="",,IF(LEFT($H507,5)="dummy",SUMIFS(AvgBonus[avg_bonus],AvgBonus[job_title],$H507),SUMIFS(AvgBonus[avg_bonus],AvgBonus[exp_item],$J507,AvgBonus[company_name],$B507,AvgBonus[bu_name],$C507,AvgBonus[dept_name],$D507,AvgBonus[team_consolidation],$K507,AvgBonus[location_name],$G507,AvgBonus[job_title],$H507))*T402*SUM(BonusPayout[Month 9]))</f>
        <v>0</v>
      </c>
      <c r="U507" s="652">
        <f>IF($B507="",,IF(LEFT($H507,5)="dummy",SUMIFS(AvgBonus[avg_bonus],AvgBonus[job_title],$H507),SUMIFS(AvgBonus[avg_bonus],AvgBonus[exp_item],$J507,AvgBonus[company_name],$B507,AvgBonus[bu_name],$C507,AvgBonus[dept_name],$D507,AvgBonus[team_consolidation],$K507,AvgBonus[location_name],$G507,AvgBonus[job_title],$H507))*U402*SUM(BonusPayout[Month 10]))</f>
        <v>0</v>
      </c>
      <c r="V507" s="652">
        <f>IF($B507="",,IF(LEFT($H507,5)="dummy",SUMIFS(AvgBonus[avg_bonus],AvgBonus[job_title],$H507),SUMIFS(AvgBonus[avg_bonus],AvgBonus[exp_item],$J507,AvgBonus[company_name],$B507,AvgBonus[bu_name],$C507,AvgBonus[dept_name],$D507,AvgBonus[team_consolidation],$K507,AvgBonus[location_name],$G507,AvgBonus[job_title],$H507))*V402*SUM(BonusPayout[Month 11]))</f>
        <v>0</v>
      </c>
      <c r="W507" s="652">
        <f>IF($B507="",,IF(LEFT($H507,5)="dummy",SUMIFS(AvgBonus[avg_bonus],AvgBonus[job_title],$H507),SUMIFS(AvgBonus[avg_bonus],AvgBonus[exp_item],$J507,AvgBonus[company_name],$B507,AvgBonus[bu_name],$C507,AvgBonus[dept_name],$D507,AvgBonus[team_consolidation],$K507,AvgBonus[location_name],$G507,AvgBonus[job_title],$H507))*W402*SUM(BonusPayout[Month 12]))</f>
        <v>0</v>
      </c>
      <c r="X507" s="652">
        <f>IF($B507="",,IF(LEFT($H507,5)="dummy",SUMIFS(AvgBonus[avg_bonus],AvgBonus[job_title],$H507),SUMIFS(AvgBonus[avg_bonus],AvgBonus[exp_item],$J507,AvgBonus[company_name],$B507,AvgBonus[bu_name],$C507,AvgBonus[dept_name],$D507,AvgBonus[team_consolidation],$K507,AvgBonus[location_name],$G507,AvgBonus[job_title],$H507))*X402*SUM(BonusPayout[Month 13]))</f>
        <v>0</v>
      </c>
      <c r="Y507" s="652">
        <f>IF($B507="",,IF(LEFT($H507,5)="dummy",SUMIFS(AvgBonus[avg_bonus],AvgBonus[job_title],$H507),SUMIFS(AvgBonus[avg_bonus],AvgBonus[exp_item],$J507,AvgBonus[company_name],$B507,AvgBonus[bu_name],$C507,AvgBonus[dept_name],$D507,AvgBonus[team_consolidation],$K507,AvgBonus[location_name],$G507,AvgBonus[job_title],$H507))*Y402*SUM(BonusPayout[Month 14]))</f>
        <v>0</v>
      </c>
      <c r="Z507" s="652">
        <f>IF($B507="",,IF(LEFT($H507,5)="dummy",SUMIFS(AvgBonus[avg_bonus],AvgBonus[job_title],$H507),SUMIFS(AvgBonus[avg_bonus],AvgBonus[exp_item],$J507,AvgBonus[company_name],$B507,AvgBonus[bu_name],$C507,AvgBonus[dept_name],$D507,AvgBonus[team_consolidation],$K507,AvgBonus[location_name],$G507,AvgBonus[job_title],$H507))*Z402*SUM(BonusPayout[Month 15]))</f>
        <v>0</v>
      </c>
      <c r="AA507" s="652">
        <f>IF($B507="",,IF(LEFT($H507,5)="dummy",SUMIFS(AvgBonus[avg_bonus],AvgBonus[job_title],$H507),SUMIFS(AvgBonus[avg_bonus],AvgBonus[exp_item],$J507,AvgBonus[company_name],$B507,AvgBonus[bu_name],$C507,AvgBonus[dept_name],$D507,AvgBonus[team_consolidation],$K507,AvgBonus[location_name],$G507,AvgBonus[job_title],$H507))*AA402*SUM(BonusPayout[Month 16]))</f>
        <v>0</v>
      </c>
      <c r="AB507" s="652">
        <f>IF($B507="",,IF(LEFT($H507,5)="dummy",SUMIFS(AvgBonus[avg_bonus],AvgBonus[job_title],$H507),SUMIFS(AvgBonus[avg_bonus],AvgBonus[exp_item],$J507,AvgBonus[company_name],$B507,AvgBonus[bu_name],$C507,AvgBonus[dept_name],$D507,AvgBonus[team_consolidation],$K507,AvgBonus[location_name],$G507,AvgBonus[job_title],$H507))*AB402*SUM(BonusPayout[Month 17]))</f>
        <v>0</v>
      </c>
      <c r="AC507" s="652">
        <f>IF($B507="",,IF(LEFT($H507,5)="dummy",SUMIFS(AvgBonus[avg_bonus],AvgBonus[job_title],$H507),SUMIFS(AvgBonus[avg_bonus],AvgBonus[exp_item],$J507,AvgBonus[company_name],$B507,AvgBonus[bu_name],$C507,AvgBonus[dept_name],$D507,AvgBonus[team_consolidation],$K507,AvgBonus[location_name],$G507,AvgBonus[job_title],$H507))*AC402*SUM(BonusPayout[Month 18]))</f>
        <v>0</v>
      </c>
      <c r="AD507" s="652">
        <f>IF($B507="",,IF(LEFT($H507,5)="dummy",SUMIFS(AvgBonus[avg_bonus],AvgBonus[job_title],$H507),SUMIFS(AvgBonus[avg_bonus],AvgBonus[exp_item],$J507,AvgBonus[company_name],$B507,AvgBonus[bu_name],$C507,AvgBonus[dept_name],$D507,AvgBonus[team_consolidation],$K507,AvgBonus[location_name],$G507,AvgBonus[job_title],$H507))*AD402*SUM(BonusPayout[Month 19]))</f>
        <v>0</v>
      </c>
      <c r="AE507" s="652">
        <f>IF($B507="",,IF(LEFT($H507,5)="dummy",SUMIFS(AvgBonus[avg_bonus],AvgBonus[job_title],$H507),SUMIFS(AvgBonus[avg_bonus],AvgBonus[exp_item],$J507,AvgBonus[company_name],$B507,AvgBonus[bu_name],$C507,AvgBonus[dept_name],$D507,AvgBonus[team_consolidation],$K507,AvgBonus[location_name],$G507,AvgBonus[job_title],$H507))*AE402*SUM(BonusPayout[Month 20]))</f>
        <v>0</v>
      </c>
      <c r="AF507" s="652">
        <f>IF($B507="",,IF(LEFT($H507,5)="dummy",SUMIFS(AvgBonus[avg_bonus],AvgBonus[job_title],$H507),SUMIFS(AvgBonus[avg_bonus],AvgBonus[exp_item],$J507,AvgBonus[company_name],$B507,AvgBonus[bu_name],$C507,AvgBonus[dept_name],$D507,AvgBonus[team_consolidation],$K507,AvgBonus[location_name],$G507,AvgBonus[job_title],$H507))*AF402*SUM(BonusPayout[Month 21]))</f>
        <v>0</v>
      </c>
      <c r="AG507" s="652">
        <f>IF($B507="",,IF(LEFT($H507,5)="dummy",SUMIFS(AvgBonus[avg_bonus],AvgBonus[job_title],$H507),SUMIFS(AvgBonus[avg_bonus],AvgBonus[exp_item],$J507,AvgBonus[company_name],$B507,AvgBonus[bu_name],$C507,AvgBonus[dept_name],$D507,AvgBonus[team_consolidation],$K507,AvgBonus[location_name],$G507,AvgBonus[job_title],$H507))*AG402*SUM(BonusPayout[Month 22]))</f>
        <v>0</v>
      </c>
      <c r="AH507" s="652">
        <f>IF($B507="",,IF(LEFT($H507,5)="dummy",SUMIFS(AvgBonus[avg_bonus],AvgBonus[job_title],$H507),SUMIFS(AvgBonus[avg_bonus],AvgBonus[exp_item],$J507,AvgBonus[company_name],$B507,AvgBonus[bu_name],$C507,AvgBonus[dept_name],$D507,AvgBonus[team_consolidation],$K507,AvgBonus[location_name],$G507,AvgBonus[job_title],$H507))*AH402*SUM(BonusPayout[Month 23]))</f>
        <v>0</v>
      </c>
      <c r="AI507" s="652">
        <f>IF($B507="",,IF(LEFT($H507,5)="dummy",SUMIFS(AvgBonus[avg_bonus],AvgBonus[job_title],$H507),SUMIFS(AvgBonus[avg_bonus],AvgBonus[exp_item],$J507,AvgBonus[company_name],$B507,AvgBonus[bu_name],$C507,AvgBonus[dept_name],$D507,AvgBonus[team_consolidation],$K507,AvgBonus[location_name],$G507,AvgBonus[job_title],$H507))*AI402*SUM(BonusPayout[Month 24]))</f>
        <v>0</v>
      </c>
      <c r="AJ507" s="652">
        <f>IF($B507="",,IF(LEFT($H507,5)="dummy",SUMIFS(AvgBonus[avg_bonus],AvgBonus[job_title],$H507),SUMIFS(AvgBonus[avg_bonus],AvgBonus[exp_item],$J507,AvgBonus[company_name],$B507,AvgBonus[bu_name],$C507,AvgBonus[dept_name],$D507,AvgBonus[team_consolidation],$K507,AvgBonus[location_name],$G507,AvgBonus[job_title],$H507))*AJ402*SUM(BonusPayout[Month 25]))</f>
        <v>0</v>
      </c>
      <c r="AK507" s="652">
        <f>IF($B507="",,IF(LEFT($H507,5)="dummy",SUMIFS(AvgBonus[avg_bonus],AvgBonus[job_title],$H507),SUMIFS(AvgBonus[avg_bonus],AvgBonus[exp_item],$J507,AvgBonus[company_name],$B507,AvgBonus[bu_name],$C507,AvgBonus[dept_name],$D507,AvgBonus[team_consolidation],$K507,AvgBonus[location_name],$G507,AvgBonus[job_title],$H507))*AK402*SUM(BonusPayout[Month 26]))</f>
        <v>0</v>
      </c>
      <c r="AL507" s="652">
        <f>IF($B507="",,IF(LEFT($H507,5)="dummy",SUMIFS(AvgBonus[avg_bonus],AvgBonus[job_title],$H507),SUMIFS(AvgBonus[avg_bonus],AvgBonus[exp_item],$J507,AvgBonus[company_name],$B507,AvgBonus[bu_name],$C507,AvgBonus[dept_name],$D507,AvgBonus[team_consolidation],$K507,AvgBonus[location_name],$G507,AvgBonus[job_title],$H507))*AL402*SUM(BonusPayout[Month 27]))</f>
        <v>0</v>
      </c>
      <c r="AM507" s="652">
        <f>IF($B507="",,IF(LEFT($H507,5)="dummy",SUMIFS(AvgBonus[avg_bonus],AvgBonus[job_title],$H507),SUMIFS(AvgBonus[avg_bonus],AvgBonus[exp_item],$J507,AvgBonus[company_name],$B507,AvgBonus[bu_name],$C507,AvgBonus[dept_name],$D507,AvgBonus[team_consolidation],$K507,AvgBonus[location_name],$G507,AvgBonus[job_title],$H507))*AM402*SUM(BonusPayout[Month 28]))</f>
        <v>0</v>
      </c>
      <c r="AN507" s="652">
        <f>IF($B507="",,IF(LEFT($H507,5)="dummy",SUMIFS(AvgBonus[avg_bonus],AvgBonus[job_title],$H507),SUMIFS(AvgBonus[avg_bonus],AvgBonus[exp_item],$J507,AvgBonus[company_name],$B507,AvgBonus[bu_name],$C507,AvgBonus[dept_name],$D507,AvgBonus[team_consolidation],$K507,AvgBonus[location_name],$G507,AvgBonus[job_title],$H507))*AN402*SUM(BonusPayout[Month 29]))</f>
        <v>0</v>
      </c>
      <c r="AO507" s="652">
        <f>IF($B507="",,IF(LEFT($H507,5)="dummy",SUMIFS(AvgBonus[avg_bonus],AvgBonus[job_title],$H507),SUMIFS(AvgBonus[avg_bonus],AvgBonus[exp_item],$J507,AvgBonus[company_name],$B507,AvgBonus[bu_name],$C507,AvgBonus[dept_name],$D507,AvgBonus[team_consolidation],$K507,AvgBonus[location_name],$G507,AvgBonus[job_title],$H507))*AO402*SUM(BonusPayout[Month 30]))</f>
        <v>0</v>
      </c>
      <c r="AP507" s="652">
        <f>IF($B507="",,IF(LEFT($H507,5)="dummy",SUMIFS(AvgBonus[avg_bonus],AvgBonus[job_title],$H507),SUMIFS(AvgBonus[avg_bonus],AvgBonus[exp_item],$J507,AvgBonus[company_name],$B507,AvgBonus[bu_name],$C507,AvgBonus[dept_name],$D507,AvgBonus[team_consolidation],$K507,AvgBonus[location_name],$G507,AvgBonus[job_title],$H507))*AP402*SUM(BonusPayout[Month 31]))</f>
        <v>0</v>
      </c>
      <c r="AQ507" s="652">
        <f>IF($B507="",,IF(LEFT($H507,5)="dummy",SUMIFS(AvgBonus[avg_bonus],AvgBonus[job_title],$H507),SUMIFS(AvgBonus[avg_bonus],AvgBonus[exp_item],$J507,AvgBonus[company_name],$B507,AvgBonus[bu_name],$C507,AvgBonus[dept_name],$D507,AvgBonus[team_consolidation],$K507,AvgBonus[location_name],$G507,AvgBonus[job_title],$H507))*AQ402*SUM(BonusPayout[Month 32]))</f>
        <v>0</v>
      </c>
      <c r="AR507" s="652">
        <f>IF($B507="",,IF(LEFT($H507,5)="dummy",SUMIFS(AvgBonus[avg_bonus],AvgBonus[job_title],$H507),SUMIFS(AvgBonus[avg_bonus],AvgBonus[exp_item],$J507,AvgBonus[company_name],$B507,AvgBonus[bu_name],$C507,AvgBonus[dept_name],$D507,AvgBonus[team_consolidation],$K507,AvgBonus[location_name],$G507,AvgBonus[job_title],$H507))*AR402*SUM(BonusPayout[Month 33]))</f>
        <v>0</v>
      </c>
      <c r="AS507" s="652">
        <f>IF($B507="",,IF(LEFT($H507,5)="dummy",SUMIFS(AvgBonus[avg_bonus],AvgBonus[job_title],$H507),SUMIFS(AvgBonus[avg_bonus],AvgBonus[exp_item],$J507,AvgBonus[company_name],$B507,AvgBonus[bu_name],$C507,AvgBonus[dept_name],$D507,AvgBonus[team_consolidation],$K507,AvgBonus[location_name],$G507,AvgBonus[job_title],$H507))*AS402*SUM(BonusPayout[Month 34]))</f>
        <v>0</v>
      </c>
      <c r="AT507" s="652">
        <f>IF($B507="",,IF(LEFT($H507,5)="dummy",SUMIFS(AvgBonus[avg_bonus],AvgBonus[job_title],$H507),SUMIFS(AvgBonus[avg_bonus],AvgBonus[exp_item],$J507,AvgBonus[company_name],$B507,AvgBonus[bu_name],$C507,AvgBonus[dept_name],$D507,AvgBonus[team_consolidation],$K507,AvgBonus[location_name],$G507,AvgBonus[job_title],$H507))*AT402*SUM(BonusPayout[Month 35]))</f>
        <v>0</v>
      </c>
      <c r="AU507" s="652">
        <f>IF($B507="",,IF(LEFT($H507,5)="dummy",SUMIFS(AvgBonus[avg_bonus],AvgBonus[job_title],$H507),SUMIFS(AvgBonus[avg_bonus],AvgBonus[exp_item],$J507,AvgBonus[company_name],$B507,AvgBonus[bu_name],$C507,AvgBonus[dept_name],$D507,AvgBonus[team_consolidation],$K507,AvgBonus[location_name],$G507,AvgBonus[job_title],$H507))*AU402*SUM(BonusPayout[Month 36]))</f>
        <v>0</v>
      </c>
    </row>
    <row r="508" spans="1:52" x14ac:dyDescent="0.35">
      <c r="B508" t="str">
        <f t="shared" si="292"/>
        <v/>
      </c>
      <c r="C508" t="str">
        <f t="shared" ref="C508:G508" si="300">IF(C403="","",C403)</f>
        <v/>
      </c>
      <c r="D508" t="str">
        <f t="shared" si="300"/>
        <v/>
      </c>
      <c r="E508" t="str">
        <f t="shared" si="300"/>
        <v/>
      </c>
      <c r="F508" t="str">
        <f t="shared" si="300"/>
        <v/>
      </c>
      <c r="G508" t="str">
        <f t="shared" si="300"/>
        <v/>
      </c>
      <c r="H508" t="str">
        <f t="shared" si="291"/>
        <v/>
      </c>
      <c r="J508" t="str">
        <f>IF($H508="","",IF(VLOOKUP($B$500,ExpItems[],2,0),$B$500&amp;" - "&amp;INDEX(DivisionMapping[category_code],MATCH($D508&amp;$C508,DivisionMapping[dept_bu],0)),$B$500))</f>
        <v/>
      </c>
      <c r="K508" t="str">
        <f t="shared" si="294"/>
        <v/>
      </c>
      <c r="L508" s="652">
        <f>IF($B508="",,IF(LEFT($H508,5)="dummy",SUMIFS(AvgBonus[avg_bonus],AvgBonus[job_title],$H508),SUMIFS(AvgBonus[avg_bonus],AvgBonus[exp_item],$J508,AvgBonus[company_name],$B508,AvgBonus[bu_name],$C508,AvgBonus[dept_name],$D508,AvgBonus[team_consolidation],$K508,AvgBonus[location_name],$G508,AvgBonus[job_title],$H508))*L403*SUM(BonusPayout[Month 1]))</f>
        <v>0</v>
      </c>
      <c r="M508" s="652">
        <f>IF($B508="",,IF(LEFT($H508,5)="dummy",SUMIFS(AvgBonus[avg_bonus],AvgBonus[job_title],$H508),SUMIFS(AvgBonus[avg_bonus],AvgBonus[exp_item],$J508,AvgBonus[company_name],$B508,AvgBonus[bu_name],$C508,AvgBonus[dept_name],$D508,AvgBonus[team_consolidation],$K508,AvgBonus[location_name],$G508,AvgBonus[job_title],$H508))*M403*SUM(BonusPayout[Month 2]))</f>
        <v>0</v>
      </c>
      <c r="N508" s="652">
        <f>IF($B508="",,IF(LEFT($H508,5)="dummy",SUMIFS(AvgBonus[avg_bonus],AvgBonus[job_title],$H508),SUMIFS(AvgBonus[avg_bonus],AvgBonus[exp_item],$J508,AvgBonus[company_name],$B508,AvgBonus[bu_name],$C508,AvgBonus[dept_name],$D508,AvgBonus[team_consolidation],$K508,AvgBonus[location_name],$G508,AvgBonus[job_title],$H508))*N403*SUM(BonusPayout[Month 3]))</f>
        <v>0</v>
      </c>
      <c r="O508" s="652">
        <f>IF($B508="",,IF(LEFT($H508,5)="dummy",SUMIFS(AvgBonus[avg_bonus],AvgBonus[job_title],$H508),SUMIFS(AvgBonus[avg_bonus],AvgBonus[exp_item],$J508,AvgBonus[company_name],$B508,AvgBonus[bu_name],$C508,AvgBonus[dept_name],$D508,AvgBonus[team_consolidation],$K508,AvgBonus[location_name],$G508,AvgBonus[job_title],$H508))*O403*SUM(BonusPayout[Month 4]))</f>
        <v>0</v>
      </c>
      <c r="P508" s="652">
        <f>IF($B508="",,IF(LEFT($H508,5)="dummy",SUMIFS(AvgBonus[avg_bonus],AvgBonus[job_title],$H508),SUMIFS(AvgBonus[avg_bonus],AvgBonus[exp_item],$J508,AvgBonus[company_name],$B508,AvgBonus[bu_name],$C508,AvgBonus[dept_name],$D508,AvgBonus[team_consolidation],$K508,AvgBonus[location_name],$G508,AvgBonus[job_title],$H508))*P403*SUM(BonusPayout[Month 5]))</f>
        <v>0</v>
      </c>
      <c r="Q508" s="652">
        <f>IF($B508="",,IF(LEFT($H508,5)="dummy",SUMIFS(AvgBonus[avg_bonus],AvgBonus[job_title],$H508),SUMIFS(AvgBonus[avg_bonus],AvgBonus[exp_item],$J508,AvgBonus[company_name],$B508,AvgBonus[bu_name],$C508,AvgBonus[dept_name],$D508,AvgBonus[team_consolidation],$K508,AvgBonus[location_name],$G508,AvgBonus[job_title],$H508))*Q403*SUM(BonusPayout[Month 6]))</f>
        <v>0</v>
      </c>
      <c r="R508" s="652">
        <f>IF($B508="",,IF(LEFT($H508,5)="dummy",SUMIFS(AvgBonus[avg_bonus],AvgBonus[job_title],$H508),SUMIFS(AvgBonus[avg_bonus],AvgBonus[exp_item],$J508,AvgBonus[company_name],$B508,AvgBonus[bu_name],$C508,AvgBonus[dept_name],$D508,AvgBonus[team_consolidation],$K508,AvgBonus[location_name],$G508,AvgBonus[job_title],$H508))*R403*SUM(BonusPayout[Month 7]))</f>
        <v>0</v>
      </c>
      <c r="S508" s="652">
        <f>IF($B508="",,IF(LEFT($H508,5)="dummy",SUMIFS(AvgBonus[avg_bonus],AvgBonus[job_title],$H508),SUMIFS(AvgBonus[avg_bonus],AvgBonus[exp_item],$J508,AvgBonus[company_name],$B508,AvgBonus[bu_name],$C508,AvgBonus[dept_name],$D508,AvgBonus[team_consolidation],$K508,AvgBonus[location_name],$G508,AvgBonus[job_title],$H508))*S403*SUM(BonusPayout[Month 8]))</f>
        <v>0</v>
      </c>
      <c r="T508" s="652">
        <f>IF($B508="",,IF(LEFT($H508,5)="dummy",SUMIFS(AvgBonus[avg_bonus],AvgBonus[job_title],$H508),SUMIFS(AvgBonus[avg_bonus],AvgBonus[exp_item],$J508,AvgBonus[company_name],$B508,AvgBonus[bu_name],$C508,AvgBonus[dept_name],$D508,AvgBonus[team_consolidation],$K508,AvgBonus[location_name],$G508,AvgBonus[job_title],$H508))*T403*SUM(BonusPayout[Month 9]))</f>
        <v>0</v>
      </c>
      <c r="U508" s="652">
        <f>IF($B508="",,IF(LEFT($H508,5)="dummy",SUMIFS(AvgBonus[avg_bonus],AvgBonus[job_title],$H508),SUMIFS(AvgBonus[avg_bonus],AvgBonus[exp_item],$J508,AvgBonus[company_name],$B508,AvgBonus[bu_name],$C508,AvgBonus[dept_name],$D508,AvgBonus[team_consolidation],$K508,AvgBonus[location_name],$G508,AvgBonus[job_title],$H508))*U403*SUM(BonusPayout[Month 10]))</f>
        <v>0</v>
      </c>
      <c r="V508" s="652">
        <f>IF($B508="",,IF(LEFT($H508,5)="dummy",SUMIFS(AvgBonus[avg_bonus],AvgBonus[job_title],$H508),SUMIFS(AvgBonus[avg_bonus],AvgBonus[exp_item],$J508,AvgBonus[company_name],$B508,AvgBonus[bu_name],$C508,AvgBonus[dept_name],$D508,AvgBonus[team_consolidation],$K508,AvgBonus[location_name],$G508,AvgBonus[job_title],$H508))*V403*SUM(BonusPayout[Month 11]))</f>
        <v>0</v>
      </c>
      <c r="W508" s="652">
        <f>IF($B508="",,IF(LEFT($H508,5)="dummy",SUMIFS(AvgBonus[avg_bonus],AvgBonus[job_title],$H508),SUMIFS(AvgBonus[avg_bonus],AvgBonus[exp_item],$J508,AvgBonus[company_name],$B508,AvgBonus[bu_name],$C508,AvgBonus[dept_name],$D508,AvgBonus[team_consolidation],$K508,AvgBonus[location_name],$G508,AvgBonus[job_title],$H508))*W403*SUM(BonusPayout[Month 12]))</f>
        <v>0</v>
      </c>
      <c r="X508" s="652">
        <f>IF($B508="",,IF(LEFT($H508,5)="dummy",SUMIFS(AvgBonus[avg_bonus],AvgBonus[job_title],$H508),SUMIFS(AvgBonus[avg_bonus],AvgBonus[exp_item],$J508,AvgBonus[company_name],$B508,AvgBonus[bu_name],$C508,AvgBonus[dept_name],$D508,AvgBonus[team_consolidation],$K508,AvgBonus[location_name],$G508,AvgBonus[job_title],$H508))*X403*SUM(BonusPayout[Month 13]))</f>
        <v>0</v>
      </c>
      <c r="Y508" s="652">
        <f>IF($B508="",,IF(LEFT($H508,5)="dummy",SUMIFS(AvgBonus[avg_bonus],AvgBonus[job_title],$H508),SUMIFS(AvgBonus[avg_bonus],AvgBonus[exp_item],$J508,AvgBonus[company_name],$B508,AvgBonus[bu_name],$C508,AvgBonus[dept_name],$D508,AvgBonus[team_consolidation],$K508,AvgBonus[location_name],$G508,AvgBonus[job_title],$H508))*Y403*SUM(BonusPayout[Month 14]))</f>
        <v>0</v>
      </c>
      <c r="Z508" s="652">
        <f>IF($B508="",,IF(LEFT($H508,5)="dummy",SUMIFS(AvgBonus[avg_bonus],AvgBonus[job_title],$H508),SUMIFS(AvgBonus[avg_bonus],AvgBonus[exp_item],$J508,AvgBonus[company_name],$B508,AvgBonus[bu_name],$C508,AvgBonus[dept_name],$D508,AvgBonus[team_consolidation],$K508,AvgBonus[location_name],$G508,AvgBonus[job_title],$H508))*Z403*SUM(BonusPayout[Month 15]))</f>
        <v>0</v>
      </c>
      <c r="AA508" s="652">
        <f>IF($B508="",,IF(LEFT($H508,5)="dummy",SUMIFS(AvgBonus[avg_bonus],AvgBonus[job_title],$H508),SUMIFS(AvgBonus[avg_bonus],AvgBonus[exp_item],$J508,AvgBonus[company_name],$B508,AvgBonus[bu_name],$C508,AvgBonus[dept_name],$D508,AvgBonus[team_consolidation],$K508,AvgBonus[location_name],$G508,AvgBonus[job_title],$H508))*AA403*SUM(BonusPayout[Month 16]))</f>
        <v>0</v>
      </c>
      <c r="AB508" s="652">
        <f>IF($B508="",,IF(LEFT($H508,5)="dummy",SUMIFS(AvgBonus[avg_bonus],AvgBonus[job_title],$H508),SUMIFS(AvgBonus[avg_bonus],AvgBonus[exp_item],$J508,AvgBonus[company_name],$B508,AvgBonus[bu_name],$C508,AvgBonus[dept_name],$D508,AvgBonus[team_consolidation],$K508,AvgBonus[location_name],$G508,AvgBonus[job_title],$H508))*AB403*SUM(BonusPayout[Month 17]))</f>
        <v>0</v>
      </c>
      <c r="AC508" s="652">
        <f>IF($B508="",,IF(LEFT($H508,5)="dummy",SUMIFS(AvgBonus[avg_bonus],AvgBonus[job_title],$H508),SUMIFS(AvgBonus[avg_bonus],AvgBonus[exp_item],$J508,AvgBonus[company_name],$B508,AvgBonus[bu_name],$C508,AvgBonus[dept_name],$D508,AvgBonus[team_consolidation],$K508,AvgBonus[location_name],$G508,AvgBonus[job_title],$H508))*AC403*SUM(BonusPayout[Month 18]))</f>
        <v>0</v>
      </c>
      <c r="AD508" s="652">
        <f>IF($B508="",,IF(LEFT($H508,5)="dummy",SUMIFS(AvgBonus[avg_bonus],AvgBonus[job_title],$H508),SUMIFS(AvgBonus[avg_bonus],AvgBonus[exp_item],$J508,AvgBonus[company_name],$B508,AvgBonus[bu_name],$C508,AvgBonus[dept_name],$D508,AvgBonus[team_consolidation],$K508,AvgBonus[location_name],$G508,AvgBonus[job_title],$H508))*AD403*SUM(BonusPayout[Month 19]))</f>
        <v>0</v>
      </c>
      <c r="AE508" s="652">
        <f>IF($B508="",,IF(LEFT($H508,5)="dummy",SUMIFS(AvgBonus[avg_bonus],AvgBonus[job_title],$H508),SUMIFS(AvgBonus[avg_bonus],AvgBonus[exp_item],$J508,AvgBonus[company_name],$B508,AvgBonus[bu_name],$C508,AvgBonus[dept_name],$D508,AvgBonus[team_consolidation],$K508,AvgBonus[location_name],$G508,AvgBonus[job_title],$H508))*AE403*SUM(BonusPayout[Month 20]))</f>
        <v>0</v>
      </c>
      <c r="AF508" s="652">
        <f>IF($B508="",,IF(LEFT($H508,5)="dummy",SUMIFS(AvgBonus[avg_bonus],AvgBonus[job_title],$H508),SUMIFS(AvgBonus[avg_bonus],AvgBonus[exp_item],$J508,AvgBonus[company_name],$B508,AvgBonus[bu_name],$C508,AvgBonus[dept_name],$D508,AvgBonus[team_consolidation],$K508,AvgBonus[location_name],$G508,AvgBonus[job_title],$H508))*AF403*SUM(BonusPayout[Month 21]))</f>
        <v>0</v>
      </c>
      <c r="AG508" s="652">
        <f>IF($B508="",,IF(LEFT($H508,5)="dummy",SUMIFS(AvgBonus[avg_bonus],AvgBonus[job_title],$H508),SUMIFS(AvgBonus[avg_bonus],AvgBonus[exp_item],$J508,AvgBonus[company_name],$B508,AvgBonus[bu_name],$C508,AvgBonus[dept_name],$D508,AvgBonus[team_consolidation],$K508,AvgBonus[location_name],$G508,AvgBonus[job_title],$H508))*AG403*SUM(BonusPayout[Month 22]))</f>
        <v>0</v>
      </c>
      <c r="AH508" s="652">
        <f>IF($B508="",,IF(LEFT($H508,5)="dummy",SUMIFS(AvgBonus[avg_bonus],AvgBonus[job_title],$H508),SUMIFS(AvgBonus[avg_bonus],AvgBonus[exp_item],$J508,AvgBonus[company_name],$B508,AvgBonus[bu_name],$C508,AvgBonus[dept_name],$D508,AvgBonus[team_consolidation],$K508,AvgBonus[location_name],$G508,AvgBonus[job_title],$H508))*AH403*SUM(BonusPayout[Month 23]))</f>
        <v>0</v>
      </c>
      <c r="AI508" s="652">
        <f>IF($B508="",,IF(LEFT($H508,5)="dummy",SUMIFS(AvgBonus[avg_bonus],AvgBonus[job_title],$H508),SUMIFS(AvgBonus[avg_bonus],AvgBonus[exp_item],$J508,AvgBonus[company_name],$B508,AvgBonus[bu_name],$C508,AvgBonus[dept_name],$D508,AvgBonus[team_consolidation],$K508,AvgBonus[location_name],$G508,AvgBonus[job_title],$H508))*AI403*SUM(BonusPayout[Month 24]))</f>
        <v>0</v>
      </c>
      <c r="AJ508" s="652">
        <f>IF($B508="",,IF(LEFT($H508,5)="dummy",SUMIFS(AvgBonus[avg_bonus],AvgBonus[job_title],$H508),SUMIFS(AvgBonus[avg_bonus],AvgBonus[exp_item],$J508,AvgBonus[company_name],$B508,AvgBonus[bu_name],$C508,AvgBonus[dept_name],$D508,AvgBonus[team_consolidation],$K508,AvgBonus[location_name],$G508,AvgBonus[job_title],$H508))*AJ403*SUM(BonusPayout[Month 25]))</f>
        <v>0</v>
      </c>
      <c r="AK508" s="652">
        <f>IF($B508="",,IF(LEFT($H508,5)="dummy",SUMIFS(AvgBonus[avg_bonus],AvgBonus[job_title],$H508),SUMIFS(AvgBonus[avg_bonus],AvgBonus[exp_item],$J508,AvgBonus[company_name],$B508,AvgBonus[bu_name],$C508,AvgBonus[dept_name],$D508,AvgBonus[team_consolidation],$K508,AvgBonus[location_name],$G508,AvgBonus[job_title],$H508))*AK403*SUM(BonusPayout[Month 26]))</f>
        <v>0</v>
      </c>
      <c r="AL508" s="652">
        <f>IF($B508="",,IF(LEFT($H508,5)="dummy",SUMIFS(AvgBonus[avg_bonus],AvgBonus[job_title],$H508),SUMIFS(AvgBonus[avg_bonus],AvgBonus[exp_item],$J508,AvgBonus[company_name],$B508,AvgBonus[bu_name],$C508,AvgBonus[dept_name],$D508,AvgBonus[team_consolidation],$K508,AvgBonus[location_name],$G508,AvgBonus[job_title],$H508))*AL403*SUM(BonusPayout[Month 27]))</f>
        <v>0</v>
      </c>
      <c r="AM508" s="652">
        <f>IF($B508="",,IF(LEFT($H508,5)="dummy",SUMIFS(AvgBonus[avg_bonus],AvgBonus[job_title],$H508),SUMIFS(AvgBonus[avg_bonus],AvgBonus[exp_item],$J508,AvgBonus[company_name],$B508,AvgBonus[bu_name],$C508,AvgBonus[dept_name],$D508,AvgBonus[team_consolidation],$K508,AvgBonus[location_name],$G508,AvgBonus[job_title],$H508))*AM403*SUM(BonusPayout[Month 28]))</f>
        <v>0</v>
      </c>
      <c r="AN508" s="652">
        <f>IF($B508="",,IF(LEFT($H508,5)="dummy",SUMIFS(AvgBonus[avg_bonus],AvgBonus[job_title],$H508),SUMIFS(AvgBonus[avg_bonus],AvgBonus[exp_item],$J508,AvgBonus[company_name],$B508,AvgBonus[bu_name],$C508,AvgBonus[dept_name],$D508,AvgBonus[team_consolidation],$K508,AvgBonus[location_name],$G508,AvgBonus[job_title],$H508))*AN403*SUM(BonusPayout[Month 29]))</f>
        <v>0</v>
      </c>
      <c r="AO508" s="652">
        <f>IF($B508="",,IF(LEFT($H508,5)="dummy",SUMIFS(AvgBonus[avg_bonus],AvgBonus[job_title],$H508),SUMIFS(AvgBonus[avg_bonus],AvgBonus[exp_item],$J508,AvgBonus[company_name],$B508,AvgBonus[bu_name],$C508,AvgBonus[dept_name],$D508,AvgBonus[team_consolidation],$K508,AvgBonus[location_name],$G508,AvgBonus[job_title],$H508))*AO403*SUM(BonusPayout[Month 30]))</f>
        <v>0</v>
      </c>
      <c r="AP508" s="652">
        <f>IF($B508="",,IF(LEFT($H508,5)="dummy",SUMIFS(AvgBonus[avg_bonus],AvgBonus[job_title],$H508),SUMIFS(AvgBonus[avg_bonus],AvgBonus[exp_item],$J508,AvgBonus[company_name],$B508,AvgBonus[bu_name],$C508,AvgBonus[dept_name],$D508,AvgBonus[team_consolidation],$K508,AvgBonus[location_name],$G508,AvgBonus[job_title],$H508))*AP403*SUM(BonusPayout[Month 31]))</f>
        <v>0</v>
      </c>
      <c r="AQ508" s="652">
        <f>IF($B508="",,IF(LEFT($H508,5)="dummy",SUMIFS(AvgBonus[avg_bonus],AvgBonus[job_title],$H508),SUMIFS(AvgBonus[avg_bonus],AvgBonus[exp_item],$J508,AvgBonus[company_name],$B508,AvgBonus[bu_name],$C508,AvgBonus[dept_name],$D508,AvgBonus[team_consolidation],$K508,AvgBonus[location_name],$G508,AvgBonus[job_title],$H508))*AQ403*SUM(BonusPayout[Month 32]))</f>
        <v>0</v>
      </c>
      <c r="AR508" s="652">
        <f>IF($B508="",,IF(LEFT($H508,5)="dummy",SUMIFS(AvgBonus[avg_bonus],AvgBonus[job_title],$H508),SUMIFS(AvgBonus[avg_bonus],AvgBonus[exp_item],$J508,AvgBonus[company_name],$B508,AvgBonus[bu_name],$C508,AvgBonus[dept_name],$D508,AvgBonus[team_consolidation],$K508,AvgBonus[location_name],$G508,AvgBonus[job_title],$H508))*AR403*SUM(BonusPayout[Month 33]))</f>
        <v>0</v>
      </c>
      <c r="AS508" s="652">
        <f>IF($B508="",,IF(LEFT($H508,5)="dummy",SUMIFS(AvgBonus[avg_bonus],AvgBonus[job_title],$H508),SUMIFS(AvgBonus[avg_bonus],AvgBonus[exp_item],$J508,AvgBonus[company_name],$B508,AvgBonus[bu_name],$C508,AvgBonus[dept_name],$D508,AvgBonus[team_consolidation],$K508,AvgBonus[location_name],$G508,AvgBonus[job_title],$H508))*AS403*SUM(BonusPayout[Month 34]))</f>
        <v>0</v>
      </c>
      <c r="AT508" s="652">
        <f>IF($B508="",,IF(LEFT($H508,5)="dummy",SUMIFS(AvgBonus[avg_bonus],AvgBonus[job_title],$H508),SUMIFS(AvgBonus[avg_bonus],AvgBonus[exp_item],$J508,AvgBonus[company_name],$B508,AvgBonus[bu_name],$C508,AvgBonus[dept_name],$D508,AvgBonus[team_consolidation],$K508,AvgBonus[location_name],$G508,AvgBonus[job_title],$H508))*AT403*SUM(BonusPayout[Month 35]))</f>
        <v>0</v>
      </c>
      <c r="AU508" s="652">
        <f>IF($B508="",,IF(LEFT($H508,5)="dummy",SUMIFS(AvgBonus[avg_bonus],AvgBonus[job_title],$H508),SUMIFS(AvgBonus[avg_bonus],AvgBonus[exp_item],$J508,AvgBonus[company_name],$B508,AvgBonus[bu_name],$C508,AvgBonus[dept_name],$D508,AvgBonus[team_consolidation],$K508,AvgBonus[location_name],$G508,AvgBonus[job_title],$H508))*AU403*SUM(BonusPayout[Month 36]))</f>
        <v>0</v>
      </c>
    </row>
    <row r="509" spans="1:52" x14ac:dyDescent="0.35">
      <c r="B509" t="str">
        <f t="shared" si="292"/>
        <v/>
      </c>
      <c r="C509" t="str">
        <f t="shared" ref="C509:G509" si="301">IF(C404="","",C404)</f>
        <v/>
      </c>
      <c r="D509" t="str">
        <f t="shared" si="301"/>
        <v/>
      </c>
      <c r="E509" t="str">
        <f t="shared" si="301"/>
        <v/>
      </c>
      <c r="F509" t="str">
        <f t="shared" si="301"/>
        <v/>
      </c>
      <c r="G509" t="str">
        <f t="shared" si="301"/>
        <v/>
      </c>
      <c r="H509" t="str">
        <f t="shared" si="291"/>
        <v/>
      </c>
      <c r="J509" t="str">
        <f>IF($H509="","",IF(VLOOKUP($B$500,ExpItems[],2,0),$B$500&amp;" - "&amp;INDEX(DivisionMapping[category_code],MATCH($D509&amp;$C509,DivisionMapping[dept_bu],0)),$B$500))</f>
        <v/>
      </c>
      <c r="K509" t="str">
        <f t="shared" si="294"/>
        <v/>
      </c>
      <c r="L509" s="652">
        <f>IF($B509="",,IF(LEFT($H509,5)="dummy",SUMIFS(AvgBonus[avg_bonus],AvgBonus[job_title],$H509),SUMIFS(AvgBonus[avg_bonus],AvgBonus[exp_item],$J509,AvgBonus[company_name],$B509,AvgBonus[bu_name],$C509,AvgBonus[dept_name],$D509,AvgBonus[team_consolidation],$K509,AvgBonus[location_name],$G509,AvgBonus[job_title],$H509))*L404*SUM(BonusPayout[Month 1]))</f>
        <v>0</v>
      </c>
      <c r="M509" s="652">
        <f>IF($B509="",,IF(LEFT($H509,5)="dummy",SUMIFS(AvgBonus[avg_bonus],AvgBonus[job_title],$H509),SUMIFS(AvgBonus[avg_bonus],AvgBonus[exp_item],$J509,AvgBonus[company_name],$B509,AvgBonus[bu_name],$C509,AvgBonus[dept_name],$D509,AvgBonus[team_consolidation],$K509,AvgBonus[location_name],$G509,AvgBonus[job_title],$H509))*M404*SUM(BonusPayout[Month 2]))</f>
        <v>0</v>
      </c>
      <c r="N509" s="652">
        <f>IF($B509="",,IF(LEFT($H509,5)="dummy",SUMIFS(AvgBonus[avg_bonus],AvgBonus[job_title],$H509),SUMIFS(AvgBonus[avg_bonus],AvgBonus[exp_item],$J509,AvgBonus[company_name],$B509,AvgBonus[bu_name],$C509,AvgBonus[dept_name],$D509,AvgBonus[team_consolidation],$K509,AvgBonus[location_name],$G509,AvgBonus[job_title],$H509))*N404*SUM(BonusPayout[Month 3]))</f>
        <v>0</v>
      </c>
      <c r="O509" s="652">
        <f>IF($B509="",,IF(LEFT($H509,5)="dummy",SUMIFS(AvgBonus[avg_bonus],AvgBonus[job_title],$H509),SUMIFS(AvgBonus[avg_bonus],AvgBonus[exp_item],$J509,AvgBonus[company_name],$B509,AvgBonus[bu_name],$C509,AvgBonus[dept_name],$D509,AvgBonus[team_consolidation],$K509,AvgBonus[location_name],$G509,AvgBonus[job_title],$H509))*O404*SUM(BonusPayout[Month 4]))</f>
        <v>0</v>
      </c>
      <c r="P509" s="652">
        <f>IF($B509="",,IF(LEFT($H509,5)="dummy",SUMIFS(AvgBonus[avg_bonus],AvgBonus[job_title],$H509),SUMIFS(AvgBonus[avg_bonus],AvgBonus[exp_item],$J509,AvgBonus[company_name],$B509,AvgBonus[bu_name],$C509,AvgBonus[dept_name],$D509,AvgBonus[team_consolidation],$K509,AvgBonus[location_name],$G509,AvgBonus[job_title],$H509))*P404*SUM(BonusPayout[Month 5]))</f>
        <v>0</v>
      </c>
      <c r="Q509" s="652">
        <f>IF($B509="",,IF(LEFT($H509,5)="dummy",SUMIFS(AvgBonus[avg_bonus],AvgBonus[job_title],$H509),SUMIFS(AvgBonus[avg_bonus],AvgBonus[exp_item],$J509,AvgBonus[company_name],$B509,AvgBonus[bu_name],$C509,AvgBonus[dept_name],$D509,AvgBonus[team_consolidation],$K509,AvgBonus[location_name],$G509,AvgBonus[job_title],$H509))*Q404*SUM(BonusPayout[Month 6]))</f>
        <v>0</v>
      </c>
      <c r="R509" s="652">
        <f>IF($B509="",,IF(LEFT($H509,5)="dummy",SUMIFS(AvgBonus[avg_bonus],AvgBonus[job_title],$H509),SUMIFS(AvgBonus[avg_bonus],AvgBonus[exp_item],$J509,AvgBonus[company_name],$B509,AvgBonus[bu_name],$C509,AvgBonus[dept_name],$D509,AvgBonus[team_consolidation],$K509,AvgBonus[location_name],$G509,AvgBonus[job_title],$H509))*R404*SUM(BonusPayout[Month 7]))</f>
        <v>0</v>
      </c>
      <c r="S509" s="652">
        <f>IF($B509="",,IF(LEFT($H509,5)="dummy",SUMIFS(AvgBonus[avg_bonus],AvgBonus[job_title],$H509),SUMIFS(AvgBonus[avg_bonus],AvgBonus[exp_item],$J509,AvgBonus[company_name],$B509,AvgBonus[bu_name],$C509,AvgBonus[dept_name],$D509,AvgBonus[team_consolidation],$K509,AvgBonus[location_name],$G509,AvgBonus[job_title],$H509))*S404*SUM(BonusPayout[Month 8]))</f>
        <v>0</v>
      </c>
      <c r="T509" s="652">
        <f>IF($B509="",,IF(LEFT($H509,5)="dummy",SUMIFS(AvgBonus[avg_bonus],AvgBonus[job_title],$H509),SUMIFS(AvgBonus[avg_bonus],AvgBonus[exp_item],$J509,AvgBonus[company_name],$B509,AvgBonus[bu_name],$C509,AvgBonus[dept_name],$D509,AvgBonus[team_consolidation],$K509,AvgBonus[location_name],$G509,AvgBonus[job_title],$H509))*T404*SUM(BonusPayout[Month 9]))</f>
        <v>0</v>
      </c>
      <c r="U509" s="652">
        <f>IF($B509="",,IF(LEFT($H509,5)="dummy",SUMIFS(AvgBonus[avg_bonus],AvgBonus[job_title],$H509),SUMIFS(AvgBonus[avg_bonus],AvgBonus[exp_item],$J509,AvgBonus[company_name],$B509,AvgBonus[bu_name],$C509,AvgBonus[dept_name],$D509,AvgBonus[team_consolidation],$K509,AvgBonus[location_name],$G509,AvgBonus[job_title],$H509))*U404*SUM(BonusPayout[Month 10]))</f>
        <v>0</v>
      </c>
      <c r="V509" s="652">
        <f>IF($B509="",,IF(LEFT($H509,5)="dummy",SUMIFS(AvgBonus[avg_bonus],AvgBonus[job_title],$H509),SUMIFS(AvgBonus[avg_bonus],AvgBonus[exp_item],$J509,AvgBonus[company_name],$B509,AvgBonus[bu_name],$C509,AvgBonus[dept_name],$D509,AvgBonus[team_consolidation],$K509,AvgBonus[location_name],$G509,AvgBonus[job_title],$H509))*V404*SUM(BonusPayout[Month 11]))</f>
        <v>0</v>
      </c>
      <c r="W509" s="652">
        <f>IF($B509="",,IF(LEFT($H509,5)="dummy",SUMIFS(AvgBonus[avg_bonus],AvgBonus[job_title],$H509),SUMIFS(AvgBonus[avg_bonus],AvgBonus[exp_item],$J509,AvgBonus[company_name],$B509,AvgBonus[bu_name],$C509,AvgBonus[dept_name],$D509,AvgBonus[team_consolidation],$K509,AvgBonus[location_name],$G509,AvgBonus[job_title],$H509))*W404*SUM(BonusPayout[Month 12]))</f>
        <v>0</v>
      </c>
      <c r="X509" s="652">
        <f>IF($B509="",,IF(LEFT($H509,5)="dummy",SUMIFS(AvgBonus[avg_bonus],AvgBonus[job_title],$H509),SUMIFS(AvgBonus[avg_bonus],AvgBonus[exp_item],$J509,AvgBonus[company_name],$B509,AvgBonus[bu_name],$C509,AvgBonus[dept_name],$D509,AvgBonus[team_consolidation],$K509,AvgBonus[location_name],$G509,AvgBonus[job_title],$H509))*X404*SUM(BonusPayout[Month 13]))</f>
        <v>0</v>
      </c>
      <c r="Y509" s="652">
        <f>IF($B509="",,IF(LEFT($H509,5)="dummy",SUMIFS(AvgBonus[avg_bonus],AvgBonus[job_title],$H509),SUMIFS(AvgBonus[avg_bonus],AvgBonus[exp_item],$J509,AvgBonus[company_name],$B509,AvgBonus[bu_name],$C509,AvgBonus[dept_name],$D509,AvgBonus[team_consolidation],$K509,AvgBonus[location_name],$G509,AvgBonus[job_title],$H509))*Y404*SUM(BonusPayout[Month 14]))</f>
        <v>0</v>
      </c>
      <c r="Z509" s="652">
        <f>IF($B509="",,IF(LEFT($H509,5)="dummy",SUMIFS(AvgBonus[avg_bonus],AvgBonus[job_title],$H509),SUMIFS(AvgBonus[avg_bonus],AvgBonus[exp_item],$J509,AvgBonus[company_name],$B509,AvgBonus[bu_name],$C509,AvgBonus[dept_name],$D509,AvgBonus[team_consolidation],$K509,AvgBonus[location_name],$G509,AvgBonus[job_title],$H509))*Z404*SUM(BonusPayout[Month 15]))</f>
        <v>0</v>
      </c>
      <c r="AA509" s="652">
        <f>IF($B509="",,IF(LEFT($H509,5)="dummy",SUMIFS(AvgBonus[avg_bonus],AvgBonus[job_title],$H509),SUMIFS(AvgBonus[avg_bonus],AvgBonus[exp_item],$J509,AvgBonus[company_name],$B509,AvgBonus[bu_name],$C509,AvgBonus[dept_name],$D509,AvgBonus[team_consolidation],$K509,AvgBonus[location_name],$G509,AvgBonus[job_title],$H509))*AA404*SUM(BonusPayout[Month 16]))</f>
        <v>0</v>
      </c>
      <c r="AB509" s="652">
        <f>IF($B509="",,IF(LEFT($H509,5)="dummy",SUMIFS(AvgBonus[avg_bonus],AvgBonus[job_title],$H509),SUMIFS(AvgBonus[avg_bonus],AvgBonus[exp_item],$J509,AvgBonus[company_name],$B509,AvgBonus[bu_name],$C509,AvgBonus[dept_name],$D509,AvgBonus[team_consolidation],$K509,AvgBonus[location_name],$G509,AvgBonus[job_title],$H509))*AB404*SUM(BonusPayout[Month 17]))</f>
        <v>0</v>
      </c>
      <c r="AC509" s="652">
        <f>IF($B509="",,IF(LEFT($H509,5)="dummy",SUMIFS(AvgBonus[avg_bonus],AvgBonus[job_title],$H509),SUMIFS(AvgBonus[avg_bonus],AvgBonus[exp_item],$J509,AvgBonus[company_name],$B509,AvgBonus[bu_name],$C509,AvgBonus[dept_name],$D509,AvgBonus[team_consolidation],$K509,AvgBonus[location_name],$G509,AvgBonus[job_title],$H509))*AC404*SUM(BonusPayout[Month 18]))</f>
        <v>0</v>
      </c>
      <c r="AD509" s="652">
        <f>IF($B509="",,IF(LEFT($H509,5)="dummy",SUMIFS(AvgBonus[avg_bonus],AvgBonus[job_title],$H509),SUMIFS(AvgBonus[avg_bonus],AvgBonus[exp_item],$J509,AvgBonus[company_name],$B509,AvgBonus[bu_name],$C509,AvgBonus[dept_name],$D509,AvgBonus[team_consolidation],$K509,AvgBonus[location_name],$G509,AvgBonus[job_title],$H509))*AD404*SUM(BonusPayout[Month 19]))</f>
        <v>0</v>
      </c>
      <c r="AE509" s="652">
        <f>IF($B509="",,IF(LEFT($H509,5)="dummy",SUMIFS(AvgBonus[avg_bonus],AvgBonus[job_title],$H509),SUMIFS(AvgBonus[avg_bonus],AvgBonus[exp_item],$J509,AvgBonus[company_name],$B509,AvgBonus[bu_name],$C509,AvgBonus[dept_name],$D509,AvgBonus[team_consolidation],$K509,AvgBonus[location_name],$G509,AvgBonus[job_title],$H509))*AE404*SUM(BonusPayout[Month 20]))</f>
        <v>0</v>
      </c>
      <c r="AF509" s="652">
        <f>IF($B509="",,IF(LEFT($H509,5)="dummy",SUMIFS(AvgBonus[avg_bonus],AvgBonus[job_title],$H509),SUMIFS(AvgBonus[avg_bonus],AvgBonus[exp_item],$J509,AvgBonus[company_name],$B509,AvgBonus[bu_name],$C509,AvgBonus[dept_name],$D509,AvgBonus[team_consolidation],$K509,AvgBonus[location_name],$G509,AvgBonus[job_title],$H509))*AF404*SUM(BonusPayout[Month 21]))</f>
        <v>0</v>
      </c>
      <c r="AG509" s="652">
        <f>IF($B509="",,IF(LEFT($H509,5)="dummy",SUMIFS(AvgBonus[avg_bonus],AvgBonus[job_title],$H509),SUMIFS(AvgBonus[avg_bonus],AvgBonus[exp_item],$J509,AvgBonus[company_name],$B509,AvgBonus[bu_name],$C509,AvgBonus[dept_name],$D509,AvgBonus[team_consolidation],$K509,AvgBonus[location_name],$G509,AvgBonus[job_title],$H509))*AG404*SUM(BonusPayout[Month 22]))</f>
        <v>0</v>
      </c>
      <c r="AH509" s="652">
        <f>IF($B509="",,IF(LEFT($H509,5)="dummy",SUMIFS(AvgBonus[avg_bonus],AvgBonus[job_title],$H509),SUMIFS(AvgBonus[avg_bonus],AvgBonus[exp_item],$J509,AvgBonus[company_name],$B509,AvgBonus[bu_name],$C509,AvgBonus[dept_name],$D509,AvgBonus[team_consolidation],$K509,AvgBonus[location_name],$G509,AvgBonus[job_title],$H509))*AH404*SUM(BonusPayout[Month 23]))</f>
        <v>0</v>
      </c>
      <c r="AI509" s="652">
        <f>IF($B509="",,IF(LEFT($H509,5)="dummy",SUMIFS(AvgBonus[avg_bonus],AvgBonus[job_title],$H509),SUMIFS(AvgBonus[avg_bonus],AvgBonus[exp_item],$J509,AvgBonus[company_name],$B509,AvgBonus[bu_name],$C509,AvgBonus[dept_name],$D509,AvgBonus[team_consolidation],$K509,AvgBonus[location_name],$G509,AvgBonus[job_title],$H509))*AI404*SUM(BonusPayout[Month 24]))</f>
        <v>0</v>
      </c>
      <c r="AJ509" s="652">
        <f>IF($B509="",,IF(LEFT($H509,5)="dummy",SUMIFS(AvgBonus[avg_bonus],AvgBonus[job_title],$H509),SUMIFS(AvgBonus[avg_bonus],AvgBonus[exp_item],$J509,AvgBonus[company_name],$B509,AvgBonus[bu_name],$C509,AvgBonus[dept_name],$D509,AvgBonus[team_consolidation],$K509,AvgBonus[location_name],$G509,AvgBonus[job_title],$H509))*AJ404*SUM(BonusPayout[Month 25]))</f>
        <v>0</v>
      </c>
      <c r="AK509" s="652">
        <f>IF($B509="",,IF(LEFT($H509,5)="dummy",SUMIFS(AvgBonus[avg_bonus],AvgBonus[job_title],$H509),SUMIFS(AvgBonus[avg_bonus],AvgBonus[exp_item],$J509,AvgBonus[company_name],$B509,AvgBonus[bu_name],$C509,AvgBonus[dept_name],$D509,AvgBonus[team_consolidation],$K509,AvgBonus[location_name],$G509,AvgBonus[job_title],$H509))*AK404*SUM(BonusPayout[Month 26]))</f>
        <v>0</v>
      </c>
      <c r="AL509" s="652">
        <f>IF($B509="",,IF(LEFT($H509,5)="dummy",SUMIFS(AvgBonus[avg_bonus],AvgBonus[job_title],$H509),SUMIFS(AvgBonus[avg_bonus],AvgBonus[exp_item],$J509,AvgBonus[company_name],$B509,AvgBonus[bu_name],$C509,AvgBonus[dept_name],$D509,AvgBonus[team_consolidation],$K509,AvgBonus[location_name],$G509,AvgBonus[job_title],$H509))*AL404*SUM(BonusPayout[Month 27]))</f>
        <v>0</v>
      </c>
      <c r="AM509" s="652">
        <f>IF($B509="",,IF(LEFT($H509,5)="dummy",SUMIFS(AvgBonus[avg_bonus],AvgBonus[job_title],$H509),SUMIFS(AvgBonus[avg_bonus],AvgBonus[exp_item],$J509,AvgBonus[company_name],$B509,AvgBonus[bu_name],$C509,AvgBonus[dept_name],$D509,AvgBonus[team_consolidation],$K509,AvgBonus[location_name],$G509,AvgBonus[job_title],$H509))*AM404*SUM(BonusPayout[Month 28]))</f>
        <v>0</v>
      </c>
      <c r="AN509" s="652">
        <f>IF($B509="",,IF(LEFT($H509,5)="dummy",SUMIFS(AvgBonus[avg_bonus],AvgBonus[job_title],$H509),SUMIFS(AvgBonus[avg_bonus],AvgBonus[exp_item],$J509,AvgBonus[company_name],$B509,AvgBonus[bu_name],$C509,AvgBonus[dept_name],$D509,AvgBonus[team_consolidation],$K509,AvgBonus[location_name],$G509,AvgBonus[job_title],$H509))*AN404*SUM(BonusPayout[Month 29]))</f>
        <v>0</v>
      </c>
      <c r="AO509" s="652">
        <f>IF($B509="",,IF(LEFT($H509,5)="dummy",SUMIFS(AvgBonus[avg_bonus],AvgBonus[job_title],$H509),SUMIFS(AvgBonus[avg_bonus],AvgBonus[exp_item],$J509,AvgBonus[company_name],$B509,AvgBonus[bu_name],$C509,AvgBonus[dept_name],$D509,AvgBonus[team_consolidation],$K509,AvgBonus[location_name],$G509,AvgBonus[job_title],$H509))*AO404*SUM(BonusPayout[Month 30]))</f>
        <v>0</v>
      </c>
      <c r="AP509" s="652">
        <f>IF($B509="",,IF(LEFT($H509,5)="dummy",SUMIFS(AvgBonus[avg_bonus],AvgBonus[job_title],$H509),SUMIFS(AvgBonus[avg_bonus],AvgBonus[exp_item],$J509,AvgBonus[company_name],$B509,AvgBonus[bu_name],$C509,AvgBonus[dept_name],$D509,AvgBonus[team_consolidation],$K509,AvgBonus[location_name],$G509,AvgBonus[job_title],$H509))*AP404*SUM(BonusPayout[Month 31]))</f>
        <v>0</v>
      </c>
      <c r="AQ509" s="652">
        <f>IF($B509="",,IF(LEFT($H509,5)="dummy",SUMIFS(AvgBonus[avg_bonus],AvgBonus[job_title],$H509),SUMIFS(AvgBonus[avg_bonus],AvgBonus[exp_item],$J509,AvgBonus[company_name],$B509,AvgBonus[bu_name],$C509,AvgBonus[dept_name],$D509,AvgBonus[team_consolidation],$K509,AvgBonus[location_name],$G509,AvgBonus[job_title],$H509))*AQ404*SUM(BonusPayout[Month 32]))</f>
        <v>0</v>
      </c>
      <c r="AR509" s="652">
        <f>IF($B509="",,IF(LEFT($H509,5)="dummy",SUMIFS(AvgBonus[avg_bonus],AvgBonus[job_title],$H509),SUMIFS(AvgBonus[avg_bonus],AvgBonus[exp_item],$J509,AvgBonus[company_name],$B509,AvgBonus[bu_name],$C509,AvgBonus[dept_name],$D509,AvgBonus[team_consolidation],$K509,AvgBonus[location_name],$G509,AvgBonus[job_title],$H509))*AR404*SUM(BonusPayout[Month 33]))</f>
        <v>0</v>
      </c>
      <c r="AS509" s="652">
        <f>IF($B509="",,IF(LEFT($H509,5)="dummy",SUMIFS(AvgBonus[avg_bonus],AvgBonus[job_title],$H509),SUMIFS(AvgBonus[avg_bonus],AvgBonus[exp_item],$J509,AvgBonus[company_name],$B509,AvgBonus[bu_name],$C509,AvgBonus[dept_name],$D509,AvgBonus[team_consolidation],$K509,AvgBonus[location_name],$G509,AvgBonus[job_title],$H509))*AS404*SUM(BonusPayout[Month 34]))</f>
        <v>0</v>
      </c>
      <c r="AT509" s="652">
        <f>IF($B509="",,IF(LEFT($H509,5)="dummy",SUMIFS(AvgBonus[avg_bonus],AvgBonus[job_title],$H509),SUMIFS(AvgBonus[avg_bonus],AvgBonus[exp_item],$J509,AvgBonus[company_name],$B509,AvgBonus[bu_name],$C509,AvgBonus[dept_name],$D509,AvgBonus[team_consolidation],$K509,AvgBonus[location_name],$G509,AvgBonus[job_title],$H509))*AT404*SUM(BonusPayout[Month 35]))</f>
        <v>0</v>
      </c>
      <c r="AU509" s="652">
        <f>IF($B509="",,IF(LEFT($H509,5)="dummy",SUMIFS(AvgBonus[avg_bonus],AvgBonus[job_title],$H509),SUMIFS(AvgBonus[avg_bonus],AvgBonus[exp_item],$J509,AvgBonus[company_name],$B509,AvgBonus[bu_name],$C509,AvgBonus[dept_name],$D509,AvgBonus[team_consolidation],$K509,AvgBonus[location_name],$G509,AvgBonus[job_title],$H509))*AU404*SUM(BonusPayout[Month 36]))</f>
        <v>0</v>
      </c>
    </row>
    <row r="510" spans="1:52" x14ac:dyDescent="0.35">
      <c r="B510" t="str">
        <f t="shared" si="292"/>
        <v/>
      </c>
      <c r="C510" t="str">
        <f t="shared" ref="C510:G510" si="302">IF(C405="","",C405)</f>
        <v/>
      </c>
      <c r="D510" t="str">
        <f t="shared" si="302"/>
        <v/>
      </c>
      <c r="E510" t="str">
        <f t="shared" si="302"/>
        <v/>
      </c>
      <c r="F510" t="str">
        <f t="shared" si="302"/>
        <v/>
      </c>
      <c r="G510" t="str">
        <f t="shared" si="302"/>
        <v/>
      </c>
      <c r="H510" t="str">
        <f t="shared" si="291"/>
        <v/>
      </c>
      <c r="J510" t="str">
        <f>IF($H510="","",IF(VLOOKUP($B$500,ExpItems[],2,0),$B$500&amp;" - "&amp;INDEX(DivisionMapping[category_code],MATCH($D510&amp;$C510,DivisionMapping[dept_bu],0)),$B$500))</f>
        <v/>
      </c>
      <c r="K510" t="str">
        <f t="shared" si="294"/>
        <v/>
      </c>
      <c r="L510" s="652">
        <f>IF($B510="",,IF(LEFT($H510,5)="dummy",SUMIFS(AvgBonus[avg_bonus],AvgBonus[job_title],$H510),SUMIFS(AvgBonus[avg_bonus],AvgBonus[exp_item],$J510,AvgBonus[company_name],$B510,AvgBonus[bu_name],$C510,AvgBonus[dept_name],$D510,AvgBonus[team_consolidation],$K510,AvgBonus[location_name],$G510,AvgBonus[job_title],$H510))*L405*SUM(BonusPayout[Month 1]))</f>
        <v>0</v>
      </c>
      <c r="M510" s="652">
        <f>IF($B510="",,IF(LEFT($H510,5)="dummy",SUMIFS(AvgBonus[avg_bonus],AvgBonus[job_title],$H510),SUMIFS(AvgBonus[avg_bonus],AvgBonus[exp_item],$J510,AvgBonus[company_name],$B510,AvgBonus[bu_name],$C510,AvgBonus[dept_name],$D510,AvgBonus[team_consolidation],$K510,AvgBonus[location_name],$G510,AvgBonus[job_title],$H510))*M405*SUM(BonusPayout[Month 2]))</f>
        <v>0</v>
      </c>
      <c r="N510" s="652">
        <f>IF($B510="",,IF(LEFT($H510,5)="dummy",SUMIFS(AvgBonus[avg_bonus],AvgBonus[job_title],$H510),SUMIFS(AvgBonus[avg_bonus],AvgBonus[exp_item],$J510,AvgBonus[company_name],$B510,AvgBonus[bu_name],$C510,AvgBonus[dept_name],$D510,AvgBonus[team_consolidation],$K510,AvgBonus[location_name],$G510,AvgBonus[job_title],$H510))*N405*SUM(BonusPayout[Month 3]))</f>
        <v>0</v>
      </c>
      <c r="O510" s="652">
        <f>IF($B510="",,IF(LEFT($H510,5)="dummy",SUMIFS(AvgBonus[avg_bonus],AvgBonus[job_title],$H510),SUMIFS(AvgBonus[avg_bonus],AvgBonus[exp_item],$J510,AvgBonus[company_name],$B510,AvgBonus[bu_name],$C510,AvgBonus[dept_name],$D510,AvgBonus[team_consolidation],$K510,AvgBonus[location_name],$G510,AvgBonus[job_title],$H510))*O405*SUM(BonusPayout[Month 4]))</f>
        <v>0</v>
      </c>
      <c r="P510" s="652">
        <f>IF($B510="",,IF(LEFT($H510,5)="dummy",SUMIFS(AvgBonus[avg_bonus],AvgBonus[job_title],$H510),SUMIFS(AvgBonus[avg_bonus],AvgBonus[exp_item],$J510,AvgBonus[company_name],$B510,AvgBonus[bu_name],$C510,AvgBonus[dept_name],$D510,AvgBonus[team_consolidation],$K510,AvgBonus[location_name],$G510,AvgBonus[job_title],$H510))*P405*SUM(BonusPayout[Month 5]))</f>
        <v>0</v>
      </c>
      <c r="Q510" s="652">
        <f>IF($B510="",,IF(LEFT($H510,5)="dummy",SUMIFS(AvgBonus[avg_bonus],AvgBonus[job_title],$H510),SUMIFS(AvgBonus[avg_bonus],AvgBonus[exp_item],$J510,AvgBonus[company_name],$B510,AvgBonus[bu_name],$C510,AvgBonus[dept_name],$D510,AvgBonus[team_consolidation],$K510,AvgBonus[location_name],$G510,AvgBonus[job_title],$H510))*Q405*SUM(BonusPayout[Month 6]))</f>
        <v>0</v>
      </c>
      <c r="R510" s="652">
        <f>IF($B510="",,IF(LEFT($H510,5)="dummy",SUMIFS(AvgBonus[avg_bonus],AvgBonus[job_title],$H510),SUMIFS(AvgBonus[avg_bonus],AvgBonus[exp_item],$J510,AvgBonus[company_name],$B510,AvgBonus[bu_name],$C510,AvgBonus[dept_name],$D510,AvgBonus[team_consolidation],$K510,AvgBonus[location_name],$G510,AvgBonus[job_title],$H510))*R405*SUM(BonusPayout[Month 7]))</f>
        <v>0</v>
      </c>
      <c r="S510" s="652">
        <f>IF($B510="",,IF(LEFT($H510,5)="dummy",SUMIFS(AvgBonus[avg_bonus],AvgBonus[job_title],$H510),SUMIFS(AvgBonus[avg_bonus],AvgBonus[exp_item],$J510,AvgBonus[company_name],$B510,AvgBonus[bu_name],$C510,AvgBonus[dept_name],$D510,AvgBonus[team_consolidation],$K510,AvgBonus[location_name],$G510,AvgBonus[job_title],$H510))*S405*SUM(BonusPayout[Month 8]))</f>
        <v>0</v>
      </c>
      <c r="T510" s="652">
        <f>IF($B510="",,IF(LEFT($H510,5)="dummy",SUMIFS(AvgBonus[avg_bonus],AvgBonus[job_title],$H510),SUMIFS(AvgBonus[avg_bonus],AvgBonus[exp_item],$J510,AvgBonus[company_name],$B510,AvgBonus[bu_name],$C510,AvgBonus[dept_name],$D510,AvgBonus[team_consolidation],$K510,AvgBonus[location_name],$G510,AvgBonus[job_title],$H510))*T405*SUM(BonusPayout[Month 9]))</f>
        <v>0</v>
      </c>
      <c r="U510" s="652">
        <f>IF($B510="",,IF(LEFT($H510,5)="dummy",SUMIFS(AvgBonus[avg_bonus],AvgBonus[job_title],$H510),SUMIFS(AvgBonus[avg_bonus],AvgBonus[exp_item],$J510,AvgBonus[company_name],$B510,AvgBonus[bu_name],$C510,AvgBonus[dept_name],$D510,AvgBonus[team_consolidation],$K510,AvgBonus[location_name],$G510,AvgBonus[job_title],$H510))*U405*SUM(BonusPayout[Month 10]))</f>
        <v>0</v>
      </c>
      <c r="V510" s="652">
        <f>IF($B510="",,IF(LEFT($H510,5)="dummy",SUMIFS(AvgBonus[avg_bonus],AvgBonus[job_title],$H510),SUMIFS(AvgBonus[avg_bonus],AvgBonus[exp_item],$J510,AvgBonus[company_name],$B510,AvgBonus[bu_name],$C510,AvgBonus[dept_name],$D510,AvgBonus[team_consolidation],$K510,AvgBonus[location_name],$G510,AvgBonus[job_title],$H510))*V405*SUM(BonusPayout[Month 11]))</f>
        <v>0</v>
      </c>
      <c r="W510" s="652">
        <f>IF($B510="",,IF(LEFT($H510,5)="dummy",SUMIFS(AvgBonus[avg_bonus],AvgBonus[job_title],$H510),SUMIFS(AvgBonus[avg_bonus],AvgBonus[exp_item],$J510,AvgBonus[company_name],$B510,AvgBonus[bu_name],$C510,AvgBonus[dept_name],$D510,AvgBonus[team_consolidation],$K510,AvgBonus[location_name],$G510,AvgBonus[job_title],$H510))*W405*SUM(BonusPayout[Month 12]))</f>
        <v>0</v>
      </c>
      <c r="X510" s="652">
        <f>IF($B510="",,IF(LEFT($H510,5)="dummy",SUMIFS(AvgBonus[avg_bonus],AvgBonus[job_title],$H510),SUMIFS(AvgBonus[avg_bonus],AvgBonus[exp_item],$J510,AvgBonus[company_name],$B510,AvgBonus[bu_name],$C510,AvgBonus[dept_name],$D510,AvgBonus[team_consolidation],$K510,AvgBonus[location_name],$G510,AvgBonus[job_title],$H510))*X405*SUM(BonusPayout[Month 13]))</f>
        <v>0</v>
      </c>
      <c r="Y510" s="652">
        <f>IF($B510="",,IF(LEFT($H510,5)="dummy",SUMIFS(AvgBonus[avg_bonus],AvgBonus[job_title],$H510),SUMIFS(AvgBonus[avg_bonus],AvgBonus[exp_item],$J510,AvgBonus[company_name],$B510,AvgBonus[bu_name],$C510,AvgBonus[dept_name],$D510,AvgBonus[team_consolidation],$K510,AvgBonus[location_name],$G510,AvgBonus[job_title],$H510))*Y405*SUM(BonusPayout[Month 14]))</f>
        <v>0</v>
      </c>
      <c r="Z510" s="652">
        <f>IF($B510="",,IF(LEFT($H510,5)="dummy",SUMIFS(AvgBonus[avg_bonus],AvgBonus[job_title],$H510),SUMIFS(AvgBonus[avg_bonus],AvgBonus[exp_item],$J510,AvgBonus[company_name],$B510,AvgBonus[bu_name],$C510,AvgBonus[dept_name],$D510,AvgBonus[team_consolidation],$K510,AvgBonus[location_name],$G510,AvgBonus[job_title],$H510))*Z405*SUM(BonusPayout[Month 15]))</f>
        <v>0</v>
      </c>
      <c r="AA510" s="652">
        <f>IF($B510="",,IF(LEFT($H510,5)="dummy",SUMIFS(AvgBonus[avg_bonus],AvgBonus[job_title],$H510),SUMIFS(AvgBonus[avg_bonus],AvgBonus[exp_item],$J510,AvgBonus[company_name],$B510,AvgBonus[bu_name],$C510,AvgBonus[dept_name],$D510,AvgBonus[team_consolidation],$K510,AvgBonus[location_name],$G510,AvgBonus[job_title],$H510))*AA405*SUM(BonusPayout[Month 16]))</f>
        <v>0</v>
      </c>
      <c r="AB510" s="652">
        <f>IF($B510="",,IF(LEFT($H510,5)="dummy",SUMIFS(AvgBonus[avg_bonus],AvgBonus[job_title],$H510),SUMIFS(AvgBonus[avg_bonus],AvgBonus[exp_item],$J510,AvgBonus[company_name],$B510,AvgBonus[bu_name],$C510,AvgBonus[dept_name],$D510,AvgBonus[team_consolidation],$K510,AvgBonus[location_name],$G510,AvgBonus[job_title],$H510))*AB405*SUM(BonusPayout[Month 17]))</f>
        <v>0</v>
      </c>
      <c r="AC510" s="652">
        <f>IF($B510="",,IF(LEFT($H510,5)="dummy",SUMIFS(AvgBonus[avg_bonus],AvgBonus[job_title],$H510),SUMIFS(AvgBonus[avg_bonus],AvgBonus[exp_item],$J510,AvgBonus[company_name],$B510,AvgBonus[bu_name],$C510,AvgBonus[dept_name],$D510,AvgBonus[team_consolidation],$K510,AvgBonus[location_name],$G510,AvgBonus[job_title],$H510))*AC405*SUM(BonusPayout[Month 18]))</f>
        <v>0</v>
      </c>
      <c r="AD510" s="652">
        <f>IF($B510="",,IF(LEFT($H510,5)="dummy",SUMIFS(AvgBonus[avg_bonus],AvgBonus[job_title],$H510),SUMIFS(AvgBonus[avg_bonus],AvgBonus[exp_item],$J510,AvgBonus[company_name],$B510,AvgBonus[bu_name],$C510,AvgBonus[dept_name],$D510,AvgBonus[team_consolidation],$K510,AvgBonus[location_name],$G510,AvgBonus[job_title],$H510))*AD405*SUM(BonusPayout[Month 19]))</f>
        <v>0</v>
      </c>
      <c r="AE510" s="652">
        <f>IF($B510="",,IF(LEFT($H510,5)="dummy",SUMIFS(AvgBonus[avg_bonus],AvgBonus[job_title],$H510),SUMIFS(AvgBonus[avg_bonus],AvgBonus[exp_item],$J510,AvgBonus[company_name],$B510,AvgBonus[bu_name],$C510,AvgBonus[dept_name],$D510,AvgBonus[team_consolidation],$K510,AvgBonus[location_name],$G510,AvgBonus[job_title],$H510))*AE405*SUM(BonusPayout[Month 20]))</f>
        <v>0</v>
      </c>
      <c r="AF510" s="652">
        <f>IF($B510="",,IF(LEFT($H510,5)="dummy",SUMIFS(AvgBonus[avg_bonus],AvgBonus[job_title],$H510),SUMIFS(AvgBonus[avg_bonus],AvgBonus[exp_item],$J510,AvgBonus[company_name],$B510,AvgBonus[bu_name],$C510,AvgBonus[dept_name],$D510,AvgBonus[team_consolidation],$K510,AvgBonus[location_name],$G510,AvgBonus[job_title],$H510))*AF405*SUM(BonusPayout[Month 21]))</f>
        <v>0</v>
      </c>
      <c r="AG510" s="652">
        <f>IF($B510="",,IF(LEFT($H510,5)="dummy",SUMIFS(AvgBonus[avg_bonus],AvgBonus[job_title],$H510),SUMIFS(AvgBonus[avg_bonus],AvgBonus[exp_item],$J510,AvgBonus[company_name],$B510,AvgBonus[bu_name],$C510,AvgBonus[dept_name],$D510,AvgBonus[team_consolidation],$K510,AvgBonus[location_name],$G510,AvgBonus[job_title],$H510))*AG405*SUM(BonusPayout[Month 22]))</f>
        <v>0</v>
      </c>
      <c r="AH510" s="652">
        <f>IF($B510="",,IF(LEFT($H510,5)="dummy",SUMIFS(AvgBonus[avg_bonus],AvgBonus[job_title],$H510),SUMIFS(AvgBonus[avg_bonus],AvgBonus[exp_item],$J510,AvgBonus[company_name],$B510,AvgBonus[bu_name],$C510,AvgBonus[dept_name],$D510,AvgBonus[team_consolidation],$K510,AvgBonus[location_name],$G510,AvgBonus[job_title],$H510))*AH405*SUM(BonusPayout[Month 23]))</f>
        <v>0</v>
      </c>
      <c r="AI510" s="652">
        <f>IF($B510="",,IF(LEFT($H510,5)="dummy",SUMIFS(AvgBonus[avg_bonus],AvgBonus[job_title],$H510),SUMIFS(AvgBonus[avg_bonus],AvgBonus[exp_item],$J510,AvgBonus[company_name],$B510,AvgBonus[bu_name],$C510,AvgBonus[dept_name],$D510,AvgBonus[team_consolidation],$K510,AvgBonus[location_name],$G510,AvgBonus[job_title],$H510))*AI405*SUM(BonusPayout[Month 24]))</f>
        <v>0</v>
      </c>
      <c r="AJ510" s="652">
        <f>IF($B510="",,IF(LEFT($H510,5)="dummy",SUMIFS(AvgBonus[avg_bonus],AvgBonus[job_title],$H510),SUMIFS(AvgBonus[avg_bonus],AvgBonus[exp_item],$J510,AvgBonus[company_name],$B510,AvgBonus[bu_name],$C510,AvgBonus[dept_name],$D510,AvgBonus[team_consolidation],$K510,AvgBonus[location_name],$G510,AvgBonus[job_title],$H510))*AJ405*SUM(BonusPayout[Month 25]))</f>
        <v>0</v>
      </c>
      <c r="AK510" s="652">
        <f>IF($B510="",,IF(LEFT($H510,5)="dummy",SUMIFS(AvgBonus[avg_bonus],AvgBonus[job_title],$H510),SUMIFS(AvgBonus[avg_bonus],AvgBonus[exp_item],$J510,AvgBonus[company_name],$B510,AvgBonus[bu_name],$C510,AvgBonus[dept_name],$D510,AvgBonus[team_consolidation],$K510,AvgBonus[location_name],$G510,AvgBonus[job_title],$H510))*AK405*SUM(BonusPayout[Month 26]))</f>
        <v>0</v>
      </c>
      <c r="AL510" s="652">
        <f>IF($B510="",,IF(LEFT($H510,5)="dummy",SUMIFS(AvgBonus[avg_bonus],AvgBonus[job_title],$H510),SUMIFS(AvgBonus[avg_bonus],AvgBonus[exp_item],$J510,AvgBonus[company_name],$B510,AvgBonus[bu_name],$C510,AvgBonus[dept_name],$D510,AvgBonus[team_consolidation],$K510,AvgBonus[location_name],$G510,AvgBonus[job_title],$H510))*AL405*SUM(BonusPayout[Month 27]))</f>
        <v>0</v>
      </c>
      <c r="AM510" s="652">
        <f>IF($B510="",,IF(LEFT($H510,5)="dummy",SUMIFS(AvgBonus[avg_bonus],AvgBonus[job_title],$H510),SUMIFS(AvgBonus[avg_bonus],AvgBonus[exp_item],$J510,AvgBonus[company_name],$B510,AvgBonus[bu_name],$C510,AvgBonus[dept_name],$D510,AvgBonus[team_consolidation],$K510,AvgBonus[location_name],$G510,AvgBonus[job_title],$H510))*AM405*SUM(BonusPayout[Month 28]))</f>
        <v>0</v>
      </c>
      <c r="AN510" s="652">
        <f>IF($B510="",,IF(LEFT($H510,5)="dummy",SUMIFS(AvgBonus[avg_bonus],AvgBonus[job_title],$H510),SUMIFS(AvgBonus[avg_bonus],AvgBonus[exp_item],$J510,AvgBonus[company_name],$B510,AvgBonus[bu_name],$C510,AvgBonus[dept_name],$D510,AvgBonus[team_consolidation],$K510,AvgBonus[location_name],$G510,AvgBonus[job_title],$H510))*AN405*SUM(BonusPayout[Month 29]))</f>
        <v>0</v>
      </c>
      <c r="AO510" s="652">
        <f>IF($B510="",,IF(LEFT($H510,5)="dummy",SUMIFS(AvgBonus[avg_bonus],AvgBonus[job_title],$H510),SUMIFS(AvgBonus[avg_bonus],AvgBonus[exp_item],$J510,AvgBonus[company_name],$B510,AvgBonus[bu_name],$C510,AvgBonus[dept_name],$D510,AvgBonus[team_consolidation],$K510,AvgBonus[location_name],$G510,AvgBonus[job_title],$H510))*AO405*SUM(BonusPayout[Month 30]))</f>
        <v>0</v>
      </c>
      <c r="AP510" s="652">
        <f>IF($B510="",,IF(LEFT($H510,5)="dummy",SUMIFS(AvgBonus[avg_bonus],AvgBonus[job_title],$H510),SUMIFS(AvgBonus[avg_bonus],AvgBonus[exp_item],$J510,AvgBonus[company_name],$B510,AvgBonus[bu_name],$C510,AvgBonus[dept_name],$D510,AvgBonus[team_consolidation],$K510,AvgBonus[location_name],$G510,AvgBonus[job_title],$H510))*AP405*SUM(BonusPayout[Month 31]))</f>
        <v>0</v>
      </c>
      <c r="AQ510" s="652">
        <f>IF($B510="",,IF(LEFT($H510,5)="dummy",SUMIFS(AvgBonus[avg_bonus],AvgBonus[job_title],$H510),SUMIFS(AvgBonus[avg_bonus],AvgBonus[exp_item],$J510,AvgBonus[company_name],$B510,AvgBonus[bu_name],$C510,AvgBonus[dept_name],$D510,AvgBonus[team_consolidation],$K510,AvgBonus[location_name],$G510,AvgBonus[job_title],$H510))*AQ405*SUM(BonusPayout[Month 32]))</f>
        <v>0</v>
      </c>
      <c r="AR510" s="652">
        <f>IF($B510="",,IF(LEFT($H510,5)="dummy",SUMIFS(AvgBonus[avg_bonus],AvgBonus[job_title],$H510),SUMIFS(AvgBonus[avg_bonus],AvgBonus[exp_item],$J510,AvgBonus[company_name],$B510,AvgBonus[bu_name],$C510,AvgBonus[dept_name],$D510,AvgBonus[team_consolidation],$K510,AvgBonus[location_name],$G510,AvgBonus[job_title],$H510))*AR405*SUM(BonusPayout[Month 33]))</f>
        <v>0</v>
      </c>
      <c r="AS510" s="652">
        <f>IF($B510="",,IF(LEFT($H510,5)="dummy",SUMIFS(AvgBonus[avg_bonus],AvgBonus[job_title],$H510),SUMIFS(AvgBonus[avg_bonus],AvgBonus[exp_item],$J510,AvgBonus[company_name],$B510,AvgBonus[bu_name],$C510,AvgBonus[dept_name],$D510,AvgBonus[team_consolidation],$K510,AvgBonus[location_name],$G510,AvgBonus[job_title],$H510))*AS405*SUM(BonusPayout[Month 34]))</f>
        <v>0</v>
      </c>
      <c r="AT510" s="652">
        <f>IF($B510="",,IF(LEFT($H510,5)="dummy",SUMIFS(AvgBonus[avg_bonus],AvgBonus[job_title],$H510),SUMIFS(AvgBonus[avg_bonus],AvgBonus[exp_item],$J510,AvgBonus[company_name],$B510,AvgBonus[bu_name],$C510,AvgBonus[dept_name],$D510,AvgBonus[team_consolidation],$K510,AvgBonus[location_name],$G510,AvgBonus[job_title],$H510))*AT405*SUM(BonusPayout[Month 35]))</f>
        <v>0</v>
      </c>
      <c r="AU510" s="652">
        <f>IF($B510="",,IF(LEFT($H510,5)="dummy",SUMIFS(AvgBonus[avg_bonus],AvgBonus[job_title],$H510),SUMIFS(AvgBonus[avg_bonus],AvgBonus[exp_item],$J510,AvgBonus[company_name],$B510,AvgBonus[bu_name],$C510,AvgBonus[dept_name],$D510,AvgBonus[team_consolidation],$K510,AvgBonus[location_name],$G510,AvgBonus[job_title],$H510))*AU405*SUM(BonusPayout[Month 36]))</f>
        <v>0</v>
      </c>
    </row>
    <row r="511" spans="1:52" x14ac:dyDescent="0.35">
      <c r="B511" t="str">
        <f t="shared" si="292"/>
        <v/>
      </c>
      <c r="C511" t="str">
        <f t="shared" ref="C511:G511" si="303">IF(C406="","",C406)</f>
        <v/>
      </c>
      <c r="D511" t="str">
        <f t="shared" si="303"/>
        <v/>
      </c>
      <c r="E511" t="str">
        <f t="shared" si="303"/>
        <v/>
      </c>
      <c r="F511" t="str">
        <f t="shared" si="303"/>
        <v/>
      </c>
      <c r="G511" t="str">
        <f t="shared" si="303"/>
        <v/>
      </c>
      <c r="H511" t="str">
        <f t="shared" si="291"/>
        <v/>
      </c>
      <c r="J511" t="str">
        <f>IF($H511="","",IF(VLOOKUP($B$500,ExpItems[],2,0),$B$500&amp;" - "&amp;INDEX(DivisionMapping[category_code],MATCH($D511&amp;$C511,DivisionMapping[dept_bu],0)),$B$500))</f>
        <v/>
      </c>
      <c r="K511" t="str">
        <f t="shared" si="294"/>
        <v/>
      </c>
      <c r="L511" s="652">
        <f>IF($B511="",,IF(LEFT($H511,5)="dummy",SUMIFS(AvgBonus[avg_bonus],AvgBonus[job_title],$H511),SUMIFS(AvgBonus[avg_bonus],AvgBonus[exp_item],$J511,AvgBonus[company_name],$B511,AvgBonus[bu_name],$C511,AvgBonus[dept_name],$D511,AvgBonus[team_consolidation],$K511,AvgBonus[location_name],$G511,AvgBonus[job_title],$H511))*L406*SUM(BonusPayout[Month 1]))</f>
        <v>0</v>
      </c>
      <c r="M511" s="652">
        <f>IF($B511="",,IF(LEFT($H511,5)="dummy",SUMIFS(AvgBonus[avg_bonus],AvgBonus[job_title],$H511),SUMIFS(AvgBonus[avg_bonus],AvgBonus[exp_item],$J511,AvgBonus[company_name],$B511,AvgBonus[bu_name],$C511,AvgBonus[dept_name],$D511,AvgBonus[team_consolidation],$K511,AvgBonus[location_name],$G511,AvgBonus[job_title],$H511))*M406*SUM(BonusPayout[Month 2]))</f>
        <v>0</v>
      </c>
      <c r="N511" s="652">
        <f>IF($B511="",,IF(LEFT($H511,5)="dummy",SUMIFS(AvgBonus[avg_bonus],AvgBonus[job_title],$H511),SUMIFS(AvgBonus[avg_bonus],AvgBonus[exp_item],$J511,AvgBonus[company_name],$B511,AvgBonus[bu_name],$C511,AvgBonus[dept_name],$D511,AvgBonus[team_consolidation],$K511,AvgBonus[location_name],$G511,AvgBonus[job_title],$H511))*N406*SUM(BonusPayout[Month 3]))</f>
        <v>0</v>
      </c>
      <c r="O511" s="652">
        <f>IF($B511="",,IF(LEFT($H511,5)="dummy",SUMIFS(AvgBonus[avg_bonus],AvgBonus[job_title],$H511),SUMIFS(AvgBonus[avg_bonus],AvgBonus[exp_item],$J511,AvgBonus[company_name],$B511,AvgBonus[bu_name],$C511,AvgBonus[dept_name],$D511,AvgBonus[team_consolidation],$K511,AvgBonus[location_name],$G511,AvgBonus[job_title],$H511))*O406*SUM(BonusPayout[Month 4]))</f>
        <v>0</v>
      </c>
      <c r="P511" s="652">
        <f>IF($B511="",,IF(LEFT($H511,5)="dummy",SUMIFS(AvgBonus[avg_bonus],AvgBonus[job_title],$H511),SUMIFS(AvgBonus[avg_bonus],AvgBonus[exp_item],$J511,AvgBonus[company_name],$B511,AvgBonus[bu_name],$C511,AvgBonus[dept_name],$D511,AvgBonus[team_consolidation],$K511,AvgBonus[location_name],$G511,AvgBonus[job_title],$H511))*P406*SUM(BonusPayout[Month 5]))</f>
        <v>0</v>
      </c>
      <c r="Q511" s="652">
        <f>IF($B511="",,IF(LEFT($H511,5)="dummy",SUMIFS(AvgBonus[avg_bonus],AvgBonus[job_title],$H511),SUMIFS(AvgBonus[avg_bonus],AvgBonus[exp_item],$J511,AvgBonus[company_name],$B511,AvgBonus[bu_name],$C511,AvgBonus[dept_name],$D511,AvgBonus[team_consolidation],$K511,AvgBonus[location_name],$G511,AvgBonus[job_title],$H511))*Q406*SUM(BonusPayout[Month 6]))</f>
        <v>0</v>
      </c>
      <c r="R511" s="652">
        <f>IF($B511="",,IF(LEFT($H511,5)="dummy",SUMIFS(AvgBonus[avg_bonus],AvgBonus[job_title],$H511),SUMIFS(AvgBonus[avg_bonus],AvgBonus[exp_item],$J511,AvgBonus[company_name],$B511,AvgBonus[bu_name],$C511,AvgBonus[dept_name],$D511,AvgBonus[team_consolidation],$K511,AvgBonus[location_name],$G511,AvgBonus[job_title],$H511))*R406*SUM(BonusPayout[Month 7]))</f>
        <v>0</v>
      </c>
      <c r="S511" s="652">
        <f>IF($B511="",,IF(LEFT($H511,5)="dummy",SUMIFS(AvgBonus[avg_bonus],AvgBonus[job_title],$H511),SUMIFS(AvgBonus[avg_bonus],AvgBonus[exp_item],$J511,AvgBonus[company_name],$B511,AvgBonus[bu_name],$C511,AvgBonus[dept_name],$D511,AvgBonus[team_consolidation],$K511,AvgBonus[location_name],$G511,AvgBonus[job_title],$H511))*S406*SUM(BonusPayout[Month 8]))</f>
        <v>0</v>
      </c>
      <c r="T511" s="652">
        <f>IF($B511="",,IF(LEFT($H511,5)="dummy",SUMIFS(AvgBonus[avg_bonus],AvgBonus[job_title],$H511),SUMIFS(AvgBonus[avg_bonus],AvgBonus[exp_item],$J511,AvgBonus[company_name],$B511,AvgBonus[bu_name],$C511,AvgBonus[dept_name],$D511,AvgBonus[team_consolidation],$K511,AvgBonus[location_name],$G511,AvgBonus[job_title],$H511))*T406*SUM(BonusPayout[Month 9]))</f>
        <v>0</v>
      </c>
      <c r="U511" s="652">
        <f>IF($B511="",,IF(LEFT($H511,5)="dummy",SUMIFS(AvgBonus[avg_bonus],AvgBonus[job_title],$H511),SUMIFS(AvgBonus[avg_bonus],AvgBonus[exp_item],$J511,AvgBonus[company_name],$B511,AvgBonus[bu_name],$C511,AvgBonus[dept_name],$D511,AvgBonus[team_consolidation],$K511,AvgBonus[location_name],$G511,AvgBonus[job_title],$H511))*U406*SUM(BonusPayout[Month 10]))</f>
        <v>0</v>
      </c>
      <c r="V511" s="652">
        <f>IF($B511="",,IF(LEFT($H511,5)="dummy",SUMIFS(AvgBonus[avg_bonus],AvgBonus[job_title],$H511),SUMIFS(AvgBonus[avg_bonus],AvgBonus[exp_item],$J511,AvgBonus[company_name],$B511,AvgBonus[bu_name],$C511,AvgBonus[dept_name],$D511,AvgBonus[team_consolidation],$K511,AvgBonus[location_name],$G511,AvgBonus[job_title],$H511))*V406*SUM(BonusPayout[Month 11]))</f>
        <v>0</v>
      </c>
      <c r="W511" s="652">
        <f>IF($B511="",,IF(LEFT($H511,5)="dummy",SUMIFS(AvgBonus[avg_bonus],AvgBonus[job_title],$H511),SUMIFS(AvgBonus[avg_bonus],AvgBonus[exp_item],$J511,AvgBonus[company_name],$B511,AvgBonus[bu_name],$C511,AvgBonus[dept_name],$D511,AvgBonus[team_consolidation],$K511,AvgBonus[location_name],$G511,AvgBonus[job_title],$H511))*W406*SUM(BonusPayout[Month 12]))</f>
        <v>0</v>
      </c>
      <c r="X511" s="652">
        <f>IF($B511="",,IF(LEFT($H511,5)="dummy",SUMIFS(AvgBonus[avg_bonus],AvgBonus[job_title],$H511),SUMIFS(AvgBonus[avg_bonus],AvgBonus[exp_item],$J511,AvgBonus[company_name],$B511,AvgBonus[bu_name],$C511,AvgBonus[dept_name],$D511,AvgBonus[team_consolidation],$K511,AvgBonus[location_name],$G511,AvgBonus[job_title],$H511))*X406*SUM(BonusPayout[Month 13]))</f>
        <v>0</v>
      </c>
      <c r="Y511" s="652">
        <f>IF($B511="",,IF(LEFT($H511,5)="dummy",SUMIFS(AvgBonus[avg_bonus],AvgBonus[job_title],$H511),SUMIFS(AvgBonus[avg_bonus],AvgBonus[exp_item],$J511,AvgBonus[company_name],$B511,AvgBonus[bu_name],$C511,AvgBonus[dept_name],$D511,AvgBonus[team_consolidation],$K511,AvgBonus[location_name],$G511,AvgBonus[job_title],$H511))*Y406*SUM(BonusPayout[Month 14]))</f>
        <v>0</v>
      </c>
      <c r="Z511" s="652">
        <f>IF($B511="",,IF(LEFT($H511,5)="dummy",SUMIFS(AvgBonus[avg_bonus],AvgBonus[job_title],$H511),SUMIFS(AvgBonus[avg_bonus],AvgBonus[exp_item],$J511,AvgBonus[company_name],$B511,AvgBonus[bu_name],$C511,AvgBonus[dept_name],$D511,AvgBonus[team_consolidation],$K511,AvgBonus[location_name],$G511,AvgBonus[job_title],$H511))*Z406*SUM(BonusPayout[Month 15]))</f>
        <v>0</v>
      </c>
      <c r="AA511" s="652">
        <f>IF($B511="",,IF(LEFT($H511,5)="dummy",SUMIFS(AvgBonus[avg_bonus],AvgBonus[job_title],$H511),SUMIFS(AvgBonus[avg_bonus],AvgBonus[exp_item],$J511,AvgBonus[company_name],$B511,AvgBonus[bu_name],$C511,AvgBonus[dept_name],$D511,AvgBonus[team_consolidation],$K511,AvgBonus[location_name],$G511,AvgBonus[job_title],$H511))*AA406*SUM(BonusPayout[Month 16]))</f>
        <v>0</v>
      </c>
      <c r="AB511" s="652">
        <f>IF($B511="",,IF(LEFT($H511,5)="dummy",SUMIFS(AvgBonus[avg_bonus],AvgBonus[job_title],$H511),SUMIFS(AvgBonus[avg_bonus],AvgBonus[exp_item],$J511,AvgBonus[company_name],$B511,AvgBonus[bu_name],$C511,AvgBonus[dept_name],$D511,AvgBonus[team_consolidation],$K511,AvgBonus[location_name],$G511,AvgBonus[job_title],$H511))*AB406*SUM(BonusPayout[Month 17]))</f>
        <v>0</v>
      </c>
      <c r="AC511" s="652">
        <f>IF($B511="",,IF(LEFT($H511,5)="dummy",SUMIFS(AvgBonus[avg_bonus],AvgBonus[job_title],$H511),SUMIFS(AvgBonus[avg_bonus],AvgBonus[exp_item],$J511,AvgBonus[company_name],$B511,AvgBonus[bu_name],$C511,AvgBonus[dept_name],$D511,AvgBonus[team_consolidation],$K511,AvgBonus[location_name],$G511,AvgBonus[job_title],$H511))*AC406*SUM(BonusPayout[Month 18]))</f>
        <v>0</v>
      </c>
      <c r="AD511" s="652">
        <f>IF($B511="",,IF(LEFT($H511,5)="dummy",SUMIFS(AvgBonus[avg_bonus],AvgBonus[job_title],$H511),SUMIFS(AvgBonus[avg_bonus],AvgBonus[exp_item],$J511,AvgBonus[company_name],$B511,AvgBonus[bu_name],$C511,AvgBonus[dept_name],$D511,AvgBonus[team_consolidation],$K511,AvgBonus[location_name],$G511,AvgBonus[job_title],$H511))*AD406*SUM(BonusPayout[Month 19]))</f>
        <v>0</v>
      </c>
      <c r="AE511" s="652">
        <f>IF($B511="",,IF(LEFT($H511,5)="dummy",SUMIFS(AvgBonus[avg_bonus],AvgBonus[job_title],$H511),SUMIFS(AvgBonus[avg_bonus],AvgBonus[exp_item],$J511,AvgBonus[company_name],$B511,AvgBonus[bu_name],$C511,AvgBonus[dept_name],$D511,AvgBonus[team_consolidation],$K511,AvgBonus[location_name],$G511,AvgBonus[job_title],$H511))*AE406*SUM(BonusPayout[Month 20]))</f>
        <v>0</v>
      </c>
      <c r="AF511" s="652">
        <f>IF($B511="",,IF(LEFT($H511,5)="dummy",SUMIFS(AvgBonus[avg_bonus],AvgBonus[job_title],$H511),SUMIFS(AvgBonus[avg_bonus],AvgBonus[exp_item],$J511,AvgBonus[company_name],$B511,AvgBonus[bu_name],$C511,AvgBonus[dept_name],$D511,AvgBonus[team_consolidation],$K511,AvgBonus[location_name],$G511,AvgBonus[job_title],$H511))*AF406*SUM(BonusPayout[Month 21]))</f>
        <v>0</v>
      </c>
      <c r="AG511" s="652">
        <f>IF($B511="",,IF(LEFT($H511,5)="dummy",SUMIFS(AvgBonus[avg_bonus],AvgBonus[job_title],$H511),SUMIFS(AvgBonus[avg_bonus],AvgBonus[exp_item],$J511,AvgBonus[company_name],$B511,AvgBonus[bu_name],$C511,AvgBonus[dept_name],$D511,AvgBonus[team_consolidation],$K511,AvgBonus[location_name],$G511,AvgBonus[job_title],$H511))*AG406*SUM(BonusPayout[Month 22]))</f>
        <v>0</v>
      </c>
      <c r="AH511" s="652">
        <f>IF($B511="",,IF(LEFT($H511,5)="dummy",SUMIFS(AvgBonus[avg_bonus],AvgBonus[job_title],$H511),SUMIFS(AvgBonus[avg_bonus],AvgBonus[exp_item],$J511,AvgBonus[company_name],$B511,AvgBonus[bu_name],$C511,AvgBonus[dept_name],$D511,AvgBonus[team_consolidation],$K511,AvgBonus[location_name],$G511,AvgBonus[job_title],$H511))*AH406*SUM(BonusPayout[Month 23]))</f>
        <v>0</v>
      </c>
      <c r="AI511" s="652">
        <f>IF($B511="",,IF(LEFT($H511,5)="dummy",SUMIFS(AvgBonus[avg_bonus],AvgBonus[job_title],$H511),SUMIFS(AvgBonus[avg_bonus],AvgBonus[exp_item],$J511,AvgBonus[company_name],$B511,AvgBonus[bu_name],$C511,AvgBonus[dept_name],$D511,AvgBonus[team_consolidation],$K511,AvgBonus[location_name],$G511,AvgBonus[job_title],$H511))*AI406*SUM(BonusPayout[Month 24]))</f>
        <v>0</v>
      </c>
      <c r="AJ511" s="652">
        <f>IF($B511="",,IF(LEFT($H511,5)="dummy",SUMIFS(AvgBonus[avg_bonus],AvgBonus[job_title],$H511),SUMIFS(AvgBonus[avg_bonus],AvgBonus[exp_item],$J511,AvgBonus[company_name],$B511,AvgBonus[bu_name],$C511,AvgBonus[dept_name],$D511,AvgBonus[team_consolidation],$K511,AvgBonus[location_name],$G511,AvgBonus[job_title],$H511))*AJ406*SUM(BonusPayout[Month 25]))</f>
        <v>0</v>
      </c>
      <c r="AK511" s="652">
        <f>IF($B511="",,IF(LEFT($H511,5)="dummy",SUMIFS(AvgBonus[avg_bonus],AvgBonus[job_title],$H511),SUMIFS(AvgBonus[avg_bonus],AvgBonus[exp_item],$J511,AvgBonus[company_name],$B511,AvgBonus[bu_name],$C511,AvgBonus[dept_name],$D511,AvgBonus[team_consolidation],$K511,AvgBonus[location_name],$G511,AvgBonus[job_title],$H511))*AK406*SUM(BonusPayout[Month 26]))</f>
        <v>0</v>
      </c>
      <c r="AL511" s="652">
        <f>IF($B511="",,IF(LEFT($H511,5)="dummy",SUMIFS(AvgBonus[avg_bonus],AvgBonus[job_title],$H511),SUMIFS(AvgBonus[avg_bonus],AvgBonus[exp_item],$J511,AvgBonus[company_name],$B511,AvgBonus[bu_name],$C511,AvgBonus[dept_name],$D511,AvgBonus[team_consolidation],$K511,AvgBonus[location_name],$G511,AvgBonus[job_title],$H511))*AL406*SUM(BonusPayout[Month 27]))</f>
        <v>0</v>
      </c>
      <c r="AM511" s="652">
        <f>IF($B511="",,IF(LEFT($H511,5)="dummy",SUMIFS(AvgBonus[avg_bonus],AvgBonus[job_title],$H511),SUMIFS(AvgBonus[avg_bonus],AvgBonus[exp_item],$J511,AvgBonus[company_name],$B511,AvgBonus[bu_name],$C511,AvgBonus[dept_name],$D511,AvgBonus[team_consolidation],$K511,AvgBonus[location_name],$G511,AvgBonus[job_title],$H511))*AM406*SUM(BonusPayout[Month 28]))</f>
        <v>0</v>
      </c>
      <c r="AN511" s="652">
        <f>IF($B511="",,IF(LEFT($H511,5)="dummy",SUMIFS(AvgBonus[avg_bonus],AvgBonus[job_title],$H511),SUMIFS(AvgBonus[avg_bonus],AvgBonus[exp_item],$J511,AvgBonus[company_name],$B511,AvgBonus[bu_name],$C511,AvgBonus[dept_name],$D511,AvgBonus[team_consolidation],$K511,AvgBonus[location_name],$G511,AvgBonus[job_title],$H511))*AN406*SUM(BonusPayout[Month 29]))</f>
        <v>0</v>
      </c>
      <c r="AO511" s="652">
        <f>IF($B511="",,IF(LEFT($H511,5)="dummy",SUMIFS(AvgBonus[avg_bonus],AvgBonus[job_title],$H511),SUMIFS(AvgBonus[avg_bonus],AvgBonus[exp_item],$J511,AvgBonus[company_name],$B511,AvgBonus[bu_name],$C511,AvgBonus[dept_name],$D511,AvgBonus[team_consolidation],$K511,AvgBonus[location_name],$G511,AvgBonus[job_title],$H511))*AO406*SUM(BonusPayout[Month 30]))</f>
        <v>0</v>
      </c>
      <c r="AP511" s="652">
        <f>IF($B511="",,IF(LEFT($H511,5)="dummy",SUMIFS(AvgBonus[avg_bonus],AvgBonus[job_title],$H511),SUMIFS(AvgBonus[avg_bonus],AvgBonus[exp_item],$J511,AvgBonus[company_name],$B511,AvgBonus[bu_name],$C511,AvgBonus[dept_name],$D511,AvgBonus[team_consolidation],$K511,AvgBonus[location_name],$G511,AvgBonus[job_title],$H511))*AP406*SUM(BonusPayout[Month 31]))</f>
        <v>0</v>
      </c>
      <c r="AQ511" s="652">
        <f>IF($B511="",,IF(LEFT($H511,5)="dummy",SUMIFS(AvgBonus[avg_bonus],AvgBonus[job_title],$H511),SUMIFS(AvgBonus[avg_bonus],AvgBonus[exp_item],$J511,AvgBonus[company_name],$B511,AvgBonus[bu_name],$C511,AvgBonus[dept_name],$D511,AvgBonus[team_consolidation],$K511,AvgBonus[location_name],$G511,AvgBonus[job_title],$H511))*AQ406*SUM(BonusPayout[Month 32]))</f>
        <v>0</v>
      </c>
      <c r="AR511" s="652">
        <f>IF($B511="",,IF(LEFT($H511,5)="dummy",SUMIFS(AvgBonus[avg_bonus],AvgBonus[job_title],$H511),SUMIFS(AvgBonus[avg_bonus],AvgBonus[exp_item],$J511,AvgBonus[company_name],$B511,AvgBonus[bu_name],$C511,AvgBonus[dept_name],$D511,AvgBonus[team_consolidation],$K511,AvgBonus[location_name],$G511,AvgBonus[job_title],$H511))*AR406*SUM(BonusPayout[Month 33]))</f>
        <v>0</v>
      </c>
      <c r="AS511" s="652">
        <f>IF($B511="",,IF(LEFT($H511,5)="dummy",SUMIFS(AvgBonus[avg_bonus],AvgBonus[job_title],$H511),SUMIFS(AvgBonus[avg_bonus],AvgBonus[exp_item],$J511,AvgBonus[company_name],$B511,AvgBonus[bu_name],$C511,AvgBonus[dept_name],$D511,AvgBonus[team_consolidation],$K511,AvgBonus[location_name],$G511,AvgBonus[job_title],$H511))*AS406*SUM(BonusPayout[Month 34]))</f>
        <v>0</v>
      </c>
      <c r="AT511" s="652">
        <f>IF($B511="",,IF(LEFT($H511,5)="dummy",SUMIFS(AvgBonus[avg_bonus],AvgBonus[job_title],$H511),SUMIFS(AvgBonus[avg_bonus],AvgBonus[exp_item],$J511,AvgBonus[company_name],$B511,AvgBonus[bu_name],$C511,AvgBonus[dept_name],$D511,AvgBonus[team_consolidation],$K511,AvgBonus[location_name],$G511,AvgBonus[job_title],$H511))*AT406*SUM(BonusPayout[Month 35]))</f>
        <v>0</v>
      </c>
      <c r="AU511" s="652">
        <f>IF($B511="",,IF(LEFT($H511,5)="dummy",SUMIFS(AvgBonus[avg_bonus],AvgBonus[job_title],$H511),SUMIFS(AvgBonus[avg_bonus],AvgBonus[exp_item],$J511,AvgBonus[company_name],$B511,AvgBonus[bu_name],$C511,AvgBonus[dept_name],$D511,AvgBonus[team_consolidation],$K511,AvgBonus[location_name],$G511,AvgBonus[job_title],$H511))*AU406*SUM(BonusPayout[Month 36]))</f>
        <v>0</v>
      </c>
    </row>
    <row r="512" spans="1:52" x14ac:dyDescent="0.35">
      <c r="B512" t="str">
        <f t="shared" si="292"/>
        <v/>
      </c>
      <c r="C512" t="str">
        <f t="shared" ref="C512:G512" si="304">IF(C407="","",C407)</f>
        <v/>
      </c>
      <c r="D512" t="str">
        <f t="shared" si="304"/>
        <v/>
      </c>
      <c r="E512" t="str">
        <f t="shared" si="304"/>
        <v/>
      </c>
      <c r="F512" t="str">
        <f t="shared" si="304"/>
        <v/>
      </c>
      <c r="G512" t="str">
        <f t="shared" si="304"/>
        <v/>
      </c>
      <c r="H512" t="str">
        <f t="shared" si="291"/>
        <v/>
      </c>
      <c r="J512" t="str">
        <f>IF($H512="","",IF(VLOOKUP($B$500,ExpItems[],2,0),$B$500&amp;" - "&amp;INDEX(DivisionMapping[category_code],MATCH($D512&amp;$C512,DivisionMapping[dept_bu],0)),$B$500))</f>
        <v/>
      </c>
      <c r="K512" t="str">
        <f t="shared" si="294"/>
        <v/>
      </c>
      <c r="L512" s="652">
        <f>IF($B512="",,IF(LEFT($H512,5)="dummy",SUMIFS(AvgBonus[avg_bonus],AvgBonus[job_title],$H512),SUMIFS(AvgBonus[avg_bonus],AvgBonus[exp_item],$J512,AvgBonus[company_name],$B512,AvgBonus[bu_name],$C512,AvgBonus[dept_name],$D512,AvgBonus[team_consolidation],$K512,AvgBonus[location_name],$G512,AvgBonus[job_title],$H512))*L407*SUM(BonusPayout[Month 1]))</f>
        <v>0</v>
      </c>
      <c r="M512" s="652">
        <f>IF($B512="",,IF(LEFT($H512,5)="dummy",SUMIFS(AvgBonus[avg_bonus],AvgBonus[job_title],$H512),SUMIFS(AvgBonus[avg_bonus],AvgBonus[exp_item],$J512,AvgBonus[company_name],$B512,AvgBonus[bu_name],$C512,AvgBonus[dept_name],$D512,AvgBonus[team_consolidation],$K512,AvgBonus[location_name],$G512,AvgBonus[job_title],$H512))*M407*SUM(BonusPayout[Month 2]))</f>
        <v>0</v>
      </c>
      <c r="N512" s="652">
        <f>IF($B512="",,IF(LEFT($H512,5)="dummy",SUMIFS(AvgBonus[avg_bonus],AvgBonus[job_title],$H512),SUMIFS(AvgBonus[avg_bonus],AvgBonus[exp_item],$J512,AvgBonus[company_name],$B512,AvgBonus[bu_name],$C512,AvgBonus[dept_name],$D512,AvgBonus[team_consolidation],$K512,AvgBonus[location_name],$G512,AvgBonus[job_title],$H512))*N407*SUM(BonusPayout[Month 3]))</f>
        <v>0</v>
      </c>
      <c r="O512" s="652">
        <f>IF($B512="",,IF(LEFT($H512,5)="dummy",SUMIFS(AvgBonus[avg_bonus],AvgBonus[job_title],$H512),SUMIFS(AvgBonus[avg_bonus],AvgBonus[exp_item],$J512,AvgBonus[company_name],$B512,AvgBonus[bu_name],$C512,AvgBonus[dept_name],$D512,AvgBonus[team_consolidation],$K512,AvgBonus[location_name],$G512,AvgBonus[job_title],$H512))*O407*SUM(BonusPayout[Month 4]))</f>
        <v>0</v>
      </c>
      <c r="P512" s="652">
        <f>IF($B512="",,IF(LEFT($H512,5)="dummy",SUMIFS(AvgBonus[avg_bonus],AvgBonus[job_title],$H512),SUMIFS(AvgBonus[avg_bonus],AvgBonus[exp_item],$J512,AvgBonus[company_name],$B512,AvgBonus[bu_name],$C512,AvgBonus[dept_name],$D512,AvgBonus[team_consolidation],$K512,AvgBonus[location_name],$G512,AvgBonus[job_title],$H512))*P407*SUM(BonusPayout[Month 5]))</f>
        <v>0</v>
      </c>
      <c r="Q512" s="652">
        <f>IF($B512="",,IF(LEFT($H512,5)="dummy",SUMIFS(AvgBonus[avg_bonus],AvgBonus[job_title],$H512),SUMIFS(AvgBonus[avg_bonus],AvgBonus[exp_item],$J512,AvgBonus[company_name],$B512,AvgBonus[bu_name],$C512,AvgBonus[dept_name],$D512,AvgBonus[team_consolidation],$K512,AvgBonus[location_name],$G512,AvgBonus[job_title],$H512))*Q407*SUM(BonusPayout[Month 6]))</f>
        <v>0</v>
      </c>
      <c r="R512" s="652">
        <f>IF($B512="",,IF(LEFT($H512,5)="dummy",SUMIFS(AvgBonus[avg_bonus],AvgBonus[job_title],$H512),SUMIFS(AvgBonus[avg_bonus],AvgBonus[exp_item],$J512,AvgBonus[company_name],$B512,AvgBonus[bu_name],$C512,AvgBonus[dept_name],$D512,AvgBonus[team_consolidation],$K512,AvgBonus[location_name],$G512,AvgBonus[job_title],$H512))*R407*SUM(BonusPayout[Month 7]))</f>
        <v>0</v>
      </c>
      <c r="S512" s="652">
        <f>IF($B512="",,IF(LEFT($H512,5)="dummy",SUMIFS(AvgBonus[avg_bonus],AvgBonus[job_title],$H512),SUMIFS(AvgBonus[avg_bonus],AvgBonus[exp_item],$J512,AvgBonus[company_name],$B512,AvgBonus[bu_name],$C512,AvgBonus[dept_name],$D512,AvgBonus[team_consolidation],$K512,AvgBonus[location_name],$G512,AvgBonus[job_title],$H512))*S407*SUM(BonusPayout[Month 8]))</f>
        <v>0</v>
      </c>
      <c r="T512" s="652">
        <f>IF($B512="",,IF(LEFT($H512,5)="dummy",SUMIFS(AvgBonus[avg_bonus],AvgBonus[job_title],$H512),SUMIFS(AvgBonus[avg_bonus],AvgBonus[exp_item],$J512,AvgBonus[company_name],$B512,AvgBonus[bu_name],$C512,AvgBonus[dept_name],$D512,AvgBonus[team_consolidation],$K512,AvgBonus[location_name],$G512,AvgBonus[job_title],$H512))*T407*SUM(BonusPayout[Month 9]))</f>
        <v>0</v>
      </c>
      <c r="U512" s="652">
        <f>IF($B512="",,IF(LEFT($H512,5)="dummy",SUMIFS(AvgBonus[avg_bonus],AvgBonus[job_title],$H512),SUMIFS(AvgBonus[avg_bonus],AvgBonus[exp_item],$J512,AvgBonus[company_name],$B512,AvgBonus[bu_name],$C512,AvgBonus[dept_name],$D512,AvgBonus[team_consolidation],$K512,AvgBonus[location_name],$G512,AvgBonus[job_title],$H512))*U407*SUM(BonusPayout[Month 10]))</f>
        <v>0</v>
      </c>
      <c r="V512" s="652">
        <f>IF($B512="",,IF(LEFT($H512,5)="dummy",SUMIFS(AvgBonus[avg_bonus],AvgBonus[job_title],$H512),SUMIFS(AvgBonus[avg_bonus],AvgBonus[exp_item],$J512,AvgBonus[company_name],$B512,AvgBonus[bu_name],$C512,AvgBonus[dept_name],$D512,AvgBonus[team_consolidation],$K512,AvgBonus[location_name],$G512,AvgBonus[job_title],$H512))*V407*SUM(BonusPayout[Month 11]))</f>
        <v>0</v>
      </c>
      <c r="W512" s="652">
        <f>IF($B512="",,IF(LEFT($H512,5)="dummy",SUMIFS(AvgBonus[avg_bonus],AvgBonus[job_title],$H512),SUMIFS(AvgBonus[avg_bonus],AvgBonus[exp_item],$J512,AvgBonus[company_name],$B512,AvgBonus[bu_name],$C512,AvgBonus[dept_name],$D512,AvgBonus[team_consolidation],$K512,AvgBonus[location_name],$G512,AvgBonus[job_title],$H512))*W407*SUM(BonusPayout[Month 12]))</f>
        <v>0</v>
      </c>
      <c r="X512" s="652">
        <f>IF($B512="",,IF(LEFT($H512,5)="dummy",SUMIFS(AvgBonus[avg_bonus],AvgBonus[job_title],$H512),SUMIFS(AvgBonus[avg_bonus],AvgBonus[exp_item],$J512,AvgBonus[company_name],$B512,AvgBonus[bu_name],$C512,AvgBonus[dept_name],$D512,AvgBonus[team_consolidation],$K512,AvgBonus[location_name],$G512,AvgBonus[job_title],$H512))*X407*SUM(BonusPayout[Month 13]))</f>
        <v>0</v>
      </c>
      <c r="Y512" s="652">
        <f>IF($B512="",,IF(LEFT($H512,5)="dummy",SUMIFS(AvgBonus[avg_bonus],AvgBonus[job_title],$H512),SUMIFS(AvgBonus[avg_bonus],AvgBonus[exp_item],$J512,AvgBonus[company_name],$B512,AvgBonus[bu_name],$C512,AvgBonus[dept_name],$D512,AvgBonus[team_consolidation],$K512,AvgBonus[location_name],$G512,AvgBonus[job_title],$H512))*Y407*SUM(BonusPayout[Month 14]))</f>
        <v>0</v>
      </c>
      <c r="Z512" s="652">
        <f>IF($B512="",,IF(LEFT($H512,5)="dummy",SUMIFS(AvgBonus[avg_bonus],AvgBonus[job_title],$H512),SUMIFS(AvgBonus[avg_bonus],AvgBonus[exp_item],$J512,AvgBonus[company_name],$B512,AvgBonus[bu_name],$C512,AvgBonus[dept_name],$D512,AvgBonus[team_consolidation],$K512,AvgBonus[location_name],$G512,AvgBonus[job_title],$H512))*Z407*SUM(BonusPayout[Month 15]))</f>
        <v>0</v>
      </c>
      <c r="AA512" s="652">
        <f>IF($B512="",,IF(LEFT($H512,5)="dummy",SUMIFS(AvgBonus[avg_bonus],AvgBonus[job_title],$H512),SUMIFS(AvgBonus[avg_bonus],AvgBonus[exp_item],$J512,AvgBonus[company_name],$B512,AvgBonus[bu_name],$C512,AvgBonus[dept_name],$D512,AvgBonus[team_consolidation],$K512,AvgBonus[location_name],$G512,AvgBonus[job_title],$H512))*AA407*SUM(BonusPayout[Month 16]))</f>
        <v>0</v>
      </c>
      <c r="AB512" s="652">
        <f>IF($B512="",,IF(LEFT($H512,5)="dummy",SUMIFS(AvgBonus[avg_bonus],AvgBonus[job_title],$H512),SUMIFS(AvgBonus[avg_bonus],AvgBonus[exp_item],$J512,AvgBonus[company_name],$B512,AvgBonus[bu_name],$C512,AvgBonus[dept_name],$D512,AvgBonus[team_consolidation],$K512,AvgBonus[location_name],$G512,AvgBonus[job_title],$H512))*AB407*SUM(BonusPayout[Month 17]))</f>
        <v>0</v>
      </c>
      <c r="AC512" s="652">
        <f>IF($B512="",,IF(LEFT($H512,5)="dummy",SUMIFS(AvgBonus[avg_bonus],AvgBonus[job_title],$H512),SUMIFS(AvgBonus[avg_bonus],AvgBonus[exp_item],$J512,AvgBonus[company_name],$B512,AvgBonus[bu_name],$C512,AvgBonus[dept_name],$D512,AvgBonus[team_consolidation],$K512,AvgBonus[location_name],$G512,AvgBonus[job_title],$H512))*AC407*SUM(BonusPayout[Month 18]))</f>
        <v>0</v>
      </c>
      <c r="AD512" s="652">
        <f>IF($B512="",,IF(LEFT($H512,5)="dummy",SUMIFS(AvgBonus[avg_bonus],AvgBonus[job_title],$H512),SUMIFS(AvgBonus[avg_bonus],AvgBonus[exp_item],$J512,AvgBonus[company_name],$B512,AvgBonus[bu_name],$C512,AvgBonus[dept_name],$D512,AvgBonus[team_consolidation],$K512,AvgBonus[location_name],$G512,AvgBonus[job_title],$H512))*AD407*SUM(BonusPayout[Month 19]))</f>
        <v>0</v>
      </c>
      <c r="AE512" s="652">
        <f>IF($B512="",,IF(LEFT($H512,5)="dummy",SUMIFS(AvgBonus[avg_bonus],AvgBonus[job_title],$H512),SUMIFS(AvgBonus[avg_bonus],AvgBonus[exp_item],$J512,AvgBonus[company_name],$B512,AvgBonus[bu_name],$C512,AvgBonus[dept_name],$D512,AvgBonus[team_consolidation],$K512,AvgBonus[location_name],$G512,AvgBonus[job_title],$H512))*AE407*SUM(BonusPayout[Month 20]))</f>
        <v>0</v>
      </c>
      <c r="AF512" s="652">
        <f>IF($B512="",,IF(LEFT($H512,5)="dummy",SUMIFS(AvgBonus[avg_bonus],AvgBonus[job_title],$H512),SUMIFS(AvgBonus[avg_bonus],AvgBonus[exp_item],$J512,AvgBonus[company_name],$B512,AvgBonus[bu_name],$C512,AvgBonus[dept_name],$D512,AvgBonus[team_consolidation],$K512,AvgBonus[location_name],$G512,AvgBonus[job_title],$H512))*AF407*SUM(BonusPayout[Month 21]))</f>
        <v>0</v>
      </c>
      <c r="AG512" s="652">
        <f>IF($B512="",,IF(LEFT($H512,5)="dummy",SUMIFS(AvgBonus[avg_bonus],AvgBonus[job_title],$H512),SUMIFS(AvgBonus[avg_bonus],AvgBonus[exp_item],$J512,AvgBonus[company_name],$B512,AvgBonus[bu_name],$C512,AvgBonus[dept_name],$D512,AvgBonus[team_consolidation],$K512,AvgBonus[location_name],$G512,AvgBonus[job_title],$H512))*AG407*SUM(BonusPayout[Month 22]))</f>
        <v>0</v>
      </c>
      <c r="AH512" s="652">
        <f>IF($B512="",,IF(LEFT($H512,5)="dummy",SUMIFS(AvgBonus[avg_bonus],AvgBonus[job_title],$H512),SUMIFS(AvgBonus[avg_bonus],AvgBonus[exp_item],$J512,AvgBonus[company_name],$B512,AvgBonus[bu_name],$C512,AvgBonus[dept_name],$D512,AvgBonus[team_consolidation],$K512,AvgBonus[location_name],$G512,AvgBonus[job_title],$H512))*AH407*SUM(BonusPayout[Month 23]))</f>
        <v>0</v>
      </c>
      <c r="AI512" s="652">
        <f>IF($B512="",,IF(LEFT($H512,5)="dummy",SUMIFS(AvgBonus[avg_bonus],AvgBonus[job_title],$H512),SUMIFS(AvgBonus[avg_bonus],AvgBonus[exp_item],$J512,AvgBonus[company_name],$B512,AvgBonus[bu_name],$C512,AvgBonus[dept_name],$D512,AvgBonus[team_consolidation],$K512,AvgBonus[location_name],$G512,AvgBonus[job_title],$H512))*AI407*SUM(BonusPayout[Month 24]))</f>
        <v>0</v>
      </c>
      <c r="AJ512" s="652">
        <f>IF($B512="",,IF(LEFT($H512,5)="dummy",SUMIFS(AvgBonus[avg_bonus],AvgBonus[job_title],$H512),SUMIFS(AvgBonus[avg_bonus],AvgBonus[exp_item],$J512,AvgBonus[company_name],$B512,AvgBonus[bu_name],$C512,AvgBonus[dept_name],$D512,AvgBonus[team_consolidation],$K512,AvgBonus[location_name],$G512,AvgBonus[job_title],$H512))*AJ407*SUM(BonusPayout[Month 25]))</f>
        <v>0</v>
      </c>
      <c r="AK512" s="652">
        <f>IF($B512="",,IF(LEFT($H512,5)="dummy",SUMIFS(AvgBonus[avg_bonus],AvgBonus[job_title],$H512),SUMIFS(AvgBonus[avg_bonus],AvgBonus[exp_item],$J512,AvgBonus[company_name],$B512,AvgBonus[bu_name],$C512,AvgBonus[dept_name],$D512,AvgBonus[team_consolidation],$K512,AvgBonus[location_name],$G512,AvgBonus[job_title],$H512))*AK407*SUM(BonusPayout[Month 26]))</f>
        <v>0</v>
      </c>
      <c r="AL512" s="652">
        <f>IF($B512="",,IF(LEFT($H512,5)="dummy",SUMIFS(AvgBonus[avg_bonus],AvgBonus[job_title],$H512),SUMIFS(AvgBonus[avg_bonus],AvgBonus[exp_item],$J512,AvgBonus[company_name],$B512,AvgBonus[bu_name],$C512,AvgBonus[dept_name],$D512,AvgBonus[team_consolidation],$K512,AvgBonus[location_name],$G512,AvgBonus[job_title],$H512))*AL407*SUM(BonusPayout[Month 27]))</f>
        <v>0</v>
      </c>
      <c r="AM512" s="652">
        <f>IF($B512="",,IF(LEFT($H512,5)="dummy",SUMIFS(AvgBonus[avg_bonus],AvgBonus[job_title],$H512),SUMIFS(AvgBonus[avg_bonus],AvgBonus[exp_item],$J512,AvgBonus[company_name],$B512,AvgBonus[bu_name],$C512,AvgBonus[dept_name],$D512,AvgBonus[team_consolidation],$K512,AvgBonus[location_name],$G512,AvgBonus[job_title],$H512))*AM407*SUM(BonusPayout[Month 28]))</f>
        <v>0</v>
      </c>
      <c r="AN512" s="652">
        <f>IF($B512="",,IF(LEFT($H512,5)="dummy",SUMIFS(AvgBonus[avg_bonus],AvgBonus[job_title],$H512),SUMIFS(AvgBonus[avg_bonus],AvgBonus[exp_item],$J512,AvgBonus[company_name],$B512,AvgBonus[bu_name],$C512,AvgBonus[dept_name],$D512,AvgBonus[team_consolidation],$K512,AvgBonus[location_name],$G512,AvgBonus[job_title],$H512))*AN407*SUM(BonusPayout[Month 29]))</f>
        <v>0</v>
      </c>
      <c r="AO512" s="652">
        <f>IF($B512="",,IF(LEFT($H512,5)="dummy",SUMIFS(AvgBonus[avg_bonus],AvgBonus[job_title],$H512),SUMIFS(AvgBonus[avg_bonus],AvgBonus[exp_item],$J512,AvgBonus[company_name],$B512,AvgBonus[bu_name],$C512,AvgBonus[dept_name],$D512,AvgBonus[team_consolidation],$K512,AvgBonus[location_name],$G512,AvgBonus[job_title],$H512))*AO407*SUM(BonusPayout[Month 30]))</f>
        <v>0</v>
      </c>
      <c r="AP512" s="652">
        <f>IF($B512="",,IF(LEFT($H512,5)="dummy",SUMIFS(AvgBonus[avg_bonus],AvgBonus[job_title],$H512),SUMIFS(AvgBonus[avg_bonus],AvgBonus[exp_item],$J512,AvgBonus[company_name],$B512,AvgBonus[bu_name],$C512,AvgBonus[dept_name],$D512,AvgBonus[team_consolidation],$K512,AvgBonus[location_name],$G512,AvgBonus[job_title],$H512))*AP407*SUM(BonusPayout[Month 31]))</f>
        <v>0</v>
      </c>
      <c r="AQ512" s="652">
        <f>IF($B512="",,IF(LEFT($H512,5)="dummy",SUMIFS(AvgBonus[avg_bonus],AvgBonus[job_title],$H512),SUMIFS(AvgBonus[avg_bonus],AvgBonus[exp_item],$J512,AvgBonus[company_name],$B512,AvgBonus[bu_name],$C512,AvgBonus[dept_name],$D512,AvgBonus[team_consolidation],$K512,AvgBonus[location_name],$G512,AvgBonus[job_title],$H512))*AQ407*SUM(BonusPayout[Month 32]))</f>
        <v>0</v>
      </c>
      <c r="AR512" s="652">
        <f>IF($B512="",,IF(LEFT($H512,5)="dummy",SUMIFS(AvgBonus[avg_bonus],AvgBonus[job_title],$H512),SUMIFS(AvgBonus[avg_bonus],AvgBonus[exp_item],$J512,AvgBonus[company_name],$B512,AvgBonus[bu_name],$C512,AvgBonus[dept_name],$D512,AvgBonus[team_consolidation],$K512,AvgBonus[location_name],$G512,AvgBonus[job_title],$H512))*AR407*SUM(BonusPayout[Month 33]))</f>
        <v>0</v>
      </c>
      <c r="AS512" s="652">
        <f>IF($B512="",,IF(LEFT($H512,5)="dummy",SUMIFS(AvgBonus[avg_bonus],AvgBonus[job_title],$H512),SUMIFS(AvgBonus[avg_bonus],AvgBonus[exp_item],$J512,AvgBonus[company_name],$B512,AvgBonus[bu_name],$C512,AvgBonus[dept_name],$D512,AvgBonus[team_consolidation],$K512,AvgBonus[location_name],$G512,AvgBonus[job_title],$H512))*AS407*SUM(BonusPayout[Month 34]))</f>
        <v>0</v>
      </c>
      <c r="AT512" s="652">
        <f>IF($B512="",,IF(LEFT($H512,5)="dummy",SUMIFS(AvgBonus[avg_bonus],AvgBonus[job_title],$H512),SUMIFS(AvgBonus[avg_bonus],AvgBonus[exp_item],$J512,AvgBonus[company_name],$B512,AvgBonus[bu_name],$C512,AvgBonus[dept_name],$D512,AvgBonus[team_consolidation],$K512,AvgBonus[location_name],$G512,AvgBonus[job_title],$H512))*AT407*SUM(BonusPayout[Month 35]))</f>
        <v>0</v>
      </c>
      <c r="AU512" s="652">
        <f>IF($B512="",,IF(LEFT($H512,5)="dummy",SUMIFS(AvgBonus[avg_bonus],AvgBonus[job_title],$H512),SUMIFS(AvgBonus[avg_bonus],AvgBonus[exp_item],$J512,AvgBonus[company_name],$B512,AvgBonus[bu_name],$C512,AvgBonus[dept_name],$D512,AvgBonus[team_consolidation],$K512,AvgBonus[location_name],$G512,AvgBonus[job_title],$H512))*AU407*SUM(BonusPayout[Month 36]))</f>
        <v>0</v>
      </c>
    </row>
    <row r="513" spans="2:47" x14ac:dyDescent="0.35">
      <c r="B513" t="str">
        <f t="shared" si="292"/>
        <v/>
      </c>
      <c r="C513" t="str">
        <f t="shared" ref="C513:G513" si="305">IF(C408="","",C408)</f>
        <v/>
      </c>
      <c r="D513" t="str">
        <f t="shared" si="305"/>
        <v/>
      </c>
      <c r="E513" t="str">
        <f t="shared" si="305"/>
        <v/>
      </c>
      <c r="F513" t="str">
        <f t="shared" si="305"/>
        <v/>
      </c>
      <c r="G513" t="str">
        <f t="shared" si="305"/>
        <v/>
      </c>
      <c r="H513" t="str">
        <f t="shared" si="291"/>
        <v/>
      </c>
      <c r="J513" t="str">
        <f>IF($H513="","",IF(VLOOKUP($B$500,ExpItems[],2,0),$B$500&amp;" - "&amp;INDEX(DivisionMapping[category_code],MATCH($D513&amp;$C513,DivisionMapping[dept_bu],0)),$B$500))</f>
        <v/>
      </c>
      <c r="K513" t="str">
        <f t="shared" si="294"/>
        <v/>
      </c>
      <c r="L513" s="652">
        <f>IF($B513="",,IF(LEFT($H513,5)="dummy",SUMIFS(AvgBonus[avg_bonus],AvgBonus[job_title],$H513),SUMIFS(AvgBonus[avg_bonus],AvgBonus[exp_item],$J513,AvgBonus[company_name],$B513,AvgBonus[bu_name],$C513,AvgBonus[dept_name],$D513,AvgBonus[team_consolidation],$K513,AvgBonus[location_name],$G513,AvgBonus[job_title],$H513))*L408*SUM(BonusPayout[Month 1]))</f>
        <v>0</v>
      </c>
      <c r="M513" s="652">
        <f>IF($B513="",,IF(LEFT($H513,5)="dummy",SUMIFS(AvgBonus[avg_bonus],AvgBonus[job_title],$H513),SUMIFS(AvgBonus[avg_bonus],AvgBonus[exp_item],$J513,AvgBonus[company_name],$B513,AvgBonus[bu_name],$C513,AvgBonus[dept_name],$D513,AvgBonus[team_consolidation],$K513,AvgBonus[location_name],$G513,AvgBonus[job_title],$H513))*M408*SUM(BonusPayout[Month 2]))</f>
        <v>0</v>
      </c>
      <c r="N513" s="652">
        <f>IF($B513="",,IF(LEFT($H513,5)="dummy",SUMIFS(AvgBonus[avg_bonus],AvgBonus[job_title],$H513),SUMIFS(AvgBonus[avg_bonus],AvgBonus[exp_item],$J513,AvgBonus[company_name],$B513,AvgBonus[bu_name],$C513,AvgBonus[dept_name],$D513,AvgBonus[team_consolidation],$K513,AvgBonus[location_name],$G513,AvgBonus[job_title],$H513))*N408*SUM(BonusPayout[Month 3]))</f>
        <v>0</v>
      </c>
      <c r="O513" s="652">
        <f>IF($B513="",,IF(LEFT($H513,5)="dummy",SUMIFS(AvgBonus[avg_bonus],AvgBonus[job_title],$H513),SUMIFS(AvgBonus[avg_bonus],AvgBonus[exp_item],$J513,AvgBonus[company_name],$B513,AvgBonus[bu_name],$C513,AvgBonus[dept_name],$D513,AvgBonus[team_consolidation],$K513,AvgBonus[location_name],$G513,AvgBonus[job_title],$H513))*O408*SUM(BonusPayout[Month 4]))</f>
        <v>0</v>
      </c>
      <c r="P513" s="652">
        <f>IF($B513="",,IF(LEFT($H513,5)="dummy",SUMIFS(AvgBonus[avg_bonus],AvgBonus[job_title],$H513),SUMIFS(AvgBonus[avg_bonus],AvgBonus[exp_item],$J513,AvgBonus[company_name],$B513,AvgBonus[bu_name],$C513,AvgBonus[dept_name],$D513,AvgBonus[team_consolidation],$K513,AvgBonus[location_name],$G513,AvgBonus[job_title],$H513))*P408*SUM(BonusPayout[Month 5]))</f>
        <v>0</v>
      </c>
      <c r="Q513" s="652">
        <f>IF($B513="",,IF(LEFT($H513,5)="dummy",SUMIFS(AvgBonus[avg_bonus],AvgBonus[job_title],$H513),SUMIFS(AvgBonus[avg_bonus],AvgBonus[exp_item],$J513,AvgBonus[company_name],$B513,AvgBonus[bu_name],$C513,AvgBonus[dept_name],$D513,AvgBonus[team_consolidation],$K513,AvgBonus[location_name],$G513,AvgBonus[job_title],$H513))*Q408*SUM(BonusPayout[Month 6]))</f>
        <v>0</v>
      </c>
      <c r="R513" s="652">
        <f>IF($B513="",,IF(LEFT($H513,5)="dummy",SUMIFS(AvgBonus[avg_bonus],AvgBonus[job_title],$H513),SUMIFS(AvgBonus[avg_bonus],AvgBonus[exp_item],$J513,AvgBonus[company_name],$B513,AvgBonus[bu_name],$C513,AvgBonus[dept_name],$D513,AvgBonus[team_consolidation],$K513,AvgBonus[location_name],$G513,AvgBonus[job_title],$H513))*R408*SUM(BonusPayout[Month 7]))</f>
        <v>0</v>
      </c>
      <c r="S513" s="652">
        <f>IF($B513="",,IF(LEFT($H513,5)="dummy",SUMIFS(AvgBonus[avg_bonus],AvgBonus[job_title],$H513),SUMIFS(AvgBonus[avg_bonus],AvgBonus[exp_item],$J513,AvgBonus[company_name],$B513,AvgBonus[bu_name],$C513,AvgBonus[dept_name],$D513,AvgBonus[team_consolidation],$K513,AvgBonus[location_name],$G513,AvgBonus[job_title],$H513))*S408*SUM(BonusPayout[Month 8]))</f>
        <v>0</v>
      </c>
      <c r="T513" s="652">
        <f>IF($B513="",,IF(LEFT($H513,5)="dummy",SUMIFS(AvgBonus[avg_bonus],AvgBonus[job_title],$H513),SUMIFS(AvgBonus[avg_bonus],AvgBonus[exp_item],$J513,AvgBonus[company_name],$B513,AvgBonus[bu_name],$C513,AvgBonus[dept_name],$D513,AvgBonus[team_consolidation],$K513,AvgBonus[location_name],$G513,AvgBonus[job_title],$H513))*T408*SUM(BonusPayout[Month 9]))</f>
        <v>0</v>
      </c>
      <c r="U513" s="652">
        <f>IF($B513="",,IF(LEFT($H513,5)="dummy",SUMIFS(AvgBonus[avg_bonus],AvgBonus[job_title],$H513),SUMIFS(AvgBonus[avg_bonus],AvgBonus[exp_item],$J513,AvgBonus[company_name],$B513,AvgBonus[bu_name],$C513,AvgBonus[dept_name],$D513,AvgBonus[team_consolidation],$K513,AvgBonus[location_name],$G513,AvgBonus[job_title],$H513))*U408*SUM(BonusPayout[Month 10]))</f>
        <v>0</v>
      </c>
      <c r="V513" s="652">
        <f>IF($B513="",,IF(LEFT($H513,5)="dummy",SUMIFS(AvgBonus[avg_bonus],AvgBonus[job_title],$H513),SUMIFS(AvgBonus[avg_bonus],AvgBonus[exp_item],$J513,AvgBonus[company_name],$B513,AvgBonus[bu_name],$C513,AvgBonus[dept_name],$D513,AvgBonus[team_consolidation],$K513,AvgBonus[location_name],$G513,AvgBonus[job_title],$H513))*V408*SUM(BonusPayout[Month 11]))</f>
        <v>0</v>
      </c>
      <c r="W513" s="652">
        <f>IF($B513="",,IF(LEFT($H513,5)="dummy",SUMIFS(AvgBonus[avg_bonus],AvgBonus[job_title],$H513),SUMIFS(AvgBonus[avg_bonus],AvgBonus[exp_item],$J513,AvgBonus[company_name],$B513,AvgBonus[bu_name],$C513,AvgBonus[dept_name],$D513,AvgBonus[team_consolidation],$K513,AvgBonus[location_name],$G513,AvgBonus[job_title],$H513))*W408*SUM(BonusPayout[Month 12]))</f>
        <v>0</v>
      </c>
      <c r="X513" s="652">
        <f>IF($B513="",,IF(LEFT($H513,5)="dummy",SUMIFS(AvgBonus[avg_bonus],AvgBonus[job_title],$H513),SUMIFS(AvgBonus[avg_bonus],AvgBonus[exp_item],$J513,AvgBonus[company_name],$B513,AvgBonus[bu_name],$C513,AvgBonus[dept_name],$D513,AvgBonus[team_consolidation],$K513,AvgBonus[location_name],$G513,AvgBonus[job_title],$H513))*X408*SUM(BonusPayout[Month 13]))</f>
        <v>0</v>
      </c>
      <c r="Y513" s="652">
        <f>IF($B513="",,IF(LEFT($H513,5)="dummy",SUMIFS(AvgBonus[avg_bonus],AvgBonus[job_title],$H513),SUMIFS(AvgBonus[avg_bonus],AvgBonus[exp_item],$J513,AvgBonus[company_name],$B513,AvgBonus[bu_name],$C513,AvgBonus[dept_name],$D513,AvgBonus[team_consolidation],$K513,AvgBonus[location_name],$G513,AvgBonus[job_title],$H513))*Y408*SUM(BonusPayout[Month 14]))</f>
        <v>0</v>
      </c>
      <c r="Z513" s="652">
        <f>IF($B513="",,IF(LEFT($H513,5)="dummy",SUMIFS(AvgBonus[avg_bonus],AvgBonus[job_title],$H513),SUMIFS(AvgBonus[avg_bonus],AvgBonus[exp_item],$J513,AvgBonus[company_name],$B513,AvgBonus[bu_name],$C513,AvgBonus[dept_name],$D513,AvgBonus[team_consolidation],$K513,AvgBonus[location_name],$G513,AvgBonus[job_title],$H513))*Z408*SUM(BonusPayout[Month 15]))</f>
        <v>0</v>
      </c>
      <c r="AA513" s="652">
        <f>IF($B513="",,IF(LEFT($H513,5)="dummy",SUMIFS(AvgBonus[avg_bonus],AvgBonus[job_title],$H513),SUMIFS(AvgBonus[avg_bonus],AvgBonus[exp_item],$J513,AvgBonus[company_name],$B513,AvgBonus[bu_name],$C513,AvgBonus[dept_name],$D513,AvgBonus[team_consolidation],$K513,AvgBonus[location_name],$G513,AvgBonus[job_title],$H513))*AA408*SUM(BonusPayout[Month 16]))</f>
        <v>0</v>
      </c>
      <c r="AB513" s="652">
        <f>IF($B513="",,IF(LEFT($H513,5)="dummy",SUMIFS(AvgBonus[avg_bonus],AvgBonus[job_title],$H513),SUMIFS(AvgBonus[avg_bonus],AvgBonus[exp_item],$J513,AvgBonus[company_name],$B513,AvgBonus[bu_name],$C513,AvgBonus[dept_name],$D513,AvgBonus[team_consolidation],$K513,AvgBonus[location_name],$G513,AvgBonus[job_title],$H513))*AB408*SUM(BonusPayout[Month 17]))</f>
        <v>0</v>
      </c>
      <c r="AC513" s="652">
        <f>IF($B513="",,IF(LEFT($H513,5)="dummy",SUMIFS(AvgBonus[avg_bonus],AvgBonus[job_title],$H513),SUMIFS(AvgBonus[avg_bonus],AvgBonus[exp_item],$J513,AvgBonus[company_name],$B513,AvgBonus[bu_name],$C513,AvgBonus[dept_name],$D513,AvgBonus[team_consolidation],$K513,AvgBonus[location_name],$G513,AvgBonus[job_title],$H513))*AC408*SUM(BonusPayout[Month 18]))</f>
        <v>0</v>
      </c>
      <c r="AD513" s="652">
        <f>IF($B513="",,IF(LEFT($H513,5)="dummy",SUMIFS(AvgBonus[avg_bonus],AvgBonus[job_title],$H513),SUMIFS(AvgBonus[avg_bonus],AvgBonus[exp_item],$J513,AvgBonus[company_name],$B513,AvgBonus[bu_name],$C513,AvgBonus[dept_name],$D513,AvgBonus[team_consolidation],$K513,AvgBonus[location_name],$G513,AvgBonus[job_title],$H513))*AD408*SUM(BonusPayout[Month 19]))</f>
        <v>0</v>
      </c>
      <c r="AE513" s="652">
        <f>IF($B513="",,IF(LEFT($H513,5)="dummy",SUMIFS(AvgBonus[avg_bonus],AvgBonus[job_title],$H513),SUMIFS(AvgBonus[avg_bonus],AvgBonus[exp_item],$J513,AvgBonus[company_name],$B513,AvgBonus[bu_name],$C513,AvgBonus[dept_name],$D513,AvgBonus[team_consolidation],$K513,AvgBonus[location_name],$G513,AvgBonus[job_title],$H513))*AE408*SUM(BonusPayout[Month 20]))</f>
        <v>0</v>
      </c>
      <c r="AF513" s="652">
        <f>IF($B513="",,IF(LEFT($H513,5)="dummy",SUMIFS(AvgBonus[avg_bonus],AvgBonus[job_title],$H513),SUMIFS(AvgBonus[avg_bonus],AvgBonus[exp_item],$J513,AvgBonus[company_name],$B513,AvgBonus[bu_name],$C513,AvgBonus[dept_name],$D513,AvgBonus[team_consolidation],$K513,AvgBonus[location_name],$G513,AvgBonus[job_title],$H513))*AF408*SUM(BonusPayout[Month 21]))</f>
        <v>0</v>
      </c>
      <c r="AG513" s="652">
        <f>IF($B513="",,IF(LEFT($H513,5)="dummy",SUMIFS(AvgBonus[avg_bonus],AvgBonus[job_title],$H513),SUMIFS(AvgBonus[avg_bonus],AvgBonus[exp_item],$J513,AvgBonus[company_name],$B513,AvgBonus[bu_name],$C513,AvgBonus[dept_name],$D513,AvgBonus[team_consolidation],$K513,AvgBonus[location_name],$G513,AvgBonus[job_title],$H513))*AG408*SUM(BonusPayout[Month 22]))</f>
        <v>0</v>
      </c>
      <c r="AH513" s="652">
        <f>IF($B513="",,IF(LEFT($H513,5)="dummy",SUMIFS(AvgBonus[avg_bonus],AvgBonus[job_title],$H513),SUMIFS(AvgBonus[avg_bonus],AvgBonus[exp_item],$J513,AvgBonus[company_name],$B513,AvgBonus[bu_name],$C513,AvgBonus[dept_name],$D513,AvgBonus[team_consolidation],$K513,AvgBonus[location_name],$G513,AvgBonus[job_title],$H513))*AH408*SUM(BonusPayout[Month 23]))</f>
        <v>0</v>
      </c>
      <c r="AI513" s="652">
        <f>IF($B513="",,IF(LEFT($H513,5)="dummy",SUMIFS(AvgBonus[avg_bonus],AvgBonus[job_title],$H513),SUMIFS(AvgBonus[avg_bonus],AvgBonus[exp_item],$J513,AvgBonus[company_name],$B513,AvgBonus[bu_name],$C513,AvgBonus[dept_name],$D513,AvgBonus[team_consolidation],$K513,AvgBonus[location_name],$G513,AvgBonus[job_title],$H513))*AI408*SUM(BonusPayout[Month 24]))</f>
        <v>0</v>
      </c>
      <c r="AJ513" s="652">
        <f>IF($B513="",,IF(LEFT($H513,5)="dummy",SUMIFS(AvgBonus[avg_bonus],AvgBonus[job_title],$H513),SUMIFS(AvgBonus[avg_bonus],AvgBonus[exp_item],$J513,AvgBonus[company_name],$B513,AvgBonus[bu_name],$C513,AvgBonus[dept_name],$D513,AvgBonus[team_consolidation],$K513,AvgBonus[location_name],$G513,AvgBonus[job_title],$H513))*AJ408*SUM(BonusPayout[Month 25]))</f>
        <v>0</v>
      </c>
      <c r="AK513" s="652">
        <f>IF($B513="",,IF(LEFT($H513,5)="dummy",SUMIFS(AvgBonus[avg_bonus],AvgBonus[job_title],$H513),SUMIFS(AvgBonus[avg_bonus],AvgBonus[exp_item],$J513,AvgBonus[company_name],$B513,AvgBonus[bu_name],$C513,AvgBonus[dept_name],$D513,AvgBonus[team_consolidation],$K513,AvgBonus[location_name],$G513,AvgBonus[job_title],$H513))*AK408*SUM(BonusPayout[Month 26]))</f>
        <v>0</v>
      </c>
      <c r="AL513" s="652">
        <f>IF($B513="",,IF(LEFT($H513,5)="dummy",SUMIFS(AvgBonus[avg_bonus],AvgBonus[job_title],$H513),SUMIFS(AvgBonus[avg_bonus],AvgBonus[exp_item],$J513,AvgBonus[company_name],$B513,AvgBonus[bu_name],$C513,AvgBonus[dept_name],$D513,AvgBonus[team_consolidation],$K513,AvgBonus[location_name],$G513,AvgBonus[job_title],$H513))*AL408*SUM(BonusPayout[Month 27]))</f>
        <v>0</v>
      </c>
      <c r="AM513" s="652">
        <f>IF($B513="",,IF(LEFT($H513,5)="dummy",SUMIFS(AvgBonus[avg_bonus],AvgBonus[job_title],$H513),SUMIFS(AvgBonus[avg_bonus],AvgBonus[exp_item],$J513,AvgBonus[company_name],$B513,AvgBonus[bu_name],$C513,AvgBonus[dept_name],$D513,AvgBonus[team_consolidation],$K513,AvgBonus[location_name],$G513,AvgBonus[job_title],$H513))*AM408*SUM(BonusPayout[Month 28]))</f>
        <v>0</v>
      </c>
      <c r="AN513" s="652">
        <f>IF($B513="",,IF(LEFT($H513,5)="dummy",SUMIFS(AvgBonus[avg_bonus],AvgBonus[job_title],$H513),SUMIFS(AvgBonus[avg_bonus],AvgBonus[exp_item],$J513,AvgBonus[company_name],$B513,AvgBonus[bu_name],$C513,AvgBonus[dept_name],$D513,AvgBonus[team_consolidation],$K513,AvgBonus[location_name],$G513,AvgBonus[job_title],$H513))*AN408*SUM(BonusPayout[Month 29]))</f>
        <v>0</v>
      </c>
      <c r="AO513" s="652">
        <f>IF($B513="",,IF(LEFT($H513,5)="dummy",SUMIFS(AvgBonus[avg_bonus],AvgBonus[job_title],$H513),SUMIFS(AvgBonus[avg_bonus],AvgBonus[exp_item],$J513,AvgBonus[company_name],$B513,AvgBonus[bu_name],$C513,AvgBonus[dept_name],$D513,AvgBonus[team_consolidation],$K513,AvgBonus[location_name],$G513,AvgBonus[job_title],$H513))*AO408*SUM(BonusPayout[Month 30]))</f>
        <v>0</v>
      </c>
      <c r="AP513" s="652">
        <f>IF($B513="",,IF(LEFT($H513,5)="dummy",SUMIFS(AvgBonus[avg_bonus],AvgBonus[job_title],$H513),SUMIFS(AvgBonus[avg_bonus],AvgBonus[exp_item],$J513,AvgBonus[company_name],$B513,AvgBonus[bu_name],$C513,AvgBonus[dept_name],$D513,AvgBonus[team_consolidation],$K513,AvgBonus[location_name],$G513,AvgBonus[job_title],$H513))*AP408*SUM(BonusPayout[Month 31]))</f>
        <v>0</v>
      </c>
      <c r="AQ513" s="652">
        <f>IF($B513="",,IF(LEFT($H513,5)="dummy",SUMIFS(AvgBonus[avg_bonus],AvgBonus[job_title],$H513),SUMIFS(AvgBonus[avg_bonus],AvgBonus[exp_item],$J513,AvgBonus[company_name],$B513,AvgBonus[bu_name],$C513,AvgBonus[dept_name],$D513,AvgBonus[team_consolidation],$K513,AvgBonus[location_name],$G513,AvgBonus[job_title],$H513))*AQ408*SUM(BonusPayout[Month 32]))</f>
        <v>0</v>
      </c>
      <c r="AR513" s="652">
        <f>IF($B513="",,IF(LEFT($H513,5)="dummy",SUMIFS(AvgBonus[avg_bonus],AvgBonus[job_title],$H513),SUMIFS(AvgBonus[avg_bonus],AvgBonus[exp_item],$J513,AvgBonus[company_name],$B513,AvgBonus[bu_name],$C513,AvgBonus[dept_name],$D513,AvgBonus[team_consolidation],$K513,AvgBonus[location_name],$G513,AvgBonus[job_title],$H513))*AR408*SUM(BonusPayout[Month 33]))</f>
        <v>0</v>
      </c>
      <c r="AS513" s="652">
        <f>IF($B513="",,IF(LEFT($H513,5)="dummy",SUMIFS(AvgBonus[avg_bonus],AvgBonus[job_title],$H513),SUMIFS(AvgBonus[avg_bonus],AvgBonus[exp_item],$J513,AvgBonus[company_name],$B513,AvgBonus[bu_name],$C513,AvgBonus[dept_name],$D513,AvgBonus[team_consolidation],$K513,AvgBonus[location_name],$G513,AvgBonus[job_title],$H513))*AS408*SUM(BonusPayout[Month 34]))</f>
        <v>0</v>
      </c>
      <c r="AT513" s="652">
        <f>IF($B513="",,IF(LEFT($H513,5)="dummy",SUMIFS(AvgBonus[avg_bonus],AvgBonus[job_title],$H513),SUMIFS(AvgBonus[avg_bonus],AvgBonus[exp_item],$J513,AvgBonus[company_name],$B513,AvgBonus[bu_name],$C513,AvgBonus[dept_name],$D513,AvgBonus[team_consolidation],$K513,AvgBonus[location_name],$G513,AvgBonus[job_title],$H513))*AT408*SUM(BonusPayout[Month 35]))</f>
        <v>0</v>
      </c>
      <c r="AU513" s="652">
        <f>IF($B513="",,IF(LEFT($H513,5)="dummy",SUMIFS(AvgBonus[avg_bonus],AvgBonus[job_title],$H513),SUMIFS(AvgBonus[avg_bonus],AvgBonus[exp_item],$J513,AvgBonus[company_name],$B513,AvgBonus[bu_name],$C513,AvgBonus[dept_name],$D513,AvgBonus[team_consolidation],$K513,AvgBonus[location_name],$G513,AvgBonus[job_title],$H513))*AU408*SUM(BonusPayout[Month 36]))</f>
        <v>0</v>
      </c>
    </row>
    <row r="514" spans="2:47" x14ac:dyDescent="0.35">
      <c r="B514" t="str">
        <f t="shared" si="292"/>
        <v/>
      </c>
      <c r="C514" t="str">
        <f t="shared" ref="C514:G514" si="306">IF(C409="","",C409)</f>
        <v/>
      </c>
      <c r="D514" t="str">
        <f t="shared" si="306"/>
        <v/>
      </c>
      <c r="E514" t="str">
        <f t="shared" si="306"/>
        <v/>
      </c>
      <c r="F514" t="str">
        <f t="shared" si="306"/>
        <v/>
      </c>
      <c r="G514" t="str">
        <f t="shared" si="306"/>
        <v/>
      </c>
      <c r="H514" t="str">
        <f t="shared" si="291"/>
        <v/>
      </c>
      <c r="J514" t="str">
        <f>IF($H514="","",IF(VLOOKUP($B$500,ExpItems[],2,0),$B$500&amp;" - "&amp;INDEX(DivisionMapping[category_code],MATCH($D514&amp;$C514,DivisionMapping[dept_bu],0)),$B$500))</f>
        <v/>
      </c>
      <c r="K514" t="str">
        <f t="shared" si="294"/>
        <v/>
      </c>
      <c r="L514" s="652">
        <f>IF($B514="",,IF(LEFT($H514,5)="dummy",SUMIFS(AvgBonus[avg_bonus],AvgBonus[job_title],$H514),SUMIFS(AvgBonus[avg_bonus],AvgBonus[exp_item],$J514,AvgBonus[company_name],$B514,AvgBonus[bu_name],$C514,AvgBonus[dept_name],$D514,AvgBonus[team_consolidation],$K514,AvgBonus[location_name],$G514,AvgBonus[job_title],$H514))*L409*SUM(BonusPayout[Month 1]))</f>
        <v>0</v>
      </c>
      <c r="M514" s="652">
        <f>IF($B514="",,IF(LEFT($H514,5)="dummy",SUMIFS(AvgBonus[avg_bonus],AvgBonus[job_title],$H514),SUMIFS(AvgBonus[avg_bonus],AvgBonus[exp_item],$J514,AvgBonus[company_name],$B514,AvgBonus[bu_name],$C514,AvgBonus[dept_name],$D514,AvgBonus[team_consolidation],$K514,AvgBonus[location_name],$G514,AvgBonus[job_title],$H514))*M409*SUM(BonusPayout[Month 2]))</f>
        <v>0</v>
      </c>
      <c r="N514" s="652">
        <f>IF($B514="",,IF(LEFT($H514,5)="dummy",SUMIFS(AvgBonus[avg_bonus],AvgBonus[job_title],$H514),SUMIFS(AvgBonus[avg_bonus],AvgBonus[exp_item],$J514,AvgBonus[company_name],$B514,AvgBonus[bu_name],$C514,AvgBonus[dept_name],$D514,AvgBonus[team_consolidation],$K514,AvgBonus[location_name],$G514,AvgBonus[job_title],$H514))*N409*SUM(BonusPayout[Month 3]))</f>
        <v>0</v>
      </c>
      <c r="O514" s="652">
        <f>IF($B514="",,IF(LEFT($H514,5)="dummy",SUMIFS(AvgBonus[avg_bonus],AvgBonus[job_title],$H514),SUMIFS(AvgBonus[avg_bonus],AvgBonus[exp_item],$J514,AvgBonus[company_name],$B514,AvgBonus[bu_name],$C514,AvgBonus[dept_name],$D514,AvgBonus[team_consolidation],$K514,AvgBonus[location_name],$G514,AvgBonus[job_title],$H514))*O409*SUM(BonusPayout[Month 4]))</f>
        <v>0</v>
      </c>
      <c r="P514" s="652">
        <f>IF($B514="",,IF(LEFT($H514,5)="dummy",SUMIFS(AvgBonus[avg_bonus],AvgBonus[job_title],$H514),SUMIFS(AvgBonus[avg_bonus],AvgBonus[exp_item],$J514,AvgBonus[company_name],$B514,AvgBonus[bu_name],$C514,AvgBonus[dept_name],$D514,AvgBonus[team_consolidation],$K514,AvgBonus[location_name],$G514,AvgBonus[job_title],$H514))*P409*SUM(BonusPayout[Month 5]))</f>
        <v>0</v>
      </c>
      <c r="Q514" s="652">
        <f>IF($B514="",,IF(LEFT($H514,5)="dummy",SUMIFS(AvgBonus[avg_bonus],AvgBonus[job_title],$H514),SUMIFS(AvgBonus[avg_bonus],AvgBonus[exp_item],$J514,AvgBonus[company_name],$B514,AvgBonus[bu_name],$C514,AvgBonus[dept_name],$D514,AvgBonus[team_consolidation],$K514,AvgBonus[location_name],$G514,AvgBonus[job_title],$H514))*Q409*SUM(BonusPayout[Month 6]))</f>
        <v>0</v>
      </c>
      <c r="R514" s="652">
        <f>IF($B514="",,IF(LEFT($H514,5)="dummy",SUMIFS(AvgBonus[avg_bonus],AvgBonus[job_title],$H514),SUMIFS(AvgBonus[avg_bonus],AvgBonus[exp_item],$J514,AvgBonus[company_name],$B514,AvgBonus[bu_name],$C514,AvgBonus[dept_name],$D514,AvgBonus[team_consolidation],$K514,AvgBonus[location_name],$G514,AvgBonus[job_title],$H514))*R409*SUM(BonusPayout[Month 7]))</f>
        <v>0</v>
      </c>
      <c r="S514" s="652">
        <f>IF($B514="",,IF(LEFT($H514,5)="dummy",SUMIFS(AvgBonus[avg_bonus],AvgBonus[job_title],$H514),SUMIFS(AvgBonus[avg_bonus],AvgBonus[exp_item],$J514,AvgBonus[company_name],$B514,AvgBonus[bu_name],$C514,AvgBonus[dept_name],$D514,AvgBonus[team_consolidation],$K514,AvgBonus[location_name],$G514,AvgBonus[job_title],$H514))*S409*SUM(BonusPayout[Month 8]))</f>
        <v>0</v>
      </c>
      <c r="T514" s="652">
        <f>IF($B514="",,IF(LEFT($H514,5)="dummy",SUMIFS(AvgBonus[avg_bonus],AvgBonus[job_title],$H514),SUMIFS(AvgBonus[avg_bonus],AvgBonus[exp_item],$J514,AvgBonus[company_name],$B514,AvgBonus[bu_name],$C514,AvgBonus[dept_name],$D514,AvgBonus[team_consolidation],$K514,AvgBonus[location_name],$G514,AvgBonus[job_title],$H514))*T409*SUM(BonusPayout[Month 9]))</f>
        <v>0</v>
      </c>
      <c r="U514" s="652">
        <f>IF($B514="",,IF(LEFT($H514,5)="dummy",SUMIFS(AvgBonus[avg_bonus],AvgBonus[job_title],$H514),SUMIFS(AvgBonus[avg_bonus],AvgBonus[exp_item],$J514,AvgBonus[company_name],$B514,AvgBonus[bu_name],$C514,AvgBonus[dept_name],$D514,AvgBonus[team_consolidation],$K514,AvgBonus[location_name],$G514,AvgBonus[job_title],$H514))*U409*SUM(BonusPayout[Month 10]))</f>
        <v>0</v>
      </c>
      <c r="V514" s="652">
        <f>IF($B514="",,IF(LEFT($H514,5)="dummy",SUMIFS(AvgBonus[avg_bonus],AvgBonus[job_title],$H514),SUMIFS(AvgBonus[avg_bonus],AvgBonus[exp_item],$J514,AvgBonus[company_name],$B514,AvgBonus[bu_name],$C514,AvgBonus[dept_name],$D514,AvgBonus[team_consolidation],$K514,AvgBonus[location_name],$G514,AvgBonus[job_title],$H514))*V409*SUM(BonusPayout[Month 11]))</f>
        <v>0</v>
      </c>
      <c r="W514" s="652">
        <f>IF($B514="",,IF(LEFT($H514,5)="dummy",SUMIFS(AvgBonus[avg_bonus],AvgBonus[job_title],$H514),SUMIFS(AvgBonus[avg_bonus],AvgBonus[exp_item],$J514,AvgBonus[company_name],$B514,AvgBonus[bu_name],$C514,AvgBonus[dept_name],$D514,AvgBonus[team_consolidation],$K514,AvgBonus[location_name],$G514,AvgBonus[job_title],$H514))*W409*SUM(BonusPayout[Month 12]))</f>
        <v>0</v>
      </c>
      <c r="X514" s="652">
        <f>IF($B514="",,IF(LEFT($H514,5)="dummy",SUMIFS(AvgBonus[avg_bonus],AvgBonus[job_title],$H514),SUMIFS(AvgBonus[avg_bonus],AvgBonus[exp_item],$J514,AvgBonus[company_name],$B514,AvgBonus[bu_name],$C514,AvgBonus[dept_name],$D514,AvgBonus[team_consolidation],$K514,AvgBonus[location_name],$G514,AvgBonus[job_title],$H514))*X409*SUM(BonusPayout[Month 13]))</f>
        <v>0</v>
      </c>
      <c r="Y514" s="652">
        <f>IF($B514="",,IF(LEFT($H514,5)="dummy",SUMIFS(AvgBonus[avg_bonus],AvgBonus[job_title],$H514),SUMIFS(AvgBonus[avg_bonus],AvgBonus[exp_item],$J514,AvgBonus[company_name],$B514,AvgBonus[bu_name],$C514,AvgBonus[dept_name],$D514,AvgBonus[team_consolidation],$K514,AvgBonus[location_name],$G514,AvgBonus[job_title],$H514))*Y409*SUM(BonusPayout[Month 14]))</f>
        <v>0</v>
      </c>
      <c r="Z514" s="652">
        <f>IF($B514="",,IF(LEFT($H514,5)="dummy",SUMIFS(AvgBonus[avg_bonus],AvgBonus[job_title],$H514),SUMIFS(AvgBonus[avg_bonus],AvgBonus[exp_item],$J514,AvgBonus[company_name],$B514,AvgBonus[bu_name],$C514,AvgBonus[dept_name],$D514,AvgBonus[team_consolidation],$K514,AvgBonus[location_name],$G514,AvgBonus[job_title],$H514))*Z409*SUM(BonusPayout[Month 15]))</f>
        <v>0</v>
      </c>
      <c r="AA514" s="652">
        <f>IF($B514="",,IF(LEFT($H514,5)="dummy",SUMIFS(AvgBonus[avg_bonus],AvgBonus[job_title],$H514),SUMIFS(AvgBonus[avg_bonus],AvgBonus[exp_item],$J514,AvgBonus[company_name],$B514,AvgBonus[bu_name],$C514,AvgBonus[dept_name],$D514,AvgBonus[team_consolidation],$K514,AvgBonus[location_name],$G514,AvgBonus[job_title],$H514))*AA409*SUM(BonusPayout[Month 16]))</f>
        <v>0</v>
      </c>
      <c r="AB514" s="652">
        <f>IF($B514="",,IF(LEFT($H514,5)="dummy",SUMIFS(AvgBonus[avg_bonus],AvgBonus[job_title],$H514),SUMIFS(AvgBonus[avg_bonus],AvgBonus[exp_item],$J514,AvgBonus[company_name],$B514,AvgBonus[bu_name],$C514,AvgBonus[dept_name],$D514,AvgBonus[team_consolidation],$K514,AvgBonus[location_name],$G514,AvgBonus[job_title],$H514))*AB409*SUM(BonusPayout[Month 17]))</f>
        <v>0</v>
      </c>
      <c r="AC514" s="652">
        <f>IF($B514="",,IF(LEFT($H514,5)="dummy",SUMIFS(AvgBonus[avg_bonus],AvgBonus[job_title],$H514),SUMIFS(AvgBonus[avg_bonus],AvgBonus[exp_item],$J514,AvgBonus[company_name],$B514,AvgBonus[bu_name],$C514,AvgBonus[dept_name],$D514,AvgBonus[team_consolidation],$K514,AvgBonus[location_name],$G514,AvgBonus[job_title],$H514))*AC409*SUM(BonusPayout[Month 18]))</f>
        <v>0</v>
      </c>
      <c r="AD514" s="652">
        <f>IF($B514="",,IF(LEFT($H514,5)="dummy",SUMIFS(AvgBonus[avg_bonus],AvgBonus[job_title],$H514),SUMIFS(AvgBonus[avg_bonus],AvgBonus[exp_item],$J514,AvgBonus[company_name],$B514,AvgBonus[bu_name],$C514,AvgBonus[dept_name],$D514,AvgBonus[team_consolidation],$K514,AvgBonus[location_name],$G514,AvgBonus[job_title],$H514))*AD409*SUM(BonusPayout[Month 19]))</f>
        <v>0</v>
      </c>
      <c r="AE514" s="652">
        <f>IF($B514="",,IF(LEFT($H514,5)="dummy",SUMIFS(AvgBonus[avg_bonus],AvgBonus[job_title],$H514),SUMIFS(AvgBonus[avg_bonus],AvgBonus[exp_item],$J514,AvgBonus[company_name],$B514,AvgBonus[bu_name],$C514,AvgBonus[dept_name],$D514,AvgBonus[team_consolidation],$K514,AvgBonus[location_name],$G514,AvgBonus[job_title],$H514))*AE409*SUM(BonusPayout[Month 20]))</f>
        <v>0</v>
      </c>
      <c r="AF514" s="652">
        <f>IF($B514="",,IF(LEFT($H514,5)="dummy",SUMIFS(AvgBonus[avg_bonus],AvgBonus[job_title],$H514),SUMIFS(AvgBonus[avg_bonus],AvgBonus[exp_item],$J514,AvgBonus[company_name],$B514,AvgBonus[bu_name],$C514,AvgBonus[dept_name],$D514,AvgBonus[team_consolidation],$K514,AvgBonus[location_name],$G514,AvgBonus[job_title],$H514))*AF409*SUM(BonusPayout[Month 21]))</f>
        <v>0</v>
      </c>
      <c r="AG514" s="652">
        <f>IF($B514="",,IF(LEFT($H514,5)="dummy",SUMIFS(AvgBonus[avg_bonus],AvgBonus[job_title],$H514),SUMIFS(AvgBonus[avg_bonus],AvgBonus[exp_item],$J514,AvgBonus[company_name],$B514,AvgBonus[bu_name],$C514,AvgBonus[dept_name],$D514,AvgBonus[team_consolidation],$K514,AvgBonus[location_name],$G514,AvgBonus[job_title],$H514))*AG409*SUM(BonusPayout[Month 22]))</f>
        <v>0</v>
      </c>
      <c r="AH514" s="652">
        <f>IF($B514="",,IF(LEFT($H514,5)="dummy",SUMIFS(AvgBonus[avg_bonus],AvgBonus[job_title],$H514),SUMIFS(AvgBonus[avg_bonus],AvgBonus[exp_item],$J514,AvgBonus[company_name],$B514,AvgBonus[bu_name],$C514,AvgBonus[dept_name],$D514,AvgBonus[team_consolidation],$K514,AvgBonus[location_name],$G514,AvgBonus[job_title],$H514))*AH409*SUM(BonusPayout[Month 23]))</f>
        <v>0</v>
      </c>
      <c r="AI514" s="652">
        <f>IF($B514="",,IF(LEFT($H514,5)="dummy",SUMIFS(AvgBonus[avg_bonus],AvgBonus[job_title],$H514),SUMIFS(AvgBonus[avg_bonus],AvgBonus[exp_item],$J514,AvgBonus[company_name],$B514,AvgBonus[bu_name],$C514,AvgBonus[dept_name],$D514,AvgBonus[team_consolidation],$K514,AvgBonus[location_name],$G514,AvgBonus[job_title],$H514))*AI409*SUM(BonusPayout[Month 24]))</f>
        <v>0</v>
      </c>
      <c r="AJ514" s="652">
        <f>IF($B514="",,IF(LEFT($H514,5)="dummy",SUMIFS(AvgBonus[avg_bonus],AvgBonus[job_title],$H514),SUMIFS(AvgBonus[avg_bonus],AvgBonus[exp_item],$J514,AvgBonus[company_name],$B514,AvgBonus[bu_name],$C514,AvgBonus[dept_name],$D514,AvgBonus[team_consolidation],$K514,AvgBonus[location_name],$G514,AvgBonus[job_title],$H514))*AJ409*SUM(BonusPayout[Month 25]))</f>
        <v>0</v>
      </c>
      <c r="AK514" s="652">
        <f>IF($B514="",,IF(LEFT($H514,5)="dummy",SUMIFS(AvgBonus[avg_bonus],AvgBonus[job_title],$H514),SUMIFS(AvgBonus[avg_bonus],AvgBonus[exp_item],$J514,AvgBonus[company_name],$B514,AvgBonus[bu_name],$C514,AvgBonus[dept_name],$D514,AvgBonus[team_consolidation],$K514,AvgBonus[location_name],$G514,AvgBonus[job_title],$H514))*AK409*SUM(BonusPayout[Month 26]))</f>
        <v>0</v>
      </c>
      <c r="AL514" s="652">
        <f>IF($B514="",,IF(LEFT($H514,5)="dummy",SUMIFS(AvgBonus[avg_bonus],AvgBonus[job_title],$H514),SUMIFS(AvgBonus[avg_bonus],AvgBonus[exp_item],$J514,AvgBonus[company_name],$B514,AvgBonus[bu_name],$C514,AvgBonus[dept_name],$D514,AvgBonus[team_consolidation],$K514,AvgBonus[location_name],$G514,AvgBonus[job_title],$H514))*AL409*SUM(BonusPayout[Month 27]))</f>
        <v>0</v>
      </c>
      <c r="AM514" s="652">
        <f>IF($B514="",,IF(LEFT($H514,5)="dummy",SUMIFS(AvgBonus[avg_bonus],AvgBonus[job_title],$H514),SUMIFS(AvgBonus[avg_bonus],AvgBonus[exp_item],$J514,AvgBonus[company_name],$B514,AvgBonus[bu_name],$C514,AvgBonus[dept_name],$D514,AvgBonus[team_consolidation],$K514,AvgBonus[location_name],$G514,AvgBonus[job_title],$H514))*AM409*SUM(BonusPayout[Month 28]))</f>
        <v>0</v>
      </c>
      <c r="AN514" s="652">
        <f>IF($B514="",,IF(LEFT($H514,5)="dummy",SUMIFS(AvgBonus[avg_bonus],AvgBonus[job_title],$H514),SUMIFS(AvgBonus[avg_bonus],AvgBonus[exp_item],$J514,AvgBonus[company_name],$B514,AvgBonus[bu_name],$C514,AvgBonus[dept_name],$D514,AvgBonus[team_consolidation],$K514,AvgBonus[location_name],$G514,AvgBonus[job_title],$H514))*AN409*SUM(BonusPayout[Month 29]))</f>
        <v>0</v>
      </c>
      <c r="AO514" s="652">
        <f>IF($B514="",,IF(LEFT($H514,5)="dummy",SUMIFS(AvgBonus[avg_bonus],AvgBonus[job_title],$H514),SUMIFS(AvgBonus[avg_bonus],AvgBonus[exp_item],$J514,AvgBonus[company_name],$B514,AvgBonus[bu_name],$C514,AvgBonus[dept_name],$D514,AvgBonus[team_consolidation],$K514,AvgBonus[location_name],$G514,AvgBonus[job_title],$H514))*AO409*SUM(BonusPayout[Month 30]))</f>
        <v>0</v>
      </c>
      <c r="AP514" s="652">
        <f>IF($B514="",,IF(LEFT($H514,5)="dummy",SUMIFS(AvgBonus[avg_bonus],AvgBonus[job_title],$H514),SUMIFS(AvgBonus[avg_bonus],AvgBonus[exp_item],$J514,AvgBonus[company_name],$B514,AvgBonus[bu_name],$C514,AvgBonus[dept_name],$D514,AvgBonus[team_consolidation],$K514,AvgBonus[location_name],$G514,AvgBonus[job_title],$H514))*AP409*SUM(BonusPayout[Month 31]))</f>
        <v>0</v>
      </c>
      <c r="AQ514" s="652">
        <f>IF($B514="",,IF(LEFT($H514,5)="dummy",SUMIFS(AvgBonus[avg_bonus],AvgBonus[job_title],$H514),SUMIFS(AvgBonus[avg_bonus],AvgBonus[exp_item],$J514,AvgBonus[company_name],$B514,AvgBonus[bu_name],$C514,AvgBonus[dept_name],$D514,AvgBonus[team_consolidation],$K514,AvgBonus[location_name],$G514,AvgBonus[job_title],$H514))*AQ409*SUM(BonusPayout[Month 32]))</f>
        <v>0</v>
      </c>
      <c r="AR514" s="652">
        <f>IF($B514="",,IF(LEFT($H514,5)="dummy",SUMIFS(AvgBonus[avg_bonus],AvgBonus[job_title],$H514),SUMIFS(AvgBonus[avg_bonus],AvgBonus[exp_item],$J514,AvgBonus[company_name],$B514,AvgBonus[bu_name],$C514,AvgBonus[dept_name],$D514,AvgBonus[team_consolidation],$K514,AvgBonus[location_name],$G514,AvgBonus[job_title],$H514))*AR409*SUM(BonusPayout[Month 33]))</f>
        <v>0</v>
      </c>
      <c r="AS514" s="652">
        <f>IF($B514="",,IF(LEFT($H514,5)="dummy",SUMIFS(AvgBonus[avg_bonus],AvgBonus[job_title],$H514),SUMIFS(AvgBonus[avg_bonus],AvgBonus[exp_item],$J514,AvgBonus[company_name],$B514,AvgBonus[bu_name],$C514,AvgBonus[dept_name],$D514,AvgBonus[team_consolidation],$K514,AvgBonus[location_name],$G514,AvgBonus[job_title],$H514))*AS409*SUM(BonusPayout[Month 34]))</f>
        <v>0</v>
      </c>
      <c r="AT514" s="652">
        <f>IF($B514="",,IF(LEFT($H514,5)="dummy",SUMIFS(AvgBonus[avg_bonus],AvgBonus[job_title],$H514),SUMIFS(AvgBonus[avg_bonus],AvgBonus[exp_item],$J514,AvgBonus[company_name],$B514,AvgBonus[bu_name],$C514,AvgBonus[dept_name],$D514,AvgBonus[team_consolidation],$K514,AvgBonus[location_name],$G514,AvgBonus[job_title],$H514))*AT409*SUM(BonusPayout[Month 35]))</f>
        <v>0</v>
      </c>
      <c r="AU514" s="652">
        <f>IF($B514="",,IF(LEFT($H514,5)="dummy",SUMIFS(AvgBonus[avg_bonus],AvgBonus[job_title],$H514),SUMIFS(AvgBonus[avg_bonus],AvgBonus[exp_item],$J514,AvgBonus[company_name],$B514,AvgBonus[bu_name],$C514,AvgBonus[dept_name],$D514,AvgBonus[team_consolidation],$K514,AvgBonus[location_name],$G514,AvgBonus[job_title],$H514))*AU409*SUM(BonusPayout[Month 36]))</f>
        <v>0</v>
      </c>
    </row>
    <row r="515" spans="2:47" x14ac:dyDescent="0.35">
      <c r="B515" t="str">
        <f t="shared" si="292"/>
        <v/>
      </c>
      <c r="C515" t="str">
        <f t="shared" ref="C515:G515" si="307">IF(C410="","",C410)</f>
        <v/>
      </c>
      <c r="D515" t="str">
        <f t="shared" si="307"/>
        <v/>
      </c>
      <c r="E515" t="str">
        <f t="shared" si="307"/>
        <v/>
      </c>
      <c r="F515" t="str">
        <f t="shared" si="307"/>
        <v/>
      </c>
      <c r="G515" t="str">
        <f t="shared" si="307"/>
        <v/>
      </c>
      <c r="H515" t="str">
        <f t="shared" si="291"/>
        <v/>
      </c>
      <c r="J515" t="str">
        <f>IF($H515="","",IF(VLOOKUP($B$500,ExpItems[],2,0),$B$500&amp;" - "&amp;INDEX(DivisionMapping[category_code],MATCH($D515&amp;$C515,DivisionMapping[dept_bu],0)),$B$500))</f>
        <v/>
      </c>
      <c r="K515" t="str">
        <f t="shared" si="294"/>
        <v/>
      </c>
      <c r="L515" s="652">
        <f>IF($B515="",,IF(LEFT($H515,5)="dummy",SUMIFS(AvgBonus[avg_bonus],AvgBonus[job_title],$H515),SUMIFS(AvgBonus[avg_bonus],AvgBonus[exp_item],$J515,AvgBonus[company_name],$B515,AvgBonus[bu_name],$C515,AvgBonus[dept_name],$D515,AvgBonus[team_consolidation],$K515,AvgBonus[location_name],$G515,AvgBonus[job_title],$H515))*L410*SUM(BonusPayout[Month 1]))</f>
        <v>0</v>
      </c>
      <c r="M515" s="652">
        <f>IF($B515="",,IF(LEFT($H515,5)="dummy",SUMIFS(AvgBonus[avg_bonus],AvgBonus[job_title],$H515),SUMIFS(AvgBonus[avg_bonus],AvgBonus[exp_item],$J515,AvgBonus[company_name],$B515,AvgBonus[bu_name],$C515,AvgBonus[dept_name],$D515,AvgBonus[team_consolidation],$K515,AvgBonus[location_name],$G515,AvgBonus[job_title],$H515))*M410*SUM(BonusPayout[Month 2]))</f>
        <v>0</v>
      </c>
      <c r="N515" s="652">
        <f>IF($B515="",,IF(LEFT($H515,5)="dummy",SUMIFS(AvgBonus[avg_bonus],AvgBonus[job_title],$H515),SUMIFS(AvgBonus[avg_bonus],AvgBonus[exp_item],$J515,AvgBonus[company_name],$B515,AvgBonus[bu_name],$C515,AvgBonus[dept_name],$D515,AvgBonus[team_consolidation],$K515,AvgBonus[location_name],$G515,AvgBonus[job_title],$H515))*N410*SUM(BonusPayout[Month 3]))</f>
        <v>0</v>
      </c>
      <c r="O515" s="652">
        <f>IF($B515="",,IF(LEFT($H515,5)="dummy",SUMIFS(AvgBonus[avg_bonus],AvgBonus[job_title],$H515),SUMIFS(AvgBonus[avg_bonus],AvgBonus[exp_item],$J515,AvgBonus[company_name],$B515,AvgBonus[bu_name],$C515,AvgBonus[dept_name],$D515,AvgBonus[team_consolidation],$K515,AvgBonus[location_name],$G515,AvgBonus[job_title],$H515))*O410*SUM(BonusPayout[Month 4]))</f>
        <v>0</v>
      </c>
      <c r="P515" s="652">
        <f>IF($B515="",,IF(LEFT($H515,5)="dummy",SUMIFS(AvgBonus[avg_bonus],AvgBonus[job_title],$H515),SUMIFS(AvgBonus[avg_bonus],AvgBonus[exp_item],$J515,AvgBonus[company_name],$B515,AvgBonus[bu_name],$C515,AvgBonus[dept_name],$D515,AvgBonus[team_consolidation],$K515,AvgBonus[location_name],$G515,AvgBonus[job_title],$H515))*P410*SUM(BonusPayout[Month 5]))</f>
        <v>0</v>
      </c>
      <c r="Q515" s="652">
        <f>IF($B515="",,IF(LEFT($H515,5)="dummy",SUMIFS(AvgBonus[avg_bonus],AvgBonus[job_title],$H515),SUMIFS(AvgBonus[avg_bonus],AvgBonus[exp_item],$J515,AvgBonus[company_name],$B515,AvgBonus[bu_name],$C515,AvgBonus[dept_name],$D515,AvgBonus[team_consolidation],$K515,AvgBonus[location_name],$G515,AvgBonus[job_title],$H515))*Q410*SUM(BonusPayout[Month 6]))</f>
        <v>0</v>
      </c>
      <c r="R515" s="652">
        <f>IF($B515="",,IF(LEFT($H515,5)="dummy",SUMIFS(AvgBonus[avg_bonus],AvgBonus[job_title],$H515),SUMIFS(AvgBonus[avg_bonus],AvgBonus[exp_item],$J515,AvgBonus[company_name],$B515,AvgBonus[bu_name],$C515,AvgBonus[dept_name],$D515,AvgBonus[team_consolidation],$K515,AvgBonus[location_name],$G515,AvgBonus[job_title],$H515))*R410*SUM(BonusPayout[Month 7]))</f>
        <v>0</v>
      </c>
      <c r="S515" s="652">
        <f>IF($B515="",,IF(LEFT($H515,5)="dummy",SUMIFS(AvgBonus[avg_bonus],AvgBonus[job_title],$H515),SUMIFS(AvgBonus[avg_bonus],AvgBonus[exp_item],$J515,AvgBonus[company_name],$B515,AvgBonus[bu_name],$C515,AvgBonus[dept_name],$D515,AvgBonus[team_consolidation],$K515,AvgBonus[location_name],$G515,AvgBonus[job_title],$H515))*S410*SUM(BonusPayout[Month 8]))</f>
        <v>0</v>
      </c>
      <c r="T515" s="652">
        <f>IF($B515="",,IF(LEFT($H515,5)="dummy",SUMIFS(AvgBonus[avg_bonus],AvgBonus[job_title],$H515),SUMIFS(AvgBonus[avg_bonus],AvgBonus[exp_item],$J515,AvgBonus[company_name],$B515,AvgBonus[bu_name],$C515,AvgBonus[dept_name],$D515,AvgBonus[team_consolidation],$K515,AvgBonus[location_name],$G515,AvgBonus[job_title],$H515))*T410*SUM(BonusPayout[Month 9]))</f>
        <v>0</v>
      </c>
      <c r="U515" s="652">
        <f>IF($B515="",,IF(LEFT($H515,5)="dummy",SUMIFS(AvgBonus[avg_bonus],AvgBonus[job_title],$H515),SUMIFS(AvgBonus[avg_bonus],AvgBonus[exp_item],$J515,AvgBonus[company_name],$B515,AvgBonus[bu_name],$C515,AvgBonus[dept_name],$D515,AvgBonus[team_consolidation],$K515,AvgBonus[location_name],$G515,AvgBonus[job_title],$H515))*U410*SUM(BonusPayout[Month 10]))</f>
        <v>0</v>
      </c>
      <c r="V515" s="652">
        <f>IF($B515="",,IF(LEFT($H515,5)="dummy",SUMIFS(AvgBonus[avg_bonus],AvgBonus[job_title],$H515),SUMIFS(AvgBonus[avg_bonus],AvgBonus[exp_item],$J515,AvgBonus[company_name],$B515,AvgBonus[bu_name],$C515,AvgBonus[dept_name],$D515,AvgBonus[team_consolidation],$K515,AvgBonus[location_name],$G515,AvgBonus[job_title],$H515))*V410*SUM(BonusPayout[Month 11]))</f>
        <v>0</v>
      </c>
      <c r="W515" s="652">
        <f>IF($B515="",,IF(LEFT($H515,5)="dummy",SUMIFS(AvgBonus[avg_bonus],AvgBonus[job_title],$H515),SUMIFS(AvgBonus[avg_bonus],AvgBonus[exp_item],$J515,AvgBonus[company_name],$B515,AvgBonus[bu_name],$C515,AvgBonus[dept_name],$D515,AvgBonus[team_consolidation],$K515,AvgBonus[location_name],$G515,AvgBonus[job_title],$H515))*W410*SUM(BonusPayout[Month 12]))</f>
        <v>0</v>
      </c>
      <c r="X515" s="652">
        <f>IF($B515="",,IF(LEFT($H515,5)="dummy",SUMIFS(AvgBonus[avg_bonus],AvgBonus[job_title],$H515),SUMIFS(AvgBonus[avg_bonus],AvgBonus[exp_item],$J515,AvgBonus[company_name],$B515,AvgBonus[bu_name],$C515,AvgBonus[dept_name],$D515,AvgBonus[team_consolidation],$K515,AvgBonus[location_name],$G515,AvgBonus[job_title],$H515))*X410*SUM(BonusPayout[Month 13]))</f>
        <v>0</v>
      </c>
      <c r="Y515" s="652">
        <f>IF($B515="",,IF(LEFT($H515,5)="dummy",SUMIFS(AvgBonus[avg_bonus],AvgBonus[job_title],$H515),SUMIFS(AvgBonus[avg_bonus],AvgBonus[exp_item],$J515,AvgBonus[company_name],$B515,AvgBonus[bu_name],$C515,AvgBonus[dept_name],$D515,AvgBonus[team_consolidation],$K515,AvgBonus[location_name],$G515,AvgBonus[job_title],$H515))*Y410*SUM(BonusPayout[Month 14]))</f>
        <v>0</v>
      </c>
      <c r="Z515" s="652">
        <f>IF($B515="",,IF(LEFT($H515,5)="dummy",SUMIFS(AvgBonus[avg_bonus],AvgBonus[job_title],$H515),SUMIFS(AvgBonus[avg_bonus],AvgBonus[exp_item],$J515,AvgBonus[company_name],$B515,AvgBonus[bu_name],$C515,AvgBonus[dept_name],$D515,AvgBonus[team_consolidation],$K515,AvgBonus[location_name],$G515,AvgBonus[job_title],$H515))*Z410*SUM(BonusPayout[Month 15]))</f>
        <v>0</v>
      </c>
      <c r="AA515" s="652">
        <f>IF($B515="",,IF(LEFT($H515,5)="dummy",SUMIFS(AvgBonus[avg_bonus],AvgBonus[job_title],$H515),SUMIFS(AvgBonus[avg_bonus],AvgBonus[exp_item],$J515,AvgBonus[company_name],$B515,AvgBonus[bu_name],$C515,AvgBonus[dept_name],$D515,AvgBonus[team_consolidation],$K515,AvgBonus[location_name],$G515,AvgBonus[job_title],$H515))*AA410*SUM(BonusPayout[Month 16]))</f>
        <v>0</v>
      </c>
      <c r="AB515" s="652">
        <f>IF($B515="",,IF(LEFT($H515,5)="dummy",SUMIFS(AvgBonus[avg_bonus],AvgBonus[job_title],$H515),SUMIFS(AvgBonus[avg_bonus],AvgBonus[exp_item],$J515,AvgBonus[company_name],$B515,AvgBonus[bu_name],$C515,AvgBonus[dept_name],$D515,AvgBonus[team_consolidation],$K515,AvgBonus[location_name],$G515,AvgBonus[job_title],$H515))*AB410*SUM(BonusPayout[Month 17]))</f>
        <v>0</v>
      </c>
      <c r="AC515" s="652">
        <f>IF($B515="",,IF(LEFT($H515,5)="dummy",SUMIFS(AvgBonus[avg_bonus],AvgBonus[job_title],$H515),SUMIFS(AvgBonus[avg_bonus],AvgBonus[exp_item],$J515,AvgBonus[company_name],$B515,AvgBonus[bu_name],$C515,AvgBonus[dept_name],$D515,AvgBonus[team_consolidation],$K515,AvgBonus[location_name],$G515,AvgBonus[job_title],$H515))*AC410*SUM(BonusPayout[Month 18]))</f>
        <v>0</v>
      </c>
      <c r="AD515" s="652">
        <f>IF($B515="",,IF(LEFT($H515,5)="dummy",SUMIFS(AvgBonus[avg_bonus],AvgBonus[job_title],$H515),SUMIFS(AvgBonus[avg_bonus],AvgBonus[exp_item],$J515,AvgBonus[company_name],$B515,AvgBonus[bu_name],$C515,AvgBonus[dept_name],$D515,AvgBonus[team_consolidation],$K515,AvgBonus[location_name],$G515,AvgBonus[job_title],$H515))*AD410*SUM(BonusPayout[Month 19]))</f>
        <v>0</v>
      </c>
      <c r="AE515" s="652">
        <f>IF($B515="",,IF(LEFT($H515,5)="dummy",SUMIFS(AvgBonus[avg_bonus],AvgBonus[job_title],$H515),SUMIFS(AvgBonus[avg_bonus],AvgBonus[exp_item],$J515,AvgBonus[company_name],$B515,AvgBonus[bu_name],$C515,AvgBonus[dept_name],$D515,AvgBonus[team_consolidation],$K515,AvgBonus[location_name],$G515,AvgBonus[job_title],$H515))*AE410*SUM(BonusPayout[Month 20]))</f>
        <v>0</v>
      </c>
      <c r="AF515" s="652">
        <f>IF($B515="",,IF(LEFT($H515,5)="dummy",SUMIFS(AvgBonus[avg_bonus],AvgBonus[job_title],$H515),SUMIFS(AvgBonus[avg_bonus],AvgBonus[exp_item],$J515,AvgBonus[company_name],$B515,AvgBonus[bu_name],$C515,AvgBonus[dept_name],$D515,AvgBonus[team_consolidation],$K515,AvgBonus[location_name],$G515,AvgBonus[job_title],$H515))*AF410*SUM(BonusPayout[Month 21]))</f>
        <v>0</v>
      </c>
      <c r="AG515" s="652">
        <f>IF($B515="",,IF(LEFT($H515,5)="dummy",SUMIFS(AvgBonus[avg_bonus],AvgBonus[job_title],$H515),SUMIFS(AvgBonus[avg_bonus],AvgBonus[exp_item],$J515,AvgBonus[company_name],$B515,AvgBonus[bu_name],$C515,AvgBonus[dept_name],$D515,AvgBonus[team_consolidation],$K515,AvgBonus[location_name],$G515,AvgBonus[job_title],$H515))*AG410*SUM(BonusPayout[Month 22]))</f>
        <v>0</v>
      </c>
      <c r="AH515" s="652">
        <f>IF($B515="",,IF(LEFT($H515,5)="dummy",SUMIFS(AvgBonus[avg_bonus],AvgBonus[job_title],$H515),SUMIFS(AvgBonus[avg_bonus],AvgBonus[exp_item],$J515,AvgBonus[company_name],$B515,AvgBonus[bu_name],$C515,AvgBonus[dept_name],$D515,AvgBonus[team_consolidation],$K515,AvgBonus[location_name],$G515,AvgBonus[job_title],$H515))*AH410*SUM(BonusPayout[Month 23]))</f>
        <v>0</v>
      </c>
      <c r="AI515" s="652">
        <f>IF($B515="",,IF(LEFT($H515,5)="dummy",SUMIFS(AvgBonus[avg_bonus],AvgBonus[job_title],$H515),SUMIFS(AvgBonus[avg_bonus],AvgBonus[exp_item],$J515,AvgBonus[company_name],$B515,AvgBonus[bu_name],$C515,AvgBonus[dept_name],$D515,AvgBonus[team_consolidation],$K515,AvgBonus[location_name],$G515,AvgBonus[job_title],$H515))*AI410*SUM(BonusPayout[Month 24]))</f>
        <v>0</v>
      </c>
      <c r="AJ515" s="652">
        <f>IF($B515="",,IF(LEFT($H515,5)="dummy",SUMIFS(AvgBonus[avg_bonus],AvgBonus[job_title],$H515),SUMIFS(AvgBonus[avg_bonus],AvgBonus[exp_item],$J515,AvgBonus[company_name],$B515,AvgBonus[bu_name],$C515,AvgBonus[dept_name],$D515,AvgBonus[team_consolidation],$K515,AvgBonus[location_name],$G515,AvgBonus[job_title],$H515))*AJ410*SUM(BonusPayout[Month 25]))</f>
        <v>0</v>
      </c>
      <c r="AK515" s="652">
        <f>IF($B515="",,IF(LEFT($H515,5)="dummy",SUMIFS(AvgBonus[avg_bonus],AvgBonus[job_title],$H515),SUMIFS(AvgBonus[avg_bonus],AvgBonus[exp_item],$J515,AvgBonus[company_name],$B515,AvgBonus[bu_name],$C515,AvgBonus[dept_name],$D515,AvgBonus[team_consolidation],$K515,AvgBonus[location_name],$G515,AvgBonus[job_title],$H515))*AK410*SUM(BonusPayout[Month 26]))</f>
        <v>0</v>
      </c>
      <c r="AL515" s="652">
        <f>IF($B515="",,IF(LEFT($H515,5)="dummy",SUMIFS(AvgBonus[avg_bonus],AvgBonus[job_title],$H515),SUMIFS(AvgBonus[avg_bonus],AvgBonus[exp_item],$J515,AvgBonus[company_name],$B515,AvgBonus[bu_name],$C515,AvgBonus[dept_name],$D515,AvgBonus[team_consolidation],$K515,AvgBonus[location_name],$G515,AvgBonus[job_title],$H515))*AL410*SUM(BonusPayout[Month 27]))</f>
        <v>0</v>
      </c>
      <c r="AM515" s="652">
        <f>IF($B515="",,IF(LEFT($H515,5)="dummy",SUMIFS(AvgBonus[avg_bonus],AvgBonus[job_title],$H515),SUMIFS(AvgBonus[avg_bonus],AvgBonus[exp_item],$J515,AvgBonus[company_name],$B515,AvgBonus[bu_name],$C515,AvgBonus[dept_name],$D515,AvgBonus[team_consolidation],$K515,AvgBonus[location_name],$G515,AvgBonus[job_title],$H515))*AM410*SUM(BonusPayout[Month 28]))</f>
        <v>0</v>
      </c>
      <c r="AN515" s="652">
        <f>IF($B515="",,IF(LEFT($H515,5)="dummy",SUMIFS(AvgBonus[avg_bonus],AvgBonus[job_title],$H515),SUMIFS(AvgBonus[avg_bonus],AvgBonus[exp_item],$J515,AvgBonus[company_name],$B515,AvgBonus[bu_name],$C515,AvgBonus[dept_name],$D515,AvgBonus[team_consolidation],$K515,AvgBonus[location_name],$G515,AvgBonus[job_title],$H515))*AN410*SUM(BonusPayout[Month 29]))</f>
        <v>0</v>
      </c>
      <c r="AO515" s="652">
        <f>IF($B515="",,IF(LEFT($H515,5)="dummy",SUMIFS(AvgBonus[avg_bonus],AvgBonus[job_title],$H515),SUMIFS(AvgBonus[avg_bonus],AvgBonus[exp_item],$J515,AvgBonus[company_name],$B515,AvgBonus[bu_name],$C515,AvgBonus[dept_name],$D515,AvgBonus[team_consolidation],$K515,AvgBonus[location_name],$G515,AvgBonus[job_title],$H515))*AO410*SUM(BonusPayout[Month 30]))</f>
        <v>0</v>
      </c>
      <c r="AP515" s="652">
        <f>IF($B515="",,IF(LEFT($H515,5)="dummy",SUMIFS(AvgBonus[avg_bonus],AvgBonus[job_title],$H515),SUMIFS(AvgBonus[avg_bonus],AvgBonus[exp_item],$J515,AvgBonus[company_name],$B515,AvgBonus[bu_name],$C515,AvgBonus[dept_name],$D515,AvgBonus[team_consolidation],$K515,AvgBonus[location_name],$G515,AvgBonus[job_title],$H515))*AP410*SUM(BonusPayout[Month 31]))</f>
        <v>0</v>
      </c>
      <c r="AQ515" s="652">
        <f>IF($B515="",,IF(LEFT($H515,5)="dummy",SUMIFS(AvgBonus[avg_bonus],AvgBonus[job_title],$H515),SUMIFS(AvgBonus[avg_bonus],AvgBonus[exp_item],$J515,AvgBonus[company_name],$B515,AvgBonus[bu_name],$C515,AvgBonus[dept_name],$D515,AvgBonus[team_consolidation],$K515,AvgBonus[location_name],$G515,AvgBonus[job_title],$H515))*AQ410*SUM(BonusPayout[Month 32]))</f>
        <v>0</v>
      </c>
      <c r="AR515" s="652">
        <f>IF($B515="",,IF(LEFT($H515,5)="dummy",SUMIFS(AvgBonus[avg_bonus],AvgBonus[job_title],$H515),SUMIFS(AvgBonus[avg_bonus],AvgBonus[exp_item],$J515,AvgBonus[company_name],$B515,AvgBonus[bu_name],$C515,AvgBonus[dept_name],$D515,AvgBonus[team_consolidation],$K515,AvgBonus[location_name],$G515,AvgBonus[job_title],$H515))*AR410*SUM(BonusPayout[Month 33]))</f>
        <v>0</v>
      </c>
      <c r="AS515" s="652">
        <f>IF($B515="",,IF(LEFT($H515,5)="dummy",SUMIFS(AvgBonus[avg_bonus],AvgBonus[job_title],$H515),SUMIFS(AvgBonus[avg_bonus],AvgBonus[exp_item],$J515,AvgBonus[company_name],$B515,AvgBonus[bu_name],$C515,AvgBonus[dept_name],$D515,AvgBonus[team_consolidation],$K515,AvgBonus[location_name],$G515,AvgBonus[job_title],$H515))*AS410*SUM(BonusPayout[Month 34]))</f>
        <v>0</v>
      </c>
      <c r="AT515" s="652">
        <f>IF($B515="",,IF(LEFT($H515,5)="dummy",SUMIFS(AvgBonus[avg_bonus],AvgBonus[job_title],$H515),SUMIFS(AvgBonus[avg_bonus],AvgBonus[exp_item],$J515,AvgBonus[company_name],$B515,AvgBonus[bu_name],$C515,AvgBonus[dept_name],$D515,AvgBonus[team_consolidation],$K515,AvgBonus[location_name],$G515,AvgBonus[job_title],$H515))*AT410*SUM(BonusPayout[Month 35]))</f>
        <v>0</v>
      </c>
      <c r="AU515" s="652">
        <f>IF($B515="",,IF(LEFT($H515,5)="dummy",SUMIFS(AvgBonus[avg_bonus],AvgBonus[job_title],$H515),SUMIFS(AvgBonus[avg_bonus],AvgBonus[exp_item],$J515,AvgBonus[company_name],$B515,AvgBonus[bu_name],$C515,AvgBonus[dept_name],$D515,AvgBonus[team_consolidation],$K515,AvgBonus[location_name],$G515,AvgBonus[job_title],$H515))*AU410*SUM(BonusPayout[Month 36]))</f>
        <v>0</v>
      </c>
    </row>
    <row r="516" spans="2:47" x14ac:dyDescent="0.35">
      <c r="B516" t="str">
        <f t="shared" si="292"/>
        <v/>
      </c>
      <c r="C516" t="str">
        <f t="shared" ref="C516:G516" si="308">IF(C411="","",C411)</f>
        <v/>
      </c>
      <c r="D516" t="str">
        <f t="shared" si="308"/>
        <v/>
      </c>
      <c r="E516" t="str">
        <f t="shared" si="308"/>
        <v/>
      </c>
      <c r="F516" t="str">
        <f t="shared" si="308"/>
        <v/>
      </c>
      <c r="G516" t="str">
        <f t="shared" si="308"/>
        <v/>
      </c>
      <c r="H516" t="str">
        <f t="shared" si="291"/>
        <v/>
      </c>
      <c r="J516" t="str">
        <f>IF($H516="","",IF(VLOOKUP($B$500,ExpItems[],2,0),$B$500&amp;" - "&amp;INDEX(DivisionMapping[category_code],MATCH($D516&amp;$C516,DivisionMapping[dept_bu],0)),$B$500))</f>
        <v/>
      </c>
      <c r="K516" t="str">
        <f t="shared" si="294"/>
        <v/>
      </c>
      <c r="L516" s="652">
        <f>IF($B516="",,IF(LEFT($H516,5)="dummy",SUMIFS(AvgBonus[avg_bonus],AvgBonus[job_title],$H516),SUMIFS(AvgBonus[avg_bonus],AvgBonus[exp_item],$J516,AvgBonus[company_name],$B516,AvgBonus[bu_name],$C516,AvgBonus[dept_name],$D516,AvgBonus[team_consolidation],$K516,AvgBonus[location_name],$G516,AvgBonus[job_title],$H516))*L411*SUM(BonusPayout[Month 1]))</f>
        <v>0</v>
      </c>
      <c r="M516" s="652">
        <f>IF($B516="",,IF(LEFT($H516,5)="dummy",SUMIFS(AvgBonus[avg_bonus],AvgBonus[job_title],$H516),SUMIFS(AvgBonus[avg_bonus],AvgBonus[exp_item],$J516,AvgBonus[company_name],$B516,AvgBonus[bu_name],$C516,AvgBonus[dept_name],$D516,AvgBonus[team_consolidation],$K516,AvgBonus[location_name],$G516,AvgBonus[job_title],$H516))*M411*SUM(BonusPayout[Month 2]))</f>
        <v>0</v>
      </c>
      <c r="N516" s="652">
        <f>IF($B516="",,IF(LEFT($H516,5)="dummy",SUMIFS(AvgBonus[avg_bonus],AvgBonus[job_title],$H516),SUMIFS(AvgBonus[avg_bonus],AvgBonus[exp_item],$J516,AvgBonus[company_name],$B516,AvgBonus[bu_name],$C516,AvgBonus[dept_name],$D516,AvgBonus[team_consolidation],$K516,AvgBonus[location_name],$G516,AvgBonus[job_title],$H516))*N411*SUM(BonusPayout[Month 3]))</f>
        <v>0</v>
      </c>
      <c r="O516" s="652">
        <f>IF($B516="",,IF(LEFT($H516,5)="dummy",SUMIFS(AvgBonus[avg_bonus],AvgBonus[job_title],$H516),SUMIFS(AvgBonus[avg_bonus],AvgBonus[exp_item],$J516,AvgBonus[company_name],$B516,AvgBonus[bu_name],$C516,AvgBonus[dept_name],$D516,AvgBonus[team_consolidation],$K516,AvgBonus[location_name],$G516,AvgBonus[job_title],$H516))*O411*SUM(BonusPayout[Month 4]))</f>
        <v>0</v>
      </c>
      <c r="P516" s="652">
        <f>IF($B516="",,IF(LEFT($H516,5)="dummy",SUMIFS(AvgBonus[avg_bonus],AvgBonus[job_title],$H516),SUMIFS(AvgBonus[avg_bonus],AvgBonus[exp_item],$J516,AvgBonus[company_name],$B516,AvgBonus[bu_name],$C516,AvgBonus[dept_name],$D516,AvgBonus[team_consolidation],$K516,AvgBonus[location_name],$G516,AvgBonus[job_title],$H516))*P411*SUM(BonusPayout[Month 5]))</f>
        <v>0</v>
      </c>
      <c r="Q516" s="652">
        <f>IF($B516="",,IF(LEFT($H516,5)="dummy",SUMIFS(AvgBonus[avg_bonus],AvgBonus[job_title],$H516),SUMIFS(AvgBonus[avg_bonus],AvgBonus[exp_item],$J516,AvgBonus[company_name],$B516,AvgBonus[bu_name],$C516,AvgBonus[dept_name],$D516,AvgBonus[team_consolidation],$K516,AvgBonus[location_name],$G516,AvgBonus[job_title],$H516))*Q411*SUM(BonusPayout[Month 6]))</f>
        <v>0</v>
      </c>
      <c r="R516" s="652">
        <f>IF($B516="",,IF(LEFT($H516,5)="dummy",SUMIFS(AvgBonus[avg_bonus],AvgBonus[job_title],$H516),SUMIFS(AvgBonus[avg_bonus],AvgBonus[exp_item],$J516,AvgBonus[company_name],$B516,AvgBonus[bu_name],$C516,AvgBonus[dept_name],$D516,AvgBonus[team_consolidation],$K516,AvgBonus[location_name],$G516,AvgBonus[job_title],$H516))*R411*SUM(BonusPayout[Month 7]))</f>
        <v>0</v>
      </c>
      <c r="S516" s="652">
        <f>IF($B516="",,IF(LEFT($H516,5)="dummy",SUMIFS(AvgBonus[avg_bonus],AvgBonus[job_title],$H516),SUMIFS(AvgBonus[avg_bonus],AvgBonus[exp_item],$J516,AvgBonus[company_name],$B516,AvgBonus[bu_name],$C516,AvgBonus[dept_name],$D516,AvgBonus[team_consolidation],$K516,AvgBonus[location_name],$G516,AvgBonus[job_title],$H516))*S411*SUM(BonusPayout[Month 8]))</f>
        <v>0</v>
      </c>
      <c r="T516" s="652">
        <f>IF($B516="",,IF(LEFT($H516,5)="dummy",SUMIFS(AvgBonus[avg_bonus],AvgBonus[job_title],$H516),SUMIFS(AvgBonus[avg_bonus],AvgBonus[exp_item],$J516,AvgBonus[company_name],$B516,AvgBonus[bu_name],$C516,AvgBonus[dept_name],$D516,AvgBonus[team_consolidation],$K516,AvgBonus[location_name],$G516,AvgBonus[job_title],$H516))*T411*SUM(BonusPayout[Month 9]))</f>
        <v>0</v>
      </c>
      <c r="U516" s="652">
        <f>IF($B516="",,IF(LEFT($H516,5)="dummy",SUMIFS(AvgBonus[avg_bonus],AvgBonus[job_title],$H516),SUMIFS(AvgBonus[avg_bonus],AvgBonus[exp_item],$J516,AvgBonus[company_name],$B516,AvgBonus[bu_name],$C516,AvgBonus[dept_name],$D516,AvgBonus[team_consolidation],$K516,AvgBonus[location_name],$G516,AvgBonus[job_title],$H516))*U411*SUM(BonusPayout[Month 10]))</f>
        <v>0</v>
      </c>
      <c r="V516" s="652">
        <f>IF($B516="",,IF(LEFT($H516,5)="dummy",SUMIFS(AvgBonus[avg_bonus],AvgBonus[job_title],$H516),SUMIFS(AvgBonus[avg_bonus],AvgBonus[exp_item],$J516,AvgBonus[company_name],$B516,AvgBonus[bu_name],$C516,AvgBonus[dept_name],$D516,AvgBonus[team_consolidation],$K516,AvgBonus[location_name],$G516,AvgBonus[job_title],$H516))*V411*SUM(BonusPayout[Month 11]))</f>
        <v>0</v>
      </c>
      <c r="W516" s="652">
        <f>IF($B516="",,IF(LEFT($H516,5)="dummy",SUMIFS(AvgBonus[avg_bonus],AvgBonus[job_title],$H516),SUMIFS(AvgBonus[avg_bonus],AvgBonus[exp_item],$J516,AvgBonus[company_name],$B516,AvgBonus[bu_name],$C516,AvgBonus[dept_name],$D516,AvgBonus[team_consolidation],$K516,AvgBonus[location_name],$G516,AvgBonus[job_title],$H516))*W411*SUM(BonusPayout[Month 12]))</f>
        <v>0</v>
      </c>
      <c r="X516" s="652">
        <f>IF($B516="",,IF(LEFT($H516,5)="dummy",SUMIFS(AvgBonus[avg_bonus],AvgBonus[job_title],$H516),SUMIFS(AvgBonus[avg_bonus],AvgBonus[exp_item],$J516,AvgBonus[company_name],$B516,AvgBonus[bu_name],$C516,AvgBonus[dept_name],$D516,AvgBonus[team_consolidation],$K516,AvgBonus[location_name],$G516,AvgBonus[job_title],$H516))*X411*SUM(BonusPayout[Month 13]))</f>
        <v>0</v>
      </c>
      <c r="Y516" s="652">
        <f>IF($B516="",,IF(LEFT($H516,5)="dummy",SUMIFS(AvgBonus[avg_bonus],AvgBonus[job_title],$H516),SUMIFS(AvgBonus[avg_bonus],AvgBonus[exp_item],$J516,AvgBonus[company_name],$B516,AvgBonus[bu_name],$C516,AvgBonus[dept_name],$D516,AvgBonus[team_consolidation],$K516,AvgBonus[location_name],$G516,AvgBonus[job_title],$H516))*Y411*SUM(BonusPayout[Month 14]))</f>
        <v>0</v>
      </c>
      <c r="Z516" s="652">
        <f>IF($B516="",,IF(LEFT($H516,5)="dummy",SUMIFS(AvgBonus[avg_bonus],AvgBonus[job_title],$H516),SUMIFS(AvgBonus[avg_bonus],AvgBonus[exp_item],$J516,AvgBonus[company_name],$B516,AvgBonus[bu_name],$C516,AvgBonus[dept_name],$D516,AvgBonus[team_consolidation],$K516,AvgBonus[location_name],$G516,AvgBonus[job_title],$H516))*Z411*SUM(BonusPayout[Month 15]))</f>
        <v>0</v>
      </c>
      <c r="AA516" s="652">
        <f>IF($B516="",,IF(LEFT($H516,5)="dummy",SUMIFS(AvgBonus[avg_bonus],AvgBonus[job_title],$H516),SUMIFS(AvgBonus[avg_bonus],AvgBonus[exp_item],$J516,AvgBonus[company_name],$B516,AvgBonus[bu_name],$C516,AvgBonus[dept_name],$D516,AvgBonus[team_consolidation],$K516,AvgBonus[location_name],$G516,AvgBonus[job_title],$H516))*AA411*SUM(BonusPayout[Month 16]))</f>
        <v>0</v>
      </c>
      <c r="AB516" s="652">
        <f>IF($B516="",,IF(LEFT($H516,5)="dummy",SUMIFS(AvgBonus[avg_bonus],AvgBonus[job_title],$H516),SUMIFS(AvgBonus[avg_bonus],AvgBonus[exp_item],$J516,AvgBonus[company_name],$B516,AvgBonus[bu_name],$C516,AvgBonus[dept_name],$D516,AvgBonus[team_consolidation],$K516,AvgBonus[location_name],$G516,AvgBonus[job_title],$H516))*AB411*SUM(BonusPayout[Month 17]))</f>
        <v>0</v>
      </c>
      <c r="AC516" s="652">
        <f>IF($B516="",,IF(LEFT($H516,5)="dummy",SUMIFS(AvgBonus[avg_bonus],AvgBonus[job_title],$H516),SUMIFS(AvgBonus[avg_bonus],AvgBonus[exp_item],$J516,AvgBonus[company_name],$B516,AvgBonus[bu_name],$C516,AvgBonus[dept_name],$D516,AvgBonus[team_consolidation],$K516,AvgBonus[location_name],$G516,AvgBonus[job_title],$H516))*AC411*SUM(BonusPayout[Month 18]))</f>
        <v>0</v>
      </c>
      <c r="AD516" s="652">
        <f>IF($B516="",,IF(LEFT($H516,5)="dummy",SUMIFS(AvgBonus[avg_bonus],AvgBonus[job_title],$H516),SUMIFS(AvgBonus[avg_bonus],AvgBonus[exp_item],$J516,AvgBonus[company_name],$B516,AvgBonus[bu_name],$C516,AvgBonus[dept_name],$D516,AvgBonus[team_consolidation],$K516,AvgBonus[location_name],$G516,AvgBonus[job_title],$H516))*AD411*SUM(BonusPayout[Month 19]))</f>
        <v>0</v>
      </c>
      <c r="AE516" s="652">
        <f>IF($B516="",,IF(LEFT($H516,5)="dummy",SUMIFS(AvgBonus[avg_bonus],AvgBonus[job_title],$H516),SUMIFS(AvgBonus[avg_bonus],AvgBonus[exp_item],$J516,AvgBonus[company_name],$B516,AvgBonus[bu_name],$C516,AvgBonus[dept_name],$D516,AvgBonus[team_consolidation],$K516,AvgBonus[location_name],$G516,AvgBonus[job_title],$H516))*AE411*SUM(BonusPayout[Month 20]))</f>
        <v>0</v>
      </c>
      <c r="AF516" s="652">
        <f>IF($B516="",,IF(LEFT($H516,5)="dummy",SUMIFS(AvgBonus[avg_bonus],AvgBonus[job_title],$H516),SUMIFS(AvgBonus[avg_bonus],AvgBonus[exp_item],$J516,AvgBonus[company_name],$B516,AvgBonus[bu_name],$C516,AvgBonus[dept_name],$D516,AvgBonus[team_consolidation],$K516,AvgBonus[location_name],$G516,AvgBonus[job_title],$H516))*AF411*SUM(BonusPayout[Month 21]))</f>
        <v>0</v>
      </c>
      <c r="AG516" s="652">
        <f>IF($B516="",,IF(LEFT($H516,5)="dummy",SUMIFS(AvgBonus[avg_bonus],AvgBonus[job_title],$H516),SUMIFS(AvgBonus[avg_bonus],AvgBonus[exp_item],$J516,AvgBonus[company_name],$B516,AvgBonus[bu_name],$C516,AvgBonus[dept_name],$D516,AvgBonus[team_consolidation],$K516,AvgBonus[location_name],$G516,AvgBonus[job_title],$H516))*AG411*SUM(BonusPayout[Month 22]))</f>
        <v>0</v>
      </c>
      <c r="AH516" s="652">
        <f>IF($B516="",,IF(LEFT($H516,5)="dummy",SUMIFS(AvgBonus[avg_bonus],AvgBonus[job_title],$H516),SUMIFS(AvgBonus[avg_bonus],AvgBonus[exp_item],$J516,AvgBonus[company_name],$B516,AvgBonus[bu_name],$C516,AvgBonus[dept_name],$D516,AvgBonus[team_consolidation],$K516,AvgBonus[location_name],$G516,AvgBonus[job_title],$H516))*AH411*SUM(BonusPayout[Month 23]))</f>
        <v>0</v>
      </c>
      <c r="AI516" s="652">
        <f>IF($B516="",,IF(LEFT($H516,5)="dummy",SUMIFS(AvgBonus[avg_bonus],AvgBonus[job_title],$H516),SUMIFS(AvgBonus[avg_bonus],AvgBonus[exp_item],$J516,AvgBonus[company_name],$B516,AvgBonus[bu_name],$C516,AvgBonus[dept_name],$D516,AvgBonus[team_consolidation],$K516,AvgBonus[location_name],$G516,AvgBonus[job_title],$H516))*AI411*SUM(BonusPayout[Month 24]))</f>
        <v>0</v>
      </c>
      <c r="AJ516" s="652">
        <f>IF($B516="",,IF(LEFT($H516,5)="dummy",SUMIFS(AvgBonus[avg_bonus],AvgBonus[job_title],$H516),SUMIFS(AvgBonus[avg_bonus],AvgBonus[exp_item],$J516,AvgBonus[company_name],$B516,AvgBonus[bu_name],$C516,AvgBonus[dept_name],$D516,AvgBonus[team_consolidation],$K516,AvgBonus[location_name],$G516,AvgBonus[job_title],$H516))*AJ411*SUM(BonusPayout[Month 25]))</f>
        <v>0</v>
      </c>
      <c r="AK516" s="652">
        <f>IF($B516="",,IF(LEFT($H516,5)="dummy",SUMIFS(AvgBonus[avg_bonus],AvgBonus[job_title],$H516),SUMIFS(AvgBonus[avg_bonus],AvgBonus[exp_item],$J516,AvgBonus[company_name],$B516,AvgBonus[bu_name],$C516,AvgBonus[dept_name],$D516,AvgBonus[team_consolidation],$K516,AvgBonus[location_name],$G516,AvgBonus[job_title],$H516))*AK411*SUM(BonusPayout[Month 26]))</f>
        <v>0</v>
      </c>
      <c r="AL516" s="652">
        <f>IF($B516="",,IF(LEFT($H516,5)="dummy",SUMIFS(AvgBonus[avg_bonus],AvgBonus[job_title],$H516),SUMIFS(AvgBonus[avg_bonus],AvgBonus[exp_item],$J516,AvgBonus[company_name],$B516,AvgBonus[bu_name],$C516,AvgBonus[dept_name],$D516,AvgBonus[team_consolidation],$K516,AvgBonus[location_name],$G516,AvgBonus[job_title],$H516))*AL411*SUM(BonusPayout[Month 27]))</f>
        <v>0</v>
      </c>
      <c r="AM516" s="652">
        <f>IF($B516="",,IF(LEFT($H516,5)="dummy",SUMIFS(AvgBonus[avg_bonus],AvgBonus[job_title],$H516),SUMIFS(AvgBonus[avg_bonus],AvgBonus[exp_item],$J516,AvgBonus[company_name],$B516,AvgBonus[bu_name],$C516,AvgBonus[dept_name],$D516,AvgBonus[team_consolidation],$K516,AvgBonus[location_name],$G516,AvgBonus[job_title],$H516))*AM411*SUM(BonusPayout[Month 28]))</f>
        <v>0</v>
      </c>
      <c r="AN516" s="652">
        <f>IF($B516="",,IF(LEFT($H516,5)="dummy",SUMIFS(AvgBonus[avg_bonus],AvgBonus[job_title],$H516),SUMIFS(AvgBonus[avg_bonus],AvgBonus[exp_item],$J516,AvgBonus[company_name],$B516,AvgBonus[bu_name],$C516,AvgBonus[dept_name],$D516,AvgBonus[team_consolidation],$K516,AvgBonus[location_name],$G516,AvgBonus[job_title],$H516))*AN411*SUM(BonusPayout[Month 29]))</f>
        <v>0</v>
      </c>
      <c r="AO516" s="652">
        <f>IF($B516="",,IF(LEFT($H516,5)="dummy",SUMIFS(AvgBonus[avg_bonus],AvgBonus[job_title],$H516),SUMIFS(AvgBonus[avg_bonus],AvgBonus[exp_item],$J516,AvgBonus[company_name],$B516,AvgBonus[bu_name],$C516,AvgBonus[dept_name],$D516,AvgBonus[team_consolidation],$K516,AvgBonus[location_name],$G516,AvgBonus[job_title],$H516))*AO411*SUM(BonusPayout[Month 30]))</f>
        <v>0</v>
      </c>
      <c r="AP516" s="652">
        <f>IF($B516="",,IF(LEFT($H516,5)="dummy",SUMIFS(AvgBonus[avg_bonus],AvgBonus[job_title],$H516),SUMIFS(AvgBonus[avg_bonus],AvgBonus[exp_item],$J516,AvgBonus[company_name],$B516,AvgBonus[bu_name],$C516,AvgBonus[dept_name],$D516,AvgBonus[team_consolidation],$K516,AvgBonus[location_name],$G516,AvgBonus[job_title],$H516))*AP411*SUM(BonusPayout[Month 31]))</f>
        <v>0</v>
      </c>
      <c r="AQ516" s="652">
        <f>IF($B516="",,IF(LEFT($H516,5)="dummy",SUMIFS(AvgBonus[avg_bonus],AvgBonus[job_title],$H516),SUMIFS(AvgBonus[avg_bonus],AvgBonus[exp_item],$J516,AvgBonus[company_name],$B516,AvgBonus[bu_name],$C516,AvgBonus[dept_name],$D516,AvgBonus[team_consolidation],$K516,AvgBonus[location_name],$G516,AvgBonus[job_title],$H516))*AQ411*SUM(BonusPayout[Month 32]))</f>
        <v>0</v>
      </c>
      <c r="AR516" s="652">
        <f>IF($B516="",,IF(LEFT($H516,5)="dummy",SUMIFS(AvgBonus[avg_bonus],AvgBonus[job_title],$H516),SUMIFS(AvgBonus[avg_bonus],AvgBonus[exp_item],$J516,AvgBonus[company_name],$B516,AvgBonus[bu_name],$C516,AvgBonus[dept_name],$D516,AvgBonus[team_consolidation],$K516,AvgBonus[location_name],$G516,AvgBonus[job_title],$H516))*AR411*SUM(BonusPayout[Month 33]))</f>
        <v>0</v>
      </c>
      <c r="AS516" s="652">
        <f>IF($B516="",,IF(LEFT($H516,5)="dummy",SUMIFS(AvgBonus[avg_bonus],AvgBonus[job_title],$H516),SUMIFS(AvgBonus[avg_bonus],AvgBonus[exp_item],$J516,AvgBonus[company_name],$B516,AvgBonus[bu_name],$C516,AvgBonus[dept_name],$D516,AvgBonus[team_consolidation],$K516,AvgBonus[location_name],$G516,AvgBonus[job_title],$H516))*AS411*SUM(BonusPayout[Month 34]))</f>
        <v>0</v>
      </c>
      <c r="AT516" s="652">
        <f>IF($B516="",,IF(LEFT($H516,5)="dummy",SUMIFS(AvgBonus[avg_bonus],AvgBonus[job_title],$H516),SUMIFS(AvgBonus[avg_bonus],AvgBonus[exp_item],$J516,AvgBonus[company_name],$B516,AvgBonus[bu_name],$C516,AvgBonus[dept_name],$D516,AvgBonus[team_consolidation],$K516,AvgBonus[location_name],$G516,AvgBonus[job_title],$H516))*AT411*SUM(BonusPayout[Month 35]))</f>
        <v>0</v>
      </c>
      <c r="AU516" s="652">
        <f>IF($B516="",,IF(LEFT($H516,5)="dummy",SUMIFS(AvgBonus[avg_bonus],AvgBonus[job_title],$H516),SUMIFS(AvgBonus[avg_bonus],AvgBonus[exp_item],$J516,AvgBonus[company_name],$B516,AvgBonus[bu_name],$C516,AvgBonus[dept_name],$D516,AvgBonus[team_consolidation],$K516,AvgBonus[location_name],$G516,AvgBonus[job_title],$H516))*AU411*SUM(BonusPayout[Month 36]))</f>
        <v>0</v>
      </c>
    </row>
    <row r="517" spans="2:47" x14ac:dyDescent="0.35">
      <c r="B517" t="str">
        <f t="shared" si="292"/>
        <v/>
      </c>
      <c r="C517" t="str">
        <f t="shared" ref="C517:G517" si="309">IF(C412="","",C412)</f>
        <v/>
      </c>
      <c r="D517" t="str">
        <f t="shared" si="309"/>
        <v/>
      </c>
      <c r="E517" t="str">
        <f t="shared" si="309"/>
        <v/>
      </c>
      <c r="F517" t="str">
        <f t="shared" si="309"/>
        <v/>
      </c>
      <c r="G517" t="str">
        <f t="shared" si="309"/>
        <v/>
      </c>
      <c r="H517" t="str">
        <f t="shared" si="291"/>
        <v/>
      </c>
      <c r="J517" t="str">
        <f>IF($H517="","",IF(VLOOKUP($B$500,ExpItems[],2,0),$B$500&amp;" - "&amp;INDEX(DivisionMapping[category_code],MATCH($D517&amp;$C517,DivisionMapping[dept_bu],0)),$B$500))</f>
        <v/>
      </c>
      <c r="K517" t="str">
        <f t="shared" si="294"/>
        <v/>
      </c>
      <c r="L517" s="652">
        <f>IF($B517="",,IF(LEFT($H517,5)="dummy",SUMIFS(AvgBonus[avg_bonus],AvgBonus[job_title],$H517),SUMIFS(AvgBonus[avg_bonus],AvgBonus[exp_item],$J517,AvgBonus[company_name],$B517,AvgBonus[bu_name],$C517,AvgBonus[dept_name],$D517,AvgBonus[team_consolidation],$K517,AvgBonus[location_name],$G517,AvgBonus[job_title],$H517))*L412*SUM(BonusPayout[Month 1]))</f>
        <v>0</v>
      </c>
      <c r="M517" s="652">
        <f>IF($B517="",,IF(LEFT($H517,5)="dummy",SUMIFS(AvgBonus[avg_bonus],AvgBonus[job_title],$H517),SUMIFS(AvgBonus[avg_bonus],AvgBonus[exp_item],$J517,AvgBonus[company_name],$B517,AvgBonus[bu_name],$C517,AvgBonus[dept_name],$D517,AvgBonus[team_consolidation],$K517,AvgBonus[location_name],$G517,AvgBonus[job_title],$H517))*M412*SUM(BonusPayout[Month 2]))</f>
        <v>0</v>
      </c>
      <c r="N517" s="652">
        <f>IF($B517="",,IF(LEFT($H517,5)="dummy",SUMIFS(AvgBonus[avg_bonus],AvgBonus[job_title],$H517),SUMIFS(AvgBonus[avg_bonus],AvgBonus[exp_item],$J517,AvgBonus[company_name],$B517,AvgBonus[bu_name],$C517,AvgBonus[dept_name],$D517,AvgBonus[team_consolidation],$K517,AvgBonus[location_name],$G517,AvgBonus[job_title],$H517))*N412*SUM(BonusPayout[Month 3]))</f>
        <v>0</v>
      </c>
      <c r="O517" s="652">
        <f>IF($B517="",,IF(LEFT($H517,5)="dummy",SUMIFS(AvgBonus[avg_bonus],AvgBonus[job_title],$H517),SUMIFS(AvgBonus[avg_bonus],AvgBonus[exp_item],$J517,AvgBonus[company_name],$B517,AvgBonus[bu_name],$C517,AvgBonus[dept_name],$D517,AvgBonus[team_consolidation],$K517,AvgBonus[location_name],$G517,AvgBonus[job_title],$H517))*O412*SUM(BonusPayout[Month 4]))</f>
        <v>0</v>
      </c>
      <c r="P517" s="652">
        <f>IF($B517="",,IF(LEFT($H517,5)="dummy",SUMIFS(AvgBonus[avg_bonus],AvgBonus[job_title],$H517),SUMIFS(AvgBonus[avg_bonus],AvgBonus[exp_item],$J517,AvgBonus[company_name],$B517,AvgBonus[bu_name],$C517,AvgBonus[dept_name],$D517,AvgBonus[team_consolidation],$K517,AvgBonus[location_name],$G517,AvgBonus[job_title],$H517))*P412*SUM(BonusPayout[Month 5]))</f>
        <v>0</v>
      </c>
      <c r="Q517" s="652">
        <f>IF($B517="",,IF(LEFT($H517,5)="dummy",SUMIFS(AvgBonus[avg_bonus],AvgBonus[job_title],$H517),SUMIFS(AvgBonus[avg_bonus],AvgBonus[exp_item],$J517,AvgBonus[company_name],$B517,AvgBonus[bu_name],$C517,AvgBonus[dept_name],$D517,AvgBonus[team_consolidation],$K517,AvgBonus[location_name],$G517,AvgBonus[job_title],$H517))*Q412*SUM(BonusPayout[Month 6]))</f>
        <v>0</v>
      </c>
      <c r="R517" s="652">
        <f>IF($B517="",,IF(LEFT($H517,5)="dummy",SUMIFS(AvgBonus[avg_bonus],AvgBonus[job_title],$H517),SUMIFS(AvgBonus[avg_bonus],AvgBonus[exp_item],$J517,AvgBonus[company_name],$B517,AvgBonus[bu_name],$C517,AvgBonus[dept_name],$D517,AvgBonus[team_consolidation],$K517,AvgBonus[location_name],$G517,AvgBonus[job_title],$H517))*R412*SUM(BonusPayout[Month 7]))</f>
        <v>0</v>
      </c>
      <c r="S517" s="652">
        <f>IF($B517="",,IF(LEFT($H517,5)="dummy",SUMIFS(AvgBonus[avg_bonus],AvgBonus[job_title],$H517),SUMIFS(AvgBonus[avg_bonus],AvgBonus[exp_item],$J517,AvgBonus[company_name],$B517,AvgBonus[bu_name],$C517,AvgBonus[dept_name],$D517,AvgBonus[team_consolidation],$K517,AvgBonus[location_name],$G517,AvgBonus[job_title],$H517))*S412*SUM(BonusPayout[Month 8]))</f>
        <v>0</v>
      </c>
      <c r="T517" s="652">
        <f>IF($B517="",,IF(LEFT($H517,5)="dummy",SUMIFS(AvgBonus[avg_bonus],AvgBonus[job_title],$H517),SUMIFS(AvgBonus[avg_bonus],AvgBonus[exp_item],$J517,AvgBonus[company_name],$B517,AvgBonus[bu_name],$C517,AvgBonus[dept_name],$D517,AvgBonus[team_consolidation],$K517,AvgBonus[location_name],$G517,AvgBonus[job_title],$H517))*T412*SUM(BonusPayout[Month 9]))</f>
        <v>0</v>
      </c>
      <c r="U517" s="652">
        <f>IF($B517="",,IF(LEFT($H517,5)="dummy",SUMIFS(AvgBonus[avg_bonus],AvgBonus[job_title],$H517),SUMIFS(AvgBonus[avg_bonus],AvgBonus[exp_item],$J517,AvgBonus[company_name],$B517,AvgBonus[bu_name],$C517,AvgBonus[dept_name],$D517,AvgBonus[team_consolidation],$K517,AvgBonus[location_name],$G517,AvgBonus[job_title],$H517))*U412*SUM(BonusPayout[Month 10]))</f>
        <v>0</v>
      </c>
      <c r="V517" s="652">
        <f>IF($B517="",,IF(LEFT($H517,5)="dummy",SUMIFS(AvgBonus[avg_bonus],AvgBonus[job_title],$H517),SUMIFS(AvgBonus[avg_bonus],AvgBonus[exp_item],$J517,AvgBonus[company_name],$B517,AvgBonus[bu_name],$C517,AvgBonus[dept_name],$D517,AvgBonus[team_consolidation],$K517,AvgBonus[location_name],$G517,AvgBonus[job_title],$H517))*V412*SUM(BonusPayout[Month 11]))</f>
        <v>0</v>
      </c>
      <c r="W517" s="652">
        <f>IF($B517="",,IF(LEFT($H517,5)="dummy",SUMIFS(AvgBonus[avg_bonus],AvgBonus[job_title],$H517),SUMIFS(AvgBonus[avg_bonus],AvgBonus[exp_item],$J517,AvgBonus[company_name],$B517,AvgBonus[bu_name],$C517,AvgBonus[dept_name],$D517,AvgBonus[team_consolidation],$K517,AvgBonus[location_name],$G517,AvgBonus[job_title],$H517))*W412*SUM(BonusPayout[Month 12]))</f>
        <v>0</v>
      </c>
      <c r="X517" s="652">
        <f>IF($B517="",,IF(LEFT($H517,5)="dummy",SUMIFS(AvgBonus[avg_bonus],AvgBonus[job_title],$H517),SUMIFS(AvgBonus[avg_bonus],AvgBonus[exp_item],$J517,AvgBonus[company_name],$B517,AvgBonus[bu_name],$C517,AvgBonus[dept_name],$D517,AvgBonus[team_consolidation],$K517,AvgBonus[location_name],$G517,AvgBonus[job_title],$H517))*X412*SUM(BonusPayout[Month 13]))</f>
        <v>0</v>
      </c>
      <c r="Y517" s="652">
        <f>IF($B517="",,IF(LEFT($H517,5)="dummy",SUMIFS(AvgBonus[avg_bonus],AvgBonus[job_title],$H517),SUMIFS(AvgBonus[avg_bonus],AvgBonus[exp_item],$J517,AvgBonus[company_name],$B517,AvgBonus[bu_name],$C517,AvgBonus[dept_name],$D517,AvgBonus[team_consolidation],$K517,AvgBonus[location_name],$G517,AvgBonus[job_title],$H517))*Y412*SUM(BonusPayout[Month 14]))</f>
        <v>0</v>
      </c>
      <c r="Z517" s="652">
        <f>IF($B517="",,IF(LEFT($H517,5)="dummy",SUMIFS(AvgBonus[avg_bonus],AvgBonus[job_title],$H517),SUMIFS(AvgBonus[avg_bonus],AvgBonus[exp_item],$J517,AvgBonus[company_name],$B517,AvgBonus[bu_name],$C517,AvgBonus[dept_name],$D517,AvgBonus[team_consolidation],$K517,AvgBonus[location_name],$G517,AvgBonus[job_title],$H517))*Z412*SUM(BonusPayout[Month 15]))</f>
        <v>0</v>
      </c>
      <c r="AA517" s="652">
        <f>IF($B517="",,IF(LEFT($H517,5)="dummy",SUMIFS(AvgBonus[avg_bonus],AvgBonus[job_title],$H517),SUMIFS(AvgBonus[avg_bonus],AvgBonus[exp_item],$J517,AvgBonus[company_name],$B517,AvgBonus[bu_name],$C517,AvgBonus[dept_name],$D517,AvgBonus[team_consolidation],$K517,AvgBonus[location_name],$G517,AvgBonus[job_title],$H517))*AA412*SUM(BonusPayout[Month 16]))</f>
        <v>0</v>
      </c>
      <c r="AB517" s="652">
        <f>IF($B517="",,IF(LEFT($H517,5)="dummy",SUMIFS(AvgBonus[avg_bonus],AvgBonus[job_title],$H517),SUMIFS(AvgBonus[avg_bonus],AvgBonus[exp_item],$J517,AvgBonus[company_name],$B517,AvgBonus[bu_name],$C517,AvgBonus[dept_name],$D517,AvgBonus[team_consolidation],$K517,AvgBonus[location_name],$G517,AvgBonus[job_title],$H517))*AB412*SUM(BonusPayout[Month 17]))</f>
        <v>0</v>
      </c>
      <c r="AC517" s="652">
        <f>IF($B517="",,IF(LEFT($H517,5)="dummy",SUMIFS(AvgBonus[avg_bonus],AvgBonus[job_title],$H517),SUMIFS(AvgBonus[avg_bonus],AvgBonus[exp_item],$J517,AvgBonus[company_name],$B517,AvgBonus[bu_name],$C517,AvgBonus[dept_name],$D517,AvgBonus[team_consolidation],$K517,AvgBonus[location_name],$G517,AvgBonus[job_title],$H517))*AC412*SUM(BonusPayout[Month 18]))</f>
        <v>0</v>
      </c>
      <c r="AD517" s="652">
        <f>IF($B517="",,IF(LEFT($H517,5)="dummy",SUMIFS(AvgBonus[avg_bonus],AvgBonus[job_title],$H517),SUMIFS(AvgBonus[avg_bonus],AvgBonus[exp_item],$J517,AvgBonus[company_name],$B517,AvgBonus[bu_name],$C517,AvgBonus[dept_name],$D517,AvgBonus[team_consolidation],$K517,AvgBonus[location_name],$G517,AvgBonus[job_title],$H517))*AD412*SUM(BonusPayout[Month 19]))</f>
        <v>0</v>
      </c>
      <c r="AE517" s="652">
        <f>IF($B517="",,IF(LEFT($H517,5)="dummy",SUMIFS(AvgBonus[avg_bonus],AvgBonus[job_title],$H517),SUMIFS(AvgBonus[avg_bonus],AvgBonus[exp_item],$J517,AvgBonus[company_name],$B517,AvgBonus[bu_name],$C517,AvgBonus[dept_name],$D517,AvgBonus[team_consolidation],$K517,AvgBonus[location_name],$G517,AvgBonus[job_title],$H517))*AE412*SUM(BonusPayout[Month 20]))</f>
        <v>0</v>
      </c>
      <c r="AF517" s="652">
        <f>IF($B517="",,IF(LEFT($H517,5)="dummy",SUMIFS(AvgBonus[avg_bonus],AvgBonus[job_title],$H517),SUMIFS(AvgBonus[avg_bonus],AvgBonus[exp_item],$J517,AvgBonus[company_name],$B517,AvgBonus[bu_name],$C517,AvgBonus[dept_name],$D517,AvgBonus[team_consolidation],$K517,AvgBonus[location_name],$G517,AvgBonus[job_title],$H517))*AF412*SUM(BonusPayout[Month 21]))</f>
        <v>0</v>
      </c>
      <c r="AG517" s="652">
        <f>IF($B517="",,IF(LEFT($H517,5)="dummy",SUMIFS(AvgBonus[avg_bonus],AvgBonus[job_title],$H517),SUMIFS(AvgBonus[avg_bonus],AvgBonus[exp_item],$J517,AvgBonus[company_name],$B517,AvgBonus[bu_name],$C517,AvgBonus[dept_name],$D517,AvgBonus[team_consolidation],$K517,AvgBonus[location_name],$G517,AvgBonus[job_title],$H517))*AG412*SUM(BonusPayout[Month 22]))</f>
        <v>0</v>
      </c>
      <c r="AH517" s="652">
        <f>IF($B517="",,IF(LEFT($H517,5)="dummy",SUMIFS(AvgBonus[avg_bonus],AvgBonus[job_title],$H517),SUMIFS(AvgBonus[avg_bonus],AvgBonus[exp_item],$J517,AvgBonus[company_name],$B517,AvgBonus[bu_name],$C517,AvgBonus[dept_name],$D517,AvgBonus[team_consolidation],$K517,AvgBonus[location_name],$G517,AvgBonus[job_title],$H517))*AH412*SUM(BonusPayout[Month 23]))</f>
        <v>0</v>
      </c>
      <c r="AI517" s="652">
        <f>IF($B517="",,IF(LEFT($H517,5)="dummy",SUMIFS(AvgBonus[avg_bonus],AvgBonus[job_title],$H517),SUMIFS(AvgBonus[avg_bonus],AvgBonus[exp_item],$J517,AvgBonus[company_name],$B517,AvgBonus[bu_name],$C517,AvgBonus[dept_name],$D517,AvgBonus[team_consolidation],$K517,AvgBonus[location_name],$G517,AvgBonus[job_title],$H517))*AI412*SUM(BonusPayout[Month 24]))</f>
        <v>0</v>
      </c>
      <c r="AJ517" s="652">
        <f>IF($B517="",,IF(LEFT($H517,5)="dummy",SUMIFS(AvgBonus[avg_bonus],AvgBonus[job_title],$H517),SUMIFS(AvgBonus[avg_bonus],AvgBonus[exp_item],$J517,AvgBonus[company_name],$B517,AvgBonus[bu_name],$C517,AvgBonus[dept_name],$D517,AvgBonus[team_consolidation],$K517,AvgBonus[location_name],$G517,AvgBonus[job_title],$H517))*AJ412*SUM(BonusPayout[Month 25]))</f>
        <v>0</v>
      </c>
      <c r="AK517" s="652">
        <f>IF($B517="",,IF(LEFT($H517,5)="dummy",SUMIFS(AvgBonus[avg_bonus],AvgBonus[job_title],$H517),SUMIFS(AvgBonus[avg_bonus],AvgBonus[exp_item],$J517,AvgBonus[company_name],$B517,AvgBonus[bu_name],$C517,AvgBonus[dept_name],$D517,AvgBonus[team_consolidation],$K517,AvgBonus[location_name],$G517,AvgBonus[job_title],$H517))*AK412*SUM(BonusPayout[Month 26]))</f>
        <v>0</v>
      </c>
      <c r="AL517" s="652">
        <f>IF($B517="",,IF(LEFT($H517,5)="dummy",SUMIFS(AvgBonus[avg_bonus],AvgBonus[job_title],$H517),SUMIFS(AvgBonus[avg_bonus],AvgBonus[exp_item],$J517,AvgBonus[company_name],$B517,AvgBonus[bu_name],$C517,AvgBonus[dept_name],$D517,AvgBonus[team_consolidation],$K517,AvgBonus[location_name],$G517,AvgBonus[job_title],$H517))*AL412*SUM(BonusPayout[Month 27]))</f>
        <v>0</v>
      </c>
      <c r="AM517" s="652">
        <f>IF($B517="",,IF(LEFT($H517,5)="dummy",SUMIFS(AvgBonus[avg_bonus],AvgBonus[job_title],$H517),SUMIFS(AvgBonus[avg_bonus],AvgBonus[exp_item],$J517,AvgBonus[company_name],$B517,AvgBonus[bu_name],$C517,AvgBonus[dept_name],$D517,AvgBonus[team_consolidation],$K517,AvgBonus[location_name],$G517,AvgBonus[job_title],$H517))*AM412*SUM(BonusPayout[Month 28]))</f>
        <v>0</v>
      </c>
      <c r="AN517" s="652">
        <f>IF($B517="",,IF(LEFT($H517,5)="dummy",SUMIFS(AvgBonus[avg_bonus],AvgBonus[job_title],$H517),SUMIFS(AvgBonus[avg_bonus],AvgBonus[exp_item],$J517,AvgBonus[company_name],$B517,AvgBonus[bu_name],$C517,AvgBonus[dept_name],$D517,AvgBonus[team_consolidation],$K517,AvgBonus[location_name],$G517,AvgBonus[job_title],$H517))*AN412*SUM(BonusPayout[Month 29]))</f>
        <v>0</v>
      </c>
      <c r="AO517" s="652">
        <f>IF($B517="",,IF(LEFT($H517,5)="dummy",SUMIFS(AvgBonus[avg_bonus],AvgBonus[job_title],$H517),SUMIFS(AvgBonus[avg_bonus],AvgBonus[exp_item],$J517,AvgBonus[company_name],$B517,AvgBonus[bu_name],$C517,AvgBonus[dept_name],$D517,AvgBonus[team_consolidation],$K517,AvgBonus[location_name],$G517,AvgBonus[job_title],$H517))*AO412*SUM(BonusPayout[Month 30]))</f>
        <v>0</v>
      </c>
      <c r="AP517" s="652">
        <f>IF($B517="",,IF(LEFT($H517,5)="dummy",SUMIFS(AvgBonus[avg_bonus],AvgBonus[job_title],$H517),SUMIFS(AvgBonus[avg_bonus],AvgBonus[exp_item],$J517,AvgBonus[company_name],$B517,AvgBonus[bu_name],$C517,AvgBonus[dept_name],$D517,AvgBonus[team_consolidation],$K517,AvgBonus[location_name],$G517,AvgBonus[job_title],$H517))*AP412*SUM(BonusPayout[Month 31]))</f>
        <v>0</v>
      </c>
      <c r="AQ517" s="652">
        <f>IF($B517="",,IF(LEFT($H517,5)="dummy",SUMIFS(AvgBonus[avg_bonus],AvgBonus[job_title],$H517),SUMIFS(AvgBonus[avg_bonus],AvgBonus[exp_item],$J517,AvgBonus[company_name],$B517,AvgBonus[bu_name],$C517,AvgBonus[dept_name],$D517,AvgBonus[team_consolidation],$K517,AvgBonus[location_name],$G517,AvgBonus[job_title],$H517))*AQ412*SUM(BonusPayout[Month 32]))</f>
        <v>0</v>
      </c>
      <c r="AR517" s="652">
        <f>IF($B517="",,IF(LEFT($H517,5)="dummy",SUMIFS(AvgBonus[avg_bonus],AvgBonus[job_title],$H517),SUMIFS(AvgBonus[avg_bonus],AvgBonus[exp_item],$J517,AvgBonus[company_name],$B517,AvgBonus[bu_name],$C517,AvgBonus[dept_name],$D517,AvgBonus[team_consolidation],$K517,AvgBonus[location_name],$G517,AvgBonus[job_title],$H517))*AR412*SUM(BonusPayout[Month 33]))</f>
        <v>0</v>
      </c>
      <c r="AS517" s="652">
        <f>IF($B517="",,IF(LEFT($H517,5)="dummy",SUMIFS(AvgBonus[avg_bonus],AvgBonus[job_title],$H517),SUMIFS(AvgBonus[avg_bonus],AvgBonus[exp_item],$J517,AvgBonus[company_name],$B517,AvgBonus[bu_name],$C517,AvgBonus[dept_name],$D517,AvgBonus[team_consolidation],$K517,AvgBonus[location_name],$G517,AvgBonus[job_title],$H517))*AS412*SUM(BonusPayout[Month 34]))</f>
        <v>0</v>
      </c>
      <c r="AT517" s="652">
        <f>IF($B517="",,IF(LEFT($H517,5)="dummy",SUMIFS(AvgBonus[avg_bonus],AvgBonus[job_title],$H517),SUMIFS(AvgBonus[avg_bonus],AvgBonus[exp_item],$J517,AvgBonus[company_name],$B517,AvgBonus[bu_name],$C517,AvgBonus[dept_name],$D517,AvgBonus[team_consolidation],$K517,AvgBonus[location_name],$G517,AvgBonus[job_title],$H517))*AT412*SUM(BonusPayout[Month 35]))</f>
        <v>0</v>
      </c>
      <c r="AU517" s="652">
        <f>IF($B517="",,IF(LEFT($H517,5)="dummy",SUMIFS(AvgBonus[avg_bonus],AvgBonus[job_title],$H517),SUMIFS(AvgBonus[avg_bonus],AvgBonus[exp_item],$J517,AvgBonus[company_name],$B517,AvgBonus[bu_name],$C517,AvgBonus[dept_name],$D517,AvgBonus[team_consolidation],$K517,AvgBonus[location_name],$G517,AvgBonus[job_title],$H517))*AU412*SUM(BonusPayout[Month 36]))</f>
        <v>0</v>
      </c>
    </row>
    <row r="518" spans="2:47" x14ac:dyDescent="0.35">
      <c r="B518" t="str">
        <f t="shared" si="292"/>
        <v/>
      </c>
      <c r="C518" t="str">
        <f t="shared" ref="C518:G518" si="310">IF(C413="","",C413)</f>
        <v/>
      </c>
      <c r="D518" t="str">
        <f t="shared" si="310"/>
        <v/>
      </c>
      <c r="E518" t="str">
        <f t="shared" si="310"/>
        <v/>
      </c>
      <c r="F518" t="str">
        <f t="shared" si="310"/>
        <v/>
      </c>
      <c r="G518" t="str">
        <f t="shared" si="310"/>
        <v/>
      </c>
      <c r="H518" t="str">
        <f t="shared" si="291"/>
        <v/>
      </c>
      <c r="J518" t="str">
        <f>IF($H518="","",IF(VLOOKUP($B$500,ExpItems[],2,0),$B$500&amp;" - "&amp;INDEX(DivisionMapping[category_code],MATCH($D518&amp;$C518,DivisionMapping[dept_bu],0)),$B$500))</f>
        <v/>
      </c>
      <c r="K518" t="str">
        <f t="shared" si="294"/>
        <v/>
      </c>
      <c r="L518" s="652">
        <f>IF($B518="",,IF(LEFT($H518,5)="dummy",SUMIFS(AvgBonus[avg_bonus],AvgBonus[job_title],$H518),SUMIFS(AvgBonus[avg_bonus],AvgBonus[exp_item],$J518,AvgBonus[company_name],$B518,AvgBonus[bu_name],$C518,AvgBonus[dept_name],$D518,AvgBonus[team_consolidation],$K518,AvgBonus[location_name],$G518,AvgBonus[job_title],$H518))*L413*SUM(BonusPayout[Month 1]))</f>
        <v>0</v>
      </c>
      <c r="M518" s="652">
        <f>IF($B518="",,IF(LEFT($H518,5)="dummy",SUMIFS(AvgBonus[avg_bonus],AvgBonus[job_title],$H518),SUMIFS(AvgBonus[avg_bonus],AvgBonus[exp_item],$J518,AvgBonus[company_name],$B518,AvgBonus[bu_name],$C518,AvgBonus[dept_name],$D518,AvgBonus[team_consolidation],$K518,AvgBonus[location_name],$G518,AvgBonus[job_title],$H518))*M413*SUM(BonusPayout[Month 2]))</f>
        <v>0</v>
      </c>
      <c r="N518" s="652">
        <f>IF($B518="",,IF(LEFT($H518,5)="dummy",SUMIFS(AvgBonus[avg_bonus],AvgBonus[job_title],$H518),SUMIFS(AvgBonus[avg_bonus],AvgBonus[exp_item],$J518,AvgBonus[company_name],$B518,AvgBonus[bu_name],$C518,AvgBonus[dept_name],$D518,AvgBonus[team_consolidation],$K518,AvgBonus[location_name],$G518,AvgBonus[job_title],$H518))*N413*SUM(BonusPayout[Month 3]))</f>
        <v>0</v>
      </c>
      <c r="O518" s="652">
        <f>IF($B518="",,IF(LEFT($H518,5)="dummy",SUMIFS(AvgBonus[avg_bonus],AvgBonus[job_title],$H518),SUMIFS(AvgBonus[avg_bonus],AvgBonus[exp_item],$J518,AvgBonus[company_name],$B518,AvgBonus[bu_name],$C518,AvgBonus[dept_name],$D518,AvgBonus[team_consolidation],$K518,AvgBonus[location_name],$G518,AvgBonus[job_title],$H518))*O413*SUM(BonusPayout[Month 4]))</f>
        <v>0</v>
      </c>
      <c r="P518" s="652">
        <f>IF($B518="",,IF(LEFT($H518,5)="dummy",SUMIFS(AvgBonus[avg_bonus],AvgBonus[job_title],$H518),SUMIFS(AvgBonus[avg_bonus],AvgBonus[exp_item],$J518,AvgBonus[company_name],$B518,AvgBonus[bu_name],$C518,AvgBonus[dept_name],$D518,AvgBonus[team_consolidation],$K518,AvgBonus[location_name],$G518,AvgBonus[job_title],$H518))*P413*SUM(BonusPayout[Month 5]))</f>
        <v>0</v>
      </c>
      <c r="Q518" s="652">
        <f>IF($B518="",,IF(LEFT($H518,5)="dummy",SUMIFS(AvgBonus[avg_bonus],AvgBonus[job_title],$H518),SUMIFS(AvgBonus[avg_bonus],AvgBonus[exp_item],$J518,AvgBonus[company_name],$B518,AvgBonus[bu_name],$C518,AvgBonus[dept_name],$D518,AvgBonus[team_consolidation],$K518,AvgBonus[location_name],$G518,AvgBonus[job_title],$H518))*Q413*SUM(BonusPayout[Month 6]))</f>
        <v>0</v>
      </c>
      <c r="R518" s="652">
        <f>IF($B518="",,IF(LEFT($H518,5)="dummy",SUMIFS(AvgBonus[avg_bonus],AvgBonus[job_title],$H518),SUMIFS(AvgBonus[avg_bonus],AvgBonus[exp_item],$J518,AvgBonus[company_name],$B518,AvgBonus[bu_name],$C518,AvgBonus[dept_name],$D518,AvgBonus[team_consolidation],$K518,AvgBonus[location_name],$G518,AvgBonus[job_title],$H518))*R413*SUM(BonusPayout[Month 7]))</f>
        <v>0</v>
      </c>
      <c r="S518" s="652">
        <f>IF($B518="",,IF(LEFT($H518,5)="dummy",SUMIFS(AvgBonus[avg_bonus],AvgBonus[job_title],$H518),SUMIFS(AvgBonus[avg_bonus],AvgBonus[exp_item],$J518,AvgBonus[company_name],$B518,AvgBonus[bu_name],$C518,AvgBonus[dept_name],$D518,AvgBonus[team_consolidation],$K518,AvgBonus[location_name],$G518,AvgBonus[job_title],$H518))*S413*SUM(BonusPayout[Month 8]))</f>
        <v>0</v>
      </c>
      <c r="T518" s="652">
        <f>IF($B518="",,IF(LEFT($H518,5)="dummy",SUMIFS(AvgBonus[avg_bonus],AvgBonus[job_title],$H518),SUMIFS(AvgBonus[avg_bonus],AvgBonus[exp_item],$J518,AvgBonus[company_name],$B518,AvgBonus[bu_name],$C518,AvgBonus[dept_name],$D518,AvgBonus[team_consolidation],$K518,AvgBonus[location_name],$G518,AvgBonus[job_title],$H518))*T413*SUM(BonusPayout[Month 9]))</f>
        <v>0</v>
      </c>
      <c r="U518" s="652">
        <f>IF($B518="",,IF(LEFT($H518,5)="dummy",SUMIFS(AvgBonus[avg_bonus],AvgBonus[job_title],$H518),SUMIFS(AvgBonus[avg_bonus],AvgBonus[exp_item],$J518,AvgBonus[company_name],$B518,AvgBonus[bu_name],$C518,AvgBonus[dept_name],$D518,AvgBonus[team_consolidation],$K518,AvgBonus[location_name],$G518,AvgBonus[job_title],$H518))*U413*SUM(BonusPayout[Month 10]))</f>
        <v>0</v>
      </c>
      <c r="V518" s="652">
        <f>IF($B518="",,IF(LEFT($H518,5)="dummy",SUMIFS(AvgBonus[avg_bonus],AvgBonus[job_title],$H518),SUMIFS(AvgBonus[avg_bonus],AvgBonus[exp_item],$J518,AvgBonus[company_name],$B518,AvgBonus[bu_name],$C518,AvgBonus[dept_name],$D518,AvgBonus[team_consolidation],$K518,AvgBonus[location_name],$G518,AvgBonus[job_title],$H518))*V413*SUM(BonusPayout[Month 11]))</f>
        <v>0</v>
      </c>
      <c r="W518" s="652">
        <f>IF($B518="",,IF(LEFT($H518,5)="dummy",SUMIFS(AvgBonus[avg_bonus],AvgBonus[job_title],$H518),SUMIFS(AvgBonus[avg_bonus],AvgBonus[exp_item],$J518,AvgBonus[company_name],$B518,AvgBonus[bu_name],$C518,AvgBonus[dept_name],$D518,AvgBonus[team_consolidation],$K518,AvgBonus[location_name],$G518,AvgBonus[job_title],$H518))*W413*SUM(BonusPayout[Month 12]))</f>
        <v>0</v>
      </c>
      <c r="X518" s="652">
        <f>IF($B518="",,IF(LEFT($H518,5)="dummy",SUMIFS(AvgBonus[avg_bonus],AvgBonus[job_title],$H518),SUMIFS(AvgBonus[avg_bonus],AvgBonus[exp_item],$J518,AvgBonus[company_name],$B518,AvgBonus[bu_name],$C518,AvgBonus[dept_name],$D518,AvgBonus[team_consolidation],$K518,AvgBonus[location_name],$G518,AvgBonus[job_title],$H518))*X413*SUM(BonusPayout[Month 13]))</f>
        <v>0</v>
      </c>
      <c r="Y518" s="652">
        <f>IF($B518="",,IF(LEFT($H518,5)="dummy",SUMIFS(AvgBonus[avg_bonus],AvgBonus[job_title],$H518),SUMIFS(AvgBonus[avg_bonus],AvgBonus[exp_item],$J518,AvgBonus[company_name],$B518,AvgBonus[bu_name],$C518,AvgBonus[dept_name],$D518,AvgBonus[team_consolidation],$K518,AvgBonus[location_name],$G518,AvgBonus[job_title],$H518))*Y413*SUM(BonusPayout[Month 14]))</f>
        <v>0</v>
      </c>
      <c r="Z518" s="652">
        <f>IF($B518="",,IF(LEFT($H518,5)="dummy",SUMIFS(AvgBonus[avg_bonus],AvgBonus[job_title],$H518),SUMIFS(AvgBonus[avg_bonus],AvgBonus[exp_item],$J518,AvgBonus[company_name],$B518,AvgBonus[bu_name],$C518,AvgBonus[dept_name],$D518,AvgBonus[team_consolidation],$K518,AvgBonus[location_name],$G518,AvgBonus[job_title],$H518))*Z413*SUM(BonusPayout[Month 15]))</f>
        <v>0</v>
      </c>
      <c r="AA518" s="652">
        <f>IF($B518="",,IF(LEFT($H518,5)="dummy",SUMIFS(AvgBonus[avg_bonus],AvgBonus[job_title],$H518),SUMIFS(AvgBonus[avg_bonus],AvgBonus[exp_item],$J518,AvgBonus[company_name],$B518,AvgBonus[bu_name],$C518,AvgBonus[dept_name],$D518,AvgBonus[team_consolidation],$K518,AvgBonus[location_name],$G518,AvgBonus[job_title],$H518))*AA413*SUM(BonusPayout[Month 16]))</f>
        <v>0</v>
      </c>
      <c r="AB518" s="652">
        <f>IF($B518="",,IF(LEFT($H518,5)="dummy",SUMIFS(AvgBonus[avg_bonus],AvgBonus[job_title],$H518),SUMIFS(AvgBonus[avg_bonus],AvgBonus[exp_item],$J518,AvgBonus[company_name],$B518,AvgBonus[bu_name],$C518,AvgBonus[dept_name],$D518,AvgBonus[team_consolidation],$K518,AvgBonus[location_name],$G518,AvgBonus[job_title],$H518))*AB413*SUM(BonusPayout[Month 17]))</f>
        <v>0</v>
      </c>
      <c r="AC518" s="652">
        <f>IF($B518="",,IF(LEFT($H518,5)="dummy",SUMIFS(AvgBonus[avg_bonus],AvgBonus[job_title],$H518),SUMIFS(AvgBonus[avg_bonus],AvgBonus[exp_item],$J518,AvgBonus[company_name],$B518,AvgBonus[bu_name],$C518,AvgBonus[dept_name],$D518,AvgBonus[team_consolidation],$K518,AvgBonus[location_name],$G518,AvgBonus[job_title],$H518))*AC413*SUM(BonusPayout[Month 18]))</f>
        <v>0</v>
      </c>
      <c r="AD518" s="652">
        <f>IF($B518="",,IF(LEFT($H518,5)="dummy",SUMIFS(AvgBonus[avg_bonus],AvgBonus[job_title],$H518),SUMIFS(AvgBonus[avg_bonus],AvgBonus[exp_item],$J518,AvgBonus[company_name],$B518,AvgBonus[bu_name],$C518,AvgBonus[dept_name],$D518,AvgBonus[team_consolidation],$K518,AvgBonus[location_name],$G518,AvgBonus[job_title],$H518))*AD413*SUM(BonusPayout[Month 19]))</f>
        <v>0</v>
      </c>
      <c r="AE518" s="652">
        <f>IF($B518="",,IF(LEFT($H518,5)="dummy",SUMIFS(AvgBonus[avg_bonus],AvgBonus[job_title],$H518),SUMIFS(AvgBonus[avg_bonus],AvgBonus[exp_item],$J518,AvgBonus[company_name],$B518,AvgBonus[bu_name],$C518,AvgBonus[dept_name],$D518,AvgBonus[team_consolidation],$K518,AvgBonus[location_name],$G518,AvgBonus[job_title],$H518))*AE413*SUM(BonusPayout[Month 20]))</f>
        <v>0</v>
      </c>
      <c r="AF518" s="652">
        <f>IF($B518="",,IF(LEFT($H518,5)="dummy",SUMIFS(AvgBonus[avg_bonus],AvgBonus[job_title],$H518),SUMIFS(AvgBonus[avg_bonus],AvgBonus[exp_item],$J518,AvgBonus[company_name],$B518,AvgBonus[bu_name],$C518,AvgBonus[dept_name],$D518,AvgBonus[team_consolidation],$K518,AvgBonus[location_name],$G518,AvgBonus[job_title],$H518))*AF413*SUM(BonusPayout[Month 21]))</f>
        <v>0</v>
      </c>
      <c r="AG518" s="652">
        <f>IF($B518="",,IF(LEFT($H518,5)="dummy",SUMIFS(AvgBonus[avg_bonus],AvgBonus[job_title],$H518),SUMIFS(AvgBonus[avg_bonus],AvgBonus[exp_item],$J518,AvgBonus[company_name],$B518,AvgBonus[bu_name],$C518,AvgBonus[dept_name],$D518,AvgBonus[team_consolidation],$K518,AvgBonus[location_name],$G518,AvgBonus[job_title],$H518))*AG413*SUM(BonusPayout[Month 22]))</f>
        <v>0</v>
      </c>
      <c r="AH518" s="652">
        <f>IF($B518="",,IF(LEFT($H518,5)="dummy",SUMIFS(AvgBonus[avg_bonus],AvgBonus[job_title],$H518),SUMIFS(AvgBonus[avg_bonus],AvgBonus[exp_item],$J518,AvgBonus[company_name],$B518,AvgBonus[bu_name],$C518,AvgBonus[dept_name],$D518,AvgBonus[team_consolidation],$K518,AvgBonus[location_name],$G518,AvgBonus[job_title],$H518))*AH413*SUM(BonusPayout[Month 23]))</f>
        <v>0</v>
      </c>
      <c r="AI518" s="652">
        <f>IF($B518="",,IF(LEFT($H518,5)="dummy",SUMIFS(AvgBonus[avg_bonus],AvgBonus[job_title],$H518),SUMIFS(AvgBonus[avg_bonus],AvgBonus[exp_item],$J518,AvgBonus[company_name],$B518,AvgBonus[bu_name],$C518,AvgBonus[dept_name],$D518,AvgBonus[team_consolidation],$K518,AvgBonus[location_name],$G518,AvgBonus[job_title],$H518))*AI413*SUM(BonusPayout[Month 24]))</f>
        <v>0</v>
      </c>
      <c r="AJ518" s="652">
        <f>IF($B518="",,IF(LEFT($H518,5)="dummy",SUMIFS(AvgBonus[avg_bonus],AvgBonus[job_title],$H518),SUMIFS(AvgBonus[avg_bonus],AvgBonus[exp_item],$J518,AvgBonus[company_name],$B518,AvgBonus[bu_name],$C518,AvgBonus[dept_name],$D518,AvgBonus[team_consolidation],$K518,AvgBonus[location_name],$G518,AvgBonus[job_title],$H518))*AJ413*SUM(BonusPayout[Month 25]))</f>
        <v>0</v>
      </c>
      <c r="AK518" s="652">
        <f>IF($B518="",,IF(LEFT($H518,5)="dummy",SUMIFS(AvgBonus[avg_bonus],AvgBonus[job_title],$H518),SUMIFS(AvgBonus[avg_bonus],AvgBonus[exp_item],$J518,AvgBonus[company_name],$B518,AvgBonus[bu_name],$C518,AvgBonus[dept_name],$D518,AvgBonus[team_consolidation],$K518,AvgBonus[location_name],$G518,AvgBonus[job_title],$H518))*AK413*SUM(BonusPayout[Month 26]))</f>
        <v>0</v>
      </c>
      <c r="AL518" s="652">
        <f>IF($B518="",,IF(LEFT($H518,5)="dummy",SUMIFS(AvgBonus[avg_bonus],AvgBonus[job_title],$H518),SUMIFS(AvgBonus[avg_bonus],AvgBonus[exp_item],$J518,AvgBonus[company_name],$B518,AvgBonus[bu_name],$C518,AvgBonus[dept_name],$D518,AvgBonus[team_consolidation],$K518,AvgBonus[location_name],$G518,AvgBonus[job_title],$H518))*AL413*SUM(BonusPayout[Month 27]))</f>
        <v>0</v>
      </c>
      <c r="AM518" s="652">
        <f>IF($B518="",,IF(LEFT($H518,5)="dummy",SUMIFS(AvgBonus[avg_bonus],AvgBonus[job_title],$H518),SUMIFS(AvgBonus[avg_bonus],AvgBonus[exp_item],$J518,AvgBonus[company_name],$B518,AvgBonus[bu_name],$C518,AvgBonus[dept_name],$D518,AvgBonus[team_consolidation],$K518,AvgBonus[location_name],$G518,AvgBonus[job_title],$H518))*AM413*SUM(BonusPayout[Month 28]))</f>
        <v>0</v>
      </c>
      <c r="AN518" s="652">
        <f>IF($B518="",,IF(LEFT($H518,5)="dummy",SUMIFS(AvgBonus[avg_bonus],AvgBonus[job_title],$H518),SUMIFS(AvgBonus[avg_bonus],AvgBonus[exp_item],$J518,AvgBonus[company_name],$B518,AvgBonus[bu_name],$C518,AvgBonus[dept_name],$D518,AvgBonus[team_consolidation],$K518,AvgBonus[location_name],$G518,AvgBonus[job_title],$H518))*AN413*SUM(BonusPayout[Month 29]))</f>
        <v>0</v>
      </c>
      <c r="AO518" s="652">
        <f>IF($B518="",,IF(LEFT($H518,5)="dummy",SUMIFS(AvgBonus[avg_bonus],AvgBonus[job_title],$H518),SUMIFS(AvgBonus[avg_bonus],AvgBonus[exp_item],$J518,AvgBonus[company_name],$B518,AvgBonus[bu_name],$C518,AvgBonus[dept_name],$D518,AvgBonus[team_consolidation],$K518,AvgBonus[location_name],$G518,AvgBonus[job_title],$H518))*AO413*SUM(BonusPayout[Month 30]))</f>
        <v>0</v>
      </c>
      <c r="AP518" s="652">
        <f>IF($B518="",,IF(LEFT($H518,5)="dummy",SUMIFS(AvgBonus[avg_bonus],AvgBonus[job_title],$H518),SUMIFS(AvgBonus[avg_bonus],AvgBonus[exp_item],$J518,AvgBonus[company_name],$B518,AvgBonus[bu_name],$C518,AvgBonus[dept_name],$D518,AvgBonus[team_consolidation],$K518,AvgBonus[location_name],$G518,AvgBonus[job_title],$H518))*AP413*SUM(BonusPayout[Month 31]))</f>
        <v>0</v>
      </c>
      <c r="AQ518" s="652">
        <f>IF($B518="",,IF(LEFT($H518,5)="dummy",SUMIFS(AvgBonus[avg_bonus],AvgBonus[job_title],$H518),SUMIFS(AvgBonus[avg_bonus],AvgBonus[exp_item],$J518,AvgBonus[company_name],$B518,AvgBonus[bu_name],$C518,AvgBonus[dept_name],$D518,AvgBonus[team_consolidation],$K518,AvgBonus[location_name],$G518,AvgBonus[job_title],$H518))*AQ413*SUM(BonusPayout[Month 32]))</f>
        <v>0</v>
      </c>
      <c r="AR518" s="652">
        <f>IF($B518="",,IF(LEFT($H518,5)="dummy",SUMIFS(AvgBonus[avg_bonus],AvgBonus[job_title],$H518),SUMIFS(AvgBonus[avg_bonus],AvgBonus[exp_item],$J518,AvgBonus[company_name],$B518,AvgBonus[bu_name],$C518,AvgBonus[dept_name],$D518,AvgBonus[team_consolidation],$K518,AvgBonus[location_name],$G518,AvgBonus[job_title],$H518))*AR413*SUM(BonusPayout[Month 33]))</f>
        <v>0</v>
      </c>
      <c r="AS518" s="652">
        <f>IF($B518="",,IF(LEFT($H518,5)="dummy",SUMIFS(AvgBonus[avg_bonus],AvgBonus[job_title],$H518),SUMIFS(AvgBonus[avg_bonus],AvgBonus[exp_item],$J518,AvgBonus[company_name],$B518,AvgBonus[bu_name],$C518,AvgBonus[dept_name],$D518,AvgBonus[team_consolidation],$K518,AvgBonus[location_name],$G518,AvgBonus[job_title],$H518))*AS413*SUM(BonusPayout[Month 34]))</f>
        <v>0</v>
      </c>
      <c r="AT518" s="652">
        <f>IF($B518="",,IF(LEFT($H518,5)="dummy",SUMIFS(AvgBonus[avg_bonus],AvgBonus[job_title],$H518),SUMIFS(AvgBonus[avg_bonus],AvgBonus[exp_item],$J518,AvgBonus[company_name],$B518,AvgBonus[bu_name],$C518,AvgBonus[dept_name],$D518,AvgBonus[team_consolidation],$K518,AvgBonus[location_name],$G518,AvgBonus[job_title],$H518))*AT413*SUM(BonusPayout[Month 35]))</f>
        <v>0</v>
      </c>
      <c r="AU518" s="652">
        <f>IF($B518="",,IF(LEFT($H518,5)="dummy",SUMIFS(AvgBonus[avg_bonus],AvgBonus[job_title],$H518),SUMIFS(AvgBonus[avg_bonus],AvgBonus[exp_item],$J518,AvgBonus[company_name],$B518,AvgBonus[bu_name],$C518,AvgBonus[dept_name],$D518,AvgBonus[team_consolidation],$K518,AvgBonus[location_name],$G518,AvgBonus[job_title],$H518))*AU413*SUM(BonusPayout[Month 36]))</f>
        <v>0</v>
      </c>
    </row>
    <row r="519" spans="2:47" x14ac:dyDescent="0.35">
      <c r="B519" t="str">
        <f t="shared" si="292"/>
        <v/>
      </c>
      <c r="C519" t="str">
        <f t="shared" ref="C519:G519" si="311">IF(C414="","",C414)</f>
        <v/>
      </c>
      <c r="D519" t="str">
        <f t="shared" si="311"/>
        <v/>
      </c>
      <c r="E519" t="str">
        <f t="shared" si="311"/>
        <v/>
      </c>
      <c r="F519" t="str">
        <f t="shared" si="311"/>
        <v/>
      </c>
      <c r="G519" t="str">
        <f t="shared" si="311"/>
        <v/>
      </c>
      <c r="H519" t="str">
        <f t="shared" si="291"/>
        <v/>
      </c>
      <c r="J519" t="str">
        <f>IF($H519="","",IF(VLOOKUP($B$500,ExpItems[],2,0),$B$500&amp;" - "&amp;INDEX(DivisionMapping[category_code],MATCH($D519&amp;$C519,DivisionMapping[dept_bu],0)),$B$500))</f>
        <v/>
      </c>
      <c r="K519" t="str">
        <f t="shared" si="294"/>
        <v/>
      </c>
      <c r="L519" s="652">
        <f>IF($B519="",,IF(LEFT($H519,5)="dummy",SUMIFS(AvgBonus[avg_bonus],AvgBonus[job_title],$H519),SUMIFS(AvgBonus[avg_bonus],AvgBonus[exp_item],$J519,AvgBonus[company_name],$B519,AvgBonus[bu_name],$C519,AvgBonus[dept_name],$D519,AvgBonus[team_consolidation],$K519,AvgBonus[location_name],$G519,AvgBonus[job_title],$H519))*L414*SUM(BonusPayout[Month 1]))</f>
        <v>0</v>
      </c>
      <c r="M519" s="652">
        <f>IF($B519="",,IF(LEFT($H519,5)="dummy",SUMIFS(AvgBonus[avg_bonus],AvgBonus[job_title],$H519),SUMIFS(AvgBonus[avg_bonus],AvgBonus[exp_item],$J519,AvgBonus[company_name],$B519,AvgBonus[bu_name],$C519,AvgBonus[dept_name],$D519,AvgBonus[team_consolidation],$K519,AvgBonus[location_name],$G519,AvgBonus[job_title],$H519))*M414*SUM(BonusPayout[Month 2]))</f>
        <v>0</v>
      </c>
      <c r="N519" s="652">
        <f>IF($B519="",,IF(LEFT($H519,5)="dummy",SUMIFS(AvgBonus[avg_bonus],AvgBonus[job_title],$H519),SUMIFS(AvgBonus[avg_bonus],AvgBonus[exp_item],$J519,AvgBonus[company_name],$B519,AvgBonus[bu_name],$C519,AvgBonus[dept_name],$D519,AvgBonus[team_consolidation],$K519,AvgBonus[location_name],$G519,AvgBonus[job_title],$H519))*N414*SUM(BonusPayout[Month 3]))</f>
        <v>0</v>
      </c>
      <c r="O519" s="652">
        <f>IF($B519="",,IF(LEFT($H519,5)="dummy",SUMIFS(AvgBonus[avg_bonus],AvgBonus[job_title],$H519),SUMIFS(AvgBonus[avg_bonus],AvgBonus[exp_item],$J519,AvgBonus[company_name],$B519,AvgBonus[bu_name],$C519,AvgBonus[dept_name],$D519,AvgBonus[team_consolidation],$K519,AvgBonus[location_name],$G519,AvgBonus[job_title],$H519))*O414*SUM(BonusPayout[Month 4]))</f>
        <v>0</v>
      </c>
      <c r="P519" s="652">
        <f>IF($B519="",,IF(LEFT($H519,5)="dummy",SUMIFS(AvgBonus[avg_bonus],AvgBonus[job_title],$H519),SUMIFS(AvgBonus[avg_bonus],AvgBonus[exp_item],$J519,AvgBonus[company_name],$B519,AvgBonus[bu_name],$C519,AvgBonus[dept_name],$D519,AvgBonus[team_consolidation],$K519,AvgBonus[location_name],$G519,AvgBonus[job_title],$H519))*P414*SUM(BonusPayout[Month 5]))</f>
        <v>0</v>
      </c>
      <c r="Q519" s="652">
        <f>IF($B519="",,IF(LEFT($H519,5)="dummy",SUMIFS(AvgBonus[avg_bonus],AvgBonus[job_title],$H519),SUMIFS(AvgBonus[avg_bonus],AvgBonus[exp_item],$J519,AvgBonus[company_name],$B519,AvgBonus[bu_name],$C519,AvgBonus[dept_name],$D519,AvgBonus[team_consolidation],$K519,AvgBonus[location_name],$G519,AvgBonus[job_title],$H519))*Q414*SUM(BonusPayout[Month 6]))</f>
        <v>0</v>
      </c>
      <c r="R519" s="652">
        <f>IF($B519="",,IF(LEFT($H519,5)="dummy",SUMIFS(AvgBonus[avg_bonus],AvgBonus[job_title],$H519),SUMIFS(AvgBonus[avg_bonus],AvgBonus[exp_item],$J519,AvgBonus[company_name],$B519,AvgBonus[bu_name],$C519,AvgBonus[dept_name],$D519,AvgBonus[team_consolidation],$K519,AvgBonus[location_name],$G519,AvgBonus[job_title],$H519))*R414*SUM(BonusPayout[Month 7]))</f>
        <v>0</v>
      </c>
      <c r="S519" s="652">
        <f>IF($B519="",,IF(LEFT($H519,5)="dummy",SUMIFS(AvgBonus[avg_bonus],AvgBonus[job_title],$H519),SUMIFS(AvgBonus[avg_bonus],AvgBonus[exp_item],$J519,AvgBonus[company_name],$B519,AvgBonus[bu_name],$C519,AvgBonus[dept_name],$D519,AvgBonus[team_consolidation],$K519,AvgBonus[location_name],$G519,AvgBonus[job_title],$H519))*S414*SUM(BonusPayout[Month 8]))</f>
        <v>0</v>
      </c>
      <c r="T519" s="652">
        <f>IF($B519="",,IF(LEFT($H519,5)="dummy",SUMIFS(AvgBonus[avg_bonus],AvgBonus[job_title],$H519),SUMIFS(AvgBonus[avg_bonus],AvgBonus[exp_item],$J519,AvgBonus[company_name],$B519,AvgBonus[bu_name],$C519,AvgBonus[dept_name],$D519,AvgBonus[team_consolidation],$K519,AvgBonus[location_name],$G519,AvgBonus[job_title],$H519))*T414*SUM(BonusPayout[Month 9]))</f>
        <v>0</v>
      </c>
      <c r="U519" s="652">
        <f>IF($B519="",,IF(LEFT($H519,5)="dummy",SUMIFS(AvgBonus[avg_bonus],AvgBonus[job_title],$H519),SUMIFS(AvgBonus[avg_bonus],AvgBonus[exp_item],$J519,AvgBonus[company_name],$B519,AvgBonus[bu_name],$C519,AvgBonus[dept_name],$D519,AvgBonus[team_consolidation],$K519,AvgBonus[location_name],$G519,AvgBonus[job_title],$H519))*U414*SUM(BonusPayout[Month 10]))</f>
        <v>0</v>
      </c>
      <c r="V519" s="652">
        <f>IF($B519="",,IF(LEFT($H519,5)="dummy",SUMIFS(AvgBonus[avg_bonus],AvgBonus[job_title],$H519),SUMIFS(AvgBonus[avg_bonus],AvgBonus[exp_item],$J519,AvgBonus[company_name],$B519,AvgBonus[bu_name],$C519,AvgBonus[dept_name],$D519,AvgBonus[team_consolidation],$K519,AvgBonus[location_name],$G519,AvgBonus[job_title],$H519))*V414*SUM(BonusPayout[Month 11]))</f>
        <v>0</v>
      </c>
      <c r="W519" s="652">
        <f>IF($B519="",,IF(LEFT($H519,5)="dummy",SUMIFS(AvgBonus[avg_bonus],AvgBonus[job_title],$H519),SUMIFS(AvgBonus[avg_bonus],AvgBonus[exp_item],$J519,AvgBonus[company_name],$B519,AvgBonus[bu_name],$C519,AvgBonus[dept_name],$D519,AvgBonus[team_consolidation],$K519,AvgBonus[location_name],$G519,AvgBonus[job_title],$H519))*W414*SUM(BonusPayout[Month 12]))</f>
        <v>0</v>
      </c>
      <c r="X519" s="652">
        <f>IF($B519="",,IF(LEFT($H519,5)="dummy",SUMIFS(AvgBonus[avg_bonus],AvgBonus[job_title],$H519),SUMIFS(AvgBonus[avg_bonus],AvgBonus[exp_item],$J519,AvgBonus[company_name],$B519,AvgBonus[bu_name],$C519,AvgBonus[dept_name],$D519,AvgBonus[team_consolidation],$K519,AvgBonus[location_name],$G519,AvgBonus[job_title],$H519))*X414*SUM(BonusPayout[Month 13]))</f>
        <v>0</v>
      </c>
      <c r="Y519" s="652">
        <f>IF($B519="",,IF(LEFT($H519,5)="dummy",SUMIFS(AvgBonus[avg_bonus],AvgBonus[job_title],$H519),SUMIFS(AvgBonus[avg_bonus],AvgBonus[exp_item],$J519,AvgBonus[company_name],$B519,AvgBonus[bu_name],$C519,AvgBonus[dept_name],$D519,AvgBonus[team_consolidation],$K519,AvgBonus[location_name],$G519,AvgBonus[job_title],$H519))*Y414*SUM(BonusPayout[Month 14]))</f>
        <v>0</v>
      </c>
      <c r="Z519" s="652">
        <f>IF($B519="",,IF(LEFT($H519,5)="dummy",SUMIFS(AvgBonus[avg_bonus],AvgBonus[job_title],$H519),SUMIFS(AvgBonus[avg_bonus],AvgBonus[exp_item],$J519,AvgBonus[company_name],$B519,AvgBonus[bu_name],$C519,AvgBonus[dept_name],$D519,AvgBonus[team_consolidation],$K519,AvgBonus[location_name],$G519,AvgBonus[job_title],$H519))*Z414*SUM(BonusPayout[Month 15]))</f>
        <v>0</v>
      </c>
      <c r="AA519" s="652">
        <f>IF($B519="",,IF(LEFT($H519,5)="dummy",SUMIFS(AvgBonus[avg_bonus],AvgBonus[job_title],$H519),SUMIFS(AvgBonus[avg_bonus],AvgBonus[exp_item],$J519,AvgBonus[company_name],$B519,AvgBonus[bu_name],$C519,AvgBonus[dept_name],$D519,AvgBonus[team_consolidation],$K519,AvgBonus[location_name],$G519,AvgBonus[job_title],$H519))*AA414*SUM(BonusPayout[Month 16]))</f>
        <v>0</v>
      </c>
      <c r="AB519" s="652">
        <f>IF($B519="",,IF(LEFT($H519,5)="dummy",SUMIFS(AvgBonus[avg_bonus],AvgBonus[job_title],$H519),SUMIFS(AvgBonus[avg_bonus],AvgBonus[exp_item],$J519,AvgBonus[company_name],$B519,AvgBonus[bu_name],$C519,AvgBonus[dept_name],$D519,AvgBonus[team_consolidation],$K519,AvgBonus[location_name],$G519,AvgBonus[job_title],$H519))*AB414*SUM(BonusPayout[Month 17]))</f>
        <v>0</v>
      </c>
      <c r="AC519" s="652">
        <f>IF($B519="",,IF(LEFT($H519,5)="dummy",SUMIFS(AvgBonus[avg_bonus],AvgBonus[job_title],$H519),SUMIFS(AvgBonus[avg_bonus],AvgBonus[exp_item],$J519,AvgBonus[company_name],$B519,AvgBonus[bu_name],$C519,AvgBonus[dept_name],$D519,AvgBonus[team_consolidation],$K519,AvgBonus[location_name],$G519,AvgBonus[job_title],$H519))*AC414*SUM(BonusPayout[Month 18]))</f>
        <v>0</v>
      </c>
      <c r="AD519" s="652">
        <f>IF($B519="",,IF(LEFT($H519,5)="dummy",SUMIFS(AvgBonus[avg_bonus],AvgBonus[job_title],$H519),SUMIFS(AvgBonus[avg_bonus],AvgBonus[exp_item],$J519,AvgBonus[company_name],$B519,AvgBonus[bu_name],$C519,AvgBonus[dept_name],$D519,AvgBonus[team_consolidation],$K519,AvgBonus[location_name],$G519,AvgBonus[job_title],$H519))*AD414*SUM(BonusPayout[Month 19]))</f>
        <v>0</v>
      </c>
      <c r="AE519" s="652">
        <f>IF($B519="",,IF(LEFT($H519,5)="dummy",SUMIFS(AvgBonus[avg_bonus],AvgBonus[job_title],$H519),SUMIFS(AvgBonus[avg_bonus],AvgBonus[exp_item],$J519,AvgBonus[company_name],$B519,AvgBonus[bu_name],$C519,AvgBonus[dept_name],$D519,AvgBonus[team_consolidation],$K519,AvgBonus[location_name],$G519,AvgBonus[job_title],$H519))*AE414*SUM(BonusPayout[Month 20]))</f>
        <v>0</v>
      </c>
      <c r="AF519" s="652">
        <f>IF($B519="",,IF(LEFT($H519,5)="dummy",SUMIFS(AvgBonus[avg_bonus],AvgBonus[job_title],$H519),SUMIFS(AvgBonus[avg_bonus],AvgBonus[exp_item],$J519,AvgBonus[company_name],$B519,AvgBonus[bu_name],$C519,AvgBonus[dept_name],$D519,AvgBonus[team_consolidation],$K519,AvgBonus[location_name],$G519,AvgBonus[job_title],$H519))*AF414*SUM(BonusPayout[Month 21]))</f>
        <v>0</v>
      </c>
      <c r="AG519" s="652">
        <f>IF($B519="",,IF(LEFT($H519,5)="dummy",SUMIFS(AvgBonus[avg_bonus],AvgBonus[job_title],$H519),SUMIFS(AvgBonus[avg_bonus],AvgBonus[exp_item],$J519,AvgBonus[company_name],$B519,AvgBonus[bu_name],$C519,AvgBonus[dept_name],$D519,AvgBonus[team_consolidation],$K519,AvgBonus[location_name],$G519,AvgBonus[job_title],$H519))*AG414*SUM(BonusPayout[Month 22]))</f>
        <v>0</v>
      </c>
      <c r="AH519" s="652">
        <f>IF($B519="",,IF(LEFT($H519,5)="dummy",SUMIFS(AvgBonus[avg_bonus],AvgBonus[job_title],$H519),SUMIFS(AvgBonus[avg_bonus],AvgBonus[exp_item],$J519,AvgBonus[company_name],$B519,AvgBonus[bu_name],$C519,AvgBonus[dept_name],$D519,AvgBonus[team_consolidation],$K519,AvgBonus[location_name],$G519,AvgBonus[job_title],$H519))*AH414*SUM(BonusPayout[Month 23]))</f>
        <v>0</v>
      </c>
      <c r="AI519" s="652">
        <f>IF($B519="",,IF(LEFT($H519,5)="dummy",SUMIFS(AvgBonus[avg_bonus],AvgBonus[job_title],$H519),SUMIFS(AvgBonus[avg_bonus],AvgBonus[exp_item],$J519,AvgBonus[company_name],$B519,AvgBonus[bu_name],$C519,AvgBonus[dept_name],$D519,AvgBonus[team_consolidation],$K519,AvgBonus[location_name],$G519,AvgBonus[job_title],$H519))*AI414*SUM(BonusPayout[Month 24]))</f>
        <v>0</v>
      </c>
      <c r="AJ519" s="652">
        <f>IF($B519="",,IF(LEFT($H519,5)="dummy",SUMIFS(AvgBonus[avg_bonus],AvgBonus[job_title],$H519),SUMIFS(AvgBonus[avg_bonus],AvgBonus[exp_item],$J519,AvgBonus[company_name],$B519,AvgBonus[bu_name],$C519,AvgBonus[dept_name],$D519,AvgBonus[team_consolidation],$K519,AvgBonus[location_name],$G519,AvgBonus[job_title],$H519))*AJ414*SUM(BonusPayout[Month 25]))</f>
        <v>0</v>
      </c>
      <c r="AK519" s="652">
        <f>IF($B519="",,IF(LEFT($H519,5)="dummy",SUMIFS(AvgBonus[avg_bonus],AvgBonus[job_title],$H519),SUMIFS(AvgBonus[avg_bonus],AvgBonus[exp_item],$J519,AvgBonus[company_name],$B519,AvgBonus[bu_name],$C519,AvgBonus[dept_name],$D519,AvgBonus[team_consolidation],$K519,AvgBonus[location_name],$G519,AvgBonus[job_title],$H519))*AK414*SUM(BonusPayout[Month 26]))</f>
        <v>0</v>
      </c>
      <c r="AL519" s="652">
        <f>IF($B519="",,IF(LEFT($H519,5)="dummy",SUMIFS(AvgBonus[avg_bonus],AvgBonus[job_title],$H519),SUMIFS(AvgBonus[avg_bonus],AvgBonus[exp_item],$J519,AvgBonus[company_name],$B519,AvgBonus[bu_name],$C519,AvgBonus[dept_name],$D519,AvgBonus[team_consolidation],$K519,AvgBonus[location_name],$G519,AvgBonus[job_title],$H519))*AL414*SUM(BonusPayout[Month 27]))</f>
        <v>0</v>
      </c>
      <c r="AM519" s="652">
        <f>IF($B519="",,IF(LEFT($H519,5)="dummy",SUMIFS(AvgBonus[avg_bonus],AvgBonus[job_title],$H519),SUMIFS(AvgBonus[avg_bonus],AvgBonus[exp_item],$J519,AvgBonus[company_name],$B519,AvgBonus[bu_name],$C519,AvgBonus[dept_name],$D519,AvgBonus[team_consolidation],$K519,AvgBonus[location_name],$G519,AvgBonus[job_title],$H519))*AM414*SUM(BonusPayout[Month 28]))</f>
        <v>0</v>
      </c>
      <c r="AN519" s="652">
        <f>IF($B519="",,IF(LEFT($H519,5)="dummy",SUMIFS(AvgBonus[avg_bonus],AvgBonus[job_title],$H519),SUMIFS(AvgBonus[avg_bonus],AvgBonus[exp_item],$J519,AvgBonus[company_name],$B519,AvgBonus[bu_name],$C519,AvgBonus[dept_name],$D519,AvgBonus[team_consolidation],$K519,AvgBonus[location_name],$G519,AvgBonus[job_title],$H519))*AN414*SUM(BonusPayout[Month 29]))</f>
        <v>0</v>
      </c>
      <c r="AO519" s="652">
        <f>IF($B519="",,IF(LEFT($H519,5)="dummy",SUMIFS(AvgBonus[avg_bonus],AvgBonus[job_title],$H519),SUMIFS(AvgBonus[avg_bonus],AvgBonus[exp_item],$J519,AvgBonus[company_name],$B519,AvgBonus[bu_name],$C519,AvgBonus[dept_name],$D519,AvgBonus[team_consolidation],$K519,AvgBonus[location_name],$G519,AvgBonus[job_title],$H519))*AO414*SUM(BonusPayout[Month 30]))</f>
        <v>0</v>
      </c>
      <c r="AP519" s="652">
        <f>IF($B519="",,IF(LEFT($H519,5)="dummy",SUMIFS(AvgBonus[avg_bonus],AvgBonus[job_title],$H519),SUMIFS(AvgBonus[avg_bonus],AvgBonus[exp_item],$J519,AvgBonus[company_name],$B519,AvgBonus[bu_name],$C519,AvgBonus[dept_name],$D519,AvgBonus[team_consolidation],$K519,AvgBonus[location_name],$G519,AvgBonus[job_title],$H519))*AP414*SUM(BonusPayout[Month 31]))</f>
        <v>0</v>
      </c>
      <c r="AQ519" s="652">
        <f>IF($B519="",,IF(LEFT($H519,5)="dummy",SUMIFS(AvgBonus[avg_bonus],AvgBonus[job_title],$H519),SUMIFS(AvgBonus[avg_bonus],AvgBonus[exp_item],$J519,AvgBonus[company_name],$B519,AvgBonus[bu_name],$C519,AvgBonus[dept_name],$D519,AvgBonus[team_consolidation],$K519,AvgBonus[location_name],$G519,AvgBonus[job_title],$H519))*AQ414*SUM(BonusPayout[Month 32]))</f>
        <v>0</v>
      </c>
      <c r="AR519" s="652">
        <f>IF($B519="",,IF(LEFT($H519,5)="dummy",SUMIFS(AvgBonus[avg_bonus],AvgBonus[job_title],$H519),SUMIFS(AvgBonus[avg_bonus],AvgBonus[exp_item],$J519,AvgBonus[company_name],$B519,AvgBonus[bu_name],$C519,AvgBonus[dept_name],$D519,AvgBonus[team_consolidation],$K519,AvgBonus[location_name],$G519,AvgBonus[job_title],$H519))*AR414*SUM(BonusPayout[Month 33]))</f>
        <v>0</v>
      </c>
      <c r="AS519" s="652">
        <f>IF($B519="",,IF(LEFT($H519,5)="dummy",SUMIFS(AvgBonus[avg_bonus],AvgBonus[job_title],$H519),SUMIFS(AvgBonus[avg_bonus],AvgBonus[exp_item],$J519,AvgBonus[company_name],$B519,AvgBonus[bu_name],$C519,AvgBonus[dept_name],$D519,AvgBonus[team_consolidation],$K519,AvgBonus[location_name],$G519,AvgBonus[job_title],$H519))*AS414*SUM(BonusPayout[Month 34]))</f>
        <v>0</v>
      </c>
      <c r="AT519" s="652">
        <f>IF($B519="",,IF(LEFT($H519,5)="dummy",SUMIFS(AvgBonus[avg_bonus],AvgBonus[job_title],$H519),SUMIFS(AvgBonus[avg_bonus],AvgBonus[exp_item],$J519,AvgBonus[company_name],$B519,AvgBonus[bu_name],$C519,AvgBonus[dept_name],$D519,AvgBonus[team_consolidation],$K519,AvgBonus[location_name],$G519,AvgBonus[job_title],$H519))*AT414*SUM(BonusPayout[Month 35]))</f>
        <v>0</v>
      </c>
      <c r="AU519" s="652">
        <f>IF($B519="",,IF(LEFT($H519,5)="dummy",SUMIFS(AvgBonus[avg_bonus],AvgBonus[job_title],$H519),SUMIFS(AvgBonus[avg_bonus],AvgBonus[exp_item],$J519,AvgBonus[company_name],$B519,AvgBonus[bu_name],$C519,AvgBonus[dept_name],$D519,AvgBonus[team_consolidation],$K519,AvgBonus[location_name],$G519,AvgBonus[job_title],$H519))*AU414*SUM(BonusPayout[Month 36]))</f>
        <v>0</v>
      </c>
    </row>
    <row r="520" spans="2:47" x14ac:dyDescent="0.35">
      <c r="B520" t="str">
        <f t="shared" si="292"/>
        <v/>
      </c>
      <c r="C520" t="str">
        <f t="shared" ref="C520:G520" si="312">IF(C415="","",C415)</f>
        <v/>
      </c>
      <c r="D520" t="str">
        <f t="shared" si="312"/>
        <v/>
      </c>
      <c r="E520" t="str">
        <f t="shared" si="312"/>
        <v/>
      </c>
      <c r="F520" t="str">
        <f t="shared" si="312"/>
        <v/>
      </c>
      <c r="G520" t="str">
        <f t="shared" si="312"/>
        <v/>
      </c>
      <c r="H520" t="str">
        <f t="shared" si="291"/>
        <v/>
      </c>
      <c r="J520" t="str">
        <f>IF($H520="","",IF(VLOOKUP($B$500,ExpItems[],2,0),$B$500&amp;" - "&amp;INDEX(DivisionMapping[category_code],MATCH($D520&amp;$C520,DivisionMapping[dept_bu],0)),$B$500))</f>
        <v/>
      </c>
      <c r="K520" t="str">
        <f t="shared" si="294"/>
        <v/>
      </c>
      <c r="L520" s="652">
        <f>IF($B520="",,IF(LEFT($H520,5)="dummy",SUMIFS(AvgBonus[avg_bonus],AvgBonus[job_title],$H520),SUMIFS(AvgBonus[avg_bonus],AvgBonus[exp_item],$J520,AvgBonus[company_name],$B520,AvgBonus[bu_name],$C520,AvgBonus[dept_name],$D520,AvgBonus[team_consolidation],$K520,AvgBonus[location_name],$G520,AvgBonus[job_title],$H520))*L415*SUM(BonusPayout[Month 1]))</f>
        <v>0</v>
      </c>
      <c r="M520" s="652">
        <f>IF($B520="",,IF(LEFT($H520,5)="dummy",SUMIFS(AvgBonus[avg_bonus],AvgBonus[job_title],$H520),SUMIFS(AvgBonus[avg_bonus],AvgBonus[exp_item],$J520,AvgBonus[company_name],$B520,AvgBonus[bu_name],$C520,AvgBonus[dept_name],$D520,AvgBonus[team_consolidation],$K520,AvgBonus[location_name],$G520,AvgBonus[job_title],$H520))*M415*SUM(BonusPayout[Month 2]))</f>
        <v>0</v>
      </c>
      <c r="N520" s="652">
        <f>IF($B520="",,IF(LEFT($H520,5)="dummy",SUMIFS(AvgBonus[avg_bonus],AvgBonus[job_title],$H520),SUMIFS(AvgBonus[avg_bonus],AvgBonus[exp_item],$J520,AvgBonus[company_name],$B520,AvgBonus[bu_name],$C520,AvgBonus[dept_name],$D520,AvgBonus[team_consolidation],$K520,AvgBonus[location_name],$G520,AvgBonus[job_title],$H520))*N415*SUM(BonusPayout[Month 3]))</f>
        <v>0</v>
      </c>
      <c r="O520" s="652">
        <f>IF($B520="",,IF(LEFT($H520,5)="dummy",SUMIFS(AvgBonus[avg_bonus],AvgBonus[job_title],$H520),SUMIFS(AvgBonus[avg_bonus],AvgBonus[exp_item],$J520,AvgBonus[company_name],$B520,AvgBonus[bu_name],$C520,AvgBonus[dept_name],$D520,AvgBonus[team_consolidation],$K520,AvgBonus[location_name],$G520,AvgBonus[job_title],$H520))*O415*SUM(BonusPayout[Month 4]))</f>
        <v>0</v>
      </c>
      <c r="P520" s="652">
        <f>IF($B520="",,IF(LEFT($H520,5)="dummy",SUMIFS(AvgBonus[avg_bonus],AvgBonus[job_title],$H520),SUMIFS(AvgBonus[avg_bonus],AvgBonus[exp_item],$J520,AvgBonus[company_name],$B520,AvgBonus[bu_name],$C520,AvgBonus[dept_name],$D520,AvgBonus[team_consolidation],$K520,AvgBonus[location_name],$G520,AvgBonus[job_title],$H520))*P415*SUM(BonusPayout[Month 5]))</f>
        <v>0</v>
      </c>
      <c r="Q520" s="652">
        <f>IF($B520="",,IF(LEFT($H520,5)="dummy",SUMIFS(AvgBonus[avg_bonus],AvgBonus[job_title],$H520),SUMIFS(AvgBonus[avg_bonus],AvgBonus[exp_item],$J520,AvgBonus[company_name],$B520,AvgBonus[bu_name],$C520,AvgBonus[dept_name],$D520,AvgBonus[team_consolidation],$K520,AvgBonus[location_name],$G520,AvgBonus[job_title],$H520))*Q415*SUM(BonusPayout[Month 6]))</f>
        <v>0</v>
      </c>
      <c r="R520" s="652">
        <f>IF($B520="",,IF(LEFT($H520,5)="dummy",SUMIFS(AvgBonus[avg_bonus],AvgBonus[job_title],$H520),SUMIFS(AvgBonus[avg_bonus],AvgBonus[exp_item],$J520,AvgBonus[company_name],$B520,AvgBonus[bu_name],$C520,AvgBonus[dept_name],$D520,AvgBonus[team_consolidation],$K520,AvgBonus[location_name],$G520,AvgBonus[job_title],$H520))*R415*SUM(BonusPayout[Month 7]))</f>
        <v>0</v>
      </c>
      <c r="S520" s="652">
        <f>IF($B520="",,IF(LEFT($H520,5)="dummy",SUMIFS(AvgBonus[avg_bonus],AvgBonus[job_title],$H520),SUMIFS(AvgBonus[avg_bonus],AvgBonus[exp_item],$J520,AvgBonus[company_name],$B520,AvgBonus[bu_name],$C520,AvgBonus[dept_name],$D520,AvgBonus[team_consolidation],$K520,AvgBonus[location_name],$G520,AvgBonus[job_title],$H520))*S415*SUM(BonusPayout[Month 8]))</f>
        <v>0</v>
      </c>
      <c r="T520" s="652">
        <f>IF($B520="",,IF(LEFT($H520,5)="dummy",SUMIFS(AvgBonus[avg_bonus],AvgBonus[job_title],$H520),SUMIFS(AvgBonus[avg_bonus],AvgBonus[exp_item],$J520,AvgBonus[company_name],$B520,AvgBonus[bu_name],$C520,AvgBonus[dept_name],$D520,AvgBonus[team_consolidation],$K520,AvgBonus[location_name],$G520,AvgBonus[job_title],$H520))*T415*SUM(BonusPayout[Month 9]))</f>
        <v>0</v>
      </c>
      <c r="U520" s="652">
        <f>IF($B520="",,IF(LEFT($H520,5)="dummy",SUMIFS(AvgBonus[avg_bonus],AvgBonus[job_title],$H520),SUMIFS(AvgBonus[avg_bonus],AvgBonus[exp_item],$J520,AvgBonus[company_name],$B520,AvgBonus[bu_name],$C520,AvgBonus[dept_name],$D520,AvgBonus[team_consolidation],$K520,AvgBonus[location_name],$G520,AvgBonus[job_title],$H520))*U415*SUM(BonusPayout[Month 10]))</f>
        <v>0</v>
      </c>
      <c r="V520" s="652">
        <f>IF($B520="",,IF(LEFT($H520,5)="dummy",SUMIFS(AvgBonus[avg_bonus],AvgBonus[job_title],$H520),SUMIFS(AvgBonus[avg_bonus],AvgBonus[exp_item],$J520,AvgBonus[company_name],$B520,AvgBonus[bu_name],$C520,AvgBonus[dept_name],$D520,AvgBonus[team_consolidation],$K520,AvgBonus[location_name],$G520,AvgBonus[job_title],$H520))*V415*SUM(BonusPayout[Month 11]))</f>
        <v>0</v>
      </c>
      <c r="W520" s="652">
        <f>IF($B520="",,IF(LEFT($H520,5)="dummy",SUMIFS(AvgBonus[avg_bonus],AvgBonus[job_title],$H520),SUMIFS(AvgBonus[avg_bonus],AvgBonus[exp_item],$J520,AvgBonus[company_name],$B520,AvgBonus[bu_name],$C520,AvgBonus[dept_name],$D520,AvgBonus[team_consolidation],$K520,AvgBonus[location_name],$G520,AvgBonus[job_title],$H520))*W415*SUM(BonusPayout[Month 12]))</f>
        <v>0</v>
      </c>
      <c r="X520" s="652">
        <f>IF($B520="",,IF(LEFT($H520,5)="dummy",SUMIFS(AvgBonus[avg_bonus],AvgBonus[job_title],$H520),SUMIFS(AvgBonus[avg_bonus],AvgBonus[exp_item],$J520,AvgBonus[company_name],$B520,AvgBonus[bu_name],$C520,AvgBonus[dept_name],$D520,AvgBonus[team_consolidation],$K520,AvgBonus[location_name],$G520,AvgBonus[job_title],$H520))*X415*SUM(BonusPayout[Month 13]))</f>
        <v>0</v>
      </c>
      <c r="Y520" s="652">
        <f>IF($B520="",,IF(LEFT($H520,5)="dummy",SUMIFS(AvgBonus[avg_bonus],AvgBonus[job_title],$H520),SUMIFS(AvgBonus[avg_bonus],AvgBonus[exp_item],$J520,AvgBonus[company_name],$B520,AvgBonus[bu_name],$C520,AvgBonus[dept_name],$D520,AvgBonus[team_consolidation],$K520,AvgBonus[location_name],$G520,AvgBonus[job_title],$H520))*Y415*SUM(BonusPayout[Month 14]))</f>
        <v>0</v>
      </c>
      <c r="Z520" s="652">
        <f>IF($B520="",,IF(LEFT($H520,5)="dummy",SUMIFS(AvgBonus[avg_bonus],AvgBonus[job_title],$H520),SUMIFS(AvgBonus[avg_bonus],AvgBonus[exp_item],$J520,AvgBonus[company_name],$B520,AvgBonus[bu_name],$C520,AvgBonus[dept_name],$D520,AvgBonus[team_consolidation],$K520,AvgBonus[location_name],$G520,AvgBonus[job_title],$H520))*Z415*SUM(BonusPayout[Month 15]))</f>
        <v>0</v>
      </c>
      <c r="AA520" s="652">
        <f>IF($B520="",,IF(LEFT($H520,5)="dummy",SUMIFS(AvgBonus[avg_bonus],AvgBonus[job_title],$H520),SUMIFS(AvgBonus[avg_bonus],AvgBonus[exp_item],$J520,AvgBonus[company_name],$B520,AvgBonus[bu_name],$C520,AvgBonus[dept_name],$D520,AvgBonus[team_consolidation],$K520,AvgBonus[location_name],$G520,AvgBonus[job_title],$H520))*AA415*SUM(BonusPayout[Month 16]))</f>
        <v>0</v>
      </c>
      <c r="AB520" s="652">
        <f>IF($B520="",,IF(LEFT($H520,5)="dummy",SUMIFS(AvgBonus[avg_bonus],AvgBonus[job_title],$H520),SUMIFS(AvgBonus[avg_bonus],AvgBonus[exp_item],$J520,AvgBonus[company_name],$B520,AvgBonus[bu_name],$C520,AvgBonus[dept_name],$D520,AvgBonus[team_consolidation],$K520,AvgBonus[location_name],$G520,AvgBonus[job_title],$H520))*AB415*SUM(BonusPayout[Month 17]))</f>
        <v>0</v>
      </c>
      <c r="AC520" s="652">
        <f>IF($B520="",,IF(LEFT($H520,5)="dummy",SUMIFS(AvgBonus[avg_bonus],AvgBonus[job_title],$H520),SUMIFS(AvgBonus[avg_bonus],AvgBonus[exp_item],$J520,AvgBonus[company_name],$B520,AvgBonus[bu_name],$C520,AvgBonus[dept_name],$D520,AvgBonus[team_consolidation],$K520,AvgBonus[location_name],$G520,AvgBonus[job_title],$H520))*AC415*SUM(BonusPayout[Month 18]))</f>
        <v>0</v>
      </c>
      <c r="AD520" s="652">
        <f>IF($B520="",,IF(LEFT($H520,5)="dummy",SUMIFS(AvgBonus[avg_bonus],AvgBonus[job_title],$H520),SUMIFS(AvgBonus[avg_bonus],AvgBonus[exp_item],$J520,AvgBonus[company_name],$B520,AvgBonus[bu_name],$C520,AvgBonus[dept_name],$D520,AvgBonus[team_consolidation],$K520,AvgBonus[location_name],$G520,AvgBonus[job_title],$H520))*AD415*SUM(BonusPayout[Month 19]))</f>
        <v>0</v>
      </c>
      <c r="AE520" s="652">
        <f>IF($B520="",,IF(LEFT($H520,5)="dummy",SUMIFS(AvgBonus[avg_bonus],AvgBonus[job_title],$H520),SUMIFS(AvgBonus[avg_bonus],AvgBonus[exp_item],$J520,AvgBonus[company_name],$B520,AvgBonus[bu_name],$C520,AvgBonus[dept_name],$D520,AvgBonus[team_consolidation],$K520,AvgBonus[location_name],$G520,AvgBonus[job_title],$H520))*AE415*SUM(BonusPayout[Month 20]))</f>
        <v>0</v>
      </c>
      <c r="AF520" s="652">
        <f>IF($B520="",,IF(LEFT($H520,5)="dummy",SUMIFS(AvgBonus[avg_bonus],AvgBonus[job_title],$H520),SUMIFS(AvgBonus[avg_bonus],AvgBonus[exp_item],$J520,AvgBonus[company_name],$B520,AvgBonus[bu_name],$C520,AvgBonus[dept_name],$D520,AvgBonus[team_consolidation],$K520,AvgBonus[location_name],$G520,AvgBonus[job_title],$H520))*AF415*SUM(BonusPayout[Month 21]))</f>
        <v>0</v>
      </c>
      <c r="AG520" s="652">
        <f>IF($B520="",,IF(LEFT($H520,5)="dummy",SUMIFS(AvgBonus[avg_bonus],AvgBonus[job_title],$H520),SUMIFS(AvgBonus[avg_bonus],AvgBonus[exp_item],$J520,AvgBonus[company_name],$B520,AvgBonus[bu_name],$C520,AvgBonus[dept_name],$D520,AvgBonus[team_consolidation],$K520,AvgBonus[location_name],$G520,AvgBonus[job_title],$H520))*AG415*SUM(BonusPayout[Month 22]))</f>
        <v>0</v>
      </c>
      <c r="AH520" s="652">
        <f>IF($B520="",,IF(LEFT($H520,5)="dummy",SUMIFS(AvgBonus[avg_bonus],AvgBonus[job_title],$H520),SUMIFS(AvgBonus[avg_bonus],AvgBonus[exp_item],$J520,AvgBonus[company_name],$B520,AvgBonus[bu_name],$C520,AvgBonus[dept_name],$D520,AvgBonus[team_consolidation],$K520,AvgBonus[location_name],$G520,AvgBonus[job_title],$H520))*AH415*SUM(BonusPayout[Month 23]))</f>
        <v>0</v>
      </c>
      <c r="AI520" s="652">
        <f>IF($B520="",,IF(LEFT($H520,5)="dummy",SUMIFS(AvgBonus[avg_bonus],AvgBonus[job_title],$H520),SUMIFS(AvgBonus[avg_bonus],AvgBonus[exp_item],$J520,AvgBonus[company_name],$B520,AvgBonus[bu_name],$C520,AvgBonus[dept_name],$D520,AvgBonus[team_consolidation],$K520,AvgBonus[location_name],$G520,AvgBonus[job_title],$H520))*AI415*SUM(BonusPayout[Month 24]))</f>
        <v>0</v>
      </c>
      <c r="AJ520" s="652">
        <f>IF($B520="",,IF(LEFT($H520,5)="dummy",SUMIFS(AvgBonus[avg_bonus],AvgBonus[job_title],$H520),SUMIFS(AvgBonus[avg_bonus],AvgBonus[exp_item],$J520,AvgBonus[company_name],$B520,AvgBonus[bu_name],$C520,AvgBonus[dept_name],$D520,AvgBonus[team_consolidation],$K520,AvgBonus[location_name],$G520,AvgBonus[job_title],$H520))*AJ415*SUM(BonusPayout[Month 25]))</f>
        <v>0</v>
      </c>
      <c r="AK520" s="652">
        <f>IF($B520="",,IF(LEFT($H520,5)="dummy",SUMIFS(AvgBonus[avg_bonus],AvgBonus[job_title],$H520),SUMIFS(AvgBonus[avg_bonus],AvgBonus[exp_item],$J520,AvgBonus[company_name],$B520,AvgBonus[bu_name],$C520,AvgBonus[dept_name],$D520,AvgBonus[team_consolidation],$K520,AvgBonus[location_name],$G520,AvgBonus[job_title],$H520))*AK415*SUM(BonusPayout[Month 26]))</f>
        <v>0</v>
      </c>
      <c r="AL520" s="652">
        <f>IF($B520="",,IF(LEFT($H520,5)="dummy",SUMIFS(AvgBonus[avg_bonus],AvgBonus[job_title],$H520),SUMIFS(AvgBonus[avg_bonus],AvgBonus[exp_item],$J520,AvgBonus[company_name],$B520,AvgBonus[bu_name],$C520,AvgBonus[dept_name],$D520,AvgBonus[team_consolidation],$K520,AvgBonus[location_name],$G520,AvgBonus[job_title],$H520))*AL415*SUM(BonusPayout[Month 27]))</f>
        <v>0</v>
      </c>
      <c r="AM520" s="652">
        <f>IF($B520="",,IF(LEFT($H520,5)="dummy",SUMIFS(AvgBonus[avg_bonus],AvgBonus[job_title],$H520),SUMIFS(AvgBonus[avg_bonus],AvgBonus[exp_item],$J520,AvgBonus[company_name],$B520,AvgBonus[bu_name],$C520,AvgBonus[dept_name],$D520,AvgBonus[team_consolidation],$K520,AvgBonus[location_name],$G520,AvgBonus[job_title],$H520))*AM415*SUM(BonusPayout[Month 28]))</f>
        <v>0</v>
      </c>
      <c r="AN520" s="652">
        <f>IF($B520="",,IF(LEFT($H520,5)="dummy",SUMIFS(AvgBonus[avg_bonus],AvgBonus[job_title],$H520),SUMIFS(AvgBonus[avg_bonus],AvgBonus[exp_item],$J520,AvgBonus[company_name],$B520,AvgBonus[bu_name],$C520,AvgBonus[dept_name],$D520,AvgBonus[team_consolidation],$K520,AvgBonus[location_name],$G520,AvgBonus[job_title],$H520))*AN415*SUM(BonusPayout[Month 29]))</f>
        <v>0</v>
      </c>
      <c r="AO520" s="652">
        <f>IF($B520="",,IF(LEFT($H520,5)="dummy",SUMIFS(AvgBonus[avg_bonus],AvgBonus[job_title],$H520),SUMIFS(AvgBonus[avg_bonus],AvgBonus[exp_item],$J520,AvgBonus[company_name],$B520,AvgBonus[bu_name],$C520,AvgBonus[dept_name],$D520,AvgBonus[team_consolidation],$K520,AvgBonus[location_name],$G520,AvgBonus[job_title],$H520))*AO415*SUM(BonusPayout[Month 30]))</f>
        <v>0</v>
      </c>
      <c r="AP520" s="652">
        <f>IF($B520="",,IF(LEFT($H520,5)="dummy",SUMIFS(AvgBonus[avg_bonus],AvgBonus[job_title],$H520),SUMIFS(AvgBonus[avg_bonus],AvgBonus[exp_item],$J520,AvgBonus[company_name],$B520,AvgBonus[bu_name],$C520,AvgBonus[dept_name],$D520,AvgBonus[team_consolidation],$K520,AvgBonus[location_name],$G520,AvgBonus[job_title],$H520))*AP415*SUM(BonusPayout[Month 31]))</f>
        <v>0</v>
      </c>
      <c r="AQ520" s="652">
        <f>IF($B520="",,IF(LEFT($H520,5)="dummy",SUMIFS(AvgBonus[avg_bonus],AvgBonus[job_title],$H520),SUMIFS(AvgBonus[avg_bonus],AvgBonus[exp_item],$J520,AvgBonus[company_name],$B520,AvgBonus[bu_name],$C520,AvgBonus[dept_name],$D520,AvgBonus[team_consolidation],$K520,AvgBonus[location_name],$G520,AvgBonus[job_title],$H520))*AQ415*SUM(BonusPayout[Month 32]))</f>
        <v>0</v>
      </c>
      <c r="AR520" s="652">
        <f>IF($B520="",,IF(LEFT($H520,5)="dummy",SUMIFS(AvgBonus[avg_bonus],AvgBonus[job_title],$H520),SUMIFS(AvgBonus[avg_bonus],AvgBonus[exp_item],$J520,AvgBonus[company_name],$B520,AvgBonus[bu_name],$C520,AvgBonus[dept_name],$D520,AvgBonus[team_consolidation],$K520,AvgBonus[location_name],$G520,AvgBonus[job_title],$H520))*AR415*SUM(BonusPayout[Month 33]))</f>
        <v>0</v>
      </c>
      <c r="AS520" s="652">
        <f>IF($B520="",,IF(LEFT($H520,5)="dummy",SUMIFS(AvgBonus[avg_bonus],AvgBonus[job_title],$H520),SUMIFS(AvgBonus[avg_bonus],AvgBonus[exp_item],$J520,AvgBonus[company_name],$B520,AvgBonus[bu_name],$C520,AvgBonus[dept_name],$D520,AvgBonus[team_consolidation],$K520,AvgBonus[location_name],$G520,AvgBonus[job_title],$H520))*AS415*SUM(BonusPayout[Month 34]))</f>
        <v>0</v>
      </c>
      <c r="AT520" s="652">
        <f>IF($B520="",,IF(LEFT($H520,5)="dummy",SUMIFS(AvgBonus[avg_bonus],AvgBonus[job_title],$H520),SUMIFS(AvgBonus[avg_bonus],AvgBonus[exp_item],$J520,AvgBonus[company_name],$B520,AvgBonus[bu_name],$C520,AvgBonus[dept_name],$D520,AvgBonus[team_consolidation],$K520,AvgBonus[location_name],$G520,AvgBonus[job_title],$H520))*AT415*SUM(BonusPayout[Month 35]))</f>
        <v>0</v>
      </c>
      <c r="AU520" s="652">
        <f>IF($B520="",,IF(LEFT($H520,5)="dummy",SUMIFS(AvgBonus[avg_bonus],AvgBonus[job_title],$H520),SUMIFS(AvgBonus[avg_bonus],AvgBonus[exp_item],$J520,AvgBonus[company_name],$B520,AvgBonus[bu_name],$C520,AvgBonus[dept_name],$D520,AvgBonus[team_consolidation],$K520,AvgBonus[location_name],$G520,AvgBonus[job_title],$H520))*AU415*SUM(BonusPayout[Month 36]))</f>
        <v>0</v>
      </c>
    </row>
    <row r="521" spans="2:47" x14ac:dyDescent="0.35">
      <c r="B521" t="str">
        <f t="shared" si="292"/>
        <v/>
      </c>
      <c r="C521" t="str">
        <f t="shared" ref="C521:G521" si="313">IF(C416="","",C416)</f>
        <v/>
      </c>
      <c r="D521" t="str">
        <f t="shared" si="313"/>
        <v/>
      </c>
      <c r="E521" t="str">
        <f t="shared" si="313"/>
        <v/>
      </c>
      <c r="F521" t="str">
        <f t="shared" si="313"/>
        <v/>
      </c>
      <c r="G521" t="str">
        <f t="shared" si="313"/>
        <v/>
      </c>
      <c r="H521" t="str">
        <f t="shared" si="291"/>
        <v/>
      </c>
      <c r="J521" t="str">
        <f>IF($H521="","",IF(VLOOKUP($B$500,ExpItems[],2,0),$B$500&amp;" - "&amp;INDEX(DivisionMapping[category_code],MATCH($D521&amp;$C521,DivisionMapping[dept_bu],0)),$B$500))</f>
        <v/>
      </c>
      <c r="K521" t="str">
        <f t="shared" si="294"/>
        <v/>
      </c>
      <c r="L521" s="652">
        <f>IF($B521="",,IF(LEFT($H521,5)="dummy",SUMIFS(AvgBonus[avg_bonus],AvgBonus[job_title],$H521),SUMIFS(AvgBonus[avg_bonus],AvgBonus[exp_item],$J521,AvgBonus[company_name],$B521,AvgBonus[bu_name],$C521,AvgBonus[dept_name],$D521,AvgBonus[team_consolidation],$K521,AvgBonus[location_name],$G521,AvgBonus[job_title],$H521))*L416*SUM(BonusPayout[Month 1]))</f>
        <v>0</v>
      </c>
      <c r="M521" s="652">
        <f>IF($B521="",,IF(LEFT($H521,5)="dummy",SUMIFS(AvgBonus[avg_bonus],AvgBonus[job_title],$H521),SUMIFS(AvgBonus[avg_bonus],AvgBonus[exp_item],$J521,AvgBonus[company_name],$B521,AvgBonus[bu_name],$C521,AvgBonus[dept_name],$D521,AvgBonus[team_consolidation],$K521,AvgBonus[location_name],$G521,AvgBonus[job_title],$H521))*M416*SUM(BonusPayout[Month 2]))</f>
        <v>0</v>
      </c>
      <c r="N521" s="652">
        <f>IF($B521="",,IF(LEFT($H521,5)="dummy",SUMIFS(AvgBonus[avg_bonus],AvgBonus[job_title],$H521),SUMIFS(AvgBonus[avg_bonus],AvgBonus[exp_item],$J521,AvgBonus[company_name],$B521,AvgBonus[bu_name],$C521,AvgBonus[dept_name],$D521,AvgBonus[team_consolidation],$K521,AvgBonus[location_name],$G521,AvgBonus[job_title],$H521))*N416*SUM(BonusPayout[Month 3]))</f>
        <v>0</v>
      </c>
      <c r="O521" s="652">
        <f>IF($B521="",,IF(LEFT($H521,5)="dummy",SUMIFS(AvgBonus[avg_bonus],AvgBonus[job_title],$H521),SUMIFS(AvgBonus[avg_bonus],AvgBonus[exp_item],$J521,AvgBonus[company_name],$B521,AvgBonus[bu_name],$C521,AvgBonus[dept_name],$D521,AvgBonus[team_consolidation],$K521,AvgBonus[location_name],$G521,AvgBonus[job_title],$H521))*O416*SUM(BonusPayout[Month 4]))</f>
        <v>0</v>
      </c>
      <c r="P521" s="652">
        <f>IF($B521="",,IF(LEFT($H521,5)="dummy",SUMIFS(AvgBonus[avg_bonus],AvgBonus[job_title],$H521),SUMIFS(AvgBonus[avg_bonus],AvgBonus[exp_item],$J521,AvgBonus[company_name],$B521,AvgBonus[bu_name],$C521,AvgBonus[dept_name],$D521,AvgBonus[team_consolidation],$K521,AvgBonus[location_name],$G521,AvgBonus[job_title],$H521))*P416*SUM(BonusPayout[Month 5]))</f>
        <v>0</v>
      </c>
      <c r="Q521" s="652">
        <f>IF($B521="",,IF(LEFT($H521,5)="dummy",SUMIFS(AvgBonus[avg_bonus],AvgBonus[job_title],$H521),SUMIFS(AvgBonus[avg_bonus],AvgBonus[exp_item],$J521,AvgBonus[company_name],$B521,AvgBonus[bu_name],$C521,AvgBonus[dept_name],$D521,AvgBonus[team_consolidation],$K521,AvgBonus[location_name],$G521,AvgBonus[job_title],$H521))*Q416*SUM(BonusPayout[Month 6]))</f>
        <v>0</v>
      </c>
      <c r="R521" s="652">
        <f>IF($B521="",,IF(LEFT($H521,5)="dummy",SUMIFS(AvgBonus[avg_bonus],AvgBonus[job_title],$H521),SUMIFS(AvgBonus[avg_bonus],AvgBonus[exp_item],$J521,AvgBonus[company_name],$B521,AvgBonus[bu_name],$C521,AvgBonus[dept_name],$D521,AvgBonus[team_consolidation],$K521,AvgBonus[location_name],$G521,AvgBonus[job_title],$H521))*R416*SUM(BonusPayout[Month 7]))</f>
        <v>0</v>
      </c>
      <c r="S521" s="652">
        <f>IF($B521="",,IF(LEFT($H521,5)="dummy",SUMIFS(AvgBonus[avg_bonus],AvgBonus[job_title],$H521),SUMIFS(AvgBonus[avg_bonus],AvgBonus[exp_item],$J521,AvgBonus[company_name],$B521,AvgBonus[bu_name],$C521,AvgBonus[dept_name],$D521,AvgBonus[team_consolidation],$K521,AvgBonus[location_name],$G521,AvgBonus[job_title],$H521))*S416*SUM(BonusPayout[Month 8]))</f>
        <v>0</v>
      </c>
      <c r="T521" s="652">
        <f>IF($B521="",,IF(LEFT($H521,5)="dummy",SUMIFS(AvgBonus[avg_bonus],AvgBonus[job_title],$H521),SUMIFS(AvgBonus[avg_bonus],AvgBonus[exp_item],$J521,AvgBonus[company_name],$B521,AvgBonus[bu_name],$C521,AvgBonus[dept_name],$D521,AvgBonus[team_consolidation],$K521,AvgBonus[location_name],$G521,AvgBonus[job_title],$H521))*T416*SUM(BonusPayout[Month 9]))</f>
        <v>0</v>
      </c>
      <c r="U521" s="652">
        <f>IF($B521="",,IF(LEFT($H521,5)="dummy",SUMIFS(AvgBonus[avg_bonus],AvgBonus[job_title],$H521),SUMIFS(AvgBonus[avg_bonus],AvgBonus[exp_item],$J521,AvgBonus[company_name],$B521,AvgBonus[bu_name],$C521,AvgBonus[dept_name],$D521,AvgBonus[team_consolidation],$K521,AvgBonus[location_name],$G521,AvgBonus[job_title],$H521))*U416*SUM(BonusPayout[Month 10]))</f>
        <v>0</v>
      </c>
      <c r="V521" s="652">
        <f>IF($B521="",,IF(LEFT($H521,5)="dummy",SUMIFS(AvgBonus[avg_bonus],AvgBonus[job_title],$H521),SUMIFS(AvgBonus[avg_bonus],AvgBonus[exp_item],$J521,AvgBonus[company_name],$B521,AvgBonus[bu_name],$C521,AvgBonus[dept_name],$D521,AvgBonus[team_consolidation],$K521,AvgBonus[location_name],$G521,AvgBonus[job_title],$H521))*V416*SUM(BonusPayout[Month 11]))</f>
        <v>0</v>
      </c>
      <c r="W521" s="652">
        <f>IF($B521="",,IF(LEFT($H521,5)="dummy",SUMIFS(AvgBonus[avg_bonus],AvgBonus[job_title],$H521),SUMIFS(AvgBonus[avg_bonus],AvgBonus[exp_item],$J521,AvgBonus[company_name],$B521,AvgBonus[bu_name],$C521,AvgBonus[dept_name],$D521,AvgBonus[team_consolidation],$K521,AvgBonus[location_name],$G521,AvgBonus[job_title],$H521))*W416*SUM(BonusPayout[Month 12]))</f>
        <v>0</v>
      </c>
      <c r="X521" s="652">
        <f>IF($B521="",,IF(LEFT($H521,5)="dummy",SUMIFS(AvgBonus[avg_bonus],AvgBonus[job_title],$H521),SUMIFS(AvgBonus[avg_bonus],AvgBonus[exp_item],$J521,AvgBonus[company_name],$B521,AvgBonus[bu_name],$C521,AvgBonus[dept_name],$D521,AvgBonus[team_consolidation],$K521,AvgBonus[location_name],$G521,AvgBonus[job_title],$H521))*X416*SUM(BonusPayout[Month 13]))</f>
        <v>0</v>
      </c>
      <c r="Y521" s="652">
        <f>IF($B521="",,IF(LEFT($H521,5)="dummy",SUMIFS(AvgBonus[avg_bonus],AvgBonus[job_title],$H521),SUMIFS(AvgBonus[avg_bonus],AvgBonus[exp_item],$J521,AvgBonus[company_name],$B521,AvgBonus[bu_name],$C521,AvgBonus[dept_name],$D521,AvgBonus[team_consolidation],$K521,AvgBonus[location_name],$G521,AvgBonus[job_title],$H521))*Y416*SUM(BonusPayout[Month 14]))</f>
        <v>0</v>
      </c>
      <c r="Z521" s="652">
        <f>IF($B521="",,IF(LEFT($H521,5)="dummy",SUMIFS(AvgBonus[avg_bonus],AvgBonus[job_title],$H521),SUMIFS(AvgBonus[avg_bonus],AvgBonus[exp_item],$J521,AvgBonus[company_name],$B521,AvgBonus[bu_name],$C521,AvgBonus[dept_name],$D521,AvgBonus[team_consolidation],$K521,AvgBonus[location_name],$G521,AvgBonus[job_title],$H521))*Z416*SUM(BonusPayout[Month 15]))</f>
        <v>0</v>
      </c>
      <c r="AA521" s="652">
        <f>IF($B521="",,IF(LEFT($H521,5)="dummy",SUMIFS(AvgBonus[avg_bonus],AvgBonus[job_title],$H521),SUMIFS(AvgBonus[avg_bonus],AvgBonus[exp_item],$J521,AvgBonus[company_name],$B521,AvgBonus[bu_name],$C521,AvgBonus[dept_name],$D521,AvgBonus[team_consolidation],$K521,AvgBonus[location_name],$G521,AvgBonus[job_title],$H521))*AA416*SUM(BonusPayout[Month 16]))</f>
        <v>0</v>
      </c>
      <c r="AB521" s="652">
        <f>IF($B521="",,IF(LEFT($H521,5)="dummy",SUMIFS(AvgBonus[avg_bonus],AvgBonus[job_title],$H521),SUMIFS(AvgBonus[avg_bonus],AvgBonus[exp_item],$J521,AvgBonus[company_name],$B521,AvgBonus[bu_name],$C521,AvgBonus[dept_name],$D521,AvgBonus[team_consolidation],$K521,AvgBonus[location_name],$G521,AvgBonus[job_title],$H521))*AB416*SUM(BonusPayout[Month 17]))</f>
        <v>0</v>
      </c>
      <c r="AC521" s="652">
        <f>IF($B521="",,IF(LEFT($H521,5)="dummy",SUMIFS(AvgBonus[avg_bonus],AvgBonus[job_title],$H521),SUMIFS(AvgBonus[avg_bonus],AvgBonus[exp_item],$J521,AvgBonus[company_name],$B521,AvgBonus[bu_name],$C521,AvgBonus[dept_name],$D521,AvgBonus[team_consolidation],$K521,AvgBonus[location_name],$G521,AvgBonus[job_title],$H521))*AC416*SUM(BonusPayout[Month 18]))</f>
        <v>0</v>
      </c>
      <c r="AD521" s="652">
        <f>IF($B521="",,IF(LEFT($H521,5)="dummy",SUMIFS(AvgBonus[avg_bonus],AvgBonus[job_title],$H521),SUMIFS(AvgBonus[avg_bonus],AvgBonus[exp_item],$J521,AvgBonus[company_name],$B521,AvgBonus[bu_name],$C521,AvgBonus[dept_name],$D521,AvgBonus[team_consolidation],$K521,AvgBonus[location_name],$G521,AvgBonus[job_title],$H521))*AD416*SUM(BonusPayout[Month 19]))</f>
        <v>0</v>
      </c>
      <c r="AE521" s="652">
        <f>IF($B521="",,IF(LEFT($H521,5)="dummy",SUMIFS(AvgBonus[avg_bonus],AvgBonus[job_title],$H521),SUMIFS(AvgBonus[avg_bonus],AvgBonus[exp_item],$J521,AvgBonus[company_name],$B521,AvgBonus[bu_name],$C521,AvgBonus[dept_name],$D521,AvgBonus[team_consolidation],$K521,AvgBonus[location_name],$G521,AvgBonus[job_title],$H521))*AE416*SUM(BonusPayout[Month 20]))</f>
        <v>0</v>
      </c>
      <c r="AF521" s="652">
        <f>IF($B521="",,IF(LEFT($H521,5)="dummy",SUMIFS(AvgBonus[avg_bonus],AvgBonus[job_title],$H521),SUMIFS(AvgBonus[avg_bonus],AvgBonus[exp_item],$J521,AvgBonus[company_name],$B521,AvgBonus[bu_name],$C521,AvgBonus[dept_name],$D521,AvgBonus[team_consolidation],$K521,AvgBonus[location_name],$G521,AvgBonus[job_title],$H521))*AF416*SUM(BonusPayout[Month 21]))</f>
        <v>0</v>
      </c>
      <c r="AG521" s="652">
        <f>IF($B521="",,IF(LEFT($H521,5)="dummy",SUMIFS(AvgBonus[avg_bonus],AvgBonus[job_title],$H521),SUMIFS(AvgBonus[avg_bonus],AvgBonus[exp_item],$J521,AvgBonus[company_name],$B521,AvgBonus[bu_name],$C521,AvgBonus[dept_name],$D521,AvgBonus[team_consolidation],$K521,AvgBonus[location_name],$G521,AvgBonus[job_title],$H521))*AG416*SUM(BonusPayout[Month 22]))</f>
        <v>0</v>
      </c>
      <c r="AH521" s="652">
        <f>IF($B521="",,IF(LEFT($H521,5)="dummy",SUMIFS(AvgBonus[avg_bonus],AvgBonus[job_title],$H521),SUMIFS(AvgBonus[avg_bonus],AvgBonus[exp_item],$J521,AvgBonus[company_name],$B521,AvgBonus[bu_name],$C521,AvgBonus[dept_name],$D521,AvgBonus[team_consolidation],$K521,AvgBonus[location_name],$G521,AvgBonus[job_title],$H521))*AH416*SUM(BonusPayout[Month 23]))</f>
        <v>0</v>
      </c>
      <c r="AI521" s="652">
        <f>IF($B521="",,IF(LEFT($H521,5)="dummy",SUMIFS(AvgBonus[avg_bonus],AvgBonus[job_title],$H521),SUMIFS(AvgBonus[avg_bonus],AvgBonus[exp_item],$J521,AvgBonus[company_name],$B521,AvgBonus[bu_name],$C521,AvgBonus[dept_name],$D521,AvgBonus[team_consolidation],$K521,AvgBonus[location_name],$G521,AvgBonus[job_title],$H521))*AI416*SUM(BonusPayout[Month 24]))</f>
        <v>0</v>
      </c>
      <c r="AJ521" s="652">
        <f>IF($B521="",,IF(LEFT($H521,5)="dummy",SUMIFS(AvgBonus[avg_bonus],AvgBonus[job_title],$H521),SUMIFS(AvgBonus[avg_bonus],AvgBonus[exp_item],$J521,AvgBonus[company_name],$B521,AvgBonus[bu_name],$C521,AvgBonus[dept_name],$D521,AvgBonus[team_consolidation],$K521,AvgBonus[location_name],$G521,AvgBonus[job_title],$H521))*AJ416*SUM(BonusPayout[Month 25]))</f>
        <v>0</v>
      </c>
      <c r="AK521" s="652">
        <f>IF($B521="",,IF(LEFT($H521,5)="dummy",SUMIFS(AvgBonus[avg_bonus],AvgBonus[job_title],$H521),SUMIFS(AvgBonus[avg_bonus],AvgBonus[exp_item],$J521,AvgBonus[company_name],$B521,AvgBonus[bu_name],$C521,AvgBonus[dept_name],$D521,AvgBonus[team_consolidation],$K521,AvgBonus[location_name],$G521,AvgBonus[job_title],$H521))*AK416*SUM(BonusPayout[Month 26]))</f>
        <v>0</v>
      </c>
      <c r="AL521" s="652">
        <f>IF($B521="",,IF(LEFT($H521,5)="dummy",SUMIFS(AvgBonus[avg_bonus],AvgBonus[job_title],$H521),SUMIFS(AvgBonus[avg_bonus],AvgBonus[exp_item],$J521,AvgBonus[company_name],$B521,AvgBonus[bu_name],$C521,AvgBonus[dept_name],$D521,AvgBonus[team_consolidation],$K521,AvgBonus[location_name],$G521,AvgBonus[job_title],$H521))*AL416*SUM(BonusPayout[Month 27]))</f>
        <v>0</v>
      </c>
      <c r="AM521" s="652">
        <f>IF($B521="",,IF(LEFT($H521,5)="dummy",SUMIFS(AvgBonus[avg_bonus],AvgBonus[job_title],$H521),SUMIFS(AvgBonus[avg_bonus],AvgBonus[exp_item],$J521,AvgBonus[company_name],$B521,AvgBonus[bu_name],$C521,AvgBonus[dept_name],$D521,AvgBonus[team_consolidation],$K521,AvgBonus[location_name],$G521,AvgBonus[job_title],$H521))*AM416*SUM(BonusPayout[Month 28]))</f>
        <v>0</v>
      </c>
      <c r="AN521" s="652">
        <f>IF($B521="",,IF(LEFT($H521,5)="dummy",SUMIFS(AvgBonus[avg_bonus],AvgBonus[job_title],$H521),SUMIFS(AvgBonus[avg_bonus],AvgBonus[exp_item],$J521,AvgBonus[company_name],$B521,AvgBonus[bu_name],$C521,AvgBonus[dept_name],$D521,AvgBonus[team_consolidation],$K521,AvgBonus[location_name],$G521,AvgBonus[job_title],$H521))*AN416*SUM(BonusPayout[Month 29]))</f>
        <v>0</v>
      </c>
      <c r="AO521" s="652">
        <f>IF($B521="",,IF(LEFT($H521,5)="dummy",SUMIFS(AvgBonus[avg_bonus],AvgBonus[job_title],$H521),SUMIFS(AvgBonus[avg_bonus],AvgBonus[exp_item],$J521,AvgBonus[company_name],$B521,AvgBonus[bu_name],$C521,AvgBonus[dept_name],$D521,AvgBonus[team_consolidation],$K521,AvgBonus[location_name],$G521,AvgBonus[job_title],$H521))*AO416*SUM(BonusPayout[Month 30]))</f>
        <v>0</v>
      </c>
      <c r="AP521" s="652">
        <f>IF($B521="",,IF(LEFT($H521,5)="dummy",SUMIFS(AvgBonus[avg_bonus],AvgBonus[job_title],$H521),SUMIFS(AvgBonus[avg_bonus],AvgBonus[exp_item],$J521,AvgBonus[company_name],$B521,AvgBonus[bu_name],$C521,AvgBonus[dept_name],$D521,AvgBonus[team_consolidation],$K521,AvgBonus[location_name],$G521,AvgBonus[job_title],$H521))*AP416*SUM(BonusPayout[Month 31]))</f>
        <v>0</v>
      </c>
      <c r="AQ521" s="652">
        <f>IF($B521="",,IF(LEFT($H521,5)="dummy",SUMIFS(AvgBonus[avg_bonus],AvgBonus[job_title],$H521),SUMIFS(AvgBonus[avg_bonus],AvgBonus[exp_item],$J521,AvgBonus[company_name],$B521,AvgBonus[bu_name],$C521,AvgBonus[dept_name],$D521,AvgBonus[team_consolidation],$K521,AvgBonus[location_name],$G521,AvgBonus[job_title],$H521))*AQ416*SUM(BonusPayout[Month 32]))</f>
        <v>0</v>
      </c>
      <c r="AR521" s="652">
        <f>IF($B521="",,IF(LEFT($H521,5)="dummy",SUMIFS(AvgBonus[avg_bonus],AvgBonus[job_title],$H521),SUMIFS(AvgBonus[avg_bonus],AvgBonus[exp_item],$J521,AvgBonus[company_name],$B521,AvgBonus[bu_name],$C521,AvgBonus[dept_name],$D521,AvgBonus[team_consolidation],$K521,AvgBonus[location_name],$G521,AvgBonus[job_title],$H521))*AR416*SUM(BonusPayout[Month 33]))</f>
        <v>0</v>
      </c>
      <c r="AS521" s="652">
        <f>IF($B521="",,IF(LEFT($H521,5)="dummy",SUMIFS(AvgBonus[avg_bonus],AvgBonus[job_title],$H521),SUMIFS(AvgBonus[avg_bonus],AvgBonus[exp_item],$J521,AvgBonus[company_name],$B521,AvgBonus[bu_name],$C521,AvgBonus[dept_name],$D521,AvgBonus[team_consolidation],$K521,AvgBonus[location_name],$G521,AvgBonus[job_title],$H521))*AS416*SUM(BonusPayout[Month 34]))</f>
        <v>0</v>
      </c>
      <c r="AT521" s="652">
        <f>IF($B521="",,IF(LEFT($H521,5)="dummy",SUMIFS(AvgBonus[avg_bonus],AvgBonus[job_title],$H521),SUMIFS(AvgBonus[avg_bonus],AvgBonus[exp_item],$J521,AvgBonus[company_name],$B521,AvgBonus[bu_name],$C521,AvgBonus[dept_name],$D521,AvgBonus[team_consolidation],$K521,AvgBonus[location_name],$G521,AvgBonus[job_title],$H521))*AT416*SUM(BonusPayout[Month 35]))</f>
        <v>0</v>
      </c>
      <c r="AU521" s="652">
        <f>IF($B521="",,IF(LEFT($H521,5)="dummy",SUMIFS(AvgBonus[avg_bonus],AvgBonus[job_title],$H521),SUMIFS(AvgBonus[avg_bonus],AvgBonus[exp_item],$J521,AvgBonus[company_name],$B521,AvgBonus[bu_name],$C521,AvgBonus[dept_name],$D521,AvgBonus[team_consolidation],$K521,AvgBonus[location_name],$G521,AvgBonus[job_title],$H521))*AU416*SUM(BonusPayout[Month 36]))</f>
        <v>0</v>
      </c>
    </row>
    <row r="522" spans="2:47" x14ac:dyDescent="0.35">
      <c r="B522" t="str">
        <f t="shared" si="292"/>
        <v/>
      </c>
      <c r="C522" t="str">
        <f t="shared" ref="C522:G522" si="314">IF(C417="","",C417)</f>
        <v/>
      </c>
      <c r="D522" t="str">
        <f t="shared" si="314"/>
        <v/>
      </c>
      <c r="E522" t="str">
        <f t="shared" si="314"/>
        <v/>
      </c>
      <c r="F522" t="str">
        <f t="shared" si="314"/>
        <v/>
      </c>
      <c r="G522" t="str">
        <f t="shared" si="314"/>
        <v/>
      </c>
      <c r="H522" t="str">
        <f t="shared" si="291"/>
        <v/>
      </c>
      <c r="J522" t="str">
        <f>IF($H522="","",IF(VLOOKUP($B$500,ExpItems[],2,0),$B$500&amp;" - "&amp;INDEX(DivisionMapping[category_code],MATCH($D522&amp;$C522,DivisionMapping[dept_bu],0)),$B$500))</f>
        <v/>
      </c>
      <c r="K522" t="str">
        <f t="shared" si="294"/>
        <v/>
      </c>
      <c r="L522" s="652">
        <f>IF($B522="",,IF(LEFT($H522,5)="dummy",SUMIFS(AvgBonus[avg_bonus],AvgBonus[job_title],$H522),SUMIFS(AvgBonus[avg_bonus],AvgBonus[exp_item],$J522,AvgBonus[company_name],$B522,AvgBonus[bu_name],$C522,AvgBonus[dept_name],$D522,AvgBonus[team_consolidation],$K522,AvgBonus[location_name],$G522,AvgBonus[job_title],$H522))*L417*SUM(BonusPayout[Month 1]))</f>
        <v>0</v>
      </c>
      <c r="M522" s="652">
        <f>IF($B522="",,IF(LEFT($H522,5)="dummy",SUMIFS(AvgBonus[avg_bonus],AvgBonus[job_title],$H522),SUMIFS(AvgBonus[avg_bonus],AvgBonus[exp_item],$J522,AvgBonus[company_name],$B522,AvgBonus[bu_name],$C522,AvgBonus[dept_name],$D522,AvgBonus[team_consolidation],$K522,AvgBonus[location_name],$G522,AvgBonus[job_title],$H522))*M417*SUM(BonusPayout[Month 2]))</f>
        <v>0</v>
      </c>
      <c r="N522" s="652">
        <f>IF($B522="",,IF(LEFT($H522,5)="dummy",SUMIFS(AvgBonus[avg_bonus],AvgBonus[job_title],$H522),SUMIFS(AvgBonus[avg_bonus],AvgBonus[exp_item],$J522,AvgBonus[company_name],$B522,AvgBonus[bu_name],$C522,AvgBonus[dept_name],$D522,AvgBonus[team_consolidation],$K522,AvgBonus[location_name],$G522,AvgBonus[job_title],$H522))*N417*SUM(BonusPayout[Month 3]))</f>
        <v>0</v>
      </c>
      <c r="O522" s="652">
        <f>IF($B522="",,IF(LEFT($H522,5)="dummy",SUMIFS(AvgBonus[avg_bonus],AvgBonus[job_title],$H522),SUMIFS(AvgBonus[avg_bonus],AvgBonus[exp_item],$J522,AvgBonus[company_name],$B522,AvgBonus[bu_name],$C522,AvgBonus[dept_name],$D522,AvgBonus[team_consolidation],$K522,AvgBonus[location_name],$G522,AvgBonus[job_title],$H522))*O417*SUM(BonusPayout[Month 4]))</f>
        <v>0</v>
      </c>
      <c r="P522" s="652">
        <f>IF($B522="",,IF(LEFT($H522,5)="dummy",SUMIFS(AvgBonus[avg_bonus],AvgBonus[job_title],$H522),SUMIFS(AvgBonus[avg_bonus],AvgBonus[exp_item],$J522,AvgBonus[company_name],$B522,AvgBonus[bu_name],$C522,AvgBonus[dept_name],$D522,AvgBonus[team_consolidation],$K522,AvgBonus[location_name],$G522,AvgBonus[job_title],$H522))*P417*SUM(BonusPayout[Month 5]))</f>
        <v>0</v>
      </c>
      <c r="Q522" s="652">
        <f>IF($B522="",,IF(LEFT($H522,5)="dummy",SUMIFS(AvgBonus[avg_bonus],AvgBonus[job_title],$H522),SUMIFS(AvgBonus[avg_bonus],AvgBonus[exp_item],$J522,AvgBonus[company_name],$B522,AvgBonus[bu_name],$C522,AvgBonus[dept_name],$D522,AvgBonus[team_consolidation],$K522,AvgBonus[location_name],$G522,AvgBonus[job_title],$H522))*Q417*SUM(BonusPayout[Month 6]))</f>
        <v>0</v>
      </c>
      <c r="R522" s="652">
        <f>IF($B522="",,IF(LEFT($H522,5)="dummy",SUMIFS(AvgBonus[avg_bonus],AvgBonus[job_title],$H522),SUMIFS(AvgBonus[avg_bonus],AvgBonus[exp_item],$J522,AvgBonus[company_name],$B522,AvgBonus[bu_name],$C522,AvgBonus[dept_name],$D522,AvgBonus[team_consolidation],$K522,AvgBonus[location_name],$G522,AvgBonus[job_title],$H522))*R417*SUM(BonusPayout[Month 7]))</f>
        <v>0</v>
      </c>
      <c r="S522" s="652">
        <f>IF($B522="",,IF(LEFT($H522,5)="dummy",SUMIFS(AvgBonus[avg_bonus],AvgBonus[job_title],$H522),SUMIFS(AvgBonus[avg_bonus],AvgBonus[exp_item],$J522,AvgBonus[company_name],$B522,AvgBonus[bu_name],$C522,AvgBonus[dept_name],$D522,AvgBonus[team_consolidation],$K522,AvgBonus[location_name],$G522,AvgBonus[job_title],$H522))*S417*SUM(BonusPayout[Month 8]))</f>
        <v>0</v>
      </c>
      <c r="T522" s="652">
        <f>IF($B522="",,IF(LEFT($H522,5)="dummy",SUMIFS(AvgBonus[avg_bonus],AvgBonus[job_title],$H522),SUMIFS(AvgBonus[avg_bonus],AvgBonus[exp_item],$J522,AvgBonus[company_name],$B522,AvgBonus[bu_name],$C522,AvgBonus[dept_name],$D522,AvgBonus[team_consolidation],$K522,AvgBonus[location_name],$G522,AvgBonus[job_title],$H522))*T417*SUM(BonusPayout[Month 9]))</f>
        <v>0</v>
      </c>
      <c r="U522" s="652">
        <f>IF($B522="",,IF(LEFT($H522,5)="dummy",SUMIFS(AvgBonus[avg_bonus],AvgBonus[job_title],$H522),SUMIFS(AvgBonus[avg_bonus],AvgBonus[exp_item],$J522,AvgBonus[company_name],$B522,AvgBonus[bu_name],$C522,AvgBonus[dept_name],$D522,AvgBonus[team_consolidation],$K522,AvgBonus[location_name],$G522,AvgBonus[job_title],$H522))*U417*SUM(BonusPayout[Month 10]))</f>
        <v>0</v>
      </c>
      <c r="V522" s="652">
        <f>IF($B522="",,IF(LEFT($H522,5)="dummy",SUMIFS(AvgBonus[avg_bonus],AvgBonus[job_title],$H522),SUMIFS(AvgBonus[avg_bonus],AvgBonus[exp_item],$J522,AvgBonus[company_name],$B522,AvgBonus[bu_name],$C522,AvgBonus[dept_name],$D522,AvgBonus[team_consolidation],$K522,AvgBonus[location_name],$G522,AvgBonus[job_title],$H522))*V417*SUM(BonusPayout[Month 11]))</f>
        <v>0</v>
      </c>
      <c r="W522" s="652">
        <f>IF($B522="",,IF(LEFT($H522,5)="dummy",SUMIFS(AvgBonus[avg_bonus],AvgBonus[job_title],$H522),SUMIFS(AvgBonus[avg_bonus],AvgBonus[exp_item],$J522,AvgBonus[company_name],$B522,AvgBonus[bu_name],$C522,AvgBonus[dept_name],$D522,AvgBonus[team_consolidation],$K522,AvgBonus[location_name],$G522,AvgBonus[job_title],$H522))*W417*SUM(BonusPayout[Month 12]))</f>
        <v>0</v>
      </c>
      <c r="X522" s="652">
        <f>IF($B522="",,IF(LEFT($H522,5)="dummy",SUMIFS(AvgBonus[avg_bonus],AvgBonus[job_title],$H522),SUMIFS(AvgBonus[avg_bonus],AvgBonus[exp_item],$J522,AvgBonus[company_name],$B522,AvgBonus[bu_name],$C522,AvgBonus[dept_name],$D522,AvgBonus[team_consolidation],$K522,AvgBonus[location_name],$G522,AvgBonus[job_title],$H522))*X417*SUM(BonusPayout[Month 13]))</f>
        <v>0</v>
      </c>
      <c r="Y522" s="652">
        <f>IF($B522="",,IF(LEFT($H522,5)="dummy",SUMIFS(AvgBonus[avg_bonus],AvgBonus[job_title],$H522),SUMIFS(AvgBonus[avg_bonus],AvgBonus[exp_item],$J522,AvgBonus[company_name],$B522,AvgBonus[bu_name],$C522,AvgBonus[dept_name],$D522,AvgBonus[team_consolidation],$K522,AvgBonus[location_name],$G522,AvgBonus[job_title],$H522))*Y417*SUM(BonusPayout[Month 14]))</f>
        <v>0</v>
      </c>
      <c r="Z522" s="652">
        <f>IF($B522="",,IF(LEFT($H522,5)="dummy",SUMIFS(AvgBonus[avg_bonus],AvgBonus[job_title],$H522),SUMIFS(AvgBonus[avg_bonus],AvgBonus[exp_item],$J522,AvgBonus[company_name],$B522,AvgBonus[bu_name],$C522,AvgBonus[dept_name],$D522,AvgBonus[team_consolidation],$K522,AvgBonus[location_name],$G522,AvgBonus[job_title],$H522))*Z417*SUM(BonusPayout[Month 15]))</f>
        <v>0</v>
      </c>
      <c r="AA522" s="652">
        <f>IF($B522="",,IF(LEFT($H522,5)="dummy",SUMIFS(AvgBonus[avg_bonus],AvgBonus[job_title],$H522),SUMIFS(AvgBonus[avg_bonus],AvgBonus[exp_item],$J522,AvgBonus[company_name],$B522,AvgBonus[bu_name],$C522,AvgBonus[dept_name],$D522,AvgBonus[team_consolidation],$K522,AvgBonus[location_name],$G522,AvgBonus[job_title],$H522))*AA417*SUM(BonusPayout[Month 16]))</f>
        <v>0</v>
      </c>
      <c r="AB522" s="652">
        <f>IF($B522="",,IF(LEFT($H522,5)="dummy",SUMIFS(AvgBonus[avg_bonus],AvgBonus[job_title],$H522),SUMIFS(AvgBonus[avg_bonus],AvgBonus[exp_item],$J522,AvgBonus[company_name],$B522,AvgBonus[bu_name],$C522,AvgBonus[dept_name],$D522,AvgBonus[team_consolidation],$K522,AvgBonus[location_name],$G522,AvgBonus[job_title],$H522))*AB417*SUM(BonusPayout[Month 17]))</f>
        <v>0</v>
      </c>
      <c r="AC522" s="652">
        <f>IF($B522="",,IF(LEFT($H522,5)="dummy",SUMIFS(AvgBonus[avg_bonus],AvgBonus[job_title],$H522),SUMIFS(AvgBonus[avg_bonus],AvgBonus[exp_item],$J522,AvgBonus[company_name],$B522,AvgBonus[bu_name],$C522,AvgBonus[dept_name],$D522,AvgBonus[team_consolidation],$K522,AvgBonus[location_name],$G522,AvgBonus[job_title],$H522))*AC417*SUM(BonusPayout[Month 18]))</f>
        <v>0</v>
      </c>
      <c r="AD522" s="652">
        <f>IF($B522="",,IF(LEFT($H522,5)="dummy",SUMIFS(AvgBonus[avg_bonus],AvgBonus[job_title],$H522),SUMIFS(AvgBonus[avg_bonus],AvgBonus[exp_item],$J522,AvgBonus[company_name],$B522,AvgBonus[bu_name],$C522,AvgBonus[dept_name],$D522,AvgBonus[team_consolidation],$K522,AvgBonus[location_name],$G522,AvgBonus[job_title],$H522))*AD417*SUM(BonusPayout[Month 19]))</f>
        <v>0</v>
      </c>
      <c r="AE522" s="652">
        <f>IF($B522="",,IF(LEFT($H522,5)="dummy",SUMIFS(AvgBonus[avg_bonus],AvgBonus[job_title],$H522),SUMIFS(AvgBonus[avg_bonus],AvgBonus[exp_item],$J522,AvgBonus[company_name],$B522,AvgBonus[bu_name],$C522,AvgBonus[dept_name],$D522,AvgBonus[team_consolidation],$K522,AvgBonus[location_name],$G522,AvgBonus[job_title],$H522))*AE417*SUM(BonusPayout[Month 20]))</f>
        <v>0</v>
      </c>
      <c r="AF522" s="652">
        <f>IF($B522="",,IF(LEFT($H522,5)="dummy",SUMIFS(AvgBonus[avg_bonus],AvgBonus[job_title],$H522),SUMIFS(AvgBonus[avg_bonus],AvgBonus[exp_item],$J522,AvgBonus[company_name],$B522,AvgBonus[bu_name],$C522,AvgBonus[dept_name],$D522,AvgBonus[team_consolidation],$K522,AvgBonus[location_name],$G522,AvgBonus[job_title],$H522))*AF417*SUM(BonusPayout[Month 21]))</f>
        <v>0</v>
      </c>
      <c r="AG522" s="652">
        <f>IF($B522="",,IF(LEFT($H522,5)="dummy",SUMIFS(AvgBonus[avg_bonus],AvgBonus[job_title],$H522),SUMIFS(AvgBonus[avg_bonus],AvgBonus[exp_item],$J522,AvgBonus[company_name],$B522,AvgBonus[bu_name],$C522,AvgBonus[dept_name],$D522,AvgBonus[team_consolidation],$K522,AvgBonus[location_name],$G522,AvgBonus[job_title],$H522))*AG417*SUM(BonusPayout[Month 22]))</f>
        <v>0</v>
      </c>
      <c r="AH522" s="652">
        <f>IF($B522="",,IF(LEFT($H522,5)="dummy",SUMIFS(AvgBonus[avg_bonus],AvgBonus[job_title],$H522),SUMIFS(AvgBonus[avg_bonus],AvgBonus[exp_item],$J522,AvgBonus[company_name],$B522,AvgBonus[bu_name],$C522,AvgBonus[dept_name],$D522,AvgBonus[team_consolidation],$K522,AvgBonus[location_name],$G522,AvgBonus[job_title],$H522))*AH417*SUM(BonusPayout[Month 23]))</f>
        <v>0</v>
      </c>
      <c r="AI522" s="652">
        <f>IF($B522="",,IF(LEFT($H522,5)="dummy",SUMIFS(AvgBonus[avg_bonus],AvgBonus[job_title],$H522),SUMIFS(AvgBonus[avg_bonus],AvgBonus[exp_item],$J522,AvgBonus[company_name],$B522,AvgBonus[bu_name],$C522,AvgBonus[dept_name],$D522,AvgBonus[team_consolidation],$K522,AvgBonus[location_name],$G522,AvgBonus[job_title],$H522))*AI417*SUM(BonusPayout[Month 24]))</f>
        <v>0</v>
      </c>
      <c r="AJ522" s="652">
        <f>IF($B522="",,IF(LEFT($H522,5)="dummy",SUMIFS(AvgBonus[avg_bonus],AvgBonus[job_title],$H522),SUMIFS(AvgBonus[avg_bonus],AvgBonus[exp_item],$J522,AvgBonus[company_name],$B522,AvgBonus[bu_name],$C522,AvgBonus[dept_name],$D522,AvgBonus[team_consolidation],$K522,AvgBonus[location_name],$G522,AvgBonus[job_title],$H522))*AJ417*SUM(BonusPayout[Month 25]))</f>
        <v>0</v>
      </c>
      <c r="AK522" s="652">
        <f>IF($B522="",,IF(LEFT($H522,5)="dummy",SUMIFS(AvgBonus[avg_bonus],AvgBonus[job_title],$H522),SUMIFS(AvgBonus[avg_bonus],AvgBonus[exp_item],$J522,AvgBonus[company_name],$B522,AvgBonus[bu_name],$C522,AvgBonus[dept_name],$D522,AvgBonus[team_consolidation],$K522,AvgBonus[location_name],$G522,AvgBonus[job_title],$H522))*AK417*SUM(BonusPayout[Month 26]))</f>
        <v>0</v>
      </c>
      <c r="AL522" s="652">
        <f>IF($B522="",,IF(LEFT($H522,5)="dummy",SUMIFS(AvgBonus[avg_bonus],AvgBonus[job_title],$H522),SUMIFS(AvgBonus[avg_bonus],AvgBonus[exp_item],$J522,AvgBonus[company_name],$B522,AvgBonus[bu_name],$C522,AvgBonus[dept_name],$D522,AvgBonus[team_consolidation],$K522,AvgBonus[location_name],$G522,AvgBonus[job_title],$H522))*AL417*SUM(BonusPayout[Month 27]))</f>
        <v>0</v>
      </c>
      <c r="AM522" s="652">
        <f>IF($B522="",,IF(LEFT($H522,5)="dummy",SUMIFS(AvgBonus[avg_bonus],AvgBonus[job_title],$H522),SUMIFS(AvgBonus[avg_bonus],AvgBonus[exp_item],$J522,AvgBonus[company_name],$B522,AvgBonus[bu_name],$C522,AvgBonus[dept_name],$D522,AvgBonus[team_consolidation],$K522,AvgBonus[location_name],$G522,AvgBonus[job_title],$H522))*AM417*SUM(BonusPayout[Month 28]))</f>
        <v>0</v>
      </c>
      <c r="AN522" s="652">
        <f>IF($B522="",,IF(LEFT($H522,5)="dummy",SUMIFS(AvgBonus[avg_bonus],AvgBonus[job_title],$H522),SUMIFS(AvgBonus[avg_bonus],AvgBonus[exp_item],$J522,AvgBonus[company_name],$B522,AvgBonus[bu_name],$C522,AvgBonus[dept_name],$D522,AvgBonus[team_consolidation],$K522,AvgBonus[location_name],$G522,AvgBonus[job_title],$H522))*AN417*SUM(BonusPayout[Month 29]))</f>
        <v>0</v>
      </c>
      <c r="AO522" s="652">
        <f>IF($B522="",,IF(LEFT($H522,5)="dummy",SUMIFS(AvgBonus[avg_bonus],AvgBonus[job_title],$H522),SUMIFS(AvgBonus[avg_bonus],AvgBonus[exp_item],$J522,AvgBonus[company_name],$B522,AvgBonus[bu_name],$C522,AvgBonus[dept_name],$D522,AvgBonus[team_consolidation],$K522,AvgBonus[location_name],$G522,AvgBonus[job_title],$H522))*AO417*SUM(BonusPayout[Month 30]))</f>
        <v>0</v>
      </c>
      <c r="AP522" s="652">
        <f>IF($B522="",,IF(LEFT($H522,5)="dummy",SUMIFS(AvgBonus[avg_bonus],AvgBonus[job_title],$H522),SUMIFS(AvgBonus[avg_bonus],AvgBonus[exp_item],$J522,AvgBonus[company_name],$B522,AvgBonus[bu_name],$C522,AvgBonus[dept_name],$D522,AvgBonus[team_consolidation],$K522,AvgBonus[location_name],$G522,AvgBonus[job_title],$H522))*AP417*SUM(BonusPayout[Month 31]))</f>
        <v>0</v>
      </c>
      <c r="AQ522" s="652">
        <f>IF($B522="",,IF(LEFT($H522,5)="dummy",SUMIFS(AvgBonus[avg_bonus],AvgBonus[job_title],$H522),SUMIFS(AvgBonus[avg_bonus],AvgBonus[exp_item],$J522,AvgBonus[company_name],$B522,AvgBonus[bu_name],$C522,AvgBonus[dept_name],$D522,AvgBonus[team_consolidation],$K522,AvgBonus[location_name],$G522,AvgBonus[job_title],$H522))*AQ417*SUM(BonusPayout[Month 32]))</f>
        <v>0</v>
      </c>
      <c r="AR522" s="652">
        <f>IF($B522="",,IF(LEFT($H522,5)="dummy",SUMIFS(AvgBonus[avg_bonus],AvgBonus[job_title],$H522),SUMIFS(AvgBonus[avg_bonus],AvgBonus[exp_item],$J522,AvgBonus[company_name],$B522,AvgBonus[bu_name],$C522,AvgBonus[dept_name],$D522,AvgBonus[team_consolidation],$K522,AvgBonus[location_name],$G522,AvgBonus[job_title],$H522))*AR417*SUM(BonusPayout[Month 33]))</f>
        <v>0</v>
      </c>
      <c r="AS522" s="652">
        <f>IF($B522="",,IF(LEFT($H522,5)="dummy",SUMIFS(AvgBonus[avg_bonus],AvgBonus[job_title],$H522),SUMIFS(AvgBonus[avg_bonus],AvgBonus[exp_item],$J522,AvgBonus[company_name],$B522,AvgBonus[bu_name],$C522,AvgBonus[dept_name],$D522,AvgBonus[team_consolidation],$K522,AvgBonus[location_name],$G522,AvgBonus[job_title],$H522))*AS417*SUM(BonusPayout[Month 34]))</f>
        <v>0</v>
      </c>
      <c r="AT522" s="652">
        <f>IF($B522="",,IF(LEFT($H522,5)="dummy",SUMIFS(AvgBonus[avg_bonus],AvgBonus[job_title],$H522),SUMIFS(AvgBonus[avg_bonus],AvgBonus[exp_item],$J522,AvgBonus[company_name],$B522,AvgBonus[bu_name],$C522,AvgBonus[dept_name],$D522,AvgBonus[team_consolidation],$K522,AvgBonus[location_name],$G522,AvgBonus[job_title],$H522))*AT417*SUM(BonusPayout[Month 35]))</f>
        <v>0</v>
      </c>
      <c r="AU522" s="652">
        <f>IF($B522="",,IF(LEFT($H522,5)="dummy",SUMIFS(AvgBonus[avg_bonus],AvgBonus[job_title],$H522),SUMIFS(AvgBonus[avg_bonus],AvgBonus[exp_item],$J522,AvgBonus[company_name],$B522,AvgBonus[bu_name],$C522,AvgBonus[dept_name],$D522,AvgBonus[team_consolidation],$K522,AvgBonus[location_name],$G522,AvgBonus[job_title],$H522))*AU417*SUM(BonusPayout[Month 36]))</f>
        <v>0</v>
      </c>
    </row>
    <row r="523" spans="2:47" x14ac:dyDescent="0.35">
      <c r="B523" t="str">
        <f t="shared" si="292"/>
        <v/>
      </c>
      <c r="C523" t="str">
        <f t="shared" ref="C523:G523" si="315">IF(C418="","",C418)</f>
        <v/>
      </c>
      <c r="D523" t="str">
        <f t="shared" si="315"/>
        <v/>
      </c>
      <c r="E523" t="str">
        <f t="shared" si="315"/>
        <v/>
      </c>
      <c r="F523" t="str">
        <f t="shared" si="315"/>
        <v/>
      </c>
      <c r="G523" t="str">
        <f t="shared" si="315"/>
        <v/>
      </c>
      <c r="H523" t="str">
        <f t="shared" si="291"/>
        <v/>
      </c>
      <c r="J523" t="str">
        <f>IF($H523="","",IF(VLOOKUP($B$500,ExpItems[],2,0),$B$500&amp;" - "&amp;INDEX(DivisionMapping[category_code],MATCH($D523&amp;$C523,DivisionMapping[dept_bu],0)),$B$500))</f>
        <v/>
      </c>
      <c r="K523" t="str">
        <f t="shared" si="294"/>
        <v/>
      </c>
      <c r="L523" s="652">
        <f>IF($B523="",,IF(LEFT($H523,5)="dummy",SUMIFS(AvgBonus[avg_bonus],AvgBonus[job_title],$H523),SUMIFS(AvgBonus[avg_bonus],AvgBonus[exp_item],$J523,AvgBonus[company_name],$B523,AvgBonus[bu_name],$C523,AvgBonus[dept_name],$D523,AvgBonus[team_consolidation],$K523,AvgBonus[location_name],$G523,AvgBonus[job_title],$H523))*L418*SUM(BonusPayout[Month 1]))</f>
        <v>0</v>
      </c>
      <c r="M523" s="652">
        <f>IF($B523="",,IF(LEFT($H523,5)="dummy",SUMIFS(AvgBonus[avg_bonus],AvgBonus[job_title],$H523),SUMIFS(AvgBonus[avg_bonus],AvgBonus[exp_item],$J523,AvgBonus[company_name],$B523,AvgBonus[bu_name],$C523,AvgBonus[dept_name],$D523,AvgBonus[team_consolidation],$K523,AvgBonus[location_name],$G523,AvgBonus[job_title],$H523))*M418*SUM(BonusPayout[Month 2]))</f>
        <v>0</v>
      </c>
      <c r="N523" s="652">
        <f>IF($B523="",,IF(LEFT($H523,5)="dummy",SUMIFS(AvgBonus[avg_bonus],AvgBonus[job_title],$H523),SUMIFS(AvgBonus[avg_bonus],AvgBonus[exp_item],$J523,AvgBonus[company_name],$B523,AvgBonus[bu_name],$C523,AvgBonus[dept_name],$D523,AvgBonus[team_consolidation],$K523,AvgBonus[location_name],$G523,AvgBonus[job_title],$H523))*N418*SUM(BonusPayout[Month 3]))</f>
        <v>0</v>
      </c>
      <c r="O523" s="652">
        <f>IF($B523="",,IF(LEFT($H523,5)="dummy",SUMIFS(AvgBonus[avg_bonus],AvgBonus[job_title],$H523),SUMIFS(AvgBonus[avg_bonus],AvgBonus[exp_item],$J523,AvgBonus[company_name],$B523,AvgBonus[bu_name],$C523,AvgBonus[dept_name],$D523,AvgBonus[team_consolidation],$K523,AvgBonus[location_name],$G523,AvgBonus[job_title],$H523))*O418*SUM(BonusPayout[Month 4]))</f>
        <v>0</v>
      </c>
      <c r="P523" s="652">
        <f>IF($B523="",,IF(LEFT($H523,5)="dummy",SUMIFS(AvgBonus[avg_bonus],AvgBonus[job_title],$H523),SUMIFS(AvgBonus[avg_bonus],AvgBonus[exp_item],$J523,AvgBonus[company_name],$B523,AvgBonus[bu_name],$C523,AvgBonus[dept_name],$D523,AvgBonus[team_consolidation],$K523,AvgBonus[location_name],$G523,AvgBonus[job_title],$H523))*P418*SUM(BonusPayout[Month 5]))</f>
        <v>0</v>
      </c>
      <c r="Q523" s="652">
        <f>IF($B523="",,IF(LEFT($H523,5)="dummy",SUMIFS(AvgBonus[avg_bonus],AvgBonus[job_title],$H523),SUMIFS(AvgBonus[avg_bonus],AvgBonus[exp_item],$J523,AvgBonus[company_name],$B523,AvgBonus[bu_name],$C523,AvgBonus[dept_name],$D523,AvgBonus[team_consolidation],$K523,AvgBonus[location_name],$G523,AvgBonus[job_title],$H523))*Q418*SUM(BonusPayout[Month 6]))</f>
        <v>0</v>
      </c>
      <c r="R523" s="652">
        <f>IF($B523="",,IF(LEFT($H523,5)="dummy",SUMIFS(AvgBonus[avg_bonus],AvgBonus[job_title],$H523),SUMIFS(AvgBonus[avg_bonus],AvgBonus[exp_item],$J523,AvgBonus[company_name],$B523,AvgBonus[bu_name],$C523,AvgBonus[dept_name],$D523,AvgBonus[team_consolidation],$K523,AvgBonus[location_name],$G523,AvgBonus[job_title],$H523))*R418*SUM(BonusPayout[Month 7]))</f>
        <v>0</v>
      </c>
      <c r="S523" s="652">
        <f>IF($B523="",,IF(LEFT($H523,5)="dummy",SUMIFS(AvgBonus[avg_bonus],AvgBonus[job_title],$H523),SUMIFS(AvgBonus[avg_bonus],AvgBonus[exp_item],$J523,AvgBonus[company_name],$B523,AvgBonus[bu_name],$C523,AvgBonus[dept_name],$D523,AvgBonus[team_consolidation],$K523,AvgBonus[location_name],$G523,AvgBonus[job_title],$H523))*S418*SUM(BonusPayout[Month 8]))</f>
        <v>0</v>
      </c>
      <c r="T523" s="652">
        <f>IF($B523="",,IF(LEFT($H523,5)="dummy",SUMIFS(AvgBonus[avg_bonus],AvgBonus[job_title],$H523),SUMIFS(AvgBonus[avg_bonus],AvgBonus[exp_item],$J523,AvgBonus[company_name],$B523,AvgBonus[bu_name],$C523,AvgBonus[dept_name],$D523,AvgBonus[team_consolidation],$K523,AvgBonus[location_name],$G523,AvgBonus[job_title],$H523))*T418*SUM(BonusPayout[Month 9]))</f>
        <v>0</v>
      </c>
      <c r="U523" s="652">
        <f>IF($B523="",,IF(LEFT($H523,5)="dummy",SUMIFS(AvgBonus[avg_bonus],AvgBonus[job_title],$H523),SUMIFS(AvgBonus[avg_bonus],AvgBonus[exp_item],$J523,AvgBonus[company_name],$B523,AvgBonus[bu_name],$C523,AvgBonus[dept_name],$D523,AvgBonus[team_consolidation],$K523,AvgBonus[location_name],$G523,AvgBonus[job_title],$H523))*U418*SUM(BonusPayout[Month 10]))</f>
        <v>0</v>
      </c>
      <c r="V523" s="652">
        <f>IF($B523="",,IF(LEFT($H523,5)="dummy",SUMIFS(AvgBonus[avg_bonus],AvgBonus[job_title],$H523),SUMIFS(AvgBonus[avg_bonus],AvgBonus[exp_item],$J523,AvgBonus[company_name],$B523,AvgBonus[bu_name],$C523,AvgBonus[dept_name],$D523,AvgBonus[team_consolidation],$K523,AvgBonus[location_name],$G523,AvgBonus[job_title],$H523))*V418*SUM(BonusPayout[Month 11]))</f>
        <v>0</v>
      </c>
      <c r="W523" s="652">
        <f>IF($B523="",,IF(LEFT($H523,5)="dummy",SUMIFS(AvgBonus[avg_bonus],AvgBonus[job_title],$H523),SUMIFS(AvgBonus[avg_bonus],AvgBonus[exp_item],$J523,AvgBonus[company_name],$B523,AvgBonus[bu_name],$C523,AvgBonus[dept_name],$D523,AvgBonus[team_consolidation],$K523,AvgBonus[location_name],$G523,AvgBonus[job_title],$H523))*W418*SUM(BonusPayout[Month 12]))</f>
        <v>0</v>
      </c>
      <c r="X523" s="652">
        <f>IF($B523="",,IF(LEFT($H523,5)="dummy",SUMIFS(AvgBonus[avg_bonus],AvgBonus[job_title],$H523),SUMIFS(AvgBonus[avg_bonus],AvgBonus[exp_item],$J523,AvgBonus[company_name],$B523,AvgBonus[bu_name],$C523,AvgBonus[dept_name],$D523,AvgBonus[team_consolidation],$K523,AvgBonus[location_name],$G523,AvgBonus[job_title],$H523))*X418*SUM(BonusPayout[Month 13]))</f>
        <v>0</v>
      </c>
      <c r="Y523" s="652">
        <f>IF($B523="",,IF(LEFT($H523,5)="dummy",SUMIFS(AvgBonus[avg_bonus],AvgBonus[job_title],$H523),SUMIFS(AvgBonus[avg_bonus],AvgBonus[exp_item],$J523,AvgBonus[company_name],$B523,AvgBonus[bu_name],$C523,AvgBonus[dept_name],$D523,AvgBonus[team_consolidation],$K523,AvgBonus[location_name],$G523,AvgBonus[job_title],$H523))*Y418*SUM(BonusPayout[Month 14]))</f>
        <v>0</v>
      </c>
      <c r="Z523" s="652">
        <f>IF($B523="",,IF(LEFT($H523,5)="dummy",SUMIFS(AvgBonus[avg_bonus],AvgBonus[job_title],$H523),SUMIFS(AvgBonus[avg_bonus],AvgBonus[exp_item],$J523,AvgBonus[company_name],$B523,AvgBonus[bu_name],$C523,AvgBonus[dept_name],$D523,AvgBonus[team_consolidation],$K523,AvgBonus[location_name],$G523,AvgBonus[job_title],$H523))*Z418*SUM(BonusPayout[Month 15]))</f>
        <v>0</v>
      </c>
      <c r="AA523" s="652">
        <f>IF($B523="",,IF(LEFT($H523,5)="dummy",SUMIFS(AvgBonus[avg_bonus],AvgBonus[job_title],$H523),SUMIFS(AvgBonus[avg_bonus],AvgBonus[exp_item],$J523,AvgBonus[company_name],$B523,AvgBonus[bu_name],$C523,AvgBonus[dept_name],$D523,AvgBonus[team_consolidation],$K523,AvgBonus[location_name],$G523,AvgBonus[job_title],$H523))*AA418*SUM(BonusPayout[Month 16]))</f>
        <v>0</v>
      </c>
      <c r="AB523" s="652">
        <f>IF($B523="",,IF(LEFT($H523,5)="dummy",SUMIFS(AvgBonus[avg_bonus],AvgBonus[job_title],$H523),SUMIFS(AvgBonus[avg_bonus],AvgBonus[exp_item],$J523,AvgBonus[company_name],$B523,AvgBonus[bu_name],$C523,AvgBonus[dept_name],$D523,AvgBonus[team_consolidation],$K523,AvgBonus[location_name],$G523,AvgBonus[job_title],$H523))*AB418*SUM(BonusPayout[Month 17]))</f>
        <v>0</v>
      </c>
      <c r="AC523" s="652">
        <f>IF($B523="",,IF(LEFT($H523,5)="dummy",SUMIFS(AvgBonus[avg_bonus],AvgBonus[job_title],$H523),SUMIFS(AvgBonus[avg_bonus],AvgBonus[exp_item],$J523,AvgBonus[company_name],$B523,AvgBonus[bu_name],$C523,AvgBonus[dept_name],$D523,AvgBonus[team_consolidation],$K523,AvgBonus[location_name],$G523,AvgBonus[job_title],$H523))*AC418*SUM(BonusPayout[Month 18]))</f>
        <v>0</v>
      </c>
      <c r="AD523" s="652">
        <f>IF($B523="",,IF(LEFT($H523,5)="dummy",SUMIFS(AvgBonus[avg_bonus],AvgBonus[job_title],$H523),SUMIFS(AvgBonus[avg_bonus],AvgBonus[exp_item],$J523,AvgBonus[company_name],$B523,AvgBonus[bu_name],$C523,AvgBonus[dept_name],$D523,AvgBonus[team_consolidation],$K523,AvgBonus[location_name],$G523,AvgBonus[job_title],$H523))*AD418*SUM(BonusPayout[Month 19]))</f>
        <v>0</v>
      </c>
      <c r="AE523" s="652">
        <f>IF($B523="",,IF(LEFT($H523,5)="dummy",SUMIFS(AvgBonus[avg_bonus],AvgBonus[job_title],$H523),SUMIFS(AvgBonus[avg_bonus],AvgBonus[exp_item],$J523,AvgBonus[company_name],$B523,AvgBonus[bu_name],$C523,AvgBonus[dept_name],$D523,AvgBonus[team_consolidation],$K523,AvgBonus[location_name],$G523,AvgBonus[job_title],$H523))*AE418*SUM(BonusPayout[Month 20]))</f>
        <v>0</v>
      </c>
      <c r="AF523" s="652">
        <f>IF($B523="",,IF(LEFT($H523,5)="dummy",SUMIFS(AvgBonus[avg_bonus],AvgBonus[job_title],$H523),SUMIFS(AvgBonus[avg_bonus],AvgBonus[exp_item],$J523,AvgBonus[company_name],$B523,AvgBonus[bu_name],$C523,AvgBonus[dept_name],$D523,AvgBonus[team_consolidation],$K523,AvgBonus[location_name],$G523,AvgBonus[job_title],$H523))*AF418*SUM(BonusPayout[Month 21]))</f>
        <v>0</v>
      </c>
      <c r="AG523" s="652">
        <f>IF($B523="",,IF(LEFT($H523,5)="dummy",SUMIFS(AvgBonus[avg_bonus],AvgBonus[job_title],$H523),SUMIFS(AvgBonus[avg_bonus],AvgBonus[exp_item],$J523,AvgBonus[company_name],$B523,AvgBonus[bu_name],$C523,AvgBonus[dept_name],$D523,AvgBonus[team_consolidation],$K523,AvgBonus[location_name],$G523,AvgBonus[job_title],$H523))*AG418*SUM(BonusPayout[Month 22]))</f>
        <v>0</v>
      </c>
      <c r="AH523" s="652">
        <f>IF($B523="",,IF(LEFT($H523,5)="dummy",SUMIFS(AvgBonus[avg_bonus],AvgBonus[job_title],$H523),SUMIFS(AvgBonus[avg_bonus],AvgBonus[exp_item],$J523,AvgBonus[company_name],$B523,AvgBonus[bu_name],$C523,AvgBonus[dept_name],$D523,AvgBonus[team_consolidation],$K523,AvgBonus[location_name],$G523,AvgBonus[job_title],$H523))*AH418*SUM(BonusPayout[Month 23]))</f>
        <v>0</v>
      </c>
      <c r="AI523" s="652">
        <f>IF($B523="",,IF(LEFT($H523,5)="dummy",SUMIFS(AvgBonus[avg_bonus],AvgBonus[job_title],$H523),SUMIFS(AvgBonus[avg_bonus],AvgBonus[exp_item],$J523,AvgBonus[company_name],$B523,AvgBonus[bu_name],$C523,AvgBonus[dept_name],$D523,AvgBonus[team_consolidation],$K523,AvgBonus[location_name],$G523,AvgBonus[job_title],$H523))*AI418*SUM(BonusPayout[Month 24]))</f>
        <v>0</v>
      </c>
      <c r="AJ523" s="652">
        <f>IF($B523="",,IF(LEFT($H523,5)="dummy",SUMIFS(AvgBonus[avg_bonus],AvgBonus[job_title],$H523),SUMIFS(AvgBonus[avg_bonus],AvgBonus[exp_item],$J523,AvgBonus[company_name],$B523,AvgBonus[bu_name],$C523,AvgBonus[dept_name],$D523,AvgBonus[team_consolidation],$K523,AvgBonus[location_name],$G523,AvgBonus[job_title],$H523))*AJ418*SUM(BonusPayout[Month 25]))</f>
        <v>0</v>
      </c>
      <c r="AK523" s="652">
        <f>IF($B523="",,IF(LEFT($H523,5)="dummy",SUMIFS(AvgBonus[avg_bonus],AvgBonus[job_title],$H523),SUMIFS(AvgBonus[avg_bonus],AvgBonus[exp_item],$J523,AvgBonus[company_name],$B523,AvgBonus[bu_name],$C523,AvgBonus[dept_name],$D523,AvgBonus[team_consolidation],$K523,AvgBonus[location_name],$G523,AvgBonus[job_title],$H523))*AK418*SUM(BonusPayout[Month 26]))</f>
        <v>0</v>
      </c>
      <c r="AL523" s="652">
        <f>IF($B523="",,IF(LEFT($H523,5)="dummy",SUMIFS(AvgBonus[avg_bonus],AvgBonus[job_title],$H523),SUMIFS(AvgBonus[avg_bonus],AvgBonus[exp_item],$J523,AvgBonus[company_name],$B523,AvgBonus[bu_name],$C523,AvgBonus[dept_name],$D523,AvgBonus[team_consolidation],$K523,AvgBonus[location_name],$G523,AvgBonus[job_title],$H523))*AL418*SUM(BonusPayout[Month 27]))</f>
        <v>0</v>
      </c>
      <c r="AM523" s="652">
        <f>IF($B523="",,IF(LEFT($H523,5)="dummy",SUMIFS(AvgBonus[avg_bonus],AvgBonus[job_title],$H523),SUMIFS(AvgBonus[avg_bonus],AvgBonus[exp_item],$J523,AvgBonus[company_name],$B523,AvgBonus[bu_name],$C523,AvgBonus[dept_name],$D523,AvgBonus[team_consolidation],$K523,AvgBonus[location_name],$G523,AvgBonus[job_title],$H523))*AM418*SUM(BonusPayout[Month 28]))</f>
        <v>0</v>
      </c>
      <c r="AN523" s="652">
        <f>IF($B523="",,IF(LEFT($H523,5)="dummy",SUMIFS(AvgBonus[avg_bonus],AvgBonus[job_title],$H523),SUMIFS(AvgBonus[avg_bonus],AvgBonus[exp_item],$J523,AvgBonus[company_name],$B523,AvgBonus[bu_name],$C523,AvgBonus[dept_name],$D523,AvgBonus[team_consolidation],$K523,AvgBonus[location_name],$G523,AvgBonus[job_title],$H523))*AN418*SUM(BonusPayout[Month 29]))</f>
        <v>0</v>
      </c>
      <c r="AO523" s="652">
        <f>IF($B523="",,IF(LEFT($H523,5)="dummy",SUMIFS(AvgBonus[avg_bonus],AvgBonus[job_title],$H523),SUMIFS(AvgBonus[avg_bonus],AvgBonus[exp_item],$J523,AvgBonus[company_name],$B523,AvgBonus[bu_name],$C523,AvgBonus[dept_name],$D523,AvgBonus[team_consolidation],$K523,AvgBonus[location_name],$G523,AvgBonus[job_title],$H523))*AO418*SUM(BonusPayout[Month 30]))</f>
        <v>0</v>
      </c>
      <c r="AP523" s="652">
        <f>IF($B523="",,IF(LEFT($H523,5)="dummy",SUMIFS(AvgBonus[avg_bonus],AvgBonus[job_title],$H523),SUMIFS(AvgBonus[avg_bonus],AvgBonus[exp_item],$J523,AvgBonus[company_name],$B523,AvgBonus[bu_name],$C523,AvgBonus[dept_name],$D523,AvgBonus[team_consolidation],$K523,AvgBonus[location_name],$G523,AvgBonus[job_title],$H523))*AP418*SUM(BonusPayout[Month 31]))</f>
        <v>0</v>
      </c>
      <c r="AQ523" s="652">
        <f>IF($B523="",,IF(LEFT($H523,5)="dummy",SUMIFS(AvgBonus[avg_bonus],AvgBonus[job_title],$H523),SUMIFS(AvgBonus[avg_bonus],AvgBonus[exp_item],$J523,AvgBonus[company_name],$B523,AvgBonus[bu_name],$C523,AvgBonus[dept_name],$D523,AvgBonus[team_consolidation],$K523,AvgBonus[location_name],$G523,AvgBonus[job_title],$H523))*AQ418*SUM(BonusPayout[Month 32]))</f>
        <v>0</v>
      </c>
      <c r="AR523" s="652">
        <f>IF($B523="",,IF(LEFT($H523,5)="dummy",SUMIFS(AvgBonus[avg_bonus],AvgBonus[job_title],$H523),SUMIFS(AvgBonus[avg_bonus],AvgBonus[exp_item],$J523,AvgBonus[company_name],$B523,AvgBonus[bu_name],$C523,AvgBonus[dept_name],$D523,AvgBonus[team_consolidation],$K523,AvgBonus[location_name],$G523,AvgBonus[job_title],$H523))*AR418*SUM(BonusPayout[Month 33]))</f>
        <v>0</v>
      </c>
      <c r="AS523" s="652">
        <f>IF($B523="",,IF(LEFT($H523,5)="dummy",SUMIFS(AvgBonus[avg_bonus],AvgBonus[job_title],$H523),SUMIFS(AvgBonus[avg_bonus],AvgBonus[exp_item],$J523,AvgBonus[company_name],$B523,AvgBonus[bu_name],$C523,AvgBonus[dept_name],$D523,AvgBonus[team_consolidation],$K523,AvgBonus[location_name],$G523,AvgBonus[job_title],$H523))*AS418*SUM(BonusPayout[Month 34]))</f>
        <v>0</v>
      </c>
      <c r="AT523" s="652">
        <f>IF($B523="",,IF(LEFT($H523,5)="dummy",SUMIFS(AvgBonus[avg_bonus],AvgBonus[job_title],$H523),SUMIFS(AvgBonus[avg_bonus],AvgBonus[exp_item],$J523,AvgBonus[company_name],$B523,AvgBonus[bu_name],$C523,AvgBonus[dept_name],$D523,AvgBonus[team_consolidation],$K523,AvgBonus[location_name],$G523,AvgBonus[job_title],$H523))*AT418*SUM(BonusPayout[Month 35]))</f>
        <v>0</v>
      </c>
      <c r="AU523" s="652">
        <f>IF($B523="",,IF(LEFT($H523,5)="dummy",SUMIFS(AvgBonus[avg_bonus],AvgBonus[job_title],$H523),SUMIFS(AvgBonus[avg_bonus],AvgBonus[exp_item],$J523,AvgBonus[company_name],$B523,AvgBonus[bu_name],$C523,AvgBonus[dept_name],$D523,AvgBonus[team_consolidation],$K523,AvgBonus[location_name],$G523,AvgBonus[job_title],$H523))*AU418*SUM(BonusPayout[Month 36]))</f>
        <v>0</v>
      </c>
    </row>
    <row r="524" spans="2:47" x14ac:dyDescent="0.35">
      <c r="B524" t="str">
        <f t="shared" si="292"/>
        <v/>
      </c>
      <c r="C524" t="str">
        <f t="shared" ref="C524:G524" si="316">IF(C419="","",C419)</f>
        <v/>
      </c>
      <c r="D524" t="str">
        <f t="shared" si="316"/>
        <v/>
      </c>
      <c r="E524" t="str">
        <f t="shared" si="316"/>
        <v/>
      </c>
      <c r="F524" t="str">
        <f t="shared" si="316"/>
        <v/>
      </c>
      <c r="G524" t="str">
        <f t="shared" si="316"/>
        <v/>
      </c>
      <c r="H524" t="str">
        <f t="shared" si="291"/>
        <v/>
      </c>
      <c r="J524" t="str">
        <f>IF($H524="","",IF(VLOOKUP($B$500,ExpItems[],2,0),$B$500&amp;" - "&amp;INDEX(DivisionMapping[category_code],MATCH($D524&amp;$C524,DivisionMapping[dept_bu],0)),$B$500))</f>
        <v/>
      </c>
      <c r="K524" t="str">
        <f t="shared" si="294"/>
        <v/>
      </c>
      <c r="L524" s="652">
        <f>IF($B524="",,IF(LEFT($H524,5)="dummy",SUMIFS(AvgBonus[avg_bonus],AvgBonus[job_title],$H524),SUMIFS(AvgBonus[avg_bonus],AvgBonus[exp_item],$J524,AvgBonus[company_name],$B524,AvgBonus[bu_name],$C524,AvgBonus[dept_name],$D524,AvgBonus[team_consolidation],$K524,AvgBonus[location_name],$G524,AvgBonus[job_title],$H524))*L419*SUM(BonusPayout[Month 1]))</f>
        <v>0</v>
      </c>
      <c r="M524" s="652">
        <f>IF($B524="",,IF(LEFT($H524,5)="dummy",SUMIFS(AvgBonus[avg_bonus],AvgBonus[job_title],$H524),SUMIFS(AvgBonus[avg_bonus],AvgBonus[exp_item],$J524,AvgBonus[company_name],$B524,AvgBonus[bu_name],$C524,AvgBonus[dept_name],$D524,AvgBonus[team_consolidation],$K524,AvgBonus[location_name],$G524,AvgBonus[job_title],$H524))*M419*SUM(BonusPayout[Month 2]))</f>
        <v>0</v>
      </c>
      <c r="N524" s="652">
        <f>IF($B524="",,IF(LEFT($H524,5)="dummy",SUMIFS(AvgBonus[avg_bonus],AvgBonus[job_title],$H524),SUMIFS(AvgBonus[avg_bonus],AvgBonus[exp_item],$J524,AvgBonus[company_name],$B524,AvgBonus[bu_name],$C524,AvgBonus[dept_name],$D524,AvgBonus[team_consolidation],$K524,AvgBonus[location_name],$G524,AvgBonus[job_title],$H524))*N419*SUM(BonusPayout[Month 3]))</f>
        <v>0</v>
      </c>
      <c r="O524" s="652">
        <f>IF($B524="",,IF(LEFT($H524,5)="dummy",SUMIFS(AvgBonus[avg_bonus],AvgBonus[job_title],$H524),SUMIFS(AvgBonus[avg_bonus],AvgBonus[exp_item],$J524,AvgBonus[company_name],$B524,AvgBonus[bu_name],$C524,AvgBonus[dept_name],$D524,AvgBonus[team_consolidation],$K524,AvgBonus[location_name],$G524,AvgBonus[job_title],$H524))*O419*SUM(BonusPayout[Month 4]))</f>
        <v>0</v>
      </c>
      <c r="P524" s="652">
        <f>IF($B524="",,IF(LEFT($H524,5)="dummy",SUMIFS(AvgBonus[avg_bonus],AvgBonus[job_title],$H524),SUMIFS(AvgBonus[avg_bonus],AvgBonus[exp_item],$J524,AvgBonus[company_name],$B524,AvgBonus[bu_name],$C524,AvgBonus[dept_name],$D524,AvgBonus[team_consolidation],$K524,AvgBonus[location_name],$G524,AvgBonus[job_title],$H524))*P419*SUM(BonusPayout[Month 5]))</f>
        <v>0</v>
      </c>
      <c r="Q524" s="652">
        <f>IF($B524="",,IF(LEFT($H524,5)="dummy",SUMIFS(AvgBonus[avg_bonus],AvgBonus[job_title],$H524),SUMIFS(AvgBonus[avg_bonus],AvgBonus[exp_item],$J524,AvgBonus[company_name],$B524,AvgBonus[bu_name],$C524,AvgBonus[dept_name],$D524,AvgBonus[team_consolidation],$K524,AvgBonus[location_name],$G524,AvgBonus[job_title],$H524))*Q419*SUM(BonusPayout[Month 6]))</f>
        <v>0</v>
      </c>
      <c r="R524" s="652">
        <f>IF($B524="",,IF(LEFT($H524,5)="dummy",SUMIFS(AvgBonus[avg_bonus],AvgBonus[job_title],$H524),SUMIFS(AvgBonus[avg_bonus],AvgBonus[exp_item],$J524,AvgBonus[company_name],$B524,AvgBonus[bu_name],$C524,AvgBonus[dept_name],$D524,AvgBonus[team_consolidation],$K524,AvgBonus[location_name],$G524,AvgBonus[job_title],$H524))*R419*SUM(BonusPayout[Month 7]))</f>
        <v>0</v>
      </c>
      <c r="S524" s="652">
        <f>IF($B524="",,IF(LEFT($H524,5)="dummy",SUMIFS(AvgBonus[avg_bonus],AvgBonus[job_title],$H524),SUMIFS(AvgBonus[avg_bonus],AvgBonus[exp_item],$J524,AvgBonus[company_name],$B524,AvgBonus[bu_name],$C524,AvgBonus[dept_name],$D524,AvgBonus[team_consolidation],$K524,AvgBonus[location_name],$G524,AvgBonus[job_title],$H524))*S419*SUM(BonusPayout[Month 8]))</f>
        <v>0</v>
      </c>
      <c r="T524" s="652">
        <f>IF($B524="",,IF(LEFT($H524,5)="dummy",SUMIFS(AvgBonus[avg_bonus],AvgBonus[job_title],$H524),SUMIFS(AvgBonus[avg_bonus],AvgBonus[exp_item],$J524,AvgBonus[company_name],$B524,AvgBonus[bu_name],$C524,AvgBonus[dept_name],$D524,AvgBonus[team_consolidation],$K524,AvgBonus[location_name],$G524,AvgBonus[job_title],$H524))*T419*SUM(BonusPayout[Month 9]))</f>
        <v>0</v>
      </c>
      <c r="U524" s="652">
        <f>IF($B524="",,IF(LEFT($H524,5)="dummy",SUMIFS(AvgBonus[avg_bonus],AvgBonus[job_title],$H524),SUMIFS(AvgBonus[avg_bonus],AvgBonus[exp_item],$J524,AvgBonus[company_name],$B524,AvgBonus[bu_name],$C524,AvgBonus[dept_name],$D524,AvgBonus[team_consolidation],$K524,AvgBonus[location_name],$G524,AvgBonus[job_title],$H524))*U419*SUM(BonusPayout[Month 10]))</f>
        <v>0</v>
      </c>
      <c r="V524" s="652">
        <f>IF($B524="",,IF(LEFT($H524,5)="dummy",SUMIFS(AvgBonus[avg_bonus],AvgBonus[job_title],$H524),SUMIFS(AvgBonus[avg_bonus],AvgBonus[exp_item],$J524,AvgBonus[company_name],$B524,AvgBonus[bu_name],$C524,AvgBonus[dept_name],$D524,AvgBonus[team_consolidation],$K524,AvgBonus[location_name],$G524,AvgBonus[job_title],$H524))*V419*SUM(BonusPayout[Month 11]))</f>
        <v>0</v>
      </c>
      <c r="W524" s="652">
        <f>IF($B524="",,IF(LEFT($H524,5)="dummy",SUMIFS(AvgBonus[avg_bonus],AvgBonus[job_title],$H524),SUMIFS(AvgBonus[avg_bonus],AvgBonus[exp_item],$J524,AvgBonus[company_name],$B524,AvgBonus[bu_name],$C524,AvgBonus[dept_name],$D524,AvgBonus[team_consolidation],$K524,AvgBonus[location_name],$G524,AvgBonus[job_title],$H524))*W419*SUM(BonusPayout[Month 12]))</f>
        <v>0</v>
      </c>
      <c r="X524" s="652">
        <f>IF($B524="",,IF(LEFT($H524,5)="dummy",SUMIFS(AvgBonus[avg_bonus],AvgBonus[job_title],$H524),SUMIFS(AvgBonus[avg_bonus],AvgBonus[exp_item],$J524,AvgBonus[company_name],$B524,AvgBonus[bu_name],$C524,AvgBonus[dept_name],$D524,AvgBonus[team_consolidation],$K524,AvgBonus[location_name],$G524,AvgBonus[job_title],$H524))*X419*SUM(BonusPayout[Month 13]))</f>
        <v>0</v>
      </c>
      <c r="Y524" s="652">
        <f>IF($B524="",,IF(LEFT($H524,5)="dummy",SUMIFS(AvgBonus[avg_bonus],AvgBonus[job_title],$H524),SUMIFS(AvgBonus[avg_bonus],AvgBonus[exp_item],$J524,AvgBonus[company_name],$B524,AvgBonus[bu_name],$C524,AvgBonus[dept_name],$D524,AvgBonus[team_consolidation],$K524,AvgBonus[location_name],$G524,AvgBonus[job_title],$H524))*Y419*SUM(BonusPayout[Month 14]))</f>
        <v>0</v>
      </c>
      <c r="Z524" s="652">
        <f>IF($B524="",,IF(LEFT($H524,5)="dummy",SUMIFS(AvgBonus[avg_bonus],AvgBonus[job_title],$H524),SUMIFS(AvgBonus[avg_bonus],AvgBonus[exp_item],$J524,AvgBonus[company_name],$B524,AvgBonus[bu_name],$C524,AvgBonus[dept_name],$D524,AvgBonus[team_consolidation],$K524,AvgBonus[location_name],$G524,AvgBonus[job_title],$H524))*Z419*SUM(BonusPayout[Month 15]))</f>
        <v>0</v>
      </c>
      <c r="AA524" s="652">
        <f>IF($B524="",,IF(LEFT($H524,5)="dummy",SUMIFS(AvgBonus[avg_bonus],AvgBonus[job_title],$H524),SUMIFS(AvgBonus[avg_bonus],AvgBonus[exp_item],$J524,AvgBonus[company_name],$B524,AvgBonus[bu_name],$C524,AvgBonus[dept_name],$D524,AvgBonus[team_consolidation],$K524,AvgBonus[location_name],$G524,AvgBonus[job_title],$H524))*AA419*SUM(BonusPayout[Month 16]))</f>
        <v>0</v>
      </c>
      <c r="AB524" s="652">
        <f>IF($B524="",,IF(LEFT($H524,5)="dummy",SUMIFS(AvgBonus[avg_bonus],AvgBonus[job_title],$H524),SUMIFS(AvgBonus[avg_bonus],AvgBonus[exp_item],$J524,AvgBonus[company_name],$B524,AvgBonus[bu_name],$C524,AvgBonus[dept_name],$D524,AvgBonus[team_consolidation],$K524,AvgBonus[location_name],$G524,AvgBonus[job_title],$H524))*AB419*SUM(BonusPayout[Month 17]))</f>
        <v>0</v>
      </c>
      <c r="AC524" s="652">
        <f>IF($B524="",,IF(LEFT($H524,5)="dummy",SUMIFS(AvgBonus[avg_bonus],AvgBonus[job_title],$H524),SUMIFS(AvgBonus[avg_bonus],AvgBonus[exp_item],$J524,AvgBonus[company_name],$B524,AvgBonus[bu_name],$C524,AvgBonus[dept_name],$D524,AvgBonus[team_consolidation],$K524,AvgBonus[location_name],$G524,AvgBonus[job_title],$H524))*AC419*SUM(BonusPayout[Month 18]))</f>
        <v>0</v>
      </c>
      <c r="AD524" s="652">
        <f>IF($B524="",,IF(LEFT($H524,5)="dummy",SUMIFS(AvgBonus[avg_bonus],AvgBonus[job_title],$H524),SUMIFS(AvgBonus[avg_bonus],AvgBonus[exp_item],$J524,AvgBonus[company_name],$B524,AvgBonus[bu_name],$C524,AvgBonus[dept_name],$D524,AvgBonus[team_consolidation],$K524,AvgBonus[location_name],$G524,AvgBonus[job_title],$H524))*AD419*SUM(BonusPayout[Month 19]))</f>
        <v>0</v>
      </c>
      <c r="AE524" s="652">
        <f>IF($B524="",,IF(LEFT($H524,5)="dummy",SUMIFS(AvgBonus[avg_bonus],AvgBonus[job_title],$H524),SUMIFS(AvgBonus[avg_bonus],AvgBonus[exp_item],$J524,AvgBonus[company_name],$B524,AvgBonus[bu_name],$C524,AvgBonus[dept_name],$D524,AvgBonus[team_consolidation],$K524,AvgBonus[location_name],$G524,AvgBonus[job_title],$H524))*AE419*SUM(BonusPayout[Month 20]))</f>
        <v>0</v>
      </c>
      <c r="AF524" s="652">
        <f>IF($B524="",,IF(LEFT($H524,5)="dummy",SUMIFS(AvgBonus[avg_bonus],AvgBonus[job_title],$H524),SUMIFS(AvgBonus[avg_bonus],AvgBonus[exp_item],$J524,AvgBonus[company_name],$B524,AvgBonus[bu_name],$C524,AvgBonus[dept_name],$D524,AvgBonus[team_consolidation],$K524,AvgBonus[location_name],$G524,AvgBonus[job_title],$H524))*AF419*SUM(BonusPayout[Month 21]))</f>
        <v>0</v>
      </c>
      <c r="AG524" s="652">
        <f>IF($B524="",,IF(LEFT($H524,5)="dummy",SUMIFS(AvgBonus[avg_bonus],AvgBonus[job_title],$H524),SUMIFS(AvgBonus[avg_bonus],AvgBonus[exp_item],$J524,AvgBonus[company_name],$B524,AvgBonus[bu_name],$C524,AvgBonus[dept_name],$D524,AvgBonus[team_consolidation],$K524,AvgBonus[location_name],$G524,AvgBonus[job_title],$H524))*AG419*SUM(BonusPayout[Month 22]))</f>
        <v>0</v>
      </c>
      <c r="AH524" s="652">
        <f>IF($B524="",,IF(LEFT($H524,5)="dummy",SUMIFS(AvgBonus[avg_bonus],AvgBonus[job_title],$H524),SUMIFS(AvgBonus[avg_bonus],AvgBonus[exp_item],$J524,AvgBonus[company_name],$B524,AvgBonus[bu_name],$C524,AvgBonus[dept_name],$D524,AvgBonus[team_consolidation],$K524,AvgBonus[location_name],$G524,AvgBonus[job_title],$H524))*AH419*SUM(BonusPayout[Month 23]))</f>
        <v>0</v>
      </c>
      <c r="AI524" s="652">
        <f>IF($B524="",,IF(LEFT($H524,5)="dummy",SUMIFS(AvgBonus[avg_bonus],AvgBonus[job_title],$H524),SUMIFS(AvgBonus[avg_bonus],AvgBonus[exp_item],$J524,AvgBonus[company_name],$B524,AvgBonus[bu_name],$C524,AvgBonus[dept_name],$D524,AvgBonus[team_consolidation],$K524,AvgBonus[location_name],$G524,AvgBonus[job_title],$H524))*AI419*SUM(BonusPayout[Month 24]))</f>
        <v>0</v>
      </c>
      <c r="AJ524" s="652">
        <f>IF($B524="",,IF(LEFT($H524,5)="dummy",SUMIFS(AvgBonus[avg_bonus],AvgBonus[job_title],$H524),SUMIFS(AvgBonus[avg_bonus],AvgBonus[exp_item],$J524,AvgBonus[company_name],$B524,AvgBonus[bu_name],$C524,AvgBonus[dept_name],$D524,AvgBonus[team_consolidation],$K524,AvgBonus[location_name],$G524,AvgBonus[job_title],$H524))*AJ419*SUM(BonusPayout[Month 25]))</f>
        <v>0</v>
      </c>
      <c r="AK524" s="652">
        <f>IF($B524="",,IF(LEFT($H524,5)="dummy",SUMIFS(AvgBonus[avg_bonus],AvgBonus[job_title],$H524),SUMIFS(AvgBonus[avg_bonus],AvgBonus[exp_item],$J524,AvgBonus[company_name],$B524,AvgBonus[bu_name],$C524,AvgBonus[dept_name],$D524,AvgBonus[team_consolidation],$K524,AvgBonus[location_name],$G524,AvgBonus[job_title],$H524))*AK419*SUM(BonusPayout[Month 26]))</f>
        <v>0</v>
      </c>
      <c r="AL524" s="652">
        <f>IF($B524="",,IF(LEFT($H524,5)="dummy",SUMIFS(AvgBonus[avg_bonus],AvgBonus[job_title],$H524),SUMIFS(AvgBonus[avg_bonus],AvgBonus[exp_item],$J524,AvgBonus[company_name],$B524,AvgBonus[bu_name],$C524,AvgBonus[dept_name],$D524,AvgBonus[team_consolidation],$K524,AvgBonus[location_name],$G524,AvgBonus[job_title],$H524))*AL419*SUM(BonusPayout[Month 27]))</f>
        <v>0</v>
      </c>
      <c r="AM524" s="652">
        <f>IF($B524="",,IF(LEFT($H524,5)="dummy",SUMIFS(AvgBonus[avg_bonus],AvgBonus[job_title],$H524),SUMIFS(AvgBonus[avg_bonus],AvgBonus[exp_item],$J524,AvgBonus[company_name],$B524,AvgBonus[bu_name],$C524,AvgBonus[dept_name],$D524,AvgBonus[team_consolidation],$K524,AvgBonus[location_name],$G524,AvgBonus[job_title],$H524))*AM419*SUM(BonusPayout[Month 28]))</f>
        <v>0</v>
      </c>
      <c r="AN524" s="652">
        <f>IF($B524="",,IF(LEFT($H524,5)="dummy",SUMIFS(AvgBonus[avg_bonus],AvgBonus[job_title],$H524),SUMIFS(AvgBonus[avg_bonus],AvgBonus[exp_item],$J524,AvgBonus[company_name],$B524,AvgBonus[bu_name],$C524,AvgBonus[dept_name],$D524,AvgBonus[team_consolidation],$K524,AvgBonus[location_name],$G524,AvgBonus[job_title],$H524))*AN419*SUM(BonusPayout[Month 29]))</f>
        <v>0</v>
      </c>
      <c r="AO524" s="652">
        <f>IF($B524="",,IF(LEFT($H524,5)="dummy",SUMIFS(AvgBonus[avg_bonus],AvgBonus[job_title],$H524),SUMIFS(AvgBonus[avg_bonus],AvgBonus[exp_item],$J524,AvgBonus[company_name],$B524,AvgBonus[bu_name],$C524,AvgBonus[dept_name],$D524,AvgBonus[team_consolidation],$K524,AvgBonus[location_name],$G524,AvgBonus[job_title],$H524))*AO419*SUM(BonusPayout[Month 30]))</f>
        <v>0</v>
      </c>
      <c r="AP524" s="652">
        <f>IF($B524="",,IF(LEFT($H524,5)="dummy",SUMIFS(AvgBonus[avg_bonus],AvgBonus[job_title],$H524),SUMIFS(AvgBonus[avg_bonus],AvgBonus[exp_item],$J524,AvgBonus[company_name],$B524,AvgBonus[bu_name],$C524,AvgBonus[dept_name],$D524,AvgBonus[team_consolidation],$K524,AvgBonus[location_name],$G524,AvgBonus[job_title],$H524))*AP419*SUM(BonusPayout[Month 31]))</f>
        <v>0</v>
      </c>
      <c r="AQ524" s="652">
        <f>IF($B524="",,IF(LEFT($H524,5)="dummy",SUMIFS(AvgBonus[avg_bonus],AvgBonus[job_title],$H524),SUMIFS(AvgBonus[avg_bonus],AvgBonus[exp_item],$J524,AvgBonus[company_name],$B524,AvgBonus[bu_name],$C524,AvgBonus[dept_name],$D524,AvgBonus[team_consolidation],$K524,AvgBonus[location_name],$G524,AvgBonus[job_title],$H524))*AQ419*SUM(BonusPayout[Month 32]))</f>
        <v>0</v>
      </c>
      <c r="AR524" s="652">
        <f>IF($B524="",,IF(LEFT($H524,5)="dummy",SUMIFS(AvgBonus[avg_bonus],AvgBonus[job_title],$H524),SUMIFS(AvgBonus[avg_bonus],AvgBonus[exp_item],$J524,AvgBonus[company_name],$B524,AvgBonus[bu_name],$C524,AvgBonus[dept_name],$D524,AvgBonus[team_consolidation],$K524,AvgBonus[location_name],$G524,AvgBonus[job_title],$H524))*AR419*SUM(BonusPayout[Month 33]))</f>
        <v>0</v>
      </c>
      <c r="AS524" s="652">
        <f>IF($B524="",,IF(LEFT($H524,5)="dummy",SUMIFS(AvgBonus[avg_bonus],AvgBonus[job_title],$H524),SUMIFS(AvgBonus[avg_bonus],AvgBonus[exp_item],$J524,AvgBonus[company_name],$B524,AvgBonus[bu_name],$C524,AvgBonus[dept_name],$D524,AvgBonus[team_consolidation],$K524,AvgBonus[location_name],$G524,AvgBonus[job_title],$H524))*AS419*SUM(BonusPayout[Month 34]))</f>
        <v>0</v>
      </c>
      <c r="AT524" s="652">
        <f>IF($B524="",,IF(LEFT($H524,5)="dummy",SUMIFS(AvgBonus[avg_bonus],AvgBonus[job_title],$H524),SUMIFS(AvgBonus[avg_bonus],AvgBonus[exp_item],$J524,AvgBonus[company_name],$B524,AvgBonus[bu_name],$C524,AvgBonus[dept_name],$D524,AvgBonus[team_consolidation],$K524,AvgBonus[location_name],$G524,AvgBonus[job_title],$H524))*AT419*SUM(BonusPayout[Month 35]))</f>
        <v>0</v>
      </c>
      <c r="AU524" s="652">
        <f>IF($B524="",,IF(LEFT($H524,5)="dummy",SUMIFS(AvgBonus[avg_bonus],AvgBonus[job_title],$H524),SUMIFS(AvgBonus[avg_bonus],AvgBonus[exp_item],$J524,AvgBonus[company_name],$B524,AvgBonus[bu_name],$C524,AvgBonus[dept_name],$D524,AvgBonus[team_consolidation],$K524,AvgBonus[location_name],$G524,AvgBonus[job_title],$H524))*AU419*SUM(BonusPayout[Month 36]))</f>
        <v>0</v>
      </c>
    </row>
    <row r="525" spans="2:47" x14ac:dyDescent="0.35">
      <c r="B525" t="str">
        <f t="shared" si="292"/>
        <v/>
      </c>
      <c r="C525" t="str">
        <f t="shared" ref="C525:G525" si="317">IF(C420="","",C420)</f>
        <v/>
      </c>
      <c r="D525" t="str">
        <f t="shared" si="317"/>
        <v/>
      </c>
      <c r="E525" t="str">
        <f t="shared" si="317"/>
        <v/>
      </c>
      <c r="F525" t="str">
        <f t="shared" si="317"/>
        <v/>
      </c>
      <c r="G525" t="str">
        <f t="shared" si="317"/>
        <v/>
      </c>
      <c r="H525" t="str">
        <f t="shared" si="291"/>
        <v/>
      </c>
      <c r="J525" t="str">
        <f>IF($H525="","",IF(VLOOKUP($B$500,ExpItems[],2,0),$B$500&amp;" - "&amp;INDEX(DivisionMapping[category_code],MATCH($D525&amp;$C525,DivisionMapping[dept_bu],0)),$B$500))</f>
        <v/>
      </c>
      <c r="K525" t="str">
        <f t="shared" si="294"/>
        <v/>
      </c>
      <c r="L525" s="652">
        <f>IF($B525="",,IF(LEFT($H525,5)="dummy",SUMIFS(AvgBonus[avg_bonus],AvgBonus[job_title],$H525),SUMIFS(AvgBonus[avg_bonus],AvgBonus[exp_item],$J525,AvgBonus[company_name],$B525,AvgBonus[bu_name],$C525,AvgBonus[dept_name],$D525,AvgBonus[team_consolidation],$K525,AvgBonus[location_name],$G525,AvgBonus[job_title],$H525))*L420*SUM(BonusPayout[Month 1]))</f>
        <v>0</v>
      </c>
      <c r="M525" s="652">
        <f>IF($B525="",,IF(LEFT($H525,5)="dummy",SUMIFS(AvgBonus[avg_bonus],AvgBonus[job_title],$H525),SUMIFS(AvgBonus[avg_bonus],AvgBonus[exp_item],$J525,AvgBonus[company_name],$B525,AvgBonus[bu_name],$C525,AvgBonus[dept_name],$D525,AvgBonus[team_consolidation],$K525,AvgBonus[location_name],$G525,AvgBonus[job_title],$H525))*M420*SUM(BonusPayout[Month 2]))</f>
        <v>0</v>
      </c>
      <c r="N525" s="652">
        <f>IF($B525="",,IF(LEFT($H525,5)="dummy",SUMIFS(AvgBonus[avg_bonus],AvgBonus[job_title],$H525),SUMIFS(AvgBonus[avg_bonus],AvgBonus[exp_item],$J525,AvgBonus[company_name],$B525,AvgBonus[bu_name],$C525,AvgBonus[dept_name],$D525,AvgBonus[team_consolidation],$K525,AvgBonus[location_name],$G525,AvgBonus[job_title],$H525))*N420*SUM(BonusPayout[Month 3]))</f>
        <v>0</v>
      </c>
      <c r="O525" s="652">
        <f>IF($B525="",,IF(LEFT($H525,5)="dummy",SUMIFS(AvgBonus[avg_bonus],AvgBonus[job_title],$H525),SUMIFS(AvgBonus[avg_bonus],AvgBonus[exp_item],$J525,AvgBonus[company_name],$B525,AvgBonus[bu_name],$C525,AvgBonus[dept_name],$D525,AvgBonus[team_consolidation],$K525,AvgBonus[location_name],$G525,AvgBonus[job_title],$H525))*O420*SUM(BonusPayout[Month 4]))</f>
        <v>0</v>
      </c>
      <c r="P525" s="652">
        <f>IF($B525="",,IF(LEFT($H525,5)="dummy",SUMIFS(AvgBonus[avg_bonus],AvgBonus[job_title],$H525),SUMIFS(AvgBonus[avg_bonus],AvgBonus[exp_item],$J525,AvgBonus[company_name],$B525,AvgBonus[bu_name],$C525,AvgBonus[dept_name],$D525,AvgBonus[team_consolidation],$K525,AvgBonus[location_name],$G525,AvgBonus[job_title],$H525))*P420*SUM(BonusPayout[Month 5]))</f>
        <v>0</v>
      </c>
      <c r="Q525" s="652">
        <f>IF($B525="",,IF(LEFT($H525,5)="dummy",SUMIFS(AvgBonus[avg_bonus],AvgBonus[job_title],$H525),SUMIFS(AvgBonus[avg_bonus],AvgBonus[exp_item],$J525,AvgBonus[company_name],$B525,AvgBonus[bu_name],$C525,AvgBonus[dept_name],$D525,AvgBonus[team_consolidation],$K525,AvgBonus[location_name],$G525,AvgBonus[job_title],$H525))*Q420*SUM(BonusPayout[Month 6]))</f>
        <v>0</v>
      </c>
      <c r="R525" s="652">
        <f>IF($B525="",,IF(LEFT($H525,5)="dummy",SUMIFS(AvgBonus[avg_bonus],AvgBonus[job_title],$H525),SUMIFS(AvgBonus[avg_bonus],AvgBonus[exp_item],$J525,AvgBonus[company_name],$B525,AvgBonus[bu_name],$C525,AvgBonus[dept_name],$D525,AvgBonus[team_consolidation],$K525,AvgBonus[location_name],$G525,AvgBonus[job_title],$H525))*R420*SUM(BonusPayout[Month 7]))</f>
        <v>0</v>
      </c>
      <c r="S525" s="652">
        <f>IF($B525="",,IF(LEFT($H525,5)="dummy",SUMIFS(AvgBonus[avg_bonus],AvgBonus[job_title],$H525),SUMIFS(AvgBonus[avg_bonus],AvgBonus[exp_item],$J525,AvgBonus[company_name],$B525,AvgBonus[bu_name],$C525,AvgBonus[dept_name],$D525,AvgBonus[team_consolidation],$K525,AvgBonus[location_name],$G525,AvgBonus[job_title],$H525))*S420*SUM(BonusPayout[Month 8]))</f>
        <v>0</v>
      </c>
      <c r="T525" s="652">
        <f>IF($B525="",,IF(LEFT($H525,5)="dummy",SUMIFS(AvgBonus[avg_bonus],AvgBonus[job_title],$H525),SUMIFS(AvgBonus[avg_bonus],AvgBonus[exp_item],$J525,AvgBonus[company_name],$B525,AvgBonus[bu_name],$C525,AvgBonus[dept_name],$D525,AvgBonus[team_consolidation],$K525,AvgBonus[location_name],$G525,AvgBonus[job_title],$H525))*T420*SUM(BonusPayout[Month 9]))</f>
        <v>0</v>
      </c>
      <c r="U525" s="652">
        <f>IF($B525="",,IF(LEFT($H525,5)="dummy",SUMIFS(AvgBonus[avg_bonus],AvgBonus[job_title],$H525),SUMIFS(AvgBonus[avg_bonus],AvgBonus[exp_item],$J525,AvgBonus[company_name],$B525,AvgBonus[bu_name],$C525,AvgBonus[dept_name],$D525,AvgBonus[team_consolidation],$K525,AvgBonus[location_name],$G525,AvgBonus[job_title],$H525))*U420*SUM(BonusPayout[Month 10]))</f>
        <v>0</v>
      </c>
      <c r="V525" s="652">
        <f>IF($B525="",,IF(LEFT($H525,5)="dummy",SUMIFS(AvgBonus[avg_bonus],AvgBonus[job_title],$H525),SUMIFS(AvgBonus[avg_bonus],AvgBonus[exp_item],$J525,AvgBonus[company_name],$B525,AvgBonus[bu_name],$C525,AvgBonus[dept_name],$D525,AvgBonus[team_consolidation],$K525,AvgBonus[location_name],$G525,AvgBonus[job_title],$H525))*V420*SUM(BonusPayout[Month 11]))</f>
        <v>0</v>
      </c>
      <c r="W525" s="652">
        <f>IF($B525="",,IF(LEFT($H525,5)="dummy",SUMIFS(AvgBonus[avg_bonus],AvgBonus[job_title],$H525),SUMIFS(AvgBonus[avg_bonus],AvgBonus[exp_item],$J525,AvgBonus[company_name],$B525,AvgBonus[bu_name],$C525,AvgBonus[dept_name],$D525,AvgBonus[team_consolidation],$K525,AvgBonus[location_name],$G525,AvgBonus[job_title],$H525))*W420*SUM(BonusPayout[Month 12]))</f>
        <v>0</v>
      </c>
      <c r="X525" s="652">
        <f>IF($B525="",,IF(LEFT($H525,5)="dummy",SUMIFS(AvgBonus[avg_bonus],AvgBonus[job_title],$H525),SUMIFS(AvgBonus[avg_bonus],AvgBonus[exp_item],$J525,AvgBonus[company_name],$B525,AvgBonus[bu_name],$C525,AvgBonus[dept_name],$D525,AvgBonus[team_consolidation],$K525,AvgBonus[location_name],$G525,AvgBonus[job_title],$H525))*X420*SUM(BonusPayout[Month 13]))</f>
        <v>0</v>
      </c>
      <c r="Y525" s="652">
        <f>IF($B525="",,IF(LEFT($H525,5)="dummy",SUMIFS(AvgBonus[avg_bonus],AvgBonus[job_title],$H525),SUMIFS(AvgBonus[avg_bonus],AvgBonus[exp_item],$J525,AvgBonus[company_name],$B525,AvgBonus[bu_name],$C525,AvgBonus[dept_name],$D525,AvgBonus[team_consolidation],$K525,AvgBonus[location_name],$G525,AvgBonus[job_title],$H525))*Y420*SUM(BonusPayout[Month 14]))</f>
        <v>0</v>
      </c>
      <c r="Z525" s="652">
        <f>IF($B525="",,IF(LEFT($H525,5)="dummy",SUMIFS(AvgBonus[avg_bonus],AvgBonus[job_title],$H525),SUMIFS(AvgBonus[avg_bonus],AvgBonus[exp_item],$J525,AvgBonus[company_name],$B525,AvgBonus[bu_name],$C525,AvgBonus[dept_name],$D525,AvgBonus[team_consolidation],$K525,AvgBonus[location_name],$G525,AvgBonus[job_title],$H525))*Z420*SUM(BonusPayout[Month 15]))</f>
        <v>0</v>
      </c>
      <c r="AA525" s="652">
        <f>IF($B525="",,IF(LEFT($H525,5)="dummy",SUMIFS(AvgBonus[avg_bonus],AvgBonus[job_title],$H525),SUMIFS(AvgBonus[avg_bonus],AvgBonus[exp_item],$J525,AvgBonus[company_name],$B525,AvgBonus[bu_name],$C525,AvgBonus[dept_name],$D525,AvgBonus[team_consolidation],$K525,AvgBonus[location_name],$G525,AvgBonus[job_title],$H525))*AA420*SUM(BonusPayout[Month 16]))</f>
        <v>0</v>
      </c>
      <c r="AB525" s="652">
        <f>IF($B525="",,IF(LEFT($H525,5)="dummy",SUMIFS(AvgBonus[avg_bonus],AvgBonus[job_title],$H525),SUMIFS(AvgBonus[avg_bonus],AvgBonus[exp_item],$J525,AvgBonus[company_name],$B525,AvgBonus[bu_name],$C525,AvgBonus[dept_name],$D525,AvgBonus[team_consolidation],$K525,AvgBonus[location_name],$G525,AvgBonus[job_title],$H525))*AB420*SUM(BonusPayout[Month 17]))</f>
        <v>0</v>
      </c>
      <c r="AC525" s="652">
        <f>IF($B525="",,IF(LEFT($H525,5)="dummy",SUMIFS(AvgBonus[avg_bonus],AvgBonus[job_title],$H525),SUMIFS(AvgBonus[avg_bonus],AvgBonus[exp_item],$J525,AvgBonus[company_name],$B525,AvgBonus[bu_name],$C525,AvgBonus[dept_name],$D525,AvgBonus[team_consolidation],$K525,AvgBonus[location_name],$G525,AvgBonus[job_title],$H525))*AC420*SUM(BonusPayout[Month 18]))</f>
        <v>0</v>
      </c>
      <c r="AD525" s="652">
        <f>IF($B525="",,IF(LEFT($H525,5)="dummy",SUMIFS(AvgBonus[avg_bonus],AvgBonus[job_title],$H525),SUMIFS(AvgBonus[avg_bonus],AvgBonus[exp_item],$J525,AvgBonus[company_name],$B525,AvgBonus[bu_name],$C525,AvgBonus[dept_name],$D525,AvgBonus[team_consolidation],$K525,AvgBonus[location_name],$G525,AvgBonus[job_title],$H525))*AD420*SUM(BonusPayout[Month 19]))</f>
        <v>0</v>
      </c>
      <c r="AE525" s="652">
        <f>IF($B525="",,IF(LEFT($H525,5)="dummy",SUMIFS(AvgBonus[avg_bonus],AvgBonus[job_title],$H525),SUMIFS(AvgBonus[avg_bonus],AvgBonus[exp_item],$J525,AvgBonus[company_name],$B525,AvgBonus[bu_name],$C525,AvgBonus[dept_name],$D525,AvgBonus[team_consolidation],$K525,AvgBonus[location_name],$G525,AvgBonus[job_title],$H525))*AE420*SUM(BonusPayout[Month 20]))</f>
        <v>0</v>
      </c>
      <c r="AF525" s="652">
        <f>IF($B525="",,IF(LEFT($H525,5)="dummy",SUMIFS(AvgBonus[avg_bonus],AvgBonus[job_title],$H525),SUMIFS(AvgBonus[avg_bonus],AvgBonus[exp_item],$J525,AvgBonus[company_name],$B525,AvgBonus[bu_name],$C525,AvgBonus[dept_name],$D525,AvgBonus[team_consolidation],$K525,AvgBonus[location_name],$G525,AvgBonus[job_title],$H525))*AF420*SUM(BonusPayout[Month 21]))</f>
        <v>0</v>
      </c>
      <c r="AG525" s="652">
        <f>IF($B525="",,IF(LEFT($H525,5)="dummy",SUMIFS(AvgBonus[avg_bonus],AvgBonus[job_title],$H525),SUMIFS(AvgBonus[avg_bonus],AvgBonus[exp_item],$J525,AvgBonus[company_name],$B525,AvgBonus[bu_name],$C525,AvgBonus[dept_name],$D525,AvgBonus[team_consolidation],$K525,AvgBonus[location_name],$G525,AvgBonus[job_title],$H525))*AG420*SUM(BonusPayout[Month 22]))</f>
        <v>0</v>
      </c>
      <c r="AH525" s="652">
        <f>IF($B525="",,IF(LEFT($H525,5)="dummy",SUMIFS(AvgBonus[avg_bonus],AvgBonus[job_title],$H525),SUMIFS(AvgBonus[avg_bonus],AvgBonus[exp_item],$J525,AvgBonus[company_name],$B525,AvgBonus[bu_name],$C525,AvgBonus[dept_name],$D525,AvgBonus[team_consolidation],$K525,AvgBonus[location_name],$G525,AvgBonus[job_title],$H525))*AH420*SUM(BonusPayout[Month 23]))</f>
        <v>0</v>
      </c>
      <c r="AI525" s="652">
        <f>IF($B525="",,IF(LEFT($H525,5)="dummy",SUMIFS(AvgBonus[avg_bonus],AvgBonus[job_title],$H525),SUMIFS(AvgBonus[avg_bonus],AvgBonus[exp_item],$J525,AvgBonus[company_name],$B525,AvgBonus[bu_name],$C525,AvgBonus[dept_name],$D525,AvgBonus[team_consolidation],$K525,AvgBonus[location_name],$G525,AvgBonus[job_title],$H525))*AI420*SUM(BonusPayout[Month 24]))</f>
        <v>0</v>
      </c>
      <c r="AJ525" s="652">
        <f>IF($B525="",,IF(LEFT($H525,5)="dummy",SUMIFS(AvgBonus[avg_bonus],AvgBonus[job_title],$H525),SUMIFS(AvgBonus[avg_bonus],AvgBonus[exp_item],$J525,AvgBonus[company_name],$B525,AvgBonus[bu_name],$C525,AvgBonus[dept_name],$D525,AvgBonus[team_consolidation],$K525,AvgBonus[location_name],$G525,AvgBonus[job_title],$H525))*AJ420*SUM(BonusPayout[Month 25]))</f>
        <v>0</v>
      </c>
      <c r="AK525" s="652">
        <f>IF($B525="",,IF(LEFT($H525,5)="dummy",SUMIFS(AvgBonus[avg_bonus],AvgBonus[job_title],$H525),SUMIFS(AvgBonus[avg_bonus],AvgBonus[exp_item],$J525,AvgBonus[company_name],$B525,AvgBonus[bu_name],$C525,AvgBonus[dept_name],$D525,AvgBonus[team_consolidation],$K525,AvgBonus[location_name],$G525,AvgBonus[job_title],$H525))*AK420*SUM(BonusPayout[Month 26]))</f>
        <v>0</v>
      </c>
      <c r="AL525" s="652">
        <f>IF($B525="",,IF(LEFT($H525,5)="dummy",SUMIFS(AvgBonus[avg_bonus],AvgBonus[job_title],$H525),SUMIFS(AvgBonus[avg_bonus],AvgBonus[exp_item],$J525,AvgBonus[company_name],$B525,AvgBonus[bu_name],$C525,AvgBonus[dept_name],$D525,AvgBonus[team_consolidation],$K525,AvgBonus[location_name],$G525,AvgBonus[job_title],$H525))*AL420*SUM(BonusPayout[Month 27]))</f>
        <v>0</v>
      </c>
      <c r="AM525" s="652">
        <f>IF($B525="",,IF(LEFT($H525,5)="dummy",SUMIFS(AvgBonus[avg_bonus],AvgBonus[job_title],$H525),SUMIFS(AvgBonus[avg_bonus],AvgBonus[exp_item],$J525,AvgBonus[company_name],$B525,AvgBonus[bu_name],$C525,AvgBonus[dept_name],$D525,AvgBonus[team_consolidation],$K525,AvgBonus[location_name],$G525,AvgBonus[job_title],$H525))*AM420*SUM(BonusPayout[Month 28]))</f>
        <v>0</v>
      </c>
      <c r="AN525" s="652">
        <f>IF($B525="",,IF(LEFT($H525,5)="dummy",SUMIFS(AvgBonus[avg_bonus],AvgBonus[job_title],$H525),SUMIFS(AvgBonus[avg_bonus],AvgBonus[exp_item],$J525,AvgBonus[company_name],$B525,AvgBonus[bu_name],$C525,AvgBonus[dept_name],$D525,AvgBonus[team_consolidation],$K525,AvgBonus[location_name],$G525,AvgBonus[job_title],$H525))*AN420*SUM(BonusPayout[Month 29]))</f>
        <v>0</v>
      </c>
      <c r="AO525" s="652">
        <f>IF($B525="",,IF(LEFT($H525,5)="dummy",SUMIFS(AvgBonus[avg_bonus],AvgBonus[job_title],$H525),SUMIFS(AvgBonus[avg_bonus],AvgBonus[exp_item],$J525,AvgBonus[company_name],$B525,AvgBonus[bu_name],$C525,AvgBonus[dept_name],$D525,AvgBonus[team_consolidation],$K525,AvgBonus[location_name],$G525,AvgBonus[job_title],$H525))*AO420*SUM(BonusPayout[Month 30]))</f>
        <v>0</v>
      </c>
      <c r="AP525" s="652">
        <f>IF($B525="",,IF(LEFT($H525,5)="dummy",SUMIFS(AvgBonus[avg_bonus],AvgBonus[job_title],$H525),SUMIFS(AvgBonus[avg_bonus],AvgBonus[exp_item],$J525,AvgBonus[company_name],$B525,AvgBonus[bu_name],$C525,AvgBonus[dept_name],$D525,AvgBonus[team_consolidation],$K525,AvgBonus[location_name],$G525,AvgBonus[job_title],$H525))*AP420*SUM(BonusPayout[Month 31]))</f>
        <v>0</v>
      </c>
      <c r="AQ525" s="652">
        <f>IF($B525="",,IF(LEFT($H525,5)="dummy",SUMIFS(AvgBonus[avg_bonus],AvgBonus[job_title],$H525),SUMIFS(AvgBonus[avg_bonus],AvgBonus[exp_item],$J525,AvgBonus[company_name],$B525,AvgBonus[bu_name],$C525,AvgBonus[dept_name],$D525,AvgBonus[team_consolidation],$K525,AvgBonus[location_name],$G525,AvgBonus[job_title],$H525))*AQ420*SUM(BonusPayout[Month 32]))</f>
        <v>0</v>
      </c>
      <c r="AR525" s="652">
        <f>IF($B525="",,IF(LEFT($H525,5)="dummy",SUMIFS(AvgBonus[avg_bonus],AvgBonus[job_title],$H525),SUMIFS(AvgBonus[avg_bonus],AvgBonus[exp_item],$J525,AvgBonus[company_name],$B525,AvgBonus[bu_name],$C525,AvgBonus[dept_name],$D525,AvgBonus[team_consolidation],$K525,AvgBonus[location_name],$G525,AvgBonus[job_title],$H525))*AR420*SUM(BonusPayout[Month 33]))</f>
        <v>0</v>
      </c>
      <c r="AS525" s="652">
        <f>IF($B525="",,IF(LEFT($H525,5)="dummy",SUMIFS(AvgBonus[avg_bonus],AvgBonus[job_title],$H525),SUMIFS(AvgBonus[avg_bonus],AvgBonus[exp_item],$J525,AvgBonus[company_name],$B525,AvgBonus[bu_name],$C525,AvgBonus[dept_name],$D525,AvgBonus[team_consolidation],$K525,AvgBonus[location_name],$G525,AvgBonus[job_title],$H525))*AS420*SUM(BonusPayout[Month 34]))</f>
        <v>0</v>
      </c>
      <c r="AT525" s="652">
        <f>IF($B525="",,IF(LEFT($H525,5)="dummy",SUMIFS(AvgBonus[avg_bonus],AvgBonus[job_title],$H525),SUMIFS(AvgBonus[avg_bonus],AvgBonus[exp_item],$J525,AvgBonus[company_name],$B525,AvgBonus[bu_name],$C525,AvgBonus[dept_name],$D525,AvgBonus[team_consolidation],$K525,AvgBonus[location_name],$G525,AvgBonus[job_title],$H525))*AT420*SUM(BonusPayout[Month 35]))</f>
        <v>0</v>
      </c>
      <c r="AU525" s="652">
        <f>IF($B525="",,IF(LEFT($H525,5)="dummy",SUMIFS(AvgBonus[avg_bonus],AvgBonus[job_title],$H525),SUMIFS(AvgBonus[avg_bonus],AvgBonus[exp_item],$J525,AvgBonus[company_name],$B525,AvgBonus[bu_name],$C525,AvgBonus[dept_name],$D525,AvgBonus[team_consolidation],$K525,AvgBonus[location_name],$G525,AvgBonus[job_title],$H525))*AU420*SUM(BonusPayout[Month 36]))</f>
        <v>0</v>
      </c>
    </row>
    <row r="526" spans="2:47" x14ac:dyDescent="0.35">
      <c r="B526" t="str">
        <f t="shared" si="292"/>
        <v/>
      </c>
      <c r="C526" t="str">
        <f t="shared" ref="C526:G526" si="318">IF(C421="","",C421)</f>
        <v/>
      </c>
      <c r="D526" t="str">
        <f t="shared" si="318"/>
        <v/>
      </c>
      <c r="E526" t="str">
        <f t="shared" si="318"/>
        <v/>
      </c>
      <c r="F526" t="str">
        <f t="shared" si="318"/>
        <v/>
      </c>
      <c r="G526" t="str">
        <f t="shared" si="318"/>
        <v/>
      </c>
      <c r="H526" t="str">
        <f t="shared" si="291"/>
        <v/>
      </c>
      <c r="J526" t="str">
        <f>IF($H526="","",IF(VLOOKUP($B$500,ExpItems[],2,0),$B$500&amp;" - "&amp;INDEX(DivisionMapping[category_code],MATCH($D526&amp;$C526,DivisionMapping[dept_bu],0)),$B$500))</f>
        <v/>
      </c>
      <c r="K526" t="str">
        <f t="shared" si="294"/>
        <v/>
      </c>
      <c r="L526" s="652">
        <f>IF($B526="",,IF(LEFT($H526,5)="dummy",SUMIFS(AvgBonus[avg_bonus],AvgBonus[job_title],$H526),SUMIFS(AvgBonus[avg_bonus],AvgBonus[exp_item],$J526,AvgBonus[company_name],$B526,AvgBonus[bu_name],$C526,AvgBonus[dept_name],$D526,AvgBonus[team_consolidation],$K526,AvgBonus[location_name],$G526,AvgBonus[job_title],$H526))*L421*SUM(BonusPayout[Month 1]))</f>
        <v>0</v>
      </c>
      <c r="M526" s="652">
        <f>IF($B526="",,IF(LEFT($H526,5)="dummy",SUMIFS(AvgBonus[avg_bonus],AvgBonus[job_title],$H526),SUMIFS(AvgBonus[avg_bonus],AvgBonus[exp_item],$J526,AvgBonus[company_name],$B526,AvgBonus[bu_name],$C526,AvgBonus[dept_name],$D526,AvgBonus[team_consolidation],$K526,AvgBonus[location_name],$G526,AvgBonus[job_title],$H526))*M421*SUM(BonusPayout[Month 2]))</f>
        <v>0</v>
      </c>
      <c r="N526" s="652">
        <f>IF($B526="",,IF(LEFT($H526,5)="dummy",SUMIFS(AvgBonus[avg_bonus],AvgBonus[job_title],$H526),SUMIFS(AvgBonus[avg_bonus],AvgBonus[exp_item],$J526,AvgBonus[company_name],$B526,AvgBonus[bu_name],$C526,AvgBonus[dept_name],$D526,AvgBonus[team_consolidation],$K526,AvgBonus[location_name],$G526,AvgBonus[job_title],$H526))*N421*SUM(BonusPayout[Month 3]))</f>
        <v>0</v>
      </c>
      <c r="O526" s="652">
        <f>IF($B526="",,IF(LEFT($H526,5)="dummy",SUMIFS(AvgBonus[avg_bonus],AvgBonus[job_title],$H526),SUMIFS(AvgBonus[avg_bonus],AvgBonus[exp_item],$J526,AvgBonus[company_name],$B526,AvgBonus[bu_name],$C526,AvgBonus[dept_name],$D526,AvgBonus[team_consolidation],$K526,AvgBonus[location_name],$G526,AvgBonus[job_title],$H526))*O421*SUM(BonusPayout[Month 4]))</f>
        <v>0</v>
      </c>
      <c r="P526" s="652">
        <f>IF($B526="",,IF(LEFT($H526,5)="dummy",SUMIFS(AvgBonus[avg_bonus],AvgBonus[job_title],$H526),SUMIFS(AvgBonus[avg_bonus],AvgBonus[exp_item],$J526,AvgBonus[company_name],$B526,AvgBonus[bu_name],$C526,AvgBonus[dept_name],$D526,AvgBonus[team_consolidation],$K526,AvgBonus[location_name],$G526,AvgBonus[job_title],$H526))*P421*SUM(BonusPayout[Month 5]))</f>
        <v>0</v>
      </c>
      <c r="Q526" s="652">
        <f>IF($B526="",,IF(LEFT($H526,5)="dummy",SUMIFS(AvgBonus[avg_bonus],AvgBonus[job_title],$H526),SUMIFS(AvgBonus[avg_bonus],AvgBonus[exp_item],$J526,AvgBonus[company_name],$B526,AvgBonus[bu_name],$C526,AvgBonus[dept_name],$D526,AvgBonus[team_consolidation],$K526,AvgBonus[location_name],$G526,AvgBonus[job_title],$H526))*Q421*SUM(BonusPayout[Month 6]))</f>
        <v>0</v>
      </c>
      <c r="R526" s="652">
        <f>IF($B526="",,IF(LEFT($H526,5)="dummy",SUMIFS(AvgBonus[avg_bonus],AvgBonus[job_title],$H526),SUMIFS(AvgBonus[avg_bonus],AvgBonus[exp_item],$J526,AvgBonus[company_name],$B526,AvgBonus[bu_name],$C526,AvgBonus[dept_name],$D526,AvgBonus[team_consolidation],$K526,AvgBonus[location_name],$G526,AvgBonus[job_title],$H526))*R421*SUM(BonusPayout[Month 7]))</f>
        <v>0</v>
      </c>
      <c r="S526" s="652">
        <f>IF($B526="",,IF(LEFT($H526,5)="dummy",SUMIFS(AvgBonus[avg_bonus],AvgBonus[job_title],$H526),SUMIFS(AvgBonus[avg_bonus],AvgBonus[exp_item],$J526,AvgBonus[company_name],$B526,AvgBonus[bu_name],$C526,AvgBonus[dept_name],$D526,AvgBonus[team_consolidation],$K526,AvgBonus[location_name],$G526,AvgBonus[job_title],$H526))*S421*SUM(BonusPayout[Month 8]))</f>
        <v>0</v>
      </c>
      <c r="T526" s="652">
        <f>IF($B526="",,IF(LEFT($H526,5)="dummy",SUMIFS(AvgBonus[avg_bonus],AvgBonus[job_title],$H526),SUMIFS(AvgBonus[avg_bonus],AvgBonus[exp_item],$J526,AvgBonus[company_name],$B526,AvgBonus[bu_name],$C526,AvgBonus[dept_name],$D526,AvgBonus[team_consolidation],$K526,AvgBonus[location_name],$G526,AvgBonus[job_title],$H526))*T421*SUM(BonusPayout[Month 9]))</f>
        <v>0</v>
      </c>
      <c r="U526" s="652">
        <f>IF($B526="",,IF(LEFT($H526,5)="dummy",SUMIFS(AvgBonus[avg_bonus],AvgBonus[job_title],$H526),SUMIFS(AvgBonus[avg_bonus],AvgBonus[exp_item],$J526,AvgBonus[company_name],$B526,AvgBonus[bu_name],$C526,AvgBonus[dept_name],$D526,AvgBonus[team_consolidation],$K526,AvgBonus[location_name],$G526,AvgBonus[job_title],$H526))*U421*SUM(BonusPayout[Month 10]))</f>
        <v>0</v>
      </c>
      <c r="V526" s="652">
        <f>IF($B526="",,IF(LEFT($H526,5)="dummy",SUMIFS(AvgBonus[avg_bonus],AvgBonus[job_title],$H526),SUMIFS(AvgBonus[avg_bonus],AvgBonus[exp_item],$J526,AvgBonus[company_name],$B526,AvgBonus[bu_name],$C526,AvgBonus[dept_name],$D526,AvgBonus[team_consolidation],$K526,AvgBonus[location_name],$G526,AvgBonus[job_title],$H526))*V421*SUM(BonusPayout[Month 11]))</f>
        <v>0</v>
      </c>
      <c r="W526" s="652">
        <f>IF($B526="",,IF(LEFT($H526,5)="dummy",SUMIFS(AvgBonus[avg_bonus],AvgBonus[job_title],$H526),SUMIFS(AvgBonus[avg_bonus],AvgBonus[exp_item],$J526,AvgBonus[company_name],$B526,AvgBonus[bu_name],$C526,AvgBonus[dept_name],$D526,AvgBonus[team_consolidation],$K526,AvgBonus[location_name],$G526,AvgBonus[job_title],$H526))*W421*SUM(BonusPayout[Month 12]))</f>
        <v>0</v>
      </c>
      <c r="X526" s="652">
        <f>IF($B526="",,IF(LEFT($H526,5)="dummy",SUMIFS(AvgBonus[avg_bonus],AvgBonus[job_title],$H526),SUMIFS(AvgBonus[avg_bonus],AvgBonus[exp_item],$J526,AvgBonus[company_name],$B526,AvgBonus[bu_name],$C526,AvgBonus[dept_name],$D526,AvgBonus[team_consolidation],$K526,AvgBonus[location_name],$G526,AvgBonus[job_title],$H526))*X421*SUM(BonusPayout[Month 13]))</f>
        <v>0</v>
      </c>
      <c r="Y526" s="652">
        <f>IF($B526="",,IF(LEFT($H526,5)="dummy",SUMIFS(AvgBonus[avg_bonus],AvgBonus[job_title],$H526),SUMIFS(AvgBonus[avg_bonus],AvgBonus[exp_item],$J526,AvgBonus[company_name],$B526,AvgBonus[bu_name],$C526,AvgBonus[dept_name],$D526,AvgBonus[team_consolidation],$K526,AvgBonus[location_name],$G526,AvgBonus[job_title],$H526))*Y421*SUM(BonusPayout[Month 14]))</f>
        <v>0</v>
      </c>
      <c r="Z526" s="652">
        <f>IF($B526="",,IF(LEFT($H526,5)="dummy",SUMIFS(AvgBonus[avg_bonus],AvgBonus[job_title],$H526),SUMIFS(AvgBonus[avg_bonus],AvgBonus[exp_item],$J526,AvgBonus[company_name],$B526,AvgBonus[bu_name],$C526,AvgBonus[dept_name],$D526,AvgBonus[team_consolidation],$K526,AvgBonus[location_name],$G526,AvgBonus[job_title],$H526))*Z421*SUM(BonusPayout[Month 15]))</f>
        <v>0</v>
      </c>
      <c r="AA526" s="652">
        <f>IF($B526="",,IF(LEFT($H526,5)="dummy",SUMIFS(AvgBonus[avg_bonus],AvgBonus[job_title],$H526),SUMIFS(AvgBonus[avg_bonus],AvgBonus[exp_item],$J526,AvgBonus[company_name],$B526,AvgBonus[bu_name],$C526,AvgBonus[dept_name],$D526,AvgBonus[team_consolidation],$K526,AvgBonus[location_name],$G526,AvgBonus[job_title],$H526))*AA421*SUM(BonusPayout[Month 16]))</f>
        <v>0</v>
      </c>
      <c r="AB526" s="652">
        <f>IF($B526="",,IF(LEFT($H526,5)="dummy",SUMIFS(AvgBonus[avg_bonus],AvgBonus[job_title],$H526),SUMIFS(AvgBonus[avg_bonus],AvgBonus[exp_item],$J526,AvgBonus[company_name],$B526,AvgBonus[bu_name],$C526,AvgBonus[dept_name],$D526,AvgBonus[team_consolidation],$K526,AvgBonus[location_name],$G526,AvgBonus[job_title],$H526))*AB421*SUM(BonusPayout[Month 17]))</f>
        <v>0</v>
      </c>
      <c r="AC526" s="652">
        <f>IF($B526="",,IF(LEFT($H526,5)="dummy",SUMIFS(AvgBonus[avg_bonus],AvgBonus[job_title],$H526),SUMIFS(AvgBonus[avg_bonus],AvgBonus[exp_item],$J526,AvgBonus[company_name],$B526,AvgBonus[bu_name],$C526,AvgBonus[dept_name],$D526,AvgBonus[team_consolidation],$K526,AvgBonus[location_name],$G526,AvgBonus[job_title],$H526))*AC421*SUM(BonusPayout[Month 18]))</f>
        <v>0</v>
      </c>
      <c r="AD526" s="652">
        <f>IF($B526="",,IF(LEFT($H526,5)="dummy",SUMIFS(AvgBonus[avg_bonus],AvgBonus[job_title],$H526),SUMIFS(AvgBonus[avg_bonus],AvgBonus[exp_item],$J526,AvgBonus[company_name],$B526,AvgBonus[bu_name],$C526,AvgBonus[dept_name],$D526,AvgBonus[team_consolidation],$K526,AvgBonus[location_name],$G526,AvgBonus[job_title],$H526))*AD421*SUM(BonusPayout[Month 19]))</f>
        <v>0</v>
      </c>
      <c r="AE526" s="652">
        <f>IF($B526="",,IF(LEFT($H526,5)="dummy",SUMIFS(AvgBonus[avg_bonus],AvgBonus[job_title],$H526),SUMIFS(AvgBonus[avg_bonus],AvgBonus[exp_item],$J526,AvgBonus[company_name],$B526,AvgBonus[bu_name],$C526,AvgBonus[dept_name],$D526,AvgBonus[team_consolidation],$K526,AvgBonus[location_name],$G526,AvgBonus[job_title],$H526))*AE421*SUM(BonusPayout[Month 20]))</f>
        <v>0</v>
      </c>
      <c r="AF526" s="652">
        <f>IF($B526="",,IF(LEFT($H526,5)="dummy",SUMIFS(AvgBonus[avg_bonus],AvgBonus[job_title],$H526),SUMIFS(AvgBonus[avg_bonus],AvgBonus[exp_item],$J526,AvgBonus[company_name],$B526,AvgBonus[bu_name],$C526,AvgBonus[dept_name],$D526,AvgBonus[team_consolidation],$K526,AvgBonus[location_name],$G526,AvgBonus[job_title],$H526))*AF421*SUM(BonusPayout[Month 21]))</f>
        <v>0</v>
      </c>
      <c r="AG526" s="652">
        <f>IF($B526="",,IF(LEFT($H526,5)="dummy",SUMIFS(AvgBonus[avg_bonus],AvgBonus[job_title],$H526),SUMIFS(AvgBonus[avg_bonus],AvgBonus[exp_item],$J526,AvgBonus[company_name],$B526,AvgBonus[bu_name],$C526,AvgBonus[dept_name],$D526,AvgBonus[team_consolidation],$K526,AvgBonus[location_name],$G526,AvgBonus[job_title],$H526))*AG421*SUM(BonusPayout[Month 22]))</f>
        <v>0</v>
      </c>
      <c r="AH526" s="652">
        <f>IF($B526="",,IF(LEFT($H526,5)="dummy",SUMIFS(AvgBonus[avg_bonus],AvgBonus[job_title],$H526),SUMIFS(AvgBonus[avg_bonus],AvgBonus[exp_item],$J526,AvgBonus[company_name],$B526,AvgBonus[bu_name],$C526,AvgBonus[dept_name],$D526,AvgBonus[team_consolidation],$K526,AvgBonus[location_name],$G526,AvgBonus[job_title],$H526))*AH421*SUM(BonusPayout[Month 23]))</f>
        <v>0</v>
      </c>
      <c r="AI526" s="652">
        <f>IF($B526="",,IF(LEFT($H526,5)="dummy",SUMIFS(AvgBonus[avg_bonus],AvgBonus[job_title],$H526),SUMIFS(AvgBonus[avg_bonus],AvgBonus[exp_item],$J526,AvgBonus[company_name],$B526,AvgBonus[bu_name],$C526,AvgBonus[dept_name],$D526,AvgBonus[team_consolidation],$K526,AvgBonus[location_name],$G526,AvgBonus[job_title],$H526))*AI421*SUM(BonusPayout[Month 24]))</f>
        <v>0</v>
      </c>
      <c r="AJ526" s="652">
        <f>IF($B526="",,IF(LEFT($H526,5)="dummy",SUMIFS(AvgBonus[avg_bonus],AvgBonus[job_title],$H526),SUMIFS(AvgBonus[avg_bonus],AvgBonus[exp_item],$J526,AvgBonus[company_name],$B526,AvgBonus[bu_name],$C526,AvgBonus[dept_name],$D526,AvgBonus[team_consolidation],$K526,AvgBonus[location_name],$G526,AvgBonus[job_title],$H526))*AJ421*SUM(BonusPayout[Month 25]))</f>
        <v>0</v>
      </c>
      <c r="AK526" s="652">
        <f>IF($B526="",,IF(LEFT($H526,5)="dummy",SUMIFS(AvgBonus[avg_bonus],AvgBonus[job_title],$H526),SUMIFS(AvgBonus[avg_bonus],AvgBonus[exp_item],$J526,AvgBonus[company_name],$B526,AvgBonus[bu_name],$C526,AvgBonus[dept_name],$D526,AvgBonus[team_consolidation],$K526,AvgBonus[location_name],$G526,AvgBonus[job_title],$H526))*AK421*SUM(BonusPayout[Month 26]))</f>
        <v>0</v>
      </c>
      <c r="AL526" s="652">
        <f>IF($B526="",,IF(LEFT($H526,5)="dummy",SUMIFS(AvgBonus[avg_bonus],AvgBonus[job_title],$H526),SUMIFS(AvgBonus[avg_bonus],AvgBonus[exp_item],$J526,AvgBonus[company_name],$B526,AvgBonus[bu_name],$C526,AvgBonus[dept_name],$D526,AvgBonus[team_consolidation],$K526,AvgBonus[location_name],$G526,AvgBonus[job_title],$H526))*AL421*SUM(BonusPayout[Month 27]))</f>
        <v>0</v>
      </c>
      <c r="AM526" s="652">
        <f>IF($B526="",,IF(LEFT($H526,5)="dummy",SUMIFS(AvgBonus[avg_bonus],AvgBonus[job_title],$H526),SUMIFS(AvgBonus[avg_bonus],AvgBonus[exp_item],$J526,AvgBonus[company_name],$B526,AvgBonus[bu_name],$C526,AvgBonus[dept_name],$D526,AvgBonus[team_consolidation],$K526,AvgBonus[location_name],$G526,AvgBonus[job_title],$H526))*AM421*SUM(BonusPayout[Month 28]))</f>
        <v>0</v>
      </c>
      <c r="AN526" s="652">
        <f>IF($B526="",,IF(LEFT($H526,5)="dummy",SUMIFS(AvgBonus[avg_bonus],AvgBonus[job_title],$H526),SUMIFS(AvgBonus[avg_bonus],AvgBonus[exp_item],$J526,AvgBonus[company_name],$B526,AvgBonus[bu_name],$C526,AvgBonus[dept_name],$D526,AvgBonus[team_consolidation],$K526,AvgBonus[location_name],$G526,AvgBonus[job_title],$H526))*AN421*SUM(BonusPayout[Month 29]))</f>
        <v>0</v>
      </c>
      <c r="AO526" s="652">
        <f>IF($B526="",,IF(LEFT($H526,5)="dummy",SUMIFS(AvgBonus[avg_bonus],AvgBonus[job_title],$H526),SUMIFS(AvgBonus[avg_bonus],AvgBonus[exp_item],$J526,AvgBonus[company_name],$B526,AvgBonus[bu_name],$C526,AvgBonus[dept_name],$D526,AvgBonus[team_consolidation],$K526,AvgBonus[location_name],$G526,AvgBonus[job_title],$H526))*AO421*SUM(BonusPayout[Month 30]))</f>
        <v>0</v>
      </c>
      <c r="AP526" s="652">
        <f>IF($B526="",,IF(LEFT($H526,5)="dummy",SUMIFS(AvgBonus[avg_bonus],AvgBonus[job_title],$H526),SUMIFS(AvgBonus[avg_bonus],AvgBonus[exp_item],$J526,AvgBonus[company_name],$B526,AvgBonus[bu_name],$C526,AvgBonus[dept_name],$D526,AvgBonus[team_consolidation],$K526,AvgBonus[location_name],$G526,AvgBonus[job_title],$H526))*AP421*SUM(BonusPayout[Month 31]))</f>
        <v>0</v>
      </c>
      <c r="AQ526" s="652">
        <f>IF($B526="",,IF(LEFT($H526,5)="dummy",SUMIFS(AvgBonus[avg_bonus],AvgBonus[job_title],$H526),SUMIFS(AvgBonus[avg_bonus],AvgBonus[exp_item],$J526,AvgBonus[company_name],$B526,AvgBonus[bu_name],$C526,AvgBonus[dept_name],$D526,AvgBonus[team_consolidation],$K526,AvgBonus[location_name],$G526,AvgBonus[job_title],$H526))*AQ421*SUM(BonusPayout[Month 32]))</f>
        <v>0</v>
      </c>
      <c r="AR526" s="652">
        <f>IF($B526="",,IF(LEFT($H526,5)="dummy",SUMIFS(AvgBonus[avg_bonus],AvgBonus[job_title],$H526),SUMIFS(AvgBonus[avg_bonus],AvgBonus[exp_item],$J526,AvgBonus[company_name],$B526,AvgBonus[bu_name],$C526,AvgBonus[dept_name],$D526,AvgBonus[team_consolidation],$K526,AvgBonus[location_name],$G526,AvgBonus[job_title],$H526))*AR421*SUM(BonusPayout[Month 33]))</f>
        <v>0</v>
      </c>
      <c r="AS526" s="652">
        <f>IF($B526="",,IF(LEFT($H526,5)="dummy",SUMIFS(AvgBonus[avg_bonus],AvgBonus[job_title],$H526),SUMIFS(AvgBonus[avg_bonus],AvgBonus[exp_item],$J526,AvgBonus[company_name],$B526,AvgBonus[bu_name],$C526,AvgBonus[dept_name],$D526,AvgBonus[team_consolidation],$K526,AvgBonus[location_name],$G526,AvgBonus[job_title],$H526))*AS421*SUM(BonusPayout[Month 34]))</f>
        <v>0</v>
      </c>
      <c r="AT526" s="652">
        <f>IF($B526="",,IF(LEFT($H526,5)="dummy",SUMIFS(AvgBonus[avg_bonus],AvgBonus[job_title],$H526),SUMIFS(AvgBonus[avg_bonus],AvgBonus[exp_item],$J526,AvgBonus[company_name],$B526,AvgBonus[bu_name],$C526,AvgBonus[dept_name],$D526,AvgBonus[team_consolidation],$K526,AvgBonus[location_name],$G526,AvgBonus[job_title],$H526))*AT421*SUM(BonusPayout[Month 35]))</f>
        <v>0</v>
      </c>
      <c r="AU526" s="652">
        <f>IF($B526="",,IF(LEFT($H526,5)="dummy",SUMIFS(AvgBonus[avg_bonus],AvgBonus[job_title],$H526),SUMIFS(AvgBonus[avg_bonus],AvgBonus[exp_item],$J526,AvgBonus[company_name],$B526,AvgBonus[bu_name],$C526,AvgBonus[dept_name],$D526,AvgBonus[team_consolidation],$K526,AvgBonus[location_name],$G526,AvgBonus[job_title],$H526))*AU421*SUM(BonusPayout[Month 36]))</f>
        <v>0</v>
      </c>
    </row>
    <row r="527" spans="2:47" x14ac:dyDescent="0.35">
      <c r="B527" t="str">
        <f t="shared" si="292"/>
        <v/>
      </c>
      <c r="C527" t="str">
        <f t="shared" ref="C527:G527" si="319">IF(C422="","",C422)</f>
        <v/>
      </c>
      <c r="D527" t="str">
        <f t="shared" si="319"/>
        <v/>
      </c>
      <c r="E527" t="str">
        <f t="shared" si="319"/>
        <v/>
      </c>
      <c r="F527" t="str">
        <f t="shared" si="319"/>
        <v/>
      </c>
      <c r="G527" t="str">
        <f t="shared" si="319"/>
        <v/>
      </c>
      <c r="H527" t="str">
        <f t="shared" si="291"/>
        <v/>
      </c>
      <c r="J527" t="str">
        <f>IF($H527="","",IF(VLOOKUP($B$500,ExpItems[],2,0),$B$500&amp;" - "&amp;INDEX(DivisionMapping[category_code],MATCH($D527&amp;$C527,DivisionMapping[dept_bu],0)),$B$500))</f>
        <v/>
      </c>
      <c r="K527" t="str">
        <f t="shared" si="294"/>
        <v/>
      </c>
      <c r="L527" s="652">
        <f>IF($B527="",,IF(LEFT($H527,5)="dummy",SUMIFS(AvgBonus[avg_bonus],AvgBonus[job_title],$H527),SUMIFS(AvgBonus[avg_bonus],AvgBonus[exp_item],$J527,AvgBonus[company_name],$B527,AvgBonus[bu_name],$C527,AvgBonus[dept_name],$D527,AvgBonus[team_consolidation],$K527,AvgBonus[location_name],$G527,AvgBonus[job_title],$H527))*L422*SUM(BonusPayout[Month 1]))</f>
        <v>0</v>
      </c>
      <c r="M527" s="652">
        <f>IF($B527="",,IF(LEFT($H527,5)="dummy",SUMIFS(AvgBonus[avg_bonus],AvgBonus[job_title],$H527),SUMIFS(AvgBonus[avg_bonus],AvgBonus[exp_item],$J527,AvgBonus[company_name],$B527,AvgBonus[bu_name],$C527,AvgBonus[dept_name],$D527,AvgBonus[team_consolidation],$K527,AvgBonus[location_name],$G527,AvgBonus[job_title],$H527))*M422*SUM(BonusPayout[Month 2]))</f>
        <v>0</v>
      </c>
      <c r="N527" s="652">
        <f>IF($B527="",,IF(LEFT($H527,5)="dummy",SUMIFS(AvgBonus[avg_bonus],AvgBonus[job_title],$H527),SUMIFS(AvgBonus[avg_bonus],AvgBonus[exp_item],$J527,AvgBonus[company_name],$B527,AvgBonus[bu_name],$C527,AvgBonus[dept_name],$D527,AvgBonus[team_consolidation],$K527,AvgBonus[location_name],$G527,AvgBonus[job_title],$H527))*N422*SUM(BonusPayout[Month 3]))</f>
        <v>0</v>
      </c>
      <c r="O527" s="652">
        <f>IF($B527="",,IF(LEFT($H527,5)="dummy",SUMIFS(AvgBonus[avg_bonus],AvgBonus[job_title],$H527),SUMIFS(AvgBonus[avg_bonus],AvgBonus[exp_item],$J527,AvgBonus[company_name],$B527,AvgBonus[bu_name],$C527,AvgBonus[dept_name],$D527,AvgBonus[team_consolidation],$K527,AvgBonus[location_name],$G527,AvgBonus[job_title],$H527))*O422*SUM(BonusPayout[Month 4]))</f>
        <v>0</v>
      </c>
      <c r="P527" s="652">
        <f>IF($B527="",,IF(LEFT($H527,5)="dummy",SUMIFS(AvgBonus[avg_bonus],AvgBonus[job_title],$H527),SUMIFS(AvgBonus[avg_bonus],AvgBonus[exp_item],$J527,AvgBonus[company_name],$B527,AvgBonus[bu_name],$C527,AvgBonus[dept_name],$D527,AvgBonus[team_consolidation],$K527,AvgBonus[location_name],$G527,AvgBonus[job_title],$H527))*P422*SUM(BonusPayout[Month 5]))</f>
        <v>0</v>
      </c>
      <c r="Q527" s="652">
        <f>IF($B527="",,IF(LEFT($H527,5)="dummy",SUMIFS(AvgBonus[avg_bonus],AvgBonus[job_title],$H527),SUMIFS(AvgBonus[avg_bonus],AvgBonus[exp_item],$J527,AvgBonus[company_name],$B527,AvgBonus[bu_name],$C527,AvgBonus[dept_name],$D527,AvgBonus[team_consolidation],$K527,AvgBonus[location_name],$G527,AvgBonus[job_title],$H527))*Q422*SUM(BonusPayout[Month 6]))</f>
        <v>0</v>
      </c>
      <c r="R527" s="652">
        <f>IF($B527="",,IF(LEFT($H527,5)="dummy",SUMIFS(AvgBonus[avg_bonus],AvgBonus[job_title],$H527),SUMIFS(AvgBonus[avg_bonus],AvgBonus[exp_item],$J527,AvgBonus[company_name],$B527,AvgBonus[bu_name],$C527,AvgBonus[dept_name],$D527,AvgBonus[team_consolidation],$K527,AvgBonus[location_name],$G527,AvgBonus[job_title],$H527))*R422*SUM(BonusPayout[Month 7]))</f>
        <v>0</v>
      </c>
      <c r="S527" s="652">
        <f>IF($B527="",,IF(LEFT($H527,5)="dummy",SUMIFS(AvgBonus[avg_bonus],AvgBonus[job_title],$H527),SUMIFS(AvgBonus[avg_bonus],AvgBonus[exp_item],$J527,AvgBonus[company_name],$B527,AvgBonus[bu_name],$C527,AvgBonus[dept_name],$D527,AvgBonus[team_consolidation],$K527,AvgBonus[location_name],$G527,AvgBonus[job_title],$H527))*S422*SUM(BonusPayout[Month 8]))</f>
        <v>0</v>
      </c>
      <c r="T527" s="652">
        <f>IF($B527="",,IF(LEFT($H527,5)="dummy",SUMIFS(AvgBonus[avg_bonus],AvgBonus[job_title],$H527),SUMIFS(AvgBonus[avg_bonus],AvgBonus[exp_item],$J527,AvgBonus[company_name],$B527,AvgBonus[bu_name],$C527,AvgBonus[dept_name],$D527,AvgBonus[team_consolidation],$K527,AvgBonus[location_name],$G527,AvgBonus[job_title],$H527))*T422*SUM(BonusPayout[Month 9]))</f>
        <v>0</v>
      </c>
      <c r="U527" s="652">
        <f>IF($B527="",,IF(LEFT($H527,5)="dummy",SUMIFS(AvgBonus[avg_bonus],AvgBonus[job_title],$H527),SUMIFS(AvgBonus[avg_bonus],AvgBonus[exp_item],$J527,AvgBonus[company_name],$B527,AvgBonus[bu_name],$C527,AvgBonus[dept_name],$D527,AvgBonus[team_consolidation],$K527,AvgBonus[location_name],$G527,AvgBonus[job_title],$H527))*U422*SUM(BonusPayout[Month 10]))</f>
        <v>0</v>
      </c>
      <c r="V527" s="652">
        <f>IF($B527="",,IF(LEFT($H527,5)="dummy",SUMIFS(AvgBonus[avg_bonus],AvgBonus[job_title],$H527),SUMIFS(AvgBonus[avg_bonus],AvgBonus[exp_item],$J527,AvgBonus[company_name],$B527,AvgBonus[bu_name],$C527,AvgBonus[dept_name],$D527,AvgBonus[team_consolidation],$K527,AvgBonus[location_name],$G527,AvgBonus[job_title],$H527))*V422*SUM(BonusPayout[Month 11]))</f>
        <v>0</v>
      </c>
      <c r="W527" s="652">
        <f>IF($B527="",,IF(LEFT($H527,5)="dummy",SUMIFS(AvgBonus[avg_bonus],AvgBonus[job_title],$H527),SUMIFS(AvgBonus[avg_bonus],AvgBonus[exp_item],$J527,AvgBonus[company_name],$B527,AvgBonus[bu_name],$C527,AvgBonus[dept_name],$D527,AvgBonus[team_consolidation],$K527,AvgBonus[location_name],$G527,AvgBonus[job_title],$H527))*W422*SUM(BonusPayout[Month 12]))</f>
        <v>0</v>
      </c>
      <c r="X527" s="652">
        <f>IF($B527="",,IF(LEFT($H527,5)="dummy",SUMIFS(AvgBonus[avg_bonus],AvgBonus[job_title],$H527),SUMIFS(AvgBonus[avg_bonus],AvgBonus[exp_item],$J527,AvgBonus[company_name],$B527,AvgBonus[bu_name],$C527,AvgBonus[dept_name],$D527,AvgBonus[team_consolidation],$K527,AvgBonus[location_name],$G527,AvgBonus[job_title],$H527))*X422*SUM(BonusPayout[Month 13]))</f>
        <v>0</v>
      </c>
      <c r="Y527" s="652">
        <f>IF($B527="",,IF(LEFT($H527,5)="dummy",SUMIFS(AvgBonus[avg_bonus],AvgBonus[job_title],$H527),SUMIFS(AvgBonus[avg_bonus],AvgBonus[exp_item],$J527,AvgBonus[company_name],$B527,AvgBonus[bu_name],$C527,AvgBonus[dept_name],$D527,AvgBonus[team_consolidation],$K527,AvgBonus[location_name],$G527,AvgBonus[job_title],$H527))*Y422*SUM(BonusPayout[Month 14]))</f>
        <v>0</v>
      </c>
      <c r="Z527" s="652">
        <f>IF($B527="",,IF(LEFT($H527,5)="dummy",SUMIFS(AvgBonus[avg_bonus],AvgBonus[job_title],$H527),SUMIFS(AvgBonus[avg_bonus],AvgBonus[exp_item],$J527,AvgBonus[company_name],$B527,AvgBonus[bu_name],$C527,AvgBonus[dept_name],$D527,AvgBonus[team_consolidation],$K527,AvgBonus[location_name],$G527,AvgBonus[job_title],$H527))*Z422*SUM(BonusPayout[Month 15]))</f>
        <v>0</v>
      </c>
      <c r="AA527" s="652">
        <f>IF($B527="",,IF(LEFT($H527,5)="dummy",SUMIFS(AvgBonus[avg_bonus],AvgBonus[job_title],$H527),SUMIFS(AvgBonus[avg_bonus],AvgBonus[exp_item],$J527,AvgBonus[company_name],$B527,AvgBonus[bu_name],$C527,AvgBonus[dept_name],$D527,AvgBonus[team_consolidation],$K527,AvgBonus[location_name],$G527,AvgBonus[job_title],$H527))*AA422*SUM(BonusPayout[Month 16]))</f>
        <v>0</v>
      </c>
      <c r="AB527" s="652">
        <f>IF($B527="",,IF(LEFT($H527,5)="dummy",SUMIFS(AvgBonus[avg_bonus],AvgBonus[job_title],$H527),SUMIFS(AvgBonus[avg_bonus],AvgBonus[exp_item],$J527,AvgBonus[company_name],$B527,AvgBonus[bu_name],$C527,AvgBonus[dept_name],$D527,AvgBonus[team_consolidation],$K527,AvgBonus[location_name],$G527,AvgBonus[job_title],$H527))*AB422*SUM(BonusPayout[Month 17]))</f>
        <v>0</v>
      </c>
      <c r="AC527" s="652">
        <f>IF($B527="",,IF(LEFT($H527,5)="dummy",SUMIFS(AvgBonus[avg_bonus],AvgBonus[job_title],$H527),SUMIFS(AvgBonus[avg_bonus],AvgBonus[exp_item],$J527,AvgBonus[company_name],$B527,AvgBonus[bu_name],$C527,AvgBonus[dept_name],$D527,AvgBonus[team_consolidation],$K527,AvgBonus[location_name],$G527,AvgBonus[job_title],$H527))*AC422*SUM(BonusPayout[Month 18]))</f>
        <v>0</v>
      </c>
      <c r="AD527" s="652">
        <f>IF($B527="",,IF(LEFT($H527,5)="dummy",SUMIFS(AvgBonus[avg_bonus],AvgBonus[job_title],$H527),SUMIFS(AvgBonus[avg_bonus],AvgBonus[exp_item],$J527,AvgBonus[company_name],$B527,AvgBonus[bu_name],$C527,AvgBonus[dept_name],$D527,AvgBonus[team_consolidation],$K527,AvgBonus[location_name],$G527,AvgBonus[job_title],$H527))*AD422*SUM(BonusPayout[Month 19]))</f>
        <v>0</v>
      </c>
      <c r="AE527" s="652">
        <f>IF($B527="",,IF(LEFT($H527,5)="dummy",SUMIFS(AvgBonus[avg_bonus],AvgBonus[job_title],$H527),SUMIFS(AvgBonus[avg_bonus],AvgBonus[exp_item],$J527,AvgBonus[company_name],$B527,AvgBonus[bu_name],$C527,AvgBonus[dept_name],$D527,AvgBonus[team_consolidation],$K527,AvgBonus[location_name],$G527,AvgBonus[job_title],$H527))*AE422*SUM(BonusPayout[Month 20]))</f>
        <v>0</v>
      </c>
      <c r="AF527" s="652">
        <f>IF($B527="",,IF(LEFT($H527,5)="dummy",SUMIFS(AvgBonus[avg_bonus],AvgBonus[job_title],$H527),SUMIFS(AvgBonus[avg_bonus],AvgBonus[exp_item],$J527,AvgBonus[company_name],$B527,AvgBonus[bu_name],$C527,AvgBonus[dept_name],$D527,AvgBonus[team_consolidation],$K527,AvgBonus[location_name],$G527,AvgBonus[job_title],$H527))*AF422*SUM(BonusPayout[Month 21]))</f>
        <v>0</v>
      </c>
      <c r="AG527" s="652">
        <f>IF($B527="",,IF(LEFT($H527,5)="dummy",SUMIFS(AvgBonus[avg_bonus],AvgBonus[job_title],$H527),SUMIFS(AvgBonus[avg_bonus],AvgBonus[exp_item],$J527,AvgBonus[company_name],$B527,AvgBonus[bu_name],$C527,AvgBonus[dept_name],$D527,AvgBonus[team_consolidation],$K527,AvgBonus[location_name],$G527,AvgBonus[job_title],$H527))*AG422*SUM(BonusPayout[Month 22]))</f>
        <v>0</v>
      </c>
      <c r="AH527" s="652">
        <f>IF($B527="",,IF(LEFT($H527,5)="dummy",SUMIFS(AvgBonus[avg_bonus],AvgBonus[job_title],$H527),SUMIFS(AvgBonus[avg_bonus],AvgBonus[exp_item],$J527,AvgBonus[company_name],$B527,AvgBonus[bu_name],$C527,AvgBonus[dept_name],$D527,AvgBonus[team_consolidation],$K527,AvgBonus[location_name],$G527,AvgBonus[job_title],$H527))*AH422*SUM(BonusPayout[Month 23]))</f>
        <v>0</v>
      </c>
      <c r="AI527" s="652">
        <f>IF($B527="",,IF(LEFT($H527,5)="dummy",SUMIFS(AvgBonus[avg_bonus],AvgBonus[job_title],$H527),SUMIFS(AvgBonus[avg_bonus],AvgBonus[exp_item],$J527,AvgBonus[company_name],$B527,AvgBonus[bu_name],$C527,AvgBonus[dept_name],$D527,AvgBonus[team_consolidation],$K527,AvgBonus[location_name],$G527,AvgBonus[job_title],$H527))*AI422*SUM(BonusPayout[Month 24]))</f>
        <v>0</v>
      </c>
      <c r="AJ527" s="652">
        <f>IF($B527="",,IF(LEFT($H527,5)="dummy",SUMIFS(AvgBonus[avg_bonus],AvgBonus[job_title],$H527),SUMIFS(AvgBonus[avg_bonus],AvgBonus[exp_item],$J527,AvgBonus[company_name],$B527,AvgBonus[bu_name],$C527,AvgBonus[dept_name],$D527,AvgBonus[team_consolidation],$K527,AvgBonus[location_name],$G527,AvgBonus[job_title],$H527))*AJ422*SUM(BonusPayout[Month 25]))</f>
        <v>0</v>
      </c>
      <c r="AK527" s="652">
        <f>IF($B527="",,IF(LEFT($H527,5)="dummy",SUMIFS(AvgBonus[avg_bonus],AvgBonus[job_title],$H527),SUMIFS(AvgBonus[avg_bonus],AvgBonus[exp_item],$J527,AvgBonus[company_name],$B527,AvgBonus[bu_name],$C527,AvgBonus[dept_name],$D527,AvgBonus[team_consolidation],$K527,AvgBonus[location_name],$G527,AvgBonus[job_title],$H527))*AK422*SUM(BonusPayout[Month 26]))</f>
        <v>0</v>
      </c>
      <c r="AL527" s="652">
        <f>IF($B527="",,IF(LEFT($H527,5)="dummy",SUMIFS(AvgBonus[avg_bonus],AvgBonus[job_title],$H527),SUMIFS(AvgBonus[avg_bonus],AvgBonus[exp_item],$J527,AvgBonus[company_name],$B527,AvgBonus[bu_name],$C527,AvgBonus[dept_name],$D527,AvgBonus[team_consolidation],$K527,AvgBonus[location_name],$G527,AvgBonus[job_title],$H527))*AL422*SUM(BonusPayout[Month 27]))</f>
        <v>0</v>
      </c>
      <c r="AM527" s="652">
        <f>IF($B527="",,IF(LEFT($H527,5)="dummy",SUMIFS(AvgBonus[avg_bonus],AvgBonus[job_title],$H527),SUMIFS(AvgBonus[avg_bonus],AvgBonus[exp_item],$J527,AvgBonus[company_name],$B527,AvgBonus[bu_name],$C527,AvgBonus[dept_name],$D527,AvgBonus[team_consolidation],$K527,AvgBonus[location_name],$G527,AvgBonus[job_title],$H527))*AM422*SUM(BonusPayout[Month 28]))</f>
        <v>0</v>
      </c>
      <c r="AN527" s="652">
        <f>IF($B527="",,IF(LEFT($H527,5)="dummy",SUMIFS(AvgBonus[avg_bonus],AvgBonus[job_title],$H527),SUMIFS(AvgBonus[avg_bonus],AvgBonus[exp_item],$J527,AvgBonus[company_name],$B527,AvgBonus[bu_name],$C527,AvgBonus[dept_name],$D527,AvgBonus[team_consolidation],$K527,AvgBonus[location_name],$G527,AvgBonus[job_title],$H527))*AN422*SUM(BonusPayout[Month 29]))</f>
        <v>0</v>
      </c>
      <c r="AO527" s="652">
        <f>IF($B527="",,IF(LEFT($H527,5)="dummy",SUMIFS(AvgBonus[avg_bonus],AvgBonus[job_title],$H527),SUMIFS(AvgBonus[avg_bonus],AvgBonus[exp_item],$J527,AvgBonus[company_name],$B527,AvgBonus[bu_name],$C527,AvgBonus[dept_name],$D527,AvgBonus[team_consolidation],$K527,AvgBonus[location_name],$G527,AvgBonus[job_title],$H527))*AO422*SUM(BonusPayout[Month 30]))</f>
        <v>0</v>
      </c>
      <c r="AP527" s="652">
        <f>IF($B527="",,IF(LEFT($H527,5)="dummy",SUMIFS(AvgBonus[avg_bonus],AvgBonus[job_title],$H527),SUMIFS(AvgBonus[avg_bonus],AvgBonus[exp_item],$J527,AvgBonus[company_name],$B527,AvgBonus[bu_name],$C527,AvgBonus[dept_name],$D527,AvgBonus[team_consolidation],$K527,AvgBonus[location_name],$G527,AvgBonus[job_title],$H527))*AP422*SUM(BonusPayout[Month 31]))</f>
        <v>0</v>
      </c>
      <c r="AQ527" s="652">
        <f>IF($B527="",,IF(LEFT($H527,5)="dummy",SUMIFS(AvgBonus[avg_bonus],AvgBonus[job_title],$H527),SUMIFS(AvgBonus[avg_bonus],AvgBonus[exp_item],$J527,AvgBonus[company_name],$B527,AvgBonus[bu_name],$C527,AvgBonus[dept_name],$D527,AvgBonus[team_consolidation],$K527,AvgBonus[location_name],$G527,AvgBonus[job_title],$H527))*AQ422*SUM(BonusPayout[Month 32]))</f>
        <v>0</v>
      </c>
      <c r="AR527" s="652">
        <f>IF($B527="",,IF(LEFT($H527,5)="dummy",SUMIFS(AvgBonus[avg_bonus],AvgBonus[job_title],$H527),SUMIFS(AvgBonus[avg_bonus],AvgBonus[exp_item],$J527,AvgBonus[company_name],$B527,AvgBonus[bu_name],$C527,AvgBonus[dept_name],$D527,AvgBonus[team_consolidation],$K527,AvgBonus[location_name],$G527,AvgBonus[job_title],$H527))*AR422*SUM(BonusPayout[Month 33]))</f>
        <v>0</v>
      </c>
      <c r="AS527" s="652">
        <f>IF($B527="",,IF(LEFT($H527,5)="dummy",SUMIFS(AvgBonus[avg_bonus],AvgBonus[job_title],$H527),SUMIFS(AvgBonus[avg_bonus],AvgBonus[exp_item],$J527,AvgBonus[company_name],$B527,AvgBonus[bu_name],$C527,AvgBonus[dept_name],$D527,AvgBonus[team_consolidation],$K527,AvgBonus[location_name],$G527,AvgBonus[job_title],$H527))*AS422*SUM(BonusPayout[Month 34]))</f>
        <v>0</v>
      </c>
      <c r="AT527" s="652">
        <f>IF($B527="",,IF(LEFT($H527,5)="dummy",SUMIFS(AvgBonus[avg_bonus],AvgBonus[job_title],$H527),SUMIFS(AvgBonus[avg_bonus],AvgBonus[exp_item],$J527,AvgBonus[company_name],$B527,AvgBonus[bu_name],$C527,AvgBonus[dept_name],$D527,AvgBonus[team_consolidation],$K527,AvgBonus[location_name],$G527,AvgBonus[job_title],$H527))*AT422*SUM(BonusPayout[Month 35]))</f>
        <v>0</v>
      </c>
      <c r="AU527" s="652">
        <f>IF($B527="",,IF(LEFT($H527,5)="dummy",SUMIFS(AvgBonus[avg_bonus],AvgBonus[job_title],$H527),SUMIFS(AvgBonus[avg_bonus],AvgBonus[exp_item],$J527,AvgBonus[company_name],$B527,AvgBonus[bu_name],$C527,AvgBonus[dept_name],$D527,AvgBonus[team_consolidation],$K527,AvgBonus[location_name],$G527,AvgBonus[job_title],$H527))*AU422*SUM(BonusPayout[Month 36]))</f>
        <v>0</v>
      </c>
    </row>
    <row r="528" spans="2:47" x14ac:dyDescent="0.35">
      <c r="B528" t="str">
        <f t="shared" si="292"/>
        <v/>
      </c>
      <c r="C528" t="str">
        <f t="shared" ref="C528:G528" si="320">IF(C423="","",C423)</f>
        <v/>
      </c>
      <c r="D528" t="str">
        <f t="shared" si="320"/>
        <v/>
      </c>
      <c r="E528" t="str">
        <f t="shared" si="320"/>
        <v/>
      </c>
      <c r="F528" t="str">
        <f t="shared" si="320"/>
        <v/>
      </c>
      <c r="G528" t="str">
        <f t="shared" si="320"/>
        <v/>
      </c>
      <c r="H528" t="str">
        <f t="shared" si="291"/>
        <v/>
      </c>
      <c r="J528" t="str">
        <f>IF($H528="","",IF(VLOOKUP($B$500,ExpItems[],2,0),$B$500&amp;" - "&amp;INDEX(DivisionMapping[category_code],MATCH($D528&amp;$C528,DivisionMapping[dept_bu],0)),$B$500))</f>
        <v/>
      </c>
      <c r="K528" t="str">
        <f t="shared" si="294"/>
        <v/>
      </c>
      <c r="L528" s="652">
        <f>IF($B528="",,IF(LEFT($H528,5)="dummy",SUMIFS(AvgBonus[avg_bonus],AvgBonus[job_title],$H528),SUMIFS(AvgBonus[avg_bonus],AvgBonus[exp_item],$J528,AvgBonus[company_name],$B528,AvgBonus[bu_name],$C528,AvgBonus[dept_name],$D528,AvgBonus[team_consolidation],$K528,AvgBonus[location_name],$G528,AvgBonus[job_title],$H528))*L423*SUM(BonusPayout[Month 1]))</f>
        <v>0</v>
      </c>
      <c r="M528" s="652">
        <f>IF($B528="",,IF(LEFT($H528,5)="dummy",SUMIFS(AvgBonus[avg_bonus],AvgBonus[job_title],$H528),SUMIFS(AvgBonus[avg_bonus],AvgBonus[exp_item],$J528,AvgBonus[company_name],$B528,AvgBonus[bu_name],$C528,AvgBonus[dept_name],$D528,AvgBonus[team_consolidation],$K528,AvgBonus[location_name],$G528,AvgBonus[job_title],$H528))*M423*SUM(BonusPayout[Month 2]))</f>
        <v>0</v>
      </c>
      <c r="N528" s="652">
        <f>IF($B528="",,IF(LEFT($H528,5)="dummy",SUMIFS(AvgBonus[avg_bonus],AvgBonus[job_title],$H528),SUMIFS(AvgBonus[avg_bonus],AvgBonus[exp_item],$J528,AvgBonus[company_name],$B528,AvgBonus[bu_name],$C528,AvgBonus[dept_name],$D528,AvgBonus[team_consolidation],$K528,AvgBonus[location_name],$G528,AvgBonus[job_title],$H528))*N423*SUM(BonusPayout[Month 3]))</f>
        <v>0</v>
      </c>
      <c r="O528" s="652">
        <f>IF($B528="",,IF(LEFT($H528,5)="dummy",SUMIFS(AvgBonus[avg_bonus],AvgBonus[job_title],$H528),SUMIFS(AvgBonus[avg_bonus],AvgBonus[exp_item],$J528,AvgBonus[company_name],$B528,AvgBonus[bu_name],$C528,AvgBonus[dept_name],$D528,AvgBonus[team_consolidation],$K528,AvgBonus[location_name],$G528,AvgBonus[job_title],$H528))*O423*SUM(BonusPayout[Month 4]))</f>
        <v>0</v>
      </c>
      <c r="P528" s="652">
        <f>IF($B528="",,IF(LEFT($H528,5)="dummy",SUMIFS(AvgBonus[avg_bonus],AvgBonus[job_title],$H528),SUMIFS(AvgBonus[avg_bonus],AvgBonus[exp_item],$J528,AvgBonus[company_name],$B528,AvgBonus[bu_name],$C528,AvgBonus[dept_name],$D528,AvgBonus[team_consolidation],$K528,AvgBonus[location_name],$G528,AvgBonus[job_title],$H528))*P423*SUM(BonusPayout[Month 5]))</f>
        <v>0</v>
      </c>
      <c r="Q528" s="652">
        <f>IF($B528="",,IF(LEFT($H528,5)="dummy",SUMIFS(AvgBonus[avg_bonus],AvgBonus[job_title],$H528),SUMIFS(AvgBonus[avg_bonus],AvgBonus[exp_item],$J528,AvgBonus[company_name],$B528,AvgBonus[bu_name],$C528,AvgBonus[dept_name],$D528,AvgBonus[team_consolidation],$K528,AvgBonus[location_name],$G528,AvgBonus[job_title],$H528))*Q423*SUM(BonusPayout[Month 6]))</f>
        <v>0</v>
      </c>
      <c r="R528" s="652">
        <f>IF($B528="",,IF(LEFT($H528,5)="dummy",SUMIFS(AvgBonus[avg_bonus],AvgBonus[job_title],$H528),SUMIFS(AvgBonus[avg_bonus],AvgBonus[exp_item],$J528,AvgBonus[company_name],$B528,AvgBonus[bu_name],$C528,AvgBonus[dept_name],$D528,AvgBonus[team_consolidation],$K528,AvgBonus[location_name],$G528,AvgBonus[job_title],$H528))*R423*SUM(BonusPayout[Month 7]))</f>
        <v>0</v>
      </c>
      <c r="S528" s="652">
        <f>IF($B528="",,IF(LEFT($H528,5)="dummy",SUMIFS(AvgBonus[avg_bonus],AvgBonus[job_title],$H528),SUMIFS(AvgBonus[avg_bonus],AvgBonus[exp_item],$J528,AvgBonus[company_name],$B528,AvgBonus[bu_name],$C528,AvgBonus[dept_name],$D528,AvgBonus[team_consolidation],$K528,AvgBonus[location_name],$G528,AvgBonus[job_title],$H528))*S423*SUM(BonusPayout[Month 8]))</f>
        <v>0</v>
      </c>
      <c r="T528" s="652">
        <f>IF($B528="",,IF(LEFT($H528,5)="dummy",SUMIFS(AvgBonus[avg_bonus],AvgBonus[job_title],$H528),SUMIFS(AvgBonus[avg_bonus],AvgBonus[exp_item],$J528,AvgBonus[company_name],$B528,AvgBonus[bu_name],$C528,AvgBonus[dept_name],$D528,AvgBonus[team_consolidation],$K528,AvgBonus[location_name],$G528,AvgBonus[job_title],$H528))*T423*SUM(BonusPayout[Month 9]))</f>
        <v>0</v>
      </c>
      <c r="U528" s="652">
        <f>IF($B528="",,IF(LEFT($H528,5)="dummy",SUMIFS(AvgBonus[avg_bonus],AvgBonus[job_title],$H528),SUMIFS(AvgBonus[avg_bonus],AvgBonus[exp_item],$J528,AvgBonus[company_name],$B528,AvgBonus[bu_name],$C528,AvgBonus[dept_name],$D528,AvgBonus[team_consolidation],$K528,AvgBonus[location_name],$G528,AvgBonus[job_title],$H528))*U423*SUM(BonusPayout[Month 10]))</f>
        <v>0</v>
      </c>
      <c r="V528" s="652">
        <f>IF($B528="",,IF(LEFT($H528,5)="dummy",SUMIFS(AvgBonus[avg_bonus],AvgBonus[job_title],$H528),SUMIFS(AvgBonus[avg_bonus],AvgBonus[exp_item],$J528,AvgBonus[company_name],$B528,AvgBonus[bu_name],$C528,AvgBonus[dept_name],$D528,AvgBonus[team_consolidation],$K528,AvgBonus[location_name],$G528,AvgBonus[job_title],$H528))*V423*SUM(BonusPayout[Month 11]))</f>
        <v>0</v>
      </c>
      <c r="W528" s="652">
        <f>IF($B528="",,IF(LEFT($H528,5)="dummy",SUMIFS(AvgBonus[avg_bonus],AvgBonus[job_title],$H528),SUMIFS(AvgBonus[avg_bonus],AvgBonus[exp_item],$J528,AvgBonus[company_name],$B528,AvgBonus[bu_name],$C528,AvgBonus[dept_name],$D528,AvgBonus[team_consolidation],$K528,AvgBonus[location_name],$G528,AvgBonus[job_title],$H528))*W423*SUM(BonusPayout[Month 12]))</f>
        <v>0</v>
      </c>
      <c r="X528" s="652">
        <f>IF($B528="",,IF(LEFT($H528,5)="dummy",SUMIFS(AvgBonus[avg_bonus],AvgBonus[job_title],$H528),SUMIFS(AvgBonus[avg_bonus],AvgBonus[exp_item],$J528,AvgBonus[company_name],$B528,AvgBonus[bu_name],$C528,AvgBonus[dept_name],$D528,AvgBonus[team_consolidation],$K528,AvgBonus[location_name],$G528,AvgBonus[job_title],$H528))*X423*SUM(BonusPayout[Month 13]))</f>
        <v>0</v>
      </c>
      <c r="Y528" s="652">
        <f>IF($B528="",,IF(LEFT($H528,5)="dummy",SUMIFS(AvgBonus[avg_bonus],AvgBonus[job_title],$H528),SUMIFS(AvgBonus[avg_bonus],AvgBonus[exp_item],$J528,AvgBonus[company_name],$B528,AvgBonus[bu_name],$C528,AvgBonus[dept_name],$D528,AvgBonus[team_consolidation],$K528,AvgBonus[location_name],$G528,AvgBonus[job_title],$H528))*Y423*SUM(BonusPayout[Month 14]))</f>
        <v>0</v>
      </c>
      <c r="Z528" s="652">
        <f>IF($B528="",,IF(LEFT($H528,5)="dummy",SUMIFS(AvgBonus[avg_bonus],AvgBonus[job_title],$H528),SUMIFS(AvgBonus[avg_bonus],AvgBonus[exp_item],$J528,AvgBonus[company_name],$B528,AvgBonus[bu_name],$C528,AvgBonus[dept_name],$D528,AvgBonus[team_consolidation],$K528,AvgBonus[location_name],$G528,AvgBonus[job_title],$H528))*Z423*SUM(BonusPayout[Month 15]))</f>
        <v>0</v>
      </c>
      <c r="AA528" s="652">
        <f>IF($B528="",,IF(LEFT($H528,5)="dummy",SUMIFS(AvgBonus[avg_bonus],AvgBonus[job_title],$H528),SUMIFS(AvgBonus[avg_bonus],AvgBonus[exp_item],$J528,AvgBonus[company_name],$B528,AvgBonus[bu_name],$C528,AvgBonus[dept_name],$D528,AvgBonus[team_consolidation],$K528,AvgBonus[location_name],$G528,AvgBonus[job_title],$H528))*AA423*SUM(BonusPayout[Month 16]))</f>
        <v>0</v>
      </c>
      <c r="AB528" s="652">
        <f>IF($B528="",,IF(LEFT($H528,5)="dummy",SUMIFS(AvgBonus[avg_bonus],AvgBonus[job_title],$H528),SUMIFS(AvgBonus[avg_bonus],AvgBonus[exp_item],$J528,AvgBonus[company_name],$B528,AvgBonus[bu_name],$C528,AvgBonus[dept_name],$D528,AvgBonus[team_consolidation],$K528,AvgBonus[location_name],$G528,AvgBonus[job_title],$H528))*AB423*SUM(BonusPayout[Month 17]))</f>
        <v>0</v>
      </c>
      <c r="AC528" s="652">
        <f>IF($B528="",,IF(LEFT($H528,5)="dummy",SUMIFS(AvgBonus[avg_bonus],AvgBonus[job_title],$H528),SUMIFS(AvgBonus[avg_bonus],AvgBonus[exp_item],$J528,AvgBonus[company_name],$B528,AvgBonus[bu_name],$C528,AvgBonus[dept_name],$D528,AvgBonus[team_consolidation],$K528,AvgBonus[location_name],$G528,AvgBonus[job_title],$H528))*AC423*SUM(BonusPayout[Month 18]))</f>
        <v>0</v>
      </c>
      <c r="AD528" s="652">
        <f>IF($B528="",,IF(LEFT($H528,5)="dummy",SUMIFS(AvgBonus[avg_bonus],AvgBonus[job_title],$H528),SUMIFS(AvgBonus[avg_bonus],AvgBonus[exp_item],$J528,AvgBonus[company_name],$B528,AvgBonus[bu_name],$C528,AvgBonus[dept_name],$D528,AvgBonus[team_consolidation],$K528,AvgBonus[location_name],$G528,AvgBonus[job_title],$H528))*AD423*SUM(BonusPayout[Month 19]))</f>
        <v>0</v>
      </c>
      <c r="AE528" s="652">
        <f>IF($B528="",,IF(LEFT($H528,5)="dummy",SUMIFS(AvgBonus[avg_bonus],AvgBonus[job_title],$H528),SUMIFS(AvgBonus[avg_bonus],AvgBonus[exp_item],$J528,AvgBonus[company_name],$B528,AvgBonus[bu_name],$C528,AvgBonus[dept_name],$D528,AvgBonus[team_consolidation],$K528,AvgBonus[location_name],$G528,AvgBonus[job_title],$H528))*AE423*SUM(BonusPayout[Month 20]))</f>
        <v>0</v>
      </c>
      <c r="AF528" s="652">
        <f>IF($B528="",,IF(LEFT($H528,5)="dummy",SUMIFS(AvgBonus[avg_bonus],AvgBonus[job_title],$H528),SUMIFS(AvgBonus[avg_bonus],AvgBonus[exp_item],$J528,AvgBonus[company_name],$B528,AvgBonus[bu_name],$C528,AvgBonus[dept_name],$D528,AvgBonus[team_consolidation],$K528,AvgBonus[location_name],$G528,AvgBonus[job_title],$H528))*AF423*SUM(BonusPayout[Month 21]))</f>
        <v>0</v>
      </c>
      <c r="AG528" s="652">
        <f>IF($B528="",,IF(LEFT($H528,5)="dummy",SUMIFS(AvgBonus[avg_bonus],AvgBonus[job_title],$H528),SUMIFS(AvgBonus[avg_bonus],AvgBonus[exp_item],$J528,AvgBonus[company_name],$B528,AvgBonus[bu_name],$C528,AvgBonus[dept_name],$D528,AvgBonus[team_consolidation],$K528,AvgBonus[location_name],$G528,AvgBonus[job_title],$H528))*AG423*SUM(BonusPayout[Month 22]))</f>
        <v>0</v>
      </c>
      <c r="AH528" s="652">
        <f>IF($B528="",,IF(LEFT($H528,5)="dummy",SUMIFS(AvgBonus[avg_bonus],AvgBonus[job_title],$H528),SUMIFS(AvgBonus[avg_bonus],AvgBonus[exp_item],$J528,AvgBonus[company_name],$B528,AvgBonus[bu_name],$C528,AvgBonus[dept_name],$D528,AvgBonus[team_consolidation],$K528,AvgBonus[location_name],$G528,AvgBonus[job_title],$H528))*AH423*SUM(BonusPayout[Month 23]))</f>
        <v>0</v>
      </c>
      <c r="AI528" s="652">
        <f>IF($B528="",,IF(LEFT($H528,5)="dummy",SUMIFS(AvgBonus[avg_bonus],AvgBonus[job_title],$H528),SUMIFS(AvgBonus[avg_bonus],AvgBonus[exp_item],$J528,AvgBonus[company_name],$B528,AvgBonus[bu_name],$C528,AvgBonus[dept_name],$D528,AvgBonus[team_consolidation],$K528,AvgBonus[location_name],$G528,AvgBonus[job_title],$H528))*AI423*SUM(BonusPayout[Month 24]))</f>
        <v>0</v>
      </c>
      <c r="AJ528" s="652">
        <f>IF($B528="",,IF(LEFT($H528,5)="dummy",SUMIFS(AvgBonus[avg_bonus],AvgBonus[job_title],$H528),SUMIFS(AvgBonus[avg_bonus],AvgBonus[exp_item],$J528,AvgBonus[company_name],$B528,AvgBonus[bu_name],$C528,AvgBonus[dept_name],$D528,AvgBonus[team_consolidation],$K528,AvgBonus[location_name],$G528,AvgBonus[job_title],$H528))*AJ423*SUM(BonusPayout[Month 25]))</f>
        <v>0</v>
      </c>
      <c r="AK528" s="652">
        <f>IF($B528="",,IF(LEFT($H528,5)="dummy",SUMIFS(AvgBonus[avg_bonus],AvgBonus[job_title],$H528),SUMIFS(AvgBonus[avg_bonus],AvgBonus[exp_item],$J528,AvgBonus[company_name],$B528,AvgBonus[bu_name],$C528,AvgBonus[dept_name],$D528,AvgBonus[team_consolidation],$K528,AvgBonus[location_name],$G528,AvgBonus[job_title],$H528))*AK423*SUM(BonusPayout[Month 26]))</f>
        <v>0</v>
      </c>
      <c r="AL528" s="652">
        <f>IF($B528="",,IF(LEFT($H528,5)="dummy",SUMIFS(AvgBonus[avg_bonus],AvgBonus[job_title],$H528),SUMIFS(AvgBonus[avg_bonus],AvgBonus[exp_item],$J528,AvgBonus[company_name],$B528,AvgBonus[bu_name],$C528,AvgBonus[dept_name],$D528,AvgBonus[team_consolidation],$K528,AvgBonus[location_name],$G528,AvgBonus[job_title],$H528))*AL423*SUM(BonusPayout[Month 27]))</f>
        <v>0</v>
      </c>
      <c r="AM528" s="652">
        <f>IF($B528="",,IF(LEFT($H528,5)="dummy",SUMIFS(AvgBonus[avg_bonus],AvgBonus[job_title],$H528),SUMIFS(AvgBonus[avg_bonus],AvgBonus[exp_item],$J528,AvgBonus[company_name],$B528,AvgBonus[bu_name],$C528,AvgBonus[dept_name],$D528,AvgBonus[team_consolidation],$K528,AvgBonus[location_name],$G528,AvgBonus[job_title],$H528))*AM423*SUM(BonusPayout[Month 28]))</f>
        <v>0</v>
      </c>
      <c r="AN528" s="652">
        <f>IF($B528="",,IF(LEFT($H528,5)="dummy",SUMIFS(AvgBonus[avg_bonus],AvgBonus[job_title],$H528),SUMIFS(AvgBonus[avg_bonus],AvgBonus[exp_item],$J528,AvgBonus[company_name],$B528,AvgBonus[bu_name],$C528,AvgBonus[dept_name],$D528,AvgBonus[team_consolidation],$K528,AvgBonus[location_name],$G528,AvgBonus[job_title],$H528))*AN423*SUM(BonusPayout[Month 29]))</f>
        <v>0</v>
      </c>
      <c r="AO528" s="652">
        <f>IF($B528="",,IF(LEFT($H528,5)="dummy",SUMIFS(AvgBonus[avg_bonus],AvgBonus[job_title],$H528),SUMIFS(AvgBonus[avg_bonus],AvgBonus[exp_item],$J528,AvgBonus[company_name],$B528,AvgBonus[bu_name],$C528,AvgBonus[dept_name],$D528,AvgBonus[team_consolidation],$K528,AvgBonus[location_name],$G528,AvgBonus[job_title],$H528))*AO423*SUM(BonusPayout[Month 30]))</f>
        <v>0</v>
      </c>
      <c r="AP528" s="652">
        <f>IF($B528="",,IF(LEFT($H528,5)="dummy",SUMIFS(AvgBonus[avg_bonus],AvgBonus[job_title],$H528),SUMIFS(AvgBonus[avg_bonus],AvgBonus[exp_item],$J528,AvgBonus[company_name],$B528,AvgBonus[bu_name],$C528,AvgBonus[dept_name],$D528,AvgBonus[team_consolidation],$K528,AvgBonus[location_name],$G528,AvgBonus[job_title],$H528))*AP423*SUM(BonusPayout[Month 31]))</f>
        <v>0</v>
      </c>
      <c r="AQ528" s="652">
        <f>IF($B528="",,IF(LEFT($H528,5)="dummy",SUMIFS(AvgBonus[avg_bonus],AvgBonus[job_title],$H528),SUMIFS(AvgBonus[avg_bonus],AvgBonus[exp_item],$J528,AvgBonus[company_name],$B528,AvgBonus[bu_name],$C528,AvgBonus[dept_name],$D528,AvgBonus[team_consolidation],$K528,AvgBonus[location_name],$G528,AvgBonus[job_title],$H528))*AQ423*SUM(BonusPayout[Month 32]))</f>
        <v>0</v>
      </c>
      <c r="AR528" s="652">
        <f>IF($B528="",,IF(LEFT($H528,5)="dummy",SUMIFS(AvgBonus[avg_bonus],AvgBonus[job_title],$H528),SUMIFS(AvgBonus[avg_bonus],AvgBonus[exp_item],$J528,AvgBonus[company_name],$B528,AvgBonus[bu_name],$C528,AvgBonus[dept_name],$D528,AvgBonus[team_consolidation],$K528,AvgBonus[location_name],$G528,AvgBonus[job_title],$H528))*AR423*SUM(BonusPayout[Month 33]))</f>
        <v>0</v>
      </c>
      <c r="AS528" s="652">
        <f>IF($B528="",,IF(LEFT($H528,5)="dummy",SUMIFS(AvgBonus[avg_bonus],AvgBonus[job_title],$H528),SUMIFS(AvgBonus[avg_bonus],AvgBonus[exp_item],$J528,AvgBonus[company_name],$B528,AvgBonus[bu_name],$C528,AvgBonus[dept_name],$D528,AvgBonus[team_consolidation],$K528,AvgBonus[location_name],$G528,AvgBonus[job_title],$H528))*AS423*SUM(BonusPayout[Month 34]))</f>
        <v>0</v>
      </c>
      <c r="AT528" s="652">
        <f>IF($B528="",,IF(LEFT($H528,5)="dummy",SUMIFS(AvgBonus[avg_bonus],AvgBonus[job_title],$H528),SUMIFS(AvgBonus[avg_bonus],AvgBonus[exp_item],$J528,AvgBonus[company_name],$B528,AvgBonus[bu_name],$C528,AvgBonus[dept_name],$D528,AvgBonus[team_consolidation],$K528,AvgBonus[location_name],$G528,AvgBonus[job_title],$H528))*AT423*SUM(BonusPayout[Month 35]))</f>
        <v>0</v>
      </c>
      <c r="AU528" s="652">
        <f>IF($B528="",,IF(LEFT($H528,5)="dummy",SUMIFS(AvgBonus[avg_bonus],AvgBonus[job_title],$H528),SUMIFS(AvgBonus[avg_bonus],AvgBonus[exp_item],$J528,AvgBonus[company_name],$B528,AvgBonus[bu_name],$C528,AvgBonus[dept_name],$D528,AvgBonus[team_consolidation],$K528,AvgBonus[location_name],$G528,AvgBonus[job_title],$H528))*AU423*SUM(BonusPayout[Month 36]))</f>
        <v>0</v>
      </c>
    </row>
    <row r="529" spans="2:47" x14ac:dyDescent="0.35">
      <c r="B529" t="str">
        <f t="shared" si="292"/>
        <v/>
      </c>
      <c r="C529" t="str">
        <f t="shared" ref="C529:G529" si="321">IF(C424="","",C424)</f>
        <v/>
      </c>
      <c r="D529" t="str">
        <f t="shared" si="321"/>
        <v/>
      </c>
      <c r="E529" t="str">
        <f t="shared" si="321"/>
        <v/>
      </c>
      <c r="F529" t="str">
        <f t="shared" si="321"/>
        <v/>
      </c>
      <c r="G529" t="str">
        <f t="shared" si="321"/>
        <v/>
      </c>
      <c r="H529" t="str">
        <f t="shared" si="291"/>
        <v/>
      </c>
      <c r="J529" t="str">
        <f>IF($H529="","",IF(VLOOKUP($B$500,ExpItems[],2,0),$B$500&amp;" - "&amp;INDEX(DivisionMapping[category_code],MATCH($D529&amp;$C529,DivisionMapping[dept_bu],0)),$B$500))</f>
        <v/>
      </c>
      <c r="K529" t="str">
        <f t="shared" si="294"/>
        <v/>
      </c>
      <c r="L529" s="652">
        <f>IF($B529="",,IF(LEFT($H529,5)="dummy",SUMIFS(AvgBonus[avg_bonus],AvgBonus[job_title],$H529),SUMIFS(AvgBonus[avg_bonus],AvgBonus[exp_item],$J529,AvgBonus[company_name],$B529,AvgBonus[bu_name],$C529,AvgBonus[dept_name],$D529,AvgBonus[team_consolidation],$K529,AvgBonus[location_name],$G529,AvgBonus[job_title],$H529))*L424*SUM(BonusPayout[Month 1]))</f>
        <v>0</v>
      </c>
      <c r="M529" s="652">
        <f>IF($B529="",,IF(LEFT($H529,5)="dummy",SUMIFS(AvgBonus[avg_bonus],AvgBonus[job_title],$H529),SUMIFS(AvgBonus[avg_bonus],AvgBonus[exp_item],$J529,AvgBonus[company_name],$B529,AvgBonus[bu_name],$C529,AvgBonus[dept_name],$D529,AvgBonus[team_consolidation],$K529,AvgBonus[location_name],$G529,AvgBonus[job_title],$H529))*M424*SUM(BonusPayout[Month 2]))</f>
        <v>0</v>
      </c>
      <c r="N529" s="652">
        <f>IF($B529="",,IF(LEFT($H529,5)="dummy",SUMIFS(AvgBonus[avg_bonus],AvgBonus[job_title],$H529),SUMIFS(AvgBonus[avg_bonus],AvgBonus[exp_item],$J529,AvgBonus[company_name],$B529,AvgBonus[bu_name],$C529,AvgBonus[dept_name],$D529,AvgBonus[team_consolidation],$K529,AvgBonus[location_name],$G529,AvgBonus[job_title],$H529))*N424*SUM(BonusPayout[Month 3]))</f>
        <v>0</v>
      </c>
      <c r="O529" s="652">
        <f>IF($B529="",,IF(LEFT($H529,5)="dummy",SUMIFS(AvgBonus[avg_bonus],AvgBonus[job_title],$H529),SUMIFS(AvgBonus[avg_bonus],AvgBonus[exp_item],$J529,AvgBonus[company_name],$B529,AvgBonus[bu_name],$C529,AvgBonus[dept_name],$D529,AvgBonus[team_consolidation],$K529,AvgBonus[location_name],$G529,AvgBonus[job_title],$H529))*O424*SUM(BonusPayout[Month 4]))</f>
        <v>0</v>
      </c>
      <c r="P529" s="652">
        <f>IF($B529="",,IF(LEFT($H529,5)="dummy",SUMIFS(AvgBonus[avg_bonus],AvgBonus[job_title],$H529),SUMIFS(AvgBonus[avg_bonus],AvgBonus[exp_item],$J529,AvgBonus[company_name],$B529,AvgBonus[bu_name],$C529,AvgBonus[dept_name],$D529,AvgBonus[team_consolidation],$K529,AvgBonus[location_name],$G529,AvgBonus[job_title],$H529))*P424*SUM(BonusPayout[Month 5]))</f>
        <v>0</v>
      </c>
      <c r="Q529" s="652">
        <f>IF($B529="",,IF(LEFT($H529,5)="dummy",SUMIFS(AvgBonus[avg_bonus],AvgBonus[job_title],$H529),SUMIFS(AvgBonus[avg_bonus],AvgBonus[exp_item],$J529,AvgBonus[company_name],$B529,AvgBonus[bu_name],$C529,AvgBonus[dept_name],$D529,AvgBonus[team_consolidation],$K529,AvgBonus[location_name],$G529,AvgBonus[job_title],$H529))*Q424*SUM(BonusPayout[Month 6]))</f>
        <v>0</v>
      </c>
      <c r="R529" s="652">
        <f>IF($B529="",,IF(LEFT($H529,5)="dummy",SUMIFS(AvgBonus[avg_bonus],AvgBonus[job_title],$H529),SUMIFS(AvgBonus[avg_bonus],AvgBonus[exp_item],$J529,AvgBonus[company_name],$B529,AvgBonus[bu_name],$C529,AvgBonus[dept_name],$D529,AvgBonus[team_consolidation],$K529,AvgBonus[location_name],$G529,AvgBonus[job_title],$H529))*R424*SUM(BonusPayout[Month 7]))</f>
        <v>0</v>
      </c>
      <c r="S529" s="652">
        <f>IF($B529="",,IF(LEFT($H529,5)="dummy",SUMIFS(AvgBonus[avg_bonus],AvgBonus[job_title],$H529),SUMIFS(AvgBonus[avg_bonus],AvgBonus[exp_item],$J529,AvgBonus[company_name],$B529,AvgBonus[bu_name],$C529,AvgBonus[dept_name],$D529,AvgBonus[team_consolidation],$K529,AvgBonus[location_name],$G529,AvgBonus[job_title],$H529))*S424*SUM(BonusPayout[Month 8]))</f>
        <v>0</v>
      </c>
      <c r="T529" s="652">
        <f>IF($B529="",,IF(LEFT($H529,5)="dummy",SUMIFS(AvgBonus[avg_bonus],AvgBonus[job_title],$H529),SUMIFS(AvgBonus[avg_bonus],AvgBonus[exp_item],$J529,AvgBonus[company_name],$B529,AvgBonus[bu_name],$C529,AvgBonus[dept_name],$D529,AvgBonus[team_consolidation],$K529,AvgBonus[location_name],$G529,AvgBonus[job_title],$H529))*T424*SUM(BonusPayout[Month 9]))</f>
        <v>0</v>
      </c>
      <c r="U529" s="652">
        <f>IF($B529="",,IF(LEFT($H529,5)="dummy",SUMIFS(AvgBonus[avg_bonus],AvgBonus[job_title],$H529),SUMIFS(AvgBonus[avg_bonus],AvgBonus[exp_item],$J529,AvgBonus[company_name],$B529,AvgBonus[bu_name],$C529,AvgBonus[dept_name],$D529,AvgBonus[team_consolidation],$K529,AvgBonus[location_name],$G529,AvgBonus[job_title],$H529))*U424*SUM(BonusPayout[Month 10]))</f>
        <v>0</v>
      </c>
      <c r="V529" s="652">
        <f>IF($B529="",,IF(LEFT($H529,5)="dummy",SUMIFS(AvgBonus[avg_bonus],AvgBonus[job_title],$H529),SUMIFS(AvgBonus[avg_bonus],AvgBonus[exp_item],$J529,AvgBonus[company_name],$B529,AvgBonus[bu_name],$C529,AvgBonus[dept_name],$D529,AvgBonus[team_consolidation],$K529,AvgBonus[location_name],$G529,AvgBonus[job_title],$H529))*V424*SUM(BonusPayout[Month 11]))</f>
        <v>0</v>
      </c>
      <c r="W529" s="652">
        <f>IF($B529="",,IF(LEFT($H529,5)="dummy",SUMIFS(AvgBonus[avg_bonus],AvgBonus[job_title],$H529),SUMIFS(AvgBonus[avg_bonus],AvgBonus[exp_item],$J529,AvgBonus[company_name],$B529,AvgBonus[bu_name],$C529,AvgBonus[dept_name],$D529,AvgBonus[team_consolidation],$K529,AvgBonus[location_name],$G529,AvgBonus[job_title],$H529))*W424*SUM(BonusPayout[Month 12]))</f>
        <v>0</v>
      </c>
      <c r="X529" s="652">
        <f>IF($B529="",,IF(LEFT($H529,5)="dummy",SUMIFS(AvgBonus[avg_bonus],AvgBonus[job_title],$H529),SUMIFS(AvgBonus[avg_bonus],AvgBonus[exp_item],$J529,AvgBonus[company_name],$B529,AvgBonus[bu_name],$C529,AvgBonus[dept_name],$D529,AvgBonus[team_consolidation],$K529,AvgBonus[location_name],$G529,AvgBonus[job_title],$H529))*X424*SUM(BonusPayout[Month 13]))</f>
        <v>0</v>
      </c>
      <c r="Y529" s="652">
        <f>IF($B529="",,IF(LEFT($H529,5)="dummy",SUMIFS(AvgBonus[avg_bonus],AvgBonus[job_title],$H529),SUMIFS(AvgBonus[avg_bonus],AvgBonus[exp_item],$J529,AvgBonus[company_name],$B529,AvgBonus[bu_name],$C529,AvgBonus[dept_name],$D529,AvgBonus[team_consolidation],$K529,AvgBonus[location_name],$G529,AvgBonus[job_title],$H529))*Y424*SUM(BonusPayout[Month 14]))</f>
        <v>0</v>
      </c>
      <c r="Z529" s="652">
        <f>IF($B529="",,IF(LEFT($H529,5)="dummy",SUMIFS(AvgBonus[avg_bonus],AvgBonus[job_title],$H529),SUMIFS(AvgBonus[avg_bonus],AvgBonus[exp_item],$J529,AvgBonus[company_name],$B529,AvgBonus[bu_name],$C529,AvgBonus[dept_name],$D529,AvgBonus[team_consolidation],$K529,AvgBonus[location_name],$G529,AvgBonus[job_title],$H529))*Z424*SUM(BonusPayout[Month 15]))</f>
        <v>0</v>
      </c>
      <c r="AA529" s="652">
        <f>IF($B529="",,IF(LEFT($H529,5)="dummy",SUMIFS(AvgBonus[avg_bonus],AvgBonus[job_title],$H529),SUMIFS(AvgBonus[avg_bonus],AvgBonus[exp_item],$J529,AvgBonus[company_name],$B529,AvgBonus[bu_name],$C529,AvgBonus[dept_name],$D529,AvgBonus[team_consolidation],$K529,AvgBonus[location_name],$G529,AvgBonus[job_title],$H529))*AA424*SUM(BonusPayout[Month 16]))</f>
        <v>0</v>
      </c>
      <c r="AB529" s="652">
        <f>IF($B529="",,IF(LEFT($H529,5)="dummy",SUMIFS(AvgBonus[avg_bonus],AvgBonus[job_title],$H529),SUMIFS(AvgBonus[avg_bonus],AvgBonus[exp_item],$J529,AvgBonus[company_name],$B529,AvgBonus[bu_name],$C529,AvgBonus[dept_name],$D529,AvgBonus[team_consolidation],$K529,AvgBonus[location_name],$G529,AvgBonus[job_title],$H529))*AB424*SUM(BonusPayout[Month 17]))</f>
        <v>0</v>
      </c>
      <c r="AC529" s="652">
        <f>IF($B529="",,IF(LEFT($H529,5)="dummy",SUMIFS(AvgBonus[avg_bonus],AvgBonus[job_title],$H529),SUMIFS(AvgBonus[avg_bonus],AvgBonus[exp_item],$J529,AvgBonus[company_name],$B529,AvgBonus[bu_name],$C529,AvgBonus[dept_name],$D529,AvgBonus[team_consolidation],$K529,AvgBonus[location_name],$G529,AvgBonus[job_title],$H529))*AC424*SUM(BonusPayout[Month 18]))</f>
        <v>0</v>
      </c>
      <c r="AD529" s="652">
        <f>IF($B529="",,IF(LEFT($H529,5)="dummy",SUMIFS(AvgBonus[avg_bonus],AvgBonus[job_title],$H529),SUMIFS(AvgBonus[avg_bonus],AvgBonus[exp_item],$J529,AvgBonus[company_name],$B529,AvgBonus[bu_name],$C529,AvgBonus[dept_name],$D529,AvgBonus[team_consolidation],$K529,AvgBonus[location_name],$G529,AvgBonus[job_title],$H529))*AD424*SUM(BonusPayout[Month 19]))</f>
        <v>0</v>
      </c>
      <c r="AE529" s="652">
        <f>IF($B529="",,IF(LEFT($H529,5)="dummy",SUMIFS(AvgBonus[avg_bonus],AvgBonus[job_title],$H529),SUMIFS(AvgBonus[avg_bonus],AvgBonus[exp_item],$J529,AvgBonus[company_name],$B529,AvgBonus[bu_name],$C529,AvgBonus[dept_name],$D529,AvgBonus[team_consolidation],$K529,AvgBonus[location_name],$G529,AvgBonus[job_title],$H529))*AE424*SUM(BonusPayout[Month 20]))</f>
        <v>0</v>
      </c>
      <c r="AF529" s="652">
        <f>IF($B529="",,IF(LEFT($H529,5)="dummy",SUMIFS(AvgBonus[avg_bonus],AvgBonus[job_title],$H529),SUMIFS(AvgBonus[avg_bonus],AvgBonus[exp_item],$J529,AvgBonus[company_name],$B529,AvgBonus[bu_name],$C529,AvgBonus[dept_name],$D529,AvgBonus[team_consolidation],$K529,AvgBonus[location_name],$G529,AvgBonus[job_title],$H529))*AF424*SUM(BonusPayout[Month 21]))</f>
        <v>0</v>
      </c>
      <c r="AG529" s="652">
        <f>IF($B529="",,IF(LEFT($H529,5)="dummy",SUMIFS(AvgBonus[avg_bonus],AvgBonus[job_title],$H529),SUMIFS(AvgBonus[avg_bonus],AvgBonus[exp_item],$J529,AvgBonus[company_name],$B529,AvgBonus[bu_name],$C529,AvgBonus[dept_name],$D529,AvgBonus[team_consolidation],$K529,AvgBonus[location_name],$G529,AvgBonus[job_title],$H529))*AG424*SUM(BonusPayout[Month 22]))</f>
        <v>0</v>
      </c>
      <c r="AH529" s="652">
        <f>IF($B529="",,IF(LEFT($H529,5)="dummy",SUMIFS(AvgBonus[avg_bonus],AvgBonus[job_title],$H529),SUMIFS(AvgBonus[avg_bonus],AvgBonus[exp_item],$J529,AvgBonus[company_name],$B529,AvgBonus[bu_name],$C529,AvgBonus[dept_name],$D529,AvgBonus[team_consolidation],$K529,AvgBonus[location_name],$G529,AvgBonus[job_title],$H529))*AH424*SUM(BonusPayout[Month 23]))</f>
        <v>0</v>
      </c>
      <c r="AI529" s="652">
        <f>IF($B529="",,IF(LEFT($H529,5)="dummy",SUMIFS(AvgBonus[avg_bonus],AvgBonus[job_title],$H529),SUMIFS(AvgBonus[avg_bonus],AvgBonus[exp_item],$J529,AvgBonus[company_name],$B529,AvgBonus[bu_name],$C529,AvgBonus[dept_name],$D529,AvgBonus[team_consolidation],$K529,AvgBonus[location_name],$G529,AvgBonus[job_title],$H529))*AI424*SUM(BonusPayout[Month 24]))</f>
        <v>0</v>
      </c>
      <c r="AJ529" s="652">
        <f>IF($B529="",,IF(LEFT($H529,5)="dummy",SUMIFS(AvgBonus[avg_bonus],AvgBonus[job_title],$H529),SUMIFS(AvgBonus[avg_bonus],AvgBonus[exp_item],$J529,AvgBonus[company_name],$B529,AvgBonus[bu_name],$C529,AvgBonus[dept_name],$D529,AvgBonus[team_consolidation],$K529,AvgBonus[location_name],$G529,AvgBonus[job_title],$H529))*AJ424*SUM(BonusPayout[Month 25]))</f>
        <v>0</v>
      </c>
      <c r="AK529" s="652">
        <f>IF($B529="",,IF(LEFT($H529,5)="dummy",SUMIFS(AvgBonus[avg_bonus],AvgBonus[job_title],$H529),SUMIFS(AvgBonus[avg_bonus],AvgBonus[exp_item],$J529,AvgBonus[company_name],$B529,AvgBonus[bu_name],$C529,AvgBonus[dept_name],$D529,AvgBonus[team_consolidation],$K529,AvgBonus[location_name],$G529,AvgBonus[job_title],$H529))*AK424*SUM(BonusPayout[Month 26]))</f>
        <v>0</v>
      </c>
      <c r="AL529" s="652">
        <f>IF($B529="",,IF(LEFT($H529,5)="dummy",SUMIFS(AvgBonus[avg_bonus],AvgBonus[job_title],$H529),SUMIFS(AvgBonus[avg_bonus],AvgBonus[exp_item],$J529,AvgBonus[company_name],$B529,AvgBonus[bu_name],$C529,AvgBonus[dept_name],$D529,AvgBonus[team_consolidation],$K529,AvgBonus[location_name],$G529,AvgBonus[job_title],$H529))*AL424*SUM(BonusPayout[Month 27]))</f>
        <v>0</v>
      </c>
      <c r="AM529" s="652">
        <f>IF($B529="",,IF(LEFT($H529,5)="dummy",SUMIFS(AvgBonus[avg_bonus],AvgBonus[job_title],$H529),SUMIFS(AvgBonus[avg_bonus],AvgBonus[exp_item],$J529,AvgBonus[company_name],$B529,AvgBonus[bu_name],$C529,AvgBonus[dept_name],$D529,AvgBonus[team_consolidation],$K529,AvgBonus[location_name],$G529,AvgBonus[job_title],$H529))*AM424*SUM(BonusPayout[Month 28]))</f>
        <v>0</v>
      </c>
      <c r="AN529" s="652">
        <f>IF($B529="",,IF(LEFT($H529,5)="dummy",SUMIFS(AvgBonus[avg_bonus],AvgBonus[job_title],$H529),SUMIFS(AvgBonus[avg_bonus],AvgBonus[exp_item],$J529,AvgBonus[company_name],$B529,AvgBonus[bu_name],$C529,AvgBonus[dept_name],$D529,AvgBonus[team_consolidation],$K529,AvgBonus[location_name],$G529,AvgBonus[job_title],$H529))*AN424*SUM(BonusPayout[Month 29]))</f>
        <v>0</v>
      </c>
      <c r="AO529" s="652">
        <f>IF($B529="",,IF(LEFT($H529,5)="dummy",SUMIFS(AvgBonus[avg_bonus],AvgBonus[job_title],$H529),SUMIFS(AvgBonus[avg_bonus],AvgBonus[exp_item],$J529,AvgBonus[company_name],$B529,AvgBonus[bu_name],$C529,AvgBonus[dept_name],$D529,AvgBonus[team_consolidation],$K529,AvgBonus[location_name],$G529,AvgBonus[job_title],$H529))*AO424*SUM(BonusPayout[Month 30]))</f>
        <v>0</v>
      </c>
      <c r="AP529" s="652">
        <f>IF($B529="",,IF(LEFT($H529,5)="dummy",SUMIFS(AvgBonus[avg_bonus],AvgBonus[job_title],$H529),SUMIFS(AvgBonus[avg_bonus],AvgBonus[exp_item],$J529,AvgBonus[company_name],$B529,AvgBonus[bu_name],$C529,AvgBonus[dept_name],$D529,AvgBonus[team_consolidation],$K529,AvgBonus[location_name],$G529,AvgBonus[job_title],$H529))*AP424*SUM(BonusPayout[Month 31]))</f>
        <v>0</v>
      </c>
      <c r="AQ529" s="652">
        <f>IF($B529="",,IF(LEFT($H529,5)="dummy",SUMIFS(AvgBonus[avg_bonus],AvgBonus[job_title],$H529),SUMIFS(AvgBonus[avg_bonus],AvgBonus[exp_item],$J529,AvgBonus[company_name],$B529,AvgBonus[bu_name],$C529,AvgBonus[dept_name],$D529,AvgBonus[team_consolidation],$K529,AvgBonus[location_name],$G529,AvgBonus[job_title],$H529))*AQ424*SUM(BonusPayout[Month 32]))</f>
        <v>0</v>
      </c>
      <c r="AR529" s="652">
        <f>IF($B529="",,IF(LEFT($H529,5)="dummy",SUMIFS(AvgBonus[avg_bonus],AvgBonus[job_title],$H529),SUMIFS(AvgBonus[avg_bonus],AvgBonus[exp_item],$J529,AvgBonus[company_name],$B529,AvgBonus[bu_name],$C529,AvgBonus[dept_name],$D529,AvgBonus[team_consolidation],$K529,AvgBonus[location_name],$G529,AvgBonus[job_title],$H529))*AR424*SUM(BonusPayout[Month 33]))</f>
        <v>0</v>
      </c>
      <c r="AS529" s="652">
        <f>IF($B529="",,IF(LEFT($H529,5)="dummy",SUMIFS(AvgBonus[avg_bonus],AvgBonus[job_title],$H529),SUMIFS(AvgBonus[avg_bonus],AvgBonus[exp_item],$J529,AvgBonus[company_name],$B529,AvgBonus[bu_name],$C529,AvgBonus[dept_name],$D529,AvgBonus[team_consolidation],$K529,AvgBonus[location_name],$G529,AvgBonus[job_title],$H529))*AS424*SUM(BonusPayout[Month 34]))</f>
        <v>0</v>
      </c>
      <c r="AT529" s="652">
        <f>IF($B529="",,IF(LEFT($H529,5)="dummy",SUMIFS(AvgBonus[avg_bonus],AvgBonus[job_title],$H529),SUMIFS(AvgBonus[avg_bonus],AvgBonus[exp_item],$J529,AvgBonus[company_name],$B529,AvgBonus[bu_name],$C529,AvgBonus[dept_name],$D529,AvgBonus[team_consolidation],$K529,AvgBonus[location_name],$G529,AvgBonus[job_title],$H529))*AT424*SUM(BonusPayout[Month 35]))</f>
        <v>0</v>
      </c>
      <c r="AU529" s="652">
        <f>IF($B529="",,IF(LEFT($H529,5)="dummy",SUMIFS(AvgBonus[avg_bonus],AvgBonus[job_title],$H529),SUMIFS(AvgBonus[avg_bonus],AvgBonus[exp_item],$J529,AvgBonus[company_name],$B529,AvgBonus[bu_name],$C529,AvgBonus[dept_name],$D529,AvgBonus[team_consolidation],$K529,AvgBonus[location_name],$G529,AvgBonus[job_title],$H529))*AU424*SUM(BonusPayout[Month 36]))</f>
        <v>0</v>
      </c>
    </row>
    <row r="530" spans="2:47" x14ac:dyDescent="0.35">
      <c r="B530" t="str">
        <f t="shared" si="292"/>
        <v/>
      </c>
      <c r="C530" t="str">
        <f t="shared" ref="C530:G530" si="322">IF(C425="","",C425)</f>
        <v/>
      </c>
      <c r="D530" t="str">
        <f t="shared" si="322"/>
        <v/>
      </c>
      <c r="E530" t="str">
        <f t="shared" si="322"/>
        <v/>
      </c>
      <c r="F530" t="str">
        <f t="shared" si="322"/>
        <v/>
      </c>
      <c r="G530" t="str">
        <f t="shared" si="322"/>
        <v/>
      </c>
      <c r="H530" t="str">
        <f t="shared" si="291"/>
        <v/>
      </c>
      <c r="J530" t="str">
        <f>IF($H530="","",IF(VLOOKUP($B$500,ExpItems[],2,0),$B$500&amp;" - "&amp;INDEX(DivisionMapping[category_code],MATCH($D530&amp;$C530,DivisionMapping[dept_bu],0)),$B$500))</f>
        <v/>
      </c>
      <c r="K530" t="str">
        <f t="shared" si="294"/>
        <v/>
      </c>
      <c r="L530" s="652">
        <f>IF($B530="",,IF(LEFT($H530,5)="dummy",SUMIFS(AvgBonus[avg_bonus],AvgBonus[job_title],$H530),SUMIFS(AvgBonus[avg_bonus],AvgBonus[exp_item],$J530,AvgBonus[company_name],$B530,AvgBonus[bu_name],$C530,AvgBonus[dept_name],$D530,AvgBonus[team_consolidation],$K530,AvgBonus[location_name],$G530,AvgBonus[job_title],$H530))*L425*SUM(BonusPayout[Month 1]))</f>
        <v>0</v>
      </c>
      <c r="M530" s="652">
        <f>IF($B530="",,IF(LEFT($H530,5)="dummy",SUMIFS(AvgBonus[avg_bonus],AvgBonus[job_title],$H530),SUMIFS(AvgBonus[avg_bonus],AvgBonus[exp_item],$J530,AvgBonus[company_name],$B530,AvgBonus[bu_name],$C530,AvgBonus[dept_name],$D530,AvgBonus[team_consolidation],$K530,AvgBonus[location_name],$G530,AvgBonus[job_title],$H530))*M425*SUM(BonusPayout[Month 2]))</f>
        <v>0</v>
      </c>
      <c r="N530" s="652">
        <f>IF($B530="",,IF(LEFT($H530,5)="dummy",SUMIFS(AvgBonus[avg_bonus],AvgBonus[job_title],$H530),SUMIFS(AvgBonus[avg_bonus],AvgBonus[exp_item],$J530,AvgBonus[company_name],$B530,AvgBonus[bu_name],$C530,AvgBonus[dept_name],$D530,AvgBonus[team_consolidation],$K530,AvgBonus[location_name],$G530,AvgBonus[job_title],$H530))*N425*SUM(BonusPayout[Month 3]))</f>
        <v>0</v>
      </c>
      <c r="O530" s="652">
        <f>IF($B530="",,IF(LEFT($H530,5)="dummy",SUMIFS(AvgBonus[avg_bonus],AvgBonus[job_title],$H530),SUMIFS(AvgBonus[avg_bonus],AvgBonus[exp_item],$J530,AvgBonus[company_name],$B530,AvgBonus[bu_name],$C530,AvgBonus[dept_name],$D530,AvgBonus[team_consolidation],$K530,AvgBonus[location_name],$G530,AvgBonus[job_title],$H530))*O425*SUM(BonusPayout[Month 4]))</f>
        <v>0</v>
      </c>
      <c r="P530" s="652">
        <f>IF($B530="",,IF(LEFT($H530,5)="dummy",SUMIFS(AvgBonus[avg_bonus],AvgBonus[job_title],$H530),SUMIFS(AvgBonus[avg_bonus],AvgBonus[exp_item],$J530,AvgBonus[company_name],$B530,AvgBonus[bu_name],$C530,AvgBonus[dept_name],$D530,AvgBonus[team_consolidation],$K530,AvgBonus[location_name],$G530,AvgBonus[job_title],$H530))*P425*SUM(BonusPayout[Month 5]))</f>
        <v>0</v>
      </c>
      <c r="Q530" s="652">
        <f>IF($B530="",,IF(LEFT($H530,5)="dummy",SUMIFS(AvgBonus[avg_bonus],AvgBonus[job_title],$H530),SUMIFS(AvgBonus[avg_bonus],AvgBonus[exp_item],$J530,AvgBonus[company_name],$B530,AvgBonus[bu_name],$C530,AvgBonus[dept_name],$D530,AvgBonus[team_consolidation],$K530,AvgBonus[location_name],$G530,AvgBonus[job_title],$H530))*Q425*SUM(BonusPayout[Month 6]))</f>
        <v>0</v>
      </c>
      <c r="R530" s="652">
        <f>IF($B530="",,IF(LEFT($H530,5)="dummy",SUMIFS(AvgBonus[avg_bonus],AvgBonus[job_title],$H530),SUMIFS(AvgBonus[avg_bonus],AvgBonus[exp_item],$J530,AvgBonus[company_name],$B530,AvgBonus[bu_name],$C530,AvgBonus[dept_name],$D530,AvgBonus[team_consolidation],$K530,AvgBonus[location_name],$G530,AvgBonus[job_title],$H530))*R425*SUM(BonusPayout[Month 7]))</f>
        <v>0</v>
      </c>
      <c r="S530" s="652">
        <f>IF($B530="",,IF(LEFT($H530,5)="dummy",SUMIFS(AvgBonus[avg_bonus],AvgBonus[job_title],$H530),SUMIFS(AvgBonus[avg_bonus],AvgBonus[exp_item],$J530,AvgBonus[company_name],$B530,AvgBonus[bu_name],$C530,AvgBonus[dept_name],$D530,AvgBonus[team_consolidation],$K530,AvgBonus[location_name],$G530,AvgBonus[job_title],$H530))*S425*SUM(BonusPayout[Month 8]))</f>
        <v>0</v>
      </c>
      <c r="T530" s="652">
        <f>IF($B530="",,IF(LEFT($H530,5)="dummy",SUMIFS(AvgBonus[avg_bonus],AvgBonus[job_title],$H530),SUMIFS(AvgBonus[avg_bonus],AvgBonus[exp_item],$J530,AvgBonus[company_name],$B530,AvgBonus[bu_name],$C530,AvgBonus[dept_name],$D530,AvgBonus[team_consolidation],$K530,AvgBonus[location_name],$G530,AvgBonus[job_title],$H530))*T425*SUM(BonusPayout[Month 9]))</f>
        <v>0</v>
      </c>
      <c r="U530" s="652">
        <f>IF($B530="",,IF(LEFT($H530,5)="dummy",SUMIFS(AvgBonus[avg_bonus],AvgBonus[job_title],$H530),SUMIFS(AvgBonus[avg_bonus],AvgBonus[exp_item],$J530,AvgBonus[company_name],$B530,AvgBonus[bu_name],$C530,AvgBonus[dept_name],$D530,AvgBonus[team_consolidation],$K530,AvgBonus[location_name],$G530,AvgBonus[job_title],$H530))*U425*SUM(BonusPayout[Month 10]))</f>
        <v>0</v>
      </c>
      <c r="V530" s="652">
        <f>IF($B530="",,IF(LEFT($H530,5)="dummy",SUMIFS(AvgBonus[avg_bonus],AvgBonus[job_title],$H530),SUMIFS(AvgBonus[avg_bonus],AvgBonus[exp_item],$J530,AvgBonus[company_name],$B530,AvgBonus[bu_name],$C530,AvgBonus[dept_name],$D530,AvgBonus[team_consolidation],$K530,AvgBonus[location_name],$G530,AvgBonus[job_title],$H530))*V425*SUM(BonusPayout[Month 11]))</f>
        <v>0</v>
      </c>
      <c r="W530" s="652">
        <f>IF($B530="",,IF(LEFT($H530,5)="dummy",SUMIFS(AvgBonus[avg_bonus],AvgBonus[job_title],$H530),SUMIFS(AvgBonus[avg_bonus],AvgBonus[exp_item],$J530,AvgBonus[company_name],$B530,AvgBonus[bu_name],$C530,AvgBonus[dept_name],$D530,AvgBonus[team_consolidation],$K530,AvgBonus[location_name],$G530,AvgBonus[job_title],$H530))*W425*SUM(BonusPayout[Month 12]))</f>
        <v>0</v>
      </c>
      <c r="X530" s="652">
        <f>IF($B530="",,IF(LEFT($H530,5)="dummy",SUMIFS(AvgBonus[avg_bonus],AvgBonus[job_title],$H530),SUMIFS(AvgBonus[avg_bonus],AvgBonus[exp_item],$J530,AvgBonus[company_name],$B530,AvgBonus[bu_name],$C530,AvgBonus[dept_name],$D530,AvgBonus[team_consolidation],$K530,AvgBonus[location_name],$G530,AvgBonus[job_title],$H530))*X425*SUM(BonusPayout[Month 13]))</f>
        <v>0</v>
      </c>
      <c r="Y530" s="652">
        <f>IF($B530="",,IF(LEFT($H530,5)="dummy",SUMIFS(AvgBonus[avg_bonus],AvgBonus[job_title],$H530),SUMIFS(AvgBonus[avg_bonus],AvgBonus[exp_item],$J530,AvgBonus[company_name],$B530,AvgBonus[bu_name],$C530,AvgBonus[dept_name],$D530,AvgBonus[team_consolidation],$K530,AvgBonus[location_name],$G530,AvgBonus[job_title],$H530))*Y425*SUM(BonusPayout[Month 14]))</f>
        <v>0</v>
      </c>
      <c r="Z530" s="652">
        <f>IF($B530="",,IF(LEFT($H530,5)="dummy",SUMIFS(AvgBonus[avg_bonus],AvgBonus[job_title],$H530),SUMIFS(AvgBonus[avg_bonus],AvgBonus[exp_item],$J530,AvgBonus[company_name],$B530,AvgBonus[bu_name],$C530,AvgBonus[dept_name],$D530,AvgBonus[team_consolidation],$K530,AvgBonus[location_name],$G530,AvgBonus[job_title],$H530))*Z425*SUM(BonusPayout[Month 15]))</f>
        <v>0</v>
      </c>
      <c r="AA530" s="652">
        <f>IF($B530="",,IF(LEFT($H530,5)="dummy",SUMIFS(AvgBonus[avg_bonus],AvgBonus[job_title],$H530),SUMIFS(AvgBonus[avg_bonus],AvgBonus[exp_item],$J530,AvgBonus[company_name],$B530,AvgBonus[bu_name],$C530,AvgBonus[dept_name],$D530,AvgBonus[team_consolidation],$K530,AvgBonus[location_name],$G530,AvgBonus[job_title],$H530))*AA425*SUM(BonusPayout[Month 16]))</f>
        <v>0</v>
      </c>
      <c r="AB530" s="652">
        <f>IF($B530="",,IF(LEFT($H530,5)="dummy",SUMIFS(AvgBonus[avg_bonus],AvgBonus[job_title],$H530),SUMIFS(AvgBonus[avg_bonus],AvgBonus[exp_item],$J530,AvgBonus[company_name],$B530,AvgBonus[bu_name],$C530,AvgBonus[dept_name],$D530,AvgBonus[team_consolidation],$K530,AvgBonus[location_name],$G530,AvgBonus[job_title],$H530))*AB425*SUM(BonusPayout[Month 17]))</f>
        <v>0</v>
      </c>
      <c r="AC530" s="652">
        <f>IF($B530="",,IF(LEFT($H530,5)="dummy",SUMIFS(AvgBonus[avg_bonus],AvgBonus[job_title],$H530),SUMIFS(AvgBonus[avg_bonus],AvgBonus[exp_item],$J530,AvgBonus[company_name],$B530,AvgBonus[bu_name],$C530,AvgBonus[dept_name],$D530,AvgBonus[team_consolidation],$K530,AvgBonus[location_name],$G530,AvgBonus[job_title],$H530))*AC425*SUM(BonusPayout[Month 18]))</f>
        <v>0</v>
      </c>
      <c r="AD530" s="652">
        <f>IF($B530="",,IF(LEFT($H530,5)="dummy",SUMIFS(AvgBonus[avg_bonus],AvgBonus[job_title],$H530),SUMIFS(AvgBonus[avg_bonus],AvgBonus[exp_item],$J530,AvgBonus[company_name],$B530,AvgBonus[bu_name],$C530,AvgBonus[dept_name],$D530,AvgBonus[team_consolidation],$K530,AvgBonus[location_name],$G530,AvgBonus[job_title],$H530))*AD425*SUM(BonusPayout[Month 19]))</f>
        <v>0</v>
      </c>
      <c r="AE530" s="652">
        <f>IF($B530="",,IF(LEFT($H530,5)="dummy",SUMIFS(AvgBonus[avg_bonus],AvgBonus[job_title],$H530),SUMIFS(AvgBonus[avg_bonus],AvgBonus[exp_item],$J530,AvgBonus[company_name],$B530,AvgBonus[bu_name],$C530,AvgBonus[dept_name],$D530,AvgBonus[team_consolidation],$K530,AvgBonus[location_name],$G530,AvgBonus[job_title],$H530))*AE425*SUM(BonusPayout[Month 20]))</f>
        <v>0</v>
      </c>
      <c r="AF530" s="652">
        <f>IF($B530="",,IF(LEFT($H530,5)="dummy",SUMIFS(AvgBonus[avg_bonus],AvgBonus[job_title],$H530),SUMIFS(AvgBonus[avg_bonus],AvgBonus[exp_item],$J530,AvgBonus[company_name],$B530,AvgBonus[bu_name],$C530,AvgBonus[dept_name],$D530,AvgBonus[team_consolidation],$K530,AvgBonus[location_name],$G530,AvgBonus[job_title],$H530))*AF425*SUM(BonusPayout[Month 21]))</f>
        <v>0</v>
      </c>
      <c r="AG530" s="652">
        <f>IF($B530="",,IF(LEFT($H530,5)="dummy",SUMIFS(AvgBonus[avg_bonus],AvgBonus[job_title],$H530),SUMIFS(AvgBonus[avg_bonus],AvgBonus[exp_item],$J530,AvgBonus[company_name],$B530,AvgBonus[bu_name],$C530,AvgBonus[dept_name],$D530,AvgBonus[team_consolidation],$K530,AvgBonus[location_name],$G530,AvgBonus[job_title],$H530))*AG425*SUM(BonusPayout[Month 22]))</f>
        <v>0</v>
      </c>
      <c r="AH530" s="652">
        <f>IF($B530="",,IF(LEFT($H530,5)="dummy",SUMIFS(AvgBonus[avg_bonus],AvgBonus[job_title],$H530),SUMIFS(AvgBonus[avg_bonus],AvgBonus[exp_item],$J530,AvgBonus[company_name],$B530,AvgBonus[bu_name],$C530,AvgBonus[dept_name],$D530,AvgBonus[team_consolidation],$K530,AvgBonus[location_name],$G530,AvgBonus[job_title],$H530))*AH425*SUM(BonusPayout[Month 23]))</f>
        <v>0</v>
      </c>
      <c r="AI530" s="652">
        <f>IF($B530="",,IF(LEFT($H530,5)="dummy",SUMIFS(AvgBonus[avg_bonus],AvgBonus[job_title],$H530),SUMIFS(AvgBonus[avg_bonus],AvgBonus[exp_item],$J530,AvgBonus[company_name],$B530,AvgBonus[bu_name],$C530,AvgBonus[dept_name],$D530,AvgBonus[team_consolidation],$K530,AvgBonus[location_name],$G530,AvgBonus[job_title],$H530))*AI425*SUM(BonusPayout[Month 24]))</f>
        <v>0</v>
      </c>
      <c r="AJ530" s="652">
        <f>IF($B530="",,IF(LEFT($H530,5)="dummy",SUMIFS(AvgBonus[avg_bonus],AvgBonus[job_title],$H530),SUMIFS(AvgBonus[avg_bonus],AvgBonus[exp_item],$J530,AvgBonus[company_name],$B530,AvgBonus[bu_name],$C530,AvgBonus[dept_name],$D530,AvgBonus[team_consolidation],$K530,AvgBonus[location_name],$G530,AvgBonus[job_title],$H530))*AJ425*SUM(BonusPayout[Month 25]))</f>
        <v>0</v>
      </c>
      <c r="AK530" s="652">
        <f>IF($B530="",,IF(LEFT($H530,5)="dummy",SUMIFS(AvgBonus[avg_bonus],AvgBonus[job_title],$H530),SUMIFS(AvgBonus[avg_bonus],AvgBonus[exp_item],$J530,AvgBonus[company_name],$B530,AvgBonus[bu_name],$C530,AvgBonus[dept_name],$D530,AvgBonus[team_consolidation],$K530,AvgBonus[location_name],$G530,AvgBonus[job_title],$H530))*AK425*SUM(BonusPayout[Month 26]))</f>
        <v>0</v>
      </c>
      <c r="AL530" s="652">
        <f>IF($B530="",,IF(LEFT($H530,5)="dummy",SUMIFS(AvgBonus[avg_bonus],AvgBonus[job_title],$H530),SUMIFS(AvgBonus[avg_bonus],AvgBonus[exp_item],$J530,AvgBonus[company_name],$B530,AvgBonus[bu_name],$C530,AvgBonus[dept_name],$D530,AvgBonus[team_consolidation],$K530,AvgBonus[location_name],$G530,AvgBonus[job_title],$H530))*AL425*SUM(BonusPayout[Month 27]))</f>
        <v>0</v>
      </c>
      <c r="AM530" s="652">
        <f>IF($B530="",,IF(LEFT($H530,5)="dummy",SUMIFS(AvgBonus[avg_bonus],AvgBonus[job_title],$H530),SUMIFS(AvgBonus[avg_bonus],AvgBonus[exp_item],$J530,AvgBonus[company_name],$B530,AvgBonus[bu_name],$C530,AvgBonus[dept_name],$D530,AvgBonus[team_consolidation],$K530,AvgBonus[location_name],$G530,AvgBonus[job_title],$H530))*AM425*SUM(BonusPayout[Month 28]))</f>
        <v>0</v>
      </c>
      <c r="AN530" s="652">
        <f>IF($B530="",,IF(LEFT($H530,5)="dummy",SUMIFS(AvgBonus[avg_bonus],AvgBonus[job_title],$H530),SUMIFS(AvgBonus[avg_bonus],AvgBonus[exp_item],$J530,AvgBonus[company_name],$B530,AvgBonus[bu_name],$C530,AvgBonus[dept_name],$D530,AvgBonus[team_consolidation],$K530,AvgBonus[location_name],$G530,AvgBonus[job_title],$H530))*AN425*SUM(BonusPayout[Month 29]))</f>
        <v>0</v>
      </c>
      <c r="AO530" s="652">
        <f>IF($B530="",,IF(LEFT($H530,5)="dummy",SUMIFS(AvgBonus[avg_bonus],AvgBonus[job_title],$H530),SUMIFS(AvgBonus[avg_bonus],AvgBonus[exp_item],$J530,AvgBonus[company_name],$B530,AvgBonus[bu_name],$C530,AvgBonus[dept_name],$D530,AvgBonus[team_consolidation],$K530,AvgBonus[location_name],$G530,AvgBonus[job_title],$H530))*AO425*SUM(BonusPayout[Month 30]))</f>
        <v>0</v>
      </c>
      <c r="AP530" s="652">
        <f>IF($B530="",,IF(LEFT($H530,5)="dummy",SUMIFS(AvgBonus[avg_bonus],AvgBonus[job_title],$H530),SUMIFS(AvgBonus[avg_bonus],AvgBonus[exp_item],$J530,AvgBonus[company_name],$B530,AvgBonus[bu_name],$C530,AvgBonus[dept_name],$D530,AvgBonus[team_consolidation],$K530,AvgBonus[location_name],$G530,AvgBonus[job_title],$H530))*AP425*SUM(BonusPayout[Month 31]))</f>
        <v>0</v>
      </c>
      <c r="AQ530" s="652">
        <f>IF($B530="",,IF(LEFT($H530,5)="dummy",SUMIFS(AvgBonus[avg_bonus],AvgBonus[job_title],$H530),SUMIFS(AvgBonus[avg_bonus],AvgBonus[exp_item],$J530,AvgBonus[company_name],$B530,AvgBonus[bu_name],$C530,AvgBonus[dept_name],$D530,AvgBonus[team_consolidation],$K530,AvgBonus[location_name],$G530,AvgBonus[job_title],$H530))*AQ425*SUM(BonusPayout[Month 32]))</f>
        <v>0</v>
      </c>
      <c r="AR530" s="652">
        <f>IF($B530="",,IF(LEFT($H530,5)="dummy",SUMIFS(AvgBonus[avg_bonus],AvgBonus[job_title],$H530),SUMIFS(AvgBonus[avg_bonus],AvgBonus[exp_item],$J530,AvgBonus[company_name],$B530,AvgBonus[bu_name],$C530,AvgBonus[dept_name],$D530,AvgBonus[team_consolidation],$K530,AvgBonus[location_name],$G530,AvgBonus[job_title],$H530))*AR425*SUM(BonusPayout[Month 33]))</f>
        <v>0</v>
      </c>
      <c r="AS530" s="652">
        <f>IF($B530="",,IF(LEFT($H530,5)="dummy",SUMIFS(AvgBonus[avg_bonus],AvgBonus[job_title],$H530),SUMIFS(AvgBonus[avg_bonus],AvgBonus[exp_item],$J530,AvgBonus[company_name],$B530,AvgBonus[bu_name],$C530,AvgBonus[dept_name],$D530,AvgBonus[team_consolidation],$K530,AvgBonus[location_name],$G530,AvgBonus[job_title],$H530))*AS425*SUM(BonusPayout[Month 34]))</f>
        <v>0</v>
      </c>
      <c r="AT530" s="652">
        <f>IF($B530="",,IF(LEFT($H530,5)="dummy",SUMIFS(AvgBonus[avg_bonus],AvgBonus[job_title],$H530),SUMIFS(AvgBonus[avg_bonus],AvgBonus[exp_item],$J530,AvgBonus[company_name],$B530,AvgBonus[bu_name],$C530,AvgBonus[dept_name],$D530,AvgBonus[team_consolidation],$K530,AvgBonus[location_name],$G530,AvgBonus[job_title],$H530))*AT425*SUM(BonusPayout[Month 35]))</f>
        <v>0</v>
      </c>
      <c r="AU530" s="652">
        <f>IF($B530="",,IF(LEFT($H530,5)="dummy",SUMIFS(AvgBonus[avg_bonus],AvgBonus[job_title],$H530),SUMIFS(AvgBonus[avg_bonus],AvgBonus[exp_item],$J530,AvgBonus[company_name],$B530,AvgBonus[bu_name],$C530,AvgBonus[dept_name],$D530,AvgBonus[team_consolidation],$K530,AvgBonus[location_name],$G530,AvgBonus[job_title],$H530))*AU425*SUM(BonusPayout[Month 36]))</f>
        <v>0</v>
      </c>
    </row>
    <row r="531" spans="2:47" x14ac:dyDescent="0.35">
      <c r="B531" t="str">
        <f t="shared" si="292"/>
        <v/>
      </c>
      <c r="C531" t="str">
        <f t="shared" ref="C531:G531" si="323">IF(C426="","",C426)</f>
        <v/>
      </c>
      <c r="D531" t="str">
        <f t="shared" si="323"/>
        <v/>
      </c>
      <c r="E531" t="str">
        <f t="shared" si="323"/>
        <v/>
      </c>
      <c r="F531" t="str">
        <f t="shared" si="323"/>
        <v/>
      </c>
      <c r="G531" t="str">
        <f t="shared" si="323"/>
        <v/>
      </c>
      <c r="H531" t="str">
        <f t="shared" si="291"/>
        <v/>
      </c>
      <c r="J531" t="str">
        <f>IF($H531="","",IF(VLOOKUP($B$500,ExpItems[],2,0),$B$500&amp;" - "&amp;INDEX(DivisionMapping[category_code],MATCH($D531&amp;$C531,DivisionMapping[dept_bu],0)),$B$500))</f>
        <v/>
      </c>
      <c r="K531" t="str">
        <f t="shared" si="294"/>
        <v/>
      </c>
      <c r="L531" s="652">
        <f>IF($B531="",,IF(LEFT($H531,5)="dummy",SUMIFS(AvgBonus[avg_bonus],AvgBonus[job_title],$H531),SUMIFS(AvgBonus[avg_bonus],AvgBonus[exp_item],$J531,AvgBonus[company_name],$B531,AvgBonus[bu_name],$C531,AvgBonus[dept_name],$D531,AvgBonus[team_consolidation],$K531,AvgBonus[location_name],$G531,AvgBonus[job_title],$H531))*L426*SUM(BonusPayout[Month 1]))</f>
        <v>0</v>
      </c>
      <c r="M531" s="652">
        <f>IF($B531="",,IF(LEFT($H531,5)="dummy",SUMIFS(AvgBonus[avg_bonus],AvgBonus[job_title],$H531),SUMIFS(AvgBonus[avg_bonus],AvgBonus[exp_item],$J531,AvgBonus[company_name],$B531,AvgBonus[bu_name],$C531,AvgBonus[dept_name],$D531,AvgBonus[team_consolidation],$K531,AvgBonus[location_name],$G531,AvgBonus[job_title],$H531))*M426*SUM(BonusPayout[Month 2]))</f>
        <v>0</v>
      </c>
      <c r="N531" s="652">
        <f>IF($B531="",,IF(LEFT($H531,5)="dummy",SUMIFS(AvgBonus[avg_bonus],AvgBonus[job_title],$H531),SUMIFS(AvgBonus[avg_bonus],AvgBonus[exp_item],$J531,AvgBonus[company_name],$B531,AvgBonus[bu_name],$C531,AvgBonus[dept_name],$D531,AvgBonus[team_consolidation],$K531,AvgBonus[location_name],$G531,AvgBonus[job_title],$H531))*N426*SUM(BonusPayout[Month 3]))</f>
        <v>0</v>
      </c>
      <c r="O531" s="652">
        <f>IF($B531="",,IF(LEFT($H531,5)="dummy",SUMIFS(AvgBonus[avg_bonus],AvgBonus[job_title],$H531),SUMIFS(AvgBonus[avg_bonus],AvgBonus[exp_item],$J531,AvgBonus[company_name],$B531,AvgBonus[bu_name],$C531,AvgBonus[dept_name],$D531,AvgBonus[team_consolidation],$K531,AvgBonus[location_name],$G531,AvgBonus[job_title],$H531))*O426*SUM(BonusPayout[Month 4]))</f>
        <v>0</v>
      </c>
      <c r="P531" s="652">
        <f>IF($B531="",,IF(LEFT($H531,5)="dummy",SUMIFS(AvgBonus[avg_bonus],AvgBonus[job_title],$H531),SUMIFS(AvgBonus[avg_bonus],AvgBonus[exp_item],$J531,AvgBonus[company_name],$B531,AvgBonus[bu_name],$C531,AvgBonus[dept_name],$D531,AvgBonus[team_consolidation],$K531,AvgBonus[location_name],$G531,AvgBonus[job_title],$H531))*P426*SUM(BonusPayout[Month 5]))</f>
        <v>0</v>
      </c>
      <c r="Q531" s="652">
        <f>IF($B531="",,IF(LEFT($H531,5)="dummy",SUMIFS(AvgBonus[avg_bonus],AvgBonus[job_title],$H531),SUMIFS(AvgBonus[avg_bonus],AvgBonus[exp_item],$J531,AvgBonus[company_name],$B531,AvgBonus[bu_name],$C531,AvgBonus[dept_name],$D531,AvgBonus[team_consolidation],$K531,AvgBonus[location_name],$G531,AvgBonus[job_title],$H531))*Q426*SUM(BonusPayout[Month 6]))</f>
        <v>0</v>
      </c>
      <c r="R531" s="652">
        <f>IF($B531="",,IF(LEFT($H531,5)="dummy",SUMIFS(AvgBonus[avg_bonus],AvgBonus[job_title],$H531),SUMIFS(AvgBonus[avg_bonus],AvgBonus[exp_item],$J531,AvgBonus[company_name],$B531,AvgBonus[bu_name],$C531,AvgBonus[dept_name],$D531,AvgBonus[team_consolidation],$K531,AvgBonus[location_name],$G531,AvgBonus[job_title],$H531))*R426*SUM(BonusPayout[Month 7]))</f>
        <v>0</v>
      </c>
      <c r="S531" s="652">
        <f>IF($B531="",,IF(LEFT($H531,5)="dummy",SUMIFS(AvgBonus[avg_bonus],AvgBonus[job_title],$H531),SUMIFS(AvgBonus[avg_bonus],AvgBonus[exp_item],$J531,AvgBonus[company_name],$B531,AvgBonus[bu_name],$C531,AvgBonus[dept_name],$D531,AvgBonus[team_consolidation],$K531,AvgBonus[location_name],$G531,AvgBonus[job_title],$H531))*S426*SUM(BonusPayout[Month 8]))</f>
        <v>0</v>
      </c>
      <c r="T531" s="652">
        <f>IF($B531="",,IF(LEFT($H531,5)="dummy",SUMIFS(AvgBonus[avg_bonus],AvgBonus[job_title],$H531),SUMIFS(AvgBonus[avg_bonus],AvgBonus[exp_item],$J531,AvgBonus[company_name],$B531,AvgBonus[bu_name],$C531,AvgBonus[dept_name],$D531,AvgBonus[team_consolidation],$K531,AvgBonus[location_name],$G531,AvgBonus[job_title],$H531))*T426*SUM(BonusPayout[Month 9]))</f>
        <v>0</v>
      </c>
      <c r="U531" s="652">
        <f>IF($B531="",,IF(LEFT($H531,5)="dummy",SUMIFS(AvgBonus[avg_bonus],AvgBonus[job_title],$H531),SUMIFS(AvgBonus[avg_bonus],AvgBonus[exp_item],$J531,AvgBonus[company_name],$B531,AvgBonus[bu_name],$C531,AvgBonus[dept_name],$D531,AvgBonus[team_consolidation],$K531,AvgBonus[location_name],$G531,AvgBonus[job_title],$H531))*U426*SUM(BonusPayout[Month 10]))</f>
        <v>0</v>
      </c>
      <c r="V531" s="652">
        <f>IF($B531="",,IF(LEFT($H531,5)="dummy",SUMIFS(AvgBonus[avg_bonus],AvgBonus[job_title],$H531),SUMIFS(AvgBonus[avg_bonus],AvgBonus[exp_item],$J531,AvgBonus[company_name],$B531,AvgBonus[bu_name],$C531,AvgBonus[dept_name],$D531,AvgBonus[team_consolidation],$K531,AvgBonus[location_name],$G531,AvgBonus[job_title],$H531))*V426*SUM(BonusPayout[Month 11]))</f>
        <v>0</v>
      </c>
      <c r="W531" s="652">
        <f>IF($B531="",,IF(LEFT($H531,5)="dummy",SUMIFS(AvgBonus[avg_bonus],AvgBonus[job_title],$H531),SUMIFS(AvgBonus[avg_bonus],AvgBonus[exp_item],$J531,AvgBonus[company_name],$B531,AvgBonus[bu_name],$C531,AvgBonus[dept_name],$D531,AvgBonus[team_consolidation],$K531,AvgBonus[location_name],$G531,AvgBonus[job_title],$H531))*W426*SUM(BonusPayout[Month 12]))</f>
        <v>0</v>
      </c>
      <c r="X531" s="652">
        <f>IF($B531="",,IF(LEFT($H531,5)="dummy",SUMIFS(AvgBonus[avg_bonus],AvgBonus[job_title],$H531),SUMIFS(AvgBonus[avg_bonus],AvgBonus[exp_item],$J531,AvgBonus[company_name],$B531,AvgBonus[bu_name],$C531,AvgBonus[dept_name],$D531,AvgBonus[team_consolidation],$K531,AvgBonus[location_name],$G531,AvgBonus[job_title],$H531))*X426*SUM(BonusPayout[Month 13]))</f>
        <v>0</v>
      </c>
      <c r="Y531" s="652">
        <f>IF($B531="",,IF(LEFT($H531,5)="dummy",SUMIFS(AvgBonus[avg_bonus],AvgBonus[job_title],$H531),SUMIFS(AvgBonus[avg_bonus],AvgBonus[exp_item],$J531,AvgBonus[company_name],$B531,AvgBonus[bu_name],$C531,AvgBonus[dept_name],$D531,AvgBonus[team_consolidation],$K531,AvgBonus[location_name],$G531,AvgBonus[job_title],$H531))*Y426*SUM(BonusPayout[Month 14]))</f>
        <v>0</v>
      </c>
      <c r="Z531" s="652">
        <f>IF($B531="",,IF(LEFT($H531,5)="dummy",SUMIFS(AvgBonus[avg_bonus],AvgBonus[job_title],$H531),SUMIFS(AvgBonus[avg_bonus],AvgBonus[exp_item],$J531,AvgBonus[company_name],$B531,AvgBonus[bu_name],$C531,AvgBonus[dept_name],$D531,AvgBonus[team_consolidation],$K531,AvgBonus[location_name],$G531,AvgBonus[job_title],$H531))*Z426*SUM(BonusPayout[Month 15]))</f>
        <v>0</v>
      </c>
      <c r="AA531" s="652">
        <f>IF($B531="",,IF(LEFT($H531,5)="dummy",SUMIFS(AvgBonus[avg_bonus],AvgBonus[job_title],$H531),SUMIFS(AvgBonus[avg_bonus],AvgBonus[exp_item],$J531,AvgBonus[company_name],$B531,AvgBonus[bu_name],$C531,AvgBonus[dept_name],$D531,AvgBonus[team_consolidation],$K531,AvgBonus[location_name],$G531,AvgBonus[job_title],$H531))*AA426*SUM(BonusPayout[Month 16]))</f>
        <v>0</v>
      </c>
      <c r="AB531" s="652">
        <f>IF($B531="",,IF(LEFT($H531,5)="dummy",SUMIFS(AvgBonus[avg_bonus],AvgBonus[job_title],$H531),SUMIFS(AvgBonus[avg_bonus],AvgBonus[exp_item],$J531,AvgBonus[company_name],$B531,AvgBonus[bu_name],$C531,AvgBonus[dept_name],$D531,AvgBonus[team_consolidation],$K531,AvgBonus[location_name],$G531,AvgBonus[job_title],$H531))*AB426*SUM(BonusPayout[Month 17]))</f>
        <v>0</v>
      </c>
      <c r="AC531" s="652">
        <f>IF($B531="",,IF(LEFT($H531,5)="dummy",SUMIFS(AvgBonus[avg_bonus],AvgBonus[job_title],$H531),SUMIFS(AvgBonus[avg_bonus],AvgBonus[exp_item],$J531,AvgBonus[company_name],$B531,AvgBonus[bu_name],$C531,AvgBonus[dept_name],$D531,AvgBonus[team_consolidation],$K531,AvgBonus[location_name],$G531,AvgBonus[job_title],$H531))*AC426*SUM(BonusPayout[Month 18]))</f>
        <v>0</v>
      </c>
      <c r="AD531" s="652">
        <f>IF($B531="",,IF(LEFT($H531,5)="dummy",SUMIFS(AvgBonus[avg_bonus],AvgBonus[job_title],$H531),SUMIFS(AvgBonus[avg_bonus],AvgBonus[exp_item],$J531,AvgBonus[company_name],$B531,AvgBonus[bu_name],$C531,AvgBonus[dept_name],$D531,AvgBonus[team_consolidation],$K531,AvgBonus[location_name],$G531,AvgBonus[job_title],$H531))*AD426*SUM(BonusPayout[Month 19]))</f>
        <v>0</v>
      </c>
      <c r="AE531" s="652">
        <f>IF($B531="",,IF(LEFT($H531,5)="dummy",SUMIFS(AvgBonus[avg_bonus],AvgBonus[job_title],$H531),SUMIFS(AvgBonus[avg_bonus],AvgBonus[exp_item],$J531,AvgBonus[company_name],$B531,AvgBonus[bu_name],$C531,AvgBonus[dept_name],$D531,AvgBonus[team_consolidation],$K531,AvgBonus[location_name],$G531,AvgBonus[job_title],$H531))*AE426*SUM(BonusPayout[Month 20]))</f>
        <v>0</v>
      </c>
      <c r="AF531" s="652">
        <f>IF($B531="",,IF(LEFT($H531,5)="dummy",SUMIFS(AvgBonus[avg_bonus],AvgBonus[job_title],$H531),SUMIFS(AvgBonus[avg_bonus],AvgBonus[exp_item],$J531,AvgBonus[company_name],$B531,AvgBonus[bu_name],$C531,AvgBonus[dept_name],$D531,AvgBonus[team_consolidation],$K531,AvgBonus[location_name],$G531,AvgBonus[job_title],$H531))*AF426*SUM(BonusPayout[Month 21]))</f>
        <v>0</v>
      </c>
      <c r="AG531" s="652">
        <f>IF($B531="",,IF(LEFT($H531,5)="dummy",SUMIFS(AvgBonus[avg_bonus],AvgBonus[job_title],$H531),SUMIFS(AvgBonus[avg_bonus],AvgBonus[exp_item],$J531,AvgBonus[company_name],$B531,AvgBonus[bu_name],$C531,AvgBonus[dept_name],$D531,AvgBonus[team_consolidation],$K531,AvgBonus[location_name],$G531,AvgBonus[job_title],$H531))*AG426*SUM(BonusPayout[Month 22]))</f>
        <v>0</v>
      </c>
      <c r="AH531" s="652">
        <f>IF($B531="",,IF(LEFT($H531,5)="dummy",SUMIFS(AvgBonus[avg_bonus],AvgBonus[job_title],$H531),SUMIFS(AvgBonus[avg_bonus],AvgBonus[exp_item],$J531,AvgBonus[company_name],$B531,AvgBonus[bu_name],$C531,AvgBonus[dept_name],$D531,AvgBonus[team_consolidation],$K531,AvgBonus[location_name],$G531,AvgBonus[job_title],$H531))*AH426*SUM(BonusPayout[Month 23]))</f>
        <v>0</v>
      </c>
      <c r="AI531" s="652">
        <f>IF($B531="",,IF(LEFT($H531,5)="dummy",SUMIFS(AvgBonus[avg_bonus],AvgBonus[job_title],$H531),SUMIFS(AvgBonus[avg_bonus],AvgBonus[exp_item],$J531,AvgBonus[company_name],$B531,AvgBonus[bu_name],$C531,AvgBonus[dept_name],$D531,AvgBonus[team_consolidation],$K531,AvgBonus[location_name],$G531,AvgBonus[job_title],$H531))*AI426*SUM(BonusPayout[Month 24]))</f>
        <v>0</v>
      </c>
      <c r="AJ531" s="652">
        <f>IF($B531="",,IF(LEFT($H531,5)="dummy",SUMIFS(AvgBonus[avg_bonus],AvgBonus[job_title],$H531),SUMIFS(AvgBonus[avg_bonus],AvgBonus[exp_item],$J531,AvgBonus[company_name],$B531,AvgBonus[bu_name],$C531,AvgBonus[dept_name],$D531,AvgBonus[team_consolidation],$K531,AvgBonus[location_name],$G531,AvgBonus[job_title],$H531))*AJ426*SUM(BonusPayout[Month 25]))</f>
        <v>0</v>
      </c>
      <c r="AK531" s="652">
        <f>IF($B531="",,IF(LEFT($H531,5)="dummy",SUMIFS(AvgBonus[avg_bonus],AvgBonus[job_title],$H531),SUMIFS(AvgBonus[avg_bonus],AvgBonus[exp_item],$J531,AvgBonus[company_name],$B531,AvgBonus[bu_name],$C531,AvgBonus[dept_name],$D531,AvgBonus[team_consolidation],$K531,AvgBonus[location_name],$G531,AvgBonus[job_title],$H531))*AK426*SUM(BonusPayout[Month 26]))</f>
        <v>0</v>
      </c>
      <c r="AL531" s="652">
        <f>IF($B531="",,IF(LEFT($H531,5)="dummy",SUMIFS(AvgBonus[avg_bonus],AvgBonus[job_title],$H531),SUMIFS(AvgBonus[avg_bonus],AvgBonus[exp_item],$J531,AvgBonus[company_name],$B531,AvgBonus[bu_name],$C531,AvgBonus[dept_name],$D531,AvgBonus[team_consolidation],$K531,AvgBonus[location_name],$G531,AvgBonus[job_title],$H531))*AL426*SUM(BonusPayout[Month 27]))</f>
        <v>0</v>
      </c>
      <c r="AM531" s="652">
        <f>IF($B531="",,IF(LEFT($H531,5)="dummy",SUMIFS(AvgBonus[avg_bonus],AvgBonus[job_title],$H531),SUMIFS(AvgBonus[avg_bonus],AvgBonus[exp_item],$J531,AvgBonus[company_name],$B531,AvgBonus[bu_name],$C531,AvgBonus[dept_name],$D531,AvgBonus[team_consolidation],$K531,AvgBonus[location_name],$G531,AvgBonus[job_title],$H531))*AM426*SUM(BonusPayout[Month 28]))</f>
        <v>0</v>
      </c>
      <c r="AN531" s="652">
        <f>IF($B531="",,IF(LEFT($H531,5)="dummy",SUMIFS(AvgBonus[avg_bonus],AvgBonus[job_title],$H531),SUMIFS(AvgBonus[avg_bonus],AvgBonus[exp_item],$J531,AvgBonus[company_name],$B531,AvgBonus[bu_name],$C531,AvgBonus[dept_name],$D531,AvgBonus[team_consolidation],$K531,AvgBonus[location_name],$G531,AvgBonus[job_title],$H531))*AN426*SUM(BonusPayout[Month 29]))</f>
        <v>0</v>
      </c>
      <c r="AO531" s="652">
        <f>IF($B531="",,IF(LEFT($H531,5)="dummy",SUMIFS(AvgBonus[avg_bonus],AvgBonus[job_title],$H531),SUMIFS(AvgBonus[avg_bonus],AvgBonus[exp_item],$J531,AvgBonus[company_name],$B531,AvgBonus[bu_name],$C531,AvgBonus[dept_name],$D531,AvgBonus[team_consolidation],$K531,AvgBonus[location_name],$G531,AvgBonus[job_title],$H531))*AO426*SUM(BonusPayout[Month 30]))</f>
        <v>0</v>
      </c>
      <c r="AP531" s="652">
        <f>IF($B531="",,IF(LEFT($H531,5)="dummy",SUMIFS(AvgBonus[avg_bonus],AvgBonus[job_title],$H531),SUMIFS(AvgBonus[avg_bonus],AvgBonus[exp_item],$J531,AvgBonus[company_name],$B531,AvgBonus[bu_name],$C531,AvgBonus[dept_name],$D531,AvgBonus[team_consolidation],$K531,AvgBonus[location_name],$G531,AvgBonus[job_title],$H531))*AP426*SUM(BonusPayout[Month 31]))</f>
        <v>0</v>
      </c>
      <c r="AQ531" s="652">
        <f>IF($B531="",,IF(LEFT($H531,5)="dummy",SUMIFS(AvgBonus[avg_bonus],AvgBonus[job_title],$H531),SUMIFS(AvgBonus[avg_bonus],AvgBonus[exp_item],$J531,AvgBonus[company_name],$B531,AvgBonus[bu_name],$C531,AvgBonus[dept_name],$D531,AvgBonus[team_consolidation],$K531,AvgBonus[location_name],$G531,AvgBonus[job_title],$H531))*AQ426*SUM(BonusPayout[Month 32]))</f>
        <v>0</v>
      </c>
      <c r="AR531" s="652">
        <f>IF($B531="",,IF(LEFT($H531,5)="dummy",SUMIFS(AvgBonus[avg_bonus],AvgBonus[job_title],$H531),SUMIFS(AvgBonus[avg_bonus],AvgBonus[exp_item],$J531,AvgBonus[company_name],$B531,AvgBonus[bu_name],$C531,AvgBonus[dept_name],$D531,AvgBonus[team_consolidation],$K531,AvgBonus[location_name],$G531,AvgBonus[job_title],$H531))*AR426*SUM(BonusPayout[Month 33]))</f>
        <v>0</v>
      </c>
      <c r="AS531" s="652">
        <f>IF($B531="",,IF(LEFT($H531,5)="dummy",SUMIFS(AvgBonus[avg_bonus],AvgBonus[job_title],$H531),SUMIFS(AvgBonus[avg_bonus],AvgBonus[exp_item],$J531,AvgBonus[company_name],$B531,AvgBonus[bu_name],$C531,AvgBonus[dept_name],$D531,AvgBonus[team_consolidation],$K531,AvgBonus[location_name],$G531,AvgBonus[job_title],$H531))*AS426*SUM(BonusPayout[Month 34]))</f>
        <v>0</v>
      </c>
      <c r="AT531" s="652">
        <f>IF($B531="",,IF(LEFT($H531,5)="dummy",SUMIFS(AvgBonus[avg_bonus],AvgBonus[job_title],$H531),SUMIFS(AvgBonus[avg_bonus],AvgBonus[exp_item],$J531,AvgBonus[company_name],$B531,AvgBonus[bu_name],$C531,AvgBonus[dept_name],$D531,AvgBonus[team_consolidation],$K531,AvgBonus[location_name],$G531,AvgBonus[job_title],$H531))*AT426*SUM(BonusPayout[Month 35]))</f>
        <v>0</v>
      </c>
      <c r="AU531" s="652">
        <f>IF($B531="",,IF(LEFT($H531,5)="dummy",SUMIFS(AvgBonus[avg_bonus],AvgBonus[job_title],$H531),SUMIFS(AvgBonus[avg_bonus],AvgBonus[exp_item],$J531,AvgBonus[company_name],$B531,AvgBonus[bu_name],$C531,AvgBonus[dept_name],$D531,AvgBonus[team_consolidation],$K531,AvgBonus[location_name],$G531,AvgBonus[job_title],$H531))*AU426*SUM(BonusPayout[Month 36]))</f>
        <v>0</v>
      </c>
    </row>
    <row r="532" spans="2:47" x14ac:dyDescent="0.35">
      <c r="B532" t="str">
        <f t="shared" si="292"/>
        <v/>
      </c>
      <c r="C532" t="str">
        <f t="shared" ref="C532:G532" si="324">IF(C427="","",C427)</f>
        <v/>
      </c>
      <c r="D532" t="str">
        <f t="shared" si="324"/>
        <v/>
      </c>
      <c r="E532" t="str">
        <f t="shared" si="324"/>
        <v/>
      </c>
      <c r="F532" t="str">
        <f t="shared" si="324"/>
        <v/>
      </c>
      <c r="G532" t="str">
        <f t="shared" si="324"/>
        <v/>
      </c>
      <c r="H532" t="str">
        <f t="shared" si="291"/>
        <v/>
      </c>
      <c r="J532" t="str">
        <f>IF($H532="","",IF(VLOOKUP($B$500,ExpItems[],2,0),$B$500&amp;" - "&amp;INDEX(DivisionMapping[category_code],MATCH($D532&amp;$C532,DivisionMapping[dept_bu],0)),$B$500))</f>
        <v/>
      </c>
      <c r="K532" t="str">
        <f t="shared" si="294"/>
        <v/>
      </c>
      <c r="L532" s="652">
        <f>IF($B532="",,IF(LEFT($H532,5)="dummy",SUMIFS(AvgBonus[avg_bonus],AvgBonus[job_title],$H532),SUMIFS(AvgBonus[avg_bonus],AvgBonus[exp_item],$J532,AvgBonus[company_name],$B532,AvgBonus[bu_name],$C532,AvgBonus[dept_name],$D532,AvgBonus[team_consolidation],$K532,AvgBonus[location_name],$G532,AvgBonus[job_title],$H532))*L427*SUM(BonusPayout[Month 1]))</f>
        <v>0</v>
      </c>
      <c r="M532" s="652">
        <f>IF($B532="",,IF(LEFT($H532,5)="dummy",SUMIFS(AvgBonus[avg_bonus],AvgBonus[job_title],$H532),SUMIFS(AvgBonus[avg_bonus],AvgBonus[exp_item],$J532,AvgBonus[company_name],$B532,AvgBonus[bu_name],$C532,AvgBonus[dept_name],$D532,AvgBonus[team_consolidation],$K532,AvgBonus[location_name],$G532,AvgBonus[job_title],$H532))*M427*SUM(BonusPayout[Month 2]))</f>
        <v>0</v>
      </c>
      <c r="N532" s="652">
        <f>IF($B532="",,IF(LEFT($H532,5)="dummy",SUMIFS(AvgBonus[avg_bonus],AvgBonus[job_title],$H532),SUMIFS(AvgBonus[avg_bonus],AvgBonus[exp_item],$J532,AvgBonus[company_name],$B532,AvgBonus[bu_name],$C532,AvgBonus[dept_name],$D532,AvgBonus[team_consolidation],$K532,AvgBonus[location_name],$G532,AvgBonus[job_title],$H532))*N427*SUM(BonusPayout[Month 3]))</f>
        <v>0</v>
      </c>
      <c r="O532" s="652">
        <f>IF($B532="",,IF(LEFT($H532,5)="dummy",SUMIFS(AvgBonus[avg_bonus],AvgBonus[job_title],$H532),SUMIFS(AvgBonus[avg_bonus],AvgBonus[exp_item],$J532,AvgBonus[company_name],$B532,AvgBonus[bu_name],$C532,AvgBonus[dept_name],$D532,AvgBonus[team_consolidation],$K532,AvgBonus[location_name],$G532,AvgBonus[job_title],$H532))*O427*SUM(BonusPayout[Month 4]))</f>
        <v>0</v>
      </c>
      <c r="P532" s="652">
        <f>IF($B532="",,IF(LEFT($H532,5)="dummy",SUMIFS(AvgBonus[avg_bonus],AvgBonus[job_title],$H532),SUMIFS(AvgBonus[avg_bonus],AvgBonus[exp_item],$J532,AvgBonus[company_name],$B532,AvgBonus[bu_name],$C532,AvgBonus[dept_name],$D532,AvgBonus[team_consolidation],$K532,AvgBonus[location_name],$G532,AvgBonus[job_title],$H532))*P427*SUM(BonusPayout[Month 5]))</f>
        <v>0</v>
      </c>
      <c r="Q532" s="652">
        <f>IF($B532="",,IF(LEFT($H532,5)="dummy",SUMIFS(AvgBonus[avg_bonus],AvgBonus[job_title],$H532),SUMIFS(AvgBonus[avg_bonus],AvgBonus[exp_item],$J532,AvgBonus[company_name],$B532,AvgBonus[bu_name],$C532,AvgBonus[dept_name],$D532,AvgBonus[team_consolidation],$K532,AvgBonus[location_name],$G532,AvgBonus[job_title],$H532))*Q427*SUM(BonusPayout[Month 6]))</f>
        <v>0</v>
      </c>
      <c r="R532" s="652">
        <f>IF($B532="",,IF(LEFT($H532,5)="dummy",SUMIFS(AvgBonus[avg_bonus],AvgBonus[job_title],$H532),SUMIFS(AvgBonus[avg_bonus],AvgBonus[exp_item],$J532,AvgBonus[company_name],$B532,AvgBonus[bu_name],$C532,AvgBonus[dept_name],$D532,AvgBonus[team_consolidation],$K532,AvgBonus[location_name],$G532,AvgBonus[job_title],$H532))*R427*SUM(BonusPayout[Month 7]))</f>
        <v>0</v>
      </c>
      <c r="S532" s="652">
        <f>IF($B532="",,IF(LEFT($H532,5)="dummy",SUMIFS(AvgBonus[avg_bonus],AvgBonus[job_title],$H532),SUMIFS(AvgBonus[avg_bonus],AvgBonus[exp_item],$J532,AvgBonus[company_name],$B532,AvgBonus[bu_name],$C532,AvgBonus[dept_name],$D532,AvgBonus[team_consolidation],$K532,AvgBonus[location_name],$G532,AvgBonus[job_title],$H532))*S427*SUM(BonusPayout[Month 8]))</f>
        <v>0</v>
      </c>
      <c r="T532" s="652">
        <f>IF($B532="",,IF(LEFT($H532,5)="dummy",SUMIFS(AvgBonus[avg_bonus],AvgBonus[job_title],$H532),SUMIFS(AvgBonus[avg_bonus],AvgBonus[exp_item],$J532,AvgBonus[company_name],$B532,AvgBonus[bu_name],$C532,AvgBonus[dept_name],$D532,AvgBonus[team_consolidation],$K532,AvgBonus[location_name],$G532,AvgBonus[job_title],$H532))*T427*SUM(BonusPayout[Month 9]))</f>
        <v>0</v>
      </c>
      <c r="U532" s="652">
        <f>IF($B532="",,IF(LEFT($H532,5)="dummy",SUMIFS(AvgBonus[avg_bonus],AvgBonus[job_title],$H532),SUMIFS(AvgBonus[avg_bonus],AvgBonus[exp_item],$J532,AvgBonus[company_name],$B532,AvgBonus[bu_name],$C532,AvgBonus[dept_name],$D532,AvgBonus[team_consolidation],$K532,AvgBonus[location_name],$G532,AvgBonus[job_title],$H532))*U427*SUM(BonusPayout[Month 10]))</f>
        <v>0</v>
      </c>
      <c r="V532" s="652">
        <f>IF($B532="",,IF(LEFT($H532,5)="dummy",SUMIFS(AvgBonus[avg_bonus],AvgBonus[job_title],$H532),SUMIFS(AvgBonus[avg_bonus],AvgBonus[exp_item],$J532,AvgBonus[company_name],$B532,AvgBonus[bu_name],$C532,AvgBonus[dept_name],$D532,AvgBonus[team_consolidation],$K532,AvgBonus[location_name],$G532,AvgBonus[job_title],$H532))*V427*SUM(BonusPayout[Month 11]))</f>
        <v>0</v>
      </c>
      <c r="W532" s="652">
        <f>IF($B532="",,IF(LEFT($H532,5)="dummy",SUMIFS(AvgBonus[avg_bonus],AvgBonus[job_title],$H532),SUMIFS(AvgBonus[avg_bonus],AvgBonus[exp_item],$J532,AvgBonus[company_name],$B532,AvgBonus[bu_name],$C532,AvgBonus[dept_name],$D532,AvgBonus[team_consolidation],$K532,AvgBonus[location_name],$G532,AvgBonus[job_title],$H532))*W427*SUM(BonusPayout[Month 12]))</f>
        <v>0</v>
      </c>
      <c r="X532" s="652">
        <f>IF($B532="",,IF(LEFT($H532,5)="dummy",SUMIFS(AvgBonus[avg_bonus],AvgBonus[job_title],$H532),SUMIFS(AvgBonus[avg_bonus],AvgBonus[exp_item],$J532,AvgBonus[company_name],$B532,AvgBonus[bu_name],$C532,AvgBonus[dept_name],$D532,AvgBonus[team_consolidation],$K532,AvgBonus[location_name],$G532,AvgBonus[job_title],$H532))*X427*SUM(BonusPayout[Month 13]))</f>
        <v>0</v>
      </c>
      <c r="Y532" s="652">
        <f>IF($B532="",,IF(LEFT($H532,5)="dummy",SUMIFS(AvgBonus[avg_bonus],AvgBonus[job_title],$H532),SUMIFS(AvgBonus[avg_bonus],AvgBonus[exp_item],$J532,AvgBonus[company_name],$B532,AvgBonus[bu_name],$C532,AvgBonus[dept_name],$D532,AvgBonus[team_consolidation],$K532,AvgBonus[location_name],$G532,AvgBonus[job_title],$H532))*Y427*SUM(BonusPayout[Month 14]))</f>
        <v>0</v>
      </c>
      <c r="Z532" s="652">
        <f>IF($B532="",,IF(LEFT($H532,5)="dummy",SUMIFS(AvgBonus[avg_bonus],AvgBonus[job_title],$H532),SUMIFS(AvgBonus[avg_bonus],AvgBonus[exp_item],$J532,AvgBonus[company_name],$B532,AvgBonus[bu_name],$C532,AvgBonus[dept_name],$D532,AvgBonus[team_consolidation],$K532,AvgBonus[location_name],$G532,AvgBonus[job_title],$H532))*Z427*SUM(BonusPayout[Month 15]))</f>
        <v>0</v>
      </c>
      <c r="AA532" s="652">
        <f>IF($B532="",,IF(LEFT($H532,5)="dummy",SUMIFS(AvgBonus[avg_bonus],AvgBonus[job_title],$H532),SUMIFS(AvgBonus[avg_bonus],AvgBonus[exp_item],$J532,AvgBonus[company_name],$B532,AvgBonus[bu_name],$C532,AvgBonus[dept_name],$D532,AvgBonus[team_consolidation],$K532,AvgBonus[location_name],$G532,AvgBonus[job_title],$H532))*AA427*SUM(BonusPayout[Month 16]))</f>
        <v>0</v>
      </c>
      <c r="AB532" s="652">
        <f>IF($B532="",,IF(LEFT($H532,5)="dummy",SUMIFS(AvgBonus[avg_bonus],AvgBonus[job_title],$H532),SUMIFS(AvgBonus[avg_bonus],AvgBonus[exp_item],$J532,AvgBonus[company_name],$B532,AvgBonus[bu_name],$C532,AvgBonus[dept_name],$D532,AvgBonus[team_consolidation],$K532,AvgBonus[location_name],$G532,AvgBonus[job_title],$H532))*AB427*SUM(BonusPayout[Month 17]))</f>
        <v>0</v>
      </c>
      <c r="AC532" s="652">
        <f>IF($B532="",,IF(LEFT($H532,5)="dummy",SUMIFS(AvgBonus[avg_bonus],AvgBonus[job_title],$H532),SUMIFS(AvgBonus[avg_bonus],AvgBonus[exp_item],$J532,AvgBonus[company_name],$B532,AvgBonus[bu_name],$C532,AvgBonus[dept_name],$D532,AvgBonus[team_consolidation],$K532,AvgBonus[location_name],$G532,AvgBonus[job_title],$H532))*AC427*SUM(BonusPayout[Month 18]))</f>
        <v>0</v>
      </c>
      <c r="AD532" s="652">
        <f>IF($B532="",,IF(LEFT($H532,5)="dummy",SUMIFS(AvgBonus[avg_bonus],AvgBonus[job_title],$H532),SUMIFS(AvgBonus[avg_bonus],AvgBonus[exp_item],$J532,AvgBonus[company_name],$B532,AvgBonus[bu_name],$C532,AvgBonus[dept_name],$D532,AvgBonus[team_consolidation],$K532,AvgBonus[location_name],$G532,AvgBonus[job_title],$H532))*AD427*SUM(BonusPayout[Month 19]))</f>
        <v>0</v>
      </c>
      <c r="AE532" s="652">
        <f>IF($B532="",,IF(LEFT($H532,5)="dummy",SUMIFS(AvgBonus[avg_bonus],AvgBonus[job_title],$H532),SUMIFS(AvgBonus[avg_bonus],AvgBonus[exp_item],$J532,AvgBonus[company_name],$B532,AvgBonus[bu_name],$C532,AvgBonus[dept_name],$D532,AvgBonus[team_consolidation],$K532,AvgBonus[location_name],$G532,AvgBonus[job_title],$H532))*AE427*SUM(BonusPayout[Month 20]))</f>
        <v>0</v>
      </c>
      <c r="AF532" s="652">
        <f>IF($B532="",,IF(LEFT($H532,5)="dummy",SUMIFS(AvgBonus[avg_bonus],AvgBonus[job_title],$H532),SUMIFS(AvgBonus[avg_bonus],AvgBonus[exp_item],$J532,AvgBonus[company_name],$B532,AvgBonus[bu_name],$C532,AvgBonus[dept_name],$D532,AvgBonus[team_consolidation],$K532,AvgBonus[location_name],$G532,AvgBonus[job_title],$H532))*AF427*SUM(BonusPayout[Month 21]))</f>
        <v>0</v>
      </c>
      <c r="AG532" s="652">
        <f>IF($B532="",,IF(LEFT($H532,5)="dummy",SUMIFS(AvgBonus[avg_bonus],AvgBonus[job_title],$H532),SUMIFS(AvgBonus[avg_bonus],AvgBonus[exp_item],$J532,AvgBonus[company_name],$B532,AvgBonus[bu_name],$C532,AvgBonus[dept_name],$D532,AvgBonus[team_consolidation],$K532,AvgBonus[location_name],$G532,AvgBonus[job_title],$H532))*AG427*SUM(BonusPayout[Month 22]))</f>
        <v>0</v>
      </c>
      <c r="AH532" s="652">
        <f>IF($B532="",,IF(LEFT($H532,5)="dummy",SUMIFS(AvgBonus[avg_bonus],AvgBonus[job_title],$H532),SUMIFS(AvgBonus[avg_bonus],AvgBonus[exp_item],$J532,AvgBonus[company_name],$B532,AvgBonus[bu_name],$C532,AvgBonus[dept_name],$D532,AvgBonus[team_consolidation],$K532,AvgBonus[location_name],$G532,AvgBonus[job_title],$H532))*AH427*SUM(BonusPayout[Month 23]))</f>
        <v>0</v>
      </c>
      <c r="AI532" s="652">
        <f>IF($B532="",,IF(LEFT($H532,5)="dummy",SUMIFS(AvgBonus[avg_bonus],AvgBonus[job_title],$H532),SUMIFS(AvgBonus[avg_bonus],AvgBonus[exp_item],$J532,AvgBonus[company_name],$B532,AvgBonus[bu_name],$C532,AvgBonus[dept_name],$D532,AvgBonus[team_consolidation],$K532,AvgBonus[location_name],$G532,AvgBonus[job_title],$H532))*AI427*SUM(BonusPayout[Month 24]))</f>
        <v>0</v>
      </c>
      <c r="AJ532" s="652">
        <f>IF($B532="",,IF(LEFT($H532,5)="dummy",SUMIFS(AvgBonus[avg_bonus],AvgBonus[job_title],$H532),SUMIFS(AvgBonus[avg_bonus],AvgBonus[exp_item],$J532,AvgBonus[company_name],$B532,AvgBonus[bu_name],$C532,AvgBonus[dept_name],$D532,AvgBonus[team_consolidation],$K532,AvgBonus[location_name],$G532,AvgBonus[job_title],$H532))*AJ427*SUM(BonusPayout[Month 25]))</f>
        <v>0</v>
      </c>
      <c r="AK532" s="652">
        <f>IF($B532="",,IF(LEFT($H532,5)="dummy",SUMIFS(AvgBonus[avg_bonus],AvgBonus[job_title],$H532),SUMIFS(AvgBonus[avg_bonus],AvgBonus[exp_item],$J532,AvgBonus[company_name],$B532,AvgBonus[bu_name],$C532,AvgBonus[dept_name],$D532,AvgBonus[team_consolidation],$K532,AvgBonus[location_name],$G532,AvgBonus[job_title],$H532))*AK427*SUM(BonusPayout[Month 26]))</f>
        <v>0</v>
      </c>
      <c r="AL532" s="652">
        <f>IF($B532="",,IF(LEFT($H532,5)="dummy",SUMIFS(AvgBonus[avg_bonus],AvgBonus[job_title],$H532),SUMIFS(AvgBonus[avg_bonus],AvgBonus[exp_item],$J532,AvgBonus[company_name],$B532,AvgBonus[bu_name],$C532,AvgBonus[dept_name],$D532,AvgBonus[team_consolidation],$K532,AvgBonus[location_name],$G532,AvgBonus[job_title],$H532))*AL427*SUM(BonusPayout[Month 27]))</f>
        <v>0</v>
      </c>
      <c r="AM532" s="652">
        <f>IF($B532="",,IF(LEFT($H532,5)="dummy",SUMIFS(AvgBonus[avg_bonus],AvgBonus[job_title],$H532),SUMIFS(AvgBonus[avg_bonus],AvgBonus[exp_item],$J532,AvgBonus[company_name],$B532,AvgBonus[bu_name],$C532,AvgBonus[dept_name],$D532,AvgBonus[team_consolidation],$K532,AvgBonus[location_name],$G532,AvgBonus[job_title],$H532))*AM427*SUM(BonusPayout[Month 28]))</f>
        <v>0</v>
      </c>
      <c r="AN532" s="652">
        <f>IF($B532="",,IF(LEFT($H532,5)="dummy",SUMIFS(AvgBonus[avg_bonus],AvgBonus[job_title],$H532),SUMIFS(AvgBonus[avg_bonus],AvgBonus[exp_item],$J532,AvgBonus[company_name],$B532,AvgBonus[bu_name],$C532,AvgBonus[dept_name],$D532,AvgBonus[team_consolidation],$K532,AvgBonus[location_name],$G532,AvgBonus[job_title],$H532))*AN427*SUM(BonusPayout[Month 29]))</f>
        <v>0</v>
      </c>
      <c r="AO532" s="652">
        <f>IF($B532="",,IF(LEFT($H532,5)="dummy",SUMIFS(AvgBonus[avg_bonus],AvgBonus[job_title],$H532),SUMIFS(AvgBonus[avg_bonus],AvgBonus[exp_item],$J532,AvgBonus[company_name],$B532,AvgBonus[bu_name],$C532,AvgBonus[dept_name],$D532,AvgBonus[team_consolidation],$K532,AvgBonus[location_name],$G532,AvgBonus[job_title],$H532))*AO427*SUM(BonusPayout[Month 30]))</f>
        <v>0</v>
      </c>
      <c r="AP532" s="652">
        <f>IF($B532="",,IF(LEFT($H532,5)="dummy",SUMIFS(AvgBonus[avg_bonus],AvgBonus[job_title],$H532),SUMIFS(AvgBonus[avg_bonus],AvgBonus[exp_item],$J532,AvgBonus[company_name],$B532,AvgBonus[bu_name],$C532,AvgBonus[dept_name],$D532,AvgBonus[team_consolidation],$K532,AvgBonus[location_name],$G532,AvgBonus[job_title],$H532))*AP427*SUM(BonusPayout[Month 31]))</f>
        <v>0</v>
      </c>
      <c r="AQ532" s="652">
        <f>IF($B532="",,IF(LEFT($H532,5)="dummy",SUMIFS(AvgBonus[avg_bonus],AvgBonus[job_title],$H532),SUMIFS(AvgBonus[avg_bonus],AvgBonus[exp_item],$J532,AvgBonus[company_name],$B532,AvgBonus[bu_name],$C532,AvgBonus[dept_name],$D532,AvgBonus[team_consolidation],$K532,AvgBonus[location_name],$G532,AvgBonus[job_title],$H532))*AQ427*SUM(BonusPayout[Month 32]))</f>
        <v>0</v>
      </c>
      <c r="AR532" s="652">
        <f>IF($B532="",,IF(LEFT($H532,5)="dummy",SUMIFS(AvgBonus[avg_bonus],AvgBonus[job_title],$H532),SUMIFS(AvgBonus[avg_bonus],AvgBonus[exp_item],$J532,AvgBonus[company_name],$B532,AvgBonus[bu_name],$C532,AvgBonus[dept_name],$D532,AvgBonus[team_consolidation],$K532,AvgBonus[location_name],$G532,AvgBonus[job_title],$H532))*AR427*SUM(BonusPayout[Month 33]))</f>
        <v>0</v>
      </c>
      <c r="AS532" s="652">
        <f>IF($B532="",,IF(LEFT($H532,5)="dummy",SUMIFS(AvgBonus[avg_bonus],AvgBonus[job_title],$H532),SUMIFS(AvgBonus[avg_bonus],AvgBonus[exp_item],$J532,AvgBonus[company_name],$B532,AvgBonus[bu_name],$C532,AvgBonus[dept_name],$D532,AvgBonus[team_consolidation],$K532,AvgBonus[location_name],$G532,AvgBonus[job_title],$H532))*AS427*SUM(BonusPayout[Month 34]))</f>
        <v>0</v>
      </c>
      <c r="AT532" s="652">
        <f>IF($B532="",,IF(LEFT($H532,5)="dummy",SUMIFS(AvgBonus[avg_bonus],AvgBonus[job_title],$H532),SUMIFS(AvgBonus[avg_bonus],AvgBonus[exp_item],$J532,AvgBonus[company_name],$B532,AvgBonus[bu_name],$C532,AvgBonus[dept_name],$D532,AvgBonus[team_consolidation],$K532,AvgBonus[location_name],$G532,AvgBonus[job_title],$H532))*AT427*SUM(BonusPayout[Month 35]))</f>
        <v>0</v>
      </c>
      <c r="AU532" s="652">
        <f>IF($B532="",,IF(LEFT($H532,5)="dummy",SUMIFS(AvgBonus[avg_bonus],AvgBonus[job_title],$H532),SUMIFS(AvgBonus[avg_bonus],AvgBonus[exp_item],$J532,AvgBonus[company_name],$B532,AvgBonus[bu_name],$C532,AvgBonus[dept_name],$D532,AvgBonus[team_consolidation],$K532,AvgBonus[location_name],$G532,AvgBonus[job_title],$H532))*AU427*SUM(BonusPayout[Month 36]))</f>
        <v>0</v>
      </c>
    </row>
    <row r="533" spans="2:47" x14ac:dyDescent="0.35">
      <c r="B533" t="str">
        <f t="shared" si="292"/>
        <v/>
      </c>
      <c r="C533" t="str">
        <f t="shared" ref="C533:G533" si="325">IF(C428="","",C428)</f>
        <v/>
      </c>
      <c r="D533" t="str">
        <f t="shared" si="325"/>
        <v/>
      </c>
      <c r="E533" t="str">
        <f t="shared" si="325"/>
        <v/>
      </c>
      <c r="F533" t="str">
        <f t="shared" si="325"/>
        <v/>
      </c>
      <c r="G533" t="str">
        <f t="shared" si="325"/>
        <v/>
      </c>
      <c r="H533" t="str">
        <f t="shared" ref="H533:H564" si="326">IF(H218="","",H218)</f>
        <v/>
      </c>
      <c r="J533" t="str">
        <f>IF($H533="","",IF(VLOOKUP($B$500,ExpItems[],2,0),$B$500&amp;" - "&amp;INDEX(DivisionMapping[category_code],MATCH($D533&amp;$C533,DivisionMapping[dept_bu],0)),$B$500))</f>
        <v/>
      </c>
      <c r="K533" t="str">
        <f t="shared" si="294"/>
        <v/>
      </c>
      <c r="L533" s="652">
        <f>IF($B533="",,IF(LEFT($H533,5)="dummy",SUMIFS(AvgBonus[avg_bonus],AvgBonus[job_title],$H533),SUMIFS(AvgBonus[avg_bonus],AvgBonus[exp_item],$J533,AvgBonus[company_name],$B533,AvgBonus[bu_name],$C533,AvgBonus[dept_name],$D533,AvgBonus[team_consolidation],$K533,AvgBonus[location_name],$G533,AvgBonus[job_title],$H533))*L428*SUM(BonusPayout[Month 1]))</f>
        <v>0</v>
      </c>
      <c r="M533" s="652">
        <f>IF($B533="",,IF(LEFT($H533,5)="dummy",SUMIFS(AvgBonus[avg_bonus],AvgBonus[job_title],$H533),SUMIFS(AvgBonus[avg_bonus],AvgBonus[exp_item],$J533,AvgBonus[company_name],$B533,AvgBonus[bu_name],$C533,AvgBonus[dept_name],$D533,AvgBonus[team_consolidation],$K533,AvgBonus[location_name],$G533,AvgBonus[job_title],$H533))*M428*SUM(BonusPayout[Month 2]))</f>
        <v>0</v>
      </c>
      <c r="N533" s="652">
        <f>IF($B533="",,IF(LEFT($H533,5)="dummy",SUMIFS(AvgBonus[avg_bonus],AvgBonus[job_title],$H533),SUMIFS(AvgBonus[avg_bonus],AvgBonus[exp_item],$J533,AvgBonus[company_name],$B533,AvgBonus[bu_name],$C533,AvgBonus[dept_name],$D533,AvgBonus[team_consolidation],$K533,AvgBonus[location_name],$G533,AvgBonus[job_title],$H533))*N428*SUM(BonusPayout[Month 3]))</f>
        <v>0</v>
      </c>
      <c r="O533" s="652">
        <f>IF($B533="",,IF(LEFT($H533,5)="dummy",SUMIFS(AvgBonus[avg_bonus],AvgBonus[job_title],$H533),SUMIFS(AvgBonus[avg_bonus],AvgBonus[exp_item],$J533,AvgBonus[company_name],$B533,AvgBonus[bu_name],$C533,AvgBonus[dept_name],$D533,AvgBonus[team_consolidation],$K533,AvgBonus[location_name],$G533,AvgBonus[job_title],$H533))*O428*SUM(BonusPayout[Month 4]))</f>
        <v>0</v>
      </c>
      <c r="P533" s="652">
        <f>IF($B533="",,IF(LEFT($H533,5)="dummy",SUMIFS(AvgBonus[avg_bonus],AvgBonus[job_title],$H533),SUMIFS(AvgBonus[avg_bonus],AvgBonus[exp_item],$J533,AvgBonus[company_name],$B533,AvgBonus[bu_name],$C533,AvgBonus[dept_name],$D533,AvgBonus[team_consolidation],$K533,AvgBonus[location_name],$G533,AvgBonus[job_title],$H533))*P428*SUM(BonusPayout[Month 5]))</f>
        <v>0</v>
      </c>
      <c r="Q533" s="652">
        <f>IF($B533="",,IF(LEFT($H533,5)="dummy",SUMIFS(AvgBonus[avg_bonus],AvgBonus[job_title],$H533),SUMIFS(AvgBonus[avg_bonus],AvgBonus[exp_item],$J533,AvgBonus[company_name],$B533,AvgBonus[bu_name],$C533,AvgBonus[dept_name],$D533,AvgBonus[team_consolidation],$K533,AvgBonus[location_name],$G533,AvgBonus[job_title],$H533))*Q428*SUM(BonusPayout[Month 6]))</f>
        <v>0</v>
      </c>
      <c r="R533" s="652">
        <f>IF($B533="",,IF(LEFT($H533,5)="dummy",SUMIFS(AvgBonus[avg_bonus],AvgBonus[job_title],$H533),SUMIFS(AvgBonus[avg_bonus],AvgBonus[exp_item],$J533,AvgBonus[company_name],$B533,AvgBonus[bu_name],$C533,AvgBonus[dept_name],$D533,AvgBonus[team_consolidation],$K533,AvgBonus[location_name],$G533,AvgBonus[job_title],$H533))*R428*SUM(BonusPayout[Month 7]))</f>
        <v>0</v>
      </c>
      <c r="S533" s="652">
        <f>IF($B533="",,IF(LEFT($H533,5)="dummy",SUMIFS(AvgBonus[avg_bonus],AvgBonus[job_title],$H533),SUMIFS(AvgBonus[avg_bonus],AvgBonus[exp_item],$J533,AvgBonus[company_name],$B533,AvgBonus[bu_name],$C533,AvgBonus[dept_name],$D533,AvgBonus[team_consolidation],$K533,AvgBonus[location_name],$G533,AvgBonus[job_title],$H533))*S428*SUM(BonusPayout[Month 8]))</f>
        <v>0</v>
      </c>
      <c r="T533" s="652">
        <f>IF($B533="",,IF(LEFT($H533,5)="dummy",SUMIFS(AvgBonus[avg_bonus],AvgBonus[job_title],$H533),SUMIFS(AvgBonus[avg_bonus],AvgBonus[exp_item],$J533,AvgBonus[company_name],$B533,AvgBonus[bu_name],$C533,AvgBonus[dept_name],$D533,AvgBonus[team_consolidation],$K533,AvgBonus[location_name],$G533,AvgBonus[job_title],$H533))*T428*SUM(BonusPayout[Month 9]))</f>
        <v>0</v>
      </c>
      <c r="U533" s="652">
        <f>IF($B533="",,IF(LEFT($H533,5)="dummy",SUMIFS(AvgBonus[avg_bonus],AvgBonus[job_title],$H533),SUMIFS(AvgBonus[avg_bonus],AvgBonus[exp_item],$J533,AvgBonus[company_name],$B533,AvgBonus[bu_name],$C533,AvgBonus[dept_name],$D533,AvgBonus[team_consolidation],$K533,AvgBonus[location_name],$G533,AvgBonus[job_title],$H533))*U428*SUM(BonusPayout[Month 10]))</f>
        <v>0</v>
      </c>
      <c r="V533" s="652">
        <f>IF($B533="",,IF(LEFT($H533,5)="dummy",SUMIFS(AvgBonus[avg_bonus],AvgBonus[job_title],$H533),SUMIFS(AvgBonus[avg_bonus],AvgBonus[exp_item],$J533,AvgBonus[company_name],$B533,AvgBonus[bu_name],$C533,AvgBonus[dept_name],$D533,AvgBonus[team_consolidation],$K533,AvgBonus[location_name],$G533,AvgBonus[job_title],$H533))*V428*SUM(BonusPayout[Month 11]))</f>
        <v>0</v>
      </c>
      <c r="W533" s="652">
        <f>IF($B533="",,IF(LEFT($H533,5)="dummy",SUMIFS(AvgBonus[avg_bonus],AvgBonus[job_title],$H533),SUMIFS(AvgBonus[avg_bonus],AvgBonus[exp_item],$J533,AvgBonus[company_name],$B533,AvgBonus[bu_name],$C533,AvgBonus[dept_name],$D533,AvgBonus[team_consolidation],$K533,AvgBonus[location_name],$G533,AvgBonus[job_title],$H533))*W428*SUM(BonusPayout[Month 12]))</f>
        <v>0</v>
      </c>
      <c r="X533" s="652">
        <f>IF($B533="",,IF(LEFT($H533,5)="dummy",SUMIFS(AvgBonus[avg_bonus],AvgBonus[job_title],$H533),SUMIFS(AvgBonus[avg_bonus],AvgBonus[exp_item],$J533,AvgBonus[company_name],$B533,AvgBonus[bu_name],$C533,AvgBonus[dept_name],$D533,AvgBonus[team_consolidation],$K533,AvgBonus[location_name],$G533,AvgBonus[job_title],$H533))*X428*SUM(BonusPayout[Month 13]))</f>
        <v>0</v>
      </c>
      <c r="Y533" s="652">
        <f>IF($B533="",,IF(LEFT($H533,5)="dummy",SUMIFS(AvgBonus[avg_bonus],AvgBonus[job_title],$H533),SUMIFS(AvgBonus[avg_bonus],AvgBonus[exp_item],$J533,AvgBonus[company_name],$B533,AvgBonus[bu_name],$C533,AvgBonus[dept_name],$D533,AvgBonus[team_consolidation],$K533,AvgBonus[location_name],$G533,AvgBonus[job_title],$H533))*Y428*SUM(BonusPayout[Month 14]))</f>
        <v>0</v>
      </c>
      <c r="Z533" s="652">
        <f>IF($B533="",,IF(LEFT($H533,5)="dummy",SUMIFS(AvgBonus[avg_bonus],AvgBonus[job_title],$H533),SUMIFS(AvgBonus[avg_bonus],AvgBonus[exp_item],$J533,AvgBonus[company_name],$B533,AvgBonus[bu_name],$C533,AvgBonus[dept_name],$D533,AvgBonus[team_consolidation],$K533,AvgBonus[location_name],$G533,AvgBonus[job_title],$H533))*Z428*SUM(BonusPayout[Month 15]))</f>
        <v>0</v>
      </c>
      <c r="AA533" s="652">
        <f>IF($B533="",,IF(LEFT($H533,5)="dummy",SUMIFS(AvgBonus[avg_bonus],AvgBonus[job_title],$H533),SUMIFS(AvgBonus[avg_bonus],AvgBonus[exp_item],$J533,AvgBonus[company_name],$B533,AvgBonus[bu_name],$C533,AvgBonus[dept_name],$D533,AvgBonus[team_consolidation],$K533,AvgBonus[location_name],$G533,AvgBonus[job_title],$H533))*AA428*SUM(BonusPayout[Month 16]))</f>
        <v>0</v>
      </c>
      <c r="AB533" s="652">
        <f>IF($B533="",,IF(LEFT($H533,5)="dummy",SUMIFS(AvgBonus[avg_bonus],AvgBonus[job_title],$H533),SUMIFS(AvgBonus[avg_bonus],AvgBonus[exp_item],$J533,AvgBonus[company_name],$B533,AvgBonus[bu_name],$C533,AvgBonus[dept_name],$D533,AvgBonus[team_consolidation],$K533,AvgBonus[location_name],$G533,AvgBonus[job_title],$H533))*AB428*SUM(BonusPayout[Month 17]))</f>
        <v>0</v>
      </c>
      <c r="AC533" s="652">
        <f>IF($B533="",,IF(LEFT($H533,5)="dummy",SUMIFS(AvgBonus[avg_bonus],AvgBonus[job_title],$H533),SUMIFS(AvgBonus[avg_bonus],AvgBonus[exp_item],$J533,AvgBonus[company_name],$B533,AvgBonus[bu_name],$C533,AvgBonus[dept_name],$D533,AvgBonus[team_consolidation],$K533,AvgBonus[location_name],$G533,AvgBonus[job_title],$H533))*AC428*SUM(BonusPayout[Month 18]))</f>
        <v>0</v>
      </c>
      <c r="AD533" s="652">
        <f>IF($B533="",,IF(LEFT($H533,5)="dummy",SUMIFS(AvgBonus[avg_bonus],AvgBonus[job_title],$H533),SUMIFS(AvgBonus[avg_bonus],AvgBonus[exp_item],$J533,AvgBonus[company_name],$B533,AvgBonus[bu_name],$C533,AvgBonus[dept_name],$D533,AvgBonus[team_consolidation],$K533,AvgBonus[location_name],$G533,AvgBonus[job_title],$H533))*AD428*SUM(BonusPayout[Month 19]))</f>
        <v>0</v>
      </c>
      <c r="AE533" s="652">
        <f>IF($B533="",,IF(LEFT($H533,5)="dummy",SUMIFS(AvgBonus[avg_bonus],AvgBonus[job_title],$H533),SUMIFS(AvgBonus[avg_bonus],AvgBonus[exp_item],$J533,AvgBonus[company_name],$B533,AvgBonus[bu_name],$C533,AvgBonus[dept_name],$D533,AvgBonus[team_consolidation],$K533,AvgBonus[location_name],$G533,AvgBonus[job_title],$H533))*AE428*SUM(BonusPayout[Month 20]))</f>
        <v>0</v>
      </c>
      <c r="AF533" s="652">
        <f>IF($B533="",,IF(LEFT($H533,5)="dummy",SUMIFS(AvgBonus[avg_bonus],AvgBonus[job_title],$H533),SUMIFS(AvgBonus[avg_bonus],AvgBonus[exp_item],$J533,AvgBonus[company_name],$B533,AvgBonus[bu_name],$C533,AvgBonus[dept_name],$D533,AvgBonus[team_consolidation],$K533,AvgBonus[location_name],$G533,AvgBonus[job_title],$H533))*AF428*SUM(BonusPayout[Month 21]))</f>
        <v>0</v>
      </c>
      <c r="AG533" s="652">
        <f>IF($B533="",,IF(LEFT($H533,5)="dummy",SUMIFS(AvgBonus[avg_bonus],AvgBonus[job_title],$H533),SUMIFS(AvgBonus[avg_bonus],AvgBonus[exp_item],$J533,AvgBonus[company_name],$B533,AvgBonus[bu_name],$C533,AvgBonus[dept_name],$D533,AvgBonus[team_consolidation],$K533,AvgBonus[location_name],$G533,AvgBonus[job_title],$H533))*AG428*SUM(BonusPayout[Month 22]))</f>
        <v>0</v>
      </c>
      <c r="AH533" s="652">
        <f>IF($B533="",,IF(LEFT($H533,5)="dummy",SUMIFS(AvgBonus[avg_bonus],AvgBonus[job_title],$H533),SUMIFS(AvgBonus[avg_bonus],AvgBonus[exp_item],$J533,AvgBonus[company_name],$B533,AvgBonus[bu_name],$C533,AvgBonus[dept_name],$D533,AvgBonus[team_consolidation],$K533,AvgBonus[location_name],$G533,AvgBonus[job_title],$H533))*AH428*SUM(BonusPayout[Month 23]))</f>
        <v>0</v>
      </c>
      <c r="AI533" s="652">
        <f>IF($B533="",,IF(LEFT($H533,5)="dummy",SUMIFS(AvgBonus[avg_bonus],AvgBonus[job_title],$H533),SUMIFS(AvgBonus[avg_bonus],AvgBonus[exp_item],$J533,AvgBonus[company_name],$B533,AvgBonus[bu_name],$C533,AvgBonus[dept_name],$D533,AvgBonus[team_consolidation],$K533,AvgBonus[location_name],$G533,AvgBonus[job_title],$H533))*AI428*SUM(BonusPayout[Month 24]))</f>
        <v>0</v>
      </c>
      <c r="AJ533" s="652">
        <f>IF($B533="",,IF(LEFT($H533,5)="dummy",SUMIFS(AvgBonus[avg_bonus],AvgBonus[job_title],$H533),SUMIFS(AvgBonus[avg_bonus],AvgBonus[exp_item],$J533,AvgBonus[company_name],$B533,AvgBonus[bu_name],$C533,AvgBonus[dept_name],$D533,AvgBonus[team_consolidation],$K533,AvgBonus[location_name],$G533,AvgBonus[job_title],$H533))*AJ428*SUM(BonusPayout[Month 25]))</f>
        <v>0</v>
      </c>
      <c r="AK533" s="652">
        <f>IF($B533="",,IF(LEFT($H533,5)="dummy",SUMIFS(AvgBonus[avg_bonus],AvgBonus[job_title],$H533),SUMIFS(AvgBonus[avg_bonus],AvgBonus[exp_item],$J533,AvgBonus[company_name],$B533,AvgBonus[bu_name],$C533,AvgBonus[dept_name],$D533,AvgBonus[team_consolidation],$K533,AvgBonus[location_name],$G533,AvgBonus[job_title],$H533))*AK428*SUM(BonusPayout[Month 26]))</f>
        <v>0</v>
      </c>
      <c r="AL533" s="652">
        <f>IF($B533="",,IF(LEFT($H533,5)="dummy",SUMIFS(AvgBonus[avg_bonus],AvgBonus[job_title],$H533),SUMIFS(AvgBonus[avg_bonus],AvgBonus[exp_item],$J533,AvgBonus[company_name],$B533,AvgBonus[bu_name],$C533,AvgBonus[dept_name],$D533,AvgBonus[team_consolidation],$K533,AvgBonus[location_name],$G533,AvgBonus[job_title],$H533))*AL428*SUM(BonusPayout[Month 27]))</f>
        <v>0</v>
      </c>
      <c r="AM533" s="652">
        <f>IF($B533="",,IF(LEFT($H533,5)="dummy",SUMIFS(AvgBonus[avg_bonus],AvgBonus[job_title],$H533),SUMIFS(AvgBonus[avg_bonus],AvgBonus[exp_item],$J533,AvgBonus[company_name],$B533,AvgBonus[bu_name],$C533,AvgBonus[dept_name],$D533,AvgBonus[team_consolidation],$K533,AvgBonus[location_name],$G533,AvgBonus[job_title],$H533))*AM428*SUM(BonusPayout[Month 28]))</f>
        <v>0</v>
      </c>
      <c r="AN533" s="652">
        <f>IF($B533="",,IF(LEFT($H533,5)="dummy",SUMIFS(AvgBonus[avg_bonus],AvgBonus[job_title],$H533),SUMIFS(AvgBonus[avg_bonus],AvgBonus[exp_item],$J533,AvgBonus[company_name],$B533,AvgBonus[bu_name],$C533,AvgBonus[dept_name],$D533,AvgBonus[team_consolidation],$K533,AvgBonus[location_name],$G533,AvgBonus[job_title],$H533))*AN428*SUM(BonusPayout[Month 29]))</f>
        <v>0</v>
      </c>
      <c r="AO533" s="652">
        <f>IF($B533="",,IF(LEFT($H533,5)="dummy",SUMIFS(AvgBonus[avg_bonus],AvgBonus[job_title],$H533),SUMIFS(AvgBonus[avg_bonus],AvgBonus[exp_item],$J533,AvgBonus[company_name],$B533,AvgBonus[bu_name],$C533,AvgBonus[dept_name],$D533,AvgBonus[team_consolidation],$K533,AvgBonus[location_name],$G533,AvgBonus[job_title],$H533))*AO428*SUM(BonusPayout[Month 30]))</f>
        <v>0</v>
      </c>
      <c r="AP533" s="652">
        <f>IF($B533="",,IF(LEFT($H533,5)="dummy",SUMIFS(AvgBonus[avg_bonus],AvgBonus[job_title],$H533),SUMIFS(AvgBonus[avg_bonus],AvgBonus[exp_item],$J533,AvgBonus[company_name],$B533,AvgBonus[bu_name],$C533,AvgBonus[dept_name],$D533,AvgBonus[team_consolidation],$K533,AvgBonus[location_name],$G533,AvgBonus[job_title],$H533))*AP428*SUM(BonusPayout[Month 31]))</f>
        <v>0</v>
      </c>
      <c r="AQ533" s="652">
        <f>IF($B533="",,IF(LEFT($H533,5)="dummy",SUMIFS(AvgBonus[avg_bonus],AvgBonus[job_title],$H533),SUMIFS(AvgBonus[avg_bonus],AvgBonus[exp_item],$J533,AvgBonus[company_name],$B533,AvgBonus[bu_name],$C533,AvgBonus[dept_name],$D533,AvgBonus[team_consolidation],$K533,AvgBonus[location_name],$G533,AvgBonus[job_title],$H533))*AQ428*SUM(BonusPayout[Month 32]))</f>
        <v>0</v>
      </c>
      <c r="AR533" s="652">
        <f>IF($B533="",,IF(LEFT($H533,5)="dummy",SUMIFS(AvgBonus[avg_bonus],AvgBonus[job_title],$H533),SUMIFS(AvgBonus[avg_bonus],AvgBonus[exp_item],$J533,AvgBonus[company_name],$B533,AvgBonus[bu_name],$C533,AvgBonus[dept_name],$D533,AvgBonus[team_consolidation],$K533,AvgBonus[location_name],$G533,AvgBonus[job_title],$H533))*AR428*SUM(BonusPayout[Month 33]))</f>
        <v>0</v>
      </c>
      <c r="AS533" s="652">
        <f>IF($B533="",,IF(LEFT($H533,5)="dummy",SUMIFS(AvgBonus[avg_bonus],AvgBonus[job_title],$H533),SUMIFS(AvgBonus[avg_bonus],AvgBonus[exp_item],$J533,AvgBonus[company_name],$B533,AvgBonus[bu_name],$C533,AvgBonus[dept_name],$D533,AvgBonus[team_consolidation],$K533,AvgBonus[location_name],$G533,AvgBonus[job_title],$H533))*AS428*SUM(BonusPayout[Month 34]))</f>
        <v>0</v>
      </c>
      <c r="AT533" s="652">
        <f>IF($B533="",,IF(LEFT($H533,5)="dummy",SUMIFS(AvgBonus[avg_bonus],AvgBonus[job_title],$H533),SUMIFS(AvgBonus[avg_bonus],AvgBonus[exp_item],$J533,AvgBonus[company_name],$B533,AvgBonus[bu_name],$C533,AvgBonus[dept_name],$D533,AvgBonus[team_consolidation],$K533,AvgBonus[location_name],$G533,AvgBonus[job_title],$H533))*AT428*SUM(BonusPayout[Month 35]))</f>
        <v>0</v>
      </c>
      <c r="AU533" s="652">
        <f>IF($B533="",,IF(LEFT($H533,5)="dummy",SUMIFS(AvgBonus[avg_bonus],AvgBonus[job_title],$H533),SUMIFS(AvgBonus[avg_bonus],AvgBonus[exp_item],$J533,AvgBonus[company_name],$B533,AvgBonus[bu_name],$C533,AvgBonus[dept_name],$D533,AvgBonus[team_consolidation],$K533,AvgBonus[location_name],$G533,AvgBonus[job_title],$H533))*AU428*SUM(BonusPayout[Month 36]))</f>
        <v>0</v>
      </c>
    </row>
    <row r="534" spans="2:47" x14ac:dyDescent="0.35">
      <c r="B534" t="str">
        <f t="shared" ref="B534:B565" si="327">IF(B429="","",B429)</f>
        <v/>
      </c>
      <c r="C534" t="str">
        <f t="shared" ref="C534:G534" si="328">IF(C429="","",C429)</f>
        <v/>
      </c>
      <c r="D534" t="str">
        <f t="shared" si="328"/>
        <v/>
      </c>
      <c r="E534" t="str">
        <f t="shared" si="328"/>
        <v/>
      </c>
      <c r="F534" t="str">
        <f t="shared" si="328"/>
        <v/>
      </c>
      <c r="G534" t="str">
        <f t="shared" si="328"/>
        <v/>
      </c>
      <c r="H534" t="str">
        <f t="shared" si="326"/>
        <v/>
      </c>
      <c r="J534" t="str">
        <f>IF($H534="","",IF(VLOOKUP($B$500,ExpItems[],2,0),$B$500&amp;" - "&amp;INDEX(DivisionMapping[category_code],MATCH($D534&amp;$C534,DivisionMapping[dept_bu],0)),$B$500))</f>
        <v/>
      </c>
      <c r="K534" t="str">
        <f t="shared" si="294"/>
        <v/>
      </c>
      <c r="L534" s="652">
        <f>IF($B534="",,IF(LEFT($H534,5)="dummy",SUMIFS(AvgBonus[avg_bonus],AvgBonus[job_title],$H534),SUMIFS(AvgBonus[avg_bonus],AvgBonus[exp_item],$J534,AvgBonus[company_name],$B534,AvgBonus[bu_name],$C534,AvgBonus[dept_name],$D534,AvgBonus[team_consolidation],$K534,AvgBonus[location_name],$G534,AvgBonus[job_title],$H534))*L429*SUM(BonusPayout[Month 1]))</f>
        <v>0</v>
      </c>
      <c r="M534" s="652">
        <f>IF($B534="",,IF(LEFT($H534,5)="dummy",SUMIFS(AvgBonus[avg_bonus],AvgBonus[job_title],$H534),SUMIFS(AvgBonus[avg_bonus],AvgBonus[exp_item],$J534,AvgBonus[company_name],$B534,AvgBonus[bu_name],$C534,AvgBonus[dept_name],$D534,AvgBonus[team_consolidation],$K534,AvgBonus[location_name],$G534,AvgBonus[job_title],$H534))*M429*SUM(BonusPayout[Month 2]))</f>
        <v>0</v>
      </c>
      <c r="N534" s="652">
        <f>IF($B534="",,IF(LEFT($H534,5)="dummy",SUMIFS(AvgBonus[avg_bonus],AvgBonus[job_title],$H534),SUMIFS(AvgBonus[avg_bonus],AvgBonus[exp_item],$J534,AvgBonus[company_name],$B534,AvgBonus[bu_name],$C534,AvgBonus[dept_name],$D534,AvgBonus[team_consolidation],$K534,AvgBonus[location_name],$G534,AvgBonus[job_title],$H534))*N429*SUM(BonusPayout[Month 3]))</f>
        <v>0</v>
      </c>
      <c r="O534" s="652">
        <f>IF($B534="",,IF(LEFT($H534,5)="dummy",SUMIFS(AvgBonus[avg_bonus],AvgBonus[job_title],$H534),SUMIFS(AvgBonus[avg_bonus],AvgBonus[exp_item],$J534,AvgBonus[company_name],$B534,AvgBonus[bu_name],$C534,AvgBonus[dept_name],$D534,AvgBonus[team_consolidation],$K534,AvgBonus[location_name],$G534,AvgBonus[job_title],$H534))*O429*SUM(BonusPayout[Month 4]))</f>
        <v>0</v>
      </c>
      <c r="P534" s="652">
        <f>IF($B534="",,IF(LEFT($H534,5)="dummy",SUMIFS(AvgBonus[avg_bonus],AvgBonus[job_title],$H534),SUMIFS(AvgBonus[avg_bonus],AvgBonus[exp_item],$J534,AvgBonus[company_name],$B534,AvgBonus[bu_name],$C534,AvgBonus[dept_name],$D534,AvgBonus[team_consolidation],$K534,AvgBonus[location_name],$G534,AvgBonus[job_title],$H534))*P429*SUM(BonusPayout[Month 5]))</f>
        <v>0</v>
      </c>
      <c r="Q534" s="652">
        <f>IF($B534="",,IF(LEFT($H534,5)="dummy",SUMIFS(AvgBonus[avg_bonus],AvgBonus[job_title],$H534),SUMIFS(AvgBonus[avg_bonus],AvgBonus[exp_item],$J534,AvgBonus[company_name],$B534,AvgBonus[bu_name],$C534,AvgBonus[dept_name],$D534,AvgBonus[team_consolidation],$K534,AvgBonus[location_name],$G534,AvgBonus[job_title],$H534))*Q429*SUM(BonusPayout[Month 6]))</f>
        <v>0</v>
      </c>
      <c r="R534" s="652">
        <f>IF($B534="",,IF(LEFT($H534,5)="dummy",SUMIFS(AvgBonus[avg_bonus],AvgBonus[job_title],$H534),SUMIFS(AvgBonus[avg_bonus],AvgBonus[exp_item],$J534,AvgBonus[company_name],$B534,AvgBonus[bu_name],$C534,AvgBonus[dept_name],$D534,AvgBonus[team_consolidation],$K534,AvgBonus[location_name],$G534,AvgBonus[job_title],$H534))*R429*SUM(BonusPayout[Month 7]))</f>
        <v>0</v>
      </c>
      <c r="S534" s="652">
        <f>IF($B534="",,IF(LEFT($H534,5)="dummy",SUMIFS(AvgBonus[avg_bonus],AvgBonus[job_title],$H534),SUMIFS(AvgBonus[avg_bonus],AvgBonus[exp_item],$J534,AvgBonus[company_name],$B534,AvgBonus[bu_name],$C534,AvgBonus[dept_name],$D534,AvgBonus[team_consolidation],$K534,AvgBonus[location_name],$G534,AvgBonus[job_title],$H534))*S429*SUM(BonusPayout[Month 8]))</f>
        <v>0</v>
      </c>
      <c r="T534" s="652">
        <f>IF($B534="",,IF(LEFT($H534,5)="dummy",SUMIFS(AvgBonus[avg_bonus],AvgBonus[job_title],$H534),SUMIFS(AvgBonus[avg_bonus],AvgBonus[exp_item],$J534,AvgBonus[company_name],$B534,AvgBonus[bu_name],$C534,AvgBonus[dept_name],$D534,AvgBonus[team_consolidation],$K534,AvgBonus[location_name],$G534,AvgBonus[job_title],$H534))*T429*SUM(BonusPayout[Month 9]))</f>
        <v>0</v>
      </c>
      <c r="U534" s="652">
        <f>IF($B534="",,IF(LEFT($H534,5)="dummy",SUMIFS(AvgBonus[avg_bonus],AvgBonus[job_title],$H534),SUMIFS(AvgBonus[avg_bonus],AvgBonus[exp_item],$J534,AvgBonus[company_name],$B534,AvgBonus[bu_name],$C534,AvgBonus[dept_name],$D534,AvgBonus[team_consolidation],$K534,AvgBonus[location_name],$G534,AvgBonus[job_title],$H534))*U429*SUM(BonusPayout[Month 10]))</f>
        <v>0</v>
      </c>
      <c r="V534" s="652">
        <f>IF($B534="",,IF(LEFT($H534,5)="dummy",SUMIFS(AvgBonus[avg_bonus],AvgBonus[job_title],$H534),SUMIFS(AvgBonus[avg_bonus],AvgBonus[exp_item],$J534,AvgBonus[company_name],$B534,AvgBonus[bu_name],$C534,AvgBonus[dept_name],$D534,AvgBonus[team_consolidation],$K534,AvgBonus[location_name],$G534,AvgBonus[job_title],$H534))*V429*SUM(BonusPayout[Month 11]))</f>
        <v>0</v>
      </c>
      <c r="W534" s="652">
        <f>IF($B534="",,IF(LEFT($H534,5)="dummy",SUMIFS(AvgBonus[avg_bonus],AvgBonus[job_title],$H534),SUMIFS(AvgBonus[avg_bonus],AvgBonus[exp_item],$J534,AvgBonus[company_name],$B534,AvgBonus[bu_name],$C534,AvgBonus[dept_name],$D534,AvgBonus[team_consolidation],$K534,AvgBonus[location_name],$G534,AvgBonus[job_title],$H534))*W429*SUM(BonusPayout[Month 12]))</f>
        <v>0</v>
      </c>
      <c r="X534" s="652">
        <f>IF($B534="",,IF(LEFT($H534,5)="dummy",SUMIFS(AvgBonus[avg_bonus],AvgBonus[job_title],$H534),SUMIFS(AvgBonus[avg_bonus],AvgBonus[exp_item],$J534,AvgBonus[company_name],$B534,AvgBonus[bu_name],$C534,AvgBonus[dept_name],$D534,AvgBonus[team_consolidation],$K534,AvgBonus[location_name],$G534,AvgBonus[job_title],$H534))*X429*SUM(BonusPayout[Month 13]))</f>
        <v>0</v>
      </c>
      <c r="Y534" s="652">
        <f>IF($B534="",,IF(LEFT($H534,5)="dummy",SUMIFS(AvgBonus[avg_bonus],AvgBonus[job_title],$H534),SUMIFS(AvgBonus[avg_bonus],AvgBonus[exp_item],$J534,AvgBonus[company_name],$B534,AvgBonus[bu_name],$C534,AvgBonus[dept_name],$D534,AvgBonus[team_consolidation],$K534,AvgBonus[location_name],$G534,AvgBonus[job_title],$H534))*Y429*SUM(BonusPayout[Month 14]))</f>
        <v>0</v>
      </c>
      <c r="Z534" s="652">
        <f>IF($B534="",,IF(LEFT($H534,5)="dummy",SUMIFS(AvgBonus[avg_bonus],AvgBonus[job_title],$H534),SUMIFS(AvgBonus[avg_bonus],AvgBonus[exp_item],$J534,AvgBonus[company_name],$B534,AvgBonus[bu_name],$C534,AvgBonus[dept_name],$D534,AvgBonus[team_consolidation],$K534,AvgBonus[location_name],$G534,AvgBonus[job_title],$H534))*Z429*SUM(BonusPayout[Month 15]))</f>
        <v>0</v>
      </c>
      <c r="AA534" s="652">
        <f>IF($B534="",,IF(LEFT($H534,5)="dummy",SUMIFS(AvgBonus[avg_bonus],AvgBonus[job_title],$H534),SUMIFS(AvgBonus[avg_bonus],AvgBonus[exp_item],$J534,AvgBonus[company_name],$B534,AvgBonus[bu_name],$C534,AvgBonus[dept_name],$D534,AvgBonus[team_consolidation],$K534,AvgBonus[location_name],$G534,AvgBonus[job_title],$H534))*AA429*SUM(BonusPayout[Month 16]))</f>
        <v>0</v>
      </c>
      <c r="AB534" s="652">
        <f>IF($B534="",,IF(LEFT($H534,5)="dummy",SUMIFS(AvgBonus[avg_bonus],AvgBonus[job_title],$H534),SUMIFS(AvgBonus[avg_bonus],AvgBonus[exp_item],$J534,AvgBonus[company_name],$B534,AvgBonus[bu_name],$C534,AvgBonus[dept_name],$D534,AvgBonus[team_consolidation],$K534,AvgBonus[location_name],$G534,AvgBonus[job_title],$H534))*AB429*SUM(BonusPayout[Month 17]))</f>
        <v>0</v>
      </c>
      <c r="AC534" s="652">
        <f>IF($B534="",,IF(LEFT($H534,5)="dummy",SUMIFS(AvgBonus[avg_bonus],AvgBonus[job_title],$H534),SUMIFS(AvgBonus[avg_bonus],AvgBonus[exp_item],$J534,AvgBonus[company_name],$B534,AvgBonus[bu_name],$C534,AvgBonus[dept_name],$D534,AvgBonus[team_consolidation],$K534,AvgBonus[location_name],$G534,AvgBonus[job_title],$H534))*AC429*SUM(BonusPayout[Month 18]))</f>
        <v>0</v>
      </c>
      <c r="AD534" s="652">
        <f>IF($B534="",,IF(LEFT($H534,5)="dummy",SUMIFS(AvgBonus[avg_bonus],AvgBonus[job_title],$H534),SUMIFS(AvgBonus[avg_bonus],AvgBonus[exp_item],$J534,AvgBonus[company_name],$B534,AvgBonus[bu_name],$C534,AvgBonus[dept_name],$D534,AvgBonus[team_consolidation],$K534,AvgBonus[location_name],$G534,AvgBonus[job_title],$H534))*AD429*SUM(BonusPayout[Month 19]))</f>
        <v>0</v>
      </c>
      <c r="AE534" s="652">
        <f>IF($B534="",,IF(LEFT($H534,5)="dummy",SUMIFS(AvgBonus[avg_bonus],AvgBonus[job_title],$H534),SUMIFS(AvgBonus[avg_bonus],AvgBonus[exp_item],$J534,AvgBonus[company_name],$B534,AvgBonus[bu_name],$C534,AvgBonus[dept_name],$D534,AvgBonus[team_consolidation],$K534,AvgBonus[location_name],$G534,AvgBonus[job_title],$H534))*AE429*SUM(BonusPayout[Month 20]))</f>
        <v>0</v>
      </c>
      <c r="AF534" s="652">
        <f>IF($B534="",,IF(LEFT($H534,5)="dummy",SUMIFS(AvgBonus[avg_bonus],AvgBonus[job_title],$H534),SUMIFS(AvgBonus[avg_bonus],AvgBonus[exp_item],$J534,AvgBonus[company_name],$B534,AvgBonus[bu_name],$C534,AvgBonus[dept_name],$D534,AvgBonus[team_consolidation],$K534,AvgBonus[location_name],$G534,AvgBonus[job_title],$H534))*AF429*SUM(BonusPayout[Month 21]))</f>
        <v>0</v>
      </c>
      <c r="AG534" s="652">
        <f>IF($B534="",,IF(LEFT($H534,5)="dummy",SUMIFS(AvgBonus[avg_bonus],AvgBonus[job_title],$H534),SUMIFS(AvgBonus[avg_bonus],AvgBonus[exp_item],$J534,AvgBonus[company_name],$B534,AvgBonus[bu_name],$C534,AvgBonus[dept_name],$D534,AvgBonus[team_consolidation],$K534,AvgBonus[location_name],$G534,AvgBonus[job_title],$H534))*AG429*SUM(BonusPayout[Month 22]))</f>
        <v>0</v>
      </c>
      <c r="AH534" s="652">
        <f>IF($B534="",,IF(LEFT($H534,5)="dummy",SUMIFS(AvgBonus[avg_bonus],AvgBonus[job_title],$H534),SUMIFS(AvgBonus[avg_bonus],AvgBonus[exp_item],$J534,AvgBonus[company_name],$B534,AvgBonus[bu_name],$C534,AvgBonus[dept_name],$D534,AvgBonus[team_consolidation],$K534,AvgBonus[location_name],$G534,AvgBonus[job_title],$H534))*AH429*SUM(BonusPayout[Month 23]))</f>
        <v>0</v>
      </c>
      <c r="AI534" s="652">
        <f>IF($B534="",,IF(LEFT($H534,5)="dummy",SUMIFS(AvgBonus[avg_bonus],AvgBonus[job_title],$H534),SUMIFS(AvgBonus[avg_bonus],AvgBonus[exp_item],$J534,AvgBonus[company_name],$B534,AvgBonus[bu_name],$C534,AvgBonus[dept_name],$D534,AvgBonus[team_consolidation],$K534,AvgBonus[location_name],$G534,AvgBonus[job_title],$H534))*AI429*SUM(BonusPayout[Month 24]))</f>
        <v>0</v>
      </c>
      <c r="AJ534" s="652">
        <f>IF($B534="",,IF(LEFT($H534,5)="dummy",SUMIFS(AvgBonus[avg_bonus],AvgBonus[job_title],$H534),SUMIFS(AvgBonus[avg_bonus],AvgBonus[exp_item],$J534,AvgBonus[company_name],$B534,AvgBonus[bu_name],$C534,AvgBonus[dept_name],$D534,AvgBonus[team_consolidation],$K534,AvgBonus[location_name],$G534,AvgBonus[job_title],$H534))*AJ429*SUM(BonusPayout[Month 25]))</f>
        <v>0</v>
      </c>
      <c r="AK534" s="652">
        <f>IF($B534="",,IF(LEFT($H534,5)="dummy",SUMIFS(AvgBonus[avg_bonus],AvgBonus[job_title],$H534),SUMIFS(AvgBonus[avg_bonus],AvgBonus[exp_item],$J534,AvgBonus[company_name],$B534,AvgBonus[bu_name],$C534,AvgBonus[dept_name],$D534,AvgBonus[team_consolidation],$K534,AvgBonus[location_name],$G534,AvgBonus[job_title],$H534))*AK429*SUM(BonusPayout[Month 26]))</f>
        <v>0</v>
      </c>
      <c r="AL534" s="652">
        <f>IF($B534="",,IF(LEFT($H534,5)="dummy",SUMIFS(AvgBonus[avg_bonus],AvgBonus[job_title],$H534),SUMIFS(AvgBonus[avg_bonus],AvgBonus[exp_item],$J534,AvgBonus[company_name],$B534,AvgBonus[bu_name],$C534,AvgBonus[dept_name],$D534,AvgBonus[team_consolidation],$K534,AvgBonus[location_name],$G534,AvgBonus[job_title],$H534))*AL429*SUM(BonusPayout[Month 27]))</f>
        <v>0</v>
      </c>
      <c r="AM534" s="652">
        <f>IF($B534="",,IF(LEFT($H534,5)="dummy",SUMIFS(AvgBonus[avg_bonus],AvgBonus[job_title],$H534),SUMIFS(AvgBonus[avg_bonus],AvgBonus[exp_item],$J534,AvgBonus[company_name],$B534,AvgBonus[bu_name],$C534,AvgBonus[dept_name],$D534,AvgBonus[team_consolidation],$K534,AvgBonus[location_name],$G534,AvgBonus[job_title],$H534))*AM429*SUM(BonusPayout[Month 28]))</f>
        <v>0</v>
      </c>
      <c r="AN534" s="652">
        <f>IF($B534="",,IF(LEFT($H534,5)="dummy",SUMIFS(AvgBonus[avg_bonus],AvgBonus[job_title],$H534),SUMIFS(AvgBonus[avg_bonus],AvgBonus[exp_item],$J534,AvgBonus[company_name],$B534,AvgBonus[bu_name],$C534,AvgBonus[dept_name],$D534,AvgBonus[team_consolidation],$K534,AvgBonus[location_name],$G534,AvgBonus[job_title],$H534))*AN429*SUM(BonusPayout[Month 29]))</f>
        <v>0</v>
      </c>
      <c r="AO534" s="652">
        <f>IF($B534="",,IF(LEFT($H534,5)="dummy",SUMIFS(AvgBonus[avg_bonus],AvgBonus[job_title],$H534),SUMIFS(AvgBonus[avg_bonus],AvgBonus[exp_item],$J534,AvgBonus[company_name],$B534,AvgBonus[bu_name],$C534,AvgBonus[dept_name],$D534,AvgBonus[team_consolidation],$K534,AvgBonus[location_name],$G534,AvgBonus[job_title],$H534))*AO429*SUM(BonusPayout[Month 30]))</f>
        <v>0</v>
      </c>
      <c r="AP534" s="652">
        <f>IF($B534="",,IF(LEFT($H534,5)="dummy",SUMIFS(AvgBonus[avg_bonus],AvgBonus[job_title],$H534),SUMIFS(AvgBonus[avg_bonus],AvgBonus[exp_item],$J534,AvgBonus[company_name],$B534,AvgBonus[bu_name],$C534,AvgBonus[dept_name],$D534,AvgBonus[team_consolidation],$K534,AvgBonus[location_name],$G534,AvgBonus[job_title],$H534))*AP429*SUM(BonusPayout[Month 31]))</f>
        <v>0</v>
      </c>
      <c r="AQ534" s="652">
        <f>IF($B534="",,IF(LEFT($H534,5)="dummy",SUMIFS(AvgBonus[avg_bonus],AvgBonus[job_title],$H534),SUMIFS(AvgBonus[avg_bonus],AvgBonus[exp_item],$J534,AvgBonus[company_name],$B534,AvgBonus[bu_name],$C534,AvgBonus[dept_name],$D534,AvgBonus[team_consolidation],$K534,AvgBonus[location_name],$G534,AvgBonus[job_title],$H534))*AQ429*SUM(BonusPayout[Month 32]))</f>
        <v>0</v>
      </c>
      <c r="AR534" s="652">
        <f>IF($B534="",,IF(LEFT($H534,5)="dummy",SUMIFS(AvgBonus[avg_bonus],AvgBonus[job_title],$H534),SUMIFS(AvgBonus[avg_bonus],AvgBonus[exp_item],$J534,AvgBonus[company_name],$B534,AvgBonus[bu_name],$C534,AvgBonus[dept_name],$D534,AvgBonus[team_consolidation],$K534,AvgBonus[location_name],$G534,AvgBonus[job_title],$H534))*AR429*SUM(BonusPayout[Month 33]))</f>
        <v>0</v>
      </c>
      <c r="AS534" s="652">
        <f>IF($B534="",,IF(LEFT($H534,5)="dummy",SUMIFS(AvgBonus[avg_bonus],AvgBonus[job_title],$H534),SUMIFS(AvgBonus[avg_bonus],AvgBonus[exp_item],$J534,AvgBonus[company_name],$B534,AvgBonus[bu_name],$C534,AvgBonus[dept_name],$D534,AvgBonus[team_consolidation],$K534,AvgBonus[location_name],$G534,AvgBonus[job_title],$H534))*AS429*SUM(BonusPayout[Month 34]))</f>
        <v>0</v>
      </c>
      <c r="AT534" s="652">
        <f>IF($B534="",,IF(LEFT($H534,5)="dummy",SUMIFS(AvgBonus[avg_bonus],AvgBonus[job_title],$H534),SUMIFS(AvgBonus[avg_bonus],AvgBonus[exp_item],$J534,AvgBonus[company_name],$B534,AvgBonus[bu_name],$C534,AvgBonus[dept_name],$D534,AvgBonus[team_consolidation],$K534,AvgBonus[location_name],$G534,AvgBonus[job_title],$H534))*AT429*SUM(BonusPayout[Month 35]))</f>
        <v>0</v>
      </c>
      <c r="AU534" s="652">
        <f>IF($B534="",,IF(LEFT($H534,5)="dummy",SUMIFS(AvgBonus[avg_bonus],AvgBonus[job_title],$H534),SUMIFS(AvgBonus[avg_bonus],AvgBonus[exp_item],$J534,AvgBonus[company_name],$B534,AvgBonus[bu_name],$C534,AvgBonus[dept_name],$D534,AvgBonus[team_consolidation],$K534,AvgBonus[location_name],$G534,AvgBonus[job_title],$H534))*AU429*SUM(BonusPayout[Month 36]))</f>
        <v>0</v>
      </c>
    </row>
    <row r="535" spans="2:47" x14ac:dyDescent="0.35">
      <c r="B535" t="str">
        <f t="shared" si="327"/>
        <v/>
      </c>
      <c r="C535" t="str">
        <f t="shared" ref="C535:G535" si="329">IF(C430="","",C430)</f>
        <v/>
      </c>
      <c r="D535" t="str">
        <f t="shared" si="329"/>
        <v/>
      </c>
      <c r="E535" t="str">
        <f t="shared" si="329"/>
        <v/>
      </c>
      <c r="F535" t="str">
        <f t="shared" si="329"/>
        <v/>
      </c>
      <c r="G535" t="str">
        <f t="shared" si="329"/>
        <v/>
      </c>
      <c r="H535" t="str">
        <f t="shared" si="326"/>
        <v/>
      </c>
      <c r="J535" t="str">
        <f>IF($H535="","",IF(VLOOKUP($B$500,ExpItems[],2,0),$B$500&amp;" - "&amp;INDEX(DivisionMapping[category_code],MATCH($D535&amp;$C535,DivisionMapping[dept_bu],0)),$B$500))</f>
        <v/>
      </c>
      <c r="K535" t="str">
        <f t="shared" si="294"/>
        <v/>
      </c>
      <c r="L535" s="652">
        <f>IF($B535="",,IF(LEFT($H535,5)="dummy",SUMIFS(AvgBonus[avg_bonus],AvgBonus[job_title],$H535),SUMIFS(AvgBonus[avg_bonus],AvgBonus[exp_item],$J535,AvgBonus[company_name],$B535,AvgBonus[bu_name],$C535,AvgBonus[dept_name],$D535,AvgBonus[team_consolidation],$K535,AvgBonus[location_name],$G535,AvgBonus[job_title],$H535))*L430*SUM(BonusPayout[Month 1]))</f>
        <v>0</v>
      </c>
      <c r="M535" s="652">
        <f>IF($B535="",,IF(LEFT($H535,5)="dummy",SUMIFS(AvgBonus[avg_bonus],AvgBonus[job_title],$H535),SUMIFS(AvgBonus[avg_bonus],AvgBonus[exp_item],$J535,AvgBonus[company_name],$B535,AvgBonus[bu_name],$C535,AvgBonus[dept_name],$D535,AvgBonus[team_consolidation],$K535,AvgBonus[location_name],$G535,AvgBonus[job_title],$H535))*M430*SUM(BonusPayout[Month 2]))</f>
        <v>0</v>
      </c>
      <c r="N535" s="652">
        <f>IF($B535="",,IF(LEFT($H535,5)="dummy",SUMIFS(AvgBonus[avg_bonus],AvgBonus[job_title],$H535),SUMIFS(AvgBonus[avg_bonus],AvgBonus[exp_item],$J535,AvgBonus[company_name],$B535,AvgBonus[bu_name],$C535,AvgBonus[dept_name],$D535,AvgBonus[team_consolidation],$K535,AvgBonus[location_name],$G535,AvgBonus[job_title],$H535))*N430*SUM(BonusPayout[Month 3]))</f>
        <v>0</v>
      </c>
      <c r="O535" s="652">
        <f>IF($B535="",,IF(LEFT($H535,5)="dummy",SUMIFS(AvgBonus[avg_bonus],AvgBonus[job_title],$H535),SUMIFS(AvgBonus[avg_bonus],AvgBonus[exp_item],$J535,AvgBonus[company_name],$B535,AvgBonus[bu_name],$C535,AvgBonus[dept_name],$D535,AvgBonus[team_consolidation],$K535,AvgBonus[location_name],$G535,AvgBonus[job_title],$H535))*O430*SUM(BonusPayout[Month 4]))</f>
        <v>0</v>
      </c>
      <c r="P535" s="652">
        <f>IF($B535="",,IF(LEFT($H535,5)="dummy",SUMIFS(AvgBonus[avg_bonus],AvgBonus[job_title],$H535),SUMIFS(AvgBonus[avg_bonus],AvgBonus[exp_item],$J535,AvgBonus[company_name],$B535,AvgBonus[bu_name],$C535,AvgBonus[dept_name],$D535,AvgBonus[team_consolidation],$K535,AvgBonus[location_name],$G535,AvgBonus[job_title],$H535))*P430*SUM(BonusPayout[Month 5]))</f>
        <v>0</v>
      </c>
      <c r="Q535" s="652">
        <f>IF($B535="",,IF(LEFT($H535,5)="dummy",SUMIFS(AvgBonus[avg_bonus],AvgBonus[job_title],$H535),SUMIFS(AvgBonus[avg_bonus],AvgBonus[exp_item],$J535,AvgBonus[company_name],$B535,AvgBonus[bu_name],$C535,AvgBonus[dept_name],$D535,AvgBonus[team_consolidation],$K535,AvgBonus[location_name],$G535,AvgBonus[job_title],$H535))*Q430*SUM(BonusPayout[Month 6]))</f>
        <v>0</v>
      </c>
      <c r="R535" s="652">
        <f>IF($B535="",,IF(LEFT($H535,5)="dummy",SUMIFS(AvgBonus[avg_bonus],AvgBonus[job_title],$H535),SUMIFS(AvgBonus[avg_bonus],AvgBonus[exp_item],$J535,AvgBonus[company_name],$B535,AvgBonus[bu_name],$C535,AvgBonus[dept_name],$D535,AvgBonus[team_consolidation],$K535,AvgBonus[location_name],$G535,AvgBonus[job_title],$H535))*R430*SUM(BonusPayout[Month 7]))</f>
        <v>0</v>
      </c>
      <c r="S535" s="652">
        <f>IF($B535="",,IF(LEFT($H535,5)="dummy",SUMIFS(AvgBonus[avg_bonus],AvgBonus[job_title],$H535),SUMIFS(AvgBonus[avg_bonus],AvgBonus[exp_item],$J535,AvgBonus[company_name],$B535,AvgBonus[bu_name],$C535,AvgBonus[dept_name],$D535,AvgBonus[team_consolidation],$K535,AvgBonus[location_name],$G535,AvgBonus[job_title],$H535))*S430*SUM(BonusPayout[Month 8]))</f>
        <v>0</v>
      </c>
      <c r="T535" s="652">
        <f>IF($B535="",,IF(LEFT($H535,5)="dummy",SUMIFS(AvgBonus[avg_bonus],AvgBonus[job_title],$H535),SUMIFS(AvgBonus[avg_bonus],AvgBonus[exp_item],$J535,AvgBonus[company_name],$B535,AvgBonus[bu_name],$C535,AvgBonus[dept_name],$D535,AvgBonus[team_consolidation],$K535,AvgBonus[location_name],$G535,AvgBonus[job_title],$H535))*T430*SUM(BonusPayout[Month 9]))</f>
        <v>0</v>
      </c>
      <c r="U535" s="652">
        <f>IF($B535="",,IF(LEFT($H535,5)="dummy",SUMIFS(AvgBonus[avg_bonus],AvgBonus[job_title],$H535),SUMIFS(AvgBonus[avg_bonus],AvgBonus[exp_item],$J535,AvgBonus[company_name],$B535,AvgBonus[bu_name],$C535,AvgBonus[dept_name],$D535,AvgBonus[team_consolidation],$K535,AvgBonus[location_name],$G535,AvgBonus[job_title],$H535))*U430*SUM(BonusPayout[Month 10]))</f>
        <v>0</v>
      </c>
      <c r="V535" s="652">
        <f>IF($B535="",,IF(LEFT($H535,5)="dummy",SUMIFS(AvgBonus[avg_bonus],AvgBonus[job_title],$H535),SUMIFS(AvgBonus[avg_bonus],AvgBonus[exp_item],$J535,AvgBonus[company_name],$B535,AvgBonus[bu_name],$C535,AvgBonus[dept_name],$D535,AvgBonus[team_consolidation],$K535,AvgBonus[location_name],$G535,AvgBonus[job_title],$H535))*V430*SUM(BonusPayout[Month 11]))</f>
        <v>0</v>
      </c>
      <c r="W535" s="652">
        <f>IF($B535="",,IF(LEFT($H535,5)="dummy",SUMIFS(AvgBonus[avg_bonus],AvgBonus[job_title],$H535),SUMIFS(AvgBonus[avg_bonus],AvgBonus[exp_item],$J535,AvgBonus[company_name],$B535,AvgBonus[bu_name],$C535,AvgBonus[dept_name],$D535,AvgBonus[team_consolidation],$K535,AvgBonus[location_name],$G535,AvgBonus[job_title],$H535))*W430*SUM(BonusPayout[Month 12]))</f>
        <v>0</v>
      </c>
      <c r="X535" s="652">
        <f>IF($B535="",,IF(LEFT($H535,5)="dummy",SUMIFS(AvgBonus[avg_bonus],AvgBonus[job_title],$H535),SUMIFS(AvgBonus[avg_bonus],AvgBonus[exp_item],$J535,AvgBonus[company_name],$B535,AvgBonus[bu_name],$C535,AvgBonus[dept_name],$D535,AvgBonus[team_consolidation],$K535,AvgBonus[location_name],$G535,AvgBonus[job_title],$H535))*X430*SUM(BonusPayout[Month 13]))</f>
        <v>0</v>
      </c>
      <c r="Y535" s="652">
        <f>IF($B535="",,IF(LEFT($H535,5)="dummy",SUMIFS(AvgBonus[avg_bonus],AvgBonus[job_title],$H535),SUMIFS(AvgBonus[avg_bonus],AvgBonus[exp_item],$J535,AvgBonus[company_name],$B535,AvgBonus[bu_name],$C535,AvgBonus[dept_name],$D535,AvgBonus[team_consolidation],$K535,AvgBonus[location_name],$G535,AvgBonus[job_title],$H535))*Y430*SUM(BonusPayout[Month 14]))</f>
        <v>0</v>
      </c>
      <c r="Z535" s="652">
        <f>IF($B535="",,IF(LEFT($H535,5)="dummy",SUMIFS(AvgBonus[avg_bonus],AvgBonus[job_title],$H535),SUMIFS(AvgBonus[avg_bonus],AvgBonus[exp_item],$J535,AvgBonus[company_name],$B535,AvgBonus[bu_name],$C535,AvgBonus[dept_name],$D535,AvgBonus[team_consolidation],$K535,AvgBonus[location_name],$G535,AvgBonus[job_title],$H535))*Z430*SUM(BonusPayout[Month 15]))</f>
        <v>0</v>
      </c>
      <c r="AA535" s="652">
        <f>IF($B535="",,IF(LEFT($H535,5)="dummy",SUMIFS(AvgBonus[avg_bonus],AvgBonus[job_title],$H535),SUMIFS(AvgBonus[avg_bonus],AvgBonus[exp_item],$J535,AvgBonus[company_name],$B535,AvgBonus[bu_name],$C535,AvgBonus[dept_name],$D535,AvgBonus[team_consolidation],$K535,AvgBonus[location_name],$G535,AvgBonus[job_title],$H535))*AA430*SUM(BonusPayout[Month 16]))</f>
        <v>0</v>
      </c>
      <c r="AB535" s="652">
        <f>IF($B535="",,IF(LEFT($H535,5)="dummy",SUMIFS(AvgBonus[avg_bonus],AvgBonus[job_title],$H535),SUMIFS(AvgBonus[avg_bonus],AvgBonus[exp_item],$J535,AvgBonus[company_name],$B535,AvgBonus[bu_name],$C535,AvgBonus[dept_name],$D535,AvgBonus[team_consolidation],$K535,AvgBonus[location_name],$G535,AvgBonus[job_title],$H535))*AB430*SUM(BonusPayout[Month 17]))</f>
        <v>0</v>
      </c>
      <c r="AC535" s="652">
        <f>IF($B535="",,IF(LEFT($H535,5)="dummy",SUMIFS(AvgBonus[avg_bonus],AvgBonus[job_title],$H535),SUMIFS(AvgBonus[avg_bonus],AvgBonus[exp_item],$J535,AvgBonus[company_name],$B535,AvgBonus[bu_name],$C535,AvgBonus[dept_name],$D535,AvgBonus[team_consolidation],$K535,AvgBonus[location_name],$G535,AvgBonus[job_title],$H535))*AC430*SUM(BonusPayout[Month 18]))</f>
        <v>0</v>
      </c>
      <c r="AD535" s="652">
        <f>IF($B535="",,IF(LEFT($H535,5)="dummy",SUMIFS(AvgBonus[avg_bonus],AvgBonus[job_title],$H535),SUMIFS(AvgBonus[avg_bonus],AvgBonus[exp_item],$J535,AvgBonus[company_name],$B535,AvgBonus[bu_name],$C535,AvgBonus[dept_name],$D535,AvgBonus[team_consolidation],$K535,AvgBonus[location_name],$G535,AvgBonus[job_title],$H535))*AD430*SUM(BonusPayout[Month 19]))</f>
        <v>0</v>
      </c>
      <c r="AE535" s="652">
        <f>IF($B535="",,IF(LEFT($H535,5)="dummy",SUMIFS(AvgBonus[avg_bonus],AvgBonus[job_title],$H535),SUMIFS(AvgBonus[avg_bonus],AvgBonus[exp_item],$J535,AvgBonus[company_name],$B535,AvgBonus[bu_name],$C535,AvgBonus[dept_name],$D535,AvgBonus[team_consolidation],$K535,AvgBonus[location_name],$G535,AvgBonus[job_title],$H535))*AE430*SUM(BonusPayout[Month 20]))</f>
        <v>0</v>
      </c>
      <c r="AF535" s="652">
        <f>IF($B535="",,IF(LEFT($H535,5)="dummy",SUMIFS(AvgBonus[avg_bonus],AvgBonus[job_title],$H535),SUMIFS(AvgBonus[avg_bonus],AvgBonus[exp_item],$J535,AvgBonus[company_name],$B535,AvgBonus[bu_name],$C535,AvgBonus[dept_name],$D535,AvgBonus[team_consolidation],$K535,AvgBonus[location_name],$G535,AvgBonus[job_title],$H535))*AF430*SUM(BonusPayout[Month 21]))</f>
        <v>0</v>
      </c>
      <c r="AG535" s="652">
        <f>IF($B535="",,IF(LEFT($H535,5)="dummy",SUMIFS(AvgBonus[avg_bonus],AvgBonus[job_title],$H535),SUMIFS(AvgBonus[avg_bonus],AvgBonus[exp_item],$J535,AvgBonus[company_name],$B535,AvgBonus[bu_name],$C535,AvgBonus[dept_name],$D535,AvgBonus[team_consolidation],$K535,AvgBonus[location_name],$G535,AvgBonus[job_title],$H535))*AG430*SUM(BonusPayout[Month 22]))</f>
        <v>0</v>
      </c>
      <c r="AH535" s="652">
        <f>IF($B535="",,IF(LEFT($H535,5)="dummy",SUMIFS(AvgBonus[avg_bonus],AvgBonus[job_title],$H535),SUMIFS(AvgBonus[avg_bonus],AvgBonus[exp_item],$J535,AvgBonus[company_name],$B535,AvgBonus[bu_name],$C535,AvgBonus[dept_name],$D535,AvgBonus[team_consolidation],$K535,AvgBonus[location_name],$G535,AvgBonus[job_title],$H535))*AH430*SUM(BonusPayout[Month 23]))</f>
        <v>0</v>
      </c>
      <c r="AI535" s="652">
        <f>IF($B535="",,IF(LEFT($H535,5)="dummy",SUMIFS(AvgBonus[avg_bonus],AvgBonus[job_title],$H535),SUMIFS(AvgBonus[avg_bonus],AvgBonus[exp_item],$J535,AvgBonus[company_name],$B535,AvgBonus[bu_name],$C535,AvgBonus[dept_name],$D535,AvgBonus[team_consolidation],$K535,AvgBonus[location_name],$G535,AvgBonus[job_title],$H535))*AI430*SUM(BonusPayout[Month 24]))</f>
        <v>0</v>
      </c>
      <c r="AJ535" s="652">
        <f>IF($B535="",,IF(LEFT($H535,5)="dummy",SUMIFS(AvgBonus[avg_bonus],AvgBonus[job_title],$H535),SUMIFS(AvgBonus[avg_bonus],AvgBonus[exp_item],$J535,AvgBonus[company_name],$B535,AvgBonus[bu_name],$C535,AvgBonus[dept_name],$D535,AvgBonus[team_consolidation],$K535,AvgBonus[location_name],$G535,AvgBonus[job_title],$H535))*AJ430*SUM(BonusPayout[Month 25]))</f>
        <v>0</v>
      </c>
      <c r="AK535" s="652">
        <f>IF($B535="",,IF(LEFT($H535,5)="dummy",SUMIFS(AvgBonus[avg_bonus],AvgBonus[job_title],$H535),SUMIFS(AvgBonus[avg_bonus],AvgBonus[exp_item],$J535,AvgBonus[company_name],$B535,AvgBonus[bu_name],$C535,AvgBonus[dept_name],$D535,AvgBonus[team_consolidation],$K535,AvgBonus[location_name],$G535,AvgBonus[job_title],$H535))*AK430*SUM(BonusPayout[Month 26]))</f>
        <v>0</v>
      </c>
      <c r="AL535" s="652">
        <f>IF($B535="",,IF(LEFT($H535,5)="dummy",SUMIFS(AvgBonus[avg_bonus],AvgBonus[job_title],$H535),SUMIFS(AvgBonus[avg_bonus],AvgBonus[exp_item],$J535,AvgBonus[company_name],$B535,AvgBonus[bu_name],$C535,AvgBonus[dept_name],$D535,AvgBonus[team_consolidation],$K535,AvgBonus[location_name],$G535,AvgBonus[job_title],$H535))*AL430*SUM(BonusPayout[Month 27]))</f>
        <v>0</v>
      </c>
      <c r="AM535" s="652">
        <f>IF($B535="",,IF(LEFT($H535,5)="dummy",SUMIFS(AvgBonus[avg_bonus],AvgBonus[job_title],$H535),SUMIFS(AvgBonus[avg_bonus],AvgBonus[exp_item],$J535,AvgBonus[company_name],$B535,AvgBonus[bu_name],$C535,AvgBonus[dept_name],$D535,AvgBonus[team_consolidation],$K535,AvgBonus[location_name],$G535,AvgBonus[job_title],$H535))*AM430*SUM(BonusPayout[Month 28]))</f>
        <v>0</v>
      </c>
      <c r="AN535" s="652">
        <f>IF($B535="",,IF(LEFT($H535,5)="dummy",SUMIFS(AvgBonus[avg_bonus],AvgBonus[job_title],$H535),SUMIFS(AvgBonus[avg_bonus],AvgBonus[exp_item],$J535,AvgBonus[company_name],$B535,AvgBonus[bu_name],$C535,AvgBonus[dept_name],$D535,AvgBonus[team_consolidation],$K535,AvgBonus[location_name],$G535,AvgBonus[job_title],$H535))*AN430*SUM(BonusPayout[Month 29]))</f>
        <v>0</v>
      </c>
      <c r="AO535" s="652">
        <f>IF($B535="",,IF(LEFT($H535,5)="dummy",SUMIFS(AvgBonus[avg_bonus],AvgBonus[job_title],$H535),SUMIFS(AvgBonus[avg_bonus],AvgBonus[exp_item],$J535,AvgBonus[company_name],$B535,AvgBonus[bu_name],$C535,AvgBonus[dept_name],$D535,AvgBonus[team_consolidation],$K535,AvgBonus[location_name],$G535,AvgBonus[job_title],$H535))*AO430*SUM(BonusPayout[Month 30]))</f>
        <v>0</v>
      </c>
      <c r="AP535" s="652">
        <f>IF($B535="",,IF(LEFT($H535,5)="dummy",SUMIFS(AvgBonus[avg_bonus],AvgBonus[job_title],$H535),SUMIFS(AvgBonus[avg_bonus],AvgBonus[exp_item],$J535,AvgBonus[company_name],$B535,AvgBonus[bu_name],$C535,AvgBonus[dept_name],$D535,AvgBonus[team_consolidation],$K535,AvgBonus[location_name],$G535,AvgBonus[job_title],$H535))*AP430*SUM(BonusPayout[Month 31]))</f>
        <v>0</v>
      </c>
      <c r="AQ535" s="652">
        <f>IF($B535="",,IF(LEFT($H535,5)="dummy",SUMIFS(AvgBonus[avg_bonus],AvgBonus[job_title],$H535),SUMIFS(AvgBonus[avg_bonus],AvgBonus[exp_item],$J535,AvgBonus[company_name],$B535,AvgBonus[bu_name],$C535,AvgBonus[dept_name],$D535,AvgBonus[team_consolidation],$K535,AvgBonus[location_name],$G535,AvgBonus[job_title],$H535))*AQ430*SUM(BonusPayout[Month 32]))</f>
        <v>0</v>
      </c>
      <c r="AR535" s="652">
        <f>IF($B535="",,IF(LEFT($H535,5)="dummy",SUMIFS(AvgBonus[avg_bonus],AvgBonus[job_title],$H535),SUMIFS(AvgBonus[avg_bonus],AvgBonus[exp_item],$J535,AvgBonus[company_name],$B535,AvgBonus[bu_name],$C535,AvgBonus[dept_name],$D535,AvgBonus[team_consolidation],$K535,AvgBonus[location_name],$G535,AvgBonus[job_title],$H535))*AR430*SUM(BonusPayout[Month 33]))</f>
        <v>0</v>
      </c>
      <c r="AS535" s="652">
        <f>IF($B535="",,IF(LEFT($H535,5)="dummy",SUMIFS(AvgBonus[avg_bonus],AvgBonus[job_title],$H535),SUMIFS(AvgBonus[avg_bonus],AvgBonus[exp_item],$J535,AvgBonus[company_name],$B535,AvgBonus[bu_name],$C535,AvgBonus[dept_name],$D535,AvgBonus[team_consolidation],$K535,AvgBonus[location_name],$G535,AvgBonus[job_title],$H535))*AS430*SUM(BonusPayout[Month 34]))</f>
        <v>0</v>
      </c>
      <c r="AT535" s="652">
        <f>IF($B535="",,IF(LEFT($H535,5)="dummy",SUMIFS(AvgBonus[avg_bonus],AvgBonus[job_title],$H535),SUMIFS(AvgBonus[avg_bonus],AvgBonus[exp_item],$J535,AvgBonus[company_name],$B535,AvgBonus[bu_name],$C535,AvgBonus[dept_name],$D535,AvgBonus[team_consolidation],$K535,AvgBonus[location_name],$G535,AvgBonus[job_title],$H535))*AT430*SUM(BonusPayout[Month 35]))</f>
        <v>0</v>
      </c>
      <c r="AU535" s="652">
        <f>IF($B535="",,IF(LEFT($H535,5)="dummy",SUMIFS(AvgBonus[avg_bonus],AvgBonus[job_title],$H535),SUMIFS(AvgBonus[avg_bonus],AvgBonus[exp_item],$J535,AvgBonus[company_name],$B535,AvgBonus[bu_name],$C535,AvgBonus[dept_name],$D535,AvgBonus[team_consolidation],$K535,AvgBonus[location_name],$G535,AvgBonus[job_title],$H535))*AU430*SUM(BonusPayout[Month 36]))</f>
        <v>0</v>
      </c>
    </row>
    <row r="536" spans="2:47" x14ac:dyDescent="0.35">
      <c r="B536" t="str">
        <f t="shared" si="327"/>
        <v/>
      </c>
      <c r="C536" t="str">
        <f t="shared" ref="C536:G536" si="330">IF(C431="","",C431)</f>
        <v/>
      </c>
      <c r="D536" t="str">
        <f t="shared" si="330"/>
        <v/>
      </c>
      <c r="E536" t="str">
        <f t="shared" si="330"/>
        <v/>
      </c>
      <c r="F536" t="str">
        <f t="shared" si="330"/>
        <v/>
      </c>
      <c r="G536" t="str">
        <f t="shared" si="330"/>
        <v/>
      </c>
      <c r="H536" t="str">
        <f t="shared" si="326"/>
        <v/>
      </c>
      <c r="J536" t="str">
        <f>IF($H536="","",IF(VLOOKUP($B$500,ExpItems[],2,0),$B$500&amp;" - "&amp;INDEX(DivisionMapping[category_code],MATCH($D536&amp;$C536,DivisionMapping[dept_bu],0)),$B$500))</f>
        <v/>
      </c>
      <c r="K536" t="str">
        <f t="shared" si="294"/>
        <v/>
      </c>
      <c r="L536" s="652">
        <f>IF($B536="",,IF(LEFT($H536,5)="dummy",SUMIFS(AvgBonus[avg_bonus],AvgBonus[job_title],$H536),SUMIFS(AvgBonus[avg_bonus],AvgBonus[exp_item],$J536,AvgBonus[company_name],$B536,AvgBonus[bu_name],$C536,AvgBonus[dept_name],$D536,AvgBonus[team_consolidation],$K536,AvgBonus[location_name],$G536,AvgBonus[job_title],$H536))*L431*SUM(BonusPayout[Month 1]))</f>
        <v>0</v>
      </c>
      <c r="M536" s="652">
        <f>IF($B536="",,IF(LEFT($H536,5)="dummy",SUMIFS(AvgBonus[avg_bonus],AvgBonus[job_title],$H536),SUMIFS(AvgBonus[avg_bonus],AvgBonus[exp_item],$J536,AvgBonus[company_name],$B536,AvgBonus[bu_name],$C536,AvgBonus[dept_name],$D536,AvgBonus[team_consolidation],$K536,AvgBonus[location_name],$G536,AvgBonus[job_title],$H536))*M431*SUM(BonusPayout[Month 2]))</f>
        <v>0</v>
      </c>
      <c r="N536" s="652">
        <f>IF($B536="",,IF(LEFT($H536,5)="dummy",SUMIFS(AvgBonus[avg_bonus],AvgBonus[job_title],$H536),SUMIFS(AvgBonus[avg_bonus],AvgBonus[exp_item],$J536,AvgBonus[company_name],$B536,AvgBonus[bu_name],$C536,AvgBonus[dept_name],$D536,AvgBonus[team_consolidation],$K536,AvgBonus[location_name],$G536,AvgBonus[job_title],$H536))*N431*SUM(BonusPayout[Month 3]))</f>
        <v>0</v>
      </c>
      <c r="O536" s="652">
        <f>IF($B536="",,IF(LEFT($H536,5)="dummy",SUMIFS(AvgBonus[avg_bonus],AvgBonus[job_title],$H536),SUMIFS(AvgBonus[avg_bonus],AvgBonus[exp_item],$J536,AvgBonus[company_name],$B536,AvgBonus[bu_name],$C536,AvgBonus[dept_name],$D536,AvgBonus[team_consolidation],$K536,AvgBonus[location_name],$G536,AvgBonus[job_title],$H536))*O431*SUM(BonusPayout[Month 4]))</f>
        <v>0</v>
      </c>
      <c r="P536" s="652">
        <f>IF($B536="",,IF(LEFT($H536,5)="dummy",SUMIFS(AvgBonus[avg_bonus],AvgBonus[job_title],$H536),SUMIFS(AvgBonus[avg_bonus],AvgBonus[exp_item],$J536,AvgBonus[company_name],$B536,AvgBonus[bu_name],$C536,AvgBonus[dept_name],$D536,AvgBonus[team_consolidation],$K536,AvgBonus[location_name],$G536,AvgBonus[job_title],$H536))*P431*SUM(BonusPayout[Month 5]))</f>
        <v>0</v>
      </c>
      <c r="Q536" s="652">
        <f>IF($B536="",,IF(LEFT($H536,5)="dummy",SUMIFS(AvgBonus[avg_bonus],AvgBonus[job_title],$H536),SUMIFS(AvgBonus[avg_bonus],AvgBonus[exp_item],$J536,AvgBonus[company_name],$B536,AvgBonus[bu_name],$C536,AvgBonus[dept_name],$D536,AvgBonus[team_consolidation],$K536,AvgBonus[location_name],$G536,AvgBonus[job_title],$H536))*Q431*SUM(BonusPayout[Month 6]))</f>
        <v>0</v>
      </c>
      <c r="R536" s="652">
        <f>IF($B536="",,IF(LEFT($H536,5)="dummy",SUMIFS(AvgBonus[avg_bonus],AvgBonus[job_title],$H536),SUMIFS(AvgBonus[avg_bonus],AvgBonus[exp_item],$J536,AvgBonus[company_name],$B536,AvgBonus[bu_name],$C536,AvgBonus[dept_name],$D536,AvgBonus[team_consolidation],$K536,AvgBonus[location_name],$G536,AvgBonus[job_title],$H536))*R431*SUM(BonusPayout[Month 7]))</f>
        <v>0</v>
      </c>
      <c r="S536" s="652">
        <f>IF($B536="",,IF(LEFT($H536,5)="dummy",SUMIFS(AvgBonus[avg_bonus],AvgBonus[job_title],$H536),SUMIFS(AvgBonus[avg_bonus],AvgBonus[exp_item],$J536,AvgBonus[company_name],$B536,AvgBonus[bu_name],$C536,AvgBonus[dept_name],$D536,AvgBonus[team_consolidation],$K536,AvgBonus[location_name],$G536,AvgBonus[job_title],$H536))*S431*SUM(BonusPayout[Month 8]))</f>
        <v>0</v>
      </c>
      <c r="T536" s="652">
        <f>IF($B536="",,IF(LEFT($H536,5)="dummy",SUMIFS(AvgBonus[avg_bonus],AvgBonus[job_title],$H536),SUMIFS(AvgBonus[avg_bonus],AvgBonus[exp_item],$J536,AvgBonus[company_name],$B536,AvgBonus[bu_name],$C536,AvgBonus[dept_name],$D536,AvgBonus[team_consolidation],$K536,AvgBonus[location_name],$G536,AvgBonus[job_title],$H536))*T431*SUM(BonusPayout[Month 9]))</f>
        <v>0</v>
      </c>
      <c r="U536" s="652">
        <f>IF($B536="",,IF(LEFT($H536,5)="dummy",SUMIFS(AvgBonus[avg_bonus],AvgBonus[job_title],$H536),SUMIFS(AvgBonus[avg_bonus],AvgBonus[exp_item],$J536,AvgBonus[company_name],$B536,AvgBonus[bu_name],$C536,AvgBonus[dept_name],$D536,AvgBonus[team_consolidation],$K536,AvgBonus[location_name],$G536,AvgBonus[job_title],$H536))*U431*SUM(BonusPayout[Month 10]))</f>
        <v>0</v>
      </c>
      <c r="V536" s="652">
        <f>IF($B536="",,IF(LEFT($H536,5)="dummy",SUMIFS(AvgBonus[avg_bonus],AvgBonus[job_title],$H536),SUMIFS(AvgBonus[avg_bonus],AvgBonus[exp_item],$J536,AvgBonus[company_name],$B536,AvgBonus[bu_name],$C536,AvgBonus[dept_name],$D536,AvgBonus[team_consolidation],$K536,AvgBonus[location_name],$G536,AvgBonus[job_title],$H536))*V431*SUM(BonusPayout[Month 11]))</f>
        <v>0</v>
      </c>
      <c r="W536" s="652">
        <f>IF($B536="",,IF(LEFT($H536,5)="dummy",SUMIFS(AvgBonus[avg_bonus],AvgBonus[job_title],$H536),SUMIFS(AvgBonus[avg_bonus],AvgBonus[exp_item],$J536,AvgBonus[company_name],$B536,AvgBonus[bu_name],$C536,AvgBonus[dept_name],$D536,AvgBonus[team_consolidation],$K536,AvgBonus[location_name],$G536,AvgBonus[job_title],$H536))*W431*SUM(BonusPayout[Month 12]))</f>
        <v>0</v>
      </c>
      <c r="X536" s="652">
        <f>IF($B536="",,IF(LEFT($H536,5)="dummy",SUMIFS(AvgBonus[avg_bonus],AvgBonus[job_title],$H536),SUMIFS(AvgBonus[avg_bonus],AvgBonus[exp_item],$J536,AvgBonus[company_name],$B536,AvgBonus[bu_name],$C536,AvgBonus[dept_name],$D536,AvgBonus[team_consolidation],$K536,AvgBonus[location_name],$G536,AvgBonus[job_title],$H536))*X431*SUM(BonusPayout[Month 13]))</f>
        <v>0</v>
      </c>
      <c r="Y536" s="652">
        <f>IF($B536="",,IF(LEFT($H536,5)="dummy",SUMIFS(AvgBonus[avg_bonus],AvgBonus[job_title],$H536),SUMIFS(AvgBonus[avg_bonus],AvgBonus[exp_item],$J536,AvgBonus[company_name],$B536,AvgBonus[bu_name],$C536,AvgBonus[dept_name],$D536,AvgBonus[team_consolidation],$K536,AvgBonus[location_name],$G536,AvgBonus[job_title],$H536))*Y431*SUM(BonusPayout[Month 14]))</f>
        <v>0</v>
      </c>
      <c r="Z536" s="652">
        <f>IF($B536="",,IF(LEFT($H536,5)="dummy",SUMIFS(AvgBonus[avg_bonus],AvgBonus[job_title],$H536),SUMIFS(AvgBonus[avg_bonus],AvgBonus[exp_item],$J536,AvgBonus[company_name],$B536,AvgBonus[bu_name],$C536,AvgBonus[dept_name],$D536,AvgBonus[team_consolidation],$K536,AvgBonus[location_name],$G536,AvgBonus[job_title],$H536))*Z431*SUM(BonusPayout[Month 15]))</f>
        <v>0</v>
      </c>
      <c r="AA536" s="652">
        <f>IF($B536="",,IF(LEFT($H536,5)="dummy",SUMIFS(AvgBonus[avg_bonus],AvgBonus[job_title],$H536),SUMIFS(AvgBonus[avg_bonus],AvgBonus[exp_item],$J536,AvgBonus[company_name],$B536,AvgBonus[bu_name],$C536,AvgBonus[dept_name],$D536,AvgBonus[team_consolidation],$K536,AvgBonus[location_name],$G536,AvgBonus[job_title],$H536))*AA431*SUM(BonusPayout[Month 16]))</f>
        <v>0</v>
      </c>
      <c r="AB536" s="652">
        <f>IF($B536="",,IF(LEFT($H536,5)="dummy",SUMIFS(AvgBonus[avg_bonus],AvgBonus[job_title],$H536),SUMIFS(AvgBonus[avg_bonus],AvgBonus[exp_item],$J536,AvgBonus[company_name],$B536,AvgBonus[bu_name],$C536,AvgBonus[dept_name],$D536,AvgBonus[team_consolidation],$K536,AvgBonus[location_name],$G536,AvgBonus[job_title],$H536))*AB431*SUM(BonusPayout[Month 17]))</f>
        <v>0</v>
      </c>
      <c r="AC536" s="652">
        <f>IF($B536="",,IF(LEFT($H536,5)="dummy",SUMIFS(AvgBonus[avg_bonus],AvgBonus[job_title],$H536),SUMIFS(AvgBonus[avg_bonus],AvgBonus[exp_item],$J536,AvgBonus[company_name],$B536,AvgBonus[bu_name],$C536,AvgBonus[dept_name],$D536,AvgBonus[team_consolidation],$K536,AvgBonus[location_name],$G536,AvgBonus[job_title],$H536))*AC431*SUM(BonusPayout[Month 18]))</f>
        <v>0</v>
      </c>
      <c r="AD536" s="652">
        <f>IF($B536="",,IF(LEFT($H536,5)="dummy",SUMIFS(AvgBonus[avg_bonus],AvgBonus[job_title],$H536),SUMIFS(AvgBonus[avg_bonus],AvgBonus[exp_item],$J536,AvgBonus[company_name],$B536,AvgBonus[bu_name],$C536,AvgBonus[dept_name],$D536,AvgBonus[team_consolidation],$K536,AvgBonus[location_name],$G536,AvgBonus[job_title],$H536))*AD431*SUM(BonusPayout[Month 19]))</f>
        <v>0</v>
      </c>
      <c r="AE536" s="652">
        <f>IF($B536="",,IF(LEFT($H536,5)="dummy",SUMIFS(AvgBonus[avg_bonus],AvgBonus[job_title],$H536),SUMIFS(AvgBonus[avg_bonus],AvgBonus[exp_item],$J536,AvgBonus[company_name],$B536,AvgBonus[bu_name],$C536,AvgBonus[dept_name],$D536,AvgBonus[team_consolidation],$K536,AvgBonus[location_name],$G536,AvgBonus[job_title],$H536))*AE431*SUM(BonusPayout[Month 20]))</f>
        <v>0</v>
      </c>
      <c r="AF536" s="652">
        <f>IF($B536="",,IF(LEFT($H536,5)="dummy",SUMIFS(AvgBonus[avg_bonus],AvgBonus[job_title],$H536),SUMIFS(AvgBonus[avg_bonus],AvgBonus[exp_item],$J536,AvgBonus[company_name],$B536,AvgBonus[bu_name],$C536,AvgBonus[dept_name],$D536,AvgBonus[team_consolidation],$K536,AvgBonus[location_name],$G536,AvgBonus[job_title],$H536))*AF431*SUM(BonusPayout[Month 21]))</f>
        <v>0</v>
      </c>
      <c r="AG536" s="652">
        <f>IF($B536="",,IF(LEFT($H536,5)="dummy",SUMIFS(AvgBonus[avg_bonus],AvgBonus[job_title],$H536),SUMIFS(AvgBonus[avg_bonus],AvgBonus[exp_item],$J536,AvgBonus[company_name],$B536,AvgBonus[bu_name],$C536,AvgBonus[dept_name],$D536,AvgBonus[team_consolidation],$K536,AvgBonus[location_name],$G536,AvgBonus[job_title],$H536))*AG431*SUM(BonusPayout[Month 22]))</f>
        <v>0</v>
      </c>
      <c r="AH536" s="652">
        <f>IF($B536="",,IF(LEFT($H536,5)="dummy",SUMIFS(AvgBonus[avg_bonus],AvgBonus[job_title],$H536),SUMIFS(AvgBonus[avg_bonus],AvgBonus[exp_item],$J536,AvgBonus[company_name],$B536,AvgBonus[bu_name],$C536,AvgBonus[dept_name],$D536,AvgBonus[team_consolidation],$K536,AvgBonus[location_name],$G536,AvgBonus[job_title],$H536))*AH431*SUM(BonusPayout[Month 23]))</f>
        <v>0</v>
      </c>
      <c r="AI536" s="652">
        <f>IF($B536="",,IF(LEFT($H536,5)="dummy",SUMIFS(AvgBonus[avg_bonus],AvgBonus[job_title],$H536),SUMIFS(AvgBonus[avg_bonus],AvgBonus[exp_item],$J536,AvgBonus[company_name],$B536,AvgBonus[bu_name],$C536,AvgBonus[dept_name],$D536,AvgBonus[team_consolidation],$K536,AvgBonus[location_name],$G536,AvgBonus[job_title],$H536))*AI431*SUM(BonusPayout[Month 24]))</f>
        <v>0</v>
      </c>
      <c r="AJ536" s="652">
        <f>IF($B536="",,IF(LEFT($H536,5)="dummy",SUMIFS(AvgBonus[avg_bonus],AvgBonus[job_title],$H536),SUMIFS(AvgBonus[avg_bonus],AvgBonus[exp_item],$J536,AvgBonus[company_name],$B536,AvgBonus[bu_name],$C536,AvgBonus[dept_name],$D536,AvgBonus[team_consolidation],$K536,AvgBonus[location_name],$G536,AvgBonus[job_title],$H536))*AJ431*SUM(BonusPayout[Month 25]))</f>
        <v>0</v>
      </c>
      <c r="AK536" s="652">
        <f>IF($B536="",,IF(LEFT($H536,5)="dummy",SUMIFS(AvgBonus[avg_bonus],AvgBonus[job_title],$H536),SUMIFS(AvgBonus[avg_bonus],AvgBonus[exp_item],$J536,AvgBonus[company_name],$B536,AvgBonus[bu_name],$C536,AvgBonus[dept_name],$D536,AvgBonus[team_consolidation],$K536,AvgBonus[location_name],$G536,AvgBonus[job_title],$H536))*AK431*SUM(BonusPayout[Month 26]))</f>
        <v>0</v>
      </c>
      <c r="AL536" s="652">
        <f>IF($B536="",,IF(LEFT($H536,5)="dummy",SUMIFS(AvgBonus[avg_bonus],AvgBonus[job_title],$H536),SUMIFS(AvgBonus[avg_bonus],AvgBonus[exp_item],$J536,AvgBonus[company_name],$B536,AvgBonus[bu_name],$C536,AvgBonus[dept_name],$D536,AvgBonus[team_consolidation],$K536,AvgBonus[location_name],$G536,AvgBonus[job_title],$H536))*AL431*SUM(BonusPayout[Month 27]))</f>
        <v>0</v>
      </c>
      <c r="AM536" s="652">
        <f>IF($B536="",,IF(LEFT($H536,5)="dummy",SUMIFS(AvgBonus[avg_bonus],AvgBonus[job_title],$H536),SUMIFS(AvgBonus[avg_bonus],AvgBonus[exp_item],$J536,AvgBonus[company_name],$B536,AvgBonus[bu_name],$C536,AvgBonus[dept_name],$D536,AvgBonus[team_consolidation],$K536,AvgBonus[location_name],$G536,AvgBonus[job_title],$H536))*AM431*SUM(BonusPayout[Month 28]))</f>
        <v>0</v>
      </c>
      <c r="AN536" s="652">
        <f>IF($B536="",,IF(LEFT($H536,5)="dummy",SUMIFS(AvgBonus[avg_bonus],AvgBonus[job_title],$H536),SUMIFS(AvgBonus[avg_bonus],AvgBonus[exp_item],$J536,AvgBonus[company_name],$B536,AvgBonus[bu_name],$C536,AvgBonus[dept_name],$D536,AvgBonus[team_consolidation],$K536,AvgBonus[location_name],$G536,AvgBonus[job_title],$H536))*AN431*SUM(BonusPayout[Month 29]))</f>
        <v>0</v>
      </c>
      <c r="AO536" s="652">
        <f>IF($B536="",,IF(LEFT($H536,5)="dummy",SUMIFS(AvgBonus[avg_bonus],AvgBonus[job_title],$H536),SUMIFS(AvgBonus[avg_bonus],AvgBonus[exp_item],$J536,AvgBonus[company_name],$B536,AvgBonus[bu_name],$C536,AvgBonus[dept_name],$D536,AvgBonus[team_consolidation],$K536,AvgBonus[location_name],$G536,AvgBonus[job_title],$H536))*AO431*SUM(BonusPayout[Month 30]))</f>
        <v>0</v>
      </c>
      <c r="AP536" s="652">
        <f>IF($B536="",,IF(LEFT($H536,5)="dummy",SUMIFS(AvgBonus[avg_bonus],AvgBonus[job_title],$H536),SUMIFS(AvgBonus[avg_bonus],AvgBonus[exp_item],$J536,AvgBonus[company_name],$B536,AvgBonus[bu_name],$C536,AvgBonus[dept_name],$D536,AvgBonus[team_consolidation],$K536,AvgBonus[location_name],$G536,AvgBonus[job_title],$H536))*AP431*SUM(BonusPayout[Month 31]))</f>
        <v>0</v>
      </c>
      <c r="AQ536" s="652">
        <f>IF($B536="",,IF(LEFT($H536,5)="dummy",SUMIFS(AvgBonus[avg_bonus],AvgBonus[job_title],$H536),SUMIFS(AvgBonus[avg_bonus],AvgBonus[exp_item],$J536,AvgBonus[company_name],$B536,AvgBonus[bu_name],$C536,AvgBonus[dept_name],$D536,AvgBonus[team_consolidation],$K536,AvgBonus[location_name],$G536,AvgBonus[job_title],$H536))*AQ431*SUM(BonusPayout[Month 32]))</f>
        <v>0</v>
      </c>
      <c r="AR536" s="652">
        <f>IF($B536="",,IF(LEFT($H536,5)="dummy",SUMIFS(AvgBonus[avg_bonus],AvgBonus[job_title],$H536),SUMIFS(AvgBonus[avg_bonus],AvgBonus[exp_item],$J536,AvgBonus[company_name],$B536,AvgBonus[bu_name],$C536,AvgBonus[dept_name],$D536,AvgBonus[team_consolidation],$K536,AvgBonus[location_name],$G536,AvgBonus[job_title],$H536))*AR431*SUM(BonusPayout[Month 33]))</f>
        <v>0</v>
      </c>
      <c r="AS536" s="652">
        <f>IF($B536="",,IF(LEFT($H536,5)="dummy",SUMIFS(AvgBonus[avg_bonus],AvgBonus[job_title],$H536),SUMIFS(AvgBonus[avg_bonus],AvgBonus[exp_item],$J536,AvgBonus[company_name],$B536,AvgBonus[bu_name],$C536,AvgBonus[dept_name],$D536,AvgBonus[team_consolidation],$K536,AvgBonus[location_name],$G536,AvgBonus[job_title],$H536))*AS431*SUM(BonusPayout[Month 34]))</f>
        <v>0</v>
      </c>
      <c r="AT536" s="652">
        <f>IF($B536="",,IF(LEFT($H536,5)="dummy",SUMIFS(AvgBonus[avg_bonus],AvgBonus[job_title],$H536),SUMIFS(AvgBonus[avg_bonus],AvgBonus[exp_item],$J536,AvgBonus[company_name],$B536,AvgBonus[bu_name],$C536,AvgBonus[dept_name],$D536,AvgBonus[team_consolidation],$K536,AvgBonus[location_name],$G536,AvgBonus[job_title],$H536))*AT431*SUM(BonusPayout[Month 35]))</f>
        <v>0</v>
      </c>
      <c r="AU536" s="652">
        <f>IF($B536="",,IF(LEFT($H536,5)="dummy",SUMIFS(AvgBonus[avg_bonus],AvgBonus[job_title],$H536),SUMIFS(AvgBonus[avg_bonus],AvgBonus[exp_item],$J536,AvgBonus[company_name],$B536,AvgBonus[bu_name],$C536,AvgBonus[dept_name],$D536,AvgBonus[team_consolidation],$K536,AvgBonus[location_name],$G536,AvgBonus[job_title],$H536))*AU431*SUM(BonusPayout[Month 36]))</f>
        <v>0</v>
      </c>
    </row>
    <row r="537" spans="2:47" x14ac:dyDescent="0.35">
      <c r="B537" t="str">
        <f t="shared" si="327"/>
        <v/>
      </c>
      <c r="C537" t="str">
        <f t="shared" ref="C537:G537" si="331">IF(C432="","",C432)</f>
        <v/>
      </c>
      <c r="D537" t="str">
        <f t="shared" si="331"/>
        <v/>
      </c>
      <c r="E537" t="str">
        <f t="shared" si="331"/>
        <v/>
      </c>
      <c r="F537" t="str">
        <f t="shared" si="331"/>
        <v/>
      </c>
      <c r="G537" t="str">
        <f t="shared" si="331"/>
        <v/>
      </c>
      <c r="H537" t="str">
        <f t="shared" si="326"/>
        <v/>
      </c>
      <c r="J537" t="str">
        <f>IF($H537="","",IF(VLOOKUP($B$500,ExpItems[],2,0),$B$500&amp;" - "&amp;INDEX(DivisionMapping[category_code],MATCH($D537&amp;$C537,DivisionMapping[dept_bu],0)),$B$500))</f>
        <v/>
      </c>
      <c r="K537" t="str">
        <f t="shared" si="294"/>
        <v/>
      </c>
      <c r="L537" s="652">
        <f>IF($B537="",,IF(LEFT($H537,5)="dummy",SUMIFS(AvgBonus[avg_bonus],AvgBonus[job_title],$H537),SUMIFS(AvgBonus[avg_bonus],AvgBonus[exp_item],$J537,AvgBonus[company_name],$B537,AvgBonus[bu_name],$C537,AvgBonus[dept_name],$D537,AvgBonus[team_consolidation],$K537,AvgBonus[location_name],$G537,AvgBonus[job_title],$H537))*L432*SUM(BonusPayout[Month 1]))</f>
        <v>0</v>
      </c>
      <c r="M537" s="652">
        <f>IF($B537="",,IF(LEFT($H537,5)="dummy",SUMIFS(AvgBonus[avg_bonus],AvgBonus[job_title],$H537),SUMIFS(AvgBonus[avg_bonus],AvgBonus[exp_item],$J537,AvgBonus[company_name],$B537,AvgBonus[bu_name],$C537,AvgBonus[dept_name],$D537,AvgBonus[team_consolidation],$K537,AvgBonus[location_name],$G537,AvgBonus[job_title],$H537))*M432*SUM(BonusPayout[Month 2]))</f>
        <v>0</v>
      </c>
      <c r="N537" s="652">
        <f>IF($B537="",,IF(LEFT($H537,5)="dummy",SUMIFS(AvgBonus[avg_bonus],AvgBonus[job_title],$H537),SUMIFS(AvgBonus[avg_bonus],AvgBonus[exp_item],$J537,AvgBonus[company_name],$B537,AvgBonus[bu_name],$C537,AvgBonus[dept_name],$D537,AvgBonus[team_consolidation],$K537,AvgBonus[location_name],$G537,AvgBonus[job_title],$H537))*N432*SUM(BonusPayout[Month 3]))</f>
        <v>0</v>
      </c>
      <c r="O537" s="652">
        <f>IF($B537="",,IF(LEFT($H537,5)="dummy",SUMIFS(AvgBonus[avg_bonus],AvgBonus[job_title],$H537),SUMIFS(AvgBonus[avg_bonus],AvgBonus[exp_item],$J537,AvgBonus[company_name],$B537,AvgBonus[bu_name],$C537,AvgBonus[dept_name],$D537,AvgBonus[team_consolidation],$K537,AvgBonus[location_name],$G537,AvgBonus[job_title],$H537))*O432*SUM(BonusPayout[Month 4]))</f>
        <v>0</v>
      </c>
      <c r="P537" s="652">
        <f>IF($B537="",,IF(LEFT($H537,5)="dummy",SUMIFS(AvgBonus[avg_bonus],AvgBonus[job_title],$H537),SUMIFS(AvgBonus[avg_bonus],AvgBonus[exp_item],$J537,AvgBonus[company_name],$B537,AvgBonus[bu_name],$C537,AvgBonus[dept_name],$D537,AvgBonus[team_consolidation],$K537,AvgBonus[location_name],$G537,AvgBonus[job_title],$H537))*P432*SUM(BonusPayout[Month 5]))</f>
        <v>0</v>
      </c>
      <c r="Q537" s="652">
        <f>IF($B537="",,IF(LEFT($H537,5)="dummy",SUMIFS(AvgBonus[avg_bonus],AvgBonus[job_title],$H537),SUMIFS(AvgBonus[avg_bonus],AvgBonus[exp_item],$J537,AvgBonus[company_name],$B537,AvgBonus[bu_name],$C537,AvgBonus[dept_name],$D537,AvgBonus[team_consolidation],$K537,AvgBonus[location_name],$G537,AvgBonus[job_title],$H537))*Q432*SUM(BonusPayout[Month 6]))</f>
        <v>0</v>
      </c>
      <c r="R537" s="652">
        <f>IF($B537="",,IF(LEFT($H537,5)="dummy",SUMIFS(AvgBonus[avg_bonus],AvgBonus[job_title],$H537),SUMIFS(AvgBonus[avg_bonus],AvgBonus[exp_item],$J537,AvgBonus[company_name],$B537,AvgBonus[bu_name],$C537,AvgBonus[dept_name],$D537,AvgBonus[team_consolidation],$K537,AvgBonus[location_name],$G537,AvgBonus[job_title],$H537))*R432*SUM(BonusPayout[Month 7]))</f>
        <v>0</v>
      </c>
      <c r="S537" s="652">
        <f>IF($B537="",,IF(LEFT($H537,5)="dummy",SUMIFS(AvgBonus[avg_bonus],AvgBonus[job_title],$H537),SUMIFS(AvgBonus[avg_bonus],AvgBonus[exp_item],$J537,AvgBonus[company_name],$B537,AvgBonus[bu_name],$C537,AvgBonus[dept_name],$D537,AvgBonus[team_consolidation],$K537,AvgBonus[location_name],$G537,AvgBonus[job_title],$H537))*S432*SUM(BonusPayout[Month 8]))</f>
        <v>0</v>
      </c>
      <c r="T537" s="652">
        <f>IF($B537="",,IF(LEFT($H537,5)="dummy",SUMIFS(AvgBonus[avg_bonus],AvgBonus[job_title],$H537),SUMIFS(AvgBonus[avg_bonus],AvgBonus[exp_item],$J537,AvgBonus[company_name],$B537,AvgBonus[bu_name],$C537,AvgBonus[dept_name],$D537,AvgBonus[team_consolidation],$K537,AvgBonus[location_name],$G537,AvgBonus[job_title],$H537))*T432*SUM(BonusPayout[Month 9]))</f>
        <v>0</v>
      </c>
      <c r="U537" s="652">
        <f>IF($B537="",,IF(LEFT($H537,5)="dummy",SUMIFS(AvgBonus[avg_bonus],AvgBonus[job_title],$H537),SUMIFS(AvgBonus[avg_bonus],AvgBonus[exp_item],$J537,AvgBonus[company_name],$B537,AvgBonus[bu_name],$C537,AvgBonus[dept_name],$D537,AvgBonus[team_consolidation],$K537,AvgBonus[location_name],$G537,AvgBonus[job_title],$H537))*U432*SUM(BonusPayout[Month 10]))</f>
        <v>0</v>
      </c>
      <c r="V537" s="652">
        <f>IF($B537="",,IF(LEFT($H537,5)="dummy",SUMIFS(AvgBonus[avg_bonus],AvgBonus[job_title],$H537),SUMIFS(AvgBonus[avg_bonus],AvgBonus[exp_item],$J537,AvgBonus[company_name],$B537,AvgBonus[bu_name],$C537,AvgBonus[dept_name],$D537,AvgBonus[team_consolidation],$K537,AvgBonus[location_name],$G537,AvgBonus[job_title],$H537))*V432*SUM(BonusPayout[Month 11]))</f>
        <v>0</v>
      </c>
      <c r="W537" s="652">
        <f>IF($B537="",,IF(LEFT($H537,5)="dummy",SUMIFS(AvgBonus[avg_bonus],AvgBonus[job_title],$H537),SUMIFS(AvgBonus[avg_bonus],AvgBonus[exp_item],$J537,AvgBonus[company_name],$B537,AvgBonus[bu_name],$C537,AvgBonus[dept_name],$D537,AvgBonus[team_consolidation],$K537,AvgBonus[location_name],$G537,AvgBonus[job_title],$H537))*W432*SUM(BonusPayout[Month 12]))</f>
        <v>0</v>
      </c>
      <c r="X537" s="652">
        <f>IF($B537="",,IF(LEFT($H537,5)="dummy",SUMIFS(AvgBonus[avg_bonus],AvgBonus[job_title],$H537),SUMIFS(AvgBonus[avg_bonus],AvgBonus[exp_item],$J537,AvgBonus[company_name],$B537,AvgBonus[bu_name],$C537,AvgBonus[dept_name],$D537,AvgBonus[team_consolidation],$K537,AvgBonus[location_name],$G537,AvgBonus[job_title],$H537))*X432*SUM(BonusPayout[Month 13]))</f>
        <v>0</v>
      </c>
      <c r="Y537" s="652">
        <f>IF($B537="",,IF(LEFT($H537,5)="dummy",SUMIFS(AvgBonus[avg_bonus],AvgBonus[job_title],$H537),SUMIFS(AvgBonus[avg_bonus],AvgBonus[exp_item],$J537,AvgBonus[company_name],$B537,AvgBonus[bu_name],$C537,AvgBonus[dept_name],$D537,AvgBonus[team_consolidation],$K537,AvgBonus[location_name],$G537,AvgBonus[job_title],$H537))*Y432*SUM(BonusPayout[Month 14]))</f>
        <v>0</v>
      </c>
      <c r="Z537" s="652">
        <f>IF($B537="",,IF(LEFT($H537,5)="dummy",SUMIFS(AvgBonus[avg_bonus],AvgBonus[job_title],$H537),SUMIFS(AvgBonus[avg_bonus],AvgBonus[exp_item],$J537,AvgBonus[company_name],$B537,AvgBonus[bu_name],$C537,AvgBonus[dept_name],$D537,AvgBonus[team_consolidation],$K537,AvgBonus[location_name],$G537,AvgBonus[job_title],$H537))*Z432*SUM(BonusPayout[Month 15]))</f>
        <v>0</v>
      </c>
      <c r="AA537" s="652">
        <f>IF($B537="",,IF(LEFT($H537,5)="dummy",SUMIFS(AvgBonus[avg_bonus],AvgBonus[job_title],$H537),SUMIFS(AvgBonus[avg_bonus],AvgBonus[exp_item],$J537,AvgBonus[company_name],$B537,AvgBonus[bu_name],$C537,AvgBonus[dept_name],$D537,AvgBonus[team_consolidation],$K537,AvgBonus[location_name],$G537,AvgBonus[job_title],$H537))*AA432*SUM(BonusPayout[Month 16]))</f>
        <v>0</v>
      </c>
      <c r="AB537" s="652">
        <f>IF($B537="",,IF(LEFT($H537,5)="dummy",SUMIFS(AvgBonus[avg_bonus],AvgBonus[job_title],$H537),SUMIFS(AvgBonus[avg_bonus],AvgBonus[exp_item],$J537,AvgBonus[company_name],$B537,AvgBonus[bu_name],$C537,AvgBonus[dept_name],$D537,AvgBonus[team_consolidation],$K537,AvgBonus[location_name],$G537,AvgBonus[job_title],$H537))*AB432*SUM(BonusPayout[Month 17]))</f>
        <v>0</v>
      </c>
      <c r="AC537" s="652">
        <f>IF($B537="",,IF(LEFT($H537,5)="dummy",SUMIFS(AvgBonus[avg_bonus],AvgBonus[job_title],$H537),SUMIFS(AvgBonus[avg_bonus],AvgBonus[exp_item],$J537,AvgBonus[company_name],$B537,AvgBonus[bu_name],$C537,AvgBonus[dept_name],$D537,AvgBonus[team_consolidation],$K537,AvgBonus[location_name],$G537,AvgBonus[job_title],$H537))*AC432*SUM(BonusPayout[Month 18]))</f>
        <v>0</v>
      </c>
      <c r="AD537" s="652">
        <f>IF($B537="",,IF(LEFT($H537,5)="dummy",SUMIFS(AvgBonus[avg_bonus],AvgBonus[job_title],$H537),SUMIFS(AvgBonus[avg_bonus],AvgBonus[exp_item],$J537,AvgBonus[company_name],$B537,AvgBonus[bu_name],$C537,AvgBonus[dept_name],$D537,AvgBonus[team_consolidation],$K537,AvgBonus[location_name],$G537,AvgBonus[job_title],$H537))*AD432*SUM(BonusPayout[Month 19]))</f>
        <v>0</v>
      </c>
      <c r="AE537" s="652">
        <f>IF($B537="",,IF(LEFT($H537,5)="dummy",SUMIFS(AvgBonus[avg_bonus],AvgBonus[job_title],$H537),SUMIFS(AvgBonus[avg_bonus],AvgBonus[exp_item],$J537,AvgBonus[company_name],$B537,AvgBonus[bu_name],$C537,AvgBonus[dept_name],$D537,AvgBonus[team_consolidation],$K537,AvgBonus[location_name],$G537,AvgBonus[job_title],$H537))*AE432*SUM(BonusPayout[Month 20]))</f>
        <v>0</v>
      </c>
      <c r="AF537" s="652">
        <f>IF($B537="",,IF(LEFT($H537,5)="dummy",SUMIFS(AvgBonus[avg_bonus],AvgBonus[job_title],$H537),SUMIFS(AvgBonus[avg_bonus],AvgBonus[exp_item],$J537,AvgBonus[company_name],$B537,AvgBonus[bu_name],$C537,AvgBonus[dept_name],$D537,AvgBonus[team_consolidation],$K537,AvgBonus[location_name],$G537,AvgBonus[job_title],$H537))*AF432*SUM(BonusPayout[Month 21]))</f>
        <v>0</v>
      </c>
      <c r="AG537" s="652">
        <f>IF($B537="",,IF(LEFT($H537,5)="dummy",SUMIFS(AvgBonus[avg_bonus],AvgBonus[job_title],$H537),SUMIFS(AvgBonus[avg_bonus],AvgBonus[exp_item],$J537,AvgBonus[company_name],$B537,AvgBonus[bu_name],$C537,AvgBonus[dept_name],$D537,AvgBonus[team_consolidation],$K537,AvgBonus[location_name],$G537,AvgBonus[job_title],$H537))*AG432*SUM(BonusPayout[Month 22]))</f>
        <v>0</v>
      </c>
      <c r="AH537" s="652">
        <f>IF($B537="",,IF(LEFT($H537,5)="dummy",SUMIFS(AvgBonus[avg_bonus],AvgBonus[job_title],$H537),SUMIFS(AvgBonus[avg_bonus],AvgBonus[exp_item],$J537,AvgBonus[company_name],$B537,AvgBonus[bu_name],$C537,AvgBonus[dept_name],$D537,AvgBonus[team_consolidation],$K537,AvgBonus[location_name],$G537,AvgBonus[job_title],$H537))*AH432*SUM(BonusPayout[Month 23]))</f>
        <v>0</v>
      </c>
      <c r="AI537" s="652">
        <f>IF($B537="",,IF(LEFT($H537,5)="dummy",SUMIFS(AvgBonus[avg_bonus],AvgBonus[job_title],$H537),SUMIFS(AvgBonus[avg_bonus],AvgBonus[exp_item],$J537,AvgBonus[company_name],$B537,AvgBonus[bu_name],$C537,AvgBonus[dept_name],$D537,AvgBonus[team_consolidation],$K537,AvgBonus[location_name],$G537,AvgBonus[job_title],$H537))*AI432*SUM(BonusPayout[Month 24]))</f>
        <v>0</v>
      </c>
      <c r="AJ537" s="652">
        <f>IF($B537="",,IF(LEFT($H537,5)="dummy",SUMIFS(AvgBonus[avg_bonus],AvgBonus[job_title],$H537),SUMIFS(AvgBonus[avg_bonus],AvgBonus[exp_item],$J537,AvgBonus[company_name],$B537,AvgBonus[bu_name],$C537,AvgBonus[dept_name],$D537,AvgBonus[team_consolidation],$K537,AvgBonus[location_name],$G537,AvgBonus[job_title],$H537))*AJ432*SUM(BonusPayout[Month 25]))</f>
        <v>0</v>
      </c>
      <c r="AK537" s="652">
        <f>IF($B537="",,IF(LEFT($H537,5)="dummy",SUMIFS(AvgBonus[avg_bonus],AvgBonus[job_title],$H537),SUMIFS(AvgBonus[avg_bonus],AvgBonus[exp_item],$J537,AvgBonus[company_name],$B537,AvgBonus[bu_name],$C537,AvgBonus[dept_name],$D537,AvgBonus[team_consolidation],$K537,AvgBonus[location_name],$G537,AvgBonus[job_title],$H537))*AK432*SUM(BonusPayout[Month 26]))</f>
        <v>0</v>
      </c>
      <c r="AL537" s="652">
        <f>IF($B537="",,IF(LEFT($H537,5)="dummy",SUMIFS(AvgBonus[avg_bonus],AvgBonus[job_title],$H537),SUMIFS(AvgBonus[avg_bonus],AvgBonus[exp_item],$J537,AvgBonus[company_name],$B537,AvgBonus[bu_name],$C537,AvgBonus[dept_name],$D537,AvgBonus[team_consolidation],$K537,AvgBonus[location_name],$G537,AvgBonus[job_title],$H537))*AL432*SUM(BonusPayout[Month 27]))</f>
        <v>0</v>
      </c>
      <c r="AM537" s="652">
        <f>IF($B537="",,IF(LEFT($H537,5)="dummy",SUMIFS(AvgBonus[avg_bonus],AvgBonus[job_title],$H537),SUMIFS(AvgBonus[avg_bonus],AvgBonus[exp_item],$J537,AvgBonus[company_name],$B537,AvgBonus[bu_name],$C537,AvgBonus[dept_name],$D537,AvgBonus[team_consolidation],$K537,AvgBonus[location_name],$G537,AvgBonus[job_title],$H537))*AM432*SUM(BonusPayout[Month 28]))</f>
        <v>0</v>
      </c>
      <c r="AN537" s="652">
        <f>IF($B537="",,IF(LEFT($H537,5)="dummy",SUMIFS(AvgBonus[avg_bonus],AvgBonus[job_title],$H537),SUMIFS(AvgBonus[avg_bonus],AvgBonus[exp_item],$J537,AvgBonus[company_name],$B537,AvgBonus[bu_name],$C537,AvgBonus[dept_name],$D537,AvgBonus[team_consolidation],$K537,AvgBonus[location_name],$G537,AvgBonus[job_title],$H537))*AN432*SUM(BonusPayout[Month 29]))</f>
        <v>0</v>
      </c>
      <c r="AO537" s="652">
        <f>IF($B537="",,IF(LEFT($H537,5)="dummy",SUMIFS(AvgBonus[avg_bonus],AvgBonus[job_title],$H537),SUMIFS(AvgBonus[avg_bonus],AvgBonus[exp_item],$J537,AvgBonus[company_name],$B537,AvgBonus[bu_name],$C537,AvgBonus[dept_name],$D537,AvgBonus[team_consolidation],$K537,AvgBonus[location_name],$G537,AvgBonus[job_title],$H537))*AO432*SUM(BonusPayout[Month 30]))</f>
        <v>0</v>
      </c>
      <c r="AP537" s="652">
        <f>IF($B537="",,IF(LEFT($H537,5)="dummy",SUMIFS(AvgBonus[avg_bonus],AvgBonus[job_title],$H537),SUMIFS(AvgBonus[avg_bonus],AvgBonus[exp_item],$J537,AvgBonus[company_name],$B537,AvgBonus[bu_name],$C537,AvgBonus[dept_name],$D537,AvgBonus[team_consolidation],$K537,AvgBonus[location_name],$G537,AvgBonus[job_title],$H537))*AP432*SUM(BonusPayout[Month 31]))</f>
        <v>0</v>
      </c>
      <c r="AQ537" s="652">
        <f>IF($B537="",,IF(LEFT($H537,5)="dummy",SUMIFS(AvgBonus[avg_bonus],AvgBonus[job_title],$H537),SUMIFS(AvgBonus[avg_bonus],AvgBonus[exp_item],$J537,AvgBonus[company_name],$B537,AvgBonus[bu_name],$C537,AvgBonus[dept_name],$D537,AvgBonus[team_consolidation],$K537,AvgBonus[location_name],$G537,AvgBonus[job_title],$H537))*AQ432*SUM(BonusPayout[Month 32]))</f>
        <v>0</v>
      </c>
      <c r="AR537" s="652">
        <f>IF($B537="",,IF(LEFT($H537,5)="dummy",SUMIFS(AvgBonus[avg_bonus],AvgBonus[job_title],$H537),SUMIFS(AvgBonus[avg_bonus],AvgBonus[exp_item],$J537,AvgBonus[company_name],$B537,AvgBonus[bu_name],$C537,AvgBonus[dept_name],$D537,AvgBonus[team_consolidation],$K537,AvgBonus[location_name],$G537,AvgBonus[job_title],$H537))*AR432*SUM(BonusPayout[Month 33]))</f>
        <v>0</v>
      </c>
      <c r="AS537" s="652">
        <f>IF($B537="",,IF(LEFT($H537,5)="dummy",SUMIFS(AvgBonus[avg_bonus],AvgBonus[job_title],$H537),SUMIFS(AvgBonus[avg_bonus],AvgBonus[exp_item],$J537,AvgBonus[company_name],$B537,AvgBonus[bu_name],$C537,AvgBonus[dept_name],$D537,AvgBonus[team_consolidation],$K537,AvgBonus[location_name],$G537,AvgBonus[job_title],$H537))*AS432*SUM(BonusPayout[Month 34]))</f>
        <v>0</v>
      </c>
      <c r="AT537" s="652">
        <f>IF($B537="",,IF(LEFT($H537,5)="dummy",SUMIFS(AvgBonus[avg_bonus],AvgBonus[job_title],$H537),SUMIFS(AvgBonus[avg_bonus],AvgBonus[exp_item],$J537,AvgBonus[company_name],$B537,AvgBonus[bu_name],$C537,AvgBonus[dept_name],$D537,AvgBonus[team_consolidation],$K537,AvgBonus[location_name],$G537,AvgBonus[job_title],$H537))*AT432*SUM(BonusPayout[Month 35]))</f>
        <v>0</v>
      </c>
      <c r="AU537" s="652">
        <f>IF($B537="",,IF(LEFT($H537,5)="dummy",SUMIFS(AvgBonus[avg_bonus],AvgBonus[job_title],$H537),SUMIFS(AvgBonus[avg_bonus],AvgBonus[exp_item],$J537,AvgBonus[company_name],$B537,AvgBonus[bu_name],$C537,AvgBonus[dept_name],$D537,AvgBonus[team_consolidation],$K537,AvgBonus[location_name],$G537,AvgBonus[job_title],$H537))*AU432*SUM(BonusPayout[Month 36]))</f>
        <v>0</v>
      </c>
    </row>
    <row r="538" spans="2:47" x14ac:dyDescent="0.35">
      <c r="B538" t="str">
        <f t="shared" si="327"/>
        <v/>
      </c>
      <c r="C538" t="str">
        <f t="shared" ref="C538:G538" si="332">IF(C433="","",C433)</f>
        <v/>
      </c>
      <c r="D538" t="str">
        <f t="shared" si="332"/>
        <v/>
      </c>
      <c r="E538" t="str">
        <f t="shared" si="332"/>
        <v/>
      </c>
      <c r="F538" t="str">
        <f t="shared" si="332"/>
        <v/>
      </c>
      <c r="G538" t="str">
        <f t="shared" si="332"/>
        <v/>
      </c>
      <c r="H538" t="str">
        <f t="shared" si="326"/>
        <v/>
      </c>
      <c r="J538" t="str">
        <f>IF($H538="","",IF(VLOOKUP($B$500,ExpItems[],2,0),$B$500&amp;" - "&amp;INDEX(DivisionMapping[category_code],MATCH($D538&amp;$C538,DivisionMapping[dept_bu],0)),$B$500))</f>
        <v/>
      </c>
      <c r="K538" t="str">
        <f t="shared" si="294"/>
        <v/>
      </c>
      <c r="L538" s="652">
        <f>IF($B538="",,IF(LEFT($H538,5)="dummy",SUMIFS(AvgBonus[avg_bonus],AvgBonus[job_title],$H538),SUMIFS(AvgBonus[avg_bonus],AvgBonus[exp_item],$J538,AvgBonus[company_name],$B538,AvgBonus[bu_name],$C538,AvgBonus[dept_name],$D538,AvgBonus[team_consolidation],$K538,AvgBonus[location_name],$G538,AvgBonus[job_title],$H538))*L433*SUM(BonusPayout[Month 1]))</f>
        <v>0</v>
      </c>
      <c r="M538" s="652">
        <f>IF($B538="",,IF(LEFT($H538,5)="dummy",SUMIFS(AvgBonus[avg_bonus],AvgBonus[job_title],$H538),SUMIFS(AvgBonus[avg_bonus],AvgBonus[exp_item],$J538,AvgBonus[company_name],$B538,AvgBonus[bu_name],$C538,AvgBonus[dept_name],$D538,AvgBonus[team_consolidation],$K538,AvgBonus[location_name],$G538,AvgBonus[job_title],$H538))*M433*SUM(BonusPayout[Month 2]))</f>
        <v>0</v>
      </c>
      <c r="N538" s="652">
        <f>IF($B538="",,IF(LEFT($H538,5)="dummy",SUMIFS(AvgBonus[avg_bonus],AvgBonus[job_title],$H538),SUMIFS(AvgBonus[avg_bonus],AvgBonus[exp_item],$J538,AvgBonus[company_name],$B538,AvgBonus[bu_name],$C538,AvgBonus[dept_name],$D538,AvgBonus[team_consolidation],$K538,AvgBonus[location_name],$G538,AvgBonus[job_title],$H538))*N433*SUM(BonusPayout[Month 3]))</f>
        <v>0</v>
      </c>
      <c r="O538" s="652">
        <f>IF($B538="",,IF(LEFT($H538,5)="dummy",SUMIFS(AvgBonus[avg_bonus],AvgBonus[job_title],$H538),SUMIFS(AvgBonus[avg_bonus],AvgBonus[exp_item],$J538,AvgBonus[company_name],$B538,AvgBonus[bu_name],$C538,AvgBonus[dept_name],$D538,AvgBonus[team_consolidation],$K538,AvgBonus[location_name],$G538,AvgBonus[job_title],$H538))*O433*SUM(BonusPayout[Month 4]))</f>
        <v>0</v>
      </c>
      <c r="P538" s="652">
        <f>IF($B538="",,IF(LEFT($H538,5)="dummy",SUMIFS(AvgBonus[avg_bonus],AvgBonus[job_title],$H538),SUMIFS(AvgBonus[avg_bonus],AvgBonus[exp_item],$J538,AvgBonus[company_name],$B538,AvgBonus[bu_name],$C538,AvgBonus[dept_name],$D538,AvgBonus[team_consolidation],$K538,AvgBonus[location_name],$G538,AvgBonus[job_title],$H538))*P433*SUM(BonusPayout[Month 5]))</f>
        <v>0</v>
      </c>
      <c r="Q538" s="652">
        <f>IF($B538="",,IF(LEFT($H538,5)="dummy",SUMIFS(AvgBonus[avg_bonus],AvgBonus[job_title],$H538),SUMIFS(AvgBonus[avg_bonus],AvgBonus[exp_item],$J538,AvgBonus[company_name],$B538,AvgBonus[bu_name],$C538,AvgBonus[dept_name],$D538,AvgBonus[team_consolidation],$K538,AvgBonus[location_name],$G538,AvgBonus[job_title],$H538))*Q433*SUM(BonusPayout[Month 6]))</f>
        <v>0</v>
      </c>
      <c r="R538" s="652">
        <f>IF($B538="",,IF(LEFT($H538,5)="dummy",SUMIFS(AvgBonus[avg_bonus],AvgBonus[job_title],$H538),SUMIFS(AvgBonus[avg_bonus],AvgBonus[exp_item],$J538,AvgBonus[company_name],$B538,AvgBonus[bu_name],$C538,AvgBonus[dept_name],$D538,AvgBonus[team_consolidation],$K538,AvgBonus[location_name],$G538,AvgBonus[job_title],$H538))*R433*SUM(BonusPayout[Month 7]))</f>
        <v>0</v>
      </c>
      <c r="S538" s="652">
        <f>IF($B538="",,IF(LEFT($H538,5)="dummy",SUMIFS(AvgBonus[avg_bonus],AvgBonus[job_title],$H538),SUMIFS(AvgBonus[avg_bonus],AvgBonus[exp_item],$J538,AvgBonus[company_name],$B538,AvgBonus[bu_name],$C538,AvgBonus[dept_name],$D538,AvgBonus[team_consolidation],$K538,AvgBonus[location_name],$G538,AvgBonus[job_title],$H538))*S433*SUM(BonusPayout[Month 8]))</f>
        <v>0</v>
      </c>
      <c r="T538" s="652">
        <f>IF($B538="",,IF(LEFT($H538,5)="dummy",SUMIFS(AvgBonus[avg_bonus],AvgBonus[job_title],$H538),SUMIFS(AvgBonus[avg_bonus],AvgBonus[exp_item],$J538,AvgBonus[company_name],$B538,AvgBonus[bu_name],$C538,AvgBonus[dept_name],$D538,AvgBonus[team_consolidation],$K538,AvgBonus[location_name],$G538,AvgBonus[job_title],$H538))*T433*SUM(BonusPayout[Month 9]))</f>
        <v>0</v>
      </c>
      <c r="U538" s="652">
        <f>IF($B538="",,IF(LEFT($H538,5)="dummy",SUMIFS(AvgBonus[avg_bonus],AvgBonus[job_title],$H538),SUMIFS(AvgBonus[avg_bonus],AvgBonus[exp_item],$J538,AvgBonus[company_name],$B538,AvgBonus[bu_name],$C538,AvgBonus[dept_name],$D538,AvgBonus[team_consolidation],$K538,AvgBonus[location_name],$G538,AvgBonus[job_title],$H538))*U433*SUM(BonusPayout[Month 10]))</f>
        <v>0</v>
      </c>
      <c r="V538" s="652">
        <f>IF($B538="",,IF(LEFT($H538,5)="dummy",SUMIFS(AvgBonus[avg_bonus],AvgBonus[job_title],$H538),SUMIFS(AvgBonus[avg_bonus],AvgBonus[exp_item],$J538,AvgBonus[company_name],$B538,AvgBonus[bu_name],$C538,AvgBonus[dept_name],$D538,AvgBonus[team_consolidation],$K538,AvgBonus[location_name],$G538,AvgBonus[job_title],$H538))*V433*SUM(BonusPayout[Month 11]))</f>
        <v>0</v>
      </c>
      <c r="W538" s="652">
        <f>IF($B538="",,IF(LEFT($H538,5)="dummy",SUMIFS(AvgBonus[avg_bonus],AvgBonus[job_title],$H538),SUMIFS(AvgBonus[avg_bonus],AvgBonus[exp_item],$J538,AvgBonus[company_name],$B538,AvgBonus[bu_name],$C538,AvgBonus[dept_name],$D538,AvgBonus[team_consolidation],$K538,AvgBonus[location_name],$G538,AvgBonus[job_title],$H538))*W433*SUM(BonusPayout[Month 12]))</f>
        <v>0</v>
      </c>
      <c r="X538" s="652">
        <f>IF($B538="",,IF(LEFT($H538,5)="dummy",SUMIFS(AvgBonus[avg_bonus],AvgBonus[job_title],$H538),SUMIFS(AvgBonus[avg_bonus],AvgBonus[exp_item],$J538,AvgBonus[company_name],$B538,AvgBonus[bu_name],$C538,AvgBonus[dept_name],$D538,AvgBonus[team_consolidation],$K538,AvgBonus[location_name],$G538,AvgBonus[job_title],$H538))*X433*SUM(BonusPayout[Month 13]))</f>
        <v>0</v>
      </c>
      <c r="Y538" s="652">
        <f>IF($B538="",,IF(LEFT($H538,5)="dummy",SUMIFS(AvgBonus[avg_bonus],AvgBonus[job_title],$H538),SUMIFS(AvgBonus[avg_bonus],AvgBonus[exp_item],$J538,AvgBonus[company_name],$B538,AvgBonus[bu_name],$C538,AvgBonus[dept_name],$D538,AvgBonus[team_consolidation],$K538,AvgBonus[location_name],$G538,AvgBonus[job_title],$H538))*Y433*SUM(BonusPayout[Month 14]))</f>
        <v>0</v>
      </c>
      <c r="Z538" s="652">
        <f>IF($B538="",,IF(LEFT($H538,5)="dummy",SUMIFS(AvgBonus[avg_bonus],AvgBonus[job_title],$H538),SUMIFS(AvgBonus[avg_bonus],AvgBonus[exp_item],$J538,AvgBonus[company_name],$B538,AvgBonus[bu_name],$C538,AvgBonus[dept_name],$D538,AvgBonus[team_consolidation],$K538,AvgBonus[location_name],$G538,AvgBonus[job_title],$H538))*Z433*SUM(BonusPayout[Month 15]))</f>
        <v>0</v>
      </c>
      <c r="AA538" s="652">
        <f>IF($B538="",,IF(LEFT($H538,5)="dummy",SUMIFS(AvgBonus[avg_bonus],AvgBonus[job_title],$H538),SUMIFS(AvgBonus[avg_bonus],AvgBonus[exp_item],$J538,AvgBonus[company_name],$B538,AvgBonus[bu_name],$C538,AvgBonus[dept_name],$D538,AvgBonus[team_consolidation],$K538,AvgBonus[location_name],$G538,AvgBonus[job_title],$H538))*AA433*SUM(BonusPayout[Month 16]))</f>
        <v>0</v>
      </c>
      <c r="AB538" s="652">
        <f>IF($B538="",,IF(LEFT($H538,5)="dummy",SUMIFS(AvgBonus[avg_bonus],AvgBonus[job_title],$H538),SUMIFS(AvgBonus[avg_bonus],AvgBonus[exp_item],$J538,AvgBonus[company_name],$B538,AvgBonus[bu_name],$C538,AvgBonus[dept_name],$D538,AvgBonus[team_consolidation],$K538,AvgBonus[location_name],$G538,AvgBonus[job_title],$H538))*AB433*SUM(BonusPayout[Month 17]))</f>
        <v>0</v>
      </c>
      <c r="AC538" s="652">
        <f>IF($B538="",,IF(LEFT($H538,5)="dummy",SUMIFS(AvgBonus[avg_bonus],AvgBonus[job_title],$H538),SUMIFS(AvgBonus[avg_bonus],AvgBonus[exp_item],$J538,AvgBonus[company_name],$B538,AvgBonus[bu_name],$C538,AvgBonus[dept_name],$D538,AvgBonus[team_consolidation],$K538,AvgBonus[location_name],$G538,AvgBonus[job_title],$H538))*AC433*SUM(BonusPayout[Month 18]))</f>
        <v>0</v>
      </c>
      <c r="AD538" s="652">
        <f>IF($B538="",,IF(LEFT($H538,5)="dummy",SUMIFS(AvgBonus[avg_bonus],AvgBonus[job_title],$H538),SUMIFS(AvgBonus[avg_bonus],AvgBonus[exp_item],$J538,AvgBonus[company_name],$B538,AvgBonus[bu_name],$C538,AvgBonus[dept_name],$D538,AvgBonus[team_consolidation],$K538,AvgBonus[location_name],$G538,AvgBonus[job_title],$H538))*AD433*SUM(BonusPayout[Month 19]))</f>
        <v>0</v>
      </c>
      <c r="AE538" s="652">
        <f>IF($B538="",,IF(LEFT($H538,5)="dummy",SUMIFS(AvgBonus[avg_bonus],AvgBonus[job_title],$H538),SUMIFS(AvgBonus[avg_bonus],AvgBonus[exp_item],$J538,AvgBonus[company_name],$B538,AvgBonus[bu_name],$C538,AvgBonus[dept_name],$D538,AvgBonus[team_consolidation],$K538,AvgBonus[location_name],$G538,AvgBonus[job_title],$H538))*AE433*SUM(BonusPayout[Month 20]))</f>
        <v>0</v>
      </c>
      <c r="AF538" s="652">
        <f>IF($B538="",,IF(LEFT($H538,5)="dummy",SUMIFS(AvgBonus[avg_bonus],AvgBonus[job_title],$H538),SUMIFS(AvgBonus[avg_bonus],AvgBonus[exp_item],$J538,AvgBonus[company_name],$B538,AvgBonus[bu_name],$C538,AvgBonus[dept_name],$D538,AvgBonus[team_consolidation],$K538,AvgBonus[location_name],$G538,AvgBonus[job_title],$H538))*AF433*SUM(BonusPayout[Month 21]))</f>
        <v>0</v>
      </c>
      <c r="AG538" s="652">
        <f>IF($B538="",,IF(LEFT($H538,5)="dummy",SUMIFS(AvgBonus[avg_bonus],AvgBonus[job_title],$H538),SUMIFS(AvgBonus[avg_bonus],AvgBonus[exp_item],$J538,AvgBonus[company_name],$B538,AvgBonus[bu_name],$C538,AvgBonus[dept_name],$D538,AvgBonus[team_consolidation],$K538,AvgBonus[location_name],$G538,AvgBonus[job_title],$H538))*AG433*SUM(BonusPayout[Month 22]))</f>
        <v>0</v>
      </c>
      <c r="AH538" s="652">
        <f>IF($B538="",,IF(LEFT($H538,5)="dummy",SUMIFS(AvgBonus[avg_bonus],AvgBonus[job_title],$H538),SUMIFS(AvgBonus[avg_bonus],AvgBonus[exp_item],$J538,AvgBonus[company_name],$B538,AvgBonus[bu_name],$C538,AvgBonus[dept_name],$D538,AvgBonus[team_consolidation],$K538,AvgBonus[location_name],$G538,AvgBonus[job_title],$H538))*AH433*SUM(BonusPayout[Month 23]))</f>
        <v>0</v>
      </c>
      <c r="AI538" s="652">
        <f>IF($B538="",,IF(LEFT($H538,5)="dummy",SUMIFS(AvgBonus[avg_bonus],AvgBonus[job_title],$H538),SUMIFS(AvgBonus[avg_bonus],AvgBonus[exp_item],$J538,AvgBonus[company_name],$B538,AvgBonus[bu_name],$C538,AvgBonus[dept_name],$D538,AvgBonus[team_consolidation],$K538,AvgBonus[location_name],$G538,AvgBonus[job_title],$H538))*AI433*SUM(BonusPayout[Month 24]))</f>
        <v>0</v>
      </c>
      <c r="AJ538" s="652">
        <f>IF($B538="",,IF(LEFT($H538,5)="dummy",SUMIFS(AvgBonus[avg_bonus],AvgBonus[job_title],$H538),SUMIFS(AvgBonus[avg_bonus],AvgBonus[exp_item],$J538,AvgBonus[company_name],$B538,AvgBonus[bu_name],$C538,AvgBonus[dept_name],$D538,AvgBonus[team_consolidation],$K538,AvgBonus[location_name],$G538,AvgBonus[job_title],$H538))*AJ433*SUM(BonusPayout[Month 25]))</f>
        <v>0</v>
      </c>
      <c r="AK538" s="652">
        <f>IF($B538="",,IF(LEFT($H538,5)="dummy",SUMIFS(AvgBonus[avg_bonus],AvgBonus[job_title],$H538),SUMIFS(AvgBonus[avg_bonus],AvgBonus[exp_item],$J538,AvgBonus[company_name],$B538,AvgBonus[bu_name],$C538,AvgBonus[dept_name],$D538,AvgBonus[team_consolidation],$K538,AvgBonus[location_name],$G538,AvgBonus[job_title],$H538))*AK433*SUM(BonusPayout[Month 26]))</f>
        <v>0</v>
      </c>
      <c r="AL538" s="652">
        <f>IF($B538="",,IF(LEFT($H538,5)="dummy",SUMIFS(AvgBonus[avg_bonus],AvgBonus[job_title],$H538),SUMIFS(AvgBonus[avg_bonus],AvgBonus[exp_item],$J538,AvgBonus[company_name],$B538,AvgBonus[bu_name],$C538,AvgBonus[dept_name],$D538,AvgBonus[team_consolidation],$K538,AvgBonus[location_name],$G538,AvgBonus[job_title],$H538))*AL433*SUM(BonusPayout[Month 27]))</f>
        <v>0</v>
      </c>
      <c r="AM538" s="652">
        <f>IF($B538="",,IF(LEFT($H538,5)="dummy",SUMIFS(AvgBonus[avg_bonus],AvgBonus[job_title],$H538),SUMIFS(AvgBonus[avg_bonus],AvgBonus[exp_item],$J538,AvgBonus[company_name],$B538,AvgBonus[bu_name],$C538,AvgBonus[dept_name],$D538,AvgBonus[team_consolidation],$K538,AvgBonus[location_name],$G538,AvgBonus[job_title],$H538))*AM433*SUM(BonusPayout[Month 28]))</f>
        <v>0</v>
      </c>
      <c r="AN538" s="652">
        <f>IF($B538="",,IF(LEFT($H538,5)="dummy",SUMIFS(AvgBonus[avg_bonus],AvgBonus[job_title],$H538),SUMIFS(AvgBonus[avg_bonus],AvgBonus[exp_item],$J538,AvgBonus[company_name],$B538,AvgBonus[bu_name],$C538,AvgBonus[dept_name],$D538,AvgBonus[team_consolidation],$K538,AvgBonus[location_name],$G538,AvgBonus[job_title],$H538))*AN433*SUM(BonusPayout[Month 29]))</f>
        <v>0</v>
      </c>
      <c r="AO538" s="652">
        <f>IF($B538="",,IF(LEFT($H538,5)="dummy",SUMIFS(AvgBonus[avg_bonus],AvgBonus[job_title],$H538),SUMIFS(AvgBonus[avg_bonus],AvgBonus[exp_item],$J538,AvgBonus[company_name],$B538,AvgBonus[bu_name],$C538,AvgBonus[dept_name],$D538,AvgBonus[team_consolidation],$K538,AvgBonus[location_name],$G538,AvgBonus[job_title],$H538))*AO433*SUM(BonusPayout[Month 30]))</f>
        <v>0</v>
      </c>
      <c r="AP538" s="652">
        <f>IF($B538="",,IF(LEFT($H538,5)="dummy",SUMIFS(AvgBonus[avg_bonus],AvgBonus[job_title],$H538),SUMIFS(AvgBonus[avg_bonus],AvgBonus[exp_item],$J538,AvgBonus[company_name],$B538,AvgBonus[bu_name],$C538,AvgBonus[dept_name],$D538,AvgBonus[team_consolidation],$K538,AvgBonus[location_name],$G538,AvgBonus[job_title],$H538))*AP433*SUM(BonusPayout[Month 31]))</f>
        <v>0</v>
      </c>
      <c r="AQ538" s="652">
        <f>IF($B538="",,IF(LEFT($H538,5)="dummy",SUMIFS(AvgBonus[avg_bonus],AvgBonus[job_title],$H538),SUMIFS(AvgBonus[avg_bonus],AvgBonus[exp_item],$J538,AvgBonus[company_name],$B538,AvgBonus[bu_name],$C538,AvgBonus[dept_name],$D538,AvgBonus[team_consolidation],$K538,AvgBonus[location_name],$G538,AvgBonus[job_title],$H538))*AQ433*SUM(BonusPayout[Month 32]))</f>
        <v>0</v>
      </c>
      <c r="AR538" s="652">
        <f>IF($B538="",,IF(LEFT($H538,5)="dummy",SUMIFS(AvgBonus[avg_bonus],AvgBonus[job_title],$H538),SUMIFS(AvgBonus[avg_bonus],AvgBonus[exp_item],$J538,AvgBonus[company_name],$B538,AvgBonus[bu_name],$C538,AvgBonus[dept_name],$D538,AvgBonus[team_consolidation],$K538,AvgBonus[location_name],$G538,AvgBonus[job_title],$H538))*AR433*SUM(BonusPayout[Month 33]))</f>
        <v>0</v>
      </c>
      <c r="AS538" s="652">
        <f>IF($B538="",,IF(LEFT($H538,5)="dummy",SUMIFS(AvgBonus[avg_bonus],AvgBonus[job_title],$H538),SUMIFS(AvgBonus[avg_bonus],AvgBonus[exp_item],$J538,AvgBonus[company_name],$B538,AvgBonus[bu_name],$C538,AvgBonus[dept_name],$D538,AvgBonus[team_consolidation],$K538,AvgBonus[location_name],$G538,AvgBonus[job_title],$H538))*AS433*SUM(BonusPayout[Month 34]))</f>
        <v>0</v>
      </c>
      <c r="AT538" s="652">
        <f>IF($B538="",,IF(LEFT($H538,5)="dummy",SUMIFS(AvgBonus[avg_bonus],AvgBonus[job_title],$H538),SUMIFS(AvgBonus[avg_bonus],AvgBonus[exp_item],$J538,AvgBonus[company_name],$B538,AvgBonus[bu_name],$C538,AvgBonus[dept_name],$D538,AvgBonus[team_consolidation],$K538,AvgBonus[location_name],$G538,AvgBonus[job_title],$H538))*AT433*SUM(BonusPayout[Month 35]))</f>
        <v>0</v>
      </c>
      <c r="AU538" s="652">
        <f>IF($B538="",,IF(LEFT($H538,5)="dummy",SUMIFS(AvgBonus[avg_bonus],AvgBonus[job_title],$H538),SUMIFS(AvgBonus[avg_bonus],AvgBonus[exp_item],$J538,AvgBonus[company_name],$B538,AvgBonus[bu_name],$C538,AvgBonus[dept_name],$D538,AvgBonus[team_consolidation],$K538,AvgBonus[location_name],$G538,AvgBonus[job_title],$H538))*AU433*SUM(BonusPayout[Month 36]))</f>
        <v>0</v>
      </c>
    </row>
    <row r="539" spans="2:47" x14ac:dyDescent="0.35">
      <c r="B539" t="str">
        <f t="shared" si="327"/>
        <v/>
      </c>
      <c r="C539" t="str">
        <f t="shared" ref="C539:G539" si="333">IF(C434="","",C434)</f>
        <v/>
      </c>
      <c r="D539" t="str">
        <f t="shared" si="333"/>
        <v/>
      </c>
      <c r="E539" t="str">
        <f t="shared" si="333"/>
        <v/>
      </c>
      <c r="F539" t="str">
        <f t="shared" si="333"/>
        <v/>
      </c>
      <c r="G539" t="str">
        <f t="shared" si="333"/>
        <v/>
      </c>
      <c r="H539" t="str">
        <f t="shared" si="326"/>
        <v/>
      </c>
      <c r="J539" t="str">
        <f>IF($H539="","",IF(VLOOKUP($B$500,ExpItems[],2,0),$B$500&amp;" - "&amp;INDEX(DivisionMapping[category_code],MATCH($D539&amp;$C539,DivisionMapping[dept_bu],0)),$B$500))</f>
        <v/>
      </c>
      <c r="K539" t="str">
        <f t="shared" si="294"/>
        <v/>
      </c>
      <c r="L539" s="652">
        <f>IF($B539="",,IF(LEFT($H539,5)="dummy",SUMIFS(AvgBonus[avg_bonus],AvgBonus[job_title],$H539),SUMIFS(AvgBonus[avg_bonus],AvgBonus[exp_item],$J539,AvgBonus[company_name],$B539,AvgBonus[bu_name],$C539,AvgBonus[dept_name],$D539,AvgBonus[team_consolidation],$K539,AvgBonus[location_name],$G539,AvgBonus[job_title],$H539))*L434*SUM(BonusPayout[Month 1]))</f>
        <v>0</v>
      </c>
      <c r="M539" s="652">
        <f>IF($B539="",,IF(LEFT($H539,5)="dummy",SUMIFS(AvgBonus[avg_bonus],AvgBonus[job_title],$H539),SUMIFS(AvgBonus[avg_bonus],AvgBonus[exp_item],$J539,AvgBonus[company_name],$B539,AvgBonus[bu_name],$C539,AvgBonus[dept_name],$D539,AvgBonus[team_consolidation],$K539,AvgBonus[location_name],$G539,AvgBonus[job_title],$H539))*M434*SUM(BonusPayout[Month 2]))</f>
        <v>0</v>
      </c>
      <c r="N539" s="652">
        <f>IF($B539="",,IF(LEFT($H539,5)="dummy",SUMIFS(AvgBonus[avg_bonus],AvgBonus[job_title],$H539),SUMIFS(AvgBonus[avg_bonus],AvgBonus[exp_item],$J539,AvgBonus[company_name],$B539,AvgBonus[bu_name],$C539,AvgBonus[dept_name],$D539,AvgBonus[team_consolidation],$K539,AvgBonus[location_name],$G539,AvgBonus[job_title],$H539))*N434*SUM(BonusPayout[Month 3]))</f>
        <v>0</v>
      </c>
      <c r="O539" s="652">
        <f>IF($B539="",,IF(LEFT($H539,5)="dummy",SUMIFS(AvgBonus[avg_bonus],AvgBonus[job_title],$H539),SUMIFS(AvgBonus[avg_bonus],AvgBonus[exp_item],$J539,AvgBonus[company_name],$B539,AvgBonus[bu_name],$C539,AvgBonus[dept_name],$D539,AvgBonus[team_consolidation],$K539,AvgBonus[location_name],$G539,AvgBonus[job_title],$H539))*O434*SUM(BonusPayout[Month 4]))</f>
        <v>0</v>
      </c>
      <c r="P539" s="652">
        <f>IF($B539="",,IF(LEFT($H539,5)="dummy",SUMIFS(AvgBonus[avg_bonus],AvgBonus[job_title],$H539),SUMIFS(AvgBonus[avg_bonus],AvgBonus[exp_item],$J539,AvgBonus[company_name],$B539,AvgBonus[bu_name],$C539,AvgBonus[dept_name],$D539,AvgBonus[team_consolidation],$K539,AvgBonus[location_name],$G539,AvgBonus[job_title],$H539))*P434*SUM(BonusPayout[Month 5]))</f>
        <v>0</v>
      </c>
      <c r="Q539" s="652">
        <f>IF($B539="",,IF(LEFT($H539,5)="dummy",SUMIFS(AvgBonus[avg_bonus],AvgBonus[job_title],$H539),SUMIFS(AvgBonus[avg_bonus],AvgBonus[exp_item],$J539,AvgBonus[company_name],$B539,AvgBonus[bu_name],$C539,AvgBonus[dept_name],$D539,AvgBonus[team_consolidation],$K539,AvgBonus[location_name],$G539,AvgBonus[job_title],$H539))*Q434*SUM(BonusPayout[Month 6]))</f>
        <v>0</v>
      </c>
      <c r="R539" s="652">
        <f>IF($B539="",,IF(LEFT($H539,5)="dummy",SUMIFS(AvgBonus[avg_bonus],AvgBonus[job_title],$H539),SUMIFS(AvgBonus[avg_bonus],AvgBonus[exp_item],$J539,AvgBonus[company_name],$B539,AvgBonus[bu_name],$C539,AvgBonus[dept_name],$D539,AvgBonus[team_consolidation],$K539,AvgBonus[location_name],$G539,AvgBonus[job_title],$H539))*R434*SUM(BonusPayout[Month 7]))</f>
        <v>0</v>
      </c>
      <c r="S539" s="652">
        <f>IF($B539="",,IF(LEFT($H539,5)="dummy",SUMIFS(AvgBonus[avg_bonus],AvgBonus[job_title],$H539),SUMIFS(AvgBonus[avg_bonus],AvgBonus[exp_item],$J539,AvgBonus[company_name],$B539,AvgBonus[bu_name],$C539,AvgBonus[dept_name],$D539,AvgBonus[team_consolidation],$K539,AvgBonus[location_name],$G539,AvgBonus[job_title],$H539))*S434*SUM(BonusPayout[Month 8]))</f>
        <v>0</v>
      </c>
      <c r="T539" s="652">
        <f>IF($B539="",,IF(LEFT($H539,5)="dummy",SUMIFS(AvgBonus[avg_bonus],AvgBonus[job_title],$H539),SUMIFS(AvgBonus[avg_bonus],AvgBonus[exp_item],$J539,AvgBonus[company_name],$B539,AvgBonus[bu_name],$C539,AvgBonus[dept_name],$D539,AvgBonus[team_consolidation],$K539,AvgBonus[location_name],$G539,AvgBonus[job_title],$H539))*T434*SUM(BonusPayout[Month 9]))</f>
        <v>0</v>
      </c>
      <c r="U539" s="652">
        <f>IF($B539="",,IF(LEFT($H539,5)="dummy",SUMIFS(AvgBonus[avg_bonus],AvgBonus[job_title],$H539),SUMIFS(AvgBonus[avg_bonus],AvgBonus[exp_item],$J539,AvgBonus[company_name],$B539,AvgBonus[bu_name],$C539,AvgBonus[dept_name],$D539,AvgBonus[team_consolidation],$K539,AvgBonus[location_name],$G539,AvgBonus[job_title],$H539))*U434*SUM(BonusPayout[Month 10]))</f>
        <v>0</v>
      </c>
      <c r="V539" s="652">
        <f>IF($B539="",,IF(LEFT($H539,5)="dummy",SUMIFS(AvgBonus[avg_bonus],AvgBonus[job_title],$H539),SUMIFS(AvgBonus[avg_bonus],AvgBonus[exp_item],$J539,AvgBonus[company_name],$B539,AvgBonus[bu_name],$C539,AvgBonus[dept_name],$D539,AvgBonus[team_consolidation],$K539,AvgBonus[location_name],$G539,AvgBonus[job_title],$H539))*V434*SUM(BonusPayout[Month 11]))</f>
        <v>0</v>
      </c>
      <c r="W539" s="652">
        <f>IF($B539="",,IF(LEFT($H539,5)="dummy",SUMIFS(AvgBonus[avg_bonus],AvgBonus[job_title],$H539),SUMIFS(AvgBonus[avg_bonus],AvgBonus[exp_item],$J539,AvgBonus[company_name],$B539,AvgBonus[bu_name],$C539,AvgBonus[dept_name],$D539,AvgBonus[team_consolidation],$K539,AvgBonus[location_name],$G539,AvgBonus[job_title],$H539))*W434*SUM(BonusPayout[Month 12]))</f>
        <v>0</v>
      </c>
      <c r="X539" s="652">
        <f>IF($B539="",,IF(LEFT($H539,5)="dummy",SUMIFS(AvgBonus[avg_bonus],AvgBonus[job_title],$H539),SUMIFS(AvgBonus[avg_bonus],AvgBonus[exp_item],$J539,AvgBonus[company_name],$B539,AvgBonus[bu_name],$C539,AvgBonus[dept_name],$D539,AvgBonus[team_consolidation],$K539,AvgBonus[location_name],$G539,AvgBonus[job_title],$H539))*X434*SUM(BonusPayout[Month 13]))</f>
        <v>0</v>
      </c>
      <c r="Y539" s="652">
        <f>IF($B539="",,IF(LEFT($H539,5)="dummy",SUMIFS(AvgBonus[avg_bonus],AvgBonus[job_title],$H539),SUMIFS(AvgBonus[avg_bonus],AvgBonus[exp_item],$J539,AvgBonus[company_name],$B539,AvgBonus[bu_name],$C539,AvgBonus[dept_name],$D539,AvgBonus[team_consolidation],$K539,AvgBonus[location_name],$G539,AvgBonus[job_title],$H539))*Y434*SUM(BonusPayout[Month 14]))</f>
        <v>0</v>
      </c>
      <c r="Z539" s="652">
        <f>IF($B539="",,IF(LEFT($H539,5)="dummy",SUMIFS(AvgBonus[avg_bonus],AvgBonus[job_title],$H539),SUMIFS(AvgBonus[avg_bonus],AvgBonus[exp_item],$J539,AvgBonus[company_name],$B539,AvgBonus[bu_name],$C539,AvgBonus[dept_name],$D539,AvgBonus[team_consolidation],$K539,AvgBonus[location_name],$G539,AvgBonus[job_title],$H539))*Z434*SUM(BonusPayout[Month 15]))</f>
        <v>0</v>
      </c>
      <c r="AA539" s="652">
        <f>IF($B539="",,IF(LEFT($H539,5)="dummy",SUMIFS(AvgBonus[avg_bonus],AvgBonus[job_title],$H539),SUMIFS(AvgBonus[avg_bonus],AvgBonus[exp_item],$J539,AvgBonus[company_name],$B539,AvgBonus[bu_name],$C539,AvgBonus[dept_name],$D539,AvgBonus[team_consolidation],$K539,AvgBonus[location_name],$G539,AvgBonus[job_title],$H539))*AA434*SUM(BonusPayout[Month 16]))</f>
        <v>0</v>
      </c>
      <c r="AB539" s="652">
        <f>IF($B539="",,IF(LEFT($H539,5)="dummy",SUMIFS(AvgBonus[avg_bonus],AvgBonus[job_title],$H539),SUMIFS(AvgBonus[avg_bonus],AvgBonus[exp_item],$J539,AvgBonus[company_name],$B539,AvgBonus[bu_name],$C539,AvgBonus[dept_name],$D539,AvgBonus[team_consolidation],$K539,AvgBonus[location_name],$G539,AvgBonus[job_title],$H539))*AB434*SUM(BonusPayout[Month 17]))</f>
        <v>0</v>
      </c>
      <c r="AC539" s="652">
        <f>IF($B539="",,IF(LEFT($H539,5)="dummy",SUMIFS(AvgBonus[avg_bonus],AvgBonus[job_title],$H539),SUMIFS(AvgBonus[avg_bonus],AvgBonus[exp_item],$J539,AvgBonus[company_name],$B539,AvgBonus[bu_name],$C539,AvgBonus[dept_name],$D539,AvgBonus[team_consolidation],$K539,AvgBonus[location_name],$G539,AvgBonus[job_title],$H539))*AC434*SUM(BonusPayout[Month 18]))</f>
        <v>0</v>
      </c>
      <c r="AD539" s="652">
        <f>IF($B539="",,IF(LEFT($H539,5)="dummy",SUMIFS(AvgBonus[avg_bonus],AvgBonus[job_title],$H539),SUMIFS(AvgBonus[avg_bonus],AvgBonus[exp_item],$J539,AvgBonus[company_name],$B539,AvgBonus[bu_name],$C539,AvgBonus[dept_name],$D539,AvgBonus[team_consolidation],$K539,AvgBonus[location_name],$G539,AvgBonus[job_title],$H539))*AD434*SUM(BonusPayout[Month 19]))</f>
        <v>0</v>
      </c>
      <c r="AE539" s="652">
        <f>IF($B539="",,IF(LEFT($H539,5)="dummy",SUMIFS(AvgBonus[avg_bonus],AvgBonus[job_title],$H539),SUMIFS(AvgBonus[avg_bonus],AvgBonus[exp_item],$J539,AvgBonus[company_name],$B539,AvgBonus[bu_name],$C539,AvgBonus[dept_name],$D539,AvgBonus[team_consolidation],$K539,AvgBonus[location_name],$G539,AvgBonus[job_title],$H539))*AE434*SUM(BonusPayout[Month 20]))</f>
        <v>0</v>
      </c>
      <c r="AF539" s="652">
        <f>IF($B539="",,IF(LEFT($H539,5)="dummy",SUMIFS(AvgBonus[avg_bonus],AvgBonus[job_title],$H539),SUMIFS(AvgBonus[avg_bonus],AvgBonus[exp_item],$J539,AvgBonus[company_name],$B539,AvgBonus[bu_name],$C539,AvgBonus[dept_name],$D539,AvgBonus[team_consolidation],$K539,AvgBonus[location_name],$G539,AvgBonus[job_title],$H539))*AF434*SUM(BonusPayout[Month 21]))</f>
        <v>0</v>
      </c>
      <c r="AG539" s="652">
        <f>IF($B539="",,IF(LEFT($H539,5)="dummy",SUMIFS(AvgBonus[avg_bonus],AvgBonus[job_title],$H539),SUMIFS(AvgBonus[avg_bonus],AvgBonus[exp_item],$J539,AvgBonus[company_name],$B539,AvgBonus[bu_name],$C539,AvgBonus[dept_name],$D539,AvgBonus[team_consolidation],$K539,AvgBonus[location_name],$G539,AvgBonus[job_title],$H539))*AG434*SUM(BonusPayout[Month 22]))</f>
        <v>0</v>
      </c>
      <c r="AH539" s="652">
        <f>IF($B539="",,IF(LEFT($H539,5)="dummy",SUMIFS(AvgBonus[avg_bonus],AvgBonus[job_title],$H539),SUMIFS(AvgBonus[avg_bonus],AvgBonus[exp_item],$J539,AvgBonus[company_name],$B539,AvgBonus[bu_name],$C539,AvgBonus[dept_name],$D539,AvgBonus[team_consolidation],$K539,AvgBonus[location_name],$G539,AvgBonus[job_title],$H539))*AH434*SUM(BonusPayout[Month 23]))</f>
        <v>0</v>
      </c>
      <c r="AI539" s="652">
        <f>IF($B539="",,IF(LEFT($H539,5)="dummy",SUMIFS(AvgBonus[avg_bonus],AvgBonus[job_title],$H539),SUMIFS(AvgBonus[avg_bonus],AvgBonus[exp_item],$J539,AvgBonus[company_name],$B539,AvgBonus[bu_name],$C539,AvgBonus[dept_name],$D539,AvgBonus[team_consolidation],$K539,AvgBonus[location_name],$G539,AvgBonus[job_title],$H539))*AI434*SUM(BonusPayout[Month 24]))</f>
        <v>0</v>
      </c>
      <c r="AJ539" s="652">
        <f>IF($B539="",,IF(LEFT($H539,5)="dummy",SUMIFS(AvgBonus[avg_bonus],AvgBonus[job_title],$H539),SUMIFS(AvgBonus[avg_bonus],AvgBonus[exp_item],$J539,AvgBonus[company_name],$B539,AvgBonus[bu_name],$C539,AvgBonus[dept_name],$D539,AvgBonus[team_consolidation],$K539,AvgBonus[location_name],$G539,AvgBonus[job_title],$H539))*AJ434*SUM(BonusPayout[Month 25]))</f>
        <v>0</v>
      </c>
      <c r="AK539" s="652">
        <f>IF($B539="",,IF(LEFT($H539,5)="dummy",SUMIFS(AvgBonus[avg_bonus],AvgBonus[job_title],$H539),SUMIFS(AvgBonus[avg_bonus],AvgBonus[exp_item],$J539,AvgBonus[company_name],$B539,AvgBonus[bu_name],$C539,AvgBonus[dept_name],$D539,AvgBonus[team_consolidation],$K539,AvgBonus[location_name],$G539,AvgBonus[job_title],$H539))*AK434*SUM(BonusPayout[Month 26]))</f>
        <v>0</v>
      </c>
      <c r="AL539" s="652">
        <f>IF($B539="",,IF(LEFT($H539,5)="dummy",SUMIFS(AvgBonus[avg_bonus],AvgBonus[job_title],$H539),SUMIFS(AvgBonus[avg_bonus],AvgBonus[exp_item],$J539,AvgBonus[company_name],$B539,AvgBonus[bu_name],$C539,AvgBonus[dept_name],$D539,AvgBonus[team_consolidation],$K539,AvgBonus[location_name],$G539,AvgBonus[job_title],$H539))*AL434*SUM(BonusPayout[Month 27]))</f>
        <v>0</v>
      </c>
      <c r="AM539" s="652">
        <f>IF($B539="",,IF(LEFT($H539,5)="dummy",SUMIFS(AvgBonus[avg_bonus],AvgBonus[job_title],$H539),SUMIFS(AvgBonus[avg_bonus],AvgBonus[exp_item],$J539,AvgBonus[company_name],$B539,AvgBonus[bu_name],$C539,AvgBonus[dept_name],$D539,AvgBonus[team_consolidation],$K539,AvgBonus[location_name],$G539,AvgBonus[job_title],$H539))*AM434*SUM(BonusPayout[Month 28]))</f>
        <v>0</v>
      </c>
      <c r="AN539" s="652">
        <f>IF($B539="",,IF(LEFT($H539,5)="dummy",SUMIFS(AvgBonus[avg_bonus],AvgBonus[job_title],$H539),SUMIFS(AvgBonus[avg_bonus],AvgBonus[exp_item],$J539,AvgBonus[company_name],$B539,AvgBonus[bu_name],$C539,AvgBonus[dept_name],$D539,AvgBonus[team_consolidation],$K539,AvgBonus[location_name],$G539,AvgBonus[job_title],$H539))*AN434*SUM(BonusPayout[Month 29]))</f>
        <v>0</v>
      </c>
      <c r="AO539" s="652">
        <f>IF($B539="",,IF(LEFT($H539,5)="dummy",SUMIFS(AvgBonus[avg_bonus],AvgBonus[job_title],$H539),SUMIFS(AvgBonus[avg_bonus],AvgBonus[exp_item],$J539,AvgBonus[company_name],$B539,AvgBonus[bu_name],$C539,AvgBonus[dept_name],$D539,AvgBonus[team_consolidation],$K539,AvgBonus[location_name],$G539,AvgBonus[job_title],$H539))*AO434*SUM(BonusPayout[Month 30]))</f>
        <v>0</v>
      </c>
      <c r="AP539" s="652">
        <f>IF($B539="",,IF(LEFT($H539,5)="dummy",SUMIFS(AvgBonus[avg_bonus],AvgBonus[job_title],$H539),SUMIFS(AvgBonus[avg_bonus],AvgBonus[exp_item],$J539,AvgBonus[company_name],$B539,AvgBonus[bu_name],$C539,AvgBonus[dept_name],$D539,AvgBonus[team_consolidation],$K539,AvgBonus[location_name],$G539,AvgBonus[job_title],$H539))*AP434*SUM(BonusPayout[Month 31]))</f>
        <v>0</v>
      </c>
      <c r="AQ539" s="652">
        <f>IF($B539="",,IF(LEFT($H539,5)="dummy",SUMIFS(AvgBonus[avg_bonus],AvgBonus[job_title],$H539),SUMIFS(AvgBonus[avg_bonus],AvgBonus[exp_item],$J539,AvgBonus[company_name],$B539,AvgBonus[bu_name],$C539,AvgBonus[dept_name],$D539,AvgBonus[team_consolidation],$K539,AvgBonus[location_name],$G539,AvgBonus[job_title],$H539))*AQ434*SUM(BonusPayout[Month 32]))</f>
        <v>0</v>
      </c>
      <c r="AR539" s="652">
        <f>IF($B539="",,IF(LEFT($H539,5)="dummy",SUMIFS(AvgBonus[avg_bonus],AvgBonus[job_title],$H539),SUMIFS(AvgBonus[avg_bonus],AvgBonus[exp_item],$J539,AvgBonus[company_name],$B539,AvgBonus[bu_name],$C539,AvgBonus[dept_name],$D539,AvgBonus[team_consolidation],$K539,AvgBonus[location_name],$G539,AvgBonus[job_title],$H539))*AR434*SUM(BonusPayout[Month 33]))</f>
        <v>0</v>
      </c>
      <c r="AS539" s="652">
        <f>IF($B539="",,IF(LEFT($H539,5)="dummy",SUMIFS(AvgBonus[avg_bonus],AvgBonus[job_title],$H539),SUMIFS(AvgBonus[avg_bonus],AvgBonus[exp_item],$J539,AvgBonus[company_name],$B539,AvgBonus[bu_name],$C539,AvgBonus[dept_name],$D539,AvgBonus[team_consolidation],$K539,AvgBonus[location_name],$G539,AvgBonus[job_title],$H539))*AS434*SUM(BonusPayout[Month 34]))</f>
        <v>0</v>
      </c>
      <c r="AT539" s="652">
        <f>IF($B539="",,IF(LEFT($H539,5)="dummy",SUMIFS(AvgBonus[avg_bonus],AvgBonus[job_title],$H539),SUMIFS(AvgBonus[avg_bonus],AvgBonus[exp_item],$J539,AvgBonus[company_name],$B539,AvgBonus[bu_name],$C539,AvgBonus[dept_name],$D539,AvgBonus[team_consolidation],$K539,AvgBonus[location_name],$G539,AvgBonus[job_title],$H539))*AT434*SUM(BonusPayout[Month 35]))</f>
        <v>0</v>
      </c>
      <c r="AU539" s="652">
        <f>IF($B539="",,IF(LEFT($H539,5)="dummy",SUMIFS(AvgBonus[avg_bonus],AvgBonus[job_title],$H539),SUMIFS(AvgBonus[avg_bonus],AvgBonus[exp_item],$J539,AvgBonus[company_name],$B539,AvgBonus[bu_name],$C539,AvgBonus[dept_name],$D539,AvgBonus[team_consolidation],$K539,AvgBonus[location_name],$G539,AvgBonus[job_title],$H539))*AU434*SUM(BonusPayout[Month 36]))</f>
        <v>0</v>
      </c>
    </row>
    <row r="540" spans="2:47" x14ac:dyDescent="0.35">
      <c r="B540" t="str">
        <f t="shared" si="327"/>
        <v/>
      </c>
      <c r="C540" t="str">
        <f t="shared" ref="C540:G540" si="334">IF(C435="","",C435)</f>
        <v/>
      </c>
      <c r="D540" t="str">
        <f t="shared" si="334"/>
        <v/>
      </c>
      <c r="E540" t="str">
        <f t="shared" si="334"/>
        <v/>
      </c>
      <c r="F540" t="str">
        <f t="shared" si="334"/>
        <v/>
      </c>
      <c r="G540" t="str">
        <f t="shared" si="334"/>
        <v/>
      </c>
      <c r="H540" t="str">
        <f t="shared" si="326"/>
        <v/>
      </c>
      <c r="J540" t="str">
        <f>IF($H540="","",IF(VLOOKUP($B$500,ExpItems[],2,0),$B$500&amp;" - "&amp;INDEX(DivisionMapping[category_code],MATCH($D540&amp;$C540,DivisionMapping[dept_bu],0)),$B$500))</f>
        <v/>
      </c>
      <c r="K540" t="str">
        <f t="shared" si="294"/>
        <v/>
      </c>
      <c r="L540" s="652">
        <f>IF($B540="",,IF(LEFT($H540,5)="dummy",SUMIFS(AvgBonus[avg_bonus],AvgBonus[job_title],$H540),SUMIFS(AvgBonus[avg_bonus],AvgBonus[exp_item],$J540,AvgBonus[company_name],$B540,AvgBonus[bu_name],$C540,AvgBonus[dept_name],$D540,AvgBonus[team_consolidation],$K540,AvgBonus[location_name],$G540,AvgBonus[job_title],$H540))*L435*SUM(BonusPayout[Month 1]))</f>
        <v>0</v>
      </c>
      <c r="M540" s="652">
        <f>IF($B540="",,IF(LEFT($H540,5)="dummy",SUMIFS(AvgBonus[avg_bonus],AvgBonus[job_title],$H540),SUMIFS(AvgBonus[avg_bonus],AvgBonus[exp_item],$J540,AvgBonus[company_name],$B540,AvgBonus[bu_name],$C540,AvgBonus[dept_name],$D540,AvgBonus[team_consolidation],$K540,AvgBonus[location_name],$G540,AvgBonus[job_title],$H540))*M435*SUM(BonusPayout[Month 2]))</f>
        <v>0</v>
      </c>
      <c r="N540" s="652">
        <f>IF($B540="",,IF(LEFT($H540,5)="dummy",SUMIFS(AvgBonus[avg_bonus],AvgBonus[job_title],$H540),SUMIFS(AvgBonus[avg_bonus],AvgBonus[exp_item],$J540,AvgBonus[company_name],$B540,AvgBonus[bu_name],$C540,AvgBonus[dept_name],$D540,AvgBonus[team_consolidation],$K540,AvgBonus[location_name],$G540,AvgBonus[job_title],$H540))*N435*SUM(BonusPayout[Month 3]))</f>
        <v>0</v>
      </c>
      <c r="O540" s="652">
        <f>IF($B540="",,IF(LEFT($H540,5)="dummy",SUMIFS(AvgBonus[avg_bonus],AvgBonus[job_title],$H540),SUMIFS(AvgBonus[avg_bonus],AvgBonus[exp_item],$J540,AvgBonus[company_name],$B540,AvgBonus[bu_name],$C540,AvgBonus[dept_name],$D540,AvgBonus[team_consolidation],$K540,AvgBonus[location_name],$G540,AvgBonus[job_title],$H540))*O435*SUM(BonusPayout[Month 4]))</f>
        <v>0</v>
      </c>
      <c r="P540" s="652">
        <f>IF($B540="",,IF(LEFT($H540,5)="dummy",SUMIFS(AvgBonus[avg_bonus],AvgBonus[job_title],$H540),SUMIFS(AvgBonus[avg_bonus],AvgBonus[exp_item],$J540,AvgBonus[company_name],$B540,AvgBonus[bu_name],$C540,AvgBonus[dept_name],$D540,AvgBonus[team_consolidation],$K540,AvgBonus[location_name],$G540,AvgBonus[job_title],$H540))*P435*SUM(BonusPayout[Month 5]))</f>
        <v>0</v>
      </c>
      <c r="Q540" s="652">
        <f>IF($B540="",,IF(LEFT($H540,5)="dummy",SUMIFS(AvgBonus[avg_bonus],AvgBonus[job_title],$H540),SUMIFS(AvgBonus[avg_bonus],AvgBonus[exp_item],$J540,AvgBonus[company_name],$B540,AvgBonus[bu_name],$C540,AvgBonus[dept_name],$D540,AvgBonus[team_consolidation],$K540,AvgBonus[location_name],$G540,AvgBonus[job_title],$H540))*Q435*SUM(BonusPayout[Month 6]))</f>
        <v>0</v>
      </c>
      <c r="R540" s="652">
        <f>IF($B540="",,IF(LEFT($H540,5)="dummy",SUMIFS(AvgBonus[avg_bonus],AvgBonus[job_title],$H540),SUMIFS(AvgBonus[avg_bonus],AvgBonus[exp_item],$J540,AvgBonus[company_name],$B540,AvgBonus[bu_name],$C540,AvgBonus[dept_name],$D540,AvgBonus[team_consolidation],$K540,AvgBonus[location_name],$G540,AvgBonus[job_title],$H540))*R435*SUM(BonusPayout[Month 7]))</f>
        <v>0</v>
      </c>
      <c r="S540" s="652">
        <f>IF($B540="",,IF(LEFT($H540,5)="dummy",SUMIFS(AvgBonus[avg_bonus],AvgBonus[job_title],$H540),SUMIFS(AvgBonus[avg_bonus],AvgBonus[exp_item],$J540,AvgBonus[company_name],$B540,AvgBonus[bu_name],$C540,AvgBonus[dept_name],$D540,AvgBonus[team_consolidation],$K540,AvgBonus[location_name],$G540,AvgBonus[job_title],$H540))*S435*SUM(BonusPayout[Month 8]))</f>
        <v>0</v>
      </c>
      <c r="T540" s="652">
        <f>IF($B540="",,IF(LEFT($H540,5)="dummy",SUMIFS(AvgBonus[avg_bonus],AvgBonus[job_title],$H540),SUMIFS(AvgBonus[avg_bonus],AvgBonus[exp_item],$J540,AvgBonus[company_name],$B540,AvgBonus[bu_name],$C540,AvgBonus[dept_name],$D540,AvgBonus[team_consolidation],$K540,AvgBonus[location_name],$G540,AvgBonus[job_title],$H540))*T435*SUM(BonusPayout[Month 9]))</f>
        <v>0</v>
      </c>
      <c r="U540" s="652">
        <f>IF($B540="",,IF(LEFT($H540,5)="dummy",SUMIFS(AvgBonus[avg_bonus],AvgBonus[job_title],$H540),SUMIFS(AvgBonus[avg_bonus],AvgBonus[exp_item],$J540,AvgBonus[company_name],$B540,AvgBonus[bu_name],$C540,AvgBonus[dept_name],$D540,AvgBonus[team_consolidation],$K540,AvgBonus[location_name],$G540,AvgBonus[job_title],$H540))*U435*SUM(BonusPayout[Month 10]))</f>
        <v>0</v>
      </c>
      <c r="V540" s="652">
        <f>IF($B540="",,IF(LEFT($H540,5)="dummy",SUMIFS(AvgBonus[avg_bonus],AvgBonus[job_title],$H540),SUMIFS(AvgBonus[avg_bonus],AvgBonus[exp_item],$J540,AvgBonus[company_name],$B540,AvgBonus[bu_name],$C540,AvgBonus[dept_name],$D540,AvgBonus[team_consolidation],$K540,AvgBonus[location_name],$G540,AvgBonus[job_title],$H540))*V435*SUM(BonusPayout[Month 11]))</f>
        <v>0</v>
      </c>
      <c r="W540" s="652">
        <f>IF($B540="",,IF(LEFT($H540,5)="dummy",SUMIFS(AvgBonus[avg_bonus],AvgBonus[job_title],$H540),SUMIFS(AvgBonus[avg_bonus],AvgBonus[exp_item],$J540,AvgBonus[company_name],$B540,AvgBonus[bu_name],$C540,AvgBonus[dept_name],$D540,AvgBonus[team_consolidation],$K540,AvgBonus[location_name],$G540,AvgBonus[job_title],$H540))*W435*SUM(BonusPayout[Month 12]))</f>
        <v>0</v>
      </c>
      <c r="X540" s="652">
        <f>IF($B540="",,IF(LEFT($H540,5)="dummy",SUMIFS(AvgBonus[avg_bonus],AvgBonus[job_title],$H540),SUMIFS(AvgBonus[avg_bonus],AvgBonus[exp_item],$J540,AvgBonus[company_name],$B540,AvgBonus[bu_name],$C540,AvgBonus[dept_name],$D540,AvgBonus[team_consolidation],$K540,AvgBonus[location_name],$G540,AvgBonus[job_title],$H540))*X435*SUM(BonusPayout[Month 13]))</f>
        <v>0</v>
      </c>
      <c r="Y540" s="652">
        <f>IF($B540="",,IF(LEFT($H540,5)="dummy",SUMIFS(AvgBonus[avg_bonus],AvgBonus[job_title],$H540),SUMIFS(AvgBonus[avg_bonus],AvgBonus[exp_item],$J540,AvgBonus[company_name],$B540,AvgBonus[bu_name],$C540,AvgBonus[dept_name],$D540,AvgBonus[team_consolidation],$K540,AvgBonus[location_name],$G540,AvgBonus[job_title],$H540))*Y435*SUM(BonusPayout[Month 14]))</f>
        <v>0</v>
      </c>
      <c r="Z540" s="652">
        <f>IF($B540="",,IF(LEFT($H540,5)="dummy",SUMIFS(AvgBonus[avg_bonus],AvgBonus[job_title],$H540),SUMIFS(AvgBonus[avg_bonus],AvgBonus[exp_item],$J540,AvgBonus[company_name],$B540,AvgBonus[bu_name],$C540,AvgBonus[dept_name],$D540,AvgBonus[team_consolidation],$K540,AvgBonus[location_name],$G540,AvgBonus[job_title],$H540))*Z435*SUM(BonusPayout[Month 15]))</f>
        <v>0</v>
      </c>
      <c r="AA540" s="652">
        <f>IF($B540="",,IF(LEFT($H540,5)="dummy",SUMIFS(AvgBonus[avg_bonus],AvgBonus[job_title],$H540),SUMIFS(AvgBonus[avg_bonus],AvgBonus[exp_item],$J540,AvgBonus[company_name],$B540,AvgBonus[bu_name],$C540,AvgBonus[dept_name],$D540,AvgBonus[team_consolidation],$K540,AvgBonus[location_name],$G540,AvgBonus[job_title],$H540))*AA435*SUM(BonusPayout[Month 16]))</f>
        <v>0</v>
      </c>
      <c r="AB540" s="652">
        <f>IF($B540="",,IF(LEFT($H540,5)="dummy",SUMIFS(AvgBonus[avg_bonus],AvgBonus[job_title],$H540),SUMIFS(AvgBonus[avg_bonus],AvgBonus[exp_item],$J540,AvgBonus[company_name],$B540,AvgBonus[bu_name],$C540,AvgBonus[dept_name],$D540,AvgBonus[team_consolidation],$K540,AvgBonus[location_name],$G540,AvgBonus[job_title],$H540))*AB435*SUM(BonusPayout[Month 17]))</f>
        <v>0</v>
      </c>
      <c r="AC540" s="652">
        <f>IF($B540="",,IF(LEFT($H540,5)="dummy",SUMIFS(AvgBonus[avg_bonus],AvgBonus[job_title],$H540),SUMIFS(AvgBonus[avg_bonus],AvgBonus[exp_item],$J540,AvgBonus[company_name],$B540,AvgBonus[bu_name],$C540,AvgBonus[dept_name],$D540,AvgBonus[team_consolidation],$K540,AvgBonus[location_name],$G540,AvgBonus[job_title],$H540))*AC435*SUM(BonusPayout[Month 18]))</f>
        <v>0</v>
      </c>
      <c r="AD540" s="652">
        <f>IF($B540="",,IF(LEFT($H540,5)="dummy",SUMIFS(AvgBonus[avg_bonus],AvgBonus[job_title],$H540),SUMIFS(AvgBonus[avg_bonus],AvgBonus[exp_item],$J540,AvgBonus[company_name],$B540,AvgBonus[bu_name],$C540,AvgBonus[dept_name],$D540,AvgBonus[team_consolidation],$K540,AvgBonus[location_name],$G540,AvgBonus[job_title],$H540))*AD435*SUM(BonusPayout[Month 19]))</f>
        <v>0</v>
      </c>
      <c r="AE540" s="652">
        <f>IF($B540="",,IF(LEFT($H540,5)="dummy",SUMIFS(AvgBonus[avg_bonus],AvgBonus[job_title],$H540),SUMIFS(AvgBonus[avg_bonus],AvgBonus[exp_item],$J540,AvgBonus[company_name],$B540,AvgBonus[bu_name],$C540,AvgBonus[dept_name],$D540,AvgBonus[team_consolidation],$K540,AvgBonus[location_name],$G540,AvgBonus[job_title],$H540))*AE435*SUM(BonusPayout[Month 20]))</f>
        <v>0</v>
      </c>
      <c r="AF540" s="652">
        <f>IF($B540="",,IF(LEFT($H540,5)="dummy",SUMIFS(AvgBonus[avg_bonus],AvgBonus[job_title],$H540),SUMIFS(AvgBonus[avg_bonus],AvgBonus[exp_item],$J540,AvgBonus[company_name],$B540,AvgBonus[bu_name],$C540,AvgBonus[dept_name],$D540,AvgBonus[team_consolidation],$K540,AvgBonus[location_name],$G540,AvgBonus[job_title],$H540))*AF435*SUM(BonusPayout[Month 21]))</f>
        <v>0</v>
      </c>
      <c r="AG540" s="652">
        <f>IF($B540="",,IF(LEFT($H540,5)="dummy",SUMIFS(AvgBonus[avg_bonus],AvgBonus[job_title],$H540),SUMIFS(AvgBonus[avg_bonus],AvgBonus[exp_item],$J540,AvgBonus[company_name],$B540,AvgBonus[bu_name],$C540,AvgBonus[dept_name],$D540,AvgBonus[team_consolidation],$K540,AvgBonus[location_name],$G540,AvgBonus[job_title],$H540))*AG435*SUM(BonusPayout[Month 22]))</f>
        <v>0</v>
      </c>
      <c r="AH540" s="652">
        <f>IF($B540="",,IF(LEFT($H540,5)="dummy",SUMIFS(AvgBonus[avg_bonus],AvgBonus[job_title],$H540),SUMIFS(AvgBonus[avg_bonus],AvgBonus[exp_item],$J540,AvgBonus[company_name],$B540,AvgBonus[bu_name],$C540,AvgBonus[dept_name],$D540,AvgBonus[team_consolidation],$K540,AvgBonus[location_name],$G540,AvgBonus[job_title],$H540))*AH435*SUM(BonusPayout[Month 23]))</f>
        <v>0</v>
      </c>
      <c r="AI540" s="652">
        <f>IF($B540="",,IF(LEFT($H540,5)="dummy",SUMIFS(AvgBonus[avg_bonus],AvgBonus[job_title],$H540),SUMIFS(AvgBonus[avg_bonus],AvgBonus[exp_item],$J540,AvgBonus[company_name],$B540,AvgBonus[bu_name],$C540,AvgBonus[dept_name],$D540,AvgBonus[team_consolidation],$K540,AvgBonus[location_name],$G540,AvgBonus[job_title],$H540))*AI435*SUM(BonusPayout[Month 24]))</f>
        <v>0</v>
      </c>
      <c r="AJ540" s="652">
        <f>IF($B540="",,IF(LEFT($H540,5)="dummy",SUMIFS(AvgBonus[avg_bonus],AvgBonus[job_title],$H540),SUMIFS(AvgBonus[avg_bonus],AvgBonus[exp_item],$J540,AvgBonus[company_name],$B540,AvgBonus[bu_name],$C540,AvgBonus[dept_name],$D540,AvgBonus[team_consolidation],$K540,AvgBonus[location_name],$G540,AvgBonus[job_title],$H540))*AJ435*SUM(BonusPayout[Month 25]))</f>
        <v>0</v>
      </c>
      <c r="AK540" s="652">
        <f>IF($B540="",,IF(LEFT($H540,5)="dummy",SUMIFS(AvgBonus[avg_bonus],AvgBonus[job_title],$H540),SUMIFS(AvgBonus[avg_bonus],AvgBonus[exp_item],$J540,AvgBonus[company_name],$B540,AvgBonus[bu_name],$C540,AvgBonus[dept_name],$D540,AvgBonus[team_consolidation],$K540,AvgBonus[location_name],$G540,AvgBonus[job_title],$H540))*AK435*SUM(BonusPayout[Month 26]))</f>
        <v>0</v>
      </c>
      <c r="AL540" s="652">
        <f>IF($B540="",,IF(LEFT($H540,5)="dummy",SUMIFS(AvgBonus[avg_bonus],AvgBonus[job_title],$H540),SUMIFS(AvgBonus[avg_bonus],AvgBonus[exp_item],$J540,AvgBonus[company_name],$B540,AvgBonus[bu_name],$C540,AvgBonus[dept_name],$D540,AvgBonus[team_consolidation],$K540,AvgBonus[location_name],$G540,AvgBonus[job_title],$H540))*AL435*SUM(BonusPayout[Month 27]))</f>
        <v>0</v>
      </c>
      <c r="AM540" s="652">
        <f>IF($B540="",,IF(LEFT($H540,5)="dummy",SUMIFS(AvgBonus[avg_bonus],AvgBonus[job_title],$H540),SUMIFS(AvgBonus[avg_bonus],AvgBonus[exp_item],$J540,AvgBonus[company_name],$B540,AvgBonus[bu_name],$C540,AvgBonus[dept_name],$D540,AvgBonus[team_consolidation],$K540,AvgBonus[location_name],$G540,AvgBonus[job_title],$H540))*AM435*SUM(BonusPayout[Month 28]))</f>
        <v>0</v>
      </c>
      <c r="AN540" s="652">
        <f>IF($B540="",,IF(LEFT($H540,5)="dummy",SUMIFS(AvgBonus[avg_bonus],AvgBonus[job_title],$H540),SUMIFS(AvgBonus[avg_bonus],AvgBonus[exp_item],$J540,AvgBonus[company_name],$B540,AvgBonus[bu_name],$C540,AvgBonus[dept_name],$D540,AvgBonus[team_consolidation],$K540,AvgBonus[location_name],$G540,AvgBonus[job_title],$H540))*AN435*SUM(BonusPayout[Month 29]))</f>
        <v>0</v>
      </c>
      <c r="AO540" s="652">
        <f>IF($B540="",,IF(LEFT($H540,5)="dummy",SUMIFS(AvgBonus[avg_bonus],AvgBonus[job_title],$H540),SUMIFS(AvgBonus[avg_bonus],AvgBonus[exp_item],$J540,AvgBonus[company_name],$B540,AvgBonus[bu_name],$C540,AvgBonus[dept_name],$D540,AvgBonus[team_consolidation],$K540,AvgBonus[location_name],$G540,AvgBonus[job_title],$H540))*AO435*SUM(BonusPayout[Month 30]))</f>
        <v>0</v>
      </c>
      <c r="AP540" s="652">
        <f>IF($B540="",,IF(LEFT($H540,5)="dummy",SUMIFS(AvgBonus[avg_bonus],AvgBonus[job_title],$H540),SUMIFS(AvgBonus[avg_bonus],AvgBonus[exp_item],$J540,AvgBonus[company_name],$B540,AvgBonus[bu_name],$C540,AvgBonus[dept_name],$D540,AvgBonus[team_consolidation],$K540,AvgBonus[location_name],$G540,AvgBonus[job_title],$H540))*AP435*SUM(BonusPayout[Month 31]))</f>
        <v>0</v>
      </c>
      <c r="AQ540" s="652">
        <f>IF($B540="",,IF(LEFT($H540,5)="dummy",SUMIFS(AvgBonus[avg_bonus],AvgBonus[job_title],$H540),SUMIFS(AvgBonus[avg_bonus],AvgBonus[exp_item],$J540,AvgBonus[company_name],$B540,AvgBonus[bu_name],$C540,AvgBonus[dept_name],$D540,AvgBonus[team_consolidation],$K540,AvgBonus[location_name],$G540,AvgBonus[job_title],$H540))*AQ435*SUM(BonusPayout[Month 32]))</f>
        <v>0</v>
      </c>
      <c r="AR540" s="652">
        <f>IF($B540="",,IF(LEFT($H540,5)="dummy",SUMIFS(AvgBonus[avg_bonus],AvgBonus[job_title],$H540),SUMIFS(AvgBonus[avg_bonus],AvgBonus[exp_item],$J540,AvgBonus[company_name],$B540,AvgBonus[bu_name],$C540,AvgBonus[dept_name],$D540,AvgBonus[team_consolidation],$K540,AvgBonus[location_name],$G540,AvgBonus[job_title],$H540))*AR435*SUM(BonusPayout[Month 33]))</f>
        <v>0</v>
      </c>
      <c r="AS540" s="652">
        <f>IF($B540="",,IF(LEFT($H540,5)="dummy",SUMIFS(AvgBonus[avg_bonus],AvgBonus[job_title],$H540),SUMIFS(AvgBonus[avg_bonus],AvgBonus[exp_item],$J540,AvgBonus[company_name],$B540,AvgBonus[bu_name],$C540,AvgBonus[dept_name],$D540,AvgBonus[team_consolidation],$K540,AvgBonus[location_name],$G540,AvgBonus[job_title],$H540))*AS435*SUM(BonusPayout[Month 34]))</f>
        <v>0</v>
      </c>
      <c r="AT540" s="652">
        <f>IF($B540="",,IF(LEFT($H540,5)="dummy",SUMIFS(AvgBonus[avg_bonus],AvgBonus[job_title],$H540),SUMIFS(AvgBonus[avg_bonus],AvgBonus[exp_item],$J540,AvgBonus[company_name],$B540,AvgBonus[bu_name],$C540,AvgBonus[dept_name],$D540,AvgBonus[team_consolidation],$K540,AvgBonus[location_name],$G540,AvgBonus[job_title],$H540))*AT435*SUM(BonusPayout[Month 35]))</f>
        <v>0</v>
      </c>
      <c r="AU540" s="652">
        <f>IF($B540="",,IF(LEFT($H540,5)="dummy",SUMIFS(AvgBonus[avg_bonus],AvgBonus[job_title],$H540),SUMIFS(AvgBonus[avg_bonus],AvgBonus[exp_item],$J540,AvgBonus[company_name],$B540,AvgBonus[bu_name],$C540,AvgBonus[dept_name],$D540,AvgBonus[team_consolidation],$K540,AvgBonus[location_name],$G540,AvgBonus[job_title],$H540))*AU435*SUM(BonusPayout[Month 36]))</f>
        <v>0</v>
      </c>
    </row>
    <row r="541" spans="2:47" x14ac:dyDescent="0.35">
      <c r="B541" t="str">
        <f t="shared" si="327"/>
        <v/>
      </c>
      <c r="C541" t="str">
        <f t="shared" ref="C541:G541" si="335">IF(C436="","",C436)</f>
        <v/>
      </c>
      <c r="D541" t="str">
        <f t="shared" si="335"/>
        <v/>
      </c>
      <c r="E541" t="str">
        <f t="shared" si="335"/>
        <v/>
      </c>
      <c r="F541" t="str">
        <f t="shared" si="335"/>
        <v/>
      </c>
      <c r="G541" t="str">
        <f t="shared" si="335"/>
        <v/>
      </c>
      <c r="H541" t="str">
        <f t="shared" si="326"/>
        <v/>
      </c>
      <c r="J541" t="str">
        <f>IF($H541="","",IF(VLOOKUP($B$500,ExpItems[],2,0),$B$500&amp;" - "&amp;INDEX(DivisionMapping[category_code],MATCH($D541&amp;$C541,DivisionMapping[dept_bu],0)),$B$500))</f>
        <v/>
      </c>
      <c r="K541" t="str">
        <f t="shared" si="294"/>
        <v/>
      </c>
      <c r="L541" s="652">
        <f>IF($B541="",,IF(LEFT($H541,5)="dummy",SUMIFS(AvgBonus[avg_bonus],AvgBonus[job_title],$H541),SUMIFS(AvgBonus[avg_bonus],AvgBonus[exp_item],$J541,AvgBonus[company_name],$B541,AvgBonus[bu_name],$C541,AvgBonus[dept_name],$D541,AvgBonus[team_consolidation],$K541,AvgBonus[location_name],$G541,AvgBonus[job_title],$H541))*L436*SUM(BonusPayout[Month 1]))</f>
        <v>0</v>
      </c>
      <c r="M541" s="652">
        <f>IF($B541="",,IF(LEFT($H541,5)="dummy",SUMIFS(AvgBonus[avg_bonus],AvgBonus[job_title],$H541),SUMIFS(AvgBonus[avg_bonus],AvgBonus[exp_item],$J541,AvgBonus[company_name],$B541,AvgBonus[bu_name],$C541,AvgBonus[dept_name],$D541,AvgBonus[team_consolidation],$K541,AvgBonus[location_name],$G541,AvgBonus[job_title],$H541))*M436*SUM(BonusPayout[Month 2]))</f>
        <v>0</v>
      </c>
      <c r="N541" s="652">
        <f>IF($B541="",,IF(LEFT($H541,5)="dummy",SUMIFS(AvgBonus[avg_bonus],AvgBonus[job_title],$H541),SUMIFS(AvgBonus[avg_bonus],AvgBonus[exp_item],$J541,AvgBonus[company_name],$B541,AvgBonus[bu_name],$C541,AvgBonus[dept_name],$D541,AvgBonus[team_consolidation],$K541,AvgBonus[location_name],$G541,AvgBonus[job_title],$H541))*N436*SUM(BonusPayout[Month 3]))</f>
        <v>0</v>
      </c>
      <c r="O541" s="652">
        <f>IF($B541="",,IF(LEFT($H541,5)="dummy",SUMIFS(AvgBonus[avg_bonus],AvgBonus[job_title],$H541),SUMIFS(AvgBonus[avg_bonus],AvgBonus[exp_item],$J541,AvgBonus[company_name],$B541,AvgBonus[bu_name],$C541,AvgBonus[dept_name],$D541,AvgBonus[team_consolidation],$K541,AvgBonus[location_name],$G541,AvgBonus[job_title],$H541))*O436*SUM(BonusPayout[Month 4]))</f>
        <v>0</v>
      </c>
      <c r="P541" s="652">
        <f>IF($B541="",,IF(LEFT($H541,5)="dummy",SUMIFS(AvgBonus[avg_bonus],AvgBonus[job_title],$H541),SUMIFS(AvgBonus[avg_bonus],AvgBonus[exp_item],$J541,AvgBonus[company_name],$B541,AvgBonus[bu_name],$C541,AvgBonus[dept_name],$D541,AvgBonus[team_consolidation],$K541,AvgBonus[location_name],$G541,AvgBonus[job_title],$H541))*P436*SUM(BonusPayout[Month 5]))</f>
        <v>0</v>
      </c>
      <c r="Q541" s="652">
        <f>IF($B541="",,IF(LEFT($H541,5)="dummy",SUMIFS(AvgBonus[avg_bonus],AvgBonus[job_title],$H541),SUMIFS(AvgBonus[avg_bonus],AvgBonus[exp_item],$J541,AvgBonus[company_name],$B541,AvgBonus[bu_name],$C541,AvgBonus[dept_name],$D541,AvgBonus[team_consolidation],$K541,AvgBonus[location_name],$G541,AvgBonus[job_title],$H541))*Q436*SUM(BonusPayout[Month 6]))</f>
        <v>0</v>
      </c>
      <c r="R541" s="652">
        <f>IF($B541="",,IF(LEFT($H541,5)="dummy",SUMIFS(AvgBonus[avg_bonus],AvgBonus[job_title],$H541),SUMIFS(AvgBonus[avg_bonus],AvgBonus[exp_item],$J541,AvgBonus[company_name],$B541,AvgBonus[bu_name],$C541,AvgBonus[dept_name],$D541,AvgBonus[team_consolidation],$K541,AvgBonus[location_name],$G541,AvgBonus[job_title],$H541))*R436*SUM(BonusPayout[Month 7]))</f>
        <v>0</v>
      </c>
      <c r="S541" s="652">
        <f>IF($B541="",,IF(LEFT($H541,5)="dummy",SUMIFS(AvgBonus[avg_bonus],AvgBonus[job_title],$H541),SUMIFS(AvgBonus[avg_bonus],AvgBonus[exp_item],$J541,AvgBonus[company_name],$B541,AvgBonus[bu_name],$C541,AvgBonus[dept_name],$D541,AvgBonus[team_consolidation],$K541,AvgBonus[location_name],$G541,AvgBonus[job_title],$H541))*S436*SUM(BonusPayout[Month 8]))</f>
        <v>0</v>
      </c>
      <c r="T541" s="652">
        <f>IF($B541="",,IF(LEFT($H541,5)="dummy",SUMIFS(AvgBonus[avg_bonus],AvgBonus[job_title],$H541),SUMIFS(AvgBonus[avg_bonus],AvgBonus[exp_item],$J541,AvgBonus[company_name],$B541,AvgBonus[bu_name],$C541,AvgBonus[dept_name],$D541,AvgBonus[team_consolidation],$K541,AvgBonus[location_name],$G541,AvgBonus[job_title],$H541))*T436*SUM(BonusPayout[Month 9]))</f>
        <v>0</v>
      </c>
      <c r="U541" s="652">
        <f>IF($B541="",,IF(LEFT($H541,5)="dummy",SUMIFS(AvgBonus[avg_bonus],AvgBonus[job_title],$H541),SUMIFS(AvgBonus[avg_bonus],AvgBonus[exp_item],$J541,AvgBonus[company_name],$B541,AvgBonus[bu_name],$C541,AvgBonus[dept_name],$D541,AvgBonus[team_consolidation],$K541,AvgBonus[location_name],$G541,AvgBonus[job_title],$H541))*U436*SUM(BonusPayout[Month 10]))</f>
        <v>0</v>
      </c>
      <c r="V541" s="652">
        <f>IF($B541="",,IF(LEFT($H541,5)="dummy",SUMIFS(AvgBonus[avg_bonus],AvgBonus[job_title],$H541),SUMIFS(AvgBonus[avg_bonus],AvgBonus[exp_item],$J541,AvgBonus[company_name],$B541,AvgBonus[bu_name],$C541,AvgBonus[dept_name],$D541,AvgBonus[team_consolidation],$K541,AvgBonus[location_name],$G541,AvgBonus[job_title],$H541))*V436*SUM(BonusPayout[Month 11]))</f>
        <v>0</v>
      </c>
      <c r="W541" s="652">
        <f>IF($B541="",,IF(LEFT($H541,5)="dummy",SUMIFS(AvgBonus[avg_bonus],AvgBonus[job_title],$H541),SUMIFS(AvgBonus[avg_bonus],AvgBonus[exp_item],$J541,AvgBonus[company_name],$B541,AvgBonus[bu_name],$C541,AvgBonus[dept_name],$D541,AvgBonus[team_consolidation],$K541,AvgBonus[location_name],$G541,AvgBonus[job_title],$H541))*W436*SUM(BonusPayout[Month 12]))</f>
        <v>0</v>
      </c>
      <c r="X541" s="652">
        <f>IF($B541="",,IF(LEFT($H541,5)="dummy",SUMIFS(AvgBonus[avg_bonus],AvgBonus[job_title],$H541),SUMIFS(AvgBonus[avg_bonus],AvgBonus[exp_item],$J541,AvgBonus[company_name],$B541,AvgBonus[bu_name],$C541,AvgBonus[dept_name],$D541,AvgBonus[team_consolidation],$K541,AvgBonus[location_name],$G541,AvgBonus[job_title],$H541))*X436*SUM(BonusPayout[Month 13]))</f>
        <v>0</v>
      </c>
      <c r="Y541" s="652">
        <f>IF($B541="",,IF(LEFT($H541,5)="dummy",SUMIFS(AvgBonus[avg_bonus],AvgBonus[job_title],$H541),SUMIFS(AvgBonus[avg_bonus],AvgBonus[exp_item],$J541,AvgBonus[company_name],$B541,AvgBonus[bu_name],$C541,AvgBonus[dept_name],$D541,AvgBonus[team_consolidation],$K541,AvgBonus[location_name],$G541,AvgBonus[job_title],$H541))*Y436*SUM(BonusPayout[Month 14]))</f>
        <v>0</v>
      </c>
      <c r="Z541" s="652">
        <f>IF($B541="",,IF(LEFT($H541,5)="dummy",SUMIFS(AvgBonus[avg_bonus],AvgBonus[job_title],$H541),SUMIFS(AvgBonus[avg_bonus],AvgBonus[exp_item],$J541,AvgBonus[company_name],$B541,AvgBonus[bu_name],$C541,AvgBonus[dept_name],$D541,AvgBonus[team_consolidation],$K541,AvgBonus[location_name],$G541,AvgBonus[job_title],$H541))*Z436*SUM(BonusPayout[Month 15]))</f>
        <v>0</v>
      </c>
      <c r="AA541" s="652">
        <f>IF($B541="",,IF(LEFT($H541,5)="dummy",SUMIFS(AvgBonus[avg_bonus],AvgBonus[job_title],$H541),SUMIFS(AvgBonus[avg_bonus],AvgBonus[exp_item],$J541,AvgBonus[company_name],$B541,AvgBonus[bu_name],$C541,AvgBonus[dept_name],$D541,AvgBonus[team_consolidation],$K541,AvgBonus[location_name],$G541,AvgBonus[job_title],$H541))*AA436*SUM(BonusPayout[Month 16]))</f>
        <v>0</v>
      </c>
      <c r="AB541" s="652">
        <f>IF($B541="",,IF(LEFT($H541,5)="dummy",SUMIFS(AvgBonus[avg_bonus],AvgBonus[job_title],$H541),SUMIFS(AvgBonus[avg_bonus],AvgBonus[exp_item],$J541,AvgBonus[company_name],$B541,AvgBonus[bu_name],$C541,AvgBonus[dept_name],$D541,AvgBonus[team_consolidation],$K541,AvgBonus[location_name],$G541,AvgBonus[job_title],$H541))*AB436*SUM(BonusPayout[Month 17]))</f>
        <v>0</v>
      </c>
      <c r="AC541" s="652">
        <f>IF($B541="",,IF(LEFT($H541,5)="dummy",SUMIFS(AvgBonus[avg_bonus],AvgBonus[job_title],$H541),SUMIFS(AvgBonus[avg_bonus],AvgBonus[exp_item],$J541,AvgBonus[company_name],$B541,AvgBonus[bu_name],$C541,AvgBonus[dept_name],$D541,AvgBonus[team_consolidation],$K541,AvgBonus[location_name],$G541,AvgBonus[job_title],$H541))*AC436*SUM(BonusPayout[Month 18]))</f>
        <v>0</v>
      </c>
      <c r="AD541" s="652">
        <f>IF($B541="",,IF(LEFT($H541,5)="dummy",SUMIFS(AvgBonus[avg_bonus],AvgBonus[job_title],$H541),SUMIFS(AvgBonus[avg_bonus],AvgBonus[exp_item],$J541,AvgBonus[company_name],$B541,AvgBonus[bu_name],$C541,AvgBonus[dept_name],$D541,AvgBonus[team_consolidation],$K541,AvgBonus[location_name],$G541,AvgBonus[job_title],$H541))*AD436*SUM(BonusPayout[Month 19]))</f>
        <v>0</v>
      </c>
      <c r="AE541" s="652">
        <f>IF($B541="",,IF(LEFT($H541,5)="dummy",SUMIFS(AvgBonus[avg_bonus],AvgBonus[job_title],$H541),SUMIFS(AvgBonus[avg_bonus],AvgBonus[exp_item],$J541,AvgBonus[company_name],$B541,AvgBonus[bu_name],$C541,AvgBonus[dept_name],$D541,AvgBonus[team_consolidation],$K541,AvgBonus[location_name],$G541,AvgBonus[job_title],$H541))*AE436*SUM(BonusPayout[Month 20]))</f>
        <v>0</v>
      </c>
      <c r="AF541" s="652">
        <f>IF($B541="",,IF(LEFT($H541,5)="dummy",SUMIFS(AvgBonus[avg_bonus],AvgBonus[job_title],$H541),SUMIFS(AvgBonus[avg_bonus],AvgBonus[exp_item],$J541,AvgBonus[company_name],$B541,AvgBonus[bu_name],$C541,AvgBonus[dept_name],$D541,AvgBonus[team_consolidation],$K541,AvgBonus[location_name],$G541,AvgBonus[job_title],$H541))*AF436*SUM(BonusPayout[Month 21]))</f>
        <v>0</v>
      </c>
      <c r="AG541" s="652">
        <f>IF($B541="",,IF(LEFT($H541,5)="dummy",SUMIFS(AvgBonus[avg_bonus],AvgBonus[job_title],$H541),SUMIFS(AvgBonus[avg_bonus],AvgBonus[exp_item],$J541,AvgBonus[company_name],$B541,AvgBonus[bu_name],$C541,AvgBonus[dept_name],$D541,AvgBonus[team_consolidation],$K541,AvgBonus[location_name],$G541,AvgBonus[job_title],$H541))*AG436*SUM(BonusPayout[Month 22]))</f>
        <v>0</v>
      </c>
      <c r="AH541" s="652">
        <f>IF($B541="",,IF(LEFT($H541,5)="dummy",SUMIFS(AvgBonus[avg_bonus],AvgBonus[job_title],$H541),SUMIFS(AvgBonus[avg_bonus],AvgBonus[exp_item],$J541,AvgBonus[company_name],$B541,AvgBonus[bu_name],$C541,AvgBonus[dept_name],$D541,AvgBonus[team_consolidation],$K541,AvgBonus[location_name],$G541,AvgBonus[job_title],$H541))*AH436*SUM(BonusPayout[Month 23]))</f>
        <v>0</v>
      </c>
      <c r="AI541" s="652">
        <f>IF($B541="",,IF(LEFT($H541,5)="dummy",SUMIFS(AvgBonus[avg_bonus],AvgBonus[job_title],$H541),SUMIFS(AvgBonus[avg_bonus],AvgBonus[exp_item],$J541,AvgBonus[company_name],$B541,AvgBonus[bu_name],$C541,AvgBonus[dept_name],$D541,AvgBonus[team_consolidation],$K541,AvgBonus[location_name],$G541,AvgBonus[job_title],$H541))*AI436*SUM(BonusPayout[Month 24]))</f>
        <v>0</v>
      </c>
      <c r="AJ541" s="652">
        <f>IF($B541="",,IF(LEFT($H541,5)="dummy",SUMIFS(AvgBonus[avg_bonus],AvgBonus[job_title],$H541),SUMIFS(AvgBonus[avg_bonus],AvgBonus[exp_item],$J541,AvgBonus[company_name],$B541,AvgBonus[bu_name],$C541,AvgBonus[dept_name],$D541,AvgBonus[team_consolidation],$K541,AvgBonus[location_name],$G541,AvgBonus[job_title],$H541))*AJ436*SUM(BonusPayout[Month 25]))</f>
        <v>0</v>
      </c>
      <c r="AK541" s="652">
        <f>IF($B541="",,IF(LEFT($H541,5)="dummy",SUMIFS(AvgBonus[avg_bonus],AvgBonus[job_title],$H541),SUMIFS(AvgBonus[avg_bonus],AvgBonus[exp_item],$J541,AvgBonus[company_name],$B541,AvgBonus[bu_name],$C541,AvgBonus[dept_name],$D541,AvgBonus[team_consolidation],$K541,AvgBonus[location_name],$G541,AvgBonus[job_title],$H541))*AK436*SUM(BonusPayout[Month 26]))</f>
        <v>0</v>
      </c>
      <c r="AL541" s="652">
        <f>IF($B541="",,IF(LEFT($H541,5)="dummy",SUMIFS(AvgBonus[avg_bonus],AvgBonus[job_title],$H541),SUMIFS(AvgBonus[avg_bonus],AvgBonus[exp_item],$J541,AvgBonus[company_name],$B541,AvgBonus[bu_name],$C541,AvgBonus[dept_name],$D541,AvgBonus[team_consolidation],$K541,AvgBonus[location_name],$G541,AvgBonus[job_title],$H541))*AL436*SUM(BonusPayout[Month 27]))</f>
        <v>0</v>
      </c>
      <c r="AM541" s="652">
        <f>IF($B541="",,IF(LEFT($H541,5)="dummy",SUMIFS(AvgBonus[avg_bonus],AvgBonus[job_title],$H541),SUMIFS(AvgBonus[avg_bonus],AvgBonus[exp_item],$J541,AvgBonus[company_name],$B541,AvgBonus[bu_name],$C541,AvgBonus[dept_name],$D541,AvgBonus[team_consolidation],$K541,AvgBonus[location_name],$G541,AvgBonus[job_title],$H541))*AM436*SUM(BonusPayout[Month 28]))</f>
        <v>0</v>
      </c>
      <c r="AN541" s="652">
        <f>IF($B541="",,IF(LEFT($H541,5)="dummy",SUMIFS(AvgBonus[avg_bonus],AvgBonus[job_title],$H541),SUMIFS(AvgBonus[avg_bonus],AvgBonus[exp_item],$J541,AvgBonus[company_name],$B541,AvgBonus[bu_name],$C541,AvgBonus[dept_name],$D541,AvgBonus[team_consolidation],$K541,AvgBonus[location_name],$G541,AvgBonus[job_title],$H541))*AN436*SUM(BonusPayout[Month 29]))</f>
        <v>0</v>
      </c>
      <c r="AO541" s="652">
        <f>IF($B541="",,IF(LEFT($H541,5)="dummy",SUMIFS(AvgBonus[avg_bonus],AvgBonus[job_title],$H541),SUMIFS(AvgBonus[avg_bonus],AvgBonus[exp_item],$J541,AvgBonus[company_name],$B541,AvgBonus[bu_name],$C541,AvgBonus[dept_name],$D541,AvgBonus[team_consolidation],$K541,AvgBonus[location_name],$G541,AvgBonus[job_title],$H541))*AO436*SUM(BonusPayout[Month 30]))</f>
        <v>0</v>
      </c>
      <c r="AP541" s="652">
        <f>IF($B541="",,IF(LEFT($H541,5)="dummy",SUMIFS(AvgBonus[avg_bonus],AvgBonus[job_title],$H541),SUMIFS(AvgBonus[avg_bonus],AvgBonus[exp_item],$J541,AvgBonus[company_name],$B541,AvgBonus[bu_name],$C541,AvgBonus[dept_name],$D541,AvgBonus[team_consolidation],$K541,AvgBonus[location_name],$G541,AvgBonus[job_title],$H541))*AP436*SUM(BonusPayout[Month 31]))</f>
        <v>0</v>
      </c>
      <c r="AQ541" s="652">
        <f>IF($B541="",,IF(LEFT($H541,5)="dummy",SUMIFS(AvgBonus[avg_bonus],AvgBonus[job_title],$H541),SUMIFS(AvgBonus[avg_bonus],AvgBonus[exp_item],$J541,AvgBonus[company_name],$B541,AvgBonus[bu_name],$C541,AvgBonus[dept_name],$D541,AvgBonus[team_consolidation],$K541,AvgBonus[location_name],$G541,AvgBonus[job_title],$H541))*AQ436*SUM(BonusPayout[Month 32]))</f>
        <v>0</v>
      </c>
      <c r="AR541" s="652">
        <f>IF($B541="",,IF(LEFT($H541,5)="dummy",SUMIFS(AvgBonus[avg_bonus],AvgBonus[job_title],$H541),SUMIFS(AvgBonus[avg_bonus],AvgBonus[exp_item],$J541,AvgBonus[company_name],$B541,AvgBonus[bu_name],$C541,AvgBonus[dept_name],$D541,AvgBonus[team_consolidation],$K541,AvgBonus[location_name],$G541,AvgBonus[job_title],$H541))*AR436*SUM(BonusPayout[Month 33]))</f>
        <v>0</v>
      </c>
      <c r="AS541" s="652">
        <f>IF($B541="",,IF(LEFT($H541,5)="dummy",SUMIFS(AvgBonus[avg_bonus],AvgBonus[job_title],$H541),SUMIFS(AvgBonus[avg_bonus],AvgBonus[exp_item],$J541,AvgBonus[company_name],$B541,AvgBonus[bu_name],$C541,AvgBonus[dept_name],$D541,AvgBonus[team_consolidation],$K541,AvgBonus[location_name],$G541,AvgBonus[job_title],$H541))*AS436*SUM(BonusPayout[Month 34]))</f>
        <v>0</v>
      </c>
      <c r="AT541" s="652">
        <f>IF($B541="",,IF(LEFT($H541,5)="dummy",SUMIFS(AvgBonus[avg_bonus],AvgBonus[job_title],$H541),SUMIFS(AvgBonus[avg_bonus],AvgBonus[exp_item],$J541,AvgBonus[company_name],$B541,AvgBonus[bu_name],$C541,AvgBonus[dept_name],$D541,AvgBonus[team_consolidation],$K541,AvgBonus[location_name],$G541,AvgBonus[job_title],$H541))*AT436*SUM(BonusPayout[Month 35]))</f>
        <v>0</v>
      </c>
      <c r="AU541" s="652">
        <f>IF($B541="",,IF(LEFT($H541,5)="dummy",SUMIFS(AvgBonus[avg_bonus],AvgBonus[job_title],$H541),SUMIFS(AvgBonus[avg_bonus],AvgBonus[exp_item],$J541,AvgBonus[company_name],$B541,AvgBonus[bu_name],$C541,AvgBonus[dept_name],$D541,AvgBonus[team_consolidation],$K541,AvgBonus[location_name],$G541,AvgBonus[job_title],$H541))*AU436*SUM(BonusPayout[Month 36]))</f>
        <v>0</v>
      </c>
    </row>
    <row r="542" spans="2:47" x14ac:dyDescent="0.35">
      <c r="B542" t="str">
        <f t="shared" si="327"/>
        <v/>
      </c>
      <c r="C542" t="str">
        <f t="shared" ref="C542:G542" si="336">IF(C437="","",C437)</f>
        <v/>
      </c>
      <c r="D542" t="str">
        <f t="shared" si="336"/>
        <v/>
      </c>
      <c r="E542" t="str">
        <f t="shared" si="336"/>
        <v/>
      </c>
      <c r="F542" t="str">
        <f t="shared" si="336"/>
        <v/>
      </c>
      <c r="G542" t="str">
        <f t="shared" si="336"/>
        <v/>
      </c>
      <c r="H542" t="str">
        <f t="shared" si="326"/>
        <v/>
      </c>
      <c r="J542" t="str">
        <f>IF($H542="","",IF(VLOOKUP($B$500,ExpItems[],2,0),$B$500&amp;" - "&amp;INDEX(DivisionMapping[category_code],MATCH($D542&amp;$C542,DivisionMapping[dept_bu],0)),$B$500))</f>
        <v/>
      </c>
      <c r="K542" t="str">
        <f t="shared" si="294"/>
        <v/>
      </c>
      <c r="L542" s="652">
        <f>IF($B542="",,IF(LEFT($H542,5)="dummy",SUMIFS(AvgBonus[avg_bonus],AvgBonus[job_title],$H542),SUMIFS(AvgBonus[avg_bonus],AvgBonus[exp_item],$J542,AvgBonus[company_name],$B542,AvgBonus[bu_name],$C542,AvgBonus[dept_name],$D542,AvgBonus[team_consolidation],$K542,AvgBonus[location_name],$G542,AvgBonus[job_title],$H542))*L437*SUM(BonusPayout[Month 1]))</f>
        <v>0</v>
      </c>
      <c r="M542" s="652">
        <f>IF($B542="",,IF(LEFT($H542,5)="dummy",SUMIFS(AvgBonus[avg_bonus],AvgBonus[job_title],$H542),SUMIFS(AvgBonus[avg_bonus],AvgBonus[exp_item],$J542,AvgBonus[company_name],$B542,AvgBonus[bu_name],$C542,AvgBonus[dept_name],$D542,AvgBonus[team_consolidation],$K542,AvgBonus[location_name],$G542,AvgBonus[job_title],$H542))*M437*SUM(BonusPayout[Month 2]))</f>
        <v>0</v>
      </c>
      <c r="N542" s="652">
        <f>IF($B542="",,IF(LEFT($H542,5)="dummy",SUMIFS(AvgBonus[avg_bonus],AvgBonus[job_title],$H542),SUMIFS(AvgBonus[avg_bonus],AvgBonus[exp_item],$J542,AvgBonus[company_name],$B542,AvgBonus[bu_name],$C542,AvgBonus[dept_name],$D542,AvgBonus[team_consolidation],$K542,AvgBonus[location_name],$G542,AvgBonus[job_title],$H542))*N437*SUM(BonusPayout[Month 3]))</f>
        <v>0</v>
      </c>
      <c r="O542" s="652">
        <f>IF($B542="",,IF(LEFT($H542,5)="dummy",SUMIFS(AvgBonus[avg_bonus],AvgBonus[job_title],$H542),SUMIFS(AvgBonus[avg_bonus],AvgBonus[exp_item],$J542,AvgBonus[company_name],$B542,AvgBonus[bu_name],$C542,AvgBonus[dept_name],$D542,AvgBonus[team_consolidation],$K542,AvgBonus[location_name],$G542,AvgBonus[job_title],$H542))*O437*SUM(BonusPayout[Month 4]))</f>
        <v>0</v>
      </c>
      <c r="P542" s="652">
        <f>IF($B542="",,IF(LEFT($H542,5)="dummy",SUMIFS(AvgBonus[avg_bonus],AvgBonus[job_title],$H542),SUMIFS(AvgBonus[avg_bonus],AvgBonus[exp_item],$J542,AvgBonus[company_name],$B542,AvgBonus[bu_name],$C542,AvgBonus[dept_name],$D542,AvgBonus[team_consolidation],$K542,AvgBonus[location_name],$G542,AvgBonus[job_title],$H542))*P437*SUM(BonusPayout[Month 5]))</f>
        <v>0</v>
      </c>
      <c r="Q542" s="652">
        <f>IF($B542="",,IF(LEFT($H542,5)="dummy",SUMIFS(AvgBonus[avg_bonus],AvgBonus[job_title],$H542),SUMIFS(AvgBonus[avg_bonus],AvgBonus[exp_item],$J542,AvgBonus[company_name],$B542,AvgBonus[bu_name],$C542,AvgBonus[dept_name],$D542,AvgBonus[team_consolidation],$K542,AvgBonus[location_name],$G542,AvgBonus[job_title],$H542))*Q437*SUM(BonusPayout[Month 6]))</f>
        <v>0</v>
      </c>
      <c r="R542" s="652">
        <f>IF($B542="",,IF(LEFT($H542,5)="dummy",SUMIFS(AvgBonus[avg_bonus],AvgBonus[job_title],$H542),SUMIFS(AvgBonus[avg_bonus],AvgBonus[exp_item],$J542,AvgBonus[company_name],$B542,AvgBonus[bu_name],$C542,AvgBonus[dept_name],$D542,AvgBonus[team_consolidation],$K542,AvgBonus[location_name],$G542,AvgBonus[job_title],$H542))*R437*SUM(BonusPayout[Month 7]))</f>
        <v>0</v>
      </c>
      <c r="S542" s="652">
        <f>IF($B542="",,IF(LEFT($H542,5)="dummy",SUMIFS(AvgBonus[avg_bonus],AvgBonus[job_title],$H542),SUMIFS(AvgBonus[avg_bonus],AvgBonus[exp_item],$J542,AvgBonus[company_name],$B542,AvgBonus[bu_name],$C542,AvgBonus[dept_name],$D542,AvgBonus[team_consolidation],$K542,AvgBonus[location_name],$G542,AvgBonus[job_title],$H542))*S437*SUM(BonusPayout[Month 8]))</f>
        <v>0</v>
      </c>
      <c r="T542" s="652">
        <f>IF($B542="",,IF(LEFT($H542,5)="dummy",SUMIFS(AvgBonus[avg_bonus],AvgBonus[job_title],$H542),SUMIFS(AvgBonus[avg_bonus],AvgBonus[exp_item],$J542,AvgBonus[company_name],$B542,AvgBonus[bu_name],$C542,AvgBonus[dept_name],$D542,AvgBonus[team_consolidation],$K542,AvgBonus[location_name],$G542,AvgBonus[job_title],$H542))*T437*SUM(BonusPayout[Month 9]))</f>
        <v>0</v>
      </c>
      <c r="U542" s="652">
        <f>IF($B542="",,IF(LEFT($H542,5)="dummy",SUMIFS(AvgBonus[avg_bonus],AvgBonus[job_title],$H542),SUMIFS(AvgBonus[avg_bonus],AvgBonus[exp_item],$J542,AvgBonus[company_name],$B542,AvgBonus[bu_name],$C542,AvgBonus[dept_name],$D542,AvgBonus[team_consolidation],$K542,AvgBonus[location_name],$G542,AvgBonus[job_title],$H542))*U437*SUM(BonusPayout[Month 10]))</f>
        <v>0</v>
      </c>
      <c r="V542" s="652">
        <f>IF($B542="",,IF(LEFT($H542,5)="dummy",SUMIFS(AvgBonus[avg_bonus],AvgBonus[job_title],$H542),SUMIFS(AvgBonus[avg_bonus],AvgBonus[exp_item],$J542,AvgBonus[company_name],$B542,AvgBonus[bu_name],$C542,AvgBonus[dept_name],$D542,AvgBonus[team_consolidation],$K542,AvgBonus[location_name],$G542,AvgBonus[job_title],$H542))*V437*SUM(BonusPayout[Month 11]))</f>
        <v>0</v>
      </c>
      <c r="W542" s="652">
        <f>IF($B542="",,IF(LEFT($H542,5)="dummy",SUMIFS(AvgBonus[avg_bonus],AvgBonus[job_title],$H542),SUMIFS(AvgBonus[avg_bonus],AvgBonus[exp_item],$J542,AvgBonus[company_name],$B542,AvgBonus[bu_name],$C542,AvgBonus[dept_name],$D542,AvgBonus[team_consolidation],$K542,AvgBonus[location_name],$G542,AvgBonus[job_title],$H542))*W437*SUM(BonusPayout[Month 12]))</f>
        <v>0</v>
      </c>
      <c r="X542" s="652">
        <f>IF($B542="",,IF(LEFT($H542,5)="dummy",SUMIFS(AvgBonus[avg_bonus],AvgBonus[job_title],$H542),SUMIFS(AvgBonus[avg_bonus],AvgBonus[exp_item],$J542,AvgBonus[company_name],$B542,AvgBonus[bu_name],$C542,AvgBonus[dept_name],$D542,AvgBonus[team_consolidation],$K542,AvgBonus[location_name],$G542,AvgBonus[job_title],$H542))*X437*SUM(BonusPayout[Month 13]))</f>
        <v>0</v>
      </c>
      <c r="Y542" s="652">
        <f>IF($B542="",,IF(LEFT($H542,5)="dummy",SUMIFS(AvgBonus[avg_bonus],AvgBonus[job_title],$H542),SUMIFS(AvgBonus[avg_bonus],AvgBonus[exp_item],$J542,AvgBonus[company_name],$B542,AvgBonus[bu_name],$C542,AvgBonus[dept_name],$D542,AvgBonus[team_consolidation],$K542,AvgBonus[location_name],$G542,AvgBonus[job_title],$H542))*Y437*SUM(BonusPayout[Month 14]))</f>
        <v>0</v>
      </c>
      <c r="Z542" s="652">
        <f>IF($B542="",,IF(LEFT($H542,5)="dummy",SUMIFS(AvgBonus[avg_bonus],AvgBonus[job_title],$H542),SUMIFS(AvgBonus[avg_bonus],AvgBonus[exp_item],$J542,AvgBonus[company_name],$B542,AvgBonus[bu_name],$C542,AvgBonus[dept_name],$D542,AvgBonus[team_consolidation],$K542,AvgBonus[location_name],$G542,AvgBonus[job_title],$H542))*Z437*SUM(BonusPayout[Month 15]))</f>
        <v>0</v>
      </c>
      <c r="AA542" s="652">
        <f>IF($B542="",,IF(LEFT($H542,5)="dummy",SUMIFS(AvgBonus[avg_bonus],AvgBonus[job_title],$H542),SUMIFS(AvgBonus[avg_bonus],AvgBonus[exp_item],$J542,AvgBonus[company_name],$B542,AvgBonus[bu_name],$C542,AvgBonus[dept_name],$D542,AvgBonus[team_consolidation],$K542,AvgBonus[location_name],$G542,AvgBonus[job_title],$H542))*AA437*SUM(BonusPayout[Month 16]))</f>
        <v>0</v>
      </c>
      <c r="AB542" s="652">
        <f>IF($B542="",,IF(LEFT($H542,5)="dummy",SUMIFS(AvgBonus[avg_bonus],AvgBonus[job_title],$H542),SUMIFS(AvgBonus[avg_bonus],AvgBonus[exp_item],$J542,AvgBonus[company_name],$B542,AvgBonus[bu_name],$C542,AvgBonus[dept_name],$D542,AvgBonus[team_consolidation],$K542,AvgBonus[location_name],$G542,AvgBonus[job_title],$H542))*AB437*SUM(BonusPayout[Month 17]))</f>
        <v>0</v>
      </c>
      <c r="AC542" s="652">
        <f>IF($B542="",,IF(LEFT($H542,5)="dummy",SUMIFS(AvgBonus[avg_bonus],AvgBonus[job_title],$H542),SUMIFS(AvgBonus[avg_bonus],AvgBonus[exp_item],$J542,AvgBonus[company_name],$B542,AvgBonus[bu_name],$C542,AvgBonus[dept_name],$D542,AvgBonus[team_consolidation],$K542,AvgBonus[location_name],$G542,AvgBonus[job_title],$H542))*AC437*SUM(BonusPayout[Month 18]))</f>
        <v>0</v>
      </c>
      <c r="AD542" s="652">
        <f>IF($B542="",,IF(LEFT($H542,5)="dummy",SUMIFS(AvgBonus[avg_bonus],AvgBonus[job_title],$H542),SUMIFS(AvgBonus[avg_bonus],AvgBonus[exp_item],$J542,AvgBonus[company_name],$B542,AvgBonus[bu_name],$C542,AvgBonus[dept_name],$D542,AvgBonus[team_consolidation],$K542,AvgBonus[location_name],$G542,AvgBonus[job_title],$H542))*AD437*SUM(BonusPayout[Month 19]))</f>
        <v>0</v>
      </c>
      <c r="AE542" s="652">
        <f>IF($B542="",,IF(LEFT($H542,5)="dummy",SUMIFS(AvgBonus[avg_bonus],AvgBonus[job_title],$H542),SUMIFS(AvgBonus[avg_bonus],AvgBonus[exp_item],$J542,AvgBonus[company_name],$B542,AvgBonus[bu_name],$C542,AvgBonus[dept_name],$D542,AvgBonus[team_consolidation],$K542,AvgBonus[location_name],$G542,AvgBonus[job_title],$H542))*AE437*SUM(BonusPayout[Month 20]))</f>
        <v>0</v>
      </c>
      <c r="AF542" s="652">
        <f>IF($B542="",,IF(LEFT($H542,5)="dummy",SUMIFS(AvgBonus[avg_bonus],AvgBonus[job_title],$H542),SUMIFS(AvgBonus[avg_bonus],AvgBonus[exp_item],$J542,AvgBonus[company_name],$B542,AvgBonus[bu_name],$C542,AvgBonus[dept_name],$D542,AvgBonus[team_consolidation],$K542,AvgBonus[location_name],$G542,AvgBonus[job_title],$H542))*AF437*SUM(BonusPayout[Month 21]))</f>
        <v>0</v>
      </c>
      <c r="AG542" s="652">
        <f>IF($B542="",,IF(LEFT($H542,5)="dummy",SUMIFS(AvgBonus[avg_bonus],AvgBonus[job_title],$H542),SUMIFS(AvgBonus[avg_bonus],AvgBonus[exp_item],$J542,AvgBonus[company_name],$B542,AvgBonus[bu_name],$C542,AvgBonus[dept_name],$D542,AvgBonus[team_consolidation],$K542,AvgBonus[location_name],$G542,AvgBonus[job_title],$H542))*AG437*SUM(BonusPayout[Month 22]))</f>
        <v>0</v>
      </c>
      <c r="AH542" s="652">
        <f>IF($B542="",,IF(LEFT($H542,5)="dummy",SUMIFS(AvgBonus[avg_bonus],AvgBonus[job_title],$H542),SUMIFS(AvgBonus[avg_bonus],AvgBonus[exp_item],$J542,AvgBonus[company_name],$B542,AvgBonus[bu_name],$C542,AvgBonus[dept_name],$D542,AvgBonus[team_consolidation],$K542,AvgBonus[location_name],$G542,AvgBonus[job_title],$H542))*AH437*SUM(BonusPayout[Month 23]))</f>
        <v>0</v>
      </c>
      <c r="AI542" s="652">
        <f>IF($B542="",,IF(LEFT($H542,5)="dummy",SUMIFS(AvgBonus[avg_bonus],AvgBonus[job_title],$H542),SUMIFS(AvgBonus[avg_bonus],AvgBonus[exp_item],$J542,AvgBonus[company_name],$B542,AvgBonus[bu_name],$C542,AvgBonus[dept_name],$D542,AvgBonus[team_consolidation],$K542,AvgBonus[location_name],$G542,AvgBonus[job_title],$H542))*AI437*SUM(BonusPayout[Month 24]))</f>
        <v>0</v>
      </c>
      <c r="AJ542" s="652">
        <f>IF($B542="",,IF(LEFT($H542,5)="dummy",SUMIFS(AvgBonus[avg_bonus],AvgBonus[job_title],$H542),SUMIFS(AvgBonus[avg_bonus],AvgBonus[exp_item],$J542,AvgBonus[company_name],$B542,AvgBonus[bu_name],$C542,AvgBonus[dept_name],$D542,AvgBonus[team_consolidation],$K542,AvgBonus[location_name],$G542,AvgBonus[job_title],$H542))*AJ437*SUM(BonusPayout[Month 25]))</f>
        <v>0</v>
      </c>
      <c r="AK542" s="652">
        <f>IF($B542="",,IF(LEFT($H542,5)="dummy",SUMIFS(AvgBonus[avg_bonus],AvgBonus[job_title],$H542),SUMIFS(AvgBonus[avg_bonus],AvgBonus[exp_item],$J542,AvgBonus[company_name],$B542,AvgBonus[bu_name],$C542,AvgBonus[dept_name],$D542,AvgBonus[team_consolidation],$K542,AvgBonus[location_name],$G542,AvgBonus[job_title],$H542))*AK437*SUM(BonusPayout[Month 26]))</f>
        <v>0</v>
      </c>
      <c r="AL542" s="652">
        <f>IF($B542="",,IF(LEFT($H542,5)="dummy",SUMIFS(AvgBonus[avg_bonus],AvgBonus[job_title],$H542),SUMIFS(AvgBonus[avg_bonus],AvgBonus[exp_item],$J542,AvgBonus[company_name],$B542,AvgBonus[bu_name],$C542,AvgBonus[dept_name],$D542,AvgBonus[team_consolidation],$K542,AvgBonus[location_name],$G542,AvgBonus[job_title],$H542))*AL437*SUM(BonusPayout[Month 27]))</f>
        <v>0</v>
      </c>
      <c r="AM542" s="652">
        <f>IF($B542="",,IF(LEFT($H542,5)="dummy",SUMIFS(AvgBonus[avg_bonus],AvgBonus[job_title],$H542),SUMIFS(AvgBonus[avg_bonus],AvgBonus[exp_item],$J542,AvgBonus[company_name],$B542,AvgBonus[bu_name],$C542,AvgBonus[dept_name],$D542,AvgBonus[team_consolidation],$K542,AvgBonus[location_name],$G542,AvgBonus[job_title],$H542))*AM437*SUM(BonusPayout[Month 28]))</f>
        <v>0</v>
      </c>
      <c r="AN542" s="652">
        <f>IF($B542="",,IF(LEFT($H542,5)="dummy",SUMIFS(AvgBonus[avg_bonus],AvgBonus[job_title],$H542),SUMIFS(AvgBonus[avg_bonus],AvgBonus[exp_item],$J542,AvgBonus[company_name],$B542,AvgBonus[bu_name],$C542,AvgBonus[dept_name],$D542,AvgBonus[team_consolidation],$K542,AvgBonus[location_name],$G542,AvgBonus[job_title],$H542))*AN437*SUM(BonusPayout[Month 29]))</f>
        <v>0</v>
      </c>
      <c r="AO542" s="652">
        <f>IF($B542="",,IF(LEFT($H542,5)="dummy",SUMIFS(AvgBonus[avg_bonus],AvgBonus[job_title],$H542),SUMIFS(AvgBonus[avg_bonus],AvgBonus[exp_item],$J542,AvgBonus[company_name],$B542,AvgBonus[bu_name],$C542,AvgBonus[dept_name],$D542,AvgBonus[team_consolidation],$K542,AvgBonus[location_name],$G542,AvgBonus[job_title],$H542))*AO437*SUM(BonusPayout[Month 30]))</f>
        <v>0</v>
      </c>
      <c r="AP542" s="652">
        <f>IF($B542="",,IF(LEFT($H542,5)="dummy",SUMIFS(AvgBonus[avg_bonus],AvgBonus[job_title],$H542),SUMIFS(AvgBonus[avg_bonus],AvgBonus[exp_item],$J542,AvgBonus[company_name],$B542,AvgBonus[bu_name],$C542,AvgBonus[dept_name],$D542,AvgBonus[team_consolidation],$K542,AvgBonus[location_name],$G542,AvgBonus[job_title],$H542))*AP437*SUM(BonusPayout[Month 31]))</f>
        <v>0</v>
      </c>
      <c r="AQ542" s="652">
        <f>IF($B542="",,IF(LEFT($H542,5)="dummy",SUMIFS(AvgBonus[avg_bonus],AvgBonus[job_title],$H542),SUMIFS(AvgBonus[avg_bonus],AvgBonus[exp_item],$J542,AvgBonus[company_name],$B542,AvgBonus[bu_name],$C542,AvgBonus[dept_name],$D542,AvgBonus[team_consolidation],$K542,AvgBonus[location_name],$G542,AvgBonus[job_title],$H542))*AQ437*SUM(BonusPayout[Month 32]))</f>
        <v>0</v>
      </c>
      <c r="AR542" s="652">
        <f>IF($B542="",,IF(LEFT($H542,5)="dummy",SUMIFS(AvgBonus[avg_bonus],AvgBonus[job_title],$H542),SUMIFS(AvgBonus[avg_bonus],AvgBonus[exp_item],$J542,AvgBonus[company_name],$B542,AvgBonus[bu_name],$C542,AvgBonus[dept_name],$D542,AvgBonus[team_consolidation],$K542,AvgBonus[location_name],$G542,AvgBonus[job_title],$H542))*AR437*SUM(BonusPayout[Month 33]))</f>
        <v>0</v>
      </c>
      <c r="AS542" s="652">
        <f>IF($B542="",,IF(LEFT($H542,5)="dummy",SUMIFS(AvgBonus[avg_bonus],AvgBonus[job_title],$H542),SUMIFS(AvgBonus[avg_bonus],AvgBonus[exp_item],$J542,AvgBonus[company_name],$B542,AvgBonus[bu_name],$C542,AvgBonus[dept_name],$D542,AvgBonus[team_consolidation],$K542,AvgBonus[location_name],$G542,AvgBonus[job_title],$H542))*AS437*SUM(BonusPayout[Month 34]))</f>
        <v>0</v>
      </c>
      <c r="AT542" s="652">
        <f>IF($B542="",,IF(LEFT($H542,5)="dummy",SUMIFS(AvgBonus[avg_bonus],AvgBonus[job_title],$H542),SUMIFS(AvgBonus[avg_bonus],AvgBonus[exp_item],$J542,AvgBonus[company_name],$B542,AvgBonus[bu_name],$C542,AvgBonus[dept_name],$D542,AvgBonus[team_consolidation],$K542,AvgBonus[location_name],$G542,AvgBonus[job_title],$H542))*AT437*SUM(BonusPayout[Month 35]))</f>
        <v>0</v>
      </c>
      <c r="AU542" s="652">
        <f>IF($B542="",,IF(LEFT($H542,5)="dummy",SUMIFS(AvgBonus[avg_bonus],AvgBonus[job_title],$H542),SUMIFS(AvgBonus[avg_bonus],AvgBonus[exp_item],$J542,AvgBonus[company_name],$B542,AvgBonus[bu_name],$C542,AvgBonus[dept_name],$D542,AvgBonus[team_consolidation],$K542,AvgBonus[location_name],$G542,AvgBonus[job_title],$H542))*AU437*SUM(BonusPayout[Month 36]))</f>
        <v>0</v>
      </c>
    </row>
    <row r="543" spans="2:47" x14ac:dyDescent="0.35">
      <c r="B543" t="str">
        <f t="shared" si="327"/>
        <v/>
      </c>
      <c r="C543" t="str">
        <f t="shared" ref="C543:G543" si="337">IF(C438="","",C438)</f>
        <v/>
      </c>
      <c r="D543" t="str">
        <f t="shared" si="337"/>
        <v/>
      </c>
      <c r="E543" t="str">
        <f t="shared" si="337"/>
        <v/>
      </c>
      <c r="F543" t="str">
        <f t="shared" si="337"/>
        <v/>
      </c>
      <c r="G543" t="str">
        <f t="shared" si="337"/>
        <v/>
      </c>
      <c r="H543" t="str">
        <f t="shared" si="326"/>
        <v/>
      </c>
      <c r="J543" t="str">
        <f>IF($H543="","",IF(VLOOKUP($B$500,ExpItems[],2,0),$B$500&amp;" - "&amp;INDEX(DivisionMapping[category_code],MATCH($D543&amp;$C543,DivisionMapping[dept_bu],0)),$B$500))</f>
        <v/>
      </c>
      <c r="K543" t="str">
        <f t="shared" si="294"/>
        <v/>
      </c>
      <c r="L543" s="652">
        <f>IF($B543="",,IF(LEFT($H543,5)="dummy",SUMIFS(AvgBonus[avg_bonus],AvgBonus[job_title],$H543),SUMIFS(AvgBonus[avg_bonus],AvgBonus[exp_item],$J543,AvgBonus[company_name],$B543,AvgBonus[bu_name],$C543,AvgBonus[dept_name],$D543,AvgBonus[team_consolidation],$K543,AvgBonus[location_name],$G543,AvgBonus[job_title],$H543))*L438*SUM(BonusPayout[Month 1]))</f>
        <v>0</v>
      </c>
      <c r="M543" s="652">
        <f>IF($B543="",,IF(LEFT($H543,5)="dummy",SUMIFS(AvgBonus[avg_bonus],AvgBonus[job_title],$H543),SUMIFS(AvgBonus[avg_bonus],AvgBonus[exp_item],$J543,AvgBonus[company_name],$B543,AvgBonus[bu_name],$C543,AvgBonus[dept_name],$D543,AvgBonus[team_consolidation],$K543,AvgBonus[location_name],$G543,AvgBonus[job_title],$H543))*M438*SUM(BonusPayout[Month 2]))</f>
        <v>0</v>
      </c>
      <c r="N543" s="652">
        <f>IF($B543="",,IF(LEFT($H543,5)="dummy",SUMIFS(AvgBonus[avg_bonus],AvgBonus[job_title],$H543),SUMIFS(AvgBonus[avg_bonus],AvgBonus[exp_item],$J543,AvgBonus[company_name],$B543,AvgBonus[bu_name],$C543,AvgBonus[dept_name],$D543,AvgBonus[team_consolidation],$K543,AvgBonus[location_name],$G543,AvgBonus[job_title],$H543))*N438*SUM(BonusPayout[Month 3]))</f>
        <v>0</v>
      </c>
      <c r="O543" s="652">
        <f>IF($B543="",,IF(LEFT($H543,5)="dummy",SUMIFS(AvgBonus[avg_bonus],AvgBonus[job_title],$H543),SUMIFS(AvgBonus[avg_bonus],AvgBonus[exp_item],$J543,AvgBonus[company_name],$B543,AvgBonus[bu_name],$C543,AvgBonus[dept_name],$D543,AvgBonus[team_consolidation],$K543,AvgBonus[location_name],$G543,AvgBonus[job_title],$H543))*O438*SUM(BonusPayout[Month 4]))</f>
        <v>0</v>
      </c>
      <c r="P543" s="652">
        <f>IF($B543="",,IF(LEFT($H543,5)="dummy",SUMIFS(AvgBonus[avg_bonus],AvgBonus[job_title],$H543),SUMIFS(AvgBonus[avg_bonus],AvgBonus[exp_item],$J543,AvgBonus[company_name],$B543,AvgBonus[bu_name],$C543,AvgBonus[dept_name],$D543,AvgBonus[team_consolidation],$K543,AvgBonus[location_name],$G543,AvgBonus[job_title],$H543))*P438*SUM(BonusPayout[Month 5]))</f>
        <v>0</v>
      </c>
      <c r="Q543" s="652">
        <f>IF($B543="",,IF(LEFT($H543,5)="dummy",SUMIFS(AvgBonus[avg_bonus],AvgBonus[job_title],$H543),SUMIFS(AvgBonus[avg_bonus],AvgBonus[exp_item],$J543,AvgBonus[company_name],$B543,AvgBonus[bu_name],$C543,AvgBonus[dept_name],$D543,AvgBonus[team_consolidation],$K543,AvgBonus[location_name],$G543,AvgBonus[job_title],$H543))*Q438*SUM(BonusPayout[Month 6]))</f>
        <v>0</v>
      </c>
      <c r="R543" s="652">
        <f>IF($B543="",,IF(LEFT($H543,5)="dummy",SUMIFS(AvgBonus[avg_bonus],AvgBonus[job_title],$H543),SUMIFS(AvgBonus[avg_bonus],AvgBonus[exp_item],$J543,AvgBonus[company_name],$B543,AvgBonus[bu_name],$C543,AvgBonus[dept_name],$D543,AvgBonus[team_consolidation],$K543,AvgBonus[location_name],$G543,AvgBonus[job_title],$H543))*R438*SUM(BonusPayout[Month 7]))</f>
        <v>0</v>
      </c>
      <c r="S543" s="652">
        <f>IF($B543="",,IF(LEFT($H543,5)="dummy",SUMIFS(AvgBonus[avg_bonus],AvgBonus[job_title],$H543),SUMIFS(AvgBonus[avg_bonus],AvgBonus[exp_item],$J543,AvgBonus[company_name],$B543,AvgBonus[bu_name],$C543,AvgBonus[dept_name],$D543,AvgBonus[team_consolidation],$K543,AvgBonus[location_name],$G543,AvgBonus[job_title],$H543))*S438*SUM(BonusPayout[Month 8]))</f>
        <v>0</v>
      </c>
      <c r="T543" s="652">
        <f>IF($B543="",,IF(LEFT($H543,5)="dummy",SUMIFS(AvgBonus[avg_bonus],AvgBonus[job_title],$H543),SUMIFS(AvgBonus[avg_bonus],AvgBonus[exp_item],$J543,AvgBonus[company_name],$B543,AvgBonus[bu_name],$C543,AvgBonus[dept_name],$D543,AvgBonus[team_consolidation],$K543,AvgBonus[location_name],$G543,AvgBonus[job_title],$H543))*T438*SUM(BonusPayout[Month 9]))</f>
        <v>0</v>
      </c>
      <c r="U543" s="652">
        <f>IF($B543="",,IF(LEFT($H543,5)="dummy",SUMIFS(AvgBonus[avg_bonus],AvgBonus[job_title],$H543),SUMIFS(AvgBonus[avg_bonus],AvgBonus[exp_item],$J543,AvgBonus[company_name],$B543,AvgBonus[bu_name],$C543,AvgBonus[dept_name],$D543,AvgBonus[team_consolidation],$K543,AvgBonus[location_name],$G543,AvgBonus[job_title],$H543))*U438*SUM(BonusPayout[Month 10]))</f>
        <v>0</v>
      </c>
      <c r="V543" s="652">
        <f>IF($B543="",,IF(LEFT($H543,5)="dummy",SUMIFS(AvgBonus[avg_bonus],AvgBonus[job_title],$H543),SUMIFS(AvgBonus[avg_bonus],AvgBonus[exp_item],$J543,AvgBonus[company_name],$B543,AvgBonus[bu_name],$C543,AvgBonus[dept_name],$D543,AvgBonus[team_consolidation],$K543,AvgBonus[location_name],$G543,AvgBonus[job_title],$H543))*V438*SUM(BonusPayout[Month 11]))</f>
        <v>0</v>
      </c>
      <c r="W543" s="652">
        <f>IF($B543="",,IF(LEFT($H543,5)="dummy",SUMIFS(AvgBonus[avg_bonus],AvgBonus[job_title],$H543),SUMIFS(AvgBonus[avg_bonus],AvgBonus[exp_item],$J543,AvgBonus[company_name],$B543,AvgBonus[bu_name],$C543,AvgBonus[dept_name],$D543,AvgBonus[team_consolidation],$K543,AvgBonus[location_name],$G543,AvgBonus[job_title],$H543))*W438*SUM(BonusPayout[Month 12]))</f>
        <v>0</v>
      </c>
      <c r="X543" s="652">
        <f>IF($B543="",,IF(LEFT($H543,5)="dummy",SUMIFS(AvgBonus[avg_bonus],AvgBonus[job_title],$H543),SUMIFS(AvgBonus[avg_bonus],AvgBonus[exp_item],$J543,AvgBonus[company_name],$B543,AvgBonus[bu_name],$C543,AvgBonus[dept_name],$D543,AvgBonus[team_consolidation],$K543,AvgBonus[location_name],$G543,AvgBonus[job_title],$H543))*X438*SUM(BonusPayout[Month 13]))</f>
        <v>0</v>
      </c>
      <c r="Y543" s="652">
        <f>IF($B543="",,IF(LEFT($H543,5)="dummy",SUMIFS(AvgBonus[avg_bonus],AvgBonus[job_title],$H543),SUMIFS(AvgBonus[avg_bonus],AvgBonus[exp_item],$J543,AvgBonus[company_name],$B543,AvgBonus[bu_name],$C543,AvgBonus[dept_name],$D543,AvgBonus[team_consolidation],$K543,AvgBonus[location_name],$G543,AvgBonus[job_title],$H543))*Y438*SUM(BonusPayout[Month 14]))</f>
        <v>0</v>
      </c>
      <c r="Z543" s="652">
        <f>IF($B543="",,IF(LEFT($H543,5)="dummy",SUMIFS(AvgBonus[avg_bonus],AvgBonus[job_title],$H543),SUMIFS(AvgBonus[avg_bonus],AvgBonus[exp_item],$J543,AvgBonus[company_name],$B543,AvgBonus[bu_name],$C543,AvgBonus[dept_name],$D543,AvgBonus[team_consolidation],$K543,AvgBonus[location_name],$G543,AvgBonus[job_title],$H543))*Z438*SUM(BonusPayout[Month 15]))</f>
        <v>0</v>
      </c>
      <c r="AA543" s="652">
        <f>IF($B543="",,IF(LEFT($H543,5)="dummy",SUMIFS(AvgBonus[avg_bonus],AvgBonus[job_title],$H543),SUMIFS(AvgBonus[avg_bonus],AvgBonus[exp_item],$J543,AvgBonus[company_name],$B543,AvgBonus[bu_name],$C543,AvgBonus[dept_name],$D543,AvgBonus[team_consolidation],$K543,AvgBonus[location_name],$G543,AvgBonus[job_title],$H543))*AA438*SUM(BonusPayout[Month 16]))</f>
        <v>0</v>
      </c>
      <c r="AB543" s="652">
        <f>IF($B543="",,IF(LEFT($H543,5)="dummy",SUMIFS(AvgBonus[avg_bonus],AvgBonus[job_title],$H543),SUMIFS(AvgBonus[avg_bonus],AvgBonus[exp_item],$J543,AvgBonus[company_name],$B543,AvgBonus[bu_name],$C543,AvgBonus[dept_name],$D543,AvgBonus[team_consolidation],$K543,AvgBonus[location_name],$G543,AvgBonus[job_title],$H543))*AB438*SUM(BonusPayout[Month 17]))</f>
        <v>0</v>
      </c>
      <c r="AC543" s="652">
        <f>IF($B543="",,IF(LEFT($H543,5)="dummy",SUMIFS(AvgBonus[avg_bonus],AvgBonus[job_title],$H543),SUMIFS(AvgBonus[avg_bonus],AvgBonus[exp_item],$J543,AvgBonus[company_name],$B543,AvgBonus[bu_name],$C543,AvgBonus[dept_name],$D543,AvgBonus[team_consolidation],$K543,AvgBonus[location_name],$G543,AvgBonus[job_title],$H543))*AC438*SUM(BonusPayout[Month 18]))</f>
        <v>0</v>
      </c>
      <c r="AD543" s="652">
        <f>IF($B543="",,IF(LEFT($H543,5)="dummy",SUMIFS(AvgBonus[avg_bonus],AvgBonus[job_title],$H543),SUMIFS(AvgBonus[avg_bonus],AvgBonus[exp_item],$J543,AvgBonus[company_name],$B543,AvgBonus[bu_name],$C543,AvgBonus[dept_name],$D543,AvgBonus[team_consolidation],$K543,AvgBonus[location_name],$G543,AvgBonus[job_title],$H543))*AD438*SUM(BonusPayout[Month 19]))</f>
        <v>0</v>
      </c>
      <c r="AE543" s="652">
        <f>IF($B543="",,IF(LEFT($H543,5)="dummy",SUMIFS(AvgBonus[avg_bonus],AvgBonus[job_title],$H543),SUMIFS(AvgBonus[avg_bonus],AvgBonus[exp_item],$J543,AvgBonus[company_name],$B543,AvgBonus[bu_name],$C543,AvgBonus[dept_name],$D543,AvgBonus[team_consolidation],$K543,AvgBonus[location_name],$G543,AvgBonus[job_title],$H543))*AE438*SUM(BonusPayout[Month 20]))</f>
        <v>0</v>
      </c>
      <c r="AF543" s="652">
        <f>IF($B543="",,IF(LEFT($H543,5)="dummy",SUMIFS(AvgBonus[avg_bonus],AvgBonus[job_title],$H543),SUMIFS(AvgBonus[avg_bonus],AvgBonus[exp_item],$J543,AvgBonus[company_name],$B543,AvgBonus[bu_name],$C543,AvgBonus[dept_name],$D543,AvgBonus[team_consolidation],$K543,AvgBonus[location_name],$G543,AvgBonus[job_title],$H543))*AF438*SUM(BonusPayout[Month 21]))</f>
        <v>0</v>
      </c>
      <c r="AG543" s="652">
        <f>IF($B543="",,IF(LEFT($H543,5)="dummy",SUMIFS(AvgBonus[avg_bonus],AvgBonus[job_title],$H543),SUMIFS(AvgBonus[avg_bonus],AvgBonus[exp_item],$J543,AvgBonus[company_name],$B543,AvgBonus[bu_name],$C543,AvgBonus[dept_name],$D543,AvgBonus[team_consolidation],$K543,AvgBonus[location_name],$G543,AvgBonus[job_title],$H543))*AG438*SUM(BonusPayout[Month 22]))</f>
        <v>0</v>
      </c>
      <c r="AH543" s="652">
        <f>IF($B543="",,IF(LEFT($H543,5)="dummy",SUMIFS(AvgBonus[avg_bonus],AvgBonus[job_title],$H543),SUMIFS(AvgBonus[avg_bonus],AvgBonus[exp_item],$J543,AvgBonus[company_name],$B543,AvgBonus[bu_name],$C543,AvgBonus[dept_name],$D543,AvgBonus[team_consolidation],$K543,AvgBonus[location_name],$G543,AvgBonus[job_title],$H543))*AH438*SUM(BonusPayout[Month 23]))</f>
        <v>0</v>
      </c>
      <c r="AI543" s="652">
        <f>IF($B543="",,IF(LEFT($H543,5)="dummy",SUMIFS(AvgBonus[avg_bonus],AvgBonus[job_title],$H543),SUMIFS(AvgBonus[avg_bonus],AvgBonus[exp_item],$J543,AvgBonus[company_name],$B543,AvgBonus[bu_name],$C543,AvgBonus[dept_name],$D543,AvgBonus[team_consolidation],$K543,AvgBonus[location_name],$G543,AvgBonus[job_title],$H543))*AI438*SUM(BonusPayout[Month 24]))</f>
        <v>0</v>
      </c>
      <c r="AJ543" s="652">
        <f>IF($B543="",,IF(LEFT($H543,5)="dummy",SUMIFS(AvgBonus[avg_bonus],AvgBonus[job_title],$H543),SUMIFS(AvgBonus[avg_bonus],AvgBonus[exp_item],$J543,AvgBonus[company_name],$B543,AvgBonus[bu_name],$C543,AvgBonus[dept_name],$D543,AvgBonus[team_consolidation],$K543,AvgBonus[location_name],$G543,AvgBonus[job_title],$H543))*AJ438*SUM(BonusPayout[Month 25]))</f>
        <v>0</v>
      </c>
      <c r="AK543" s="652">
        <f>IF($B543="",,IF(LEFT($H543,5)="dummy",SUMIFS(AvgBonus[avg_bonus],AvgBonus[job_title],$H543),SUMIFS(AvgBonus[avg_bonus],AvgBonus[exp_item],$J543,AvgBonus[company_name],$B543,AvgBonus[bu_name],$C543,AvgBonus[dept_name],$D543,AvgBonus[team_consolidation],$K543,AvgBonus[location_name],$G543,AvgBonus[job_title],$H543))*AK438*SUM(BonusPayout[Month 26]))</f>
        <v>0</v>
      </c>
      <c r="AL543" s="652">
        <f>IF($B543="",,IF(LEFT($H543,5)="dummy",SUMIFS(AvgBonus[avg_bonus],AvgBonus[job_title],$H543),SUMIFS(AvgBonus[avg_bonus],AvgBonus[exp_item],$J543,AvgBonus[company_name],$B543,AvgBonus[bu_name],$C543,AvgBonus[dept_name],$D543,AvgBonus[team_consolidation],$K543,AvgBonus[location_name],$G543,AvgBonus[job_title],$H543))*AL438*SUM(BonusPayout[Month 27]))</f>
        <v>0</v>
      </c>
      <c r="AM543" s="652">
        <f>IF($B543="",,IF(LEFT($H543,5)="dummy",SUMIFS(AvgBonus[avg_bonus],AvgBonus[job_title],$H543),SUMIFS(AvgBonus[avg_bonus],AvgBonus[exp_item],$J543,AvgBonus[company_name],$B543,AvgBonus[bu_name],$C543,AvgBonus[dept_name],$D543,AvgBonus[team_consolidation],$K543,AvgBonus[location_name],$G543,AvgBonus[job_title],$H543))*AM438*SUM(BonusPayout[Month 28]))</f>
        <v>0</v>
      </c>
      <c r="AN543" s="652">
        <f>IF($B543="",,IF(LEFT($H543,5)="dummy",SUMIFS(AvgBonus[avg_bonus],AvgBonus[job_title],$H543),SUMIFS(AvgBonus[avg_bonus],AvgBonus[exp_item],$J543,AvgBonus[company_name],$B543,AvgBonus[bu_name],$C543,AvgBonus[dept_name],$D543,AvgBonus[team_consolidation],$K543,AvgBonus[location_name],$G543,AvgBonus[job_title],$H543))*AN438*SUM(BonusPayout[Month 29]))</f>
        <v>0</v>
      </c>
      <c r="AO543" s="652">
        <f>IF($B543="",,IF(LEFT($H543,5)="dummy",SUMIFS(AvgBonus[avg_bonus],AvgBonus[job_title],$H543),SUMIFS(AvgBonus[avg_bonus],AvgBonus[exp_item],$J543,AvgBonus[company_name],$B543,AvgBonus[bu_name],$C543,AvgBonus[dept_name],$D543,AvgBonus[team_consolidation],$K543,AvgBonus[location_name],$G543,AvgBonus[job_title],$H543))*AO438*SUM(BonusPayout[Month 30]))</f>
        <v>0</v>
      </c>
      <c r="AP543" s="652">
        <f>IF($B543="",,IF(LEFT($H543,5)="dummy",SUMIFS(AvgBonus[avg_bonus],AvgBonus[job_title],$H543),SUMIFS(AvgBonus[avg_bonus],AvgBonus[exp_item],$J543,AvgBonus[company_name],$B543,AvgBonus[bu_name],$C543,AvgBonus[dept_name],$D543,AvgBonus[team_consolidation],$K543,AvgBonus[location_name],$G543,AvgBonus[job_title],$H543))*AP438*SUM(BonusPayout[Month 31]))</f>
        <v>0</v>
      </c>
      <c r="AQ543" s="652">
        <f>IF($B543="",,IF(LEFT($H543,5)="dummy",SUMIFS(AvgBonus[avg_bonus],AvgBonus[job_title],$H543),SUMIFS(AvgBonus[avg_bonus],AvgBonus[exp_item],$J543,AvgBonus[company_name],$B543,AvgBonus[bu_name],$C543,AvgBonus[dept_name],$D543,AvgBonus[team_consolidation],$K543,AvgBonus[location_name],$G543,AvgBonus[job_title],$H543))*AQ438*SUM(BonusPayout[Month 32]))</f>
        <v>0</v>
      </c>
      <c r="AR543" s="652">
        <f>IF($B543="",,IF(LEFT($H543,5)="dummy",SUMIFS(AvgBonus[avg_bonus],AvgBonus[job_title],$H543),SUMIFS(AvgBonus[avg_bonus],AvgBonus[exp_item],$J543,AvgBonus[company_name],$B543,AvgBonus[bu_name],$C543,AvgBonus[dept_name],$D543,AvgBonus[team_consolidation],$K543,AvgBonus[location_name],$G543,AvgBonus[job_title],$H543))*AR438*SUM(BonusPayout[Month 33]))</f>
        <v>0</v>
      </c>
      <c r="AS543" s="652">
        <f>IF($B543="",,IF(LEFT($H543,5)="dummy",SUMIFS(AvgBonus[avg_bonus],AvgBonus[job_title],$H543),SUMIFS(AvgBonus[avg_bonus],AvgBonus[exp_item],$J543,AvgBonus[company_name],$B543,AvgBonus[bu_name],$C543,AvgBonus[dept_name],$D543,AvgBonus[team_consolidation],$K543,AvgBonus[location_name],$G543,AvgBonus[job_title],$H543))*AS438*SUM(BonusPayout[Month 34]))</f>
        <v>0</v>
      </c>
      <c r="AT543" s="652">
        <f>IF($B543="",,IF(LEFT($H543,5)="dummy",SUMIFS(AvgBonus[avg_bonus],AvgBonus[job_title],$H543),SUMIFS(AvgBonus[avg_bonus],AvgBonus[exp_item],$J543,AvgBonus[company_name],$B543,AvgBonus[bu_name],$C543,AvgBonus[dept_name],$D543,AvgBonus[team_consolidation],$K543,AvgBonus[location_name],$G543,AvgBonus[job_title],$H543))*AT438*SUM(BonusPayout[Month 35]))</f>
        <v>0</v>
      </c>
      <c r="AU543" s="652">
        <f>IF($B543="",,IF(LEFT($H543,5)="dummy",SUMIFS(AvgBonus[avg_bonus],AvgBonus[job_title],$H543),SUMIFS(AvgBonus[avg_bonus],AvgBonus[exp_item],$J543,AvgBonus[company_name],$B543,AvgBonus[bu_name],$C543,AvgBonus[dept_name],$D543,AvgBonus[team_consolidation],$K543,AvgBonus[location_name],$G543,AvgBonus[job_title],$H543))*AU438*SUM(BonusPayout[Month 36]))</f>
        <v>0</v>
      </c>
    </row>
    <row r="544" spans="2:47" x14ac:dyDescent="0.35">
      <c r="B544" t="str">
        <f t="shared" si="327"/>
        <v/>
      </c>
      <c r="C544" t="str">
        <f t="shared" ref="C544:G544" si="338">IF(C439="","",C439)</f>
        <v/>
      </c>
      <c r="D544" t="str">
        <f t="shared" si="338"/>
        <v/>
      </c>
      <c r="E544" t="str">
        <f t="shared" si="338"/>
        <v/>
      </c>
      <c r="F544" t="str">
        <f t="shared" si="338"/>
        <v/>
      </c>
      <c r="G544" t="str">
        <f t="shared" si="338"/>
        <v/>
      </c>
      <c r="H544" t="str">
        <f t="shared" si="326"/>
        <v/>
      </c>
      <c r="J544" t="str">
        <f>IF($H544="","",IF(VLOOKUP($B$500,ExpItems[],2,0),$B$500&amp;" - "&amp;INDEX(DivisionMapping[category_code],MATCH($D544&amp;$C544,DivisionMapping[dept_bu],0)),$B$500))</f>
        <v/>
      </c>
      <c r="K544" t="str">
        <f t="shared" si="294"/>
        <v/>
      </c>
      <c r="L544" s="652">
        <f>IF($B544="",,IF(LEFT($H544,5)="dummy",SUMIFS(AvgBonus[avg_bonus],AvgBonus[job_title],$H544),SUMIFS(AvgBonus[avg_bonus],AvgBonus[exp_item],$J544,AvgBonus[company_name],$B544,AvgBonus[bu_name],$C544,AvgBonus[dept_name],$D544,AvgBonus[team_consolidation],$K544,AvgBonus[location_name],$G544,AvgBonus[job_title],$H544))*L439*SUM(BonusPayout[Month 1]))</f>
        <v>0</v>
      </c>
      <c r="M544" s="652">
        <f>IF($B544="",,IF(LEFT($H544,5)="dummy",SUMIFS(AvgBonus[avg_bonus],AvgBonus[job_title],$H544),SUMIFS(AvgBonus[avg_bonus],AvgBonus[exp_item],$J544,AvgBonus[company_name],$B544,AvgBonus[bu_name],$C544,AvgBonus[dept_name],$D544,AvgBonus[team_consolidation],$K544,AvgBonus[location_name],$G544,AvgBonus[job_title],$H544))*M439*SUM(BonusPayout[Month 2]))</f>
        <v>0</v>
      </c>
      <c r="N544" s="652">
        <f>IF($B544="",,IF(LEFT($H544,5)="dummy",SUMIFS(AvgBonus[avg_bonus],AvgBonus[job_title],$H544),SUMIFS(AvgBonus[avg_bonus],AvgBonus[exp_item],$J544,AvgBonus[company_name],$B544,AvgBonus[bu_name],$C544,AvgBonus[dept_name],$D544,AvgBonus[team_consolidation],$K544,AvgBonus[location_name],$G544,AvgBonus[job_title],$H544))*N439*SUM(BonusPayout[Month 3]))</f>
        <v>0</v>
      </c>
      <c r="O544" s="652">
        <f>IF($B544="",,IF(LEFT($H544,5)="dummy",SUMIFS(AvgBonus[avg_bonus],AvgBonus[job_title],$H544),SUMIFS(AvgBonus[avg_bonus],AvgBonus[exp_item],$J544,AvgBonus[company_name],$B544,AvgBonus[bu_name],$C544,AvgBonus[dept_name],$D544,AvgBonus[team_consolidation],$K544,AvgBonus[location_name],$G544,AvgBonus[job_title],$H544))*O439*SUM(BonusPayout[Month 4]))</f>
        <v>0</v>
      </c>
      <c r="P544" s="652">
        <f>IF($B544="",,IF(LEFT($H544,5)="dummy",SUMIFS(AvgBonus[avg_bonus],AvgBonus[job_title],$H544),SUMIFS(AvgBonus[avg_bonus],AvgBonus[exp_item],$J544,AvgBonus[company_name],$B544,AvgBonus[bu_name],$C544,AvgBonus[dept_name],$D544,AvgBonus[team_consolidation],$K544,AvgBonus[location_name],$G544,AvgBonus[job_title],$H544))*P439*SUM(BonusPayout[Month 5]))</f>
        <v>0</v>
      </c>
      <c r="Q544" s="652">
        <f>IF($B544="",,IF(LEFT($H544,5)="dummy",SUMIFS(AvgBonus[avg_bonus],AvgBonus[job_title],$H544),SUMIFS(AvgBonus[avg_bonus],AvgBonus[exp_item],$J544,AvgBonus[company_name],$B544,AvgBonus[bu_name],$C544,AvgBonus[dept_name],$D544,AvgBonus[team_consolidation],$K544,AvgBonus[location_name],$G544,AvgBonus[job_title],$H544))*Q439*SUM(BonusPayout[Month 6]))</f>
        <v>0</v>
      </c>
      <c r="R544" s="652">
        <f>IF($B544="",,IF(LEFT($H544,5)="dummy",SUMIFS(AvgBonus[avg_bonus],AvgBonus[job_title],$H544),SUMIFS(AvgBonus[avg_bonus],AvgBonus[exp_item],$J544,AvgBonus[company_name],$B544,AvgBonus[bu_name],$C544,AvgBonus[dept_name],$D544,AvgBonus[team_consolidation],$K544,AvgBonus[location_name],$G544,AvgBonus[job_title],$H544))*R439*SUM(BonusPayout[Month 7]))</f>
        <v>0</v>
      </c>
      <c r="S544" s="652">
        <f>IF($B544="",,IF(LEFT($H544,5)="dummy",SUMIFS(AvgBonus[avg_bonus],AvgBonus[job_title],$H544),SUMIFS(AvgBonus[avg_bonus],AvgBonus[exp_item],$J544,AvgBonus[company_name],$B544,AvgBonus[bu_name],$C544,AvgBonus[dept_name],$D544,AvgBonus[team_consolidation],$K544,AvgBonus[location_name],$G544,AvgBonus[job_title],$H544))*S439*SUM(BonusPayout[Month 8]))</f>
        <v>0</v>
      </c>
      <c r="T544" s="652">
        <f>IF($B544="",,IF(LEFT($H544,5)="dummy",SUMIFS(AvgBonus[avg_bonus],AvgBonus[job_title],$H544),SUMIFS(AvgBonus[avg_bonus],AvgBonus[exp_item],$J544,AvgBonus[company_name],$B544,AvgBonus[bu_name],$C544,AvgBonus[dept_name],$D544,AvgBonus[team_consolidation],$K544,AvgBonus[location_name],$G544,AvgBonus[job_title],$H544))*T439*SUM(BonusPayout[Month 9]))</f>
        <v>0</v>
      </c>
      <c r="U544" s="652">
        <f>IF($B544="",,IF(LEFT($H544,5)="dummy",SUMIFS(AvgBonus[avg_bonus],AvgBonus[job_title],$H544),SUMIFS(AvgBonus[avg_bonus],AvgBonus[exp_item],$J544,AvgBonus[company_name],$B544,AvgBonus[bu_name],$C544,AvgBonus[dept_name],$D544,AvgBonus[team_consolidation],$K544,AvgBonus[location_name],$G544,AvgBonus[job_title],$H544))*U439*SUM(BonusPayout[Month 10]))</f>
        <v>0</v>
      </c>
      <c r="V544" s="652">
        <f>IF($B544="",,IF(LEFT($H544,5)="dummy",SUMIFS(AvgBonus[avg_bonus],AvgBonus[job_title],$H544),SUMIFS(AvgBonus[avg_bonus],AvgBonus[exp_item],$J544,AvgBonus[company_name],$B544,AvgBonus[bu_name],$C544,AvgBonus[dept_name],$D544,AvgBonus[team_consolidation],$K544,AvgBonus[location_name],$G544,AvgBonus[job_title],$H544))*V439*SUM(BonusPayout[Month 11]))</f>
        <v>0</v>
      </c>
      <c r="W544" s="652">
        <f>IF($B544="",,IF(LEFT($H544,5)="dummy",SUMIFS(AvgBonus[avg_bonus],AvgBonus[job_title],$H544),SUMIFS(AvgBonus[avg_bonus],AvgBonus[exp_item],$J544,AvgBonus[company_name],$B544,AvgBonus[bu_name],$C544,AvgBonus[dept_name],$D544,AvgBonus[team_consolidation],$K544,AvgBonus[location_name],$G544,AvgBonus[job_title],$H544))*W439*SUM(BonusPayout[Month 12]))</f>
        <v>0</v>
      </c>
      <c r="X544" s="652">
        <f>IF($B544="",,IF(LEFT($H544,5)="dummy",SUMIFS(AvgBonus[avg_bonus],AvgBonus[job_title],$H544),SUMIFS(AvgBonus[avg_bonus],AvgBonus[exp_item],$J544,AvgBonus[company_name],$B544,AvgBonus[bu_name],$C544,AvgBonus[dept_name],$D544,AvgBonus[team_consolidation],$K544,AvgBonus[location_name],$G544,AvgBonus[job_title],$H544))*X439*SUM(BonusPayout[Month 13]))</f>
        <v>0</v>
      </c>
      <c r="Y544" s="652">
        <f>IF($B544="",,IF(LEFT($H544,5)="dummy",SUMIFS(AvgBonus[avg_bonus],AvgBonus[job_title],$H544),SUMIFS(AvgBonus[avg_bonus],AvgBonus[exp_item],$J544,AvgBonus[company_name],$B544,AvgBonus[bu_name],$C544,AvgBonus[dept_name],$D544,AvgBonus[team_consolidation],$K544,AvgBonus[location_name],$G544,AvgBonus[job_title],$H544))*Y439*SUM(BonusPayout[Month 14]))</f>
        <v>0</v>
      </c>
      <c r="Z544" s="652">
        <f>IF($B544="",,IF(LEFT($H544,5)="dummy",SUMIFS(AvgBonus[avg_bonus],AvgBonus[job_title],$H544),SUMIFS(AvgBonus[avg_bonus],AvgBonus[exp_item],$J544,AvgBonus[company_name],$B544,AvgBonus[bu_name],$C544,AvgBonus[dept_name],$D544,AvgBonus[team_consolidation],$K544,AvgBonus[location_name],$G544,AvgBonus[job_title],$H544))*Z439*SUM(BonusPayout[Month 15]))</f>
        <v>0</v>
      </c>
      <c r="AA544" s="652">
        <f>IF($B544="",,IF(LEFT($H544,5)="dummy",SUMIFS(AvgBonus[avg_bonus],AvgBonus[job_title],$H544),SUMIFS(AvgBonus[avg_bonus],AvgBonus[exp_item],$J544,AvgBonus[company_name],$B544,AvgBonus[bu_name],$C544,AvgBonus[dept_name],$D544,AvgBonus[team_consolidation],$K544,AvgBonus[location_name],$G544,AvgBonus[job_title],$H544))*AA439*SUM(BonusPayout[Month 16]))</f>
        <v>0</v>
      </c>
      <c r="AB544" s="652">
        <f>IF($B544="",,IF(LEFT($H544,5)="dummy",SUMIFS(AvgBonus[avg_bonus],AvgBonus[job_title],$H544),SUMIFS(AvgBonus[avg_bonus],AvgBonus[exp_item],$J544,AvgBonus[company_name],$B544,AvgBonus[bu_name],$C544,AvgBonus[dept_name],$D544,AvgBonus[team_consolidation],$K544,AvgBonus[location_name],$G544,AvgBonus[job_title],$H544))*AB439*SUM(BonusPayout[Month 17]))</f>
        <v>0</v>
      </c>
      <c r="AC544" s="652">
        <f>IF($B544="",,IF(LEFT($H544,5)="dummy",SUMIFS(AvgBonus[avg_bonus],AvgBonus[job_title],$H544),SUMIFS(AvgBonus[avg_bonus],AvgBonus[exp_item],$J544,AvgBonus[company_name],$B544,AvgBonus[bu_name],$C544,AvgBonus[dept_name],$D544,AvgBonus[team_consolidation],$K544,AvgBonus[location_name],$G544,AvgBonus[job_title],$H544))*AC439*SUM(BonusPayout[Month 18]))</f>
        <v>0</v>
      </c>
      <c r="AD544" s="652">
        <f>IF($B544="",,IF(LEFT($H544,5)="dummy",SUMIFS(AvgBonus[avg_bonus],AvgBonus[job_title],$H544),SUMIFS(AvgBonus[avg_bonus],AvgBonus[exp_item],$J544,AvgBonus[company_name],$B544,AvgBonus[bu_name],$C544,AvgBonus[dept_name],$D544,AvgBonus[team_consolidation],$K544,AvgBonus[location_name],$G544,AvgBonus[job_title],$H544))*AD439*SUM(BonusPayout[Month 19]))</f>
        <v>0</v>
      </c>
      <c r="AE544" s="652">
        <f>IF($B544="",,IF(LEFT($H544,5)="dummy",SUMIFS(AvgBonus[avg_bonus],AvgBonus[job_title],$H544),SUMIFS(AvgBonus[avg_bonus],AvgBonus[exp_item],$J544,AvgBonus[company_name],$B544,AvgBonus[bu_name],$C544,AvgBonus[dept_name],$D544,AvgBonus[team_consolidation],$K544,AvgBonus[location_name],$G544,AvgBonus[job_title],$H544))*AE439*SUM(BonusPayout[Month 20]))</f>
        <v>0</v>
      </c>
      <c r="AF544" s="652">
        <f>IF($B544="",,IF(LEFT($H544,5)="dummy",SUMIFS(AvgBonus[avg_bonus],AvgBonus[job_title],$H544),SUMIFS(AvgBonus[avg_bonus],AvgBonus[exp_item],$J544,AvgBonus[company_name],$B544,AvgBonus[bu_name],$C544,AvgBonus[dept_name],$D544,AvgBonus[team_consolidation],$K544,AvgBonus[location_name],$G544,AvgBonus[job_title],$H544))*AF439*SUM(BonusPayout[Month 21]))</f>
        <v>0</v>
      </c>
      <c r="AG544" s="652">
        <f>IF($B544="",,IF(LEFT($H544,5)="dummy",SUMIFS(AvgBonus[avg_bonus],AvgBonus[job_title],$H544),SUMIFS(AvgBonus[avg_bonus],AvgBonus[exp_item],$J544,AvgBonus[company_name],$B544,AvgBonus[bu_name],$C544,AvgBonus[dept_name],$D544,AvgBonus[team_consolidation],$K544,AvgBonus[location_name],$G544,AvgBonus[job_title],$H544))*AG439*SUM(BonusPayout[Month 22]))</f>
        <v>0</v>
      </c>
      <c r="AH544" s="652">
        <f>IF($B544="",,IF(LEFT($H544,5)="dummy",SUMIFS(AvgBonus[avg_bonus],AvgBonus[job_title],$H544),SUMIFS(AvgBonus[avg_bonus],AvgBonus[exp_item],$J544,AvgBonus[company_name],$B544,AvgBonus[bu_name],$C544,AvgBonus[dept_name],$D544,AvgBonus[team_consolidation],$K544,AvgBonus[location_name],$G544,AvgBonus[job_title],$H544))*AH439*SUM(BonusPayout[Month 23]))</f>
        <v>0</v>
      </c>
      <c r="AI544" s="652">
        <f>IF($B544="",,IF(LEFT($H544,5)="dummy",SUMIFS(AvgBonus[avg_bonus],AvgBonus[job_title],$H544),SUMIFS(AvgBonus[avg_bonus],AvgBonus[exp_item],$J544,AvgBonus[company_name],$B544,AvgBonus[bu_name],$C544,AvgBonus[dept_name],$D544,AvgBonus[team_consolidation],$K544,AvgBonus[location_name],$G544,AvgBonus[job_title],$H544))*AI439*SUM(BonusPayout[Month 24]))</f>
        <v>0</v>
      </c>
      <c r="AJ544" s="652">
        <f>IF($B544="",,IF(LEFT($H544,5)="dummy",SUMIFS(AvgBonus[avg_bonus],AvgBonus[job_title],$H544),SUMIFS(AvgBonus[avg_bonus],AvgBonus[exp_item],$J544,AvgBonus[company_name],$B544,AvgBonus[bu_name],$C544,AvgBonus[dept_name],$D544,AvgBonus[team_consolidation],$K544,AvgBonus[location_name],$G544,AvgBonus[job_title],$H544))*AJ439*SUM(BonusPayout[Month 25]))</f>
        <v>0</v>
      </c>
      <c r="AK544" s="652">
        <f>IF($B544="",,IF(LEFT($H544,5)="dummy",SUMIFS(AvgBonus[avg_bonus],AvgBonus[job_title],$H544),SUMIFS(AvgBonus[avg_bonus],AvgBonus[exp_item],$J544,AvgBonus[company_name],$B544,AvgBonus[bu_name],$C544,AvgBonus[dept_name],$D544,AvgBonus[team_consolidation],$K544,AvgBonus[location_name],$G544,AvgBonus[job_title],$H544))*AK439*SUM(BonusPayout[Month 26]))</f>
        <v>0</v>
      </c>
      <c r="AL544" s="652">
        <f>IF($B544="",,IF(LEFT($H544,5)="dummy",SUMIFS(AvgBonus[avg_bonus],AvgBonus[job_title],$H544),SUMIFS(AvgBonus[avg_bonus],AvgBonus[exp_item],$J544,AvgBonus[company_name],$B544,AvgBonus[bu_name],$C544,AvgBonus[dept_name],$D544,AvgBonus[team_consolidation],$K544,AvgBonus[location_name],$G544,AvgBonus[job_title],$H544))*AL439*SUM(BonusPayout[Month 27]))</f>
        <v>0</v>
      </c>
      <c r="AM544" s="652">
        <f>IF($B544="",,IF(LEFT($H544,5)="dummy",SUMIFS(AvgBonus[avg_bonus],AvgBonus[job_title],$H544),SUMIFS(AvgBonus[avg_bonus],AvgBonus[exp_item],$J544,AvgBonus[company_name],$B544,AvgBonus[bu_name],$C544,AvgBonus[dept_name],$D544,AvgBonus[team_consolidation],$K544,AvgBonus[location_name],$G544,AvgBonus[job_title],$H544))*AM439*SUM(BonusPayout[Month 28]))</f>
        <v>0</v>
      </c>
      <c r="AN544" s="652">
        <f>IF($B544="",,IF(LEFT($H544,5)="dummy",SUMIFS(AvgBonus[avg_bonus],AvgBonus[job_title],$H544),SUMIFS(AvgBonus[avg_bonus],AvgBonus[exp_item],$J544,AvgBonus[company_name],$B544,AvgBonus[bu_name],$C544,AvgBonus[dept_name],$D544,AvgBonus[team_consolidation],$K544,AvgBonus[location_name],$G544,AvgBonus[job_title],$H544))*AN439*SUM(BonusPayout[Month 29]))</f>
        <v>0</v>
      </c>
      <c r="AO544" s="652">
        <f>IF($B544="",,IF(LEFT($H544,5)="dummy",SUMIFS(AvgBonus[avg_bonus],AvgBonus[job_title],$H544),SUMIFS(AvgBonus[avg_bonus],AvgBonus[exp_item],$J544,AvgBonus[company_name],$B544,AvgBonus[bu_name],$C544,AvgBonus[dept_name],$D544,AvgBonus[team_consolidation],$K544,AvgBonus[location_name],$G544,AvgBonus[job_title],$H544))*AO439*SUM(BonusPayout[Month 30]))</f>
        <v>0</v>
      </c>
      <c r="AP544" s="652">
        <f>IF($B544="",,IF(LEFT($H544,5)="dummy",SUMIFS(AvgBonus[avg_bonus],AvgBonus[job_title],$H544),SUMIFS(AvgBonus[avg_bonus],AvgBonus[exp_item],$J544,AvgBonus[company_name],$B544,AvgBonus[bu_name],$C544,AvgBonus[dept_name],$D544,AvgBonus[team_consolidation],$K544,AvgBonus[location_name],$G544,AvgBonus[job_title],$H544))*AP439*SUM(BonusPayout[Month 31]))</f>
        <v>0</v>
      </c>
      <c r="AQ544" s="652">
        <f>IF($B544="",,IF(LEFT($H544,5)="dummy",SUMIFS(AvgBonus[avg_bonus],AvgBonus[job_title],$H544),SUMIFS(AvgBonus[avg_bonus],AvgBonus[exp_item],$J544,AvgBonus[company_name],$B544,AvgBonus[bu_name],$C544,AvgBonus[dept_name],$D544,AvgBonus[team_consolidation],$K544,AvgBonus[location_name],$G544,AvgBonus[job_title],$H544))*AQ439*SUM(BonusPayout[Month 32]))</f>
        <v>0</v>
      </c>
      <c r="AR544" s="652">
        <f>IF($B544="",,IF(LEFT($H544,5)="dummy",SUMIFS(AvgBonus[avg_bonus],AvgBonus[job_title],$H544),SUMIFS(AvgBonus[avg_bonus],AvgBonus[exp_item],$J544,AvgBonus[company_name],$B544,AvgBonus[bu_name],$C544,AvgBonus[dept_name],$D544,AvgBonus[team_consolidation],$K544,AvgBonus[location_name],$G544,AvgBonus[job_title],$H544))*AR439*SUM(BonusPayout[Month 33]))</f>
        <v>0</v>
      </c>
      <c r="AS544" s="652">
        <f>IF($B544="",,IF(LEFT($H544,5)="dummy",SUMIFS(AvgBonus[avg_bonus],AvgBonus[job_title],$H544),SUMIFS(AvgBonus[avg_bonus],AvgBonus[exp_item],$J544,AvgBonus[company_name],$B544,AvgBonus[bu_name],$C544,AvgBonus[dept_name],$D544,AvgBonus[team_consolidation],$K544,AvgBonus[location_name],$G544,AvgBonus[job_title],$H544))*AS439*SUM(BonusPayout[Month 34]))</f>
        <v>0</v>
      </c>
      <c r="AT544" s="652">
        <f>IF($B544="",,IF(LEFT($H544,5)="dummy",SUMIFS(AvgBonus[avg_bonus],AvgBonus[job_title],$H544),SUMIFS(AvgBonus[avg_bonus],AvgBonus[exp_item],$J544,AvgBonus[company_name],$B544,AvgBonus[bu_name],$C544,AvgBonus[dept_name],$D544,AvgBonus[team_consolidation],$K544,AvgBonus[location_name],$G544,AvgBonus[job_title],$H544))*AT439*SUM(BonusPayout[Month 35]))</f>
        <v>0</v>
      </c>
      <c r="AU544" s="652">
        <f>IF($B544="",,IF(LEFT($H544,5)="dummy",SUMIFS(AvgBonus[avg_bonus],AvgBonus[job_title],$H544),SUMIFS(AvgBonus[avg_bonus],AvgBonus[exp_item],$J544,AvgBonus[company_name],$B544,AvgBonus[bu_name],$C544,AvgBonus[dept_name],$D544,AvgBonus[team_consolidation],$K544,AvgBonus[location_name],$G544,AvgBonus[job_title],$H544))*AU439*SUM(BonusPayout[Month 36]))</f>
        <v>0</v>
      </c>
    </row>
    <row r="545" spans="2:47" x14ac:dyDescent="0.35">
      <c r="B545" t="str">
        <f t="shared" si="327"/>
        <v/>
      </c>
      <c r="C545" t="str">
        <f t="shared" ref="C545:G545" si="339">IF(C440="","",C440)</f>
        <v/>
      </c>
      <c r="D545" t="str">
        <f t="shared" si="339"/>
        <v/>
      </c>
      <c r="E545" t="str">
        <f t="shared" si="339"/>
        <v/>
      </c>
      <c r="F545" t="str">
        <f t="shared" si="339"/>
        <v/>
      </c>
      <c r="G545" t="str">
        <f t="shared" si="339"/>
        <v/>
      </c>
      <c r="H545" t="str">
        <f t="shared" si="326"/>
        <v/>
      </c>
      <c r="J545" t="str">
        <f>IF($H545="","",IF(VLOOKUP($B$500,ExpItems[],2,0),$B$500&amp;" - "&amp;INDEX(DivisionMapping[category_code],MATCH($D545&amp;$C545,DivisionMapping[dept_bu],0)),$B$500))</f>
        <v/>
      </c>
      <c r="K545" t="str">
        <f t="shared" si="294"/>
        <v/>
      </c>
      <c r="L545" s="652">
        <f>IF($B545="",,IF(LEFT($H545,5)="dummy",SUMIFS(AvgBonus[avg_bonus],AvgBonus[job_title],$H545),SUMIFS(AvgBonus[avg_bonus],AvgBonus[exp_item],$J545,AvgBonus[company_name],$B545,AvgBonus[bu_name],$C545,AvgBonus[dept_name],$D545,AvgBonus[team_consolidation],$K545,AvgBonus[location_name],$G545,AvgBonus[job_title],$H545))*L440*SUM(BonusPayout[Month 1]))</f>
        <v>0</v>
      </c>
      <c r="M545" s="652">
        <f>IF($B545="",,IF(LEFT($H545,5)="dummy",SUMIFS(AvgBonus[avg_bonus],AvgBonus[job_title],$H545),SUMIFS(AvgBonus[avg_bonus],AvgBonus[exp_item],$J545,AvgBonus[company_name],$B545,AvgBonus[bu_name],$C545,AvgBonus[dept_name],$D545,AvgBonus[team_consolidation],$K545,AvgBonus[location_name],$G545,AvgBonus[job_title],$H545))*M440*SUM(BonusPayout[Month 2]))</f>
        <v>0</v>
      </c>
      <c r="N545" s="652">
        <f>IF($B545="",,IF(LEFT($H545,5)="dummy",SUMIFS(AvgBonus[avg_bonus],AvgBonus[job_title],$H545),SUMIFS(AvgBonus[avg_bonus],AvgBonus[exp_item],$J545,AvgBonus[company_name],$B545,AvgBonus[bu_name],$C545,AvgBonus[dept_name],$D545,AvgBonus[team_consolidation],$K545,AvgBonus[location_name],$G545,AvgBonus[job_title],$H545))*N440*SUM(BonusPayout[Month 3]))</f>
        <v>0</v>
      </c>
      <c r="O545" s="652">
        <f>IF($B545="",,IF(LEFT($H545,5)="dummy",SUMIFS(AvgBonus[avg_bonus],AvgBonus[job_title],$H545),SUMIFS(AvgBonus[avg_bonus],AvgBonus[exp_item],$J545,AvgBonus[company_name],$B545,AvgBonus[bu_name],$C545,AvgBonus[dept_name],$D545,AvgBonus[team_consolidation],$K545,AvgBonus[location_name],$G545,AvgBonus[job_title],$H545))*O440*SUM(BonusPayout[Month 4]))</f>
        <v>0</v>
      </c>
      <c r="P545" s="652">
        <f>IF($B545="",,IF(LEFT($H545,5)="dummy",SUMIFS(AvgBonus[avg_bonus],AvgBonus[job_title],$H545),SUMIFS(AvgBonus[avg_bonus],AvgBonus[exp_item],$J545,AvgBonus[company_name],$B545,AvgBonus[bu_name],$C545,AvgBonus[dept_name],$D545,AvgBonus[team_consolidation],$K545,AvgBonus[location_name],$G545,AvgBonus[job_title],$H545))*P440*SUM(BonusPayout[Month 5]))</f>
        <v>0</v>
      </c>
      <c r="Q545" s="652">
        <f>IF($B545="",,IF(LEFT($H545,5)="dummy",SUMIFS(AvgBonus[avg_bonus],AvgBonus[job_title],$H545),SUMIFS(AvgBonus[avg_bonus],AvgBonus[exp_item],$J545,AvgBonus[company_name],$B545,AvgBonus[bu_name],$C545,AvgBonus[dept_name],$D545,AvgBonus[team_consolidation],$K545,AvgBonus[location_name],$G545,AvgBonus[job_title],$H545))*Q440*SUM(BonusPayout[Month 6]))</f>
        <v>0</v>
      </c>
      <c r="R545" s="652">
        <f>IF($B545="",,IF(LEFT($H545,5)="dummy",SUMIFS(AvgBonus[avg_bonus],AvgBonus[job_title],$H545),SUMIFS(AvgBonus[avg_bonus],AvgBonus[exp_item],$J545,AvgBonus[company_name],$B545,AvgBonus[bu_name],$C545,AvgBonus[dept_name],$D545,AvgBonus[team_consolidation],$K545,AvgBonus[location_name],$G545,AvgBonus[job_title],$H545))*R440*SUM(BonusPayout[Month 7]))</f>
        <v>0</v>
      </c>
      <c r="S545" s="652">
        <f>IF($B545="",,IF(LEFT($H545,5)="dummy",SUMIFS(AvgBonus[avg_bonus],AvgBonus[job_title],$H545),SUMIFS(AvgBonus[avg_bonus],AvgBonus[exp_item],$J545,AvgBonus[company_name],$B545,AvgBonus[bu_name],$C545,AvgBonus[dept_name],$D545,AvgBonus[team_consolidation],$K545,AvgBonus[location_name],$G545,AvgBonus[job_title],$H545))*S440*SUM(BonusPayout[Month 8]))</f>
        <v>0</v>
      </c>
      <c r="T545" s="652">
        <f>IF($B545="",,IF(LEFT($H545,5)="dummy",SUMIFS(AvgBonus[avg_bonus],AvgBonus[job_title],$H545),SUMIFS(AvgBonus[avg_bonus],AvgBonus[exp_item],$J545,AvgBonus[company_name],$B545,AvgBonus[bu_name],$C545,AvgBonus[dept_name],$D545,AvgBonus[team_consolidation],$K545,AvgBonus[location_name],$G545,AvgBonus[job_title],$H545))*T440*SUM(BonusPayout[Month 9]))</f>
        <v>0</v>
      </c>
      <c r="U545" s="652">
        <f>IF($B545="",,IF(LEFT($H545,5)="dummy",SUMIFS(AvgBonus[avg_bonus],AvgBonus[job_title],$H545),SUMIFS(AvgBonus[avg_bonus],AvgBonus[exp_item],$J545,AvgBonus[company_name],$B545,AvgBonus[bu_name],$C545,AvgBonus[dept_name],$D545,AvgBonus[team_consolidation],$K545,AvgBonus[location_name],$G545,AvgBonus[job_title],$H545))*U440*SUM(BonusPayout[Month 10]))</f>
        <v>0</v>
      </c>
      <c r="V545" s="652">
        <f>IF($B545="",,IF(LEFT($H545,5)="dummy",SUMIFS(AvgBonus[avg_bonus],AvgBonus[job_title],$H545),SUMIFS(AvgBonus[avg_bonus],AvgBonus[exp_item],$J545,AvgBonus[company_name],$B545,AvgBonus[bu_name],$C545,AvgBonus[dept_name],$D545,AvgBonus[team_consolidation],$K545,AvgBonus[location_name],$G545,AvgBonus[job_title],$H545))*V440*SUM(BonusPayout[Month 11]))</f>
        <v>0</v>
      </c>
      <c r="W545" s="652">
        <f>IF($B545="",,IF(LEFT($H545,5)="dummy",SUMIFS(AvgBonus[avg_bonus],AvgBonus[job_title],$H545),SUMIFS(AvgBonus[avg_bonus],AvgBonus[exp_item],$J545,AvgBonus[company_name],$B545,AvgBonus[bu_name],$C545,AvgBonus[dept_name],$D545,AvgBonus[team_consolidation],$K545,AvgBonus[location_name],$G545,AvgBonus[job_title],$H545))*W440*SUM(BonusPayout[Month 12]))</f>
        <v>0</v>
      </c>
      <c r="X545" s="652">
        <f>IF($B545="",,IF(LEFT($H545,5)="dummy",SUMIFS(AvgBonus[avg_bonus],AvgBonus[job_title],$H545),SUMIFS(AvgBonus[avg_bonus],AvgBonus[exp_item],$J545,AvgBonus[company_name],$B545,AvgBonus[bu_name],$C545,AvgBonus[dept_name],$D545,AvgBonus[team_consolidation],$K545,AvgBonus[location_name],$G545,AvgBonus[job_title],$H545))*X440*SUM(BonusPayout[Month 13]))</f>
        <v>0</v>
      </c>
      <c r="Y545" s="652">
        <f>IF($B545="",,IF(LEFT($H545,5)="dummy",SUMIFS(AvgBonus[avg_bonus],AvgBonus[job_title],$H545),SUMIFS(AvgBonus[avg_bonus],AvgBonus[exp_item],$J545,AvgBonus[company_name],$B545,AvgBonus[bu_name],$C545,AvgBonus[dept_name],$D545,AvgBonus[team_consolidation],$K545,AvgBonus[location_name],$G545,AvgBonus[job_title],$H545))*Y440*SUM(BonusPayout[Month 14]))</f>
        <v>0</v>
      </c>
      <c r="Z545" s="652">
        <f>IF($B545="",,IF(LEFT($H545,5)="dummy",SUMIFS(AvgBonus[avg_bonus],AvgBonus[job_title],$H545),SUMIFS(AvgBonus[avg_bonus],AvgBonus[exp_item],$J545,AvgBonus[company_name],$B545,AvgBonus[bu_name],$C545,AvgBonus[dept_name],$D545,AvgBonus[team_consolidation],$K545,AvgBonus[location_name],$G545,AvgBonus[job_title],$H545))*Z440*SUM(BonusPayout[Month 15]))</f>
        <v>0</v>
      </c>
      <c r="AA545" s="652">
        <f>IF($B545="",,IF(LEFT($H545,5)="dummy",SUMIFS(AvgBonus[avg_bonus],AvgBonus[job_title],$H545),SUMIFS(AvgBonus[avg_bonus],AvgBonus[exp_item],$J545,AvgBonus[company_name],$B545,AvgBonus[bu_name],$C545,AvgBonus[dept_name],$D545,AvgBonus[team_consolidation],$K545,AvgBonus[location_name],$G545,AvgBonus[job_title],$H545))*AA440*SUM(BonusPayout[Month 16]))</f>
        <v>0</v>
      </c>
      <c r="AB545" s="652">
        <f>IF($B545="",,IF(LEFT($H545,5)="dummy",SUMIFS(AvgBonus[avg_bonus],AvgBonus[job_title],$H545),SUMIFS(AvgBonus[avg_bonus],AvgBonus[exp_item],$J545,AvgBonus[company_name],$B545,AvgBonus[bu_name],$C545,AvgBonus[dept_name],$D545,AvgBonus[team_consolidation],$K545,AvgBonus[location_name],$G545,AvgBonus[job_title],$H545))*AB440*SUM(BonusPayout[Month 17]))</f>
        <v>0</v>
      </c>
      <c r="AC545" s="652">
        <f>IF($B545="",,IF(LEFT($H545,5)="dummy",SUMIFS(AvgBonus[avg_bonus],AvgBonus[job_title],$H545),SUMIFS(AvgBonus[avg_bonus],AvgBonus[exp_item],$J545,AvgBonus[company_name],$B545,AvgBonus[bu_name],$C545,AvgBonus[dept_name],$D545,AvgBonus[team_consolidation],$K545,AvgBonus[location_name],$G545,AvgBonus[job_title],$H545))*AC440*SUM(BonusPayout[Month 18]))</f>
        <v>0</v>
      </c>
      <c r="AD545" s="652">
        <f>IF($B545="",,IF(LEFT($H545,5)="dummy",SUMIFS(AvgBonus[avg_bonus],AvgBonus[job_title],$H545),SUMIFS(AvgBonus[avg_bonus],AvgBonus[exp_item],$J545,AvgBonus[company_name],$B545,AvgBonus[bu_name],$C545,AvgBonus[dept_name],$D545,AvgBonus[team_consolidation],$K545,AvgBonus[location_name],$G545,AvgBonus[job_title],$H545))*AD440*SUM(BonusPayout[Month 19]))</f>
        <v>0</v>
      </c>
      <c r="AE545" s="652">
        <f>IF($B545="",,IF(LEFT($H545,5)="dummy",SUMIFS(AvgBonus[avg_bonus],AvgBonus[job_title],$H545),SUMIFS(AvgBonus[avg_bonus],AvgBonus[exp_item],$J545,AvgBonus[company_name],$B545,AvgBonus[bu_name],$C545,AvgBonus[dept_name],$D545,AvgBonus[team_consolidation],$K545,AvgBonus[location_name],$G545,AvgBonus[job_title],$H545))*AE440*SUM(BonusPayout[Month 20]))</f>
        <v>0</v>
      </c>
      <c r="AF545" s="652">
        <f>IF($B545="",,IF(LEFT($H545,5)="dummy",SUMIFS(AvgBonus[avg_bonus],AvgBonus[job_title],$H545),SUMIFS(AvgBonus[avg_bonus],AvgBonus[exp_item],$J545,AvgBonus[company_name],$B545,AvgBonus[bu_name],$C545,AvgBonus[dept_name],$D545,AvgBonus[team_consolidation],$K545,AvgBonus[location_name],$G545,AvgBonus[job_title],$H545))*AF440*SUM(BonusPayout[Month 21]))</f>
        <v>0</v>
      </c>
      <c r="AG545" s="652">
        <f>IF($B545="",,IF(LEFT($H545,5)="dummy",SUMIFS(AvgBonus[avg_bonus],AvgBonus[job_title],$H545),SUMIFS(AvgBonus[avg_bonus],AvgBonus[exp_item],$J545,AvgBonus[company_name],$B545,AvgBonus[bu_name],$C545,AvgBonus[dept_name],$D545,AvgBonus[team_consolidation],$K545,AvgBonus[location_name],$G545,AvgBonus[job_title],$H545))*AG440*SUM(BonusPayout[Month 22]))</f>
        <v>0</v>
      </c>
      <c r="AH545" s="652">
        <f>IF($B545="",,IF(LEFT($H545,5)="dummy",SUMIFS(AvgBonus[avg_bonus],AvgBonus[job_title],$H545),SUMIFS(AvgBonus[avg_bonus],AvgBonus[exp_item],$J545,AvgBonus[company_name],$B545,AvgBonus[bu_name],$C545,AvgBonus[dept_name],$D545,AvgBonus[team_consolidation],$K545,AvgBonus[location_name],$G545,AvgBonus[job_title],$H545))*AH440*SUM(BonusPayout[Month 23]))</f>
        <v>0</v>
      </c>
      <c r="AI545" s="652">
        <f>IF($B545="",,IF(LEFT($H545,5)="dummy",SUMIFS(AvgBonus[avg_bonus],AvgBonus[job_title],$H545),SUMIFS(AvgBonus[avg_bonus],AvgBonus[exp_item],$J545,AvgBonus[company_name],$B545,AvgBonus[bu_name],$C545,AvgBonus[dept_name],$D545,AvgBonus[team_consolidation],$K545,AvgBonus[location_name],$G545,AvgBonus[job_title],$H545))*AI440*SUM(BonusPayout[Month 24]))</f>
        <v>0</v>
      </c>
      <c r="AJ545" s="652">
        <f>IF($B545="",,IF(LEFT($H545,5)="dummy",SUMIFS(AvgBonus[avg_bonus],AvgBonus[job_title],$H545),SUMIFS(AvgBonus[avg_bonus],AvgBonus[exp_item],$J545,AvgBonus[company_name],$B545,AvgBonus[bu_name],$C545,AvgBonus[dept_name],$D545,AvgBonus[team_consolidation],$K545,AvgBonus[location_name],$G545,AvgBonus[job_title],$H545))*AJ440*SUM(BonusPayout[Month 25]))</f>
        <v>0</v>
      </c>
      <c r="AK545" s="652">
        <f>IF($B545="",,IF(LEFT($H545,5)="dummy",SUMIFS(AvgBonus[avg_bonus],AvgBonus[job_title],$H545),SUMIFS(AvgBonus[avg_bonus],AvgBonus[exp_item],$J545,AvgBonus[company_name],$B545,AvgBonus[bu_name],$C545,AvgBonus[dept_name],$D545,AvgBonus[team_consolidation],$K545,AvgBonus[location_name],$G545,AvgBonus[job_title],$H545))*AK440*SUM(BonusPayout[Month 26]))</f>
        <v>0</v>
      </c>
      <c r="AL545" s="652">
        <f>IF($B545="",,IF(LEFT($H545,5)="dummy",SUMIFS(AvgBonus[avg_bonus],AvgBonus[job_title],$H545),SUMIFS(AvgBonus[avg_bonus],AvgBonus[exp_item],$J545,AvgBonus[company_name],$B545,AvgBonus[bu_name],$C545,AvgBonus[dept_name],$D545,AvgBonus[team_consolidation],$K545,AvgBonus[location_name],$G545,AvgBonus[job_title],$H545))*AL440*SUM(BonusPayout[Month 27]))</f>
        <v>0</v>
      </c>
      <c r="AM545" s="652">
        <f>IF($B545="",,IF(LEFT($H545,5)="dummy",SUMIFS(AvgBonus[avg_bonus],AvgBonus[job_title],$H545),SUMIFS(AvgBonus[avg_bonus],AvgBonus[exp_item],$J545,AvgBonus[company_name],$B545,AvgBonus[bu_name],$C545,AvgBonus[dept_name],$D545,AvgBonus[team_consolidation],$K545,AvgBonus[location_name],$G545,AvgBonus[job_title],$H545))*AM440*SUM(BonusPayout[Month 28]))</f>
        <v>0</v>
      </c>
      <c r="AN545" s="652">
        <f>IF($B545="",,IF(LEFT($H545,5)="dummy",SUMIFS(AvgBonus[avg_bonus],AvgBonus[job_title],$H545),SUMIFS(AvgBonus[avg_bonus],AvgBonus[exp_item],$J545,AvgBonus[company_name],$B545,AvgBonus[bu_name],$C545,AvgBonus[dept_name],$D545,AvgBonus[team_consolidation],$K545,AvgBonus[location_name],$G545,AvgBonus[job_title],$H545))*AN440*SUM(BonusPayout[Month 29]))</f>
        <v>0</v>
      </c>
      <c r="AO545" s="652">
        <f>IF($B545="",,IF(LEFT($H545,5)="dummy",SUMIFS(AvgBonus[avg_bonus],AvgBonus[job_title],$H545),SUMIFS(AvgBonus[avg_bonus],AvgBonus[exp_item],$J545,AvgBonus[company_name],$B545,AvgBonus[bu_name],$C545,AvgBonus[dept_name],$D545,AvgBonus[team_consolidation],$K545,AvgBonus[location_name],$G545,AvgBonus[job_title],$H545))*AO440*SUM(BonusPayout[Month 30]))</f>
        <v>0</v>
      </c>
      <c r="AP545" s="652">
        <f>IF($B545="",,IF(LEFT($H545,5)="dummy",SUMIFS(AvgBonus[avg_bonus],AvgBonus[job_title],$H545),SUMIFS(AvgBonus[avg_bonus],AvgBonus[exp_item],$J545,AvgBonus[company_name],$B545,AvgBonus[bu_name],$C545,AvgBonus[dept_name],$D545,AvgBonus[team_consolidation],$K545,AvgBonus[location_name],$G545,AvgBonus[job_title],$H545))*AP440*SUM(BonusPayout[Month 31]))</f>
        <v>0</v>
      </c>
      <c r="AQ545" s="652">
        <f>IF($B545="",,IF(LEFT($H545,5)="dummy",SUMIFS(AvgBonus[avg_bonus],AvgBonus[job_title],$H545),SUMIFS(AvgBonus[avg_bonus],AvgBonus[exp_item],$J545,AvgBonus[company_name],$B545,AvgBonus[bu_name],$C545,AvgBonus[dept_name],$D545,AvgBonus[team_consolidation],$K545,AvgBonus[location_name],$G545,AvgBonus[job_title],$H545))*AQ440*SUM(BonusPayout[Month 32]))</f>
        <v>0</v>
      </c>
      <c r="AR545" s="652">
        <f>IF($B545="",,IF(LEFT($H545,5)="dummy",SUMIFS(AvgBonus[avg_bonus],AvgBonus[job_title],$H545),SUMIFS(AvgBonus[avg_bonus],AvgBonus[exp_item],$J545,AvgBonus[company_name],$B545,AvgBonus[bu_name],$C545,AvgBonus[dept_name],$D545,AvgBonus[team_consolidation],$K545,AvgBonus[location_name],$G545,AvgBonus[job_title],$H545))*AR440*SUM(BonusPayout[Month 33]))</f>
        <v>0</v>
      </c>
      <c r="AS545" s="652">
        <f>IF($B545="",,IF(LEFT($H545,5)="dummy",SUMIFS(AvgBonus[avg_bonus],AvgBonus[job_title],$H545),SUMIFS(AvgBonus[avg_bonus],AvgBonus[exp_item],$J545,AvgBonus[company_name],$B545,AvgBonus[bu_name],$C545,AvgBonus[dept_name],$D545,AvgBonus[team_consolidation],$K545,AvgBonus[location_name],$G545,AvgBonus[job_title],$H545))*AS440*SUM(BonusPayout[Month 34]))</f>
        <v>0</v>
      </c>
      <c r="AT545" s="652">
        <f>IF($B545="",,IF(LEFT($H545,5)="dummy",SUMIFS(AvgBonus[avg_bonus],AvgBonus[job_title],$H545),SUMIFS(AvgBonus[avg_bonus],AvgBonus[exp_item],$J545,AvgBonus[company_name],$B545,AvgBonus[bu_name],$C545,AvgBonus[dept_name],$D545,AvgBonus[team_consolidation],$K545,AvgBonus[location_name],$G545,AvgBonus[job_title],$H545))*AT440*SUM(BonusPayout[Month 35]))</f>
        <v>0</v>
      </c>
      <c r="AU545" s="652">
        <f>IF($B545="",,IF(LEFT($H545,5)="dummy",SUMIFS(AvgBonus[avg_bonus],AvgBonus[job_title],$H545),SUMIFS(AvgBonus[avg_bonus],AvgBonus[exp_item],$J545,AvgBonus[company_name],$B545,AvgBonus[bu_name],$C545,AvgBonus[dept_name],$D545,AvgBonus[team_consolidation],$K545,AvgBonus[location_name],$G545,AvgBonus[job_title],$H545))*AU440*SUM(BonusPayout[Month 36]))</f>
        <v>0</v>
      </c>
    </row>
    <row r="546" spans="2:47" x14ac:dyDescent="0.35">
      <c r="B546" t="str">
        <f t="shared" si="327"/>
        <v/>
      </c>
      <c r="C546" t="str">
        <f t="shared" ref="C546:G546" si="340">IF(C441="","",C441)</f>
        <v/>
      </c>
      <c r="D546" t="str">
        <f t="shared" si="340"/>
        <v/>
      </c>
      <c r="E546" t="str">
        <f t="shared" si="340"/>
        <v/>
      </c>
      <c r="F546" t="str">
        <f t="shared" si="340"/>
        <v/>
      </c>
      <c r="G546" t="str">
        <f t="shared" si="340"/>
        <v/>
      </c>
      <c r="H546" t="str">
        <f t="shared" si="326"/>
        <v/>
      </c>
      <c r="J546" t="str">
        <f>IF($H546="","",IF(VLOOKUP($B$500,ExpItems[],2,0),$B$500&amp;" - "&amp;INDEX(DivisionMapping[category_code],MATCH($D546&amp;$C546,DivisionMapping[dept_bu],0)),$B$500))</f>
        <v/>
      </c>
      <c r="K546" t="str">
        <f t="shared" si="294"/>
        <v/>
      </c>
      <c r="L546" s="652">
        <f>IF($B546="",,IF(LEFT($H546,5)="dummy",SUMIFS(AvgBonus[avg_bonus],AvgBonus[job_title],$H546),SUMIFS(AvgBonus[avg_bonus],AvgBonus[exp_item],$J546,AvgBonus[company_name],$B546,AvgBonus[bu_name],$C546,AvgBonus[dept_name],$D546,AvgBonus[team_consolidation],$K546,AvgBonus[location_name],$G546,AvgBonus[job_title],$H546))*L441*SUM(BonusPayout[Month 1]))</f>
        <v>0</v>
      </c>
      <c r="M546" s="652">
        <f>IF($B546="",,IF(LEFT($H546,5)="dummy",SUMIFS(AvgBonus[avg_bonus],AvgBonus[job_title],$H546),SUMIFS(AvgBonus[avg_bonus],AvgBonus[exp_item],$J546,AvgBonus[company_name],$B546,AvgBonus[bu_name],$C546,AvgBonus[dept_name],$D546,AvgBonus[team_consolidation],$K546,AvgBonus[location_name],$G546,AvgBonus[job_title],$H546))*M441*SUM(BonusPayout[Month 2]))</f>
        <v>0</v>
      </c>
      <c r="N546" s="652">
        <f>IF($B546="",,IF(LEFT($H546,5)="dummy",SUMIFS(AvgBonus[avg_bonus],AvgBonus[job_title],$H546),SUMIFS(AvgBonus[avg_bonus],AvgBonus[exp_item],$J546,AvgBonus[company_name],$B546,AvgBonus[bu_name],$C546,AvgBonus[dept_name],$D546,AvgBonus[team_consolidation],$K546,AvgBonus[location_name],$G546,AvgBonus[job_title],$H546))*N441*SUM(BonusPayout[Month 3]))</f>
        <v>0</v>
      </c>
      <c r="O546" s="652">
        <f>IF($B546="",,IF(LEFT($H546,5)="dummy",SUMIFS(AvgBonus[avg_bonus],AvgBonus[job_title],$H546),SUMIFS(AvgBonus[avg_bonus],AvgBonus[exp_item],$J546,AvgBonus[company_name],$B546,AvgBonus[bu_name],$C546,AvgBonus[dept_name],$D546,AvgBonus[team_consolidation],$K546,AvgBonus[location_name],$G546,AvgBonus[job_title],$H546))*O441*SUM(BonusPayout[Month 4]))</f>
        <v>0</v>
      </c>
      <c r="P546" s="652">
        <f>IF($B546="",,IF(LEFT($H546,5)="dummy",SUMIFS(AvgBonus[avg_bonus],AvgBonus[job_title],$H546),SUMIFS(AvgBonus[avg_bonus],AvgBonus[exp_item],$J546,AvgBonus[company_name],$B546,AvgBonus[bu_name],$C546,AvgBonus[dept_name],$D546,AvgBonus[team_consolidation],$K546,AvgBonus[location_name],$G546,AvgBonus[job_title],$H546))*P441*SUM(BonusPayout[Month 5]))</f>
        <v>0</v>
      </c>
      <c r="Q546" s="652">
        <f>IF($B546="",,IF(LEFT($H546,5)="dummy",SUMIFS(AvgBonus[avg_bonus],AvgBonus[job_title],$H546),SUMIFS(AvgBonus[avg_bonus],AvgBonus[exp_item],$J546,AvgBonus[company_name],$B546,AvgBonus[bu_name],$C546,AvgBonus[dept_name],$D546,AvgBonus[team_consolidation],$K546,AvgBonus[location_name],$G546,AvgBonus[job_title],$H546))*Q441*SUM(BonusPayout[Month 6]))</f>
        <v>0</v>
      </c>
      <c r="R546" s="652">
        <f>IF($B546="",,IF(LEFT($H546,5)="dummy",SUMIFS(AvgBonus[avg_bonus],AvgBonus[job_title],$H546),SUMIFS(AvgBonus[avg_bonus],AvgBonus[exp_item],$J546,AvgBonus[company_name],$B546,AvgBonus[bu_name],$C546,AvgBonus[dept_name],$D546,AvgBonus[team_consolidation],$K546,AvgBonus[location_name],$G546,AvgBonus[job_title],$H546))*R441*SUM(BonusPayout[Month 7]))</f>
        <v>0</v>
      </c>
      <c r="S546" s="652">
        <f>IF($B546="",,IF(LEFT($H546,5)="dummy",SUMIFS(AvgBonus[avg_bonus],AvgBonus[job_title],$H546),SUMIFS(AvgBonus[avg_bonus],AvgBonus[exp_item],$J546,AvgBonus[company_name],$B546,AvgBonus[bu_name],$C546,AvgBonus[dept_name],$D546,AvgBonus[team_consolidation],$K546,AvgBonus[location_name],$G546,AvgBonus[job_title],$H546))*S441*SUM(BonusPayout[Month 8]))</f>
        <v>0</v>
      </c>
      <c r="T546" s="652">
        <f>IF($B546="",,IF(LEFT($H546,5)="dummy",SUMIFS(AvgBonus[avg_bonus],AvgBonus[job_title],$H546),SUMIFS(AvgBonus[avg_bonus],AvgBonus[exp_item],$J546,AvgBonus[company_name],$B546,AvgBonus[bu_name],$C546,AvgBonus[dept_name],$D546,AvgBonus[team_consolidation],$K546,AvgBonus[location_name],$G546,AvgBonus[job_title],$H546))*T441*SUM(BonusPayout[Month 9]))</f>
        <v>0</v>
      </c>
      <c r="U546" s="652">
        <f>IF($B546="",,IF(LEFT($H546,5)="dummy",SUMIFS(AvgBonus[avg_bonus],AvgBonus[job_title],$H546),SUMIFS(AvgBonus[avg_bonus],AvgBonus[exp_item],$J546,AvgBonus[company_name],$B546,AvgBonus[bu_name],$C546,AvgBonus[dept_name],$D546,AvgBonus[team_consolidation],$K546,AvgBonus[location_name],$G546,AvgBonus[job_title],$H546))*U441*SUM(BonusPayout[Month 10]))</f>
        <v>0</v>
      </c>
      <c r="V546" s="652">
        <f>IF($B546="",,IF(LEFT($H546,5)="dummy",SUMIFS(AvgBonus[avg_bonus],AvgBonus[job_title],$H546),SUMIFS(AvgBonus[avg_bonus],AvgBonus[exp_item],$J546,AvgBonus[company_name],$B546,AvgBonus[bu_name],$C546,AvgBonus[dept_name],$D546,AvgBonus[team_consolidation],$K546,AvgBonus[location_name],$G546,AvgBonus[job_title],$H546))*V441*SUM(BonusPayout[Month 11]))</f>
        <v>0</v>
      </c>
      <c r="W546" s="652">
        <f>IF($B546="",,IF(LEFT($H546,5)="dummy",SUMIFS(AvgBonus[avg_bonus],AvgBonus[job_title],$H546),SUMIFS(AvgBonus[avg_bonus],AvgBonus[exp_item],$J546,AvgBonus[company_name],$B546,AvgBonus[bu_name],$C546,AvgBonus[dept_name],$D546,AvgBonus[team_consolidation],$K546,AvgBonus[location_name],$G546,AvgBonus[job_title],$H546))*W441*SUM(BonusPayout[Month 12]))</f>
        <v>0</v>
      </c>
      <c r="X546" s="652">
        <f>IF($B546="",,IF(LEFT($H546,5)="dummy",SUMIFS(AvgBonus[avg_bonus],AvgBonus[job_title],$H546),SUMIFS(AvgBonus[avg_bonus],AvgBonus[exp_item],$J546,AvgBonus[company_name],$B546,AvgBonus[bu_name],$C546,AvgBonus[dept_name],$D546,AvgBonus[team_consolidation],$K546,AvgBonus[location_name],$G546,AvgBonus[job_title],$H546))*X441*SUM(BonusPayout[Month 13]))</f>
        <v>0</v>
      </c>
      <c r="Y546" s="652">
        <f>IF($B546="",,IF(LEFT($H546,5)="dummy",SUMIFS(AvgBonus[avg_bonus],AvgBonus[job_title],$H546),SUMIFS(AvgBonus[avg_bonus],AvgBonus[exp_item],$J546,AvgBonus[company_name],$B546,AvgBonus[bu_name],$C546,AvgBonus[dept_name],$D546,AvgBonus[team_consolidation],$K546,AvgBonus[location_name],$G546,AvgBonus[job_title],$H546))*Y441*SUM(BonusPayout[Month 14]))</f>
        <v>0</v>
      </c>
      <c r="Z546" s="652">
        <f>IF($B546="",,IF(LEFT($H546,5)="dummy",SUMIFS(AvgBonus[avg_bonus],AvgBonus[job_title],$H546),SUMIFS(AvgBonus[avg_bonus],AvgBonus[exp_item],$J546,AvgBonus[company_name],$B546,AvgBonus[bu_name],$C546,AvgBonus[dept_name],$D546,AvgBonus[team_consolidation],$K546,AvgBonus[location_name],$G546,AvgBonus[job_title],$H546))*Z441*SUM(BonusPayout[Month 15]))</f>
        <v>0</v>
      </c>
      <c r="AA546" s="652">
        <f>IF($B546="",,IF(LEFT($H546,5)="dummy",SUMIFS(AvgBonus[avg_bonus],AvgBonus[job_title],$H546),SUMIFS(AvgBonus[avg_bonus],AvgBonus[exp_item],$J546,AvgBonus[company_name],$B546,AvgBonus[bu_name],$C546,AvgBonus[dept_name],$D546,AvgBonus[team_consolidation],$K546,AvgBonus[location_name],$G546,AvgBonus[job_title],$H546))*AA441*SUM(BonusPayout[Month 16]))</f>
        <v>0</v>
      </c>
      <c r="AB546" s="652">
        <f>IF($B546="",,IF(LEFT($H546,5)="dummy",SUMIFS(AvgBonus[avg_bonus],AvgBonus[job_title],$H546),SUMIFS(AvgBonus[avg_bonus],AvgBonus[exp_item],$J546,AvgBonus[company_name],$B546,AvgBonus[bu_name],$C546,AvgBonus[dept_name],$D546,AvgBonus[team_consolidation],$K546,AvgBonus[location_name],$G546,AvgBonus[job_title],$H546))*AB441*SUM(BonusPayout[Month 17]))</f>
        <v>0</v>
      </c>
      <c r="AC546" s="652">
        <f>IF($B546="",,IF(LEFT($H546,5)="dummy",SUMIFS(AvgBonus[avg_bonus],AvgBonus[job_title],$H546),SUMIFS(AvgBonus[avg_bonus],AvgBonus[exp_item],$J546,AvgBonus[company_name],$B546,AvgBonus[bu_name],$C546,AvgBonus[dept_name],$D546,AvgBonus[team_consolidation],$K546,AvgBonus[location_name],$G546,AvgBonus[job_title],$H546))*AC441*SUM(BonusPayout[Month 18]))</f>
        <v>0</v>
      </c>
      <c r="AD546" s="652">
        <f>IF($B546="",,IF(LEFT($H546,5)="dummy",SUMIFS(AvgBonus[avg_bonus],AvgBonus[job_title],$H546),SUMIFS(AvgBonus[avg_bonus],AvgBonus[exp_item],$J546,AvgBonus[company_name],$B546,AvgBonus[bu_name],$C546,AvgBonus[dept_name],$D546,AvgBonus[team_consolidation],$K546,AvgBonus[location_name],$G546,AvgBonus[job_title],$H546))*AD441*SUM(BonusPayout[Month 19]))</f>
        <v>0</v>
      </c>
      <c r="AE546" s="652">
        <f>IF($B546="",,IF(LEFT($H546,5)="dummy",SUMIFS(AvgBonus[avg_bonus],AvgBonus[job_title],$H546),SUMIFS(AvgBonus[avg_bonus],AvgBonus[exp_item],$J546,AvgBonus[company_name],$B546,AvgBonus[bu_name],$C546,AvgBonus[dept_name],$D546,AvgBonus[team_consolidation],$K546,AvgBonus[location_name],$G546,AvgBonus[job_title],$H546))*AE441*SUM(BonusPayout[Month 20]))</f>
        <v>0</v>
      </c>
      <c r="AF546" s="652">
        <f>IF($B546="",,IF(LEFT($H546,5)="dummy",SUMIFS(AvgBonus[avg_bonus],AvgBonus[job_title],$H546),SUMIFS(AvgBonus[avg_bonus],AvgBonus[exp_item],$J546,AvgBonus[company_name],$B546,AvgBonus[bu_name],$C546,AvgBonus[dept_name],$D546,AvgBonus[team_consolidation],$K546,AvgBonus[location_name],$G546,AvgBonus[job_title],$H546))*AF441*SUM(BonusPayout[Month 21]))</f>
        <v>0</v>
      </c>
      <c r="AG546" s="652">
        <f>IF($B546="",,IF(LEFT($H546,5)="dummy",SUMIFS(AvgBonus[avg_bonus],AvgBonus[job_title],$H546),SUMIFS(AvgBonus[avg_bonus],AvgBonus[exp_item],$J546,AvgBonus[company_name],$B546,AvgBonus[bu_name],$C546,AvgBonus[dept_name],$D546,AvgBonus[team_consolidation],$K546,AvgBonus[location_name],$G546,AvgBonus[job_title],$H546))*AG441*SUM(BonusPayout[Month 22]))</f>
        <v>0</v>
      </c>
      <c r="AH546" s="652">
        <f>IF($B546="",,IF(LEFT($H546,5)="dummy",SUMIFS(AvgBonus[avg_bonus],AvgBonus[job_title],$H546),SUMIFS(AvgBonus[avg_bonus],AvgBonus[exp_item],$J546,AvgBonus[company_name],$B546,AvgBonus[bu_name],$C546,AvgBonus[dept_name],$D546,AvgBonus[team_consolidation],$K546,AvgBonus[location_name],$G546,AvgBonus[job_title],$H546))*AH441*SUM(BonusPayout[Month 23]))</f>
        <v>0</v>
      </c>
      <c r="AI546" s="652">
        <f>IF($B546="",,IF(LEFT($H546,5)="dummy",SUMIFS(AvgBonus[avg_bonus],AvgBonus[job_title],$H546),SUMIFS(AvgBonus[avg_bonus],AvgBonus[exp_item],$J546,AvgBonus[company_name],$B546,AvgBonus[bu_name],$C546,AvgBonus[dept_name],$D546,AvgBonus[team_consolidation],$K546,AvgBonus[location_name],$G546,AvgBonus[job_title],$H546))*AI441*SUM(BonusPayout[Month 24]))</f>
        <v>0</v>
      </c>
      <c r="AJ546" s="652">
        <f>IF($B546="",,IF(LEFT($H546,5)="dummy",SUMIFS(AvgBonus[avg_bonus],AvgBonus[job_title],$H546),SUMIFS(AvgBonus[avg_bonus],AvgBonus[exp_item],$J546,AvgBonus[company_name],$B546,AvgBonus[bu_name],$C546,AvgBonus[dept_name],$D546,AvgBonus[team_consolidation],$K546,AvgBonus[location_name],$G546,AvgBonus[job_title],$H546))*AJ441*SUM(BonusPayout[Month 25]))</f>
        <v>0</v>
      </c>
      <c r="AK546" s="652">
        <f>IF($B546="",,IF(LEFT($H546,5)="dummy",SUMIFS(AvgBonus[avg_bonus],AvgBonus[job_title],$H546),SUMIFS(AvgBonus[avg_bonus],AvgBonus[exp_item],$J546,AvgBonus[company_name],$B546,AvgBonus[bu_name],$C546,AvgBonus[dept_name],$D546,AvgBonus[team_consolidation],$K546,AvgBonus[location_name],$G546,AvgBonus[job_title],$H546))*AK441*SUM(BonusPayout[Month 26]))</f>
        <v>0</v>
      </c>
      <c r="AL546" s="652">
        <f>IF($B546="",,IF(LEFT($H546,5)="dummy",SUMIFS(AvgBonus[avg_bonus],AvgBonus[job_title],$H546),SUMIFS(AvgBonus[avg_bonus],AvgBonus[exp_item],$J546,AvgBonus[company_name],$B546,AvgBonus[bu_name],$C546,AvgBonus[dept_name],$D546,AvgBonus[team_consolidation],$K546,AvgBonus[location_name],$G546,AvgBonus[job_title],$H546))*AL441*SUM(BonusPayout[Month 27]))</f>
        <v>0</v>
      </c>
      <c r="AM546" s="652">
        <f>IF($B546="",,IF(LEFT($H546,5)="dummy",SUMIFS(AvgBonus[avg_bonus],AvgBonus[job_title],$H546),SUMIFS(AvgBonus[avg_bonus],AvgBonus[exp_item],$J546,AvgBonus[company_name],$B546,AvgBonus[bu_name],$C546,AvgBonus[dept_name],$D546,AvgBonus[team_consolidation],$K546,AvgBonus[location_name],$G546,AvgBonus[job_title],$H546))*AM441*SUM(BonusPayout[Month 28]))</f>
        <v>0</v>
      </c>
      <c r="AN546" s="652">
        <f>IF($B546="",,IF(LEFT($H546,5)="dummy",SUMIFS(AvgBonus[avg_bonus],AvgBonus[job_title],$H546),SUMIFS(AvgBonus[avg_bonus],AvgBonus[exp_item],$J546,AvgBonus[company_name],$B546,AvgBonus[bu_name],$C546,AvgBonus[dept_name],$D546,AvgBonus[team_consolidation],$K546,AvgBonus[location_name],$G546,AvgBonus[job_title],$H546))*AN441*SUM(BonusPayout[Month 29]))</f>
        <v>0</v>
      </c>
      <c r="AO546" s="652">
        <f>IF($B546="",,IF(LEFT($H546,5)="dummy",SUMIFS(AvgBonus[avg_bonus],AvgBonus[job_title],$H546),SUMIFS(AvgBonus[avg_bonus],AvgBonus[exp_item],$J546,AvgBonus[company_name],$B546,AvgBonus[bu_name],$C546,AvgBonus[dept_name],$D546,AvgBonus[team_consolidation],$K546,AvgBonus[location_name],$G546,AvgBonus[job_title],$H546))*AO441*SUM(BonusPayout[Month 30]))</f>
        <v>0</v>
      </c>
      <c r="AP546" s="652">
        <f>IF($B546="",,IF(LEFT($H546,5)="dummy",SUMIFS(AvgBonus[avg_bonus],AvgBonus[job_title],$H546),SUMIFS(AvgBonus[avg_bonus],AvgBonus[exp_item],$J546,AvgBonus[company_name],$B546,AvgBonus[bu_name],$C546,AvgBonus[dept_name],$D546,AvgBonus[team_consolidation],$K546,AvgBonus[location_name],$G546,AvgBonus[job_title],$H546))*AP441*SUM(BonusPayout[Month 31]))</f>
        <v>0</v>
      </c>
      <c r="AQ546" s="652">
        <f>IF($B546="",,IF(LEFT($H546,5)="dummy",SUMIFS(AvgBonus[avg_bonus],AvgBonus[job_title],$H546),SUMIFS(AvgBonus[avg_bonus],AvgBonus[exp_item],$J546,AvgBonus[company_name],$B546,AvgBonus[bu_name],$C546,AvgBonus[dept_name],$D546,AvgBonus[team_consolidation],$K546,AvgBonus[location_name],$G546,AvgBonus[job_title],$H546))*AQ441*SUM(BonusPayout[Month 32]))</f>
        <v>0</v>
      </c>
      <c r="AR546" s="652">
        <f>IF($B546="",,IF(LEFT($H546,5)="dummy",SUMIFS(AvgBonus[avg_bonus],AvgBonus[job_title],$H546),SUMIFS(AvgBonus[avg_bonus],AvgBonus[exp_item],$J546,AvgBonus[company_name],$B546,AvgBonus[bu_name],$C546,AvgBonus[dept_name],$D546,AvgBonus[team_consolidation],$K546,AvgBonus[location_name],$G546,AvgBonus[job_title],$H546))*AR441*SUM(BonusPayout[Month 33]))</f>
        <v>0</v>
      </c>
      <c r="AS546" s="652">
        <f>IF($B546="",,IF(LEFT($H546,5)="dummy",SUMIFS(AvgBonus[avg_bonus],AvgBonus[job_title],$H546),SUMIFS(AvgBonus[avg_bonus],AvgBonus[exp_item],$J546,AvgBonus[company_name],$B546,AvgBonus[bu_name],$C546,AvgBonus[dept_name],$D546,AvgBonus[team_consolidation],$K546,AvgBonus[location_name],$G546,AvgBonus[job_title],$H546))*AS441*SUM(BonusPayout[Month 34]))</f>
        <v>0</v>
      </c>
      <c r="AT546" s="652">
        <f>IF($B546="",,IF(LEFT($H546,5)="dummy",SUMIFS(AvgBonus[avg_bonus],AvgBonus[job_title],$H546),SUMIFS(AvgBonus[avg_bonus],AvgBonus[exp_item],$J546,AvgBonus[company_name],$B546,AvgBonus[bu_name],$C546,AvgBonus[dept_name],$D546,AvgBonus[team_consolidation],$K546,AvgBonus[location_name],$G546,AvgBonus[job_title],$H546))*AT441*SUM(BonusPayout[Month 35]))</f>
        <v>0</v>
      </c>
      <c r="AU546" s="652">
        <f>IF($B546="",,IF(LEFT($H546,5)="dummy",SUMIFS(AvgBonus[avg_bonus],AvgBonus[job_title],$H546),SUMIFS(AvgBonus[avg_bonus],AvgBonus[exp_item],$J546,AvgBonus[company_name],$B546,AvgBonus[bu_name],$C546,AvgBonus[dept_name],$D546,AvgBonus[team_consolidation],$K546,AvgBonus[location_name],$G546,AvgBonus[job_title],$H546))*AU441*SUM(BonusPayout[Month 36]))</f>
        <v>0</v>
      </c>
    </row>
    <row r="547" spans="2:47" x14ac:dyDescent="0.35">
      <c r="B547" t="str">
        <f t="shared" si="327"/>
        <v/>
      </c>
      <c r="C547" t="str">
        <f t="shared" ref="C547:G547" si="341">IF(C442="","",C442)</f>
        <v/>
      </c>
      <c r="D547" t="str">
        <f t="shared" si="341"/>
        <v/>
      </c>
      <c r="E547" t="str">
        <f t="shared" si="341"/>
        <v/>
      </c>
      <c r="F547" t="str">
        <f t="shared" si="341"/>
        <v/>
      </c>
      <c r="G547" t="str">
        <f t="shared" si="341"/>
        <v/>
      </c>
      <c r="H547" t="str">
        <f t="shared" si="326"/>
        <v/>
      </c>
      <c r="J547" t="str">
        <f>IF($H547="","",IF(VLOOKUP($B$500,ExpItems[],2,0),$B$500&amp;" - "&amp;INDEX(DivisionMapping[category_code],MATCH($D547&amp;$C547,DivisionMapping[dept_bu],0)),$B$500))</f>
        <v/>
      </c>
      <c r="K547" t="str">
        <f t="shared" si="294"/>
        <v/>
      </c>
      <c r="L547" s="652">
        <f>IF($B547="",,IF(LEFT($H547,5)="dummy",SUMIFS(AvgBonus[avg_bonus],AvgBonus[job_title],$H547),SUMIFS(AvgBonus[avg_bonus],AvgBonus[exp_item],$J547,AvgBonus[company_name],$B547,AvgBonus[bu_name],$C547,AvgBonus[dept_name],$D547,AvgBonus[team_consolidation],$K547,AvgBonus[location_name],$G547,AvgBonus[job_title],$H547))*L442*SUM(BonusPayout[Month 1]))</f>
        <v>0</v>
      </c>
      <c r="M547" s="652">
        <f>IF($B547="",,IF(LEFT($H547,5)="dummy",SUMIFS(AvgBonus[avg_bonus],AvgBonus[job_title],$H547),SUMIFS(AvgBonus[avg_bonus],AvgBonus[exp_item],$J547,AvgBonus[company_name],$B547,AvgBonus[bu_name],$C547,AvgBonus[dept_name],$D547,AvgBonus[team_consolidation],$K547,AvgBonus[location_name],$G547,AvgBonus[job_title],$H547))*M442*SUM(BonusPayout[Month 2]))</f>
        <v>0</v>
      </c>
      <c r="N547" s="652">
        <f>IF($B547="",,IF(LEFT($H547,5)="dummy",SUMIFS(AvgBonus[avg_bonus],AvgBonus[job_title],$H547),SUMIFS(AvgBonus[avg_bonus],AvgBonus[exp_item],$J547,AvgBonus[company_name],$B547,AvgBonus[bu_name],$C547,AvgBonus[dept_name],$D547,AvgBonus[team_consolidation],$K547,AvgBonus[location_name],$G547,AvgBonus[job_title],$H547))*N442*SUM(BonusPayout[Month 3]))</f>
        <v>0</v>
      </c>
      <c r="O547" s="652">
        <f>IF($B547="",,IF(LEFT($H547,5)="dummy",SUMIFS(AvgBonus[avg_bonus],AvgBonus[job_title],$H547),SUMIFS(AvgBonus[avg_bonus],AvgBonus[exp_item],$J547,AvgBonus[company_name],$B547,AvgBonus[bu_name],$C547,AvgBonus[dept_name],$D547,AvgBonus[team_consolidation],$K547,AvgBonus[location_name],$G547,AvgBonus[job_title],$H547))*O442*SUM(BonusPayout[Month 4]))</f>
        <v>0</v>
      </c>
      <c r="P547" s="652">
        <f>IF($B547="",,IF(LEFT($H547,5)="dummy",SUMIFS(AvgBonus[avg_bonus],AvgBonus[job_title],$H547),SUMIFS(AvgBonus[avg_bonus],AvgBonus[exp_item],$J547,AvgBonus[company_name],$B547,AvgBonus[bu_name],$C547,AvgBonus[dept_name],$D547,AvgBonus[team_consolidation],$K547,AvgBonus[location_name],$G547,AvgBonus[job_title],$H547))*P442*SUM(BonusPayout[Month 5]))</f>
        <v>0</v>
      </c>
      <c r="Q547" s="652">
        <f>IF($B547="",,IF(LEFT($H547,5)="dummy",SUMIFS(AvgBonus[avg_bonus],AvgBonus[job_title],$H547),SUMIFS(AvgBonus[avg_bonus],AvgBonus[exp_item],$J547,AvgBonus[company_name],$B547,AvgBonus[bu_name],$C547,AvgBonus[dept_name],$D547,AvgBonus[team_consolidation],$K547,AvgBonus[location_name],$G547,AvgBonus[job_title],$H547))*Q442*SUM(BonusPayout[Month 6]))</f>
        <v>0</v>
      </c>
      <c r="R547" s="652">
        <f>IF($B547="",,IF(LEFT($H547,5)="dummy",SUMIFS(AvgBonus[avg_bonus],AvgBonus[job_title],$H547),SUMIFS(AvgBonus[avg_bonus],AvgBonus[exp_item],$J547,AvgBonus[company_name],$B547,AvgBonus[bu_name],$C547,AvgBonus[dept_name],$D547,AvgBonus[team_consolidation],$K547,AvgBonus[location_name],$G547,AvgBonus[job_title],$H547))*R442*SUM(BonusPayout[Month 7]))</f>
        <v>0</v>
      </c>
      <c r="S547" s="652">
        <f>IF($B547="",,IF(LEFT($H547,5)="dummy",SUMIFS(AvgBonus[avg_bonus],AvgBonus[job_title],$H547),SUMIFS(AvgBonus[avg_bonus],AvgBonus[exp_item],$J547,AvgBonus[company_name],$B547,AvgBonus[bu_name],$C547,AvgBonus[dept_name],$D547,AvgBonus[team_consolidation],$K547,AvgBonus[location_name],$G547,AvgBonus[job_title],$H547))*S442*SUM(BonusPayout[Month 8]))</f>
        <v>0</v>
      </c>
      <c r="T547" s="652">
        <f>IF($B547="",,IF(LEFT($H547,5)="dummy",SUMIFS(AvgBonus[avg_bonus],AvgBonus[job_title],$H547),SUMIFS(AvgBonus[avg_bonus],AvgBonus[exp_item],$J547,AvgBonus[company_name],$B547,AvgBonus[bu_name],$C547,AvgBonus[dept_name],$D547,AvgBonus[team_consolidation],$K547,AvgBonus[location_name],$G547,AvgBonus[job_title],$H547))*T442*SUM(BonusPayout[Month 9]))</f>
        <v>0</v>
      </c>
      <c r="U547" s="652">
        <f>IF($B547="",,IF(LEFT($H547,5)="dummy",SUMIFS(AvgBonus[avg_bonus],AvgBonus[job_title],$H547),SUMIFS(AvgBonus[avg_bonus],AvgBonus[exp_item],$J547,AvgBonus[company_name],$B547,AvgBonus[bu_name],$C547,AvgBonus[dept_name],$D547,AvgBonus[team_consolidation],$K547,AvgBonus[location_name],$G547,AvgBonus[job_title],$H547))*U442*SUM(BonusPayout[Month 10]))</f>
        <v>0</v>
      </c>
      <c r="V547" s="652">
        <f>IF($B547="",,IF(LEFT($H547,5)="dummy",SUMIFS(AvgBonus[avg_bonus],AvgBonus[job_title],$H547),SUMIFS(AvgBonus[avg_bonus],AvgBonus[exp_item],$J547,AvgBonus[company_name],$B547,AvgBonus[bu_name],$C547,AvgBonus[dept_name],$D547,AvgBonus[team_consolidation],$K547,AvgBonus[location_name],$G547,AvgBonus[job_title],$H547))*V442*SUM(BonusPayout[Month 11]))</f>
        <v>0</v>
      </c>
      <c r="W547" s="652">
        <f>IF($B547="",,IF(LEFT($H547,5)="dummy",SUMIFS(AvgBonus[avg_bonus],AvgBonus[job_title],$H547),SUMIFS(AvgBonus[avg_bonus],AvgBonus[exp_item],$J547,AvgBonus[company_name],$B547,AvgBonus[bu_name],$C547,AvgBonus[dept_name],$D547,AvgBonus[team_consolidation],$K547,AvgBonus[location_name],$G547,AvgBonus[job_title],$H547))*W442*SUM(BonusPayout[Month 12]))</f>
        <v>0</v>
      </c>
      <c r="X547" s="652">
        <f>IF($B547="",,IF(LEFT($H547,5)="dummy",SUMIFS(AvgBonus[avg_bonus],AvgBonus[job_title],$H547),SUMIFS(AvgBonus[avg_bonus],AvgBonus[exp_item],$J547,AvgBonus[company_name],$B547,AvgBonus[bu_name],$C547,AvgBonus[dept_name],$D547,AvgBonus[team_consolidation],$K547,AvgBonus[location_name],$G547,AvgBonus[job_title],$H547))*X442*SUM(BonusPayout[Month 13]))</f>
        <v>0</v>
      </c>
      <c r="Y547" s="652">
        <f>IF($B547="",,IF(LEFT($H547,5)="dummy",SUMIFS(AvgBonus[avg_bonus],AvgBonus[job_title],$H547),SUMIFS(AvgBonus[avg_bonus],AvgBonus[exp_item],$J547,AvgBonus[company_name],$B547,AvgBonus[bu_name],$C547,AvgBonus[dept_name],$D547,AvgBonus[team_consolidation],$K547,AvgBonus[location_name],$G547,AvgBonus[job_title],$H547))*Y442*SUM(BonusPayout[Month 14]))</f>
        <v>0</v>
      </c>
      <c r="Z547" s="652">
        <f>IF($B547="",,IF(LEFT($H547,5)="dummy",SUMIFS(AvgBonus[avg_bonus],AvgBonus[job_title],$H547),SUMIFS(AvgBonus[avg_bonus],AvgBonus[exp_item],$J547,AvgBonus[company_name],$B547,AvgBonus[bu_name],$C547,AvgBonus[dept_name],$D547,AvgBonus[team_consolidation],$K547,AvgBonus[location_name],$G547,AvgBonus[job_title],$H547))*Z442*SUM(BonusPayout[Month 15]))</f>
        <v>0</v>
      </c>
      <c r="AA547" s="652">
        <f>IF($B547="",,IF(LEFT($H547,5)="dummy",SUMIFS(AvgBonus[avg_bonus],AvgBonus[job_title],$H547),SUMIFS(AvgBonus[avg_bonus],AvgBonus[exp_item],$J547,AvgBonus[company_name],$B547,AvgBonus[bu_name],$C547,AvgBonus[dept_name],$D547,AvgBonus[team_consolidation],$K547,AvgBonus[location_name],$G547,AvgBonus[job_title],$H547))*AA442*SUM(BonusPayout[Month 16]))</f>
        <v>0</v>
      </c>
      <c r="AB547" s="652">
        <f>IF($B547="",,IF(LEFT($H547,5)="dummy",SUMIFS(AvgBonus[avg_bonus],AvgBonus[job_title],$H547),SUMIFS(AvgBonus[avg_bonus],AvgBonus[exp_item],$J547,AvgBonus[company_name],$B547,AvgBonus[bu_name],$C547,AvgBonus[dept_name],$D547,AvgBonus[team_consolidation],$K547,AvgBonus[location_name],$G547,AvgBonus[job_title],$H547))*AB442*SUM(BonusPayout[Month 17]))</f>
        <v>0</v>
      </c>
      <c r="AC547" s="652">
        <f>IF($B547="",,IF(LEFT($H547,5)="dummy",SUMIFS(AvgBonus[avg_bonus],AvgBonus[job_title],$H547),SUMIFS(AvgBonus[avg_bonus],AvgBonus[exp_item],$J547,AvgBonus[company_name],$B547,AvgBonus[bu_name],$C547,AvgBonus[dept_name],$D547,AvgBonus[team_consolidation],$K547,AvgBonus[location_name],$G547,AvgBonus[job_title],$H547))*AC442*SUM(BonusPayout[Month 18]))</f>
        <v>0</v>
      </c>
      <c r="AD547" s="652">
        <f>IF($B547="",,IF(LEFT($H547,5)="dummy",SUMIFS(AvgBonus[avg_bonus],AvgBonus[job_title],$H547),SUMIFS(AvgBonus[avg_bonus],AvgBonus[exp_item],$J547,AvgBonus[company_name],$B547,AvgBonus[bu_name],$C547,AvgBonus[dept_name],$D547,AvgBonus[team_consolidation],$K547,AvgBonus[location_name],$G547,AvgBonus[job_title],$H547))*AD442*SUM(BonusPayout[Month 19]))</f>
        <v>0</v>
      </c>
      <c r="AE547" s="652">
        <f>IF($B547="",,IF(LEFT($H547,5)="dummy",SUMIFS(AvgBonus[avg_bonus],AvgBonus[job_title],$H547),SUMIFS(AvgBonus[avg_bonus],AvgBonus[exp_item],$J547,AvgBonus[company_name],$B547,AvgBonus[bu_name],$C547,AvgBonus[dept_name],$D547,AvgBonus[team_consolidation],$K547,AvgBonus[location_name],$G547,AvgBonus[job_title],$H547))*AE442*SUM(BonusPayout[Month 20]))</f>
        <v>0</v>
      </c>
      <c r="AF547" s="652">
        <f>IF($B547="",,IF(LEFT($H547,5)="dummy",SUMIFS(AvgBonus[avg_bonus],AvgBonus[job_title],$H547),SUMIFS(AvgBonus[avg_bonus],AvgBonus[exp_item],$J547,AvgBonus[company_name],$B547,AvgBonus[bu_name],$C547,AvgBonus[dept_name],$D547,AvgBonus[team_consolidation],$K547,AvgBonus[location_name],$G547,AvgBonus[job_title],$H547))*AF442*SUM(BonusPayout[Month 21]))</f>
        <v>0</v>
      </c>
      <c r="AG547" s="652">
        <f>IF($B547="",,IF(LEFT($H547,5)="dummy",SUMIFS(AvgBonus[avg_bonus],AvgBonus[job_title],$H547),SUMIFS(AvgBonus[avg_bonus],AvgBonus[exp_item],$J547,AvgBonus[company_name],$B547,AvgBonus[bu_name],$C547,AvgBonus[dept_name],$D547,AvgBonus[team_consolidation],$K547,AvgBonus[location_name],$G547,AvgBonus[job_title],$H547))*AG442*SUM(BonusPayout[Month 22]))</f>
        <v>0</v>
      </c>
      <c r="AH547" s="652">
        <f>IF($B547="",,IF(LEFT($H547,5)="dummy",SUMIFS(AvgBonus[avg_bonus],AvgBonus[job_title],$H547),SUMIFS(AvgBonus[avg_bonus],AvgBonus[exp_item],$J547,AvgBonus[company_name],$B547,AvgBonus[bu_name],$C547,AvgBonus[dept_name],$D547,AvgBonus[team_consolidation],$K547,AvgBonus[location_name],$G547,AvgBonus[job_title],$H547))*AH442*SUM(BonusPayout[Month 23]))</f>
        <v>0</v>
      </c>
      <c r="AI547" s="652">
        <f>IF($B547="",,IF(LEFT($H547,5)="dummy",SUMIFS(AvgBonus[avg_bonus],AvgBonus[job_title],$H547),SUMIFS(AvgBonus[avg_bonus],AvgBonus[exp_item],$J547,AvgBonus[company_name],$B547,AvgBonus[bu_name],$C547,AvgBonus[dept_name],$D547,AvgBonus[team_consolidation],$K547,AvgBonus[location_name],$G547,AvgBonus[job_title],$H547))*AI442*SUM(BonusPayout[Month 24]))</f>
        <v>0</v>
      </c>
      <c r="AJ547" s="652">
        <f>IF($B547="",,IF(LEFT($H547,5)="dummy",SUMIFS(AvgBonus[avg_bonus],AvgBonus[job_title],$H547),SUMIFS(AvgBonus[avg_bonus],AvgBonus[exp_item],$J547,AvgBonus[company_name],$B547,AvgBonus[bu_name],$C547,AvgBonus[dept_name],$D547,AvgBonus[team_consolidation],$K547,AvgBonus[location_name],$G547,AvgBonus[job_title],$H547))*AJ442*SUM(BonusPayout[Month 25]))</f>
        <v>0</v>
      </c>
      <c r="AK547" s="652">
        <f>IF($B547="",,IF(LEFT($H547,5)="dummy",SUMIFS(AvgBonus[avg_bonus],AvgBonus[job_title],$H547),SUMIFS(AvgBonus[avg_bonus],AvgBonus[exp_item],$J547,AvgBonus[company_name],$B547,AvgBonus[bu_name],$C547,AvgBonus[dept_name],$D547,AvgBonus[team_consolidation],$K547,AvgBonus[location_name],$G547,AvgBonus[job_title],$H547))*AK442*SUM(BonusPayout[Month 26]))</f>
        <v>0</v>
      </c>
      <c r="AL547" s="652">
        <f>IF($B547="",,IF(LEFT($H547,5)="dummy",SUMIFS(AvgBonus[avg_bonus],AvgBonus[job_title],$H547),SUMIFS(AvgBonus[avg_bonus],AvgBonus[exp_item],$J547,AvgBonus[company_name],$B547,AvgBonus[bu_name],$C547,AvgBonus[dept_name],$D547,AvgBonus[team_consolidation],$K547,AvgBonus[location_name],$G547,AvgBonus[job_title],$H547))*AL442*SUM(BonusPayout[Month 27]))</f>
        <v>0</v>
      </c>
      <c r="AM547" s="652">
        <f>IF($B547="",,IF(LEFT($H547,5)="dummy",SUMIFS(AvgBonus[avg_bonus],AvgBonus[job_title],$H547),SUMIFS(AvgBonus[avg_bonus],AvgBonus[exp_item],$J547,AvgBonus[company_name],$B547,AvgBonus[bu_name],$C547,AvgBonus[dept_name],$D547,AvgBonus[team_consolidation],$K547,AvgBonus[location_name],$G547,AvgBonus[job_title],$H547))*AM442*SUM(BonusPayout[Month 28]))</f>
        <v>0</v>
      </c>
      <c r="AN547" s="652">
        <f>IF($B547="",,IF(LEFT($H547,5)="dummy",SUMIFS(AvgBonus[avg_bonus],AvgBonus[job_title],$H547),SUMIFS(AvgBonus[avg_bonus],AvgBonus[exp_item],$J547,AvgBonus[company_name],$B547,AvgBonus[bu_name],$C547,AvgBonus[dept_name],$D547,AvgBonus[team_consolidation],$K547,AvgBonus[location_name],$G547,AvgBonus[job_title],$H547))*AN442*SUM(BonusPayout[Month 29]))</f>
        <v>0</v>
      </c>
      <c r="AO547" s="652">
        <f>IF($B547="",,IF(LEFT($H547,5)="dummy",SUMIFS(AvgBonus[avg_bonus],AvgBonus[job_title],$H547),SUMIFS(AvgBonus[avg_bonus],AvgBonus[exp_item],$J547,AvgBonus[company_name],$B547,AvgBonus[bu_name],$C547,AvgBonus[dept_name],$D547,AvgBonus[team_consolidation],$K547,AvgBonus[location_name],$G547,AvgBonus[job_title],$H547))*AO442*SUM(BonusPayout[Month 30]))</f>
        <v>0</v>
      </c>
      <c r="AP547" s="652">
        <f>IF($B547="",,IF(LEFT($H547,5)="dummy",SUMIFS(AvgBonus[avg_bonus],AvgBonus[job_title],$H547),SUMIFS(AvgBonus[avg_bonus],AvgBonus[exp_item],$J547,AvgBonus[company_name],$B547,AvgBonus[bu_name],$C547,AvgBonus[dept_name],$D547,AvgBonus[team_consolidation],$K547,AvgBonus[location_name],$G547,AvgBonus[job_title],$H547))*AP442*SUM(BonusPayout[Month 31]))</f>
        <v>0</v>
      </c>
      <c r="AQ547" s="652">
        <f>IF($B547="",,IF(LEFT($H547,5)="dummy",SUMIFS(AvgBonus[avg_bonus],AvgBonus[job_title],$H547),SUMIFS(AvgBonus[avg_bonus],AvgBonus[exp_item],$J547,AvgBonus[company_name],$B547,AvgBonus[bu_name],$C547,AvgBonus[dept_name],$D547,AvgBonus[team_consolidation],$K547,AvgBonus[location_name],$G547,AvgBonus[job_title],$H547))*AQ442*SUM(BonusPayout[Month 32]))</f>
        <v>0</v>
      </c>
      <c r="AR547" s="652">
        <f>IF($B547="",,IF(LEFT($H547,5)="dummy",SUMIFS(AvgBonus[avg_bonus],AvgBonus[job_title],$H547),SUMIFS(AvgBonus[avg_bonus],AvgBonus[exp_item],$J547,AvgBonus[company_name],$B547,AvgBonus[bu_name],$C547,AvgBonus[dept_name],$D547,AvgBonus[team_consolidation],$K547,AvgBonus[location_name],$G547,AvgBonus[job_title],$H547))*AR442*SUM(BonusPayout[Month 33]))</f>
        <v>0</v>
      </c>
      <c r="AS547" s="652">
        <f>IF($B547="",,IF(LEFT($H547,5)="dummy",SUMIFS(AvgBonus[avg_bonus],AvgBonus[job_title],$H547),SUMIFS(AvgBonus[avg_bonus],AvgBonus[exp_item],$J547,AvgBonus[company_name],$B547,AvgBonus[bu_name],$C547,AvgBonus[dept_name],$D547,AvgBonus[team_consolidation],$K547,AvgBonus[location_name],$G547,AvgBonus[job_title],$H547))*AS442*SUM(BonusPayout[Month 34]))</f>
        <v>0</v>
      </c>
      <c r="AT547" s="652">
        <f>IF($B547="",,IF(LEFT($H547,5)="dummy",SUMIFS(AvgBonus[avg_bonus],AvgBonus[job_title],$H547),SUMIFS(AvgBonus[avg_bonus],AvgBonus[exp_item],$J547,AvgBonus[company_name],$B547,AvgBonus[bu_name],$C547,AvgBonus[dept_name],$D547,AvgBonus[team_consolidation],$K547,AvgBonus[location_name],$G547,AvgBonus[job_title],$H547))*AT442*SUM(BonusPayout[Month 35]))</f>
        <v>0</v>
      </c>
      <c r="AU547" s="652">
        <f>IF($B547="",,IF(LEFT($H547,5)="dummy",SUMIFS(AvgBonus[avg_bonus],AvgBonus[job_title],$H547),SUMIFS(AvgBonus[avg_bonus],AvgBonus[exp_item],$J547,AvgBonus[company_name],$B547,AvgBonus[bu_name],$C547,AvgBonus[dept_name],$D547,AvgBonus[team_consolidation],$K547,AvgBonus[location_name],$G547,AvgBonus[job_title],$H547))*AU442*SUM(BonusPayout[Month 36]))</f>
        <v>0</v>
      </c>
    </row>
    <row r="548" spans="2:47" x14ac:dyDescent="0.35">
      <c r="B548" t="str">
        <f t="shared" si="327"/>
        <v/>
      </c>
      <c r="C548" t="str">
        <f t="shared" ref="C548:G548" si="342">IF(C443="","",C443)</f>
        <v/>
      </c>
      <c r="D548" t="str">
        <f t="shared" si="342"/>
        <v/>
      </c>
      <c r="E548" t="str">
        <f t="shared" si="342"/>
        <v/>
      </c>
      <c r="F548" t="str">
        <f t="shared" si="342"/>
        <v/>
      </c>
      <c r="G548" t="str">
        <f t="shared" si="342"/>
        <v/>
      </c>
      <c r="H548" t="str">
        <f t="shared" si="326"/>
        <v/>
      </c>
      <c r="J548" t="str">
        <f>IF($H548="","",IF(VLOOKUP($B$500,ExpItems[],2,0),$B$500&amp;" - "&amp;INDEX(DivisionMapping[category_code],MATCH($D548&amp;$C548,DivisionMapping[dept_bu],0)),$B$500))</f>
        <v/>
      </c>
      <c r="K548" t="str">
        <f t="shared" si="294"/>
        <v/>
      </c>
      <c r="L548" s="652">
        <f>IF($B548="",,IF(LEFT($H548,5)="dummy",SUMIFS(AvgBonus[avg_bonus],AvgBonus[job_title],$H548),SUMIFS(AvgBonus[avg_bonus],AvgBonus[exp_item],$J548,AvgBonus[company_name],$B548,AvgBonus[bu_name],$C548,AvgBonus[dept_name],$D548,AvgBonus[team_consolidation],$K548,AvgBonus[location_name],$G548,AvgBonus[job_title],$H548))*L443*SUM(BonusPayout[Month 1]))</f>
        <v>0</v>
      </c>
      <c r="M548" s="652">
        <f>IF($B548="",,IF(LEFT($H548,5)="dummy",SUMIFS(AvgBonus[avg_bonus],AvgBonus[job_title],$H548),SUMIFS(AvgBonus[avg_bonus],AvgBonus[exp_item],$J548,AvgBonus[company_name],$B548,AvgBonus[bu_name],$C548,AvgBonus[dept_name],$D548,AvgBonus[team_consolidation],$K548,AvgBonus[location_name],$G548,AvgBonus[job_title],$H548))*M443*SUM(BonusPayout[Month 2]))</f>
        <v>0</v>
      </c>
      <c r="N548" s="652">
        <f>IF($B548="",,IF(LEFT($H548,5)="dummy",SUMIFS(AvgBonus[avg_bonus],AvgBonus[job_title],$H548),SUMIFS(AvgBonus[avg_bonus],AvgBonus[exp_item],$J548,AvgBonus[company_name],$B548,AvgBonus[bu_name],$C548,AvgBonus[dept_name],$D548,AvgBonus[team_consolidation],$K548,AvgBonus[location_name],$G548,AvgBonus[job_title],$H548))*N443*SUM(BonusPayout[Month 3]))</f>
        <v>0</v>
      </c>
      <c r="O548" s="652">
        <f>IF($B548="",,IF(LEFT($H548,5)="dummy",SUMIFS(AvgBonus[avg_bonus],AvgBonus[job_title],$H548),SUMIFS(AvgBonus[avg_bonus],AvgBonus[exp_item],$J548,AvgBonus[company_name],$B548,AvgBonus[bu_name],$C548,AvgBonus[dept_name],$D548,AvgBonus[team_consolidation],$K548,AvgBonus[location_name],$G548,AvgBonus[job_title],$H548))*O443*SUM(BonusPayout[Month 4]))</f>
        <v>0</v>
      </c>
      <c r="P548" s="652">
        <f>IF($B548="",,IF(LEFT($H548,5)="dummy",SUMIFS(AvgBonus[avg_bonus],AvgBonus[job_title],$H548),SUMIFS(AvgBonus[avg_bonus],AvgBonus[exp_item],$J548,AvgBonus[company_name],$B548,AvgBonus[bu_name],$C548,AvgBonus[dept_name],$D548,AvgBonus[team_consolidation],$K548,AvgBonus[location_name],$G548,AvgBonus[job_title],$H548))*P443*SUM(BonusPayout[Month 5]))</f>
        <v>0</v>
      </c>
      <c r="Q548" s="652">
        <f>IF($B548="",,IF(LEFT($H548,5)="dummy",SUMIFS(AvgBonus[avg_bonus],AvgBonus[job_title],$H548),SUMIFS(AvgBonus[avg_bonus],AvgBonus[exp_item],$J548,AvgBonus[company_name],$B548,AvgBonus[bu_name],$C548,AvgBonus[dept_name],$D548,AvgBonus[team_consolidation],$K548,AvgBonus[location_name],$G548,AvgBonus[job_title],$H548))*Q443*SUM(BonusPayout[Month 6]))</f>
        <v>0</v>
      </c>
      <c r="R548" s="652">
        <f>IF($B548="",,IF(LEFT($H548,5)="dummy",SUMIFS(AvgBonus[avg_bonus],AvgBonus[job_title],$H548),SUMIFS(AvgBonus[avg_bonus],AvgBonus[exp_item],$J548,AvgBonus[company_name],$B548,AvgBonus[bu_name],$C548,AvgBonus[dept_name],$D548,AvgBonus[team_consolidation],$K548,AvgBonus[location_name],$G548,AvgBonus[job_title],$H548))*R443*SUM(BonusPayout[Month 7]))</f>
        <v>0</v>
      </c>
      <c r="S548" s="652">
        <f>IF($B548="",,IF(LEFT($H548,5)="dummy",SUMIFS(AvgBonus[avg_bonus],AvgBonus[job_title],$H548),SUMIFS(AvgBonus[avg_bonus],AvgBonus[exp_item],$J548,AvgBonus[company_name],$B548,AvgBonus[bu_name],$C548,AvgBonus[dept_name],$D548,AvgBonus[team_consolidation],$K548,AvgBonus[location_name],$G548,AvgBonus[job_title],$H548))*S443*SUM(BonusPayout[Month 8]))</f>
        <v>0</v>
      </c>
      <c r="T548" s="652">
        <f>IF($B548="",,IF(LEFT($H548,5)="dummy",SUMIFS(AvgBonus[avg_bonus],AvgBonus[job_title],$H548),SUMIFS(AvgBonus[avg_bonus],AvgBonus[exp_item],$J548,AvgBonus[company_name],$B548,AvgBonus[bu_name],$C548,AvgBonus[dept_name],$D548,AvgBonus[team_consolidation],$K548,AvgBonus[location_name],$G548,AvgBonus[job_title],$H548))*T443*SUM(BonusPayout[Month 9]))</f>
        <v>0</v>
      </c>
      <c r="U548" s="652">
        <f>IF($B548="",,IF(LEFT($H548,5)="dummy",SUMIFS(AvgBonus[avg_bonus],AvgBonus[job_title],$H548),SUMIFS(AvgBonus[avg_bonus],AvgBonus[exp_item],$J548,AvgBonus[company_name],$B548,AvgBonus[bu_name],$C548,AvgBonus[dept_name],$D548,AvgBonus[team_consolidation],$K548,AvgBonus[location_name],$G548,AvgBonus[job_title],$H548))*U443*SUM(BonusPayout[Month 10]))</f>
        <v>0</v>
      </c>
      <c r="V548" s="652">
        <f>IF($B548="",,IF(LEFT($H548,5)="dummy",SUMIFS(AvgBonus[avg_bonus],AvgBonus[job_title],$H548),SUMIFS(AvgBonus[avg_bonus],AvgBonus[exp_item],$J548,AvgBonus[company_name],$B548,AvgBonus[bu_name],$C548,AvgBonus[dept_name],$D548,AvgBonus[team_consolidation],$K548,AvgBonus[location_name],$G548,AvgBonus[job_title],$H548))*V443*SUM(BonusPayout[Month 11]))</f>
        <v>0</v>
      </c>
      <c r="W548" s="652">
        <f>IF($B548="",,IF(LEFT($H548,5)="dummy",SUMIFS(AvgBonus[avg_bonus],AvgBonus[job_title],$H548),SUMIFS(AvgBonus[avg_bonus],AvgBonus[exp_item],$J548,AvgBonus[company_name],$B548,AvgBonus[bu_name],$C548,AvgBonus[dept_name],$D548,AvgBonus[team_consolidation],$K548,AvgBonus[location_name],$G548,AvgBonus[job_title],$H548))*W443*SUM(BonusPayout[Month 12]))</f>
        <v>0</v>
      </c>
      <c r="X548" s="652">
        <f>IF($B548="",,IF(LEFT($H548,5)="dummy",SUMIFS(AvgBonus[avg_bonus],AvgBonus[job_title],$H548),SUMIFS(AvgBonus[avg_bonus],AvgBonus[exp_item],$J548,AvgBonus[company_name],$B548,AvgBonus[bu_name],$C548,AvgBonus[dept_name],$D548,AvgBonus[team_consolidation],$K548,AvgBonus[location_name],$G548,AvgBonus[job_title],$H548))*X443*SUM(BonusPayout[Month 13]))</f>
        <v>0</v>
      </c>
      <c r="Y548" s="652">
        <f>IF($B548="",,IF(LEFT($H548,5)="dummy",SUMIFS(AvgBonus[avg_bonus],AvgBonus[job_title],$H548),SUMIFS(AvgBonus[avg_bonus],AvgBonus[exp_item],$J548,AvgBonus[company_name],$B548,AvgBonus[bu_name],$C548,AvgBonus[dept_name],$D548,AvgBonus[team_consolidation],$K548,AvgBonus[location_name],$G548,AvgBonus[job_title],$H548))*Y443*SUM(BonusPayout[Month 14]))</f>
        <v>0</v>
      </c>
      <c r="Z548" s="652">
        <f>IF($B548="",,IF(LEFT($H548,5)="dummy",SUMIFS(AvgBonus[avg_bonus],AvgBonus[job_title],$H548),SUMIFS(AvgBonus[avg_bonus],AvgBonus[exp_item],$J548,AvgBonus[company_name],$B548,AvgBonus[bu_name],$C548,AvgBonus[dept_name],$D548,AvgBonus[team_consolidation],$K548,AvgBonus[location_name],$G548,AvgBonus[job_title],$H548))*Z443*SUM(BonusPayout[Month 15]))</f>
        <v>0</v>
      </c>
      <c r="AA548" s="652">
        <f>IF($B548="",,IF(LEFT($H548,5)="dummy",SUMIFS(AvgBonus[avg_bonus],AvgBonus[job_title],$H548),SUMIFS(AvgBonus[avg_bonus],AvgBonus[exp_item],$J548,AvgBonus[company_name],$B548,AvgBonus[bu_name],$C548,AvgBonus[dept_name],$D548,AvgBonus[team_consolidation],$K548,AvgBonus[location_name],$G548,AvgBonus[job_title],$H548))*AA443*SUM(BonusPayout[Month 16]))</f>
        <v>0</v>
      </c>
      <c r="AB548" s="652">
        <f>IF($B548="",,IF(LEFT($H548,5)="dummy",SUMIFS(AvgBonus[avg_bonus],AvgBonus[job_title],$H548),SUMIFS(AvgBonus[avg_bonus],AvgBonus[exp_item],$J548,AvgBonus[company_name],$B548,AvgBonus[bu_name],$C548,AvgBonus[dept_name],$D548,AvgBonus[team_consolidation],$K548,AvgBonus[location_name],$G548,AvgBonus[job_title],$H548))*AB443*SUM(BonusPayout[Month 17]))</f>
        <v>0</v>
      </c>
      <c r="AC548" s="652">
        <f>IF($B548="",,IF(LEFT($H548,5)="dummy",SUMIFS(AvgBonus[avg_bonus],AvgBonus[job_title],$H548),SUMIFS(AvgBonus[avg_bonus],AvgBonus[exp_item],$J548,AvgBonus[company_name],$B548,AvgBonus[bu_name],$C548,AvgBonus[dept_name],$D548,AvgBonus[team_consolidation],$K548,AvgBonus[location_name],$G548,AvgBonus[job_title],$H548))*AC443*SUM(BonusPayout[Month 18]))</f>
        <v>0</v>
      </c>
      <c r="AD548" s="652">
        <f>IF($B548="",,IF(LEFT($H548,5)="dummy",SUMIFS(AvgBonus[avg_bonus],AvgBonus[job_title],$H548),SUMIFS(AvgBonus[avg_bonus],AvgBonus[exp_item],$J548,AvgBonus[company_name],$B548,AvgBonus[bu_name],$C548,AvgBonus[dept_name],$D548,AvgBonus[team_consolidation],$K548,AvgBonus[location_name],$G548,AvgBonus[job_title],$H548))*AD443*SUM(BonusPayout[Month 19]))</f>
        <v>0</v>
      </c>
      <c r="AE548" s="652">
        <f>IF($B548="",,IF(LEFT($H548,5)="dummy",SUMIFS(AvgBonus[avg_bonus],AvgBonus[job_title],$H548),SUMIFS(AvgBonus[avg_bonus],AvgBonus[exp_item],$J548,AvgBonus[company_name],$B548,AvgBonus[bu_name],$C548,AvgBonus[dept_name],$D548,AvgBonus[team_consolidation],$K548,AvgBonus[location_name],$G548,AvgBonus[job_title],$H548))*AE443*SUM(BonusPayout[Month 20]))</f>
        <v>0</v>
      </c>
      <c r="AF548" s="652">
        <f>IF($B548="",,IF(LEFT($H548,5)="dummy",SUMIFS(AvgBonus[avg_bonus],AvgBonus[job_title],$H548),SUMIFS(AvgBonus[avg_bonus],AvgBonus[exp_item],$J548,AvgBonus[company_name],$B548,AvgBonus[bu_name],$C548,AvgBonus[dept_name],$D548,AvgBonus[team_consolidation],$K548,AvgBonus[location_name],$G548,AvgBonus[job_title],$H548))*AF443*SUM(BonusPayout[Month 21]))</f>
        <v>0</v>
      </c>
      <c r="AG548" s="652">
        <f>IF($B548="",,IF(LEFT($H548,5)="dummy",SUMIFS(AvgBonus[avg_bonus],AvgBonus[job_title],$H548),SUMIFS(AvgBonus[avg_bonus],AvgBonus[exp_item],$J548,AvgBonus[company_name],$B548,AvgBonus[bu_name],$C548,AvgBonus[dept_name],$D548,AvgBonus[team_consolidation],$K548,AvgBonus[location_name],$G548,AvgBonus[job_title],$H548))*AG443*SUM(BonusPayout[Month 22]))</f>
        <v>0</v>
      </c>
      <c r="AH548" s="652">
        <f>IF($B548="",,IF(LEFT($H548,5)="dummy",SUMIFS(AvgBonus[avg_bonus],AvgBonus[job_title],$H548),SUMIFS(AvgBonus[avg_bonus],AvgBonus[exp_item],$J548,AvgBonus[company_name],$B548,AvgBonus[bu_name],$C548,AvgBonus[dept_name],$D548,AvgBonus[team_consolidation],$K548,AvgBonus[location_name],$G548,AvgBonus[job_title],$H548))*AH443*SUM(BonusPayout[Month 23]))</f>
        <v>0</v>
      </c>
      <c r="AI548" s="652">
        <f>IF($B548="",,IF(LEFT($H548,5)="dummy",SUMIFS(AvgBonus[avg_bonus],AvgBonus[job_title],$H548),SUMIFS(AvgBonus[avg_bonus],AvgBonus[exp_item],$J548,AvgBonus[company_name],$B548,AvgBonus[bu_name],$C548,AvgBonus[dept_name],$D548,AvgBonus[team_consolidation],$K548,AvgBonus[location_name],$G548,AvgBonus[job_title],$H548))*AI443*SUM(BonusPayout[Month 24]))</f>
        <v>0</v>
      </c>
      <c r="AJ548" s="652">
        <f>IF($B548="",,IF(LEFT($H548,5)="dummy",SUMIFS(AvgBonus[avg_bonus],AvgBonus[job_title],$H548),SUMIFS(AvgBonus[avg_bonus],AvgBonus[exp_item],$J548,AvgBonus[company_name],$B548,AvgBonus[bu_name],$C548,AvgBonus[dept_name],$D548,AvgBonus[team_consolidation],$K548,AvgBonus[location_name],$G548,AvgBonus[job_title],$H548))*AJ443*SUM(BonusPayout[Month 25]))</f>
        <v>0</v>
      </c>
      <c r="AK548" s="652">
        <f>IF($B548="",,IF(LEFT($H548,5)="dummy",SUMIFS(AvgBonus[avg_bonus],AvgBonus[job_title],$H548),SUMIFS(AvgBonus[avg_bonus],AvgBonus[exp_item],$J548,AvgBonus[company_name],$B548,AvgBonus[bu_name],$C548,AvgBonus[dept_name],$D548,AvgBonus[team_consolidation],$K548,AvgBonus[location_name],$G548,AvgBonus[job_title],$H548))*AK443*SUM(BonusPayout[Month 26]))</f>
        <v>0</v>
      </c>
      <c r="AL548" s="652">
        <f>IF($B548="",,IF(LEFT($H548,5)="dummy",SUMIFS(AvgBonus[avg_bonus],AvgBonus[job_title],$H548),SUMIFS(AvgBonus[avg_bonus],AvgBonus[exp_item],$J548,AvgBonus[company_name],$B548,AvgBonus[bu_name],$C548,AvgBonus[dept_name],$D548,AvgBonus[team_consolidation],$K548,AvgBonus[location_name],$G548,AvgBonus[job_title],$H548))*AL443*SUM(BonusPayout[Month 27]))</f>
        <v>0</v>
      </c>
      <c r="AM548" s="652">
        <f>IF($B548="",,IF(LEFT($H548,5)="dummy",SUMIFS(AvgBonus[avg_bonus],AvgBonus[job_title],$H548),SUMIFS(AvgBonus[avg_bonus],AvgBonus[exp_item],$J548,AvgBonus[company_name],$B548,AvgBonus[bu_name],$C548,AvgBonus[dept_name],$D548,AvgBonus[team_consolidation],$K548,AvgBonus[location_name],$G548,AvgBonus[job_title],$H548))*AM443*SUM(BonusPayout[Month 28]))</f>
        <v>0</v>
      </c>
      <c r="AN548" s="652">
        <f>IF($B548="",,IF(LEFT($H548,5)="dummy",SUMIFS(AvgBonus[avg_bonus],AvgBonus[job_title],$H548),SUMIFS(AvgBonus[avg_bonus],AvgBonus[exp_item],$J548,AvgBonus[company_name],$B548,AvgBonus[bu_name],$C548,AvgBonus[dept_name],$D548,AvgBonus[team_consolidation],$K548,AvgBonus[location_name],$G548,AvgBonus[job_title],$H548))*AN443*SUM(BonusPayout[Month 29]))</f>
        <v>0</v>
      </c>
      <c r="AO548" s="652">
        <f>IF($B548="",,IF(LEFT($H548,5)="dummy",SUMIFS(AvgBonus[avg_bonus],AvgBonus[job_title],$H548),SUMIFS(AvgBonus[avg_bonus],AvgBonus[exp_item],$J548,AvgBonus[company_name],$B548,AvgBonus[bu_name],$C548,AvgBonus[dept_name],$D548,AvgBonus[team_consolidation],$K548,AvgBonus[location_name],$G548,AvgBonus[job_title],$H548))*AO443*SUM(BonusPayout[Month 30]))</f>
        <v>0</v>
      </c>
      <c r="AP548" s="652">
        <f>IF($B548="",,IF(LEFT($H548,5)="dummy",SUMIFS(AvgBonus[avg_bonus],AvgBonus[job_title],$H548),SUMIFS(AvgBonus[avg_bonus],AvgBonus[exp_item],$J548,AvgBonus[company_name],$B548,AvgBonus[bu_name],$C548,AvgBonus[dept_name],$D548,AvgBonus[team_consolidation],$K548,AvgBonus[location_name],$G548,AvgBonus[job_title],$H548))*AP443*SUM(BonusPayout[Month 31]))</f>
        <v>0</v>
      </c>
      <c r="AQ548" s="652">
        <f>IF($B548="",,IF(LEFT($H548,5)="dummy",SUMIFS(AvgBonus[avg_bonus],AvgBonus[job_title],$H548),SUMIFS(AvgBonus[avg_bonus],AvgBonus[exp_item],$J548,AvgBonus[company_name],$B548,AvgBonus[bu_name],$C548,AvgBonus[dept_name],$D548,AvgBonus[team_consolidation],$K548,AvgBonus[location_name],$G548,AvgBonus[job_title],$H548))*AQ443*SUM(BonusPayout[Month 32]))</f>
        <v>0</v>
      </c>
      <c r="AR548" s="652">
        <f>IF($B548="",,IF(LEFT($H548,5)="dummy",SUMIFS(AvgBonus[avg_bonus],AvgBonus[job_title],$H548),SUMIFS(AvgBonus[avg_bonus],AvgBonus[exp_item],$J548,AvgBonus[company_name],$B548,AvgBonus[bu_name],$C548,AvgBonus[dept_name],$D548,AvgBonus[team_consolidation],$K548,AvgBonus[location_name],$G548,AvgBonus[job_title],$H548))*AR443*SUM(BonusPayout[Month 33]))</f>
        <v>0</v>
      </c>
      <c r="AS548" s="652">
        <f>IF($B548="",,IF(LEFT($H548,5)="dummy",SUMIFS(AvgBonus[avg_bonus],AvgBonus[job_title],$H548),SUMIFS(AvgBonus[avg_bonus],AvgBonus[exp_item],$J548,AvgBonus[company_name],$B548,AvgBonus[bu_name],$C548,AvgBonus[dept_name],$D548,AvgBonus[team_consolidation],$K548,AvgBonus[location_name],$G548,AvgBonus[job_title],$H548))*AS443*SUM(BonusPayout[Month 34]))</f>
        <v>0</v>
      </c>
      <c r="AT548" s="652">
        <f>IF($B548="",,IF(LEFT($H548,5)="dummy",SUMIFS(AvgBonus[avg_bonus],AvgBonus[job_title],$H548),SUMIFS(AvgBonus[avg_bonus],AvgBonus[exp_item],$J548,AvgBonus[company_name],$B548,AvgBonus[bu_name],$C548,AvgBonus[dept_name],$D548,AvgBonus[team_consolidation],$K548,AvgBonus[location_name],$G548,AvgBonus[job_title],$H548))*AT443*SUM(BonusPayout[Month 35]))</f>
        <v>0</v>
      </c>
      <c r="AU548" s="652">
        <f>IF($B548="",,IF(LEFT($H548,5)="dummy",SUMIFS(AvgBonus[avg_bonus],AvgBonus[job_title],$H548),SUMIFS(AvgBonus[avg_bonus],AvgBonus[exp_item],$J548,AvgBonus[company_name],$B548,AvgBonus[bu_name],$C548,AvgBonus[dept_name],$D548,AvgBonus[team_consolidation],$K548,AvgBonus[location_name],$G548,AvgBonus[job_title],$H548))*AU443*SUM(BonusPayout[Month 36]))</f>
        <v>0</v>
      </c>
    </row>
    <row r="549" spans="2:47" x14ac:dyDescent="0.35">
      <c r="B549" t="str">
        <f t="shared" si="327"/>
        <v/>
      </c>
      <c r="C549" t="str">
        <f t="shared" ref="C549:G549" si="343">IF(C444="","",C444)</f>
        <v/>
      </c>
      <c r="D549" t="str">
        <f t="shared" si="343"/>
        <v/>
      </c>
      <c r="E549" t="str">
        <f t="shared" si="343"/>
        <v/>
      </c>
      <c r="F549" t="str">
        <f t="shared" si="343"/>
        <v/>
      </c>
      <c r="G549" t="str">
        <f t="shared" si="343"/>
        <v/>
      </c>
      <c r="H549" t="str">
        <f t="shared" si="326"/>
        <v/>
      </c>
      <c r="J549" t="str">
        <f>IF($H549="","",IF(VLOOKUP($B$500,ExpItems[],2,0),$B$500&amp;" - "&amp;INDEX(DivisionMapping[category_code],MATCH($D549&amp;$C549,DivisionMapping[dept_bu],0)),$B$500))</f>
        <v/>
      </c>
      <c r="K549" t="str">
        <f t="shared" si="294"/>
        <v/>
      </c>
      <c r="L549" s="652">
        <f>IF($B549="",,IF(LEFT($H549,5)="dummy",SUMIFS(AvgBonus[avg_bonus],AvgBonus[job_title],$H549),SUMIFS(AvgBonus[avg_bonus],AvgBonus[exp_item],$J549,AvgBonus[company_name],$B549,AvgBonus[bu_name],$C549,AvgBonus[dept_name],$D549,AvgBonus[team_consolidation],$K549,AvgBonus[location_name],$G549,AvgBonus[job_title],$H549))*L444*SUM(BonusPayout[Month 1]))</f>
        <v>0</v>
      </c>
      <c r="M549" s="652">
        <f>IF($B549="",,IF(LEFT($H549,5)="dummy",SUMIFS(AvgBonus[avg_bonus],AvgBonus[job_title],$H549),SUMIFS(AvgBonus[avg_bonus],AvgBonus[exp_item],$J549,AvgBonus[company_name],$B549,AvgBonus[bu_name],$C549,AvgBonus[dept_name],$D549,AvgBonus[team_consolidation],$K549,AvgBonus[location_name],$G549,AvgBonus[job_title],$H549))*M444*SUM(BonusPayout[Month 2]))</f>
        <v>0</v>
      </c>
      <c r="N549" s="652">
        <f>IF($B549="",,IF(LEFT($H549,5)="dummy",SUMIFS(AvgBonus[avg_bonus],AvgBonus[job_title],$H549),SUMIFS(AvgBonus[avg_bonus],AvgBonus[exp_item],$J549,AvgBonus[company_name],$B549,AvgBonus[bu_name],$C549,AvgBonus[dept_name],$D549,AvgBonus[team_consolidation],$K549,AvgBonus[location_name],$G549,AvgBonus[job_title],$H549))*N444*SUM(BonusPayout[Month 3]))</f>
        <v>0</v>
      </c>
      <c r="O549" s="652">
        <f>IF($B549="",,IF(LEFT($H549,5)="dummy",SUMIFS(AvgBonus[avg_bonus],AvgBonus[job_title],$H549),SUMIFS(AvgBonus[avg_bonus],AvgBonus[exp_item],$J549,AvgBonus[company_name],$B549,AvgBonus[bu_name],$C549,AvgBonus[dept_name],$D549,AvgBonus[team_consolidation],$K549,AvgBonus[location_name],$G549,AvgBonus[job_title],$H549))*O444*SUM(BonusPayout[Month 4]))</f>
        <v>0</v>
      </c>
      <c r="P549" s="652">
        <f>IF($B549="",,IF(LEFT($H549,5)="dummy",SUMIFS(AvgBonus[avg_bonus],AvgBonus[job_title],$H549),SUMIFS(AvgBonus[avg_bonus],AvgBonus[exp_item],$J549,AvgBonus[company_name],$B549,AvgBonus[bu_name],$C549,AvgBonus[dept_name],$D549,AvgBonus[team_consolidation],$K549,AvgBonus[location_name],$G549,AvgBonus[job_title],$H549))*P444*SUM(BonusPayout[Month 5]))</f>
        <v>0</v>
      </c>
      <c r="Q549" s="652">
        <f>IF($B549="",,IF(LEFT($H549,5)="dummy",SUMIFS(AvgBonus[avg_bonus],AvgBonus[job_title],$H549),SUMIFS(AvgBonus[avg_bonus],AvgBonus[exp_item],$J549,AvgBonus[company_name],$B549,AvgBonus[bu_name],$C549,AvgBonus[dept_name],$D549,AvgBonus[team_consolidation],$K549,AvgBonus[location_name],$G549,AvgBonus[job_title],$H549))*Q444*SUM(BonusPayout[Month 6]))</f>
        <v>0</v>
      </c>
      <c r="R549" s="652">
        <f>IF($B549="",,IF(LEFT($H549,5)="dummy",SUMIFS(AvgBonus[avg_bonus],AvgBonus[job_title],$H549),SUMIFS(AvgBonus[avg_bonus],AvgBonus[exp_item],$J549,AvgBonus[company_name],$B549,AvgBonus[bu_name],$C549,AvgBonus[dept_name],$D549,AvgBonus[team_consolidation],$K549,AvgBonus[location_name],$G549,AvgBonus[job_title],$H549))*R444*SUM(BonusPayout[Month 7]))</f>
        <v>0</v>
      </c>
      <c r="S549" s="652">
        <f>IF($B549="",,IF(LEFT($H549,5)="dummy",SUMIFS(AvgBonus[avg_bonus],AvgBonus[job_title],$H549),SUMIFS(AvgBonus[avg_bonus],AvgBonus[exp_item],$J549,AvgBonus[company_name],$B549,AvgBonus[bu_name],$C549,AvgBonus[dept_name],$D549,AvgBonus[team_consolidation],$K549,AvgBonus[location_name],$G549,AvgBonus[job_title],$H549))*S444*SUM(BonusPayout[Month 8]))</f>
        <v>0</v>
      </c>
      <c r="T549" s="652">
        <f>IF($B549="",,IF(LEFT($H549,5)="dummy",SUMIFS(AvgBonus[avg_bonus],AvgBonus[job_title],$H549),SUMIFS(AvgBonus[avg_bonus],AvgBonus[exp_item],$J549,AvgBonus[company_name],$B549,AvgBonus[bu_name],$C549,AvgBonus[dept_name],$D549,AvgBonus[team_consolidation],$K549,AvgBonus[location_name],$G549,AvgBonus[job_title],$H549))*T444*SUM(BonusPayout[Month 9]))</f>
        <v>0</v>
      </c>
      <c r="U549" s="652">
        <f>IF($B549="",,IF(LEFT($H549,5)="dummy",SUMIFS(AvgBonus[avg_bonus],AvgBonus[job_title],$H549),SUMIFS(AvgBonus[avg_bonus],AvgBonus[exp_item],$J549,AvgBonus[company_name],$B549,AvgBonus[bu_name],$C549,AvgBonus[dept_name],$D549,AvgBonus[team_consolidation],$K549,AvgBonus[location_name],$G549,AvgBonus[job_title],$H549))*U444*SUM(BonusPayout[Month 10]))</f>
        <v>0</v>
      </c>
      <c r="V549" s="652">
        <f>IF($B549="",,IF(LEFT($H549,5)="dummy",SUMIFS(AvgBonus[avg_bonus],AvgBonus[job_title],$H549),SUMIFS(AvgBonus[avg_bonus],AvgBonus[exp_item],$J549,AvgBonus[company_name],$B549,AvgBonus[bu_name],$C549,AvgBonus[dept_name],$D549,AvgBonus[team_consolidation],$K549,AvgBonus[location_name],$G549,AvgBonus[job_title],$H549))*V444*SUM(BonusPayout[Month 11]))</f>
        <v>0</v>
      </c>
      <c r="W549" s="652">
        <f>IF($B549="",,IF(LEFT($H549,5)="dummy",SUMIFS(AvgBonus[avg_bonus],AvgBonus[job_title],$H549),SUMIFS(AvgBonus[avg_bonus],AvgBonus[exp_item],$J549,AvgBonus[company_name],$B549,AvgBonus[bu_name],$C549,AvgBonus[dept_name],$D549,AvgBonus[team_consolidation],$K549,AvgBonus[location_name],$G549,AvgBonus[job_title],$H549))*W444*SUM(BonusPayout[Month 12]))</f>
        <v>0</v>
      </c>
      <c r="X549" s="652">
        <f>IF($B549="",,IF(LEFT($H549,5)="dummy",SUMIFS(AvgBonus[avg_bonus],AvgBonus[job_title],$H549),SUMIFS(AvgBonus[avg_bonus],AvgBonus[exp_item],$J549,AvgBonus[company_name],$B549,AvgBonus[bu_name],$C549,AvgBonus[dept_name],$D549,AvgBonus[team_consolidation],$K549,AvgBonus[location_name],$G549,AvgBonus[job_title],$H549))*X444*SUM(BonusPayout[Month 13]))</f>
        <v>0</v>
      </c>
      <c r="Y549" s="652">
        <f>IF($B549="",,IF(LEFT($H549,5)="dummy",SUMIFS(AvgBonus[avg_bonus],AvgBonus[job_title],$H549),SUMIFS(AvgBonus[avg_bonus],AvgBonus[exp_item],$J549,AvgBonus[company_name],$B549,AvgBonus[bu_name],$C549,AvgBonus[dept_name],$D549,AvgBonus[team_consolidation],$K549,AvgBonus[location_name],$G549,AvgBonus[job_title],$H549))*Y444*SUM(BonusPayout[Month 14]))</f>
        <v>0</v>
      </c>
      <c r="Z549" s="652">
        <f>IF($B549="",,IF(LEFT($H549,5)="dummy",SUMIFS(AvgBonus[avg_bonus],AvgBonus[job_title],$H549),SUMIFS(AvgBonus[avg_bonus],AvgBonus[exp_item],$J549,AvgBonus[company_name],$B549,AvgBonus[bu_name],$C549,AvgBonus[dept_name],$D549,AvgBonus[team_consolidation],$K549,AvgBonus[location_name],$G549,AvgBonus[job_title],$H549))*Z444*SUM(BonusPayout[Month 15]))</f>
        <v>0</v>
      </c>
      <c r="AA549" s="652">
        <f>IF($B549="",,IF(LEFT($H549,5)="dummy",SUMIFS(AvgBonus[avg_bonus],AvgBonus[job_title],$H549),SUMIFS(AvgBonus[avg_bonus],AvgBonus[exp_item],$J549,AvgBonus[company_name],$B549,AvgBonus[bu_name],$C549,AvgBonus[dept_name],$D549,AvgBonus[team_consolidation],$K549,AvgBonus[location_name],$G549,AvgBonus[job_title],$H549))*AA444*SUM(BonusPayout[Month 16]))</f>
        <v>0</v>
      </c>
      <c r="AB549" s="652">
        <f>IF($B549="",,IF(LEFT($H549,5)="dummy",SUMIFS(AvgBonus[avg_bonus],AvgBonus[job_title],$H549),SUMIFS(AvgBonus[avg_bonus],AvgBonus[exp_item],$J549,AvgBonus[company_name],$B549,AvgBonus[bu_name],$C549,AvgBonus[dept_name],$D549,AvgBonus[team_consolidation],$K549,AvgBonus[location_name],$G549,AvgBonus[job_title],$H549))*AB444*SUM(BonusPayout[Month 17]))</f>
        <v>0</v>
      </c>
      <c r="AC549" s="652">
        <f>IF($B549="",,IF(LEFT($H549,5)="dummy",SUMIFS(AvgBonus[avg_bonus],AvgBonus[job_title],$H549),SUMIFS(AvgBonus[avg_bonus],AvgBonus[exp_item],$J549,AvgBonus[company_name],$B549,AvgBonus[bu_name],$C549,AvgBonus[dept_name],$D549,AvgBonus[team_consolidation],$K549,AvgBonus[location_name],$G549,AvgBonus[job_title],$H549))*AC444*SUM(BonusPayout[Month 18]))</f>
        <v>0</v>
      </c>
      <c r="AD549" s="652">
        <f>IF($B549="",,IF(LEFT($H549,5)="dummy",SUMIFS(AvgBonus[avg_bonus],AvgBonus[job_title],$H549),SUMIFS(AvgBonus[avg_bonus],AvgBonus[exp_item],$J549,AvgBonus[company_name],$B549,AvgBonus[bu_name],$C549,AvgBonus[dept_name],$D549,AvgBonus[team_consolidation],$K549,AvgBonus[location_name],$G549,AvgBonus[job_title],$H549))*AD444*SUM(BonusPayout[Month 19]))</f>
        <v>0</v>
      </c>
      <c r="AE549" s="652">
        <f>IF($B549="",,IF(LEFT($H549,5)="dummy",SUMIFS(AvgBonus[avg_bonus],AvgBonus[job_title],$H549),SUMIFS(AvgBonus[avg_bonus],AvgBonus[exp_item],$J549,AvgBonus[company_name],$B549,AvgBonus[bu_name],$C549,AvgBonus[dept_name],$D549,AvgBonus[team_consolidation],$K549,AvgBonus[location_name],$G549,AvgBonus[job_title],$H549))*AE444*SUM(BonusPayout[Month 20]))</f>
        <v>0</v>
      </c>
      <c r="AF549" s="652">
        <f>IF($B549="",,IF(LEFT($H549,5)="dummy",SUMIFS(AvgBonus[avg_bonus],AvgBonus[job_title],$H549),SUMIFS(AvgBonus[avg_bonus],AvgBonus[exp_item],$J549,AvgBonus[company_name],$B549,AvgBonus[bu_name],$C549,AvgBonus[dept_name],$D549,AvgBonus[team_consolidation],$K549,AvgBonus[location_name],$G549,AvgBonus[job_title],$H549))*AF444*SUM(BonusPayout[Month 21]))</f>
        <v>0</v>
      </c>
      <c r="AG549" s="652">
        <f>IF($B549="",,IF(LEFT($H549,5)="dummy",SUMIFS(AvgBonus[avg_bonus],AvgBonus[job_title],$H549),SUMIFS(AvgBonus[avg_bonus],AvgBonus[exp_item],$J549,AvgBonus[company_name],$B549,AvgBonus[bu_name],$C549,AvgBonus[dept_name],$D549,AvgBonus[team_consolidation],$K549,AvgBonus[location_name],$G549,AvgBonus[job_title],$H549))*AG444*SUM(BonusPayout[Month 22]))</f>
        <v>0</v>
      </c>
      <c r="AH549" s="652">
        <f>IF($B549="",,IF(LEFT($H549,5)="dummy",SUMIFS(AvgBonus[avg_bonus],AvgBonus[job_title],$H549),SUMIFS(AvgBonus[avg_bonus],AvgBonus[exp_item],$J549,AvgBonus[company_name],$B549,AvgBonus[bu_name],$C549,AvgBonus[dept_name],$D549,AvgBonus[team_consolidation],$K549,AvgBonus[location_name],$G549,AvgBonus[job_title],$H549))*AH444*SUM(BonusPayout[Month 23]))</f>
        <v>0</v>
      </c>
      <c r="AI549" s="652">
        <f>IF($B549="",,IF(LEFT($H549,5)="dummy",SUMIFS(AvgBonus[avg_bonus],AvgBonus[job_title],$H549),SUMIFS(AvgBonus[avg_bonus],AvgBonus[exp_item],$J549,AvgBonus[company_name],$B549,AvgBonus[bu_name],$C549,AvgBonus[dept_name],$D549,AvgBonus[team_consolidation],$K549,AvgBonus[location_name],$G549,AvgBonus[job_title],$H549))*AI444*SUM(BonusPayout[Month 24]))</f>
        <v>0</v>
      </c>
      <c r="AJ549" s="652">
        <f>IF($B549="",,IF(LEFT($H549,5)="dummy",SUMIFS(AvgBonus[avg_bonus],AvgBonus[job_title],$H549),SUMIFS(AvgBonus[avg_bonus],AvgBonus[exp_item],$J549,AvgBonus[company_name],$B549,AvgBonus[bu_name],$C549,AvgBonus[dept_name],$D549,AvgBonus[team_consolidation],$K549,AvgBonus[location_name],$G549,AvgBonus[job_title],$H549))*AJ444*SUM(BonusPayout[Month 25]))</f>
        <v>0</v>
      </c>
      <c r="AK549" s="652">
        <f>IF($B549="",,IF(LEFT($H549,5)="dummy",SUMIFS(AvgBonus[avg_bonus],AvgBonus[job_title],$H549),SUMIFS(AvgBonus[avg_bonus],AvgBonus[exp_item],$J549,AvgBonus[company_name],$B549,AvgBonus[bu_name],$C549,AvgBonus[dept_name],$D549,AvgBonus[team_consolidation],$K549,AvgBonus[location_name],$G549,AvgBonus[job_title],$H549))*AK444*SUM(BonusPayout[Month 26]))</f>
        <v>0</v>
      </c>
      <c r="AL549" s="652">
        <f>IF($B549="",,IF(LEFT($H549,5)="dummy",SUMIFS(AvgBonus[avg_bonus],AvgBonus[job_title],$H549),SUMIFS(AvgBonus[avg_bonus],AvgBonus[exp_item],$J549,AvgBonus[company_name],$B549,AvgBonus[bu_name],$C549,AvgBonus[dept_name],$D549,AvgBonus[team_consolidation],$K549,AvgBonus[location_name],$G549,AvgBonus[job_title],$H549))*AL444*SUM(BonusPayout[Month 27]))</f>
        <v>0</v>
      </c>
      <c r="AM549" s="652">
        <f>IF($B549="",,IF(LEFT($H549,5)="dummy",SUMIFS(AvgBonus[avg_bonus],AvgBonus[job_title],$H549),SUMIFS(AvgBonus[avg_bonus],AvgBonus[exp_item],$J549,AvgBonus[company_name],$B549,AvgBonus[bu_name],$C549,AvgBonus[dept_name],$D549,AvgBonus[team_consolidation],$K549,AvgBonus[location_name],$G549,AvgBonus[job_title],$H549))*AM444*SUM(BonusPayout[Month 28]))</f>
        <v>0</v>
      </c>
      <c r="AN549" s="652">
        <f>IF($B549="",,IF(LEFT($H549,5)="dummy",SUMIFS(AvgBonus[avg_bonus],AvgBonus[job_title],$H549),SUMIFS(AvgBonus[avg_bonus],AvgBonus[exp_item],$J549,AvgBonus[company_name],$B549,AvgBonus[bu_name],$C549,AvgBonus[dept_name],$D549,AvgBonus[team_consolidation],$K549,AvgBonus[location_name],$G549,AvgBonus[job_title],$H549))*AN444*SUM(BonusPayout[Month 29]))</f>
        <v>0</v>
      </c>
      <c r="AO549" s="652">
        <f>IF($B549="",,IF(LEFT($H549,5)="dummy",SUMIFS(AvgBonus[avg_bonus],AvgBonus[job_title],$H549),SUMIFS(AvgBonus[avg_bonus],AvgBonus[exp_item],$J549,AvgBonus[company_name],$B549,AvgBonus[bu_name],$C549,AvgBonus[dept_name],$D549,AvgBonus[team_consolidation],$K549,AvgBonus[location_name],$G549,AvgBonus[job_title],$H549))*AO444*SUM(BonusPayout[Month 30]))</f>
        <v>0</v>
      </c>
      <c r="AP549" s="652">
        <f>IF($B549="",,IF(LEFT($H549,5)="dummy",SUMIFS(AvgBonus[avg_bonus],AvgBonus[job_title],$H549),SUMIFS(AvgBonus[avg_bonus],AvgBonus[exp_item],$J549,AvgBonus[company_name],$B549,AvgBonus[bu_name],$C549,AvgBonus[dept_name],$D549,AvgBonus[team_consolidation],$K549,AvgBonus[location_name],$G549,AvgBonus[job_title],$H549))*AP444*SUM(BonusPayout[Month 31]))</f>
        <v>0</v>
      </c>
      <c r="AQ549" s="652">
        <f>IF($B549="",,IF(LEFT($H549,5)="dummy",SUMIFS(AvgBonus[avg_bonus],AvgBonus[job_title],$H549),SUMIFS(AvgBonus[avg_bonus],AvgBonus[exp_item],$J549,AvgBonus[company_name],$B549,AvgBonus[bu_name],$C549,AvgBonus[dept_name],$D549,AvgBonus[team_consolidation],$K549,AvgBonus[location_name],$G549,AvgBonus[job_title],$H549))*AQ444*SUM(BonusPayout[Month 32]))</f>
        <v>0</v>
      </c>
      <c r="AR549" s="652">
        <f>IF($B549="",,IF(LEFT($H549,5)="dummy",SUMIFS(AvgBonus[avg_bonus],AvgBonus[job_title],$H549),SUMIFS(AvgBonus[avg_bonus],AvgBonus[exp_item],$J549,AvgBonus[company_name],$B549,AvgBonus[bu_name],$C549,AvgBonus[dept_name],$D549,AvgBonus[team_consolidation],$K549,AvgBonus[location_name],$G549,AvgBonus[job_title],$H549))*AR444*SUM(BonusPayout[Month 33]))</f>
        <v>0</v>
      </c>
      <c r="AS549" s="652">
        <f>IF($B549="",,IF(LEFT($H549,5)="dummy",SUMIFS(AvgBonus[avg_bonus],AvgBonus[job_title],$H549),SUMIFS(AvgBonus[avg_bonus],AvgBonus[exp_item],$J549,AvgBonus[company_name],$B549,AvgBonus[bu_name],$C549,AvgBonus[dept_name],$D549,AvgBonus[team_consolidation],$K549,AvgBonus[location_name],$G549,AvgBonus[job_title],$H549))*AS444*SUM(BonusPayout[Month 34]))</f>
        <v>0</v>
      </c>
      <c r="AT549" s="652">
        <f>IF($B549="",,IF(LEFT($H549,5)="dummy",SUMIFS(AvgBonus[avg_bonus],AvgBonus[job_title],$H549),SUMIFS(AvgBonus[avg_bonus],AvgBonus[exp_item],$J549,AvgBonus[company_name],$B549,AvgBonus[bu_name],$C549,AvgBonus[dept_name],$D549,AvgBonus[team_consolidation],$K549,AvgBonus[location_name],$G549,AvgBonus[job_title],$H549))*AT444*SUM(BonusPayout[Month 35]))</f>
        <v>0</v>
      </c>
      <c r="AU549" s="652">
        <f>IF($B549="",,IF(LEFT($H549,5)="dummy",SUMIFS(AvgBonus[avg_bonus],AvgBonus[job_title],$H549),SUMIFS(AvgBonus[avg_bonus],AvgBonus[exp_item],$J549,AvgBonus[company_name],$B549,AvgBonus[bu_name],$C549,AvgBonus[dept_name],$D549,AvgBonus[team_consolidation],$K549,AvgBonus[location_name],$G549,AvgBonus[job_title],$H549))*AU444*SUM(BonusPayout[Month 36]))</f>
        <v>0</v>
      </c>
    </row>
    <row r="550" spans="2:47" x14ac:dyDescent="0.35">
      <c r="B550" t="str">
        <f t="shared" si="327"/>
        <v/>
      </c>
      <c r="C550" t="str">
        <f t="shared" ref="C550:G550" si="344">IF(C445="","",C445)</f>
        <v/>
      </c>
      <c r="D550" t="str">
        <f t="shared" si="344"/>
        <v/>
      </c>
      <c r="E550" t="str">
        <f t="shared" si="344"/>
        <v/>
      </c>
      <c r="F550" t="str">
        <f t="shared" si="344"/>
        <v/>
      </c>
      <c r="G550" t="str">
        <f t="shared" si="344"/>
        <v/>
      </c>
      <c r="H550" t="str">
        <f t="shared" si="326"/>
        <v/>
      </c>
      <c r="J550" t="str">
        <f>IF($H550="","",IF(VLOOKUP($B$500,ExpItems[],2,0),$B$500&amp;" - "&amp;INDEX(DivisionMapping[category_code],MATCH($D550&amp;$C550,DivisionMapping[dept_bu],0)),$B$500))</f>
        <v/>
      </c>
      <c r="K550" t="str">
        <f t="shared" si="294"/>
        <v/>
      </c>
      <c r="L550" s="652">
        <f>IF($B550="",,IF(LEFT($H550,5)="dummy",SUMIFS(AvgBonus[avg_bonus],AvgBonus[job_title],$H550),SUMIFS(AvgBonus[avg_bonus],AvgBonus[exp_item],$J550,AvgBonus[company_name],$B550,AvgBonus[bu_name],$C550,AvgBonus[dept_name],$D550,AvgBonus[team_consolidation],$K550,AvgBonus[location_name],$G550,AvgBonus[job_title],$H550))*L445*SUM(BonusPayout[Month 1]))</f>
        <v>0</v>
      </c>
      <c r="M550" s="652">
        <f>IF($B550="",,IF(LEFT($H550,5)="dummy",SUMIFS(AvgBonus[avg_bonus],AvgBonus[job_title],$H550),SUMIFS(AvgBonus[avg_bonus],AvgBonus[exp_item],$J550,AvgBonus[company_name],$B550,AvgBonus[bu_name],$C550,AvgBonus[dept_name],$D550,AvgBonus[team_consolidation],$K550,AvgBonus[location_name],$G550,AvgBonus[job_title],$H550))*M445*SUM(BonusPayout[Month 2]))</f>
        <v>0</v>
      </c>
      <c r="N550" s="652">
        <f>IF($B550="",,IF(LEFT($H550,5)="dummy",SUMIFS(AvgBonus[avg_bonus],AvgBonus[job_title],$H550),SUMIFS(AvgBonus[avg_bonus],AvgBonus[exp_item],$J550,AvgBonus[company_name],$B550,AvgBonus[bu_name],$C550,AvgBonus[dept_name],$D550,AvgBonus[team_consolidation],$K550,AvgBonus[location_name],$G550,AvgBonus[job_title],$H550))*N445*SUM(BonusPayout[Month 3]))</f>
        <v>0</v>
      </c>
      <c r="O550" s="652">
        <f>IF($B550="",,IF(LEFT($H550,5)="dummy",SUMIFS(AvgBonus[avg_bonus],AvgBonus[job_title],$H550),SUMIFS(AvgBonus[avg_bonus],AvgBonus[exp_item],$J550,AvgBonus[company_name],$B550,AvgBonus[bu_name],$C550,AvgBonus[dept_name],$D550,AvgBonus[team_consolidation],$K550,AvgBonus[location_name],$G550,AvgBonus[job_title],$H550))*O445*SUM(BonusPayout[Month 4]))</f>
        <v>0</v>
      </c>
      <c r="P550" s="652">
        <f>IF($B550="",,IF(LEFT($H550,5)="dummy",SUMIFS(AvgBonus[avg_bonus],AvgBonus[job_title],$H550),SUMIFS(AvgBonus[avg_bonus],AvgBonus[exp_item],$J550,AvgBonus[company_name],$B550,AvgBonus[bu_name],$C550,AvgBonus[dept_name],$D550,AvgBonus[team_consolidation],$K550,AvgBonus[location_name],$G550,AvgBonus[job_title],$H550))*P445*SUM(BonusPayout[Month 5]))</f>
        <v>0</v>
      </c>
      <c r="Q550" s="652">
        <f>IF($B550="",,IF(LEFT($H550,5)="dummy",SUMIFS(AvgBonus[avg_bonus],AvgBonus[job_title],$H550),SUMIFS(AvgBonus[avg_bonus],AvgBonus[exp_item],$J550,AvgBonus[company_name],$B550,AvgBonus[bu_name],$C550,AvgBonus[dept_name],$D550,AvgBonus[team_consolidation],$K550,AvgBonus[location_name],$G550,AvgBonus[job_title],$H550))*Q445*SUM(BonusPayout[Month 6]))</f>
        <v>0</v>
      </c>
      <c r="R550" s="652">
        <f>IF($B550="",,IF(LEFT($H550,5)="dummy",SUMIFS(AvgBonus[avg_bonus],AvgBonus[job_title],$H550),SUMIFS(AvgBonus[avg_bonus],AvgBonus[exp_item],$J550,AvgBonus[company_name],$B550,AvgBonus[bu_name],$C550,AvgBonus[dept_name],$D550,AvgBonus[team_consolidation],$K550,AvgBonus[location_name],$G550,AvgBonus[job_title],$H550))*R445*SUM(BonusPayout[Month 7]))</f>
        <v>0</v>
      </c>
      <c r="S550" s="652">
        <f>IF($B550="",,IF(LEFT($H550,5)="dummy",SUMIFS(AvgBonus[avg_bonus],AvgBonus[job_title],$H550),SUMIFS(AvgBonus[avg_bonus],AvgBonus[exp_item],$J550,AvgBonus[company_name],$B550,AvgBonus[bu_name],$C550,AvgBonus[dept_name],$D550,AvgBonus[team_consolidation],$K550,AvgBonus[location_name],$G550,AvgBonus[job_title],$H550))*S445*SUM(BonusPayout[Month 8]))</f>
        <v>0</v>
      </c>
      <c r="T550" s="652">
        <f>IF($B550="",,IF(LEFT($H550,5)="dummy",SUMIFS(AvgBonus[avg_bonus],AvgBonus[job_title],$H550),SUMIFS(AvgBonus[avg_bonus],AvgBonus[exp_item],$J550,AvgBonus[company_name],$B550,AvgBonus[bu_name],$C550,AvgBonus[dept_name],$D550,AvgBonus[team_consolidation],$K550,AvgBonus[location_name],$G550,AvgBonus[job_title],$H550))*T445*SUM(BonusPayout[Month 9]))</f>
        <v>0</v>
      </c>
      <c r="U550" s="652">
        <f>IF($B550="",,IF(LEFT($H550,5)="dummy",SUMIFS(AvgBonus[avg_bonus],AvgBonus[job_title],$H550),SUMIFS(AvgBonus[avg_bonus],AvgBonus[exp_item],$J550,AvgBonus[company_name],$B550,AvgBonus[bu_name],$C550,AvgBonus[dept_name],$D550,AvgBonus[team_consolidation],$K550,AvgBonus[location_name],$G550,AvgBonus[job_title],$H550))*U445*SUM(BonusPayout[Month 10]))</f>
        <v>0</v>
      </c>
      <c r="V550" s="652">
        <f>IF($B550="",,IF(LEFT($H550,5)="dummy",SUMIFS(AvgBonus[avg_bonus],AvgBonus[job_title],$H550),SUMIFS(AvgBonus[avg_bonus],AvgBonus[exp_item],$J550,AvgBonus[company_name],$B550,AvgBonus[bu_name],$C550,AvgBonus[dept_name],$D550,AvgBonus[team_consolidation],$K550,AvgBonus[location_name],$G550,AvgBonus[job_title],$H550))*V445*SUM(BonusPayout[Month 11]))</f>
        <v>0</v>
      </c>
      <c r="W550" s="652">
        <f>IF($B550="",,IF(LEFT($H550,5)="dummy",SUMIFS(AvgBonus[avg_bonus],AvgBonus[job_title],$H550),SUMIFS(AvgBonus[avg_bonus],AvgBonus[exp_item],$J550,AvgBonus[company_name],$B550,AvgBonus[bu_name],$C550,AvgBonus[dept_name],$D550,AvgBonus[team_consolidation],$K550,AvgBonus[location_name],$G550,AvgBonus[job_title],$H550))*W445*SUM(BonusPayout[Month 12]))</f>
        <v>0</v>
      </c>
      <c r="X550" s="652">
        <f>IF($B550="",,IF(LEFT($H550,5)="dummy",SUMIFS(AvgBonus[avg_bonus],AvgBonus[job_title],$H550),SUMIFS(AvgBonus[avg_bonus],AvgBonus[exp_item],$J550,AvgBonus[company_name],$B550,AvgBonus[bu_name],$C550,AvgBonus[dept_name],$D550,AvgBonus[team_consolidation],$K550,AvgBonus[location_name],$G550,AvgBonus[job_title],$H550))*X445*SUM(BonusPayout[Month 13]))</f>
        <v>0</v>
      </c>
      <c r="Y550" s="652">
        <f>IF($B550="",,IF(LEFT($H550,5)="dummy",SUMIFS(AvgBonus[avg_bonus],AvgBonus[job_title],$H550),SUMIFS(AvgBonus[avg_bonus],AvgBonus[exp_item],$J550,AvgBonus[company_name],$B550,AvgBonus[bu_name],$C550,AvgBonus[dept_name],$D550,AvgBonus[team_consolidation],$K550,AvgBonus[location_name],$G550,AvgBonus[job_title],$H550))*Y445*SUM(BonusPayout[Month 14]))</f>
        <v>0</v>
      </c>
      <c r="Z550" s="652">
        <f>IF($B550="",,IF(LEFT($H550,5)="dummy",SUMIFS(AvgBonus[avg_bonus],AvgBonus[job_title],$H550),SUMIFS(AvgBonus[avg_bonus],AvgBonus[exp_item],$J550,AvgBonus[company_name],$B550,AvgBonus[bu_name],$C550,AvgBonus[dept_name],$D550,AvgBonus[team_consolidation],$K550,AvgBonus[location_name],$G550,AvgBonus[job_title],$H550))*Z445*SUM(BonusPayout[Month 15]))</f>
        <v>0</v>
      </c>
      <c r="AA550" s="652">
        <f>IF($B550="",,IF(LEFT($H550,5)="dummy",SUMIFS(AvgBonus[avg_bonus],AvgBonus[job_title],$H550),SUMIFS(AvgBonus[avg_bonus],AvgBonus[exp_item],$J550,AvgBonus[company_name],$B550,AvgBonus[bu_name],$C550,AvgBonus[dept_name],$D550,AvgBonus[team_consolidation],$K550,AvgBonus[location_name],$G550,AvgBonus[job_title],$H550))*AA445*SUM(BonusPayout[Month 16]))</f>
        <v>0</v>
      </c>
      <c r="AB550" s="652">
        <f>IF($B550="",,IF(LEFT($H550,5)="dummy",SUMIFS(AvgBonus[avg_bonus],AvgBonus[job_title],$H550),SUMIFS(AvgBonus[avg_bonus],AvgBonus[exp_item],$J550,AvgBonus[company_name],$B550,AvgBonus[bu_name],$C550,AvgBonus[dept_name],$D550,AvgBonus[team_consolidation],$K550,AvgBonus[location_name],$G550,AvgBonus[job_title],$H550))*AB445*SUM(BonusPayout[Month 17]))</f>
        <v>0</v>
      </c>
      <c r="AC550" s="652">
        <f>IF($B550="",,IF(LEFT($H550,5)="dummy",SUMIFS(AvgBonus[avg_bonus],AvgBonus[job_title],$H550),SUMIFS(AvgBonus[avg_bonus],AvgBonus[exp_item],$J550,AvgBonus[company_name],$B550,AvgBonus[bu_name],$C550,AvgBonus[dept_name],$D550,AvgBonus[team_consolidation],$K550,AvgBonus[location_name],$G550,AvgBonus[job_title],$H550))*AC445*SUM(BonusPayout[Month 18]))</f>
        <v>0</v>
      </c>
      <c r="AD550" s="652">
        <f>IF($B550="",,IF(LEFT($H550,5)="dummy",SUMIFS(AvgBonus[avg_bonus],AvgBonus[job_title],$H550),SUMIFS(AvgBonus[avg_bonus],AvgBonus[exp_item],$J550,AvgBonus[company_name],$B550,AvgBonus[bu_name],$C550,AvgBonus[dept_name],$D550,AvgBonus[team_consolidation],$K550,AvgBonus[location_name],$G550,AvgBonus[job_title],$H550))*AD445*SUM(BonusPayout[Month 19]))</f>
        <v>0</v>
      </c>
      <c r="AE550" s="652">
        <f>IF($B550="",,IF(LEFT($H550,5)="dummy",SUMIFS(AvgBonus[avg_bonus],AvgBonus[job_title],$H550),SUMIFS(AvgBonus[avg_bonus],AvgBonus[exp_item],$J550,AvgBonus[company_name],$B550,AvgBonus[bu_name],$C550,AvgBonus[dept_name],$D550,AvgBonus[team_consolidation],$K550,AvgBonus[location_name],$G550,AvgBonus[job_title],$H550))*AE445*SUM(BonusPayout[Month 20]))</f>
        <v>0</v>
      </c>
      <c r="AF550" s="652">
        <f>IF($B550="",,IF(LEFT($H550,5)="dummy",SUMIFS(AvgBonus[avg_bonus],AvgBonus[job_title],$H550),SUMIFS(AvgBonus[avg_bonus],AvgBonus[exp_item],$J550,AvgBonus[company_name],$B550,AvgBonus[bu_name],$C550,AvgBonus[dept_name],$D550,AvgBonus[team_consolidation],$K550,AvgBonus[location_name],$G550,AvgBonus[job_title],$H550))*AF445*SUM(BonusPayout[Month 21]))</f>
        <v>0</v>
      </c>
      <c r="AG550" s="652">
        <f>IF($B550="",,IF(LEFT($H550,5)="dummy",SUMIFS(AvgBonus[avg_bonus],AvgBonus[job_title],$H550),SUMIFS(AvgBonus[avg_bonus],AvgBonus[exp_item],$J550,AvgBonus[company_name],$B550,AvgBonus[bu_name],$C550,AvgBonus[dept_name],$D550,AvgBonus[team_consolidation],$K550,AvgBonus[location_name],$G550,AvgBonus[job_title],$H550))*AG445*SUM(BonusPayout[Month 22]))</f>
        <v>0</v>
      </c>
      <c r="AH550" s="652">
        <f>IF($B550="",,IF(LEFT($H550,5)="dummy",SUMIFS(AvgBonus[avg_bonus],AvgBonus[job_title],$H550),SUMIFS(AvgBonus[avg_bonus],AvgBonus[exp_item],$J550,AvgBonus[company_name],$B550,AvgBonus[bu_name],$C550,AvgBonus[dept_name],$D550,AvgBonus[team_consolidation],$K550,AvgBonus[location_name],$G550,AvgBonus[job_title],$H550))*AH445*SUM(BonusPayout[Month 23]))</f>
        <v>0</v>
      </c>
      <c r="AI550" s="652">
        <f>IF($B550="",,IF(LEFT($H550,5)="dummy",SUMIFS(AvgBonus[avg_bonus],AvgBonus[job_title],$H550),SUMIFS(AvgBonus[avg_bonus],AvgBonus[exp_item],$J550,AvgBonus[company_name],$B550,AvgBonus[bu_name],$C550,AvgBonus[dept_name],$D550,AvgBonus[team_consolidation],$K550,AvgBonus[location_name],$G550,AvgBonus[job_title],$H550))*AI445*SUM(BonusPayout[Month 24]))</f>
        <v>0</v>
      </c>
      <c r="AJ550" s="652">
        <f>IF($B550="",,IF(LEFT($H550,5)="dummy",SUMIFS(AvgBonus[avg_bonus],AvgBonus[job_title],$H550),SUMIFS(AvgBonus[avg_bonus],AvgBonus[exp_item],$J550,AvgBonus[company_name],$B550,AvgBonus[bu_name],$C550,AvgBonus[dept_name],$D550,AvgBonus[team_consolidation],$K550,AvgBonus[location_name],$G550,AvgBonus[job_title],$H550))*AJ445*SUM(BonusPayout[Month 25]))</f>
        <v>0</v>
      </c>
      <c r="AK550" s="652">
        <f>IF($B550="",,IF(LEFT($H550,5)="dummy",SUMIFS(AvgBonus[avg_bonus],AvgBonus[job_title],$H550),SUMIFS(AvgBonus[avg_bonus],AvgBonus[exp_item],$J550,AvgBonus[company_name],$B550,AvgBonus[bu_name],$C550,AvgBonus[dept_name],$D550,AvgBonus[team_consolidation],$K550,AvgBonus[location_name],$G550,AvgBonus[job_title],$H550))*AK445*SUM(BonusPayout[Month 26]))</f>
        <v>0</v>
      </c>
      <c r="AL550" s="652">
        <f>IF($B550="",,IF(LEFT($H550,5)="dummy",SUMIFS(AvgBonus[avg_bonus],AvgBonus[job_title],$H550),SUMIFS(AvgBonus[avg_bonus],AvgBonus[exp_item],$J550,AvgBonus[company_name],$B550,AvgBonus[bu_name],$C550,AvgBonus[dept_name],$D550,AvgBonus[team_consolidation],$K550,AvgBonus[location_name],$G550,AvgBonus[job_title],$H550))*AL445*SUM(BonusPayout[Month 27]))</f>
        <v>0</v>
      </c>
      <c r="AM550" s="652">
        <f>IF($B550="",,IF(LEFT($H550,5)="dummy",SUMIFS(AvgBonus[avg_bonus],AvgBonus[job_title],$H550),SUMIFS(AvgBonus[avg_bonus],AvgBonus[exp_item],$J550,AvgBonus[company_name],$B550,AvgBonus[bu_name],$C550,AvgBonus[dept_name],$D550,AvgBonus[team_consolidation],$K550,AvgBonus[location_name],$G550,AvgBonus[job_title],$H550))*AM445*SUM(BonusPayout[Month 28]))</f>
        <v>0</v>
      </c>
      <c r="AN550" s="652">
        <f>IF($B550="",,IF(LEFT($H550,5)="dummy",SUMIFS(AvgBonus[avg_bonus],AvgBonus[job_title],$H550),SUMIFS(AvgBonus[avg_bonus],AvgBonus[exp_item],$J550,AvgBonus[company_name],$B550,AvgBonus[bu_name],$C550,AvgBonus[dept_name],$D550,AvgBonus[team_consolidation],$K550,AvgBonus[location_name],$G550,AvgBonus[job_title],$H550))*AN445*SUM(BonusPayout[Month 29]))</f>
        <v>0</v>
      </c>
      <c r="AO550" s="652">
        <f>IF($B550="",,IF(LEFT($H550,5)="dummy",SUMIFS(AvgBonus[avg_bonus],AvgBonus[job_title],$H550),SUMIFS(AvgBonus[avg_bonus],AvgBonus[exp_item],$J550,AvgBonus[company_name],$B550,AvgBonus[bu_name],$C550,AvgBonus[dept_name],$D550,AvgBonus[team_consolidation],$K550,AvgBonus[location_name],$G550,AvgBonus[job_title],$H550))*AO445*SUM(BonusPayout[Month 30]))</f>
        <v>0</v>
      </c>
      <c r="AP550" s="652">
        <f>IF($B550="",,IF(LEFT($H550,5)="dummy",SUMIFS(AvgBonus[avg_bonus],AvgBonus[job_title],$H550),SUMIFS(AvgBonus[avg_bonus],AvgBonus[exp_item],$J550,AvgBonus[company_name],$B550,AvgBonus[bu_name],$C550,AvgBonus[dept_name],$D550,AvgBonus[team_consolidation],$K550,AvgBonus[location_name],$G550,AvgBonus[job_title],$H550))*AP445*SUM(BonusPayout[Month 31]))</f>
        <v>0</v>
      </c>
      <c r="AQ550" s="652">
        <f>IF($B550="",,IF(LEFT($H550,5)="dummy",SUMIFS(AvgBonus[avg_bonus],AvgBonus[job_title],$H550),SUMIFS(AvgBonus[avg_bonus],AvgBonus[exp_item],$J550,AvgBonus[company_name],$B550,AvgBonus[bu_name],$C550,AvgBonus[dept_name],$D550,AvgBonus[team_consolidation],$K550,AvgBonus[location_name],$G550,AvgBonus[job_title],$H550))*AQ445*SUM(BonusPayout[Month 32]))</f>
        <v>0</v>
      </c>
      <c r="AR550" s="652">
        <f>IF($B550="",,IF(LEFT($H550,5)="dummy",SUMIFS(AvgBonus[avg_bonus],AvgBonus[job_title],$H550),SUMIFS(AvgBonus[avg_bonus],AvgBonus[exp_item],$J550,AvgBonus[company_name],$B550,AvgBonus[bu_name],$C550,AvgBonus[dept_name],$D550,AvgBonus[team_consolidation],$K550,AvgBonus[location_name],$G550,AvgBonus[job_title],$H550))*AR445*SUM(BonusPayout[Month 33]))</f>
        <v>0</v>
      </c>
      <c r="AS550" s="652">
        <f>IF($B550="",,IF(LEFT($H550,5)="dummy",SUMIFS(AvgBonus[avg_bonus],AvgBonus[job_title],$H550),SUMIFS(AvgBonus[avg_bonus],AvgBonus[exp_item],$J550,AvgBonus[company_name],$B550,AvgBonus[bu_name],$C550,AvgBonus[dept_name],$D550,AvgBonus[team_consolidation],$K550,AvgBonus[location_name],$G550,AvgBonus[job_title],$H550))*AS445*SUM(BonusPayout[Month 34]))</f>
        <v>0</v>
      </c>
      <c r="AT550" s="652">
        <f>IF($B550="",,IF(LEFT($H550,5)="dummy",SUMIFS(AvgBonus[avg_bonus],AvgBonus[job_title],$H550),SUMIFS(AvgBonus[avg_bonus],AvgBonus[exp_item],$J550,AvgBonus[company_name],$B550,AvgBonus[bu_name],$C550,AvgBonus[dept_name],$D550,AvgBonus[team_consolidation],$K550,AvgBonus[location_name],$G550,AvgBonus[job_title],$H550))*AT445*SUM(BonusPayout[Month 35]))</f>
        <v>0</v>
      </c>
      <c r="AU550" s="652">
        <f>IF($B550="",,IF(LEFT($H550,5)="dummy",SUMIFS(AvgBonus[avg_bonus],AvgBonus[job_title],$H550),SUMIFS(AvgBonus[avg_bonus],AvgBonus[exp_item],$J550,AvgBonus[company_name],$B550,AvgBonus[bu_name],$C550,AvgBonus[dept_name],$D550,AvgBonus[team_consolidation],$K550,AvgBonus[location_name],$G550,AvgBonus[job_title],$H550))*AU445*SUM(BonusPayout[Month 36]))</f>
        <v>0</v>
      </c>
    </row>
    <row r="551" spans="2:47" x14ac:dyDescent="0.35">
      <c r="B551" t="str">
        <f t="shared" si="327"/>
        <v/>
      </c>
      <c r="C551" t="str">
        <f t="shared" ref="C551:G551" si="345">IF(C446="","",C446)</f>
        <v/>
      </c>
      <c r="D551" t="str">
        <f t="shared" si="345"/>
        <v/>
      </c>
      <c r="E551" t="str">
        <f t="shared" si="345"/>
        <v/>
      </c>
      <c r="F551" t="str">
        <f t="shared" si="345"/>
        <v/>
      </c>
      <c r="G551" t="str">
        <f t="shared" si="345"/>
        <v/>
      </c>
      <c r="H551" t="str">
        <f t="shared" si="326"/>
        <v/>
      </c>
      <c r="J551" t="str">
        <f>IF($H551="","",IF(VLOOKUP($B$500,ExpItems[],2,0),$B$500&amp;" - "&amp;INDEX(DivisionMapping[category_code],MATCH($D551&amp;$C551,DivisionMapping[dept_bu],0)),$B$500))</f>
        <v/>
      </c>
      <c r="K551" t="str">
        <f t="shared" si="294"/>
        <v/>
      </c>
      <c r="L551" s="652">
        <f>IF($B551="",,IF(LEFT($H551,5)="dummy",SUMIFS(AvgBonus[avg_bonus],AvgBonus[job_title],$H551),SUMIFS(AvgBonus[avg_bonus],AvgBonus[exp_item],$J551,AvgBonus[company_name],$B551,AvgBonus[bu_name],$C551,AvgBonus[dept_name],$D551,AvgBonus[team_consolidation],$K551,AvgBonus[location_name],$G551,AvgBonus[job_title],$H551))*L446*SUM(BonusPayout[Month 1]))</f>
        <v>0</v>
      </c>
      <c r="M551" s="652">
        <f>IF($B551="",,IF(LEFT($H551,5)="dummy",SUMIFS(AvgBonus[avg_bonus],AvgBonus[job_title],$H551),SUMIFS(AvgBonus[avg_bonus],AvgBonus[exp_item],$J551,AvgBonus[company_name],$B551,AvgBonus[bu_name],$C551,AvgBonus[dept_name],$D551,AvgBonus[team_consolidation],$K551,AvgBonus[location_name],$G551,AvgBonus[job_title],$H551))*M446*SUM(BonusPayout[Month 2]))</f>
        <v>0</v>
      </c>
      <c r="N551" s="652">
        <f>IF($B551="",,IF(LEFT($H551,5)="dummy",SUMIFS(AvgBonus[avg_bonus],AvgBonus[job_title],$H551),SUMIFS(AvgBonus[avg_bonus],AvgBonus[exp_item],$J551,AvgBonus[company_name],$B551,AvgBonus[bu_name],$C551,AvgBonus[dept_name],$D551,AvgBonus[team_consolidation],$K551,AvgBonus[location_name],$G551,AvgBonus[job_title],$H551))*N446*SUM(BonusPayout[Month 3]))</f>
        <v>0</v>
      </c>
      <c r="O551" s="652">
        <f>IF($B551="",,IF(LEFT($H551,5)="dummy",SUMIFS(AvgBonus[avg_bonus],AvgBonus[job_title],$H551),SUMIFS(AvgBonus[avg_bonus],AvgBonus[exp_item],$J551,AvgBonus[company_name],$B551,AvgBonus[bu_name],$C551,AvgBonus[dept_name],$D551,AvgBonus[team_consolidation],$K551,AvgBonus[location_name],$G551,AvgBonus[job_title],$H551))*O446*SUM(BonusPayout[Month 4]))</f>
        <v>0</v>
      </c>
      <c r="P551" s="652">
        <f>IF($B551="",,IF(LEFT($H551,5)="dummy",SUMIFS(AvgBonus[avg_bonus],AvgBonus[job_title],$H551),SUMIFS(AvgBonus[avg_bonus],AvgBonus[exp_item],$J551,AvgBonus[company_name],$B551,AvgBonus[bu_name],$C551,AvgBonus[dept_name],$D551,AvgBonus[team_consolidation],$K551,AvgBonus[location_name],$G551,AvgBonus[job_title],$H551))*P446*SUM(BonusPayout[Month 5]))</f>
        <v>0</v>
      </c>
      <c r="Q551" s="652">
        <f>IF($B551="",,IF(LEFT($H551,5)="dummy",SUMIFS(AvgBonus[avg_bonus],AvgBonus[job_title],$H551),SUMIFS(AvgBonus[avg_bonus],AvgBonus[exp_item],$J551,AvgBonus[company_name],$B551,AvgBonus[bu_name],$C551,AvgBonus[dept_name],$D551,AvgBonus[team_consolidation],$K551,AvgBonus[location_name],$G551,AvgBonus[job_title],$H551))*Q446*SUM(BonusPayout[Month 6]))</f>
        <v>0</v>
      </c>
      <c r="R551" s="652">
        <f>IF($B551="",,IF(LEFT($H551,5)="dummy",SUMIFS(AvgBonus[avg_bonus],AvgBonus[job_title],$H551),SUMIFS(AvgBonus[avg_bonus],AvgBonus[exp_item],$J551,AvgBonus[company_name],$B551,AvgBonus[bu_name],$C551,AvgBonus[dept_name],$D551,AvgBonus[team_consolidation],$K551,AvgBonus[location_name],$G551,AvgBonus[job_title],$H551))*R446*SUM(BonusPayout[Month 7]))</f>
        <v>0</v>
      </c>
      <c r="S551" s="652">
        <f>IF($B551="",,IF(LEFT($H551,5)="dummy",SUMIFS(AvgBonus[avg_bonus],AvgBonus[job_title],$H551),SUMIFS(AvgBonus[avg_bonus],AvgBonus[exp_item],$J551,AvgBonus[company_name],$B551,AvgBonus[bu_name],$C551,AvgBonus[dept_name],$D551,AvgBonus[team_consolidation],$K551,AvgBonus[location_name],$G551,AvgBonus[job_title],$H551))*S446*SUM(BonusPayout[Month 8]))</f>
        <v>0</v>
      </c>
      <c r="T551" s="652">
        <f>IF($B551="",,IF(LEFT($H551,5)="dummy",SUMIFS(AvgBonus[avg_bonus],AvgBonus[job_title],$H551),SUMIFS(AvgBonus[avg_bonus],AvgBonus[exp_item],$J551,AvgBonus[company_name],$B551,AvgBonus[bu_name],$C551,AvgBonus[dept_name],$D551,AvgBonus[team_consolidation],$K551,AvgBonus[location_name],$G551,AvgBonus[job_title],$H551))*T446*SUM(BonusPayout[Month 9]))</f>
        <v>0</v>
      </c>
      <c r="U551" s="652">
        <f>IF($B551="",,IF(LEFT($H551,5)="dummy",SUMIFS(AvgBonus[avg_bonus],AvgBonus[job_title],$H551),SUMIFS(AvgBonus[avg_bonus],AvgBonus[exp_item],$J551,AvgBonus[company_name],$B551,AvgBonus[bu_name],$C551,AvgBonus[dept_name],$D551,AvgBonus[team_consolidation],$K551,AvgBonus[location_name],$G551,AvgBonus[job_title],$H551))*U446*SUM(BonusPayout[Month 10]))</f>
        <v>0</v>
      </c>
      <c r="V551" s="652">
        <f>IF($B551="",,IF(LEFT($H551,5)="dummy",SUMIFS(AvgBonus[avg_bonus],AvgBonus[job_title],$H551),SUMIFS(AvgBonus[avg_bonus],AvgBonus[exp_item],$J551,AvgBonus[company_name],$B551,AvgBonus[bu_name],$C551,AvgBonus[dept_name],$D551,AvgBonus[team_consolidation],$K551,AvgBonus[location_name],$G551,AvgBonus[job_title],$H551))*V446*SUM(BonusPayout[Month 11]))</f>
        <v>0</v>
      </c>
      <c r="W551" s="652">
        <f>IF($B551="",,IF(LEFT($H551,5)="dummy",SUMIFS(AvgBonus[avg_bonus],AvgBonus[job_title],$H551),SUMIFS(AvgBonus[avg_bonus],AvgBonus[exp_item],$J551,AvgBonus[company_name],$B551,AvgBonus[bu_name],$C551,AvgBonus[dept_name],$D551,AvgBonus[team_consolidation],$K551,AvgBonus[location_name],$G551,AvgBonus[job_title],$H551))*W446*SUM(BonusPayout[Month 12]))</f>
        <v>0</v>
      </c>
      <c r="X551" s="652">
        <f>IF($B551="",,IF(LEFT($H551,5)="dummy",SUMIFS(AvgBonus[avg_bonus],AvgBonus[job_title],$H551),SUMIFS(AvgBonus[avg_bonus],AvgBonus[exp_item],$J551,AvgBonus[company_name],$B551,AvgBonus[bu_name],$C551,AvgBonus[dept_name],$D551,AvgBonus[team_consolidation],$K551,AvgBonus[location_name],$G551,AvgBonus[job_title],$H551))*X446*SUM(BonusPayout[Month 13]))</f>
        <v>0</v>
      </c>
      <c r="Y551" s="652">
        <f>IF($B551="",,IF(LEFT($H551,5)="dummy",SUMIFS(AvgBonus[avg_bonus],AvgBonus[job_title],$H551),SUMIFS(AvgBonus[avg_bonus],AvgBonus[exp_item],$J551,AvgBonus[company_name],$B551,AvgBonus[bu_name],$C551,AvgBonus[dept_name],$D551,AvgBonus[team_consolidation],$K551,AvgBonus[location_name],$G551,AvgBonus[job_title],$H551))*Y446*SUM(BonusPayout[Month 14]))</f>
        <v>0</v>
      </c>
      <c r="Z551" s="652">
        <f>IF($B551="",,IF(LEFT($H551,5)="dummy",SUMIFS(AvgBonus[avg_bonus],AvgBonus[job_title],$H551),SUMIFS(AvgBonus[avg_bonus],AvgBonus[exp_item],$J551,AvgBonus[company_name],$B551,AvgBonus[bu_name],$C551,AvgBonus[dept_name],$D551,AvgBonus[team_consolidation],$K551,AvgBonus[location_name],$G551,AvgBonus[job_title],$H551))*Z446*SUM(BonusPayout[Month 15]))</f>
        <v>0</v>
      </c>
      <c r="AA551" s="652">
        <f>IF($B551="",,IF(LEFT($H551,5)="dummy",SUMIFS(AvgBonus[avg_bonus],AvgBonus[job_title],$H551),SUMIFS(AvgBonus[avg_bonus],AvgBonus[exp_item],$J551,AvgBonus[company_name],$B551,AvgBonus[bu_name],$C551,AvgBonus[dept_name],$D551,AvgBonus[team_consolidation],$K551,AvgBonus[location_name],$G551,AvgBonus[job_title],$H551))*AA446*SUM(BonusPayout[Month 16]))</f>
        <v>0</v>
      </c>
      <c r="AB551" s="652">
        <f>IF($B551="",,IF(LEFT($H551,5)="dummy",SUMIFS(AvgBonus[avg_bonus],AvgBonus[job_title],$H551),SUMIFS(AvgBonus[avg_bonus],AvgBonus[exp_item],$J551,AvgBonus[company_name],$B551,AvgBonus[bu_name],$C551,AvgBonus[dept_name],$D551,AvgBonus[team_consolidation],$K551,AvgBonus[location_name],$G551,AvgBonus[job_title],$H551))*AB446*SUM(BonusPayout[Month 17]))</f>
        <v>0</v>
      </c>
      <c r="AC551" s="652">
        <f>IF($B551="",,IF(LEFT($H551,5)="dummy",SUMIFS(AvgBonus[avg_bonus],AvgBonus[job_title],$H551),SUMIFS(AvgBonus[avg_bonus],AvgBonus[exp_item],$J551,AvgBonus[company_name],$B551,AvgBonus[bu_name],$C551,AvgBonus[dept_name],$D551,AvgBonus[team_consolidation],$K551,AvgBonus[location_name],$G551,AvgBonus[job_title],$H551))*AC446*SUM(BonusPayout[Month 18]))</f>
        <v>0</v>
      </c>
      <c r="AD551" s="652">
        <f>IF($B551="",,IF(LEFT($H551,5)="dummy",SUMIFS(AvgBonus[avg_bonus],AvgBonus[job_title],$H551),SUMIFS(AvgBonus[avg_bonus],AvgBonus[exp_item],$J551,AvgBonus[company_name],$B551,AvgBonus[bu_name],$C551,AvgBonus[dept_name],$D551,AvgBonus[team_consolidation],$K551,AvgBonus[location_name],$G551,AvgBonus[job_title],$H551))*AD446*SUM(BonusPayout[Month 19]))</f>
        <v>0</v>
      </c>
      <c r="AE551" s="652">
        <f>IF($B551="",,IF(LEFT($H551,5)="dummy",SUMIFS(AvgBonus[avg_bonus],AvgBonus[job_title],$H551),SUMIFS(AvgBonus[avg_bonus],AvgBonus[exp_item],$J551,AvgBonus[company_name],$B551,AvgBonus[bu_name],$C551,AvgBonus[dept_name],$D551,AvgBonus[team_consolidation],$K551,AvgBonus[location_name],$G551,AvgBonus[job_title],$H551))*AE446*SUM(BonusPayout[Month 20]))</f>
        <v>0</v>
      </c>
      <c r="AF551" s="652">
        <f>IF($B551="",,IF(LEFT($H551,5)="dummy",SUMIFS(AvgBonus[avg_bonus],AvgBonus[job_title],$H551),SUMIFS(AvgBonus[avg_bonus],AvgBonus[exp_item],$J551,AvgBonus[company_name],$B551,AvgBonus[bu_name],$C551,AvgBonus[dept_name],$D551,AvgBonus[team_consolidation],$K551,AvgBonus[location_name],$G551,AvgBonus[job_title],$H551))*AF446*SUM(BonusPayout[Month 21]))</f>
        <v>0</v>
      </c>
      <c r="AG551" s="652">
        <f>IF($B551="",,IF(LEFT($H551,5)="dummy",SUMIFS(AvgBonus[avg_bonus],AvgBonus[job_title],$H551),SUMIFS(AvgBonus[avg_bonus],AvgBonus[exp_item],$J551,AvgBonus[company_name],$B551,AvgBonus[bu_name],$C551,AvgBonus[dept_name],$D551,AvgBonus[team_consolidation],$K551,AvgBonus[location_name],$G551,AvgBonus[job_title],$H551))*AG446*SUM(BonusPayout[Month 22]))</f>
        <v>0</v>
      </c>
      <c r="AH551" s="652">
        <f>IF($B551="",,IF(LEFT($H551,5)="dummy",SUMIFS(AvgBonus[avg_bonus],AvgBonus[job_title],$H551),SUMIFS(AvgBonus[avg_bonus],AvgBonus[exp_item],$J551,AvgBonus[company_name],$B551,AvgBonus[bu_name],$C551,AvgBonus[dept_name],$D551,AvgBonus[team_consolidation],$K551,AvgBonus[location_name],$G551,AvgBonus[job_title],$H551))*AH446*SUM(BonusPayout[Month 23]))</f>
        <v>0</v>
      </c>
      <c r="AI551" s="652">
        <f>IF($B551="",,IF(LEFT($H551,5)="dummy",SUMIFS(AvgBonus[avg_bonus],AvgBonus[job_title],$H551),SUMIFS(AvgBonus[avg_bonus],AvgBonus[exp_item],$J551,AvgBonus[company_name],$B551,AvgBonus[bu_name],$C551,AvgBonus[dept_name],$D551,AvgBonus[team_consolidation],$K551,AvgBonus[location_name],$G551,AvgBonus[job_title],$H551))*AI446*SUM(BonusPayout[Month 24]))</f>
        <v>0</v>
      </c>
      <c r="AJ551" s="652">
        <f>IF($B551="",,IF(LEFT($H551,5)="dummy",SUMIFS(AvgBonus[avg_bonus],AvgBonus[job_title],$H551),SUMIFS(AvgBonus[avg_bonus],AvgBonus[exp_item],$J551,AvgBonus[company_name],$B551,AvgBonus[bu_name],$C551,AvgBonus[dept_name],$D551,AvgBonus[team_consolidation],$K551,AvgBonus[location_name],$G551,AvgBonus[job_title],$H551))*AJ446*SUM(BonusPayout[Month 25]))</f>
        <v>0</v>
      </c>
      <c r="AK551" s="652">
        <f>IF($B551="",,IF(LEFT($H551,5)="dummy",SUMIFS(AvgBonus[avg_bonus],AvgBonus[job_title],$H551),SUMIFS(AvgBonus[avg_bonus],AvgBonus[exp_item],$J551,AvgBonus[company_name],$B551,AvgBonus[bu_name],$C551,AvgBonus[dept_name],$D551,AvgBonus[team_consolidation],$K551,AvgBonus[location_name],$G551,AvgBonus[job_title],$H551))*AK446*SUM(BonusPayout[Month 26]))</f>
        <v>0</v>
      </c>
      <c r="AL551" s="652">
        <f>IF($B551="",,IF(LEFT($H551,5)="dummy",SUMIFS(AvgBonus[avg_bonus],AvgBonus[job_title],$H551),SUMIFS(AvgBonus[avg_bonus],AvgBonus[exp_item],$J551,AvgBonus[company_name],$B551,AvgBonus[bu_name],$C551,AvgBonus[dept_name],$D551,AvgBonus[team_consolidation],$K551,AvgBonus[location_name],$G551,AvgBonus[job_title],$H551))*AL446*SUM(BonusPayout[Month 27]))</f>
        <v>0</v>
      </c>
      <c r="AM551" s="652">
        <f>IF($B551="",,IF(LEFT($H551,5)="dummy",SUMIFS(AvgBonus[avg_bonus],AvgBonus[job_title],$H551),SUMIFS(AvgBonus[avg_bonus],AvgBonus[exp_item],$J551,AvgBonus[company_name],$B551,AvgBonus[bu_name],$C551,AvgBonus[dept_name],$D551,AvgBonus[team_consolidation],$K551,AvgBonus[location_name],$G551,AvgBonus[job_title],$H551))*AM446*SUM(BonusPayout[Month 28]))</f>
        <v>0</v>
      </c>
      <c r="AN551" s="652">
        <f>IF($B551="",,IF(LEFT($H551,5)="dummy",SUMIFS(AvgBonus[avg_bonus],AvgBonus[job_title],$H551),SUMIFS(AvgBonus[avg_bonus],AvgBonus[exp_item],$J551,AvgBonus[company_name],$B551,AvgBonus[bu_name],$C551,AvgBonus[dept_name],$D551,AvgBonus[team_consolidation],$K551,AvgBonus[location_name],$G551,AvgBonus[job_title],$H551))*AN446*SUM(BonusPayout[Month 29]))</f>
        <v>0</v>
      </c>
      <c r="AO551" s="652">
        <f>IF($B551="",,IF(LEFT($H551,5)="dummy",SUMIFS(AvgBonus[avg_bonus],AvgBonus[job_title],$H551),SUMIFS(AvgBonus[avg_bonus],AvgBonus[exp_item],$J551,AvgBonus[company_name],$B551,AvgBonus[bu_name],$C551,AvgBonus[dept_name],$D551,AvgBonus[team_consolidation],$K551,AvgBonus[location_name],$G551,AvgBonus[job_title],$H551))*AO446*SUM(BonusPayout[Month 30]))</f>
        <v>0</v>
      </c>
      <c r="AP551" s="652">
        <f>IF($B551="",,IF(LEFT($H551,5)="dummy",SUMIFS(AvgBonus[avg_bonus],AvgBonus[job_title],$H551),SUMIFS(AvgBonus[avg_bonus],AvgBonus[exp_item],$J551,AvgBonus[company_name],$B551,AvgBonus[bu_name],$C551,AvgBonus[dept_name],$D551,AvgBonus[team_consolidation],$K551,AvgBonus[location_name],$G551,AvgBonus[job_title],$H551))*AP446*SUM(BonusPayout[Month 31]))</f>
        <v>0</v>
      </c>
      <c r="AQ551" s="652">
        <f>IF($B551="",,IF(LEFT($H551,5)="dummy",SUMIFS(AvgBonus[avg_bonus],AvgBonus[job_title],$H551),SUMIFS(AvgBonus[avg_bonus],AvgBonus[exp_item],$J551,AvgBonus[company_name],$B551,AvgBonus[bu_name],$C551,AvgBonus[dept_name],$D551,AvgBonus[team_consolidation],$K551,AvgBonus[location_name],$G551,AvgBonus[job_title],$H551))*AQ446*SUM(BonusPayout[Month 32]))</f>
        <v>0</v>
      </c>
      <c r="AR551" s="652">
        <f>IF($B551="",,IF(LEFT($H551,5)="dummy",SUMIFS(AvgBonus[avg_bonus],AvgBonus[job_title],$H551),SUMIFS(AvgBonus[avg_bonus],AvgBonus[exp_item],$J551,AvgBonus[company_name],$B551,AvgBonus[bu_name],$C551,AvgBonus[dept_name],$D551,AvgBonus[team_consolidation],$K551,AvgBonus[location_name],$G551,AvgBonus[job_title],$H551))*AR446*SUM(BonusPayout[Month 33]))</f>
        <v>0</v>
      </c>
      <c r="AS551" s="652">
        <f>IF($B551="",,IF(LEFT($H551,5)="dummy",SUMIFS(AvgBonus[avg_bonus],AvgBonus[job_title],$H551),SUMIFS(AvgBonus[avg_bonus],AvgBonus[exp_item],$J551,AvgBonus[company_name],$B551,AvgBonus[bu_name],$C551,AvgBonus[dept_name],$D551,AvgBonus[team_consolidation],$K551,AvgBonus[location_name],$G551,AvgBonus[job_title],$H551))*AS446*SUM(BonusPayout[Month 34]))</f>
        <v>0</v>
      </c>
      <c r="AT551" s="652">
        <f>IF($B551="",,IF(LEFT($H551,5)="dummy",SUMIFS(AvgBonus[avg_bonus],AvgBonus[job_title],$H551),SUMIFS(AvgBonus[avg_bonus],AvgBonus[exp_item],$J551,AvgBonus[company_name],$B551,AvgBonus[bu_name],$C551,AvgBonus[dept_name],$D551,AvgBonus[team_consolidation],$K551,AvgBonus[location_name],$G551,AvgBonus[job_title],$H551))*AT446*SUM(BonusPayout[Month 35]))</f>
        <v>0</v>
      </c>
      <c r="AU551" s="652">
        <f>IF($B551="",,IF(LEFT($H551,5)="dummy",SUMIFS(AvgBonus[avg_bonus],AvgBonus[job_title],$H551),SUMIFS(AvgBonus[avg_bonus],AvgBonus[exp_item],$J551,AvgBonus[company_name],$B551,AvgBonus[bu_name],$C551,AvgBonus[dept_name],$D551,AvgBonus[team_consolidation],$K551,AvgBonus[location_name],$G551,AvgBonus[job_title],$H551))*AU446*SUM(BonusPayout[Month 36]))</f>
        <v>0</v>
      </c>
    </row>
    <row r="552" spans="2:47" x14ac:dyDescent="0.35">
      <c r="B552" t="str">
        <f t="shared" si="327"/>
        <v/>
      </c>
      <c r="C552" t="str">
        <f t="shared" ref="C552:G552" si="346">IF(C447="","",C447)</f>
        <v/>
      </c>
      <c r="D552" t="str">
        <f t="shared" si="346"/>
        <v/>
      </c>
      <c r="E552" t="str">
        <f t="shared" si="346"/>
        <v/>
      </c>
      <c r="F552" t="str">
        <f t="shared" si="346"/>
        <v/>
      </c>
      <c r="G552" t="str">
        <f t="shared" si="346"/>
        <v/>
      </c>
      <c r="H552" t="str">
        <f t="shared" si="326"/>
        <v/>
      </c>
      <c r="J552" t="str">
        <f>IF($H552="","",IF(VLOOKUP($B$500,ExpItems[],2,0),$B$500&amp;" - "&amp;INDEX(DivisionMapping[category_code],MATCH($D552&amp;$C552,DivisionMapping[dept_bu],0)),$B$500))</f>
        <v/>
      </c>
      <c r="K552" t="str">
        <f t="shared" si="294"/>
        <v/>
      </c>
      <c r="L552" s="652">
        <f>IF($B552="",,IF(LEFT($H552,5)="dummy",SUMIFS(AvgBonus[avg_bonus],AvgBonus[job_title],$H552),SUMIFS(AvgBonus[avg_bonus],AvgBonus[exp_item],$J552,AvgBonus[company_name],$B552,AvgBonus[bu_name],$C552,AvgBonus[dept_name],$D552,AvgBonus[team_consolidation],$K552,AvgBonus[location_name],$G552,AvgBonus[job_title],$H552))*L447*SUM(BonusPayout[Month 1]))</f>
        <v>0</v>
      </c>
      <c r="M552" s="652">
        <f>IF($B552="",,IF(LEFT($H552,5)="dummy",SUMIFS(AvgBonus[avg_bonus],AvgBonus[job_title],$H552),SUMIFS(AvgBonus[avg_bonus],AvgBonus[exp_item],$J552,AvgBonus[company_name],$B552,AvgBonus[bu_name],$C552,AvgBonus[dept_name],$D552,AvgBonus[team_consolidation],$K552,AvgBonus[location_name],$G552,AvgBonus[job_title],$H552))*M447*SUM(BonusPayout[Month 2]))</f>
        <v>0</v>
      </c>
      <c r="N552" s="652">
        <f>IF($B552="",,IF(LEFT($H552,5)="dummy",SUMIFS(AvgBonus[avg_bonus],AvgBonus[job_title],$H552),SUMIFS(AvgBonus[avg_bonus],AvgBonus[exp_item],$J552,AvgBonus[company_name],$B552,AvgBonus[bu_name],$C552,AvgBonus[dept_name],$D552,AvgBonus[team_consolidation],$K552,AvgBonus[location_name],$G552,AvgBonus[job_title],$H552))*N447*SUM(BonusPayout[Month 3]))</f>
        <v>0</v>
      </c>
      <c r="O552" s="652">
        <f>IF($B552="",,IF(LEFT($H552,5)="dummy",SUMIFS(AvgBonus[avg_bonus],AvgBonus[job_title],$H552),SUMIFS(AvgBonus[avg_bonus],AvgBonus[exp_item],$J552,AvgBonus[company_name],$B552,AvgBonus[bu_name],$C552,AvgBonus[dept_name],$D552,AvgBonus[team_consolidation],$K552,AvgBonus[location_name],$G552,AvgBonus[job_title],$H552))*O447*SUM(BonusPayout[Month 4]))</f>
        <v>0</v>
      </c>
      <c r="P552" s="652">
        <f>IF($B552="",,IF(LEFT($H552,5)="dummy",SUMIFS(AvgBonus[avg_bonus],AvgBonus[job_title],$H552),SUMIFS(AvgBonus[avg_bonus],AvgBonus[exp_item],$J552,AvgBonus[company_name],$B552,AvgBonus[bu_name],$C552,AvgBonus[dept_name],$D552,AvgBonus[team_consolidation],$K552,AvgBonus[location_name],$G552,AvgBonus[job_title],$H552))*P447*SUM(BonusPayout[Month 5]))</f>
        <v>0</v>
      </c>
      <c r="Q552" s="652">
        <f>IF($B552="",,IF(LEFT($H552,5)="dummy",SUMIFS(AvgBonus[avg_bonus],AvgBonus[job_title],$H552),SUMIFS(AvgBonus[avg_bonus],AvgBonus[exp_item],$J552,AvgBonus[company_name],$B552,AvgBonus[bu_name],$C552,AvgBonus[dept_name],$D552,AvgBonus[team_consolidation],$K552,AvgBonus[location_name],$G552,AvgBonus[job_title],$H552))*Q447*SUM(BonusPayout[Month 6]))</f>
        <v>0</v>
      </c>
      <c r="R552" s="652">
        <f>IF($B552="",,IF(LEFT($H552,5)="dummy",SUMIFS(AvgBonus[avg_bonus],AvgBonus[job_title],$H552),SUMIFS(AvgBonus[avg_bonus],AvgBonus[exp_item],$J552,AvgBonus[company_name],$B552,AvgBonus[bu_name],$C552,AvgBonus[dept_name],$D552,AvgBonus[team_consolidation],$K552,AvgBonus[location_name],$G552,AvgBonus[job_title],$H552))*R447*SUM(BonusPayout[Month 7]))</f>
        <v>0</v>
      </c>
      <c r="S552" s="652">
        <f>IF($B552="",,IF(LEFT($H552,5)="dummy",SUMIFS(AvgBonus[avg_bonus],AvgBonus[job_title],$H552),SUMIFS(AvgBonus[avg_bonus],AvgBonus[exp_item],$J552,AvgBonus[company_name],$B552,AvgBonus[bu_name],$C552,AvgBonus[dept_name],$D552,AvgBonus[team_consolidation],$K552,AvgBonus[location_name],$G552,AvgBonus[job_title],$H552))*S447*SUM(BonusPayout[Month 8]))</f>
        <v>0</v>
      </c>
      <c r="T552" s="652">
        <f>IF($B552="",,IF(LEFT($H552,5)="dummy",SUMIFS(AvgBonus[avg_bonus],AvgBonus[job_title],$H552),SUMIFS(AvgBonus[avg_bonus],AvgBonus[exp_item],$J552,AvgBonus[company_name],$B552,AvgBonus[bu_name],$C552,AvgBonus[dept_name],$D552,AvgBonus[team_consolidation],$K552,AvgBonus[location_name],$G552,AvgBonus[job_title],$H552))*T447*SUM(BonusPayout[Month 9]))</f>
        <v>0</v>
      </c>
      <c r="U552" s="652">
        <f>IF($B552="",,IF(LEFT($H552,5)="dummy",SUMIFS(AvgBonus[avg_bonus],AvgBonus[job_title],$H552),SUMIFS(AvgBonus[avg_bonus],AvgBonus[exp_item],$J552,AvgBonus[company_name],$B552,AvgBonus[bu_name],$C552,AvgBonus[dept_name],$D552,AvgBonus[team_consolidation],$K552,AvgBonus[location_name],$G552,AvgBonus[job_title],$H552))*U447*SUM(BonusPayout[Month 10]))</f>
        <v>0</v>
      </c>
      <c r="V552" s="652">
        <f>IF($B552="",,IF(LEFT($H552,5)="dummy",SUMIFS(AvgBonus[avg_bonus],AvgBonus[job_title],$H552),SUMIFS(AvgBonus[avg_bonus],AvgBonus[exp_item],$J552,AvgBonus[company_name],$B552,AvgBonus[bu_name],$C552,AvgBonus[dept_name],$D552,AvgBonus[team_consolidation],$K552,AvgBonus[location_name],$G552,AvgBonus[job_title],$H552))*V447*SUM(BonusPayout[Month 11]))</f>
        <v>0</v>
      </c>
      <c r="W552" s="652">
        <f>IF($B552="",,IF(LEFT($H552,5)="dummy",SUMIFS(AvgBonus[avg_bonus],AvgBonus[job_title],$H552),SUMIFS(AvgBonus[avg_bonus],AvgBonus[exp_item],$J552,AvgBonus[company_name],$B552,AvgBonus[bu_name],$C552,AvgBonus[dept_name],$D552,AvgBonus[team_consolidation],$K552,AvgBonus[location_name],$G552,AvgBonus[job_title],$H552))*W447*SUM(BonusPayout[Month 12]))</f>
        <v>0</v>
      </c>
      <c r="X552" s="652">
        <f>IF($B552="",,IF(LEFT($H552,5)="dummy",SUMIFS(AvgBonus[avg_bonus],AvgBonus[job_title],$H552),SUMIFS(AvgBonus[avg_bonus],AvgBonus[exp_item],$J552,AvgBonus[company_name],$B552,AvgBonus[bu_name],$C552,AvgBonus[dept_name],$D552,AvgBonus[team_consolidation],$K552,AvgBonus[location_name],$G552,AvgBonus[job_title],$H552))*X447*SUM(BonusPayout[Month 13]))</f>
        <v>0</v>
      </c>
      <c r="Y552" s="652">
        <f>IF($B552="",,IF(LEFT($H552,5)="dummy",SUMIFS(AvgBonus[avg_bonus],AvgBonus[job_title],$H552),SUMIFS(AvgBonus[avg_bonus],AvgBonus[exp_item],$J552,AvgBonus[company_name],$B552,AvgBonus[bu_name],$C552,AvgBonus[dept_name],$D552,AvgBonus[team_consolidation],$K552,AvgBonus[location_name],$G552,AvgBonus[job_title],$H552))*Y447*SUM(BonusPayout[Month 14]))</f>
        <v>0</v>
      </c>
      <c r="Z552" s="652">
        <f>IF($B552="",,IF(LEFT($H552,5)="dummy",SUMIFS(AvgBonus[avg_bonus],AvgBonus[job_title],$H552),SUMIFS(AvgBonus[avg_bonus],AvgBonus[exp_item],$J552,AvgBonus[company_name],$B552,AvgBonus[bu_name],$C552,AvgBonus[dept_name],$D552,AvgBonus[team_consolidation],$K552,AvgBonus[location_name],$G552,AvgBonus[job_title],$H552))*Z447*SUM(BonusPayout[Month 15]))</f>
        <v>0</v>
      </c>
      <c r="AA552" s="652">
        <f>IF($B552="",,IF(LEFT($H552,5)="dummy",SUMIFS(AvgBonus[avg_bonus],AvgBonus[job_title],$H552),SUMIFS(AvgBonus[avg_bonus],AvgBonus[exp_item],$J552,AvgBonus[company_name],$B552,AvgBonus[bu_name],$C552,AvgBonus[dept_name],$D552,AvgBonus[team_consolidation],$K552,AvgBonus[location_name],$G552,AvgBonus[job_title],$H552))*AA447*SUM(BonusPayout[Month 16]))</f>
        <v>0</v>
      </c>
      <c r="AB552" s="652">
        <f>IF($B552="",,IF(LEFT($H552,5)="dummy",SUMIFS(AvgBonus[avg_bonus],AvgBonus[job_title],$H552),SUMIFS(AvgBonus[avg_bonus],AvgBonus[exp_item],$J552,AvgBonus[company_name],$B552,AvgBonus[bu_name],$C552,AvgBonus[dept_name],$D552,AvgBonus[team_consolidation],$K552,AvgBonus[location_name],$G552,AvgBonus[job_title],$H552))*AB447*SUM(BonusPayout[Month 17]))</f>
        <v>0</v>
      </c>
      <c r="AC552" s="652">
        <f>IF($B552="",,IF(LEFT($H552,5)="dummy",SUMIFS(AvgBonus[avg_bonus],AvgBonus[job_title],$H552),SUMIFS(AvgBonus[avg_bonus],AvgBonus[exp_item],$J552,AvgBonus[company_name],$B552,AvgBonus[bu_name],$C552,AvgBonus[dept_name],$D552,AvgBonus[team_consolidation],$K552,AvgBonus[location_name],$G552,AvgBonus[job_title],$H552))*AC447*SUM(BonusPayout[Month 18]))</f>
        <v>0</v>
      </c>
      <c r="AD552" s="652">
        <f>IF($B552="",,IF(LEFT($H552,5)="dummy",SUMIFS(AvgBonus[avg_bonus],AvgBonus[job_title],$H552),SUMIFS(AvgBonus[avg_bonus],AvgBonus[exp_item],$J552,AvgBonus[company_name],$B552,AvgBonus[bu_name],$C552,AvgBonus[dept_name],$D552,AvgBonus[team_consolidation],$K552,AvgBonus[location_name],$G552,AvgBonus[job_title],$H552))*AD447*SUM(BonusPayout[Month 19]))</f>
        <v>0</v>
      </c>
      <c r="AE552" s="652">
        <f>IF($B552="",,IF(LEFT($H552,5)="dummy",SUMIFS(AvgBonus[avg_bonus],AvgBonus[job_title],$H552),SUMIFS(AvgBonus[avg_bonus],AvgBonus[exp_item],$J552,AvgBonus[company_name],$B552,AvgBonus[bu_name],$C552,AvgBonus[dept_name],$D552,AvgBonus[team_consolidation],$K552,AvgBonus[location_name],$G552,AvgBonus[job_title],$H552))*AE447*SUM(BonusPayout[Month 20]))</f>
        <v>0</v>
      </c>
      <c r="AF552" s="652">
        <f>IF($B552="",,IF(LEFT($H552,5)="dummy",SUMIFS(AvgBonus[avg_bonus],AvgBonus[job_title],$H552),SUMIFS(AvgBonus[avg_bonus],AvgBonus[exp_item],$J552,AvgBonus[company_name],$B552,AvgBonus[bu_name],$C552,AvgBonus[dept_name],$D552,AvgBonus[team_consolidation],$K552,AvgBonus[location_name],$G552,AvgBonus[job_title],$H552))*AF447*SUM(BonusPayout[Month 21]))</f>
        <v>0</v>
      </c>
      <c r="AG552" s="652">
        <f>IF($B552="",,IF(LEFT($H552,5)="dummy",SUMIFS(AvgBonus[avg_bonus],AvgBonus[job_title],$H552),SUMIFS(AvgBonus[avg_bonus],AvgBonus[exp_item],$J552,AvgBonus[company_name],$B552,AvgBonus[bu_name],$C552,AvgBonus[dept_name],$D552,AvgBonus[team_consolidation],$K552,AvgBonus[location_name],$G552,AvgBonus[job_title],$H552))*AG447*SUM(BonusPayout[Month 22]))</f>
        <v>0</v>
      </c>
      <c r="AH552" s="652">
        <f>IF($B552="",,IF(LEFT($H552,5)="dummy",SUMIFS(AvgBonus[avg_bonus],AvgBonus[job_title],$H552),SUMIFS(AvgBonus[avg_bonus],AvgBonus[exp_item],$J552,AvgBonus[company_name],$B552,AvgBonus[bu_name],$C552,AvgBonus[dept_name],$D552,AvgBonus[team_consolidation],$K552,AvgBonus[location_name],$G552,AvgBonus[job_title],$H552))*AH447*SUM(BonusPayout[Month 23]))</f>
        <v>0</v>
      </c>
      <c r="AI552" s="652">
        <f>IF($B552="",,IF(LEFT($H552,5)="dummy",SUMIFS(AvgBonus[avg_bonus],AvgBonus[job_title],$H552),SUMIFS(AvgBonus[avg_bonus],AvgBonus[exp_item],$J552,AvgBonus[company_name],$B552,AvgBonus[bu_name],$C552,AvgBonus[dept_name],$D552,AvgBonus[team_consolidation],$K552,AvgBonus[location_name],$G552,AvgBonus[job_title],$H552))*AI447*SUM(BonusPayout[Month 24]))</f>
        <v>0</v>
      </c>
      <c r="AJ552" s="652">
        <f>IF($B552="",,IF(LEFT($H552,5)="dummy",SUMIFS(AvgBonus[avg_bonus],AvgBonus[job_title],$H552),SUMIFS(AvgBonus[avg_bonus],AvgBonus[exp_item],$J552,AvgBonus[company_name],$B552,AvgBonus[bu_name],$C552,AvgBonus[dept_name],$D552,AvgBonus[team_consolidation],$K552,AvgBonus[location_name],$G552,AvgBonus[job_title],$H552))*AJ447*SUM(BonusPayout[Month 25]))</f>
        <v>0</v>
      </c>
      <c r="AK552" s="652">
        <f>IF($B552="",,IF(LEFT($H552,5)="dummy",SUMIFS(AvgBonus[avg_bonus],AvgBonus[job_title],$H552),SUMIFS(AvgBonus[avg_bonus],AvgBonus[exp_item],$J552,AvgBonus[company_name],$B552,AvgBonus[bu_name],$C552,AvgBonus[dept_name],$D552,AvgBonus[team_consolidation],$K552,AvgBonus[location_name],$G552,AvgBonus[job_title],$H552))*AK447*SUM(BonusPayout[Month 26]))</f>
        <v>0</v>
      </c>
      <c r="AL552" s="652">
        <f>IF($B552="",,IF(LEFT($H552,5)="dummy",SUMIFS(AvgBonus[avg_bonus],AvgBonus[job_title],$H552),SUMIFS(AvgBonus[avg_bonus],AvgBonus[exp_item],$J552,AvgBonus[company_name],$B552,AvgBonus[bu_name],$C552,AvgBonus[dept_name],$D552,AvgBonus[team_consolidation],$K552,AvgBonus[location_name],$G552,AvgBonus[job_title],$H552))*AL447*SUM(BonusPayout[Month 27]))</f>
        <v>0</v>
      </c>
      <c r="AM552" s="652">
        <f>IF($B552="",,IF(LEFT($H552,5)="dummy",SUMIFS(AvgBonus[avg_bonus],AvgBonus[job_title],$H552),SUMIFS(AvgBonus[avg_bonus],AvgBonus[exp_item],$J552,AvgBonus[company_name],$B552,AvgBonus[bu_name],$C552,AvgBonus[dept_name],$D552,AvgBonus[team_consolidation],$K552,AvgBonus[location_name],$G552,AvgBonus[job_title],$H552))*AM447*SUM(BonusPayout[Month 28]))</f>
        <v>0</v>
      </c>
      <c r="AN552" s="652">
        <f>IF($B552="",,IF(LEFT($H552,5)="dummy",SUMIFS(AvgBonus[avg_bonus],AvgBonus[job_title],$H552),SUMIFS(AvgBonus[avg_bonus],AvgBonus[exp_item],$J552,AvgBonus[company_name],$B552,AvgBonus[bu_name],$C552,AvgBonus[dept_name],$D552,AvgBonus[team_consolidation],$K552,AvgBonus[location_name],$G552,AvgBonus[job_title],$H552))*AN447*SUM(BonusPayout[Month 29]))</f>
        <v>0</v>
      </c>
      <c r="AO552" s="652">
        <f>IF($B552="",,IF(LEFT($H552,5)="dummy",SUMIFS(AvgBonus[avg_bonus],AvgBonus[job_title],$H552),SUMIFS(AvgBonus[avg_bonus],AvgBonus[exp_item],$J552,AvgBonus[company_name],$B552,AvgBonus[bu_name],$C552,AvgBonus[dept_name],$D552,AvgBonus[team_consolidation],$K552,AvgBonus[location_name],$G552,AvgBonus[job_title],$H552))*AO447*SUM(BonusPayout[Month 30]))</f>
        <v>0</v>
      </c>
      <c r="AP552" s="652">
        <f>IF($B552="",,IF(LEFT($H552,5)="dummy",SUMIFS(AvgBonus[avg_bonus],AvgBonus[job_title],$H552),SUMIFS(AvgBonus[avg_bonus],AvgBonus[exp_item],$J552,AvgBonus[company_name],$B552,AvgBonus[bu_name],$C552,AvgBonus[dept_name],$D552,AvgBonus[team_consolidation],$K552,AvgBonus[location_name],$G552,AvgBonus[job_title],$H552))*AP447*SUM(BonusPayout[Month 31]))</f>
        <v>0</v>
      </c>
      <c r="AQ552" s="652">
        <f>IF($B552="",,IF(LEFT($H552,5)="dummy",SUMIFS(AvgBonus[avg_bonus],AvgBonus[job_title],$H552),SUMIFS(AvgBonus[avg_bonus],AvgBonus[exp_item],$J552,AvgBonus[company_name],$B552,AvgBonus[bu_name],$C552,AvgBonus[dept_name],$D552,AvgBonus[team_consolidation],$K552,AvgBonus[location_name],$G552,AvgBonus[job_title],$H552))*AQ447*SUM(BonusPayout[Month 32]))</f>
        <v>0</v>
      </c>
      <c r="AR552" s="652">
        <f>IF($B552="",,IF(LEFT($H552,5)="dummy",SUMIFS(AvgBonus[avg_bonus],AvgBonus[job_title],$H552),SUMIFS(AvgBonus[avg_bonus],AvgBonus[exp_item],$J552,AvgBonus[company_name],$B552,AvgBonus[bu_name],$C552,AvgBonus[dept_name],$D552,AvgBonus[team_consolidation],$K552,AvgBonus[location_name],$G552,AvgBonus[job_title],$H552))*AR447*SUM(BonusPayout[Month 33]))</f>
        <v>0</v>
      </c>
      <c r="AS552" s="652">
        <f>IF($B552="",,IF(LEFT($H552,5)="dummy",SUMIFS(AvgBonus[avg_bonus],AvgBonus[job_title],$H552),SUMIFS(AvgBonus[avg_bonus],AvgBonus[exp_item],$J552,AvgBonus[company_name],$B552,AvgBonus[bu_name],$C552,AvgBonus[dept_name],$D552,AvgBonus[team_consolidation],$K552,AvgBonus[location_name],$G552,AvgBonus[job_title],$H552))*AS447*SUM(BonusPayout[Month 34]))</f>
        <v>0</v>
      </c>
      <c r="AT552" s="652">
        <f>IF($B552="",,IF(LEFT($H552,5)="dummy",SUMIFS(AvgBonus[avg_bonus],AvgBonus[job_title],$H552),SUMIFS(AvgBonus[avg_bonus],AvgBonus[exp_item],$J552,AvgBonus[company_name],$B552,AvgBonus[bu_name],$C552,AvgBonus[dept_name],$D552,AvgBonus[team_consolidation],$K552,AvgBonus[location_name],$G552,AvgBonus[job_title],$H552))*AT447*SUM(BonusPayout[Month 35]))</f>
        <v>0</v>
      </c>
      <c r="AU552" s="652">
        <f>IF($B552="",,IF(LEFT($H552,5)="dummy",SUMIFS(AvgBonus[avg_bonus],AvgBonus[job_title],$H552),SUMIFS(AvgBonus[avg_bonus],AvgBonus[exp_item],$J552,AvgBonus[company_name],$B552,AvgBonus[bu_name],$C552,AvgBonus[dept_name],$D552,AvgBonus[team_consolidation],$K552,AvgBonus[location_name],$G552,AvgBonus[job_title],$H552))*AU447*SUM(BonusPayout[Month 36]))</f>
        <v>0</v>
      </c>
    </row>
    <row r="553" spans="2:47" x14ac:dyDescent="0.35">
      <c r="B553" t="str">
        <f t="shared" si="327"/>
        <v/>
      </c>
      <c r="C553" t="str">
        <f t="shared" ref="C553:G553" si="347">IF(C448="","",C448)</f>
        <v/>
      </c>
      <c r="D553" t="str">
        <f t="shared" si="347"/>
        <v/>
      </c>
      <c r="E553" t="str">
        <f t="shared" si="347"/>
        <v/>
      </c>
      <c r="F553" t="str">
        <f t="shared" si="347"/>
        <v/>
      </c>
      <c r="G553" t="str">
        <f t="shared" si="347"/>
        <v/>
      </c>
      <c r="H553" t="str">
        <f t="shared" si="326"/>
        <v/>
      </c>
      <c r="J553" t="str">
        <f>IF($H553="","",IF(VLOOKUP($B$500,ExpItems[],2,0),$B$500&amp;" - "&amp;INDEX(DivisionMapping[category_code],MATCH($D553&amp;$C553,DivisionMapping[dept_bu],0)),$B$500))</f>
        <v/>
      </c>
      <c r="K553" t="str">
        <f t="shared" si="294"/>
        <v/>
      </c>
      <c r="L553" s="652">
        <f>IF($B553="",,IF(LEFT($H553,5)="dummy",SUMIFS(AvgBonus[avg_bonus],AvgBonus[job_title],$H553),SUMIFS(AvgBonus[avg_bonus],AvgBonus[exp_item],$J553,AvgBonus[company_name],$B553,AvgBonus[bu_name],$C553,AvgBonus[dept_name],$D553,AvgBonus[team_consolidation],$K553,AvgBonus[location_name],$G553,AvgBonus[job_title],$H553))*L448*SUM(BonusPayout[Month 1]))</f>
        <v>0</v>
      </c>
      <c r="M553" s="652">
        <f>IF($B553="",,IF(LEFT($H553,5)="dummy",SUMIFS(AvgBonus[avg_bonus],AvgBonus[job_title],$H553),SUMIFS(AvgBonus[avg_bonus],AvgBonus[exp_item],$J553,AvgBonus[company_name],$B553,AvgBonus[bu_name],$C553,AvgBonus[dept_name],$D553,AvgBonus[team_consolidation],$K553,AvgBonus[location_name],$G553,AvgBonus[job_title],$H553))*M448*SUM(BonusPayout[Month 2]))</f>
        <v>0</v>
      </c>
      <c r="N553" s="652">
        <f>IF($B553="",,IF(LEFT($H553,5)="dummy",SUMIFS(AvgBonus[avg_bonus],AvgBonus[job_title],$H553),SUMIFS(AvgBonus[avg_bonus],AvgBonus[exp_item],$J553,AvgBonus[company_name],$B553,AvgBonus[bu_name],$C553,AvgBonus[dept_name],$D553,AvgBonus[team_consolidation],$K553,AvgBonus[location_name],$G553,AvgBonus[job_title],$H553))*N448*SUM(BonusPayout[Month 3]))</f>
        <v>0</v>
      </c>
      <c r="O553" s="652">
        <f>IF($B553="",,IF(LEFT($H553,5)="dummy",SUMIFS(AvgBonus[avg_bonus],AvgBonus[job_title],$H553),SUMIFS(AvgBonus[avg_bonus],AvgBonus[exp_item],$J553,AvgBonus[company_name],$B553,AvgBonus[bu_name],$C553,AvgBonus[dept_name],$D553,AvgBonus[team_consolidation],$K553,AvgBonus[location_name],$G553,AvgBonus[job_title],$H553))*O448*SUM(BonusPayout[Month 4]))</f>
        <v>0</v>
      </c>
      <c r="P553" s="652">
        <f>IF($B553="",,IF(LEFT($H553,5)="dummy",SUMIFS(AvgBonus[avg_bonus],AvgBonus[job_title],$H553),SUMIFS(AvgBonus[avg_bonus],AvgBonus[exp_item],$J553,AvgBonus[company_name],$B553,AvgBonus[bu_name],$C553,AvgBonus[dept_name],$D553,AvgBonus[team_consolidation],$K553,AvgBonus[location_name],$G553,AvgBonus[job_title],$H553))*P448*SUM(BonusPayout[Month 5]))</f>
        <v>0</v>
      </c>
      <c r="Q553" s="652">
        <f>IF($B553="",,IF(LEFT($H553,5)="dummy",SUMIFS(AvgBonus[avg_bonus],AvgBonus[job_title],$H553),SUMIFS(AvgBonus[avg_bonus],AvgBonus[exp_item],$J553,AvgBonus[company_name],$B553,AvgBonus[bu_name],$C553,AvgBonus[dept_name],$D553,AvgBonus[team_consolidation],$K553,AvgBonus[location_name],$G553,AvgBonus[job_title],$H553))*Q448*SUM(BonusPayout[Month 6]))</f>
        <v>0</v>
      </c>
      <c r="R553" s="652">
        <f>IF($B553="",,IF(LEFT($H553,5)="dummy",SUMIFS(AvgBonus[avg_bonus],AvgBonus[job_title],$H553),SUMIFS(AvgBonus[avg_bonus],AvgBonus[exp_item],$J553,AvgBonus[company_name],$B553,AvgBonus[bu_name],$C553,AvgBonus[dept_name],$D553,AvgBonus[team_consolidation],$K553,AvgBonus[location_name],$G553,AvgBonus[job_title],$H553))*R448*SUM(BonusPayout[Month 7]))</f>
        <v>0</v>
      </c>
      <c r="S553" s="652">
        <f>IF($B553="",,IF(LEFT($H553,5)="dummy",SUMIFS(AvgBonus[avg_bonus],AvgBonus[job_title],$H553),SUMIFS(AvgBonus[avg_bonus],AvgBonus[exp_item],$J553,AvgBonus[company_name],$B553,AvgBonus[bu_name],$C553,AvgBonus[dept_name],$D553,AvgBonus[team_consolidation],$K553,AvgBonus[location_name],$G553,AvgBonus[job_title],$H553))*S448*SUM(BonusPayout[Month 8]))</f>
        <v>0</v>
      </c>
      <c r="T553" s="652">
        <f>IF($B553="",,IF(LEFT($H553,5)="dummy",SUMIFS(AvgBonus[avg_bonus],AvgBonus[job_title],$H553),SUMIFS(AvgBonus[avg_bonus],AvgBonus[exp_item],$J553,AvgBonus[company_name],$B553,AvgBonus[bu_name],$C553,AvgBonus[dept_name],$D553,AvgBonus[team_consolidation],$K553,AvgBonus[location_name],$G553,AvgBonus[job_title],$H553))*T448*SUM(BonusPayout[Month 9]))</f>
        <v>0</v>
      </c>
      <c r="U553" s="652">
        <f>IF($B553="",,IF(LEFT($H553,5)="dummy",SUMIFS(AvgBonus[avg_bonus],AvgBonus[job_title],$H553),SUMIFS(AvgBonus[avg_bonus],AvgBonus[exp_item],$J553,AvgBonus[company_name],$B553,AvgBonus[bu_name],$C553,AvgBonus[dept_name],$D553,AvgBonus[team_consolidation],$K553,AvgBonus[location_name],$G553,AvgBonus[job_title],$H553))*U448*SUM(BonusPayout[Month 10]))</f>
        <v>0</v>
      </c>
      <c r="V553" s="652">
        <f>IF($B553="",,IF(LEFT($H553,5)="dummy",SUMIFS(AvgBonus[avg_bonus],AvgBonus[job_title],$H553),SUMIFS(AvgBonus[avg_bonus],AvgBonus[exp_item],$J553,AvgBonus[company_name],$B553,AvgBonus[bu_name],$C553,AvgBonus[dept_name],$D553,AvgBonus[team_consolidation],$K553,AvgBonus[location_name],$G553,AvgBonus[job_title],$H553))*V448*SUM(BonusPayout[Month 11]))</f>
        <v>0</v>
      </c>
      <c r="W553" s="652">
        <f>IF($B553="",,IF(LEFT($H553,5)="dummy",SUMIFS(AvgBonus[avg_bonus],AvgBonus[job_title],$H553),SUMIFS(AvgBonus[avg_bonus],AvgBonus[exp_item],$J553,AvgBonus[company_name],$B553,AvgBonus[bu_name],$C553,AvgBonus[dept_name],$D553,AvgBonus[team_consolidation],$K553,AvgBonus[location_name],$G553,AvgBonus[job_title],$H553))*W448*SUM(BonusPayout[Month 12]))</f>
        <v>0</v>
      </c>
      <c r="X553" s="652">
        <f>IF($B553="",,IF(LEFT($H553,5)="dummy",SUMIFS(AvgBonus[avg_bonus],AvgBonus[job_title],$H553),SUMIFS(AvgBonus[avg_bonus],AvgBonus[exp_item],$J553,AvgBonus[company_name],$B553,AvgBonus[bu_name],$C553,AvgBonus[dept_name],$D553,AvgBonus[team_consolidation],$K553,AvgBonus[location_name],$G553,AvgBonus[job_title],$H553))*X448*SUM(BonusPayout[Month 13]))</f>
        <v>0</v>
      </c>
      <c r="Y553" s="652">
        <f>IF($B553="",,IF(LEFT($H553,5)="dummy",SUMIFS(AvgBonus[avg_bonus],AvgBonus[job_title],$H553),SUMIFS(AvgBonus[avg_bonus],AvgBonus[exp_item],$J553,AvgBonus[company_name],$B553,AvgBonus[bu_name],$C553,AvgBonus[dept_name],$D553,AvgBonus[team_consolidation],$K553,AvgBonus[location_name],$G553,AvgBonus[job_title],$H553))*Y448*SUM(BonusPayout[Month 14]))</f>
        <v>0</v>
      </c>
      <c r="Z553" s="652">
        <f>IF($B553="",,IF(LEFT($H553,5)="dummy",SUMIFS(AvgBonus[avg_bonus],AvgBonus[job_title],$H553),SUMIFS(AvgBonus[avg_bonus],AvgBonus[exp_item],$J553,AvgBonus[company_name],$B553,AvgBonus[bu_name],$C553,AvgBonus[dept_name],$D553,AvgBonus[team_consolidation],$K553,AvgBonus[location_name],$G553,AvgBonus[job_title],$H553))*Z448*SUM(BonusPayout[Month 15]))</f>
        <v>0</v>
      </c>
      <c r="AA553" s="652">
        <f>IF($B553="",,IF(LEFT($H553,5)="dummy",SUMIFS(AvgBonus[avg_bonus],AvgBonus[job_title],$H553),SUMIFS(AvgBonus[avg_bonus],AvgBonus[exp_item],$J553,AvgBonus[company_name],$B553,AvgBonus[bu_name],$C553,AvgBonus[dept_name],$D553,AvgBonus[team_consolidation],$K553,AvgBonus[location_name],$G553,AvgBonus[job_title],$H553))*AA448*SUM(BonusPayout[Month 16]))</f>
        <v>0</v>
      </c>
      <c r="AB553" s="652">
        <f>IF($B553="",,IF(LEFT($H553,5)="dummy",SUMIFS(AvgBonus[avg_bonus],AvgBonus[job_title],$H553),SUMIFS(AvgBonus[avg_bonus],AvgBonus[exp_item],$J553,AvgBonus[company_name],$B553,AvgBonus[bu_name],$C553,AvgBonus[dept_name],$D553,AvgBonus[team_consolidation],$K553,AvgBonus[location_name],$G553,AvgBonus[job_title],$H553))*AB448*SUM(BonusPayout[Month 17]))</f>
        <v>0</v>
      </c>
      <c r="AC553" s="652">
        <f>IF($B553="",,IF(LEFT($H553,5)="dummy",SUMIFS(AvgBonus[avg_bonus],AvgBonus[job_title],$H553),SUMIFS(AvgBonus[avg_bonus],AvgBonus[exp_item],$J553,AvgBonus[company_name],$B553,AvgBonus[bu_name],$C553,AvgBonus[dept_name],$D553,AvgBonus[team_consolidation],$K553,AvgBonus[location_name],$G553,AvgBonus[job_title],$H553))*AC448*SUM(BonusPayout[Month 18]))</f>
        <v>0</v>
      </c>
      <c r="AD553" s="652">
        <f>IF($B553="",,IF(LEFT($H553,5)="dummy",SUMIFS(AvgBonus[avg_bonus],AvgBonus[job_title],$H553),SUMIFS(AvgBonus[avg_bonus],AvgBonus[exp_item],$J553,AvgBonus[company_name],$B553,AvgBonus[bu_name],$C553,AvgBonus[dept_name],$D553,AvgBonus[team_consolidation],$K553,AvgBonus[location_name],$G553,AvgBonus[job_title],$H553))*AD448*SUM(BonusPayout[Month 19]))</f>
        <v>0</v>
      </c>
      <c r="AE553" s="652">
        <f>IF($B553="",,IF(LEFT($H553,5)="dummy",SUMIFS(AvgBonus[avg_bonus],AvgBonus[job_title],$H553),SUMIFS(AvgBonus[avg_bonus],AvgBonus[exp_item],$J553,AvgBonus[company_name],$B553,AvgBonus[bu_name],$C553,AvgBonus[dept_name],$D553,AvgBonus[team_consolidation],$K553,AvgBonus[location_name],$G553,AvgBonus[job_title],$H553))*AE448*SUM(BonusPayout[Month 20]))</f>
        <v>0</v>
      </c>
      <c r="AF553" s="652">
        <f>IF($B553="",,IF(LEFT($H553,5)="dummy",SUMIFS(AvgBonus[avg_bonus],AvgBonus[job_title],$H553),SUMIFS(AvgBonus[avg_bonus],AvgBonus[exp_item],$J553,AvgBonus[company_name],$B553,AvgBonus[bu_name],$C553,AvgBonus[dept_name],$D553,AvgBonus[team_consolidation],$K553,AvgBonus[location_name],$G553,AvgBonus[job_title],$H553))*AF448*SUM(BonusPayout[Month 21]))</f>
        <v>0</v>
      </c>
      <c r="AG553" s="652">
        <f>IF($B553="",,IF(LEFT($H553,5)="dummy",SUMIFS(AvgBonus[avg_bonus],AvgBonus[job_title],$H553),SUMIFS(AvgBonus[avg_bonus],AvgBonus[exp_item],$J553,AvgBonus[company_name],$B553,AvgBonus[bu_name],$C553,AvgBonus[dept_name],$D553,AvgBonus[team_consolidation],$K553,AvgBonus[location_name],$G553,AvgBonus[job_title],$H553))*AG448*SUM(BonusPayout[Month 22]))</f>
        <v>0</v>
      </c>
      <c r="AH553" s="652">
        <f>IF($B553="",,IF(LEFT($H553,5)="dummy",SUMIFS(AvgBonus[avg_bonus],AvgBonus[job_title],$H553),SUMIFS(AvgBonus[avg_bonus],AvgBonus[exp_item],$J553,AvgBonus[company_name],$B553,AvgBonus[bu_name],$C553,AvgBonus[dept_name],$D553,AvgBonus[team_consolidation],$K553,AvgBonus[location_name],$G553,AvgBonus[job_title],$H553))*AH448*SUM(BonusPayout[Month 23]))</f>
        <v>0</v>
      </c>
      <c r="AI553" s="652">
        <f>IF($B553="",,IF(LEFT($H553,5)="dummy",SUMIFS(AvgBonus[avg_bonus],AvgBonus[job_title],$H553),SUMIFS(AvgBonus[avg_bonus],AvgBonus[exp_item],$J553,AvgBonus[company_name],$B553,AvgBonus[bu_name],$C553,AvgBonus[dept_name],$D553,AvgBonus[team_consolidation],$K553,AvgBonus[location_name],$G553,AvgBonus[job_title],$H553))*AI448*SUM(BonusPayout[Month 24]))</f>
        <v>0</v>
      </c>
      <c r="AJ553" s="652">
        <f>IF($B553="",,IF(LEFT($H553,5)="dummy",SUMIFS(AvgBonus[avg_bonus],AvgBonus[job_title],$H553),SUMIFS(AvgBonus[avg_bonus],AvgBonus[exp_item],$J553,AvgBonus[company_name],$B553,AvgBonus[bu_name],$C553,AvgBonus[dept_name],$D553,AvgBonus[team_consolidation],$K553,AvgBonus[location_name],$G553,AvgBonus[job_title],$H553))*AJ448*SUM(BonusPayout[Month 25]))</f>
        <v>0</v>
      </c>
      <c r="AK553" s="652">
        <f>IF($B553="",,IF(LEFT($H553,5)="dummy",SUMIFS(AvgBonus[avg_bonus],AvgBonus[job_title],$H553),SUMIFS(AvgBonus[avg_bonus],AvgBonus[exp_item],$J553,AvgBonus[company_name],$B553,AvgBonus[bu_name],$C553,AvgBonus[dept_name],$D553,AvgBonus[team_consolidation],$K553,AvgBonus[location_name],$G553,AvgBonus[job_title],$H553))*AK448*SUM(BonusPayout[Month 26]))</f>
        <v>0</v>
      </c>
      <c r="AL553" s="652">
        <f>IF($B553="",,IF(LEFT($H553,5)="dummy",SUMIFS(AvgBonus[avg_bonus],AvgBonus[job_title],$H553),SUMIFS(AvgBonus[avg_bonus],AvgBonus[exp_item],$J553,AvgBonus[company_name],$B553,AvgBonus[bu_name],$C553,AvgBonus[dept_name],$D553,AvgBonus[team_consolidation],$K553,AvgBonus[location_name],$G553,AvgBonus[job_title],$H553))*AL448*SUM(BonusPayout[Month 27]))</f>
        <v>0</v>
      </c>
      <c r="AM553" s="652">
        <f>IF($B553="",,IF(LEFT($H553,5)="dummy",SUMIFS(AvgBonus[avg_bonus],AvgBonus[job_title],$H553),SUMIFS(AvgBonus[avg_bonus],AvgBonus[exp_item],$J553,AvgBonus[company_name],$B553,AvgBonus[bu_name],$C553,AvgBonus[dept_name],$D553,AvgBonus[team_consolidation],$K553,AvgBonus[location_name],$G553,AvgBonus[job_title],$H553))*AM448*SUM(BonusPayout[Month 28]))</f>
        <v>0</v>
      </c>
      <c r="AN553" s="652">
        <f>IF($B553="",,IF(LEFT($H553,5)="dummy",SUMIFS(AvgBonus[avg_bonus],AvgBonus[job_title],$H553),SUMIFS(AvgBonus[avg_bonus],AvgBonus[exp_item],$J553,AvgBonus[company_name],$B553,AvgBonus[bu_name],$C553,AvgBonus[dept_name],$D553,AvgBonus[team_consolidation],$K553,AvgBonus[location_name],$G553,AvgBonus[job_title],$H553))*AN448*SUM(BonusPayout[Month 29]))</f>
        <v>0</v>
      </c>
      <c r="AO553" s="652">
        <f>IF($B553="",,IF(LEFT($H553,5)="dummy",SUMIFS(AvgBonus[avg_bonus],AvgBonus[job_title],$H553),SUMIFS(AvgBonus[avg_bonus],AvgBonus[exp_item],$J553,AvgBonus[company_name],$B553,AvgBonus[bu_name],$C553,AvgBonus[dept_name],$D553,AvgBonus[team_consolidation],$K553,AvgBonus[location_name],$G553,AvgBonus[job_title],$H553))*AO448*SUM(BonusPayout[Month 30]))</f>
        <v>0</v>
      </c>
      <c r="AP553" s="652">
        <f>IF($B553="",,IF(LEFT($H553,5)="dummy",SUMIFS(AvgBonus[avg_bonus],AvgBonus[job_title],$H553),SUMIFS(AvgBonus[avg_bonus],AvgBonus[exp_item],$J553,AvgBonus[company_name],$B553,AvgBonus[bu_name],$C553,AvgBonus[dept_name],$D553,AvgBonus[team_consolidation],$K553,AvgBonus[location_name],$G553,AvgBonus[job_title],$H553))*AP448*SUM(BonusPayout[Month 31]))</f>
        <v>0</v>
      </c>
      <c r="AQ553" s="652">
        <f>IF($B553="",,IF(LEFT($H553,5)="dummy",SUMIFS(AvgBonus[avg_bonus],AvgBonus[job_title],$H553),SUMIFS(AvgBonus[avg_bonus],AvgBonus[exp_item],$J553,AvgBonus[company_name],$B553,AvgBonus[bu_name],$C553,AvgBonus[dept_name],$D553,AvgBonus[team_consolidation],$K553,AvgBonus[location_name],$G553,AvgBonus[job_title],$H553))*AQ448*SUM(BonusPayout[Month 32]))</f>
        <v>0</v>
      </c>
      <c r="AR553" s="652">
        <f>IF($B553="",,IF(LEFT($H553,5)="dummy",SUMIFS(AvgBonus[avg_bonus],AvgBonus[job_title],$H553),SUMIFS(AvgBonus[avg_bonus],AvgBonus[exp_item],$J553,AvgBonus[company_name],$B553,AvgBonus[bu_name],$C553,AvgBonus[dept_name],$D553,AvgBonus[team_consolidation],$K553,AvgBonus[location_name],$G553,AvgBonus[job_title],$H553))*AR448*SUM(BonusPayout[Month 33]))</f>
        <v>0</v>
      </c>
      <c r="AS553" s="652">
        <f>IF($B553="",,IF(LEFT($H553,5)="dummy",SUMIFS(AvgBonus[avg_bonus],AvgBonus[job_title],$H553),SUMIFS(AvgBonus[avg_bonus],AvgBonus[exp_item],$J553,AvgBonus[company_name],$B553,AvgBonus[bu_name],$C553,AvgBonus[dept_name],$D553,AvgBonus[team_consolidation],$K553,AvgBonus[location_name],$G553,AvgBonus[job_title],$H553))*AS448*SUM(BonusPayout[Month 34]))</f>
        <v>0</v>
      </c>
      <c r="AT553" s="652">
        <f>IF($B553="",,IF(LEFT($H553,5)="dummy",SUMIFS(AvgBonus[avg_bonus],AvgBonus[job_title],$H553),SUMIFS(AvgBonus[avg_bonus],AvgBonus[exp_item],$J553,AvgBonus[company_name],$B553,AvgBonus[bu_name],$C553,AvgBonus[dept_name],$D553,AvgBonus[team_consolidation],$K553,AvgBonus[location_name],$G553,AvgBonus[job_title],$H553))*AT448*SUM(BonusPayout[Month 35]))</f>
        <v>0</v>
      </c>
      <c r="AU553" s="652">
        <f>IF($B553="",,IF(LEFT($H553,5)="dummy",SUMIFS(AvgBonus[avg_bonus],AvgBonus[job_title],$H553),SUMIFS(AvgBonus[avg_bonus],AvgBonus[exp_item],$J553,AvgBonus[company_name],$B553,AvgBonus[bu_name],$C553,AvgBonus[dept_name],$D553,AvgBonus[team_consolidation],$K553,AvgBonus[location_name],$G553,AvgBonus[job_title],$H553))*AU448*SUM(BonusPayout[Month 36]))</f>
        <v>0</v>
      </c>
    </row>
    <row r="554" spans="2:47" x14ac:dyDescent="0.35">
      <c r="B554" t="str">
        <f t="shared" si="327"/>
        <v/>
      </c>
      <c r="C554" t="str">
        <f t="shared" ref="C554:G554" si="348">IF(C449="","",C449)</f>
        <v/>
      </c>
      <c r="D554" t="str">
        <f t="shared" si="348"/>
        <v/>
      </c>
      <c r="E554" t="str">
        <f t="shared" si="348"/>
        <v/>
      </c>
      <c r="F554" t="str">
        <f t="shared" si="348"/>
        <v/>
      </c>
      <c r="G554" t="str">
        <f t="shared" si="348"/>
        <v/>
      </c>
      <c r="H554" t="str">
        <f t="shared" si="326"/>
        <v/>
      </c>
      <c r="J554" t="str">
        <f>IF($H554="","",IF(VLOOKUP($B$500,ExpItems[],2,0),$B$500&amp;" - "&amp;INDEX(DivisionMapping[category_code],MATCH($D554&amp;$C554,DivisionMapping[dept_bu],0)),$B$500))</f>
        <v/>
      </c>
      <c r="K554" t="str">
        <f t="shared" si="294"/>
        <v/>
      </c>
      <c r="L554" s="652">
        <f>IF($B554="",,IF(LEFT($H554,5)="dummy",SUMIFS(AvgBonus[avg_bonus],AvgBonus[job_title],$H554),SUMIFS(AvgBonus[avg_bonus],AvgBonus[exp_item],$J554,AvgBonus[company_name],$B554,AvgBonus[bu_name],$C554,AvgBonus[dept_name],$D554,AvgBonus[team_consolidation],$K554,AvgBonus[location_name],$G554,AvgBonus[job_title],$H554))*L449*SUM(BonusPayout[Month 1]))</f>
        <v>0</v>
      </c>
      <c r="M554" s="652">
        <f>IF($B554="",,IF(LEFT($H554,5)="dummy",SUMIFS(AvgBonus[avg_bonus],AvgBonus[job_title],$H554),SUMIFS(AvgBonus[avg_bonus],AvgBonus[exp_item],$J554,AvgBonus[company_name],$B554,AvgBonus[bu_name],$C554,AvgBonus[dept_name],$D554,AvgBonus[team_consolidation],$K554,AvgBonus[location_name],$G554,AvgBonus[job_title],$H554))*M449*SUM(BonusPayout[Month 2]))</f>
        <v>0</v>
      </c>
      <c r="N554" s="652">
        <f>IF($B554="",,IF(LEFT($H554,5)="dummy",SUMIFS(AvgBonus[avg_bonus],AvgBonus[job_title],$H554),SUMIFS(AvgBonus[avg_bonus],AvgBonus[exp_item],$J554,AvgBonus[company_name],$B554,AvgBonus[bu_name],$C554,AvgBonus[dept_name],$D554,AvgBonus[team_consolidation],$K554,AvgBonus[location_name],$G554,AvgBonus[job_title],$H554))*N449*SUM(BonusPayout[Month 3]))</f>
        <v>0</v>
      </c>
      <c r="O554" s="652">
        <f>IF($B554="",,IF(LEFT($H554,5)="dummy",SUMIFS(AvgBonus[avg_bonus],AvgBonus[job_title],$H554),SUMIFS(AvgBonus[avg_bonus],AvgBonus[exp_item],$J554,AvgBonus[company_name],$B554,AvgBonus[bu_name],$C554,AvgBonus[dept_name],$D554,AvgBonus[team_consolidation],$K554,AvgBonus[location_name],$G554,AvgBonus[job_title],$H554))*O449*SUM(BonusPayout[Month 4]))</f>
        <v>0</v>
      </c>
      <c r="P554" s="652">
        <f>IF($B554="",,IF(LEFT($H554,5)="dummy",SUMIFS(AvgBonus[avg_bonus],AvgBonus[job_title],$H554),SUMIFS(AvgBonus[avg_bonus],AvgBonus[exp_item],$J554,AvgBonus[company_name],$B554,AvgBonus[bu_name],$C554,AvgBonus[dept_name],$D554,AvgBonus[team_consolidation],$K554,AvgBonus[location_name],$G554,AvgBonus[job_title],$H554))*P449*SUM(BonusPayout[Month 5]))</f>
        <v>0</v>
      </c>
      <c r="Q554" s="652">
        <f>IF($B554="",,IF(LEFT($H554,5)="dummy",SUMIFS(AvgBonus[avg_bonus],AvgBonus[job_title],$H554),SUMIFS(AvgBonus[avg_bonus],AvgBonus[exp_item],$J554,AvgBonus[company_name],$B554,AvgBonus[bu_name],$C554,AvgBonus[dept_name],$D554,AvgBonus[team_consolidation],$K554,AvgBonus[location_name],$G554,AvgBonus[job_title],$H554))*Q449*SUM(BonusPayout[Month 6]))</f>
        <v>0</v>
      </c>
      <c r="R554" s="652">
        <f>IF($B554="",,IF(LEFT($H554,5)="dummy",SUMIFS(AvgBonus[avg_bonus],AvgBonus[job_title],$H554),SUMIFS(AvgBonus[avg_bonus],AvgBonus[exp_item],$J554,AvgBonus[company_name],$B554,AvgBonus[bu_name],$C554,AvgBonus[dept_name],$D554,AvgBonus[team_consolidation],$K554,AvgBonus[location_name],$G554,AvgBonus[job_title],$H554))*R449*SUM(BonusPayout[Month 7]))</f>
        <v>0</v>
      </c>
      <c r="S554" s="652">
        <f>IF($B554="",,IF(LEFT($H554,5)="dummy",SUMIFS(AvgBonus[avg_bonus],AvgBonus[job_title],$H554),SUMIFS(AvgBonus[avg_bonus],AvgBonus[exp_item],$J554,AvgBonus[company_name],$B554,AvgBonus[bu_name],$C554,AvgBonus[dept_name],$D554,AvgBonus[team_consolidation],$K554,AvgBonus[location_name],$G554,AvgBonus[job_title],$H554))*S449*SUM(BonusPayout[Month 8]))</f>
        <v>0</v>
      </c>
      <c r="T554" s="652">
        <f>IF($B554="",,IF(LEFT($H554,5)="dummy",SUMIFS(AvgBonus[avg_bonus],AvgBonus[job_title],$H554),SUMIFS(AvgBonus[avg_bonus],AvgBonus[exp_item],$J554,AvgBonus[company_name],$B554,AvgBonus[bu_name],$C554,AvgBonus[dept_name],$D554,AvgBonus[team_consolidation],$K554,AvgBonus[location_name],$G554,AvgBonus[job_title],$H554))*T449*SUM(BonusPayout[Month 9]))</f>
        <v>0</v>
      </c>
      <c r="U554" s="652">
        <f>IF($B554="",,IF(LEFT($H554,5)="dummy",SUMIFS(AvgBonus[avg_bonus],AvgBonus[job_title],$H554),SUMIFS(AvgBonus[avg_bonus],AvgBonus[exp_item],$J554,AvgBonus[company_name],$B554,AvgBonus[bu_name],$C554,AvgBonus[dept_name],$D554,AvgBonus[team_consolidation],$K554,AvgBonus[location_name],$G554,AvgBonus[job_title],$H554))*U449*SUM(BonusPayout[Month 10]))</f>
        <v>0</v>
      </c>
      <c r="V554" s="652">
        <f>IF($B554="",,IF(LEFT($H554,5)="dummy",SUMIFS(AvgBonus[avg_bonus],AvgBonus[job_title],$H554),SUMIFS(AvgBonus[avg_bonus],AvgBonus[exp_item],$J554,AvgBonus[company_name],$B554,AvgBonus[bu_name],$C554,AvgBonus[dept_name],$D554,AvgBonus[team_consolidation],$K554,AvgBonus[location_name],$G554,AvgBonus[job_title],$H554))*V449*SUM(BonusPayout[Month 11]))</f>
        <v>0</v>
      </c>
      <c r="W554" s="652">
        <f>IF($B554="",,IF(LEFT($H554,5)="dummy",SUMIFS(AvgBonus[avg_bonus],AvgBonus[job_title],$H554),SUMIFS(AvgBonus[avg_bonus],AvgBonus[exp_item],$J554,AvgBonus[company_name],$B554,AvgBonus[bu_name],$C554,AvgBonus[dept_name],$D554,AvgBonus[team_consolidation],$K554,AvgBonus[location_name],$G554,AvgBonus[job_title],$H554))*W449*SUM(BonusPayout[Month 12]))</f>
        <v>0</v>
      </c>
      <c r="X554" s="652">
        <f>IF($B554="",,IF(LEFT($H554,5)="dummy",SUMIFS(AvgBonus[avg_bonus],AvgBonus[job_title],$H554),SUMIFS(AvgBonus[avg_bonus],AvgBonus[exp_item],$J554,AvgBonus[company_name],$B554,AvgBonus[bu_name],$C554,AvgBonus[dept_name],$D554,AvgBonus[team_consolidation],$K554,AvgBonus[location_name],$G554,AvgBonus[job_title],$H554))*X449*SUM(BonusPayout[Month 13]))</f>
        <v>0</v>
      </c>
      <c r="Y554" s="652">
        <f>IF($B554="",,IF(LEFT($H554,5)="dummy",SUMIFS(AvgBonus[avg_bonus],AvgBonus[job_title],$H554),SUMIFS(AvgBonus[avg_bonus],AvgBonus[exp_item],$J554,AvgBonus[company_name],$B554,AvgBonus[bu_name],$C554,AvgBonus[dept_name],$D554,AvgBonus[team_consolidation],$K554,AvgBonus[location_name],$G554,AvgBonus[job_title],$H554))*Y449*SUM(BonusPayout[Month 14]))</f>
        <v>0</v>
      </c>
      <c r="Z554" s="652">
        <f>IF($B554="",,IF(LEFT($H554,5)="dummy",SUMIFS(AvgBonus[avg_bonus],AvgBonus[job_title],$H554),SUMIFS(AvgBonus[avg_bonus],AvgBonus[exp_item],$J554,AvgBonus[company_name],$B554,AvgBonus[bu_name],$C554,AvgBonus[dept_name],$D554,AvgBonus[team_consolidation],$K554,AvgBonus[location_name],$G554,AvgBonus[job_title],$H554))*Z449*SUM(BonusPayout[Month 15]))</f>
        <v>0</v>
      </c>
      <c r="AA554" s="652">
        <f>IF($B554="",,IF(LEFT($H554,5)="dummy",SUMIFS(AvgBonus[avg_bonus],AvgBonus[job_title],$H554),SUMIFS(AvgBonus[avg_bonus],AvgBonus[exp_item],$J554,AvgBonus[company_name],$B554,AvgBonus[bu_name],$C554,AvgBonus[dept_name],$D554,AvgBonus[team_consolidation],$K554,AvgBonus[location_name],$G554,AvgBonus[job_title],$H554))*AA449*SUM(BonusPayout[Month 16]))</f>
        <v>0</v>
      </c>
      <c r="AB554" s="652">
        <f>IF($B554="",,IF(LEFT($H554,5)="dummy",SUMIFS(AvgBonus[avg_bonus],AvgBonus[job_title],$H554),SUMIFS(AvgBonus[avg_bonus],AvgBonus[exp_item],$J554,AvgBonus[company_name],$B554,AvgBonus[bu_name],$C554,AvgBonus[dept_name],$D554,AvgBonus[team_consolidation],$K554,AvgBonus[location_name],$G554,AvgBonus[job_title],$H554))*AB449*SUM(BonusPayout[Month 17]))</f>
        <v>0</v>
      </c>
      <c r="AC554" s="652">
        <f>IF($B554="",,IF(LEFT($H554,5)="dummy",SUMIFS(AvgBonus[avg_bonus],AvgBonus[job_title],$H554),SUMIFS(AvgBonus[avg_bonus],AvgBonus[exp_item],$J554,AvgBonus[company_name],$B554,AvgBonus[bu_name],$C554,AvgBonus[dept_name],$D554,AvgBonus[team_consolidation],$K554,AvgBonus[location_name],$G554,AvgBonus[job_title],$H554))*AC449*SUM(BonusPayout[Month 18]))</f>
        <v>0</v>
      </c>
      <c r="AD554" s="652">
        <f>IF($B554="",,IF(LEFT($H554,5)="dummy",SUMIFS(AvgBonus[avg_bonus],AvgBonus[job_title],$H554),SUMIFS(AvgBonus[avg_bonus],AvgBonus[exp_item],$J554,AvgBonus[company_name],$B554,AvgBonus[bu_name],$C554,AvgBonus[dept_name],$D554,AvgBonus[team_consolidation],$K554,AvgBonus[location_name],$G554,AvgBonus[job_title],$H554))*AD449*SUM(BonusPayout[Month 19]))</f>
        <v>0</v>
      </c>
      <c r="AE554" s="652">
        <f>IF($B554="",,IF(LEFT($H554,5)="dummy",SUMIFS(AvgBonus[avg_bonus],AvgBonus[job_title],$H554),SUMIFS(AvgBonus[avg_bonus],AvgBonus[exp_item],$J554,AvgBonus[company_name],$B554,AvgBonus[bu_name],$C554,AvgBonus[dept_name],$D554,AvgBonus[team_consolidation],$K554,AvgBonus[location_name],$G554,AvgBonus[job_title],$H554))*AE449*SUM(BonusPayout[Month 20]))</f>
        <v>0</v>
      </c>
      <c r="AF554" s="652">
        <f>IF($B554="",,IF(LEFT($H554,5)="dummy",SUMIFS(AvgBonus[avg_bonus],AvgBonus[job_title],$H554),SUMIFS(AvgBonus[avg_bonus],AvgBonus[exp_item],$J554,AvgBonus[company_name],$B554,AvgBonus[bu_name],$C554,AvgBonus[dept_name],$D554,AvgBonus[team_consolidation],$K554,AvgBonus[location_name],$G554,AvgBonus[job_title],$H554))*AF449*SUM(BonusPayout[Month 21]))</f>
        <v>0</v>
      </c>
      <c r="AG554" s="652">
        <f>IF($B554="",,IF(LEFT($H554,5)="dummy",SUMIFS(AvgBonus[avg_bonus],AvgBonus[job_title],$H554),SUMIFS(AvgBonus[avg_bonus],AvgBonus[exp_item],$J554,AvgBonus[company_name],$B554,AvgBonus[bu_name],$C554,AvgBonus[dept_name],$D554,AvgBonus[team_consolidation],$K554,AvgBonus[location_name],$G554,AvgBonus[job_title],$H554))*AG449*SUM(BonusPayout[Month 22]))</f>
        <v>0</v>
      </c>
      <c r="AH554" s="652">
        <f>IF($B554="",,IF(LEFT($H554,5)="dummy",SUMIFS(AvgBonus[avg_bonus],AvgBonus[job_title],$H554),SUMIFS(AvgBonus[avg_bonus],AvgBonus[exp_item],$J554,AvgBonus[company_name],$B554,AvgBonus[bu_name],$C554,AvgBonus[dept_name],$D554,AvgBonus[team_consolidation],$K554,AvgBonus[location_name],$G554,AvgBonus[job_title],$H554))*AH449*SUM(BonusPayout[Month 23]))</f>
        <v>0</v>
      </c>
      <c r="AI554" s="652">
        <f>IF($B554="",,IF(LEFT($H554,5)="dummy",SUMIFS(AvgBonus[avg_bonus],AvgBonus[job_title],$H554),SUMIFS(AvgBonus[avg_bonus],AvgBonus[exp_item],$J554,AvgBonus[company_name],$B554,AvgBonus[bu_name],$C554,AvgBonus[dept_name],$D554,AvgBonus[team_consolidation],$K554,AvgBonus[location_name],$G554,AvgBonus[job_title],$H554))*AI449*SUM(BonusPayout[Month 24]))</f>
        <v>0</v>
      </c>
      <c r="AJ554" s="652">
        <f>IF($B554="",,IF(LEFT($H554,5)="dummy",SUMIFS(AvgBonus[avg_bonus],AvgBonus[job_title],$H554),SUMIFS(AvgBonus[avg_bonus],AvgBonus[exp_item],$J554,AvgBonus[company_name],$B554,AvgBonus[bu_name],$C554,AvgBonus[dept_name],$D554,AvgBonus[team_consolidation],$K554,AvgBonus[location_name],$G554,AvgBonus[job_title],$H554))*AJ449*SUM(BonusPayout[Month 25]))</f>
        <v>0</v>
      </c>
      <c r="AK554" s="652">
        <f>IF($B554="",,IF(LEFT($H554,5)="dummy",SUMIFS(AvgBonus[avg_bonus],AvgBonus[job_title],$H554),SUMIFS(AvgBonus[avg_bonus],AvgBonus[exp_item],$J554,AvgBonus[company_name],$B554,AvgBonus[bu_name],$C554,AvgBonus[dept_name],$D554,AvgBonus[team_consolidation],$K554,AvgBonus[location_name],$G554,AvgBonus[job_title],$H554))*AK449*SUM(BonusPayout[Month 26]))</f>
        <v>0</v>
      </c>
      <c r="AL554" s="652">
        <f>IF($B554="",,IF(LEFT($H554,5)="dummy",SUMIFS(AvgBonus[avg_bonus],AvgBonus[job_title],$H554),SUMIFS(AvgBonus[avg_bonus],AvgBonus[exp_item],$J554,AvgBonus[company_name],$B554,AvgBonus[bu_name],$C554,AvgBonus[dept_name],$D554,AvgBonus[team_consolidation],$K554,AvgBonus[location_name],$G554,AvgBonus[job_title],$H554))*AL449*SUM(BonusPayout[Month 27]))</f>
        <v>0</v>
      </c>
      <c r="AM554" s="652">
        <f>IF($B554="",,IF(LEFT($H554,5)="dummy",SUMIFS(AvgBonus[avg_bonus],AvgBonus[job_title],$H554),SUMIFS(AvgBonus[avg_bonus],AvgBonus[exp_item],$J554,AvgBonus[company_name],$B554,AvgBonus[bu_name],$C554,AvgBonus[dept_name],$D554,AvgBonus[team_consolidation],$K554,AvgBonus[location_name],$G554,AvgBonus[job_title],$H554))*AM449*SUM(BonusPayout[Month 28]))</f>
        <v>0</v>
      </c>
      <c r="AN554" s="652">
        <f>IF($B554="",,IF(LEFT($H554,5)="dummy",SUMIFS(AvgBonus[avg_bonus],AvgBonus[job_title],$H554),SUMIFS(AvgBonus[avg_bonus],AvgBonus[exp_item],$J554,AvgBonus[company_name],$B554,AvgBonus[bu_name],$C554,AvgBonus[dept_name],$D554,AvgBonus[team_consolidation],$K554,AvgBonus[location_name],$G554,AvgBonus[job_title],$H554))*AN449*SUM(BonusPayout[Month 29]))</f>
        <v>0</v>
      </c>
      <c r="AO554" s="652">
        <f>IF($B554="",,IF(LEFT($H554,5)="dummy",SUMIFS(AvgBonus[avg_bonus],AvgBonus[job_title],$H554),SUMIFS(AvgBonus[avg_bonus],AvgBonus[exp_item],$J554,AvgBonus[company_name],$B554,AvgBonus[bu_name],$C554,AvgBonus[dept_name],$D554,AvgBonus[team_consolidation],$K554,AvgBonus[location_name],$G554,AvgBonus[job_title],$H554))*AO449*SUM(BonusPayout[Month 30]))</f>
        <v>0</v>
      </c>
      <c r="AP554" s="652">
        <f>IF($B554="",,IF(LEFT($H554,5)="dummy",SUMIFS(AvgBonus[avg_bonus],AvgBonus[job_title],$H554),SUMIFS(AvgBonus[avg_bonus],AvgBonus[exp_item],$J554,AvgBonus[company_name],$B554,AvgBonus[bu_name],$C554,AvgBonus[dept_name],$D554,AvgBonus[team_consolidation],$K554,AvgBonus[location_name],$G554,AvgBonus[job_title],$H554))*AP449*SUM(BonusPayout[Month 31]))</f>
        <v>0</v>
      </c>
      <c r="AQ554" s="652">
        <f>IF($B554="",,IF(LEFT($H554,5)="dummy",SUMIFS(AvgBonus[avg_bonus],AvgBonus[job_title],$H554),SUMIFS(AvgBonus[avg_bonus],AvgBonus[exp_item],$J554,AvgBonus[company_name],$B554,AvgBonus[bu_name],$C554,AvgBonus[dept_name],$D554,AvgBonus[team_consolidation],$K554,AvgBonus[location_name],$G554,AvgBonus[job_title],$H554))*AQ449*SUM(BonusPayout[Month 32]))</f>
        <v>0</v>
      </c>
      <c r="AR554" s="652">
        <f>IF($B554="",,IF(LEFT($H554,5)="dummy",SUMIFS(AvgBonus[avg_bonus],AvgBonus[job_title],$H554),SUMIFS(AvgBonus[avg_bonus],AvgBonus[exp_item],$J554,AvgBonus[company_name],$B554,AvgBonus[bu_name],$C554,AvgBonus[dept_name],$D554,AvgBonus[team_consolidation],$K554,AvgBonus[location_name],$G554,AvgBonus[job_title],$H554))*AR449*SUM(BonusPayout[Month 33]))</f>
        <v>0</v>
      </c>
      <c r="AS554" s="652">
        <f>IF($B554="",,IF(LEFT($H554,5)="dummy",SUMIFS(AvgBonus[avg_bonus],AvgBonus[job_title],$H554),SUMIFS(AvgBonus[avg_bonus],AvgBonus[exp_item],$J554,AvgBonus[company_name],$B554,AvgBonus[bu_name],$C554,AvgBonus[dept_name],$D554,AvgBonus[team_consolidation],$K554,AvgBonus[location_name],$G554,AvgBonus[job_title],$H554))*AS449*SUM(BonusPayout[Month 34]))</f>
        <v>0</v>
      </c>
      <c r="AT554" s="652">
        <f>IF($B554="",,IF(LEFT($H554,5)="dummy",SUMIFS(AvgBonus[avg_bonus],AvgBonus[job_title],$H554),SUMIFS(AvgBonus[avg_bonus],AvgBonus[exp_item],$J554,AvgBonus[company_name],$B554,AvgBonus[bu_name],$C554,AvgBonus[dept_name],$D554,AvgBonus[team_consolidation],$K554,AvgBonus[location_name],$G554,AvgBonus[job_title],$H554))*AT449*SUM(BonusPayout[Month 35]))</f>
        <v>0</v>
      </c>
      <c r="AU554" s="652">
        <f>IF($B554="",,IF(LEFT($H554,5)="dummy",SUMIFS(AvgBonus[avg_bonus],AvgBonus[job_title],$H554),SUMIFS(AvgBonus[avg_bonus],AvgBonus[exp_item],$J554,AvgBonus[company_name],$B554,AvgBonus[bu_name],$C554,AvgBonus[dept_name],$D554,AvgBonus[team_consolidation],$K554,AvgBonus[location_name],$G554,AvgBonus[job_title],$H554))*AU449*SUM(BonusPayout[Month 36]))</f>
        <v>0</v>
      </c>
    </row>
    <row r="555" spans="2:47" x14ac:dyDescent="0.35">
      <c r="B555" t="str">
        <f t="shared" si="327"/>
        <v/>
      </c>
      <c r="C555" t="str">
        <f t="shared" ref="C555:G555" si="349">IF(C450="","",C450)</f>
        <v/>
      </c>
      <c r="D555" t="str">
        <f t="shared" si="349"/>
        <v/>
      </c>
      <c r="E555" t="str">
        <f t="shared" si="349"/>
        <v/>
      </c>
      <c r="F555" t="str">
        <f t="shared" si="349"/>
        <v/>
      </c>
      <c r="G555" t="str">
        <f t="shared" si="349"/>
        <v/>
      </c>
      <c r="H555" t="str">
        <f t="shared" si="326"/>
        <v/>
      </c>
      <c r="J555" t="str">
        <f>IF($H555="","",IF(VLOOKUP($B$500,ExpItems[],2,0),$B$500&amp;" - "&amp;INDEX(DivisionMapping[category_code],MATCH($D555&amp;$C555,DivisionMapping[dept_bu],0)),$B$500))</f>
        <v/>
      </c>
      <c r="K555" t="str">
        <f t="shared" si="294"/>
        <v/>
      </c>
      <c r="L555" s="652">
        <f>IF($B555="",,IF(LEFT($H555,5)="dummy",SUMIFS(AvgBonus[avg_bonus],AvgBonus[job_title],$H555),SUMIFS(AvgBonus[avg_bonus],AvgBonus[exp_item],$J555,AvgBonus[company_name],$B555,AvgBonus[bu_name],$C555,AvgBonus[dept_name],$D555,AvgBonus[team_consolidation],$K555,AvgBonus[location_name],$G555,AvgBonus[job_title],$H555))*L450*SUM(BonusPayout[Month 1]))</f>
        <v>0</v>
      </c>
      <c r="M555" s="652">
        <f>IF($B555="",,IF(LEFT($H555,5)="dummy",SUMIFS(AvgBonus[avg_bonus],AvgBonus[job_title],$H555),SUMIFS(AvgBonus[avg_bonus],AvgBonus[exp_item],$J555,AvgBonus[company_name],$B555,AvgBonus[bu_name],$C555,AvgBonus[dept_name],$D555,AvgBonus[team_consolidation],$K555,AvgBonus[location_name],$G555,AvgBonus[job_title],$H555))*M450*SUM(BonusPayout[Month 2]))</f>
        <v>0</v>
      </c>
      <c r="N555" s="652">
        <f>IF($B555="",,IF(LEFT($H555,5)="dummy",SUMIFS(AvgBonus[avg_bonus],AvgBonus[job_title],$H555),SUMIFS(AvgBonus[avg_bonus],AvgBonus[exp_item],$J555,AvgBonus[company_name],$B555,AvgBonus[bu_name],$C555,AvgBonus[dept_name],$D555,AvgBonus[team_consolidation],$K555,AvgBonus[location_name],$G555,AvgBonus[job_title],$H555))*N450*SUM(BonusPayout[Month 3]))</f>
        <v>0</v>
      </c>
      <c r="O555" s="652">
        <f>IF($B555="",,IF(LEFT($H555,5)="dummy",SUMIFS(AvgBonus[avg_bonus],AvgBonus[job_title],$H555),SUMIFS(AvgBonus[avg_bonus],AvgBonus[exp_item],$J555,AvgBonus[company_name],$B555,AvgBonus[bu_name],$C555,AvgBonus[dept_name],$D555,AvgBonus[team_consolidation],$K555,AvgBonus[location_name],$G555,AvgBonus[job_title],$H555))*O450*SUM(BonusPayout[Month 4]))</f>
        <v>0</v>
      </c>
      <c r="P555" s="652">
        <f>IF($B555="",,IF(LEFT($H555,5)="dummy",SUMIFS(AvgBonus[avg_bonus],AvgBonus[job_title],$H555),SUMIFS(AvgBonus[avg_bonus],AvgBonus[exp_item],$J555,AvgBonus[company_name],$B555,AvgBonus[bu_name],$C555,AvgBonus[dept_name],$D555,AvgBonus[team_consolidation],$K555,AvgBonus[location_name],$G555,AvgBonus[job_title],$H555))*P450*SUM(BonusPayout[Month 5]))</f>
        <v>0</v>
      </c>
      <c r="Q555" s="652">
        <f>IF($B555="",,IF(LEFT($H555,5)="dummy",SUMIFS(AvgBonus[avg_bonus],AvgBonus[job_title],$H555),SUMIFS(AvgBonus[avg_bonus],AvgBonus[exp_item],$J555,AvgBonus[company_name],$B555,AvgBonus[bu_name],$C555,AvgBonus[dept_name],$D555,AvgBonus[team_consolidation],$K555,AvgBonus[location_name],$G555,AvgBonus[job_title],$H555))*Q450*SUM(BonusPayout[Month 6]))</f>
        <v>0</v>
      </c>
      <c r="R555" s="652">
        <f>IF($B555="",,IF(LEFT($H555,5)="dummy",SUMIFS(AvgBonus[avg_bonus],AvgBonus[job_title],$H555),SUMIFS(AvgBonus[avg_bonus],AvgBonus[exp_item],$J555,AvgBonus[company_name],$B555,AvgBonus[bu_name],$C555,AvgBonus[dept_name],$D555,AvgBonus[team_consolidation],$K555,AvgBonus[location_name],$G555,AvgBonus[job_title],$H555))*R450*SUM(BonusPayout[Month 7]))</f>
        <v>0</v>
      </c>
      <c r="S555" s="652">
        <f>IF($B555="",,IF(LEFT($H555,5)="dummy",SUMIFS(AvgBonus[avg_bonus],AvgBonus[job_title],$H555),SUMIFS(AvgBonus[avg_bonus],AvgBonus[exp_item],$J555,AvgBonus[company_name],$B555,AvgBonus[bu_name],$C555,AvgBonus[dept_name],$D555,AvgBonus[team_consolidation],$K555,AvgBonus[location_name],$G555,AvgBonus[job_title],$H555))*S450*SUM(BonusPayout[Month 8]))</f>
        <v>0</v>
      </c>
      <c r="T555" s="652">
        <f>IF($B555="",,IF(LEFT($H555,5)="dummy",SUMIFS(AvgBonus[avg_bonus],AvgBonus[job_title],$H555),SUMIFS(AvgBonus[avg_bonus],AvgBonus[exp_item],$J555,AvgBonus[company_name],$B555,AvgBonus[bu_name],$C555,AvgBonus[dept_name],$D555,AvgBonus[team_consolidation],$K555,AvgBonus[location_name],$G555,AvgBonus[job_title],$H555))*T450*SUM(BonusPayout[Month 9]))</f>
        <v>0</v>
      </c>
      <c r="U555" s="652">
        <f>IF($B555="",,IF(LEFT($H555,5)="dummy",SUMIFS(AvgBonus[avg_bonus],AvgBonus[job_title],$H555),SUMIFS(AvgBonus[avg_bonus],AvgBonus[exp_item],$J555,AvgBonus[company_name],$B555,AvgBonus[bu_name],$C555,AvgBonus[dept_name],$D555,AvgBonus[team_consolidation],$K555,AvgBonus[location_name],$G555,AvgBonus[job_title],$H555))*U450*SUM(BonusPayout[Month 10]))</f>
        <v>0</v>
      </c>
      <c r="V555" s="652">
        <f>IF($B555="",,IF(LEFT($H555,5)="dummy",SUMIFS(AvgBonus[avg_bonus],AvgBonus[job_title],$H555),SUMIFS(AvgBonus[avg_bonus],AvgBonus[exp_item],$J555,AvgBonus[company_name],$B555,AvgBonus[bu_name],$C555,AvgBonus[dept_name],$D555,AvgBonus[team_consolidation],$K555,AvgBonus[location_name],$G555,AvgBonus[job_title],$H555))*V450*SUM(BonusPayout[Month 11]))</f>
        <v>0</v>
      </c>
      <c r="W555" s="652">
        <f>IF($B555="",,IF(LEFT($H555,5)="dummy",SUMIFS(AvgBonus[avg_bonus],AvgBonus[job_title],$H555),SUMIFS(AvgBonus[avg_bonus],AvgBonus[exp_item],$J555,AvgBonus[company_name],$B555,AvgBonus[bu_name],$C555,AvgBonus[dept_name],$D555,AvgBonus[team_consolidation],$K555,AvgBonus[location_name],$G555,AvgBonus[job_title],$H555))*W450*SUM(BonusPayout[Month 12]))</f>
        <v>0</v>
      </c>
      <c r="X555" s="652">
        <f>IF($B555="",,IF(LEFT($H555,5)="dummy",SUMIFS(AvgBonus[avg_bonus],AvgBonus[job_title],$H555),SUMIFS(AvgBonus[avg_bonus],AvgBonus[exp_item],$J555,AvgBonus[company_name],$B555,AvgBonus[bu_name],$C555,AvgBonus[dept_name],$D555,AvgBonus[team_consolidation],$K555,AvgBonus[location_name],$G555,AvgBonus[job_title],$H555))*X450*SUM(BonusPayout[Month 13]))</f>
        <v>0</v>
      </c>
      <c r="Y555" s="652">
        <f>IF($B555="",,IF(LEFT($H555,5)="dummy",SUMIFS(AvgBonus[avg_bonus],AvgBonus[job_title],$H555),SUMIFS(AvgBonus[avg_bonus],AvgBonus[exp_item],$J555,AvgBonus[company_name],$B555,AvgBonus[bu_name],$C555,AvgBonus[dept_name],$D555,AvgBonus[team_consolidation],$K555,AvgBonus[location_name],$G555,AvgBonus[job_title],$H555))*Y450*SUM(BonusPayout[Month 14]))</f>
        <v>0</v>
      </c>
      <c r="Z555" s="652">
        <f>IF($B555="",,IF(LEFT($H555,5)="dummy",SUMIFS(AvgBonus[avg_bonus],AvgBonus[job_title],$H555),SUMIFS(AvgBonus[avg_bonus],AvgBonus[exp_item],$J555,AvgBonus[company_name],$B555,AvgBonus[bu_name],$C555,AvgBonus[dept_name],$D555,AvgBonus[team_consolidation],$K555,AvgBonus[location_name],$G555,AvgBonus[job_title],$H555))*Z450*SUM(BonusPayout[Month 15]))</f>
        <v>0</v>
      </c>
      <c r="AA555" s="652">
        <f>IF($B555="",,IF(LEFT($H555,5)="dummy",SUMIFS(AvgBonus[avg_bonus],AvgBonus[job_title],$H555),SUMIFS(AvgBonus[avg_bonus],AvgBonus[exp_item],$J555,AvgBonus[company_name],$B555,AvgBonus[bu_name],$C555,AvgBonus[dept_name],$D555,AvgBonus[team_consolidation],$K555,AvgBonus[location_name],$G555,AvgBonus[job_title],$H555))*AA450*SUM(BonusPayout[Month 16]))</f>
        <v>0</v>
      </c>
      <c r="AB555" s="652">
        <f>IF($B555="",,IF(LEFT($H555,5)="dummy",SUMIFS(AvgBonus[avg_bonus],AvgBonus[job_title],$H555),SUMIFS(AvgBonus[avg_bonus],AvgBonus[exp_item],$J555,AvgBonus[company_name],$B555,AvgBonus[bu_name],$C555,AvgBonus[dept_name],$D555,AvgBonus[team_consolidation],$K555,AvgBonus[location_name],$G555,AvgBonus[job_title],$H555))*AB450*SUM(BonusPayout[Month 17]))</f>
        <v>0</v>
      </c>
      <c r="AC555" s="652">
        <f>IF($B555="",,IF(LEFT($H555,5)="dummy",SUMIFS(AvgBonus[avg_bonus],AvgBonus[job_title],$H555),SUMIFS(AvgBonus[avg_bonus],AvgBonus[exp_item],$J555,AvgBonus[company_name],$B555,AvgBonus[bu_name],$C555,AvgBonus[dept_name],$D555,AvgBonus[team_consolidation],$K555,AvgBonus[location_name],$G555,AvgBonus[job_title],$H555))*AC450*SUM(BonusPayout[Month 18]))</f>
        <v>0</v>
      </c>
      <c r="AD555" s="652">
        <f>IF($B555="",,IF(LEFT($H555,5)="dummy",SUMIFS(AvgBonus[avg_bonus],AvgBonus[job_title],$H555),SUMIFS(AvgBonus[avg_bonus],AvgBonus[exp_item],$J555,AvgBonus[company_name],$B555,AvgBonus[bu_name],$C555,AvgBonus[dept_name],$D555,AvgBonus[team_consolidation],$K555,AvgBonus[location_name],$G555,AvgBonus[job_title],$H555))*AD450*SUM(BonusPayout[Month 19]))</f>
        <v>0</v>
      </c>
      <c r="AE555" s="652">
        <f>IF($B555="",,IF(LEFT($H555,5)="dummy",SUMIFS(AvgBonus[avg_bonus],AvgBonus[job_title],$H555),SUMIFS(AvgBonus[avg_bonus],AvgBonus[exp_item],$J555,AvgBonus[company_name],$B555,AvgBonus[bu_name],$C555,AvgBonus[dept_name],$D555,AvgBonus[team_consolidation],$K555,AvgBonus[location_name],$G555,AvgBonus[job_title],$H555))*AE450*SUM(BonusPayout[Month 20]))</f>
        <v>0</v>
      </c>
      <c r="AF555" s="652">
        <f>IF($B555="",,IF(LEFT($H555,5)="dummy",SUMIFS(AvgBonus[avg_bonus],AvgBonus[job_title],$H555),SUMIFS(AvgBonus[avg_bonus],AvgBonus[exp_item],$J555,AvgBonus[company_name],$B555,AvgBonus[bu_name],$C555,AvgBonus[dept_name],$D555,AvgBonus[team_consolidation],$K555,AvgBonus[location_name],$G555,AvgBonus[job_title],$H555))*AF450*SUM(BonusPayout[Month 21]))</f>
        <v>0</v>
      </c>
      <c r="AG555" s="652">
        <f>IF($B555="",,IF(LEFT($H555,5)="dummy",SUMIFS(AvgBonus[avg_bonus],AvgBonus[job_title],$H555),SUMIFS(AvgBonus[avg_bonus],AvgBonus[exp_item],$J555,AvgBonus[company_name],$B555,AvgBonus[bu_name],$C555,AvgBonus[dept_name],$D555,AvgBonus[team_consolidation],$K555,AvgBonus[location_name],$G555,AvgBonus[job_title],$H555))*AG450*SUM(BonusPayout[Month 22]))</f>
        <v>0</v>
      </c>
      <c r="AH555" s="652">
        <f>IF($B555="",,IF(LEFT($H555,5)="dummy",SUMIFS(AvgBonus[avg_bonus],AvgBonus[job_title],$H555),SUMIFS(AvgBonus[avg_bonus],AvgBonus[exp_item],$J555,AvgBonus[company_name],$B555,AvgBonus[bu_name],$C555,AvgBonus[dept_name],$D555,AvgBonus[team_consolidation],$K555,AvgBonus[location_name],$G555,AvgBonus[job_title],$H555))*AH450*SUM(BonusPayout[Month 23]))</f>
        <v>0</v>
      </c>
      <c r="AI555" s="652">
        <f>IF($B555="",,IF(LEFT($H555,5)="dummy",SUMIFS(AvgBonus[avg_bonus],AvgBonus[job_title],$H555),SUMIFS(AvgBonus[avg_bonus],AvgBonus[exp_item],$J555,AvgBonus[company_name],$B555,AvgBonus[bu_name],$C555,AvgBonus[dept_name],$D555,AvgBonus[team_consolidation],$K555,AvgBonus[location_name],$G555,AvgBonus[job_title],$H555))*AI450*SUM(BonusPayout[Month 24]))</f>
        <v>0</v>
      </c>
      <c r="AJ555" s="652">
        <f>IF($B555="",,IF(LEFT($H555,5)="dummy",SUMIFS(AvgBonus[avg_bonus],AvgBonus[job_title],$H555),SUMIFS(AvgBonus[avg_bonus],AvgBonus[exp_item],$J555,AvgBonus[company_name],$B555,AvgBonus[bu_name],$C555,AvgBonus[dept_name],$D555,AvgBonus[team_consolidation],$K555,AvgBonus[location_name],$G555,AvgBonus[job_title],$H555))*AJ450*SUM(BonusPayout[Month 25]))</f>
        <v>0</v>
      </c>
      <c r="AK555" s="652">
        <f>IF($B555="",,IF(LEFT($H555,5)="dummy",SUMIFS(AvgBonus[avg_bonus],AvgBonus[job_title],$H555),SUMIFS(AvgBonus[avg_bonus],AvgBonus[exp_item],$J555,AvgBonus[company_name],$B555,AvgBonus[bu_name],$C555,AvgBonus[dept_name],$D555,AvgBonus[team_consolidation],$K555,AvgBonus[location_name],$G555,AvgBonus[job_title],$H555))*AK450*SUM(BonusPayout[Month 26]))</f>
        <v>0</v>
      </c>
      <c r="AL555" s="652">
        <f>IF($B555="",,IF(LEFT($H555,5)="dummy",SUMIFS(AvgBonus[avg_bonus],AvgBonus[job_title],$H555),SUMIFS(AvgBonus[avg_bonus],AvgBonus[exp_item],$J555,AvgBonus[company_name],$B555,AvgBonus[bu_name],$C555,AvgBonus[dept_name],$D555,AvgBonus[team_consolidation],$K555,AvgBonus[location_name],$G555,AvgBonus[job_title],$H555))*AL450*SUM(BonusPayout[Month 27]))</f>
        <v>0</v>
      </c>
      <c r="AM555" s="652">
        <f>IF($B555="",,IF(LEFT($H555,5)="dummy",SUMIFS(AvgBonus[avg_bonus],AvgBonus[job_title],$H555),SUMIFS(AvgBonus[avg_bonus],AvgBonus[exp_item],$J555,AvgBonus[company_name],$B555,AvgBonus[bu_name],$C555,AvgBonus[dept_name],$D555,AvgBonus[team_consolidation],$K555,AvgBonus[location_name],$G555,AvgBonus[job_title],$H555))*AM450*SUM(BonusPayout[Month 28]))</f>
        <v>0</v>
      </c>
      <c r="AN555" s="652">
        <f>IF($B555="",,IF(LEFT($H555,5)="dummy",SUMIFS(AvgBonus[avg_bonus],AvgBonus[job_title],$H555),SUMIFS(AvgBonus[avg_bonus],AvgBonus[exp_item],$J555,AvgBonus[company_name],$B555,AvgBonus[bu_name],$C555,AvgBonus[dept_name],$D555,AvgBonus[team_consolidation],$K555,AvgBonus[location_name],$G555,AvgBonus[job_title],$H555))*AN450*SUM(BonusPayout[Month 29]))</f>
        <v>0</v>
      </c>
      <c r="AO555" s="652">
        <f>IF($B555="",,IF(LEFT($H555,5)="dummy",SUMIFS(AvgBonus[avg_bonus],AvgBonus[job_title],$H555),SUMIFS(AvgBonus[avg_bonus],AvgBonus[exp_item],$J555,AvgBonus[company_name],$B555,AvgBonus[bu_name],$C555,AvgBonus[dept_name],$D555,AvgBonus[team_consolidation],$K555,AvgBonus[location_name],$G555,AvgBonus[job_title],$H555))*AO450*SUM(BonusPayout[Month 30]))</f>
        <v>0</v>
      </c>
      <c r="AP555" s="652">
        <f>IF($B555="",,IF(LEFT($H555,5)="dummy",SUMIFS(AvgBonus[avg_bonus],AvgBonus[job_title],$H555),SUMIFS(AvgBonus[avg_bonus],AvgBonus[exp_item],$J555,AvgBonus[company_name],$B555,AvgBonus[bu_name],$C555,AvgBonus[dept_name],$D555,AvgBonus[team_consolidation],$K555,AvgBonus[location_name],$G555,AvgBonus[job_title],$H555))*AP450*SUM(BonusPayout[Month 31]))</f>
        <v>0</v>
      </c>
      <c r="AQ555" s="652">
        <f>IF($B555="",,IF(LEFT($H555,5)="dummy",SUMIFS(AvgBonus[avg_bonus],AvgBonus[job_title],$H555),SUMIFS(AvgBonus[avg_bonus],AvgBonus[exp_item],$J555,AvgBonus[company_name],$B555,AvgBonus[bu_name],$C555,AvgBonus[dept_name],$D555,AvgBonus[team_consolidation],$K555,AvgBonus[location_name],$G555,AvgBonus[job_title],$H555))*AQ450*SUM(BonusPayout[Month 32]))</f>
        <v>0</v>
      </c>
      <c r="AR555" s="652">
        <f>IF($B555="",,IF(LEFT($H555,5)="dummy",SUMIFS(AvgBonus[avg_bonus],AvgBonus[job_title],$H555),SUMIFS(AvgBonus[avg_bonus],AvgBonus[exp_item],$J555,AvgBonus[company_name],$B555,AvgBonus[bu_name],$C555,AvgBonus[dept_name],$D555,AvgBonus[team_consolidation],$K555,AvgBonus[location_name],$G555,AvgBonus[job_title],$H555))*AR450*SUM(BonusPayout[Month 33]))</f>
        <v>0</v>
      </c>
      <c r="AS555" s="652">
        <f>IF($B555="",,IF(LEFT($H555,5)="dummy",SUMIFS(AvgBonus[avg_bonus],AvgBonus[job_title],$H555),SUMIFS(AvgBonus[avg_bonus],AvgBonus[exp_item],$J555,AvgBonus[company_name],$B555,AvgBonus[bu_name],$C555,AvgBonus[dept_name],$D555,AvgBonus[team_consolidation],$K555,AvgBonus[location_name],$G555,AvgBonus[job_title],$H555))*AS450*SUM(BonusPayout[Month 34]))</f>
        <v>0</v>
      </c>
      <c r="AT555" s="652">
        <f>IF($B555="",,IF(LEFT($H555,5)="dummy",SUMIFS(AvgBonus[avg_bonus],AvgBonus[job_title],$H555),SUMIFS(AvgBonus[avg_bonus],AvgBonus[exp_item],$J555,AvgBonus[company_name],$B555,AvgBonus[bu_name],$C555,AvgBonus[dept_name],$D555,AvgBonus[team_consolidation],$K555,AvgBonus[location_name],$G555,AvgBonus[job_title],$H555))*AT450*SUM(BonusPayout[Month 35]))</f>
        <v>0</v>
      </c>
      <c r="AU555" s="652">
        <f>IF($B555="",,IF(LEFT($H555,5)="dummy",SUMIFS(AvgBonus[avg_bonus],AvgBonus[job_title],$H555),SUMIFS(AvgBonus[avg_bonus],AvgBonus[exp_item],$J555,AvgBonus[company_name],$B555,AvgBonus[bu_name],$C555,AvgBonus[dept_name],$D555,AvgBonus[team_consolidation],$K555,AvgBonus[location_name],$G555,AvgBonus[job_title],$H555))*AU450*SUM(BonusPayout[Month 36]))</f>
        <v>0</v>
      </c>
    </row>
    <row r="556" spans="2:47" x14ac:dyDescent="0.35">
      <c r="B556" t="str">
        <f t="shared" si="327"/>
        <v/>
      </c>
      <c r="C556" t="str">
        <f t="shared" ref="C556:G556" si="350">IF(C451="","",C451)</f>
        <v/>
      </c>
      <c r="D556" t="str">
        <f t="shared" si="350"/>
        <v/>
      </c>
      <c r="E556" t="str">
        <f t="shared" si="350"/>
        <v/>
      </c>
      <c r="F556" t="str">
        <f t="shared" si="350"/>
        <v/>
      </c>
      <c r="G556" t="str">
        <f t="shared" si="350"/>
        <v/>
      </c>
      <c r="H556" t="str">
        <f t="shared" si="326"/>
        <v/>
      </c>
      <c r="J556" t="str">
        <f>IF($H556="","",IF(VLOOKUP($B$500,ExpItems[],2,0),$B$500&amp;" - "&amp;INDEX(DivisionMapping[category_code],MATCH($D556&amp;$C556,DivisionMapping[dept_bu],0)),$B$500))</f>
        <v/>
      </c>
      <c r="K556" t="str">
        <f t="shared" si="294"/>
        <v/>
      </c>
      <c r="L556" s="652">
        <f>IF($B556="",,IF(LEFT($H556,5)="dummy",SUMIFS(AvgBonus[avg_bonus],AvgBonus[job_title],$H556),SUMIFS(AvgBonus[avg_bonus],AvgBonus[exp_item],$J556,AvgBonus[company_name],$B556,AvgBonus[bu_name],$C556,AvgBonus[dept_name],$D556,AvgBonus[team_consolidation],$K556,AvgBonus[location_name],$G556,AvgBonus[job_title],$H556))*L451*SUM(BonusPayout[Month 1]))</f>
        <v>0</v>
      </c>
      <c r="M556" s="652">
        <f>IF($B556="",,IF(LEFT($H556,5)="dummy",SUMIFS(AvgBonus[avg_bonus],AvgBonus[job_title],$H556),SUMIFS(AvgBonus[avg_bonus],AvgBonus[exp_item],$J556,AvgBonus[company_name],$B556,AvgBonus[bu_name],$C556,AvgBonus[dept_name],$D556,AvgBonus[team_consolidation],$K556,AvgBonus[location_name],$G556,AvgBonus[job_title],$H556))*M451*SUM(BonusPayout[Month 2]))</f>
        <v>0</v>
      </c>
      <c r="N556" s="652">
        <f>IF($B556="",,IF(LEFT($H556,5)="dummy",SUMIFS(AvgBonus[avg_bonus],AvgBonus[job_title],$H556),SUMIFS(AvgBonus[avg_bonus],AvgBonus[exp_item],$J556,AvgBonus[company_name],$B556,AvgBonus[bu_name],$C556,AvgBonus[dept_name],$D556,AvgBonus[team_consolidation],$K556,AvgBonus[location_name],$G556,AvgBonus[job_title],$H556))*N451*SUM(BonusPayout[Month 3]))</f>
        <v>0</v>
      </c>
      <c r="O556" s="652">
        <f>IF($B556="",,IF(LEFT($H556,5)="dummy",SUMIFS(AvgBonus[avg_bonus],AvgBonus[job_title],$H556),SUMIFS(AvgBonus[avg_bonus],AvgBonus[exp_item],$J556,AvgBonus[company_name],$B556,AvgBonus[bu_name],$C556,AvgBonus[dept_name],$D556,AvgBonus[team_consolidation],$K556,AvgBonus[location_name],$G556,AvgBonus[job_title],$H556))*O451*SUM(BonusPayout[Month 4]))</f>
        <v>0</v>
      </c>
      <c r="P556" s="652">
        <f>IF($B556="",,IF(LEFT($H556,5)="dummy",SUMIFS(AvgBonus[avg_bonus],AvgBonus[job_title],$H556),SUMIFS(AvgBonus[avg_bonus],AvgBonus[exp_item],$J556,AvgBonus[company_name],$B556,AvgBonus[bu_name],$C556,AvgBonus[dept_name],$D556,AvgBonus[team_consolidation],$K556,AvgBonus[location_name],$G556,AvgBonus[job_title],$H556))*P451*SUM(BonusPayout[Month 5]))</f>
        <v>0</v>
      </c>
      <c r="Q556" s="652">
        <f>IF($B556="",,IF(LEFT($H556,5)="dummy",SUMIFS(AvgBonus[avg_bonus],AvgBonus[job_title],$H556),SUMIFS(AvgBonus[avg_bonus],AvgBonus[exp_item],$J556,AvgBonus[company_name],$B556,AvgBonus[bu_name],$C556,AvgBonus[dept_name],$D556,AvgBonus[team_consolidation],$K556,AvgBonus[location_name],$G556,AvgBonus[job_title],$H556))*Q451*SUM(BonusPayout[Month 6]))</f>
        <v>0</v>
      </c>
      <c r="R556" s="652">
        <f>IF($B556="",,IF(LEFT($H556,5)="dummy",SUMIFS(AvgBonus[avg_bonus],AvgBonus[job_title],$H556),SUMIFS(AvgBonus[avg_bonus],AvgBonus[exp_item],$J556,AvgBonus[company_name],$B556,AvgBonus[bu_name],$C556,AvgBonus[dept_name],$D556,AvgBonus[team_consolidation],$K556,AvgBonus[location_name],$G556,AvgBonus[job_title],$H556))*R451*SUM(BonusPayout[Month 7]))</f>
        <v>0</v>
      </c>
      <c r="S556" s="652">
        <f>IF($B556="",,IF(LEFT($H556,5)="dummy",SUMIFS(AvgBonus[avg_bonus],AvgBonus[job_title],$H556),SUMIFS(AvgBonus[avg_bonus],AvgBonus[exp_item],$J556,AvgBonus[company_name],$B556,AvgBonus[bu_name],$C556,AvgBonus[dept_name],$D556,AvgBonus[team_consolidation],$K556,AvgBonus[location_name],$G556,AvgBonus[job_title],$H556))*S451*SUM(BonusPayout[Month 8]))</f>
        <v>0</v>
      </c>
      <c r="T556" s="652">
        <f>IF($B556="",,IF(LEFT($H556,5)="dummy",SUMIFS(AvgBonus[avg_bonus],AvgBonus[job_title],$H556),SUMIFS(AvgBonus[avg_bonus],AvgBonus[exp_item],$J556,AvgBonus[company_name],$B556,AvgBonus[bu_name],$C556,AvgBonus[dept_name],$D556,AvgBonus[team_consolidation],$K556,AvgBonus[location_name],$G556,AvgBonus[job_title],$H556))*T451*SUM(BonusPayout[Month 9]))</f>
        <v>0</v>
      </c>
      <c r="U556" s="652">
        <f>IF($B556="",,IF(LEFT($H556,5)="dummy",SUMIFS(AvgBonus[avg_bonus],AvgBonus[job_title],$H556),SUMIFS(AvgBonus[avg_bonus],AvgBonus[exp_item],$J556,AvgBonus[company_name],$B556,AvgBonus[bu_name],$C556,AvgBonus[dept_name],$D556,AvgBonus[team_consolidation],$K556,AvgBonus[location_name],$G556,AvgBonus[job_title],$H556))*U451*SUM(BonusPayout[Month 10]))</f>
        <v>0</v>
      </c>
      <c r="V556" s="652">
        <f>IF($B556="",,IF(LEFT($H556,5)="dummy",SUMIFS(AvgBonus[avg_bonus],AvgBonus[job_title],$H556),SUMIFS(AvgBonus[avg_bonus],AvgBonus[exp_item],$J556,AvgBonus[company_name],$B556,AvgBonus[bu_name],$C556,AvgBonus[dept_name],$D556,AvgBonus[team_consolidation],$K556,AvgBonus[location_name],$G556,AvgBonus[job_title],$H556))*V451*SUM(BonusPayout[Month 11]))</f>
        <v>0</v>
      </c>
      <c r="W556" s="652">
        <f>IF($B556="",,IF(LEFT($H556,5)="dummy",SUMIFS(AvgBonus[avg_bonus],AvgBonus[job_title],$H556),SUMIFS(AvgBonus[avg_bonus],AvgBonus[exp_item],$J556,AvgBonus[company_name],$B556,AvgBonus[bu_name],$C556,AvgBonus[dept_name],$D556,AvgBonus[team_consolidation],$K556,AvgBonus[location_name],$G556,AvgBonus[job_title],$H556))*W451*SUM(BonusPayout[Month 12]))</f>
        <v>0</v>
      </c>
      <c r="X556" s="652">
        <f>IF($B556="",,IF(LEFT($H556,5)="dummy",SUMIFS(AvgBonus[avg_bonus],AvgBonus[job_title],$H556),SUMIFS(AvgBonus[avg_bonus],AvgBonus[exp_item],$J556,AvgBonus[company_name],$B556,AvgBonus[bu_name],$C556,AvgBonus[dept_name],$D556,AvgBonus[team_consolidation],$K556,AvgBonus[location_name],$G556,AvgBonus[job_title],$H556))*X451*SUM(BonusPayout[Month 13]))</f>
        <v>0</v>
      </c>
      <c r="Y556" s="652">
        <f>IF($B556="",,IF(LEFT($H556,5)="dummy",SUMIFS(AvgBonus[avg_bonus],AvgBonus[job_title],$H556),SUMIFS(AvgBonus[avg_bonus],AvgBonus[exp_item],$J556,AvgBonus[company_name],$B556,AvgBonus[bu_name],$C556,AvgBonus[dept_name],$D556,AvgBonus[team_consolidation],$K556,AvgBonus[location_name],$G556,AvgBonus[job_title],$H556))*Y451*SUM(BonusPayout[Month 14]))</f>
        <v>0</v>
      </c>
      <c r="Z556" s="652">
        <f>IF($B556="",,IF(LEFT($H556,5)="dummy",SUMIFS(AvgBonus[avg_bonus],AvgBonus[job_title],$H556),SUMIFS(AvgBonus[avg_bonus],AvgBonus[exp_item],$J556,AvgBonus[company_name],$B556,AvgBonus[bu_name],$C556,AvgBonus[dept_name],$D556,AvgBonus[team_consolidation],$K556,AvgBonus[location_name],$G556,AvgBonus[job_title],$H556))*Z451*SUM(BonusPayout[Month 15]))</f>
        <v>0</v>
      </c>
      <c r="AA556" s="652">
        <f>IF($B556="",,IF(LEFT($H556,5)="dummy",SUMIFS(AvgBonus[avg_bonus],AvgBonus[job_title],$H556),SUMIFS(AvgBonus[avg_bonus],AvgBonus[exp_item],$J556,AvgBonus[company_name],$B556,AvgBonus[bu_name],$C556,AvgBonus[dept_name],$D556,AvgBonus[team_consolidation],$K556,AvgBonus[location_name],$G556,AvgBonus[job_title],$H556))*AA451*SUM(BonusPayout[Month 16]))</f>
        <v>0</v>
      </c>
      <c r="AB556" s="652">
        <f>IF($B556="",,IF(LEFT($H556,5)="dummy",SUMIFS(AvgBonus[avg_bonus],AvgBonus[job_title],$H556),SUMIFS(AvgBonus[avg_bonus],AvgBonus[exp_item],$J556,AvgBonus[company_name],$B556,AvgBonus[bu_name],$C556,AvgBonus[dept_name],$D556,AvgBonus[team_consolidation],$K556,AvgBonus[location_name],$G556,AvgBonus[job_title],$H556))*AB451*SUM(BonusPayout[Month 17]))</f>
        <v>0</v>
      </c>
      <c r="AC556" s="652">
        <f>IF($B556="",,IF(LEFT($H556,5)="dummy",SUMIFS(AvgBonus[avg_bonus],AvgBonus[job_title],$H556),SUMIFS(AvgBonus[avg_bonus],AvgBonus[exp_item],$J556,AvgBonus[company_name],$B556,AvgBonus[bu_name],$C556,AvgBonus[dept_name],$D556,AvgBonus[team_consolidation],$K556,AvgBonus[location_name],$G556,AvgBonus[job_title],$H556))*AC451*SUM(BonusPayout[Month 18]))</f>
        <v>0</v>
      </c>
      <c r="AD556" s="652">
        <f>IF($B556="",,IF(LEFT($H556,5)="dummy",SUMIFS(AvgBonus[avg_bonus],AvgBonus[job_title],$H556),SUMIFS(AvgBonus[avg_bonus],AvgBonus[exp_item],$J556,AvgBonus[company_name],$B556,AvgBonus[bu_name],$C556,AvgBonus[dept_name],$D556,AvgBonus[team_consolidation],$K556,AvgBonus[location_name],$G556,AvgBonus[job_title],$H556))*AD451*SUM(BonusPayout[Month 19]))</f>
        <v>0</v>
      </c>
      <c r="AE556" s="652">
        <f>IF($B556="",,IF(LEFT($H556,5)="dummy",SUMIFS(AvgBonus[avg_bonus],AvgBonus[job_title],$H556),SUMIFS(AvgBonus[avg_bonus],AvgBonus[exp_item],$J556,AvgBonus[company_name],$B556,AvgBonus[bu_name],$C556,AvgBonus[dept_name],$D556,AvgBonus[team_consolidation],$K556,AvgBonus[location_name],$G556,AvgBonus[job_title],$H556))*AE451*SUM(BonusPayout[Month 20]))</f>
        <v>0</v>
      </c>
      <c r="AF556" s="652">
        <f>IF($B556="",,IF(LEFT($H556,5)="dummy",SUMIFS(AvgBonus[avg_bonus],AvgBonus[job_title],$H556),SUMIFS(AvgBonus[avg_bonus],AvgBonus[exp_item],$J556,AvgBonus[company_name],$B556,AvgBonus[bu_name],$C556,AvgBonus[dept_name],$D556,AvgBonus[team_consolidation],$K556,AvgBonus[location_name],$G556,AvgBonus[job_title],$H556))*AF451*SUM(BonusPayout[Month 21]))</f>
        <v>0</v>
      </c>
      <c r="AG556" s="652">
        <f>IF($B556="",,IF(LEFT($H556,5)="dummy",SUMIFS(AvgBonus[avg_bonus],AvgBonus[job_title],$H556),SUMIFS(AvgBonus[avg_bonus],AvgBonus[exp_item],$J556,AvgBonus[company_name],$B556,AvgBonus[bu_name],$C556,AvgBonus[dept_name],$D556,AvgBonus[team_consolidation],$K556,AvgBonus[location_name],$G556,AvgBonus[job_title],$H556))*AG451*SUM(BonusPayout[Month 22]))</f>
        <v>0</v>
      </c>
      <c r="AH556" s="652">
        <f>IF($B556="",,IF(LEFT($H556,5)="dummy",SUMIFS(AvgBonus[avg_bonus],AvgBonus[job_title],$H556),SUMIFS(AvgBonus[avg_bonus],AvgBonus[exp_item],$J556,AvgBonus[company_name],$B556,AvgBonus[bu_name],$C556,AvgBonus[dept_name],$D556,AvgBonus[team_consolidation],$K556,AvgBonus[location_name],$G556,AvgBonus[job_title],$H556))*AH451*SUM(BonusPayout[Month 23]))</f>
        <v>0</v>
      </c>
      <c r="AI556" s="652">
        <f>IF($B556="",,IF(LEFT($H556,5)="dummy",SUMIFS(AvgBonus[avg_bonus],AvgBonus[job_title],$H556),SUMIFS(AvgBonus[avg_bonus],AvgBonus[exp_item],$J556,AvgBonus[company_name],$B556,AvgBonus[bu_name],$C556,AvgBonus[dept_name],$D556,AvgBonus[team_consolidation],$K556,AvgBonus[location_name],$G556,AvgBonus[job_title],$H556))*AI451*SUM(BonusPayout[Month 24]))</f>
        <v>0</v>
      </c>
      <c r="AJ556" s="652">
        <f>IF($B556="",,IF(LEFT($H556,5)="dummy",SUMIFS(AvgBonus[avg_bonus],AvgBonus[job_title],$H556),SUMIFS(AvgBonus[avg_bonus],AvgBonus[exp_item],$J556,AvgBonus[company_name],$B556,AvgBonus[bu_name],$C556,AvgBonus[dept_name],$D556,AvgBonus[team_consolidation],$K556,AvgBonus[location_name],$G556,AvgBonus[job_title],$H556))*AJ451*SUM(BonusPayout[Month 25]))</f>
        <v>0</v>
      </c>
      <c r="AK556" s="652">
        <f>IF($B556="",,IF(LEFT($H556,5)="dummy",SUMIFS(AvgBonus[avg_bonus],AvgBonus[job_title],$H556),SUMIFS(AvgBonus[avg_bonus],AvgBonus[exp_item],$J556,AvgBonus[company_name],$B556,AvgBonus[bu_name],$C556,AvgBonus[dept_name],$D556,AvgBonus[team_consolidation],$K556,AvgBonus[location_name],$G556,AvgBonus[job_title],$H556))*AK451*SUM(BonusPayout[Month 26]))</f>
        <v>0</v>
      </c>
      <c r="AL556" s="652">
        <f>IF($B556="",,IF(LEFT($H556,5)="dummy",SUMIFS(AvgBonus[avg_bonus],AvgBonus[job_title],$H556),SUMIFS(AvgBonus[avg_bonus],AvgBonus[exp_item],$J556,AvgBonus[company_name],$B556,AvgBonus[bu_name],$C556,AvgBonus[dept_name],$D556,AvgBonus[team_consolidation],$K556,AvgBonus[location_name],$G556,AvgBonus[job_title],$H556))*AL451*SUM(BonusPayout[Month 27]))</f>
        <v>0</v>
      </c>
      <c r="AM556" s="652">
        <f>IF($B556="",,IF(LEFT($H556,5)="dummy",SUMIFS(AvgBonus[avg_bonus],AvgBonus[job_title],$H556),SUMIFS(AvgBonus[avg_bonus],AvgBonus[exp_item],$J556,AvgBonus[company_name],$B556,AvgBonus[bu_name],$C556,AvgBonus[dept_name],$D556,AvgBonus[team_consolidation],$K556,AvgBonus[location_name],$G556,AvgBonus[job_title],$H556))*AM451*SUM(BonusPayout[Month 28]))</f>
        <v>0</v>
      </c>
      <c r="AN556" s="652">
        <f>IF($B556="",,IF(LEFT($H556,5)="dummy",SUMIFS(AvgBonus[avg_bonus],AvgBonus[job_title],$H556),SUMIFS(AvgBonus[avg_bonus],AvgBonus[exp_item],$J556,AvgBonus[company_name],$B556,AvgBonus[bu_name],$C556,AvgBonus[dept_name],$D556,AvgBonus[team_consolidation],$K556,AvgBonus[location_name],$G556,AvgBonus[job_title],$H556))*AN451*SUM(BonusPayout[Month 29]))</f>
        <v>0</v>
      </c>
      <c r="AO556" s="652">
        <f>IF($B556="",,IF(LEFT($H556,5)="dummy",SUMIFS(AvgBonus[avg_bonus],AvgBonus[job_title],$H556),SUMIFS(AvgBonus[avg_bonus],AvgBonus[exp_item],$J556,AvgBonus[company_name],$B556,AvgBonus[bu_name],$C556,AvgBonus[dept_name],$D556,AvgBonus[team_consolidation],$K556,AvgBonus[location_name],$G556,AvgBonus[job_title],$H556))*AO451*SUM(BonusPayout[Month 30]))</f>
        <v>0</v>
      </c>
      <c r="AP556" s="652">
        <f>IF($B556="",,IF(LEFT($H556,5)="dummy",SUMIFS(AvgBonus[avg_bonus],AvgBonus[job_title],$H556),SUMIFS(AvgBonus[avg_bonus],AvgBonus[exp_item],$J556,AvgBonus[company_name],$B556,AvgBonus[bu_name],$C556,AvgBonus[dept_name],$D556,AvgBonus[team_consolidation],$K556,AvgBonus[location_name],$G556,AvgBonus[job_title],$H556))*AP451*SUM(BonusPayout[Month 31]))</f>
        <v>0</v>
      </c>
      <c r="AQ556" s="652">
        <f>IF($B556="",,IF(LEFT($H556,5)="dummy",SUMIFS(AvgBonus[avg_bonus],AvgBonus[job_title],$H556),SUMIFS(AvgBonus[avg_bonus],AvgBonus[exp_item],$J556,AvgBonus[company_name],$B556,AvgBonus[bu_name],$C556,AvgBonus[dept_name],$D556,AvgBonus[team_consolidation],$K556,AvgBonus[location_name],$G556,AvgBonus[job_title],$H556))*AQ451*SUM(BonusPayout[Month 32]))</f>
        <v>0</v>
      </c>
      <c r="AR556" s="652">
        <f>IF($B556="",,IF(LEFT($H556,5)="dummy",SUMIFS(AvgBonus[avg_bonus],AvgBonus[job_title],$H556),SUMIFS(AvgBonus[avg_bonus],AvgBonus[exp_item],$J556,AvgBonus[company_name],$B556,AvgBonus[bu_name],$C556,AvgBonus[dept_name],$D556,AvgBonus[team_consolidation],$K556,AvgBonus[location_name],$G556,AvgBonus[job_title],$H556))*AR451*SUM(BonusPayout[Month 33]))</f>
        <v>0</v>
      </c>
      <c r="AS556" s="652">
        <f>IF($B556="",,IF(LEFT($H556,5)="dummy",SUMIFS(AvgBonus[avg_bonus],AvgBonus[job_title],$H556),SUMIFS(AvgBonus[avg_bonus],AvgBonus[exp_item],$J556,AvgBonus[company_name],$B556,AvgBonus[bu_name],$C556,AvgBonus[dept_name],$D556,AvgBonus[team_consolidation],$K556,AvgBonus[location_name],$G556,AvgBonus[job_title],$H556))*AS451*SUM(BonusPayout[Month 34]))</f>
        <v>0</v>
      </c>
      <c r="AT556" s="652">
        <f>IF($B556="",,IF(LEFT($H556,5)="dummy",SUMIFS(AvgBonus[avg_bonus],AvgBonus[job_title],$H556),SUMIFS(AvgBonus[avg_bonus],AvgBonus[exp_item],$J556,AvgBonus[company_name],$B556,AvgBonus[bu_name],$C556,AvgBonus[dept_name],$D556,AvgBonus[team_consolidation],$K556,AvgBonus[location_name],$G556,AvgBonus[job_title],$H556))*AT451*SUM(BonusPayout[Month 35]))</f>
        <v>0</v>
      </c>
      <c r="AU556" s="652">
        <f>IF($B556="",,IF(LEFT($H556,5)="dummy",SUMIFS(AvgBonus[avg_bonus],AvgBonus[job_title],$H556),SUMIFS(AvgBonus[avg_bonus],AvgBonus[exp_item],$J556,AvgBonus[company_name],$B556,AvgBonus[bu_name],$C556,AvgBonus[dept_name],$D556,AvgBonus[team_consolidation],$K556,AvgBonus[location_name],$G556,AvgBonus[job_title],$H556))*AU451*SUM(BonusPayout[Month 36]))</f>
        <v>0</v>
      </c>
    </row>
    <row r="557" spans="2:47" x14ac:dyDescent="0.35">
      <c r="B557" t="str">
        <f t="shared" si="327"/>
        <v/>
      </c>
      <c r="C557" t="str">
        <f t="shared" ref="C557:G557" si="351">IF(C452="","",C452)</f>
        <v/>
      </c>
      <c r="D557" t="str">
        <f t="shared" si="351"/>
        <v/>
      </c>
      <c r="E557" t="str">
        <f t="shared" si="351"/>
        <v/>
      </c>
      <c r="F557" t="str">
        <f t="shared" si="351"/>
        <v/>
      </c>
      <c r="G557" t="str">
        <f t="shared" si="351"/>
        <v/>
      </c>
      <c r="H557" t="str">
        <f t="shared" si="326"/>
        <v/>
      </c>
      <c r="J557" t="str">
        <f>IF($H557="","",IF(VLOOKUP($B$500,ExpItems[],2,0),$B$500&amp;" - "&amp;INDEX(DivisionMapping[category_code],MATCH($D557&amp;$C557,DivisionMapping[dept_bu],0)),$B$500))</f>
        <v/>
      </c>
      <c r="K557" t="str">
        <f t="shared" si="294"/>
        <v/>
      </c>
      <c r="L557" s="652">
        <f>IF($B557="",,IF(LEFT($H557,5)="dummy",SUMIFS(AvgBonus[avg_bonus],AvgBonus[job_title],$H557),SUMIFS(AvgBonus[avg_bonus],AvgBonus[exp_item],$J557,AvgBonus[company_name],$B557,AvgBonus[bu_name],$C557,AvgBonus[dept_name],$D557,AvgBonus[team_consolidation],$K557,AvgBonus[location_name],$G557,AvgBonus[job_title],$H557))*L452*SUM(BonusPayout[Month 1]))</f>
        <v>0</v>
      </c>
      <c r="M557" s="652">
        <f>IF($B557="",,IF(LEFT($H557,5)="dummy",SUMIFS(AvgBonus[avg_bonus],AvgBonus[job_title],$H557),SUMIFS(AvgBonus[avg_bonus],AvgBonus[exp_item],$J557,AvgBonus[company_name],$B557,AvgBonus[bu_name],$C557,AvgBonus[dept_name],$D557,AvgBonus[team_consolidation],$K557,AvgBonus[location_name],$G557,AvgBonus[job_title],$H557))*M452*SUM(BonusPayout[Month 2]))</f>
        <v>0</v>
      </c>
      <c r="N557" s="652">
        <f>IF($B557="",,IF(LEFT($H557,5)="dummy",SUMIFS(AvgBonus[avg_bonus],AvgBonus[job_title],$H557),SUMIFS(AvgBonus[avg_bonus],AvgBonus[exp_item],$J557,AvgBonus[company_name],$B557,AvgBonus[bu_name],$C557,AvgBonus[dept_name],$D557,AvgBonus[team_consolidation],$K557,AvgBonus[location_name],$G557,AvgBonus[job_title],$H557))*N452*SUM(BonusPayout[Month 3]))</f>
        <v>0</v>
      </c>
      <c r="O557" s="652">
        <f>IF($B557="",,IF(LEFT($H557,5)="dummy",SUMIFS(AvgBonus[avg_bonus],AvgBonus[job_title],$H557),SUMIFS(AvgBonus[avg_bonus],AvgBonus[exp_item],$J557,AvgBonus[company_name],$B557,AvgBonus[bu_name],$C557,AvgBonus[dept_name],$D557,AvgBonus[team_consolidation],$K557,AvgBonus[location_name],$G557,AvgBonus[job_title],$H557))*O452*SUM(BonusPayout[Month 4]))</f>
        <v>0</v>
      </c>
      <c r="P557" s="652">
        <f>IF($B557="",,IF(LEFT($H557,5)="dummy",SUMIFS(AvgBonus[avg_bonus],AvgBonus[job_title],$H557),SUMIFS(AvgBonus[avg_bonus],AvgBonus[exp_item],$J557,AvgBonus[company_name],$B557,AvgBonus[bu_name],$C557,AvgBonus[dept_name],$D557,AvgBonus[team_consolidation],$K557,AvgBonus[location_name],$G557,AvgBonus[job_title],$H557))*P452*SUM(BonusPayout[Month 5]))</f>
        <v>0</v>
      </c>
      <c r="Q557" s="652">
        <f>IF($B557="",,IF(LEFT($H557,5)="dummy",SUMIFS(AvgBonus[avg_bonus],AvgBonus[job_title],$H557),SUMIFS(AvgBonus[avg_bonus],AvgBonus[exp_item],$J557,AvgBonus[company_name],$B557,AvgBonus[bu_name],$C557,AvgBonus[dept_name],$D557,AvgBonus[team_consolidation],$K557,AvgBonus[location_name],$G557,AvgBonus[job_title],$H557))*Q452*SUM(BonusPayout[Month 6]))</f>
        <v>0</v>
      </c>
      <c r="R557" s="652">
        <f>IF($B557="",,IF(LEFT($H557,5)="dummy",SUMIFS(AvgBonus[avg_bonus],AvgBonus[job_title],$H557),SUMIFS(AvgBonus[avg_bonus],AvgBonus[exp_item],$J557,AvgBonus[company_name],$B557,AvgBonus[bu_name],$C557,AvgBonus[dept_name],$D557,AvgBonus[team_consolidation],$K557,AvgBonus[location_name],$G557,AvgBonus[job_title],$H557))*R452*SUM(BonusPayout[Month 7]))</f>
        <v>0</v>
      </c>
      <c r="S557" s="652">
        <f>IF($B557="",,IF(LEFT($H557,5)="dummy",SUMIFS(AvgBonus[avg_bonus],AvgBonus[job_title],$H557),SUMIFS(AvgBonus[avg_bonus],AvgBonus[exp_item],$J557,AvgBonus[company_name],$B557,AvgBonus[bu_name],$C557,AvgBonus[dept_name],$D557,AvgBonus[team_consolidation],$K557,AvgBonus[location_name],$G557,AvgBonus[job_title],$H557))*S452*SUM(BonusPayout[Month 8]))</f>
        <v>0</v>
      </c>
      <c r="T557" s="652">
        <f>IF($B557="",,IF(LEFT($H557,5)="dummy",SUMIFS(AvgBonus[avg_bonus],AvgBonus[job_title],$H557),SUMIFS(AvgBonus[avg_bonus],AvgBonus[exp_item],$J557,AvgBonus[company_name],$B557,AvgBonus[bu_name],$C557,AvgBonus[dept_name],$D557,AvgBonus[team_consolidation],$K557,AvgBonus[location_name],$G557,AvgBonus[job_title],$H557))*T452*SUM(BonusPayout[Month 9]))</f>
        <v>0</v>
      </c>
      <c r="U557" s="652">
        <f>IF($B557="",,IF(LEFT($H557,5)="dummy",SUMIFS(AvgBonus[avg_bonus],AvgBonus[job_title],$H557),SUMIFS(AvgBonus[avg_bonus],AvgBonus[exp_item],$J557,AvgBonus[company_name],$B557,AvgBonus[bu_name],$C557,AvgBonus[dept_name],$D557,AvgBonus[team_consolidation],$K557,AvgBonus[location_name],$G557,AvgBonus[job_title],$H557))*U452*SUM(BonusPayout[Month 10]))</f>
        <v>0</v>
      </c>
      <c r="V557" s="652">
        <f>IF($B557="",,IF(LEFT($H557,5)="dummy",SUMIFS(AvgBonus[avg_bonus],AvgBonus[job_title],$H557),SUMIFS(AvgBonus[avg_bonus],AvgBonus[exp_item],$J557,AvgBonus[company_name],$B557,AvgBonus[bu_name],$C557,AvgBonus[dept_name],$D557,AvgBonus[team_consolidation],$K557,AvgBonus[location_name],$G557,AvgBonus[job_title],$H557))*V452*SUM(BonusPayout[Month 11]))</f>
        <v>0</v>
      </c>
      <c r="W557" s="652">
        <f>IF($B557="",,IF(LEFT($H557,5)="dummy",SUMIFS(AvgBonus[avg_bonus],AvgBonus[job_title],$H557),SUMIFS(AvgBonus[avg_bonus],AvgBonus[exp_item],$J557,AvgBonus[company_name],$B557,AvgBonus[bu_name],$C557,AvgBonus[dept_name],$D557,AvgBonus[team_consolidation],$K557,AvgBonus[location_name],$G557,AvgBonus[job_title],$H557))*W452*SUM(BonusPayout[Month 12]))</f>
        <v>0</v>
      </c>
      <c r="X557" s="652">
        <f>IF($B557="",,IF(LEFT($H557,5)="dummy",SUMIFS(AvgBonus[avg_bonus],AvgBonus[job_title],$H557),SUMIFS(AvgBonus[avg_bonus],AvgBonus[exp_item],$J557,AvgBonus[company_name],$B557,AvgBonus[bu_name],$C557,AvgBonus[dept_name],$D557,AvgBonus[team_consolidation],$K557,AvgBonus[location_name],$G557,AvgBonus[job_title],$H557))*X452*SUM(BonusPayout[Month 13]))</f>
        <v>0</v>
      </c>
      <c r="Y557" s="652">
        <f>IF($B557="",,IF(LEFT($H557,5)="dummy",SUMIFS(AvgBonus[avg_bonus],AvgBonus[job_title],$H557),SUMIFS(AvgBonus[avg_bonus],AvgBonus[exp_item],$J557,AvgBonus[company_name],$B557,AvgBonus[bu_name],$C557,AvgBonus[dept_name],$D557,AvgBonus[team_consolidation],$K557,AvgBonus[location_name],$G557,AvgBonus[job_title],$H557))*Y452*SUM(BonusPayout[Month 14]))</f>
        <v>0</v>
      </c>
      <c r="Z557" s="652">
        <f>IF($B557="",,IF(LEFT($H557,5)="dummy",SUMIFS(AvgBonus[avg_bonus],AvgBonus[job_title],$H557),SUMIFS(AvgBonus[avg_bonus],AvgBonus[exp_item],$J557,AvgBonus[company_name],$B557,AvgBonus[bu_name],$C557,AvgBonus[dept_name],$D557,AvgBonus[team_consolidation],$K557,AvgBonus[location_name],$G557,AvgBonus[job_title],$H557))*Z452*SUM(BonusPayout[Month 15]))</f>
        <v>0</v>
      </c>
      <c r="AA557" s="652">
        <f>IF($B557="",,IF(LEFT($H557,5)="dummy",SUMIFS(AvgBonus[avg_bonus],AvgBonus[job_title],$H557),SUMIFS(AvgBonus[avg_bonus],AvgBonus[exp_item],$J557,AvgBonus[company_name],$B557,AvgBonus[bu_name],$C557,AvgBonus[dept_name],$D557,AvgBonus[team_consolidation],$K557,AvgBonus[location_name],$G557,AvgBonus[job_title],$H557))*AA452*SUM(BonusPayout[Month 16]))</f>
        <v>0</v>
      </c>
      <c r="AB557" s="652">
        <f>IF($B557="",,IF(LEFT($H557,5)="dummy",SUMIFS(AvgBonus[avg_bonus],AvgBonus[job_title],$H557),SUMIFS(AvgBonus[avg_bonus],AvgBonus[exp_item],$J557,AvgBonus[company_name],$B557,AvgBonus[bu_name],$C557,AvgBonus[dept_name],$D557,AvgBonus[team_consolidation],$K557,AvgBonus[location_name],$G557,AvgBonus[job_title],$H557))*AB452*SUM(BonusPayout[Month 17]))</f>
        <v>0</v>
      </c>
      <c r="AC557" s="652">
        <f>IF($B557="",,IF(LEFT($H557,5)="dummy",SUMIFS(AvgBonus[avg_bonus],AvgBonus[job_title],$H557),SUMIFS(AvgBonus[avg_bonus],AvgBonus[exp_item],$J557,AvgBonus[company_name],$B557,AvgBonus[bu_name],$C557,AvgBonus[dept_name],$D557,AvgBonus[team_consolidation],$K557,AvgBonus[location_name],$G557,AvgBonus[job_title],$H557))*AC452*SUM(BonusPayout[Month 18]))</f>
        <v>0</v>
      </c>
      <c r="AD557" s="652">
        <f>IF($B557="",,IF(LEFT($H557,5)="dummy",SUMIFS(AvgBonus[avg_bonus],AvgBonus[job_title],$H557),SUMIFS(AvgBonus[avg_bonus],AvgBonus[exp_item],$J557,AvgBonus[company_name],$B557,AvgBonus[bu_name],$C557,AvgBonus[dept_name],$D557,AvgBonus[team_consolidation],$K557,AvgBonus[location_name],$G557,AvgBonus[job_title],$H557))*AD452*SUM(BonusPayout[Month 19]))</f>
        <v>0</v>
      </c>
      <c r="AE557" s="652">
        <f>IF($B557="",,IF(LEFT($H557,5)="dummy",SUMIFS(AvgBonus[avg_bonus],AvgBonus[job_title],$H557),SUMIFS(AvgBonus[avg_bonus],AvgBonus[exp_item],$J557,AvgBonus[company_name],$B557,AvgBonus[bu_name],$C557,AvgBonus[dept_name],$D557,AvgBonus[team_consolidation],$K557,AvgBonus[location_name],$G557,AvgBonus[job_title],$H557))*AE452*SUM(BonusPayout[Month 20]))</f>
        <v>0</v>
      </c>
      <c r="AF557" s="652">
        <f>IF($B557="",,IF(LEFT($H557,5)="dummy",SUMIFS(AvgBonus[avg_bonus],AvgBonus[job_title],$H557),SUMIFS(AvgBonus[avg_bonus],AvgBonus[exp_item],$J557,AvgBonus[company_name],$B557,AvgBonus[bu_name],$C557,AvgBonus[dept_name],$D557,AvgBonus[team_consolidation],$K557,AvgBonus[location_name],$G557,AvgBonus[job_title],$H557))*AF452*SUM(BonusPayout[Month 21]))</f>
        <v>0</v>
      </c>
      <c r="AG557" s="652">
        <f>IF($B557="",,IF(LEFT($H557,5)="dummy",SUMIFS(AvgBonus[avg_bonus],AvgBonus[job_title],$H557),SUMIFS(AvgBonus[avg_bonus],AvgBonus[exp_item],$J557,AvgBonus[company_name],$B557,AvgBonus[bu_name],$C557,AvgBonus[dept_name],$D557,AvgBonus[team_consolidation],$K557,AvgBonus[location_name],$G557,AvgBonus[job_title],$H557))*AG452*SUM(BonusPayout[Month 22]))</f>
        <v>0</v>
      </c>
      <c r="AH557" s="652">
        <f>IF($B557="",,IF(LEFT($H557,5)="dummy",SUMIFS(AvgBonus[avg_bonus],AvgBonus[job_title],$H557),SUMIFS(AvgBonus[avg_bonus],AvgBonus[exp_item],$J557,AvgBonus[company_name],$B557,AvgBonus[bu_name],$C557,AvgBonus[dept_name],$D557,AvgBonus[team_consolidation],$K557,AvgBonus[location_name],$G557,AvgBonus[job_title],$H557))*AH452*SUM(BonusPayout[Month 23]))</f>
        <v>0</v>
      </c>
      <c r="AI557" s="652">
        <f>IF($B557="",,IF(LEFT($H557,5)="dummy",SUMIFS(AvgBonus[avg_bonus],AvgBonus[job_title],$H557),SUMIFS(AvgBonus[avg_bonus],AvgBonus[exp_item],$J557,AvgBonus[company_name],$B557,AvgBonus[bu_name],$C557,AvgBonus[dept_name],$D557,AvgBonus[team_consolidation],$K557,AvgBonus[location_name],$G557,AvgBonus[job_title],$H557))*AI452*SUM(BonusPayout[Month 24]))</f>
        <v>0</v>
      </c>
      <c r="AJ557" s="652">
        <f>IF($B557="",,IF(LEFT($H557,5)="dummy",SUMIFS(AvgBonus[avg_bonus],AvgBonus[job_title],$H557),SUMIFS(AvgBonus[avg_bonus],AvgBonus[exp_item],$J557,AvgBonus[company_name],$B557,AvgBonus[bu_name],$C557,AvgBonus[dept_name],$D557,AvgBonus[team_consolidation],$K557,AvgBonus[location_name],$G557,AvgBonus[job_title],$H557))*AJ452*SUM(BonusPayout[Month 25]))</f>
        <v>0</v>
      </c>
      <c r="AK557" s="652">
        <f>IF($B557="",,IF(LEFT($H557,5)="dummy",SUMIFS(AvgBonus[avg_bonus],AvgBonus[job_title],$H557),SUMIFS(AvgBonus[avg_bonus],AvgBonus[exp_item],$J557,AvgBonus[company_name],$B557,AvgBonus[bu_name],$C557,AvgBonus[dept_name],$D557,AvgBonus[team_consolidation],$K557,AvgBonus[location_name],$G557,AvgBonus[job_title],$H557))*AK452*SUM(BonusPayout[Month 26]))</f>
        <v>0</v>
      </c>
      <c r="AL557" s="652">
        <f>IF($B557="",,IF(LEFT($H557,5)="dummy",SUMIFS(AvgBonus[avg_bonus],AvgBonus[job_title],$H557),SUMIFS(AvgBonus[avg_bonus],AvgBonus[exp_item],$J557,AvgBonus[company_name],$B557,AvgBonus[bu_name],$C557,AvgBonus[dept_name],$D557,AvgBonus[team_consolidation],$K557,AvgBonus[location_name],$G557,AvgBonus[job_title],$H557))*AL452*SUM(BonusPayout[Month 27]))</f>
        <v>0</v>
      </c>
      <c r="AM557" s="652">
        <f>IF($B557="",,IF(LEFT($H557,5)="dummy",SUMIFS(AvgBonus[avg_bonus],AvgBonus[job_title],$H557),SUMIFS(AvgBonus[avg_bonus],AvgBonus[exp_item],$J557,AvgBonus[company_name],$B557,AvgBonus[bu_name],$C557,AvgBonus[dept_name],$D557,AvgBonus[team_consolidation],$K557,AvgBonus[location_name],$G557,AvgBonus[job_title],$H557))*AM452*SUM(BonusPayout[Month 28]))</f>
        <v>0</v>
      </c>
      <c r="AN557" s="652">
        <f>IF($B557="",,IF(LEFT($H557,5)="dummy",SUMIFS(AvgBonus[avg_bonus],AvgBonus[job_title],$H557),SUMIFS(AvgBonus[avg_bonus],AvgBonus[exp_item],$J557,AvgBonus[company_name],$B557,AvgBonus[bu_name],$C557,AvgBonus[dept_name],$D557,AvgBonus[team_consolidation],$K557,AvgBonus[location_name],$G557,AvgBonus[job_title],$H557))*AN452*SUM(BonusPayout[Month 29]))</f>
        <v>0</v>
      </c>
      <c r="AO557" s="652">
        <f>IF($B557="",,IF(LEFT($H557,5)="dummy",SUMIFS(AvgBonus[avg_bonus],AvgBonus[job_title],$H557),SUMIFS(AvgBonus[avg_bonus],AvgBonus[exp_item],$J557,AvgBonus[company_name],$B557,AvgBonus[bu_name],$C557,AvgBonus[dept_name],$D557,AvgBonus[team_consolidation],$K557,AvgBonus[location_name],$G557,AvgBonus[job_title],$H557))*AO452*SUM(BonusPayout[Month 30]))</f>
        <v>0</v>
      </c>
      <c r="AP557" s="652">
        <f>IF($B557="",,IF(LEFT($H557,5)="dummy",SUMIFS(AvgBonus[avg_bonus],AvgBonus[job_title],$H557),SUMIFS(AvgBonus[avg_bonus],AvgBonus[exp_item],$J557,AvgBonus[company_name],$B557,AvgBonus[bu_name],$C557,AvgBonus[dept_name],$D557,AvgBonus[team_consolidation],$K557,AvgBonus[location_name],$G557,AvgBonus[job_title],$H557))*AP452*SUM(BonusPayout[Month 31]))</f>
        <v>0</v>
      </c>
      <c r="AQ557" s="652">
        <f>IF($B557="",,IF(LEFT($H557,5)="dummy",SUMIFS(AvgBonus[avg_bonus],AvgBonus[job_title],$H557),SUMIFS(AvgBonus[avg_bonus],AvgBonus[exp_item],$J557,AvgBonus[company_name],$B557,AvgBonus[bu_name],$C557,AvgBonus[dept_name],$D557,AvgBonus[team_consolidation],$K557,AvgBonus[location_name],$G557,AvgBonus[job_title],$H557))*AQ452*SUM(BonusPayout[Month 32]))</f>
        <v>0</v>
      </c>
      <c r="AR557" s="652">
        <f>IF($B557="",,IF(LEFT($H557,5)="dummy",SUMIFS(AvgBonus[avg_bonus],AvgBonus[job_title],$H557),SUMIFS(AvgBonus[avg_bonus],AvgBonus[exp_item],$J557,AvgBonus[company_name],$B557,AvgBonus[bu_name],$C557,AvgBonus[dept_name],$D557,AvgBonus[team_consolidation],$K557,AvgBonus[location_name],$G557,AvgBonus[job_title],$H557))*AR452*SUM(BonusPayout[Month 33]))</f>
        <v>0</v>
      </c>
      <c r="AS557" s="652">
        <f>IF($B557="",,IF(LEFT($H557,5)="dummy",SUMIFS(AvgBonus[avg_bonus],AvgBonus[job_title],$H557),SUMIFS(AvgBonus[avg_bonus],AvgBonus[exp_item],$J557,AvgBonus[company_name],$B557,AvgBonus[bu_name],$C557,AvgBonus[dept_name],$D557,AvgBonus[team_consolidation],$K557,AvgBonus[location_name],$G557,AvgBonus[job_title],$H557))*AS452*SUM(BonusPayout[Month 34]))</f>
        <v>0</v>
      </c>
      <c r="AT557" s="652">
        <f>IF($B557="",,IF(LEFT($H557,5)="dummy",SUMIFS(AvgBonus[avg_bonus],AvgBonus[job_title],$H557),SUMIFS(AvgBonus[avg_bonus],AvgBonus[exp_item],$J557,AvgBonus[company_name],$B557,AvgBonus[bu_name],$C557,AvgBonus[dept_name],$D557,AvgBonus[team_consolidation],$K557,AvgBonus[location_name],$G557,AvgBonus[job_title],$H557))*AT452*SUM(BonusPayout[Month 35]))</f>
        <v>0</v>
      </c>
      <c r="AU557" s="652">
        <f>IF($B557="",,IF(LEFT($H557,5)="dummy",SUMIFS(AvgBonus[avg_bonus],AvgBonus[job_title],$H557),SUMIFS(AvgBonus[avg_bonus],AvgBonus[exp_item],$J557,AvgBonus[company_name],$B557,AvgBonus[bu_name],$C557,AvgBonus[dept_name],$D557,AvgBonus[team_consolidation],$K557,AvgBonus[location_name],$G557,AvgBonus[job_title],$H557))*AU452*SUM(BonusPayout[Month 36]))</f>
        <v>0</v>
      </c>
    </row>
    <row r="558" spans="2:47" x14ac:dyDescent="0.35">
      <c r="B558" t="str">
        <f t="shared" si="327"/>
        <v/>
      </c>
      <c r="C558" t="str">
        <f t="shared" ref="C558:G558" si="352">IF(C453="","",C453)</f>
        <v/>
      </c>
      <c r="D558" t="str">
        <f t="shared" si="352"/>
        <v/>
      </c>
      <c r="E558" t="str">
        <f t="shared" si="352"/>
        <v/>
      </c>
      <c r="F558" t="str">
        <f t="shared" si="352"/>
        <v/>
      </c>
      <c r="G558" t="str">
        <f t="shared" si="352"/>
        <v/>
      </c>
      <c r="H558" t="str">
        <f t="shared" si="326"/>
        <v/>
      </c>
      <c r="J558" t="str">
        <f>IF($H558="","",IF(VLOOKUP($B$500,ExpItems[],2,0),$B$500&amp;" - "&amp;INDEX(DivisionMapping[category_code],MATCH($D558&amp;$C558,DivisionMapping[dept_bu],0)),$B$500))</f>
        <v/>
      </c>
      <c r="K558" t="str">
        <f t="shared" si="294"/>
        <v/>
      </c>
      <c r="L558" s="652">
        <f>IF($B558="",,IF(LEFT($H558,5)="dummy",SUMIFS(AvgBonus[avg_bonus],AvgBonus[job_title],$H558),SUMIFS(AvgBonus[avg_bonus],AvgBonus[exp_item],$J558,AvgBonus[company_name],$B558,AvgBonus[bu_name],$C558,AvgBonus[dept_name],$D558,AvgBonus[team_consolidation],$K558,AvgBonus[location_name],$G558,AvgBonus[job_title],$H558))*L453*SUM(BonusPayout[Month 1]))</f>
        <v>0</v>
      </c>
      <c r="M558" s="652">
        <f>IF($B558="",,IF(LEFT($H558,5)="dummy",SUMIFS(AvgBonus[avg_bonus],AvgBonus[job_title],$H558),SUMIFS(AvgBonus[avg_bonus],AvgBonus[exp_item],$J558,AvgBonus[company_name],$B558,AvgBonus[bu_name],$C558,AvgBonus[dept_name],$D558,AvgBonus[team_consolidation],$K558,AvgBonus[location_name],$G558,AvgBonus[job_title],$H558))*M453*SUM(BonusPayout[Month 2]))</f>
        <v>0</v>
      </c>
      <c r="N558" s="652">
        <f>IF($B558="",,IF(LEFT($H558,5)="dummy",SUMIFS(AvgBonus[avg_bonus],AvgBonus[job_title],$H558),SUMIFS(AvgBonus[avg_bonus],AvgBonus[exp_item],$J558,AvgBonus[company_name],$B558,AvgBonus[bu_name],$C558,AvgBonus[dept_name],$D558,AvgBonus[team_consolidation],$K558,AvgBonus[location_name],$G558,AvgBonus[job_title],$H558))*N453*SUM(BonusPayout[Month 3]))</f>
        <v>0</v>
      </c>
      <c r="O558" s="652">
        <f>IF($B558="",,IF(LEFT($H558,5)="dummy",SUMIFS(AvgBonus[avg_bonus],AvgBonus[job_title],$H558),SUMIFS(AvgBonus[avg_bonus],AvgBonus[exp_item],$J558,AvgBonus[company_name],$B558,AvgBonus[bu_name],$C558,AvgBonus[dept_name],$D558,AvgBonus[team_consolidation],$K558,AvgBonus[location_name],$G558,AvgBonus[job_title],$H558))*O453*SUM(BonusPayout[Month 4]))</f>
        <v>0</v>
      </c>
      <c r="P558" s="652">
        <f>IF($B558="",,IF(LEFT($H558,5)="dummy",SUMIFS(AvgBonus[avg_bonus],AvgBonus[job_title],$H558),SUMIFS(AvgBonus[avg_bonus],AvgBonus[exp_item],$J558,AvgBonus[company_name],$B558,AvgBonus[bu_name],$C558,AvgBonus[dept_name],$D558,AvgBonus[team_consolidation],$K558,AvgBonus[location_name],$G558,AvgBonus[job_title],$H558))*P453*SUM(BonusPayout[Month 5]))</f>
        <v>0</v>
      </c>
      <c r="Q558" s="652">
        <f>IF($B558="",,IF(LEFT($H558,5)="dummy",SUMIFS(AvgBonus[avg_bonus],AvgBonus[job_title],$H558),SUMIFS(AvgBonus[avg_bonus],AvgBonus[exp_item],$J558,AvgBonus[company_name],$B558,AvgBonus[bu_name],$C558,AvgBonus[dept_name],$D558,AvgBonus[team_consolidation],$K558,AvgBonus[location_name],$G558,AvgBonus[job_title],$H558))*Q453*SUM(BonusPayout[Month 6]))</f>
        <v>0</v>
      </c>
      <c r="R558" s="652">
        <f>IF($B558="",,IF(LEFT($H558,5)="dummy",SUMIFS(AvgBonus[avg_bonus],AvgBonus[job_title],$H558),SUMIFS(AvgBonus[avg_bonus],AvgBonus[exp_item],$J558,AvgBonus[company_name],$B558,AvgBonus[bu_name],$C558,AvgBonus[dept_name],$D558,AvgBonus[team_consolidation],$K558,AvgBonus[location_name],$G558,AvgBonus[job_title],$H558))*R453*SUM(BonusPayout[Month 7]))</f>
        <v>0</v>
      </c>
      <c r="S558" s="652">
        <f>IF($B558="",,IF(LEFT($H558,5)="dummy",SUMIFS(AvgBonus[avg_bonus],AvgBonus[job_title],$H558),SUMIFS(AvgBonus[avg_bonus],AvgBonus[exp_item],$J558,AvgBonus[company_name],$B558,AvgBonus[bu_name],$C558,AvgBonus[dept_name],$D558,AvgBonus[team_consolidation],$K558,AvgBonus[location_name],$G558,AvgBonus[job_title],$H558))*S453*SUM(BonusPayout[Month 8]))</f>
        <v>0</v>
      </c>
      <c r="T558" s="652">
        <f>IF($B558="",,IF(LEFT($H558,5)="dummy",SUMIFS(AvgBonus[avg_bonus],AvgBonus[job_title],$H558),SUMIFS(AvgBonus[avg_bonus],AvgBonus[exp_item],$J558,AvgBonus[company_name],$B558,AvgBonus[bu_name],$C558,AvgBonus[dept_name],$D558,AvgBonus[team_consolidation],$K558,AvgBonus[location_name],$G558,AvgBonus[job_title],$H558))*T453*SUM(BonusPayout[Month 9]))</f>
        <v>0</v>
      </c>
      <c r="U558" s="652">
        <f>IF($B558="",,IF(LEFT($H558,5)="dummy",SUMIFS(AvgBonus[avg_bonus],AvgBonus[job_title],$H558),SUMIFS(AvgBonus[avg_bonus],AvgBonus[exp_item],$J558,AvgBonus[company_name],$B558,AvgBonus[bu_name],$C558,AvgBonus[dept_name],$D558,AvgBonus[team_consolidation],$K558,AvgBonus[location_name],$G558,AvgBonus[job_title],$H558))*U453*SUM(BonusPayout[Month 10]))</f>
        <v>0</v>
      </c>
      <c r="V558" s="652">
        <f>IF($B558="",,IF(LEFT($H558,5)="dummy",SUMIFS(AvgBonus[avg_bonus],AvgBonus[job_title],$H558),SUMIFS(AvgBonus[avg_bonus],AvgBonus[exp_item],$J558,AvgBonus[company_name],$B558,AvgBonus[bu_name],$C558,AvgBonus[dept_name],$D558,AvgBonus[team_consolidation],$K558,AvgBonus[location_name],$G558,AvgBonus[job_title],$H558))*V453*SUM(BonusPayout[Month 11]))</f>
        <v>0</v>
      </c>
      <c r="W558" s="652">
        <f>IF($B558="",,IF(LEFT($H558,5)="dummy",SUMIFS(AvgBonus[avg_bonus],AvgBonus[job_title],$H558),SUMIFS(AvgBonus[avg_bonus],AvgBonus[exp_item],$J558,AvgBonus[company_name],$B558,AvgBonus[bu_name],$C558,AvgBonus[dept_name],$D558,AvgBonus[team_consolidation],$K558,AvgBonus[location_name],$G558,AvgBonus[job_title],$H558))*W453*SUM(BonusPayout[Month 12]))</f>
        <v>0</v>
      </c>
      <c r="X558" s="652">
        <f>IF($B558="",,IF(LEFT($H558,5)="dummy",SUMIFS(AvgBonus[avg_bonus],AvgBonus[job_title],$H558),SUMIFS(AvgBonus[avg_bonus],AvgBonus[exp_item],$J558,AvgBonus[company_name],$B558,AvgBonus[bu_name],$C558,AvgBonus[dept_name],$D558,AvgBonus[team_consolidation],$K558,AvgBonus[location_name],$G558,AvgBonus[job_title],$H558))*X453*SUM(BonusPayout[Month 13]))</f>
        <v>0</v>
      </c>
      <c r="Y558" s="652">
        <f>IF($B558="",,IF(LEFT($H558,5)="dummy",SUMIFS(AvgBonus[avg_bonus],AvgBonus[job_title],$H558),SUMIFS(AvgBonus[avg_bonus],AvgBonus[exp_item],$J558,AvgBonus[company_name],$B558,AvgBonus[bu_name],$C558,AvgBonus[dept_name],$D558,AvgBonus[team_consolidation],$K558,AvgBonus[location_name],$G558,AvgBonus[job_title],$H558))*Y453*SUM(BonusPayout[Month 14]))</f>
        <v>0</v>
      </c>
      <c r="Z558" s="652">
        <f>IF($B558="",,IF(LEFT($H558,5)="dummy",SUMIFS(AvgBonus[avg_bonus],AvgBonus[job_title],$H558),SUMIFS(AvgBonus[avg_bonus],AvgBonus[exp_item],$J558,AvgBonus[company_name],$B558,AvgBonus[bu_name],$C558,AvgBonus[dept_name],$D558,AvgBonus[team_consolidation],$K558,AvgBonus[location_name],$G558,AvgBonus[job_title],$H558))*Z453*SUM(BonusPayout[Month 15]))</f>
        <v>0</v>
      </c>
      <c r="AA558" s="652">
        <f>IF($B558="",,IF(LEFT($H558,5)="dummy",SUMIFS(AvgBonus[avg_bonus],AvgBonus[job_title],$H558),SUMIFS(AvgBonus[avg_bonus],AvgBonus[exp_item],$J558,AvgBonus[company_name],$B558,AvgBonus[bu_name],$C558,AvgBonus[dept_name],$D558,AvgBonus[team_consolidation],$K558,AvgBonus[location_name],$G558,AvgBonus[job_title],$H558))*AA453*SUM(BonusPayout[Month 16]))</f>
        <v>0</v>
      </c>
      <c r="AB558" s="652">
        <f>IF($B558="",,IF(LEFT($H558,5)="dummy",SUMIFS(AvgBonus[avg_bonus],AvgBonus[job_title],$H558),SUMIFS(AvgBonus[avg_bonus],AvgBonus[exp_item],$J558,AvgBonus[company_name],$B558,AvgBonus[bu_name],$C558,AvgBonus[dept_name],$D558,AvgBonus[team_consolidation],$K558,AvgBonus[location_name],$G558,AvgBonus[job_title],$H558))*AB453*SUM(BonusPayout[Month 17]))</f>
        <v>0</v>
      </c>
      <c r="AC558" s="652">
        <f>IF($B558="",,IF(LEFT($H558,5)="dummy",SUMIFS(AvgBonus[avg_bonus],AvgBonus[job_title],$H558),SUMIFS(AvgBonus[avg_bonus],AvgBonus[exp_item],$J558,AvgBonus[company_name],$B558,AvgBonus[bu_name],$C558,AvgBonus[dept_name],$D558,AvgBonus[team_consolidation],$K558,AvgBonus[location_name],$G558,AvgBonus[job_title],$H558))*AC453*SUM(BonusPayout[Month 18]))</f>
        <v>0</v>
      </c>
      <c r="AD558" s="652">
        <f>IF($B558="",,IF(LEFT($H558,5)="dummy",SUMIFS(AvgBonus[avg_bonus],AvgBonus[job_title],$H558),SUMIFS(AvgBonus[avg_bonus],AvgBonus[exp_item],$J558,AvgBonus[company_name],$B558,AvgBonus[bu_name],$C558,AvgBonus[dept_name],$D558,AvgBonus[team_consolidation],$K558,AvgBonus[location_name],$G558,AvgBonus[job_title],$H558))*AD453*SUM(BonusPayout[Month 19]))</f>
        <v>0</v>
      </c>
      <c r="AE558" s="652">
        <f>IF($B558="",,IF(LEFT($H558,5)="dummy",SUMIFS(AvgBonus[avg_bonus],AvgBonus[job_title],$H558),SUMIFS(AvgBonus[avg_bonus],AvgBonus[exp_item],$J558,AvgBonus[company_name],$B558,AvgBonus[bu_name],$C558,AvgBonus[dept_name],$D558,AvgBonus[team_consolidation],$K558,AvgBonus[location_name],$G558,AvgBonus[job_title],$H558))*AE453*SUM(BonusPayout[Month 20]))</f>
        <v>0</v>
      </c>
      <c r="AF558" s="652">
        <f>IF($B558="",,IF(LEFT($H558,5)="dummy",SUMIFS(AvgBonus[avg_bonus],AvgBonus[job_title],$H558),SUMIFS(AvgBonus[avg_bonus],AvgBonus[exp_item],$J558,AvgBonus[company_name],$B558,AvgBonus[bu_name],$C558,AvgBonus[dept_name],$D558,AvgBonus[team_consolidation],$K558,AvgBonus[location_name],$G558,AvgBonus[job_title],$H558))*AF453*SUM(BonusPayout[Month 21]))</f>
        <v>0</v>
      </c>
      <c r="AG558" s="652">
        <f>IF($B558="",,IF(LEFT($H558,5)="dummy",SUMIFS(AvgBonus[avg_bonus],AvgBonus[job_title],$H558),SUMIFS(AvgBonus[avg_bonus],AvgBonus[exp_item],$J558,AvgBonus[company_name],$B558,AvgBonus[bu_name],$C558,AvgBonus[dept_name],$D558,AvgBonus[team_consolidation],$K558,AvgBonus[location_name],$G558,AvgBonus[job_title],$H558))*AG453*SUM(BonusPayout[Month 22]))</f>
        <v>0</v>
      </c>
      <c r="AH558" s="652">
        <f>IF($B558="",,IF(LEFT($H558,5)="dummy",SUMIFS(AvgBonus[avg_bonus],AvgBonus[job_title],$H558),SUMIFS(AvgBonus[avg_bonus],AvgBonus[exp_item],$J558,AvgBonus[company_name],$B558,AvgBonus[bu_name],$C558,AvgBonus[dept_name],$D558,AvgBonus[team_consolidation],$K558,AvgBonus[location_name],$G558,AvgBonus[job_title],$H558))*AH453*SUM(BonusPayout[Month 23]))</f>
        <v>0</v>
      </c>
      <c r="AI558" s="652">
        <f>IF($B558="",,IF(LEFT($H558,5)="dummy",SUMIFS(AvgBonus[avg_bonus],AvgBonus[job_title],$H558),SUMIFS(AvgBonus[avg_bonus],AvgBonus[exp_item],$J558,AvgBonus[company_name],$B558,AvgBonus[bu_name],$C558,AvgBonus[dept_name],$D558,AvgBonus[team_consolidation],$K558,AvgBonus[location_name],$G558,AvgBonus[job_title],$H558))*AI453*SUM(BonusPayout[Month 24]))</f>
        <v>0</v>
      </c>
      <c r="AJ558" s="652">
        <f>IF($B558="",,IF(LEFT($H558,5)="dummy",SUMIFS(AvgBonus[avg_bonus],AvgBonus[job_title],$H558),SUMIFS(AvgBonus[avg_bonus],AvgBonus[exp_item],$J558,AvgBonus[company_name],$B558,AvgBonus[bu_name],$C558,AvgBonus[dept_name],$D558,AvgBonus[team_consolidation],$K558,AvgBonus[location_name],$G558,AvgBonus[job_title],$H558))*AJ453*SUM(BonusPayout[Month 25]))</f>
        <v>0</v>
      </c>
      <c r="AK558" s="652">
        <f>IF($B558="",,IF(LEFT($H558,5)="dummy",SUMIFS(AvgBonus[avg_bonus],AvgBonus[job_title],$H558),SUMIFS(AvgBonus[avg_bonus],AvgBonus[exp_item],$J558,AvgBonus[company_name],$B558,AvgBonus[bu_name],$C558,AvgBonus[dept_name],$D558,AvgBonus[team_consolidation],$K558,AvgBonus[location_name],$G558,AvgBonus[job_title],$H558))*AK453*SUM(BonusPayout[Month 26]))</f>
        <v>0</v>
      </c>
      <c r="AL558" s="652">
        <f>IF($B558="",,IF(LEFT($H558,5)="dummy",SUMIFS(AvgBonus[avg_bonus],AvgBonus[job_title],$H558),SUMIFS(AvgBonus[avg_bonus],AvgBonus[exp_item],$J558,AvgBonus[company_name],$B558,AvgBonus[bu_name],$C558,AvgBonus[dept_name],$D558,AvgBonus[team_consolidation],$K558,AvgBonus[location_name],$G558,AvgBonus[job_title],$H558))*AL453*SUM(BonusPayout[Month 27]))</f>
        <v>0</v>
      </c>
      <c r="AM558" s="652">
        <f>IF($B558="",,IF(LEFT($H558,5)="dummy",SUMIFS(AvgBonus[avg_bonus],AvgBonus[job_title],$H558),SUMIFS(AvgBonus[avg_bonus],AvgBonus[exp_item],$J558,AvgBonus[company_name],$B558,AvgBonus[bu_name],$C558,AvgBonus[dept_name],$D558,AvgBonus[team_consolidation],$K558,AvgBonus[location_name],$G558,AvgBonus[job_title],$H558))*AM453*SUM(BonusPayout[Month 28]))</f>
        <v>0</v>
      </c>
      <c r="AN558" s="652">
        <f>IF($B558="",,IF(LEFT($H558,5)="dummy",SUMIFS(AvgBonus[avg_bonus],AvgBonus[job_title],$H558),SUMIFS(AvgBonus[avg_bonus],AvgBonus[exp_item],$J558,AvgBonus[company_name],$B558,AvgBonus[bu_name],$C558,AvgBonus[dept_name],$D558,AvgBonus[team_consolidation],$K558,AvgBonus[location_name],$G558,AvgBonus[job_title],$H558))*AN453*SUM(BonusPayout[Month 29]))</f>
        <v>0</v>
      </c>
      <c r="AO558" s="652">
        <f>IF($B558="",,IF(LEFT($H558,5)="dummy",SUMIFS(AvgBonus[avg_bonus],AvgBonus[job_title],$H558),SUMIFS(AvgBonus[avg_bonus],AvgBonus[exp_item],$J558,AvgBonus[company_name],$B558,AvgBonus[bu_name],$C558,AvgBonus[dept_name],$D558,AvgBonus[team_consolidation],$K558,AvgBonus[location_name],$G558,AvgBonus[job_title],$H558))*AO453*SUM(BonusPayout[Month 30]))</f>
        <v>0</v>
      </c>
      <c r="AP558" s="652">
        <f>IF($B558="",,IF(LEFT($H558,5)="dummy",SUMIFS(AvgBonus[avg_bonus],AvgBonus[job_title],$H558),SUMIFS(AvgBonus[avg_bonus],AvgBonus[exp_item],$J558,AvgBonus[company_name],$B558,AvgBonus[bu_name],$C558,AvgBonus[dept_name],$D558,AvgBonus[team_consolidation],$K558,AvgBonus[location_name],$G558,AvgBonus[job_title],$H558))*AP453*SUM(BonusPayout[Month 31]))</f>
        <v>0</v>
      </c>
      <c r="AQ558" s="652">
        <f>IF($B558="",,IF(LEFT($H558,5)="dummy",SUMIFS(AvgBonus[avg_bonus],AvgBonus[job_title],$H558),SUMIFS(AvgBonus[avg_bonus],AvgBonus[exp_item],$J558,AvgBonus[company_name],$B558,AvgBonus[bu_name],$C558,AvgBonus[dept_name],$D558,AvgBonus[team_consolidation],$K558,AvgBonus[location_name],$G558,AvgBonus[job_title],$H558))*AQ453*SUM(BonusPayout[Month 32]))</f>
        <v>0</v>
      </c>
      <c r="AR558" s="652">
        <f>IF($B558="",,IF(LEFT($H558,5)="dummy",SUMIFS(AvgBonus[avg_bonus],AvgBonus[job_title],$H558),SUMIFS(AvgBonus[avg_bonus],AvgBonus[exp_item],$J558,AvgBonus[company_name],$B558,AvgBonus[bu_name],$C558,AvgBonus[dept_name],$D558,AvgBonus[team_consolidation],$K558,AvgBonus[location_name],$G558,AvgBonus[job_title],$H558))*AR453*SUM(BonusPayout[Month 33]))</f>
        <v>0</v>
      </c>
      <c r="AS558" s="652">
        <f>IF($B558="",,IF(LEFT($H558,5)="dummy",SUMIFS(AvgBonus[avg_bonus],AvgBonus[job_title],$H558),SUMIFS(AvgBonus[avg_bonus],AvgBonus[exp_item],$J558,AvgBonus[company_name],$B558,AvgBonus[bu_name],$C558,AvgBonus[dept_name],$D558,AvgBonus[team_consolidation],$K558,AvgBonus[location_name],$G558,AvgBonus[job_title],$H558))*AS453*SUM(BonusPayout[Month 34]))</f>
        <v>0</v>
      </c>
      <c r="AT558" s="652">
        <f>IF($B558="",,IF(LEFT($H558,5)="dummy",SUMIFS(AvgBonus[avg_bonus],AvgBonus[job_title],$H558),SUMIFS(AvgBonus[avg_bonus],AvgBonus[exp_item],$J558,AvgBonus[company_name],$B558,AvgBonus[bu_name],$C558,AvgBonus[dept_name],$D558,AvgBonus[team_consolidation],$K558,AvgBonus[location_name],$G558,AvgBonus[job_title],$H558))*AT453*SUM(BonusPayout[Month 35]))</f>
        <v>0</v>
      </c>
      <c r="AU558" s="652">
        <f>IF($B558="",,IF(LEFT($H558,5)="dummy",SUMIFS(AvgBonus[avg_bonus],AvgBonus[job_title],$H558),SUMIFS(AvgBonus[avg_bonus],AvgBonus[exp_item],$J558,AvgBonus[company_name],$B558,AvgBonus[bu_name],$C558,AvgBonus[dept_name],$D558,AvgBonus[team_consolidation],$K558,AvgBonus[location_name],$G558,AvgBonus[job_title],$H558))*AU453*SUM(BonusPayout[Month 36]))</f>
        <v>0</v>
      </c>
    </row>
    <row r="559" spans="2:47" x14ac:dyDescent="0.35">
      <c r="B559" t="str">
        <f t="shared" si="327"/>
        <v/>
      </c>
      <c r="C559" t="str">
        <f t="shared" ref="C559:G559" si="353">IF(C454="","",C454)</f>
        <v/>
      </c>
      <c r="D559" t="str">
        <f t="shared" si="353"/>
        <v/>
      </c>
      <c r="E559" t="str">
        <f t="shared" si="353"/>
        <v/>
      </c>
      <c r="F559" t="str">
        <f t="shared" si="353"/>
        <v/>
      </c>
      <c r="G559" t="str">
        <f t="shared" si="353"/>
        <v/>
      </c>
      <c r="H559" t="str">
        <f t="shared" si="326"/>
        <v/>
      </c>
      <c r="J559" t="str">
        <f>IF($H559="","",IF(VLOOKUP($B$500,ExpItems[],2,0),$B$500&amp;" - "&amp;INDEX(DivisionMapping[category_code],MATCH($D559&amp;$C559,DivisionMapping[dept_bu],0)),$B$500))</f>
        <v/>
      </c>
      <c r="K559" t="str">
        <f t="shared" si="294"/>
        <v/>
      </c>
      <c r="L559" s="652">
        <f>IF($B559="",,IF(LEFT($H559,5)="dummy",SUMIFS(AvgBonus[avg_bonus],AvgBonus[job_title],$H559),SUMIFS(AvgBonus[avg_bonus],AvgBonus[exp_item],$J559,AvgBonus[company_name],$B559,AvgBonus[bu_name],$C559,AvgBonus[dept_name],$D559,AvgBonus[team_consolidation],$K559,AvgBonus[location_name],$G559,AvgBonus[job_title],$H559))*L454*SUM(BonusPayout[Month 1]))</f>
        <v>0</v>
      </c>
      <c r="M559" s="652">
        <f>IF($B559="",,IF(LEFT($H559,5)="dummy",SUMIFS(AvgBonus[avg_bonus],AvgBonus[job_title],$H559),SUMIFS(AvgBonus[avg_bonus],AvgBonus[exp_item],$J559,AvgBonus[company_name],$B559,AvgBonus[bu_name],$C559,AvgBonus[dept_name],$D559,AvgBonus[team_consolidation],$K559,AvgBonus[location_name],$G559,AvgBonus[job_title],$H559))*M454*SUM(BonusPayout[Month 2]))</f>
        <v>0</v>
      </c>
      <c r="N559" s="652">
        <f>IF($B559="",,IF(LEFT($H559,5)="dummy",SUMIFS(AvgBonus[avg_bonus],AvgBonus[job_title],$H559),SUMIFS(AvgBonus[avg_bonus],AvgBonus[exp_item],$J559,AvgBonus[company_name],$B559,AvgBonus[bu_name],$C559,AvgBonus[dept_name],$D559,AvgBonus[team_consolidation],$K559,AvgBonus[location_name],$G559,AvgBonus[job_title],$H559))*N454*SUM(BonusPayout[Month 3]))</f>
        <v>0</v>
      </c>
      <c r="O559" s="652">
        <f>IF($B559="",,IF(LEFT($H559,5)="dummy",SUMIFS(AvgBonus[avg_bonus],AvgBonus[job_title],$H559),SUMIFS(AvgBonus[avg_bonus],AvgBonus[exp_item],$J559,AvgBonus[company_name],$B559,AvgBonus[bu_name],$C559,AvgBonus[dept_name],$D559,AvgBonus[team_consolidation],$K559,AvgBonus[location_name],$G559,AvgBonus[job_title],$H559))*O454*SUM(BonusPayout[Month 4]))</f>
        <v>0</v>
      </c>
      <c r="P559" s="652">
        <f>IF($B559="",,IF(LEFT($H559,5)="dummy",SUMIFS(AvgBonus[avg_bonus],AvgBonus[job_title],$H559),SUMIFS(AvgBonus[avg_bonus],AvgBonus[exp_item],$J559,AvgBonus[company_name],$B559,AvgBonus[bu_name],$C559,AvgBonus[dept_name],$D559,AvgBonus[team_consolidation],$K559,AvgBonus[location_name],$G559,AvgBonus[job_title],$H559))*P454*SUM(BonusPayout[Month 5]))</f>
        <v>0</v>
      </c>
      <c r="Q559" s="652">
        <f>IF($B559="",,IF(LEFT($H559,5)="dummy",SUMIFS(AvgBonus[avg_bonus],AvgBonus[job_title],$H559),SUMIFS(AvgBonus[avg_bonus],AvgBonus[exp_item],$J559,AvgBonus[company_name],$B559,AvgBonus[bu_name],$C559,AvgBonus[dept_name],$D559,AvgBonus[team_consolidation],$K559,AvgBonus[location_name],$G559,AvgBonus[job_title],$H559))*Q454*SUM(BonusPayout[Month 6]))</f>
        <v>0</v>
      </c>
      <c r="R559" s="652">
        <f>IF($B559="",,IF(LEFT($H559,5)="dummy",SUMIFS(AvgBonus[avg_bonus],AvgBonus[job_title],$H559),SUMIFS(AvgBonus[avg_bonus],AvgBonus[exp_item],$J559,AvgBonus[company_name],$B559,AvgBonus[bu_name],$C559,AvgBonus[dept_name],$D559,AvgBonus[team_consolidation],$K559,AvgBonus[location_name],$G559,AvgBonus[job_title],$H559))*R454*SUM(BonusPayout[Month 7]))</f>
        <v>0</v>
      </c>
      <c r="S559" s="652">
        <f>IF($B559="",,IF(LEFT($H559,5)="dummy",SUMIFS(AvgBonus[avg_bonus],AvgBonus[job_title],$H559),SUMIFS(AvgBonus[avg_bonus],AvgBonus[exp_item],$J559,AvgBonus[company_name],$B559,AvgBonus[bu_name],$C559,AvgBonus[dept_name],$D559,AvgBonus[team_consolidation],$K559,AvgBonus[location_name],$G559,AvgBonus[job_title],$H559))*S454*SUM(BonusPayout[Month 8]))</f>
        <v>0</v>
      </c>
      <c r="T559" s="652">
        <f>IF($B559="",,IF(LEFT($H559,5)="dummy",SUMIFS(AvgBonus[avg_bonus],AvgBonus[job_title],$H559),SUMIFS(AvgBonus[avg_bonus],AvgBonus[exp_item],$J559,AvgBonus[company_name],$B559,AvgBonus[bu_name],$C559,AvgBonus[dept_name],$D559,AvgBonus[team_consolidation],$K559,AvgBonus[location_name],$G559,AvgBonus[job_title],$H559))*T454*SUM(BonusPayout[Month 9]))</f>
        <v>0</v>
      </c>
      <c r="U559" s="652">
        <f>IF($B559="",,IF(LEFT($H559,5)="dummy",SUMIFS(AvgBonus[avg_bonus],AvgBonus[job_title],$H559),SUMIFS(AvgBonus[avg_bonus],AvgBonus[exp_item],$J559,AvgBonus[company_name],$B559,AvgBonus[bu_name],$C559,AvgBonus[dept_name],$D559,AvgBonus[team_consolidation],$K559,AvgBonus[location_name],$G559,AvgBonus[job_title],$H559))*U454*SUM(BonusPayout[Month 10]))</f>
        <v>0</v>
      </c>
      <c r="V559" s="652">
        <f>IF($B559="",,IF(LEFT($H559,5)="dummy",SUMIFS(AvgBonus[avg_bonus],AvgBonus[job_title],$H559),SUMIFS(AvgBonus[avg_bonus],AvgBonus[exp_item],$J559,AvgBonus[company_name],$B559,AvgBonus[bu_name],$C559,AvgBonus[dept_name],$D559,AvgBonus[team_consolidation],$K559,AvgBonus[location_name],$G559,AvgBonus[job_title],$H559))*V454*SUM(BonusPayout[Month 11]))</f>
        <v>0</v>
      </c>
      <c r="W559" s="652">
        <f>IF($B559="",,IF(LEFT($H559,5)="dummy",SUMIFS(AvgBonus[avg_bonus],AvgBonus[job_title],$H559),SUMIFS(AvgBonus[avg_bonus],AvgBonus[exp_item],$J559,AvgBonus[company_name],$B559,AvgBonus[bu_name],$C559,AvgBonus[dept_name],$D559,AvgBonus[team_consolidation],$K559,AvgBonus[location_name],$G559,AvgBonus[job_title],$H559))*W454*SUM(BonusPayout[Month 12]))</f>
        <v>0</v>
      </c>
      <c r="X559" s="652">
        <f>IF($B559="",,IF(LEFT($H559,5)="dummy",SUMIFS(AvgBonus[avg_bonus],AvgBonus[job_title],$H559),SUMIFS(AvgBonus[avg_bonus],AvgBonus[exp_item],$J559,AvgBonus[company_name],$B559,AvgBonus[bu_name],$C559,AvgBonus[dept_name],$D559,AvgBonus[team_consolidation],$K559,AvgBonus[location_name],$G559,AvgBonus[job_title],$H559))*X454*SUM(BonusPayout[Month 13]))</f>
        <v>0</v>
      </c>
      <c r="Y559" s="652">
        <f>IF($B559="",,IF(LEFT($H559,5)="dummy",SUMIFS(AvgBonus[avg_bonus],AvgBonus[job_title],$H559),SUMIFS(AvgBonus[avg_bonus],AvgBonus[exp_item],$J559,AvgBonus[company_name],$B559,AvgBonus[bu_name],$C559,AvgBonus[dept_name],$D559,AvgBonus[team_consolidation],$K559,AvgBonus[location_name],$G559,AvgBonus[job_title],$H559))*Y454*SUM(BonusPayout[Month 14]))</f>
        <v>0</v>
      </c>
      <c r="Z559" s="652">
        <f>IF($B559="",,IF(LEFT($H559,5)="dummy",SUMIFS(AvgBonus[avg_bonus],AvgBonus[job_title],$H559),SUMIFS(AvgBonus[avg_bonus],AvgBonus[exp_item],$J559,AvgBonus[company_name],$B559,AvgBonus[bu_name],$C559,AvgBonus[dept_name],$D559,AvgBonus[team_consolidation],$K559,AvgBonus[location_name],$G559,AvgBonus[job_title],$H559))*Z454*SUM(BonusPayout[Month 15]))</f>
        <v>0</v>
      </c>
      <c r="AA559" s="652">
        <f>IF($B559="",,IF(LEFT($H559,5)="dummy",SUMIFS(AvgBonus[avg_bonus],AvgBonus[job_title],$H559),SUMIFS(AvgBonus[avg_bonus],AvgBonus[exp_item],$J559,AvgBonus[company_name],$B559,AvgBonus[bu_name],$C559,AvgBonus[dept_name],$D559,AvgBonus[team_consolidation],$K559,AvgBonus[location_name],$G559,AvgBonus[job_title],$H559))*AA454*SUM(BonusPayout[Month 16]))</f>
        <v>0</v>
      </c>
      <c r="AB559" s="652">
        <f>IF($B559="",,IF(LEFT($H559,5)="dummy",SUMIFS(AvgBonus[avg_bonus],AvgBonus[job_title],$H559),SUMIFS(AvgBonus[avg_bonus],AvgBonus[exp_item],$J559,AvgBonus[company_name],$B559,AvgBonus[bu_name],$C559,AvgBonus[dept_name],$D559,AvgBonus[team_consolidation],$K559,AvgBonus[location_name],$G559,AvgBonus[job_title],$H559))*AB454*SUM(BonusPayout[Month 17]))</f>
        <v>0</v>
      </c>
      <c r="AC559" s="652">
        <f>IF($B559="",,IF(LEFT($H559,5)="dummy",SUMIFS(AvgBonus[avg_bonus],AvgBonus[job_title],$H559),SUMIFS(AvgBonus[avg_bonus],AvgBonus[exp_item],$J559,AvgBonus[company_name],$B559,AvgBonus[bu_name],$C559,AvgBonus[dept_name],$D559,AvgBonus[team_consolidation],$K559,AvgBonus[location_name],$G559,AvgBonus[job_title],$H559))*AC454*SUM(BonusPayout[Month 18]))</f>
        <v>0</v>
      </c>
      <c r="AD559" s="652">
        <f>IF($B559="",,IF(LEFT($H559,5)="dummy",SUMIFS(AvgBonus[avg_bonus],AvgBonus[job_title],$H559),SUMIFS(AvgBonus[avg_bonus],AvgBonus[exp_item],$J559,AvgBonus[company_name],$B559,AvgBonus[bu_name],$C559,AvgBonus[dept_name],$D559,AvgBonus[team_consolidation],$K559,AvgBonus[location_name],$G559,AvgBonus[job_title],$H559))*AD454*SUM(BonusPayout[Month 19]))</f>
        <v>0</v>
      </c>
      <c r="AE559" s="652">
        <f>IF($B559="",,IF(LEFT($H559,5)="dummy",SUMIFS(AvgBonus[avg_bonus],AvgBonus[job_title],$H559),SUMIFS(AvgBonus[avg_bonus],AvgBonus[exp_item],$J559,AvgBonus[company_name],$B559,AvgBonus[bu_name],$C559,AvgBonus[dept_name],$D559,AvgBonus[team_consolidation],$K559,AvgBonus[location_name],$G559,AvgBonus[job_title],$H559))*AE454*SUM(BonusPayout[Month 20]))</f>
        <v>0</v>
      </c>
      <c r="AF559" s="652">
        <f>IF($B559="",,IF(LEFT($H559,5)="dummy",SUMIFS(AvgBonus[avg_bonus],AvgBonus[job_title],$H559),SUMIFS(AvgBonus[avg_bonus],AvgBonus[exp_item],$J559,AvgBonus[company_name],$B559,AvgBonus[bu_name],$C559,AvgBonus[dept_name],$D559,AvgBonus[team_consolidation],$K559,AvgBonus[location_name],$G559,AvgBonus[job_title],$H559))*AF454*SUM(BonusPayout[Month 21]))</f>
        <v>0</v>
      </c>
      <c r="AG559" s="652">
        <f>IF($B559="",,IF(LEFT($H559,5)="dummy",SUMIFS(AvgBonus[avg_bonus],AvgBonus[job_title],$H559),SUMIFS(AvgBonus[avg_bonus],AvgBonus[exp_item],$J559,AvgBonus[company_name],$B559,AvgBonus[bu_name],$C559,AvgBonus[dept_name],$D559,AvgBonus[team_consolidation],$K559,AvgBonus[location_name],$G559,AvgBonus[job_title],$H559))*AG454*SUM(BonusPayout[Month 22]))</f>
        <v>0</v>
      </c>
      <c r="AH559" s="652">
        <f>IF($B559="",,IF(LEFT($H559,5)="dummy",SUMIFS(AvgBonus[avg_bonus],AvgBonus[job_title],$H559),SUMIFS(AvgBonus[avg_bonus],AvgBonus[exp_item],$J559,AvgBonus[company_name],$B559,AvgBonus[bu_name],$C559,AvgBonus[dept_name],$D559,AvgBonus[team_consolidation],$K559,AvgBonus[location_name],$G559,AvgBonus[job_title],$H559))*AH454*SUM(BonusPayout[Month 23]))</f>
        <v>0</v>
      </c>
      <c r="AI559" s="652">
        <f>IF($B559="",,IF(LEFT($H559,5)="dummy",SUMIFS(AvgBonus[avg_bonus],AvgBonus[job_title],$H559),SUMIFS(AvgBonus[avg_bonus],AvgBonus[exp_item],$J559,AvgBonus[company_name],$B559,AvgBonus[bu_name],$C559,AvgBonus[dept_name],$D559,AvgBonus[team_consolidation],$K559,AvgBonus[location_name],$G559,AvgBonus[job_title],$H559))*AI454*SUM(BonusPayout[Month 24]))</f>
        <v>0</v>
      </c>
      <c r="AJ559" s="652">
        <f>IF($B559="",,IF(LEFT($H559,5)="dummy",SUMIFS(AvgBonus[avg_bonus],AvgBonus[job_title],$H559),SUMIFS(AvgBonus[avg_bonus],AvgBonus[exp_item],$J559,AvgBonus[company_name],$B559,AvgBonus[bu_name],$C559,AvgBonus[dept_name],$D559,AvgBonus[team_consolidation],$K559,AvgBonus[location_name],$G559,AvgBonus[job_title],$H559))*AJ454*SUM(BonusPayout[Month 25]))</f>
        <v>0</v>
      </c>
      <c r="AK559" s="652">
        <f>IF($B559="",,IF(LEFT($H559,5)="dummy",SUMIFS(AvgBonus[avg_bonus],AvgBonus[job_title],$H559),SUMIFS(AvgBonus[avg_bonus],AvgBonus[exp_item],$J559,AvgBonus[company_name],$B559,AvgBonus[bu_name],$C559,AvgBonus[dept_name],$D559,AvgBonus[team_consolidation],$K559,AvgBonus[location_name],$G559,AvgBonus[job_title],$H559))*AK454*SUM(BonusPayout[Month 26]))</f>
        <v>0</v>
      </c>
      <c r="AL559" s="652">
        <f>IF($B559="",,IF(LEFT($H559,5)="dummy",SUMIFS(AvgBonus[avg_bonus],AvgBonus[job_title],$H559),SUMIFS(AvgBonus[avg_bonus],AvgBonus[exp_item],$J559,AvgBonus[company_name],$B559,AvgBonus[bu_name],$C559,AvgBonus[dept_name],$D559,AvgBonus[team_consolidation],$K559,AvgBonus[location_name],$G559,AvgBonus[job_title],$H559))*AL454*SUM(BonusPayout[Month 27]))</f>
        <v>0</v>
      </c>
      <c r="AM559" s="652">
        <f>IF($B559="",,IF(LEFT($H559,5)="dummy",SUMIFS(AvgBonus[avg_bonus],AvgBonus[job_title],$H559),SUMIFS(AvgBonus[avg_bonus],AvgBonus[exp_item],$J559,AvgBonus[company_name],$B559,AvgBonus[bu_name],$C559,AvgBonus[dept_name],$D559,AvgBonus[team_consolidation],$K559,AvgBonus[location_name],$G559,AvgBonus[job_title],$H559))*AM454*SUM(BonusPayout[Month 28]))</f>
        <v>0</v>
      </c>
      <c r="AN559" s="652">
        <f>IF($B559="",,IF(LEFT($H559,5)="dummy",SUMIFS(AvgBonus[avg_bonus],AvgBonus[job_title],$H559),SUMIFS(AvgBonus[avg_bonus],AvgBonus[exp_item],$J559,AvgBonus[company_name],$B559,AvgBonus[bu_name],$C559,AvgBonus[dept_name],$D559,AvgBonus[team_consolidation],$K559,AvgBonus[location_name],$G559,AvgBonus[job_title],$H559))*AN454*SUM(BonusPayout[Month 29]))</f>
        <v>0</v>
      </c>
      <c r="AO559" s="652">
        <f>IF($B559="",,IF(LEFT($H559,5)="dummy",SUMIFS(AvgBonus[avg_bonus],AvgBonus[job_title],$H559),SUMIFS(AvgBonus[avg_bonus],AvgBonus[exp_item],$J559,AvgBonus[company_name],$B559,AvgBonus[bu_name],$C559,AvgBonus[dept_name],$D559,AvgBonus[team_consolidation],$K559,AvgBonus[location_name],$G559,AvgBonus[job_title],$H559))*AO454*SUM(BonusPayout[Month 30]))</f>
        <v>0</v>
      </c>
      <c r="AP559" s="652">
        <f>IF($B559="",,IF(LEFT($H559,5)="dummy",SUMIFS(AvgBonus[avg_bonus],AvgBonus[job_title],$H559),SUMIFS(AvgBonus[avg_bonus],AvgBonus[exp_item],$J559,AvgBonus[company_name],$B559,AvgBonus[bu_name],$C559,AvgBonus[dept_name],$D559,AvgBonus[team_consolidation],$K559,AvgBonus[location_name],$G559,AvgBonus[job_title],$H559))*AP454*SUM(BonusPayout[Month 31]))</f>
        <v>0</v>
      </c>
      <c r="AQ559" s="652">
        <f>IF($B559="",,IF(LEFT($H559,5)="dummy",SUMIFS(AvgBonus[avg_bonus],AvgBonus[job_title],$H559),SUMIFS(AvgBonus[avg_bonus],AvgBonus[exp_item],$J559,AvgBonus[company_name],$B559,AvgBonus[bu_name],$C559,AvgBonus[dept_name],$D559,AvgBonus[team_consolidation],$K559,AvgBonus[location_name],$G559,AvgBonus[job_title],$H559))*AQ454*SUM(BonusPayout[Month 32]))</f>
        <v>0</v>
      </c>
      <c r="AR559" s="652">
        <f>IF($B559="",,IF(LEFT($H559,5)="dummy",SUMIFS(AvgBonus[avg_bonus],AvgBonus[job_title],$H559),SUMIFS(AvgBonus[avg_bonus],AvgBonus[exp_item],$J559,AvgBonus[company_name],$B559,AvgBonus[bu_name],$C559,AvgBonus[dept_name],$D559,AvgBonus[team_consolidation],$K559,AvgBonus[location_name],$G559,AvgBonus[job_title],$H559))*AR454*SUM(BonusPayout[Month 33]))</f>
        <v>0</v>
      </c>
      <c r="AS559" s="652">
        <f>IF($B559="",,IF(LEFT($H559,5)="dummy",SUMIFS(AvgBonus[avg_bonus],AvgBonus[job_title],$H559),SUMIFS(AvgBonus[avg_bonus],AvgBonus[exp_item],$J559,AvgBonus[company_name],$B559,AvgBonus[bu_name],$C559,AvgBonus[dept_name],$D559,AvgBonus[team_consolidation],$K559,AvgBonus[location_name],$G559,AvgBonus[job_title],$H559))*AS454*SUM(BonusPayout[Month 34]))</f>
        <v>0</v>
      </c>
      <c r="AT559" s="652">
        <f>IF($B559="",,IF(LEFT($H559,5)="dummy",SUMIFS(AvgBonus[avg_bonus],AvgBonus[job_title],$H559),SUMIFS(AvgBonus[avg_bonus],AvgBonus[exp_item],$J559,AvgBonus[company_name],$B559,AvgBonus[bu_name],$C559,AvgBonus[dept_name],$D559,AvgBonus[team_consolidation],$K559,AvgBonus[location_name],$G559,AvgBonus[job_title],$H559))*AT454*SUM(BonusPayout[Month 35]))</f>
        <v>0</v>
      </c>
      <c r="AU559" s="652">
        <f>IF($B559="",,IF(LEFT($H559,5)="dummy",SUMIFS(AvgBonus[avg_bonus],AvgBonus[job_title],$H559),SUMIFS(AvgBonus[avg_bonus],AvgBonus[exp_item],$J559,AvgBonus[company_name],$B559,AvgBonus[bu_name],$C559,AvgBonus[dept_name],$D559,AvgBonus[team_consolidation],$K559,AvgBonus[location_name],$G559,AvgBonus[job_title],$H559))*AU454*SUM(BonusPayout[Month 36]))</f>
        <v>0</v>
      </c>
    </row>
    <row r="560" spans="2:47" x14ac:dyDescent="0.35">
      <c r="B560" t="str">
        <f t="shared" si="327"/>
        <v/>
      </c>
      <c r="C560" t="str">
        <f t="shared" ref="C560:G560" si="354">IF(C455="","",C455)</f>
        <v/>
      </c>
      <c r="D560" t="str">
        <f t="shared" si="354"/>
        <v/>
      </c>
      <c r="E560" t="str">
        <f t="shared" si="354"/>
        <v/>
      </c>
      <c r="F560" t="str">
        <f t="shared" si="354"/>
        <v/>
      </c>
      <c r="G560" t="str">
        <f t="shared" si="354"/>
        <v/>
      </c>
      <c r="H560" t="str">
        <f t="shared" si="326"/>
        <v/>
      </c>
      <c r="J560" t="str">
        <f>IF($H560="","",IF(VLOOKUP($B$500,ExpItems[],2,0),$B$500&amp;" - "&amp;INDEX(DivisionMapping[category_code],MATCH($D560&amp;$C560,DivisionMapping[dept_bu],0)),$B$500))</f>
        <v/>
      </c>
      <c r="K560" t="str">
        <f t="shared" si="294"/>
        <v/>
      </c>
      <c r="L560" s="652">
        <f>IF($B560="",,IF(LEFT($H560,5)="dummy",SUMIFS(AvgBonus[avg_bonus],AvgBonus[job_title],$H560),SUMIFS(AvgBonus[avg_bonus],AvgBonus[exp_item],$J560,AvgBonus[company_name],$B560,AvgBonus[bu_name],$C560,AvgBonus[dept_name],$D560,AvgBonus[team_consolidation],$K560,AvgBonus[location_name],$G560,AvgBonus[job_title],$H560))*L455*SUM(BonusPayout[Month 1]))</f>
        <v>0</v>
      </c>
      <c r="M560" s="652">
        <f>IF($B560="",,IF(LEFT($H560,5)="dummy",SUMIFS(AvgBonus[avg_bonus],AvgBonus[job_title],$H560),SUMIFS(AvgBonus[avg_bonus],AvgBonus[exp_item],$J560,AvgBonus[company_name],$B560,AvgBonus[bu_name],$C560,AvgBonus[dept_name],$D560,AvgBonus[team_consolidation],$K560,AvgBonus[location_name],$G560,AvgBonus[job_title],$H560))*M455*SUM(BonusPayout[Month 2]))</f>
        <v>0</v>
      </c>
      <c r="N560" s="652">
        <f>IF($B560="",,IF(LEFT($H560,5)="dummy",SUMIFS(AvgBonus[avg_bonus],AvgBonus[job_title],$H560),SUMIFS(AvgBonus[avg_bonus],AvgBonus[exp_item],$J560,AvgBonus[company_name],$B560,AvgBonus[bu_name],$C560,AvgBonus[dept_name],$D560,AvgBonus[team_consolidation],$K560,AvgBonus[location_name],$G560,AvgBonus[job_title],$H560))*N455*SUM(BonusPayout[Month 3]))</f>
        <v>0</v>
      </c>
      <c r="O560" s="652">
        <f>IF($B560="",,IF(LEFT($H560,5)="dummy",SUMIFS(AvgBonus[avg_bonus],AvgBonus[job_title],$H560),SUMIFS(AvgBonus[avg_bonus],AvgBonus[exp_item],$J560,AvgBonus[company_name],$B560,AvgBonus[bu_name],$C560,AvgBonus[dept_name],$D560,AvgBonus[team_consolidation],$K560,AvgBonus[location_name],$G560,AvgBonus[job_title],$H560))*O455*SUM(BonusPayout[Month 4]))</f>
        <v>0</v>
      </c>
      <c r="P560" s="652">
        <f>IF($B560="",,IF(LEFT($H560,5)="dummy",SUMIFS(AvgBonus[avg_bonus],AvgBonus[job_title],$H560),SUMIFS(AvgBonus[avg_bonus],AvgBonus[exp_item],$J560,AvgBonus[company_name],$B560,AvgBonus[bu_name],$C560,AvgBonus[dept_name],$D560,AvgBonus[team_consolidation],$K560,AvgBonus[location_name],$G560,AvgBonus[job_title],$H560))*P455*SUM(BonusPayout[Month 5]))</f>
        <v>0</v>
      </c>
      <c r="Q560" s="652">
        <f>IF($B560="",,IF(LEFT($H560,5)="dummy",SUMIFS(AvgBonus[avg_bonus],AvgBonus[job_title],$H560),SUMIFS(AvgBonus[avg_bonus],AvgBonus[exp_item],$J560,AvgBonus[company_name],$B560,AvgBonus[bu_name],$C560,AvgBonus[dept_name],$D560,AvgBonus[team_consolidation],$K560,AvgBonus[location_name],$G560,AvgBonus[job_title],$H560))*Q455*SUM(BonusPayout[Month 6]))</f>
        <v>0</v>
      </c>
      <c r="R560" s="652">
        <f>IF($B560="",,IF(LEFT($H560,5)="dummy",SUMIFS(AvgBonus[avg_bonus],AvgBonus[job_title],$H560),SUMIFS(AvgBonus[avg_bonus],AvgBonus[exp_item],$J560,AvgBonus[company_name],$B560,AvgBonus[bu_name],$C560,AvgBonus[dept_name],$D560,AvgBonus[team_consolidation],$K560,AvgBonus[location_name],$G560,AvgBonus[job_title],$H560))*R455*SUM(BonusPayout[Month 7]))</f>
        <v>0</v>
      </c>
      <c r="S560" s="652">
        <f>IF($B560="",,IF(LEFT($H560,5)="dummy",SUMIFS(AvgBonus[avg_bonus],AvgBonus[job_title],$H560),SUMIFS(AvgBonus[avg_bonus],AvgBonus[exp_item],$J560,AvgBonus[company_name],$B560,AvgBonus[bu_name],$C560,AvgBonus[dept_name],$D560,AvgBonus[team_consolidation],$K560,AvgBonus[location_name],$G560,AvgBonus[job_title],$H560))*S455*SUM(BonusPayout[Month 8]))</f>
        <v>0</v>
      </c>
      <c r="T560" s="652">
        <f>IF($B560="",,IF(LEFT($H560,5)="dummy",SUMIFS(AvgBonus[avg_bonus],AvgBonus[job_title],$H560),SUMIFS(AvgBonus[avg_bonus],AvgBonus[exp_item],$J560,AvgBonus[company_name],$B560,AvgBonus[bu_name],$C560,AvgBonus[dept_name],$D560,AvgBonus[team_consolidation],$K560,AvgBonus[location_name],$G560,AvgBonus[job_title],$H560))*T455*SUM(BonusPayout[Month 9]))</f>
        <v>0</v>
      </c>
      <c r="U560" s="652">
        <f>IF($B560="",,IF(LEFT($H560,5)="dummy",SUMIFS(AvgBonus[avg_bonus],AvgBonus[job_title],$H560),SUMIFS(AvgBonus[avg_bonus],AvgBonus[exp_item],$J560,AvgBonus[company_name],$B560,AvgBonus[bu_name],$C560,AvgBonus[dept_name],$D560,AvgBonus[team_consolidation],$K560,AvgBonus[location_name],$G560,AvgBonus[job_title],$H560))*U455*SUM(BonusPayout[Month 10]))</f>
        <v>0</v>
      </c>
      <c r="V560" s="652">
        <f>IF($B560="",,IF(LEFT($H560,5)="dummy",SUMIFS(AvgBonus[avg_bonus],AvgBonus[job_title],$H560),SUMIFS(AvgBonus[avg_bonus],AvgBonus[exp_item],$J560,AvgBonus[company_name],$B560,AvgBonus[bu_name],$C560,AvgBonus[dept_name],$D560,AvgBonus[team_consolidation],$K560,AvgBonus[location_name],$G560,AvgBonus[job_title],$H560))*V455*SUM(BonusPayout[Month 11]))</f>
        <v>0</v>
      </c>
      <c r="W560" s="652">
        <f>IF($B560="",,IF(LEFT($H560,5)="dummy",SUMIFS(AvgBonus[avg_bonus],AvgBonus[job_title],$H560),SUMIFS(AvgBonus[avg_bonus],AvgBonus[exp_item],$J560,AvgBonus[company_name],$B560,AvgBonus[bu_name],$C560,AvgBonus[dept_name],$D560,AvgBonus[team_consolidation],$K560,AvgBonus[location_name],$G560,AvgBonus[job_title],$H560))*W455*SUM(BonusPayout[Month 12]))</f>
        <v>0</v>
      </c>
      <c r="X560" s="652">
        <f>IF($B560="",,IF(LEFT($H560,5)="dummy",SUMIFS(AvgBonus[avg_bonus],AvgBonus[job_title],$H560),SUMIFS(AvgBonus[avg_bonus],AvgBonus[exp_item],$J560,AvgBonus[company_name],$B560,AvgBonus[bu_name],$C560,AvgBonus[dept_name],$D560,AvgBonus[team_consolidation],$K560,AvgBonus[location_name],$G560,AvgBonus[job_title],$H560))*X455*SUM(BonusPayout[Month 13]))</f>
        <v>0</v>
      </c>
      <c r="Y560" s="652">
        <f>IF($B560="",,IF(LEFT($H560,5)="dummy",SUMIFS(AvgBonus[avg_bonus],AvgBonus[job_title],$H560),SUMIFS(AvgBonus[avg_bonus],AvgBonus[exp_item],$J560,AvgBonus[company_name],$B560,AvgBonus[bu_name],$C560,AvgBonus[dept_name],$D560,AvgBonus[team_consolidation],$K560,AvgBonus[location_name],$G560,AvgBonus[job_title],$H560))*Y455*SUM(BonusPayout[Month 14]))</f>
        <v>0</v>
      </c>
      <c r="Z560" s="652">
        <f>IF($B560="",,IF(LEFT($H560,5)="dummy",SUMIFS(AvgBonus[avg_bonus],AvgBonus[job_title],$H560),SUMIFS(AvgBonus[avg_bonus],AvgBonus[exp_item],$J560,AvgBonus[company_name],$B560,AvgBonus[bu_name],$C560,AvgBonus[dept_name],$D560,AvgBonus[team_consolidation],$K560,AvgBonus[location_name],$G560,AvgBonus[job_title],$H560))*Z455*SUM(BonusPayout[Month 15]))</f>
        <v>0</v>
      </c>
      <c r="AA560" s="652">
        <f>IF($B560="",,IF(LEFT($H560,5)="dummy",SUMIFS(AvgBonus[avg_bonus],AvgBonus[job_title],$H560),SUMIFS(AvgBonus[avg_bonus],AvgBonus[exp_item],$J560,AvgBonus[company_name],$B560,AvgBonus[bu_name],$C560,AvgBonus[dept_name],$D560,AvgBonus[team_consolidation],$K560,AvgBonus[location_name],$G560,AvgBonus[job_title],$H560))*AA455*SUM(BonusPayout[Month 16]))</f>
        <v>0</v>
      </c>
      <c r="AB560" s="652">
        <f>IF($B560="",,IF(LEFT($H560,5)="dummy",SUMIFS(AvgBonus[avg_bonus],AvgBonus[job_title],$H560),SUMIFS(AvgBonus[avg_bonus],AvgBonus[exp_item],$J560,AvgBonus[company_name],$B560,AvgBonus[bu_name],$C560,AvgBonus[dept_name],$D560,AvgBonus[team_consolidation],$K560,AvgBonus[location_name],$G560,AvgBonus[job_title],$H560))*AB455*SUM(BonusPayout[Month 17]))</f>
        <v>0</v>
      </c>
      <c r="AC560" s="652">
        <f>IF($B560="",,IF(LEFT($H560,5)="dummy",SUMIFS(AvgBonus[avg_bonus],AvgBonus[job_title],$H560),SUMIFS(AvgBonus[avg_bonus],AvgBonus[exp_item],$J560,AvgBonus[company_name],$B560,AvgBonus[bu_name],$C560,AvgBonus[dept_name],$D560,AvgBonus[team_consolidation],$K560,AvgBonus[location_name],$G560,AvgBonus[job_title],$H560))*AC455*SUM(BonusPayout[Month 18]))</f>
        <v>0</v>
      </c>
      <c r="AD560" s="652">
        <f>IF($B560="",,IF(LEFT($H560,5)="dummy",SUMIFS(AvgBonus[avg_bonus],AvgBonus[job_title],$H560),SUMIFS(AvgBonus[avg_bonus],AvgBonus[exp_item],$J560,AvgBonus[company_name],$B560,AvgBonus[bu_name],$C560,AvgBonus[dept_name],$D560,AvgBonus[team_consolidation],$K560,AvgBonus[location_name],$G560,AvgBonus[job_title],$H560))*AD455*SUM(BonusPayout[Month 19]))</f>
        <v>0</v>
      </c>
      <c r="AE560" s="652">
        <f>IF($B560="",,IF(LEFT($H560,5)="dummy",SUMIFS(AvgBonus[avg_bonus],AvgBonus[job_title],$H560),SUMIFS(AvgBonus[avg_bonus],AvgBonus[exp_item],$J560,AvgBonus[company_name],$B560,AvgBonus[bu_name],$C560,AvgBonus[dept_name],$D560,AvgBonus[team_consolidation],$K560,AvgBonus[location_name],$G560,AvgBonus[job_title],$H560))*AE455*SUM(BonusPayout[Month 20]))</f>
        <v>0</v>
      </c>
      <c r="AF560" s="652">
        <f>IF($B560="",,IF(LEFT($H560,5)="dummy",SUMIFS(AvgBonus[avg_bonus],AvgBonus[job_title],$H560),SUMIFS(AvgBonus[avg_bonus],AvgBonus[exp_item],$J560,AvgBonus[company_name],$B560,AvgBonus[bu_name],$C560,AvgBonus[dept_name],$D560,AvgBonus[team_consolidation],$K560,AvgBonus[location_name],$G560,AvgBonus[job_title],$H560))*AF455*SUM(BonusPayout[Month 21]))</f>
        <v>0</v>
      </c>
      <c r="AG560" s="652">
        <f>IF($B560="",,IF(LEFT($H560,5)="dummy",SUMIFS(AvgBonus[avg_bonus],AvgBonus[job_title],$H560),SUMIFS(AvgBonus[avg_bonus],AvgBonus[exp_item],$J560,AvgBonus[company_name],$B560,AvgBonus[bu_name],$C560,AvgBonus[dept_name],$D560,AvgBonus[team_consolidation],$K560,AvgBonus[location_name],$G560,AvgBonus[job_title],$H560))*AG455*SUM(BonusPayout[Month 22]))</f>
        <v>0</v>
      </c>
      <c r="AH560" s="652">
        <f>IF($B560="",,IF(LEFT($H560,5)="dummy",SUMIFS(AvgBonus[avg_bonus],AvgBonus[job_title],$H560),SUMIFS(AvgBonus[avg_bonus],AvgBonus[exp_item],$J560,AvgBonus[company_name],$B560,AvgBonus[bu_name],$C560,AvgBonus[dept_name],$D560,AvgBonus[team_consolidation],$K560,AvgBonus[location_name],$G560,AvgBonus[job_title],$H560))*AH455*SUM(BonusPayout[Month 23]))</f>
        <v>0</v>
      </c>
      <c r="AI560" s="652">
        <f>IF($B560="",,IF(LEFT($H560,5)="dummy",SUMIFS(AvgBonus[avg_bonus],AvgBonus[job_title],$H560),SUMIFS(AvgBonus[avg_bonus],AvgBonus[exp_item],$J560,AvgBonus[company_name],$B560,AvgBonus[bu_name],$C560,AvgBonus[dept_name],$D560,AvgBonus[team_consolidation],$K560,AvgBonus[location_name],$G560,AvgBonus[job_title],$H560))*AI455*SUM(BonusPayout[Month 24]))</f>
        <v>0</v>
      </c>
      <c r="AJ560" s="652">
        <f>IF($B560="",,IF(LEFT($H560,5)="dummy",SUMIFS(AvgBonus[avg_bonus],AvgBonus[job_title],$H560),SUMIFS(AvgBonus[avg_bonus],AvgBonus[exp_item],$J560,AvgBonus[company_name],$B560,AvgBonus[bu_name],$C560,AvgBonus[dept_name],$D560,AvgBonus[team_consolidation],$K560,AvgBonus[location_name],$G560,AvgBonus[job_title],$H560))*AJ455*SUM(BonusPayout[Month 25]))</f>
        <v>0</v>
      </c>
      <c r="AK560" s="652">
        <f>IF($B560="",,IF(LEFT($H560,5)="dummy",SUMIFS(AvgBonus[avg_bonus],AvgBonus[job_title],$H560),SUMIFS(AvgBonus[avg_bonus],AvgBonus[exp_item],$J560,AvgBonus[company_name],$B560,AvgBonus[bu_name],$C560,AvgBonus[dept_name],$D560,AvgBonus[team_consolidation],$K560,AvgBonus[location_name],$G560,AvgBonus[job_title],$H560))*AK455*SUM(BonusPayout[Month 26]))</f>
        <v>0</v>
      </c>
      <c r="AL560" s="652">
        <f>IF($B560="",,IF(LEFT($H560,5)="dummy",SUMIFS(AvgBonus[avg_bonus],AvgBonus[job_title],$H560),SUMIFS(AvgBonus[avg_bonus],AvgBonus[exp_item],$J560,AvgBonus[company_name],$B560,AvgBonus[bu_name],$C560,AvgBonus[dept_name],$D560,AvgBonus[team_consolidation],$K560,AvgBonus[location_name],$G560,AvgBonus[job_title],$H560))*AL455*SUM(BonusPayout[Month 27]))</f>
        <v>0</v>
      </c>
      <c r="AM560" s="652">
        <f>IF($B560="",,IF(LEFT($H560,5)="dummy",SUMIFS(AvgBonus[avg_bonus],AvgBonus[job_title],$H560),SUMIFS(AvgBonus[avg_bonus],AvgBonus[exp_item],$J560,AvgBonus[company_name],$B560,AvgBonus[bu_name],$C560,AvgBonus[dept_name],$D560,AvgBonus[team_consolidation],$K560,AvgBonus[location_name],$G560,AvgBonus[job_title],$H560))*AM455*SUM(BonusPayout[Month 28]))</f>
        <v>0</v>
      </c>
      <c r="AN560" s="652">
        <f>IF($B560="",,IF(LEFT($H560,5)="dummy",SUMIFS(AvgBonus[avg_bonus],AvgBonus[job_title],$H560),SUMIFS(AvgBonus[avg_bonus],AvgBonus[exp_item],$J560,AvgBonus[company_name],$B560,AvgBonus[bu_name],$C560,AvgBonus[dept_name],$D560,AvgBonus[team_consolidation],$K560,AvgBonus[location_name],$G560,AvgBonus[job_title],$H560))*AN455*SUM(BonusPayout[Month 29]))</f>
        <v>0</v>
      </c>
      <c r="AO560" s="652">
        <f>IF($B560="",,IF(LEFT($H560,5)="dummy",SUMIFS(AvgBonus[avg_bonus],AvgBonus[job_title],$H560),SUMIFS(AvgBonus[avg_bonus],AvgBonus[exp_item],$J560,AvgBonus[company_name],$B560,AvgBonus[bu_name],$C560,AvgBonus[dept_name],$D560,AvgBonus[team_consolidation],$K560,AvgBonus[location_name],$G560,AvgBonus[job_title],$H560))*AO455*SUM(BonusPayout[Month 30]))</f>
        <v>0</v>
      </c>
      <c r="AP560" s="652">
        <f>IF($B560="",,IF(LEFT($H560,5)="dummy",SUMIFS(AvgBonus[avg_bonus],AvgBonus[job_title],$H560),SUMIFS(AvgBonus[avg_bonus],AvgBonus[exp_item],$J560,AvgBonus[company_name],$B560,AvgBonus[bu_name],$C560,AvgBonus[dept_name],$D560,AvgBonus[team_consolidation],$K560,AvgBonus[location_name],$G560,AvgBonus[job_title],$H560))*AP455*SUM(BonusPayout[Month 31]))</f>
        <v>0</v>
      </c>
      <c r="AQ560" s="652">
        <f>IF($B560="",,IF(LEFT($H560,5)="dummy",SUMIFS(AvgBonus[avg_bonus],AvgBonus[job_title],$H560),SUMIFS(AvgBonus[avg_bonus],AvgBonus[exp_item],$J560,AvgBonus[company_name],$B560,AvgBonus[bu_name],$C560,AvgBonus[dept_name],$D560,AvgBonus[team_consolidation],$K560,AvgBonus[location_name],$G560,AvgBonus[job_title],$H560))*AQ455*SUM(BonusPayout[Month 32]))</f>
        <v>0</v>
      </c>
      <c r="AR560" s="652">
        <f>IF($B560="",,IF(LEFT($H560,5)="dummy",SUMIFS(AvgBonus[avg_bonus],AvgBonus[job_title],$H560),SUMIFS(AvgBonus[avg_bonus],AvgBonus[exp_item],$J560,AvgBonus[company_name],$B560,AvgBonus[bu_name],$C560,AvgBonus[dept_name],$D560,AvgBonus[team_consolidation],$K560,AvgBonus[location_name],$G560,AvgBonus[job_title],$H560))*AR455*SUM(BonusPayout[Month 33]))</f>
        <v>0</v>
      </c>
      <c r="AS560" s="652">
        <f>IF($B560="",,IF(LEFT($H560,5)="dummy",SUMIFS(AvgBonus[avg_bonus],AvgBonus[job_title],$H560),SUMIFS(AvgBonus[avg_bonus],AvgBonus[exp_item],$J560,AvgBonus[company_name],$B560,AvgBonus[bu_name],$C560,AvgBonus[dept_name],$D560,AvgBonus[team_consolidation],$K560,AvgBonus[location_name],$G560,AvgBonus[job_title],$H560))*AS455*SUM(BonusPayout[Month 34]))</f>
        <v>0</v>
      </c>
      <c r="AT560" s="652">
        <f>IF($B560="",,IF(LEFT($H560,5)="dummy",SUMIFS(AvgBonus[avg_bonus],AvgBonus[job_title],$H560),SUMIFS(AvgBonus[avg_bonus],AvgBonus[exp_item],$J560,AvgBonus[company_name],$B560,AvgBonus[bu_name],$C560,AvgBonus[dept_name],$D560,AvgBonus[team_consolidation],$K560,AvgBonus[location_name],$G560,AvgBonus[job_title],$H560))*AT455*SUM(BonusPayout[Month 35]))</f>
        <v>0</v>
      </c>
      <c r="AU560" s="652">
        <f>IF($B560="",,IF(LEFT($H560,5)="dummy",SUMIFS(AvgBonus[avg_bonus],AvgBonus[job_title],$H560),SUMIFS(AvgBonus[avg_bonus],AvgBonus[exp_item],$J560,AvgBonus[company_name],$B560,AvgBonus[bu_name],$C560,AvgBonus[dept_name],$D560,AvgBonus[team_consolidation],$K560,AvgBonus[location_name],$G560,AvgBonus[job_title],$H560))*AU455*SUM(BonusPayout[Month 36]))</f>
        <v>0</v>
      </c>
    </row>
    <row r="561" spans="2:47" x14ac:dyDescent="0.35">
      <c r="B561" t="str">
        <f t="shared" si="327"/>
        <v/>
      </c>
      <c r="C561" t="str">
        <f t="shared" ref="C561:G561" si="355">IF(C456="","",C456)</f>
        <v/>
      </c>
      <c r="D561" t="str">
        <f t="shared" si="355"/>
        <v/>
      </c>
      <c r="E561" t="str">
        <f t="shared" si="355"/>
        <v/>
      </c>
      <c r="F561" t="str">
        <f t="shared" si="355"/>
        <v/>
      </c>
      <c r="G561" t="str">
        <f t="shared" si="355"/>
        <v/>
      </c>
      <c r="H561" t="str">
        <f t="shared" si="326"/>
        <v/>
      </c>
      <c r="J561" t="str">
        <f>IF($H561="","",IF(VLOOKUP($B$500,ExpItems[],2,0),$B$500&amp;" - "&amp;INDEX(DivisionMapping[category_code],MATCH($D561&amp;$C561,DivisionMapping[dept_bu],0)),$B$500))</f>
        <v/>
      </c>
      <c r="K561" t="str">
        <f t="shared" si="294"/>
        <v/>
      </c>
      <c r="L561" s="652">
        <f>IF($B561="",,IF(LEFT($H561,5)="dummy",SUMIFS(AvgBonus[avg_bonus],AvgBonus[job_title],$H561),SUMIFS(AvgBonus[avg_bonus],AvgBonus[exp_item],$J561,AvgBonus[company_name],$B561,AvgBonus[bu_name],$C561,AvgBonus[dept_name],$D561,AvgBonus[team_consolidation],$K561,AvgBonus[location_name],$G561,AvgBonus[job_title],$H561))*L456*SUM(BonusPayout[Month 1]))</f>
        <v>0</v>
      </c>
      <c r="M561" s="652">
        <f>IF($B561="",,IF(LEFT($H561,5)="dummy",SUMIFS(AvgBonus[avg_bonus],AvgBonus[job_title],$H561),SUMIFS(AvgBonus[avg_bonus],AvgBonus[exp_item],$J561,AvgBonus[company_name],$B561,AvgBonus[bu_name],$C561,AvgBonus[dept_name],$D561,AvgBonus[team_consolidation],$K561,AvgBonus[location_name],$G561,AvgBonus[job_title],$H561))*M456*SUM(BonusPayout[Month 2]))</f>
        <v>0</v>
      </c>
      <c r="N561" s="652">
        <f>IF($B561="",,IF(LEFT($H561,5)="dummy",SUMIFS(AvgBonus[avg_bonus],AvgBonus[job_title],$H561),SUMIFS(AvgBonus[avg_bonus],AvgBonus[exp_item],$J561,AvgBonus[company_name],$B561,AvgBonus[bu_name],$C561,AvgBonus[dept_name],$D561,AvgBonus[team_consolidation],$K561,AvgBonus[location_name],$G561,AvgBonus[job_title],$H561))*N456*SUM(BonusPayout[Month 3]))</f>
        <v>0</v>
      </c>
      <c r="O561" s="652">
        <f>IF($B561="",,IF(LEFT($H561,5)="dummy",SUMIFS(AvgBonus[avg_bonus],AvgBonus[job_title],$H561),SUMIFS(AvgBonus[avg_bonus],AvgBonus[exp_item],$J561,AvgBonus[company_name],$B561,AvgBonus[bu_name],$C561,AvgBonus[dept_name],$D561,AvgBonus[team_consolidation],$K561,AvgBonus[location_name],$G561,AvgBonus[job_title],$H561))*O456*SUM(BonusPayout[Month 4]))</f>
        <v>0</v>
      </c>
      <c r="P561" s="652">
        <f>IF($B561="",,IF(LEFT($H561,5)="dummy",SUMIFS(AvgBonus[avg_bonus],AvgBonus[job_title],$H561),SUMIFS(AvgBonus[avg_bonus],AvgBonus[exp_item],$J561,AvgBonus[company_name],$B561,AvgBonus[bu_name],$C561,AvgBonus[dept_name],$D561,AvgBonus[team_consolidation],$K561,AvgBonus[location_name],$G561,AvgBonus[job_title],$H561))*P456*SUM(BonusPayout[Month 5]))</f>
        <v>0</v>
      </c>
      <c r="Q561" s="652">
        <f>IF($B561="",,IF(LEFT($H561,5)="dummy",SUMIFS(AvgBonus[avg_bonus],AvgBonus[job_title],$H561),SUMIFS(AvgBonus[avg_bonus],AvgBonus[exp_item],$J561,AvgBonus[company_name],$B561,AvgBonus[bu_name],$C561,AvgBonus[dept_name],$D561,AvgBonus[team_consolidation],$K561,AvgBonus[location_name],$G561,AvgBonus[job_title],$H561))*Q456*SUM(BonusPayout[Month 6]))</f>
        <v>0</v>
      </c>
      <c r="R561" s="652">
        <f>IF($B561="",,IF(LEFT($H561,5)="dummy",SUMIFS(AvgBonus[avg_bonus],AvgBonus[job_title],$H561),SUMIFS(AvgBonus[avg_bonus],AvgBonus[exp_item],$J561,AvgBonus[company_name],$B561,AvgBonus[bu_name],$C561,AvgBonus[dept_name],$D561,AvgBonus[team_consolidation],$K561,AvgBonus[location_name],$G561,AvgBonus[job_title],$H561))*R456*SUM(BonusPayout[Month 7]))</f>
        <v>0</v>
      </c>
      <c r="S561" s="652">
        <f>IF($B561="",,IF(LEFT($H561,5)="dummy",SUMIFS(AvgBonus[avg_bonus],AvgBonus[job_title],$H561),SUMIFS(AvgBonus[avg_bonus],AvgBonus[exp_item],$J561,AvgBonus[company_name],$B561,AvgBonus[bu_name],$C561,AvgBonus[dept_name],$D561,AvgBonus[team_consolidation],$K561,AvgBonus[location_name],$G561,AvgBonus[job_title],$H561))*S456*SUM(BonusPayout[Month 8]))</f>
        <v>0</v>
      </c>
      <c r="T561" s="652">
        <f>IF($B561="",,IF(LEFT($H561,5)="dummy",SUMIFS(AvgBonus[avg_bonus],AvgBonus[job_title],$H561),SUMIFS(AvgBonus[avg_bonus],AvgBonus[exp_item],$J561,AvgBonus[company_name],$B561,AvgBonus[bu_name],$C561,AvgBonus[dept_name],$D561,AvgBonus[team_consolidation],$K561,AvgBonus[location_name],$G561,AvgBonus[job_title],$H561))*T456*SUM(BonusPayout[Month 9]))</f>
        <v>0</v>
      </c>
      <c r="U561" s="652">
        <f>IF($B561="",,IF(LEFT($H561,5)="dummy",SUMIFS(AvgBonus[avg_bonus],AvgBonus[job_title],$H561),SUMIFS(AvgBonus[avg_bonus],AvgBonus[exp_item],$J561,AvgBonus[company_name],$B561,AvgBonus[bu_name],$C561,AvgBonus[dept_name],$D561,AvgBonus[team_consolidation],$K561,AvgBonus[location_name],$G561,AvgBonus[job_title],$H561))*U456*SUM(BonusPayout[Month 10]))</f>
        <v>0</v>
      </c>
      <c r="V561" s="652">
        <f>IF($B561="",,IF(LEFT($H561,5)="dummy",SUMIFS(AvgBonus[avg_bonus],AvgBonus[job_title],$H561),SUMIFS(AvgBonus[avg_bonus],AvgBonus[exp_item],$J561,AvgBonus[company_name],$B561,AvgBonus[bu_name],$C561,AvgBonus[dept_name],$D561,AvgBonus[team_consolidation],$K561,AvgBonus[location_name],$G561,AvgBonus[job_title],$H561))*V456*SUM(BonusPayout[Month 11]))</f>
        <v>0</v>
      </c>
      <c r="W561" s="652">
        <f>IF($B561="",,IF(LEFT($H561,5)="dummy",SUMIFS(AvgBonus[avg_bonus],AvgBonus[job_title],$H561),SUMIFS(AvgBonus[avg_bonus],AvgBonus[exp_item],$J561,AvgBonus[company_name],$B561,AvgBonus[bu_name],$C561,AvgBonus[dept_name],$D561,AvgBonus[team_consolidation],$K561,AvgBonus[location_name],$G561,AvgBonus[job_title],$H561))*W456*SUM(BonusPayout[Month 12]))</f>
        <v>0</v>
      </c>
      <c r="X561" s="652">
        <f>IF($B561="",,IF(LEFT($H561,5)="dummy",SUMIFS(AvgBonus[avg_bonus],AvgBonus[job_title],$H561),SUMIFS(AvgBonus[avg_bonus],AvgBonus[exp_item],$J561,AvgBonus[company_name],$B561,AvgBonus[bu_name],$C561,AvgBonus[dept_name],$D561,AvgBonus[team_consolidation],$K561,AvgBonus[location_name],$G561,AvgBonus[job_title],$H561))*X456*SUM(BonusPayout[Month 13]))</f>
        <v>0</v>
      </c>
      <c r="Y561" s="652">
        <f>IF($B561="",,IF(LEFT($H561,5)="dummy",SUMIFS(AvgBonus[avg_bonus],AvgBonus[job_title],$H561),SUMIFS(AvgBonus[avg_bonus],AvgBonus[exp_item],$J561,AvgBonus[company_name],$B561,AvgBonus[bu_name],$C561,AvgBonus[dept_name],$D561,AvgBonus[team_consolidation],$K561,AvgBonus[location_name],$G561,AvgBonus[job_title],$H561))*Y456*SUM(BonusPayout[Month 14]))</f>
        <v>0</v>
      </c>
      <c r="Z561" s="652">
        <f>IF($B561="",,IF(LEFT($H561,5)="dummy",SUMIFS(AvgBonus[avg_bonus],AvgBonus[job_title],$H561),SUMIFS(AvgBonus[avg_bonus],AvgBonus[exp_item],$J561,AvgBonus[company_name],$B561,AvgBonus[bu_name],$C561,AvgBonus[dept_name],$D561,AvgBonus[team_consolidation],$K561,AvgBonus[location_name],$G561,AvgBonus[job_title],$H561))*Z456*SUM(BonusPayout[Month 15]))</f>
        <v>0</v>
      </c>
      <c r="AA561" s="652">
        <f>IF($B561="",,IF(LEFT($H561,5)="dummy",SUMIFS(AvgBonus[avg_bonus],AvgBonus[job_title],$H561),SUMIFS(AvgBonus[avg_bonus],AvgBonus[exp_item],$J561,AvgBonus[company_name],$B561,AvgBonus[bu_name],$C561,AvgBonus[dept_name],$D561,AvgBonus[team_consolidation],$K561,AvgBonus[location_name],$G561,AvgBonus[job_title],$H561))*AA456*SUM(BonusPayout[Month 16]))</f>
        <v>0</v>
      </c>
      <c r="AB561" s="652">
        <f>IF($B561="",,IF(LEFT($H561,5)="dummy",SUMIFS(AvgBonus[avg_bonus],AvgBonus[job_title],$H561),SUMIFS(AvgBonus[avg_bonus],AvgBonus[exp_item],$J561,AvgBonus[company_name],$B561,AvgBonus[bu_name],$C561,AvgBonus[dept_name],$D561,AvgBonus[team_consolidation],$K561,AvgBonus[location_name],$G561,AvgBonus[job_title],$H561))*AB456*SUM(BonusPayout[Month 17]))</f>
        <v>0</v>
      </c>
      <c r="AC561" s="652">
        <f>IF($B561="",,IF(LEFT($H561,5)="dummy",SUMIFS(AvgBonus[avg_bonus],AvgBonus[job_title],$H561),SUMIFS(AvgBonus[avg_bonus],AvgBonus[exp_item],$J561,AvgBonus[company_name],$B561,AvgBonus[bu_name],$C561,AvgBonus[dept_name],$D561,AvgBonus[team_consolidation],$K561,AvgBonus[location_name],$G561,AvgBonus[job_title],$H561))*AC456*SUM(BonusPayout[Month 18]))</f>
        <v>0</v>
      </c>
      <c r="AD561" s="652">
        <f>IF($B561="",,IF(LEFT($H561,5)="dummy",SUMIFS(AvgBonus[avg_bonus],AvgBonus[job_title],$H561),SUMIFS(AvgBonus[avg_bonus],AvgBonus[exp_item],$J561,AvgBonus[company_name],$B561,AvgBonus[bu_name],$C561,AvgBonus[dept_name],$D561,AvgBonus[team_consolidation],$K561,AvgBonus[location_name],$G561,AvgBonus[job_title],$H561))*AD456*SUM(BonusPayout[Month 19]))</f>
        <v>0</v>
      </c>
      <c r="AE561" s="652">
        <f>IF($B561="",,IF(LEFT($H561,5)="dummy",SUMIFS(AvgBonus[avg_bonus],AvgBonus[job_title],$H561),SUMIFS(AvgBonus[avg_bonus],AvgBonus[exp_item],$J561,AvgBonus[company_name],$B561,AvgBonus[bu_name],$C561,AvgBonus[dept_name],$D561,AvgBonus[team_consolidation],$K561,AvgBonus[location_name],$G561,AvgBonus[job_title],$H561))*AE456*SUM(BonusPayout[Month 20]))</f>
        <v>0</v>
      </c>
      <c r="AF561" s="652">
        <f>IF($B561="",,IF(LEFT($H561,5)="dummy",SUMIFS(AvgBonus[avg_bonus],AvgBonus[job_title],$H561),SUMIFS(AvgBonus[avg_bonus],AvgBonus[exp_item],$J561,AvgBonus[company_name],$B561,AvgBonus[bu_name],$C561,AvgBonus[dept_name],$D561,AvgBonus[team_consolidation],$K561,AvgBonus[location_name],$G561,AvgBonus[job_title],$H561))*AF456*SUM(BonusPayout[Month 21]))</f>
        <v>0</v>
      </c>
      <c r="AG561" s="652">
        <f>IF($B561="",,IF(LEFT($H561,5)="dummy",SUMIFS(AvgBonus[avg_bonus],AvgBonus[job_title],$H561),SUMIFS(AvgBonus[avg_bonus],AvgBonus[exp_item],$J561,AvgBonus[company_name],$B561,AvgBonus[bu_name],$C561,AvgBonus[dept_name],$D561,AvgBonus[team_consolidation],$K561,AvgBonus[location_name],$G561,AvgBonus[job_title],$H561))*AG456*SUM(BonusPayout[Month 22]))</f>
        <v>0</v>
      </c>
      <c r="AH561" s="652">
        <f>IF($B561="",,IF(LEFT($H561,5)="dummy",SUMIFS(AvgBonus[avg_bonus],AvgBonus[job_title],$H561),SUMIFS(AvgBonus[avg_bonus],AvgBonus[exp_item],$J561,AvgBonus[company_name],$B561,AvgBonus[bu_name],$C561,AvgBonus[dept_name],$D561,AvgBonus[team_consolidation],$K561,AvgBonus[location_name],$G561,AvgBonus[job_title],$H561))*AH456*SUM(BonusPayout[Month 23]))</f>
        <v>0</v>
      </c>
      <c r="AI561" s="652">
        <f>IF($B561="",,IF(LEFT($H561,5)="dummy",SUMIFS(AvgBonus[avg_bonus],AvgBonus[job_title],$H561),SUMIFS(AvgBonus[avg_bonus],AvgBonus[exp_item],$J561,AvgBonus[company_name],$B561,AvgBonus[bu_name],$C561,AvgBonus[dept_name],$D561,AvgBonus[team_consolidation],$K561,AvgBonus[location_name],$G561,AvgBonus[job_title],$H561))*AI456*SUM(BonusPayout[Month 24]))</f>
        <v>0</v>
      </c>
      <c r="AJ561" s="652">
        <f>IF($B561="",,IF(LEFT($H561,5)="dummy",SUMIFS(AvgBonus[avg_bonus],AvgBonus[job_title],$H561),SUMIFS(AvgBonus[avg_bonus],AvgBonus[exp_item],$J561,AvgBonus[company_name],$B561,AvgBonus[bu_name],$C561,AvgBonus[dept_name],$D561,AvgBonus[team_consolidation],$K561,AvgBonus[location_name],$G561,AvgBonus[job_title],$H561))*AJ456*SUM(BonusPayout[Month 25]))</f>
        <v>0</v>
      </c>
      <c r="AK561" s="652">
        <f>IF($B561="",,IF(LEFT($H561,5)="dummy",SUMIFS(AvgBonus[avg_bonus],AvgBonus[job_title],$H561),SUMIFS(AvgBonus[avg_bonus],AvgBonus[exp_item],$J561,AvgBonus[company_name],$B561,AvgBonus[bu_name],$C561,AvgBonus[dept_name],$D561,AvgBonus[team_consolidation],$K561,AvgBonus[location_name],$G561,AvgBonus[job_title],$H561))*AK456*SUM(BonusPayout[Month 26]))</f>
        <v>0</v>
      </c>
      <c r="AL561" s="652">
        <f>IF($B561="",,IF(LEFT($H561,5)="dummy",SUMIFS(AvgBonus[avg_bonus],AvgBonus[job_title],$H561),SUMIFS(AvgBonus[avg_bonus],AvgBonus[exp_item],$J561,AvgBonus[company_name],$B561,AvgBonus[bu_name],$C561,AvgBonus[dept_name],$D561,AvgBonus[team_consolidation],$K561,AvgBonus[location_name],$G561,AvgBonus[job_title],$H561))*AL456*SUM(BonusPayout[Month 27]))</f>
        <v>0</v>
      </c>
      <c r="AM561" s="652">
        <f>IF($B561="",,IF(LEFT($H561,5)="dummy",SUMIFS(AvgBonus[avg_bonus],AvgBonus[job_title],$H561),SUMIFS(AvgBonus[avg_bonus],AvgBonus[exp_item],$J561,AvgBonus[company_name],$B561,AvgBonus[bu_name],$C561,AvgBonus[dept_name],$D561,AvgBonus[team_consolidation],$K561,AvgBonus[location_name],$G561,AvgBonus[job_title],$H561))*AM456*SUM(BonusPayout[Month 28]))</f>
        <v>0</v>
      </c>
      <c r="AN561" s="652">
        <f>IF($B561="",,IF(LEFT($H561,5)="dummy",SUMIFS(AvgBonus[avg_bonus],AvgBonus[job_title],$H561),SUMIFS(AvgBonus[avg_bonus],AvgBonus[exp_item],$J561,AvgBonus[company_name],$B561,AvgBonus[bu_name],$C561,AvgBonus[dept_name],$D561,AvgBonus[team_consolidation],$K561,AvgBonus[location_name],$G561,AvgBonus[job_title],$H561))*AN456*SUM(BonusPayout[Month 29]))</f>
        <v>0</v>
      </c>
      <c r="AO561" s="652">
        <f>IF($B561="",,IF(LEFT($H561,5)="dummy",SUMIFS(AvgBonus[avg_bonus],AvgBonus[job_title],$H561),SUMIFS(AvgBonus[avg_bonus],AvgBonus[exp_item],$J561,AvgBonus[company_name],$B561,AvgBonus[bu_name],$C561,AvgBonus[dept_name],$D561,AvgBonus[team_consolidation],$K561,AvgBonus[location_name],$G561,AvgBonus[job_title],$H561))*AO456*SUM(BonusPayout[Month 30]))</f>
        <v>0</v>
      </c>
      <c r="AP561" s="652">
        <f>IF($B561="",,IF(LEFT($H561,5)="dummy",SUMIFS(AvgBonus[avg_bonus],AvgBonus[job_title],$H561),SUMIFS(AvgBonus[avg_bonus],AvgBonus[exp_item],$J561,AvgBonus[company_name],$B561,AvgBonus[bu_name],$C561,AvgBonus[dept_name],$D561,AvgBonus[team_consolidation],$K561,AvgBonus[location_name],$G561,AvgBonus[job_title],$H561))*AP456*SUM(BonusPayout[Month 31]))</f>
        <v>0</v>
      </c>
      <c r="AQ561" s="652">
        <f>IF($B561="",,IF(LEFT($H561,5)="dummy",SUMIFS(AvgBonus[avg_bonus],AvgBonus[job_title],$H561),SUMIFS(AvgBonus[avg_bonus],AvgBonus[exp_item],$J561,AvgBonus[company_name],$B561,AvgBonus[bu_name],$C561,AvgBonus[dept_name],$D561,AvgBonus[team_consolidation],$K561,AvgBonus[location_name],$G561,AvgBonus[job_title],$H561))*AQ456*SUM(BonusPayout[Month 32]))</f>
        <v>0</v>
      </c>
      <c r="AR561" s="652">
        <f>IF($B561="",,IF(LEFT($H561,5)="dummy",SUMIFS(AvgBonus[avg_bonus],AvgBonus[job_title],$H561),SUMIFS(AvgBonus[avg_bonus],AvgBonus[exp_item],$J561,AvgBonus[company_name],$B561,AvgBonus[bu_name],$C561,AvgBonus[dept_name],$D561,AvgBonus[team_consolidation],$K561,AvgBonus[location_name],$G561,AvgBonus[job_title],$H561))*AR456*SUM(BonusPayout[Month 33]))</f>
        <v>0</v>
      </c>
      <c r="AS561" s="652">
        <f>IF($B561="",,IF(LEFT($H561,5)="dummy",SUMIFS(AvgBonus[avg_bonus],AvgBonus[job_title],$H561),SUMIFS(AvgBonus[avg_bonus],AvgBonus[exp_item],$J561,AvgBonus[company_name],$B561,AvgBonus[bu_name],$C561,AvgBonus[dept_name],$D561,AvgBonus[team_consolidation],$K561,AvgBonus[location_name],$G561,AvgBonus[job_title],$H561))*AS456*SUM(BonusPayout[Month 34]))</f>
        <v>0</v>
      </c>
      <c r="AT561" s="652">
        <f>IF($B561="",,IF(LEFT($H561,5)="dummy",SUMIFS(AvgBonus[avg_bonus],AvgBonus[job_title],$H561),SUMIFS(AvgBonus[avg_bonus],AvgBonus[exp_item],$J561,AvgBonus[company_name],$B561,AvgBonus[bu_name],$C561,AvgBonus[dept_name],$D561,AvgBonus[team_consolidation],$K561,AvgBonus[location_name],$G561,AvgBonus[job_title],$H561))*AT456*SUM(BonusPayout[Month 35]))</f>
        <v>0</v>
      </c>
      <c r="AU561" s="652">
        <f>IF($B561="",,IF(LEFT($H561,5)="dummy",SUMIFS(AvgBonus[avg_bonus],AvgBonus[job_title],$H561),SUMIFS(AvgBonus[avg_bonus],AvgBonus[exp_item],$J561,AvgBonus[company_name],$B561,AvgBonus[bu_name],$C561,AvgBonus[dept_name],$D561,AvgBonus[team_consolidation],$K561,AvgBonus[location_name],$G561,AvgBonus[job_title],$H561))*AU456*SUM(BonusPayout[Month 36]))</f>
        <v>0</v>
      </c>
    </row>
    <row r="562" spans="2:47" x14ac:dyDescent="0.35">
      <c r="B562" t="str">
        <f t="shared" si="327"/>
        <v/>
      </c>
      <c r="C562" t="str">
        <f t="shared" ref="C562:G562" si="356">IF(C457="","",C457)</f>
        <v/>
      </c>
      <c r="D562" t="str">
        <f t="shared" si="356"/>
        <v/>
      </c>
      <c r="E562" t="str">
        <f t="shared" si="356"/>
        <v/>
      </c>
      <c r="F562" t="str">
        <f t="shared" si="356"/>
        <v/>
      </c>
      <c r="G562" t="str">
        <f t="shared" si="356"/>
        <v/>
      </c>
      <c r="H562" t="str">
        <f t="shared" si="326"/>
        <v/>
      </c>
      <c r="J562" t="str">
        <f>IF($H562="","",IF(VLOOKUP($B$500,ExpItems[],2,0),$B$500&amp;" - "&amp;INDEX(DivisionMapping[category_code],MATCH($D562&amp;$C562,DivisionMapping[dept_bu],0)),$B$500))</f>
        <v/>
      </c>
      <c r="K562" t="str">
        <f t="shared" si="294"/>
        <v/>
      </c>
      <c r="L562" s="652">
        <f>IF($B562="",,IF(LEFT($H562,5)="dummy",SUMIFS(AvgBonus[avg_bonus],AvgBonus[job_title],$H562),SUMIFS(AvgBonus[avg_bonus],AvgBonus[exp_item],$J562,AvgBonus[company_name],$B562,AvgBonus[bu_name],$C562,AvgBonus[dept_name],$D562,AvgBonus[team_consolidation],$K562,AvgBonus[location_name],$G562,AvgBonus[job_title],$H562))*L457*SUM(BonusPayout[Month 1]))</f>
        <v>0</v>
      </c>
      <c r="M562" s="652">
        <f>IF($B562="",,IF(LEFT($H562,5)="dummy",SUMIFS(AvgBonus[avg_bonus],AvgBonus[job_title],$H562),SUMIFS(AvgBonus[avg_bonus],AvgBonus[exp_item],$J562,AvgBonus[company_name],$B562,AvgBonus[bu_name],$C562,AvgBonus[dept_name],$D562,AvgBonus[team_consolidation],$K562,AvgBonus[location_name],$G562,AvgBonus[job_title],$H562))*M457*SUM(BonusPayout[Month 2]))</f>
        <v>0</v>
      </c>
      <c r="N562" s="652">
        <f>IF($B562="",,IF(LEFT($H562,5)="dummy",SUMIFS(AvgBonus[avg_bonus],AvgBonus[job_title],$H562),SUMIFS(AvgBonus[avg_bonus],AvgBonus[exp_item],$J562,AvgBonus[company_name],$B562,AvgBonus[bu_name],$C562,AvgBonus[dept_name],$D562,AvgBonus[team_consolidation],$K562,AvgBonus[location_name],$G562,AvgBonus[job_title],$H562))*N457*SUM(BonusPayout[Month 3]))</f>
        <v>0</v>
      </c>
      <c r="O562" s="652">
        <f>IF($B562="",,IF(LEFT($H562,5)="dummy",SUMIFS(AvgBonus[avg_bonus],AvgBonus[job_title],$H562),SUMIFS(AvgBonus[avg_bonus],AvgBonus[exp_item],$J562,AvgBonus[company_name],$B562,AvgBonus[bu_name],$C562,AvgBonus[dept_name],$D562,AvgBonus[team_consolidation],$K562,AvgBonus[location_name],$G562,AvgBonus[job_title],$H562))*O457*SUM(BonusPayout[Month 4]))</f>
        <v>0</v>
      </c>
      <c r="P562" s="652">
        <f>IF($B562="",,IF(LEFT($H562,5)="dummy",SUMIFS(AvgBonus[avg_bonus],AvgBonus[job_title],$H562),SUMIFS(AvgBonus[avg_bonus],AvgBonus[exp_item],$J562,AvgBonus[company_name],$B562,AvgBonus[bu_name],$C562,AvgBonus[dept_name],$D562,AvgBonus[team_consolidation],$K562,AvgBonus[location_name],$G562,AvgBonus[job_title],$H562))*P457*SUM(BonusPayout[Month 5]))</f>
        <v>0</v>
      </c>
      <c r="Q562" s="652">
        <f>IF($B562="",,IF(LEFT($H562,5)="dummy",SUMIFS(AvgBonus[avg_bonus],AvgBonus[job_title],$H562),SUMIFS(AvgBonus[avg_bonus],AvgBonus[exp_item],$J562,AvgBonus[company_name],$B562,AvgBonus[bu_name],$C562,AvgBonus[dept_name],$D562,AvgBonus[team_consolidation],$K562,AvgBonus[location_name],$G562,AvgBonus[job_title],$H562))*Q457*SUM(BonusPayout[Month 6]))</f>
        <v>0</v>
      </c>
      <c r="R562" s="652">
        <f>IF($B562="",,IF(LEFT($H562,5)="dummy",SUMIFS(AvgBonus[avg_bonus],AvgBonus[job_title],$H562),SUMIFS(AvgBonus[avg_bonus],AvgBonus[exp_item],$J562,AvgBonus[company_name],$B562,AvgBonus[bu_name],$C562,AvgBonus[dept_name],$D562,AvgBonus[team_consolidation],$K562,AvgBonus[location_name],$G562,AvgBonus[job_title],$H562))*R457*SUM(BonusPayout[Month 7]))</f>
        <v>0</v>
      </c>
      <c r="S562" s="652">
        <f>IF($B562="",,IF(LEFT($H562,5)="dummy",SUMIFS(AvgBonus[avg_bonus],AvgBonus[job_title],$H562),SUMIFS(AvgBonus[avg_bonus],AvgBonus[exp_item],$J562,AvgBonus[company_name],$B562,AvgBonus[bu_name],$C562,AvgBonus[dept_name],$D562,AvgBonus[team_consolidation],$K562,AvgBonus[location_name],$G562,AvgBonus[job_title],$H562))*S457*SUM(BonusPayout[Month 8]))</f>
        <v>0</v>
      </c>
      <c r="T562" s="652">
        <f>IF($B562="",,IF(LEFT($H562,5)="dummy",SUMIFS(AvgBonus[avg_bonus],AvgBonus[job_title],$H562),SUMIFS(AvgBonus[avg_bonus],AvgBonus[exp_item],$J562,AvgBonus[company_name],$B562,AvgBonus[bu_name],$C562,AvgBonus[dept_name],$D562,AvgBonus[team_consolidation],$K562,AvgBonus[location_name],$G562,AvgBonus[job_title],$H562))*T457*SUM(BonusPayout[Month 9]))</f>
        <v>0</v>
      </c>
      <c r="U562" s="652">
        <f>IF($B562="",,IF(LEFT($H562,5)="dummy",SUMIFS(AvgBonus[avg_bonus],AvgBonus[job_title],$H562),SUMIFS(AvgBonus[avg_bonus],AvgBonus[exp_item],$J562,AvgBonus[company_name],$B562,AvgBonus[bu_name],$C562,AvgBonus[dept_name],$D562,AvgBonus[team_consolidation],$K562,AvgBonus[location_name],$G562,AvgBonus[job_title],$H562))*U457*SUM(BonusPayout[Month 10]))</f>
        <v>0</v>
      </c>
      <c r="V562" s="652">
        <f>IF($B562="",,IF(LEFT($H562,5)="dummy",SUMIFS(AvgBonus[avg_bonus],AvgBonus[job_title],$H562),SUMIFS(AvgBonus[avg_bonus],AvgBonus[exp_item],$J562,AvgBonus[company_name],$B562,AvgBonus[bu_name],$C562,AvgBonus[dept_name],$D562,AvgBonus[team_consolidation],$K562,AvgBonus[location_name],$G562,AvgBonus[job_title],$H562))*V457*SUM(BonusPayout[Month 11]))</f>
        <v>0</v>
      </c>
      <c r="W562" s="652">
        <f>IF($B562="",,IF(LEFT($H562,5)="dummy",SUMIFS(AvgBonus[avg_bonus],AvgBonus[job_title],$H562),SUMIFS(AvgBonus[avg_bonus],AvgBonus[exp_item],$J562,AvgBonus[company_name],$B562,AvgBonus[bu_name],$C562,AvgBonus[dept_name],$D562,AvgBonus[team_consolidation],$K562,AvgBonus[location_name],$G562,AvgBonus[job_title],$H562))*W457*SUM(BonusPayout[Month 12]))</f>
        <v>0</v>
      </c>
      <c r="X562" s="652">
        <f>IF($B562="",,IF(LEFT($H562,5)="dummy",SUMIFS(AvgBonus[avg_bonus],AvgBonus[job_title],$H562),SUMIFS(AvgBonus[avg_bonus],AvgBonus[exp_item],$J562,AvgBonus[company_name],$B562,AvgBonus[bu_name],$C562,AvgBonus[dept_name],$D562,AvgBonus[team_consolidation],$K562,AvgBonus[location_name],$G562,AvgBonus[job_title],$H562))*X457*SUM(BonusPayout[Month 13]))</f>
        <v>0</v>
      </c>
      <c r="Y562" s="652">
        <f>IF($B562="",,IF(LEFT($H562,5)="dummy",SUMIFS(AvgBonus[avg_bonus],AvgBonus[job_title],$H562),SUMIFS(AvgBonus[avg_bonus],AvgBonus[exp_item],$J562,AvgBonus[company_name],$B562,AvgBonus[bu_name],$C562,AvgBonus[dept_name],$D562,AvgBonus[team_consolidation],$K562,AvgBonus[location_name],$G562,AvgBonus[job_title],$H562))*Y457*SUM(BonusPayout[Month 14]))</f>
        <v>0</v>
      </c>
      <c r="Z562" s="652">
        <f>IF($B562="",,IF(LEFT($H562,5)="dummy",SUMIFS(AvgBonus[avg_bonus],AvgBonus[job_title],$H562),SUMIFS(AvgBonus[avg_bonus],AvgBonus[exp_item],$J562,AvgBonus[company_name],$B562,AvgBonus[bu_name],$C562,AvgBonus[dept_name],$D562,AvgBonus[team_consolidation],$K562,AvgBonus[location_name],$G562,AvgBonus[job_title],$H562))*Z457*SUM(BonusPayout[Month 15]))</f>
        <v>0</v>
      </c>
      <c r="AA562" s="652">
        <f>IF($B562="",,IF(LEFT($H562,5)="dummy",SUMIFS(AvgBonus[avg_bonus],AvgBonus[job_title],$H562),SUMIFS(AvgBonus[avg_bonus],AvgBonus[exp_item],$J562,AvgBonus[company_name],$B562,AvgBonus[bu_name],$C562,AvgBonus[dept_name],$D562,AvgBonus[team_consolidation],$K562,AvgBonus[location_name],$G562,AvgBonus[job_title],$H562))*AA457*SUM(BonusPayout[Month 16]))</f>
        <v>0</v>
      </c>
      <c r="AB562" s="652">
        <f>IF($B562="",,IF(LEFT($H562,5)="dummy",SUMIFS(AvgBonus[avg_bonus],AvgBonus[job_title],$H562),SUMIFS(AvgBonus[avg_bonus],AvgBonus[exp_item],$J562,AvgBonus[company_name],$B562,AvgBonus[bu_name],$C562,AvgBonus[dept_name],$D562,AvgBonus[team_consolidation],$K562,AvgBonus[location_name],$G562,AvgBonus[job_title],$H562))*AB457*SUM(BonusPayout[Month 17]))</f>
        <v>0</v>
      </c>
      <c r="AC562" s="652">
        <f>IF($B562="",,IF(LEFT($H562,5)="dummy",SUMIFS(AvgBonus[avg_bonus],AvgBonus[job_title],$H562),SUMIFS(AvgBonus[avg_bonus],AvgBonus[exp_item],$J562,AvgBonus[company_name],$B562,AvgBonus[bu_name],$C562,AvgBonus[dept_name],$D562,AvgBonus[team_consolidation],$K562,AvgBonus[location_name],$G562,AvgBonus[job_title],$H562))*AC457*SUM(BonusPayout[Month 18]))</f>
        <v>0</v>
      </c>
      <c r="AD562" s="652">
        <f>IF($B562="",,IF(LEFT($H562,5)="dummy",SUMIFS(AvgBonus[avg_bonus],AvgBonus[job_title],$H562),SUMIFS(AvgBonus[avg_bonus],AvgBonus[exp_item],$J562,AvgBonus[company_name],$B562,AvgBonus[bu_name],$C562,AvgBonus[dept_name],$D562,AvgBonus[team_consolidation],$K562,AvgBonus[location_name],$G562,AvgBonus[job_title],$H562))*AD457*SUM(BonusPayout[Month 19]))</f>
        <v>0</v>
      </c>
      <c r="AE562" s="652">
        <f>IF($B562="",,IF(LEFT($H562,5)="dummy",SUMIFS(AvgBonus[avg_bonus],AvgBonus[job_title],$H562),SUMIFS(AvgBonus[avg_bonus],AvgBonus[exp_item],$J562,AvgBonus[company_name],$B562,AvgBonus[bu_name],$C562,AvgBonus[dept_name],$D562,AvgBonus[team_consolidation],$K562,AvgBonus[location_name],$G562,AvgBonus[job_title],$H562))*AE457*SUM(BonusPayout[Month 20]))</f>
        <v>0</v>
      </c>
      <c r="AF562" s="652">
        <f>IF($B562="",,IF(LEFT($H562,5)="dummy",SUMIFS(AvgBonus[avg_bonus],AvgBonus[job_title],$H562),SUMIFS(AvgBonus[avg_bonus],AvgBonus[exp_item],$J562,AvgBonus[company_name],$B562,AvgBonus[bu_name],$C562,AvgBonus[dept_name],$D562,AvgBonus[team_consolidation],$K562,AvgBonus[location_name],$G562,AvgBonus[job_title],$H562))*AF457*SUM(BonusPayout[Month 21]))</f>
        <v>0</v>
      </c>
      <c r="AG562" s="652">
        <f>IF($B562="",,IF(LEFT($H562,5)="dummy",SUMIFS(AvgBonus[avg_bonus],AvgBonus[job_title],$H562),SUMIFS(AvgBonus[avg_bonus],AvgBonus[exp_item],$J562,AvgBonus[company_name],$B562,AvgBonus[bu_name],$C562,AvgBonus[dept_name],$D562,AvgBonus[team_consolidation],$K562,AvgBonus[location_name],$G562,AvgBonus[job_title],$H562))*AG457*SUM(BonusPayout[Month 22]))</f>
        <v>0</v>
      </c>
      <c r="AH562" s="652">
        <f>IF($B562="",,IF(LEFT($H562,5)="dummy",SUMIFS(AvgBonus[avg_bonus],AvgBonus[job_title],$H562),SUMIFS(AvgBonus[avg_bonus],AvgBonus[exp_item],$J562,AvgBonus[company_name],$B562,AvgBonus[bu_name],$C562,AvgBonus[dept_name],$D562,AvgBonus[team_consolidation],$K562,AvgBonus[location_name],$G562,AvgBonus[job_title],$H562))*AH457*SUM(BonusPayout[Month 23]))</f>
        <v>0</v>
      </c>
      <c r="AI562" s="652">
        <f>IF($B562="",,IF(LEFT($H562,5)="dummy",SUMIFS(AvgBonus[avg_bonus],AvgBonus[job_title],$H562),SUMIFS(AvgBonus[avg_bonus],AvgBonus[exp_item],$J562,AvgBonus[company_name],$B562,AvgBonus[bu_name],$C562,AvgBonus[dept_name],$D562,AvgBonus[team_consolidation],$K562,AvgBonus[location_name],$G562,AvgBonus[job_title],$H562))*AI457*SUM(BonusPayout[Month 24]))</f>
        <v>0</v>
      </c>
      <c r="AJ562" s="652">
        <f>IF($B562="",,IF(LEFT($H562,5)="dummy",SUMIFS(AvgBonus[avg_bonus],AvgBonus[job_title],$H562),SUMIFS(AvgBonus[avg_bonus],AvgBonus[exp_item],$J562,AvgBonus[company_name],$B562,AvgBonus[bu_name],$C562,AvgBonus[dept_name],$D562,AvgBonus[team_consolidation],$K562,AvgBonus[location_name],$G562,AvgBonus[job_title],$H562))*AJ457*SUM(BonusPayout[Month 25]))</f>
        <v>0</v>
      </c>
      <c r="AK562" s="652">
        <f>IF($B562="",,IF(LEFT($H562,5)="dummy",SUMIFS(AvgBonus[avg_bonus],AvgBonus[job_title],$H562),SUMIFS(AvgBonus[avg_bonus],AvgBonus[exp_item],$J562,AvgBonus[company_name],$B562,AvgBonus[bu_name],$C562,AvgBonus[dept_name],$D562,AvgBonus[team_consolidation],$K562,AvgBonus[location_name],$G562,AvgBonus[job_title],$H562))*AK457*SUM(BonusPayout[Month 26]))</f>
        <v>0</v>
      </c>
      <c r="AL562" s="652">
        <f>IF($B562="",,IF(LEFT($H562,5)="dummy",SUMIFS(AvgBonus[avg_bonus],AvgBonus[job_title],$H562),SUMIFS(AvgBonus[avg_bonus],AvgBonus[exp_item],$J562,AvgBonus[company_name],$B562,AvgBonus[bu_name],$C562,AvgBonus[dept_name],$D562,AvgBonus[team_consolidation],$K562,AvgBonus[location_name],$G562,AvgBonus[job_title],$H562))*AL457*SUM(BonusPayout[Month 27]))</f>
        <v>0</v>
      </c>
      <c r="AM562" s="652">
        <f>IF($B562="",,IF(LEFT($H562,5)="dummy",SUMIFS(AvgBonus[avg_bonus],AvgBonus[job_title],$H562),SUMIFS(AvgBonus[avg_bonus],AvgBonus[exp_item],$J562,AvgBonus[company_name],$B562,AvgBonus[bu_name],$C562,AvgBonus[dept_name],$D562,AvgBonus[team_consolidation],$K562,AvgBonus[location_name],$G562,AvgBonus[job_title],$H562))*AM457*SUM(BonusPayout[Month 28]))</f>
        <v>0</v>
      </c>
      <c r="AN562" s="652">
        <f>IF($B562="",,IF(LEFT($H562,5)="dummy",SUMIFS(AvgBonus[avg_bonus],AvgBonus[job_title],$H562),SUMIFS(AvgBonus[avg_bonus],AvgBonus[exp_item],$J562,AvgBonus[company_name],$B562,AvgBonus[bu_name],$C562,AvgBonus[dept_name],$D562,AvgBonus[team_consolidation],$K562,AvgBonus[location_name],$G562,AvgBonus[job_title],$H562))*AN457*SUM(BonusPayout[Month 29]))</f>
        <v>0</v>
      </c>
      <c r="AO562" s="652">
        <f>IF($B562="",,IF(LEFT($H562,5)="dummy",SUMIFS(AvgBonus[avg_bonus],AvgBonus[job_title],$H562),SUMIFS(AvgBonus[avg_bonus],AvgBonus[exp_item],$J562,AvgBonus[company_name],$B562,AvgBonus[bu_name],$C562,AvgBonus[dept_name],$D562,AvgBonus[team_consolidation],$K562,AvgBonus[location_name],$G562,AvgBonus[job_title],$H562))*AO457*SUM(BonusPayout[Month 30]))</f>
        <v>0</v>
      </c>
      <c r="AP562" s="652">
        <f>IF($B562="",,IF(LEFT($H562,5)="dummy",SUMIFS(AvgBonus[avg_bonus],AvgBonus[job_title],$H562),SUMIFS(AvgBonus[avg_bonus],AvgBonus[exp_item],$J562,AvgBonus[company_name],$B562,AvgBonus[bu_name],$C562,AvgBonus[dept_name],$D562,AvgBonus[team_consolidation],$K562,AvgBonus[location_name],$G562,AvgBonus[job_title],$H562))*AP457*SUM(BonusPayout[Month 31]))</f>
        <v>0</v>
      </c>
      <c r="AQ562" s="652">
        <f>IF($B562="",,IF(LEFT($H562,5)="dummy",SUMIFS(AvgBonus[avg_bonus],AvgBonus[job_title],$H562),SUMIFS(AvgBonus[avg_bonus],AvgBonus[exp_item],$J562,AvgBonus[company_name],$B562,AvgBonus[bu_name],$C562,AvgBonus[dept_name],$D562,AvgBonus[team_consolidation],$K562,AvgBonus[location_name],$G562,AvgBonus[job_title],$H562))*AQ457*SUM(BonusPayout[Month 32]))</f>
        <v>0</v>
      </c>
      <c r="AR562" s="652">
        <f>IF($B562="",,IF(LEFT($H562,5)="dummy",SUMIFS(AvgBonus[avg_bonus],AvgBonus[job_title],$H562),SUMIFS(AvgBonus[avg_bonus],AvgBonus[exp_item],$J562,AvgBonus[company_name],$B562,AvgBonus[bu_name],$C562,AvgBonus[dept_name],$D562,AvgBonus[team_consolidation],$K562,AvgBonus[location_name],$G562,AvgBonus[job_title],$H562))*AR457*SUM(BonusPayout[Month 33]))</f>
        <v>0</v>
      </c>
      <c r="AS562" s="652">
        <f>IF($B562="",,IF(LEFT($H562,5)="dummy",SUMIFS(AvgBonus[avg_bonus],AvgBonus[job_title],$H562),SUMIFS(AvgBonus[avg_bonus],AvgBonus[exp_item],$J562,AvgBonus[company_name],$B562,AvgBonus[bu_name],$C562,AvgBonus[dept_name],$D562,AvgBonus[team_consolidation],$K562,AvgBonus[location_name],$G562,AvgBonus[job_title],$H562))*AS457*SUM(BonusPayout[Month 34]))</f>
        <v>0</v>
      </c>
      <c r="AT562" s="652">
        <f>IF($B562="",,IF(LEFT($H562,5)="dummy",SUMIFS(AvgBonus[avg_bonus],AvgBonus[job_title],$H562),SUMIFS(AvgBonus[avg_bonus],AvgBonus[exp_item],$J562,AvgBonus[company_name],$B562,AvgBonus[bu_name],$C562,AvgBonus[dept_name],$D562,AvgBonus[team_consolidation],$K562,AvgBonus[location_name],$G562,AvgBonus[job_title],$H562))*AT457*SUM(BonusPayout[Month 35]))</f>
        <v>0</v>
      </c>
      <c r="AU562" s="652">
        <f>IF($B562="",,IF(LEFT($H562,5)="dummy",SUMIFS(AvgBonus[avg_bonus],AvgBonus[job_title],$H562),SUMIFS(AvgBonus[avg_bonus],AvgBonus[exp_item],$J562,AvgBonus[company_name],$B562,AvgBonus[bu_name],$C562,AvgBonus[dept_name],$D562,AvgBonus[team_consolidation],$K562,AvgBonus[location_name],$G562,AvgBonus[job_title],$H562))*AU457*SUM(BonusPayout[Month 36]))</f>
        <v>0</v>
      </c>
    </row>
    <row r="563" spans="2:47" x14ac:dyDescent="0.35">
      <c r="B563" t="str">
        <f t="shared" si="327"/>
        <v/>
      </c>
      <c r="C563" t="str">
        <f t="shared" ref="C563:G563" si="357">IF(C458="","",C458)</f>
        <v/>
      </c>
      <c r="D563" t="str">
        <f t="shared" si="357"/>
        <v/>
      </c>
      <c r="E563" t="str">
        <f t="shared" si="357"/>
        <v/>
      </c>
      <c r="F563" t="str">
        <f t="shared" si="357"/>
        <v/>
      </c>
      <c r="G563" t="str">
        <f t="shared" si="357"/>
        <v/>
      </c>
      <c r="H563" t="str">
        <f t="shared" si="326"/>
        <v/>
      </c>
      <c r="J563" t="str">
        <f>IF($H563="","",IF(VLOOKUP($B$500,ExpItems[],2,0),$B$500&amp;" - "&amp;INDEX(DivisionMapping[category_code],MATCH($D563&amp;$C563,DivisionMapping[dept_bu],0)),$B$500))</f>
        <v/>
      </c>
      <c r="K563" t="str">
        <f t="shared" si="294"/>
        <v/>
      </c>
      <c r="L563" s="652">
        <f>IF($B563="",,IF(LEFT($H563,5)="dummy",SUMIFS(AvgBonus[avg_bonus],AvgBonus[job_title],$H563),SUMIFS(AvgBonus[avg_bonus],AvgBonus[exp_item],$J563,AvgBonus[company_name],$B563,AvgBonus[bu_name],$C563,AvgBonus[dept_name],$D563,AvgBonus[team_consolidation],$K563,AvgBonus[location_name],$G563,AvgBonus[job_title],$H563))*L458*SUM(BonusPayout[Month 1]))</f>
        <v>0</v>
      </c>
      <c r="M563" s="652">
        <f>IF($B563="",,IF(LEFT($H563,5)="dummy",SUMIFS(AvgBonus[avg_bonus],AvgBonus[job_title],$H563),SUMIFS(AvgBonus[avg_bonus],AvgBonus[exp_item],$J563,AvgBonus[company_name],$B563,AvgBonus[bu_name],$C563,AvgBonus[dept_name],$D563,AvgBonus[team_consolidation],$K563,AvgBonus[location_name],$G563,AvgBonus[job_title],$H563))*M458*SUM(BonusPayout[Month 2]))</f>
        <v>0</v>
      </c>
      <c r="N563" s="652">
        <f>IF($B563="",,IF(LEFT($H563,5)="dummy",SUMIFS(AvgBonus[avg_bonus],AvgBonus[job_title],$H563),SUMIFS(AvgBonus[avg_bonus],AvgBonus[exp_item],$J563,AvgBonus[company_name],$B563,AvgBonus[bu_name],$C563,AvgBonus[dept_name],$D563,AvgBonus[team_consolidation],$K563,AvgBonus[location_name],$G563,AvgBonus[job_title],$H563))*N458*SUM(BonusPayout[Month 3]))</f>
        <v>0</v>
      </c>
      <c r="O563" s="652">
        <f>IF($B563="",,IF(LEFT($H563,5)="dummy",SUMIFS(AvgBonus[avg_bonus],AvgBonus[job_title],$H563),SUMIFS(AvgBonus[avg_bonus],AvgBonus[exp_item],$J563,AvgBonus[company_name],$B563,AvgBonus[bu_name],$C563,AvgBonus[dept_name],$D563,AvgBonus[team_consolidation],$K563,AvgBonus[location_name],$G563,AvgBonus[job_title],$H563))*O458*SUM(BonusPayout[Month 4]))</f>
        <v>0</v>
      </c>
      <c r="P563" s="652">
        <f>IF($B563="",,IF(LEFT($H563,5)="dummy",SUMIFS(AvgBonus[avg_bonus],AvgBonus[job_title],$H563),SUMIFS(AvgBonus[avg_bonus],AvgBonus[exp_item],$J563,AvgBonus[company_name],$B563,AvgBonus[bu_name],$C563,AvgBonus[dept_name],$D563,AvgBonus[team_consolidation],$K563,AvgBonus[location_name],$G563,AvgBonus[job_title],$H563))*P458*SUM(BonusPayout[Month 5]))</f>
        <v>0</v>
      </c>
      <c r="Q563" s="652">
        <f>IF($B563="",,IF(LEFT($H563,5)="dummy",SUMIFS(AvgBonus[avg_bonus],AvgBonus[job_title],$H563),SUMIFS(AvgBonus[avg_bonus],AvgBonus[exp_item],$J563,AvgBonus[company_name],$B563,AvgBonus[bu_name],$C563,AvgBonus[dept_name],$D563,AvgBonus[team_consolidation],$K563,AvgBonus[location_name],$G563,AvgBonus[job_title],$H563))*Q458*SUM(BonusPayout[Month 6]))</f>
        <v>0</v>
      </c>
      <c r="R563" s="652">
        <f>IF($B563="",,IF(LEFT($H563,5)="dummy",SUMIFS(AvgBonus[avg_bonus],AvgBonus[job_title],$H563),SUMIFS(AvgBonus[avg_bonus],AvgBonus[exp_item],$J563,AvgBonus[company_name],$B563,AvgBonus[bu_name],$C563,AvgBonus[dept_name],$D563,AvgBonus[team_consolidation],$K563,AvgBonus[location_name],$G563,AvgBonus[job_title],$H563))*R458*SUM(BonusPayout[Month 7]))</f>
        <v>0</v>
      </c>
      <c r="S563" s="652">
        <f>IF($B563="",,IF(LEFT($H563,5)="dummy",SUMIFS(AvgBonus[avg_bonus],AvgBonus[job_title],$H563),SUMIFS(AvgBonus[avg_bonus],AvgBonus[exp_item],$J563,AvgBonus[company_name],$B563,AvgBonus[bu_name],$C563,AvgBonus[dept_name],$D563,AvgBonus[team_consolidation],$K563,AvgBonus[location_name],$G563,AvgBonus[job_title],$H563))*S458*SUM(BonusPayout[Month 8]))</f>
        <v>0</v>
      </c>
      <c r="T563" s="652">
        <f>IF($B563="",,IF(LEFT($H563,5)="dummy",SUMIFS(AvgBonus[avg_bonus],AvgBonus[job_title],$H563),SUMIFS(AvgBonus[avg_bonus],AvgBonus[exp_item],$J563,AvgBonus[company_name],$B563,AvgBonus[bu_name],$C563,AvgBonus[dept_name],$D563,AvgBonus[team_consolidation],$K563,AvgBonus[location_name],$G563,AvgBonus[job_title],$H563))*T458*SUM(BonusPayout[Month 9]))</f>
        <v>0</v>
      </c>
      <c r="U563" s="652">
        <f>IF($B563="",,IF(LEFT($H563,5)="dummy",SUMIFS(AvgBonus[avg_bonus],AvgBonus[job_title],$H563),SUMIFS(AvgBonus[avg_bonus],AvgBonus[exp_item],$J563,AvgBonus[company_name],$B563,AvgBonus[bu_name],$C563,AvgBonus[dept_name],$D563,AvgBonus[team_consolidation],$K563,AvgBonus[location_name],$G563,AvgBonus[job_title],$H563))*U458*SUM(BonusPayout[Month 10]))</f>
        <v>0</v>
      </c>
      <c r="V563" s="652">
        <f>IF($B563="",,IF(LEFT($H563,5)="dummy",SUMIFS(AvgBonus[avg_bonus],AvgBonus[job_title],$H563),SUMIFS(AvgBonus[avg_bonus],AvgBonus[exp_item],$J563,AvgBonus[company_name],$B563,AvgBonus[bu_name],$C563,AvgBonus[dept_name],$D563,AvgBonus[team_consolidation],$K563,AvgBonus[location_name],$G563,AvgBonus[job_title],$H563))*V458*SUM(BonusPayout[Month 11]))</f>
        <v>0</v>
      </c>
      <c r="W563" s="652">
        <f>IF($B563="",,IF(LEFT($H563,5)="dummy",SUMIFS(AvgBonus[avg_bonus],AvgBonus[job_title],$H563),SUMIFS(AvgBonus[avg_bonus],AvgBonus[exp_item],$J563,AvgBonus[company_name],$B563,AvgBonus[bu_name],$C563,AvgBonus[dept_name],$D563,AvgBonus[team_consolidation],$K563,AvgBonus[location_name],$G563,AvgBonus[job_title],$H563))*W458*SUM(BonusPayout[Month 12]))</f>
        <v>0</v>
      </c>
      <c r="X563" s="652">
        <f>IF($B563="",,IF(LEFT($H563,5)="dummy",SUMIFS(AvgBonus[avg_bonus],AvgBonus[job_title],$H563),SUMIFS(AvgBonus[avg_bonus],AvgBonus[exp_item],$J563,AvgBonus[company_name],$B563,AvgBonus[bu_name],$C563,AvgBonus[dept_name],$D563,AvgBonus[team_consolidation],$K563,AvgBonus[location_name],$G563,AvgBonus[job_title],$H563))*X458*SUM(BonusPayout[Month 13]))</f>
        <v>0</v>
      </c>
      <c r="Y563" s="652">
        <f>IF($B563="",,IF(LEFT($H563,5)="dummy",SUMIFS(AvgBonus[avg_bonus],AvgBonus[job_title],$H563),SUMIFS(AvgBonus[avg_bonus],AvgBonus[exp_item],$J563,AvgBonus[company_name],$B563,AvgBonus[bu_name],$C563,AvgBonus[dept_name],$D563,AvgBonus[team_consolidation],$K563,AvgBonus[location_name],$G563,AvgBonus[job_title],$H563))*Y458*SUM(BonusPayout[Month 14]))</f>
        <v>0</v>
      </c>
      <c r="Z563" s="652">
        <f>IF($B563="",,IF(LEFT($H563,5)="dummy",SUMIFS(AvgBonus[avg_bonus],AvgBonus[job_title],$H563),SUMIFS(AvgBonus[avg_bonus],AvgBonus[exp_item],$J563,AvgBonus[company_name],$B563,AvgBonus[bu_name],$C563,AvgBonus[dept_name],$D563,AvgBonus[team_consolidation],$K563,AvgBonus[location_name],$G563,AvgBonus[job_title],$H563))*Z458*SUM(BonusPayout[Month 15]))</f>
        <v>0</v>
      </c>
      <c r="AA563" s="652">
        <f>IF($B563="",,IF(LEFT($H563,5)="dummy",SUMIFS(AvgBonus[avg_bonus],AvgBonus[job_title],$H563),SUMIFS(AvgBonus[avg_bonus],AvgBonus[exp_item],$J563,AvgBonus[company_name],$B563,AvgBonus[bu_name],$C563,AvgBonus[dept_name],$D563,AvgBonus[team_consolidation],$K563,AvgBonus[location_name],$G563,AvgBonus[job_title],$H563))*AA458*SUM(BonusPayout[Month 16]))</f>
        <v>0</v>
      </c>
      <c r="AB563" s="652">
        <f>IF($B563="",,IF(LEFT($H563,5)="dummy",SUMIFS(AvgBonus[avg_bonus],AvgBonus[job_title],$H563),SUMIFS(AvgBonus[avg_bonus],AvgBonus[exp_item],$J563,AvgBonus[company_name],$B563,AvgBonus[bu_name],$C563,AvgBonus[dept_name],$D563,AvgBonus[team_consolidation],$K563,AvgBonus[location_name],$G563,AvgBonus[job_title],$H563))*AB458*SUM(BonusPayout[Month 17]))</f>
        <v>0</v>
      </c>
      <c r="AC563" s="652">
        <f>IF($B563="",,IF(LEFT($H563,5)="dummy",SUMIFS(AvgBonus[avg_bonus],AvgBonus[job_title],$H563),SUMIFS(AvgBonus[avg_bonus],AvgBonus[exp_item],$J563,AvgBonus[company_name],$B563,AvgBonus[bu_name],$C563,AvgBonus[dept_name],$D563,AvgBonus[team_consolidation],$K563,AvgBonus[location_name],$G563,AvgBonus[job_title],$H563))*AC458*SUM(BonusPayout[Month 18]))</f>
        <v>0</v>
      </c>
      <c r="AD563" s="652">
        <f>IF($B563="",,IF(LEFT($H563,5)="dummy",SUMIFS(AvgBonus[avg_bonus],AvgBonus[job_title],$H563),SUMIFS(AvgBonus[avg_bonus],AvgBonus[exp_item],$J563,AvgBonus[company_name],$B563,AvgBonus[bu_name],$C563,AvgBonus[dept_name],$D563,AvgBonus[team_consolidation],$K563,AvgBonus[location_name],$G563,AvgBonus[job_title],$H563))*AD458*SUM(BonusPayout[Month 19]))</f>
        <v>0</v>
      </c>
      <c r="AE563" s="652">
        <f>IF($B563="",,IF(LEFT($H563,5)="dummy",SUMIFS(AvgBonus[avg_bonus],AvgBonus[job_title],$H563),SUMIFS(AvgBonus[avg_bonus],AvgBonus[exp_item],$J563,AvgBonus[company_name],$B563,AvgBonus[bu_name],$C563,AvgBonus[dept_name],$D563,AvgBonus[team_consolidation],$K563,AvgBonus[location_name],$G563,AvgBonus[job_title],$H563))*AE458*SUM(BonusPayout[Month 20]))</f>
        <v>0</v>
      </c>
      <c r="AF563" s="652">
        <f>IF($B563="",,IF(LEFT($H563,5)="dummy",SUMIFS(AvgBonus[avg_bonus],AvgBonus[job_title],$H563),SUMIFS(AvgBonus[avg_bonus],AvgBonus[exp_item],$J563,AvgBonus[company_name],$B563,AvgBonus[bu_name],$C563,AvgBonus[dept_name],$D563,AvgBonus[team_consolidation],$K563,AvgBonus[location_name],$G563,AvgBonus[job_title],$H563))*AF458*SUM(BonusPayout[Month 21]))</f>
        <v>0</v>
      </c>
      <c r="AG563" s="652">
        <f>IF($B563="",,IF(LEFT($H563,5)="dummy",SUMIFS(AvgBonus[avg_bonus],AvgBonus[job_title],$H563),SUMIFS(AvgBonus[avg_bonus],AvgBonus[exp_item],$J563,AvgBonus[company_name],$B563,AvgBonus[bu_name],$C563,AvgBonus[dept_name],$D563,AvgBonus[team_consolidation],$K563,AvgBonus[location_name],$G563,AvgBonus[job_title],$H563))*AG458*SUM(BonusPayout[Month 22]))</f>
        <v>0</v>
      </c>
      <c r="AH563" s="652">
        <f>IF($B563="",,IF(LEFT($H563,5)="dummy",SUMIFS(AvgBonus[avg_bonus],AvgBonus[job_title],$H563),SUMIFS(AvgBonus[avg_bonus],AvgBonus[exp_item],$J563,AvgBonus[company_name],$B563,AvgBonus[bu_name],$C563,AvgBonus[dept_name],$D563,AvgBonus[team_consolidation],$K563,AvgBonus[location_name],$G563,AvgBonus[job_title],$H563))*AH458*SUM(BonusPayout[Month 23]))</f>
        <v>0</v>
      </c>
      <c r="AI563" s="652">
        <f>IF($B563="",,IF(LEFT($H563,5)="dummy",SUMIFS(AvgBonus[avg_bonus],AvgBonus[job_title],$H563),SUMIFS(AvgBonus[avg_bonus],AvgBonus[exp_item],$J563,AvgBonus[company_name],$B563,AvgBonus[bu_name],$C563,AvgBonus[dept_name],$D563,AvgBonus[team_consolidation],$K563,AvgBonus[location_name],$G563,AvgBonus[job_title],$H563))*AI458*SUM(BonusPayout[Month 24]))</f>
        <v>0</v>
      </c>
      <c r="AJ563" s="652">
        <f>IF($B563="",,IF(LEFT($H563,5)="dummy",SUMIFS(AvgBonus[avg_bonus],AvgBonus[job_title],$H563),SUMIFS(AvgBonus[avg_bonus],AvgBonus[exp_item],$J563,AvgBonus[company_name],$B563,AvgBonus[bu_name],$C563,AvgBonus[dept_name],$D563,AvgBonus[team_consolidation],$K563,AvgBonus[location_name],$G563,AvgBonus[job_title],$H563))*AJ458*SUM(BonusPayout[Month 25]))</f>
        <v>0</v>
      </c>
      <c r="AK563" s="652">
        <f>IF($B563="",,IF(LEFT($H563,5)="dummy",SUMIFS(AvgBonus[avg_bonus],AvgBonus[job_title],$H563),SUMIFS(AvgBonus[avg_bonus],AvgBonus[exp_item],$J563,AvgBonus[company_name],$B563,AvgBonus[bu_name],$C563,AvgBonus[dept_name],$D563,AvgBonus[team_consolidation],$K563,AvgBonus[location_name],$G563,AvgBonus[job_title],$H563))*AK458*SUM(BonusPayout[Month 26]))</f>
        <v>0</v>
      </c>
      <c r="AL563" s="652">
        <f>IF($B563="",,IF(LEFT($H563,5)="dummy",SUMIFS(AvgBonus[avg_bonus],AvgBonus[job_title],$H563),SUMIFS(AvgBonus[avg_bonus],AvgBonus[exp_item],$J563,AvgBonus[company_name],$B563,AvgBonus[bu_name],$C563,AvgBonus[dept_name],$D563,AvgBonus[team_consolidation],$K563,AvgBonus[location_name],$G563,AvgBonus[job_title],$H563))*AL458*SUM(BonusPayout[Month 27]))</f>
        <v>0</v>
      </c>
      <c r="AM563" s="652">
        <f>IF($B563="",,IF(LEFT($H563,5)="dummy",SUMIFS(AvgBonus[avg_bonus],AvgBonus[job_title],$H563),SUMIFS(AvgBonus[avg_bonus],AvgBonus[exp_item],$J563,AvgBonus[company_name],$B563,AvgBonus[bu_name],$C563,AvgBonus[dept_name],$D563,AvgBonus[team_consolidation],$K563,AvgBonus[location_name],$G563,AvgBonus[job_title],$H563))*AM458*SUM(BonusPayout[Month 28]))</f>
        <v>0</v>
      </c>
      <c r="AN563" s="652">
        <f>IF($B563="",,IF(LEFT($H563,5)="dummy",SUMIFS(AvgBonus[avg_bonus],AvgBonus[job_title],$H563),SUMIFS(AvgBonus[avg_bonus],AvgBonus[exp_item],$J563,AvgBonus[company_name],$B563,AvgBonus[bu_name],$C563,AvgBonus[dept_name],$D563,AvgBonus[team_consolidation],$K563,AvgBonus[location_name],$G563,AvgBonus[job_title],$H563))*AN458*SUM(BonusPayout[Month 29]))</f>
        <v>0</v>
      </c>
      <c r="AO563" s="652">
        <f>IF($B563="",,IF(LEFT($H563,5)="dummy",SUMIFS(AvgBonus[avg_bonus],AvgBonus[job_title],$H563),SUMIFS(AvgBonus[avg_bonus],AvgBonus[exp_item],$J563,AvgBonus[company_name],$B563,AvgBonus[bu_name],$C563,AvgBonus[dept_name],$D563,AvgBonus[team_consolidation],$K563,AvgBonus[location_name],$G563,AvgBonus[job_title],$H563))*AO458*SUM(BonusPayout[Month 30]))</f>
        <v>0</v>
      </c>
      <c r="AP563" s="652">
        <f>IF($B563="",,IF(LEFT($H563,5)="dummy",SUMIFS(AvgBonus[avg_bonus],AvgBonus[job_title],$H563),SUMIFS(AvgBonus[avg_bonus],AvgBonus[exp_item],$J563,AvgBonus[company_name],$B563,AvgBonus[bu_name],$C563,AvgBonus[dept_name],$D563,AvgBonus[team_consolidation],$K563,AvgBonus[location_name],$G563,AvgBonus[job_title],$H563))*AP458*SUM(BonusPayout[Month 31]))</f>
        <v>0</v>
      </c>
      <c r="AQ563" s="652">
        <f>IF($B563="",,IF(LEFT($H563,5)="dummy",SUMIFS(AvgBonus[avg_bonus],AvgBonus[job_title],$H563),SUMIFS(AvgBonus[avg_bonus],AvgBonus[exp_item],$J563,AvgBonus[company_name],$B563,AvgBonus[bu_name],$C563,AvgBonus[dept_name],$D563,AvgBonus[team_consolidation],$K563,AvgBonus[location_name],$G563,AvgBonus[job_title],$H563))*AQ458*SUM(BonusPayout[Month 32]))</f>
        <v>0</v>
      </c>
      <c r="AR563" s="652">
        <f>IF($B563="",,IF(LEFT($H563,5)="dummy",SUMIFS(AvgBonus[avg_bonus],AvgBonus[job_title],$H563),SUMIFS(AvgBonus[avg_bonus],AvgBonus[exp_item],$J563,AvgBonus[company_name],$B563,AvgBonus[bu_name],$C563,AvgBonus[dept_name],$D563,AvgBonus[team_consolidation],$K563,AvgBonus[location_name],$G563,AvgBonus[job_title],$H563))*AR458*SUM(BonusPayout[Month 33]))</f>
        <v>0</v>
      </c>
      <c r="AS563" s="652">
        <f>IF($B563="",,IF(LEFT($H563,5)="dummy",SUMIFS(AvgBonus[avg_bonus],AvgBonus[job_title],$H563),SUMIFS(AvgBonus[avg_bonus],AvgBonus[exp_item],$J563,AvgBonus[company_name],$B563,AvgBonus[bu_name],$C563,AvgBonus[dept_name],$D563,AvgBonus[team_consolidation],$K563,AvgBonus[location_name],$G563,AvgBonus[job_title],$H563))*AS458*SUM(BonusPayout[Month 34]))</f>
        <v>0</v>
      </c>
      <c r="AT563" s="652">
        <f>IF($B563="",,IF(LEFT($H563,5)="dummy",SUMIFS(AvgBonus[avg_bonus],AvgBonus[job_title],$H563),SUMIFS(AvgBonus[avg_bonus],AvgBonus[exp_item],$J563,AvgBonus[company_name],$B563,AvgBonus[bu_name],$C563,AvgBonus[dept_name],$D563,AvgBonus[team_consolidation],$K563,AvgBonus[location_name],$G563,AvgBonus[job_title],$H563))*AT458*SUM(BonusPayout[Month 35]))</f>
        <v>0</v>
      </c>
      <c r="AU563" s="652">
        <f>IF($B563="",,IF(LEFT($H563,5)="dummy",SUMIFS(AvgBonus[avg_bonus],AvgBonus[job_title],$H563),SUMIFS(AvgBonus[avg_bonus],AvgBonus[exp_item],$J563,AvgBonus[company_name],$B563,AvgBonus[bu_name],$C563,AvgBonus[dept_name],$D563,AvgBonus[team_consolidation],$K563,AvgBonus[location_name],$G563,AvgBonus[job_title],$H563))*AU458*SUM(BonusPayout[Month 36]))</f>
        <v>0</v>
      </c>
    </row>
    <row r="564" spans="2:47" x14ac:dyDescent="0.35">
      <c r="B564" t="str">
        <f t="shared" si="327"/>
        <v/>
      </c>
      <c r="C564" t="str">
        <f t="shared" ref="C564:G564" si="358">IF(C459="","",C459)</f>
        <v/>
      </c>
      <c r="D564" t="str">
        <f t="shared" si="358"/>
        <v/>
      </c>
      <c r="E564" t="str">
        <f t="shared" si="358"/>
        <v/>
      </c>
      <c r="F564" t="str">
        <f t="shared" si="358"/>
        <v/>
      </c>
      <c r="G564" t="str">
        <f t="shared" si="358"/>
        <v/>
      </c>
      <c r="H564" t="str">
        <f t="shared" si="326"/>
        <v/>
      </c>
      <c r="J564" t="str">
        <f>IF($H564="","",IF(VLOOKUP($B$500,ExpItems[],2,0),$B$500&amp;" - "&amp;INDEX(DivisionMapping[category_code],MATCH($D564&amp;$C564,DivisionMapping[dept_bu],0)),$B$500))</f>
        <v/>
      </c>
      <c r="K564" t="str">
        <f t="shared" si="294"/>
        <v/>
      </c>
      <c r="L564" s="652">
        <f>IF($B564="",,IF(LEFT($H564,5)="dummy",SUMIFS(AvgBonus[avg_bonus],AvgBonus[job_title],$H564),SUMIFS(AvgBonus[avg_bonus],AvgBonus[exp_item],$J564,AvgBonus[company_name],$B564,AvgBonus[bu_name],$C564,AvgBonus[dept_name],$D564,AvgBonus[team_consolidation],$K564,AvgBonus[location_name],$G564,AvgBonus[job_title],$H564))*L459*SUM(BonusPayout[Month 1]))</f>
        <v>0</v>
      </c>
      <c r="M564" s="652">
        <f>IF($B564="",,IF(LEFT($H564,5)="dummy",SUMIFS(AvgBonus[avg_bonus],AvgBonus[job_title],$H564),SUMIFS(AvgBonus[avg_bonus],AvgBonus[exp_item],$J564,AvgBonus[company_name],$B564,AvgBonus[bu_name],$C564,AvgBonus[dept_name],$D564,AvgBonus[team_consolidation],$K564,AvgBonus[location_name],$G564,AvgBonus[job_title],$H564))*M459*SUM(BonusPayout[Month 2]))</f>
        <v>0</v>
      </c>
      <c r="N564" s="652">
        <f>IF($B564="",,IF(LEFT($H564,5)="dummy",SUMIFS(AvgBonus[avg_bonus],AvgBonus[job_title],$H564),SUMIFS(AvgBonus[avg_bonus],AvgBonus[exp_item],$J564,AvgBonus[company_name],$B564,AvgBonus[bu_name],$C564,AvgBonus[dept_name],$D564,AvgBonus[team_consolidation],$K564,AvgBonus[location_name],$G564,AvgBonus[job_title],$H564))*N459*SUM(BonusPayout[Month 3]))</f>
        <v>0</v>
      </c>
      <c r="O564" s="652">
        <f>IF($B564="",,IF(LEFT($H564,5)="dummy",SUMIFS(AvgBonus[avg_bonus],AvgBonus[job_title],$H564),SUMIFS(AvgBonus[avg_bonus],AvgBonus[exp_item],$J564,AvgBonus[company_name],$B564,AvgBonus[bu_name],$C564,AvgBonus[dept_name],$D564,AvgBonus[team_consolidation],$K564,AvgBonus[location_name],$G564,AvgBonus[job_title],$H564))*O459*SUM(BonusPayout[Month 4]))</f>
        <v>0</v>
      </c>
      <c r="P564" s="652">
        <f>IF($B564="",,IF(LEFT($H564,5)="dummy",SUMIFS(AvgBonus[avg_bonus],AvgBonus[job_title],$H564),SUMIFS(AvgBonus[avg_bonus],AvgBonus[exp_item],$J564,AvgBonus[company_name],$B564,AvgBonus[bu_name],$C564,AvgBonus[dept_name],$D564,AvgBonus[team_consolidation],$K564,AvgBonus[location_name],$G564,AvgBonus[job_title],$H564))*P459*SUM(BonusPayout[Month 5]))</f>
        <v>0</v>
      </c>
      <c r="Q564" s="652">
        <f>IF($B564="",,IF(LEFT($H564,5)="dummy",SUMIFS(AvgBonus[avg_bonus],AvgBonus[job_title],$H564),SUMIFS(AvgBonus[avg_bonus],AvgBonus[exp_item],$J564,AvgBonus[company_name],$B564,AvgBonus[bu_name],$C564,AvgBonus[dept_name],$D564,AvgBonus[team_consolidation],$K564,AvgBonus[location_name],$G564,AvgBonus[job_title],$H564))*Q459*SUM(BonusPayout[Month 6]))</f>
        <v>0</v>
      </c>
      <c r="R564" s="652">
        <f>IF($B564="",,IF(LEFT($H564,5)="dummy",SUMIFS(AvgBonus[avg_bonus],AvgBonus[job_title],$H564),SUMIFS(AvgBonus[avg_bonus],AvgBonus[exp_item],$J564,AvgBonus[company_name],$B564,AvgBonus[bu_name],$C564,AvgBonus[dept_name],$D564,AvgBonus[team_consolidation],$K564,AvgBonus[location_name],$G564,AvgBonus[job_title],$H564))*R459*SUM(BonusPayout[Month 7]))</f>
        <v>0</v>
      </c>
      <c r="S564" s="652">
        <f>IF($B564="",,IF(LEFT($H564,5)="dummy",SUMIFS(AvgBonus[avg_bonus],AvgBonus[job_title],$H564),SUMIFS(AvgBonus[avg_bonus],AvgBonus[exp_item],$J564,AvgBonus[company_name],$B564,AvgBonus[bu_name],$C564,AvgBonus[dept_name],$D564,AvgBonus[team_consolidation],$K564,AvgBonus[location_name],$G564,AvgBonus[job_title],$H564))*S459*SUM(BonusPayout[Month 8]))</f>
        <v>0</v>
      </c>
      <c r="T564" s="652">
        <f>IF($B564="",,IF(LEFT($H564,5)="dummy",SUMIFS(AvgBonus[avg_bonus],AvgBonus[job_title],$H564),SUMIFS(AvgBonus[avg_bonus],AvgBonus[exp_item],$J564,AvgBonus[company_name],$B564,AvgBonus[bu_name],$C564,AvgBonus[dept_name],$D564,AvgBonus[team_consolidation],$K564,AvgBonus[location_name],$G564,AvgBonus[job_title],$H564))*T459*SUM(BonusPayout[Month 9]))</f>
        <v>0</v>
      </c>
      <c r="U564" s="652">
        <f>IF($B564="",,IF(LEFT($H564,5)="dummy",SUMIFS(AvgBonus[avg_bonus],AvgBonus[job_title],$H564),SUMIFS(AvgBonus[avg_bonus],AvgBonus[exp_item],$J564,AvgBonus[company_name],$B564,AvgBonus[bu_name],$C564,AvgBonus[dept_name],$D564,AvgBonus[team_consolidation],$K564,AvgBonus[location_name],$G564,AvgBonus[job_title],$H564))*U459*SUM(BonusPayout[Month 10]))</f>
        <v>0</v>
      </c>
      <c r="V564" s="652">
        <f>IF($B564="",,IF(LEFT($H564,5)="dummy",SUMIFS(AvgBonus[avg_bonus],AvgBonus[job_title],$H564),SUMIFS(AvgBonus[avg_bonus],AvgBonus[exp_item],$J564,AvgBonus[company_name],$B564,AvgBonus[bu_name],$C564,AvgBonus[dept_name],$D564,AvgBonus[team_consolidation],$K564,AvgBonus[location_name],$G564,AvgBonus[job_title],$H564))*V459*SUM(BonusPayout[Month 11]))</f>
        <v>0</v>
      </c>
      <c r="W564" s="652">
        <f>IF($B564="",,IF(LEFT($H564,5)="dummy",SUMIFS(AvgBonus[avg_bonus],AvgBonus[job_title],$H564),SUMIFS(AvgBonus[avg_bonus],AvgBonus[exp_item],$J564,AvgBonus[company_name],$B564,AvgBonus[bu_name],$C564,AvgBonus[dept_name],$D564,AvgBonus[team_consolidation],$K564,AvgBonus[location_name],$G564,AvgBonus[job_title],$H564))*W459*SUM(BonusPayout[Month 12]))</f>
        <v>0</v>
      </c>
      <c r="X564" s="652">
        <f>IF($B564="",,IF(LEFT($H564,5)="dummy",SUMIFS(AvgBonus[avg_bonus],AvgBonus[job_title],$H564),SUMIFS(AvgBonus[avg_bonus],AvgBonus[exp_item],$J564,AvgBonus[company_name],$B564,AvgBonus[bu_name],$C564,AvgBonus[dept_name],$D564,AvgBonus[team_consolidation],$K564,AvgBonus[location_name],$G564,AvgBonus[job_title],$H564))*X459*SUM(BonusPayout[Month 13]))</f>
        <v>0</v>
      </c>
      <c r="Y564" s="652">
        <f>IF($B564="",,IF(LEFT($H564,5)="dummy",SUMIFS(AvgBonus[avg_bonus],AvgBonus[job_title],$H564),SUMIFS(AvgBonus[avg_bonus],AvgBonus[exp_item],$J564,AvgBonus[company_name],$B564,AvgBonus[bu_name],$C564,AvgBonus[dept_name],$D564,AvgBonus[team_consolidation],$K564,AvgBonus[location_name],$G564,AvgBonus[job_title],$H564))*Y459*SUM(BonusPayout[Month 14]))</f>
        <v>0</v>
      </c>
      <c r="Z564" s="652">
        <f>IF($B564="",,IF(LEFT($H564,5)="dummy",SUMIFS(AvgBonus[avg_bonus],AvgBonus[job_title],$H564),SUMIFS(AvgBonus[avg_bonus],AvgBonus[exp_item],$J564,AvgBonus[company_name],$B564,AvgBonus[bu_name],$C564,AvgBonus[dept_name],$D564,AvgBonus[team_consolidation],$K564,AvgBonus[location_name],$G564,AvgBonus[job_title],$H564))*Z459*SUM(BonusPayout[Month 15]))</f>
        <v>0</v>
      </c>
      <c r="AA564" s="652">
        <f>IF($B564="",,IF(LEFT($H564,5)="dummy",SUMIFS(AvgBonus[avg_bonus],AvgBonus[job_title],$H564),SUMIFS(AvgBonus[avg_bonus],AvgBonus[exp_item],$J564,AvgBonus[company_name],$B564,AvgBonus[bu_name],$C564,AvgBonus[dept_name],$D564,AvgBonus[team_consolidation],$K564,AvgBonus[location_name],$G564,AvgBonus[job_title],$H564))*AA459*SUM(BonusPayout[Month 16]))</f>
        <v>0</v>
      </c>
      <c r="AB564" s="652">
        <f>IF($B564="",,IF(LEFT($H564,5)="dummy",SUMIFS(AvgBonus[avg_bonus],AvgBonus[job_title],$H564),SUMIFS(AvgBonus[avg_bonus],AvgBonus[exp_item],$J564,AvgBonus[company_name],$B564,AvgBonus[bu_name],$C564,AvgBonus[dept_name],$D564,AvgBonus[team_consolidation],$K564,AvgBonus[location_name],$G564,AvgBonus[job_title],$H564))*AB459*SUM(BonusPayout[Month 17]))</f>
        <v>0</v>
      </c>
      <c r="AC564" s="652">
        <f>IF($B564="",,IF(LEFT($H564,5)="dummy",SUMIFS(AvgBonus[avg_bonus],AvgBonus[job_title],$H564),SUMIFS(AvgBonus[avg_bonus],AvgBonus[exp_item],$J564,AvgBonus[company_name],$B564,AvgBonus[bu_name],$C564,AvgBonus[dept_name],$D564,AvgBonus[team_consolidation],$K564,AvgBonus[location_name],$G564,AvgBonus[job_title],$H564))*AC459*SUM(BonusPayout[Month 18]))</f>
        <v>0</v>
      </c>
      <c r="AD564" s="652">
        <f>IF($B564="",,IF(LEFT($H564,5)="dummy",SUMIFS(AvgBonus[avg_bonus],AvgBonus[job_title],$H564),SUMIFS(AvgBonus[avg_bonus],AvgBonus[exp_item],$J564,AvgBonus[company_name],$B564,AvgBonus[bu_name],$C564,AvgBonus[dept_name],$D564,AvgBonus[team_consolidation],$K564,AvgBonus[location_name],$G564,AvgBonus[job_title],$H564))*AD459*SUM(BonusPayout[Month 19]))</f>
        <v>0</v>
      </c>
      <c r="AE564" s="652">
        <f>IF($B564="",,IF(LEFT($H564,5)="dummy",SUMIFS(AvgBonus[avg_bonus],AvgBonus[job_title],$H564),SUMIFS(AvgBonus[avg_bonus],AvgBonus[exp_item],$J564,AvgBonus[company_name],$B564,AvgBonus[bu_name],$C564,AvgBonus[dept_name],$D564,AvgBonus[team_consolidation],$K564,AvgBonus[location_name],$G564,AvgBonus[job_title],$H564))*AE459*SUM(BonusPayout[Month 20]))</f>
        <v>0</v>
      </c>
      <c r="AF564" s="652">
        <f>IF($B564="",,IF(LEFT($H564,5)="dummy",SUMIFS(AvgBonus[avg_bonus],AvgBonus[job_title],$H564),SUMIFS(AvgBonus[avg_bonus],AvgBonus[exp_item],$J564,AvgBonus[company_name],$B564,AvgBonus[bu_name],$C564,AvgBonus[dept_name],$D564,AvgBonus[team_consolidation],$K564,AvgBonus[location_name],$G564,AvgBonus[job_title],$H564))*AF459*SUM(BonusPayout[Month 21]))</f>
        <v>0</v>
      </c>
      <c r="AG564" s="652">
        <f>IF($B564="",,IF(LEFT($H564,5)="dummy",SUMIFS(AvgBonus[avg_bonus],AvgBonus[job_title],$H564),SUMIFS(AvgBonus[avg_bonus],AvgBonus[exp_item],$J564,AvgBonus[company_name],$B564,AvgBonus[bu_name],$C564,AvgBonus[dept_name],$D564,AvgBonus[team_consolidation],$K564,AvgBonus[location_name],$G564,AvgBonus[job_title],$H564))*AG459*SUM(BonusPayout[Month 22]))</f>
        <v>0</v>
      </c>
      <c r="AH564" s="652">
        <f>IF($B564="",,IF(LEFT($H564,5)="dummy",SUMIFS(AvgBonus[avg_bonus],AvgBonus[job_title],$H564),SUMIFS(AvgBonus[avg_bonus],AvgBonus[exp_item],$J564,AvgBonus[company_name],$B564,AvgBonus[bu_name],$C564,AvgBonus[dept_name],$D564,AvgBonus[team_consolidation],$K564,AvgBonus[location_name],$G564,AvgBonus[job_title],$H564))*AH459*SUM(BonusPayout[Month 23]))</f>
        <v>0</v>
      </c>
      <c r="AI564" s="652">
        <f>IF($B564="",,IF(LEFT($H564,5)="dummy",SUMIFS(AvgBonus[avg_bonus],AvgBonus[job_title],$H564),SUMIFS(AvgBonus[avg_bonus],AvgBonus[exp_item],$J564,AvgBonus[company_name],$B564,AvgBonus[bu_name],$C564,AvgBonus[dept_name],$D564,AvgBonus[team_consolidation],$K564,AvgBonus[location_name],$G564,AvgBonus[job_title],$H564))*AI459*SUM(BonusPayout[Month 24]))</f>
        <v>0</v>
      </c>
      <c r="AJ564" s="652">
        <f>IF($B564="",,IF(LEFT($H564,5)="dummy",SUMIFS(AvgBonus[avg_bonus],AvgBonus[job_title],$H564),SUMIFS(AvgBonus[avg_bonus],AvgBonus[exp_item],$J564,AvgBonus[company_name],$B564,AvgBonus[bu_name],$C564,AvgBonus[dept_name],$D564,AvgBonus[team_consolidation],$K564,AvgBonus[location_name],$G564,AvgBonus[job_title],$H564))*AJ459*SUM(BonusPayout[Month 25]))</f>
        <v>0</v>
      </c>
      <c r="AK564" s="652">
        <f>IF($B564="",,IF(LEFT($H564,5)="dummy",SUMIFS(AvgBonus[avg_bonus],AvgBonus[job_title],$H564),SUMIFS(AvgBonus[avg_bonus],AvgBonus[exp_item],$J564,AvgBonus[company_name],$B564,AvgBonus[bu_name],$C564,AvgBonus[dept_name],$D564,AvgBonus[team_consolidation],$K564,AvgBonus[location_name],$G564,AvgBonus[job_title],$H564))*AK459*SUM(BonusPayout[Month 26]))</f>
        <v>0</v>
      </c>
      <c r="AL564" s="652">
        <f>IF($B564="",,IF(LEFT($H564,5)="dummy",SUMIFS(AvgBonus[avg_bonus],AvgBonus[job_title],$H564),SUMIFS(AvgBonus[avg_bonus],AvgBonus[exp_item],$J564,AvgBonus[company_name],$B564,AvgBonus[bu_name],$C564,AvgBonus[dept_name],$D564,AvgBonus[team_consolidation],$K564,AvgBonus[location_name],$G564,AvgBonus[job_title],$H564))*AL459*SUM(BonusPayout[Month 27]))</f>
        <v>0</v>
      </c>
      <c r="AM564" s="652">
        <f>IF($B564="",,IF(LEFT($H564,5)="dummy",SUMIFS(AvgBonus[avg_bonus],AvgBonus[job_title],$H564),SUMIFS(AvgBonus[avg_bonus],AvgBonus[exp_item],$J564,AvgBonus[company_name],$B564,AvgBonus[bu_name],$C564,AvgBonus[dept_name],$D564,AvgBonus[team_consolidation],$K564,AvgBonus[location_name],$G564,AvgBonus[job_title],$H564))*AM459*SUM(BonusPayout[Month 28]))</f>
        <v>0</v>
      </c>
      <c r="AN564" s="652">
        <f>IF($B564="",,IF(LEFT($H564,5)="dummy",SUMIFS(AvgBonus[avg_bonus],AvgBonus[job_title],$H564),SUMIFS(AvgBonus[avg_bonus],AvgBonus[exp_item],$J564,AvgBonus[company_name],$B564,AvgBonus[bu_name],$C564,AvgBonus[dept_name],$D564,AvgBonus[team_consolidation],$K564,AvgBonus[location_name],$G564,AvgBonus[job_title],$H564))*AN459*SUM(BonusPayout[Month 29]))</f>
        <v>0</v>
      </c>
      <c r="AO564" s="652">
        <f>IF($B564="",,IF(LEFT($H564,5)="dummy",SUMIFS(AvgBonus[avg_bonus],AvgBonus[job_title],$H564),SUMIFS(AvgBonus[avg_bonus],AvgBonus[exp_item],$J564,AvgBonus[company_name],$B564,AvgBonus[bu_name],$C564,AvgBonus[dept_name],$D564,AvgBonus[team_consolidation],$K564,AvgBonus[location_name],$G564,AvgBonus[job_title],$H564))*AO459*SUM(BonusPayout[Month 30]))</f>
        <v>0</v>
      </c>
      <c r="AP564" s="652">
        <f>IF($B564="",,IF(LEFT($H564,5)="dummy",SUMIFS(AvgBonus[avg_bonus],AvgBonus[job_title],$H564),SUMIFS(AvgBonus[avg_bonus],AvgBonus[exp_item],$J564,AvgBonus[company_name],$B564,AvgBonus[bu_name],$C564,AvgBonus[dept_name],$D564,AvgBonus[team_consolidation],$K564,AvgBonus[location_name],$G564,AvgBonus[job_title],$H564))*AP459*SUM(BonusPayout[Month 31]))</f>
        <v>0</v>
      </c>
      <c r="AQ564" s="652">
        <f>IF($B564="",,IF(LEFT($H564,5)="dummy",SUMIFS(AvgBonus[avg_bonus],AvgBonus[job_title],$H564),SUMIFS(AvgBonus[avg_bonus],AvgBonus[exp_item],$J564,AvgBonus[company_name],$B564,AvgBonus[bu_name],$C564,AvgBonus[dept_name],$D564,AvgBonus[team_consolidation],$K564,AvgBonus[location_name],$G564,AvgBonus[job_title],$H564))*AQ459*SUM(BonusPayout[Month 32]))</f>
        <v>0</v>
      </c>
      <c r="AR564" s="652">
        <f>IF($B564="",,IF(LEFT($H564,5)="dummy",SUMIFS(AvgBonus[avg_bonus],AvgBonus[job_title],$H564),SUMIFS(AvgBonus[avg_bonus],AvgBonus[exp_item],$J564,AvgBonus[company_name],$B564,AvgBonus[bu_name],$C564,AvgBonus[dept_name],$D564,AvgBonus[team_consolidation],$K564,AvgBonus[location_name],$G564,AvgBonus[job_title],$H564))*AR459*SUM(BonusPayout[Month 33]))</f>
        <v>0</v>
      </c>
      <c r="AS564" s="652">
        <f>IF($B564="",,IF(LEFT($H564,5)="dummy",SUMIFS(AvgBonus[avg_bonus],AvgBonus[job_title],$H564),SUMIFS(AvgBonus[avg_bonus],AvgBonus[exp_item],$J564,AvgBonus[company_name],$B564,AvgBonus[bu_name],$C564,AvgBonus[dept_name],$D564,AvgBonus[team_consolidation],$K564,AvgBonus[location_name],$G564,AvgBonus[job_title],$H564))*AS459*SUM(BonusPayout[Month 34]))</f>
        <v>0</v>
      </c>
      <c r="AT564" s="652">
        <f>IF($B564="",,IF(LEFT($H564,5)="dummy",SUMIFS(AvgBonus[avg_bonus],AvgBonus[job_title],$H564),SUMIFS(AvgBonus[avg_bonus],AvgBonus[exp_item],$J564,AvgBonus[company_name],$B564,AvgBonus[bu_name],$C564,AvgBonus[dept_name],$D564,AvgBonus[team_consolidation],$K564,AvgBonus[location_name],$G564,AvgBonus[job_title],$H564))*AT459*SUM(BonusPayout[Month 35]))</f>
        <v>0</v>
      </c>
      <c r="AU564" s="652">
        <f>IF($B564="",,IF(LEFT($H564,5)="dummy",SUMIFS(AvgBonus[avg_bonus],AvgBonus[job_title],$H564),SUMIFS(AvgBonus[avg_bonus],AvgBonus[exp_item],$J564,AvgBonus[company_name],$B564,AvgBonus[bu_name],$C564,AvgBonus[dept_name],$D564,AvgBonus[team_consolidation],$K564,AvgBonus[location_name],$G564,AvgBonus[job_title],$H564))*AU459*SUM(BonusPayout[Month 36]))</f>
        <v>0</v>
      </c>
    </row>
    <row r="565" spans="2:47" x14ac:dyDescent="0.35">
      <c r="B565" t="str">
        <f t="shared" si="327"/>
        <v/>
      </c>
      <c r="C565" t="str">
        <f t="shared" ref="C565:G565" si="359">IF(C460="","",C460)</f>
        <v/>
      </c>
      <c r="D565" t="str">
        <f t="shared" si="359"/>
        <v/>
      </c>
      <c r="E565" t="str">
        <f t="shared" si="359"/>
        <v/>
      </c>
      <c r="F565" t="str">
        <f t="shared" si="359"/>
        <v/>
      </c>
      <c r="G565" t="str">
        <f t="shared" si="359"/>
        <v/>
      </c>
      <c r="H565" t="str">
        <f t="shared" ref="H565:H596" si="360">IF(H250="","",H250)</f>
        <v/>
      </c>
      <c r="J565" t="str">
        <f>IF($H565="","",IF(VLOOKUP($B$500,ExpItems[],2,0),$B$500&amp;" - "&amp;INDEX(DivisionMapping[category_code],MATCH($D565&amp;$C565,DivisionMapping[dept_bu],0)),$B$500))</f>
        <v/>
      </c>
      <c r="K565" t="str">
        <f t="shared" si="294"/>
        <v/>
      </c>
      <c r="L565" s="652">
        <f>IF($B565="",,IF(LEFT($H565,5)="dummy",SUMIFS(AvgBonus[avg_bonus],AvgBonus[job_title],$H565),SUMIFS(AvgBonus[avg_bonus],AvgBonus[exp_item],$J565,AvgBonus[company_name],$B565,AvgBonus[bu_name],$C565,AvgBonus[dept_name],$D565,AvgBonus[team_consolidation],$K565,AvgBonus[location_name],$G565,AvgBonus[job_title],$H565))*L460*SUM(BonusPayout[Month 1]))</f>
        <v>0</v>
      </c>
      <c r="M565" s="652">
        <f>IF($B565="",,IF(LEFT($H565,5)="dummy",SUMIFS(AvgBonus[avg_bonus],AvgBonus[job_title],$H565),SUMIFS(AvgBonus[avg_bonus],AvgBonus[exp_item],$J565,AvgBonus[company_name],$B565,AvgBonus[bu_name],$C565,AvgBonus[dept_name],$D565,AvgBonus[team_consolidation],$K565,AvgBonus[location_name],$G565,AvgBonus[job_title],$H565))*M460*SUM(BonusPayout[Month 2]))</f>
        <v>0</v>
      </c>
      <c r="N565" s="652">
        <f>IF($B565="",,IF(LEFT($H565,5)="dummy",SUMIFS(AvgBonus[avg_bonus],AvgBonus[job_title],$H565),SUMIFS(AvgBonus[avg_bonus],AvgBonus[exp_item],$J565,AvgBonus[company_name],$B565,AvgBonus[bu_name],$C565,AvgBonus[dept_name],$D565,AvgBonus[team_consolidation],$K565,AvgBonus[location_name],$G565,AvgBonus[job_title],$H565))*N460*SUM(BonusPayout[Month 3]))</f>
        <v>0</v>
      </c>
      <c r="O565" s="652">
        <f>IF($B565="",,IF(LEFT($H565,5)="dummy",SUMIFS(AvgBonus[avg_bonus],AvgBonus[job_title],$H565),SUMIFS(AvgBonus[avg_bonus],AvgBonus[exp_item],$J565,AvgBonus[company_name],$B565,AvgBonus[bu_name],$C565,AvgBonus[dept_name],$D565,AvgBonus[team_consolidation],$K565,AvgBonus[location_name],$G565,AvgBonus[job_title],$H565))*O460*SUM(BonusPayout[Month 4]))</f>
        <v>0</v>
      </c>
      <c r="P565" s="652">
        <f>IF($B565="",,IF(LEFT($H565,5)="dummy",SUMIFS(AvgBonus[avg_bonus],AvgBonus[job_title],$H565),SUMIFS(AvgBonus[avg_bonus],AvgBonus[exp_item],$J565,AvgBonus[company_name],$B565,AvgBonus[bu_name],$C565,AvgBonus[dept_name],$D565,AvgBonus[team_consolidation],$K565,AvgBonus[location_name],$G565,AvgBonus[job_title],$H565))*P460*SUM(BonusPayout[Month 5]))</f>
        <v>0</v>
      </c>
      <c r="Q565" s="652">
        <f>IF($B565="",,IF(LEFT($H565,5)="dummy",SUMIFS(AvgBonus[avg_bonus],AvgBonus[job_title],$H565),SUMIFS(AvgBonus[avg_bonus],AvgBonus[exp_item],$J565,AvgBonus[company_name],$B565,AvgBonus[bu_name],$C565,AvgBonus[dept_name],$D565,AvgBonus[team_consolidation],$K565,AvgBonus[location_name],$G565,AvgBonus[job_title],$H565))*Q460*SUM(BonusPayout[Month 6]))</f>
        <v>0</v>
      </c>
      <c r="R565" s="652">
        <f>IF($B565="",,IF(LEFT($H565,5)="dummy",SUMIFS(AvgBonus[avg_bonus],AvgBonus[job_title],$H565),SUMIFS(AvgBonus[avg_bonus],AvgBonus[exp_item],$J565,AvgBonus[company_name],$B565,AvgBonus[bu_name],$C565,AvgBonus[dept_name],$D565,AvgBonus[team_consolidation],$K565,AvgBonus[location_name],$G565,AvgBonus[job_title],$H565))*R460*SUM(BonusPayout[Month 7]))</f>
        <v>0</v>
      </c>
      <c r="S565" s="652">
        <f>IF($B565="",,IF(LEFT($H565,5)="dummy",SUMIFS(AvgBonus[avg_bonus],AvgBonus[job_title],$H565),SUMIFS(AvgBonus[avg_bonus],AvgBonus[exp_item],$J565,AvgBonus[company_name],$B565,AvgBonus[bu_name],$C565,AvgBonus[dept_name],$D565,AvgBonus[team_consolidation],$K565,AvgBonus[location_name],$G565,AvgBonus[job_title],$H565))*S460*SUM(BonusPayout[Month 8]))</f>
        <v>0</v>
      </c>
      <c r="T565" s="652">
        <f>IF($B565="",,IF(LEFT($H565,5)="dummy",SUMIFS(AvgBonus[avg_bonus],AvgBonus[job_title],$H565),SUMIFS(AvgBonus[avg_bonus],AvgBonus[exp_item],$J565,AvgBonus[company_name],$B565,AvgBonus[bu_name],$C565,AvgBonus[dept_name],$D565,AvgBonus[team_consolidation],$K565,AvgBonus[location_name],$G565,AvgBonus[job_title],$H565))*T460*SUM(BonusPayout[Month 9]))</f>
        <v>0</v>
      </c>
      <c r="U565" s="652">
        <f>IF($B565="",,IF(LEFT($H565,5)="dummy",SUMIFS(AvgBonus[avg_bonus],AvgBonus[job_title],$H565),SUMIFS(AvgBonus[avg_bonus],AvgBonus[exp_item],$J565,AvgBonus[company_name],$B565,AvgBonus[bu_name],$C565,AvgBonus[dept_name],$D565,AvgBonus[team_consolidation],$K565,AvgBonus[location_name],$G565,AvgBonus[job_title],$H565))*U460*SUM(BonusPayout[Month 10]))</f>
        <v>0</v>
      </c>
      <c r="V565" s="652">
        <f>IF($B565="",,IF(LEFT($H565,5)="dummy",SUMIFS(AvgBonus[avg_bonus],AvgBonus[job_title],$H565),SUMIFS(AvgBonus[avg_bonus],AvgBonus[exp_item],$J565,AvgBonus[company_name],$B565,AvgBonus[bu_name],$C565,AvgBonus[dept_name],$D565,AvgBonus[team_consolidation],$K565,AvgBonus[location_name],$G565,AvgBonus[job_title],$H565))*V460*SUM(BonusPayout[Month 11]))</f>
        <v>0</v>
      </c>
      <c r="W565" s="652">
        <f>IF($B565="",,IF(LEFT($H565,5)="dummy",SUMIFS(AvgBonus[avg_bonus],AvgBonus[job_title],$H565),SUMIFS(AvgBonus[avg_bonus],AvgBonus[exp_item],$J565,AvgBonus[company_name],$B565,AvgBonus[bu_name],$C565,AvgBonus[dept_name],$D565,AvgBonus[team_consolidation],$K565,AvgBonus[location_name],$G565,AvgBonus[job_title],$H565))*W460*SUM(BonusPayout[Month 12]))</f>
        <v>0</v>
      </c>
      <c r="X565" s="652">
        <f>IF($B565="",,IF(LEFT($H565,5)="dummy",SUMIFS(AvgBonus[avg_bonus],AvgBonus[job_title],$H565),SUMIFS(AvgBonus[avg_bonus],AvgBonus[exp_item],$J565,AvgBonus[company_name],$B565,AvgBonus[bu_name],$C565,AvgBonus[dept_name],$D565,AvgBonus[team_consolidation],$K565,AvgBonus[location_name],$G565,AvgBonus[job_title],$H565))*X460*SUM(BonusPayout[Month 13]))</f>
        <v>0</v>
      </c>
      <c r="Y565" s="652">
        <f>IF($B565="",,IF(LEFT($H565,5)="dummy",SUMIFS(AvgBonus[avg_bonus],AvgBonus[job_title],$H565),SUMIFS(AvgBonus[avg_bonus],AvgBonus[exp_item],$J565,AvgBonus[company_name],$B565,AvgBonus[bu_name],$C565,AvgBonus[dept_name],$D565,AvgBonus[team_consolidation],$K565,AvgBonus[location_name],$G565,AvgBonus[job_title],$H565))*Y460*SUM(BonusPayout[Month 14]))</f>
        <v>0</v>
      </c>
      <c r="Z565" s="652">
        <f>IF($B565="",,IF(LEFT($H565,5)="dummy",SUMIFS(AvgBonus[avg_bonus],AvgBonus[job_title],$H565),SUMIFS(AvgBonus[avg_bonus],AvgBonus[exp_item],$J565,AvgBonus[company_name],$B565,AvgBonus[bu_name],$C565,AvgBonus[dept_name],$D565,AvgBonus[team_consolidation],$K565,AvgBonus[location_name],$G565,AvgBonus[job_title],$H565))*Z460*SUM(BonusPayout[Month 15]))</f>
        <v>0</v>
      </c>
      <c r="AA565" s="652">
        <f>IF($B565="",,IF(LEFT($H565,5)="dummy",SUMIFS(AvgBonus[avg_bonus],AvgBonus[job_title],$H565),SUMIFS(AvgBonus[avg_bonus],AvgBonus[exp_item],$J565,AvgBonus[company_name],$B565,AvgBonus[bu_name],$C565,AvgBonus[dept_name],$D565,AvgBonus[team_consolidation],$K565,AvgBonus[location_name],$G565,AvgBonus[job_title],$H565))*AA460*SUM(BonusPayout[Month 16]))</f>
        <v>0</v>
      </c>
      <c r="AB565" s="652">
        <f>IF($B565="",,IF(LEFT($H565,5)="dummy",SUMIFS(AvgBonus[avg_bonus],AvgBonus[job_title],$H565),SUMIFS(AvgBonus[avg_bonus],AvgBonus[exp_item],$J565,AvgBonus[company_name],$B565,AvgBonus[bu_name],$C565,AvgBonus[dept_name],$D565,AvgBonus[team_consolidation],$K565,AvgBonus[location_name],$G565,AvgBonus[job_title],$H565))*AB460*SUM(BonusPayout[Month 17]))</f>
        <v>0</v>
      </c>
      <c r="AC565" s="652">
        <f>IF($B565="",,IF(LEFT($H565,5)="dummy",SUMIFS(AvgBonus[avg_bonus],AvgBonus[job_title],$H565),SUMIFS(AvgBonus[avg_bonus],AvgBonus[exp_item],$J565,AvgBonus[company_name],$B565,AvgBonus[bu_name],$C565,AvgBonus[dept_name],$D565,AvgBonus[team_consolidation],$K565,AvgBonus[location_name],$G565,AvgBonus[job_title],$H565))*AC460*SUM(BonusPayout[Month 18]))</f>
        <v>0</v>
      </c>
      <c r="AD565" s="652">
        <f>IF($B565="",,IF(LEFT($H565,5)="dummy",SUMIFS(AvgBonus[avg_bonus],AvgBonus[job_title],$H565),SUMIFS(AvgBonus[avg_bonus],AvgBonus[exp_item],$J565,AvgBonus[company_name],$B565,AvgBonus[bu_name],$C565,AvgBonus[dept_name],$D565,AvgBonus[team_consolidation],$K565,AvgBonus[location_name],$G565,AvgBonus[job_title],$H565))*AD460*SUM(BonusPayout[Month 19]))</f>
        <v>0</v>
      </c>
      <c r="AE565" s="652">
        <f>IF($B565="",,IF(LEFT($H565,5)="dummy",SUMIFS(AvgBonus[avg_bonus],AvgBonus[job_title],$H565),SUMIFS(AvgBonus[avg_bonus],AvgBonus[exp_item],$J565,AvgBonus[company_name],$B565,AvgBonus[bu_name],$C565,AvgBonus[dept_name],$D565,AvgBonus[team_consolidation],$K565,AvgBonus[location_name],$G565,AvgBonus[job_title],$H565))*AE460*SUM(BonusPayout[Month 20]))</f>
        <v>0</v>
      </c>
      <c r="AF565" s="652">
        <f>IF($B565="",,IF(LEFT($H565,5)="dummy",SUMIFS(AvgBonus[avg_bonus],AvgBonus[job_title],$H565),SUMIFS(AvgBonus[avg_bonus],AvgBonus[exp_item],$J565,AvgBonus[company_name],$B565,AvgBonus[bu_name],$C565,AvgBonus[dept_name],$D565,AvgBonus[team_consolidation],$K565,AvgBonus[location_name],$G565,AvgBonus[job_title],$H565))*AF460*SUM(BonusPayout[Month 21]))</f>
        <v>0</v>
      </c>
      <c r="AG565" s="652">
        <f>IF($B565="",,IF(LEFT($H565,5)="dummy",SUMIFS(AvgBonus[avg_bonus],AvgBonus[job_title],$H565),SUMIFS(AvgBonus[avg_bonus],AvgBonus[exp_item],$J565,AvgBonus[company_name],$B565,AvgBonus[bu_name],$C565,AvgBonus[dept_name],$D565,AvgBonus[team_consolidation],$K565,AvgBonus[location_name],$G565,AvgBonus[job_title],$H565))*AG460*SUM(BonusPayout[Month 22]))</f>
        <v>0</v>
      </c>
      <c r="AH565" s="652">
        <f>IF($B565="",,IF(LEFT($H565,5)="dummy",SUMIFS(AvgBonus[avg_bonus],AvgBonus[job_title],$H565),SUMIFS(AvgBonus[avg_bonus],AvgBonus[exp_item],$J565,AvgBonus[company_name],$B565,AvgBonus[bu_name],$C565,AvgBonus[dept_name],$D565,AvgBonus[team_consolidation],$K565,AvgBonus[location_name],$G565,AvgBonus[job_title],$H565))*AH460*SUM(BonusPayout[Month 23]))</f>
        <v>0</v>
      </c>
      <c r="AI565" s="652">
        <f>IF($B565="",,IF(LEFT($H565,5)="dummy",SUMIFS(AvgBonus[avg_bonus],AvgBonus[job_title],$H565),SUMIFS(AvgBonus[avg_bonus],AvgBonus[exp_item],$J565,AvgBonus[company_name],$B565,AvgBonus[bu_name],$C565,AvgBonus[dept_name],$D565,AvgBonus[team_consolidation],$K565,AvgBonus[location_name],$G565,AvgBonus[job_title],$H565))*AI460*SUM(BonusPayout[Month 24]))</f>
        <v>0</v>
      </c>
      <c r="AJ565" s="652">
        <f>IF($B565="",,IF(LEFT($H565,5)="dummy",SUMIFS(AvgBonus[avg_bonus],AvgBonus[job_title],$H565),SUMIFS(AvgBonus[avg_bonus],AvgBonus[exp_item],$J565,AvgBonus[company_name],$B565,AvgBonus[bu_name],$C565,AvgBonus[dept_name],$D565,AvgBonus[team_consolidation],$K565,AvgBonus[location_name],$G565,AvgBonus[job_title],$H565))*AJ460*SUM(BonusPayout[Month 25]))</f>
        <v>0</v>
      </c>
      <c r="AK565" s="652">
        <f>IF($B565="",,IF(LEFT($H565,5)="dummy",SUMIFS(AvgBonus[avg_bonus],AvgBonus[job_title],$H565),SUMIFS(AvgBonus[avg_bonus],AvgBonus[exp_item],$J565,AvgBonus[company_name],$B565,AvgBonus[bu_name],$C565,AvgBonus[dept_name],$D565,AvgBonus[team_consolidation],$K565,AvgBonus[location_name],$G565,AvgBonus[job_title],$H565))*AK460*SUM(BonusPayout[Month 26]))</f>
        <v>0</v>
      </c>
      <c r="AL565" s="652">
        <f>IF($B565="",,IF(LEFT($H565,5)="dummy",SUMIFS(AvgBonus[avg_bonus],AvgBonus[job_title],$H565),SUMIFS(AvgBonus[avg_bonus],AvgBonus[exp_item],$J565,AvgBonus[company_name],$B565,AvgBonus[bu_name],$C565,AvgBonus[dept_name],$D565,AvgBonus[team_consolidation],$K565,AvgBonus[location_name],$G565,AvgBonus[job_title],$H565))*AL460*SUM(BonusPayout[Month 27]))</f>
        <v>0</v>
      </c>
      <c r="AM565" s="652">
        <f>IF($B565="",,IF(LEFT($H565,5)="dummy",SUMIFS(AvgBonus[avg_bonus],AvgBonus[job_title],$H565),SUMIFS(AvgBonus[avg_bonus],AvgBonus[exp_item],$J565,AvgBonus[company_name],$B565,AvgBonus[bu_name],$C565,AvgBonus[dept_name],$D565,AvgBonus[team_consolidation],$K565,AvgBonus[location_name],$G565,AvgBonus[job_title],$H565))*AM460*SUM(BonusPayout[Month 28]))</f>
        <v>0</v>
      </c>
      <c r="AN565" s="652">
        <f>IF($B565="",,IF(LEFT($H565,5)="dummy",SUMIFS(AvgBonus[avg_bonus],AvgBonus[job_title],$H565),SUMIFS(AvgBonus[avg_bonus],AvgBonus[exp_item],$J565,AvgBonus[company_name],$B565,AvgBonus[bu_name],$C565,AvgBonus[dept_name],$D565,AvgBonus[team_consolidation],$K565,AvgBonus[location_name],$G565,AvgBonus[job_title],$H565))*AN460*SUM(BonusPayout[Month 29]))</f>
        <v>0</v>
      </c>
      <c r="AO565" s="652">
        <f>IF($B565="",,IF(LEFT($H565,5)="dummy",SUMIFS(AvgBonus[avg_bonus],AvgBonus[job_title],$H565),SUMIFS(AvgBonus[avg_bonus],AvgBonus[exp_item],$J565,AvgBonus[company_name],$B565,AvgBonus[bu_name],$C565,AvgBonus[dept_name],$D565,AvgBonus[team_consolidation],$K565,AvgBonus[location_name],$G565,AvgBonus[job_title],$H565))*AO460*SUM(BonusPayout[Month 30]))</f>
        <v>0</v>
      </c>
      <c r="AP565" s="652">
        <f>IF($B565="",,IF(LEFT($H565,5)="dummy",SUMIFS(AvgBonus[avg_bonus],AvgBonus[job_title],$H565),SUMIFS(AvgBonus[avg_bonus],AvgBonus[exp_item],$J565,AvgBonus[company_name],$B565,AvgBonus[bu_name],$C565,AvgBonus[dept_name],$D565,AvgBonus[team_consolidation],$K565,AvgBonus[location_name],$G565,AvgBonus[job_title],$H565))*AP460*SUM(BonusPayout[Month 31]))</f>
        <v>0</v>
      </c>
      <c r="AQ565" s="652">
        <f>IF($B565="",,IF(LEFT($H565,5)="dummy",SUMIFS(AvgBonus[avg_bonus],AvgBonus[job_title],$H565),SUMIFS(AvgBonus[avg_bonus],AvgBonus[exp_item],$J565,AvgBonus[company_name],$B565,AvgBonus[bu_name],$C565,AvgBonus[dept_name],$D565,AvgBonus[team_consolidation],$K565,AvgBonus[location_name],$G565,AvgBonus[job_title],$H565))*AQ460*SUM(BonusPayout[Month 32]))</f>
        <v>0</v>
      </c>
      <c r="AR565" s="652">
        <f>IF($B565="",,IF(LEFT($H565,5)="dummy",SUMIFS(AvgBonus[avg_bonus],AvgBonus[job_title],$H565),SUMIFS(AvgBonus[avg_bonus],AvgBonus[exp_item],$J565,AvgBonus[company_name],$B565,AvgBonus[bu_name],$C565,AvgBonus[dept_name],$D565,AvgBonus[team_consolidation],$K565,AvgBonus[location_name],$G565,AvgBonus[job_title],$H565))*AR460*SUM(BonusPayout[Month 33]))</f>
        <v>0</v>
      </c>
      <c r="AS565" s="652">
        <f>IF($B565="",,IF(LEFT($H565,5)="dummy",SUMIFS(AvgBonus[avg_bonus],AvgBonus[job_title],$H565),SUMIFS(AvgBonus[avg_bonus],AvgBonus[exp_item],$J565,AvgBonus[company_name],$B565,AvgBonus[bu_name],$C565,AvgBonus[dept_name],$D565,AvgBonus[team_consolidation],$K565,AvgBonus[location_name],$G565,AvgBonus[job_title],$H565))*AS460*SUM(BonusPayout[Month 34]))</f>
        <v>0</v>
      </c>
      <c r="AT565" s="652">
        <f>IF($B565="",,IF(LEFT($H565,5)="dummy",SUMIFS(AvgBonus[avg_bonus],AvgBonus[job_title],$H565),SUMIFS(AvgBonus[avg_bonus],AvgBonus[exp_item],$J565,AvgBonus[company_name],$B565,AvgBonus[bu_name],$C565,AvgBonus[dept_name],$D565,AvgBonus[team_consolidation],$K565,AvgBonus[location_name],$G565,AvgBonus[job_title],$H565))*AT460*SUM(BonusPayout[Month 35]))</f>
        <v>0</v>
      </c>
      <c r="AU565" s="652">
        <f>IF($B565="",,IF(LEFT($H565,5)="dummy",SUMIFS(AvgBonus[avg_bonus],AvgBonus[job_title],$H565),SUMIFS(AvgBonus[avg_bonus],AvgBonus[exp_item],$J565,AvgBonus[company_name],$B565,AvgBonus[bu_name],$C565,AvgBonus[dept_name],$D565,AvgBonus[team_consolidation],$K565,AvgBonus[location_name],$G565,AvgBonus[job_title],$H565))*AU460*SUM(BonusPayout[Month 36]))</f>
        <v>0</v>
      </c>
    </row>
    <row r="566" spans="2:47" x14ac:dyDescent="0.35">
      <c r="B566" t="str">
        <f t="shared" ref="B566:B585" si="361">IF(B461="","",B461)</f>
        <v/>
      </c>
      <c r="C566" t="str">
        <f t="shared" ref="C566:G566" si="362">IF(C461="","",C461)</f>
        <v/>
      </c>
      <c r="D566" t="str">
        <f t="shared" si="362"/>
        <v/>
      </c>
      <c r="E566" t="str">
        <f t="shared" si="362"/>
        <v/>
      </c>
      <c r="F566" t="str">
        <f t="shared" si="362"/>
        <v/>
      </c>
      <c r="G566" t="str">
        <f t="shared" si="362"/>
        <v/>
      </c>
      <c r="H566" t="str">
        <f t="shared" si="360"/>
        <v/>
      </c>
      <c r="J566" t="str">
        <f>IF($H566="","",IF(VLOOKUP($B$500,ExpItems[],2,0),$B$500&amp;" - "&amp;INDEX(DivisionMapping[category_code],MATCH($D566&amp;$C566,DivisionMapping[dept_bu],0)),$B$500))</f>
        <v/>
      </c>
      <c r="K566" t="str">
        <f t="shared" ref="K566:K601" si="363">K461</f>
        <v/>
      </c>
      <c r="L566" s="652">
        <f>IF($B566="",,IF(LEFT($H566,5)="dummy",SUMIFS(AvgBonus[avg_bonus],AvgBonus[job_title],$H566),SUMIFS(AvgBonus[avg_bonus],AvgBonus[exp_item],$J566,AvgBonus[company_name],$B566,AvgBonus[bu_name],$C566,AvgBonus[dept_name],$D566,AvgBonus[team_consolidation],$K566,AvgBonus[location_name],$G566,AvgBonus[job_title],$H566))*L461*SUM(BonusPayout[Month 1]))</f>
        <v>0</v>
      </c>
      <c r="M566" s="652">
        <f>IF($B566="",,IF(LEFT($H566,5)="dummy",SUMIFS(AvgBonus[avg_bonus],AvgBonus[job_title],$H566),SUMIFS(AvgBonus[avg_bonus],AvgBonus[exp_item],$J566,AvgBonus[company_name],$B566,AvgBonus[bu_name],$C566,AvgBonus[dept_name],$D566,AvgBonus[team_consolidation],$K566,AvgBonus[location_name],$G566,AvgBonus[job_title],$H566))*M461*SUM(BonusPayout[Month 2]))</f>
        <v>0</v>
      </c>
      <c r="N566" s="652">
        <f>IF($B566="",,IF(LEFT($H566,5)="dummy",SUMIFS(AvgBonus[avg_bonus],AvgBonus[job_title],$H566),SUMIFS(AvgBonus[avg_bonus],AvgBonus[exp_item],$J566,AvgBonus[company_name],$B566,AvgBonus[bu_name],$C566,AvgBonus[dept_name],$D566,AvgBonus[team_consolidation],$K566,AvgBonus[location_name],$G566,AvgBonus[job_title],$H566))*N461*SUM(BonusPayout[Month 3]))</f>
        <v>0</v>
      </c>
      <c r="O566" s="652">
        <f>IF($B566="",,IF(LEFT($H566,5)="dummy",SUMIFS(AvgBonus[avg_bonus],AvgBonus[job_title],$H566),SUMIFS(AvgBonus[avg_bonus],AvgBonus[exp_item],$J566,AvgBonus[company_name],$B566,AvgBonus[bu_name],$C566,AvgBonus[dept_name],$D566,AvgBonus[team_consolidation],$K566,AvgBonus[location_name],$G566,AvgBonus[job_title],$H566))*O461*SUM(BonusPayout[Month 4]))</f>
        <v>0</v>
      </c>
      <c r="P566" s="652">
        <f>IF($B566="",,IF(LEFT($H566,5)="dummy",SUMIFS(AvgBonus[avg_bonus],AvgBonus[job_title],$H566),SUMIFS(AvgBonus[avg_bonus],AvgBonus[exp_item],$J566,AvgBonus[company_name],$B566,AvgBonus[bu_name],$C566,AvgBonus[dept_name],$D566,AvgBonus[team_consolidation],$K566,AvgBonus[location_name],$G566,AvgBonus[job_title],$H566))*P461*SUM(BonusPayout[Month 5]))</f>
        <v>0</v>
      </c>
      <c r="Q566" s="652">
        <f>IF($B566="",,IF(LEFT($H566,5)="dummy",SUMIFS(AvgBonus[avg_bonus],AvgBonus[job_title],$H566),SUMIFS(AvgBonus[avg_bonus],AvgBonus[exp_item],$J566,AvgBonus[company_name],$B566,AvgBonus[bu_name],$C566,AvgBonus[dept_name],$D566,AvgBonus[team_consolidation],$K566,AvgBonus[location_name],$G566,AvgBonus[job_title],$H566))*Q461*SUM(BonusPayout[Month 6]))</f>
        <v>0</v>
      </c>
      <c r="R566" s="652">
        <f>IF($B566="",,IF(LEFT($H566,5)="dummy",SUMIFS(AvgBonus[avg_bonus],AvgBonus[job_title],$H566),SUMIFS(AvgBonus[avg_bonus],AvgBonus[exp_item],$J566,AvgBonus[company_name],$B566,AvgBonus[bu_name],$C566,AvgBonus[dept_name],$D566,AvgBonus[team_consolidation],$K566,AvgBonus[location_name],$G566,AvgBonus[job_title],$H566))*R461*SUM(BonusPayout[Month 7]))</f>
        <v>0</v>
      </c>
      <c r="S566" s="652">
        <f>IF($B566="",,IF(LEFT($H566,5)="dummy",SUMIFS(AvgBonus[avg_bonus],AvgBonus[job_title],$H566),SUMIFS(AvgBonus[avg_bonus],AvgBonus[exp_item],$J566,AvgBonus[company_name],$B566,AvgBonus[bu_name],$C566,AvgBonus[dept_name],$D566,AvgBonus[team_consolidation],$K566,AvgBonus[location_name],$G566,AvgBonus[job_title],$H566))*S461*SUM(BonusPayout[Month 8]))</f>
        <v>0</v>
      </c>
      <c r="T566" s="652">
        <f>IF($B566="",,IF(LEFT($H566,5)="dummy",SUMIFS(AvgBonus[avg_bonus],AvgBonus[job_title],$H566),SUMIFS(AvgBonus[avg_bonus],AvgBonus[exp_item],$J566,AvgBonus[company_name],$B566,AvgBonus[bu_name],$C566,AvgBonus[dept_name],$D566,AvgBonus[team_consolidation],$K566,AvgBonus[location_name],$G566,AvgBonus[job_title],$H566))*T461*SUM(BonusPayout[Month 9]))</f>
        <v>0</v>
      </c>
      <c r="U566" s="652">
        <f>IF($B566="",,IF(LEFT($H566,5)="dummy",SUMIFS(AvgBonus[avg_bonus],AvgBonus[job_title],$H566),SUMIFS(AvgBonus[avg_bonus],AvgBonus[exp_item],$J566,AvgBonus[company_name],$B566,AvgBonus[bu_name],$C566,AvgBonus[dept_name],$D566,AvgBonus[team_consolidation],$K566,AvgBonus[location_name],$G566,AvgBonus[job_title],$H566))*U461*SUM(BonusPayout[Month 10]))</f>
        <v>0</v>
      </c>
      <c r="V566" s="652">
        <f>IF($B566="",,IF(LEFT($H566,5)="dummy",SUMIFS(AvgBonus[avg_bonus],AvgBonus[job_title],$H566),SUMIFS(AvgBonus[avg_bonus],AvgBonus[exp_item],$J566,AvgBonus[company_name],$B566,AvgBonus[bu_name],$C566,AvgBonus[dept_name],$D566,AvgBonus[team_consolidation],$K566,AvgBonus[location_name],$G566,AvgBonus[job_title],$H566))*V461*SUM(BonusPayout[Month 11]))</f>
        <v>0</v>
      </c>
      <c r="W566" s="652">
        <f>IF($B566="",,IF(LEFT($H566,5)="dummy",SUMIFS(AvgBonus[avg_bonus],AvgBonus[job_title],$H566),SUMIFS(AvgBonus[avg_bonus],AvgBonus[exp_item],$J566,AvgBonus[company_name],$B566,AvgBonus[bu_name],$C566,AvgBonus[dept_name],$D566,AvgBonus[team_consolidation],$K566,AvgBonus[location_name],$G566,AvgBonus[job_title],$H566))*W461*SUM(BonusPayout[Month 12]))</f>
        <v>0</v>
      </c>
      <c r="X566" s="652">
        <f>IF($B566="",,IF(LEFT($H566,5)="dummy",SUMIFS(AvgBonus[avg_bonus],AvgBonus[job_title],$H566),SUMIFS(AvgBonus[avg_bonus],AvgBonus[exp_item],$J566,AvgBonus[company_name],$B566,AvgBonus[bu_name],$C566,AvgBonus[dept_name],$D566,AvgBonus[team_consolidation],$K566,AvgBonus[location_name],$G566,AvgBonus[job_title],$H566))*X461*SUM(BonusPayout[Month 13]))</f>
        <v>0</v>
      </c>
      <c r="Y566" s="652">
        <f>IF($B566="",,IF(LEFT($H566,5)="dummy",SUMIFS(AvgBonus[avg_bonus],AvgBonus[job_title],$H566),SUMIFS(AvgBonus[avg_bonus],AvgBonus[exp_item],$J566,AvgBonus[company_name],$B566,AvgBonus[bu_name],$C566,AvgBonus[dept_name],$D566,AvgBonus[team_consolidation],$K566,AvgBonus[location_name],$G566,AvgBonus[job_title],$H566))*Y461*SUM(BonusPayout[Month 14]))</f>
        <v>0</v>
      </c>
      <c r="Z566" s="652">
        <f>IF($B566="",,IF(LEFT($H566,5)="dummy",SUMIFS(AvgBonus[avg_bonus],AvgBonus[job_title],$H566),SUMIFS(AvgBonus[avg_bonus],AvgBonus[exp_item],$J566,AvgBonus[company_name],$B566,AvgBonus[bu_name],$C566,AvgBonus[dept_name],$D566,AvgBonus[team_consolidation],$K566,AvgBonus[location_name],$G566,AvgBonus[job_title],$H566))*Z461*SUM(BonusPayout[Month 15]))</f>
        <v>0</v>
      </c>
      <c r="AA566" s="652">
        <f>IF($B566="",,IF(LEFT($H566,5)="dummy",SUMIFS(AvgBonus[avg_bonus],AvgBonus[job_title],$H566),SUMIFS(AvgBonus[avg_bonus],AvgBonus[exp_item],$J566,AvgBonus[company_name],$B566,AvgBonus[bu_name],$C566,AvgBonus[dept_name],$D566,AvgBonus[team_consolidation],$K566,AvgBonus[location_name],$G566,AvgBonus[job_title],$H566))*AA461*SUM(BonusPayout[Month 16]))</f>
        <v>0</v>
      </c>
      <c r="AB566" s="652">
        <f>IF($B566="",,IF(LEFT($H566,5)="dummy",SUMIFS(AvgBonus[avg_bonus],AvgBonus[job_title],$H566),SUMIFS(AvgBonus[avg_bonus],AvgBonus[exp_item],$J566,AvgBonus[company_name],$B566,AvgBonus[bu_name],$C566,AvgBonus[dept_name],$D566,AvgBonus[team_consolidation],$K566,AvgBonus[location_name],$G566,AvgBonus[job_title],$H566))*AB461*SUM(BonusPayout[Month 17]))</f>
        <v>0</v>
      </c>
      <c r="AC566" s="652">
        <f>IF($B566="",,IF(LEFT($H566,5)="dummy",SUMIFS(AvgBonus[avg_bonus],AvgBonus[job_title],$H566),SUMIFS(AvgBonus[avg_bonus],AvgBonus[exp_item],$J566,AvgBonus[company_name],$B566,AvgBonus[bu_name],$C566,AvgBonus[dept_name],$D566,AvgBonus[team_consolidation],$K566,AvgBonus[location_name],$G566,AvgBonus[job_title],$H566))*AC461*SUM(BonusPayout[Month 18]))</f>
        <v>0</v>
      </c>
      <c r="AD566" s="652">
        <f>IF($B566="",,IF(LEFT($H566,5)="dummy",SUMIFS(AvgBonus[avg_bonus],AvgBonus[job_title],$H566),SUMIFS(AvgBonus[avg_bonus],AvgBonus[exp_item],$J566,AvgBonus[company_name],$B566,AvgBonus[bu_name],$C566,AvgBonus[dept_name],$D566,AvgBonus[team_consolidation],$K566,AvgBonus[location_name],$G566,AvgBonus[job_title],$H566))*AD461*SUM(BonusPayout[Month 19]))</f>
        <v>0</v>
      </c>
      <c r="AE566" s="652">
        <f>IF($B566="",,IF(LEFT($H566,5)="dummy",SUMIFS(AvgBonus[avg_bonus],AvgBonus[job_title],$H566),SUMIFS(AvgBonus[avg_bonus],AvgBonus[exp_item],$J566,AvgBonus[company_name],$B566,AvgBonus[bu_name],$C566,AvgBonus[dept_name],$D566,AvgBonus[team_consolidation],$K566,AvgBonus[location_name],$G566,AvgBonus[job_title],$H566))*AE461*SUM(BonusPayout[Month 20]))</f>
        <v>0</v>
      </c>
      <c r="AF566" s="652">
        <f>IF($B566="",,IF(LEFT($H566,5)="dummy",SUMIFS(AvgBonus[avg_bonus],AvgBonus[job_title],$H566),SUMIFS(AvgBonus[avg_bonus],AvgBonus[exp_item],$J566,AvgBonus[company_name],$B566,AvgBonus[bu_name],$C566,AvgBonus[dept_name],$D566,AvgBonus[team_consolidation],$K566,AvgBonus[location_name],$G566,AvgBonus[job_title],$H566))*AF461*SUM(BonusPayout[Month 21]))</f>
        <v>0</v>
      </c>
      <c r="AG566" s="652">
        <f>IF($B566="",,IF(LEFT($H566,5)="dummy",SUMIFS(AvgBonus[avg_bonus],AvgBonus[job_title],$H566),SUMIFS(AvgBonus[avg_bonus],AvgBonus[exp_item],$J566,AvgBonus[company_name],$B566,AvgBonus[bu_name],$C566,AvgBonus[dept_name],$D566,AvgBonus[team_consolidation],$K566,AvgBonus[location_name],$G566,AvgBonus[job_title],$H566))*AG461*SUM(BonusPayout[Month 22]))</f>
        <v>0</v>
      </c>
      <c r="AH566" s="652">
        <f>IF($B566="",,IF(LEFT($H566,5)="dummy",SUMIFS(AvgBonus[avg_bonus],AvgBonus[job_title],$H566),SUMIFS(AvgBonus[avg_bonus],AvgBonus[exp_item],$J566,AvgBonus[company_name],$B566,AvgBonus[bu_name],$C566,AvgBonus[dept_name],$D566,AvgBonus[team_consolidation],$K566,AvgBonus[location_name],$G566,AvgBonus[job_title],$H566))*AH461*SUM(BonusPayout[Month 23]))</f>
        <v>0</v>
      </c>
      <c r="AI566" s="652">
        <f>IF($B566="",,IF(LEFT($H566,5)="dummy",SUMIFS(AvgBonus[avg_bonus],AvgBonus[job_title],$H566),SUMIFS(AvgBonus[avg_bonus],AvgBonus[exp_item],$J566,AvgBonus[company_name],$B566,AvgBonus[bu_name],$C566,AvgBonus[dept_name],$D566,AvgBonus[team_consolidation],$K566,AvgBonus[location_name],$G566,AvgBonus[job_title],$H566))*AI461*SUM(BonusPayout[Month 24]))</f>
        <v>0</v>
      </c>
      <c r="AJ566" s="652">
        <f>IF($B566="",,IF(LEFT($H566,5)="dummy",SUMIFS(AvgBonus[avg_bonus],AvgBonus[job_title],$H566),SUMIFS(AvgBonus[avg_bonus],AvgBonus[exp_item],$J566,AvgBonus[company_name],$B566,AvgBonus[bu_name],$C566,AvgBonus[dept_name],$D566,AvgBonus[team_consolidation],$K566,AvgBonus[location_name],$G566,AvgBonus[job_title],$H566))*AJ461*SUM(BonusPayout[Month 25]))</f>
        <v>0</v>
      </c>
      <c r="AK566" s="652">
        <f>IF($B566="",,IF(LEFT($H566,5)="dummy",SUMIFS(AvgBonus[avg_bonus],AvgBonus[job_title],$H566),SUMIFS(AvgBonus[avg_bonus],AvgBonus[exp_item],$J566,AvgBonus[company_name],$B566,AvgBonus[bu_name],$C566,AvgBonus[dept_name],$D566,AvgBonus[team_consolidation],$K566,AvgBonus[location_name],$G566,AvgBonus[job_title],$H566))*AK461*SUM(BonusPayout[Month 26]))</f>
        <v>0</v>
      </c>
      <c r="AL566" s="652">
        <f>IF($B566="",,IF(LEFT($H566,5)="dummy",SUMIFS(AvgBonus[avg_bonus],AvgBonus[job_title],$H566),SUMIFS(AvgBonus[avg_bonus],AvgBonus[exp_item],$J566,AvgBonus[company_name],$B566,AvgBonus[bu_name],$C566,AvgBonus[dept_name],$D566,AvgBonus[team_consolidation],$K566,AvgBonus[location_name],$G566,AvgBonus[job_title],$H566))*AL461*SUM(BonusPayout[Month 27]))</f>
        <v>0</v>
      </c>
      <c r="AM566" s="652">
        <f>IF($B566="",,IF(LEFT($H566,5)="dummy",SUMIFS(AvgBonus[avg_bonus],AvgBonus[job_title],$H566),SUMIFS(AvgBonus[avg_bonus],AvgBonus[exp_item],$J566,AvgBonus[company_name],$B566,AvgBonus[bu_name],$C566,AvgBonus[dept_name],$D566,AvgBonus[team_consolidation],$K566,AvgBonus[location_name],$G566,AvgBonus[job_title],$H566))*AM461*SUM(BonusPayout[Month 28]))</f>
        <v>0</v>
      </c>
      <c r="AN566" s="652">
        <f>IF($B566="",,IF(LEFT($H566,5)="dummy",SUMIFS(AvgBonus[avg_bonus],AvgBonus[job_title],$H566),SUMIFS(AvgBonus[avg_bonus],AvgBonus[exp_item],$J566,AvgBonus[company_name],$B566,AvgBonus[bu_name],$C566,AvgBonus[dept_name],$D566,AvgBonus[team_consolidation],$K566,AvgBonus[location_name],$G566,AvgBonus[job_title],$H566))*AN461*SUM(BonusPayout[Month 29]))</f>
        <v>0</v>
      </c>
      <c r="AO566" s="652">
        <f>IF($B566="",,IF(LEFT($H566,5)="dummy",SUMIFS(AvgBonus[avg_bonus],AvgBonus[job_title],$H566),SUMIFS(AvgBonus[avg_bonus],AvgBonus[exp_item],$J566,AvgBonus[company_name],$B566,AvgBonus[bu_name],$C566,AvgBonus[dept_name],$D566,AvgBonus[team_consolidation],$K566,AvgBonus[location_name],$G566,AvgBonus[job_title],$H566))*AO461*SUM(BonusPayout[Month 30]))</f>
        <v>0</v>
      </c>
      <c r="AP566" s="652">
        <f>IF($B566="",,IF(LEFT($H566,5)="dummy",SUMIFS(AvgBonus[avg_bonus],AvgBonus[job_title],$H566),SUMIFS(AvgBonus[avg_bonus],AvgBonus[exp_item],$J566,AvgBonus[company_name],$B566,AvgBonus[bu_name],$C566,AvgBonus[dept_name],$D566,AvgBonus[team_consolidation],$K566,AvgBonus[location_name],$G566,AvgBonus[job_title],$H566))*AP461*SUM(BonusPayout[Month 31]))</f>
        <v>0</v>
      </c>
      <c r="AQ566" s="652">
        <f>IF($B566="",,IF(LEFT($H566,5)="dummy",SUMIFS(AvgBonus[avg_bonus],AvgBonus[job_title],$H566),SUMIFS(AvgBonus[avg_bonus],AvgBonus[exp_item],$J566,AvgBonus[company_name],$B566,AvgBonus[bu_name],$C566,AvgBonus[dept_name],$D566,AvgBonus[team_consolidation],$K566,AvgBonus[location_name],$G566,AvgBonus[job_title],$H566))*AQ461*SUM(BonusPayout[Month 32]))</f>
        <v>0</v>
      </c>
      <c r="AR566" s="652">
        <f>IF($B566="",,IF(LEFT($H566,5)="dummy",SUMIFS(AvgBonus[avg_bonus],AvgBonus[job_title],$H566),SUMIFS(AvgBonus[avg_bonus],AvgBonus[exp_item],$J566,AvgBonus[company_name],$B566,AvgBonus[bu_name],$C566,AvgBonus[dept_name],$D566,AvgBonus[team_consolidation],$K566,AvgBonus[location_name],$G566,AvgBonus[job_title],$H566))*AR461*SUM(BonusPayout[Month 33]))</f>
        <v>0</v>
      </c>
      <c r="AS566" s="652">
        <f>IF($B566="",,IF(LEFT($H566,5)="dummy",SUMIFS(AvgBonus[avg_bonus],AvgBonus[job_title],$H566),SUMIFS(AvgBonus[avg_bonus],AvgBonus[exp_item],$J566,AvgBonus[company_name],$B566,AvgBonus[bu_name],$C566,AvgBonus[dept_name],$D566,AvgBonus[team_consolidation],$K566,AvgBonus[location_name],$G566,AvgBonus[job_title],$H566))*AS461*SUM(BonusPayout[Month 34]))</f>
        <v>0</v>
      </c>
      <c r="AT566" s="652">
        <f>IF($B566="",,IF(LEFT($H566,5)="dummy",SUMIFS(AvgBonus[avg_bonus],AvgBonus[job_title],$H566),SUMIFS(AvgBonus[avg_bonus],AvgBonus[exp_item],$J566,AvgBonus[company_name],$B566,AvgBonus[bu_name],$C566,AvgBonus[dept_name],$D566,AvgBonus[team_consolidation],$K566,AvgBonus[location_name],$G566,AvgBonus[job_title],$H566))*AT461*SUM(BonusPayout[Month 35]))</f>
        <v>0</v>
      </c>
      <c r="AU566" s="652">
        <f>IF($B566="",,IF(LEFT($H566,5)="dummy",SUMIFS(AvgBonus[avg_bonus],AvgBonus[job_title],$H566),SUMIFS(AvgBonus[avg_bonus],AvgBonus[exp_item],$J566,AvgBonus[company_name],$B566,AvgBonus[bu_name],$C566,AvgBonus[dept_name],$D566,AvgBonus[team_consolidation],$K566,AvgBonus[location_name],$G566,AvgBonus[job_title],$H566))*AU461*SUM(BonusPayout[Month 36]))</f>
        <v>0</v>
      </c>
    </row>
    <row r="567" spans="2:47" x14ac:dyDescent="0.35">
      <c r="B567" t="str">
        <f t="shared" si="361"/>
        <v/>
      </c>
      <c r="C567" t="str">
        <f t="shared" ref="C567:G567" si="364">IF(C462="","",C462)</f>
        <v/>
      </c>
      <c r="D567" t="str">
        <f t="shared" si="364"/>
        <v/>
      </c>
      <c r="E567" t="str">
        <f t="shared" si="364"/>
        <v/>
      </c>
      <c r="F567" t="str">
        <f t="shared" si="364"/>
        <v/>
      </c>
      <c r="G567" t="str">
        <f t="shared" si="364"/>
        <v/>
      </c>
      <c r="H567" t="str">
        <f t="shared" si="360"/>
        <v/>
      </c>
      <c r="J567" t="str">
        <f>IF($H567="","",IF(VLOOKUP($B$500,ExpItems[],2,0),$B$500&amp;" - "&amp;INDEX(DivisionMapping[category_code],MATCH($D567&amp;$C567,DivisionMapping[dept_bu],0)),$B$500))</f>
        <v/>
      </c>
      <c r="K567" t="str">
        <f t="shared" si="363"/>
        <v/>
      </c>
      <c r="L567" s="652">
        <f>IF($B567="",,IF(LEFT($H567,5)="dummy",SUMIFS(AvgBonus[avg_bonus],AvgBonus[job_title],$H567),SUMIFS(AvgBonus[avg_bonus],AvgBonus[exp_item],$J567,AvgBonus[company_name],$B567,AvgBonus[bu_name],$C567,AvgBonus[dept_name],$D567,AvgBonus[team_consolidation],$K567,AvgBonus[location_name],$G567,AvgBonus[job_title],$H567))*L462*SUM(BonusPayout[Month 1]))</f>
        <v>0</v>
      </c>
      <c r="M567" s="652">
        <f>IF($B567="",,IF(LEFT($H567,5)="dummy",SUMIFS(AvgBonus[avg_bonus],AvgBonus[job_title],$H567),SUMIFS(AvgBonus[avg_bonus],AvgBonus[exp_item],$J567,AvgBonus[company_name],$B567,AvgBonus[bu_name],$C567,AvgBonus[dept_name],$D567,AvgBonus[team_consolidation],$K567,AvgBonus[location_name],$G567,AvgBonus[job_title],$H567))*M462*SUM(BonusPayout[Month 2]))</f>
        <v>0</v>
      </c>
      <c r="N567" s="652">
        <f>IF($B567="",,IF(LEFT($H567,5)="dummy",SUMIFS(AvgBonus[avg_bonus],AvgBonus[job_title],$H567),SUMIFS(AvgBonus[avg_bonus],AvgBonus[exp_item],$J567,AvgBonus[company_name],$B567,AvgBonus[bu_name],$C567,AvgBonus[dept_name],$D567,AvgBonus[team_consolidation],$K567,AvgBonus[location_name],$G567,AvgBonus[job_title],$H567))*N462*SUM(BonusPayout[Month 3]))</f>
        <v>0</v>
      </c>
      <c r="O567" s="652">
        <f>IF($B567="",,IF(LEFT($H567,5)="dummy",SUMIFS(AvgBonus[avg_bonus],AvgBonus[job_title],$H567),SUMIFS(AvgBonus[avg_bonus],AvgBonus[exp_item],$J567,AvgBonus[company_name],$B567,AvgBonus[bu_name],$C567,AvgBonus[dept_name],$D567,AvgBonus[team_consolidation],$K567,AvgBonus[location_name],$G567,AvgBonus[job_title],$H567))*O462*SUM(BonusPayout[Month 4]))</f>
        <v>0</v>
      </c>
      <c r="P567" s="652">
        <f>IF($B567="",,IF(LEFT($H567,5)="dummy",SUMIFS(AvgBonus[avg_bonus],AvgBonus[job_title],$H567),SUMIFS(AvgBonus[avg_bonus],AvgBonus[exp_item],$J567,AvgBonus[company_name],$B567,AvgBonus[bu_name],$C567,AvgBonus[dept_name],$D567,AvgBonus[team_consolidation],$K567,AvgBonus[location_name],$G567,AvgBonus[job_title],$H567))*P462*SUM(BonusPayout[Month 5]))</f>
        <v>0</v>
      </c>
      <c r="Q567" s="652">
        <f>IF($B567="",,IF(LEFT($H567,5)="dummy",SUMIFS(AvgBonus[avg_bonus],AvgBonus[job_title],$H567),SUMIFS(AvgBonus[avg_bonus],AvgBonus[exp_item],$J567,AvgBonus[company_name],$B567,AvgBonus[bu_name],$C567,AvgBonus[dept_name],$D567,AvgBonus[team_consolidation],$K567,AvgBonus[location_name],$G567,AvgBonus[job_title],$H567))*Q462*SUM(BonusPayout[Month 6]))</f>
        <v>0</v>
      </c>
      <c r="R567" s="652">
        <f>IF($B567="",,IF(LEFT($H567,5)="dummy",SUMIFS(AvgBonus[avg_bonus],AvgBonus[job_title],$H567),SUMIFS(AvgBonus[avg_bonus],AvgBonus[exp_item],$J567,AvgBonus[company_name],$B567,AvgBonus[bu_name],$C567,AvgBonus[dept_name],$D567,AvgBonus[team_consolidation],$K567,AvgBonus[location_name],$G567,AvgBonus[job_title],$H567))*R462*SUM(BonusPayout[Month 7]))</f>
        <v>0</v>
      </c>
      <c r="S567" s="652">
        <f>IF($B567="",,IF(LEFT($H567,5)="dummy",SUMIFS(AvgBonus[avg_bonus],AvgBonus[job_title],$H567),SUMIFS(AvgBonus[avg_bonus],AvgBonus[exp_item],$J567,AvgBonus[company_name],$B567,AvgBonus[bu_name],$C567,AvgBonus[dept_name],$D567,AvgBonus[team_consolidation],$K567,AvgBonus[location_name],$G567,AvgBonus[job_title],$H567))*S462*SUM(BonusPayout[Month 8]))</f>
        <v>0</v>
      </c>
      <c r="T567" s="652">
        <f>IF($B567="",,IF(LEFT($H567,5)="dummy",SUMIFS(AvgBonus[avg_bonus],AvgBonus[job_title],$H567),SUMIFS(AvgBonus[avg_bonus],AvgBonus[exp_item],$J567,AvgBonus[company_name],$B567,AvgBonus[bu_name],$C567,AvgBonus[dept_name],$D567,AvgBonus[team_consolidation],$K567,AvgBonus[location_name],$G567,AvgBonus[job_title],$H567))*T462*SUM(BonusPayout[Month 9]))</f>
        <v>0</v>
      </c>
      <c r="U567" s="652">
        <f>IF($B567="",,IF(LEFT($H567,5)="dummy",SUMIFS(AvgBonus[avg_bonus],AvgBonus[job_title],$H567),SUMIFS(AvgBonus[avg_bonus],AvgBonus[exp_item],$J567,AvgBonus[company_name],$B567,AvgBonus[bu_name],$C567,AvgBonus[dept_name],$D567,AvgBonus[team_consolidation],$K567,AvgBonus[location_name],$G567,AvgBonus[job_title],$H567))*U462*SUM(BonusPayout[Month 10]))</f>
        <v>0</v>
      </c>
      <c r="V567" s="652">
        <f>IF($B567="",,IF(LEFT($H567,5)="dummy",SUMIFS(AvgBonus[avg_bonus],AvgBonus[job_title],$H567),SUMIFS(AvgBonus[avg_bonus],AvgBonus[exp_item],$J567,AvgBonus[company_name],$B567,AvgBonus[bu_name],$C567,AvgBonus[dept_name],$D567,AvgBonus[team_consolidation],$K567,AvgBonus[location_name],$G567,AvgBonus[job_title],$H567))*V462*SUM(BonusPayout[Month 11]))</f>
        <v>0</v>
      </c>
      <c r="W567" s="652">
        <f>IF($B567="",,IF(LEFT($H567,5)="dummy",SUMIFS(AvgBonus[avg_bonus],AvgBonus[job_title],$H567),SUMIFS(AvgBonus[avg_bonus],AvgBonus[exp_item],$J567,AvgBonus[company_name],$B567,AvgBonus[bu_name],$C567,AvgBonus[dept_name],$D567,AvgBonus[team_consolidation],$K567,AvgBonus[location_name],$G567,AvgBonus[job_title],$H567))*W462*SUM(BonusPayout[Month 12]))</f>
        <v>0</v>
      </c>
      <c r="X567" s="652">
        <f>IF($B567="",,IF(LEFT($H567,5)="dummy",SUMIFS(AvgBonus[avg_bonus],AvgBonus[job_title],$H567),SUMIFS(AvgBonus[avg_bonus],AvgBonus[exp_item],$J567,AvgBonus[company_name],$B567,AvgBonus[bu_name],$C567,AvgBonus[dept_name],$D567,AvgBonus[team_consolidation],$K567,AvgBonus[location_name],$G567,AvgBonus[job_title],$H567))*X462*SUM(BonusPayout[Month 13]))</f>
        <v>0</v>
      </c>
      <c r="Y567" s="652">
        <f>IF($B567="",,IF(LEFT($H567,5)="dummy",SUMIFS(AvgBonus[avg_bonus],AvgBonus[job_title],$H567),SUMIFS(AvgBonus[avg_bonus],AvgBonus[exp_item],$J567,AvgBonus[company_name],$B567,AvgBonus[bu_name],$C567,AvgBonus[dept_name],$D567,AvgBonus[team_consolidation],$K567,AvgBonus[location_name],$G567,AvgBonus[job_title],$H567))*Y462*SUM(BonusPayout[Month 14]))</f>
        <v>0</v>
      </c>
      <c r="Z567" s="652">
        <f>IF($B567="",,IF(LEFT($H567,5)="dummy",SUMIFS(AvgBonus[avg_bonus],AvgBonus[job_title],$H567),SUMIFS(AvgBonus[avg_bonus],AvgBonus[exp_item],$J567,AvgBonus[company_name],$B567,AvgBonus[bu_name],$C567,AvgBonus[dept_name],$D567,AvgBonus[team_consolidation],$K567,AvgBonus[location_name],$G567,AvgBonus[job_title],$H567))*Z462*SUM(BonusPayout[Month 15]))</f>
        <v>0</v>
      </c>
      <c r="AA567" s="652">
        <f>IF($B567="",,IF(LEFT($H567,5)="dummy",SUMIFS(AvgBonus[avg_bonus],AvgBonus[job_title],$H567),SUMIFS(AvgBonus[avg_bonus],AvgBonus[exp_item],$J567,AvgBonus[company_name],$B567,AvgBonus[bu_name],$C567,AvgBonus[dept_name],$D567,AvgBonus[team_consolidation],$K567,AvgBonus[location_name],$G567,AvgBonus[job_title],$H567))*AA462*SUM(BonusPayout[Month 16]))</f>
        <v>0</v>
      </c>
      <c r="AB567" s="652">
        <f>IF($B567="",,IF(LEFT($H567,5)="dummy",SUMIFS(AvgBonus[avg_bonus],AvgBonus[job_title],$H567),SUMIFS(AvgBonus[avg_bonus],AvgBonus[exp_item],$J567,AvgBonus[company_name],$B567,AvgBonus[bu_name],$C567,AvgBonus[dept_name],$D567,AvgBonus[team_consolidation],$K567,AvgBonus[location_name],$G567,AvgBonus[job_title],$H567))*AB462*SUM(BonusPayout[Month 17]))</f>
        <v>0</v>
      </c>
      <c r="AC567" s="652">
        <f>IF($B567="",,IF(LEFT($H567,5)="dummy",SUMIFS(AvgBonus[avg_bonus],AvgBonus[job_title],$H567),SUMIFS(AvgBonus[avg_bonus],AvgBonus[exp_item],$J567,AvgBonus[company_name],$B567,AvgBonus[bu_name],$C567,AvgBonus[dept_name],$D567,AvgBonus[team_consolidation],$K567,AvgBonus[location_name],$G567,AvgBonus[job_title],$H567))*AC462*SUM(BonusPayout[Month 18]))</f>
        <v>0</v>
      </c>
      <c r="AD567" s="652">
        <f>IF($B567="",,IF(LEFT($H567,5)="dummy",SUMIFS(AvgBonus[avg_bonus],AvgBonus[job_title],$H567),SUMIFS(AvgBonus[avg_bonus],AvgBonus[exp_item],$J567,AvgBonus[company_name],$B567,AvgBonus[bu_name],$C567,AvgBonus[dept_name],$D567,AvgBonus[team_consolidation],$K567,AvgBonus[location_name],$G567,AvgBonus[job_title],$H567))*AD462*SUM(BonusPayout[Month 19]))</f>
        <v>0</v>
      </c>
      <c r="AE567" s="652">
        <f>IF($B567="",,IF(LEFT($H567,5)="dummy",SUMIFS(AvgBonus[avg_bonus],AvgBonus[job_title],$H567),SUMIFS(AvgBonus[avg_bonus],AvgBonus[exp_item],$J567,AvgBonus[company_name],$B567,AvgBonus[bu_name],$C567,AvgBonus[dept_name],$D567,AvgBonus[team_consolidation],$K567,AvgBonus[location_name],$G567,AvgBonus[job_title],$H567))*AE462*SUM(BonusPayout[Month 20]))</f>
        <v>0</v>
      </c>
      <c r="AF567" s="652">
        <f>IF($B567="",,IF(LEFT($H567,5)="dummy",SUMIFS(AvgBonus[avg_bonus],AvgBonus[job_title],$H567),SUMIFS(AvgBonus[avg_bonus],AvgBonus[exp_item],$J567,AvgBonus[company_name],$B567,AvgBonus[bu_name],$C567,AvgBonus[dept_name],$D567,AvgBonus[team_consolidation],$K567,AvgBonus[location_name],$G567,AvgBonus[job_title],$H567))*AF462*SUM(BonusPayout[Month 21]))</f>
        <v>0</v>
      </c>
      <c r="AG567" s="652">
        <f>IF($B567="",,IF(LEFT($H567,5)="dummy",SUMIFS(AvgBonus[avg_bonus],AvgBonus[job_title],$H567),SUMIFS(AvgBonus[avg_bonus],AvgBonus[exp_item],$J567,AvgBonus[company_name],$B567,AvgBonus[bu_name],$C567,AvgBonus[dept_name],$D567,AvgBonus[team_consolidation],$K567,AvgBonus[location_name],$G567,AvgBonus[job_title],$H567))*AG462*SUM(BonusPayout[Month 22]))</f>
        <v>0</v>
      </c>
      <c r="AH567" s="652">
        <f>IF($B567="",,IF(LEFT($H567,5)="dummy",SUMIFS(AvgBonus[avg_bonus],AvgBonus[job_title],$H567),SUMIFS(AvgBonus[avg_bonus],AvgBonus[exp_item],$J567,AvgBonus[company_name],$B567,AvgBonus[bu_name],$C567,AvgBonus[dept_name],$D567,AvgBonus[team_consolidation],$K567,AvgBonus[location_name],$G567,AvgBonus[job_title],$H567))*AH462*SUM(BonusPayout[Month 23]))</f>
        <v>0</v>
      </c>
      <c r="AI567" s="652">
        <f>IF($B567="",,IF(LEFT($H567,5)="dummy",SUMIFS(AvgBonus[avg_bonus],AvgBonus[job_title],$H567),SUMIFS(AvgBonus[avg_bonus],AvgBonus[exp_item],$J567,AvgBonus[company_name],$B567,AvgBonus[bu_name],$C567,AvgBonus[dept_name],$D567,AvgBonus[team_consolidation],$K567,AvgBonus[location_name],$G567,AvgBonus[job_title],$H567))*AI462*SUM(BonusPayout[Month 24]))</f>
        <v>0</v>
      </c>
      <c r="AJ567" s="652">
        <f>IF($B567="",,IF(LEFT($H567,5)="dummy",SUMIFS(AvgBonus[avg_bonus],AvgBonus[job_title],$H567),SUMIFS(AvgBonus[avg_bonus],AvgBonus[exp_item],$J567,AvgBonus[company_name],$B567,AvgBonus[bu_name],$C567,AvgBonus[dept_name],$D567,AvgBonus[team_consolidation],$K567,AvgBonus[location_name],$G567,AvgBonus[job_title],$H567))*AJ462*SUM(BonusPayout[Month 25]))</f>
        <v>0</v>
      </c>
      <c r="AK567" s="652">
        <f>IF($B567="",,IF(LEFT($H567,5)="dummy",SUMIFS(AvgBonus[avg_bonus],AvgBonus[job_title],$H567),SUMIFS(AvgBonus[avg_bonus],AvgBonus[exp_item],$J567,AvgBonus[company_name],$B567,AvgBonus[bu_name],$C567,AvgBonus[dept_name],$D567,AvgBonus[team_consolidation],$K567,AvgBonus[location_name],$G567,AvgBonus[job_title],$H567))*AK462*SUM(BonusPayout[Month 26]))</f>
        <v>0</v>
      </c>
      <c r="AL567" s="652">
        <f>IF($B567="",,IF(LEFT($H567,5)="dummy",SUMIFS(AvgBonus[avg_bonus],AvgBonus[job_title],$H567),SUMIFS(AvgBonus[avg_bonus],AvgBonus[exp_item],$J567,AvgBonus[company_name],$B567,AvgBonus[bu_name],$C567,AvgBonus[dept_name],$D567,AvgBonus[team_consolidation],$K567,AvgBonus[location_name],$G567,AvgBonus[job_title],$H567))*AL462*SUM(BonusPayout[Month 27]))</f>
        <v>0</v>
      </c>
      <c r="AM567" s="652">
        <f>IF($B567="",,IF(LEFT($H567,5)="dummy",SUMIFS(AvgBonus[avg_bonus],AvgBonus[job_title],$H567),SUMIFS(AvgBonus[avg_bonus],AvgBonus[exp_item],$J567,AvgBonus[company_name],$B567,AvgBonus[bu_name],$C567,AvgBonus[dept_name],$D567,AvgBonus[team_consolidation],$K567,AvgBonus[location_name],$G567,AvgBonus[job_title],$H567))*AM462*SUM(BonusPayout[Month 28]))</f>
        <v>0</v>
      </c>
      <c r="AN567" s="652">
        <f>IF($B567="",,IF(LEFT($H567,5)="dummy",SUMIFS(AvgBonus[avg_bonus],AvgBonus[job_title],$H567),SUMIFS(AvgBonus[avg_bonus],AvgBonus[exp_item],$J567,AvgBonus[company_name],$B567,AvgBonus[bu_name],$C567,AvgBonus[dept_name],$D567,AvgBonus[team_consolidation],$K567,AvgBonus[location_name],$G567,AvgBonus[job_title],$H567))*AN462*SUM(BonusPayout[Month 29]))</f>
        <v>0</v>
      </c>
      <c r="AO567" s="652">
        <f>IF($B567="",,IF(LEFT($H567,5)="dummy",SUMIFS(AvgBonus[avg_bonus],AvgBonus[job_title],$H567),SUMIFS(AvgBonus[avg_bonus],AvgBonus[exp_item],$J567,AvgBonus[company_name],$B567,AvgBonus[bu_name],$C567,AvgBonus[dept_name],$D567,AvgBonus[team_consolidation],$K567,AvgBonus[location_name],$G567,AvgBonus[job_title],$H567))*AO462*SUM(BonusPayout[Month 30]))</f>
        <v>0</v>
      </c>
      <c r="AP567" s="652">
        <f>IF($B567="",,IF(LEFT($H567,5)="dummy",SUMIFS(AvgBonus[avg_bonus],AvgBonus[job_title],$H567),SUMIFS(AvgBonus[avg_bonus],AvgBonus[exp_item],$J567,AvgBonus[company_name],$B567,AvgBonus[bu_name],$C567,AvgBonus[dept_name],$D567,AvgBonus[team_consolidation],$K567,AvgBonus[location_name],$G567,AvgBonus[job_title],$H567))*AP462*SUM(BonusPayout[Month 31]))</f>
        <v>0</v>
      </c>
      <c r="AQ567" s="652">
        <f>IF($B567="",,IF(LEFT($H567,5)="dummy",SUMIFS(AvgBonus[avg_bonus],AvgBonus[job_title],$H567),SUMIFS(AvgBonus[avg_bonus],AvgBonus[exp_item],$J567,AvgBonus[company_name],$B567,AvgBonus[bu_name],$C567,AvgBonus[dept_name],$D567,AvgBonus[team_consolidation],$K567,AvgBonus[location_name],$G567,AvgBonus[job_title],$H567))*AQ462*SUM(BonusPayout[Month 32]))</f>
        <v>0</v>
      </c>
      <c r="AR567" s="652">
        <f>IF($B567="",,IF(LEFT($H567,5)="dummy",SUMIFS(AvgBonus[avg_bonus],AvgBonus[job_title],$H567),SUMIFS(AvgBonus[avg_bonus],AvgBonus[exp_item],$J567,AvgBonus[company_name],$B567,AvgBonus[bu_name],$C567,AvgBonus[dept_name],$D567,AvgBonus[team_consolidation],$K567,AvgBonus[location_name],$G567,AvgBonus[job_title],$H567))*AR462*SUM(BonusPayout[Month 33]))</f>
        <v>0</v>
      </c>
      <c r="AS567" s="652">
        <f>IF($B567="",,IF(LEFT($H567,5)="dummy",SUMIFS(AvgBonus[avg_bonus],AvgBonus[job_title],$H567),SUMIFS(AvgBonus[avg_bonus],AvgBonus[exp_item],$J567,AvgBonus[company_name],$B567,AvgBonus[bu_name],$C567,AvgBonus[dept_name],$D567,AvgBonus[team_consolidation],$K567,AvgBonus[location_name],$G567,AvgBonus[job_title],$H567))*AS462*SUM(BonusPayout[Month 34]))</f>
        <v>0</v>
      </c>
      <c r="AT567" s="652">
        <f>IF($B567="",,IF(LEFT($H567,5)="dummy",SUMIFS(AvgBonus[avg_bonus],AvgBonus[job_title],$H567),SUMIFS(AvgBonus[avg_bonus],AvgBonus[exp_item],$J567,AvgBonus[company_name],$B567,AvgBonus[bu_name],$C567,AvgBonus[dept_name],$D567,AvgBonus[team_consolidation],$K567,AvgBonus[location_name],$G567,AvgBonus[job_title],$H567))*AT462*SUM(BonusPayout[Month 35]))</f>
        <v>0</v>
      </c>
      <c r="AU567" s="652">
        <f>IF($B567="",,IF(LEFT($H567,5)="dummy",SUMIFS(AvgBonus[avg_bonus],AvgBonus[job_title],$H567),SUMIFS(AvgBonus[avg_bonus],AvgBonus[exp_item],$J567,AvgBonus[company_name],$B567,AvgBonus[bu_name],$C567,AvgBonus[dept_name],$D567,AvgBonus[team_consolidation],$K567,AvgBonus[location_name],$G567,AvgBonus[job_title],$H567))*AU462*SUM(BonusPayout[Month 36]))</f>
        <v>0</v>
      </c>
    </row>
    <row r="568" spans="2:47" x14ac:dyDescent="0.35">
      <c r="B568" t="str">
        <f t="shared" si="361"/>
        <v/>
      </c>
      <c r="C568" t="str">
        <f t="shared" ref="C568:G568" si="365">IF(C463="","",C463)</f>
        <v/>
      </c>
      <c r="D568" t="str">
        <f t="shared" si="365"/>
        <v/>
      </c>
      <c r="E568" t="str">
        <f t="shared" si="365"/>
        <v/>
      </c>
      <c r="F568" t="str">
        <f t="shared" si="365"/>
        <v/>
      </c>
      <c r="G568" t="str">
        <f t="shared" si="365"/>
        <v/>
      </c>
      <c r="H568" t="str">
        <f t="shared" si="360"/>
        <v/>
      </c>
      <c r="J568" t="str">
        <f>IF($H568="","",IF(VLOOKUP($B$500,ExpItems[],2,0),$B$500&amp;" - "&amp;INDEX(DivisionMapping[category_code],MATCH($D568&amp;$C568,DivisionMapping[dept_bu],0)),$B$500))</f>
        <v/>
      </c>
      <c r="K568" t="str">
        <f t="shared" si="363"/>
        <v/>
      </c>
      <c r="L568" s="652">
        <f>IF($B568="",,IF(LEFT($H568,5)="dummy",SUMIFS(AvgBonus[avg_bonus],AvgBonus[job_title],$H568),SUMIFS(AvgBonus[avg_bonus],AvgBonus[exp_item],$J568,AvgBonus[company_name],$B568,AvgBonus[bu_name],$C568,AvgBonus[dept_name],$D568,AvgBonus[team_consolidation],$K568,AvgBonus[location_name],$G568,AvgBonus[job_title],$H568))*L463*SUM(BonusPayout[Month 1]))</f>
        <v>0</v>
      </c>
      <c r="M568" s="652">
        <f>IF($B568="",,IF(LEFT($H568,5)="dummy",SUMIFS(AvgBonus[avg_bonus],AvgBonus[job_title],$H568),SUMIFS(AvgBonus[avg_bonus],AvgBonus[exp_item],$J568,AvgBonus[company_name],$B568,AvgBonus[bu_name],$C568,AvgBonus[dept_name],$D568,AvgBonus[team_consolidation],$K568,AvgBonus[location_name],$G568,AvgBonus[job_title],$H568))*M463*SUM(BonusPayout[Month 2]))</f>
        <v>0</v>
      </c>
      <c r="N568" s="652">
        <f>IF($B568="",,IF(LEFT($H568,5)="dummy",SUMIFS(AvgBonus[avg_bonus],AvgBonus[job_title],$H568),SUMIFS(AvgBonus[avg_bonus],AvgBonus[exp_item],$J568,AvgBonus[company_name],$B568,AvgBonus[bu_name],$C568,AvgBonus[dept_name],$D568,AvgBonus[team_consolidation],$K568,AvgBonus[location_name],$G568,AvgBonus[job_title],$H568))*N463*SUM(BonusPayout[Month 3]))</f>
        <v>0</v>
      </c>
      <c r="O568" s="652">
        <f>IF($B568="",,IF(LEFT($H568,5)="dummy",SUMIFS(AvgBonus[avg_bonus],AvgBonus[job_title],$H568),SUMIFS(AvgBonus[avg_bonus],AvgBonus[exp_item],$J568,AvgBonus[company_name],$B568,AvgBonus[bu_name],$C568,AvgBonus[dept_name],$D568,AvgBonus[team_consolidation],$K568,AvgBonus[location_name],$G568,AvgBonus[job_title],$H568))*O463*SUM(BonusPayout[Month 4]))</f>
        <v>0</v>
      </c>
      <c r="P568" s="652">
        <f>IF($B568="",,IF(LEFT($H568,5)="dummy",SUMIFS(AvgBonus[avg_bonus],AvgBonus[job_title],$H568),SUMIFS(AvgBonus[avg_bonus],AvgBonus[exp_item],$J568,AvgBonus[company_name],$B568,AvgBonus[bu_name],$C568,AvgBonus[dept_name],$D568,AvgBonus[team_consolidation],$K568,AvgBonus[location_name],$G568,AvgBonus[job_title],$H568))*P463*SUM(BonusPayout[Month 5]))</f>
        <v>0</v>
      </c>
      <c r="Q568" s="652">
        <f>IF($B568="",,IF(LEFT($H568,5)="dummy",SUMIFS(AvgBonus[avg_bonus],AvgBonus[job_title],$H568),SUMIFS(AvgBonus[avg_bonus],AvgBonus[exp_item],$J568,AvgBonus[company_name],$B568,AvgBonus[bu_name],$C568,AvgBonus[dept_name],$D568,AvgBonus[team_consolidation],$K568,AvgBonus[location_name],$G568,AvgBonus[job_title],$H568))*Q463*SUM(BonusPayout[Month 6]))</f>
        <v>0</v>
      </c>
      <c r="R568" s="652">
        <f>IF($B568="",,IF(LEFT($H568,5)="dummy",SUMIFS(AvgBonus[avg_bonus],AvgBonus[job_title],$H568),SUMIFS(AvgBonus[avg_bonus],AvgBonus[exp_item],$J568,AvgBonus[company_name],$B568,AvgBonus[bu_name],$C568,AvgBonus[dept_name],$D568,AvgBonus[team_consolidation],$K568,AvgBonus[location_name],$G568,AvgBonus[job_title],$H568))*R463*SUM(BonusPayout[Month 7]))</f>
        <v>0</v>
      </c>
      <c r="S568" s="652">
        <f>IF($B568="",,IF(LEFT($H568,5)="dummy",SUMIFS(AvgBonus[avg_bonus],AvgBonus[job_title],$H568),SUMIFS(AvgBonus[avg_bonus],AvgBonus[exp_item],$J568,AvgBonus[company_name],$B568,AvgBonus[bu_name],$C568,AvgBonus[dept_name],$D568,AvgBonus[team_consolidation],$K568,AvgBonus[location_name],$G568,AvgBonus[job_title],$H568))*S463*SUM(BonusPayout[Month 8]))</f>
        <v>0</v>
      </c>
      <c r="T568" s="652">
        <f>IF($B568="",,IF(LEFT($H568,5)="dummy",SUMIFS(AvgBonus[avg_bonus],AvgBonus[job_title],$H568),SUMIFS(AvgBonus[avg_bonus],AvgBonus[exp_item],$J568,AvgBonus[company_name],$B568,AvgBonus[bu_name],$C568,AvgBonus[dept_name],$D568,AvgBonus[team_consolidation],$K568,AvgBonus[location_name],$G568,AvgBonus[job_title],$H568))*T463*SUM(BonusPayout[Month 9]))</f>
        <v>0</v>
      </c>
      <c r="U568" s="652">
        <f>IF($B568="",,IF(LEFT($H568,5)="dummy",SUMIFS(AvgBonus[avg_bonus],AvgBonus[job_title],$H568),SUMIFS(AvgBonus[avg_bonus],AvgBonus[exp_item],$J568,AvgBonus[company_name],$B568,AvgBonus[bu_name],$C568,AvgBonus[dept_name],$D568,AvgBonus[team_consolidation],$K568,AvgBonus[location_name],$G568,AvgBonus[job_title],$H568))*U463*SUM(BonusPayout[Month 10]))</f>
        <v>0</v>
      </c>
      <c r="V568" s="652">
        <f>IF($B568="",,IF(LEFT($H568,5)="dummy",SUMIFS(AvgBonus[avg_bonus],AvgBonus[job_title],$H568),SUMIFS(AvgBonus[avg_bonus],AvgBonus[exp_item],$J568,AvgBonus[company_name],$B568,AvgBonus[bu_name],$C568,AvgBonus[dept_name],$D568,AvgBonus[team_consolidation],$K568,AvgBonus[location_name],$G568,AvgBonus[job_title],$H568))*V463*SUM(BonusPayout[Month 11]))</f>
        <v>0</v>
      </c>
      <c r="W568" s="652">
        <f>IF($B568="",,IF(LEFT($H568,5)="dummy",SUMIFS(AvgBonus[avg_bonus],AvgBonus[job_title],$H568),SUMIFS(AvgBonus[avg_bonus],AvgBonus[exp_item],$J568,AvgBonus[company_name],$B568,AvgBonus[bu_name],$C568,AvgBonus[dept_name],$D568,AvgBonus[team_consolidation],$K568,AvgBonus[location_name],$G568,AvgBonus[job_title],$H568))*W463*SUM(BonusPayout[Month 12]))</f>
        <v>0</v>
      </c>
      <c r="X568" s="652">
        <f>IF($B568="",,IF(LEFT($H568,5)="dummy",SUMIFS(AvgBonus[avg_bonus],AvgBonus[job_title],$H568),SUMIFS(AvgBonus[avg_bonus],AvgBonus[exp_item],$J568,AvgBonus[company_name],$B568,AvgBonus[bu_name],$C568,AvgBonus[dept_name],$D568,AvgBonus[team_consolidation],$K568,AvgBonus[location_name],$G568,AvgBonus[job_title],$H568))*X463*SUM(BonusPayout[Month 13]))</f>
        <v>0</v>
      </c>
      <c r="Y568" s="652">
        <f>IF($B568="",,IF(LEFT($H568,5)="dummy",SUMIFS(AvgBonus[avg_bonus],AvgBonus[job_title],$H568),SUMIFS(AvgBonus[avg_bonus],AvgBonus[exp_item],$J568,AvgBonus[company_name],$B568,AvgBonus[bu_name],$C568,AvgBonus[dept_name],$D568,AvgBonus[team_consolidation],$K568,AvgBonus[location_name],$G568,AvgBonus[job_title],$H568))*Y463*SUM(BonusPayout[Month 14]))</f>
        <v>0</v>
      </c>
      <c r="Z568" s="652">
        <f>IF($B568="",,IF(LEFT($H568,5)="dummy",SUMIFS(AvgBonus[avg_bonus],AvgBonus[job_title],$H568),SUMIFS(AvgBonus[avg_bonus],AvgBonus[exp_item],$J568,AvgBonus[company_name],$B568,AvgBonus[bu_name],$C568,AvgBonus[dept_name],$D568,AvgBonus[team_consolidation],$K568,AvgBonus[location_name],$G568,AvgBonus[job_title],$H568))*Z463*SUM(BonusPayout[Month 15]))</f>
        <v>0</v>
      </c>
      <c r="AA568" s="652">
        <f>IF($B568="",,IF(LEFT($H568,5)="dummy",SUMIFS(AvgBonus[avg_bonus],AvgBonus[job_title],$H568),SUMIFS(AvgBonus[avg_bonus],AvgBonus[exp_item],$J568,AvgBonus[company_name],$B568,AvgBonus[bu_name],$C568,AvgBonus[dept_name],$D568,AvgBonus[team_consolidation],$K568,AvgBonus[location_name],$G568,AvgBonus[job_title],$H568))*AA463*SUM(BonusPayout[Month 16]))</f>
        <v>0</v>
      </c>
      <c r="AB568" s="652">
        <f>IF($B568="",,IF(LEFT($H568,5)="dummy",SUMIFS(AvgBonus[avg_bonus],AvgBonus[job_title],$H568),SUMIFS(AvgBonus[avg_bonus],AvgBonus[exp_item],$J568,AvgBonus[company_name],$B568,AvgBonus[bu_name],$C568,AvgBonus[dept_name],$D568,AvgBonus[team_consolidation],$K568,AvgBonus[location_name],$G568,AvgBonus[job_title],$H568))*AB463*SUM(BonusPayout[Month 17]))</f>
        <v>0</v>
      </c>
      <c r="AC568" s="652">
        <f>IF($B568="",,IF(LEFT($H568,5)="dummy",SUMIFS(AvgBonus[avg_bonus],AvgBonus[job_title],$H568),SUMIFS(AvgBonus[avg_bonus],AvgBonus[exp_item],$J568,AvgBonus[company_name],$B568,AvgBonus[bu_name],$C568,AvgBonus[dept_name],$D568,AvgBonus[team_consolidation],$K568,AvgBonus[location_name],$G568,AvgBonus[job_title],$H568))*AC463*SUM(BonusPayout[Month 18]))</f>
        <v>0</v>
      </c>
      <c r="AD568" s="652">
        <f>IF($B568="",,IF(LEFT($H568,5)="dummy",SUMIFS(AvgBonus[avg_bonus],AvgBonus[job_title],$H568),SUMIFS(AvgBonus[avg_bonus],AvgBonus[exp_item],$J568,AvgBonus[company_name],$B568,AvgBonus[bu_name],$C568,AvgBonus[dept_name],$D568,AvgBonus[team_consolidation],$K568,AvgBonus[location_name],$G568,AvgBonus[job_title],$H568))*AD463*SUM(BonusPayout[Month 19]))</f>
        <v>0</v>
      </c>
      <c r="AE568" s="652">
        <f>IF($B568="",,IF(LEFT($H568,5)="dummy",SUMIFS(AvgBonus[avg_bonus],AvgBonus[job_title],$H568),SUMIFS(AvgBonus[avg_bonus],AvgBonus[exp_item],$J568,AvgBonus[company_name],$B568,AvgBonus[bu_name],$C568,AvgBonus[dept_name],$D568,AvgBonus[team_consolidation],$K568,AvgBonus[location_name],$G568,AvgBonus[job_title],$H568))*AE463*SUM(BonusPayout[Month 20]))</f>
        <v>0</v>
      </c>
      <c r="AF568" s="652">
        <f>IF($B568="",,IF(LEFT($H568,5)="dummy",SUMIFS(AvgBonus[avg_bonus],AvgBonus[job_title],$H568),SUMIFS(AvgBonus[avg_bonus],AvgBonus[exp_item],$J568,AvgBonus[company_name],$B568,AvgBonus[bu_name],$C568,AvgBonus[dept_name],$D568,AvgBonus[team_consolidation],$K568,AvgBonus[location_name],$G568,AvgBonus[job_title],$H568))*AF463*SUM(BonusPayout[Month 21]))</f>
        <v>0</v>
      </c>
      <c r="AG568" s="652">
        <f>IF($B568="",,IF(LEFT($H568,5)="dummy",SUMIFS(AvgBonus[avg_bonus],AvgBonus[job_title],$H568),SUMIFS(AvgBonus[avg_bonus],AvgBonus[exp_item],$J568,AvgBonus[company_name],$B568,AvgBonus[bu_name],$C568,AvgBonus[dept_name],$D568,AvgBonus[team_consolidation],$K568,AvgBonus[location_name],$G568,AvgBonus[job_title],$H568))*AG463*SUM(BonusPayout[Month 22]))</f>
        <v>0</v>
      </c>
      <c r="AH568" s="652">
        <f>IF($B568="",,IF(LEFT($H568,5)="dummy",SUMIFS(AvgBonus[avg_bonus],AvgBonus[job_title],$H568),SUMIFS(AvgBonus[avg_bonus],AvgBonus[exp_item],$J568,AvgBonus[company_name],$B568,AvgBonus[bu_name],$C568,AvgBonus[dept_name],$D568,AvgBonus[team_consolidation],$K568,AvgBonus[location_name],$G568,AvgBonus[job_title],$H568))*AH463*SUM(BonusPayout[Month 23]))</f>
        <v>0</v>
      </c>
      <c r="AI568" s="652">
        <f>IF($B568="",,IF(LEFT($H568,5)="dummy",SUMIFS(AvgBonus[avg_bonus],AvgBonus[job_title],$H568),SUMIFS(AvgBonus[avg_bonus],AvgBonus[exp_item],$J568,AvgBonus[company_name],$B568,AvgBonus[bu_name],$C568,AvgBonus[dept_name],$D568,AvgBonus[team_consolidation],$K568,AvgBonus[location_name],$G568,AvgBonus[job_title],$H568))*AI463*SUM(BonusPayout[Month 24]))</f>
        <v>0</v>
      </c>
      <c r="AJ568" s="652">
        <f>IF($B568="",,IF(LEFT($H568,5)="dummy",SUMIFS(AvgBonus[avg_bonus],AvgBonus[job_title],$H568),SUMIFS(AvgBonus[avg_bonus],AvgBonus[exp_item],$J568,AvgBonus[company_name],$B568,AvgBonus[bu_name],$C568,AvgBonus[dept_name],$D568,AvgBonus[team_consolidation],$K568,AvgBonus[location_name],$G568,AvgBonus[job_title],$H568))*AJ463*SUM(BonusPayout[Month 25]))</f>
        <v>0</v>
      </c>
      <c r="AK568" s="652">
        <f>IF($B568="",,IF(LEFT($H568,5)="dummy",SUMIFS(AvgBonus[avg_bonus],AvgBonus[job_title],$H568),SUMIFS(AvgBonus[avg_bonus],AvgBonus[exp_item],$J568,AvgBonus[company_name],$B568,AvgBonus[bu_name],$C568,AvgBonus[dept_name],$D568,AvgBonus[team_consolidation],$K568,AvgBonus[location_name],$G568,AvgBonus[job_title],$H568))*AK463*SUM(BonusPayout[Month 26]))</f>
        <v>0</v>
      </c>
      <c r="AL568" s="652">
        <f>IF($B568="",,IF(LEFT($H568,5)="dummy",SUMIFS(AvgBonus[avg_bonus],AvgBonus[job_title],$H568),SUMIFS(AvgBonus[avg_bonus],AvgBonus[exp_item],$J568,AvgBonus[company_name],$B568,AvgBonus[bu_name],$C568,AvgBonus[dept_name],$D568,AvgBonus[team_consolidation],$K568,AvgBonus[location_name],$G568,AvgBonus[job_title],$H568))*AL463*SUM(BonusPayout[Month 27]))</f>
        <v>0</v>
      </c>
      <c r="AM568" s="652">
        <f>IF($B568="",,IF(LEFT($H568,5)="dummy",SUMIFS(AvgBonus[avg_bonus],AvgBonus[job_title],$H568),SUMIFS(AvgBonus[avg_bonus],AvgBonus[exp_item],$J568,AvgBonus[company_name],$B568,AvgBonus[bu_name],$C568,AvgBonus[dept_name],$D568,AvgBonus[team_consolidation],$K568,AvgBonus[location_name],$G568,AvgBonus[job_title],$H568))*AM463*SUM(BonusPayout[Month 28]))</f>
        <v>0</v>
      </c>
      <c r="AN568" s="652">
        <f>IF($B568="",,IF(LEFT($H568,5)="dummy",SUMIFS(AvgBonus[avg_bonus],AvgBonus[job_title],$H568),SUMIFS(AvgBonus[avg_bonus],AvgBonus[exp_item],$J568,AvgBonus[company_name],$B568,AvgBonus[bu_name],$C568,AvgBonus[dept_name],$D568,AvgBonus[team_consolidation],$K568,AvgBonus[location_name],$G568,AvgBonus[job_title],$H568))*AN463*SUM(BonusPayout[Month 29]))</f>
        <v>0</v>
      </c>
      <c r="AO568" s="652">
        <f>IF($B568="",,IF(LEFT($H568,5)="dummy",SUMIFS(AvgBonus[avg_bonus],AvgBonus[job_title],$H568),SUMIFS(AvgBonus[avg_bonus],AvgBonus[exp_item],$J568,AvgBonus[company_name],$B568,AvgBonus[bu_name],$C568,AvgBonus[dept_name],$D568,AvgBonus[team_consolidation],$K568,AvgBonus[location_name],$G568,AvgBonus[job_title],$H568))*AO463*SUM(BonusPayout[Month 30]))</f>
        <v>0</v>
      </c>
      <c r="AP568" s="652">
        <f>IF($B568="",,IF(LEFT($H568,5)="dummy",SUMIFS(AvgBonus[avg_bonus],AvgBonus[job_title],$H568),SUMIFS(AvgBonus[avg_bonus],AvgBonus[exp_item],$J568,AvgBonus[company_name],$B568,AvgBonus[bu_name],$C568,AvgBonus[dept_name],$D568,AvgBonus[team_consolidation],$K568,AvgBonus[location_name],$G568,AvgBonus[job_title],$H568))*AP463*SUM(BonusPayout[Month 31]))</f>
        <v>0</v>
      </c>
      <c r="AQ568" s="652">
        <f>IF($B568="",,IF(LEFT($H568,5)="dummy",SUMIFS(AvgBonus[avg_bonus],AvgBonus[job_title],$H568),SUMIFS(AvgBonus[avg_bonus],AvgBonus[exp_item],$J568,AvgBonus[company_name],$B568,AvgBonus[bu_name],$C568,AvgBonus[dept_name],$D568,AvgBonus[team_consolidation],$K568,AvgBonus[location_name],$G568,AvgBonus[job_title],$H568))*AQ463*SUM(BonusPayout[Month 32]))</f>
        <v>0</v>
      </c>
      <c r="AR568" s="652">
        <f>IF($B568="",,IF(LEFT($H568,5)="dummy",SUMIFS(AvgBonus[avg_bonus],AvgBonus[job_title],$H568),SUMIFS(AvgBonus[avg_bonus],AvgBonus[exp_item],$J568,AvgBonus[company_name],$B568,AvgBonus[bu_name],$C568,AvgBonus[dept_name],$D568,AvgBonus[team_consolidation],$K568,AvgBonus[location_name],$G568,AvgBonus[job_title],$H568))*AR463*SUM(BonusPayout[Month 33]))</f>
        <v>0</v>
      </c>
      <c r="AS568" s="652">
        <f>IF($B568="",,IF(LEFT($H568,5)="dummy",SUMIFS(AvgBonus[avg_bonus],AvgBonus[job_title],$H568),SUMIFS(AvgBonus[avg_bonus],AvgBonus[exp_item],$J568,AvgBonus[company_name],$B568,AvgBonus[bu_name],$C568,AvgBonus[dept_name],$D568,AvgBonus[team_consolidation],$K568,AvgBonus[location_name],$G568,AvgBonus[job_title],$H568))*AS463*SUM(BonusPayout[Month 34]))</f>
        <v>0</v>
      </c>
      <c r="AT568" s="652">
        <f>IF($B568="",,IF(LEFT($H568,5)="dummy",SUMIFS(AvgBonus[avg_bonus],AvgBonus[job_title],$H568),SUMIFS(AvgBonus[avg_bonus],AvgBonus[exp_item],$J568,AvgBonus[company_name],$B568,AvgBonus[bu_name],$C568,AvgBonus[dept_name],$D568,AvgBonus[team_consolidation],$K568,AvgBonus[location_name],$G568,AvgBonus[job_title],$H568))*AT463*SUM(BonusPayout[Month 35]))</f>
        <v>0</v>
      </c>
      <c r="AU568" s="652">
        <f>IF($B568="",,IF(LEFT($H568,5)="dummy",SUMIFS(AvgBonus[avg_bonus],AvgBonus[job_title],$H568),SUMIFS(AvgBonus[avg_bonus],AvgBonus[exp_item],$J568,AvgBonus[company_name],$B568,AvgBonus[bu_name],$C568,AvgBonus[dept_name],$D568,AvgBonus[team_consolidation],$K568,AvgBonus[location_name],$G568,AvgBonus[job_title],$H568))*AU463*SUM(BonusPayout[Month 36]))</f>
        <v>0</v>
      </c>
    </row>
    <row r="569" spans="2:47" x14ac:dyDescent="0.35">
      <c r="B569" t="str">
        <f t="shared" si="361"/>
        <v/>
      </c>
      <c r="C569" t="str">
        <f t="shared" ref="C569:G569" si="366">IF(C464="","",C464)</f>
        <v/>
      </c>
      <c r="D569" t="str">
        <f t="shared" si="366"/>
        <v/>
      </c>
      <c r="E569" t="str">
        <f t="shared" si="366"/>
        <v/>
      </c>
      <c r="F569" t="str">
        <f t="shared" si="366"/>
        <v/>
      </c>
      <c r="G569" t="str">
        <f t="shared" si="366"/>
        <v/>
      </c>
      <c r="H569" t="str">
        <f t="shared" si="360"/>
        <v/>
      </c>
      <c r="J569" t="str">
        <f>IF($H569="","",IF(VLOOKUP($B$500,ExpItems[],2,0),$B$500&amp;" - "&amp;INDEX(DivisionMapping[category_code],MATCH($D569&amp;$C569,DivisionMapping[dept_bu],0)),$B$500))</f>
        <v/>
      </c>
      <c r="K569" t="str">
        <f t="shared" si="363"/>
        <v/>
      </c>
      <c r="L569" s="652">
        <f>IF($B569="",,IF(LEFT($H569,5)="dummy",SUMIFS(AvgBonus[avg_bonus],AvgBonus[job_title],$H569),SUMIFS(AvgBonus[avg_bonus],AvgBonus[exp_item],$J569,AvgBonus[company_name],$B569,AvgBonus[bu_name],$C569,AvgBonus[dept_name],$D569,AvgBonus[team_consolidation],$K569,AvgBonus[location_name],$G569,AvgBonus[job_title],$H569))*L464*SUM(BonusPayout[Month 1]))</f>
        <v>0</v>
      </c>
      <c r="M569" s="652">
        <f>IF($B569="",,IF(LEFT($H569,5)="dummy",SUMIFS(AvgBonus[avg_bonus],AvgBonus[job_title],$H569),SUMIFS(AvgBonus[avg_bonus],AvgBonus[exp_item],$J569,AvgBonus[company_name],$B569,AvgBonus[bu_name],$C569,AvgBonus[dept_name],$D569,AvgBonus[team_consolidation],$K569,AvgBonus[location_name],$G569,AvgBonus[job_title],$H569))*M464*SUM(BonusPayout[Month 2]))</f>
        <v>0</v>
      </c>
      <c r="N569" s="652">
        <f>IF($B569="",,IF(LEFT($H569,5)="dummy",SUMIFS(AvgBonus[avg_bonus],AvgBonus[job_title],$H569),SUMIFS(AvgBonus[avg_bonus],AvgBonus[exp_item],$J569,AvgBonus[company_name],$B569,AvgBonus[bu_name],$C569,AvgBonus[dept_name],$D569,AvgBonus[team_consolidation],$K569,AvgBonus[location_name],$G569,AvgBonus[job_title],$H569))*N464*SUM(BonusPayout[Month 3]))</f>
        <v>0</v>
      </c>
      <c r="O569" s="652">
        <f>IF($B569="",,IF(LEFT($H569,5)="dummy",SUMIFS(AvgBonus[avg_bonus],AvgBonus[job_title],$H569),SUMIFS(AvgBonus[avg_bonus],AvgBonus[exp_item],$J569,AvgBonus[company_name],$B569,AvgBonus[bu_name],$C569,AvgBonus[dept_name],$D569,AvgBonus[team_consolidation],$K569,AvgBonus[location_name],$G569,AvgBonus[job_title],$H569))*O464*SUM(BonusPayout[Month 4]))</f>
        <v>0</v>
      </c>
      <c r="P569" s="652">
        <f>IF($B569="",,IF(LEFT($H569,5)="dummy",SUMIFS(AvgBonus[avg_bonus],AvgBonus[job_title],$H569),SUMIFS(AvgBonus[avg_bonus],AvgBonus[exp_item],$J569,AvgBonus[company_name],$B569,AvgBonus[bu_name],$C569,AvgBonus[dept_name],$D569,AvgBonus[team_consolidation],$K569,AvgBonus[location_name],$G569,AvgBonus[job_title],$H569))*P464*SUM(BonusPayout[Month 5]))</f>
        <v>0</v>
      </c>
      <c r="Q569" s="652">
        <f>IF($B569="",,IF(LEFT($H569,5)="dummy",SUMIFS(AvgBonus[avg_bonus],AvgBonus[job_title],$H569),SUMIFS(AvgBonus[avg_bonus],AvgBonus[exp_item],$J569,AvgBonus[company_name],$B569,AvgBonus[bu_name],$C569,AvgBonus[dept_name],$D569,AvgBonus[team_consolidation],$K569,AvgBonus[location_name],$G569,AvgBonus[job_title],$H569))*Q464*SUM(BonusPayout[Month 6]))</f>
        <v>0</v>
      </c>
      <c r="R569" s="652">
        <f>IF($B569="",,IF(LEFT($H569,5)="dummy",SUMIFS(AvgBonus[avg_bonus],AvgBonus[job_title],$H569),SUMIFS(AvgBonus[avg_bonus],AvgBonus[exp_item],$J569,AvgBonus[company_name],$B569,AvgBonus[bu_name],$C569,AvgBonus[dept_name],$D569,AvgBonus[team_consolidation],$K569,AvgBonus[location_name],$G569,AvgBonus[job_title],$H569))*R464*SUM(BonusPayout[Month 7]))</f>
        <v>0</v>
      </c>
      <c r="S569" s="652">
        <f>IF($B569="",,IF(LEFT($H569,5)="dummy",SUMIFS(AvgBonus[avg_bonus],AvgBonus[job_title],$H569),SUMIFS(AvgBonus[avg_bonus],AvgBonus[exp_item],$J569,AvgBonus[company_name],$B569,AvgBonus[bu_name],$C569,AvgBonus[dept_name],$D569,AvgBonus[team_consolidation],$K569,AvgBonus[location_name],$G569,AvgBonus[job_title],$H569))*S464*SUM(BonusPayout[Month 8]))</f>
        <v>0</v>
      </c>
      <c r="T569" s="652">
        <f>IF($B569="",,IF(LEFT($H569,5)="dummy",SUMIFS(AvgBonus[avg_bonus],AvgBonus[job_title],$H569),SUMIFS(AvgBonus[avg_bonus],AvgBonus[exp_item],$J569,AvgBonus[company_name],$B569,AvgBonus[bu_name],$C569,AvgBonus[dept_name],$D569,AvgBonus[team_consolidation],$K569,AvgBonus[location_name],$G569,AvgBonus[job_title],$H569))*T464*SUM(BonusPayout[Month 9]))</f>
        <v>0</v>
      </c>
      <c r="U569" s="652">
        <f>IF($B569="",,IF(LEFT($H569,5)="dummy",SUMIFS(AvgBonus[avg_bonus],AvgBonus[job_title],$H569),SUMIFS(AvgBonus[avg_bonus],AvgBonus[exp_item],$J569,AvgBonus[company_name],$B569,AvgBonus[bu_name],$C569,AvgBonus[dept_name],$D569,AvgBonus[team_consolidation],$K569,AvgBonus[location_name],$G569,AvgBonus[job_title],$H569))*U464*SUM(BonusPayout[Month 10]))</f>
        <v>0</v>
      </c>
      <c r="V569" s="652">
        <f>IF($B569="",,IF(LEFT($H569,5)="dummy",SUMIFS(AvgBonus[avg_bonus],AvgBonus[job_title],$H569),SUMIFS(AvgBonus[avg_bonus],AvgBonus[exp_item],$J569,AvgBonus[company_name],$B569,AvgBonus[bu_name],$C569,AvgBonus[dept_name],$D569,AvgBonus[team_consolidation],$K569,AvgBonus[location_name],$G569,AvgBonus[job_title],$H569))*V464*SUM(BonusPayout[Month 11]))</f>
        <v>0</v>
      </c>
      <c r="W569" s="652">
        <f>IF($B569="",,IF(LEFT($H569,5)="dummy",SUMIFS(AvgBonus[avg_bonus],AvgBonus[job_title],$H569),SUMIFS(AvgBonus[avg_bonus],AvgBonus[exp_item],$J569,AvgBonus[company_name],$B569,AvgBonus[bu_name],$C569,AvgBonus[dept_name],$D569,AvgBonus[team_consolidation],$K569,AvgBonus[location_name],$G569,AvgBonus[job_title],$H569))*W464*SUM(BonusPayout[Month 12]))</f>
        <v>0</v>
      </c>
      <c r="X569" s="652">
        <f>IF($B569="",,IF(LEFT($H569,5)="dummy",SUMIFS(AvgBonus[avg_bonus],AvgBonus[job_title],$H569),SUMIFS(AvgBonus[avg_bonus],AvgBonus[exp_item],$J569,AvgBonus[company_name],$B569,AvgBonus[bu_name],$C569,AvgBonus[dept_name],$D569,AvgBonus[team_consolidation],$K569,AvgBonus[location_name],$G569,AvgBonus[job_title],$H569))*X464*SUM(BonusPayout[Month 13]))</f>
        <v>0</v>
      </c>
      <c r="Y569" s="652">
        <f>IF($B569="",,IF(LEFT($H569,5)="dummy",SUMIFS(AvgBonus[avg_bonus],AvgBonus[job_title],$H569),SUMIFS(AvgBonus[avg_bonus],AvgBonus[exp_item],$J569,AvgBonus[company_name],$B569,AvgBonus[bu_name],$C569,AvgBonus[dept_name],$D569,AvgBonus[team_consolidation],$K569,AvgBonus[location_name],$G569,AvgBonus[job_title],$H569))*Y464*SUM(BonusPayout[Month 14]))</f>
        <v>0</v>
      </c>
      <c r="Z569" s="652">
        <f>IF($B569="",,IF(LEFT($H569,5)="dummy",SUMIFS(AvgBonus[avg_bonus],AvgBonus[job_title],$H569),SUMIFS(AvgBonus[avg_bonus],AvgBonus[exp_item],$J569,AvgBonus[company_name],$B569,AvgBonus[bu_name],$C569,AvgBonus[dept_name],$D569,AvgBonus[team_consolidation],$K569,AvgBonus[location_name],$G569,AvgBonus[job_title],$H569))*Z464*SUM(BonusPayout[Month 15]))</f>
        <v>0</v>
      </c>
      <c r="AA569" s="652">
        <f>IF($B569="",,IF(LEFT($H569,5)="dummy",SUMIFS(AvgBonus[avg_bonus],AvgBonus[job_title],$H569),SUMIFS(AvgBonus[avg_bonus],AvgBonus[exp_item],$J569,AvgBonus[company_name],$B569,AvgBonus[bu_name],$C569,AvgBonus[dept_name],$D569,AvgBonus[team_consolidation],$K569,AvgBonus[location_name],$G569,AvgBonus[job_title],$H569))*AA464*SUM(BonusPayout[Month 16]))</f>
        <v>0</v>
      </c>
      <c r="AB569" s="652">
        <f>IF($B569="",,IF(LEFT($H569,5)="dummy",SUMIFS(AvgBonus[avg_bonus],AvgBonus[job_title],$H569),SUMIFS(AvgBonus[avg_bonus],AvgBonus[exp_item],$J569,AvgBonus[company_name],$B569,AvgBonus[bu_name],$C569,AvgBonus[dept_name],$D569,AvgBonus[team_consolidation],$K569,AvgBonus[location_name],$G569,AvgBonus[job_title],$H569))*AB464*SUM(BonusPayout[Month 17]))</f>
        <v>0</v>
      </c>
      <c r="AC569" s="652">
        <f>IF($B569="",,IF(LEFT($H569,5)="dummy",SUMIFS(AvgBonus[avg_bonus],AvgBonus[job_title],$H569),SUMIFS(AvgBonus[avg_bonus],AvgBonus[exp_item],$J569,AvgBonus[company_name],$B569,AvgBonus[bu_name],$C569,AvgBonus[dept_name],$D569,AvgBonus[team_consolidation],$K569,AvgBonus[location_name],$G569,AvgBonus[job_title],$H569))*AC464*SUM(BonusPayout[Month 18]))</f>
        <v>0</v>
      </c>
      <c r="AD569" s="652">
        <f>IF($B569="",,IF(LEFT($H569,5)="dummy",SUMIFS(AvgBonus[avg_bonus],AvgBonus[job_title],$H569),SUMIFS(AvgBonus[avg_bonus],AvgBonus[exp_item],$J569,AvgBonus[company_name],$B569,AvgBonus[bu_name],$C569,AvgBonus[dept_name],$D569,AvgBonus[team_consolidation],$K569,AvgBonus[location_name],$G569,AvgBonus[job_title],$H569))*AD464*SUM(BonusPayout[Month 19]))</f>
        <v>0</v>
      </c>
      <c r="AE569" s="652">
        <f>IF($B569="",,IF(LEFT($H569,5)="dummy",SUMIFS(AvgBonus[avg_bonus],AvgBonus[job_title],$H569),SUMIFS(AvgBonus[avg_bonus],AvgBonus[exp_item],$J569,AvgBonus[company_name],$B569,AvgBonus[bu_name],$C569,AvgBonus[dept_name],$D569,AvgBonus[team_consolidation],$K569,AvgBonus[location_name],$G569,AvgBonus[job_title],$H569))*AE464*SUM(BonusPayout[Month 20]))</f>
        <v>0</v>
      </c>
      <c r="AF569" s="652">
        <f>IF($B569="",,IF(LEFT($H569,5)="dummy",SUMIFS(AvgBonus[avg_bonus],AvgBonus[job_title],$H569),SUMIFS(AvgBonus[avg_bonus],AvgBonus[exp_item],$J569,AvgBonus[company_name],$B569,AvgBonus[bu_name],$C569,AvgBonus[dept_name],$D569,AvgBonus[team_consolidation],$K569,AvgBonus[location_name],$G569,AvgBonus[job_title],$H569))*AF464*SUM(BonusPayout[Month 21]))</f>
        <v>0</v>
      </c>
      <c r="AG569" s="652">
        <f>IF($B569="",,IF(LEFT($H569,5)="dummy",SUMIFS(AvgBonus[avg_bonus],AvgBonus[job_title],$H569),SUMIFS(AvgBonus[avg_bonus],AvgBonus[exp_item],$J569,AvgBonus[company_name],$B569,AvgBonus[bu_name],$C569,AvgBonus[dept_name],$D569,AvgBonus[team_consolidation],$K569,AvgBonus[location_name],$G569,AvgBonus[job_title],$H569))*AG464*SUM(BonusPayout[Month 22]))</f>
        <v>0</v>
      </c>
      <c r="AH569" s="652">
        <f>IF($B569="",,IF(LEFT($H569,5)="dummy",SUMIFS(AvgBonus[avg_bonus],AvgBonus[job_title],$H569),SUMIFS(AvgBonus[avg_bonus],AvgBonus[exp_item],$J569,AvgBonus[company_name],$B569,AvgBonus[bu_name],$C569,AvgBonus[dept_name],$D569,AvgBonus[team_consolidation],$K569,AvgBonus[location_name],$G569,AvgBonus[job_title],$H569))*AH464*SUM(BonusPayout[Month 23]))</f>
        <v>0</v>
      </c>
      <c r="AI569" s="652">
        <f>IF($B569="",,IF(LEFT($H569,5)="dummy",SUMIFS(AvgBonus[avg_bonus],AvgBonus[job_title],$H569),SUMIFS(AvgBonus[avg_bonus],AvgBonus[exp_item],$J569,AvgBonus[company_name],$B569,AvgBonus[bu_name],$C569,AvgBonus[dept_name],$D569,AvgBonus[team_consolidation],$K569,AvgBonus[location_name],$G569,AvgBonus[job_title],$H569))*AI464*SUM(BonusPayout[Month 24]))</f>
        <v>0</v>
      </c>
      <c r="AJ569" s="652">
        <f>IF($B569="",,IF(LEFT($H569,5)="dummy",SUMIFS(AvgBonus[avg_bonus],AvgBonus[job_title],$H569),SUMIFS(AvgBonus[avg_bonus],AvgBonus[exp_item],$J569,AvgBonus[company_name],$B569,AvgBonus[bu_name],$C569,AvgBonus[dept_name],$D569,AvgBonus[team_consolidation],$K569,AvgBonus[location_name],$G569,AvgBonus[job_title],$H569))*AJ464*SUM(BonusPayout[Month 25]))</f>
        <v>0</v>
      </c>
      <c r="AK569" s="652">
        <f>IF($B569="",,IF(LEFT($H569,5)="dummy",SUMIFS(AvgBonus[avg_bonus],AvgBonus[job_title],$H569),SUMIFS(AvgBonus[avg_bonus],AvgBonus[exp_item],$J569,AvgBonus[company_name],$B569,AvgBonus[bu_name],$C569,AvgBonus[dept_name],$D569,AvgBonus[team_consolidation],$K569,AvgBonus[location_name],$G569,AvgBonus[job_title],$H569))*AK464*SUM(BonusPayout[Month 26]))</f>
        <v>0</v>
      </c>
      <c r="AL569" s="652">
        <f>IF($B569="",,IF(LEFT($H569,5)="dummy",SUMIFS(AvgBonus[avg_bonus],AvgBonus[job_title],$H569),SUMIFS(AvgBonus[avg_bonus],AvgBonus[exp_item],$J569,AvgBonus[company_name],$B569,AvgBonus[bu_name],$C569,AvgBonus[dept_name],$D569,AvgBonus[team_consolidation],$K569,AvgBonus[location_name],$G569,AvgBonus[job_title],$H569))*AL464*SUM(BonusPayout[Month 27]))</f>
        <v>0</v>
      </c>
      <c r="AM569" s="652">
        <f>IF($B569="",,IF(LEFT($H569,5)="dummy",SUMIFS(AvgBonus[avg_bonus],AvgBonus[job_title],$H569),SUMIFS(AvgBonus[avg_bonus],AvgBonus[exp_item],$J569,AvgBonus[company_name],$B569,AvgBonus[bu_name],$C569,AvgBonus[dept_name],$D569,AvgBonus[team_consolidation],$K569,AvgBonus[location_name],$G569,AvgBonus[job_title],$H569))*AM464*SUM(BonusPayout[Month 28]))</f>
        <v>0</v>
      </c>
      <c r="AN569" s="652">
        <f>IF($B569="",,IF(LEFT($H569,5)="dummy",SUMIFS(AvgBonus[avg_bonus],AvgBonus[job_title],$H569),SUMIFS(AvgBonus[avg_bonus],AvgBonus[exp_item],$J569,AvgBonus[company_name],$B569,AvgBonus[bu_name],$C569,AvgBonus[dept_name],$D569,AvgBonus[team_consolidation],$K569,AvgBonus[location_name],$G569,AvgBonus[job_title],$H569))*AN464*SUM(BonusPayout[Month 29]))</f>
        <v>0</v>
      </c>
      <c r="AO569" s="652">
        <f>IF($B569="",,IF(LEFT($H569,5)="dummy",SUMIFS(AvgBonus[avg_bonus],AvgBonus[job_title],$H569),SUMIFS(AvgBonus[avg_bonus],AvgBonus[exp_item],$J569,AvgBonus[company_name],$B569,AvgBonus[bu_name],$C569,AvgBonus[dept_name],$D569,AvgBonus[team_consolidation],$K569,AvgBonus[location_name],$G569,AvgBonus[job_title],$H569))*AO464*SUM(BonusPayout[Month 30]))</f>
        <v>0</v>
      </c>
      <c r="AP569" s="652">
        <f>IF($B569="",,IF(LEFT($H569,5)="dummy",SUMIFS(AvgBonus[avg_bonus],AvgBonus[job_title],$H569),SUMIFS(AvgBonus[avg_bonus],AvgBonus[exp_item],$J569,AvgBonus[company_name],$B569,AvgBonus[bu_name],$C569,AvgBonus[dept_name],$D569,AvgBonus[team_consolidation],$K569,AvgBonus[location_name],$G569,AvgBonus[job_title],$H569))*AP464*SUM(BonusPayout[Month 31]))</f>
        <v>0</v>
      </c>
      <c r="AQ569" s="652">
        <f>IF($B569="",,IF(LEFT($H569,5)="dummy",SUMIFS(AvgBonus[avg_bonus],AvgBonus[job_title],$H569),SUMIFS(AvgBonus[avg_bonus],AvgBonus[exp_item],$J569,AvgBonus[company_name],$B569,AvgBonus[bu_name],$C569,AvgBonus[dept_name],$D569,AvgBonus[team_consolidation],$K569,AvgBonus[location_name],$G569,AvgBonus[job_title],$H569))*AQ464*SUM(BonusPayout[Month 32]))</f>
        <v>0</v>
      </c>
      <c r="AR569" s="652">
        <f>IF($B569="",,IF(LEFT($H569,5)="dummy",SUMIFS(AvgBonus[avg_bonus],AvgBonus[job_title],$H569),SUMIFS(AvgBonus[avg_bonus],AvgBonus[exp_item],$J569,AvgBonus[company_name],$B569,AvgBonus[bu_name],$C569,AvgBonus[dept_name],$D569,AvgBonus[team_consolidation],$K569,AvgBonus[location_name],$G569,AvgBonus[job_title],$H569))*AR464*SUM(BonusPayout[Month 33]))</f>
        <v>0</v>
      </c>
      <c r="AS569" s="652">
        <f>IF($B569="",,IF(LEFT($H569,5)="dummy",SUMIFS(AvgBonus[avg_bonus],AvgBonus[job_title],$H569),SUMIFS(AvgBonus[avg_bonus],AvgBonus[exp_item],$J569,AvgBonus[company_name],$B569,AvgBonus[bu_name],$C569,AvgBonus[dept_name],$D569,AvgBonus[team_consolidation],$K569,AvgBonus[location_name],$G569,AvgBonus[job_title],$H569))*AS464*SUM(BonusPayout[Month 34]))</f>
        <v>0</v>
      </c>
      <c r="AT569" s="652">
        <f>IF($B569="",,IF(LEFT($H569,5)="dummy",SUMIFS(AvgBonus[avg_bonus],AvgBonus[job_title],$H569),SUMIFS(AvgBonus[avg_bonus],AvgBonus[exp_item],$J569,AvgBonus[company_name],$B569,AvgBonus[bu_name],$C569,AvgBonus[dept_name],$D569,AvgBonus[team_consolidation],$K569,AvgBonus[location_name],$G569,AvgBonus[job_title],$H569))*AT464*SUM(BonusPayout[Month 35]))</f>
        <v>0</v>
      </c>
      <c r="AU569" s="652">
        <f>IF($B569="",,IF(LEFT($H569,5)="dummy",SUMIFS(AvgBonus[avg_bonus],AvgBonus[job_title],$H569),SUMIFS(AvgBonus[avg_bonus],AvgBonus[exp_item],$J569,AvgBonus[company_name],$B569,AvgBonus[bu_name],$C569,AvgBonus[dept_name],$D569,AvgBonus[team_consolidation],$K569,AvgBonus[location_name],$G569,AvgBonus[job_title],$H569))*AU464*SUM(BonusPayout[Month 36]))</f>
        <v>0</v>
      </c>
    </row>
    <row r="570" spans="2:47" x14ac:dyDescent="0.35">
      <c r="B570" t="str">
        <f t="shared" si="361"/>
        <v/>
      </c>
      <c r="C570" t="str">
        <f t="shared" ref="C570:G570" si="367">IF(C465="","",C465)</f>
        <v/>
      </c>
      <c r="D570" t="str">
        <f t="shared" si="367"/>
        <v/>
      </c>
      <c r="E570" t="str">
        <f t="shared" si="367"/>
        <v/>
      </c>
      <c r="F570" t="str">
        <f t="shared" si="367"/>
        <v/>
      </c>
      <c r="G570" t="str">
        <f t="shared" si="367"/>
        <v/>
      </c>
      <c r="H570" t="str">
        <f t="shared" si="360"/>
        <v/>
      </c>
      <c r="J570" t="str">
        <f>IF($H570="","",IF(VLOOKUP($B$500,ExpItems[],2,0),$B$500&amp;" - "&amp;INDEX(DivisionMapping[category_code],MATCH($D570&amp;$C570,DivisionMapping[dept_bu],0)),$B$500))</f>
        <v/>
      </c>
      <c r="K570" t="str">
        <f t="shared" si="363"/>
        <v/>
      </c>
      <c r="L570" s="652">
        <f>IF($B570="",,IF(LEFT($H570,5)="dummy",SUMIFS(AvgBonus[avg_bonus],AvgBonus[job_title],$H570),SUMIFS(AvgBonus[avg_bonus],AvgBonus[exp_item],$J570,AvgBonus[company_name],$B570,AvgBonus[bu_name],$C570,AvgBonus[dept_name],$D570,AvgBonus[team_consolidation],$K570,AvgBonus[location_name],$G570,AvgBonus[job_title],$H570))*L465*SUM(BonusPayout[Month 1]))</f>
        <v>0</v>
      </c>
      <c r="M570" s="652">
        <f>IF($B570="",,IF(LEFT($H570,5)="dummy",SUMIFS(AvgBonus[avg_bonus],AvgBonus[job_title],$H570),SUMIFS(AvgBonus[avg_bonus],AvgBonus[exp_item],$J570,AvgBonus[company_name],$B570,AvgBonus[bu_name],$C570,AvgBonus[dept_name],$D570,AvgBonus[team_consolidation],$K570,AvgBonus[location_name],$G570,AvgBonus[job_title],$H570))*M465*SUM(BonusPayout[Month 2]))</f>
        <v>0</v>
      </c>
      <c r="N570" s="652">
        <f>IF($B570="",,IF(LEFT($H570,5)="dummy",SUMIFS(AvgBonus[avg_bonus],AvgBonus[job_title],$H570),SUMIFS(AvgBonus[avg_bonus],AvgBonus[exp_item],$J570,AvgBonus[company_name],$B570,AvgBonus[bu_name],$C570,AvgBonus[dept_name],$D570,AvgBonus[team_consolidation],$K570,AvgBonus[location_name],$G570,AvgBonus[job_title],$H570))*N465*SUM(BonusPayout[Month 3]))</f>
        <v>0</v>
      </c>
      <c r="O570" s="652">
        <f>IF($B570="",,IF(LEFT($H570,5)="dummy",SUMIFS(AvgBonus[avg_bonus],AvgBonus[job_title],$H570),SUMIFS(AvgBonus[avg_bonus],AvgBonus[exp_item],$J570,AvgBonus[company_name],$B570,AvgBonus[bu_name],$C570,AvgBonus[dept_name],$D570,AvgBonus[team_consolidation],$K570,AvgBonus[location_name],$G570,AvgBonus[job_title],$H570))*O465*SUM(BonusPayout[Month 4]))</f>
        <v>0</v>
      </c>
      <c r="P570" s="652">
        <f>IF($B570="",,IF(LEFT($H570,5)="dummy",SUMIFS(AvgBonus[avg_bonus],AvgBonus[job_title],$H570),SUMIFS(AvgBonus[avg_bonus],AvgBonus[exp_item],$J570,AvgBonus[company_name],$B570,AvgBonus[bu_name],$C570,AvgBonus[dept_name],$D570,AvgBonus[team_consolidation],$K570,AvgBonus[location_name],$G570,AvgBonus[job_title],$H570))*P465*SUM(BonusPayout[Month 5]))</f>
        <v>0</v>
      </c>
      <c r="Q570" s="652">
        <f>IF($B570="",,IF(LEFT($H570,5)="dummy",SUMIFS(AvgBonus[avg_bonus],AvgBonus[job_title],$H570),SUMIFS(AvgBonus[avg_bonus],AvgBonus[exp_item],$J570,AvgBonus[company_name],$B570,AvgBonus[bu_name],$C570,AvgBonus[dept_name],$D570,AvgBonus[team_consolidation],$K570,AvgBonus[location_name],$G570,AvgBonus[job_title],$H570))*Q465*SUM(BonusPayout[Month 6]))</f>
        <v>0</v>
      </c>
      <c r="R570" s="652">
        <f>IF($B570="",,IF(LEFT($H570,5)="dummy",SUMIFS(AvgBonus[avg_bonus],AvgBonus[job_title],$H570),SUMIFS(AvgBonus[avg_bonus],AvgBonus[exp_item],$J570,AvgBonus[company_name],$B570,AvgBonus[bu_name],$C570,AvgBonus[dept_name],$D570,AvgBonus[team_consolidation],$K570,AvgBonus[location_name],$G570,AvgBonus[job_title],$H570))*R465*SUM(BonusPayout[Month 7]))</f>
        <v>0</v>
      </c>
      <c r="S570" s="652">
        <f>IF($B570="",,IF(LEFT($H570,5)="dummy",SUMIFS(AvgBonus[avg_bonus],AvgBonus[job_title],$H570),SUMIFS(AvgBonus[avg_bonus],AvgBonus[exp_item],$J570,AvgBonus[company_name],$B570,AvgBonus[bu_name],$C570,AvgBonus[dept_name],$D570,AvgBonus[team_consolidation],$K570,AvgBonus[location_name],$G570,AvgBonus[job_title],$H570))*S465*SUM(BonusPayout[Month 8]))</f>
        <v>0</v>
      </c>
      <c r="T570" s="652">
        <f>IF($B570="",,IF(LEFT($H570,5)="dummy",SUMIFS(AvgBonus[avg_bonus],AvgBonus[job_title],$H570),SUMIFS(AvgBonus[avg_bonus],AvgBonus[exp_item],$J570,AvgBonus[company_name],$B570,AvgBonus[bu_name],$C570,AvgBonus[dept_name],$D570,AvgBonus[team_consolidation],$K570,AvgBonus[location_name],$G570,AvgBonus[job_title],$H570))*T465*SUM(BonusPayout[Month 9]))</f>
        <v>0</v>
      </c>
      <c r="U570" s="652">
        <f>IF($B570="",,IF(LEFT($H570,5)="dummy",SUMIFS(AvgBonus[avg_bonus],AvgBonus[job_title],$H570),SUMIFS(AvgBonus[avg_bonus],AvgBonus[exp_item],$J570,AvgBonus[company_name],$B570,AvgBonus[bu_name],$C570,AvgBonus[dept_name],$D570,AvgBonus[team_consolidation],$K570,AvgBonus[location_name],$G570,AvgBonus[job_title],$H570))*U465*SUM(BonusPayout[Month 10]))</f>
        <v>0</v>
      </c>
      <c r="V570" s="652">
        <f>IF($B570="",,IF(LEFT($H570,5)="dummy",SUMIFS(AvgBonus[avg_bonus],AvgBonus[job_title],$H570),SUMIFS(AvgBonus[avg_bonus],AvgBonus[exp_item],$J570,AvgBonus[company_name],$B570,AvgBonus[bu_name],$C570,AvgBonus[dept_name],$D570,AvgBonus[team_consolidation],$K570,AvgBonus[location_name],$G570,AvgBonus[job_title],$H570))*V465*SUM(BonusPayout[Month 11]))</f>
        <v>0</v>
      </c>
      <c r="W570" s="652">
        <f>IF($B570="",,IF(LEFT($H570,5)="dummy",SUMIFS(AvgBonus[avg_bonus],AvgBonus[job_title],$H570),SUMIFS(AvgBonus[avg_bonus],AvgBonus[exp_item],$J570,AvgBonus[company_name],$B570,AvgBonus[bu_name],$C570,AvgBonus[dept_name],$D570,AvgBonus[team_consolidation],$K570,AvgBonus[location_name],$G570,AvgBonus[job_title],$H570))*W465*SUM(BonusPayout[Month 12]))</f>
        <v>0</v>
      </c>
      <c r="X570" s="652">
        <f>IF($B570="",,IF(LEFT($H570,5)="dummy",SUMIFS(AvgBonus[avg_bonus],AvgBonus[job_title],$H570),SUMIFS(AvgBonus[avg_bonus],AvgBonus[exp_item],$J570,AvgBonus[company_name],$B570,AvgBonus[bu_name],$C570,AvgBonus[dept_name],$D570,AvgBonus[team_consolidation],$K570,AvgBonus[location_name],$G570,AvgBonus[job_title],$H570))*X465*SUM(BonusPayout[Month 13]))</f>
        <v>0</v>
      </c>
      <c r="Y570" s="652">
        <f>IF($B570="",,IF(LEFT($H570,5)="dummy",SUMIFS(AvgBonus[avg_bonus],AvgBonus[job_title],$H570),SUMIFS(AvgBonus[avg_bonus],AvgBonus[exp_item],$J570,AvgBonus[company_name],$B570,AvgBonus[bu_name],$C570,AvgBonus[dept_name],$D570,AvgBonus[team_consolidation],$K570,AvgBonus[location_name],$G570,AvgBonus[job_title],$H570))*Y465*SUM(BonusPayout[Month 14]))</f>
        <v>0</v>
      </c>
      <c r="Z570" s="652">
        <f>IF($B570="",,IF(LEFT($H570,5)="dummy",SUMIFS(AvgBonus[avg_bonus],AvgBonus[job_title],$H570),SUMIFS(AvgBonus[avg_bonus],AvgBonus[exp_item],$J570,AvgBonus[company_name],$B570,AvgBonus[bu_name],$C570,AvgBonus[dept_name],$D570,AvgBonus[team_consolidation],$K570,AvgBonus[location_name],$G570,AvgBonus[job_title],$H570))*Z465*SUM(BonusPayout[Month 15]))</f>
        <v>0</v>
      </c>
      <c r="AA570" s="652">
        <f>IF($B570="",,IF(LEFT($H570,5)="dummy",SUMIFS(AvgBonus[avg_bonus],AvgBonus[job_title],$H570),SUMIFS(AvgBonus[avg_bonus],AvgBonus[exp_item],$J570,AvgBonus[company_name],$B570,AvgBonus[bu_name],$C570,AvgBonus[dept_name],$D570,AvgBonus[team_consolidation],$K570,AvgBonus[location_name],$G570,AvgBonus[job_title],$H570))*AA465*SUM(BonusPayout[Month 16]))</f>
        <v>0</v>
      </c>
      <c r="AB570" s="652">
        <f>IF($B570="",,IF(LEFT($H570,5)="dummy",SUMIFS(AvgBonus[avg_bonus],AvgBonus[job_title],$H570),SUMIFS(AvgBonus[avg_bonus],AvgBonus[exp_item],$J570,AvgBonus[company_name],$B570,AvgBonus[bu_name],$C570,AvgBonus[dept_name],$D570,AvgBonus[team_consolidation],$K570,AvgBonus[location_name],$G570,AvgBonus[job_title],$H570))*AB465*SUM(BonusPayout[Month 17]))</f>
        <v>0</v>
      </c>
      <c r="AC570" s="652">
        <f>IF($B570="",,IF(LEFT($H570,5)="dummy",SUMIFS(AvgBonus[avg_bonus],AvgBonus[job_title],$H570),SUMIFS(AvgBonus[avg_bonus],AvgBonus[exp_item],$J570,AvgBonus[company_name],$B570,AvgBonus[bu_name],$C570,AvgBonus[dept_name],$D570,AvgBonus[team_consolidation],$K570,AvgBonus[location_name],$G570,AvgBonus[job_title],$H570))*AC465*SUM(BonusPayout[Month 18]))</f>
        <v>0</v>
      </c>
      <c r="AD570" s="652">
        <f>IF($B570="",,IF(LEFT($H570,5)="dummy",SUMIFS(AvgBonus[avg_bonus],AvgBonus[job_title],$H570),SUMIFS(AvgBonus[avg_bonus],AvgBonus[exp_item],$J570,AvgBonus[company_name],$B570,AvgBonus[bu_name],$C570,AvgBonus[dept_name],$D570,AvgBonus[team_consolidation],$K570,AvgBonus[location_name],$G570,AvgBonus[job_title],$H570))*AD465*SUM(BonusPayout[Month 19]))</f>
        <v>0</v>
      </c>
      <c r="AE570" s="652">
        <f>IF($B570="",,IF(LEFT($H570,5)="dummy",SUMIFS(AvgBonus[avg_bonus],AvgBonus[job_title],$H570),SUMIFS(AvgBonus[avg_bonus],AvgBonus[exp_item],$J570,AvgBonus[company_name],$B570,AvgBonus[bu_name],$C570,AvgBonus[dept_name],$D570,AvgBonus[team_consolidation],$K570,AvgBonus[location_name],$G570,AvgBonus[job_title],$H570))*AE465*SUM(BonusPayout[Month 20]))</f>
        <v>0</v>
      </c>
      <c r="AF570" s="652">
        <f>IF($B570="",,IF(LEFT($H570,5)="dummy",SUMIFS(AvgBonus[avg_bonus],AvgBonus[job_title],$H570),SUMIFS(AvgBonus[avg_bonus],AvgBonus[exp_item],$J570,AvgBonus[company_name],$B570,AvgBonus[bu_name],$C570,AvgBonus[dept_name],$D570,AvgBonus[team_consolidation],$K570,AvgBonus[location_name],$G570,AvgBonus[job_title],$H570))*AF465*SUM(BonusPayout[Month 21]))</f>
        <v>0</v>
      </c>
      <c r="AG570" s="652">
        <f>IF($B570="",,IF(LEFT($H570,5)="dummy",SUMIFS(AvgBonus[avg_bonus],AvgBonus[job_title],$H570),SUMIFS(AvgBonus[avg_bonus],AvgBonus[exp_item],$J570,AvgBonus[company_name],$B570,AvgBonus[bu_name],$C570,AvgBonus[dept_name],$D570,AvgBonus[team_consolidation],$K570,AvgBonus[location_name],$G570,AvgBonus[job_title],$H570))*AG465*SUM(BonusPayout[Month 22]))</f>
        <v>0</v>
      </c>
      <c r="AH570" s="652">
        <f>IF($B570="",,IF(LEFT($H570,5)="dummy",SUMIFS(AvgBonus[avg_bonus],AvgBonus[job_title],$H570),SUMIFS(AvgBonus[avg_bonus],AvgBonus[exp_item],$J570,AvgBonus[company_name],$B570,AvgBonus[bu_name],$C570,AvgBonus[dept_name],$D570,AvgBonus[team_consolidation],$K570,AvgBonus[location_name],$G570,AvgBonus[job_title],$H570))*AH465*SUM(BonusPayout[Month 23]))</f>
        <v>0</v>
      </c>
      <c r="AI570" s="652">
        <f>IF($B570="",,IF(LEFT($H570,5)="dummy",SUMIFS(AvgBonus[avg_bonus],AvgBonus[job_title],$H570),SUMIFS(AvgBonus[avg_bonus],AvgBonus[exp_item],$J570,AvgBonus[company_name],$B570,AvgBonus[bu_name],$C570,AvgBonus[dept_name],$D570,AvgBonus[team_consolidation],$K570,AvgBonus[location_name],$G570,AvgBonus[job_title],$H570))*AI465*SUM(BonusPayout[Month 24]))</f>
        <v>0</v>
      </c>
      <c r="AJ570" s="652">
        <f>IF($B570="",,IF(LEFT($H570,5)="dummy",SUMIFS(AvgBonus[avg_bonus],AvgBonus[job_title],$H570),SUMIFS(AvgBonus[avg_bonus],AvgBonus[exp_item],$J570,AvgBonus[company_name],$B570,AvgBonus[bu_name],$C570,AvgBonus[dept_name],$D570,AvgBonus[team_consolidation],$K570,AvgBonus[location_name],$G570,AvgBonus[job_title],$H570))*AJ465*SUM(BonusPayout[Month 25]))</f>
        <v>0</v>
      </c>
      <c r="AK570" s="652">
        <f>IF($B570="",,IF(LEFT($H570,5)="dummy",SUMIFS(AvgBonus[avg_bonus],AvgBonus[job_title],$H570),SUMIFS(AvgBonus[avg_bonus],AvgBonus[exp_item],$J570,AvgBonus[company_name],$B570,AvgBonus[bu_name],$C570,AvgBonus[dept_name],$D570,AvgBonus[team_consolidation],$K570,AvgBonus[location_name],$G570,AvgBonus[job_title],$H570))*AK465*SUM(BonusPayout[Month 26]))</f>
        <v>0</v>
      </c>
      <c r="AL570" s="652">
        <f>IF($B570="",,IF(LEFT($H570,5)="dummy",SUMIFS(AvgBonus[avg_bonus],AvgBonus[job_title],$H570),SUMIFS(AvgBonus[avg_bonus],AvgBonus[exp_item],$J570,AvgBonus[company_name],$B570,AvgBonus[bu_name],$C570,AvgBonus[dept_name],$D570,AvgBonus[team_consolidation],$K570,AvgBonus[location_name],$G570,AvgBonus[job_title],$H570))*AL465*SUM(BonusPayout[Month 27]))</f>
        <v>0</v>
      </c>
      <c r="AM570" s="652">
        <f>IF($B570="",,IF(LEFT($H570,5)="dummy",SUMIFS(AvgBonus[avg_bonus],AvgBonus[job_title],$H570),SUMIFS(AvgBonus[avg_bonus],AvgBonus[exp_item],$J570,AvgBonus[company_name],$B570,AvgBonus[bu_name],$C570,AvgBonus[dept_name],$D570,AvgBonus[team_consolidation],$K570,AvgBonus[location_name],$G570,AvgBonus[job_title],$H570))*AM465*SUM(BonusPayout[Month 28]))</f>
        <v>0</v>
      </c>
      <c r="AN570" s="652">
        <f>IF($B570="",,IF(LEFT($H570,5)="dummy",SUMIFS(AvgBonus[avg_bonus],AvgBonus[job_title],$H570),SUMIFS(AvgBonus[avg_bonus],AvgBonus[exp_item],$J570,AvgBonus[company_name],$B570,AvgBonus[bu_name],$C570,AvgBonus[dept_name],$D570,AvgBonus[team_consolidation],$K570,AvgBonus[location_name],$G570,AvgBonus[job_title],$H570))*AN465*SUM(BonusPayout[Month 29]))</f>
        <v>0</v>
      </c>
      <c r="AO570" s="652">
        <f>IF($B570="",,IF(LEFT($H570,5)="dummy",SUMIFS(AvgBonus[avg_bonus],AvgBonus[job_title],$H570),SUMIFS(AvgBonus[avg_bonus],AvgBonus[exp_item],$J570,AvgBonus[company_name],$B570,AvgBonus[bu_name],$C570,AvgBonus[dept_name],$D570,AvgBonus[team_consolidation],$K570,AvgBonus[location_name],$G570,AvgBonus[job_title],$H570))*AO465*SUM(BonusPayout[Month 30]))</f>
        <v>0</v>
      </c>
      <c r="AP570" s="652">
        <f>IF($B570="",,IF(LEFT($H570,5)="dummy",SUMIFS(AvgBonus[avg_bonus],AvgBonus[job_title],$H570),SUMIFS(AvgBonus[avg_bonus],AvgBonus[exp_item],$J570,AvgBonus[company_name],$B570,AvgBonus[bu_name],$C570,AvgBonus[dept_name],$D570,AvgBonus[team_consolidation],$K570,AvgBonus[location_name],$G570,AvgBonus[job_title],$H570))*AP465*SUM(BonusPayout[Month 31]))</f>
        <v>0</v>
      </c>
      <c r="AQ570" s="652">
        <f>IF($B570="",,IF(LEFT($H570,5)="dummy",SUMIFS(AvgBonus[avg_bonus],AvgBonus[job_title],$H570),SUMIFS(AvgBonus[avg_bonus],AvgBonus[exp_item],$J570,AvgBonus[company_name],$B570,AvgBonus[bu_name],$C570,AvgBonus[dept_name],$D570,AvgBonus[team_consolidation],$K570,AvgBonus[location_name],$G570,AvgBonus[job_title],$H570))*AQ465*SUM(BonusPayout[Month 32]))</f>
        <v>0</v>
      </c>
      <c r="AR570" s="652">
        <f>IF($B570="",,IF(LEFT($H570,5)="dummy",SUMIFS(AvgBonus[avg_bonus],AvgBonus[job_title],$H570),SUMIFS(AvgBonus[avg_bonus],AvgBonus[exp_item],$J570,AvgBonus[company_name],$B570,AvgBonus[bu_name],$C570,AvgBonus[dept_name],$D570,AvgBonus[team_consolidation],$K570,AvgBonus[location_name],$G570,AvgBonus[job_title],$H570))*AR465*SUM(BonusPayout[Month 33]))</f>
        <v>0</v>
      </c>
      <c r="AS570" s="652">
        <f>IF($B570="",,IF(LEFT($H570,5)="dummy",SUMIFS(AvgBonus[avg_bonus],AvgBonus[job_title],$H570),SUMIFS(AvgBonus[avg_bonus],AvgBonus[exp_item],$J570,AvgBonus[company_name],$B570,AvgBonus[bu_name],$C570,AvgBonus[dept_name],$D570,AvgBonus[team_consolidation],$K570,AvgBonus[location_name],$G570,AvgBonus[job_title],$H570))*AS465*SUM(BonusPayout[Month 34]))</f>
        <v>0</v>
      </c>
      <c r="AT570" s="652">
        <f>IF($B570="",,IF(LEFT($H570,5)="dummy",SUMIFS(AvgBonus[avg_bonus],AvgBonus[job_title],$H570),SUMIFS(AvgBonus[avg_bonus],AvgBonus[exp_item],$J570,AvgBonus[company_name],$B570,AvgBonus[bu_name],$C570,AvgBonus[dept_name],$D570,AvgBonus[team_consolidation],$K570,AvgBonus[location_name],$G570,AvgBonus[job_title],$H570))*AT465*SUM(BonusPayout[Month 35]))</f>
        <v>0</v>
      </c>
      <c r="AU570" s="652">
        <f>IF($B570="",,IF(LEFT($H570,5)="dummy",SUMIFS(AvgBonus[avg_bonus],AvgBonus[job_title],$H570),SUMIFS(AvgBonus[avg_bonus],AvgBonus[exp_item],$J570,AvgBonus[company_name],$B570,AvgBonus[bu_name],$C570,AvgBonus[dept_name],$D570,AvgBonus[team_consolidation],$K570,AvgBonus[location_name],$G570,AvgBonus[job_title],$H570))*AU465*SUM(BonusPayout[Month 36]))</f>
        <v>0</v>
      </c>
    </row>
    <row r="571" spans="2:47" x14ac:dyDescent="0.35">
      <c r="B571" t="str">
        <f t="shared" si="361"/>
        <v/>
      </c>
      <c r="C571" t="str">
        <f t="shared" ref="C571:G571" si="368">IF(C466="","",C466)</f>
        <v/>
      </c>
      <c r="D571" t="str">
        <f t="shared" si="368"/>
        <v/>
      </c>
      <c r="E571" t="str">
        <f t="shared" si="368"/>
        <v/>
      </c>
      <c r="F571" t="str">
        <f t="shared" si="368"/>
        <v/>
      </c>
      <c r="G571" t="str">
        <f t="shared" si="368"/>
        <v/>
      </c>
      <c r="H571" t="str">
        <f t="shared" si="360"/>
        <v/>
      </c>
      <c r="J571" t="str">
        <f>IF($H571="","",IF(VLOOKUP($B$500,ExpItems[],2,0),$B$500&amp;" - "&amp;INDEX(DivisionMapping[category_code],MATCH($D571&amp;$C571,DivisionMapping[dept_bu],0)),$B$500))</f>
        <v/>
      </c>
      <c r="K571" t="str">
        <f t="shared" si="363"/>
        <v/>
      </c>
      <c r="L571" s="652">
        <f>IF($B571="",,IF(LEFT($H571,5)="dummy",SUMIFS(AvgBonus[avg_bonus],AvgBonus[job_title],$H571),SUMIFS(AvgBonus[avg_bonus],AvgBonus[exp_item],$J571,AvgBonus[company_name],$B571,AvgBonus[bu_name],$C571,AvgBonus[dept_name],$D571,AvgBonus[team_consolidation],$K571,AvgBonus[location_name],$G571,AvgBonus[job_title],$H571))*L466*SUM(BonusPayout[Month 1]))</f>
        <v>0</v>
      </c>
      <c r="M571" s="652">
        <f>IF($B571="",,IF(LEFT($H571,5)="dummy",SUMIFS(AvgBonus[avg_bonus],AvgBonus[job_title],$H571),SUMIFS(AvgBonus[avg_bonus],AvgBonus[exp_item],$J571,AvgBonus[company_name],$B571,AvgBonus[bu_name],$C571,AvgBonus[dept_name],$D571,AvgBonus[team_consolidation],$K571,AvgBonus[location_name],$G571,AvgBonus[job_title],$H571))*M466*SUM(BonusPayout[Month 2]))</f>
        <v>0</v>
      </c>
      <c r="N571" s="652">
        <f>IF($B571="",,IF(LEFT($H571,5)="dummy",SUMIFS(AvgBonus[avg_bonus],AvgBonus[job_title],$H571),SUMIFS(AvgBonus[avg_bonus],AvgBonus[exp_item],$J571,AvgBonus[company_name],$B571,AvgBonus[bu_name],$C571,AvgBonus[dept_name],$D571,AvgBonus[team_consolidation],$K571,AvgBonus[location_name],$G571,AvgBonus[job_title],$H571))*N466*SUM(BonusPayout[Month 3]))</f>
        <v>0</v>
      </c>
      <c r="O571" s="652">
        <f>IF($B571="",,IF(LEFT($H571,5)="dummy",SUMIFS(AvgBonus[avg_bonus],AvgBonus[job_title],$H571),SUMIFS(AvgBonus[avg_bonus],AvgBonus[exp_item],$J571,AvgBonus[company_name],$B571,AvgBonus[bu_name],$C571,AvgBonus[dept_name],$D571,AvgBonus[team_consolidation],$K571,AvgBonus[location_name],$G571,AvgBonus[job_title],$H571))*O466*SUM(BonusPayout[Month 4]))</f>
        <v>0</v>
      </c>
      <c r="P571" s="652">
        <f>IF($B571="",,IF(LEFT($H571,5)="dummy",SUMIFS(AvgBonus[avg_bonus],AvgBonus[job_title],$H571),SUMIFS(AvgBonus[avg_bonus],AvgBonus[exp_item],$J571,AvgBonus[company_name],$B571,AvgBonus[bu_name],$C571,AvgBonus[dept_name],$D571,AvgBonus[team_consolidation],$K571,AvgBonus[location_name],$G571,AvgBonus[job_title],$H571))*P466*SUM(BonusPayout[Month 5]))</f>
        <v>0</v>
      </c>
      <c r="Q571" s="652">
        <f>IF($B571="",,IF(LEFT($H571,5)="dummy",SUMIFS(AvgBonus[avg_bonus],AvgBonus[job_title],$H571),SUMIFS(AvgBonus[avg_bonus],AvgBonus[exp_item],$J571,AvgBonus[company_name],$B571,AvgBonus[bu_name],$C571,AvgBonus[dept_name],$D571,AvgBonus[team_consolidation],$K571,AvgBonus[location_name],$G571,AvgBonus[job_title],$H571))*Q466*SUM(BonusPayout[Month 6]))</f>
        <v>0</v>
      </c>
      <c r="R571" s="652">
        <f>IF($B571="",,IF(LEFT($H571,5)="dummy",SUMIFS(AvgBonus[avg_bonus],AvgBonus[job_title],$H571),SUMIFS(AvgBonus[avg_bonus],AvgBonus[exp_item],$J571,AvgBonus[company_name],$B571,AvgBonus[bu_name],$C571,AvgBonus[dept_name],$D571,AvgBonus[team_consolidation],$K571,AvgBonus[location_name],$G571,AvgBonus[job_title],$H571))*R466*SUM(BonusPayout[Month 7]))</f>
        <v>0</v>
      </c>
      <c r="S571" s="652">
        <f>IF($B571="",,IF(LEFT($H571,5)="dummy",SUMIFS(AvgBonus[avg_bonus],AvgBonus[job_title],$H571),SUMIFS(AvgBonus[avg_bonus],AvgBonus[exp_item],$J571,AvgBonus[company_name],$B571,AvgBonus[bu_name],$C571,AvgBonus[dept_name],$D571,AvgBonus[team_consolidation],$K571,AvgBonus[location_name],$G571,AvgBonus[job_title],$H571))*S466*SUM(BonusPayout[Month 8]))</f>
        <v>0</v>
      </c>
      <c r="T571" s="652">
        <f>IF($B571="",,IF(LEFT($H571,5)="dummy",SUMIFS(AvgBonus[avg_bonus],AvgBonus[job_title],$H571),SUMIFS(AvgBonus[avg_bonus],AvgBonus[exp_item],$J571,AvgBonus[company_name],$B571,AvgBonus[bu_name],$C571,AvgBonus[dept_name],$D571,AvgBonus[team_consolidation],$K571,AvgBonus[location_name],$G571,AvgBonus[job_title],$H571))*T466*SUM(BonusPayout[Month 9]))</f>
        <v>0</v>
      </c>
      <c r="U571" s="652">
        <f>IF($B571="",,IF(LEFT($H571,5)="dummy",SUMIFS(AvgBonus[avg_bonus],AvgBonus[job_title],$H571),SUMIFS(AvgBonus[avg_bonus],AvgBonus[exp_item],$J571,AvgBonus[company_name],$B571,AvgBonus[bu_name],$C571,AvgBonus[dept_name],$D571,AvgBonus[team_consolidation],$K571,AvgBonus[location_name],$G571,AvgBonus[job_title],$H571))*U466*SUM(BonusPayout[Month 10]))</f>
        <v>0</v>
      </c>
      <c r="V571" s="652">
        <f>IF($B571="",,IF(LEFT($H571,5)="dummy",SUMIFS(AvgBonus[avg_bonus],AvgBonus[job_title],$H571),SUMIFS(AvgBonus[avg_bonus],AvgBonus[exp_item],$J571,AvgBonus[company_name],$B571,AvgBonus[bu_name],$C571,AvgBonus[dept_name],$D571,AvgBonus[team_consolidation],$K571,AvgBonus[location_name],$G571,AvgBonus[job_title],$H571))*V466*SUM(BonusPayout[Month 11]))</f>
        <v>0</v>
      </c>
      <c r="W571" s="652">
        <f>IF($B571="",,IF(LEFT($H571,5)="dummy",SUMIFS(AvgBonus[avg_bonus],AvgBonus[job_title],$H571),SUMIFS(AvgBonus[avg_bonus],AvgBonus[exp_item],$J571,AvgBonus[company_name],$B571,AvgBonus[bu_name],$C571,AvgBonus[dept_name],$D571,AvgBonus[team_consolidation],$K571,AvgBonus[location_name],$G571,AvgBonus[job_title],$H571))*W466*SUM(BonusPayout[Month 12]))</f>
        <v>0</v>
      </c>
      <c r="X571" s="652">
        <f>IF($B571="",,IF(LEFT($H571,5)="dummy",SUMIFS(AvgBonus[avg_bonus],AvgBonus[job_title],$H571),SUMIFS(AvgBonus[avg_bonus],AvgBonus[exp_item],$J571,AvgBonus[company_name],$B571,AvgBonus[bu_name],$C571,AvgBonus[dept_name],$D571,AvgBonus[team_consolidation],$K571,AvgBonus[location_name],$G571,AvgBonus[job_title],$H571))*X466*SUM(BonusPayout[Month 13]))</f>
        <v>0</v>
      </c>
      <c r="Y571" s="652">
        <f>IF($B571="",,IF(LEFT($H571,5)="dummy",SUMIFS(AvgBonus[avg_bonus],AvgBonus[job_title],$H571),SUMIFS(AvgBonus[avg_bonus],AvgBonus[exp_item],$J571,AvgBonus[company_name],$B571,AvgBonus[bu_name],$C571,AvgBonus[dept_name],$D571,AvgBonus[team_consolidation],$K571,AvgBonus[location_name],$G571,AvgBonus[job_title],$H571))*Y466*SUM(BonusPayout[Month 14]))</f>
        <v>0</v>
      </c>
      <c r="Z571" s="652">
        <f>IF($B571="",,IF(LEFT($H571,5)="dummy",SUMIFS(AvgBonus[avg_bonus],AvgBonus[job_title],$H571),SUMIFS(AvgBonus[avg_bonus],AvgBonus[exp_item],$J571,AvgBonus[company_name],$B571,AvgBonus[bu_name],$C571,AvgBonus[dept_name],$D571,AvgBonus[team_consolidation],$K571,AvgBonus[location_name],$G571,AvgBonus[job_title],$H571))*Z466*SUM(BonusPayout[Month 15]))</f>
        <v>0</v>
      </c>
      <c r="AA571" s="652">
        <f>IF($B571="",,IF(LEFT($H571,5)="dummy",SUMIFS(AvgBonus[avg_bonus],AvgBonus[job_title],$H571),SUMIFS(AvgBonus[avg_bonus],AvgBonus[exp_item],$J571,AvgBonus[company_name],$B571,AvgBonus[bu_name],$C571,AvgBonus[dept_name],$D571,AvgBonus[team_consolidation],$K571,AvgBonus[location_name],$G571,AvgBonus[job_title],$H571))*AA466*SUM(BonusPayout[Month 16]))</f>
        <v>0</v>
      </c>
      <c r="AB571" s="652">
        <f>IF($B571="",,IF(LEFT($H571,5)="dummy",SUMIFS(AvgBonus[avg_bonus],AvgBonus[job_title],$H571),SUMIFS(AvgBonus[avg_bonus],AvgBonus[exp_item],$J571,AvgBonus[company_name],$B571,AvgBonus[bu_name],$C571,AvgBonus[dept_name],$D571,AvgBonus[team_consolidation],$K571,AvgBonus[location_name],$G571,AvgBonus[job_title],$H571))*AB466*SUM(BonusPayout[Month 17]))</f>
        <v>0</v>
      </c>
      <c r="AC571" s="652">
        <f>IF($B571="",,IF(LEFT($H571,5)="dummy",SUMIFS(AvgBonus[avg_bonus],AvgBonus[job_title],$H571),SUMIFS(AvgBonus[avg_bonus],AvgBonus[exp_item],$J571,AvgBonus[company_name],$B571,AvgBonus[bu_name],$C571,AvgBonus[dept_name],$D571,AvgBonus[team_consolidation],$K571,AvgBonus[location_name],$G571,AvgBonus[job_title],$H571))*AC466*SUM(BonusPayout[Month 18]))</f>
        <v>0</v>
      </c>
      <c r="AD571" s="652">
        <f>IF($B571="",,IF(LEFT($H571,5)="dummy",SUMIFS(AvgBonus[avg_bonus],AvgBonus[job_title],$H571),SUMIFS(AvgBonus[avg_bonus],AvgBonus[exp_item],$J571,AvgBonus[company_name],$B571,AvgBonus[bu_name],$C571,AvgBonus[dept_name],$D571,AvgBonus[team_consolidation],$K571,AvgBonus[location_name],$G571,AvgBonus[job_title],$H571))*AD466*SUM(BonusPayout[Month 19]))</f>
        <v>0</v>
      </c>
      <c r="AE571" s="652">
        <f>IF($B571="",,IF(LEFT($H571,5)="dummy",SUMIFS(AvgBonus[avg_bonus],AvgBonus[job_title],$H571),SUMIFS(AvgBonus[avg_bonus],AvgBonus[exp_item],$J571,AvgBonus[company_name],$B571,AvgBonus[bu_name],$C571,AvgBonus[dept_name],$D571,AvgBonus[team_consolidation],$K571,AvgBonus[location_name],$G571,AvgBonus[job_title],$H571))*AE466*SUM(BonusPayout[Month 20]))</f>
        <v>0</v>
      </c>
      <c r="AF571" s="652">
        <f>IF($B571="",,IF(LEFT($H571,5)="dummy",SUMIFS(AvgBonus[avg_bonus],AvgBonus[job_title],$H571),SUMIFS(AvgBonus[avg_bonus],AvgBonus[exp_item],$J571,AvgBonus[company_name],$B571,AvgBonus[bu_name],$C571,AvgBonus[dept_name],$D571,AvgBonus[team_consolidation],$K571,AvgBonus[location_name],$G571,AvgBonus[job_title],$H571))*AF466*SUM(BonusPayout[Month 21]))</f>
        <v>0</v>
      </c>
      <c r="AG571" s="652">
        <f>IF($B571="",,IF(LEFT($H571,5)="dummy",SUMIFS(AvgBonus[avg_bonus],AvgBonus[job_title],$H571),SUMIFS(AvgBonus[avg_bonus],AvgBonus[exp_item],$J571,AvgBonus[company_name],$B571,AvgBonus[bu_name],$C571,AvgBonus[dept_name],$D571,AvgBonus[team_consolidation],$K571,AvgBonus[location_name],$G571,AvgBonus[job_title],$H571))*AG466*SUM(BonusPayout[Month 22]))</f>
        <v>0</v>
      </c>
      <c r="AH571" s="652">
        <f>IF($B571="",,IF(LEFT($H571,5)="dummy",SUMIFS(AvgBonus[avg_bonus],AvgBonus[job_title],$H571),SUMIFS(AvgBonus[avg_bonus],AvgBonus[exp_item],$J571,AvgBonus[company_name],$B571,AvgBonus[bu_name],$C571,AvgBonus[dept_name],$D571,AvgBonus[team_consolidation],$K571,AvgBonus[location_name],$G571,AvgBonus[job_title],$H571))*AH466*SUM(BonusPayout[Month 23]))</f>
        <v>0</v>
      </c>
      <c r="AI571" s="652">
        <f>IF($B571="",,IF(LEFT($H571,5)="dummy",SUMIFS(AvgBonus[avg_bonus],AvgBonus[job_title],$H571),SUMIFS(AvgBonus[avg_bonus],AvgBonus[exp_item],$J571,AvgBonus[company_name],$B571,AvgBonus[bu_name],$C571,AvgBonus[dept_name],$D571,AvgBonus[team_consolidation],$K571,AvgBonus[location_name],$G571,AvgBonus[job_title],$H571))*AI466*SUM(BonusPayout[Month 24]))</f>
        <v>0</v>
      </c>
      <c r="AJ571" s="652">
        <f>IF($B571="",,IF(LEFT($H571,5)="dummy",SUMIFS(AvgBonus[avg_bonus],AvgBonus[job_title],$H571),SUMIFS(AvgBonus[avg_bonus],AvgBonus[exp_item],$J571,AvgBonus[company_name],$B571,AvgBonus[bu_name],$C571,AvgBonus[dept_name],$D571,AvgBonus[team_consolidation],$K571,AvgBonus[location_name],$G571,AvgBonus[job_title],$H571))*AJ466*SUM(BonusPayout[Month 25]))</f>
        <v>0</v>
      </c>
      <c r="AK571" s="652">
        <f>IF($B571="",,IF(LEFT($H571,5)="dummy",SUMIFS(AvgBonus[avg_bonus],AvgBonus[job_title],$H571),SUMIFS(AvgBonus[avg_bonus],AvgBonus[exp_item],$J571,AvgBonus[company_name],$B571,AvgBonus[bu_name],$C571,AvgBonus[dept_name],$D571,AvgBonus[team_consolidation],$K571,AvgBonus[location_name],$G571,AvgBonus[job_title],$H571))*AK466*SUM(BonusPayout[Month 26]))</f>
        <v>0</v>
      </c>
      <c r="AL571" s="652">
        <f>IF($B571="",,IF(LEFT($H571,5)="dummy",SUMIFS(AvgBonus[avg_bonus],AvgBonus[job_title],$H571),SUMIFS(AvgBonus[avg_bonus],AvgBonus[exp_item],$J571,AvgBonus[company_name],$B571,AvgBonus[bu_name],$C571,AvgBonus[dept_name],$D571,AvgBonus[team_consolidation],$K571,AvgBonus[location_name],$G571,AvgBonus[job_title],$H571))*AL466*SUM(BonusPayout[Month 27]))</f>
        <v>0</v>
      </c>
      <c r="AM571" s="652">
        <f>IF($B571="",,IF(LEFT($H571,5)="dummy",SUMIFS(AvgBonus[avg_bonus],AvgBonus[job_title],$H571),SUMIFS(AvgBonus[avg_bonus],AvgBonus[exp_item],$J571,AvgBonus[company_name],$B571,AvgBonus[bu_name],$C571,AvgBonus[dept_name],$D571,AvgBonus[team_consolidation],$K571,AvgBonus[location_name],$G571,AvgBonus[job_title],$H571))*AM466*SUM(BonusPayout[Month 28]))</f>
        <v>0</v>
      </c>
      <c r="AN571" s="652">
        <f>IF($B571="",,IF(LEFT($H571,5)="dummy",SUMIFS(AvgBonus[avg_bonus],AvgBonus[job_title],$H571),SUMIFS(AvgBonus[avg_bonus],AvgBonus[exp_item],$J571,AvgBonus[company_name],$B571,AvgBonus[bu_name],$C571,AvgBonus[dept_name],$D571,AvgBonus[team_consolidation],$K571,AvgBonus[location_name],$G571,AvgBonus[job_title],$H571))*AN466*SUM(BonusPayout[Month 29]))</f>
        <v>0</v>
      </c>
      <c r="AO571" s="652">
        <f>IF($B571="",,IF(LEFT($H571,5)="dummy",SUMIFS(AvgBonus[avg_bonus],AvgBonus[job_title],$H571),SUMIFS(AvgBonus[avg_bonus],AvgBonus[exp_item],$J571,AvgBonus[company_name],$B571,AvgBonus[bu_name],$C571,AvgBonus[dept_name],$D571,AvgBonus[team_consolidation],$K571,AvgBonus[location_name],$G571,AvgBonus[job_title],$H571))*AO466*SUM(BonusPayout[Month 30]))</f>
        <v>0</v>
      </c>
      <c r="AP571" s="652">
        <f>IF($B571="",,IF(LEFT($H571,5)="dummy",SUMIFS(AvgBonus[avg_bonus],AvgBonus[job_title],$H571),SUMIFS(AvgBonus[avg_bonus],AvgBonus[exp_item],$J571,AvgBonus[company_name],$B571,AvgBonus[bu_name],$C571,AvgBonus[dept_name],$D571,AvgBonus[team_consolidation],$K571,AvgBonus[location_name],$G571,AvgBonus[job_title],$H571))*AP466*SUM(BonusPayout[Month 31]))</f>
        <v>0</v>
      </c>
      <c r="AQ571" s="652">
        <f>IF($B571="",,IF(LEFT($H571,5)="dummy",SUMIFS(AvgBonus[avg_bonus],AvgBonus[job_title],$H571),SUMIFS(AvgBonus[avg_bonus],AvgBonus[exp_item],$J571,AvgBonus[company_name],$B571,AvgBonus[bu_name],$C571,AvgBonus[dept_name],$D571,AvgBonus[team_consolidation],$K571,AvgBonus[location_name],$G571,AvgBonus[job_title],$H571))*AQ466*SUM(BonusPayout[Month 32]))</f>
        <v>0</v>
      </c>
      <c r="AR571" s="652">
        <f>IF($B571="",,IF(LEFT($H571,5)="dummy",SUMIFS(AvgBonus[avg_bonus],AvgBonus[job_title],$H571),SUMIFS(AvgBonus[avg_bonus],AvgBonus[exp_item],$J571,AvgBonus[company_name],$B571,AvgBonus[bu_name],$C571,AvgBonus[dept_name],$D571,AvgBonus[team_consolidation],$K571,AvgBonus[location_name],$G571,AvgBonus[job_title],$H571))*AR466*SUM(BonusPayout[Month 33]))</f>
        <v>0</v>
      </c>
      <c r="AS571" s="652">
        <f>IF($B571="",,IF(LEFT($H571,5)="dummy",SUMIFS(AvgBonus[avg_bonus],AvgBonus[job_title],$H571),SUMIFS(AvgBonus[avg_bonus],AvgBonus[exp_item],$J571,AvgBonus[company_name],$B571,AvgBonus[bu_name],$C571,AvgBonus[dept_name],$D571,AvgBonus[team_consolidation],$K571,AvgBonus[location_name],$G571,AvgBonus[job_title],$H571))*AS466*SUM(BonusPayout[Month 34]))</f>
        <v>0</v>
      </c>
      <c r="AT571" s="652">
        <f>IF($B571="",,IF(LEFT($H571,5)="dummy",SUMIFS(AvgBonus[avg_bonus],AvgBonus[job_title],$H571),SUMIFS(AvgBonus[avg_bonus],AvgBonus[exp_item],$J571,AvgBonus[company_name],$B571,AvgBonus[bu_name],$C571,AvgBonus[dept_name],$D571,AvgBonus[team_consolidation],$K571,AvgBonus[location_name],$G571,AvgBonus[job_title],$H571))*AT466*SUM(BonusPayout[Month 35]))</f>
        <v>0</v>
      </c>
      <c r="AU571" s="652">
        <f>IF($B571="",,IF(LEFT($H571,5)="dummy",SUMIFS(AvgBonus[avg_bonus],AvgBonus[job_title],$H571),SUMIFS(AvgBonus[avg_bonus],AvgBonus[exp_item],$J571,AvgBonus[company_name],$B571,AvgBonus[bu_name],$C571,AvgBonus[dept_name],$D571,AvgBonus[team_consolidation],$K571,AvgBonus[location_name],$G571,AvgBonus[job_title],$H571))*AU466*SUM(BonusPayout[Month 36]))</f>
        <v>0</v>
      </c>
    </row>
    <row r="572" spans="2:47" x14ac:dyDescent="0.35">
      <c r="B572" t="str">
        <f t="shared" si="361"/>
        <v/>
      </c>
      <c r="C572" t="str">
        <f t="shared" ref="C572:G572" si="369">IF(C467="","",C467)</f>
        <v/>
      </c>
      <c r="D572" t="str">
        <f t="shared" si="369"/>
        <v/>
      </c>
      <c r="E572" t="str">
        <f t="shared" si="369"/>
        <v/>
      </c>
      <c r="F572" t="str">
        <f t="shared" si="369"/>
        <v/>
      </c>
      <c r="G572" t="str">
        <f t="shared" si="369"/>
        <v/>
      </c>
      <c r="H572" t="str">
        <f t="shared" si="360"/>
        <v/>
      </c>
      <c r="J572" t="str">
        <f>IF($H572="","",IF(VLOOKUP($B$500,ExpItems[],2,0),$B$500&amp;" - "&amp;INDEX(DivisionMapping[category_code],MATCH($D572&amp;$C572,DivisionMapping[dept_bu],0)),$B$500))</f>
        <v/>
      </c>
      <c r="K572" t="str">
        <f t="shared" si="363"/>
        <v/>
      </c>
      <c r="L572" s="652">
        <f>IF($B572="",,IF(LEFT($H572,5)="dummy",SUMIFS(AvgBonus[avg_bonus],AvgBonus[job_title],$H572),SUMIFS(AvgBonus[avg_bonus],AvgBonus[exp_item],$J572,AvgBonus[company_name],$B572,AvgBonus[bu_name],$C572,AvgBonus[dept_name],$D572,AvgBonus[team_consolidation],$K572,AvgBonus[location_name],$G572,AvgBonus[job_title],$H572))*L467*SUM(BonusPayout[Month 1]))</f>
        <v>0</v>
      </c>
      <c r="M572" s="652">
        <f>IF($B572="",,IF(LEFT($H572,5)="dummy",SUMIFS(AvgBonus[avg_bonus],AvgBonus[job_title],$H572),SUMIFS(AvgBonus[avg_bonus],AvgBonus[exp_item],$J572,AvgBonus[company_name],$B572,AvgBonus[bu_name],$C572,AvgBonus[dept_name],$D572,AvgBonus[team_consolidation],$K572,AvgBonus[location_name],$G572,AvgBonus[job_title],$H572))*M467*SUM(BonusPayout[Month 2]))</f>
        <v>0</v>
      </c>
      <c r="N572" s="652">
        <f>IF($B572="",,IF(LEFT($H572,5)="dummy",SUMIFS(AvgBonus[avg_bonus],AvgBonus[job_title],$H572),SUMIFS(AvgBonus[avg_bonus],AvgBonus[exp_item],$J572,AvgBonus[company_name],$B572,AvgBonus[bu_name],$C572,AvgBonus[dept_name],$D572,AvgBonus[team_consolidation],$K572,AvgBonus[location_name],$G572,AvgBonus[job_title],$H572))*N467*SUM(BonusPayout[Month 3]))</f>
        <v>0</v>
      </c>
      <c r="O572" s="652">
        <f>IF($B572="",,IF(LEFT($H572,5)="dummy",SUMIFS(AvgBonus[avg_bonus],AvgBonus[job_title],$H572),SUMIFS(AvgBonus[avg_bonus],AvgBonus[exp_item],$J572,AvgBonus[company_name],$B572,AvgBonus[bu_name],$C572,AvgBonus[dept_name],$D572,AvgBonus[team_consolidation],$K572,AvgBonus[location_name],$G572,AvgBonus[job_title],$H572))*O467*SUM(BonusPayout[Month 4]))</f>
        <v>0</v>
      </c>
      <c r="P572" s="652">
        <f>IF($B572="",,IF(LEFT($H572,5)="dummy",SUMIFS(AvgBonus[avg_bonus],AvgBonus[job_title],$H572),SUMIFS(AvgBonus[avg_bonus],AvgBonus[exp_item],$J572,AvgBonus[company_name],$B572,AvgBonus[bu_name],$C572,AvgBonus[dept_name],$D572,AvgBonus[team_consolidation],$K572,AvgBonus[location_name],$G572,AvgBonus[job_title],$H572))*P467*SUM(BonusPayout[Month 5]))</f>
        <v>0</v>
      </c>
      <c r="Q572" s="652">
        <f>IF($B572="",,IF(LEFT($H572,5)="dummy",SUMIFS(AvgBonus[avg_bonus],AvgBonus[job_title],$H572),SUMIFS(AvgBonus[avg_bonus],AvgBonus[exp_item],$J572,AvgBonus[company_name],$B572,AvgBonus[bu_name],$C572,AvgBonus[dept_name],$D572,AvgBonus[team_consolidation],$K572,AvgBonus[location_name],$G572,AvgBonus[job_title],$H572))*Q467*SUM(BonusPayout[Month 6]))</f>
        <v>0</v>
      </c>
      <c r="R572" s="652">
        <f>IF($B572="",,IF(LEFT($H572,5)="dummy",SUMIFS(AvgBonus[avg_bonus],AvgBonus[job_title],$H572),SUMIFS(AvgBonus[avg_bonus],AvgBonus[exp_item],$J572,AvgBonus[company_name],$B572,AvgBonus[bu_name],$C572,AvgBonus[dept_name],$D572,AvgBonus[team_consolidation],$K572,AvgBonus[location_name],$G572,AvgBonus[job_title],$H572))*R467*SUM(BonusPayout[Month 7]))</f>
        <v>0</v>
      </c>
      <c r="S572" s="652">
        <f>IF($B572="",,IF(LEFT($H572,5)="dummy",SUMIFS(AvgBonus[avg_bonus],AvgBonus[job_title],$H572),SUMIFS(AvgBonus[avg_bonus],AvgBonus[exp_item],$J572,AvgBonus[company_name],$B572,AvgBonus[bu_name],$C572,AvgBonus[dept_name],$D572,AvgBonus[team_consolidation],$K572,AvgBonus[location_name],$G572,AvgBonus[job_title],$H572))*S467*SUM(BonusPayout[Month 8]))</f>
        <v>0</v>
      </c>
      <c r="T572" s="652">
        <f>IF($B572="",,IF(LEFT($H572,5)="dummy",SUMIFS(AvgBonus[avg_bonus],AvgBonus[job_title],$H572),SUMIFS(AvgBonus[avg_bonus],AvgBonus[exp_item],$J572,AvgBonus[company_name],$B572,AvgBonus[bu_name],$C572,AvgBonus[dept_name],$D572,AvgBonus[team_consolidation],$K572,AvgBonus[location_name],$G572,AvgBonus[job_title],$H572))*T467*SUM(BonusPayout[Month 9]))</f>
        <v>0</v>
      </c>
      <c r="U572" s="652">
        <f>IF($B572="",,IF(LEFT($H572,5)="dummy",SUMIFS(AvgBonus[avg_bonus],AvgBonus[job_title],$H572),SUMIFS(AvgBonus[avg_bonus],AvgBonus[exp_item],$J572,AvgBonus[company_name],$B572,AvgBonus[bu_name],$C572,AvgBonus[dept_name],$D572,AvgBonus[team_consolidation],$K572,AvgBonus[location_name],$G572,AvgBonus[job_title],$H572))*U467*SUM(BonusPayout[Month 10]))</f>
        <v>0</v>
      </c>
      <c r="V572" s="652">
        <f>IF($B572="",,IF(LEFT($H572,5)="dummy",SUMIFS(AvgBonus[avg_bonus],AvgBonus[job_title],$H572),SUMIFS(AvgBonus[avg_bonus],AvgBonus[exp_item],$J572,AvgBonus[company_name],$B572,AvgBonus[bu_name],$C572,AvgBonus[dept_name],$D572,AvgBonus[team_consolidation],$K572,AvgBonus[location_name],$G572,AvgBonus[job_title],$H572))*V467*SUM(BonusPayout[Month 11]))</f>
        <v>0</v>
      </c>
      <c r="W572" s="652">
        <f>IF($B572="",,IF(LEFT($H572,5)="dummy",SUMIFS(AvgBonus[avg_bonus],AvgBonus[job_title],$H572),SUMIFS(AvgBonus[avg_bonus],AvgBonus[exp_item],$J572,AvgBonus[company_name],$B572,AvgBonus[bu_name],$C572,AvgBonus[dept_name],$D572,AvgBonus[team_consolidation],$K572,AvgBonus[location_name],$G572,AvgBonus[job_title],$H572))*W467*SUM(BonusPayout[Month 12]))</f>
        <v>0</v>
      </c>
      <c r="X572" s="652">
        <f>IF($B572="",,IF(LEFT($H572,5)="dummy",SUMIFS(AvgBonus[avg_bonus],AvgBonus[job_title],$H572),SUMIFS(AvgBonus[avg_bonus],AvgBonus[exp_item],$J572,AvgBonus[company_name],$B572,AvgBonus[bu_name],$C572,AvgBonus[dept_name],$D572,AvgBonus[team_consolidation],$K572,AvgBonus[location_name],$G572,AvgBonus[job_title],$H572))*X467*SUM(BonusPayout[Month 13]))</f>
        <v>0</v>
      </c>
      <c r="Y572" s="652">
        <f>IF($B572="",,IF(LEFT($H572,5)="dummy",SUMIFS(AvgBonus[avg_bonus],AvgBonus[job_title],$H572),SUMIFS(AvgBonus[avg_bonus],AvgBonus[exp_item],$J572,AvgBonus[company_name],$B572,AvgBonus[bu_name],$C572,AvgBonus[dept_name],$D572,AvgBonus[team_consolidation],$K572,AvgBonus[location_name],$G572,AvgBonus[job_title],$H572))*Y467*SUM(BonusPayout[Month 14]))</f>
        <v>0</v>
      </c>
      <c r="Z572" s="652">
        <f>IF($B572="",,IF(LEFT($H572,5)="dummy",SUMIFS(AvgBonus[avg_bonus],AvgBonus[job_title],$H572),SUMIFS(AvgBonus[avg_bonus],AvgBonus[exp_item],$J572,AvgBonus[company_name],$B572,AvgBonus[bu_name],$C572,AvgBonus[dept_name],$D572,AvgBonus[team_consolidation],$K572,AvgBonus[location_name],$G572,AvgBonus[job_title],$H572))*Z467*SUM(BonusPayout[Month 15]))</f>
        <v>0</v>
      </c>
      <c r="AA572" s="652">
        <f>IF($B572="",,IF(LEFT($H572,5)="dummy",SUMIFS(AvgBonus[avg_bonus],AvgBonus[job_title],$H572),SUMIFS(AvgBonus[avg_bonus],AvgBonus[exp_item],$J572,AvgBonus[company_name],$B572,AvgBonus[bu_name],$C572,AvgBonus[dept_name],$D572,AvgBonus[team_consolidation],$K572,AvgBonus[location_name],$G572,AvgBonus[job_title],$H572))*AA467*SUM(BonusPayout[Month 16]))</f>
        <v>0</v>
      </c>
      <c r="AB572" s="652">
        <f>IF($B572="",,IF(LEFT($H572,5)="dummy",SUMIFS(AvgBonus[avg_bonus],AvgBonus[job_title],$H572),SUMIFS(AvgBonus[avg_bonus],AvgBonus[exp_item],$J572,AvgBonus[company_name],$B572,AvgBonus[bu_name],$C572,AvgBonus[dept_name],$D572,AvgBonus[team_consolidation],$K572,AvgBonus[location_name],$G572,AvgBonus[job_title],$H572))*AB467*SUM(BonusPayout[Month 17]))</f>
        <v>0</v>
      </c>
      <c r="AC572" s="652">
        <f>IF($B572="",,IF(LEFT($H572,5)="dummy",SUMIFS(AvgBonus[avg_bonus],AvgBonus[job_title],$H572),SUMIFS(AvgBonus[avg_bonus],AvgBonus[exp_item],$J572,AvgBonus[company_name],$B572,AvgBonus[bu_name],$C572,AvgBonus[dept_name],$D572,AvgBonus[team_consolidation],$K572,AvgBonus[location_name],$G572,AvgBonus[job_title],$H572))*AC467*SUM(BonusPayout[Month 18]))</f>
        <v>0</v>
      </c>
      <c r="AD572" s="652">
        <f>IF($B572="",,IF(LEFT($H572,5)="dummy",SUMIFS(AvgBonus[avg_bonus],AvgBonus[job_title],$H572),SUMIFS(AvgBonus[avg_bonus],AvgBonus[exp_item],$J572,AvgBonus[company_name],$B572,AvgBonus[bu_name],$C572,AvgBonus[dept_name],$D572,AvgBonus[team_consolidation],$K572,AvgBonus[location_name],$G572,AvgBonus[job_title],$H572))*AD467*SUM(BonusPayout[Month 19]))</f>
        <v>0</v>
      </c>
      <c r="AE572" s="652">
        <f>IF($B572="",,IF(LEFT($H572,5)="dummy",SUMIFS(AvgBonus[avg_bonus],AvgBonus[job_title],$H572),SUMIFS(AvgBonus[avg_bonus],AvgBonus[exp_item],$J572,AvgBonus[company_name],$B572,AvgBonus[bu_name],$C572,AvgBonus[dept_name],$D572,AvgBonus[team_consolidation],$K572,AvgBonus[location_name],$G572,AvgBonus[job_title],$H572))*AE467*SUM(BonusPayout[Month 20]))</f>
        <v>0</v>
      </c>
      <c r="AF572" s="652">
        <f>IF($B572="",,IF(LEFT($H572,5)="dummy",SUMIFS(AvgBonus[avg_bonus],AvgBonus[job_title],$H572),SUMIFS(AvgBonus[avg_bonus],AvgBonus[exp_item],$J572,AvgBonus[company_name],$B572,AvgBonus[bu_name],$C572,AvgBonus[dept_name],$D572,AvgBonus[team_consolidation],$K572,AvgBonus[location_name],$G572,AvgBonus[job_title],$H572))*AF467*SUM(BonusPayout[Month 21]))</f>
        <v>0</v>
      </c>
      <c r="AG572" s="652">
        <f>IF($B572="",,IF(LEFT($H572,5)="dummy",SUMIFS(AvgBonus[avg_bonus],AvgBonus[job_title],$H572),SUMIFS(AvgBonus[avg_bonus],AvgBonus[exp_item],$J572,AvgBonus[company_name],$B572,AvgBonus[bu_name],$C572,AvgBonus[dept_name],$D572,AvgBonus[team_consolidation],$K572,AvgBonus[location_name],$G572,AvgBonus[job_title],$H572))*AG467*SUM(BonusPayout[Month 22]))</f>
        <v>0</v>
      </c>
      <c r="AH572" s="652">
        <f>IF($B572="",,IF(LEFT($H572,5)="dummy",SUMIFS(AvgBonus[avg_bonus],AvgBonus[job_title],$H572),SUMIFS(AvgBonus[avg_bonus],AvgBonus[exp_item],$J572,AvgBonus[company_name],$B572,AvgBonus[bu_name],$C572,AvgBonus[dept_name],$D572,AvgBonus[team_consolidation],$K572,AvgBonus[location_name],$G572,AvgBonus[job_title],$H572))*AH467*SUM(BonusPayout[Month 23]))</f>
        <v>0</v>
      </c>
      <c r="AI572" s="652">
        <f>IF($B572="",,IF(LEFT($H572,5)="dummy",SUMIFS(AvgBonus[avg_bonus],AvgBonus[job_title],$H572),SUMIFS(AvgBonus[avg_bonus],AvgBonus[exp_item],$J572,AvgBonus[company_name],$B572,AvgBonus[bu_name],$C572,AvgBonus[dept_name],$D572,AvgBonus[team_consolidation],$K572,AvgBonus[location_name],$G572,AvgBonus[job_title],$H572))*AI467*SUM(BonusPayout[Month 24]))</f>
        <v>0</v>
      </c>
      <c r="AJ572" s="652">
        <f>IF($B572="",,IF(LEFT($H572,5)="dummy",SUMIFS(AvgBonus[avg_bonus],AvgBonus[job_title],$H572),SUMIFS(AvgBonus[avg_bonus],AvgBonus[exp_item],$J572,AvgBonus[company_name],$B572,AvgBonus[bu_name],$C572,AvgBonus[dept_name],$D572,AvgBonus[team_consolidation],$K572,AvgBonus[location_name],$G572,AvgBonus[job_title],$H572))*AJ467*SUM(BonusPayout[Month 25]))</f>
        <v>0</v>
      </c>
      <c r="AK572" s="652">
        <f>IF($B572="",,IF(LEFT($H572,5)="dummy",SUMIFS(AvgBonus[avg_bonus],AvgBonus[job_title],$H572),SUMIFS(AvgBonus[avg_bonus],AvgBonus[exp_item],$J572,AvgBonus[company_name],$B572,AvgBonus[bu_name],$C572,AvgBonus[dept_name],$D572,AvgBonus[team_consolidation],$K572,AvgBonus[location_name],$G572,AvgBonus[job_title],$H572))*AK467*SUM(BonusPayout[Month 26]))</f>
        <v>0</v>
      </c>
      <c r="AL572" s="652">
        <f>IF($B572="",,IF(LEFT($H572,5)="dummy",SUMIFS(AvgBonus[avg_bonus],AvgBonus[job_title],$H572),SUMIFS(AvgBonus[avg_bonus],AvgBonus[exp_item],$J572,AvgBonus[company_name],$B572,AvgBonus[bu_name],$C572,AvgBonus[dept_name],$D572,AvgBonus[team_consolidation],$K572,AvgBonus[location_name],$G572,AvgBonus[job_title],$H572))*AL467*SUM(BonusPayout[Month 27]))</f>
        <v>0</v>
      </c>
      <c r="AM572" s="652">
        <f>IF($B572="",,IF(LEFT($H572,5)="dummy",SUMIFS(AvgBonus[avg_bonus],AvgBonus[job_title],$H572),SUMIFS(AvgBonus[avg_bonus],AvgBonus[exp_item],$J572,AvgBonus[company_name],$B572,AvgBonus[bu_name],$C572,AvgBonus[dept_name],$D572,AvgBonus[team_consolidation],$K572,AvgBonus[location_name],$G572,AvgBonus[job_title],$H572))*AM467*SUM(BonusPayout[Month 28]))</f>
        <v>0</v>
      </c>
      <c r="AN572" s="652">
        <f>IF($B572="",,IF(LEFT($H572,5)="dummy",SUMIFS(AvgBonus[avg_bonus],AvgBonus[job_title],$H572),SUMIFS(AvgBonus[avg_bonus],AvgBonus[exp_item],$J572,AvgBonus[company_name],$B572,AvgBonus[bu_name],$C572,AvgBonus[dept_name],$D572,AvgBonus[team_consolidation],$K572,AvgBonus[location_name],$G572,AvgBonus[job_title],$H572))*AN467*SUM(BonusPayout[Month 29]))</f>
        <v>0</v>
      </c>
      <c r="AO572" s="652">
        <f>IF($B572="",,IF(LEFT($H572,5)="dummy",SUMIFS(AvgBonus[avg_bonus],AvgBonus[job_title],$H572),SUMIFS(AvgBonus[avg_bonus],AvgBonus[exp_item],$J572,AvgBonus[company_name],$B572,AvgBonus[bu_name],$C572,AvgBonus[dept_name],$D572,AvgBonus[team_consolidation],$K572,AvgBonus[location_name],$G572,AvgBonus[job_title],$H572))*AO467*SUM(BonusPayout[Month 30]))</f>
        <v>0</v>
      </c>
      <c r="AP572" s="652">
        <f>IF($B572="",,IF(LEFT($H572,5)="dummy",SUMIFS(AvgBonus[avg_bonus],AvgBonus[job_title],$H572),SUMIFS(AvgBonus[avg_bonus],AvgBonus[exp_item],$J572,AvgBonus[company_name],$B572,AvgBonus[bu_name],$C572,AvgBonus[dept_name],$D572,AvgBonus[team_consolidation],$K572,AvgBonus[location_name],$G572,AvgBonus[job_title],$H572))*AP467*SUM(BonusPayout[Month 31]))</f>
        <v>0</v>
      </c>
      <c r="AQ572" s="652">
        <f>IF($B572="",,IF(LEFT($H572,5)="dummy",SUMIFS(AvgBonus[avg_bonus],AvgBonus[job_title],$H572),SUMIFS(AvgBonus[avg_bonus],AvgBonus[exp_item],$J572,AvgBonus[company_name],$B572,AvgBonus[bu_name],$C572,AvgBonus[dept_name],$D572,AvgBonus[team_consolidation],$K572,AvgBonus[location_name],$G572,AvgBonus[job_title],$H572))*AQ467*SUM(BonusPayout[Month 32]))</f>
        <v>0</v>
      </c>
      <c r="AR572" s="652">
        <f>IF($B572="",,IF(LEFT($H572,5)="dummy",SUMIFS(AvgBonus[avg_bonus],AvgBonus[job_title],$H572),SUMIFS(AvgBonus[avg_bonus],AvgBonus[exp_item],$J572,AvgBonus[company_name],$B572,AvgBonus[bu_name],$C572,AvgBonus[dept_name],$D572,AvgBonus[team_consolidation],$K572,AvgBonus[location_name],$G572,AvgBonus[job_title],$H572))*AR467*SUM(BonusPayout[Month 33]))</f>
        <v>0</v>
      </c>
      <c r="AS572" s="652">
        <f>IF($B572="",,IF(LEFT($H572,5)="dummy",SUMIFS(AvgBonus[avg_bonus],AvgBonus[job_title],$H572),SUMIFS(AvgBonus[avg_bonus],AvgBonus[exp_item],$J572,AvgBonus[company_name],$B572,AvgBonus[bu_name],$C572,AvgBonus[dept_name],$D572,AvgBonus[team_consolidation],$K572,AvgBonus[location_name],$G572,AvgBonus[job_title],$H572))*AS467*SUM(BonusPayout[Month 34]))</f>
        <v>0</v>
      </c>
      <c r="AT572" s="652">
        <f>IF($B572="",,IF(LEFT($H572,5)="dummy",SUMIFS(AvgBonus[avg_bonus],AvgBonus[job_title],$H572),SUMIFS(AvgBonus[avg_bonus],AvgBonus[exp_item],$J572,AvgBonus[company_name],$B572,AvgBonus[bu_name],$C572,AvgBonus[dept_name],$D572,AvgBonus[team_consolidation],$K572,AvgBonus[location_name],$G572,AvgBonus[job_title],$H572))*AT467*SUM(BonusPayout[Month 35]))</f>
        <v>0</v>
      </c>
      <c r="AU572" s="652">
        <f>IF($B572="",,IF(LEFT($H572,5)="dummy",SUMIFS(AvgBonus[avg_bonus],AvgBonus[job_title],$H572),SUMIFS(AvgBonus[avg_bonus],AvgBonus[exp_item],$J572,AvgBonus[company_name],$B572,AvgBonus[bu_name],$C572,AvgBonus[dept_name],$D572,AvgBonus[team_consolidation],$K572,AvgBonus[location_name],$G572,AvgBonus[job_title],$H572))*AU467*SUM(BonusPayout[Month 36]))</f>
        <v>0</v>
      </c>
    </row>
    <row r="573" spans="2:47" x14ac:dyDescent="0.35">
      <c r="B573" t="str">
        <f t="shared" si="361"/>
        <v/>
      </c>
      <c r="C573" t="str">
        <f t="shared" ref="C573:G573" si="370">IF(C468="","",C468)</f>
        <v/>
      </c>
      <c r="D573" t="str">
        <f t="shared" si="370"/>
        <v/>
      </c>
      <c r="E573" t="str">
        <f t="shared" si="370"/>
        <v/>
      </c>
      <c r="F573" t="str">
        <f t="shared" si="370"/>
        <v/>
      </c>
      <c r="G573" t="str">
        <f t="shared" si="370"/>
        <v/>
      </c>
      <c r="H573" t="str">
        <f t="shared" si="360"/>
        <v/>
      </c>
      <c r="J573" t="str">
        <f>IF($H573="","",IF(VLOOKUP($B$500,ExpItems[],2,0),$B$500&amp;" - "&amp;INDEX(DivisionMapping[category_code],MATCH($D573&amp;$C573,DivisionMapping[dept_bu],0)),$B$500))</f>
        <v/>
      </c>
      <c r="K573" t="str">
        <f t="shared" si="363"/>
        <v/>
      </c>
      <c r="L573" s="652">
        <f>IF($B573="",,IF(LEFT($H573,5)="dummy",SUMIFS(AvgBonus[avg_bonus],AvgBonus[job_title],$H573),SUMIFS(AvgBonus[avg_bonus],AvgBonus[exp_item],$J573,AvgBonus[company_name],$B573,AvgBonus[bu_name],$C573,AvgBonus[dept_name],$D573,AvgBonus[team_consolidation],$K573,AvgBonus[location_name],$G573,AvgBonus[job_title],$H573))*L468*SUM(BonusPayout[Month 1]))</f>
        <v>0</v>
      </c>
      <c r="M573" s="652">
        <f>IF($B573="",,IF(LEFT($H573,5)="dummy",SUMIFS(AvgBonus[avg_bonus],AvgBonus[job_title],$H573),SUMIFS(AvgBonus[avg_bonus],AvgBonus[exp_item],$J573,AvgBonus[company_name],$B573,AvgBonus[bu_name],$C573,AvgBonus[dept_name],$D573,AvgBonus[team_consolidation],$K573,AvgBonus[location_name],$G573,AvgBonus[job_title],$H573))*M468*SUM(BonusPayout[Month 2]))</f>
        <v>0</v>
      </c>
      <c r="N573" s="652">
        <f>IF($B573="",,IF(LEFT($H573,5)="dummy",SUMIFS(AvgBonus[avg_bonus],AvgBonus[job_title],$H573),SUMIFS(AvgBonus[avg_bonus],AvgBonus[exp_item],$J573,AvgBonus[company_name],$B573,AvgBonus[bu_name],$C573,AvgBonus[dept_name],$D573,AvgBonus[team_consolidation],$K573,AvgBonus[location_name],$G573,AvgBonus[job_title],$H573))*N468*SUM(BonusPayout[Month 3]))</f>
        <v>0</v>
      </c>
      <c r="O573" s="652">
        <f>IF($B573="",,IF(LEFT($H573,5)="dummy",SUMIFS(AvgBonus[avg_bonus],AvgBonus[job_title],$H573),SUMIFS(AvgBonus[avg_bonus],AvgBonus[exp_item],$J573,AvgBonus[company_name],$B573,AvgBonus[bu_name],$C573,AvgBonus[dept_name],$D573,AvgBonus[team_consolidation],$K573,AvgBonus[location_name],$G573,AvgBonus[job_title],$H573))*O468*SUM(BonusPayout[Month 4]))</f>
        <v>0</v>
      </c>
      <c r="P573" s="652">
        <f>IF($B573="",,IF(LEFT($H573,5)="dummy",SUMIFS(AvgBonus[avg_bonus],AvgBonus[job_title],$H573),SUMIFS(AvgBonus[avg_bonus],AvgBonus[exp_item],$J573,AvgBonus[company_name],$B573,AvgBonus[bu_name],$C573,AvgBonus[dept_name],$D573,AvgBonus[team_consolidation],$K573,AvgBonus[location_name],$G573,AvgBonus[job_title],$H573))*P468*SUM(BonusPayout[Month 5]))</f>
        <v>0</v>
      </c>
      <c r="Q573" s="652">
        <f>IF($B573="",,IF(LEFT($H573,5)="dummy",SUMIFS(AvgBonus[avg_bonus],AvgBonus[job_title],$H573),SUMIFS(AvgBonus[avg_bonus],AvgBonus[exp_item],$J573,AvgBonus[company_name],$B573,AvgBonus[bu_name],$C573,AvgBonus[dept_name],$D573,AvgBonus[team_consolidation],$K573,AvgBonus[location_name],$G573,AvgBonus[job_title],$H573))*Q468*SUM(BonusPayout[Month 6]))</f>
        <v>0</v>
      </c>
      <c r="R573" s="652">
        <f>IF($B573="",,IF(LEFT($H573,5)="dummy",SUMIFS(AvgBonus[avg_bonus],AvgBonus[job_title],$H573),SUMIFS(AvgBonus[avg_bonus],AvgBonus[exp_item],$J573,AvgBonus[company_name],$B573,AvgBonus[bu_name],$C573,AvgBonus[dept_name],$D573,AvgBonus[team_consolidation],$K573,AvgBonus[location_name],$G573,AvgBonus[job_title],$H573))*R468*SUM(BonusPayout[Month 7]))</f>
        <v>0</v>
      </c>
      <c r="S573" s="652">
        <f>IF($B573="",,IF(LEFT($H573,5)="dummy",SUMIFS(AvgBonus[avg_bonus],AvgBonus[job_title],$H573),SUMIFS(AvgBonus[avg_bonus],AvgBonus[exp_item],$J573,AvgBonus[company_name],$B573,AvgBonus[bu_name],$C573,AvgBonus[dept_name],$D573,AvgBonus[team_consolidation],$K573,AvgBonus[location_name],$G573,AvgBonus[job_title],$H573))*S468*SUM(BonusPayout[Month 8]))</f>
        <v>0</v>
      </c>
      <c r="T573" s="652">
        <f>IF($B573="",,IF(LEFT($H573,5)="dummy",SUMIFS(AvgBonus[avg_bonus],AvgBonus[job_title],$H573),SUMIFS(AvgBonus[avg_bonus],AvgBonus[exp_item],$J573,AvgBonus[company_name],$B573,AvgBonus[bu_name],$C573,AvgBonus[dept_name],$D573,AvgBonus[team_consolidation],$K573,AvgBonus[location_name],$G573,AvgBonus[job_title],$H573))*T468*SUM(BonusPayout[Month 9]))</f>
        <v>0</v>
      </c>
      <c r="U573" s="652">
        <f>IF($B573="",,IF(LEFT($H573,5)="dummy",SUMIFS(AvgBonus[avg_bonus],AvgBonus[job_title],$H573),SUMIFS(AvgBonus[avg_bonus],AvgBonus[exp_item],$J573,AvgBonus[company_name],$B573,AvgBonus[bu_name],$C573,AvgBonus[dept_name],$D573,AvgBonus[team_consolidation],$K573,AvgBonus[location_name],$G573,AvgBonus[job_title],$H573))*U468*SUM(BonusPayout[Month 10]))</f>
        <v>0</v>
      </c>
      <c r="V573" s="652">
        <f>IF($B573="",,IF(LEFT($H573,5)="dummy",SUMIFS(AvgBonus[avg_bonus],AvgBonus[job_title],$H573),SUMIFS(AvgBonus[avg_bonus],AvgBonus[exp_item],$J573,AvgBonus[company_name],$B573,AvgBonus[bu_name],$C573,AvgBonus[dept_name],$D573,AvgBonus[team_consolidation],$K573,AvgBonus[location_name],$G573,AvgBonus[job_title],$H573))*V468*SUM(BonusPayout[Month 11]))</f>
        <v>0</v>
      </c>
      <c r="W573" s="652">
        <f>IF($B573="",,IF(LEFT($H573,5)="dummy",SUMIFS(AvgBonus[avg_bonus],AvgBonus[job_title],$H573),SUMIFS(AvgBonus[avg_bonus],AvgBonus[exp_item],$J573,AvgBonus[company_name],$B573,AvgBonus[bu_name],$C573,AvgBonus[dept_name],$D573,AvgBonus[team_consolidation],$K573,AvgBonus[location_name],$G573,AvgBonus[job_title],$H573))*W468*SUM(BonusPayout[Month 12]))</f>
        <v>0</v>
      </c>
      <c r="X573" s="652">
        <f>IF($B573="",,IF(LEFT($H573,5)="dummy",SUMIFS(AvgBonus[avg_bonus],AvgBonus[job_title],$H573),SUMIFS(AvgBonus[avg_bonus],AvgBonus[exp_item],$J573,AvgBonus[company_name],$B573,AvgBonus[bu_name],$C573,AvgBonus[dept_name],$D573,AvgBonus[team_consolidation],$K573,AvgBonus[location_name],$G573,AvgBonus[job_title],$H573))*X468*SUM(BonusPayout[Month 13]))</f>
        <v>0</v>
      </c>
      <c r="Y573" s="652">
        <f>IF($B573="",,IF(LEFT($H573,5)="dummy",SUMIFS(AvgBonus[avg_bonus],AvgBonus[job_title],$H573),SUMIFS(AvgBonus[avg_bonus],AvgBonus[exp_item],$J573,AvgBonus[company_name],$B573,AvgBonus[bu_name],$C573,AvgBonus[dept_name],$D573,AvgBonus[team_consolidation],$K573,AvgBonus[location_name],$G573,AvgBonus[job_title],$H573))*Y468*SUM(BonusPayout[Month 14]))</f>
        <v>0</v>
      </c>
      <c r="Z573" s="652">
        <f>IF($B573="",,IF(LEFT($H573,5)="dummy",SUMIFS(AvgBonus[avg_bonus],AvgBonus[job_title],$H573),SUMIFS(AvgBonus[avg_bonus],AvgBonus[exp_item],$J573,AvgBonus[company_name],$B573,AvgBonus[bu_name],$C573,AvgBonus[dept_name],$D573,AvgBonus[team_consolidation],$K573,AvgBonus[location_name],$G573,AvgBonus[job_title],$H573))*Z468*SUM(BonusPayout[Month 15]))</f>
        <v>0</v>
      </c>
      <c r="AA573" s="652">
        <f>IF($B573="",,IF(LEFT($H573,5)="dummy",SUMIFS(AvgBonus[avg_bonus],AvgBonus[job_title],$H573),SUMIFS(AvgBonus[avg_bonus],AvgBonus[exp_item],$J573,AvgBonus[company_name],$B573,AvgBonus[bu_name],$C573,AvgBonus[dept_name],$D573,AvgBonus[team_consolidation],$K573,AvgBonus[location_name],$G573,AvgBonus[job_title],$H573))*AA468*SUM(BonusPayout[Month 16]))</f>
        <v>0</v>
      </c>
      <c r="AB573" s="652">
        <f>IF($B573="",,IF(LEFT($H573,5)="dummy",SUMIFS(AvgBonus[avg_bonus],AvgBonus[job_title],$H573),SUMIFS(AvgBonus[avg_bonus],AvgBonus[exp_item],$J573,AvgBonus[company_name],$B573,AvgBonus[bu_name],$C573,AvgBonus[dept_name],$D573,AvgBonus[team_consolidation],$K573,AvgBonus[location_name],$G573,AvgBonus[job_title],$H573))*AB468*SUM(BonusPayout[Month 17]))</f>
        <v>0</v>
      </c>
      <c r="AC573" s="652">
        <f>IF($B573="",,IF(LEFT($H573,5)="dummy",SUMIFS(AvgBonus[avg_bonus],AvgBonus[job_title],$H573),SUMIFS(AvgBonus[avg_bonus],AvgBonus[exp_item],$J573,AvgBonus[company_name],$B573,AvgBonus[bu_name],$C573,AvgBonus[dept_name],$D573,AvgBonus[team_consolidation],$K573,AvgBonus[location_name],$G573,AvgBonus[job_title],$H573))*AC468*SUM(BonusPayout[Month 18]))</f>
        <v>0</v>
      </c>
      <c r="AD573" s="652">
        <f>IF($B573="",,IF(LEFT($H573,5)="dummy",SUMIFS(AvgBonus[avg_bonus],AvgBonus[job_title],$H573),SUMIFS(AvgBonus[avg_bonus],AvgBonus[exp_item],$J573,AvgBonus[company_name],$B573,AvgBonus[bu_name],$C573,AvgBonus[dept_name],$D573,AvgBonus[team_consolidation],$K573,AvgBonus[location_name],$G573,AvgBonus[job_title],$H573))*AD468*SUM(BonusPayout[Month 19]))</f>
        <v>0</v>
      </c>
      <c r="AE573" s="652">
        <f>IF($B573="",,IF(LEFT($H573,5)="dummy",SUMIFS(AvgBonus[avg_bonus],AvgBonus[job_title],$H573),SUMIFS(AvgBonus[avg_bonus],AvgBonus[exp_item],$J573,AvgBonus[company_name],$B573,AvgBonus[bu_name],$C573,AvgBonus[dept_name],$D573,AvgBonus[team_consolidation],$K573,AvgBonus[location_name],$G573,AvgBonus[job_title],$H573))*AE468*SUM(BonusPayout[Month 20]))</f>
        <v>0</v>
      </c>
      <c r="AF573" s="652">
        <f>IF($B573="",,IF(LEFT($H573,5)="dummy",SUMIFS(AvgBonus[avg_bonus],AvgBonus[job_title],$H573),SUMIFS(AvgBonus[avg_bonus],AvgBonus[exp_item],$J573,AvgBonus[company_name],$B573,AvgBonus[bu_name],$C573,AvgBonus[dept_name],$D573,AvgBonus[team_consolidation],$K573,AvgBonus[location_name],$G573,AvgBonus[job_title],$H573))*AF468*SUM(BonusPayout[Month 21]))</f>
        <v>0</v>
      </c>
      <c r="AG573" s="652">
        <f>IF($B573="",,IF(LEFT($H573,5)="dummy",SUMIFS(AvgBonus[avg_bonus],AvgBonus[job_title],$H573),SUMIFS(AvgBonus[avg_bonus],AvgBonus[exp_item],$J573,AvgBonus[company_name],$B573,AvgBonus[bu_name],$C573,AvgBonus[dept_name],$D573,AvgBonus[team_consolidation],$K573,AvgBonus[location_name],$G573,AvgBonus[job_title],$H573))*AG468*SUM(BonusPayout[Month 22]))</f>
        <v>0</v>
      </c>
      <c r="AH573" s="652">
        <f>IF($B573="",,IF(LEFT($H573,5)="dummy",SUMIFS(AvgBonus[avg_bonus],AvgBonus[job_title],$H573),SUMIFS(AvgBonus[avg_bonus],AvgBonus[exp_item],$J573,AvgBonus[company_name],$B573,AvgBonus[bu_name],$C573,AvgBonus[dept_name],$D573,AvgBonus[team_consolidation],$K573,AvgBonus[location_name],$G573,AvgBonus[job_title],$H573))*AH468*SUM(BonusPayout[Month 23]))</f>
        <v>0</v>
      </c>
      <c r="AI573" s="652">
        <f>IF($B573="",,IF(LEFT($H573,5)="dummy",SUMIFS(AvgBonus[avg_bonus],AvgBonus[job_title],$H573),SUMIFS(AvgBonus[avg_bonus],AvgBonus[exp_item],$J573,AvgBonus[company_name],$B573,AvgBonus[bu_name],$C573,AvgBonus[dept_name],$D573,AvgBonus[team_consolidation],$K573,AvgBonus[location_name],$G573,AvgBonus[job_title],$H573))*AI468*SUM(BonusPayout[Month 24]))</f>
        <v>0</v>
      </c>
      <c r="AJ573" s="652">
        <f>IF($B573="",,IF(LEFT($H573,5)="dummy",SUMIFS(AvgBonus[avg_bonus],AvgBonus[job_title],$H573),SUMIFS(AvgBonus[avg_bonus],AvgBonus[exp_item],$J573,AvgBonus[company_name],$B573,AvgBonus[bu_name],$C573,AvgBonus[dept_name],$D573,AvgBonus[team_consolidation],$K573,AvgBonus[location_name],$G573,AvgBonus[job_title],$H573))*AJ468*SUM(BonusPayout[Month 25]))</f>
        <v>0</v>
      </c>
      <c r="AK573" s="652">
        <f>IF($B573="",,IF(LEFT($H573,5)="dummy",SUMIFS(AvgBonus[avg_bonus],AvgBonus[job_title],$H573),SUMIFS(AvgBonus[avg_bonus],AvgBonus[exp_item],$J573,AvgBonus[company_name],$B573,AvgBonus[bu_name],$C573,AvgBonus[dept_name],$D573,AvgBonus[team_consolidation],$K573,AvgBonus[location_name],$G573,AvgBonus[job_title],$H573))*AK468*SUM(BonusPayout[Month 26]))</f>
        <v>0</v>
      </c>
      <c r="AL573" s="652">
        <f>IF($B573="",,IF(LEFT($H573,5)="dummy",SUMIFS(AvgBonus[avg_bonus],AvgBonus[job_title],$H573),SUMIFS(AvgBonus[avg_bonus],AvgBonus[exp_item],$J573,AvgBonus[company_name],$B573,AvgBonus[bu_name],$C573,AvgBonus[dept_name],$D573,AvgBonus[team_consolidation],$K573,AvgBonus[location_name],$G573,AvgBonus[job_title],$H573))*AL468*SUM(BonusPayout[Month 27]))</f>
        <v>0</v>
      </c>
      <c r="AM573" s="652">
        <f>IF($B573="",,IF(LEFT($H573,5)="dummy",SUMIFS(AvgBonus[avg_bonus],AvgBonus[job_title],$H573),SUMIFS(AvgBonus[avg_bonus],AvgBonus[exp_item],$J573,AvgBonus[company_name],$B573,AvgBonus[bu_name],$C573,AvgBonus[dept_name],$D573,AvgBonus[team_consolidation],$K573,AvgBonus[location_name],$G573,AvgBonus[job_title],$H573))*AM468*SUM(BonusPayout[Month 28]))</f>
        <v>0</v>
      </c>
      <c r="AN573" s="652">
        <f>IF($B573="",,IF(LEFT($H573,5)="dummy",SUMIFS(AvgBonus[avg_bonus],AvgBonus[job_title],$H573),SUMIFS(AvgBonus[avg_bonus],AvgBonus[exp_item],$J573,AvgBonus[company_name],$B573,AvgBonus[bu_name],$C573,AvgBonus[dept_name],$D573,AvgBonus[team_consolidation],$K573,AvgBonus[location_name],$G573,AvgBonus[job_title],$H573))*AN468*SUM(BonusPayout[Month 29]))</f>
        <v>0</v>
      </c>
      <c r="AO573" s="652">
        <f>IF($B573="",,IF(LEFT($H573,5)="dummy",SUMIFS(AvgBonus[avg_bonus],AvgBonus[job_title],$H573),SUMIFS(AvgBonus[avg_bonus],AvgBonus[exp_item],$J573,AvgBonus[company_name],$B573,AvgBonus[bu_name],$C573,AvgBonus[dept_name],$D573,AvgBonus[team_consolidation],$K573,AvgBonus[location_name],$G573,AvgBonus[job_title],$H573))*AO468*SUM(BonusPayout[Month 30]))</f>
        <v>0</v>
      </c>
      <c r="AP573" s="652">
        <f>IF($B573="",,IF(LEFT($H573,5)="dummy",SUMIFS(AvgBonus[avg_bonus],AvgBonus[job_title],$H573),SUMIFS(AvgBonus[avg_bonus],AvgBonus[exp_item],$J573,AvgBonus[company_name],$B573,AvgBonus[bu_name],$C573,AvgBonus[dept_name],$D573,AvgBonus[team_consolidation],$K573,AvgBonus[location_name],$G573,AvgBonus[job_title],$H573))*AP468*SUM(BonusPayout[Month 31]))</f>
        <v>0</v>
      </c>
      <c r="AQ573" s="652">
        <f>IF($B573="",,IF(LEFT($H573,5)="dummy",SUMIFS(AvgBonus[avg_bonus],AvgBonus[job_title],$H573),SUMIFS(AvgBonus[avg_bonus],AvgBonus[exp_item],$J573,AvgBonus[company_name],$B573,AvgBonus[bu_name],$C573,AvgBonus[dept_name],$D573,AvgBonus[team_consolidation],$K573,AvgBonus[location_name],$G573,AvgBonus[job_title],$H573))*AQ468*SUM(BonusPayout[Month 32]))</f>
        <v>0</v>
      </c>
      <c r="AR573" s="652">
        <f>IF($B573="",,IF(LEFT($H573,5)="dummy",SUMIFS(AvgBonus[avg_bonus],AvgBonus[job_title],$H573),SUMIFS(AvgBonus[avg_bonus],AvgBonus[exp_item],$J573,AvgBonus[company_name],$B573,AvgBonus[bu_name],$C573,AvgBonus[dept_name],$D573,AvgBonus[team_consolidation],$K573,AvgBonus[location_name],$G573,AvgBonus[job_title],$H573))*AR468*SUM(BonusPayout[Month 33]))</f>
        <v>0</v>
      </c>
      <c r="AS573" s="652">
        <f>IF($B573="",,IF(LEFT($H573,5)="dummy",SUMIFS(AvgBonus[avg_bonus],AvgBonus[job_title],$H573),SUMIFS(AvgBonus[avg_bonus],AvgBonus[exp_item],$J573,AvgBonus[company_name],$B573,AvgBonus[bu_name],$C573,AvgBonus[dept_name],$D573,AvgBonus[team_consolidation],$K573,AvgBonus[location_name],$G573,AvgBonus[job_title],$H573))*AS468*SUM(BonusPayout[Month 34]))</f>
        <v>0</v>
      </c>
      <c r="AT573" s="652">
        <f>IF($B573="",,IF(LEFT($H573,5)="dummy",SUMIFS(AvgBonus[avg_bonus],AvgBonus[job_title],$H573),SUMIFS(AvgBonus[avg_bonus],AvgBonus[exp_item],$J573,AvgBonus[company_name],$B573,AvgBonus[bu_name],$C573,AvgBonus[dept_name],$D573,AvgBonus[team_consolidation],$K573,AvgBonus[location_name],$G573,AvgBonus[job_title],$H573))*AT468*SUM(BonusPayout[Month 35]))</f>
        <v>0</v>
      </c>
      <c r="AU573" s="652">
        <f>IF($B573="",,IF(LEFT($H573,5)="dummy",SUMIFS(AvgBonus[avg_bonus],AvgBonus[job_title],$H573),SUMIFS(AvgBonus[avg_bonus],AvgBonus[exp_item],$J573,AvgBonus[company_name],$B573,AvgBonus[bu_name],$C573,AvgBonus[dept_name],$D573,AvgBonus[team_consolidation],$K573,AvgBonus[location_name],$G573,AvgBonus[job_title],$H573))*AU468*SUM(BonusPayout[Month 36]))</f>
        <v>0</v>
      </c>
    </row>
    <row r="574" spans="2:47" x14ac:dyDescent="0.35">
      <c r="B574" t="str">
        <f t="shared" si="361"/>
        <v/>
      </c>
      <c r="C574" t="str">
        <f t="shared" ref="C574:G574" si="371">IF(C469="","",C469)</f>
        <v/>
      </c>
      <c r="D574" t="str">
        <f t="shared" si="371"/>
        <v/>
      </c>
      <c r="E574" t="str">
        <f t="shared" si="371"/>
        <v/>
      </c>
      <c r="F574" t="str">
        <f t="shared" si="371"/>
        <v/>
      </c>
      <c r="G574" t="str">
        <f t="shared" si="371"/>
        <v/>
      </c>
      <c r="H574" t="str">
        <f t="shared" si="360"/>
        <v/>
      </c>
      <c r="J574" t="str">
        <f>IF($H574="","",IF(VLOOKUP($B$500,ExpItems[],2,0),$B$500&amp;" - "&amp;INDEX(DivisionMapping[category_code],MATCH($D574&amp;$C574,DivisionMapping[dept_bu],0)),$B$500))</f>
        <v/>
      </c>
      <c r="K574" t="str">
        <f t="shared" si="363"/>
        <v/>
      </c>
      <c r="L574" s="652">
        <f>IF($B574="",,IF(LEFT($H574,5)="dummy",SUMIFS(AvgBonus[avg_bonus],AvgBonus[job_title],$H574),SUMIFS(AvgBonus[avg_bonus],AvgBonus[exp_item],$J574,AvgBonus[company_name],$B574,AvgBonus[bu_name],$C574,AvgBonus[dept_name],$D574,AvgBonus[team_consolidation],$K574,AvgBonus[location_name],$G574,AvgBonus[job_title],$H574))*L469*SUM(BonusPayout[Month 1]))</f>
        <v>0</v>
      </c>
      <c r="M574" s="652">
        <f>IF($B574="",,IF(LEFT($H574,5)="dummy",SUMIFS(AvgBonus[avg_bonus],AvgBonus[job_title],$H574),SUMIFS(AvgBonus[avg_bonus],AvgBonus[exp_item],$J574,AvgBonus[company_name],$B574,AvgBonus[bu_name],$C574,AvgBonus[dept_name],$D574,AvgBonus[team_consolidation],$K574,AvgBonus[location_name],$G574,AvgBonus[job_title],$H574))*M469*SUM(BonusPayout[Month 2]))</f>
        <v>0</v>
      </c>
      <c r="N574" s="652">
        <f>IF($B574="",,IF(LEFT($H574,5)="dummy",SUMIFS(AvgBonus[avg_bonus],AvgBonus[job_title],$H574),SUMIFS(AvgBonus[avg_bonus],AvgBonus[exp_item],$J574,AvgBonus[company_name],$B574,AvgBonus[bu_name],$C574,AvgBonus[dept_name],$D574,AvgBonus[team_consolidation],$K574,AvgBonus[location_name],$G574,AvgBonus[job_title],$H574))*N469*SUM(BonusPayout[Month 3]))</f>
        <v>0</v>
      </c>
      <c r="O574" s="652">
        <f>IF($B574="",,IF(LEFT($H574,5)="dummy",SUMIFS(AvgBonus[avg_bonus],AvgBonus[job_title],$H574),SUMIFS(AvgBonus[avg_bonus],AvgBonus[exp_item],$J574,AvgBonus[company_name],$B574,AvgBonus[bu_name],$C574,AvgBonus[dept_name],$D574,AvgBonus[team_consolidation],$K574,AvgBonus[location_name],$G574,AvgBonus[job_title],$H574))*O469*SUM(BonusPayout[Month 4]))</f>
        <v>0</v>
      </c>
      <c r="P574" s="652">
        <f>IF($B574="",,IF(LEFT($H574,5)="dummy",SUMIFS(AvgBonus[avg_bonus],AvgBonus[job_title],$H574),SUMIFS(AvgBonus[avg_bonus],AvgBonus[exp_item],$J574,AvgBonus[company_name],$B574,AvgBonus[bu_name],$C574,AvgBonus[dept_name],$D574,AvgBonus[team_consolidation],$K574,AvgBonus[location_name],$G574,AvgBonus[job_title],$H574))*P469*SUM(BonusPayout[Month 5]))</f>
        <v>0</v>
      </c>
      <c r="Q574" s="652">
        <f>IF($B574="",,IF(LEFT($H574,5)="dummy",SUMIFS(AvgBonus[avg_bonus],AvgBonus[job_title],$H574),SUMIFS(AvgBonus[avg_bonus],AvgBonus[exp_item],$J574,AvgBonus[company_name],$B574,AvgBonus[bu_name],$C574,AvgBonus[dept_name],$D574,AvgBonus[team_consolidation],$K574,AvgBonus[location_name],$G574,AvgBonus[job_title],$H574))*Q469*SUM(BonusPayout[Month 6]))</f>
        <v>0</v>
      </c>
      <c r="R574" s="652">
        <f>IF($B574="",,IF(LEFT($H574,5)="dummy",SUMIFS(AvgBonus[avg_bonus],AvgBonus[job_title],$H574),SUMIFS(AvgBonus[avg_bonus],AvgBonus[exp_item],$J574,AvgBonus[company_name],$B574,AvgBonus[bu_name],$C574,AvgBonus[dept_name],$D574,AvgBonus[team_consolidation],$K574,AvgBonus[location_name],$G574,AvgBonus[job_title],$H574))*R469*SUM(BonusPayout[Month 7]))</f>
        <v>0</v>
      </c>
      <c r="S574" s="652">
        <f>IF($B574="",,IF(LEFT($H574,5)="dummy",SUMIFS(AvgBonus[avg_bonus],AvgBonus[job_title],$H574),SUMIFS(AvgBonus[avg_bonus],AvgBonus[exp_item],$J574,AvgBonus[company_name],$B574,AvgBonus[bu_name],$C574,AvgBonus[dept_name],$D574,AvgBonus[team_consolidation],$K574,AvgBonus[location_name],$G574,AvgBonus[job_title],$H574))*S469*SUM(BonusPayout[Month 8]))</f>
        <v>0</v>
      </c>
      <c r="T574" s="652">
        <f>IF($B574="",,IF(LEFT($H574,5)="dummy",SUMIFS(AvgBonus[avg_bonus],AvgBonus[job_title],$H574),SUMIFS(AvgBonus[avg_bonus],AvgBonus[exp_item],$J574,AvgBonus[company_name],$B574,AvgBonus[bu_name],$C574,AvgBonus[dept_name],$D574,AvgBonus[team_consolidation],$K574,AvgBonus[location_name],$G574,AvgBonus[job_title],$H574))*T469*SUM(BonusPayout[Month 9]))</f>
        <v>0</v>
      </c>
      <c r="U574" s="652">
        <f>IF($B574="",,IF(LEFT($H574,5)="dummy",SUMIFS(AvgBonus[avg_bonus],AvgBonus[job_title],$H574),SUMIFS(AvgBonus[avg_bonus],AvgBonus[exp_item],$J574,AvgBonus[company_name],$B574,AvgBonus[bu_name],$C574,AvgBonus[dept_name],$D574,AvgBonus[team_consolidation],$K574,AvgBonus[location_name],$G574,AvgBonus[job_title],$H574))*U469*SUM(BonusPayout[Month 10]))</f>
        <v>0</v>
      </c>
      <c r="V574" s="652">
        <f>IF($B574="",,IF(LEFT($H574,5)="dummy",SUMIFS(AvgBonus[avg_bonus],AvgBonus[job_title],$H574),SUMIFS(AvgBonus[avg_bonus],AvgBonus[exp_item],$J574,AvgBonus[company_name],$B574,AvgBonus[bu_name],$C574,AvgBonus[dept_name],$D574,AvgBonus[team_consolidation],$K574,AvgBonus[location_name],$G574,AvgBonus[job_title],$H574))*V469*SUM(BonusPayout[Month 11]))</f>
        <v>0</v>
      </c>
      <c r="W574" s="652">
        <f>IF($B574="",,IF(LEFT($H574,5)="dummy",SUMIFS(AvgBonus[avg_bonus],AvgBonus[job_title],$H574),SUMIFS(AvgBonus[avg_bonus],AvgBonus[exp_item],$J574,AvgBonus[company_name],$B574,AvgBonus[bu_name],$C574,AvgBonus[dept_name],$D574,AvgBonus[team_consolidation],$K574,AvgBonus[location_name],$G574,AvgBonus[job_title],$H574))*W469*SUM(BonusPayout[Month 12]))</f>
        <v>0</v>
      </c>
      <c r="X574" s="652">
        <f>IF($B574="",,IF(LEFT($H574,5)="dummy",SUMIFS(AvgBonus[avg_bonus],AvgBonus[job_title],$H574),SUMIFS(AvgBonus[avg_bonus],AvgBonus[exp_item],$J574,AvgBonus[company_name],$B574,AvgBonus[bu_name],$C574,AvgBonus[dept_name],$D574,AvgBonus[team_consolidation],$K574,AvgBonus[location_name],$G574,AvgBonus[job_title],$H574))*X469*SUM(BonusPayout[Month 13]))</f>
        <v>0</v>
      </c>
      <c r="Y574" s="652">
        <f>IF($B574="",,IF(LEFT($H574,5)="dummy",SUMIFS(AvgBonus[avg_bonus],AvgBonus[job_title],$H574),SUMIFS(AvgBonus[avg_bonus],AvgBonus[exp_item],$J574,AvgBonus[company_name],$B574,AvgBonus[bu_name],$C574,AvgBonus[dept_name],$D574,AvgBonus[team_consolidation],$K574,AvgBonus[location_name],$G574,AvgBonus[job_title],$H574))*Y469*SUM(BonusPayout[Month 14]))</f>
        <v>0</v>
      </c>
      <c r="Z574" s="652">
        <f>IF($B574="",,IF(LEFT($H574,5)="dummy",SUMIFS(AvgBonus[avg_bonus],AvgBonus[job_title],$H574),SUMIFS(AvgBonus[avg_bonus],AvgBonus[exp_item],$J574,AvgBonus[company_name],$B574,AvgBonus[bu_name],$C574,AvgBonus[dept_name],$D574,AvgBonus[team_consolidation],$K574,AvgBonus[location_name],$G574,AvgBonus[job_title],$H574))*Z469*SUM(BonusPayout[Month 15]))</f>
        <v>0</v>
      </c>
      <c r="AA574" s="652">
        <f>IF($B574="",,IF(LEFT($H574,5)="dummy",SUMIFS(AvgBonus[avg_bonus],AvgBonus[job_title],$H574),SUMIFS(AvgBonus[avg_bonus],AvgBonus[exp_item],$J574,AvgBonus[company_name],$B574,AvgBonus[bu_name],$C574,AvgBonus[dept_name],$D574,AvgBonus[team_consolidation],$K574,AvgBonus[location_name],$G574,AvgBonus[job_title],$H574))*AA469*SUM(BonusPayout[Month 16]))</f>
        <v>0</v>
      </c>
      <c r="AB574" s="652">
        <f>IF($B574="",,IF(LEFT($H574,5)="dummy",SUMIFS(AvgBonus[avg_bonus],AvgBonus[job_title],$H574),SUMIFS(AvgBonus[avg_bonus],AvgBonus[exp_item],$J574,AvgBonus[company_name],$B574,AvgBonus[bu_name],$C574,AvgBonus[dept_name],$D574,AvgBonus[team_consolidation],$K574,AvgBonus[location_name],$G574,AvgBonus[job_title],$H574))*AB469*SUM(BonusPayout[Month 17]))</f>
        <v>0</v>
      </c>
      <c r="AC574" s="652">
        <f>IF($B574="",,IF(LEFT($H574,5)="dummy",SUMIFS(AvgBonus[avg_bonus],AvgBonus[job_title],$H574),SUMIFS(AvgBonus[avg_bonus],AvgBonus[exp_item],$J574,AvgBonus[company_name],$B574,AvgBonus[bu_name],$C574,AvgBonus[dept_name],$D574,AvgBonus[team_consolidation],$K574,AvgBonus[location_name],$G574,AvgBonus[job_title],$H574))*AC469*SUM(BonusPayout[Month 18]))</f>
        <v>0</v>
      </c>
      <c r="AD574" s="652">
        <f>IF($B574="",,IF(LEFT($H574,5)="dummy",SUMIFS(AvgBonus[avg_bonus],AvgBonus[job_title],$H574),SUMIFS(AvgBonus[avg_bonus],AvgBonus[exp_item],$J574,AvgBonus[company_name],$B574,AvgBonus[bu_name],$C574,AvgBonus[dept_name],$D574,AvgBonus[team_consolidation],$K574,AvgBonus[location_name],$G574,AvgBonus[job_title],$H574))*AD469*SUM(BonusPayout[Month 19]))</f>
        <v>0</v>
      </c>
      <c r="AE574" s="652">
        <f>IF($B574="",,IF(LEFT($H574,5)="dummy",SUMIFS(AvgBonus[avg_bonus],AvgBonus[job_title],$H574),SUMIFS(AvgBonus[avg_bonus],AvgBonus[exp_item],$J574,AvgBonus[company_name],$B574,AvgBonus[bu_name],$C574,AvgBonus[dept_name],$D574,AvgBonus[team_consolidation],$K574,AvgBonus[location_name],$G574,AvgBonus[job_title],$H574))*AE469*SUM(BonusPayout[Month 20]))</f>
        <v>0</v>
      </c>
      <c r="AF574" s="652">
        <f>IF($B574="",,IF(LEFT($H574,5)="dummy",SUMIFS(AvgBonus[avg_bonus],AvgBonus[job_title],$H574),SUMIFS(AvgBonus[avg_bonus],AvgBonus[exp_item],$J574,AvgBonus[company_name],$B574,AvgBonus[bu_name],$C574,AvgBonus[dept_name],$D574,AvgBonus[team_consolidation],$K574,AvgBonus[location_name],$G574,AvgBonus[job_title],$H574))*AF469*SUM(BonusPayout[Month 21]))</f>
        <v>0</v>
      </c>
      <c r="AG574" s="652">
        <f>IF($B574="",,IF(LEFT($H574,5)="dummy",SUMIFS(AvgBonus[avg_bonus],AvgBonus[job_title],$H574),SUMIFS(AvgBonus[avg_bonus],AvgBonus[exp_item],$J574,AvgBonus[company_name],$B574,AvgBonus[bu_name],$C574,AvgBonus[dept_name],$D574,AvgBonus[team_consolidation],$K574,AvgBonus[location_name],$G574,AvgBonus[job_title],$H574))*AG469*SUM(BonusPayout[Month 22]))</f>
        <v>0</v>
      </c>
      <c r="AH574" s="652">
        <f>IF($B574="",,IF(LEFT($H574,5)="dummy",SUMIFS(AvgBonus[avg_bonus],AvgBonus[job_title],$H574),SUMIFS(AvgBonus[avg_bonus],AvgBonus[exp_item],$J574,AvgBonus[company_name],$B574,AvgBonus[bu_name],$C574,AvgBonus[dept_name],$D574,AvgBonus[team_consolidation],$K574,AvgBonus[location_name],$G574,AvgBonus[job_title],$H574))*AH469*SUM(BonusPayout[Month 23]))</f>
        <v>0</v>
      </c>
      <c r="AI574" s="652">
        <f>IF($B574="",,IF(LEFT($H574,5)="dummy",SUMIFS(AvgBonus[avg_bonus],AvgBonus[job_title],$H574),SUMIFS(AvgBonus[avg_bonus],AvgBonus[exp_item],$J574,AvgBonus[company_name],$B574,AvgBonus[bu_name],$C574,AvgBonus[dept_name],$D574,AvgBonus[team_consolidation],$K574,AvgBonus[location_name],$G574,AvgBonus[job_title],$H574))*AI469*SUM(BonusPayout[Month 24]))</f>
        <v>0</v>
      </c>
      <c r="AJ574" s="652">
        <f>IF($B574="",,IF(LEFT($H574,5)="dummy",SUMIFS(AvgBonus[avg_bonus],AvgBonus[job_title],$H574),SUMIFS(AvgBonus[avg_bonus],AvgBonus[exp_item],$J574,AvgBonus[company_name],$B574,AvgBonus[bu_name],$C574,AvgBonus[dept_name],$D574,AvgBonus[team_consolidation],$K574,AvgBonus[location_name],$G574,AvgBonus[job_title],$H574))*AJ469*SUM(BonusPayout[Month 25]))</f>
        <v>0</v>
      </c>
      <c r="AK574" s="652">
        <f>IF($B574="",,IF(LEFT($H574,5)="dummy",SUMIFS(AvgBonus[avg_bonus],AvgBonus[job_title],$H574),SUMIFS(AvgBonus[avg_bonus],AvgBonus[exp_item],$J574,AvgBonus[company_name],$B574,AvgBonus[bu_name],$C574,AvgBonus[dept_name],$D574,AvgBonus[team_consolidation],$K574,AvgBonus[location_name],$G574,AvgBonus[job_title],$H574))*AK469*SUM(BonusPayout[Month 26]))</f>
        <v>0</v>
      </c>
      <c r="AL574" s="652">
        <f>IF($B574="",,IF(LEFT($H574,5)="dummy",SUMIFS(AvgBonus[avg_bonus],AvgBonus[job_title],$H574),SUMIFS(AvgBonus[avg_bonus],AvgBonus[exp_item],$J574,AvgBonus[company_name],$B574,AvgBonus[bu_name],$C574,AvgBonus[dept_name],$D574,AvgBonus[team_consolidation],$K574,AvgBonus[location_name],$G574,AvgBonus[job_title],$H574))*AL469*SUM(BonusPayout[Month 27]))</f>
        <v>0</v>
      </c>
      <c r="AM574" s="652">
        <f>IF($B574="",,IF(LEFT($H574,5)="dummy",SUMIFS(AvgBonus[avg_bonus],AvgBonus[job_title],$H574),SUMIFS(AvgBonus[avg_bonus],AvgBonus[exp_item],$J574,AvgBonus[company_name],$B574,AvgBonus[bu_name],$C574,AvgBonus[dept_name],$D574,AvgBonus[team_consolidation],$K574,AvgBonus[location_name],$G574,AvgBonus[job_title],$H574))*AM469*SUM(BonusPayout[Month 28]))</f>
        <v>0</v>
      </c>
      <c r="AN574" s="652">
        <f>IF($B574="",,IF(LEFT($H574,5)="dummy",SUMIFS(AvgBonus[avg_bonus],AvgBonus[job_title],$H574),SUMIFS(AvgBonus[avg_bonus],AvgBonus[exp_item],$J574,AvgBonus[company_name],$B574,AvgBonus[bu_name],$C574,AvgBonus[dept_name],$D574,AvgBonus[team_consolidation],$K574,AvgBonus[location_name],$G574,AvgBonus[job_title],$H574))*AN469*SUM(BonusPayout[Month 29]))</f>
        <v>0</v>
      </c>
      <c r="AO574" s="652">
        <f>IF($B574="",,IF(LEFT($H574,5)="dummy",SUMIFS(AvgBonus[avg_bonus],AvgBonus[job_title],$H574),SUMIFS(AvgBonus[avg_bonus],AvgBonus[exp_item],$J574,AvgBonus[company_name],$B574,AvgBonus[bu_name],$C574,AvgBonus[dept_name],$D574,AvgBonus[team_consolidation],$K574,AvgBonus[location_name],$G574,AvgBonus[job_title],$H574))*AO469*SUM(BonusPayout[Month 30]))</f>
        <v>0</v>
      </c>
      <c r="AP574" s="652">
        <f>IF($B574="",,IF(LEFT($H574,5)="dummy",SUMIFS(AvgBonus[avg_bonus],AvgBonus[job_title],$H574),SUMIFS(AvgBonus[avg_bonus],AvgBonus[exp_item],$J574,AvgBonus[company_name],$B574,AvgBonus[bu_name],$C574,AvgBonus[dept_name],$D574,AvgBonus[team_consolidation],$K574,AvgBonus[location_name],$G574,AvgBonus[job_title],$H574))*AP469*SUM(BonusPayout[Month 31]))</f>
        <v>0</v>
      </c>
      <c r="AQ574" s="652">
        <f>IF($B574="",,IF(LEFT($H574,5)="dummy",SUMIFS(AvgBonus[avg_bonus],AvgBonus[job_title],$H574),SUMIFS(AvgBonus[avg_bonus],AvgBonus[exp_item],$J574,AvgBonus[company_name],$B574,AvgBonus[bu_name],$C574,AvgBonus[dept_name],$D574,AvgBonus[team_consolidation],$K574,AvgBonus[location_name],$G574,AvgBonus[job_title],$H574))*AQ469*SUM(BonusPayout[Month 32]))</f>
        <v>0</v>
      </c>
      <c r="AR574" s="652">
        <f>IF($B574="",,IF(LEFT($H574,5)="dummy",SUMIFS(AvgBonus[avg_bonus],AvgBonus[job_title],$H574),SUMIFS(AvgBonus[avg_bonus],AvgBonus[exp_item],$J574,AvgBonus[company_name],$B574,AvgBonus[bu_name],$C574,AvgBonus[dept_name],$D574,AvgBonus[team_consolidation],$K574,AvgBonus[location_name],$G574,AvgBonus[job_title],$H574))*AR469*SUM(BonusPayout[Month 33]))</f>
        <v>0</v>
      </c>
      <c r="AS574" s="652">
        <f>IF($B574="",,IF(LEFT($H574,5)="dummy",SUMIFS(AvgBonus[avg_bonus],AvgBonus[job_title],$H574),SUMIFS(AvgBonus[avg_bonus],AvgBonus[exp_item],$J574,AvgBonus[company_name],$B574,AvgBonus[bu_name],$C574,AvgBonus[dept_name],$D574,AvgBonus[team_consolidation],$K574,AvgBonus[location_name],$G574,AvgBonus[job_title],$H574))*AS469*SUM(BonusPayout[Month 34]))</f>
        <v>0</v>
      </c>
      <c r="AT574" s="652">
        <f>IF($B574="",,IF(LEFT($H574,5)="dummy",SUMIFS(AvgBonus[avg_bonus],AvgBonus[job_title],$H574),SUMIFS(AvgBonus[avg_bonus],AvgBonus[exp_item],$J574,AvgBonus[company_name],$B574,AvgBonus[bu_name],$C574,AvgBonus[dept_name],$D574,AvgBonus[team_consolidation],$K574,AvgBonus[location_name],$G574,AvgBonus[job_title],$H574))*AT469*SUM(BonusPayout[Month 35]))</f>
        <v>0</v>
      </c>
      <c r="AU574" s="652">
        <f>IF($B574="",,IF(LEFT($H574,5)="dummy",SUMIFS(AvgBonus[avg_bonus],AvgBonus[job_title],$H574),SUMIFS(AvgBonus[avg_bonus],AvgBonus[exp_item],$J574,AvgBonus[company_name],$B574,AvgBonus[bu_name],$C574,AvgBonus[dept_name],$D574,AvgBonus[team_consolidation],$K574,AvgBonus[location_name],$G574,AvgBonus[job_title],$H574))*AU469*SUM(BonusPayout[Month 36]))</f>
        <v>0</v>
      </c>
    </row>
    <row r="575" spans="2:47" x14ac:dyDescent="0.35">
      <c r="B575" t="str">
        <f t="shared" si="361"/>
        <v/>
      </c>
      <c r="C575" t="str">
        <f t="shared" ref="C575:G575" si="372">IF(C470="","",C470)</f>
        <v/>
      </c>
      <c r="D575" t="str">
        <f t="shared" si="372"/>
        <v/>
      </c>
      <c r="E575" t="str">
        <f t="shared" si="372"/>
        <v/>
      </c>
      <c r="F575" t="str">
        <f t="shared" si="372"/>
        <v/>
      </c>
      <c r="G575" t="str">
        <f t="shared" si="372"/>
        <v/>
      </c>
      <c r="H575" t="str">
        <f t="shared" si="360"/>
        <v/>
      </c>
      <c r="J575" t="str">
        <f>IF($H575="","",IF(VLOOKUP($B$500,ExpItems[],2,0),$B$500&amp;" - "&amp;INDEX(DivisionMapping[category_code],MATCH($D575&amp;$C575,DivisionMapping[dept_bu],0)),$B$500))</f>
        <v/>
      </c>
      <c r="K575" t="str">
        <f t="shared" si="363"/>
        <v/>
      </c>
      <c r="L575" s="652">
        <f>IF($B575="",,IF(LEFT($H575,5)="dummy",SUMIFS(AvgBonus[avg_bonus],AvgBonus[job_title],$H575),SUMIFS(AvgBonus[avg_bonus],AvgBonus[exp_item],$J575,AvgBonus[company_name],$B575,AvgBonus[bu_name],$C575,AvgBonus[dept_name],$D575,AvgBonus[team_consolidation],$K575,AvgBonus[location_name],$G575,AvgBonus[job_title],$H575))*L470*SUM(BonusPayout[Month 1]))</f>
        <v>0</v>
      </c>
      <c r="M575" s="652">
        <f>IF($B575="",,IF(LEFT($H575,5)="dummy",SUMIFS(AvgBonus[avg_bonus],AvgBonus[job_title],$H575),SUMIFS(AvgBonus[avg_bonus],AvgBonus[exp_item],$J575,AvgBonus[company_name],$B575,AvgBonus[bu_name],$C575,AvgBonus[dept_name],$D575,AvgBonus[team_consolidation],$K575,AvgBonus[location_name],$G575,AvgBonus[job_title],$H575))*M470*SUM(BonusPayout[Month 2]))</f>
        <v>0</v>
      </c>
      <c r="N575" s="652">
        <f>IF($B575="",,IF(LEFT($H575,5)="dummy",SUMIFS(AvgBonus[avg_bonus],AvgBonus[job_title],$H575),SUMIFS(AvgBonus[avg_bonus],AvgBonus[exp_item],$J575,AvgBonus[company_name],$B575,AvgBonus[bu_name],$C575,AvgBonus[dept_name],$D575,AvgBonus[team_consolidation],$K575,AvgBonus[location_name],$G575,AvgBonus[job_title],$H575))*N470*SUM(BonusPayout[Month 3]))</f>
        <v>0</v>
      </c>
      <c r="O575" s="652">
        <f>IF($B575="",,IF(LEFT($H575,5)="dummy",SUMIFS(AvgBonus[avg_bonus],AvgBonus[job_title],$H575),SUMIFS(AvgBonus[avg_bonus],AvgBonus[exp_item],$J575,AvgBonus[company_name],$B575,AvgBonus[bu_name],$C575,AvgBonus[dept_name],$D575,AvgBonus[team_consolidation],$K575,AvgBonus[location_name],$G575,AvgBonus[job_title],$H575))*O470*SUM(BonusPayout[Month 4]))</f>
        <v>0</v>
      </c>
      <c r="P575" s="652">
        <f>IF($B575="",,IF(LEFT($H575,5)="dummy",SUMIFS(AvgBonus[avg_bonus],AvgBonus[job_title],$H575),SUMIFS(AvgBonus[avg_bonus],AvgBonus[exp_item],$J575,AvgBonus[company_name],$B575,AvgBonus[bu_name],$C575,AvgBonus[dept_name],$D575,AvgBonus[team_consolidation],$K575,AvgBonus[location_name],$G575,AvgBonus[job_title],$H575))*P470*SUM(BonusPayout[Month 5]))</f>
        <v>0</v>
      </c>
      <c r="Q575" s="652">
        <f>IF($B575="",,IF(LEFT($H575,5)="dummy",SUMIFS(AvgBonus[avg_bonus],AvgBonus[job_title],$H575),SUMIFS(AvgBonus[avg_bonus],AvgBonus[exp_item],$J575,AvgBonus[company_name],$B575,AvgBonus[bu_name],$C575,AvgBonus[dept_name],$D575,AvgBonus[team_consolidation],$K575,AvgBonus[location_name],$G575,AvgBonus[job_title],$H575))*Q470*SUM(BonusPayout[Month 6]))</f>
        <v>0</v>
      </c>
      <c r="R575" s="652">
        <f>IF($B575="",,IF(LEFT($H575,5)="dummy",SUMIFS(AvgBonus[avg_bonus],AvgBonus[job_title],$H575),SUMIFS(AvgBonus[avg_bonus],AvgBonus[exp_item],$J575,AvgBonus[company_name],$B575,AvgBonus[bu_name],$C575,AvgBonus[dept_name],$D575,AvgBonus[team_consolidation],$K575,AvgBonus[location_name],$G575,AvgBonus[job_title],$H575))*R470*SUM(BonusPayout[Month 7]))</f>
        <v>0</v>
      </c>
      <c r="S575" s="652">
        <f>IF($B575="",,IF(LEFT($H575,5)="dummy",SUMIFS(AvgBonus[avg_bonus],AvgBonus[job_title],$H575),SUMIFS(AvgBonus[avg_bonus],AvgBonus[exp_item],$J575,AvgBonus[company_name],$B575,AvgBonus[bu_name],$C575,AvgBonus[dept_name],$D575,AvgBonus[team_consolidation],$K575,AvgBonus[location_name],$G575,AvgBonus[job_title],$H575))*S470*SUM(BonusPayout[Month 8]))</f>
        <v>0</v>
      </c>
      <c r="T575" s="652">
        <f>IF($B575="",,IF(LEFT($H575,5)="dummy",SUMIFS(AvgBonus[avg_bonus],AvgBonus[job_title],$H575),SUMIFS(AvgBonus[avg_bonus],AvgBonus[exp_item],$J575,AvgBonus[company_name],$B575,AvgBonus[bu_name],$C575,AvgBonus[dept_name],$D575,AvgBonus[team_consolidation],$K575,AvgBonus[location_name],$G575,AvgBonus[job_title],$H575))*T470*SUM(BonusPayout[Month 9]))</f>
        <v>0</v>
      </c>
      <c r="U575" s="652">
        <f>IF($B575="",,IF(LEFT($H575,5)="dummy",SUMIFS(AvgBonus[avg_bonus],AvgBonus[job_title],$H575),SUMIFS(AvgBonus[avg_bonus],AvgBonus[exp_item],$J575,AvgBonus[company_name],$B575,AvgBonus[bu_name],$C575,AvgBonus[dept_name],$D575,AvgBonus[team_consolidation],$K575,AvgBonus[location_name],$G575,AvgBonus[job_title],$H575))*U470*SUM(BonusPayout[Month 10]))</f>
        <v>0</v>
      </c>
      <c r="V575" s="652">
        <f>IF($B575="",,IF(LEFT($H575,5)="dummy",SUMIFS(AvgBonus[avg_bonus],AvgBonus[job_title],$H575),SUMIFS(AvgBonus[avg_bonus],AvgBonus[exp_item],$J575,AvgBonus[company_name],$B575,AvgBonus[bu_name],$C575,AvgBonus[dept_name],$D575,AvgBonus[team_consolidation],$K575,AvgBonus[location_name],$G575,AvgBonus[job_title],$H575))*V470*SUM(BonusPayout[Month 11]))</f>
        <v>0</v>
      </c>
      <c r="W575" s="652">
        <f>IF($B575="",,IF(LEFT($H575,5)="dummy",SUMIFS(AvgBonus[avg_bonus],AvgBonus[job_title],$H575),SUMIFS(AvgBonus[avg_bonus],AvgBonus[exp_item],$J575,AvgBonus[company_name],$B575,AvgBonus[bu_name],$C575,AvgBonus[dept_name],$D575,AvgBonus[team_consolidation],$K575,AvgBonus[location_name],$G575,AvgBonus[job_title],$H575))*W470*SUM(BonusPayout[Month 12]))</f>
        <v>0</v>
      </c>
      <c r="X575" s="652">
        <f>IF($B575="",,IF(LEFT($H575,5)="dummy",SUMIFS(AvgBonus[avg_bonus],AvgBonus[job_title],$H575),SUMIFS(AvgBonus[avg_bonus],AvgBonus[exp_item],$J575,AvgBonus[company_name],$B575,AvgBonus[bu_name],$C575,AvgBonus[dept_name],$D575,AvgBonus[team_consolidation],$K575,AvgBonus[location_name],$G575,AvgBonus[job_title],$H575))*X470*SUM(BonusPayout[Month 13]))</f>
        <v>0</v>
      </c>
      <c r="Y575" s="652">
        <f>IF($B575="",,IF(LEFT($H575,5)="dummy",SUMIFS(AvgBonus[avg_bonus],AvgBonus[job_title],$H575),SUMIFS(AvgBonus[avg_bonus],AvgBonus[exp_item],$J575,AvgBonus[company_name],$B575,AvgBonus[bu_name],$C575,AvgBonus[dept_name],$D575,AvgBonus[team_consolidation],$K575,AvgBonus[location_name],$G575,AvgBonus[job_title],$H575))*Y470*SUM(BonusPayout[Month 14]))</f>
        <v>0</v>
      </c>
      <c r="Z575" s="652">
        <f>IF($B575="",,IF(LEFT($H575,5)="dummy",SUMIFS(AvgBonus[avg_bonus],AvgBonus[job_title],$H575),SUMIFS(AvgBonus[avg_bonus],AvgBonus[exp_item],$J575,AvgBonus[company_name],$B575,AvgBonus[bu_name],$C575,AvgBonus[dept_name],$D575,AvgBonus[team_consolidation],$K575,AvgBonus[location_name],$G575,AvgBonus[job_title],$H575))*Z470*SUM(BonusPayout[Month 15]))</f>
        <v>0</v>
      </c>
      <c r="AA575" s="652">
        <f>IF($B575="",,IF(LEFT($H575,5)="dummy",SUMIFS(AvgBonus[avg_bonus],AvgBonus[job_title],$H575),SUMIFS(AvgBonus[avg_bonus],AvgBonus[exp_item],$J575,AvgBonus[company_name],$B575,AvgBonus[bu_name],$C575,AvgBonus[dept_name],$D575,AvgBonus[team_consolidation],$K575,AvgBonus[location_name],$G575,AvgBonus[job_title],$H575))*AA470*SUM(BonusPayout[Month 16]))</f>
        <v>0</v>
      </c>
      <c r="AB575" s="652">
        <f>IF($B575="",,IF(LEFT($H575,5)="dummy",SUMIFS(AvgBonus[avg_bonus],AvgBonus[job_title],$H575),SUMIFS(AvgBonus[avg_bonus],AvgBonus[exp_item],$J575,AvgBonus[company_name],$B575,AvgBonus[bu_name],$C575,AvgBonus[dept_name],$D575,AvgBonus[team_consolidation],$K575,AvgBonus[location_name],$G575,AvgBonus[job_title],$H575))*AB470*SUM(BonusPayout[Month 17]))</f>
        <v>0</v>
      </c>
      <c r="AC575" s="652">
        <f>IF($B575="",,IF(LEFT($H575,5)="dummy",SUMIFS(AvgBonus[avg_bonus],AvgBonus[job_title],$H575),SUMIFS(AvgBonus[avg_bonus],AvgBonus[exp_item],$J575,AvgBonus[company_name],$B575,AvgBonus[bu_name],$C575,AvgBonus[dept_name],$D575,AvgBonus[team_consolidation],$K575,AvgBonus[location_name],$G575,AvgBonus[job_title],$H575))*AC470*SUM(BonusPayout[Month 18]))</f>
        <v>0</v>
      </c>
      <c r="AD575" s="652">
        <f>IF($B575="",,IF(LEFT($H575,5)="dummy",SUMIFS(AvgBonus[avg_bonus],AvgBonus[job_title],$H575),SUMIFS(AvgBonus[avg_bonus],AvgBonus[exp_item],$J575,AvgBonus[company_name],$B575,AvgBonus[bu_name],$C575,AvgBonus[dept_name],$D575,AvgBonus[team_consolidation],$K575,AvgBonus[location_name],$G575,AvgBonus[job_title],$H575))*AD470*SUM(BonusPayout[Month 19]))</f>
        <v>0</v>
      </c>
      <c r="AE575" s="652">
        <f>IF($B575="",,IF(LEFT($H575,5)="dummy",SUMIFS(AvgBonus[avg_bonus],AvgBonus[job_title],$H575),SUMIFS(AvgBonus[avg_bonus],AvgBonus[exp_item],$J575,AvgBonus[company_name],$B575,AvgBonus[bu_name],$C575,AvgBonus[dept_name],$D575,AvgBonus[team_consolidation],$K575,AvgBonus[location_name],$G575,AvgBonus[job_title],$H575))*AE470*SUM(BonusPayout[Month 20]))</f>
        <v>0</v>
      </c>
      <c r="AF575" s="652">
        <f>IF($B575="",,IF(LEFT($H575,5)="dummy",SUMIFS(AvgBonus[avg_bonus],AvgBonus[job_title],$H575),SUMIFS(AvgBonus[avg_bonus],AvgBonus[exp_item],$J575,AvgBonus[company_name],$B575,AvgBonus[bu_name],$C575,AvgBonus[dept_name],$D575,AvgBonus[team_consolidation],$K575,AvgBonus[location_name],$G575,AvgBonus[job_title],$H575))*AF470*SUM(BonusPayout[Month 21]))</f>
        <v>0</v>
      </c>
      <c r="AG575" s="652">
        <f>IF($B575="",,IF(LEFT($H575,5)="dummy",SUMIFS(AvgBonus[avg_bonus],AvgBonus[job_title],$H575),SUMIFS(AvgBonus[avg_bonus],AvgBonus[exp_item],$J575,AvgBonus[company_name],$B575,AvgBonus[bu_name],$C575,AvgBonus[dept_name],$D575,AvgBonus[team_consolidation],$K575,AvgBonus[location_name],$G575,AvgBonus[job_title],$H575))*AG470*SUM(BonusPayout[Month 22]))</f>
        <v>0</v>
      </c>
      <c r="AH575" s="652">
        <f>IF($B575="",,IF(LEFT($H575,5)="dummy",SUMIFS(AvgBonus[avg_bonus],AvgBonus[job_title],$H575),SUMIFS(AvgBonus[avg_bonus],AvgBonus[exp_item],$J575,AvgBonus[company_name],$B575,AvgBonus[bu_name],$C575,AvgBonus[dept_name],$D575,AvgBonus[team_consolidation],$K575,AvgBonus[location_name],$G575,AvgBonus[job_title],$H575))*AH470*SUM(BonusPayout[Month 23]))</f>
        <v>0</v>
      </c>
      <c r="AI575" s="652">
        <f>IF($B575="",,IF(LEFT($H575,5)="dummy",SUMIFS(AvgBonus[avg_bonus],AvgBonus[job_title],$H575),SUMIFS(AvgBonus[avg_bonus],AvgBonus[exp_item],$J575,AvgBonus[company_name],$B575,AvgBonus[bu_name],$C575,AvgBonus[dept_name],$D575,AvgBonus[team_consolidation],$K575,AvgBonus[location_name],$G575,AvgBonus[job_title],$H575))*AI470*SUM(BonusPayout[Month 24]))</f>
        <v>0</v>
      </c>
      <c r="AJ575" s="652">
        <f>IF($B575="",,IF(LEFT($H575,5)="dummy",SUMIFS(AvgBonus[avg_bonus],AvgBonus[job_title],$H575),SUMIFS(AvgBonus[avg_bonus],AvgBonus[exp_item],$J575,AvgBonus[company_name],$B575,AvgBonus[bu_name],$C575,AvgBonus[dept_name],$D575,AvgBonus[team_consolidation],$K575,AvgBonus[location_name],$G575,AvgBonus[job_title],$H575))*AJ470*SUM(BonusPayout[Month 25]))</f>
        <v>0</v>
      </c>
      <c r="AK575" s="652">
        <f>IF($B575="",,IF(LEFT($H575,5)="dummy",SUMIFS(AvgBonus[avg_bonus],AvgBonus[job_title],$H575),SUMIFS(AvgBonus[avg_bonus],AvgBonus[exp_item],$J575,AvgBonus[company_name],$B575,AvgBonus[bu_name],$C575,AvgBonus[dept_name],$D575,AvgBonus[team_consolidation],$K575,AvgBonus[location_name],$G575,AvgBonus[job_title],$H575))*AK470*SUM(BonusPayout[Month 26]))</f>
        <v>0</v>
      </c>
      <c r="AL575" s="652">
        <f>IF($B575="",,IF(LEFT($H575,5)="dummy",SUMIFS(AvgBonus[avg_bonus],AvgBonus[job_title],$H575),SUMIFS(AvgBonus[avg_bonus],AvgBonus[exp_item],$J575,AvgBonus[company_name],$B575,AvgBonus[bu_name],$C575,AvgBonus[dept_name],$D575,AvgBonus[team_consolidation],$K575,AvgBonus[location_name],$G575,AvgBonus[job_title],$H575))*AL470*SUM(BonusPayout[Month 27]))</f>
        <v>0</v>
      </c>
      <c r="AM575" s="652">
        <f>IF($B575="",,IF(LEFT($H575,5)="dummy",SUMIFS(AvgBonus[avg_bonus],AvgBonus[job_title],$H575),SUMIFS(AvgBonus[avg_bonus],AvgBonus[exp_item],$J575,AvgBonus[company_name],$B575,AvgBonus[bu_name],$C575,AvgBonus[dept_name],$D575,AvgBonus[team_consolidation],$K575,AvgBonus[location_name],$G575,AvgBonus[job_title],$H575))*AM470*SUM(BonusPayout[Month 28]))</f>
        <v>0</v>
      </c>
      <c r="AN575" s="652">
        <f>IF($B575="",,IF(LEFT($H575,5)="dummy",SUMIFS(AvgBonus[avg_bonus],AvgBonus[job_title],$H575),SUMIFS(AvgBonus[avg_bonus],AvgBonus[exp_item],$J575,AvgBonus[company_name],$B575,AvgBonus[bu_name],$C575,AvgBonus[dept_name],$D575,AvgBonus[team_consolidation],$K575,AvgBonus[location_name],$G575,AvgBonus[job_title],$H575))*AN470*SUM(BonusPayout[Month 29]))</f>
        <v>0</v>
      </c>
      <c r="AO575" s="652">
        <f>IF($B575="",,IF(LEFT($H575,5)="dummy",SUMIFS(AvgBonus[avg_bonus],AvgBonus[job_title],$H575),SUMIFS(AvgBonus[avg_bonus],AvgBonus[exp_item],$J575,AvgBonus[company_name],$B575,AvgBonus[bu_name],$C575,AvgBonus[dept_name],$D575,AvgBonus[team_consolidation],$K575,AvgBonus[location_name],$G575,AvgBonus[job_title],$H575))*AO470*SUM(BonusPayout[Month 30]))</f>
        <v>0</v>
      </c>
      <c r="AP575" s="652">
        <f>IF($B575="",,IF(LEFT($H575,5)="dummy",SUMIFS(AvgBonus[avg_bonus],AvgBonus[job_title],$H575),SUMIFS(AvgBonus[avg_bonus],AvgBonus[exp_item],$J575,AvgBonus[company_name],$B575,AvgBonus[bu_name],$C575,AvgBonus[dept_name],$D575,AvgBonus[team_consolidation],$K575,AvgBonus[location_name],$G575,AvgBonus[job_title],$H575))*AP470*SUM(BonusPayout[Month 31]))</f>
        <v>0</v>
      </c>
      <c r="AQ575" s="652">
        <f>IF($B575="",,IF(LEFT($H575,5)="dummy",SUMIFS(AvgBonus[avg_bonus],AvgBonus[job_title],$H575),SUMIFS(AvgBonus[avg_bonus],AvgBonus[exp_item],$J575,AvgBonus[company_name],$B575,AvgBonus[bu_name],$C575,AvgBonus[dept_name],$D575,AvgBonus[team_consolidation],$K575,AvgBonus[location_name],$G575,AvgBonus[job_title],$H575))*AQ470*SUM(BonusPayout[Month 32]))</f>
        <v>0</v>
      </c>
      <c r="AR575" s="652">
        <f>IF($B575="",,IF(LEFT($H575,5)="dummy",SUMIFS(AvgBonus[avg_bonus],AvgBonus[job_title],$H575),SUMIFS(AvgBonus[avg_bonus],AvgBonus[exp_item],$J575,AvgBonus[company_name],$B575,AvgBonus[bu_name],$C575,AvgBonus[dept_name],$D575,AvgBonus[team_consolidation],$K575,AvgBonus[location_name],$G575,AvgBonus[job_title],$H575))*AR470*SUM(BonusPayout[Month 33]))</f>
        <v>0</v>
      </c>
      <c r="AS575" s="652">
        <f>IF($B575="",,IF(LEFT($H575,5)="dummy",SUMIFS(AvgBonus[avg_bonus],AvgBonus[job_title],$H575),SUMIFS(AvgBonus[avg_bonus],AvgBonus[exp_item],$J575,AvgBonus[company_name],$B575,AvgBonus[bu_name],$C575,AvgBonus[dept_name],$D575,AvgBonus[team_consolidation],$K575,AvgBonus[location_name],$G575,AvgBonus[job_title],$H575))*AS470*SUM(BonusPayout[Month 34]))</f>
        <v>0</v>
      </c>
      <c r="AT575" s="652">
        <f>IF($B575="",,IF(LEFT($H575,5)="dummy",SUMIFS(AvgBonus[avg_bonus],AvgBonus[job_title],$H575),SUMIFS(AvgBonus[avg_bonus],AvgBonus[exp_item],$J575,AvgBonus[company_name],$B575,AvgBonus[bu_name],$C575,AvgBonus[dept_name],$D575,AvgBonus[team_consolidation],$K575,AvgBonus[location_name],$G575,AvgBonus[job_title],$H575))*AT470*SUM(BonusPayout[Month 35]))</f>
        <v>0</v>
      </c>
      <c r="AU575" s="652">
        <f>IF($B575="",,IF(LEFT($H575,5)="dummy",SUMIFS(AvgBonus[avg_bonus],AvgBonus[job_title],$H575),SUMIFS(AvgBonus[avg_bonus],AvgBonus[exp_item],$J575,AvgBonus[company_name],$B575,AvgBonus[bu_name],$C575,AvgBonus[dept_name],$D575,AvgBonus[team_consolidation],$K575,AvgBonus[location_name],$G575,AvgBonus[job_title],$H575))*AU470*SUM(BonusPayout[Month 36]))</f>
        <v>0</v>
      </c>
    </row>
    <row r="576" spans="2:47" x14ac:dyDescent="0.35">
      <c r="B576" t="str">
        <f t="shared" si="361"/>
        <v/>
      </c>
      <c r="C576" t="str">
        <f t="shared" ref="C576:G576" si="373">IF(C471="","",C471)</f>
        <v/>
      </c>
      <c r="D576" t="str">
        <f t="shared" si="373"/>
        <v/>
      </c>
      <c r="E576" t="str">
        <f t="shared" si="373"/>
        <v/>
      </c>
      <c r="F576" t="str">
        <f t="shared" si="373"/>
        <v/>
      </c>
      <c r="G576" t="str">
        <f t="shared" si="373"/>
        <v/>
      </c>
      <c r="H576" t="str">
        <f t="shared" si="360"/>
        <v/>
      </c>
      <c r="J576" t="str">
        <f>IF($H576="","",IF(VLOOKUP($B$500,ExpItems[],2,0),$B$500&amp;" - "&amp;INDEX(DivisionMapping[category_code],MATCH($D576&amp;$C576,DivisionMapping[dept_bu],0)),$B$500))</f>
        <v/>
      </c>
      <c r="K576" t="str">
        <f t="shared" si="363"/>
        <v/>
      </c>
      <c r="L576" s="652">
        <f>IF($B576="",,IF(LEFT($H576,5)="dummy",SUMIFS(AvgBonus[avg_bonus],AvgBonus[job_title],$H576),SUMIFS(AvgBonus[avg_bonus],AvgBonus[exp_item],$J576,AvgBonus[company_name],$B576,AvgBonus[bu_name],$C576,AvgBonus[dept_name],$D576,AvgBonus[team_consolidation],$K576,AvgBonus[location_name],$G576,AvgBonus[job_title],$H576))*L471*SUM(BonusPayout[Month 1]))</f>
        <v>0</v>
      </c>
      <c r="M576" s="652">
        <f>IF($B576="",,IF(LEFT($H576,5)="dummy",SUMIFS(AvgBonus[avg_bonus],AvgBonus[job_title],$H576),SUMIFS(AvgBonus[avg_bonus],AvgBonus[exp_item],$J576,AvgBonus[company_name],$B576,AvgBonus[bu_name],$C576,AvgBonus[dept_name],$D576,AvgBonus[team_consolidation],$K576,AvgBonus[location_name],$G576,AvgBonus[job_title],$H576))*M471*SUM(BonusPayout[Month 2]))</f>
        <v>0</v>
      </c>
      <c r="N576" s="652">
        <f>IF($B576="",,IF(LEFT($H576,5)="dummy",SUMIFS(AvgBonus[avg_bonus],AvgBonus[job_title],$H576),SUMIFS(AvgBonus[avg_bonus],AvgBonus[exp_item],$J576,AvgBonus[company_name],$B576,AvgBonus[bu_name],$C576,AvgBonus[dept_name],$D576,AvgBonus[team_consolidation],$K576,AvgBonus[location_name],$G576,AvgBonus[job_title],$H576))*N471*SUM(BonusPayout[Month 3]))</f>
        <v>0</v>
      </c>
      <c r="O576" s="652">
        <f>IF($B576="",,IF(LEFT($H576,5)="dummy",SUMIFS(AvgBonus[avg_bonus],AvgBonus[job_title],$H576),SUMIFS(AvgBonus[avg_bonus],AvgBonus[exp_item],$J576,AvgBonus[company_name],$B576,AvgBonus[bu_name],$C576,AvgBonus[dept_name],$D576,AvgBonus[team_consolidation],$K576,AvgBonus[location_name],$G576,AvgBonus[job_title],$H576))*O471*SUM(BonusPayout[Month 4]))</f>
        <v>0</v>
      </c>
      <c r="P576" s="652">
        <f>IF($B576="",,IF(LEFT($H576,5)="dummy",SUMIFS(AvgBonus[avg_bonus],AvgBonus[job_title],$H576),SUMIFS(AvgBonus[avg_bonus],AvgBonus[exp_item],$J576,AvgBonus[company_name],$B576,AvgBonus[bu_name],$C576,AvgBonus[dept_name],$D576,AvgBonus[team_consolidation],$K576,AvgBonus[location_name],$G576,AvgBonus[job_title],$H576))*P471*SUM(BonusPayout[Month 5]))</f>
        <v>0</v>
      </c>
      <c r="Q576" s="652">
        <f>IF($B576="",,IF(LEFT($H576,5)="dummy",SUMIFS(AvgBonus[avg_bonus],AvgBonus[job_title],$H576),SUMIFS(AvgBonus[avg_bonus],AvgBonus[exp_item],$J576,AvgBonus[company_name],$B576,AvgBonus[bu_name],$C576,AvgBonus[dept_name],$D576,AvgBonus[team_consolidation],$K576,AvgBonus[location_name],$G576,AvgBonus[job_title],$H576))*Q471*SUM(BonusPayout[Month 6]))</f>
        <v>0</v>
      </c>
      <c r="R576" s="652">
        <f>IF($B576="",,IF(LEFT($H576,5)="dummy",SUMIFS(AvgBonus[avg_bonus],AvgBonus[job_title],$H576),SUMIFS(AvgBonus[avg_bonus],AvgBonus[exp_item],$J576,AvgBonus[company_name],$B576,AvgBonus[bu_name],$C576,AvgBonus[dept_name],$D576,AvgBonus[team_consolidation],$K576,AvgBonus[location_name],$G576,AvgBonus[job_title],$H576))*R471*SUM(BonusPayout[Month 7]))</f>
        <v>0</v>
      </c>
      <c r="S576" s="652">
        <f>IF($B576="",,IF(LEFT($H576,5)="dummy",SUMIFS(AvgBonus[avg_bonus],AvgBonus[job_title],$H576),SUMIFS(AvgBonus[avg_bonus],AvgBonus[exp_item],$J576,AvgBonus[company_name],$B576,AvgBonus[bu_name],$C576,AvgBonus[dept_name],$D576,AvgBonus[team_consolidation],$K576,AvgBonus[location_name],$G576,AvgBonus[job_title],$H576))*S471*SUM(BonusPayout[Month 8]))</f>
        <v>0</v>
      </c>
      <c r="T576" s="652">
        <f>IF($B576="",,IF(LEFT($H576,5)="dummy",SUMIFS(AvgBonus[avg_bonus],AvgBonus[job_title],$H576),SUMIFS(AvgBonus[avg_bonus],AvgBonus[exp_item],$J576,AvgBonus[company_name],$B576,AvgBonus[bu_name],$C576,AvgBonus[dept_name],$D576,AvgBonus[team_consolidation],$K576,AvgBonus[location_name],$G576,AvgBonus[job_title],$H576))*T471*SUM(BonusPayout[Month 9]))</f>
        <v>0</v>
      </c>
      <c r="U576" s="652">
        <f>IF($B576="",,IF(LEFT($H576,5)="dummy",SUMIFS(AvgBonus[avg_bonus],AvgBonus[job_title],$H576),SUMIFS(AvgBonus[avg_bonus],AvgBonus[exp_item],$J576,AvgBonus[company_name],$B576,AvgBonus[bu_name],$C576,AvgBonus[dept_name],$D576,AvgBonus[team_consolidation],$K576,AvgBonus[location_name],$G576,AvgBonus[job_title],$H576))*U471*SUM(BonusPayout[Month 10]))</f>
        <v>0</v>
      </c>
      <c r="V576" s="652">
        <f>IF($B576="",,IF(LEFT($H576,5)="dummy",SUMIFS(AvgBonus[avg_bonus],AvgBonus[job_title],$H576),SUMIFS(AvgBonus[avg_bonus],AvgBonus[exp_item],$J576,AvgBonus[company_name],$B576,AvgBonus[bu_name],$C576,AvgBonus[dept_name],$D576,AvgBonus[team_consolidation],$K576,AvgBonus[location_name],$G576,AvgBonus[job_title],$H576))*V471*SUM(BonusPayout[Month 11]))</f>
        <v>0</v>
      </c>
      <c r="W576" s="652">
        <f>IF($B576="",,IF(LEFT($H576,5)="dummy",SUMIFS(AvgBonus[avg_bonus],AvgBonus[job_title],$H576),SUMIFS(AvgBonus[avg_bonus],AvgBonus[exp_item],$J576,AvgBonus[company_name],$B576,AvgBonus[bu_name],$C576,AvgBonus[dept_name],$D576,AvgBonus[team_consolidation],$K576,AvgBonus[location_name],$G576,AvgBonus[job_title],$H576))*W471*SUM(BonusPayout[Month 12]))</f>
        <v>0</v>
      </c>
      <c r="X576" s="652">
        <f>IF($B576="",,IF(LEFT($H576,5)="dummy",SUMIFS(AvgBonus[avg_bonus],AvgBonus[job_title],$H576),SUMIFS(AvgBonus[avg_bonus],AvgBonus[exp_item],$J576,AvgBonus[company_name],$B576,AvgBonus[bu_name],$C576,AvgBonus[dept_name],$D576,AvgBonus[team_consolidation],$K576,AvgBonus[location_name],$G576,AvgBonus[job_title],$H576))*X471*SUM(BonusPayout[Month 13]))</f>
        <v>0</v>
      </c>
      <c r="Y576" s="652">
        <f>IF($B576="",,IF(LEFT($H576,5)="dummy",SUMIFS(AvgBonus[avg_bonus],AvgBonus[job_title],$H576),SUMIFS(AvgBonus[avg_bonus],AvgBonus[exp_item],$J576,AvgBonus[company_name],$B576,AvgBonus[bu_name],$C576,AvgBonus[dept_name],$D576,AvgBonus[team_consolidation],$K576,AvgBonus[location_name],$G576,AvgBonus[job_title],$H576))*Y471*SUM(BonusPayout[Month 14]))</f>
        <v>0</v>
      </c>
      <c r="Z576" s="652">
        <f>IF($B576="",,IF(LEFT($H576,5)="dummy",SUMIFS(AvgBonus[avg_bonus],AvgBonus[job_title],$H576),SUMIFS(AvgBonus[avg_bonus],AvgBonus[exp_item],$J576,AvgBonus[company_name],$B576,AvgBonus[bu_name],$C576,AvgBonus[dept_name],$D576,AvgBonus[team_consolidation],$K576,AvgBonus[location_name],$G576,AvgBonus[job_title],$H576))*Z471*SUM(BonusPayout[Month 15]))</f>
        <v>0</v>
      </c>
      <c r="AA576" s="652">
        <f>IF($B576="",,IF(LEFT($H576,5)="dummy",SUMIFS(AvgBonus[avg_bonus],AvgBonus[job_title],$H576),SUMIFS(AvgBonus[avg_bonus],AvgBonus[exp_item],$J576,AvgBonus[company_name],$B576,AvgBonus[bu_name],$C576,AvgBonus[dept_name],$D576,AvgBonus[team_consolidation],$K576,AvgBonus[location_name],$G576,AvgBonus[job_title],$H576))*AA471*SUM(BonusPayout[Month 16]))</f>
        <v>0</v>
      </c>
      <c r="AB576" s="652">
        <f>IF($B576="",,IF(LEFT($H576,5)="dummy",SUMIFS(AvgBonus[avg_bonus],AvgBonus[job_title],$H576),SUMIFS(AvgBonus[avg_bonus],AvgBonus[exp_item],$J576,AvgBonus[company_name],$B576,AvgBonus[bu_name],$C576,AvgBonus[dept_name],$D576,AvgBonus[team_consolidation],$K576,AvgBonus[location_name],$G576,AvgBonus[job_title],$H576))*AB471*SUM(BonusPayout[Month 17]))</f>
        <v>0</v>
      </c>
      <c r="AC576" s="652">
        <f>IF($B576="",,IF(LEFT($H576,5)="dummy",SUMIFS(AvgBonus[avg_bonus],AvgBonus[job_title],$H576),SUMIFS(AvgBonus[avg_bonus],AvgBonus[exp_item],$J576,AvgBonus[company_name],$B576,AvgBonus[bu_name],$C576,AvgBonus[dept_name],$D576,AvgBonus[team_consolidation],$K576,AvgBonus[location_name],$G576,AvgBonus[job_title],$H576))*AC471*SUM(BonusPayout[Month 18]))</f>
        <v>0</v>
      </c>
      <c r="AD576" s="652">
        <f>IF($B576="",,IF(LEFT($H576,5)="dummy",SUMIFS(AvgBonus[avg_bonus],AvgBonus[job_title],$H576),SUMIFS(AvgBonus[avg_bonus],AvgBonus[exp_item],$J576,AvgBonus[company_name],$B576,AvgBonus[bu_name],$C576,AvgBonus[dept_name],$D576,AvgBonus[team_consolidation],$K576,AvgBonus[location_name],$G576,AvgBonus[job_title],$H576))*AD471*SUM(BonusPayout[Month 19]))</f>
        <v>0</v>
      </c>
      <c r="AE576" s="652">
        <f>IF($B576="",,IF(LEFT($H576,5)="dummy",SUMIFS(AvgBonus[avg_bonus],AvgBonus[job_title],$H576),SUMIFS(AvgBonus[avg_bonus],AvgBonus[exp_item],$J576,AvgBonus[company_name],$B576,AvgBonus[bu_name],$C576,AvgBonus[dept_name],$D576,AvgBonus[team_consolidation],$K576,AvgBonus[location_name],$G576,AvgBonus[job_title],$H576))*AE471*SUM(BonusPayout[Month 20]))</f>
        <v>0</v>
      </c>
      <c r="AF576" s="652">
        <f>IF($B576="",,IF(LEFT($H576,5)="dummy",SUMIFS(AvgBonus[avg_bonus],AvgBonus[job_title],$H576),SUMIFS(AvgBonus[avg_bonus],AvgBonus[exp_item],$J576,AvgBonus[company_name],$B576,AvgBonus[bu_name],$C576,AvgBonus[dept_name],$D576,AvgBonus[team_consolidation],$K576,AvgBonus[location_name],$G576,AvgBonus[job_title],$H576))*AF471*SUM(BonusPayout[Month 21]))</f>
        <v>0</v>
      </c>
      <c r="AG576" s="652">
        <f>IF($B576="",,IF(LEFT($H576,5)="dummy",SUMIFS(AvgBonus[avg_bonus],AvgBonus[job_title],$H576),SUMIFS(AvgBonus[avg_bonus],AvgBonus[exp_item],$J576,AvgBonus[company_name],$B576,AvgBonus[bu_name],$C576,AvgBonus[dept_name],$D576,AvgBonus[team_consolidation],$K576,AvgBonus[location_name],$G576,AvgBonus[job_title],$H576))*AG471*SUM(BonusPayout[Month 22]))</f>
        <v>0</v>
      </c>
      <c r="AH576" s="652">
        <f>IF($B576="",,IF(LEFT($H576,5)="dummy",SUMIFS(AvgBonus[avg_bonus],AvgBonus[job_title],$H576),SUMIFS(AvgBonus[avg_bonus],AvgBonus[exp_item],$J576,AvgBonus[company_name],$B576,AvgBonus[bu_name],$C576,AvgBonus[dept_name],$D576,AvgBonus[team_consolidation],$K576,AvgBonus[location_name],$G576,AvgBonus[job_title],$H576))*AH471*SUM(BonusPayout[Month 23]))</f>
        <v>0</v>
      </c>
      <c r="AI576" s="652">
        <f>IF($B576="",,IF(LEFT($H576,5)="dummy",SUMIFS(AvgBonus[avg_bonus],AvgBonus[job_title],$H576),SUMIFS(AvgBonus[avg_bonus],AvgBonus[exp_item],$J576,AvgBonus[company_name],$B576,AvgBonus[bu_name],$C576,AvgBonus[dept_name],$D576,AvgBonus[team_consolidation],$K576,AvgBonus[location_name],$G576,AvgBonus[job_title],$H576))*AI471*SUM(BonusPayout[Month 24]))</f>
        <v>0</v>
      </c>
      <c r="AJ576" s="652">
        <f>IF($B576="",,IF(LEFT($H576,5)="dummy",SUMIFS(AvgBonus[avg_bonus],AvgBonus[job_title],$H576),SUMIFS(AvgBonus[avg_bonus],AvgBonus[exp_item],$J576,AvgBonus[company_name],$B576,AvgBonus[bu_name],$C576,AvgBonus[dept_name],$D576,AvgBonus[team_consolidation],$K576,AvgBonus[location_name],$G576,AvgBonus[job_title],$H576))*AJ471*SUM(BonusPayout[Month 25]))</f>
        <v>0</v>
      </c>
      <c r="AK576" s="652">
        <f>IF($B576="",,IF(LEFT($H576,5)="dummy",SUMIFS(AvgBonus[avg_bonus],AvgBonus[job_title],$H576),SUMIFS(AvgBonus[avg_bonus],AvgBonus[exp_item],$J576,AvgBonus[company_name],$B576,AvgBonus[bu_name],$C576,AvgBonus[dept_name],$D576,AvgBonus[team_consolidation],$K576,AvgBonus[location_name],$G576,AvgBonus[job_title],$H576))*AK471*SUM(BonusPayout[Month 26]))</f>
        <v>0</v>
      </c>
      <c r="AL576" s="652">
        <f>IF($B576="",,IF(LEFT($H576,5)="dummy",SUMIFS(AvgBonus[avg_bonus],AvgBonus[job_title],$H576),SUMIFS(AvgBonus[avg_bonus],AvgBonus[exp_item],$J576,AvgBonus[company_name],$B576,AvgBonus[bu_name],$C576,AvgBonus[dept_name],$D576,AvgBonus[team_consolidation],$K576,AvgBonus[location_name],$G576,AvgBonus[job_title],$H576))*AL471*SUM(BonusPayout[Month 27]))</f>
        <v>0</v>
      </c>
      <c r="AM576" s="652">
        <f>IF($B576="",,IF(LEFT($H576,5)="dummy",SUMIFS(AvgBonus[avg_bonus],AvgBonus[job_title],$H576),SUMIFS(AvgBonus[avg_bonus],AvgBonus[exp_item],$J576,AvgBonus[company_name],$B576,AvgBonus[bu_name],$C576,AvgBonus[dept_name],$D576,AvgBonus[team_consolidation],$K576,AvgBonus[location_name],$G576,AvgBonus[job_title],$H576))*AM471*SUM(BonusPayout[Month 28]))</f>
        <v>0</v>
      </c>
      <c r="AN576" s="652">
        <f>IF($B576="",,IF(LEFT($H576,5)="dummy",SUMIFS(AvgBonus[avg_bonus],AvgBonus[job_title],$H576),SUMIFS(AvgBonus[avg_bonus],AvgBonus[exp_item],$J576,AvgBonus[company_name],$B576,AvgBonus[bu_name],$C576,AvgBonus[dept_name],$D576,AvgBonus[team_consolidation],$K576,AvgBonus[location_name],$G576,AvgBonus[job_title],$H576))*AN471*SUM(BonusPayout[Month 29]))</f>
        <v>0</v>
      </c>
      <c r="AO576" s="652">
        <f>IF($B576="",,IF(LEFT($H576,5)="dummy",SUMIFS(AvgBonus[avg_bonus],AvgBonus[job_title],$H576),SUMIFS(AvgBonus[avg_bonus],AvgBonus[exp_item],$J576,AvgBonus[company_name],$B576,AvgBonus[bu_name],$C576,AvgBonus[dept_name],$D576,AvgBonus[team_consolidation],$K576,AvgBonus[location_name],$G576,AvgBonus[job_title],$H576))*AO471*SUM(BonusPayout[Month 30]))</f>
        <v>0</v>
      </c>
      <c r="AP576" s="652">
        <f>IF($B576="",,IF(LEFT($H576,5)="dummy",SUMIFS(AvgBonus[avg_bonus],AvgBonus[job_title],$H576),SUMIFS(AvgBonus[avg_bonus],AvgBonus[exp_item],$J576,AvgBonus[company_name],$B576,AvgBonus[bu_name],$C576,AvgBonus[dept_name],$D576,AvgBonus[team_consolidation],$K576,AvgBonus[location_name],$G576,AvgBonus[job_title],$H576))*AP471*SUM(BonusPayout[Month 31]))</f>
        <v>0</v>
      </c>
      <c r="AQ576" s="652">
        <f>IF($B576="",,IF(LEFT($H576,5)="dummy",SUMIFS(AvgBonus[avg_bonus],AvgBonus[job_title],$H576),SUMIFS(AvgBonus[avg_bonus],AvgBonus[exp_item],$J576,AvgBonus[company_name],$B576,AvgBonus[bu_name],$C576,AvgBonus[dept_name],$D576,AvgBonus[team_consolidation],$K576,AvgBonus[location_name],$G576,AvgBonus[job_title],$H576))*AQ471*SUM(BonusPayout[Month 32]))</f>
        <v>0</v>
      </c>
      <c r="AR576" s="652">
        <f>IF($B576="",,IF(LEFT($H576,5)="dummy",SUMIFS(AvgBonus[avg_bonus],AvgBonus[job_title],$H576),SUMIFS(AvgBonus[avg_bonus],AvgBonus[exp_item],$J576,AvgBonus[company_name],$B576,AvgBonus[bu_name],$C576,AvgBonus[dept_name],$D576,AvgBonus[team_consolidation],$K576,AvgBonus[location_name],$G576,AvgBonus[job_title],$H576))*AR471*SUM(BonusPayout[Month 33]))</f>
        <v>0</v>
      </c>
      <c r="AS576" s="652">
        <f>IF($B576="",,IF(LEFT($H576,5)="dummy",SUMIFS(AvgBonus[avg_bonus],AvgBonus[job_title],$H576),SUMIFS(AvgBonus[avg_bonus],AvgBonus[exp_item],$J576,AvgBonus[company_name],$B576,AvgBonus[bu_name],$C576,AvgBonus[dept_name],$D576,AvgBonus[team_consolidation],$K576,AvgBonus[location_name],$G576,AvgBonus[job_title],$H576))*AS471*SUM(BonusPayout[Month 34]))</f>
        <v>0</v>
      </c>
      <c r="AT576" s="652">
        <f>IF($B576="",,IF(LEFT($H576,5)="dummy",SUMIFS(AvgBonus[avg_bonus],AvgBonus[job_title],$H576),SUMIFS(AvgBonus[avg_bonus],AvgBonus[exp_item],$J576,AvgBonus[company_name],$B576,AvgBonus[bu_name],$C576,AvgBonus[dept_name],$D576,AvgBonus[team_consolidation],$K576,AvgBonus[location_name],$G576,AvgBonus[job_title],$H576))*AT471*SUM(BonusPayout[Month 35]))</f>
        <v>0</v>
      </c>
      <c r="AU576" s="652">
        <f>IF($B576="",,IF(LEFT($H576,5)="dummy",SUMIFS(AvgBonus[avg_bonus],AvgBonus[job_title],$H576),SUMIFS(AvgBonus[avg_bonus],AvgBonus[exp_item],$J576,AvgBonus[company_name],$B576,AvgBonus[bu_name],$C576,AvgBonus[dept_name],$D576,AvgBonus[team_consolidation],$K576,AvgBonus[location_name],$G576,AvgBonus[job_title],$H576))*AU471*SUM(BonusPayout[Month 36]))</f>
        <v>0</v>
      </c>
    </row>
    <row r="577" spans="2:47" x14ac:dyDescent="0.35">
      <c r="B577" t="str">
        <f t="shared" si="361"/>
        <v/>
      </c>
      <c r="C577" t="str">
        <f t="shared" ref="C577:G577" si="374">IF(C472="","",C472)</f>
        <v/>
      </c>
      <c r="D577" t="str">
        <f t="shared" si="374"/>
        <v/>
      </c>
      <c r="E577" t="str">
        <f t="shared" si="374"/>
        <v/>
      </c>
      <c r="F577" t="str">
        <f t="shared" si="374"/>
        <v/>
      </c>
      <c r="G577" t="str">
        <f t="shared" si="374"/>
        <v/>
      </c>
      <c r="H577" t="str">
        <f t="shared" si="360"/>
        <v/>
      </c>
      <c r="J577" t="str">
        <f>IF($H577="","",IF(VLOOKUP($B$500,ExpItems[],2,0),$B$500&amp;" - "&amp;INDEX(DivisionMapping[category_code],MATCH($D577&amp;$C577,DivisionMapping[dept_bu],0)),$B$500))</f>
        <v/>
      </c>
      <c r="K577" t="str">
        <f t="shared" si="363"/>
        <v/>
      </c>
      <c r="L577" s="652">
        <f>IF($B577="",,IF(LEFT($H577,5)="dummy",SUMIFS(AvgBonus[avg_bonus],AvgBonus[job_title],$H577),SUMIFS(AvgBonus[avg_bonus],AvgBonus[exp_item],$J577,AvgBonus[company_name],$B577,AvgBonus[bu_name],$C577,AvgBonus[dept_name],$D577,AvgBonus[team_consolidation],$K577,AvgBonus[location_name],$G577,AvgBonus[job_title],$H577))*L472*SUM(BonusPayout[Month 1]))</f>
        <v>0</v>
      </c>
      <c r="M577" s="652">
        <f>IF($B577="",,IF(LEFT($H577,5)="dummy",SUMIFS(AvgBonus[avg_bonus],AvgBonus[job_title],$H577),SUMIFS(AvgBonus[avg_bonus],AvgBonus[exp_item],$J577,AvgBonus[company_name],$B577,AvgBonus[bu_name],$C577,AvgBonus[dept_name],$D577,AvgBonus[team_consolidation],$K577,AvgBonus[location_name],$G577,AvgBonus[job_title],$H577))*M472*SUM(BonusPayout[Month 2]))</f>
        <v>0</v>
      </c>
      <c r="N577" s="652">
        <f>IF($B577="",,IF(LEFT($H577,5)="dummy",SUMIFS(AvgBonus[avg_bonus],AvgBonus[job_title],$H577),SUMIFS(AvgBonus[avg_bonus],AvgBonus[exp_item],$J577,AvgBonus[company_name],$B577,AvgBonus[bu_name],$C577,AvgBonus[dept_name],$D577,AvgBonus[team_consolidation],$K577,AvgBonus[location_name],$G577,AvgBonus[job_title],$H577))*N472*SUM(BonusPayout[Month 3]))</f>
        <v>0</v>
      </c>
      <c r="O577" s="652">
        <f>IF($B577="",,IF(LEFT($H577,5)="dummy",SUMIFS(AvgBonus[avg_bonus],AvgBonus[job_title],$H577),SUMIFS(AvgBonus[avg_bonus],AvgBonus[exp_item],$J577,AvgBonus[company_name],$B577,AvgBonus[bu_name],$C577,AvgBonus[dept_name],$D577,AvgBonus[team_consolidation],$K577,AvgBonus[location_name],$G577,AvgBonus[job_title],$H577))*O472*SUM(BonusPayout[Month 4]))</f>
        <v>0</v>
      </c>
      <c r="P577" s="652">
        <f>IF($B577="",,IF(LEFT($H577,5)="dummy",SUMIFS(AvgBonus[avg_bonus],AvgBonus[job_title],$H577),SUMIFS(AvgBonus[avg_bonus],AvgBonus[exp_item],$J577,AvgBonus[company_name],$B577,AvgBonus[bu_name],$C577,AvgBonus[dept_name],$D577,AvgBonus[team_consolidation],$K577,AvgBonus[location_name],$G577,AvgBonus[job_title],$H577))*P472*SUM(BonusPayout[Month 5]))</f>
        <v>0</v>
      </c>
      <c r="Q577" s="652">
        <f>IF($B577="",,IF(LEFT($H577,5)="dummy",SUMIFS(AvgBonus[avg_bonus],AvgBonus[job_title],$H577),SUMIFS(AvgBonus[avg_bonus],AvgBonus[exp_item],$J577,AvgBonus[company_name],$B577,AvgBonus[bu_name],$C577,AvgBonus[dept_name],$D577,AvgBonus[team_consolidation],$K577,AvgBonus[location_name],$G577,AvgBonus[job_title],$H577))*Q472*SUM(BonusPayout[Month 6]))</f>
        <v>0</v>
      </c>
      <c r="R577" s="652">
        <f>IF($B577="",,IF(LEFT($H577,5)="dummy",SUMIFS(AvgBonus[avg_bonus],AvgBonus[job_title],$H577),SUMIFS(AvgBonus[avg_bonus],AvgBonus[exp_item],$J577,AvgBonus[company_name],$B577,AvgBonus[bu_name],$C577,AvgBonus[dept_name],$D577,AvgBonus[team_consolidation],$K577,AvgBonus[location_name],$G577,AvgBonus[job_title],$H577))*R472*SUM(BonusPayout[Month 7]))</f>
        <v>0</v>
      </c>
      <c r="S577" s="652">
        <f>IF($B577="",,IF(LEFT($H577,5)="dummy",SUMIFS(AvgBonus[avg_bonus],AvgBonus[job_title],$H577),SUMIFS(AvgBonus[avg_bonus],AvgBonus[exp_item],$J577,AvgBonus[company_name],$B577,AvgBonus[bu_name],$C577,AvgBonus[dept_name],$D577,AvgBonus[team_consolidation],$K577,AvgBonus[location_name],$G577,AvgBonus[job_title],$H577))*S472*SUM(BonusPayout[Month 8]))</f>
        <v>0</v>
      </c>
      <c r="T577" s="652">
        <f>IF($B577="",,IF(LEFT($H577,5)="dummy",SUMIFS(AvgBonus[avg_bonus],AvgBonus[job_title],$H577),SUMIFS(AvgBonus[avg_bonus],AvgBonus[exp_item],$J577,AvgBonus[company_name],$B577,AvgBonus[bu_name],$C577,AvgBonus[dept_name],$D577,AvgBonus[team_consolidation],$K577,AvgBonus[location_name],$G577,AvgBonus[job_title],$H577))*T472*SUM(BonusPayout[Month 9]))</f>
        <v>0</v>
      </c>
      <c r="U577" s="652">
        <f>IF($B577="",,IF(LEFT($H577,5)="dummy",SUMIFS(AvgBonus[avg_bonus],AvgBonus[job_title],$H577),SUMIFS(AvgBonus[avg_bonus],AvgBonus[exp_item],$J577,AvgBonus[company_name],$B577,AvgBonus[bu_name],$C577,AvgBonus[dept_name],$D577,AvgBonus[team_consolidation],$K577,AvgBonus[location_name],$G577,AvgBonus[job_title],$H577))*U472*SUM(BonusPayout[Month 10]))</f>
        <v>0</v>
      </c>
      <c r="V577" s="652">
        <f>IF($B577="",,IF(LEFT($H577,5)="dummy",SUMIFS(AvgBonus[avg_bonus],AvgBonus[job_title],$H577),SUMIFS(AvgBonus[avg_bonus],AvgBonus[exp_item],$J577,AvgBonus[company_name],$B577,AvgBonus[bu_name],$C577,AvgBonus[dept_name],$D577,AvgBonus[team_consolidation],$K577,AvgBonus[location_name],$G577,AvgBonus[job_title],$H577))*V472*SUM(BonusPayout[Month 11]))</f>
        <v>0</v>
      </c>
      <c r="W577" s="652">
        <f>IF($B577="",,IF(LEFT($H577,5)="dummy",SUMIFS(AvgBonus[avg_bonus],AvgBonus[job_title],$H577),SUMIFS(AvgBonus[avg_bonus],AvgBonus[exp_item],$J577,AvgBonus[company_name],$B577,AvgBonus[bu_name],$C577,AvgBonus[dept_name],$D577,AvgBonus[team_consolidation],$K577,AvgBonus[location_name],$G577,AvgBonus[job_title],$H577))*W472*SUM(BonusPayout[Month 12]))</f>
        <v>0</v>
      </c>
      <c r="X577" s="652">
        <f>IF($B577="",,IF(LEFT($H577,5)="dummy",SUMIFS(AvgBonus[avg_bonus],AvgBonus[job_title],$H577),SUMIFS(AvgBonus[avg_bonus],AvgBonus[exp_item],$J577,AvgBonus[company_name],$B577,AvgBonus[bu_name],$C577,AvgBonus[dept_name],$D577,AvgBonus[team_consolidation],$K577,AvgBonus[location_name],$G577,AvgBonus[job_title],$H577))*X472*SUM(BonusPayout[Month 13]))</f>
        <v>0</v>
      </c>
      <c r="Y577" s="652">
        <f>IF($B577="",,IF(LEFT($H577,5)="dummy",SUMIFS(AvgBonus[avg_bonus],AvgBonus[job_title],$H577),SUMIFS(AvgBonus[avg_bonus],AvgBonus[exp_item],$J577,AvgBonus[company_name],$B577,AvgBonus[bu_name],$C577,AvgBonus[dept_name],$D577,AvgBonus[team_consolidation],$K577,AvgBonus[location_name],$G577,AvgBonus[job_title],$H577))*Y472*SUM(BonusPayout[Month 14]))</f>
        <v>0</v>
      </c>
      <c r="Z577" s="652">
        <f>IF($B577="",,IF(LEFT($H577,5)="dummy",SUMIFS(AvgBonus[avg_bonus],AvgBonus[job_title],$H577),SUMIFS(AvgBonus[avg_bonus],AvgBonus[exp_item],$J577,AvgBonus[company_name],$B577,AvgBonus[bu_name],$C577,AvgBonus[dept_name],$D577,AvgBonus[team_consolidation],$K577,AvgBonus[location_name],$G577,AvgBonus[job_title],$H577))*Z472*SUM(BonusPayout[Month 15]))</f>
        <v>0</v>
      </c>
      <c r="AA577" s="652">
        <f>IF($B577="",,IF(LEFT($H577,5)="dummy",SUMIFS(AvgBonus[avg_bonus],AvgBonus[job_title],$H577),SUMIFS(AvgBonus[avg_bonus],AvgBonus[exp_item],$J577,AvgBonus[company_name],$B577,AvgBonus[bu_name],$C577,AvgBonus[dept_name],$D577,AvgBonus[team_consolidation],$K577,AvgBonus[location_name],$G577,AvgBonus[job_title],$H577))*AA472*SUM(BonusPayout[Month 16]))</f>
        <v>0</v>
      </c>
      <c r="AB577" s="652">
        <f>IF($B577="",,IF(LEFT($H577,5)="dummy",SUMIFS(AvgBonus[avg_bonus],AvgBonus[job_title],$H577),SUMIFS(AvgBonus[avg_bonus],AvgBonus[exp_item],$J577,AvgBonus[company_name],$B577,AvgBonus[bu_name],$C577,AvgBonus[dept_name],$D577,AvgBonus[team_consolidation],$K577,AvgBonus[location_name],$G577,AvgBonus[job_title],$H577))*AB472*SUM(BonusPayout[Month 17]))</f>
        <v>0</v>
      </c>
      <c r="AC577" s="652">
        <f>IF($B577="",,IF(LEFT($H577,5)="dummy",SUMIFS(AvgBonus[avg_bonus],AvgBonus[job_title],$H577),SUMIFS(AvgBonus[avg_bonus],AvgBonus[exp_item],$J577,AvgBonus[company_name],$B577,AvgBonus[bu_name],$C577,AvgBonus[dept_name],$D577,AvgBonus[team_consolidation],$K577,AvgBonus[location_name],$G577,AvgBonus[job_title],$H577))*AC472*SUM(BonusPayout[Month 18]))</f>
        <v>0</v>
      </c>
      <c r="AD577" s="652">
        <f>IF($B577="",,IF(LEFT($H577,5)="dummy",SUMIFS(AvgBonus[avg_bonus],AvgBonus[job_title],$H577),SUMIFS(AvgBonus[avg_bonus],AvgBonus[exp_item],$J577,AvgBonus[company_name],$B577,AvgBonus[bu_name],$C577,AvgBonus[dept_name],$D577,AvgBonus[team_consolidation],$K577,AvgBonus[location_name],$G577,AvgBonus[job_title],$H577))*AD472*SUM(BonusPayout[Month 19]))</f>
        <v>0</v>
      </c>
      <c r="AE577" s="652">
        <f>IF($B577="",,IF(LEFT($H577,5)="dummy",SUMIFS(AvgBonus[avg_bonus],AvgBonus[job_title],$H577),SUMIFS(AvgBonus[avg_bonus],AvgBonus[exp_item],$J577,AvgBonus[company_name],$B577,AvgBonus[bu_name],$C577,AvgBonus[dept_name],$D577,AvgBonus[team_consolidation],$K577,AvgBonus[location_name],$G577,AvgBonus[job_title],$H577))*AE472*SUM(BonusPayout[Month 20]))</f>
        <v>0</v>
      </c>
      <c r="AF577" s="652">
        <f>IF($B577="",,IF(LEFT($H577,5)="dummy",SUMIFS(AvgBonus[avg_bonus],AvgBonus[job_title],$H577),SUMIFS(AvgBonus[avg_bonus],AvgBonus[exp_item],$J577,AvgBonus[company_name],$B577,AvgBonus[bu_name],$C577,AvgBonus[dept_name],$D577,AvgBonus[team_consolidation],$K577,AvgBonus[location_name],$G577,AvgBonus[job_title],$H577))*AF472*SUM(BonusPayout[Month 21]))</f>
        <v>0</v>
      </c>
      <c r="AG577" s="652">
        <f>IF($B577="",,IF(LEFT($H577,5)="dummy",SUMIFS(AvgBonus[avg_bonus],AvgBonus[job_title],$H577),SUMIFS(AvgBonus[avg_bonus],AvgBonus[exp_item],$J577,AvgBonus[company_name],$B577,AvgBonus[bu_name],$C577,AvgBonus[dept_name],$D577,AvgBonus[team_consolidation],$K577,AvgBonus[location_name],$G577,AvgBonus[job_title],$H577))*AG472*SUM(BonusPayout[Month 22]))</f>
        <v>0</v>
      </c>
      <c r="AH577" s="652">
        <f>IF($B577="",,IF(LEFT($H577,5)="dummy",SUMIFS(AvgBonus[avg_bonus],AvgBonus[job_title],$H577),SUMIFS(AvgBonus[avg_bonus],AvgBonus[exp_item],$J577,AvgBonus[company_name],$B577,AvgBonus[bu_name],$C577,AvgBonus[dept_name],$D577,AvgBonus[team_consolidation],$K577,AvgBonus[location_name],$G577,AvgBonus[job_title],$H577))*AH472*SUM(BonusPayout[Month 23]))</f>
        <v>0</v>
      </c>
      <c r="AI577" s="652">
        <f>IF($B577="",,IF(LEFT($H577,5)="dummy",SUMIFS(AvgBonus[avg_bonus],AvgBonus[job_title],$H577),SUMIFS(AvgBonus[avg_bonus],AvgBonus[exp_item],$J577,AvgBonus[company_name],$B577,AvgBonus[bu_name],$C577,AvgBonus[dept_name],$D577,AvgBonus[team_consolidation],$K577,AvgBonus[location_name],$G577,AvgBonus[job_title],$H577))*AI472*SUM(BonusPayout[Month 24]))</f>
        <v>0</v>
      </c>
      <c r="AJ577" s="652">
        <f>IF($B577="",,IF(LEFT($H577,5)="dummy",SUMIFS(AvgBonus[avg_bonus],AvgBonus[job_title],$H577),SUMIFS(AvgBonus[avg_bonus],AvgBonus[exp_item],$J577,AvgBonus[company_name],$B577,AvgBonus[bu_name],$C577,AvgBonus[dept_name],$D577,AvgBonus[team_consolidation],$K577,AvgBonus[location_name],$G577,AvgBonus[job_title],$H577))*AJ472*SUM(BonusPayout[Month 25]))</f>
        <v>0</v>
      </c>
      <c r="AK577" s="652">
        <f>IF($B577="",,IF(LEFT($H577,5)="dummy",SUMIFS(AvgBonus[avg_bonus],AvgBonus[job_title],$H577),SUMIFS(AvgBonus[avg_bonus],AvgBonus[exp_item],$J577,AvgBonus[company_name],$B577,AvgBonus[bu_name],$C577,AvgBonus[dept_name],$D577,AvgBonus[team_consolidation],$K577,AvgBonus[location_name],$G577,AvgBonus[job_title],$H577))*AK472*SUM(BonusPayout[Month 26]))</f>
        <v>0</v>
      </c>
      <c r="AL577" s="652">
        <f>IF($B577="",,IF(LEFT($H577,5)="dummy",SUMIFS(AvgBonus[avg_bonus],AvgBonus[job_title],$H577),SUMIFS(AvgBonus[avg_bonus],AvgBonus[exp_item],$J577,AvgBonus[company_name],$B577,AvgBonus[bu_name],$C577,AvgBonus[dept_name],$D577,AvgBonus[team_consolidation],$K577,AvgBonus[location_name],$G577,AvgBonus[job_title],$H577))*AL472*SUM(BonusPayout[Month 27]))</f>
        <v>0</v>
      </c>
      <c r="AM577" s="652">
        <f>IF($B577="",,IF(LEFT($H577,5)="dummy",SUMIFS(AvgBonus[avg_bonus],AvgBonus[job_title],$H577),SUMIFS(AvgBonus[avg_bonus],AvgBonus[exp_item],$J577,AvgBonus[company_name],$B577,AvgBonus[bu_name],$C577,AvgBonus[dept_name],$D577,AvgBonus[team_consolidation],$K577,AvgBonus[location_name],$G577,AvgBonus[job_title],$H577))*AM472*SUM(BonusPayout[Month 28]))</f>
        <v>0</v>
      </c>
      <c r="AN577" s="652">
        <f>IF($B577="",,IF(LEFT($H577,5)="dummy",SUMIFS(AvgBonus[avg_bonus],AvgBonus[job_title],$H577),SUMIFS(AvgBonus[avg_bonus],AvgBonus[exp_item],$J577,AvgBonus[company_name],$B577,AvgBonus[bu_name],$C577,AvgBonus[dept_name],$D577,AvgBonus[team_consolidation],$K577,AvgBonus[location_name],$G577,AvgBonus[job_title],$H577))*AN472*SUM(BonusPayout[Month 29]))</f>
        <v>0</v>
      </c>
      <c r="AO577" s="652">
        <f>IF($B577="",,IF(LEFT($H577,5)="dummy",SUMIFS(AvgBonus[avg_bonus],AvgBonus[job_title],$H577),SUMIFS(AvgBonus[avg_bonus],AvgBonus[exp_item],$J577,AvgBonus[company_name],$B577,AvgBonus[bu_name],$C577,AvgBonus[dept_name],$D577,AvgBonus[team_consolidation],$K577,AvgBonus[location_name],$G577,AvgBonus[job_title],$H577))*AO472*SUM(BonusPayout[Month 30]))</f>
        <v>0</v>
      </c>
      <c r="AP577" s="652">
        <f>IF($B577="",,IF(LEFT($H577,5)="dummy",SUMIFS(AvgBonus[avg_bonus],AvgBonus[job_title],$H577),SUMIFS(AvgBonus[avg_bonus],AvgBonus[exp_item],$J577,AvgBonus[company_name],$B577,AvgBonus[bu_name],$C577,AvgBonus[dept_name],$D577,AvgBonus[team_consolidation],$K577,AvgBonus[location_name],$G577,AvgBonus[job_title],$H577))*AP472*SUM(BonusPayout[Month 31]))</f>
        <v>0</v>
      </c>
      <c r="AQ577" s="652">
        <f>IF($B577="",,IF(LEFT($H577,5)="dummy",SUMIFS(AvgBonus[avg_bonus],AvgBonus[job_title],$H577),SUMIFS(AvgBonus[avg_bonus],AvgBonus[exp_item],$J577,AvgBonus[company_name],$B577,AvgBonus[bu_name],$C577,AvgBonus[dept_name],$D577,AvgBonus[team_consolidation],$K577,AvgBonus[location_name],$G577,AvgBonus[job_title],$H577))*AQ472*SUM(BonusPayout[Month 32]))</f>
        <v>0</v>
      </c>
      <c r="AR577" s="652">
        <f>IF($B577="",,IF(LEFT($H577,5)="dummy",SUMIFS(AvgBonus[avg_bonus],AvgBonus[job_title],$H577),SUMIFS(AvgBonus[avg_bonus],AvgBonus[exp_item],$J577,AvgBonus[company_name],$B577,AvgBonus[bu_name],$C577,AvgBonus[dept_name],$D577,AvgBonus[team_consolidation],$K577,AvgBonus[location_name],$G577,AvgBonus[job_title],$H577))*AR472*SUM(BonusPayout[Month 33]))</f>
        <v>0</v>
      </c>
      <c r="AS577" s="652">
        <f>IF($B577="",,IF(LEFT($H577,5)="dummy",SUMIFS(AvgBonus[avg_bonus],AvgBonus[job_title],$H577),SUMIFS(AvgBonus[avg_bonus],AvgBonus[exp_item],$J577,AvgBonus[company_name],$B577,AvgBonus[bu_name],$C577,AvgBonus[dept_name],$D577,AvgBonus[team_consolidation],$K577,AvgBonus[location_name],$G577,AvgBonus[job_title],$H577))*AS472*SUM(BonusPayout[Month 34]))</f>
        <v>0</v>
      </c>
      <c r="AT577" s="652">
        <f>IF($B577="",,IF(LEFT($H577,5)="dummy",SUMIFS(AvgBonus[avg_bonus],AvgBonus[job_title],$H577),SUMIFS(AvgBonus[avg_bonus],AvgBonus[exp_item],$J577,AvgBonus[company_name],$B577,AvgBonus[bu_name],$C577,AvgBonus[dept_name],$D577,AvgBonus[team_consolidation],$K577,AvgBonus[location_name],$G577,AvgBonus[job_title],$H577))*AT472*SUM(BonusPayout[Month 35]))</f>
        <v>0</v>
      </c>
      <c r="AU577" s="652">
        <f>IF($B577="",,IF(LEFT($H577,5)="dummy",SUMIFS(AvgBonus[avg_bonus],AvgBonus[job_title],$H577),SUMIFS(AvgBonus[avg_bonus],AvgBonus[exp_item],$J577,AvgBonus[company_name],$B577,AvgBonus[bu_name],$C577,AvgBonus[dept_name],$D577,AvgBonus[team_consolidation],$K577,AvgBonus[location_name],$G577,AvgBonus[job_title],$H577))*AU472*SUM(BonusPayout[Month 36]))</f>
        <v>0</v>
      </c>
    </row>
    <row r="578" spans="2:47" x14ac:dyDescent="0.35">
      <c r="B578" t="str">
        <f t="shared" si="361"/>
        <v/>
      </c>
      <c r="C578" t="str">
        <f t="shared" ref="C578:G578" si="375">IF(C473="","",C473)</f>
        <v/>
      </c>
      <c r="D578" t="str">
        <f t="shared" si="375"/>
        <v/>
      </c>
      <c r="E578" t="str">
        <f t="shared" si="375"/>
        <v/>
      </c>
      <c r="F578" t="str">
        <f t="shared" si="375"/>
        <v/>
      </c>
      <c r="G578" t="str">
        <f t="shared" si="375"/>
        <v/>
      </c>
      <c r="H578" t="str">
        <f t="shared" si="360"/>
        <v/>
      </c>
      <c r="J578" t="str">
        <f>IF($H578="","",IF(VLOOKUP($B$500,ExpItems[],2,0),$B$500&amp;" - "&amp;INDEX(DivisionMapping[category_code],MATCH($D578&amp;$C578,DivisionMapping[dept_bu],0)),$B$500))</f>
        <v/>
      </c>
      <c r="K578" t="str">
        <f t="shared" si="363"/>
        <v/>
      </c>
      <c r="L578" s="652">
        <f>IF($B578="",,IF(LEFT($H578,5)="dummy",SUMIFS(AvgBonus[avg_bonus],AvgBonus[job_title],$H578),SUMIFS(AvgBonus[avg_bonus],AvgBonus[exp_item],$J578,AvgBonus[company_name],$B578,AvgBonus[bu_name],$C578,AvgBonus[dept_name],$D578,AvgBonus[team_consolidation],$K578,AvgBonus[location_name],$G578,AvgBonus[job_title],$H578))*L473*SUM(BonusPayout[Month 1]))</f>
        <v>0</v>
      </c>
      <c r="M578" s="652">
        <f>IF($B578="",,IF(LEFT($H578,5)="dummy",SUMIFS(AvgBonus[avg_bonus],AvgBonus[job_title],$H578),SUMIFS(AvgBonus[avg_bonus],AvgBonus[exp_item],$J578,AvgBonus[company_name],$B578,AvgBonus[bu_name],$C578,AvgBonus[dept_name],$D578,AvgBonus[team_consolidation],$K578,AvgBonus[location_name],$G578,AvgBonus[job_title],$H578))*M473*SUM(BonusPayout[Month 2]))</f>
        <v>0</v>
      </c>
      <c r="N578" s="652">
        <f>IF($B578="",,IF(LEFT($H578,5)="dummy",SUMIFS(AvgBonus[avg_bonus],AvgBonus[job_title],$H578),SUMIFS(AvgBonus[avg_bonus],AvgBonus[exp_item],$J578,AvgBonus[company_name],$B578,AvgBonus[bu_name],$C578,AvgBonus[dept_name],$D578,AvgBonus[team_consolidation],$K578,AvgBonus[location_name],$G578,AvgBonus[job_title],$H578))*N473*SUM(BonusPayout[Month 3]))</f>
        <v>0</v>
      </c>
      <c r="O578" s="652">
        <f>IF($B578="",,IF(LEFT($H578,5)="dummy",SUMIFS(AvgBonus[avg_bonus],AvgBonus[job_title],$H578),SUMIFS(AvgBonus[avg_bonus],AvgBonus[exp_item],$J578,AvgBonus[company_name],$B578,AvgBonus[bu_name],$C578,AvgBonus[dept_name],$D578,AvgBonus[team_consolidation],$K578,AvgBonus[location_name],$G578,AvgBonus[job_title],$H578))*O473*SUM(BonusPayout[Month 4]))</f>
        <v>0</v>
      </c>
      <c r="P578" s="652">
        <f>IF($B578="",,IF(LEFT($H578,5)="dummy",SUMIFS(AvgBonus[avg_bonus],AvgBonus[job_title],$H578),SUMIFS(AvgBonus[avg_bonus],AvgBonus[exp_item],$J578,AvgBonus[company_name],$B578,AvgBonus[bu_name],$C578,AvgBonus[dept_name],$D578,AvgBonus[team_consolidation],$K578,AvgBonus[location_name],$G578,AvgBonus[job_title],$H578))*P473*SUM(BonusPayout[Month 5]))</f>
        <v>0</v>
      </c>
      <c r="Q578" s="652">
        <f>IF($B578="",,IF(LEFT($H578,5)="dummy",SUMIFS(AvgBonus[avg_bonus],AvgBonus[job_title],$H578),SUMIFS(AvgBonus[avg_bonus],AvgBonus[exp_item],$J578,AvgBonus[company_name],$B578,AvgBonus[bu_name],$C578,AvgBonus[dept_name],$D578,AvgBonus[team_consolidation],$K578,AvgBonus[location_name],$G578,AvgBonus[job_title],$H578))*Q473*SUM(BonusPayout[Month 6]))</f>
        <v>0</v>
      </c>
      <c r="R578" s="652">
        <f>IF($B578="",,IF(LEFT($H578,5)="dummy",SUMIFS(AvgBonus[avg_bonus],AvgBonus[job_title],$H578),SUMIFS(AvgBonus[avg_bonus],AvgBonus[exp_item],$J578,AvgBonus[company_name],$B578,AvgBonus[bu_name],$C578,AvgBonus[dept_name],$D578,AvgBonus[team_consolidation],$K578,AvgBonus[location_name],$G578,AvgBonus[job_title],$H578))*R473*SUM(BonusPayout[Month 7]))</f>
        <v>0</v>
      </c>
      <c r="S578" s="652">
        <f>IF($B578="",,IF(LEFT($H578,5)="dummy",SUMIFS(AvgBonus[avg_bonus],AvgBonus[job_title],$H578),SUMIFS(AvgBonus[avg_bonus],AvgBonus[exp_item],$J578,AvgBonus[company_name],$B578,AvgBonus[bu_name],$C578,AvgBonus[dept_name],$D578,AvgBonus[team_consolidation],$K578,AvgBonus[location_name],$G578,AvgBonus[job_title],$H578))*S473*SUM(BonusPayout[Month 8]))</f>
        <v>0</v>
      </c>
      <c r="T578" s="652">
        <f>IF($B578="",,IF(LEFT($H578,5)="dummy",SUMIFS(AvgBonus[avg_bonus],AvgBonus[job_title],$H578),SUMIFS(AvgBonus[avg_bonus],AvgBonus[exp_item],$J578,AvgBonus[company_name],$B578,AvgBonus[bu_name],$C578,AvgBonus[dept_name],$D578,AvgBonus[team_consolidation],$K578,AvgBonus[location_name],$G578,AvgBonus[job_title],$H578))*T473*SUM(BonusPayout[Month 9]))</f>
        <v>0</v>
      </c>
      <c r="U578" s="652">
        <f>IF($B578="",,IF(LEFT($H578,5)="dummy",SUMIFS(AvgBonus[avg_bonus],AvgBonus[job_title],$H578),SUMIFS(AvgBonus[avg_bonus],AvgBonus[exp_item],$J578,AvgBonus[company_name],$B578,AvgBonus[bu_name],$C578,AvgBonus[dept_name],$D578,AvgBonus[team_consolidation],$K578,AvgBonus[location_name],$G578,AvgBonus[job_title],$H578))*U473*SUM(BonusPayout[Month 10]))</f>
        <v>0</v>
      </c>
      <c r="V578" s="652">
        <f>IF($B578="",,IF(LEFT($H578,5)="dummy",SUMIFS(AvgBonus[avg_bonus],AvgBonus[job_title],$H578),SUMIFS(AvgBonus[avg_bonus],AvgBonus[exp_item],$J578,AvgBonus[company_name],$B578,AvgBonus[bu_name],$C578,AvgBonus[dept_name],$D578,AvgBonus[team_consolidation],$K578,AvgBonus[location_name],$G578,AvgBonus[job_title],$H578))*V473*SUM(BonusPayout[Month 11]))</f>
        <v>0</v>
      </c>
      <c r="W578" s="652">
        <f>IF($B578="",,IF(LEFT($H578,5)="dummy",SUMIFS(AvgBonus[avg_bonus],AvgBonus[job_title],$H578),SUMIFS(AvgBonus[avg_bonus],AvgBonus[exp_item],$J578,AvgBonus[company_name],$B578,AvgBonus[bu_name],$C578,AvgBonus[dept_name],$D578,AvgBonus[team_consolidation],$K578,AvgBonus[location_name],$G578,AvgBonus[job_title],$H578))*W473*SUM(BonusPayout[Month 12]))</f>
        <v>0</v>
      </c>
      <c r="X578" s="652">
        <f>IF($B578="",,IF(LEFT($H578,5)="dummy",SUMIFS(AvgBonus[avg_bonus],AvgBonus[job_title],$H578),SUMIFS(AvgBonus[avg_bonus],AvgBonus[exp_item],$J578,AvgBonus[company_name],$B578,AvgBonus[bu_name],$C578,AvgBonus[dept_name],$D578,AvgBonus[team_consolidation],$K578,AvgBonus[location_name],$G578,AvgBonus[job_title],$H578))*X473*SUM(BonusPayout[Month 13]))</f>
        <v>0</v>
      </c>
      <c r="Y578" s="652">
        <f>IF($B578="",,IF(LEFT($H578,5)="dummy",SUMIFS(AvgBonus[avg_bonus],AvgBonus[job_title],$H578),SUMIFS(AvgBonus[avg_bonus],AvgBonus[exp_item],$J578,AvgBonus[company_name],$B578,AvgBonus[bu_name],$C578,AvgBonus[dept_name],$D578,AvgBonus[team_consolidation],$K578,AvgBonus[location_name],$G578,AvgBonus[job_title],$H578))*Y473*SUM(BonusPayout[Month 14]))</f>
        <v>0</v>
      </c>
      <c r="Z578" s="652">
        <f>IF($B578="",,IF(LEFT($H578,5)="dummy",SUMIFS(AvgBonus[avg_bonus],AvgBonus[job_title],$H578),SUMIFS(AvgBonus[avg_bonus],AvgBonus[exp_item],$J578,AvgBonus[company_name],$B578,AvgBonus[bu_name],$C578,AvgBonus[dept_name],$D578,AvgBonus[team_consolidation],$K578,AvgBonus[location_name],$G578,AvgBonus[job_title],$H578))*Z473*SUM(BonusPayout[Month 15]))</f>
        <v>0</v>
      </c>
      <c r="AA578" s="652">
        <f>IF($B578="",,IF(LEFT($H578,5)="dummy",SUMIFS(AvgBonus[avg_bonus],AvgBonus[job_title],$H578),SUMIFS(AvgBonus[avg_bonus],AvgBonus[exp_item],$J578,AvgBonus[company_name],$B578,AvgBonus[bu_name],$C578,AvgBonus[dept_name],$D578,AvgBonus[team_consolidation],$K578,AvgBonus[location_name],$G578,AvgBonus[job_title],$H578))*AA473*SUM(BonusPayout[Month 16]))</f>
        <v>0</v>
      </c>
      <c r="AB578" s="652">
        <f>IF($B578="",,IF(LEFT($H578,5)="dummy",SUMIFS(AvgBonus[avg_bonus],AvgBonus[job_title],$H578),SUMIFS(AvgBonus[avg_bonus],AvgBonus[exp_item],$J578,AvgBonus[company_name],$B578,AvgBonus[bu_name],$C578,AvgBonus[dept_name],$D578,AvgBonus[team_consolidation],$K578,AvgBonus[location_name],$G578,AvgBonus[job_title],$H578))*AB473*SUM(BonusPayout[Month 17]))</f>
        <v>0</v>
      </c>
      <c r="AC578" s="652">
        <f>IF($B578="",,IF(LEFT($H578,5)="dummy",SUMIFS(AvgBonus[avg_bonus],AvgBonus[job_title],$H578),SUMIFS(AvgBonus[avg_bonus],AvgBonus[exp_item],$J578,AvgBonus[company_name],$B578,AvgBonus[bu_name],$C578,AvgBonus[dept_name],$D578,AvgBonus[team_consolidation],$K578,AvgBonus[location_name],$G578,AvgBonus[job_title],$H578))*AC473*SUM(BonusPayout[Month 18]))</f>
        <v>0</v>
      </c>
      <c r="AD578" s="652">
        <f>IF($B578="",,IF(LEFT($H578,5)="dummy",SUMIFS(AvgBonus[avg_bonus],AvgBonus[job_title],$H578),SUMIFS(AvgBonus[avg_bonus],AvgBonus[exp_item],$J578,AvgBonus[company_name],$B578,AvgBonus[bu_name],$C578,AvgBonus[dept_name],$D578,AvgBonus[team_consolidation],$K578,AvgBonus[location_name],$G578,AvgBonus[job_title],$H578))*AD473*SUM(BonusPayout[Month 19]))</f>
        <v>0</v>
      </c>
      <c r="AE578" s="652">
        <f>IF($B578="",,IF(LEFT($H578,5)="dummy",SUMIFS(AvgBonus[avg_bonus],AvgBonus[job_title],$H578),SUMIFS(AvgBonus[avg_bonus],AvgBonus[exp_item],$J578,AvgBonus[company_name],$B578,AvgBonus[bu_name],$C578,AvgBonus[dept_name],$D578,AvgBonus[team_consolidation],$K578,AvgBonus[location_name],$G578,AvgBonus[job_title],$H578))*AE473*SUM(BonusPayout[Month 20]))</f>
        <v>0</v>
      </c>
      <c r="AF578" s="652">
        <f>IF($B578="",,IF(LEFT($H578,5)="dummy",SUMIFS(AvgBonus[avg_bonus],AvgBonus[job_title],$H578),SUMIFS(AvgBonus[avg_bonus],AvgBonus[exp_item],$J578,AvgBonus[company_name],$B578,AvgBonus[bu_name],$C578,AvgBonus[dept_name],$D578,AvgBonus[team_consolidation],$K578,AvgBonus[location_name],$G578,AvgBonus[job_title],$H578))*AF473*SUM(BonusPayout[Month 21]))</f>
        <v>0</v>
      </c>
      <c r="AG578" s="652">
        <f>IF($B578="",,IF(LEFT($H578,5)="dummy",SUMIFS(AvgBonus[avg_bonus],AvgBonus[job_title],$H578),SUMIFS(AvgBonus[avg_bonus],AvgBonus[exp_item],$J578,AvgBonus[company_name],$B578,AvgBonus[bu_name],$C578,AvgBonus[dept_name],$D578,AvgBonus[team_consolidation],$K578,AvgBonus[location_name],$G578,AvgBonus[job_title],$H578))*AG473*SUM(BonusPayout[Month 22]))</f>
        <v>0</v>
      </c>
      <c r="AH578" s="652">
        <f>IF($B578="",,IF(LEFT($H578,5)="dummy",SUMIFS(AvgBonus[avg_bonus],AvgBonus[job_title],$H578),SUMIFS(AvgBonus[avg_bonus],AvgBonus[exp_item],$J578,AvgBonus[company_name],$B578,AvgBonus[bu_name],$C578,AvgBonus[dept_name],$D578,AvgBonus[team_consolidation],$K578,AvgBonus[location_name],$G578,AvgBonus[job_title],$H578))*AH473*SUM(BonusPayout[Month 23]))</f>
        <v>0</v>
      </c>
      <c r="AI578" s="652">
        <f>IF($B578="",,IF(LEFT($H578,5)="dummy",SUMIFS(AvgBonus[avg_bonus],AvgBonus[job_title],$H578),SUMIFS(AvgBonus[avg_bonus],AvgBonus[exp_item],$J578,AvgBonus[company_name],$B578,AvgBonus[bu_name],$C578,AvgBonus[dept_name],$D578,AvgBonus[team_consolidation],$K578,AvgBonus[location_name],$G578,AvgBonus[job_title],$H578))*AI473*SUM(BonusPayout[Month 24]))</f>
        <v>0</v>
      </c>
      <c r="AJ578" s="652">
        <f>IF($B578="",,IF(LEFT($H578,5)="dummy",SUMIFS(AvgBonus[avg_bonus],AvgBonus[job_title],$H578),SUMIFS(AvgBonus[avg_bonus],AvgBonus[exp_item],$J578,AvgBonus[company_name],$B578,AvgBonus[bu_name],$C578,AvgBonus[dept_name],$D578,AvgBonus[team_consolidation],$K578,AvgBonus[location_name],$G578,AvgBonus[job_title],$H578))*AJ473*SUM(BonusPayout[Month 25]))</f>
        <v>0</v>
      </c>
      <c r="AK578" s="652">
        <f>IF($B578="",,IF(LEFT($H578,5)="dummy",SUMIFS(AvgBonus[avg_bonus],AvgBonus[job_title],$H578),SUMIFS(AvgBonus[avg_bonus],AvgBonus[exp_item],$J578,AvgBonus[company_name],$B578,AvgBonus[bu_name],$C578,AvgBonus[dept_name],$D578,AvgBonus[team_consolidation],$K578,AvgBonus[location_name],$G578,AvgBonus[job_title],$H578))*AK473*SUM(BonusPayout[Month 26]))</f>
        <v>0</v>
      </c>
      <c r="AL578" s="652">
        <f>IF($B578="",,IF(LEFT($H578,5)="dummy",SUMIFS(AvgBonus[avg_bonus],AvgBonus[job_title],$H578),SUMIFS(AvgBonus[avg_bonus],AvgBonus[exp_item],$J578,AvgBonus[company_name],$B578,AvgBonus[bu_name],$C578,AvgBonus[dept_name],$D578,AvgBonus[team_consolidation],$K578,AvgBonus[location_name],$G578,AvgBonus[job_title],$H578))*AL473*SUM(BonusPayout[Month 27]))</f>
        <v>0</v>
      </c>
      <c r="AM578" s="652">
        <f>IF($B578="",,IF(LEFT($H578,5)="dummy",SUMIFS(AvgBonus[avg_bonus],AvgBonus[job_title],$H578),SUMIFS(AvgBonus[avg_bonus],AvgBonus[exp_item],$J578,AvgBonus[company_name],$B578,AvgBonus[bu_name],$C578,AvgBonus[dept_name],$D578,AvgBonus[team_consolidation],$K578,AvgBonus[location_name],$G578,AvgBonus[job_title],$H578))*AM473*SUM(BonusPayout[Month 28]))</f>
        <v>0</v>
      </c>
      <c r="AN578" s="652">
        <f>IF($B578="",,IF(LEFT($H578,5)="dummy",SUMIFS(AvgBonus[avg_bonus],AvgBonus[job_title],$H578),SUMIFS(AvgBonus[avg_bonus],AvgBonus[exp_item],$J578,AvgBonus[company_name],$B578,AvgBonus[bu_name],$C578,AvgBonus[dept_name],$D578,AvgBonus[team_consolidation],$K578,AvgBonus[location_name],$G578,AvgBonus[job_title],$H578))*AN473*SUM(BonusPayout[Month 29]))</f>
        <v>0</v>
      </c>
      <c r="AO578" s="652">
        <f>IF($B578="",,IF(LEFT($H578,5)="dummy",SUMIFS(AvgBonus[avg_bonus],AvgBonus[job_title],$H578),SUMIFS(AvgBonus[avg_bonus],AvgBonus[exp_item],$J578,AvgBonus[company_name],$B578,AvgBonus[bu_name],$C578,AvgBonus[dept_name],$D578,AvgBonus[team_consolidation],$K578,AvgBonus[location_name],$G578,AvgBonus[job_title],$H578))*AO473*SUM(BonusPayout[Month 30]))</f>
        <v>0</v>
      </c>
      <c r="AP578" s="652">
        <f>IF($B578="",,IF(LEFT($H578,5)="dummy",SUMIFS(AvgBonus[avg_bonus],AvgBonus[job_title],$H578),SUMIFS(AvgBonus[avg_bonus],AvgBonus[exp_item],$J578,AvgBonus[company_name],$B578,AvgBonus[bu_name],$C578,AvgBonus[dept_name],$D578,AvgBonus[team_consolidation],$K578,AvgBonus[location_name],$G578,AvgBonus[job_title],$H578))*AP473*SUM(BonusPayout[Month 31]))</f>
        <v>0</v>
      </c>
      <c r="AQ578" s="652">
        <f>IF($B578="",,IF(LEFT($H578,5)="dummy",SUMIFS(AvgBonus[avg_bonus],AvgBonus[job_title],$H578),SUMIFS(AvgBonus[avg_bonus],AvgBonus[exp_item],$J578,AvgBonus[company_name],$B578,AvgBonus[bu_name],$C578,AvgBonus[dept_name],$D578,AvgBonus[team_consolidation],$K578,AvgBonus[location_name],$G578,AvgBonus[job_title],$H578))*AQ473*SUM(BonusPayout[Month 32]))</f>
        <v>0</v>
      </c>
      <c r="AR578" s="652">
        <f>IF($B578="",,IF(LEFT($H578,5)="dummy",SUMIFS(AvgBonus[avg_bonus],AvgBonus[job_title],$H578),SUMIFS(AvgBonus[avg_bonus],AvgBonus[exp_item],$J578,AvgBonus[company_name],$B578,AvgBonus[bu_name],$C578,AvgBonus[dept_name],$D578,AvgBonus[team_consolidation],$K578,AvgBonus[location_name],$G578,AvgBonus[job_title],$H578))*AR473*SUM(BonusPayout[Month 33]))</f>
        <v>0</v>
      </c>
      <c r="AS578" s="652">
        <f>IF($B578="",,IF(LEFT($H578,5)="dummy",SUMIFS(AvgBonus[avg_bonus],AvgBonus[job_title],$H578),SUMIFS(AvgBonus[avg_bonus],AvgBonus[exp_item],$J578,AvgBonus[company_name],$B578,AvgBonus[bu_name],$C578,AvgBonus[dept_name],$D578,AvgBonus[team_consolidation],$K578,AvgBonus[location_name],$G578,AvgBonus[job_title],$H578))*AS473*SUM(BonusPayout[Month 34]))</f>
        <v>0</v>
      </c>
      <c r="AT578" s="652">
        <f>IF($B578="",,IF(LEFT($H578,5)="dummy",SUMIFS(AvgBonus[avg_bonus],AvgBonus[job_title],$H578),SUMIFS(AvgBonus[avg_bonus],AvgBonus[exp_item],$J578,AvgBonus[company_name],$B578,AvgBonus[bu_name],$C578,AvgBonus[dept_name],$D578,AvgBonus[team_consolidation],$K578,AvgBonus[location_name],$G578,AvgBonus[job_title],$H578))*AT473*SUM(BonusPayout[Month 35]))</f>
        <v>0</v>
      </c>
      <c r="AU578" s="652">
        <f>IF($B578="",,IF(LEFT($H578,5)="dummy",SUMIFS(AvgBonus[avg_bonus],AvgBonus[job_title],$H578),SUMIFS(AvgBonus[avg_bonus],AvgBonus[exp_item],$J578,AvgBonus[company_name],$B578,AvgBonus[bu_name],$C578,AvgBonus[dept_name],$D578,AvgBonus[team_consolidation],$K578,AvgBonus[location_name],$G578,AvgBonus[job_title],$H578))*AU473*SUM(BonusPayout[Month 36]))</f>
        <v>0</v>
      </c>
    </row>
    <row r="579" spans="2:47" x14ac:dyDescent="0.35">
      <c r="B579" t="str">
        <f t="shared" si="361"/>
        <v/>
      </c>
      <c r="C579" t="str">
        <f t="shared" ref="C579:G579" si="376">IF(C474="","",C474)</f>
        <v/>
      </c>
      <c r="D579" t="str">
        <f t="shared" si="376"/>
        <v/>
      </c>
      <c r="E579" t="str">
        <f t="shared" si="376"/>
        <v/>
      </c>
      <c r="F579" t="str">
        <f t="shared" si="376"/>
        <v/>
      </c>
      <c r="G579" t="str">
        <f t="shared" si="376"/>
        <v/>
      </c>
      <c r="H579" t="str">
        <f t="shared" si="360"/>
        <v/>
      </c>
      <c r="J579" t="str">
        <f>IF($H579="","",IF(VLOOKUP($B$500,ExpItems[],2,0),$B$500&amp;" - "&amp;INDEX(DivisionMapping[category_code],MATCH($D579&amp;$C579,DivisionMapping[dept_bu],0)),$B$500))</f>
        <v/>
      </c>
      <c r="K579" t="str">
        <f t="shared" si="363"/>
        <v/>
      </c>
      <c r="L579" s="652">
        <f>IF($B579="",,IF(LEFT($H579,5)="dummy",SUMIFS(AvgBonus[avg_bonus],AvgBonus[job_title],$H579),SUMIFS(AvgBonus[avg_bonus],AvgBonus[exp_item],$J579,AvgBonus[company_name],$B579,AvgBonus[bu_name],$C579,AvgBonus[dept_name],$D579,AvgBonus[team_consolidation],$K579,AvgBonus[location_name],$G579,AvgBonus[job_title],$H579))*L474*SUM(BonusPayout[Month 1]))</f>
        <v>0</v>
      </c>
      <c r="M579" s="652">
        <f>IF($B579="",,IF(LEFT($H579,5)="dummy",SUMIFS(AvgBonus[avg_bonus],AvgBonus[job_title],$H579),SUMIFS(AvgBonus[avg_bonus],AvgBonus[exp_item],$J579,AvgBonus[company_name],$B579,AvgBonus[bu_name],$C579,AvgBonus[dept_name],$D579,AvgBonus[team_consolidation],$K579,AvgBonus[location_name],$G579,AvgBonus[job_title],$H579))*M474*SUM(BonusPayout[Month 2]))</f>
        <v>0</v>
      </c>
      <c r="N579" s="652">
        <f>IF($B579="",,IF(LEFT($H579,5)="dummy",SUMIFS(AvgBonus[avg_bonus],AvgBonus[job_title],$H579),SUMIFS(AvgBonus[avg_bonus],AvgBonus[exp_item],$J579,AvgBonus[company_name],$B579,AvgBonus[bu_name],$C579,AvgBonus[dept_name],$D579,AvgBonus[team_consolidation],$K579,AvgBonus[location_name],$G579,AvgBonus[job_title],$H579))*N474*SUM(BonusPayout[Month 3]))</f>
        <v>0</v>
      </c>
      <c r="O579" s="652">
        <f>IF($B579="",,IF(LEFT($H579,5)="dummy",SUMIFS(AvgBonus[avg_bonus],AvgBonus[job_title],$H579),SUMIFS(AvgBonus[avg_bonus],AvgBonus[exp_item],$J579,AvgBonus[company_name],$B579,AvgBonus[bu_name],$C579,AvgBonus[dept_name],$D579,AvgBonus[team_consolidation],$K579,AvgBonus[location_name],$G579,AvgBonus[job_title],$H579))*O474*SUM(BonusPayout[Month 4]))</f>
        <v>0</v>
      </c>
      <c r="P579" s="652">
        <f>IF($B579="",,IF(LEFT($H579,5)="dummy",SUMIFS(AvgBonus[avg_bonus],AvgBonus[job_title],$H579),SUMIFS(AvgBonus[avg_bonus],AvgBonus[exp_item],$J579,AvgBonus[company_name],$B579,AvgBonus[bu_name],$C579,AvgBonus[dept_name],$D579,AvgBonus[team_consolidation],$K579,AvgBonus[location_name],$G579,AvgBonus[job_title],$H579))*P474*SUM(BonusPayout[Month 5]))</f>
        <v>0</v>
      </c>
      <c r="Q579" s="652">
        <f>IF($B579="",,IF(LEFT($H579,5)="dummy",SUMIFS(AvgBonus[avg_bonus],AvgBonus[job_title],$H579),SUMIFS(AvgBonus[avg_bonus],AvgBonus[exp_item],$J579,AvgBonus[company_name],$B579,AvgBonus[bu_name],$C579,AvgBonus[dept_name],$D579,AvgBonus[team_consolidation],$K579,AvgBonus[location_name],$G579,AvgBonus[job_title],$H579))*Q474*SUM(BonusPayout[Month 6]))</f>
        <v>0</v>
      </c>
      <c r="R579" s="652">
        <f>IF($B579="",,IF(LEFT($H579,5)="dummy",SUMIFS(AvgBonus[avg_bonus],AvgBonus[job_title],$H579),SUMIFS(AvgBonus[avg_bonus],AvgBonus[exp_item],$J579,AvgBonus[company_name],$B579,AvgBonus[bu_name],$C579,AvgBonus[dept_name],$D579,AvgBonus[team_consolidation],$K579,AvgBonus[location_name],$G579,AvgBonus[job_title],$H579))*R474*SUM(BonusPayout[Month 7]))</f>
        <v>0</v>
      </c>
      <c r="S579" s="652">
        <f>IF($B579="",,IF(LEFT($H579,5)="dummy",SUMIFS(AvgBonus[avg_bonus],AvgBonus[job_title],$H579),SUMIFS(AvgBonus[avg_bonus],AvgBonus[exp_item],$J579,AvgBonus[company_name],$B579,AvgBonus[bu_name],$C579,AvgBonus[dept_name],$D579,AvgBonus[team_consolidation],$K579,AvgBonus[location_name],$G579,AvgBonus[job_title],$H579))*S474*SUM(BonusPayout[Month 8]))</f>
        <v>0</v>
      </c>
      <c r="T579" s="652">
        <f>IF($B579="",,IF(LEFT($H579,5)="dummy",SUMIFS(AvgBonus[avg_bonus],AvgBonus[job_title],$H579),SUMIFS(AvgBonus[avg_bonus],AvgBonus[exp_item],$J579,AvgBonus[company_name],$B579,AvgBonus[bu_name],$C579,AvgBonus[dept_name],$D579,AvgBonus[team_consolidation],$K579,AvgBonus[location_name],$G579,AvgBonus[job_title],$H579))*T474*SUM(BonusPayout[Month 9]))</f>
        <v>0</v>
      </c>
      <c r="U579" s="652">
        <f>IF($B579="",,IF(LEFT($H579,5)="dummy",SUMIFS(AvgBonus[avg_bonus],AvgBonus[job_title],$H579),SUMIFS(AvgBonus[avg_bonus],AvgBonus[exp_item],$J579,AvgBonus[company_name],$B579,AvgBonus[bu_name],$C579,AvgBonus[dept_name],$D579,AvgBonus[team_consolidation],$K579,AvgBonus[location_name],$G579,AvgBonus[job_title],$H579))*U474*SUM(BonusPayout[Month 10]))</f>
        <v>0</v>
      </c>
      <c r="V579" s="652">
        <f>IF($B579="",,IF(LEFT($H579,5)="dummy",SUMIFS(AvgBonus[avg_bonus],AvgBonus[job_title],$H579),SUMIFS(AvgBonus[avg_bonus],AvgBonus[exp_item],$J579,AvgBonus[company_name],$B579,AvgBonus[bu_name],$C579,AvgBonus[dept_name],$D579,AvgBonus[team_consolidation],$K579,AvgBonus[location_name],$G579,AvgBonus[job_title],$H579))*V474*SUM(BonusPayout[Month 11]))</f>
        <v>0</v>
      </c>
      <c r="W579" s="652">
        <f>IF($B579="",,IF(LEFT($H579,5)="dummy",SUMIFS(AvgBonus[avg_bonus],AvgBonus[job_title],$H579),SUMIFS(AvgBonus[avg_bonus],AvgBonus[exp_item],$J579,AvgBonus[company_name],$B579,AvgBonus[bu_name],$C579,AvgBonus[dept_name],$D579,AvgBonus[team_consolidation],$K579,AvgBonus[location_name],$G579,AvgBonus[job_title],$H579))*W474*SUM(BonusPayout[Month 12]))</f>
        <v>0</v>
      </c>
      <c r="X579" s="652">
        <f>IF($B579="",,IF(LEFT($H579,5)="dummy",SUMIFS(AvgBonus[avg_bonus],AvgBonus[job_title],$H579),SUMIFS(AvgBonus[avg_bonus],AvgBonus[exp_item],$J579,AvgBonus[company_name],$B579,AvgBonus[bu_name],$C579,AvgBonus[dept_name],$D579,AvgBonus[team_consolidation],$K579,AvgBonus[location_name],$G579,AvgBonus[job_title],$H579))*X474*SUM(BonusPayout[Month 13]))</f>
        <v>0</v>
      </c>
      <c r="Y579" s="652">
        <f>IF($B579="",,IF(LEFT($H579,5)="dummy",SUMIFS(AvgBonus[avg_bonus],AvgBonus[job_title],$H579),SUMIFS(AvgBonus[avg_bonus],AvgBonus[exp_item],$J579,AvgBonus[company_name],$B579,AvgBonus[bu_name],$C579,AvgBonus[dept_name],$D579,AvgBonus[team_consolidation],$K579,AvgBonus[location_name],$G579,AvgBonus[job_title],$H579))*Y474*SUM(BonusPayout[Month 14]))</f>
        <v>0</v>
      </c>
      <c r="Z579" s="652">
        <f>IF($B579="",,IF(LEFT($H579,5)="dummy",SUMIFS(AvgBonus[avg_bonus],AvgBonus[job_title],$H579),SUMIFS(AvgBonus[avg_bonus],AvgBonus[exp_item],$J579,AvgBonus[company_name],$B579,AvgBonus[bu_name],$C579,AvgBonus[dept_name],$D579,AvgBonus[team_consolidation],$K579,AvgBonus[location_name],$G579,AvgBonus[job_title],$H579))*Z474*SUM(BonusPayout[Month 15]))</f>
        <v>0</v>
      </c>
      <c r="AA579" s="652">
        <f>IF($B579="",,IF(LEFT($H579,5)="dummy",SUMIFS(AvgBonus[avg_bonus],AvgBonus[job_title],$H579),SUMIFS(AvgBonus[avg_bonus],AvgBonus[exp_item],$J579,AvgBonus[company_name],$B579,AvgBonus[bu_name],$C579,AvgBonus[dept_name],$D579,AvgBonus[team_consolidation],$K579,AvgBonus[location_name],$G579,AvgBonus[job_title],$H579))*AA474*SUM(BonusPayout[Month 16]))</f>
        <v>0</v>
      </c>
      <c r="AB579" s="652">
        <f>IF($B579="",,IF(LEFT($H579,5)="dummy",SUMIFS(AvgBonus[avg_bonus],AvgBonus[job_title],$H579),SUMIFS(AvgBonus[avg_bonus],AvgBonus[exp_item],$J579,AvgBonus[company_name],$B579,AvgBonus[bu_name],$C579,AvgBonus[dept_name],$D579,AvgBonus[team_consolidation],$K579,AvgBonus[location_name],$G579,AvgBonus[job_title],$H579))*AB474*SUM(BonusPayout[Month 17]))</f>
        <v>0</v>
      </c>
      <c r="AC579" s="652">
        <f>IF($B579="",,IF(LEFT($H579,5)="dummy",SUMIFS(AvgBonus[avg_bonus],AvgBonus[job_title],$H579),SUMIFS(AvgBonus[avg_bonus],AvgBonus[exp_item],$J579,AvgBonus[company_name],$B579,AvgBonus[bu_name],$C579,AvgBonus[dept_name],$D579,AvgBonus[team_consolidation],$K579,AvgBonus[location_name],$G579,AvgBonus[job_title],$H579))*AC474*SUM(BonusPayout[Month 18]))</f>
        <v>0</v>
      </c>
      <c r="AD579" s="652">
        <f>IF($B579="",,IF(LEFT($H579,5)="dummy",SUMIFS(AvgBonus[avg_bonus],AvgBonus[job_title],$H579),SUMIFS(AvgBonus[avg_bonus],AvgBonus[exp_item],$J579,AvgBonus[company_name],$B579,AvgBonus[bu_name],$C579,AvgBonus[dept_name],$D579,AvgBonus[team_consolidation],$K579,AvgBonus[location_name],$G579,AvgBonus[job_title],$H579))*AD474*SUM(BonusPayout[Month 19]))</f>
        <v>0</v>
      </c>
      <c r="AE579" s="652">
        <f>IF($B579="",,IF(LEFT($H579,5)="dummy",SUMIFS(AvgBonus[avg_bonus],AvgBonus[job_title],$H579),SUMIFS(AvgBonus[avg_bonus],AvgBonus[exp_item],$J579,AvgBonus[company_name],$B579,AvgBonus[bu_name],$C579,AvgBonus[dept_name],$D579,AvgBonus[team_consolidation],$K579,AvgBonus[location_name],$G579,AvgBonus[job_title],$H579))*AE474*SUM(BonusPayout[Month 20]))</f>
        <v>0</v>
      </c>
      <c r="AF579" s="652">
        <f>IF($B579="",,IF(LEFT($H579,5)="dummy",SUMIFS(AvgBonus[avg_bonus],AvgBonus[job_title],$H579),SUMIFS(AvgBonus[avg_bonus],AvgBonus[exp_item],$J579,AvgBonus[company_name],$B579,AvgBonus[bu_name],$C579,AvgBonus[dept_name],$D579,AvgBonus[team_consolidation],$K579,AvgBonus[location_name],$G579,AvgBonus[job_title],$H579))*AF474*SUM(BonusPayout[Month 21]))</f>
        <v>0</v>
      </c>
      <c r="AG579" s="652">
        <f>IF($B579="",,IF(LEFT($H579,5)="dummy",SUMIFS(AvgBonus[avg_bonus],AvgBonus[job_title],$H579),SUMIFS(AvgBonus[avg_bonus],AvgBonus[exp_item],$J579,AvgBonus[company_name],$B579,AvgBonus[bu_name],$C579,AvgBonus[dept_name],$D579,AvgBonus[team_consolidation],$K579,AvgBonus[location_name],$G579,AvgBonus[job_title],$H579))*AG474*SUM(BonusPayout[Month 22]))</f>
        <v>0</v>
      </c>
      <c r="AH579" s="652">
        <f>IF($B579="",,IF(LEFT($H579,5)="dummy",SUMIFS(AvgBonus[avg_bonus],AvgBonus[job_title],$H579),SUMIFS(AvgBonus[avg_bonus],AvgBonus[exp_item],$J579,AvgBonus[company_name],$B579,AvgBonus[bu_name],$C579,AvgBonus[dept_name],$D579,AvgBonus[team_consolidation],$K579,AvgBonus[location_name],$G579,AvgBonus[job_title],$H579))*AH474*SUM(BonusPayout[Month 23]))</f>
        <v>0</v>
      </c>
      <c r="AI579" s="652">
        <f>IF($B579="",,IF(LEFT($H579,5)="dummy",SUMIFS(AvgBonus[avg_bonus],AvgBonus[job_title],$H579),SUMIFS(AvgBonus[avg_bonus],AvgBonus[exp_item],$J579,AvgBonus[company_name],$B579,AvgBonus[bu_name],$C579,AvgBonus[dept_name],$D579,AvgBonus[team_consolidation],$K579,AvgBonus[location_name],$G579,AvgBonus[job_title],$H579))*AI474*SUM(BonusPayout[Month 24]))</f>
        <v>0</v>
      </c>
      <c r="AJ579" s="652">
        <f>IF($B579="",,IF(LEFT($H579,5)="dummy",SUMIFS(AvgBonus[avg_bonus],AvgBonus[job_title],$H579),SUMIFS(AvgBonus[avg_bonus],AvgBonus[exp_item],$J579,AvgBonus[company_name],$B579,AvgBonus[bu_name],$C579,AvgBonus[dept_name],$D579,AvgBonus[team_consolidation],$K579,AvgBonus[location_name],$G579,AvgBonus[job_title],$H579))*AJ474*SUM(BonusPayout[Month 25]))</f>
        <v>0</v>
      </c>
      <c r="AK579" s="652">
        <f>IF($B579="",,IF(LEFT($H579,5)="dummy",SUMIFS(AvgBonus[avg_bonus],AvgBonus[job_title],$H579),SUMIFS(AvgBonus[avg_bonus],AvgBonus[exp_item],$J579,AvgBonus[company_name],$B579,AvgBonus[bu_name],$C579,AvgBonus[dept_name],$D579,AvgBonus[team_consolidation],$K579,AvgBonus[location_name],$G579,AvgBonus[job_title],$H579))*AK474*SUM(BonusPayout[Month 26]))</f>
        <v>0</v>
      </c>
      <c r="AL579" s="652">
        <f>IF($B579="",,IF(LEFT($H579,5)="dummy",SUMIFS(AvgBonus[avg_bonus],AvgBonus[job_title],$H579),SUMIFS(AvgBonus[avg_bonus],AvgBonus[exp_item],$J579,AvgBonus[company_name],$B579,AvgBonus[bu_name],$C579,AvgBonus[dept_name],$D579,AvgBonus[team_consolidation],$K579,AvgBonus[location_name],$G579,AvgBonus[job_title],$H579))*AL474*SUM(BonusPayout[Month 27]))</f>
        <v>0</v>
      </c>
      <c r="AM579" s="652">
        <f>IF($B579="",,IF(LEFT($H579,5)="dummy",SUMIFS(AvgBonus[avg_bonus],AvgBonus[job_title],$H579),SUMIFS(AvgBonus[avg_bonus],AvgBonus[exp_item],$J579,AvgBonus[company_name],$B579,AvgBonus[bu_name],$C579,AvgBonus[dept_name],$D579,AvgBonus[team_consolidation],$K579,AvgBonus[location_name],$G579,AvgBonus[job_title],$H579))*AM474*SUM(BonusPayout[Month 28]))</f>
        <v>0</v>
      </c>
      <c r="AN579" s="652">
        <f>IF($B579="",,IF(LEFT($H579,5)="dummy",SUMIFS(AvgBonus[avg_bonus],AvgBonus[job_title],$H579),SUMIFS(AvgBonus[avg_bonus],AvgBonus[exp_item],$J579,AvgBonus[company_name],$B579,AvgBonus[bu_name],$C579,AvgBonus[dept_name],$D579,AvgBonus[team_consolidation],$K579,AvgBonus[location_name],$G579,AvgBonus[job_title],$H579))*AN474*SUM(BonusPayout[Month 29]))</f>
        <v>0</v>
      </c>
      <c r="AO579" s="652">
        <f>IF($B579="",,IF(LEFT($H579,5)="dummy",SUMIFS(AvgBonus[avg_bonus],AvgBonus[job_title],$H579),SUMIFS(AvgBonus[avg_bonus],AvgBonus[exp_item],$J579,AvgBonus[company_name],$B579,AvgBonus[bu_name],$C579,AvgBonus[dept_name],$D579,AvgBonus[team_consolidation],$K579,AvgBonus[location_name],$G579,AvgBonus[job_title],$H579))*AO474*SUM(BonusPayout[Month 30]))</f>
        <v>0</v>
      </c>
      <c r="AP579" s="652">
        <f>IF($B579="",,IF(LEFT($H579,5)="dummy",SUMIFS(AvgBonus[avg_bonus],AvgBonus[job_title],$H579),SUMIFS(AvgBonus[avg_bonus],AvgBonus[exp_item],$J579,AvgBonus[company_name],$B579,AvgBonus[bu_name],$C579,AvgBonus[dept_name],$D579,AvgBonus[team_consolidation],$K579,AvgBonus[location_name],$G579,AvgBonus[job_title],$H579))*AP474*SUM(BonusPayout[Month 31]))</f>
        <v>0</v>
      </c>
      <c r="AQ579" s="652">
        <f>IF($B579="",,IF(LEFT($H579,5)="dummy",SUMIFS(AvgBonus[avg_bonus],AvgBonus[job_title],$H579),SUMIFS(AvgBonus[avg_bonus],AvgBonus[exp_item],$J579,AvgBonus[company_name],$B579,AvgBonus[bu_name],$C579,AvgBonus[dept_name],$D579,AvgBonus[team_consolidation],$K579,AvgBonus[location_name],$G579,AvgBonus[job_title],$H579))*AQ474*SUM(BonusPayout[Month 32]))</f>
        <v>0</v>
      </c>
      <c r="AR579" s="652">
        <f>IF($B579="",,IF(LEFT($H579,5)="dummy",SUMIFS(AvgBonus[avg_bonus],AvgBonus[job_title],$H579),SUMIFS(AvgBonus[avg_bonus],AvgBonus[exp_item],$J579,AvgBonus[company_name],$B579,AvgBonus[bu_name],$C579,AvgBonus[dept_name],$D579,AvgBonus[team_consolidation],$K579,AvgBonus[location_name],$G579,AvgBonus[job_title],$H579))*AR474*SUM(BonusPayout[Month 33]))</f>
        <v>0</v>
      </c>
      <c r="AS579" s="652">
        <f>IF($B579="",,IF(LEFT($H579,5)="dummy",SUMIFS(AvgBonus[avg_bonus],AvgBonus[job_title],$H579),SUMIFS(AvgBonus[avg_bonus],AvgBonus[exp_item],$J579,AvgBonus[company_name],$B579,AvgBonus[bu_name],$C579,AvgBonus[dept_name],$D579,AvgBonus[team_consolidation],$K579,AvgBonus[location_name],$G579,AvgBonus[job_title],$H579))*AS474*SUM(BonusPayout[Month 34]))</f>
        <v>0</v>
      </c>
      <c r="AT579" s="652">
        <f>IF($B579="",,IF(LEFT($H579,5)="dummy",SUMIFS(AvgBonus[avg_bonus],AvgBonus[job_title],$H579),SUMIFS(AvgBonus[avg_bonus],AvgBonus[exp_item],$J579,AvgBonus[company_name],$B579,AvgBonus[bu_name],$C579,AvgBonus[dept_name],$D579,AvgBonus[team_consolidation],$K579,AvgBonus[location_name],$G579,AvgBonus[job_title],$H579))*AT474*SUM(BonusPayout[Month 35]))</f>
        <v>0</v>
      </c>
      <c r="AU579" s="652">
        <f>IF($B579="",,IF(LEFT($H579,5)="dummy",SUMIFS(AvgBonus[avg_bonus],AvgBonus[job_title],$H579),SUMIFS(AvgBonus[avg_bonus],AvgBonus[exp_item],$J579,AvgBonus[company_name],$B579,AvgBonus[bu_name],$C579,AvgBonus[dept_name],$D579,AvgBonus[team_consolidation],$K579,AvgBonus[location_name],$G579,AvgBonus[job_title],$H579))*AU474*SUM(BonusPayout[Month 36]))</f>
        <v>0</v>
      </c>
    </row>
    <row r="580" spans="2:47" x14ac:dyDescent="0.35">
      <c r="B580" t="str">
        <f t="shared" si="361"/>
        <v/>
      </c>
      <c r="C580" t="str">
        <f t="shared" ref="C580:G580" si="377">IF(C475="","",C475)</f>
        <v/>
      </c>
      <c r="D580" t="str">
        <f t="shared" si="377"/>
        <v/>
      </c>
      <c r="E580" t="str">
        <f t="shared" si="377"/>
        <v/>
      </c>
      <c r="F580" t="str">
        <f t="shared" si="377"/>
        <v/>
      </c>
      <c r="G580" t="str">
        <f t="shared" si="377"/>
        <v/>
      </c>
      <c r="H580" t="str">
        <f t="shared" si="360"/>
        <v/>
      </c>
      <c r="J580" t="str">
        <f>IF($H580="","",IF(VLOOKUP($B$500,ExpItems[],2,0),$B$500&amp;" - "&amp;INDEX(DivisionMapping[category_code],MATCH($D580&amp;$C580,DivisionMapping[dept_bu],0)),$B$500))</f>
        <v/>
      </c>
      <c r="K580" t="str">
        <f t="shared" si="363"/>
        <v/>
      </c>
      <c r="L580" s="652">
        <f>IF($B580="",,IF(LEFT($H580,5)="dummy",SUMIFS(AvgBonus[avg_bonus],AvgBonus[job_title],$H580),SUMIFS(AvgBonus[avg_bonus],AvgBonus[exp_item],$J580,AvgBonus[company_name],$B580,AvgBonus[bu_name],$C580,AvgBonus[dept_name],$D580,AvgBonus[team_consolidation],$K580,AvgBonus[location_name],$G580,AvgBonus[job_title],$H580))*L475*SUM(BonusPayout[Month 1]))</f>
        <v>0</v>
      </c>
      <c r="M580" s="652">
        <f>IF($B580="",,IF(LEFT($H580,5)="dummy",SUMIFS(AvgBonus[avg_bonus],AvgBonus[job_title],$H580),SUMIFS(AvgBonus[avg_bonus],AvgBonus[exp_item],$J580,AvgBonus[company_name],$B580,AvgBonus[bu_name],$C580,AvgBonus[dept_name],$D580,AvgBonus[team_consolidation],$K580,AvgBonus[location_name],$G580,AvgBonus[job_title],$H580))*M475*SUM(BonusPayout[Month 2]))</f>
        <v>0</v>
      </c>
      <c r="N580" s="652">
        <f>IF($B580="",,IF(LEFT($H580,5)="dummy",SUMIFS(AvgBonus[avg_bonus],AvgBonus[job_title],$H580),SUMIFS(AvgBonus[avg_bonus],AvgBonus[exp_item],$J580,AvgBonus[company_name],$B580,AvgBonus[bu_name],$C580,AvgBonus[dept_name],$D580,AvgBonus[team_consolidation],$K580,AvgBonus[location_name],$G580,AvgBonus[job_title],$H580))*N475*SUM(BonusPayout[Month 3]))</f>
        <v>0</v>
      </c>
      <c r="O580" s="652">
        <f>IF($B580="",,IF(LEFT($H580,5)="dummy",SUMIFS(AvgBonus[avg_bonus],AvgBonus[job_title],$H580),SUMIFS(AvgBonus[avg_bonus],AvgBonus[exp_item],$J580,AvgBonus[company_name],$B580,AvgBonus[bu_name],$C580,AvgBonus[dept_name],$D580,AvgBonus[team_consolidation],$K580,AvgBonus[location_name],$G580,AvgBonus[job_title],$H580))*O475*SUM(BonusPayout[Month 4]))</f>
        <v>0</v>
      </c>
      <c r="P580" s="652">
        <f>IF($B580="",,IF(LEFT($H580,5)="dummy",SUMIFS(AvgBonus[avg_bonus],AvgBonus[job_title],$H580),SUMIFS(AvgBonus[avg_bonus],AvgBonus[exp_item],$J580,AvgBonus[company_name],$B580,AvgBonus[bu_name],$C580,AvgBonus[dept_name],$D580,AvgBonus[team_consolidation],$K580,AvgBonus[location_name],$G580,AvgBonus[job_title],$H580))*P475*SUM(BonusPayout[Month 5]))</f>
        <v>0</v>
      </c>
      <c r="Q580" s="652">
        <f>IF($B580="",,IF(LEFT($H580,5)="dummy",SUMIFS(AvgBonus[avg_bonus],AvgBonus[job_title],$H580),SUMIFS(AvgBonus[avg_bonus],AvgBonus[exp_item],$J580,AvgBonus[company_name],$B580,AvgBonus[bu_name],$C580,AvgBonus[dept_name],$D580,AvgBonus[team_consolidation],$K580,AvgBonus[location_name],$G580,AvgBonus[job_title],$H580))*Q475*SUM(BonusPayout[Month 6]))</f>
        <v>0</v>
      </c>
      <c r="R580" s="652">
        <f>IF($B580="",,IF(LEFT($H580,5)="dummy",SUMIFS(AvgBonus[avg_bonus],AvgBonus[job_title],$H580),SUMIFS(AvgBonus[avg_bonus],AvgBonus[exp_item],$J580,AvgBonus[company_name],$B580,AvgBonus[bu_name],$C580,AvgBonus[dept_name],$D580,AvgBonus[team_consolidation],$K580,AvgBonus[location_name],$G580,AvgBonus[job_title],$H580))*R475*SUM(BonusPayout[Month 7]))</f>
        <v>0</v>
      </c>
      <c r="S580" s="652">
        <f>IF($B580="",,IF(LEFT($H580,5)="dummy",SUMIFS(AvgBonus[avg_bonus],AvgBonus[job_title],$H580),SUMIFS(AvgBonus[avg_bonus],AvgBonus[exp_item],$J580,AvgBonus[company_name],$B580,AvgBonus[bu_name],$C580,AvgBonus[dept_name],$D580,AvgBonus[team_consolidation],$K580,AvgBonus[location_name],$G580,AvgBonus[job_title],$H580))*S475*SUM(BonusPayout[Month 8]))</f>
        <v>0</v>
      </c>
      <c r="T580" s="652">
        <f>IF($B580="",,IF(LEFT($H580,5)="dummy",SUMIFS(AvgBonus[avg_bonus],AvgBonus[job_title],$H580),SUMIFS(AvgBonus[avg_bonus],AvgBonus[exp_item],$J580,AvgBonus[company_name],$B580,AvgBonus[bu_name],$C580,AvgBonus[dept_name],$D580,AvgBonus[team_consolidation],$K580,AvgBonus[location_name],$G580,AvgBonus[job_title],$H580))*T475*SUM(BonusPayout[Month 9]))</f>
        <v>0</v>
      </c>
      <c r="U580" s="652">
        <f>IF($B580="",,IF(LEFT($H580,5)="dummy",SUMIFS(AvgBonus[avg_bonus],AvgBonus[job_title],$H580),SUMIFS(AvgBonus[avg_bonus],AvgBonus[exp_item],$J580,AvgBonus[company_name],$B580,AvgBonus[bu_name],$C580,AvgBonus[dept_name],$D580,AvgBonus[team_consolidation],$K580,AvgBonus[location_name],$G580,AvgBonus[job_title],$H580))*U475*SUM(BonusPayout[Month 10]))</f>
        <v>0</v>
      </c>
      <c r="V580" s="652">
        <f>IF($B580="",,IF(LEFT($H580,5)="dummy",SUMIFS(AvgBonus[avg_bonus],AvgBonus[job_title],$H580),SUMIFS(AvgBonus[avg_bonus],AvgBonus[exp_item],$J580,AvgBonus[company_name],$B580,AvgBonus[bu_name],$C580,AvgBonus[dept_name],$D580,AvgBonus[team_consolidation],$K580,AvgBonus[location_name],$G580,AvgBonus[job_title],$H580))*V475*SUM(BonusPayout[Month 11]))</f>
        <v>0</v>
      </c>
      <c r="W580" s="652">
        <f>IF($B580="",,IF(LEFT($H580,5)="dummy",SUMIFS(AvgBonus[avg_bonus],AvgBonus[job_title],$H580),SUMIFS(AvgBonus[avg_bonus],AvgBonus[exp_item],$J580,AvgBonus[company_name],$B580,AvgBonus[bu_name],$C580,AvgBonus[dept_name],$D580,AvgBonus[team_consolidation],$K580,AvgBonus[location_name],$G580,AvgBonus[job_title],$H580))*W475*SUM(BonusPayout[Month 12]))</f>
        <v>0</v>
      </c>
      <c r="X580" s="652">
        <f>IF($B580="",,IF(LEFT($H580,5)="dummy",SUMIFS(AvgBonus[avg_bonus],AvgBonus[job_title],$H580),SUMIFS(AvgBonus[avg_bonus],AvgBonus[exp_item],$J580,AvgBonus[company_name],$B580,AvgBonus[bu_name],$C580,AvgBonus[dept_name],$D580,AvgBonus[team_consolidation],$K580,AvgBonus[location_name],$G580,AvgBonus[job_title],$H580))*X475*SUM(BonusPayout[Month 13]))</f>
        <v>0</v>
      </c>
      <c r="Y580" s="652">
        <f>IF($B580="",,IF(LEFT($H580,5)="dummy",SUMIFS(AvgBonus[avg_bonus],AvgBonus[job_title],$H580),SUMIFS(AvgBonus[avg_bonus],AvgBonus[exp_item],$J580,AvgBonus[company_name],$B580,AvgBonus[bu_name],$C580,AvgBonus[dept_name],$D580,AvgBonus[team_consolidation],$K580,AvgBonus[location_name],$G580,AvgBonus[job_title],$H580))*Y475*SUM(BonusPayout[Month 14]))</f>
        <v>0</v>
      </c>
      <c r="Z580" s="652">
        <f>IF($B580="",,IF(LEFT($H580,5)="dummy",SUMIFS(AvgBonus[avg_bonus],AvgBonus[job_title],$H580),SUMIFS(AvgBonus[avg_bonus],AvgBonus[exp_item],$J580,AvgBonus[company_name],$B580,AvgBonus[bu_name],$C580,AvgBonus[dept_name],$D580,AvgBonus[team_consolidation],$K580,AvgBonus[location_name],$G580,AvgBonus[job_title],$H580))*Z475*SUM(BonusPayout[Month 15]))</f>
        <v>0</v>
      </c>
      <c r="AA580" s="652">
        <f>IF($B580="",,IF(LEFT($H580,5)="dummy",SUMIFS(AvgBonus[avg_bonus],AvgBonus[job_title],$H580),SUMIFS(AvgBonus[avg_bonus],AvgBonus[exp_item],$J580,AvgBonus[company_name],$B580,AvgBonus[bu_name],$C580,AvgBonus[dept_name],$D580,AvgBonus[team_consolidation],$K580,AvgBonus[location_name],$G580,AvgBonus[job_title],$H580))*AA475*SUM(BonusPayout[Month 16]))</f>
        <v>0</v>
      </c>
      <c r="AB580" s="652">
        <f>IF($B580="",,IF(LEFT($H580,5)="dummy",SUMIFS(AvgBonus[avg_bonus],AvgBonus[job_title],$H580),SUMIFS(AvgBonus[avg_bonus],AvgBonus[exp_item],$J580,AvgBonus[company_name],$B580,AvgBonus[bu_name],$C580,AvgBonus[dept_name],$D580,AvgBonus[team_consolidation],$K580,AvgBonus[location_name],$G580,AvgBonus[job_title],$H580))*AB475*SUM(BonusPayout[Month 17]))</f>
        <v>0</v>
      </c>
      <c r="AC580" s="652">
        <f>IF($B580="",,IF(LEFT($H580,5)="dummy",SUMIFS(AvgBonus[avg_bonus],AvgBonus[job_title],$H580),SUMIFS(AvgBonus[avg_bonus],AvgBonus[exp_item],$J580,AvgBonus[company_name],$B580,AvgBonus[bu_name],$C580,AvgBonus[dept_name],$D580,AvgBonus[team_consolidation],$K580,AvgBonus[location_name],$G580,AvgBonus[job_title],$H580))*AC475*SUM(BonusPayout[Month 18]))</f>
        <v>0</v>
      </c>
      <c r="AD580" s="652">
        <f>IF($B580="",,IF(LEFT($H580,5)="dummy",SUMIFS(AvgBonus[avg_bonus],AvgBonus[job_title],$H580),SUMIFS(AvgBonus[avg_bonus],AvgBonus[exp_item],$J580,AvgBonus[company_name],$B580,AvgBonus[bu_name],$C580,AvgBonus[dept_name],$D580,AvgBonus[team_consolidation],$K580,AvgBonus[location_name],$G580,AvgBonus[job_title],$H580))*AD475*SUM(BonusPayout[Month 19]))</f>
        <v>0</v>
      </c>
      <c r="AE580" s="652">
        <f>IF($B580="",,IF(LEFT($H580,5)="dummy",SUMIFS(AvgBonus[avg_bonus],AvgBonus[job_title],$H580),SUMIFS(AvgBonus[avg_bonus],AvgBonus[exp_item],$J580,AvgBonus[company_name],$B580,AvgBonus[bu_name],$C580,AvgBonus[dept_name],$D580,AvgBonus[team_consolidation],$K580,AvgBonus[location_name],$G580,AvgBonus[job_title],$H580))*AE475*SUM(BonusPayout[Month 20]))</f>
        <v>0</v>
      </c>
      <c r="AF580" s="652">
        <f>IF($B580="",,IF(LEFT($H580,5)="dummy",SUMIFS(AvgBonus[avg_bonus],AvgBonus[job_title],$H580),SUMIFS(AvgBonus[avg_bonus],AvgBonus[exp_item],$J580,AvgBonus[company_name],$B580,AvgBonus[bu_name],$C580,AvgBonus[dept_name],$D580,AvgBonus[team_consolidation],$K580,AvgBonus[location_name],$G580,AvgBonus[job_title],$H580))*AF475*SUM(BonusPayout[Month 21]))</f>
        <v>0</v>
      </c>
      <c r="AG580" s="652">
        <f>IF($B580="",,IF(LEFT($H580,5)="dummy",SUMIFS(AvgBonus[avg_bonus],AvgBonus[job_title],$H580),SUMIFS(AvgBonus[avg_bonus],AvgBonus[exp_item],$J580,AvgBonus[company_name],$B580,AvgBonus[bu_name],$C580,AvgBonus[dept_name],$D580,AvgBonus[team_consolidation],$K580,AvgBonus[location_name],$G580,AvgBonus[job_title],$H580))*AG475*SUM(BonusPayout[Month 22]))</f>
        <v>0</v>
      </c>
      <c r="AH580" s="652">
        <f>IF($B580="",,IF(LEFT($H580,5)="dummy",SUMIFS(AvgBonus[avg_bonus],AvgBonus[job_title],$H580),SUMIFS(AvgBonus[avg_bonus],AvgBonus[exp_item],$J580,AvgBonus[company_name],$B580,AvgBonus[bu_name],$C580,AvgBonus[dept_name],$D580,AvgBonus[team_consolidation],$K580,AvgBonus[location_name],$G580,AvgBonus[job_title],$H580))*AH475*SUM(BonusPayout[Month 23]))</f>
        <v>0</v>
      </c>
      <c r="AI580" s="652">
        <f>IF($B580="",,IF(LEFT($H580,5)="dummy",SUMIFS(AvgBonus[avg_bonus],AvgBonus[job_title],$H580),SUMIFS(AvgBonus[avg_bonus],AvgBonus[exp_item],$J580,AvgBonus[company_name],$B580,AvgBonus[bu_name],$C580,AvgBonus[dept_name],$D580,AvgBonus[team_consolidation],$K580,AvgBonus[location_name],$G580,AvgBonus[job_title],$H580))*AI475*SUM(BonusPayout[Month 24]))</f>
        <v>0</v>
      </c>
      <c r="AJ580" s="652">
        <f>IF($B580="",,IF(LEFT($H580,5)="dummy",SUMIFS(AvgBonus[avg_bonus],AvgBonus[job_title],$H580),SUMIFS(AvgBonus[avg_bonus],AvgBonus[exp_item],$J580,AvgBonus[company_name],$B580,AvgBonus[bu_name],$C580,AvgBonus[dept_name],$D580,AvgBonus[team_consolidation],$K580,AvgBonus[location_name],$G580,AvgBonus[job_title],$H580))*AJ475*SUM(BonusPayout[Month 25]))</f>
        <v>0</v>
      </c>
      <c r="AK580" s="652">
        <f>IF($B580="",,IF(LEFT($H580,5)="dummy",SUMIFS(AvgBonus[avg_bonus],AvgBonus[job_title],$H580),SUMIFS(AvgBonus[avg_bonus],AvgBonus[exp_item],$J580,AvgBonus[company_name],$B580,AvgBonus[bu_name],$C580,AvgBonus[dept_name],$D580,AvgBonus[team_consolidation],$K580,AvgBonus[location_name],$G580,AvgBonus[job_title],$H580))*AK475*SUM(BonusPayout[Month 26]))</f>
        <v>0</v>
      </c>
      <c r="AL580" s="652">
        <f>IF($B580="",,IF(LEFT($H580,5)="dummy",SUMIFS(AvgBonus[avg_bonus],AvgBonus[job_title],$H580),SUMIFS(AvgBonus[avg_bonus],AvgBonus[exp_item],$J580,AvgBonus[company_name],$B580,AvgBonus[bu_name],$C580,AvgBonus[dept_name],$D580,AvgBonus[team_consolidation],$K580,AvgBonus[location_name],$G580,AvgBonus[job_title],$H580))*AL475*SUM(BonusPayout[Month 27]))</f>
        <v>0</v>
      </c>
      <c r="AM580" s="652">
        <f>IF($B580="",,IF(LEFT($H580,5)="dummy",SUMIFS(AvgBonus[avg_bonus],AvgBonus[job_title],$H580),SUMIFS(AvgBonus[avg_bonus],AvgBonus[exp_item],$J580,AvgBonus[company_name],$B580,AvgBonus[bu_name],$C580,AvgBonus[dept_name],$D580,AvgBonus[team_consolidation],$K580,AvgBonus[location_name],$G580,AvgBonus[job_title],$H580))*AM475*SUM(BonusPayout[Month 28]))</f>
        <v>0</v>
      </c>
      <c r="AN580" s="652">
        <f>IF($B580="",,IF(LEFT($H580,5)="dummy",SUMIFS(AvgBonus[avg_bonus],AvgBonus[job_title],$H580),SUMIFS(AvgBonus[avg_bonus],AvgBonus[exp_item],$J580,AvgBonus[company_name],$B580,AvgBonus[bu_name],$C580,AvgBonus[dept_name],$D580,AvgBonus[team_consolidation],$K580,AvgBonus[location_name],$G580,AvgBonus[job_title],$H580))*AN475*SUM(BonusPayout[Month 29]))</f>
        <v>0</v>
      </c>
      <c r="AO580" s="652">
        <f>IF($B580="",,IF(LEFT($H580,5)="dummy",SUMIFS(AvgBonus[avg_bonus],AvgBonus[job_title],$H580),SUMIFS(AvgBonus[avg_bonus],AvgBonus[exp_item],$J580,AvgBonus[company_name],$B580,AvgBonus[bu_name],$C580,AvgBonus[dept_name],$D580,AvgBonus[team_consolidation],$K580,AvgBonus[location_name],$G580,AvgBonus[job_title],$H580))*AO475*SUM(BonusPayout[Month 30]))</f>
        <v>0</v>
      </c>
      <c r="AP580" s="652">
        <f>IF($B580="",,IF(LEFT($H580,5)="dummy",SUMIFS(AvgBonus[avg_bonus],AvgBonus[job_title],$H580),SUMIFS(AvgBonus[avg_bonus],AvgBonus[exp_item],$J580,AvgBonus[company_name],$B580,AvgBonus[bu_name],$C580,AvgBonus[dept_name],$D580,AvgBonus[team_consolidation],$K580,AvgBonus[location_name],$G580,AvgBonus[job_title],$H580))*AP475*SUM(BonusPayout[Month 31]))</f>
        <v>0</v>
      </c>
      <c r="AQ580" s="652">
        <f>IF($B580="",,IF(LEFT($H580,5)="dummy",SUMIFS(AvgBonus[avg_bonus],AvgBonus[job_title],$H580),SUMIFS(AvgBonus[avg_bonus],AvgBonus[exp_item],$J580,AvgBonus[company_name],$B580,AvgBonus[bu_name],$C580,AvgBonus[dept_name],$D580,AvgBonus[team_consolidation],$K580,AvgBonus[location_name],$G580,AvgBonus[job_title],$H580))*AQ475*SUM(BonusPayout[Month 32]))</f>
        <v>0</v>
      </c>
      <c r="AR580" s="652">
        <f>IF($B580="",,IF(LEFT($H580,5)="dummy",SUMIFS(AvgBonus[avg_bonus],AvgBonus[job_title],$H580),SUMIFS(AvgBonus[avg_bonus],AvgBonus[exp_item],$J580,AvgBonus[company_name],$B580,AvgBonus[bu_name],$C580,AvgBonus[dept_name],$D580,AvgBonus[team_consolidation],$K580,AvgBonus[location_name],$G580,AvgBonus[job_title],$H580))*AR475*SUM(BonusPayout[Month 33]))</f>
        <v>0</v>
      </c>
      <c r="AS580" s="652">
        <f>IF($B580="",,IF(LEFT($H580,5)="dummy",SUMIFS(AvgBonus[avg_bonus],AvgBonus[job_title],$H580),SUMIFS(AvgBonus[avg_bonus],AvgBonus[exp_item],$J580,AvgBonus[company_name],$B580,AvgBonus[bu_name],$C580,AvgBonus[dept_name],$D580,AvgBonus[team_consolidation],$K580,AvgBonus[location_name],$G580,AvgBonus[job_title],$H580))*AS475*SUM(BonusPayout[Month 34]))</f>
        <v>0</v>
      </c>
      <c r="AT580" s="652">
        <f>IF($B580="",,IF(LEFT($H580,5)="dummy",SUMIFS(AvgBonus[avg_bonus],AvgBonus[job_title],$H580),SUMIFS(AvgBonus[avg_bonus],AvgBonus[exp_item],$J580,AvgBonus[company_name],$B580,AvgBonus[bu_name],$C580,AvgBonus[dept_name],$D580,AvgBonus[team_consolidation],$K580,AvgBonus[location_name],$G580,AvgBonus[job_title],$H580))*AT475*SUM(BonusPayout[Month 35]))</f>
        <v>0</v>
      </c>
      <c r="AU580" s="652">
        <f>IF($B580="",,IF(LEFT($H580,5)="dummy",SUMIFS(AvgBonus[avg_bonus],AvgBonus[job_title],$H580),SUMIFS(AvgBonus[avg_bonus],AvgBonus[exp_item],$J580,AvgBonus[company_name],$B580,AvgBonus[bu_name],$C580,AvgBonus[dept_name],$D580,AvgBonus[team_consolidation],$K580,AvgBonus[location_name],$G580,AvgBonus[job_title],$H580))*AU475*SUM(BonusPayout[Month 36]))</f>
        <v>0</v>
      </c>
    </row>
    <row r="581" spans="2:47" x14ac:dyDescent="0.35">
      <c r="B581" t="str">
        <f t="shared" si="361"/>
        <v/>
      </c>
      <c r="C581" t="str">
        <f t="shared" ref="C581:G581" si="378">IF(C476="","",C476)</f>
        <v/>
      </c>
      <c r="D581" t="str">
        <f t="shared" si="378"/>
        <v/>
      </c>
      <c r="E581" t="str">
        <f t="shared" si="378"/>
        <v/>
      </c>
      <c r="F581" t="str">
        <f t="shared" si="378"/>
        <v/>
      </c>
      <c r="G581" t="str">
        <f t="shared" si="378"/>
        <v/>
      </c>
      <c r="H581" t="str">
        <f t="shared" si="360"/>
        <v/>
      </c>
      <c r="J581" t="str">
        <f>IF($H581="","",IF(VLOOKUP($B$500,ExpItems[],2,0),$B$500&amp;" - "&amp;INDEX(DivisionMapping[category_code],MATCH($D581&amp;$C581,DivisionMapping[dept_bu],0)),$B$500))</f>
        <v/>
      </c>
      <c r="K581" t="str">
        <f t="shared" si="363"/>
        <v/>
      </c>
      <c r="L581" s="652">
        <f>IF($B581="",,IF(LEFT($H581,5)="dummy",SUMIFS(AvgBonus[avg_bonus],AvgBonus[job_title],$H581),SUMIFS(AvgBonus[avg_bonus],AvgBonus[exp_item],$J581,AvgBonus[company_name],$B581,AvgBonus[bu_name],$C581,AvgBonus[dept_name],$D581,AvgBonus[team_consolidation],$K581,AvgBonus[location_name],$G581,AvgBonus[job_title],$H581))*L476*SUM(BonusPayout[Month 1]))</f>
        <v>0</v>
      </c>
      <c r="M581" s="652">
        <f>IF($B581="",,IF(LEFT($H581,5)="dummy",SUMIFS(AvgBonus[avg_bonus],AvgBonus[job_title],$H581),SUMIFS(AvgBonus[avg_bonus],AvgBonus[exp_item],$J581,AvgBonus[company_name],$B581,AvgBonus[bu_name],$C581,AvgBonus[dept_name],$D581,AvgBonus[team_consolidation],$K581,AvgBonus[location_name],$G581,AvgBonus[job_title],$H581))*M476*SUM(BonusPayout[Month 2]))</f>
        <v>0</v>
      </c>
      <c r="N581" s="652">
        <f>IF($B581="",,IF(LEFT($H581,5)="dummy",SUMIFS(AvgBonus[avg_bonus],AvgBonus[job_title],$H581),SUMIFS(AvgBonus[avg_bonus],AvgBonus[exp_item],$J581,AvgBonus[company_name],$B581,AvgBonus[bu_name],$C581,AvgBonus[dept_name],$D581,AvgBonus[team_consolidation],$K581,AvgBonus[location_name],$G581,AvgBonus[job_title],$H581))*N476*SUM(BonusPayout[Month 3]))</f>
        <v>0</v>
      </c>
      <c r="O581" s="652">
        <f>IF($B581="",,IF(LEFT($H581,5)="dummy",SUMIFS(AvgBonus[avg_bonus],AvgBonus[job_title],$H581),SUMIFS(AvgBonus[avg_bonus],AvgBonus[exp_item],$J581,AvgBonus[company_name],$B581,AvgBonus[bu_name],$C581,AvgBonus[dept_name],$D581,AvgBonus[team_consolidation],$K581,AvgBonus[location_name],$G581,AvgBonus[job_title],$H581))*O476*SUM(BonusPayout[Month 4]))</f>
        <v>0</v>
      </c>
      <c r="P581" s="652">
        <f>IF($B581="",,IF(LEFT($H581,5)="dummy",SUMIFS(AvgBonus[avg_bonus],AvgBonus[job_title],$H581),SUMIFS(AvgBonus[avg_bonus],AvgBonus[exp_item],$J581,AvgBonus[company_name],$B581,AvgBonus[bu_name],$C581,AvgBonus[dept_name],$D581,AvgBonus[team_consolidation],$K581,AvgBonus[location_name],$G581,AvgBonus[job_title],$H581))*P476*SUM(BonusPayout[Month 5]))</f>
        <v>0</v>
      </c>
      <c r="Q581" s="652">
        <f>IF($B581="",,IF(LEFT($H581,5)="dummy",SUMIFS(AvgBonus[avg_bonus],AvgBonus[job_title],$H581),SUMIFS(AvgBonus[avg_bonus],AvgBonus[exp_item],$J581,AvgBonus[company_name],$B581,AvgBonus[bu_name],$C581,AvgBonus[dept_name],$D581,AvgBonus[team_consolidation],$K581,AvgBonus[location_name],$G581,AvgBonus[job_title],$H581))*Q476*SUM(BonusPayout[Month 6]))</f>
        <v>0</v>
      </c>
      <c r="R581" s="652">
        <f>IF($B581="",,IF(LEFT($H581,5)="dummy",SUMIFS(AvgBonus[avg_bonus],AvgBonus[job_title],$H581),SUMIFS(AvgBonus[avg_bonus],AvgBonus[exp_item],$J581,AvgBonus[company_name],$B581,AvgBonus[bu_name],$C581,AvgBonus[dept_name],$D581,AvgBonus[team_consolidation],$K581,AvgBonus[location_name],$G581,AvgBonus[job_title],$H581))*R476*SUM(BonusPayout[Month 7]))</f>
        <v>0</v>
      </c>
      <c r="S581" s="652">
        <f>IF($B581="",,IF(LEFT($H581,5)="dummy",SUMIFS(AvgBonus[avg_bonus],AvgBonus[job_title],$H581),SUMIFS(AvgBonus[avg_bonus],AvgBonus[exp_item],$J581,AvgBonus[company_name],$B581,AvgBonus[bu_name],$C581,AvgBonus[dept_name],$D581,AvgBonus[team_consolidation],$K581,AvgBonus[location_name],$G581,AvgBonus[job_title],$H581))*S476*SUM(BonusPayout[Month 8]))</f>
        <v>0</v>
      </c>
      <c r="T581" s="652">
        <f>IF($B581="",,IF(LEFT($H581,5)="dummy",SUMIFS(AvgBonus[avg_bonus],AvgBonus[job_title],$H581),SUMIFS(AvgBonus[avg_bonus],AvgBonus[exp_item],$J581,AvgBonus[company_name],$B581,AvgBonus[bu_name],$C581,AvgBonus[dept_name],$D581,AvgBonus[team_consolidation],$K581,AvgBonus[location_name],$G581,AvgBonus[job_title],$H581))*T476*SUM(BonusPayout[Month 9]))</f>
        <v>0</v>
      </c>
      <c r="U581" s="652">
        <f>IF($B581="",,IF(LEFT($H581,5)="dummy",SUMIFS(AvgBonus[avg_bonus],AvgBonus[job_title],$H581),SUMIFS(AvgBonus[avg_bonus],AvgBonus[exp_item],$J581,AvgBonus[company_name],$B581,AvgBonus[bu_name],$C581,AvgBonus[dept_name],$D581,AvgBonus[team_consolidation],$K581,AvgBonus[location_name],$G581,AvgBonus[job_title],$H581))*U476*SUM(BonusPayout[Month 10]))</f>
        <v>0</v>
      </c>
      <c r="V581" s="652">
        <f>IF($B581="",,IF(LEFT($H581,5)="dummy",SUMIFS(AvgBonus[avg_bonus],AvgBonus[job_title],$H581),SUMIFS(AvgBonus[avg_bonus],AvgBonus[exp_item],$J581,AvgBonus[company_name],$B581,AvgBonus[bu_name],$C581,AvgBonus[dept_name],$D581,AvgBonus[team_consolidation],$K581,AvgBonus[location_name],$G581,AvgBonus[job_title],$H581))*V476*SUM(BonusPayout[Month 11]))</f>
        <v>0</v>
      </c>
      <c r="W581" s="652">
        <f>IF($B581="",,IF(LEFT($H581,5)="dummy",SUMIFS(AvgBonus[avg_bonus],AvgBonus[job_title],$H581),SUMIFS(AvgBonus[avg_bonus],AvgBonus[exp_item],$J581,AvgBonus[company_name],$B581,AvgBonus[bu_name],$C581,AvgBonus[dept_name],$D581,AvgBonus[team_consolidation],$K581,AvgBonus[location_name],$G581,AvgBonus[job_title],$H581))*W476*SUM(BonusPayout[Month 12]))</f>
        <v>0</v>
      </c>
      <c r="X581" s="652">
        <f>IF($B581="",,IF(LEFT($H581,5)="dummy",SUMIFS(AvgBonus[avg_bonus],AvgBonus[job_title],$H581),SUMIFS(AvgBonus[avg_bonus],AvgBonus[exp_item],$J581,AvgBonus[company_name],$B581,AvgBonus[bu_name],$C581,AvgBonus[dept_name],$D581,AvgBonus[team_consolidation],$K581,AvgBonus[location_name],$G581,AvgBonus[job_title],$H581))*X476*SUM(BonusPayout[Month 13]))</f>
        <v>0</v>
      </c>
      <c r="Y581" s="652">
        <f>IF($B581="",,IF(LEFT($H581,5)="dummy",SUMIFS(AvgBonus[avg_bonus],AvgBonus[job_title],$H581),SUMIFS(AvgBonus[avg_bonus],AvgBonus[exp_item],$J581,AvgBonus[company_name],$B581,AvgBonus[bu_name],$C581,AvgBonus[dept_name],$D581,AvgBonus[team_consolidation],$K581,AvgBonus[location_name],$G581,AvgBonus[job_title],$H581))*Y476*SUM(BonusPayout[Month 14]))</f>
        <v>0</v>
      </c>
      <c r="Z581" s="652">
        <f>IF($B581="",,IF(LEFT($H581,5)="dummy",SUMIFS(AvgBonus[avg_bonus],AvgBonus[job_title],$H581),SUMIFS(AvgBonus[avg_bonus],AvgBonus[exp_item],$J581,AvgBonus[company_name],$B581,AvgBonus[bu_name],$C581,AvgBonus[dept_name],$D581,AvgBonus[team_consolidation],$K581,AvgBonus[location_name],$G581,AvgBonus[job_title],$H581))*Z476*SUM(BonusPayout[Month 15]))</f>
        <v>0</v>
      </c>
      <c r="AA581" s="652">
        <f>IF($B581="",,IF(LEFT($H581,5)="dummy",SUMIFS(AvgBonus[avg_bonus],AvgBonus[job_title],$H581),SUMIFS(AvgBonus[avg_bonus],AvgBonus[exp_item],$J581,AvgBonus[company_name],$B581,AvgBonus[bu_name],$C581,AvgBonus[dept_name],$D581,AvgBonus[team_consolidation],$K581,AvgBonus[location_name],$G581,AvgBonus[job_title],$H581))*AA476*SUM(BonusPayout[Month 16]))</f>
        <v>0</v>
      </c>
      <c r="AB581" s="652">
        <f>IF($B581="",,IF(LEFT($H581,5)="dummy",SUMIFS(AvgBonus[avg_bonus],AvgBonus[job_title],$H581),SUMIFS(AvgBonus[avg_bonus],AvgBonus[exp_item],$J581,AvgBonus[company_name],$B581,AvgBonus[bu_name],$C581,AvgBonus[dept_name],$D581,AvgBonus[team_consolidation],$K581,AvgBonus[location_name],$G581,AvgBonus[job_title],$H581))*AB476*SUM(BonusPayout[Month 17]))</f>
        <v>0</v>
      </c>
      <c r="AC581" s="652">
        <f>IF($B581="",,IF(LEFT($H581,5)="dummy",SUMIFS(AvgBonus[avg_bonus],AvgBonus[job_title],$H581),SUMIFS(AvgBonus[avg_bonus],AvgBonus[exp_item],$J581,AvgBonus[company_name],$B581,AvgBonus[bu_name],$C581,AvgBonus[dept_name],$D581,AvgBonus[team_consolidation],$K581,AvgBonus[location_name],$G581,AvgBonus[job_title],$H581))*AC476*SUM(BonusPayout[Month 18]))</f>
        <v>0</v>
      </c>
      <c r="AD581" s="652">
        <f>IF($B581="",,IF(LEFT($H581,5)="dummy",SUMIFS(AvgBonus[avg_bonus],AvgBonus[job_title],$H581),SUMIFS(AvgBonus[avg_bonus],AvgBonus[exp_item],$J581,AvgBonus[company_name],$B581,AvgBonus[bu_name],$C581,AvgBonus[dept_name],$D581,AvgBonus[team_consolidation],$K581,AvgBonus[location_name],$G581,AvgBonus[job_title],$H581))*AD476*SUM(BonusPayout[Month 19]))</f>
        <v>0</v>
      </c>
      <c r="AE581" s="652">
        <f>IF($B581="",,IF(LEFT($H581,5)="dummy",SUMIFS(AvgBonus[avg_bonus],AvgBonus[job_title],$H581),SUMIFS(AvgBonus[avg_bonus],AvgBonus[exp_item],$J581,AvgBonus[company_name],$B581,AvgBonus[bu_name],$C581,AvgBonus[dept_name],$D581,AvgBonus[team_consolidation],$K581,AvgBonus[location_name],$G581,AvgBonus[job_title],$H581))*AE476*SUM(BonusPayout[Month 20]))</f>
        <v>0</v>
      </c>
      <c r="AF581" s="652">
        <f>IF($B581="",,IF(LEFT($H581,5)="dummy",SUMIFS(AvgBonus[avg_bonus],AvgBonus[job_title],$H581),SUMIFS(AvgBonus[avg_bonus],AvgBonus[exp_item],$J581,AvgBonus[company_name],$B581,AvgBonus[bu_name],$C581,AvgBonus[dept_name],$D581,AvgBonus[team_consolidation],$K581,AvgBonus[location_name],$G581,AvgBonus[job_title],$H581))*AF476*SUM(BonusPayout[Month 21]))</f>
        <v>0</v>
      </c>
      <c r="AG581" s="652">
        <f>IF($B581="",,IF(LEFT($H581,5)="dummy",SUMIFS(AvgBonus[avg_bonus],AvgBonus[job_title],$H581),SUMIFS(AvgBonus[avg_bonus],AvgBonus[exp_item],$J581,AvgBonus[company_name],$B581,AvgBonus[bu_name],$C581,AvgBonus[dept_name],$D581,AvgBonus[team_consolidation],$K581,AvgBonus[location_name],$G581,AvgBonus[job_title],$H581))*AG476*SUM(BonusPayout[Month 22]))</f>
        <v>0</v>
      </c>
      <c r="AH581" s="652">
        <f>IF($B581="",,IF(LEFT($H581,5)="dummy",SUMIFS(AvgBonus[avg_bonus],AvgBonus[job_title],$H581),SUMIFS(AvgBonus[avg_bonus],AvgBonus[exp_item],$J581,AvgBonus[company_name],$B581,AvgBonus[bu_name],$C581,AvgBonus[dept_name],$D581,AvgBonus[team_consolidation],$K581,AvgBonus[location_name],$G581,AvgBonus[job_title],$H581))*AH476*SUM(BonusPayout[Month 23]))</f>
        <v>0</v>
      </c>
      <c r="AI581" s="652">
        <f>IF($B581="",,IF(LEFT($H581,5)="dummy",SUMIFS(AvgBonus[avg_bonus],AvgBonus[job_title],$H581),SUMIFS(AvgBonus[avg_bonus],AvgBonus[exp_item],$J581,AvgBonus[company_name],$B581,AvgBonus[bu_name],$C581,AvgBonus[dept_name],$D581,AvgBonus[team_consolidation],$K581,AvgBonus[location_name],$G581,AvgBonus[job_title],$H581))*AI476*SUM(BonusPayout[Month 24]))</f>
        <v>0</v>
      </c>
      <c r="AJ581" s="652">
        <f>IF($B581="",,IF(LEFT($H581,5)="dummy",SUMIFS(AvgBonus[avg_bonus],AvgBonus[job_title],$H581),SUMIFS(AvgBonus[avg_bonus],AvgBonus[exp_item],$J581,AvgBonus[company_name],$B581,AvgBonus[bu_name],$C581,AvgBonus[dept_name],$D581,AvgBonus[team_consolidation],$K581,AvgBonus[location_name],$G581,AvgBonus[job_title],$H581))*AJ476*SUM(BonusPayout[Month 25]))</f>
        <v>0</v>
      </c>
      <c r="AK581" s="652">
        <f>IF($B581="",,IF(LEFT($H581,5)="dummy",SUMIFS(AvgBonus[avg_bonus],AvgBonus[job_title],$H581),SUMIFS(AvgBonus[avg_bonus],AvgBonus[exp_item],$J581,AvgBonus[company_name],$B581,AvgBonus[bu_name],$C581,AvgBonus[dept_name],$D581,AvgBonus[team_consolidation],$K581,AvgBonus[location_name],$G581,AvgBonus[job_title],$H581))*AK476*SUM(BonusPayout[Month 26]))</f>
        <v>0</v>
      </c>
      <c r="AL581" s="652">
        <f>IF($B581="",,IF(LEFT($H581,5)="dummy",SUMIFS(AvgBonus[avg_bonus],AvgBonus[job_title],$H581),SUMIFS(AvgBonus[avg_bonus],AvgBonus[exp_item],$J581,AvgBonus[company_name],$B581,AvgBonus[bu_name],$C581,AvgBonus[dept_name],$D581,AvgBonus[team_consolidation],$K581,AvgBonus[location_name],$G581,AvgBonus[job_title],$H581))*AL476*SUM(BonusPayout[Month 27]))</f>
        <v>0</v>
      </c>
      <c r="AM581" s="652">
        <f>IF($B581="",,IF(LEFT($H581,5)="dummy",SUMIFS(AvgBonus[avg_bonus],AvgBonus[job_title],$H581),SUMIFS(AvgBonus[avg_bonus],AvgBonus[exp_item],$J581,AvgBonus[company_name],$B581,AvgBonus[bu_name],$C581,AvgBonus[dept_name],$D581,AvgBonus[team_consolidation],$K581,AvgBonus[location_name],$G581,AvgBonus[job_title],$H581))*AM476*SUM(BonusPayout[Month 28]))</f>
        <v>0</v>
      </c>
      <c r="AN581" s="652">
        <f>IF($B581="",,IF(LEFT($H581,5)="dummy",SUMIFS(AvgBonus[avg_bonus],AvgBonus[job_title],$H581),SUMIFS(AvgBonus[avg_bonus],AvgBonus[exp_item],$J581,AvgBonus[company_name],$B581,AvgBonus[bu_name],$C581,AvgBonus[dept_name],$D581,AvgBonus[team_consolidation],$K581,AvgBonus[location_name],$G581,AvgBonus[job_title],$H581))*AN476*SUM(BonusPayout[Month 29]))</f>
        <v>0</v>
      </c>
      <c r="AO581" s="652">
        <f>IF($B581="",,IF(LEFT($H581,5)="dummy",SUMIFS(AvgBonus[avg_bonus],AvgBonus[job_title],$H581),SUMIFS(AvgBonus[avg_bonus],AvgBonus[exp_item],$J581,AvgBonus[company_name],$B581,AvgBonus[bu_name],$C581,AvgBonus[dept_name],$D581,AvgBonus[team_consolidation],$K581,AvgBonus[location_name],$G581,AvgBonus[job_title],$H581))*AO476*SUM(BonusPayout[Month 30]))</f>
        <v>0</v>
      </c>
      <c r="AP581" s="652">
        <f>IF($B581="",,IF(LEFT($H581,5)="dummy",SUMIFS(AvgBonus[avg_bonus],AvgBonus[job_title],$H581),SUMIFS(AvgBonus[avg_bonus],AvgBonus[exp_item],$J581,AvgBonus[company_name],$B581,AvgBonus[bu_name],$C581,AvgBonus[dept_name],$D581,AvgBonus[team_consolidation],$K581,AvgBonus[location_name],$G581,AvgBonus[job_title],$H581))*AP476*SUM(BonusPayout[Month 31]))</f>
        <v>0</v>
      </c>
      <c r="AQ581" s="652">
        <f>IF($B581="",,IF(LEFT($H581,5)="dummy",SUMIFS(AvgBonus[avg_bonus],AvgBonus[job_title],$H581),SUMIFS(AvgBonus[avg_bonus],AvgBonus[exp_item],$J581,AvgBonus[company_name],$B581,AvgBonus[bu_name],$C581,AvgBonus[dept_name],$D581,AvgBonus[team_consolidation],$K581,AvgBonus[location_name],$G581,AvgBonus[job_title],$H581))*AQ476*SUM(BonusPayout[Month 32]))</f>
        <v>0</v>
      </c>
      <c r="AR581" s="652">
        <f>IF($B581="",,IF(LEFT($H581,5)="dummy",SUMIFS(AvgBonus[avg_bonus],AvgBonus[job_title],$H581),SUMIFS(AvgBonus[avg_bonus],AvgBonus[exp_item],$J581,AvgBonus[company_name],$B581,AvgBonus[bu_name],$C581,AvgBonus[dept_name],$D581,AvgBonus[team_consolidation],$K581,AvgBonus[location_name],$G581,AvgBonus[job_title],$H581))*AR476*SUM(BonusPayout[Month 33]))</f>
        <v>0</v>
      </c>
      <c r="AS581" s="652">
        <f>IF($B581="",,IF(LEFT($H581,5)="dummy",SUMIFS(AvgBonus[avg_bonus],AvgBonus[job_title],$H581),SUMIFS(AvgBonus[avg_bonus],AvgBonus[exp_item],$J581,AvgBonus[company_name],$B581,AvgBonus[bu_name],$C581,AvgBonus[dept_name],$D581,AvgBonus[team_consolidation],$K581,AvgBonus[location_name],$G581,AvgBonus[job_title],$H581))*AS476*SUM(BonusPayout[Month 34]))</f>
        <v>0</v>
      </c>
      <c r="AT581" s="652">
        <f>IF($B581="",,IF(LEFT($H581,5)="dummy",SUMIFS(AvgBonus[avg_bonus],AvgBonus[job_title],$H581),SUMIFS(AvgBonus[avg_bonus],AvgBonus[exp_item],$J581,AvgBonus[company_name],$B581,AvgBonus[bu_name],$C581,AvgBonus[dept_name],$D581,AvgBonus[team_consolidation],$K581,AvgBonus[location_name],$G581,AvgBonus[job_title],$H581))*AT476*SUM(BonusPayout[Month 35]))</f>
        <v>0</v>
      </c>
      <c r="AU581" s="652">
        <f>IF($B581="",,IF(LEFT($H581,5)="dummy",SUMIFS(AvgBonus[avg_bonus],AvgBonus[job_title],$H581),SUMIFS(AvgBonus[avg_bonus],AvgBonus[exp_item],$J581,AvgBonus[company_name],$B581,AvgBonus[bu_name],$C581,AvgBonus[dept_name],$D581,AvgBonus[team_consolidation],$K581,AvgBonus[location_name],$G581,AvgBonus[job_title],$H581))*AU476*SUM(BonusPayout[Month 36]))</f>
        <v>0</v>
      </c>
    </row>
    <row r="582" spans="2:47" x14ac:dyDescent="0.35">
      <c r="B582" t="str">
        <f t="shared" si="361"/>
        <v/>
      </c>
      <c r="C582" t="str">
        <f t="shared" ref="C582:G582" si="379">IF(C477="","",C477)</f>
        <v/>
      </c>
      <c r="D582" t="str">
        <f t="shared" si="379"/>
        <v/>
      </c>
      <c r="E582" t="str">
        <f t="shared" si="379"/>
        <v/>
      </c>
      <c r="F582" t="str">
        <f t="shared" si="379"/>
        <v/>
      </c>
      <c r="G582" t="str">
        <f t="shared" si="379"/>
        <v/>
      </c>
      <c r="H582" t="str">
        <f t="shared" si="360"/>
        <v/>
      </c>
      <c r="J582" t="str">
        <f>IF($H582="","",IF(VLOOKUP($B$500,ExpItems[],2,0),$B$500&amp;" - "&amp;INDEX(DivisionMapping[category_code],MATCH($D582&amp;$C582,DivisionMapping[dept_bu],0)),$B$500))</f>
        <v/>
      </c>
      <c r="K582" t="str">
        <f t="shared" si="363"/>
        <v/>
      </c>
      <c r="L582" s="652">
        <f>IF($B582="",,IF(LEFT($H582,5)="dummy",SUMIFS(AvgBonus[avg_bonus],AvgBonus[job_title],$H582),SUMIFS(AvgBonus[avg_bonus],AvgBonus[exp_item],$J582,AvgBonus[company_name],$B582,AvgBonus[bu_name],$C582,AvgBonus[dept_name],$D582,AvgBonus[team_consolidation],$K582,AvgBonus[location_name],$G582,AvgBonus[job_title],$H582))*L477*SUM(BonusPayout[Month 1]))</f>
        <v>0</v>
      </c>
      <c r="M582" s="652">
        <f>IF($B582="",,IF(LEFT($H582,5)="dummy",SUMIFS(AvgBonus[avg_bonus],AvgBonus[job_title],$H582),SUMIFS(AvgBonus[avg_bonus],AvgBonus[exp_item],$J582,AvgBonus[company_name],$B582,AvgBonus[bu_name],$C582,AvgBonus[dept_name],$D582,AvgBonus[team_consolidation],$K582,AvgBonus[location_name],$G582,AvgBonus[job_title],$H582))*M477*SUM(BonusPayout[Month 2]))</f>
        <v>0</v>
      </c>
      <c r="N582" s="652">
        <f>IF($B582="",,IF(LEFT($H582,5)="dummy",SUMIFS(AvgBonus[avg_bonus],AvgBonus[job_title],$H582),SUMIFS(AvgBonus[avg_bonus],AvgBonus[exp_item],$J582,AvgBonus[company_name],$B582,AvgBonus[bu_name],$C582,AvgBonus[dept_name],$D582,AvgBonus[team_consolidation],$K582,AvgBonus[location_name],$G582,AvgBonus[job_title],$H582))*N477*SUM(BonusPayout[Month 3]))</f>
        <v>0</v>
      </c>
      <c r="O582" s="652">
        <f>IF($B582="",,IF(LEFT($H582,5)="dummy",SUMIFS(AvgBonus[avg_bonus],AvgBonus[job_title],$H582),SUMIFS(AvgBonus[avg_bonus],AvgBonus[exp_item],$J582,AvgBonus[company_name],$B582,AvgBonus[bu_name],$C582,AvgBonus[dept_name],$D582,AvgBonus[team_consolidation],$K582,AvgBonus[location_name],$G582,AvgBonus[job_title],$H582))*O477*SUM(BonusPayout[Month 4]))</f>
        <v>0</v>
      </c>
      <c r="P582" s="652">
        <f>IF($B582="",,IF(LEFT($H582,5)="dummy",SUMIFS(AvgBonus[avg_bonus],AvgBonus[job_title],$H582),SUMIFS(AvgBonus[avg_bonus],AvgBonus[exp_item],$J582,AvgBonus[company_name],$B582,AvgBonus[bu_name],$C582,AvgBonus[dept_name],$D582,AvgBonus[team_consolidation],$K582,AvgBonus[location_name],$G582,AvgBonus[job_title],$H582))*P477*SUM(BonusPayout[Month 5]))</f>
        <v>0</v>
      </c>
      <c r="Q582" s="652">
        <f>IF($B582="",,IF(LEFT($H582,5)="dummy",SUMIFS(AvgBonus[avg_bonus],AvgBonus[job_title],$H582),SUMIFS(AvgBonus[avg_bonus],AvgBonus[exp_item],$J582,AvgBonus[company_name],$B582,AvgBonus[bu_name],$C582,AvgBonus[dept_name],$D582,AvgBonus[team_consolidation],$K582,AvgBonus[location_name],$G582,AvgBonus[job_title],$H582))*Q477*SUM(BonusPayout[Month 6]))</f>
        <v>0</v>
      </c>
      <c r="R582" s="652">
        <f>IF($B582="",,IF(LEFT($H582,5)="dummy",SUMIFS(AvgBonus[avg_bonus],AvgBonus[job_title],$H582),SUMIFS(AvgBonus[avg_bonus],AvgBonus[exp_item],$J582,AvgBonus[company_name],$B582,AvgBonus[bu_name],$C582,AvgBonus[dept_name],$D582,AvgBonus[team_consolidation],$K582,AvgBonus[location_name],$G582,AvgBonus[job_title],$H582))*R477*SUM(BonusPayout[Month 7]))</f>
        <v>0</v>
      </c>
      <c r="S582" s="652">
        <f>IF($B582="",,IF(LEFT($H582,5)="dummy",SUMIFS(AvgBonus[avg_bonus],AvgBonus[job_title],$H582),SUMIFS(AvgBonus[avg_bonus],AvgBonus[exp_item],$J582,AvgBonus[company_name],$B582,AvgBonus[bu_name],$C582,AvgBonus[dept_name],$D582,AvgBonus[team_consolidation],$K582,AvgBonus[location_name],$G582,AvgBonus[job_title],$H582))*S477*SUM(BonusPayout[Month 8]))</f>
        <v>0</v>
      </c>
      <c r="T582" s="652">
        <f>IF($B582="",,IF(LEFT($H582,5)="dummy",SUMIFS(AvgBonus[avg_bonus],AvgBonus[job_title],$H582),SUMIFS(AvgBonus[avg_bonus],AvgBonus[exp_item],$J582,AvgBonus[company_name],$B582,AvgBonus[bu_name],$C582,AvgBonus[dept_name],$D582,AvgBonus[team_consolidation],$K582,AvgBonus[location_name],$G582,AvgBonus[job_title],$H582))*T477*SUM(BonusPayout[Month 9]))</f>
        <v>0</v>
      </c>
      <c r="U582" s="652">
        <f>IF($B582="",,IF(LEFT($H582,5)="dummy",SUMIFS(AvgBonus[avg_bonus],AvgBonus[job_title],$H582),SUMIFS(AvgBonus[avg_bonus],AvgBonus[exp_item],$J582,AvgBonus[company_name],$B582,AvgBonus[bu_name],$C582,AvgBonus[dept_name],$D582,AvgBonus[team_consolidation],$K582,AvgBonus[location_name],$G582,AvgBonus[job_title],$H582))*U477*SUM(BonusPayout[Month 10]))</f>
        <v>0</v>
      </c>
      <c r="V582" s="652">
        <f>IF($B582="",,IF(LEFT($H582,5)="dummy",SUMIFS(AvgBonus[avg_bonus],AvgBonus[job_title],$H582),SUMIFS(AvgBonus[avg_bonus],AvgBonus[exp_item],$J582,AvgBonus[company_name],$B582,AvgBonus[bu_name],$C582,AvgBonus[dept_name],$D582,AvgBonus[team_consolidation],$K582,AvgBonus[location_name],$G582,AvgBonus[job_title],$H582))*V477*SUM(BonusPayout[Month 11]))</f>
        <v>0</v>
      </c>
      <c r="W582" s="652">
        <f>IF($B582="",,IF(LEFT($H582,5)="dummy",SUMIFS(AvgBonus[avg_bonus],AvgBonus[job_title],$H582),SUMIFS(AvgBonus[avg_bonus],AvgBonus[exp_item],$J582,AvgBonus[company_name],$B582,AvgBonus[bu_name],$C582,AvgBonus[dept_name],$D582,AvgBonus[team_consolidation],$K582,AvgBonus[location_name],$G582,AvgBonus[job_title],$H582))*W477*SUM(BonusPayout[Month 12]))</f>
        <v>0</v>
      </c>
      <c r="X582" s="652">
        <f>IF($B582="",,IF(LEFT($H582,5)="dummy",SUMIFS(AvgBonus[avg_bonus],AvgBonus[job_title],$H582),SUMIFS(AvgBonus[avg_bonus],AvgBonus[exp_item],$J582,AvgBonus[company_name],$B582,AvgBonus[bu_name],$C582,AvgBonus[dept_name],$D582,AvgBonus[team_consolidation],$K582,AvgBonus[location_name],$G582,AvgBonus[job_title],$H582))*X477*SUM(BonusPayout[Month 13]))</f>
        <v>0</v>
      </c>
      <c r="Y582" s="652">
        <f>IF($B582="",,IF(LEFT($H582,5)="dummy",SUMIFS(AvgBonus[avg_bonus],AvgBonus[job_title],$H582),SUMIFS(AvgBonus[avg_bonus],AvgBonus[exp_item],$J582,AvgBonus[company_name],$B582,AvgBonus[bu_name],$C582,AvgBonus[dept_name],$D582,AvgBonus[team_consolidation],$K582,AvgBonus[location_name],$G582,AvgBonus[job_title],$H582))*Y477*SUM(BonusPayout[Month 14]))</f>
        <v>0</v>
      </c>
      <c r="Z582" s="652">
        <f>IF($B582="",,IF(LEFT($H582,5)="dummy",SUMIFS(AvgBonus[avg_bonus],AvgBonus[job_title],$H582),SUMIFS(AvgBonus[avg_bonus],AvgBonus[exp_item],$J582,AvgBonus[company_name],$B582,AvgBonus[bu_name],$C582,AvgBonus[dept_name],$D582,AvgBonus[team_consolidation],$K582,AvgBonus[location_name],$G582,AvgBonus[job_title],$H582))*Z477*SUM(BonusPayout[Month 15]))</f>
        <v>0</v>
      </c>
      <c r="AA582" s="652">
        <f>IF($B582="",,IF(LEFT($H582,5)="dummy",SUMIFS(AvgBonus[avg_bonus],AvgBonus[job_title],$H582),SUMIFS(AvgBonus[avg_bonus],AvgBonus[exp_item],$J582,AvgBonus[company_name],$B582,AvgBonus[bu_name],$C582,AvgBonus[dept_name],$D582,AvgBonus[team_consolidation],$K582,AvgBonus[location_name],$G582,AvgBonus[job_title],$H582))*AA477*SUM(BonusPayout[Month 16]))</f>
        <v>0</v>
      </c>
      <c r="AB582" s="652">
        <f>IF($B582="",,IF(LEFT($H582,5)="dummy",SUMIFS(AvgBonus[avg_bonus],AvgBonus[job_title],$H582),SUMIFS(AvgBonus[avg_bonus],AvgBonus[exp_item],$J582,AvgBonus[company_name],$B582,AvgBonus[bu_name],$C582,AvgBonus[dept_name],$D582,AvgBonus[team_consolidation],$K582,AvgBonus[location_name],$G582,AvgBonus[job_title],$H582))*AB477*SUM(BonusPayout[Month 17]))</f>
        <v>0</v>
      </c>
      <c r="AC582" s="652">
        <f>IF($B582="",,IF(LEFT($H582,5)="dummy",SUMIFS(AvgBonus[avg_bonus],AvgBonus[job_title],$H582),SUMIFS(AvgBonus[avg_bonus],AvgBonus[exp_item],$J582,AvgBonus[company_name],$B582,AvgBonus[bu_name],$C582,AvgBonus[dept_name],$D582,AvgBonus[team_consolidation],$K582,AvgBonus[location_name],$G582,AvgBonus[job_title],$H582))*AC477*SUM(BonusPayout[Month 18]))</f>
        <v>0</v>
      </c>
      <c r="AD582" s="652">
        <f>IF($B582="",,IF(LEFT($H582,5)="dummy",SUMIFS(AvgBonus[avg_bonus],AvgBonus[job_title],$H582),SUMIFS(AvgBonus[avg_bonus],AvgBonus[exp_item],$J582,AvgBonus[company_name],$B582,AvgBonus[bu_name],$C582,AvgBonus[dept_name],$D582,AvgBonus[team_consolidation],$K582,AvgBonus[location_name],$G582,AvgBonus[job_title],$H582))*AD477*SUM(BonusPayout[Month 19]))</f>
        <v>0</v>
      </c>
      <c r="AE582" s="652">
        <f>IF($B582="",,IF(LEFT($H582,5)="dummy",SUMIFS(AvgBonus[avg_bonus],AvgBonus[job_title],$H582),SUMIFS(AvgBonus[avg_bonus],AvgBonus[exp_item],$J582,AvgBonus[company_name],$B582,AvgBonus[bu_name],$C582,AvgBonus[dept_name],$D582,AvgBonus[team_consolidation],$K582,AvgBonus[location_name],$G582,AvgBonus[job_title],$H582))*AE477*SUM(BonusPayout[Month 20]))</f>
        <v>0</v>
      </c>
      <c r="AF582" s="652">
        <f>IF($B582="",,IF(LEFT($H582,5)="dummy",SUMIFS(AvgBonus[avg_bonus],AvgBonus[job_title],$H582),SUMIFS(AvgBonus[avg_bonus],AvgBonus[exp_item],$J582,AvgBonus[company_name],$B582,AvgBonus[bu_name],$C582,AvgBonus[dept_name],$D582,AvgBonus[team_consolidation],$K582,AvgBonus[location_name],$G582,AvgBonus[job_title],$H582))*AF477*SUM(BonusPayout[Month 21]))</f>
        <v>0</v>
      </c>
      <c r="AG582" s="652">
        <f>IF($B582="",,IF(LEFT($H582,5)="dummy",SUMIFS(AvgBonus[avg_bonus],AvgBonus[job_title],$H582),SUMIFS(AvgBonus[avg_bonus],AvgBonus[exp_item],$J582,AvgBonus[company_name],$B582,AvgBonus[bu_name],$C582,AvgBonus[dept_name],$D582,AvgBonus[team_consolidation],$K582,AvgBonus[location_name],$G582,AvgBonus[job_title],$H582))*AG477*SUM(BonusPayout[Month 22]))</f>
        <v>0</v>
      </c>
      <c r="AH582" s="652">
        <f>IF($B582="",,IF(LEFT($H582,5)="dummy",SUMIFS(AvgBonus[avg_bonus],AvgBonus[job_title],$H582),SUMIFS(AvgBonus[avg_bonus],AvgBonus[exp_item],$J582,AvgBonus[company_name],$B582,AvgBonus[bu_name],$C582,AvgBonus[dept_name],$D582,AvgBonus[team_consolidation],$K582,AvgBonus[location_name],$G582,AvgBonus[job_title],$H582))*AH477*SUM(BonusPayout[Month 23]))</f>
        <v>0</v>
      </c>
      <c r="AI582" s="652">
        <f>IF($B582="",,IF(LEFT($H582,5)="dummy",SUMIFS(AvgBonus[avg_bonus],AvgBonus[job_title],$H582),SUMIFS(AvgBonus[avg_bonus],AvgBonus[exp_item],$J582,AvgBonus[company_name],$B582,AvgBonus[bu_name],$C582,AvgBonus[dept_name],$D582,AvgBonus[team_consolidation],$K582,AvgBonus[location_name],$G582,AvgBonus[job_title],$H582))*AI477*SUM(BonusPayout[Month 24]))</f>
        <v>0</v>
      </c>
      <c r="AJ582" s="652">
        <f>IF($B582="",,IF(LEFT($H582,5)="dummy",SUMIFS(AvgBonus[avg_bonus],AvgBonus[job_title],$H582),SUMIFS(AvgBonus[avg_bonus],AvgBonus[exp_item],$J582,AvgBonus[company_name],$B582,AvgBonus[bu_name],$C582,AvgBonus[dept_name],$D582,AvgBonus[team_consolidation],$K582,AvgBonus[location_name],$G582,AvgBonus[job_title],$H582))*AJ477*SUM(BonusPayout[Month 25]))</f>
        <v>0</v>
      </c>
      <c r="AK582" s="652">
        <f>IF($B582="",,IF(LEFT($H582,5)="dummy",SUMIFS(AvgBonus[avg_bonus],AvgBonus[job_title],$H582),SUMIFS(AvgBonus[avg_bonus],AvgBonus[exp_item],$J582,AvgBonus[company_name],$B582,AvgBonus[bu_name],$C582,AvgBonus[dept_name],$D582,AvgBonus[team_consolidation],$K582,AvgBonus[location_name],$G582,AvgBonus[job_title],$H582))*AK477*SUM(BonusPayout[Month 26]))</f>
        <v>0</v>
      </c>
      <c r="AL582" s="652">
        <f>IF($B582="",,IF(LEFT($H582,5)="dummy",SUMIFS(AvgBonus[avg_bonus],AvgBonus[job_title],$H582),SUMIFS(AvgBonus[avg_bonus],AvgBonus[exp_item],$J582,AvgBonus[company_name],$B582,AvgBonus[bu_name],$C582,AvgBonus[dept_name],$D582,AvgBonus[team_consolidation],$K582,AvgBonus[location_name],$G582,AvgBonus[job_title],$H582))*AL477*SUM(BonusPayout[Month 27]))</f>
        <v>0</v>
      </c>
      <c r="AM582" s="652">
        <f>IF($B582="",,IF(LEFT($H582,5)="dummy",SUMIFS(AvgBonus[avg_bonus],AvgBonus[job_title],$H582),SUMIFS(AvgBonus[avg_bonus],AvgBonus[exp_item],$J582,AvgBonus[company_name],$B582,AvgBonus[bu_name],$C582,AvgBonus[dept_name],$D582,AvgBonus[team_consolidation],$K582,AvgBonus[location_name],$G582,AvgBonus[job_title],$H582))*AM477*SUM(BonusPayout[Month 28]))</f>
        <v>0</v>
      </c>
      <c r="AN582" s="652">
        <f>IF($B582="",,IF(LEFT($H582,5)="dummy",SUMIFS(AvgBonus[avg_bonus],AvgBonus[job_title],$H582),SUMIFS(AvgBonus[avg_bonus],AvgBonus[exp_item],$J582,AvgBonus[company_name],$B582,AvgBonus[bu_name],$C582,AvgBonus[dept_name],$D582,AvgBonus[team_consolidation],$K582,AvgBonus[location_name],$G582,AvgBonus[job_title],$H582))*AN477*SUM(BonusPayout[Month 29]))</f>
        <v>0</v>
      </c>
      <c r="AO582" s="652">
        <f>IF($B582="",,IF(LEFT($H582,5)="dummy",SUMIFS(AvgBonus[avg_bonus],AvgBonus[job_title],$H582),SUMIFS(AvgBonus[avg_bonus],AvgBonus[exp_item],$J582,AvgBonus[company_name],$B582,AvgBonus[bu_name],$C582,AvgBonus[dept_name],$D582,AvgBonus[team_consolidation],$K582,AvgBonus[location_name],$G582,AvgBonus[job_title],$H582))*AO477*SUM(BonusPayout[Month 30]))</f>
        <v>0</v>
      </c>
      <c r="AP582" s="652">
        <f>IF($B582="",,IF(LEFT($H582,5)="dummy",SUMIFS(AvgBonus[avg_bonus],AvgBonus[job_title],$H582),SUMIFS(AvgBonus[avg_bonus],AvgBonus[exp_item],$J582,AvgBonus[company_name],$B582,AvgBonus[bu_name],$C582,AvgBonus[dept_name],$D582,AvgBonus[team_consolidation],$K582,AvgBonus[location_name],$G582,AvgBonus[job_title],$H582))*AP477*SUM(BonusPayout[Month 31]))</f>
        <v>0</v>
      </c>
      <c r="AQ582" s="652">
        <f>IF($B582="",,IF(LEFT($H582,5)="dummy",SUMIFS(AvgBonus[avg_bonus],AvgBonus[job_title],$H582),SUMIFS(AvgBonus[avg_bonus],AvgBonus[exp_item],$J582,AvgBonus[company_name],$B582,AvgBonus[bu_name],$C582,AvgBonus[dept_name],$D582,AvgBonus[team_consolidation],$K582,AvgBonus[location_name],$G582,AvgBonus[job_title],$H582))*AQ477*SUM(BonusPayout[Month 32]))</f>
        <v>0</v>
      </c>
      <c r="AR582" s="652">
        <f>IF($B582="",,IF(LEFT($H582,5)="dummy",SUMIFS(AvgBonus[avg_bonus],AvgBonus[job_title],$H582),SUMIFS(AvgBonus[avg_bonus],AvgBonus[exp_item],$J582,AvgBonus[company_name],$B582,AvgBonus[bu_name],$C582,AvgBonus[dept_name],$D582,AvgBonus[team_consolidation],$K582,AvgBonus[location_name],$G582,AvgBonus[job_title],$H582))*AR477*SUM(BonusPayout[Month 33]))</f>
        <v>0</v>
      </c>
      <c r="AS582" s="652">
        <f>IF($B582="",,IF(LEFT($H582,5)="dummy",SUMIFS(AvgBonus[avg_bonus],AvgBonus[job_title],$H582),SUMIFS(AvgBonus[avg_bonus],AvgBonus[exp_item],$J582,AvgBonus[company_name],$B582,AvgBonus[bu_name],$C582,AvgBonus[dept_name],$D582,AvgBonus[team_consolidation],$K582,AvgBonus[location_name],$G582,AvgBonus[job_title],$H582))*AS477*SUM(BonusPayout[Month 34]))</f>
        <v>0</v>
      </c>
      <c r="AT582" s="652">
        <f>IF($B582="",,IF(LEFT($H582,5)="dummy",SUMIFS(AvgBonus[avg_bonus],AvgBonus[job_title],$H582),SUMIFS(AvgBonus[avg_bonus],AvgBonus[exp_item],$J582,AvgBonus[company_name],$B582,AvgBonus[bu_name],$C582,AvgBonus[dept_name],$D582,AvgBonus[team_consolidation],$K582,AvgBonus[location_name],$G582,AvgBonus[job_title],$H582))*AT477*SUM(BonusPayout[Month 35]))</f>
        <v>0</v>
      </c>
      <c r="AU582" s="652">
        <f>IF($B582="",,IF(LEFT($H582,5)="dummy",SUMIFS(AvgBonus[avg_bonus],AvgBonus[job_title],$H582),SUMIFS(AvgBonus[avg_bonus],AvgBonus[exp_item],$J582,AvgBonus[company_name],$B582,AvgBonus[bu_name],$C582,AvgBonus[dept_name],$D582,AvgBonus[team_consolidation],$K582,AvgBonus[location_name],$G582,AvgBonus[job_title],$H582))*AU477*SUM(BonusPayout[Month 36]))</f>
        <v>0</v>
      </c>
    </row>
    <row r="583" spans="2:47" x14ac:dyDescent="0.35">
      <c r="B583" t="str">
        <f t="shared" si="361"/>
        <v/>
      </c>
      <c r="C583" t="str">
        <f t="shared" ref="C583:G583" si="380">IF(C478="","",C478)</f>
        <v/>
      </c>
      <c r="D583" t="str">
        <f t="shared" si="380"/>
        <v/>
      </c>
      <c r="E583" t="str">
        <f t="shared" si="380"/>
        <v/>
      </c>
      <c r="F583" t="str">
        <f t="shared" si="380"/>
        <v/>
      </c>
      <c r="G583" t="str">
        <f t="shared" si="380"/>
        <v/>
      </c>
      <c r="H583" t="str">
        <f t="shared" si="360"/>
        <v/>
      </c>
      <c r="J583" t="str">
        <f>IF($H583="","",IF(VLOOKUP($B$500,ExpItems[],2,0),$B$500&amp;" - "&amp;INDEX(DivisionMapping[category_code],MATCH($D583&amp;$C583,DivisionMapping[dept_bu],0)),$B$500))</f>
        <v/>
      </c>
      <c r="K583" t="str">
        <f t="shared" si="363"/>
        <v/>
      </c>
      <c r="L583" s="652">
        <f>IF($B583="",,IF(LEFT($H583,5)="dummy",SUMIFS(AvgBonus[avg_bonus],AvgBonus[job_title],$H583),SUMIFS(AvgBonus[avg_bonus],AvgBonus[exp_item],$J583,AvgBonus[company_name],$B583,AvgBonus[bu_name],$C583,AvgBonus[dept_name],$D583,AvgBonus[team_consolidation],$K583,AvgBonus[location_name],$G583,AvgBonus[job_title],$H583))*L478*SUM(BonusPayout[Month 1]))</f>
        <v>0</v>
      </c>
      <c r="M583" s="652">
        <f>IF($B583="",,IF(LEFT($H583,5)="dummy",SUMIFS(AvgBonus[avg_bonus],AvgBonus[job_title],$H583),SUMIFS(AvgBonus[avg_bonus],AvgBonus[exp_item],$J583,AvgBonus[company_name],$B583,AvgBonus[bu_name],$C583,AvgBonus[dept_name],$D583,AvgBonus[team_consolidation],$K583,AvgBonus[location_name],$G583,AvgBonus[job_title],$H583))*M478*SUM(BonusPayout[Month 2]))</f>
        <v>0</v>
      </c>
      <c r="N583" s="652">
        <f>IF($B583="",,IF(LEFT($H583,5)="dummy",SUMIFS(AvgBonus[avg_bonus],AvgBonus[job_title],$H583),SUMIFS(AvgBonus[avg_bonus],AvgBonus[exp_item],$J583,AvgBonus[company_name],$B583,AvgBonus[bu_name],$C583,AvgBonus[dept_name],$D583,AvgBonus[team_consolidation],$K583,AvgBonus[location_name],$G583,AvgBonus[job_title],$H583))*N478*SUM(BonusPayout[Month 3]))</f>
        <v>0</v>
      </c>
      <c r="O583" s="652">
        <f>IF($B583="",,IF(LEFT($H583,5)="dummy",SUMIFS(AvgBonus[avg_bonus],AvgBonus[job_title],$H583),SUMIFS(AvgBonus[avg_bonus],AvgBonus[exp_item],$J583,AvgBonus[company_name],$B583,AvgBonus[bu_name],$C583,AvgBonus[dept_name],$D583,AvgBonus[team_consolidation],$K583,AvgBonus[location_name],$G583,AvgBonus[job_title],$H583))*O478*SUM(BonusPayout[Month 4]))</f>
        <v>0</v>
      </c>
      <c r="P583" s="652">
        <f>IF($B583="",,IF(LEFT($H583,5)="dummy",SUMIFS(AvgBonus[avg_bonus],AvgBonus[job_title],$H583),SUMIFS(AvgBonus[avg_bonus],AvgBonus[exp_item],$J583,AvgBonus[company_name],$B583,AvgBonus[bu_name],$C583,AvgBonus[dept_name],$D583,AvgBonus[team_consolidation],$K583,AvgBonus[location_name],$G583,AvgBonus[job_title],$H583))*P478*SUM(BonusPayout[Month 5]))</f>
        <v>0</v>
      </c>
      <c r="Q583" s="652">
        <f>IF($B583="",,IF(LEFT($H583,5)="dummy",SUMIFS(AvgBonus[avg_bonus],AvgBonus[job_title],$H583),SUMIFS(AvgBonus[avg_bonus],AvgBonus[exp_item],$J583,AvgBonus[company_name],$B583,AvgBonus[bu_name],$C583,AvgBonus[dept_name],$D583,AvgBonus[team_consolidation],$K583,AvgBonus[location_name],$G583,AvgBonus[job_title],$H583))*Q478*SUM(BonusPayout[Month 6]))</f>
        <v>0</v>
      </c>
      <c r="R583" s="652">
        <f>IF($B583="",,IF(LEFT($H583,5)="dummy",SUMIFS(AvgBonus[avg_bonus],AvgBonus[job_title],$H583),SUMIFS(AvgBonus[avg_bonus],AvgBonus[exp_item],$J583,AvgBonus[company_name],$B583,AvgBonus[bu_name],$C583,AvgBonus[dept_name],$D583,AvgBonus[team_consolidation],$K583,AvgBonus[location_name],$G583,AvgBonus[job_title],$H583))*R478*SUM(BonusPayout[Month 7]))</f>
        <v>0</v>
      </c>
      <c r="S583" s="652">
        <f>IF($B583="",,IF(LEFT($H583,5)="dummy",SUMIFS(AvgBonus[avg_bonus],AvgBonus[job_title],$H583),SUMIFS(AvgBonus[avg_bonus],AvgBonus[exp_item],$J583,AvgBonus[company_name],$B583,AvgBonus[bu_name],$C583,AvgBonus[dept_name],$D583,AvgBonus[team_consolidation],$K583,AvgBonus[location_name],$G583,AvgBonus[job_title],$H583))*S478*SUM(BonusPayout[Month 8]))</f>
        <v>0</v>
      </c>
      <c r="T583" s="652">
        <f>IF($B583="",,IF(LEFT($H583,5)="dummy",SUMIFS(AvgBonus[avg_bonus],AvgBonus[job_title],$H583),SUMIFS(AvgBonus[avg_bonus],AvgBonus[exp_item],$J583,AvgBonus[company_name],$B583,AvgBonus[bu_name],$C583,AvgBonus[dept_name],$D583,AvgBonus[team_consolidation],$K583,AvgBonus[location_name],$G583,AvgBonus[job_title],$H583))*T478*SUM(BonusPayout[Month 9]))</f>
        <v>0</v>
      </c>
      <c r="U583" s="652">
        <f>IF($B583="",,IF(LEFT($H583,5)="dummy",SUMIFS(AvgBonus[avg_bonus],AvgBonus[job_title],$H583),SUMIFS(AvgBonus[avg_bonus],AvgBonus[exp_item],$J583,AvgBonus[company_name],$B583,AvgBonus[bu_name],$C583,AvgBonus[dept_name],$D583,AvgBonus[team_consolidation],$K583,AvgBonus[location_name],$G583,AvgBonus[job_title],$H583))*U478*SUM(BonusPayout[Month 10]))</f>
        <v>0</v>
      </c>
      <c r="V583" s="652">
        <f>IF($B583="",,IF(LEFT($H583,5)="dummy",SUMIFS(AvgBonus[avg_bonus],AvgBonus[job_title],$H583),SUMIFS(AvgBonus[avg_bonus],AvgBonus[exp_item],$J583,AvgBonus[company_name],$B583,AvgBonus[bu_name],$C583,AvgBonus[dept_name],$D583,AvgBonus[team_consolidation],$K583,AvgBonus[location_name],$G583,AvgBonus[job_title],$H583))*V478*SUM(BonusPayout[Month 11]))</f>
        <v>0</v>
      </c>
      <c r="W583" s="652">
        <f>IF($B583="",,IF(LEFT($H583,5)="dummy",SUMIFS(AvgBonus[avg_bonus],AvgBonus[job_title],$H583),SUMIFS(AvgBonus[avg_bonus],AvgBonus[exp_item],$J583,AvgBonus[company_name],$B583,AvgBonus[bu_name],$C583,AvgBonus[dept_name],$D583,AvgBonus[team_consolidation],$K583,AvgBonus[location_name],$G583,AvgBonus[job_title],$H583))*W478*SUM(BonusPayout[Month 12]))</f>
        <v>0</v>
      </c>
      <c r="X583" s="652">
        <f>IF($B583="",,IF(LEFT($H583,5)="dummy",SUMIFS(AvgBonus[avg_bonus],AvgBonus[job_title],$H583),SUMIFS(AvgBonus[avg_bonus],AvgBonus[exp_item],$J583,AvgBonus[company_name],$B583,AvgBonus[bu_name],$C583,AvgBonus[dept_name],$D583,AvgBonus[team_consolidation],$K583,AvgBonus[location_name],$G583,AvgBonus[job_title],$H583))*X478*SUM(BonusPayout[Month 13]))</f>
        <v>0</v>
      </c>
      <c r="Y583" s="652">
        <f>IF($B583="",,IF(LEFT($H583,5)="dummy",SUMIFS(AvgBonus[avg_bonus],AvgBonus[job_title],$H583),SUMIFS(AvgBonus[avg_bonus],AvgBonus[exp_item],$J583,AvgBonus[company_name],$B583,AvgBonus[bu_name],$C583,AvgBonus[dept_name],$D583,AvgBonus[team_consolidation],$K583,AvgBonus[location_name],$G583,AvgBonus[job_title],$H583))*Y478*SUM(BonusPayout[Month 14]))</f>
        <v>0</v>
      </c>
      <c r="Z583" s="652">
        <f>IF($B583="",,IF(LEFT($H583,5)="dummy",SUMIFS(AvgBonus[avg_bonus],AvgBonus[job_title],$H583),SUMIFS(AvgBonus[avg_bonus],AvgBonus[exp_item],$J583,AvgBonus[company_name],$B583,AvgBonus[bu_name],$C583,AvgBonus[dept_name],$D583,AvgBonus[team_consolidation],$K583,AvgBonus[location_name],$G583,AvgBonus[job_title],$H583))*Z478*SUM(BonusPayout[Month 15]))</f>
        <v>0</v>
      </c>
      <c r="AA583" s="652">
        <f>IF($B583="",,IF(LEFT($H583,5)="dummy",SUMIFS(AvgBonus[avg_bonus],AvgBonus[job_title],$H583),SUMIFS(AvgBonus[avg_bonus],AvgBonus[exp_item],$J583,AvgBonus[company_name],$B583,AvgBonus[bu_name],$C583,AvgBonus[dept_name],$D583,AvgBonus[team_consolidation],$K583,AvgBonus[location_name],$G583,AvgBonus[job_title],$H583))*AA478*SUM(BonusPayout[Month 16]))</f>
        <v>0</v>
      </c>
      <c r="AB583" s="652">
        <f>IF($B583="",,IF(LEFT($H583,5)="dummy",SUMIFS(AvgBonus[avg_bonus],AvgBonus[job_title],$H583),SUMIFS(AvgBonus[avg_bonus],AvgBonus[exp_item],$J583,AvgBonus[company_name],$B583,AvgBonus[bu_name],$C583,AvgBonus[dept_name],$D583,AvgBonus[team_consolidation],$K583,AvgBonus[location_name],$G583,AvgBonus[job_title],$H583))*AB478*SUM(BonusPayout[Month 17]))</f>
        <v>0</v>
      </c>
      <c r="AC583" s="652">
        <f>IF($B583="",,IF(LEFT($H583,5)="dummy",SUMIFS(AvgBonus[avg_bonus],AvgBonus[job_title],$H583),SUMIFS(AvgBonus[avg_bonus],AvgBonus[exp_item],$J583,AvgBonus[company_name],$B583,AvgBonus[bu_name],$C583,AvgBonus[dept_name],$D583,AvgBonus[team_consolidation],$K583,AvgBonus[location_name],$G583,AvgBonus[job_title],$H583))*AC478*SUM(BonusPayout[Month 18]))</f>
        <v>0</v>
      </c>
      <c r="AD583" s="652">
        <f>IF($B583="",,IF(LEFT($H583,5)="dummy",SUMIFS(AvgBonus[avg_bonus],AvgBonus[job_title],$H583),SUMIFS(AvgBonus[avg_bonus],AvgBonus[exp_item],$J583,AvgBonus[company_name],$B583,AvgBonus[bu_name],$C583,AvgBonus[dept_name],$D583,AvgBonus[team_consolidation],$K583,AvgBonus[location_name],$G583,AvgBonus[job_title],$H583))*AD478*SUM(BonusPayout[Month 19]))</f>
        <v>0</v>
      </c>
      <c r="AE583" s="652">
        <f>IF($B583="",,IF(LEFT($H583,5)="dummy",SUMIFS(AvgBonus[avg_bonus],AvgBonus[job_title],$H583),SUMIFS(AvgBonus[avg_bonus],AvgBonus[exp_item],$J583,AvgBonus[company_name],$B583,AvgBonus[bu_name],$C583,AvgBonus[dept_name],$D583,AvgBonus[team_consolidation],$K583,AvgBonus[location_name],$G583,AvgBonus[job_title],$H583))*AE478*SUM(BonusPayout[Month 20]))</f>
        <v>0</v>
      </c>
      <c r="AF583" s="652">
        <f>IF($B583="",,IF(LEFT($H583,5)="dummy",SUMIFS(AvgBonus[avg_bonus],AvgBonus[job_title],$H583),SUMIFS(AvgBonus[avg_bonus],AvgBonus[exp_item],$J583,AvgBonus[company_name],$B583,AvgBonus[bu_name],$C583,AvgBonus[dept_name],$D583,AvgBonus[team_consolidation],$K583,AvgBonus[location_name],$G583,AvgBonus[job_title],$H583))*AF478*SUM(BonusPayout[Month 21]))</f>
        <v>0</v>
      </c>
      <c r="AG583" s="652">
        <f>IF($B583="",,IF(LEFT($H583,5)="dummy",SUMIFS(AvgBonus[avg_bonus],AvgBonus[job_title],$H583),SUMIFS(AvgBonus[avg_bonus],AvgBonus[exp_item],$J583,AvgBonus[company_name],$B583,AvgBonus[bu_name],$C583,AvgBonus[dept_name],$D583,AvgBonus[team_consolidation],$K583,AvgBonus[location_name],$G583,AvgBonus[job_title],$H583))*AG478*SUM(BonusPayout[Month 22]))</f>
        <v>0</v>
      </c>
      <c r="AH583" s="652">
        <f>IF($B583="",,IF(LEFT($H583,5)="dummy",SUMIFS(AvgBonus[avg_bonus],AvgBonus[job_title],$H583),SUMIFS(AvgBonus[avg_bonus],AvgBonus[exp_item],$J583,AvgBonus[company_name],$B583,AvgBonus[bu_name],$C583,AvgBonus[dept_name],$D583,AvgBonus[team_consolidation],$K583,AvgBonus[location_name],$G583,AvgBonus[job_title],$H583))*AH478*SUM(BonusPayout[Month 23]))</f>
        <v>0</v>
      </c>
      <c r="AI583" s="652">
        <f>IF($B583="",,IF(LEFT($H583,5)="dummy",SUMIFS(AvgBonus[avg_bonus],AvgBonus[job_title],$H583),SUMIFS(AvgBonus[avg_bonus],AvgBonus[exp_item],$J583,AvgBonus[company_name],$B583,AvgBonus[bu_name],$C583,AvgBonus[dept_name],$D583,AvgBonus[team_consolidation],$K583,AvgBonus[location_name],$G583,AvgBonus[job_title],$H583))*AI478*SUM(BonusPayout[Month 24]))</f>
        <v>0</v>
      </c>
      <c r="AJ583" s="652">
        <f>IF($B583="",,IF(LEFT($H583,5)="dummy",SUMIFS(AvgBonus[avg_bonus],AvgBonus[job_title],$H583),SUMIFS(AvgBonus[avg_bonus],AvgBonus[exp_item],$J583,AvgBonus[company_name],$B583,AvgBonus[bu_name],$C583,AvgBonus[dept_name],$D583,AvgBonus[team_consolidation],$K583,AvgBonus[location_name],$G583,AvgBonus[job_title],$H583))*AJ478*SUM(BonusPayout[Month 25]))</f>
        <v>0</v>
      </c>
      <c r="AK583" s="652">
        <f>IF($B583="",,IF(LEFT($H583,5)="dummy",SUMIFS(AvgBonus[avg_bonus],AvgBonus[job_title],$H583),SUMIFS(AvgBonus[avg_bonus],AvgBonus[exp_item],$J583,AvgBonus[company_name],$B583,AvgBonus[bu_name],$C583,AvgBonus[dept_name],$D583,AvgBonus[team_consolidation],$K583,AvgBonus[location_name],$G583,AvgBonus[job_title],$H583))*AK478*SUM(BonusPayout[Month 26]))</f>
        <v>0</v>
      </c>
      <c r="AL583" s="652">
        <f>IF($B583="",,IF(LEFT($H583,5)="dummy",SUMIFS(AvgBonus[avg_bonus],AvgBonus[job_title],$H583),SUMIFS(AvgBonus[avg_bonus],AvgBonus[exp_item],$J583,AvgBonus[company_name],$B583,AvgBonus[bu_name],$C583,AvgBonus[dept_name],$D583,AvgBonus[team_consolidation],$K583,AvgBonus[location_name],$G583,AvgBonus[job_title],$H583))*AL478*SUM(BonusPayout[Month 27]))</f>
        <v>0</v>
      </c>
      <c r="AM583" s="652">
        <f>IF($B583="",,IF(LEFT($H583,5)="dummy",SUMIFS(AvgBonus[avg_bonus],AvgBonus[job_title],$H583),SUMIFS(AvgBonus[avg_bonus],AvgBonus[exp_item],$J583,AvgBonus[company_name],$B583,AvgBonus[bu_name],$C583,AvgBonus[dept_name],$D583,AvgBonus[team_consolidation],$K583,AvgBonus[location_name],$G583,AvgBonus[job_title],$H583))*AM478*SUM(BonusPayout[Month 28]))</f>
        <v>0</v>
      </c>
      <c r="AN583" s="652">
        <f>IF($B583="",,IF(LEFT($H583,5)="dummy",SUMIFS(AvgBonus[avg_bonus],AvgBonus[job_title],$H583),SUMIFS(AvgBonus[avg_bonus],AvgBonus[exp_item],$J583,AvgBonus[company_name],$B583,AvgBonus[bu_name],$C583,AvgBonus[dept_name],$D583,AvgBonus[team_consolidation],$K583,AvgBonus[location_name],$G583,AvgBonus[job_title],$H583))*AN478*SUM(BonusPayout[Month 29]))</f>
        <v>0</v>
      </c>
      <c r="AO583" s="652">
        <f>IF($B583="",,IF(LEFT($H583,5)="dummy",SUMIFS(AvgBonus[avg_bonus],AvgBonus[job_title],$H583),SUMIFS(AvgBonus[avg_bonus],AvgBonus[exp_item],$J583,AvgBonus[company_name],$B583,AvgBonus[bu_name],$C583,AvgBonus[dept_name],$D583,AvgBonus[team_consolidation],$K583,AvgBonus[location_name],$G583,AvgBonus[job_title],$H583))*AO478*SUM(BonusPayout[Month 30]))</f>
        <v>0</v>
      </c>
      <c r="AP583" s="652">
        <f>IF($B583="",,IF(LEFT($H583,5)="dummy",SUMIFS(AvgBonus[avg_bonus],AvgBonus[job_title],$H583),SUMIFS(AvgBonus[avg_bonus],AvgBonus[exp_item],$J583,AvgBonus[company_name],$B583,AvgBonus[bu_name],$C583,AvgBonus[dept_name],$D583,AvgBonus[team_consolidation],$K583,AvgBonus[location_name],$G583,AvgBonus[job_title],$H583))*AP478*SUM(BonusPayout[Month 31]))</f>
        <v>0</v>
      </c>
      <c r="AQ583" s="652">
        <f>IF($B583="",,IF(LEFT($H583,5)="dummy",SUMIFS(AvgBonus[avg_bonus],AvgBonus[job_title],$H583),SUMIFS(AvgBonus[avg_bonus],AvgBonus[exp_item],$J583,AvgBonus[company_name],$B583,AvgBonus[bu_name],$C583,AvgBonus[dept_name],$D583,AvgBonus[team_consolidation],$K583,AvgBonus[location_name],$G583,AvgBonus[job_title],$H583))*AQ478*SUM(BonusPayout[Month 32]))</f>
        <v>0</v>
      </c>
      <c r="AR583" s="652">
        <f>IF($B583="",,IF(LEFT($H583,5)="dummy",SUMIFS(AvgBonus[avg_bonus],AvgBonus[job_title],$H583),SUMIFS(AvgBonus[avg_bonus],AvgBonus[exp_item],$J583,AvgBonus[company_name],$B583,AvgBonus[bu_name],$C583,AvgBonus[dept_name],$D583,AvgBonus[team_consolidation],$K583,AvgBonus[location_name],$G583,AvgBonus[job_title],$H583))*AR478*SUM(BonusPayout[Month 33]))</f>
        <v>0</v>
      </c>
      <c r="AS583" s="652">
        <f>IF($B583="",,IF(LEFT($H583,5)="dummy",SUMIFS(AvgBonus[avg_bonus],AvgBonus[job_title],$H583),SUMIFS(AvgBonus[avg_bonus],AvgBonus[exp_item],$J583,AvgBonus[company_name],$B583,AvgBonus[bu_name],$C583,AvgBonus[dept_name],$D583,AvgBonus[team_consolidation],$K583,AvgBonus[location_name],$G583,AvgBonus[job_title],$H583))*AS478*SUM(BonusPayout[Month 34]))</f>
        <v>0</v>
      </c>
      <c r="AT583" s="652">
        <f>IF($B583="",,IF(LEFT($H583,5)="dummy",SUMIFS(AvgBonus[avg_bonus],AvgBonus[job_title],$H583),SUMIFS(AvgBonus[avg_bonus],AvgBonus[exp_item],$J583,AvgBonus[company_name],$B583,AvgBonus[bu_name],$C583,AvgBonus[dept_name],$D583,AvgBonus[team_consolidation],$K583,AvgBonus[location_name],$G583,AvgBonus[job_title],$H583))*AT478*SUM(BonusPayout[Month 35]))</f>
        <v>0</v>
      </c>
      <c r="AU583" s="652">
        <f>IF($B583="",,IF(LEFT($H583,5)="dummy",SUMIFS(AvgBonus[avg_bonus],AvgBonus[job_title],$H583),SUMIFS(AvgBonus[avg_bonus],AvgBonus[exp_item],$J583,AvgBonus[company_name],$B583,AvgBonus[bu_name],$C583,AvgBonus[dept_name],$D583,AvgBonus[team_consolidation],$K583,AvgBonus[location_name],$G583,AvgBonus[job_title],$H583))*AU478*SUM(BonusPayout[Month 36]))</f>
        <v>0</v>
      </c>
    </row>
    <row r="584" spans="2:47" x14ac:dyDescent="0.35">
      <c r="B584" t="str">
        <f t="shared" si="361"/>
        <v/>
      </c>
      <c r="C584" t="str">
        <f t="shared" ref="C584:G584" si="381">IF(C479="","",C479)</f>
        <v/>
      </c>
      <c r="D584" t="str">
        <f t="shared" si="381"/>
        <v/>
      </c>
      <c r="E584" t="str">
        <f t="shared" si="381"/>
        <v/>
      </c>
      <c r="F584" t="str">
        <f t="shared" si="381"/>
        <v/>
      </c>
      <c r="G584" t="str">
        <f t="shared" si="381"/>
        <v/>
      </c>
      <c r="H584" t="str">
        <f t="shared" si="360"/>
        <v/>
      </c>
      <c r="J584" t="str">
        <f>IF($H584="","",IF(VLOOKUP($B$500,ExpItems[],2,0),$B$500&amp;" - "&amp;INDEX(DivisionMapping[category_code],MATCH($D584&amp;$C584,DivisionMapping[dept_bu],0)),$B$500))</f>
        <v/>
      </c>
      <c r="K584" t="str">
        <f t="shared" si="363"/>
        <v/>
      </c>
      <c r="L584" s="652">
        <f>IF($B584="",,IF(LEFT($H584,5)="dummy",SUMIFS(AvgBonus[avg_bonus],AvgBonus[job_title],$H584),SUMIFS(AvgBonus[avg_bonus],AvgBonus[exp_item],$J584,AvgBonus[company_name],$B584,AvgBonus[bu_name],$C584,AvgBonus[dept_name],$D584,AvgBonus[team_consolidation],$K584,AvgBonus[location_name],$G584,AvgBonus[job_title],$H584))*L479*SUM(BonusPayout[Month 1]))</f>
        <v>0</v>
      </c>
      <c r="M584" s="652">
        <f>IF($B584="",,IF(LEFT($H584,5)="dummy",SUMIFS(AvgBonus[avg_bonus],AvgBonus[job_title],$H584),SUMIFS(AvgBonus[avg_bonus],AvgBonus[exp_item],$J584,AvgBonus[company_name],$B584,AvgBonus[bu_name],$C584,AvgBonus[dept_name],$D584,AvgBonus[team_consolidation],$K584,AvgBonus[location_name],$G584,AvgBonus[job_title],$H584))*M479*SUM(BonusPayout[Month 2]))</f>
        <v>0</v>
      </c>
      <c r="N584" s="652">
        <f>IF($B584="",,IF(LEFT($H584,5)="dummy",SUMIFS(AvgBonus[avg_bonus],AvgBonus[job_title],$H584),SUMIFS(AvgBonus[avg_bonus],AvgBonus[exp_item],$J584,AvgBonus[company_name],$B584,AvgBonus[bu_name],$C584,AvgBonus[dept_name],$D584,AvgBonus[team_consolidation],$K584,AvgBonus[location_name],$G584,AvgBonus[job_title],$H584))*N479*SUM(BonusPayout[Month 3]))</f>
        <v>0</v>
      </c>
      <c r="O584" s="652">
        <f>IF($B584="",,IF(LEFT($H584,5)="dummy",SUMIFS(AvgBonus[avg_bonus],AvgBonus[job_title],$H584),SUMIFS(AvgBonus[avg_bonus],AvgBonus[exp_item],$J584,AvgBonus[company_name],$B584,AvgBonus[bu_name],$C584,AvgBonus[dept_name],$D584,AvgBonus[team_consolidation],$K584,AvgBonus[location_name],$G584,AvgBonus[job_title],$H584))*O479*SUM(BonusPayout[Month 4]))</f>
        <v>0</v>
      </c>
      <c r="P584" s="652">
        <f>IF($B584="",,IF(LEFT($H584,5)="dummy",SUMIFS(AvgBonus[avg_bonus],AvgBonus[job_title],$H584),SUMIFS(AvgBonus[avg_bonus],AvgBonus[exp_item],$J584,AvgBonus[company_name],$B584,AvgBonus[bu_name],$C584,AvgBonus[dept_name],$D584,AvgBonus[team_consolidation],$K584,AvgBonus[location_name],$G584,AvgBonus[job_title],$H584))*P479*SUM(BonusPayout[Month 5]))</f>
        <v>0</v>
      </c>
      <c r="Q584" s="652">
        <f>IF($B584="",,IF(LEFT($H584,5)="dummy",SUMIFS(AvgBonus[avg_bonus],AvgBonus[job_title],$H584),SUMIFS(AvgBonus[avg_bonus],AvgBonus[exp_item],$J584,AvgBonus[company_name],$B584,AvgBonus[bu_name],$C584,AvgBonus[dept_name],$D584,AvgBonus[team_consolidation],$K584,AvgBonus[location_name],$G584,AvgBonus[job_title],$H584))*Q479*SUM(BonusPayout[Month 6]))</f>
        <v>0</v>
      </c>
      <c r="R584" s="652">
        <f>IF($B584="",,IF(LEFT($H584,5)="dummy",SUMIFS(AvgBonus[avg_bonus],AvgBonus[job_title],$H584),SUMIFS(AvgBonus[avg_bonus],AvgBonus[exp_item],$J584,AvgBonus[company_name],$B584,AvgBonus[bu_name],$C584,AvgBonus[dept_name],$D584,AvgBonus[team_consolidation],$K584,AvgBonus[location_name],$G584,AvgBonus[job_title],$H584))*R479*SUM(BonusPayout[Month 7]))</f>
        <v>0</v>
      </c>
      <c r="S584" s="652">
        <f>IF($B584="",,IF(LEFT($H584,5)="dummy",SUMIFS(AvgBonus[avg_bonus],AvgBonus[job_title],$H584),SUMIFS(AvgBonus[avg_bonus],AvgBonus[exp_item],$J584,AvgBonus[company_name],$B584,AvgBonus[bu_name],$C584,AvgBonus[dept_name],$D584,AvgBonus[team_consolidation],$K584,AvgBonus[location_name],$G584,AvgBonus[job_title],$H584))*S479*SUM(BonusPayout[Month 8]))</f>
        <v>0</v>
      </c>
      <c r="T584" s="652">
        <f>IF($B584="",,IF(LEFT($H584,5)="dummy",SUMIFS(AvgBonus[avg_bonus],AvgBonus[job_title],$H584),SUMIFS(AvgBonus[avg_bonus],AvgBonus[exp_item],$J584,AvgBonus[company_name],$B584,AvgBonus[bu_name],$C584,AvgBonus[dept_name],$D584,AvgBonus[team_consolidation],$K584,AvgBonus[location_name],$G584,AvgBonus[job_title],$H584))*T479*SUM(BonusPayout[Month 9]))</f>
        <v>0</v>
      </c>
      <c r="U584" s="652">
        <f>IF($B584="",,IF(LEFT($H584,5)="dummy",SUMIFS(AvgBonus[avg_bonus],AvgBonus[job_title],$H584),SUMIFS(AvgBonus[avg_bonus],AvgBonus[exp_item],$J584,AvgBonus[company_name],$B584,AvgBonus[bu_name],$C584,AvgBonus[dept_name],$D584,AvgBonus[team_consolidation],$K584,AvgBonus[location_name],$G584,AvgBonus[job_title],$H584))*U479*SUM(BonusPayout[Month 10]))</f>
        <v>0</v>
      </c>
      <c r="V584" s="652">
        <f>IF($B584="",,IF(LEFT($H584,5)="dummy",SUMIFS(AvgBonus[avg_bonus],AvgBonus[job_title],$H584),SUMIFS(AvgBonus[avg_bonus],AvgBonus[exp_item],$J584,AvgBonus[company_name],$B584,AvgBonus[bu_name],$C584,AvgBonus[dept_name],$D584,AvgBonus[team_consolidation],$K584,AvgBonus[location_name],$G584,AvgBonus[job_title],$H584))*V479*SUM(BonusPayout[Month 11]))</f>
        <v>0</v>
      </c>
      <c r="W584" s="652">
        <f>IF($B584="",,IF(LEFT($H584,5)="dummy",SUMIFS(AvgBonus[avg_bonus],AvgBonus[job_title],$H584),SUMIFS(AvgBonus[avg_bonus],AvgBonus[exp_item],$J584,AvgBonus[company_name],$B584,AvgBonus[bu_name],$C584,AvgBonus[dept_name],$D584,AvgBonus[team_consolidation],$K584,AvgBonus[location_name],$G584,AvgBonus[job_title],$H584))*W479*SUM(BonusPayout[Month 12]))</f>
        <v>0</v>
      </c>
      <c r="X584" s="652">
        <f>IF($B584="",,IF(LEFT($H584,5)="dummy",SUMIFS(AvgBonus[avg_bonus],AvgBonus[job_title],$H584),SUMIFS(AvgBonus[avg_bonus],AvgBonus[exp_item],$J584,AvgBonus[company_name],$B584,AvgBonus[bu_name],$C584,AvgBonus[dept_name],$D584,AvgBonus[team_consolidation],$K584,AvgBonus[location_name],$G584,AvgBonus[job_title],$H584))*X479*SUM(BonusPayout[Month 13]))</f>
        <v>0</v>
      </c>
      <c r="Y584" s="652">
        <f>IF($B584="",,IF(LEFT($H584,5)="dummy",SUMIFS(AvgBonus[avg_bonus],AvgBonus[job_title],$H584),SUMIFS(AvgBonus[avg_bonus],AvgBonus[exp_item],$J584,AvgBonus[company_name],$B584,AvgBonus[bu_name],$C584,AvgBonus[dept_name],$D584,AvgBonus[team_consolidation],$K584,AvgBonus[location_name],$G584,AvgBonus[job_title],$H584))*Y479*SUM(BonusPayout[Month 14]))</f>
        <v>0</v>
      </c>
      <c r="Z584" s="652">
        <f>IF($B584="",,IF(LEFT($H584,5)="dummy",SUMIFS(AvgBonus[avg_bonus],AvgBonus[job_title],$H584),SUMIFS(AvgBonus[avg_bonus],AvgBonus[exp_item],$J584,AvgBonus[company_name],$B584,AvgBonus[bu_name],$C584,AvgBonus[dept_name],$D584,AvgBonus[team_consolidation],$K584,AvgBonus[location_name],$G584,AvgBonus[job_title],$H584))*Z479*SUM(BonusPayout[Month 15]))</f>
        <v>0</v>
      </c>
      <c r="AA584" s="652">
        <f>IF($B584="",,IF(LEFT($H584,5)="dummy",SUMIFS(AvgBonus[avg_bonus],AvgBonus[job_title],$H584),SUMIFS(AvgBonus[avg_bonus],AvgBonus[exp_item],$J584,AvgBonus[company_name],$B584,AvgBonus[bu_name],$C584,AvgBonus[dept_name],$D584,AvgBonus[team_consolidation],$K584,AvgBonus[location_name],$G584,AvgBonus[job_title],$H584))*AA479*SUM(BonusPayout[Month 16]))</f>
        <v>0</v>
      </c>
      <c r="AB584" s="652">
        <f>IF($B584="",,IF(LEFT($H584,5)="dummy",SUMIFS(AvgBonus[avg_bonus],AvgBonus[job_title],$H584),SUMIFS(AvgBonus[avg_bonus],AvgBonus[exp_item],$J584,AvgBonus[company_name],$B584,AvgBonus[bu_name],$C584,AvgBonus[dept_name],$D584,AvgBonus[team_consolidation],$K584,AvgBonus[location_name],$G584,AvgBonus[job_title],$H584))*AB479*SUM(BonusPayout[Month 17]))</f>
        <v>0</v>
      </c>
      <c r="AC584" s="652">
        <f>IF($B584="",,IF(LEFT($H584,5)="dummy",SUMIFS(AvgBonus[avg_bonus],AvgBonus[job_title],$H584),SUMIFS(AvgBonus[avg_bonus],AvgBonus[exp_item],$J584,AvgBonus[company_name],$B584,AvgBonus[bu_name],$C584,AvgBonus[dept_name],$D584,AvgBonus[team_consolidation],$K584,AvgBonus[location_name],$G584,AvgBonus[job_title],$H584))*AC479*SUM(BonusPayout[Month 18]))</f>
        <v>0</v>
      </c>
      <c r="AD584" s="652">
        <f>IF($B584="",,IF(LEFT($H584,5)="dummy",SUMIFS(AvgBonus[avg_bonus],AvgBonus[job_title],$H584),SUMIFS(AvgBonus[avg_bonus],AvgBonus[exp_item],$J584,AvgBonus[company_name],$B584,AvgBonus[bu_name],$C584,AvgBonus[dept_name],$D584,AvgBonus[team_consolidation],$K584,AvgBonus[location_name],$G584,AvgBonus[job_title],$H584))*AD479*SUM(BonusPayout[Month 19]))</f>
        <v>0</v>
      </c>
      <c r="AE584" s="652">
        <f>IF($B584="",,IF(LEFT($H584,5)="dummy",SUMIFS(AvgBonus[avg_bonus],AvgBonus[job_title],$H584),SUMIFS(AvgBonus[avg_bonus],AvgBonus[exp_item],$J584,AvgBonus[company_name],$B584,AvgBonus[bu_name],$C584,AvgBonus[dept_name],$D584,AvgBonus[team_consolidation],$K584,AvgBonus[location_name],$G584,AvgBonus[job_title],$H584))*AE479*SUM(BonusPayout[Month 20]))</f>
        <v>0</v>
      </c>
      <c r="AF584" s="652">
        <f>IF($B584="",,IF(LEFT($H584,5)="dummy",SUMIFS(AvgBonus[avg_bonus],AvgBonus[job_title],$H584),SUMIFS(AvgBonus[avg_bonus],AvgBonus[exp_item],$J584,AvgBonus[company_name],$B584,AvgBonus[bu_name],$C584,AvgBonus[dept_name],$D584,AvgBonus[team_consolidation],$K584,AvgBonus[location_name],$G584,AvgBonus[job_title],$H584))*AF479*SUM(BonusPayout[Month 21]))</f>
        <v>0</v>
      </c>
      <c r="AG584" s="652">
        <f>IF($B584="",,IF(LEFT($H584,5)="dummy",SUMIFS(AvgBonus[avg_bonus],AvgBonus[job_title],$H584),SUMIFS(AvgBonus[avg_bonus],AvgBonus[exp_item],$J584,AvgBonus[company_name],$B584,AvgBonus[bu_name],$C584,AvgBonus[dept_name],$D584,AvgBonus[team_consolidation],$K584,AvgBonus[location_name],$G584,AvgBonus[job_title],$H584))*AG479*SUM(BonusPayout[Month 22]))</f>
        <v>0</v>
      </c>
      <c r="AH584" s="652">
        <f>IF($B584="",,IF(LEFT($H584,5)="dummy",SUMIFS(AvgBonus[avg_bonus],AvgBonus[job_title],$H584),SUMIFS(AvgBonus[avg_bonus],AvgBonus[exp_item],$J584,AvgBonus[company_name],$B584,AvgBonus[bu_name],$C584,AvgBonus[dept_name],$D584,AvgBonus[team_consolidation],$K584,AvgBonus[location_name],$G584,AvgBonus[job_title],$H584))*AH479*SUM(BonusPayout[Month 23]))</f>
        <v>0</v>
      </c>
      <c r="AI584" s="652">
        <f>IF($B584="",,IF(LEFT($H584,5)="dummy",SUMIFS(AvgBonus[avg_bonus],AvgBonus[job_title],$H584),SUMIFS(AvgBonus[avg_bonus],AvgBonus[exp_item],$J584,AvgBonus[company_name],$B584,AvgBonus[bu_name],$C584,AvgBonus[dept_name],$D584,AvgBonus[team_consolidation],$K584,AvgBonus[location_name],$G584,AvgBonus[job_title],$H584))*AI479*SUM(BonusPayout[Month 24]))</f>
        <v>0</v>
      </c>
      <c r="AJ584" s="652">
        <f>IF($B584="",,IF(LEFT($H584,5)="dummy",SUMIFS(AvgBonus[avg_bonus],AvgBonus[job_title],$H584),SUMIFS(AvgBonus[avg_bonus],AvgBonus[exp_item],$J584,AvgBonus[company_name],$B584,AvgBonus[bu_name],$C584,AvgBonus[dept_name],$D584,AvgBonus[team_consolidation],$K584,AvgBonus[location_name],$G584,AvgBonus[job_title],$H584))*AJ479*SUM(BonusPayout[Month 25]))</f>
        <v>0</v>
      </c>
      <c r="AK584" s="652">
        <f>IF($B584="",,IF(LEFT($H584,5)="dummy",SUMIFS(AvgBonus[avg_bonus],AvgBonus[job_title],$H584),SUMIFS(AvgBonus[avg_bonus],AvgBonus[exp_item],$J584,AvgBonus[company_name],$B584,AvgBonus[bu_name],$C584,AvgBonus[dept_name],$D584,AvgBonus[team_consolidation],$K584,AvgBonus[location_name],$G584,AvgBonus[job_title],$H584))*AK479*SUM(BonusPayout[Month 26]))</f>
        <v>0</v>
      </c>
      <c r="AL584" s="652">
        <f>IF($B584="",,IF(LEFT($H584,5)="dummy",SUMIFS(AvgBonus[avg_bonus],AvgBonus[job_title],$H584),SUMIFS(AvgBonus[avg_bonus],AvgBonus[exp_item],$J584,AvgBonus[company_name],$B584,AvgBonus[bu_name],$C584,AvgBonus[dept_name],$D584,AvgBonus[team_consolidation],$K584,AvgBonus[location_name],$G584,AvgBonus[job_title],$H584))*AL479*SUM(BonusPayout[Month 27]))</f>
        <v>0</v>
      </c>
      <c r="AM584" s="652">
        <f>IF($B584="",,IF(LEFT($H584,5)="dummy",SUMIFS(AvgBonus[avg_bonus],AvgBonus[job_title],$H584),SUMIFS(AvgBonus[avg_bonus],AvgBonus[exp_item],$J584,AvgBonus[company_name],$B584,AvgBonus[bu_name],$C584,AvgBonus[dept_name],$D584,AvgBonus[team_consolidation],$K584,AvgBonus[location_name],$G584,AvgBonus[job_title],$H584))*AM479*SUM(BonusPayout[Month 28]))</f>
        <v>0</v>
      </c>
      <c r="AN584" s="652">
        <f>IF($B584="",,IF(LEFT($H584,5)="dummy",SUMIFS(AvgBonus[avg_bonus],AvgBonus[job_title],$H584),SUMIFS(AvgBonus[avg_bonus],AvgBonus[exp_item],$J584,AvgBonus[company_name],$B584,AvgBonus[bu_name],$C584,AvgBonus[dept_name],$D584,AvgBonus[team_consolidation],$K584,AvgBonus[location_name],$G584,AvgBonus[job_title],$H584))*AN479*SUM(BonusPayout[Month 29]))</f>
        <v>0</v>
      </c>
      <c r="AO584" s="652">
        <f>IF($B584="",,IF(LEFT($H584,5)="dummy",SUMIFS(AvgBonus[avg_bonus],AvgBonus[job_title],$H584),SUMIFS(AvgBonus[avg_bonus],AvgBonus[exp_item],$J584,AvgBonus[company_name],$B584,AvgBonus[bu_name],$C584,AvgBonus[dept_name],$D584,AvgBonus[team_consolidation],$K584,AvgBonus[location_name],$G584,AvgBonus[job_title],$H584))*AO479*SUM(BonusPayout[Month 30]))</f>
        <v>0</v>
      </c>
      <c r="AP584" s="652">
        <f>IF($B584="",,IF(LEFT($H584,5)="dummy",SUMIFS(AvgBonus[avg_bonus],AvgBonus[job_title],$H584),SUMIFS(AvgBonus[avg_bonus],AvgBonus[exp_item],$J584,AvgBonus[company_name],$B584,AvgBonus[bu_name],$C584,AvgBonus[dept_name],$D584,AvgBonus[team_consolidation],$K584,AvgBonus[location_name],$G584,AvgBonus[job_title],$H584))*AP479*SUM(BonusPayout[Month 31]))</f>
        <v>0</v>
      </c>
      <c r="AQ584" s="652">
        <f>IF($B584="",,IF(LEFT($H584,5)="dummy",SUMIFS(AvgBonus[avg_bonus],AvgBonus[job_title],$H584),SUMIFS(AvgBonus[avg_bonus],AvgBonus[exp_item],$J584,AvgBonus[company_name],$B584,AvgBonus[bu_name],$C584,AvgBonus[dept_name],$D584,AvgBonus[team_consolidation],$K584,AvgBonus[location_name],$G584,AvgBonus[job_title],$H584))*AQ479*SUM(BonusPayout[Month 32]))</f>
        <v>0</v>
      </c>
      <c r="AR584" s="652">
        <f>IF($B584="",,IF(LEFT($H584,5)="dummy",SUMIFS(AvgBonus[avg_bonus],AvgBonus[job_title],$H584),SUMIFS(AvgBonus[avg_bonus],AvgBonus[exp_item],$J584,AvgBonus[company_name],$B584,AvgBonus[bu_name],$C584,AvgBonus[dept_name],$D584,AvgBonus[team_consolidation],$K584,AvgBonus[location_name],$G584,AvgBonus[job_title],$H584))*AR479*SUM(BonusPayout[Month 33]))</f>
        <v>0</v>
      </c>
      <c r="AS584" s="652">
        <f>IF($B584="",,IF(LEFT($H584,5)="dummy",SUMIFS(AvgBonus[avg_bonus],AvgBonus[job_title],$H584),SUMIFS(AvgBonus[avg_bonus],AvgBonus[exp_item],$J584,AvgBonus[company_name],$B584,AvgBonus[bu_name],$C584,AvgBonus[dept_name],$D584,AvgBonus[team_consolidation],$K584,AvgBonus[location_name],$G584,AvgBonus[job_title],$H584))*AS479*SUM(BonusPayout[Month 34]))</f>
        <v>0</v>
      </c>
      <c r="AT584" s="652">
        <f>IF($B584="",,IF(LEFT($H584,5)="dummy",SUMIFS(AvgBonus[avg_bonus],AvgBonus[job_title],$H584),SUMIFS(AvgBonus[avg_bonus],AvgBonus[exp_item],$J584,AvgBonus[company_name],$B584,AvgBonus[bu_name],$C584,AvgBonus[dept_name],$D584,AvgBonus[team_consolidation],$K584,AvgBonus[location_name],$G584,AvgBonus[job_title],$H584))*AT479*SUM(BonusPayout[Month 35]))</f>
        <v>0</v>
      </c>
      <c r="AU584" s="652">
        <f>IF($B584="",,IF(LEFT($H584,5)="dummy",SUMIFS(AvgBonus[avg_bonus],AvgBonus[job_title],$H584),SUMIFS(AvgBonus[avg_bonus],AvgBonus[exp_item],$J584,AvgBonus[company_name],$B584,AvgBonus[bu_name],$C584,AvgBonus[dept_name],$D584,AvgBonus[team_consolidation],$K584,AvgBonus[location_name],$G584,AvgBonus[job_title],$H584))*AU479*SUM(BonusPayout[Month 36]))</f>
        <v>0</v>
      </c>
    </row>
    <row r="585" spans="2:47" x14ac:dyDescent="0.35">
      <c r="B585" t="str">
        <f t="shared" si="361"/>
        <v/>
      </c>
      <c r="C585" t="str">
        <f t="shared" ref="C585:G585" si="382">IF(C480="","",C480)</f>
        <v/>
      </c>
      <c r="D585" t="str">
        <f t="shared" si="382"/>
        <v/>
      </c>
      <c r="E585" t="str">
        <f t="shared" si="382"/>
        <v/>
      </c>
      <c r="F585" t="str">
        <f t="shared" si="382"/>
        <v/>
      </c>
      <c r="G585" t="str">
        <f t="shared" si="382"/>
        <v/>
      </c>
      <c r="H585" t="str">
        <f t="shared" si="360"/>
        <v/>
      </c>
      <c r="J585" t="str">
        <f>IF($H585="","",IF(VLOOKUP($B$500,ExpItems[],2,0),$B$500&amp;" - "&amp;INDEX(DivisionMapping[category_code],MATCH($D585&amp;$C585,DivisionMapping[dept_bu],0)),$B$500))</f>
        <v/>
      </c>
      <c r="K585" t="str">
        <f t="shared" si="363"/>
        <v/>
      </c>
      <c r="L585" s="652">
        <f>IF($B585="",,IF(LEFT($H585,5)="dummy",SUMIFS(AvgBonus[avg_bonus],AvgBonus[job_title],$H585),SUMIFS(AvgBonus[avg_bonus],AvgBonus[exp_item],$J585,AvgBonus[company_name],$B585,AvgBonus[bu_name],$C585,AvgBonus[dept_name],$D585,AvgBonus[team_consolidation],$K585,AvgBonus[location_name],$G585,AvgBonus[job_title],$H585))*L480*SUM(BonusPayout[Month 1]))</f>
        <v>0</v>
      </c>
      <c r="M585" s="652">
        <f>IF($B585="",,IF(LEFT($H585,5)="dummy",SUMIFS(AvgBonus[avg_bonus],AvgBonus[job_title],$H585),SUMIFS(AvgBonus[avg_bonus],AvgBonus[exp_item],$J585,AvgBonus[company_name],$B585,AvgBonus[bu_name],$C585,AvgBonus[dept_name],$D585,AvgBonus[team_consolidation],$K585,AvgBonus[location_name],$G585,AvgBonus[job_title],$H585))*M480*SUM(BonusPayout[Month 2]))</f>
        <v>0</v>
      </c>
      <c r="N585" s="652">
        <f>IF($B585="",,IF(LEFT($H585,5)="dummy",SUMIFS(AvgBonus[avg_bonus],AvgBonus[job_title],$H585),SUMIFS(AvgBonus[avg_bonus],AvgBonus[exp_item],$J585,AvgBonus[company_name],$B585,AvgBonus[bu_name],$C585,AvgBonus[dept_name],$D585,AvgBonus[team_consolidation],$K585,AvgBonus[location_name],$G585,AvgBonus[job_title],$H585))*N480*SUM(BonusPayout[Month 3]))</f>
        <v>0</v>
      </c>
      <c r="O585" s="652">
        <f>IF($B585="",,IF(LEFT($H585,5)="dummy",SUMIFS(AvgBonus[avg_bonus],AvgBonus[job_title],$H585),SUMIFS(AvgBonus[avg_bonus],AvgBonus[exp_item],$J585,AvgBonus[company_name],$B585,AvgBonus[bu_name],$C585,AvgBonus[dept_name],$D585,AvgBonus[team_consolidation],$K585,AvgBonus[location_name],$G585,AvgBonus[job_title],$H585))*O480*SUM(BonusPayout[Month 4]))</f>
        <v>0</v>
      </c>
      <c r="P585" s="652">
        <f>IF($B585="",,IF(LEFT($H585,5)="dummy",SUMIFS(AvgBonus[avg_bonus],AvgBonus[job_title],$H585),SUMIFS(AvgBonus[avg_bonus],AvgBonus[exp_item],$J585,AvgBonus[company_name],$B585,AvgBonus[bu_name],$C585,AvgBonus[dept_name],$D585,AvgBonus[team_consolidation],$K585,AvgBonus[location_name],$G585,AvgBonus[job_title],$H585))*P480*SUM(BonusPayout[Month 5]))</f>
        <v>0</v>
      </c>
      <c r="Q585" s="652">
        <f>IF($B585="",,IF(LEFT($H585,5)="dummy",SUMIFS(AvgBonus[avg_bonus],AvgBonus[job_title],$H585),SUMIFS(AvgBonus[avg_bonus],AvgBonus[exp_item],$J585,AvgBonus[company_name],$B585,AvgBonus[bu_name],$C585,AvgBonus[dept_name],$D585,AvgBonus[team_consolidation],$K585,AvgBonus[location_name],$G585,AvgBonus[job_title],$H585))*Q480*SUM(BonusPayout[Month 6]))</f>
        <v>0</v>
      </c>
      <c r="R585" s="652">
        <f>IF($B585="",,IF(LEFT($H585,5)="dummy",SUMIFS(AvgBonus[avg_bonus],AvgBonus[job_title],$H585),SUMIFS(AvgBonus[avg_bonus],AvgBonus[exp_item],$J585,AvgBonus[company_name],$B585,AvgBonus[bu_name],$C585,AvgBonus[dept_name],$D585,AvgBonus[team_consolidation],$K585,AvgBonus[location_name],$G585,AvgBonus[job_title],$H585))*R480*SUM(BonusPayout[Month 7]))</f>
        <v>0</v>
      </c>
      <c r="S585" s="652">
        <f>IF($B585="",,IF(LEFT($H585,5)="dummy",SUMIFS(AvgBonus[avg_bonus],AvgBonus[job_title],$H585),SUMIFS(AvgBonus[avg_bonus],AvgBonus[exp_item],$J585,AvgBonus[company_name],$B585,AvgBonus[bu_name],$C585,AvgBonus[dept_name],$D585,AvgBonus[team_consolidation],$K585,AvgBonus[location_name],$G585,AvgBonus[job_title],$H585))*S480*SUM(BonusPayout[Month 8]))</f>
        <v>0</v>
      </c>
      <c r="T585" s="652">
        <f>IF($B585="",,IF(LEFT($H585,5)="dummy",SUMIFS(AvgBonus[avg_bonus],AvgBonus[job_title],$H585),SUMIFS(AvgBonus[avg_bonus],AvgBonus[exp_item],$J585,AvgBonus[company_name],$B585,AvgBonus[bu_name],$C585,AvgBonus[dept_name],$D585,AvgBonus[team_consolidation],$K585,AvgBonus[location_name],$G585,AvgBonus[job_title],$H585))*T480*SUM(BonusPayout[Month 9]))</f>
        <v>0</v>
      </c>
      <c r="U585" s="652">
        <f>IF($B585="",,IF(LEFT($H585,5)="dummy",SUMIFS(AvgBonus[avg_bonus],AvgBonus[job_title],$H585),SUMIFS(AvgBonus[avg_bonus],AvgBonus[exp_item],$J585,AvgBonus[company_name],$B585,AvgBonus[bu_name],$C585,AvgBonus[dept_name],$D585,AvgBonus[team_consolidation],$K585,AvgBonus[location_name],$G585,AvgBonus[job_title],$H585))*U480*SUM(BonusPayout[Month 10]))</f>
        <v>0</v>
      </c>
      <c r="V585" s="652">
        <f>IF($B585="",,IF(LEFT($H585,5)="dummy",SUMIFS(AvgBonus[avg_bonus],AvgBonus[job_title],$H585),SUMIFS(AvgBonus[avg_bonus],AvgBonus[exp_item],$J585,AvgBonus[company_name],$B585,AvgBonus[bu_name],$C585,AvgBonus[dept_name],$D585,AvgBonus[team_consolidation],$K585,AvgBonus[location_name],$G585,AvgBonus[job_title],$H585))*V480*SUM(BonusPayout[Month 11]))</f>
        <v>0</v>
      </c>
      <c r="W585" s="652">
        <f>IF($B585="",,IF(LEFT($H585,5)="dummy",SUMIFS(AvgBonus[avg_bonus],AvgBonus[job_title],$H585),SUMIFS(AvgBonus[avg_bonus],AvgBonus[exp_item],$J585,AvgBonus[company_name],$B585,AvgBonus[bu_name],$C585,AvgBonus[dept_name],$D585,AvgBonus[team_consolidation],$K585,AvgBonus[location_name],$G585,AvgBonus[job_title],$H585))*W480*SUM(BonusPayout[Month 12]))</f>
        <v>0</v>
      </c>
      <c r="X585" s="652">
        <f>IF($B585="",,IF(LEFT($H585,5)="dummy",SUMIFS(AvgBonus[avg_bonus],AvgBonus[job_title],$H585),SUMIFS(AvgBonus[avg_bonus],AvgBonus[exp_item],$J585,AvgBonus[company_name],$B585,AvgBonus[bu_name],$C585,AvgBonus[dept_name],$D585,AvgBonus[team_consolidation],$K585,AvgBonus[location_name],$G585,AvgBonus[job_title],$H585))*X480*SUM(BonusPayout[Month 13]))</f>
        <v>0</v>
      </c>
      <c r="Y585" s="652">
        <f>IF($B585="",,IF(LEFT($H585,5)="dummy",SUMIFS(AvgBonus[avg_bonus],AvgBonus[job_title],$H585),SUMIFS(AvgBonus[avg_bonus],AvgBonus[exp_item],$J585,AvgBonus[company_name],$B585,AvgBonus[bu_name],$C585,AvgBonus[dept_name],$D585,AvgBonus[team_consolidation],$K585,AvgBonus[location_name],$G585,AvgBonus[job_title],$H585))*Y480*SUM(BonusPayout[Month 14]))</f>
        <v>0</v>
      </c>
      <c r="Z585" s="652">
        <f>IF($B585="",,IF(LEFT($H585,5)="dummy",SUMIFS(AvgBonus[avg_bonus],AvgBonus[job_title],$H585),SUMIFS(AvgBonus[avg_bonus],AvgBonus[exp_item],$J585,AvgBonus[company_name],$B585,AvgBonus[bu_name],$C585,AvgBonus[dept_name],$D585,AvgBonus[team_consolidation],$K585,AvgBonus[location_name],$G585,AvgBonus[job_title],$H585))*Z480*SUM(BonusPayout[Month 15]))</f>
        <v>0</v>
      </c>
      <c r="AA585" s="652">
        <f>IF($B585="",,IF(LEFT($H585,5)="dummy",SUMIFS(AvgBonus[avg_bonus],AvgBonus[job_title],$H585),SUMIFS(AvgBonus[avg_bonus],AvgBonus[exp_item],$J585,AvgBonus[company_name],$B585,AvgBonus[bu_name],$C585,AvgBonus[dept_name],$D585,AvgBonus[team_consolidation],$K585,AvgBonus[location_name],$G585,AvgBonus[job_title],$H585))*AA480*SUM(BonusPayout[Month 16]))</f>
        <v>0</v>
      </c>
      <c r="AB585" s="652">
        <f>IF($B585="",,IF(LEFT($H585,5)="dummy",SUMIFS(AvgBonus[avg_bonus],AvgBonus[job_title],$H585),SUMIFS(AvgBonus[avg_bonus],AvgBonus[exp_item],$J585,AvgBonus[company_name],$B585,AvgBonus[bu_name],$C585,AvgBonus[dept_name],$D585,AvgBonus[team_consolidation],$K585,AvgBonus[location_name],$G585,AvgBonus[job_title],$H585))*AB480*SUM(BonusPayout[Month 17]))</f>
        <v>0</v>
      </c>
      <c r="AC585" s="652">
        <f>IF($B585="",,IF(LEFT($H585,5)="dummy",SUMIFS(AvgBonus[avg_bonus],AvgBonus[job_title],$H585),SUMIFS(AvgBonus[avg_bonus],AvgBonus[exp_item],$J585,AvgBonus[company_name],$B585,AvgBonus[bu_name],$C585,AvgBonus[dept_name],$D585,AvgBonus[team_consolidation],$K585,AvgBonus[location_name],$G585,AvgBonus[job_title],$H585))*AC480*SUM(BonusPayout[Month 18]))</f>
        <v>0</v>
      </c>
      <c r="AD585" s="652">
        <f>IF($B585="",,IF(LEFT($H585,5)="dummy",SUMIFS(AvgBonus[avg_bonus],AvgBonus[job_title],$H585),SUMIFS(AvgBonus[avg_bonus],AvgBonus[exp_item],$J585,AvgBonus[company_name],$B585,AvgBonus[bu_name],$C585,AvgBonus[dept_name],$D585,AvgBonus[team_consolidation],$K585,AvgBonus[location_name],$G585,AvgBonus[job_title],$H585))*AD480*SUM(BonusPayout[Month 19]))</f>
        <v>0</v>
      </c>
      <c r="AE585" s="652">
        <f>IF($B585="",,IF(LEFT($H585,5)="dummy",SUMIFS(AvgBonus[avg_bonus],AvgBonus[job_title],$H585),SUMIFS(AvgBonus[avg_bonus],AvgBonus[exp_item],$J585,AvgBonus[company_name],$B585,AvgBonus[bu_name],$C585,AvgBonus[dept_name],$D585,AvgBonus[team_consolidation],$K585,AvgBonus[location_name],$G585,AvgBonus[job_title],$H585))*AE480*SUM(BonusPayout[Month 20]))</f>
        <v>0</v>
      </c>
      <c r="AF585" s="652">
        <f>IF($B585="",,IF(LEFT($H585,5)="dummy",SUMIFS(AvgBonus[avg_bonus],AvgBonus[job_title],$H585),SUMIFS(AvgBonus[avg_bonus],AvgBonus[exp_item],$J585,AvgBonus[company_name],$B585,AvgBonus[bu_name],$C585,AvgBonus[dept_name],$D585,AvgBonus[team_consolidation],$K585,AvgBonus[location_name],$G585,AvgBonus[job_title],$H585))*AF480*SUM(BonusPayout[Month 21]))</f>
        <v>0</v>
      </c>
      <c r="AG585" s="652">
        <f>IF($B585="",,IF(LEFT($H585,5)="dummy",SUMIFS(AvgBonus[avg_bonus],AvgBonus[job_title],$H585),SUMIFS(AvgBonus[avg_bonus],AvgBonus[exp_item],$J585,AvgBonus[company_name],$B585,AvgBonus[bu_name],$C585,AvgBonus[dept_name],$D585,AvgBonus[team_consolidation],$K585,AvgBonus[location_name],$G585,AvgBonus[job_title],$H585))*AG480*SUM(BonusPayout[Month 22]))</f>
        <v>0</v>
      </c>
      <c r="AH585" s="652">
        <f>IF($B585="",,IF(LEFT($H585,5)="dummy",SUMIFS(AvgBonus[avg_bonus],AvgBonus[job_title],$H585),SUMIFS(AvgBonus[avg_bonus],AvgBonus[exp_item],$J585,AvgBonus[company_name],$B585,AvgBonus[bu_name],$C585,AvgBonus[dept_name],$D585,AvgBonus[team_consolidation],$K585,AvgBonus[location_name],$G585,AvgBonus[job_title],$H585))*AH480*SUM(BonusPayout[Month 23]))</f>
        <v>0</v>
      </c>
      <c r="AI585" s="652">
        <f>IF($B585="",,IF(LEFT($H585,5)="dummy",SUMIFS(AvgBonus[avg_bonus],AvgBonus[job_title],$H585),SUMIFS(AvgBonus[avg_bonus],AvgBonus[exp_item],$J585,AvgBonus[company_name],$B585,AvgBonus[bu_name],$C585,AvgBonus[dept_name],$D585,AvgBonus[team_consolidation],$K585,AvgBonus[location_name],$G585,AvgBonus[job_title],$H585))*AI480*SUM(BonusPayout[Month 24]))</f>
        <v>0</v>
      </c>
      <c r="AJ585" s="652">
        <f>IF($B585="",,IF(LEFT($H585,5)="dummy",SUMIFS(AvgBonus[avg_bonus],AvgBonus[job_title],$H585),SUMIFS(AvgBonus[avg_bonus],AvgBonus[exp_item],$J585,AvgBonus[company_name],$B585,AvgBonus[bu_name],$C585,AvgBonus[dept_name],$D585,AvgBonus[team_consolidation],$K585,AvgBonus[location_name],$G585,AvgBonus[job_title],$H585))*AJ480*SUM(BonusPayout[Month 25]))</f>
        <v>0</v>
      </c>
      <c r="AK585" s="652">
        <f>IF($B585="",,IF(LEFT($H585,5)="dummy",SUMIFS(AvgBonus[avg_bonus],AvgBonus[job_title],$H585),SUMIFS(AvgBonus[avg_bonus],AvgBonus[exp_item],$J585,AvgBonus[company_name],$B585,AvgBonus[bu_name],$C585,AvgBonus[dept_name],$D585,AvgBonus[team_consolidation],$K585,AvgBonus[location_name],$G585,AvgBonus[job_title],$H585))*AK480*SUM(BonusPayout[Month 26]))</f>
        <v>0</v>
      </c>
      <c r="AL585" s="652">
        <f>IF($B585="",,IF(LEFT($H585,5)="dummy",SUMIFS(AvgBonus[avg_bonus],AvgBonus[job_title],$H585),SUMIFS(AvgBonus[avg_bonus],AvgBonus[exp_item],$J585,AvgBonus[company_name],$B585,AvgBonus[bu_name],$C585,AvgBonus[dept_name],$D585,AvgBonus[team_consolidation],$K585,AvgBonus[location_name],$G585,AvgBonus[job_title],$H585))*AL480*SUM(BonusPayout[Month 27]))</f>
        <v>0</v>
      </c>
      <c r="AM585" s="652">
        <f>IF($B585="",,IF(LEFT($H585,5)="dummy",SUMIFS(AvgBonus[avg_bonus],AvgBonus[job_title],$H585),SUMIFS(AvgBonus[avg_bonus],AvgBonus[exp_item],$J585,AvgBonus[company_name],$B585,AvgBonus[bu_name],$C585,AvgBonus[dept_name],$D585,AvgBonus[team_consolidation],$K585,AvgBonus[location_name],$G585,AvgBonus[job_title],$H585))*AM480*SUM(BonusPayout[Month 28]))</f>
        <v>0</v>
      </c>
      <c r="AN585" s="652">
        <f>IF($B585="",,IF(LEFT($H585,5)="dummy",SUMIFS(AvgBonus[avg_bonus],AvgBonus[job_title],$H585),SUMIFS(AvgBonus[avg_bonus],AvgBonus[exp_item],$J585,AvgBonus[company_name],$B585,AvgBonus[bu_name],$C585,AvgBonus[dept_name],$D585,AvgBonus[team_consolidation],$K585,AvgBonus[location_name],$G585,AvgBonus[job_title],$H585))*AN480*SUM(BonusPayout[Month 29]))</f>
        <v>0</v>
      </c>
      <c r="AO585" s="652">
        <f>IF($B585="",,IF(LEFT($H585,5)="dummy",SUMIFS(AvgBonus[avg_bonus],AvgBonus[job_title],$H585),SUMIFS(AvgBonus[avg_bonus],AvgBonus[exp_item],$J585,AvgBonus[company_name],$B585,AvgBonus[bu_name],$C585,AvgBonus[dept_name],$D585,AvgBonus[team_consolidation],$K585,AvgBonus[location_name],$G585,AvgBonus[job_title],$H585))*AO480*SUM(BonusPayout[Month 30]))</f>
        <v>0</v>
      </c>
      <c r="AP585" s="652">
        <f>IF($B585="",,IF(LEFT($H585,5)="dummy",SUMIFS(AvgBonus[avg_bonus],AvgBonus[job_title],$H585),SUMIFS(AvgBonus[avg_bonus],AvgBonus[exp_item],$J585,AvgBonus[company_name],$B585,AvgBonus[bu_name],$C585,AvgBonus[dept_name],$D585,AvgBonus[team_consolidation],$K585,AvgBonus[location_name],$G585,AvgBonus[job_title],$H585))*AP480*SUM(BonusPayout[Month 31]))</f>
        <v>0</v>
      </c>
      <c r="AQ585" s="652">
        <f>IF($B585="",,IF(LEFT($H585,5)="dummy",SUMIFS(AvgBonus[avg_bonus],AvgBonus[job_title],$H585),SUMIFS(AvgBonus[avg_bonus],AvgBonus[exp_item],$J585,AvgBonus[company_name],$B585,AvgBonus[bu_name],$C585,AvgBonus[dept_name],$D585,AvgBonus[team_consolidation],$K585,AvgBonus[location_name],$G585,AvgBonus[job_title],$H585))*AQ480*SUM(BonusPayout[Month 32]))</f>
        <v>0</v>
      </c>
      <c r="AR585" s="652">
        <f>IF($B585="",,IF(LEFT($H585,5)="dummy",SUMIFS(AvgBonus[avg_bonus],AvgBonus[job_title],$H585),SUMIFS(AvgBonus[avg_bonus],AvgBonus[exp_item],$J585,AvgBonus[company_name],$B585,AvgBonus[bu_name],$C585,AvgBonus[dept_name],$D585,AvgBonus[team_consolidation],$K585,AvgBonus[location_name],$G585,AvgBonus[job_title],$H585))*AR480*SUM(BonusPayout[Month 33]))</f>
        <v>0</v>
      </c>
      <c r="AS585" s="652">
        <f>IF($B585="",,IF(LEFT($H585,5)="dummy",SUMIFS(AvgBonus[avg_bonus],AvgBonus[job_title],$H585),SUMIFS(AvgBonus[avg_bonus],AvgBonus[exp_item],$J585,AvgBonus[company_name],$B585,AvgBonus[bu_name],$C585,AvgBonus[dept_name],$D585,AvgBonus[team_consolidation],$K585,AvgBonus[location_name],$G585,AvgBonus[job_title],$H585))*AS480*SUM(BonusPayout[Month 34]))</f>
        <v>0</v>
      </c>
      <c r="AT585" s="652">
        <f>IF($B585="",,IF(LEFT($H585,5)="dummy",SUMIFS(AvgBonus[avg_bonus],AvgBonus[job_title],$H585),SUMIFS(AvgBonus[avg_bonus],AvgBonus[exp_item],$J585,AvgBonus[company_name],$B585,AvgBonus[bu_name],$C585,AvgBonus[dept_name],$D585,AvgBonus[team_consolidation],$K585,AvgBonus[location_name],$G585,AvgBonus[job_title],$H585))*AT480*SUM(BonusPayout[Month 35]))</f>
        <v>0</v>
      </c>
      <c r="AU585" s="652">
        <f>IF($B585="",,IF(LEFT($H585,5)="dummy",SUMIFS(AvgBonus[avg_bonus],AvgBonus[job_title],$H585),SUMIFS(AvgBonus[avg_bonus],AvgBonus[exp_item],$J585,AvgBonus[company_name],$B585,AvgBonus[bu_name],$C585,AvgBonus[dept_name],$D585,AvgBonus[team_consolidation],$K585,AvgBonus[location_name],$G585,AvgBonus[job_title],$H585))*AU480*SUM(BonusPayout[Month 36]))</f>
        <v>0</v>
      </c>
    </row>
    <row r="586" spans="2:47" x14ac:dyDescent="0.35">
      <c r="B586" t="str">
        <f t="shared" ref="B586:G586" si="383">IF(B481="","",B481)</f>
        <v/>
      </c>
      <c r="C586" t="str">
        <f t="shared" si="383"/>
        <v/>
      </c>
      <c r="D586" t="str">
        <f t="shared" si="383"/>
        <v/>
      </c>
      <c r="E586" t="str">
        <f t="shared" si="383"/>
        <v/>
      </c>
      <c r="F586" t="str">
        <f t="shared" si="383"/>
        <v/>
      </c>
      <c r="G586" t="str">
        <f t="shared" si="383"/>
        <v/>
      </c>
      <c r="H586" t="str">
        <f t="shared" si="360"/>
        <v/>
      </c>
      <c r="J586" t="str">
        <f>IF($H586="","",IF(VLOOKUP($B$500,ExpItems[],2,0),$B$500&amp;" - "&amp;INDEX(DivisionMapping[category_code],MATCH($D586&amp;$C586,DivisionMapping[dept_bu],0)),$B$500))</f>
        <v/>
      </c>
      <c r="K586" t="str">
        <f t="shared" si="363"/>
        <v/>
      </c>
      <c r="L586" s="652">
        <f>IF($B586="",,IF(LEFT($H586,5)="dummy",SUMIFS(AvgBonus[avg_bonus],AvgBonus[job_title],$H586),SUMIFS(AvgBonus[avg_bonus],AvgBonus[exp_item],$J586,AvgBonus[company_name],$B586,AvgBonus[bu_name],$C586,AvgBonus[dept_name],$D586,AvgBonus[team_consolidation],$K586,AvgBonus[location_name],$G586,AvgBonus[job_title],$H586))*L481*SUM(BonusPayout[Month 1]))</f>
        <v>0</v>
      </c>
      <c r="M586" s="652">
        <f>IF($B586="",,IF(LEFT($H586,5)="dummy",SUMIFS(AvgBonus[avg_bonus],AvgBonus[job_title],$H586),SUMIFS(AvgBonus[avg_bonus],AvgBonus[exp_item],$J586,AvgBonus[company_name],$B586,AvgBonus[bu_name],$C586,AvgBonus[dept_name],$D586,AvgBonus[team_consolidation],$K586,AvgBonus[location_name],$G586,AvgBonus[job_title],$H586))*M481*SUM(BonusPayout[Month 2]))</f>
        <v>0</v>
      </c>
      <c r="N586" s="652">
        <f>IF($B586="",,IF(LEFT($H586,5)="dummy",SUMIFS(AvgBonus[avg_bonus],AvgBonus[job_title],$H586),SUMIFS(AvgBonus[avg_bonus],AvgBonus[exp_item],$J586,AvgBonus[company_name],$B586,AvgBonus[bu_name],$C586,AvgBonus[dept_name],$D586,AvgBonus[team_consolidation],$K586,AvgBonus[location_name],$G586,AvgBonus[job_title],$H586))*N481*SUM(BonusPayout[Month 3]))</f>
        <v>0</v>
      </c>
      <c r="O586" s="652">
        <f>IF($B586="",,IF(LEFT($H586,5)="dummy",SUMIFS(AvgBonus[avg_bonus],AvgBonus[job_title],$H586),SUMIFS(AvgBonus[avg_bonus],AvgBonus[exp_item],$J586,AvgBonus[company_name],$B586,AvgBonus[bu_name],$C586,AvgBonus[dept_name],$D586,AvgBonus[team_consolidation],$K586,AvgBonus[location_name],$G586,AvgBonus[job_title],$H586))*O481*SUM(BonusPayout[Month 4]))</f>
        <v>0</v>
      </c>
      <c r="P586" s="652">
        <f>IF($B586="",,IF(LEFT($H586,5)="dummy",SUMIFS(AvgBonus[avg_bonus],AvgBonus[job_title],$H586),SUMIFS(AvgBonus[avg_bonus],AvgBonus[exp_item],$J586,AvgBonus[company_name],$B586,AvgBonus[bu_name],$C586,AvgBonus[dept_name],$D586,AvgBonus[team_consolidation],$K586,AvgBonus[location_name],$G586,AvgBonus[job_title],$H586))*P481*SUM(BonusPayout[Month 5]))</f>
        <v>0</v>
      </c>
      <c r="Q586" s="652">
        <f>IF($B586="",,IF(LEFT($H586,5)="dummy",SUMIFS(AvgBonus[avg_bonus],AvgBonus[job_title],$H586),SUMIFS(AvgBonus[avg_bonus],AvgBonus[exp_item],$J586,AvgBonus[company_name],$B586,AvgBonus[bu_name],$C586,AvgBonus[dept_name],$D586,AvgBonus[team_consolidation],$K586,AvgBonus[location_name],$G586,AvgBonus[job_title],$H586))*Q481*SUM(BonusPayout[Month 6]))</f>
        <v>0</v>
      </c>
      <c r="R586" s="652">
        <f>IF($B586="",,IF(LEFT($H586,5)="dummy",SUMIFS(AvgBonus[avg_bonus],AvgBonus[job_title],$H586),SUMIFS(AvgBonus[avg_bonus],AvgBonus[exp_item],$J586,AvgBonus[company_name],$B586,AvgBonus[bu_name],$C586,AvgBonus[dept_name],$D586,AvgBonus[team_consolidation],$K586,AvgBonus[location_name],$G586,AvgBonus[job_title],$H586))*R481*SUM(BonusPayout[Month 7]))</f>
        <v>0</v>
      </c>
      <c r="S586" s="652">
        <f>IF($B586="",,IF(LEFT($H586,5)="dummy",SUMIFS(AvgBonus[avg_bonus],AvgBonus[job_title],$H586),SUMIFS(AvgBonus[avg_bonus],AvgBonus[exp_item],$J586,AvgBonus[company_name],$B586,AvgBonus[bu_name],$C586,AvgBonus[dept_name],$D586,AvgBonus[team_consolidation],$K586,AvgBonus[location_name],$G586,AvgBonus[job_title],$H586))*S481*SUM(BonusPayout[Month 8]))</f>
        <v>0</v>
      </c>
      <c r="T586" s="652">
        <f>IF($B586="",,IF(LEFT($H586,5)="dummy",SUMIFS(AvgBonus[avg_bonus],AvgBonus[job_title],$H586),SUMIFS(AvgBonus[avg_bonus],AvgBonus[exp_item],$J586,AvgBonus[company_name],$B586,AvgBonus[bu_name],$C586,AvgBonus[dept_name],$D586,AvgBonus[team_consolidation],$K586,AvgBonus[location_name],$G586,AvgBonus[job_title],$H586))*T481*SUM(BonusPayout[Month 9]))</f>
        <v>0</v>
      </c>
      <c r="U586" s="652">
        <f>IF($B586="",,IF(LEFT($H586,5)="dummy",SUMIFS(AvgBonus[avg_bonus],AvgBonus[job_title],$H586),SUMIFS(AvgBonus[avg_bonus],AvgBonus[exp_item],$J586,AvgBonus[company_name],$B586,AvgBonus[bu_name],$C586,AvgBonus[dept_name],$D586,AvgBonus[team_consolidation],$K586,AvgBonus[location_name],$G586,AvgBonus[job_title],$H586))*U481*SUM(BonusPayout[Month 10]))</f>
        <v>0</v>
      </c>
      <c r="V586" s="652">
        <f>IF($B586="",,IF(LEFT($H586,5)="dummy",SUMIFS(AvgBonus[avg_bonus],AvgBonus[job_title],$H586),SUMIFS(AvgBonus[avg_bonus],AvgBonus[exp_item],$J586,AvgBonus[company_name],$B586,AvgBonus[bu_name],$C586,AvgBonus[dept_name],$D586,AvgBonus[team_consolidation],$K586,AvgBonus[location_name],$G586,AvgBonus[job_title],$H586))*V481*SUM(BonusPayout[Month 11]))</f>
        <v>0</v>
      </c>
      <c r="W586" s="652">
        <f>IF($B586="",,IF(LEFT($H586,5)="dummy",SUMIFS(AvgBonus[avg_bonus],AvgBonus[job_title],$H586),SUMIFS(AvgBonus[avg_bonus],AvgBonus[exp_item],$J586,AvgBonus[company_name],$B586,AvgBonus[bu_name],$C586,AvgBonus[dept_name],$D586,AvgBonus[team_consolidation],$K586,AvgBonus[location_name],$G586,AvgBonus[job_title],$H586))*W481*SUM(BonusPayout[Month 12]))</f>
        <v>0</v>
      </c>
      <c r="X586" s="652">
        <f>IF($B586="",,IF(LEFT($H586,5)="dummy",SUMIFS(AvgBonus[avg_bonus],AvgBonus[job_title],$H586),SUMIFS(AvgBonus[avg_bonus],AvgBonus[exp_item],$J586,AvgBonus[company_name],$B586,AvgBonus[bu_name],$C586,AvgBonus[dept_name],$D586,AvgBonus[team_consolidation],$K586,AvgBonus[location_name],$G586,AvgBonus[job_title],$H586))*X481*SUM(BonusPayout[Month 13]))</f>
        <v>0</v>
      </c>
      <c r="Y586" s="652">
        <f>IF($B586="",,IF(LEFT($H586,5)="dummy",SUMIFS(AvgBonus[avg_bonus],AvgBonus[job_title],$H586),SUMIFS(AvgBonus[avg_bonus],AvgBonus[exp_item],$J586,AvgBonus[company_name],$B586,AvgBonus[bu_name],$C586,AvgBonus[dept_name],$D586,AvgBonus[team_consolidation],$K586,AvgBonus[location_name],$G586,AvgBonus[job_title],$H586))*Y481*SUM(BonusPayout[Month 14]))</f>
        <v>0</v>
      </c>
      <c r="Z586" s="652">
        <f>IF($B586="",,IF(LEFT($H586,5)="dummy",SUMIFS(AvgBonus[avg_bonus],AvgBonus[job_title],$H586),SUMIFS(AvgBonus[avg_bonus],AvgBonus[exp_item],$J586,AvgBonus[company_name],$B586,AvgBonus[bu_name],$C586,AvgBonus[dept_name],$D586,AvgBonus[team_consolidation],$K586,AvgBonus[location_name],$G586,AvgBonus[job_title],$H586))*Z481*SUM(BonusPayout[Month 15]))</f>
        <v>0</v>
      </c>
      <c r="AA586" s="652">
        <f>IF($B586="",,IF(LEFT($H586,5)="dummy",SUMIFS(AvgBonus[avg_bonus],AvgBonus[job_title],$H586),SUMIFS(AvgBonus[avg_bonus],AvgBonus[exp_item],$J586,AvgBonus[company_name],$B586,AvgBonus[bu_name],$C586,AvgBonus[dept_name],$D586,AvgBonus[team_consolidation],$K586,AvgBonus[location_name],$G586,AvgBonus[job_title],$H586))*AA481*SUM(BonusPayout[Month 16]))</f>
        <v>0</v>
      </c>
      <c r="AB586" s="652">
        <f>IF($B586="",,IF(LEFT($H586,5)="dummy",SUMIFS(AvgBonus[avg_bonus],AvgBonus[job_title],$H586),SUMIFS(AvgBonus[avg_bonus],AvgBonus[exp_item],$J586,AvgBonus[company_name],$B586,AvgBonus[bu_name],$C586,AvgBonus[dept_name],$D586,AvgBonus[team_consolidation],$K586,AvgBonus[location_name],$G586,AvgBonus[job_title],$H586))*AB481*SUM(BonusPayout[Month 17]))</f>
        <v>0</v>
      </c>
      <c r="AC586" s="652">
        <f>IF($B586="",,IF(LEFT($H586,5)="dummy",SUMIFS(AvgBonus[avg_bonus],AvgBonus[job_title],$H586),SUMIFS(AvgBonus[avg_bonus],AvgBonus[exp_item],$J586,AvgBonus[company_name],$B586,AvgBonus[bu_name],$C586,AvgBonus[dept_name],$D586,AvgBonus[team_consolidation],$K586,AvgBonus[location_name],$G586,AvgBonus[job_title],$H586))*AC481*SUM(BonusPayout[Month 18]))</f>
        <v>0</v>
      </c>
      <c r="AD586" s="652">
        <f>IF($B586="",,IF(LEFT($H586,5)="dummy",SUMIFS(AvgBonus[avg_bonus],AvgBonus[job_title],$H586),SUMIFS(AvgBonus[avg_bonus],AvgBonus[exp_item],$J586,AvgBonus[company_name],$B586,AvgBonus[bu_name],$C586,AvgBonus[dept_name],$D586,AvgBonus[team_consolidation],$K586,AvgBonus[location_name],$G586,AvgBonus[job_title],$H586))*AD481*SUM(BonusPayout[Month 19]))</f>
        <v>0</v>
      </c>
      <c r="AE586" s="652">
        <f>IF($B586="",,IF(LEFT($H586,5)="dummy",SUMIFS(AvgBonus[avg_bonus],AvgBonus[job_title],$H586),SUMIFS(AvgBonus[avg_bonus],AvgBonus[exp_item],$J586,AvgBonus[company_name],$B586,AvgBonus[bu_name],$C586,AvgBonus[dept_name],$D586,AvgBonus[team_consolidation],$K586,AvgBonus[location_name],$G586,AvgBonus[job_title],$H586))*AE481*SUM(BonusPayout[Month 20]))</f>
        <v>0</v>
      </c>
      <c r="AF586" s="652">
        <f>IF($B586="",,IF(LEFT($H586,5)="dummy",SUMIFS(AvgBonus[avg_bonus],AvgBonus[job_title],$H586),SUMIFS(AvgBonus[avg_bonus],AvgBonus[exp_item],$J586,AvgBonus[company_name],$B586,AvgBonus[bu_name],$C586,AvgBonus[dept_name],$D586,AvgBonus[team_consolidation],$K586,AvgBonus[location_name],$G586,AvgBonus[job_title],$H586))*AF481*SUM(BonusPayout[Month 21]))</f>
        <v>0</v>
      </c>
      <c r="AG586" s="652">
        <f>IF($B586="",,IF(LEFT($H586,5)="dummy",SUMIFS(AvgBonus[avg_bonus],AvgBonus[job_title],$H586),SUMIFS(AvgBonus[avg_bonus],AvgBonus[exp_item],$J586,AvgBonus[company_name],$B586,AvgBonus[bu_name],$C586,AvgBonus[dept_name],$D586,AvgBonus[team_consolidation],$K586,AvgBonus[location_name],$G586,AvgBonus[job_title],$H586))*AG481*SUM(BonusPayout[Month 22]))</f>
        <v>0</v>
      </c>
      <c r="AH586" s="652">
        <f>IF($B586="",,IF(LEFT($H586,5)="dummy",SUMIFS(AvgBonus[avg_bonus],AvgBonus[job_title],$H586),SUMIFS(AvgBonus[avg_bonus],AvgBonus[exp_item],$J586,AvgBonus[company_name],$B586,AvgBonus[bu_name],$C586,AvgBonus[dept_name],$D586,AvgBonus[team_consolidation],$K586,AvgBonus[location_name],$G586,AvgBonus[job_title],$H586))*AH481*SUM(BonusPayout[Month 23]))</f>
        <v>0</v>
      </c>
      <c r="AI586" s="652">
        <f>IF($B586="",,IF(LEFT($H586,5)="dummy",SUMIFS(AvgBonus[avg_bonus],AvgBonus[job_title],$H586),SUMIFS(AvgBonus[avg_bonus],AvgBonus[exp_item],$J586,AvgBonus[company_name],$B586,AvgBonus[bu_name],$C586,AvgBonus[dept_name],$D586,AvgBonus[team_consolidation],$K586,AvgBonus[location_name],$G586,AvgBonus[job_title],$H586))*AI481*SUM(BonusPayout[Month 24]))</f>
        <v>0</v>
      </c>
      <c r="AJ586" s="652">
        <f>IF($B586="",,IF(LEFT($H586,5)="dummy",SUMIFS(AvgBonus[avg_bonus],AvgBonus[job_title],$H586),SUMIFS(AvgBonus[avg_bonus],AvgBonus[exp_item],$J586,AvgBonus[company_name],$B586,AvgBonus[bu_name],$C586,AvgBonus[dept_name],$D586,AvgBonus[team_consolidation],$K586,AvgBonus[location_name],$G586,AvgBonus[job_title],$H586))*AJ481*SUM(BonusPayout[Month 25]))</f>
        <v>0</v>
      </c>
      <c r="AK586" s="652">
        <f>IF($B586="",,IF(LEFT($H586,5)="dummy",SUMIFS(AvgBonus[avg_bonus],AvgBonus[job_title],$H586),SUMIFS(AvgBonus[avg_bonus],AvgBonus[exp_item],$J586,AvgBonus[company_name],$B586,AvgBonus[bu_name],$C586,AvgBonus[dept_name],$D586,AvgBonus[team_consolidation],$K586,AvgBonus[location_name],$G586,AvgBonus[job_title],$H586))*AK481*SUM(BonusPayout[Month 26]))</f>
        <v>0</v>
      </c>
      <c r="AL586" s="652">
        <f>IF($B586="",,IF(LEFT($H586,5)="dummy",SUMIFS(AvgBonus[avg_bonus],AvgBonus[job_title],$H586),SUMIFS(AvgBonus[avg_bonus],AvgBonus[exp_item],$J586,AvgBonus[company_name],$B586,AvgBonus[bu_name],$C586,AvgBonus[dept_name],$D586,AvgBonus[team_consolidation],$K586,AvgBonus[location_name],$G586,AvgBonus[job_title],$H586))*AL481*SUM(BonusPayout[Month 27]))</f>
        <v>0</v>
      </c>
      <c r="AM586" s="652">
        <f>IF($B586="",,IF(LEFT($H586,5)="dummy",SUMIFS(AvgBonus[avg_bonus],AvgBonus[job_title],$H586),SUMIFS(AvgBonus[avg_bonus],AvgBonus[exp_item],$J586,AvgBonus[company_name],$B586,AvgBonus[bu_name],$C586,AvgBonus[dept_name],$D586,AvgBonus[team_consolidation],$K586,AvgBonus[location_name],$G586,AvgBonus[job_title],$H586))*AM481*SUM(BonusPayout[Month 28]))</f>
        <v>0</v>
      </c>
      <c r="AN586" s="652">
        <f>IF($B586="",,IF(LEFT($H586,5)="dummy",SUMIFS(AvgBonus[avg_bonus],AvgBonus[job_title],$H586),SUMIFS(AvgBonus[avg_bonus],AvgBonus[exp_item],$J586,AvgBonus[company_name],$B586,AvgBonus[bu_name],$C586,AvgBonus[dept_name],$D586,AvgBonus[team_consolidation],$K586,AvgBonus[location_name],$G586,AvgBonus[job_title],$H586))*AN481*SUM(BonusPayout[Month 29]))</f>
        <v>0</v>
      </c>
      <c r="AO586" s="652">
        <f>IF($B586="",,IF(LEFT($H586,5)="dummy",SUMIFS(AvgBonus[avg_bonus],AvgBonus[job_title],$H586),SUMIFS(AvgBonus[avg_bonus],AvgBonus[exp_item],$J586,AvgBonus[company_name],$B586,AvgBonus[bu_name],$C586,AvgBonus[dept_name],$D586,AvgBonus[team_consolidation],$K586,AvgBonus[location_name],$G586,AvgBonus[job_title],$H586))*AO481*SUM(BonusPayout[Month 30]))</f>
        <v>0</v>
      </c>
      <c r="AP586" s="652">
        <f>IF($B586="",,IF(LEFT($H586,5)="dummy",SUMIFS(AvgBonus[avg_bonus],AvgBonus[job_title],$H586),SUMIFS(AvgBonus[avg_bonus],AvgBonus[exp_item],$J586,AvgBonus[company_name],$B586,AvgBonus[bu_name],$C586,AvgBonus[dept_name],$D586,AvgBonus[team_consolidation],$K586,AvgBonus[location_name],$G586,AvgBonus[job_title],$H586))*AP481*SUM(BonusPayout[Month 31]))</f>
        <v>0</v>
      </c>
      <c r="AQ586" s="652">
        <f>IF($B586="",,IF(LEFT($H586,5)="dummy",SUMIFS(AvgBonus[avg_bonus],AvgBonus[job_title],$H586),SUMIFS(AvgBonus[avg_bonus],AvgBonus[exp_item],$J586,AvgBonus[company_name],$B586,AvgBonus[bu_name],$C586,AvgBonus[dept_name],$D586,AvgBonus[team_consolidation],$K586,AvgBonus[location_name],$G586,AvgBonus[job_title],$H586))*AQ481*SUM(BonusPayout[Month 32]))</f>
        <v>0</v>
      </c>
      <c r="AR586" s="652">
        <f>IF($B586="",,IF(LEFT($H586,5)="dummy",SUMIFS(AvgBonus[avg_bonus],AvgBonus[job_title],$H586),SUMIFS(AvgBonus[avg_bonus],AvgBonus[exp_item],$J586,AvgBonus[company_name],$B586,AvgBonus[bu_name],$C586,AvgBonus[dept_name],$D586,AvgBonus[team_consolidation],$K586,AvgBonus[location_name],$G586,AvgBonus[job_title],$H586))*AR481*SUM(BonusPayout[Month 33]))</f>
        <v>0</v>
      </c>
      <c r="AS586" s="652">
        <f>IF($B586="",,IF(LEFT($H586,5)="dummy",SUMIFS(AvgBonus[avg_bonus],AvgBonus[job_title],$H586),SUMIFS(AvgBonus[avg_bonus],AvgBonus[exp_item],$J586,AvgBonus[company_name],$B586,AvgBonus[bu_name],$C586,AvgBonus[dept_name],$D586,AvgBonus[team_consolidation],$K586,AvgBonus[location_name],$G586,AvgBonus[job_title],$H586))*AS481*SUM(BonusPayout[Month 34]))</f>
        <v>0</v>
      </c>
      <c r="AT586" s="652">
        <f>IF($B586="",,IF(LEFT($H586,5)="dummy",SUMIFS(AvgBonus[avg_bonus],AvgBonus[job_title],$H586),SUMIFS(AvgBonus[avg_bonus],AvgBonus[exp_item],$J586,AvgBonus[company_name],$B586,AvgBonus[bu_name],$C586,AvgBonus[dept_name],$D586,AvgBonus[team_consolidation],$K586,AvgBonus[location_name],$G586,AvgBonus[job_title],$H586))*AT481*SUM(BonusPayout[Month 35]))</f>
        <v>0</v>
      </c>
      <c r="AU586" s="652">
        <f>IF($B586="",,IF(LEFT($H586,5)="dummy",SUMIFS(AvgBonus[avg_bonus],AvgBonus[job_title],$H586),SUMIFS(AvgBonus[avg_bonus],AvgBonus[exp_item],$J586,AvgBonus[company_name],$B586,AvgBonus[bu_name],$C586,AvgBonus[dept_name],$D586,AvgBonus[team_consolidation],$K586,AvgBonus[location_name],$G586,AvgBonus[job_title],$H586))*AU481*SUM(BonusPayout[Month 36]))</f>
        <v>0</v>
      </c>
    </row>
    <row r="587" spans="2:47" x14ac:dyDescent="0.35">
      <c r="B587" t="str">
        <f t="shared" ref="B587:G587" si="384">IF(B482="","",B482)</f>
        <v/>
      </c>
      <c r="C587" t="str">
        <f t="shared" si="384"/>
        <v/>
      </c>
      <c r="D587" t="str">
        <f t="shared" si="384"/>
        <v/>
      </c>
      <c r="E587" t="str">
        <f t="shared" si="384"/>
        <v/>
      </c>
      <c r="F587" t="str">
        <f t="shared" si="384"/>
        <v/>
      </c>
      <c r="G587" t="str">
        <f t="shared" si="384"/>
        <v/>
      </c>
      <c r="H587" t="str">
        <f t="shared" si="360"/>
        <v/>
      </c>
      <c r="J587" t="str">
        <f>IF($H587="","",IF(VLOOKUP($B$500,ExpItems[],2,0),$B$500&amp;" - "&amp;INDEX(DivisionMapping[category_code],MATCH($D587&amp;$C587,DivisionMapping[dept_bu],0)),$B$500))</f>
        <v/>
      </c>
      <c r="K587" t="str">
        <f t="shared" si="363"/>
        <v/>
      </c>
      <c r="L587" s="652">
        <f>IF($B587="",,IF(LEFT($H587,5)="dummy",SUMIFS(AvgBonus[avg_bonus],AvgBonus[job_title],$H587),SUMIFS(AvgBonus[avg_bonus],AvgBonus[exp_item],$J587,AvgBonus[company_name],$B587,AvgBonus[bu_name],$C587,AvgBonus[dept_name],$D587,AvgBonus[team_consolidation],$K587,AvgBonus[location_name],$G587,AvgBonus[job_title],$H587))*L482*SUM(BonusPayout[Month 1]))</f>
        <v>0</v>
      </c>
      <c r="M587" s="652">
        <f>IF($B587="",,IF(LEFT($H587,5)="dummy",SUMIFS(AvgBonus[avg_bonus],AvgBonus[job_title],$H587),SUMIFS(AvgBonus[avg_bonus],AvgBonus[exp_item],$J587,AvgBonus[company_name],$B587,AvgBonus[bu_name],$C587,AvgBonus[dept_name],$D587,AvgBonus[team_consolidation],$K587,AvgBonus[location_name],$G587,AvgBonus[job_title],$H587))*M482*SUM(BonusPayout[Month 2]))</f>
        <v>0</v>
      </c>
      <c r="N587" s="652">
        <f>IF($B587="",,IF(LEFT($H587,5)="dummy",SUMIFS(AvgBonus[avg_bonus],AvgBonus[job_title],$H587),SUMIFS(AvgBonus[avg_bonus],AvgBonus[exp_item],$J587,AvgBonus[company_name],$B587,AvgBonus[bu_name],$C587,AvgBonus[dept_name],$D587,AvgBonus[team_consolidation],$K587,AvgBonus[location_name],$G587,AvgBonus[job_title],$H587))*N482*SUM(BonusPayout[Month 3]))</f>
        <v>0</v>
      </c>
      <c r="O587" s="652">
        <f>IF($B587="",,IF(LEFT($H587,5)="dummy",SUMIFS(AvgBonus[avg_bonus],AvgBonus[job_title],$H587),SUMIFS(AvgBonus[avg_bonus],AvgBonus[exp_item],$J587,AvgBonus[company_name],$B587,AvgBonus[bu_name],$C587,AvgBonus[dept_name],$D587,AvgBonus[team_consolidation],$K587,AvgBonus[location_name],$G587,AvgBonus[job_title],$H587))*O482*SUM(BonusPayout[Month 4]))</f>
        <v>0</v>
      </c>
      <c r="P587" s="652">
        <f>IF($B587="",,IF(LEFT($H587,5)="dummy",SUMIFS(AvgBonus[avg_bonus],AvgBonus[job_title],$H587),SUMIFS(AvgBonus[avg_bonus],AvgBonus[exp_item],$J587,AvgBonus[company_name],$B587,AvgBonus[bu_name],$C587,AvgBonus[dept_name],$D587,AvgBonus[team_consolidation],$K587,AvgBonus[location_name],$G587,AvgBonus[job_title],$H587))*P482*SUM(BonusPayout[Month 5]))</f>
        <v>0</v>
      </c>
      <c r="Q587" s="652">
        <f>IF($B587="",,IF(LEFT($H587,5)="dummy",SUMIFS(AvgBonus[avg_bonus],AvgBonus[job_title],$H587),SUMIFS(AvgBonus[avg_bonus],AvgBonus[exp_item],$J587,AvgBonus[company_name],$B587,AvgBonus[bu_name],$C587,AvgBonus[dept_name],$D587,AvgBonus[team_consolidation],$K587,AvgBonus[location_name],$G587,AvgBonus[job_title],$H587))*Q482*SUM(BonusPayout[Month 6]))</f>
        <v>0</v>
      </c>
      <c r="R587" s="652">
        <f>IF($B587="",,IF(LEFT($H587,5)="dummy",SUMIFS(AvgBonus[avg_bonus],AvgBonus[job_title],$H587),SUMIFS(AvgBonus[avg_bonus],AvgBonus[exp_item],$J587,AvgBonus[company_name],$B587,AvgBonus[bu_name],$C587,AvgBonus[dept_name],$D587,AvgBonus[team_consolidation],$K587,AvgBonus[location_name],$G587,AvgBonus[job_title],$H587))*R482*SUM(BonusPayout[Month 7]))</f>
        <v>0</v>
      </c>
      <c r="S587" s="652">
        <f>IF($B587="",,IF(LEFT($H587,5)="dummy",SUMIFS(AvgBonus[avg_bonus],AvgBonus[job_title],$H587),SUMIFS(AvgBonus[avg_bonus],AvgBonus[exp_item],$J587,AvgBonus[company_name],$B587,AvgBonus[bu_name],$C587,AvgBonus[dept_name],$D587,AvgBonus[team_consolidation],$K587,AvgBonus[location_name],$G587,AvgBonus[job_title],$H587))*S482*SUM(BonusPayout[Month 8]))</f>
        <v>0</v>
      </c>
      <c r="T587" s="652">
        <f>IF($B587="",,IF(LEFT($H587,5)="dummy",SUMIFS(AvgBonus[avg_bonus],AvgBonus[job_title],$H587),SUMIFS(AvgBonus[avg_bonus],AvgBonus[exp_item],$J587,AvgBonus[company_name],$B587,AvgBonus[bu_name],$C587,AvgBonus[dept_name],$D587,AvgBonus[team_consolidation],$K587,AvgBonus[location_name],$G587,AvgBonus[job_title],$H587))*T482*SUM(BonusPayout[Month 9]))</f>
        <v>0</v>
      </c>
      <c r="U587" s="652">
        <f>IF($B587="",,IF(LEFT($H587,5)="dummy",SUMIFS(AvgBonus[avg_bonus],AvgBonus[job_title],$H587),SUMIFS(AvgBonus[avg_bonus],AvgBonus[exp_item],$J587,AvgBonus[company_name],$B587,AvgBonus[bu_name],$C587,AvgBonus[dept_name],$D587,AvgBonus[team_consolidation],$K587,AvgBonus[location_name],$G587,AvgBonus[job_title],$H587))*U482*SUM(BonusPayout[Month 10]))</f>
        <v>0</v>
      </c>
      <c r="V587" s="652">
        <f>IF($B587="",,IF(LEFT($H587,5)="dummy",SUMIFS(AvgBonus[avg_bonus],AvgBonus[job_title],$H587),SUMIFS(AvgBonus[avg_bonus],AvgBonus[exp_item],$J587,AvgBonus[company_name],$B587,AvgBonus[bu_name],$C587,AvgBonus[dept_name],$D587,AvgBonus[team_consolidation],$K587,AvgBonus[location_name],$G587,AvgBonus[job_title],$H587))*V482*SUM(BonusPayout[Month 11]))</f>
        <v>0</v>
      </c>
      <c r="W587" s="652">
        <f>IF($B587="",,IF(LEFT($H587,5)="dummy",SUMIFS(AvgBonus[avg_bonus],AvgBonus[job_title],$H587),SUMIFS(AvgBonus[avg_bonus],AvgBonus[exp_item],$J587,AvgBonus[company_name],$B587,AvgBonus[bu_name],$C587,AvgBonus[dept_name],$D587,AvgBonus[team_consolidation],$K587,AvgBonus[location_name],$G587,AvgBonus[job_title],$H587))*W482*SUM(BonusPayout[Month 12]))</f>
        <v>0</v>
      </c>
      <c r="X587" s="652">
        <f>IF($B587="",,IF(LEFT($H587,5)="dummy",SUMIFS(AvgBonus[avg_bonus],AvgBonus[job_title],$H587),SUMIFS(AvgBonus[avg_bonus],AvgBonus[exp_item],$J587,AvgBonus[company_name],$B587,AvgBonus[bu_name],$C587,AvgBonus[dept_name],$D587,AvgBonus[team_consolidation],$K587,AvgBonus[location_name],$G587,AvgBonus[job_title],$H587))*X482*SUM(BonusPayout[Month 13]))</f>
        <v>0</v>
      </c>
      <c r="Y587" s="652">
        <f>IF($B587="",,IF(LEFT($H587,5)="dummy",SUMIFS(AvgBonus[avg_bonus],AvgBonus[job_title],$H587),SUMIFS(AvgBonus[avg_bonus],AvgBonus[exp_item],$J587,AvgBonus[company_name],$B587,AvgBonus[bu_name],$C587,AvgBonus[dept_name],$D587,AvgBonus[team_consolidation],$K587,AvgBonus[location_name],$G587,AvgBonus[job_title],$H587))*Y482*SUM(BonusPayout[Month 14]))</f>
        <v>0</v>
      </c>
      <c r="Z587" s="652">
        <f>IF($B587="",,IF(LEFT($H587,5)="dummy",SUMIFS(AvgBonus[avg_bonus],AvgBonus[job_title],$H587),SUMIFS(AvgBonus[avg_bonus],AvgBonus[exp_item],$J587,AvgBonus[company_name],$B587,AvgBonus[bu_name],$C587,AvgBonus[dept_name],$D587,AvgBonus[team_consolidation],$K587,AvgBonus[location_name],$G587,AvgBonus[job_title],$H587))*Z482*SUM(BonusPayout[Month 15]))</f>
        <v>0</v>
      </c>
      <c r="AA587" s="652">
        <f>IF($B587="",,IF(LEFT($H587,5)="dummy",SUMIFS(AvgBonus[avg_bonus],AvgBonus[job_title],$H587),SUMIFS(AvgBonus[avg_bonus],AvgBonus[exp_item],$J587,AvgBonus[company_name],$B587,AvgBonus[bu_name],$C587,AvgBonus[dept_name],$D587,AvgBonus[team_consolidation],$K587,AvgBonus[location_name],$G587,AvgBonus[job_title],$H587))*AA482*SUM(BonusPayout[Month 16]))</f>
        <v>0</v>
      </c>
      <c r="AB587" s="652">
        <f>IF($B587="",,IF(LEFT($H587,5)="dummy",SUMIFS(AvgBonus[avg_bonus],AvgBonus[job_title],$H587),SUMIFS(AvgBonus[avg_bonus],AvgBonus[exp_item],$J587,AvgBonus[company_name],$B587,AvgBonus[bu_name],$C587,AvgBonus[dept_name],$D587,AvgBonus[team_consolidation],$K587,AvgBonus[location_name],$G587,AvgBonus[job_title],$H587))*AB482*SUM(BonusPayout[Month 17]))</f>
        <v>0</v>
      </c>
      <c r="AC587" s="652">
        <f>IF($B587="",,IF(LEFT($H587,5)="dummy",SUMIFS(AvgBonus[avg_bonus],AvgBonus[job_title],$H587),SUMIFS(AvgBonus[avg_bonus],AvgBonus[exp_item],$J587,AvgBonus[company_name],$B587,AvgBonus[bu_name],$C587,AvgBonus[dept_name],$D587,AvgBonus[team_consolidation],$K587,AvgBonus[location_name],$G587,AvgBonus[job_title],$H587))*AC482*SUM(BonusPayout[Month 18]))</f>
        <v>0</v>
      </c>
      <c r="AD587" s="652">
        <f>IF($B587="",,IF(LEFT($H587,5)="dummy",SUMIFS(AvgBonus[avg_bonus],AvgBonus[job_title],$H587),SUMIFS(AvgBonus[avg_bonus],AvgBonus[exp_item],$J587,AvgBonus[company_name],$B587,AvgBonus[bu_name],$C587,AvgBonus[dept_name],$D587,AvgBonus[team_consolidation],$K587,AvgBonus[location_name],$G587,AvgBonus[job_title],$H587))*AD482*SUM(BonusPayout[Month 19]))</f>
        <v>0</v>
      </c>
      <c r="AE587" s="652">
        <f>IF($B587="",,IF(LEFT($H587,5)="dummy",SUMIFS(AvgBonus[avg_bonus],AvgBonus[job_title],$H587),SUMIFS(AvgBonus[avg_bonus],AvgBonus[exp_item],$J587,AvgBonus[company_name],$B587,AvgBonus[bu_name],$C587,AvgBonus[dept_name],$D587,AvgBonus[team_consolidation],$K587,AvgBonus[location_name],$G587,AvgBonus[job_title],$H587))*AE482*SUM(BonusPayout[Month 20]))</f>
        <v>0</v>
      </c>
      <c r="AF587" s="652">
        <f>IF($B587="",,IF(LEFT($H587,5)="dummy",SUMIFS(AvgBonus[avg_bonus],AvgBonus[job_title],$H587),SUMIFS(AvgBonus[avg_bonus],AvgBonus[exp_item],$J587,AvgBonus[company_name],$B587,AvgBonus[bu_name],$C587,AvgBonus[dept_name],$D587,AvgBonus[team_consolidation],$K587,AvgBonus[location_name],$G587,AvgBonus[job_title],$H587))*AF482*SUM(BonusPayout[Month 21]))</f>
        <v>0</v>
      </c>
      <c r="AG587" s="652">
        <f>IF($B587="",,IF(LEFT($H587,5)="dummy",SUMIFS(AvgBonus[avg_bonus],AvgBonus[job_title],$H587),SUMIFS(AvgBonus[avg_bonus],AvgBonus[exp_item],$J587,AvgBonus[company_name],$B587,AvgBonus[bu_name],$C587,AvgBonus[dept_name],$D587,AvgBonus[team_consolidation],$K587,AvgBonus[location_name],$G587,AvgBonus[job_title],$H587))*AG482*SUM(BonusPayout[Month 22]))</f>
        <v>0</v>
      </c>
      <c r="AH587" s="652">
        <f>IF($B587="",,IF(LEFT($H587,5)="dummy",SUMIFS(AvgBonus[avg_bonus],AvgBonus[job_title],$H587),SUMIFS(AvgBonus[avg_bonus],AvgBonus[exp_item],$J587,AvgBonus[company_name],$B587,AvgBonus[bu_name],$C587,AvgBonus[dept_name],$D587,AvgBonus[team_consolidation],$K587,AvgBonus[location_name],$G587,AvgBonus[job_title],$H587))*AH482*SUM(BonusPayout[Month 23]))</f>
        <v>0</v>
      </c>
      <c r="AI587" s="652">
        <f>IF($B587="",,IF(LEFT($H587,5)="dummy",SUMIFS(AvgBonus[avg_bonus],AvgBonus[job_title],$H587),SUMIFS(AvgBonus[avg_bonus],AvgBonus[exp_item],$J587,AvgBonus[company_name],$B587,AvgBonus[bu_name],$C587,AvgBonus[dept_name],$D587,AvgBonus[team_consolidation],$K587,AvgBonus[location_name],$G587,AvgBonus[job_title],$H587))*AI482*SUM(BonusPayout[Month 24]))</f>
        <v>0</v>
      </c>
      <c r="AJ587" s="652">
        <f>IF($B587="",,IF(LEFT($H587,5)="dummy",SUMIFS(AvgBonus[avg_bonus],AvgBonus[job_title],$H587),SUMIFS(AvgBonus[avg_bonus],AvgBonus[exp_item],$J587,AvgBonus[company_name],$B587,AvgBonus[bu_name],$C587,AvgBonus[dept_name],$D587,AvgBonus[team_consolidation],$K587,AvgBonus[location_name],$G587,AvgBonus[job_title],$H587))*AJ482*SUM(BonusPayout[Month 25]))</f>
        <v>0</v>
      </c>
      <c r="AK587" s="652">
        <f>IF($B587="",,IF(LEFT($H587,5)="dummy",SUMIFS(AvgBonus[avg_bonus],AvgBonus[job_title],$H587),SUMIFS(AvgBonus[avg_bonus],AvgBonus[exp_item],$J587,AvgBonus[company_name],$B587,AvgBonus[bu_name],$C587,AvgBonus[dept_name],$D587,AvgBonus[team_consolidation],$K587,AvgBonus[location_name],$G587,AvgBonus[job_title],$H587))*AK482*SUM(BonusPayout[Month 26]))</f>
        <v>0</v>
      </c>
      <c r="AL587" s="652">
        <f>IF($B587="",,IF(LEFT($H587,5)="dummy",SUMIFS(AvgBonus[avg_bonus],AvgBonus[job_title],$H587),SUMIFS(AvgBonus[avg_bonus],AvgBonus[exp_item],$J587,AvgBonus[company_name],$B587,AvgBonus[bu_name],$C587,AvgBonus[dept_name],$D587,AvgBonus[team_consolidation],$K587,AvgBonus[location_name],$G587,AvgBonus[job_title],$H587))*AL482*SUM(BonusPayout[Month 27]))</f>
        <v>0</v>
      </c>
      <c r="AM587" s="652">
        <f>IF($B587="",,IF(LEFT($H587,5)="dummy",SUMIFS(AvgBonus[avg_bonus],AvgBonus[job_title],$H587),SUMIFS(AvgBonus[avg_bonus],AvgBonus[exp_item],$J587,AvgBonus[company_name],$B587,AvgBonus[bu_name],$C587,AvgBonus[dept_name],$D587,AvgBonus[team_consolidation],$K587,AvgBonus[location_name],$G587,AvgBonus[job_title],$H587))*AM482*SUM(BonusPayout[Month 28]))</f>
        <v>0</v>
      </c>
      <c r="AN587" s="652">
        <f>IF($B587="",,IF(LEFT($H587,5)="dummy",SUMIFS(AvgBonus[avg_bonus],AvgBonus[job_title],$H587),SUMIFS(AvgBonus[avg_bonus],AvgBonus[exp_item],$J587,AvgBonus[company_name],$B587,AvgBonus[bu_name],$C587,AvgBonus[dept_name],$D587,AvgBonus[team_consolidation],$K587,AvgBonus[location_name],$G587,AvgBonus[job_title],$H587))*AN482*SUM(BonusPayout[Month 29]))</f>
        <v>0</v>
      </c>
      <c r="AO587" s="652">
        <f>IF($B587="",,IF(LEFT($H587,5)="dummy",SUMIFS(AvgBonus[avg_bonus],AvgBonus[job_title],$H587),SUMIFS(AvgBonus[avg_bonus],AvgBonus[exp_item],$J587,AvgBonus[company_name],$B587,AvgBonus[bu_name],$C587,AvgBonus[dept_name],$D587,AvgBonus[team_consolidation],$K587,AvgBonus[location_name],$G587,AvgBonus[job_title],$H587))*AO482*SUM(BonusPayout[Month 30]))</f>
        <v>0</v>
      </c>
      <c r="AP587" s="652">
        <f>IF($B587="",,IF(LEFT($H587,5)="dummy",SUMIFS(AvgBonus[avg_bonus],AvgBonus[job_title],$H587),SUMIFS(AvgBonus[avg_bonus],AvgBonus[exp_item],$J587,AvgBonus[company_name],$B587,AvgBonus[bu_name],$C587,AvgBonus[dept_name],$D587,AvgBonus[team_consolidation],$K587,AvgBonus[location_name],$G587,AvgBonus[job_title],$H587))*AP482*SUM(BonusPayout[Month 31]))</f>
        <v>0</v>
      </c>
      <c r="AQ587" s="652">
        <f>IF($B587="",,IF(LEFT($H587,5)="dummy",SUMIFS(AvgBonus[avg_bonus],AvgBonus[job_title],$H587),SUMIFS(AvgBonus[avg_bonus],AvgBonus[exp_item],$J587,AvgBonus[company_name],$B587,AvgBonus[bu_name],$C587,AvgBonus[dept_name],$D587,AvgBonus[team_consolidation],$K587,AvgBonus[location_name],$G587,AvgBonus[job_title],$H587))*AQ482*SUM(BonusPayout[Month 32]))</f>
        <v>0</v>
      </c>
      <c r="AR587" s="652">
        <f>IF($B587="",,IF(LEFT($H587,5)="dummy",SUMIFS(AvgBonus[avg_bonus],AvgBonus[job_title],$H587),SUMIFS(AvgBonus[avg_bonus],AvgBonus[exp_item],$J587,AvgBonus[company_name],$B587,AvgBonus[bu_name],$C587,AvgBonus[dept_name],$D587,AvgBonus[team_consolidation],$K587,AvgBonus[location_name],$G587,AvgBonus[job_title],$H587))*AR482*SUM(BonusPayout[Month 33]))</f>
        <v>0</v>
      </c>
      <c r="AS587" s="652">
        <f>IF($B587="",,IF(LEFT($H587,5)="dummy",SUMIFS(AvgBonus[avg_bonus],AvgBonus[job_title],$H587),SUMIFS(AvgBonus[avg_bonus],AvgBonus[exp_item],$J587,AvgBonus[company_name],$B587,AvgBonus[bu_name],$C587,AvgBonus[dept_name],$D587,AvgBonus[team_consolidation],$K587,AvgBonus[location_name],$G587,AvgBonus[job_title],$H587))*AS482*SUM(BonusPayout[Month 34]))</f>
        <v>0</v>
      </c>
      <c r="AT587" s="652">
        <f>IF($B587="",,IF(LEFT($H587,5)="dummy",SUMIFS(AvgBonus[avg_bonus],AvgBonus[job_title],$H587),SUMIFS(AvgBonus[avg_bonus],AvgBonus[exp_item],$J587,AvgBonus[company_name],$B587,AvgBonus[bu_name],$C587,AvgBonus[dept_name],$D587,AvgBonus[team_consolidation],$K587,AvgBonus[location_name],$G587,AvgBonus[job_title],$H587))*AT482*SUM(BonusPayout[Month 35]))</f>
        <v>0</v>
      </c>
      <c r="AU587" s="652">
        <f>IF($B587="",,IF(LEFT($H587,5)="dummy",SUMIFS(AvgBonus[avg_bonus],AvgBonus[job_title],$H587),SUMIFS(AvgBonus[avg_bonus],AvgBonus[exp_item],$J587,AvgBonus[company_name],$B587,AvgBonus[bu_name],$C587,AvgBonus[dept_name],$D587,AvgBonus[team_consolidation],$K587,AvgBonus[location_name],$G587,AvgBonus[job_title],$H587))*AU482*SUM(BonusPayout[Month 36]))</f>
        <v>0</v>
      </c>
    </row>
    <row r="588" spans="2:47" x14ac:dyDescent="0.35">
      <c r="B588" t="str">
        <f t="shared" ref="B588:G588" si="385">IF(B483="","",B483)</f>
        <v/>
      </c>
      <c r="C588" t="str">
        <f t="shared" si="385"/>
        <v/>
      </c>
      <c r="D588" t="str">
        <f t="shared" si="385"/>
        <v/>
      </c>
      <c r="E588" t="str">
        <f t="shared" si="385"/>
        <v/>
      </c>
      <c r="F588" t="str">
        <f t="shared" si="385"/>
        <v/>
      </c>
      <c r="G588" t="str">
        <f t="shared" si="385"/>
        <v/>
      </c>
      <c r="H588" t="str">
        <f t="shared" si="360"/>
        <v/>
      </c>
      <c r="J588" t="str">
        <f>IF($H588="","",IF(VLOOKUP($B$500,ExpItems[],2,0),$B$500&amp;" - "&amp;INDEX(DivisionMapping[category_code],MATCH($D588&amp;$C588,DivisionMapping[dept_bu],0)),$B$500))</f>
        <v/>
      </c>
      <c r="K588" t="str">
        <f t="shared" si="363"/>
        <v/>
      </c>
      <c r="L588" s="652">
        <f>IF($B588="",,IF(LEFT($H588,5)="dummy",SUMIFS(AvgBonus[avg_bonus],AvgBonus[job_title],$H588),SUMIFS(AvgBonus[avg_bonus],AvgBonus[exp_item],$J588,AvgBonus[company_name],$B588,AvgBonus[bu_name],$C588,AvgBonus[dept_name],$D588,AvgBonus[team_consolidation],$K588,AvgBonus[location_name],$G588,AvgBonus[job_title],$H588))*L483*SUM(BonusPayout[Month 1]))</f>
        <v>0</v>
      </c>
      <c r="M588" s="652">
        <f>IF($B588="",,IF(LEFT($H588,5)="dummy",SUMIFS(AvgBonus[avg_bonus],AvgBonus[job_title],$H588),SUMIFS(AvgBonus[avg_bonus],AvgBonus[exp_item],$J588,AvgBonus[company_name],$B588,AvgBonus[bu_name],$C588,AvgBonus[dept_name],$D588,AvgBonus[team_consolidation],$K588,AvgBonus[location_name],$G588,AvgBonus[job_title],$H588))*M483*SUM(BonusPayout[Month 2]))</f>
        <v>0</v>
      </c>
      <c r="N588" s="652">
        <f>IF($B588="",,IF(LEFT($H588,5)="dummy",SUMIFS(AvgBonus[avg_bonus],AvgBonus[job_title],$H588),SUMIFS(AvgBonus[avg_bonus],AvgBonus[exp_item],$J588,AvgBonus[company_name],$B588,AvgBonus[bu_name],$C588,AvgBonus[dept_name],$D588,AvgBonus[team_consolidation],$K588,AvgBonus[location_name],$G588,AvgBonus[job_title],$H588))*N483*SUM(BonusPayout[Month 3]))</f>
        <v>0</v>
      </c>
      <c r="O588" s="652">
        <f>IF($B588="",,IF(LEFT($H588,5)="dummy",SUMIFS(AvgBonus[avg_bonus],AvgBonus[job_title],$H588),SUMIFS(AvgBonus[avg_bonus],AvgBonus[exp_item],$J588,AvgBonus[company_name],$B588,AvgBonus[bu_name],$C588,AvgBonus[dept_name],$D588,AvgBonus[team_consolidation],$K588,AvgBonus[location_name],$G588,AvgBonus[job_title],$H588))*O483*SUM(BonusPayout[Month 4]))</f>
        <v>0</v>
      </c>
      <c r="P588" s="652">
        <f>IF($B588="",,IF(LEFT($H588,5)="dummy",SUMIFS(AvgBonus[avg_bonus],AvgBonus[job_title],$H588),SUMIFS(AvgBonus[avg_bonus],AvgBonus[exp_item],$J588,AvgBonus[company_name],$B588,AvgBonus[bu_name],$C588,AvgBonus[dept_name],$D588,AvgBonus[team_consolidation],$K588,AvgBonus[location_name],$G588,AvgBonus[job_title],$H588))*P483*SUM(BonusPayout[Month 5]))</f>
        <v>0</v>
      </c>
      <c r="Q588" s="652">
        <f>IF($B588="",,IF(LEFT($H588,5)="dummy",SUMIFS(AvgBonus[avg_bonus],AvgBonus[job_title],$H588),SUMIFS(AvgBonus[avg_bonus],AvgBonus[exp_item],$J588,AvgBonus[company_name],$B588,AvgBonus[bu_name],$C588,AvgBonus[dept_name],$D588,AvgBonus[team_consolidation],$K588,AvgBonus[location_name],$G588,AvgBonus[job_title],$H588))*Q483*SUM(BonusPayout[Month 6]))</f>
        <v>0</v>
      </c>
      <c r="R588" s="652">
        <f>IF($B588="",,IF(LEFT($H588,5)="dummy",SUMIFS(AvgBonus[avg_bonus],AvgBonus[job_title],$H588),SUMIFS(AvgBonus[avg_bonus],AvgBonus[exp_item],$J588,AvgBonus[company_name],$B588,AvgBonus[bu_name],$C588,AvgBonus[dept_name],$D588,AvgBonus[team_consolidation],$K588,AvgBonus[location_name],$G588,AvgBonus[job_title],$H588))*R483*SUM(BonusPayout[Month 7]))</f>
        <v>0</v>
      </c>
      <c r="S588" s="652">
        <f>IF($B588="",,IF(LEFT($H588,5)="dummy",SUMIFS(AvgBonus[avg_bonus],AvgBonus[job_title],$H588),SUMIFS(AvgBonus[avg_bonus],AvgBonus[exp_item],$J588,AvgBonus[company_name],$B588,AvgBonus[bu_name],$C588,AvgBonus[dept_name],$D588,AvgBonus[team_consolidation],$K588,AvgBonus[location_name],$G588,AvgBonus[job_title],$H588))*S483*SUM(BonusPayout[Month 8]))</f>
        <v>0</v>
      </c>
      <c r="T588" s="652">
        <f>IF($B588="",,IF(LEFT($H588,5)="dummy",SUMIFS(AvgBonus[avg_bonus],AvgBonus[job_title],$H588),SUMIFS(AvgBonus[avg_bonus],AvgBonus[exp_item],$J588,AvgBonus[company_name],$B588,AvgBonus[bu_name],$C588,AvgBonus[dept_name],$D588,AvgBonus[team_consolidation],$K588,AvgBonus[location_name],$G588,AvgBonus[job_title],$H588))*T483*SUM(BonusPayout[Month 9]))</f>
        <v>0</v>
      </c>
      <c r="U588" s="652">
        <f>IF($B588="",,IF(LEFT($H588,5)="dummy",SUMIFS(AvgBonus[avg_bonus],AvgBonus[job_title],$H588),SUMIFS(AvgBonus[avg_bonus],AvgBonus[exp_item],$J588,AvgBonus[company_name],$B588,AvgBonus[bu_name],$C588,AvgBonus[dept_name],$D588,AvgBonus[team_consolidation],$K588,AvgBonus[location_name],$G588,AvgBonus[job_title],$H588))*U483*SUM(BonusPayout[Month 10]))</f>
        <v>0</v>
      </c>
      <c r="V588" s="652">
        <f>IF($B588="",,IF(LEFT($H588,5)="dummy",SUMIFS(AvgBonus[avg_bonus],AvgBonus[job_title],$H588),SUMIFS(AvgBonus[avg_bonus],AvgBonus[exp_item],$J588,AvgBonus[company_name],$B588,AvgBonus[bu_name],$C588,AvgBonus[dept_name],$D588,AvgBonus[team_consolidation],$K588,AvgBonus[location_name],$G588,AvgBonus[job_title],$H588))*V483*SUM(BonusPayout[Month 11]))</f>
        <v>0</v>
      </c>
      <c r="W588" s="652">
        <f>IF($B588="",,IF(LEFT($H588,5)="dummy",SUMIFS(AvgBonus[avg_bonus],AvgBonus[job_title],$H588),SUMIFS(AvgBonus[avg_bonus],AvgBonus[exp_item],$J588,AvgBonus[company_name],$B588,AvgBonus[bu_name],$C588,AvgBonus[dept_name],$D588,AvgBonus[team_consolidation],$K588,AvgBonus[location_name],$G588,AvgBonus[job_title],$H588))*W483*SUM(BonusPayout[Month 12]))</f>
        <v>0</v>
      </c>
      <c r="X588" s="652">
        <f>IF($B588="",,IF(LEFT($H588,5)="dummy",SUMIFS(AvgBonus[avg_bonus],AvgBonus[job_title],$H588),SUMIFS(AvgBonus[avg_bonus],AvgBonus[exp_item],$J588,AvgBonus[company_name],$B588,AvgBonus[bu_name],$C588,AvgBonus[dept_name],$D588,AvgBonus[team_consolidation],$K588,AvgBonus[location_name],$G588,AvgBonus[job_title],$H588))*X483*SUM(BonusPayout[Month 13]))</f>
        <v>0</v>
      </c>
      <c r="Y588" s="652">
        <f>IF($B588="",,IF(LEFT($H588,5)="dummy",SUMIFS(AvgBonus[avg_bonus],AvgBonus[job_title],$H588),SUMIFS(AvgBonus[avg_bonus],AvgBonus[exp_item],$J588,AvgBonus[company_name],$B588,AvgBonus[bu_name],$C588,AvgBonus[dept_name],$D588,AvgBonus[team_consolidation],$K588,AvgBonus[location_name],$G588,AvgBonus[job_title],$H588))*Y483*SUM(BonusPayout[Month 14]))</f>
        <v>0</v>
      </c>
      <c r="Z588" s="652">
        <f>IF($B588="",,IF(LEFT($H588,5)="dummy",SUMIFS(AvgBonus[avg_bonus],AvgBonus[job_title],$H588),SUMIFS(AvgBonus[avg_bonus],AvgBonus[exp_item],$J588,AvgBonus[company_name],$B588,AvgBonus[bu_name],$C588,AvgBonus[dept_name],$D588,AvgBonus[team_consolidation],$K588,AvgBonus[location_name],$G588,AvgBonus[job_title],$H588))*Z483*SUM(BonusPayout[Month 15]))</f>
        <v>0</v>
      </c>
      <c r="AA588" s="652">
        <f>IF($B588="",,IF(LEFT($H588,5)="dummy",SUMIFS(AvgBonus[avg_bonus],AvgBonus[job_title],$H588),SUMIFS(AvgBonus[avg_bonus],AvgBonus[exp_item],$J588,AvgBonus[company_name],$B588,AvgBonus[bu_name],$C588,AvgBonus[dept_name],$D588,AvgBonus[team_consolidation],$K588,AvgBonus[location_name],$G588,AvgBonus[job_title],$H588))*AA483*SUM(BonusPayout[Month 16]))</f>
        <v>0</v>
      </c>
      <c r="AB588" s="652">
        <f>IF($B588="",,IF(LEFT($H588,5)="dummy",SUMIFS(AvgBonus[avg_bonus],AvgBonus[job_title],$H588),SUMIFS(AvgBonus[avg_bonus],AvgBonus[exp_item],$J588,AvgBonus[company_name],$B588,AvgBonus[bu_name],$C588,AvgBonus[dept_name],$D588,AvgBonus[team_consolidation],$K588,AvgBonus[location_name],$G588,AvgBonus[job_title],$H588))*AB483*SUM(BonusPayout[Month 17]))</f>
        <v>0</v>
      </c>
      <c r="AC588" s="652">
        <f>IF($B588="",,IF(LEFT($H588,5)="dummy",SUMIFS(AvgBonus[avg_bonus],AvgBonus[job_title],$H588),SUMIFS(AvgBonus[avg_bonus],AvgBonus[exp_item],$J588,AvgBonus[company_name],$B588,AvgBonus[bu_name],$C588,AvgBonus[dept_name],$D588,AvgBonus[team_consolidation],$K588,AvgBonus[location_name],$G588,AvgBonus[job_title],$H588))*AC483*SUM(BonusPayout[Month 18]))</f>
        <v>0</v>
      </c>
      <c r="AD588" s="652">
        <f>IF($B588="",,IF(LEFT($H588,5)="dummy",SUMIFS(AvgBonus[avg_bonus],AvgBonus[job_title],$H588),SUMIFS(AvgBonus[avg_bonus],AvgBonus[exp_item],$J588,AvgBonus[company_name],$B588,AvgBonus[bu_name],$C588,AvgBonus[dept_name],$D588,AvgBonus[team_consolidation],$K588,AvgBonus[location_name],$G588,AvgBonus[job_title],$H588))*AD483*SUM(BonusPayout[Month 19]))</f>
        <v>0</v>
      </c>
      <c r="AE588" s="652">
        <f>IF($B588="",,IF(LEFT($H588,5)="dummy",SUMIFS(AvgBonus[avg_bonus],AvgBonus[job_title],$H588),SUMIFS(AvgBonus[avg_bonus],AvgBonus[exp_item],$J588,AvgBonus[company_name],$B588,AvgBonus[bu_name],$C588,AvgBonus[dept_name],$D588,AvgBonus[team_consolidation],$K588,AvgBonus[location_name],$G588,AvgBonus[job_title],$H588))*AE483*SUM(BonusPayout[Month 20]))</f>
        <v>0</v>
      </c>
      <c r="AF588" s="652">
        <f>IF($B588="",,IF(LEFT($H588,5)="dummy",SUMIFS(AvgBonus[avg_bonus],AvgBonus[job_title],$H588),SUMIFS(AvgBonus[avg_bonus],AvgBonus[exp_item],$J588,AvgBonus[company_name],$B588,AvgBonus[bu_name],$C588,AvgBonus[dept_name],$D588,AvgBonus[team_consolidation],$K588,AvgBonus[location_name],$G588,AvgBonus[job_title],$H588))*AF483*SUM(BonusPayout[Month 21]))</f>
        <v>0</v>
      </c>
      <c r="AG588" s="652">
        <f>IF($B588="",,IF(LEFT($H588,5)="dummy",SUMIFS(AvgBonus[avg_bonus],AvgBonus[job_title],$H588),SUMIFS(AvgBonus[avg_bonus],AvgBonus[exp_item],$J588,AvgBonus[company_name],$B588,AvgBonus[bu_name],$C588,AvgBonus[dept_name],$D588,AvgBonus[team_consolidation],$K588,AvgBonus[location_name],$G588,AvgBonus[job_title],$H588))*AG483*SUM(BonusPayout[Month 22]))</f>
        <v>0</v>
      </c>
      <c r="AH588" s="652">
        <f>IF($B588="",,IF(LEFT($H588,5)="dummy",SUMIFS(AvgBonus[avg_bonus],AvgBonus[job_title],$H588),SUMIFS(AvgBonus[avg_bonus],AvgBonus[exp_item],$J588,AvgBonus[company_name],$B588,AvgBonus[bu_name],$C588,AvgBonus[dept_name],$D588,AvgBonus[team_consolidation],$K588,AvgBonus[location_name],$G588,AvgBonus[job_title],$H588))*AH483*SUM(BonusPayout[Month 23]))</f>
        <v>0</v>
      </c>
      <c r="AI588" s="652">
        <f>IF($B588="",,IF(LEFT($H588,5)="dummy",SUMIFS(AvgBonus[avg_bonus],AvgBonus[job_title],$H588),SUMIFS(AvgBonus[avg_bonus],AvgBonus[exp_item],$J588,AvgBonus[company_name],$B588,AvgBonus[bu_name],$C588,AvgBonus[dept_name],$D588,AvgBonus[team_consolidation],$K588,AvgBonus[location_name],$G588,AvgBonus[job_title],$H588))*AI483*SUM(BonusPayout[Month 24]))</f>
        <v>0</v>
      </c>
      <c r="AJ588" s="652">
        <f>IF($B588="",,IF(LEFT($H588,5)="dummy",SUMIFS(AvgBonus[avg_bonus],AvgBonus[job_title],$H588),SUMIFS(AvgBonus[avg_bonus],AvgBonus[exp_item],$J588,AvgBonus[company_name],$B588,AvgBonus[bu_name],$C588,AvgBonus[dept_name],$D588,AvgBonus[team_consolidation],$K588,AvgBonus[location_name],$G588,AvgBonus[job_title],$H588))*AJ483*SUM(BonusPayout[Month 25]))</f>
        <v>0</v>
      </c>
      <c r="AK588" s="652">
        <f>IF($B588="",,IF(LEFT($H588,5)="dummy",SUMIFS(AvgBonus[avg_bonus],AvgBonus[job_title],$H588),SUMIFS(AvgBonus[avg_bonus],AvgBonus[exp_item],$J588,AvgBonus[company_name],$B588,AvgBonus[bu_name],$C588,AvgBonus[dept_name],$D588,AvgBonus[team_consolidation],$K588,AvgBonus[location_name],$G588,AvgBonus[job_title],$H588))*AK483*SUM(BonusPayout[Month 26]))</f>
        <v>0</v>
      </c>
      <c r="AL588" s="652">
        <f>IF($B588="",,IF(LEFT($H588,5)="dummy",SUMIFS(AvgBonus[avg_bonus],AvgBonus[job_title],$H588),SUMIFS(AvgBonus[avg_bonus],AvgBonus[exp_item],$J588,AvgBonus[company_name],$B588,AvgBonus[bu_name],$C588,AvgBonus[dept_name],$D588,AvgBonus[team_consolidation],$K588,AvgBonus[location_name],$G588,AvgBonus[job_title],$H588))*AL483*SUM(BonusPayout[Month 27]))</f>
        <v>0</v>
      </c>
      <c r="AM588" s="652">
        <f>IF($B588="",,IF(LEFT($H588,5)="dummy",SUMIFS(AvgBonus[avg_bonus],AvgBonus[job_title],$H588),SUMIFS(AvgBonus[avg_bonus],AvgBonus[exp_item],$J588,AvgBonus[company_name],$B588,AvgBonus[bu_name],$C588,AvgBonus[dept_name],$D588,AvgBonus[team_consolidation],$K588,AvgBonus[location_name],$G588,AvgBonus[job_title],$H588))*AM483*SUM(BonusPayout[Month 28]))</f>
        <v>0</v>
      </c>
      <c r="AN588" s="652">
        <f>IF($B588="",,IF(LEFT($H588,5)="dummy",SUMIFS(AvgBonus[avg_bonus],AvgBonus[job_title],$H588),SUMIFS(AvgBonus[avg_bonus],AvgBonus[exp_item],$J588,AvgBonus[company_name],$B588,AvgBonus[bu_name],$C588,AvgBonus[dept_name],$D588,AvgBonus[team_consolidation],$K588,AvgBonus[location_name],$G588,AvgBonus[job_title],$H588))*AN483*SUM(BonusPayout[Month 29]))</f>
        <v>0</v>
      </c>
      <c r="AO588" s="652">
        <f>IF($B588="",,IF(LEFT($H588,5)="dummy",SUMIFS(AvgBonus[avg_bonus],AvgBonus[job_title],$H588),SUMIFS(AvgBonus[avg_bonus],AvgBonus[exp_item],$J588,AvgBonus[company_name],$B588,AvgBonus[bu_name],$C588,AvgBonus[dept_name],$D588,AvgBonus[team_consolidation],$K588,AvgBonus[location_name],$G588,AvgBonus[job_title],$H588))*AO483*SUM(BonusPayout[Month 30]))</f>
        <v>0</v>
      </c>
      <c r="AP588" s="652">
        <f>IF($B588="",,IF(LEFT($H588,5)="dummy",SUMIFS(AvgBonus[avg_bonus],AvgBonus[job_title],$H588),SUMIFS(AvgBonus[avg_bonus],AvgBonus[exp_item],$J588,AvgBonus[company_name],$B588,AvgBonus[bu_name],$C588,AvgBonus[dept_name],$D588,AvgBonus[team_consolidation],$K588,AvgBonus[location_name],$G588,AvgBonus[job_title],$H588))*AP483*SUM(BonusPayout[Month 31]))</f>
        <v>0</v>
      </c>
      <c r="AQ588" s="652">
        <f>IF($B588="",,IF(LEFT($H588,5)="dummy",SUMIFS(AvgBonus[avg_bonus],AvgBonus[job_title],$H588),SUMIFS(AvgBonus[avg_bonus],AvgBonus[exp_item],$J588,AvgBonus[company_name],$B588,AvgBonus[bu_name],$C588,AvgBonus[dept_name],$D588,AvgBonus[team_consolidation],$K588,AvgBonus[location_name],$G588,AvgBonus[job_title],$H588))*AQ483*SUM(BonusPayout[Month 32]))</f>
        <v>0</v>
      </c>
      <c r="AR588" s="652">
        <f>IF($B588="",,IF(LEFT($H588,5)="dummy",SUMIFS(AvgBonus[avg_bonus],AvgBonus[job_title],$H588),SUMIFS(AvgBonus[avg_bonus],AvgBonus[exp_item],$J588,AvgBonus[company_name],$B588,AvgBonus[bu_name],$C588,AvgBonus[dept_name],$D588,AvgBonus[team_consolidation],$K588,AvgBonus[location_name],$G588,AvgBonus[job_title],$H588))*AR483*SUM(BonusPayout[Month 33]))</f>
        <v>0</v>
      </c>
      <c r="AS588" s="652">
        <f>IF($B588="",,IF(LEFT($H588,5)="dummy",SUMIFS(AvgBonus[avg_bonus],AvgBonus[job_title],$H588),SUMIFS(AvgBonus[avg_bonus],AvgBonus[exp_item],$J588,AvgBonus[company_name],$B588,AvgBonus[bu_name],$C588,AvgBonus[dept_name],$D588,AvgBonus[team_consolidation],$K588,AvgBonus[location_name],$G588,AvgBonus[job_title],$H588))*AS483*SUM(BonusPayout[Month 34]))</f>
        <v>0</v>
      </c>
      <c r="AT588" s="652">
        <f>IF($B588="",,IF(LEFT($H588,5)="dummy",SUMIFS(AvgBonus[avg_bonus],AvgBonus[job_title],$H588),SUMIFS(AvgBonus[avg_bonus],AvgBonus[exp_item],$J588,AvgBonus[company_name],$B588,AvgBonus[bu_name],$C588,AvgBonus[dept_name],$D588,AvgBonus[team_consolidation],$K588,AvgBonus[location_name],$G588,AvgBonus[job_title],$H588))*AT483*SUM(BonusPayout[Month 35]))</f>
        <v>0</v>
      </c>
      <c r="AU588" s="652">
        <f>IF($B588="",,IF(LEFT($H588,5)="dummy",SUMIFS(AvgBonus[avg_bonus],AvgBonus[job_title],$H588),SUMIFS(AvgBonus[avg_bonus],AvgBonus[exp_item],$J588,AvgBonus[company_name],$B588,AvgBonus[bu_name],$C588,AvgBonus[dept_name],$D588,AvgBonus[team_consolidation],$K588,AvgBonus[location_name],$G588,AvgBonus[job_title],$H588))*AU483*SUM(BonusPayout[Month 36]))</f>
        <v>0</v>
      </c>
    </row>
    <row r="589" spans="2:47" x14ac:dyDescent="0.35">
      <c r="B589" t="str">
        <f t="shared" ref="B589:G589" si="386">IF(B484="","",B484)</f>
        <v/>
      </c>
      <c r="C589" t="str">
        <f t="shared" si="386"/>
        <v/>
      </c>
      <c r="D589" t="str">
        <f t="shared" si="386"/>
        <v/>
      </c>
      <c r="E589" t="str">
        <f t="shared" si="386"/>
        <v/>
      </c>
      <c r="F589" t="str">
        <f t="shared" si="386"/>
        <v/>
      </c>
      <c r="G589" t="str">
        <f t="shared" si="386"/>
        <v/>
      </c>
      <c r="H589" t="str">
        <f t="shared" si="360"/>
        <v/>
      </c>
      <c r="J589" t="str">
        <f>IF($H589="","",IF(VLOOKUP($B$500,ExpItems[],2,0),$B$500&amp;" - "&amp;INDEX(DivisionMapping[category_code],MATCH($D589&amp;$C589,DivisionMapping[dept_bu],0)),$B$500))</f>
        <v/>
      </c>
      <c r="K589" t="str">
        <f t="shared" si="363"/>
        <v/>
      </c>
      <c r="L589" s="652">
        <f>IF($B589="",,IF(LEFT($H589,5)="dummy",SUMIFS(AvgBonus[avg_bonus],AvgBonus[job_title],$H589),SUMIFS(AvgBonus[avg_bonus],AvgBonus[exp_item],$J589,AvgBonus[company_name],$B589,AvgBonus[bu_name],$C589,AvgBonus[dept_name],$D589,AvgBonus[team_consolidation],$K589,AvgBonus[location_name],$G589,AvgBonus[job_title],$H589))*L484*SUM(BonusPayout[Month 1]))</f>
        <v>0</v>
      </c>
      <c r="M589" s="652">
        <f>IF($B589="",,IF(LEFT($H589,5)="dummy",SUMIFS(AvgBonus[avg_bonus],AvgBonus[job_title],$H589),SUMIFS(AvgBonus[avg_bonus],AvgBonus[exp_item],$J589,AvgBonus[company_name],$B589,AvgBonus[bu_name],$C589,AvgBonus[dept_name],$D589,AvgBonus[team_consolidation],$K589,AvgBonus[location_name],$G589,AvgBonus[job_title],$H589))*M484*SUM(BonusPayout[Month 2]))</f>
        <v>0</v>
      </c>
      <c r="N589" s="652">
        <f>IF($B589="",,IF(LEFT($H589,5)="dummy",SUMIFS(AvgBonus[avg_bonus],AvgBonus[job_title],$H589),SUMIFS(AvgBonus[avg_bonus],AvgBonus[exp_item],$J589,AvgBonus[company_name],$B589,AvgBonus[bu_name],$C589,AvgBonus[dept_name],$D589,AvgBonus[team_consolidation],$K589,AvgBonus[location_name],$G589,AvgBonus[job_title],$H589))*N484*SUM(BonusPayout[Month 3]))</f>
        <v>0</v>
      </c>
      <c r="O589" s="652">
        <f>IF($B589="",,IF(LEFT($H589,5)="dummy",SUMIFS(AvgBonus[avg_bonus],AvgBonus[job_title],$H589),SUMIFS(AvgBonus[avg_bonus],AvgBonus[exp_item],$J589,AvgBonus[company_name],$B589,AvgBonus[bu_name],$C589,AvgBonus[dept_name],$D589,AvgBonus[team_consolidation],$K589,AvgBonus[location_name],$G589,AvgBonus[job_title],$H589))*O484*SUM(BonusPayout[Month 4]))</f>
        <v>0</v>
      </c>
      <c r="P589" s="652">
        <f>IF($B589="",,IF(LEFT($H589,5)="dummy",SUMIFS(AvgBonus[avg_bonus],AvgBonus[job_title],$H589),SUMIFS(AvgBonus[avg_bonus],AvgBonus[exp_item],$J589,AvgBonus[company_name],$B589,AvgBonus[bu_name],$C589,AvgBonus[dept_name],$D589,AvgBonus[team_consolidation],$K589,AvgBonus[location_name],$G589,AvgBonus[job_title],$H589))*P484*SUM(BonusPayout[Month 5]))</f>
        <v>0</v>
      </c>
      <c r="Q589" s="652">
        <f>IF($B589="",,IF(LEFT($H589,5)="dummy",SUMIFS(AvgBonus[avg_bonus],AvgBonus[job_title],$H589),SUMIFS(AvgBonus[avg_bonus],AvgBonus[exp_item],$J589,AvgBonus[company_name],$B589,AvgBonus[bu_name],$C589,AvgBonus[dept_name],$D589,AvgBonus[team_consolidation],$K589,AvgBonus[location_name],$G589,AvgBonus[job_title],$H589))*Q484*SUM(BonusPayout[Month 6]))</f>
        <v>0</v>
      </c>
      <c r="R589" s="652">
        <f>IF($B589="",,IF(LEFT($H589,5)="dummy",SUMIFS(AvgBonus[avg_bonus],AvgBonus[job_title],$H589),SUMIFS(AvgBonus[avg_bonus],AvgBonus[exp_item],$J589,AvgBonus[company_name],$B589,AvgBonus[bu_name],$C589,AvgBonus[dept_name],$D589,AvgBonus[team_consolidation],$K589,AvgBonus[location_name],$G589,AvgBonus[job_title],$H589))*R484*SUM(BonusPayout[Month 7]))</f>
        <v>0</v>
      </c>
      <c r="S589" s="652">
        <f>IF($B589="",,IF(LEFT($H589,5)="dummy",SUMIFS(AvgBonus[avg_bonus],AvgBonus[job_title],$H589),SUMIFS(AvgBonus[avg_bonus],AvgBonus[exp_item],$J589,AvgBonus[company_name],$B589,AvgBonus[bu_name],$C589,AvgBonus[dept_name],$D589,AvgBonus[team_consolidation],$K589,AvgBonus[location_name],$G589,AvgBonus[job_title],$H589))*S484*SUM(BonusPayout[Month 8]))</f>
        <v>0</v>
      </c>
      <c r="T589" s="652">
        <f>IF($B589="",,IF(LEFT($H589,5)="dummy",SUMIFS(AvgBonus[avg_bonus],AvgBonus[job_title],$H589),SUMIFS(AvgBonus[avg_bonus],AvgBonus[exp_item],$J589,AvgBonus[company_name],$B589,AvgBonus[bu_name],$C589,AvgBonus[dept_name],$D589,AvgBonus[team_consolidation],$K589,AvgBonus[location_name],$G589,AvgBonus[job_title],$H589))*T484*SUM(BonusPayout[Month 9]))</f>
        <v>0</v>
      </c>
      <c r="U589" s="652">
        <f>IF($B589="",,IF(LEFT($H589,5)="dummy",SUMIFS(AvgBonus[avg_bonus],AvgBonus[job_title],$H589),SUMIFS(AvgBonus[avg_bonus],AvgBonus[exp_item],$J589,AvgBonus[company_name],$B589,AvgBonus[bu_name],$C589,AvgBonus[dept_name],$D589,AvgBonus[team_consolidation],$K589,AvgBonus[location_name],$G589,AvgBonus[job_title],$H589))*U484*SUM(BonusPayout[Month 10]))</f>
        <v>0</v>
      </c>
      <c r="V589" s="652">
        <f>IF($B589="",,IF(LEFT($H589,5)="dummy",SUMIFS(AvgBonus[avg_bonus],AvgBonus[job_title],$H589),SUMIFS(AvgBonus[avg_bonus],AvgBonus[exp_item],$J589,AvgBonus[company_name],$B589,AvgBonus[bu_name],$C589,AvgBonus[dept_name],$D589,AvgBonus[team_consolidation],$K589,AvgBonus[location_name],$G589,AvgBonus[job_title],$H589))*V484*SUM(BonusPayout[Month 11]))</f>
        <v>0</v>
      </c>
      <c r="W589" s="652">
        <f>IF($B589="",,IF(LEFT($H589,5)="dummy",SUMIFS(AvgBonus[avg_bonus],AvgBonus[job_title],$H589),SUMIFS(AvgBonus[avg_bonus],AvgBonus[exp_item],$J589,AvgBonus[company_name],$B589,AvgBonus[bu_name],$C589,AvgBonus[dept_name],$D589,AvgBonus[team_consolidation],$K589,AvgBonus[location_name],$G589,AvgBonus[job_title],$H589))*W484*SUM(BonusPayout[Month 12]))</f>
        <v>0</v>
      </c>
      <c r="X589" s="652">
        <f>IF($B589="",,IF(LEFT($H589,5)="dummy",SUMIFS(AvgBonus[avg_bonus],AvgBonus[job_title],$H589),SUMIFS(AvgBonus[avg_bonus],AvgBonus[exp_item],$J589,AvgBonus[company_name],$B589,AvgBonus[bu_name],$C589,AvgBonus[dept_name],$D589,AvgBonus[team_consolidation],$K589,AvgBonus[location_name],$G589,AvgBonus[job_title],$H589))*X484*SUM(BonusPayout[Month 13]))</f>
        <v>0</v>
      </c>
      <c r="Y589" s="652">
        <f>IF($B589="",,IF(LEFT($H589,5)="dummy",SUMIFS(AvgBonus[avg_bonus],AvgBonus[job_title],$H589),SUMIFS(AvgBonus[avg_bonus],AvgBonus[exp_item],$J589,AvgBonus[company_name],$B589,AvgBonus[bu_name],$C589,AvgBonus[dept_name],$D589,AvgBonus[team_consolidation],$K589,AvgBonus[location_name],$G589,AvgBonus[job_title],$H589))*Y484*SUM(BonusPayout[Month 14]))</f>
        <v>0</v>
      </c>
      <c r="Z589" s="652">
        <f>IF($B589="",,IF(LEFT($H589,5)="dummy",SUMIFS(AvgBonus[avg_bonus],AvgBonus[job_title],$H589),SUMIFS(AvgBonus[avg_bonus],AvgBonus[exp_item],$J589,AvgBonus[company_name],$B589,AvgBonus[bu_name],$C589,AvgBonus[dept_name],$D589,AvgBonus[team_consolidation],$K589,AvgBonus[location_name],$G589,AvgBonus[job_title],$H589))*Z484*SUM(BonusPayout[Month 15]))</f>
        <v>0</v>
      </c>
      <c r="AA589" s="652">
        <f>IF($B589="",,IF(LEFT($H589,5)="dummy",SUMIFS(AvgBonus[avg_bonus],AvgBonus[job_title],$H589),SUMIFS(AvgBonus[avg_bonus],AvgBonus[exp_item],$J589,AvgBonus[company_name],$B589,AvgBonus[bu_name],$C589,AvgBonus[dept_name],$D589,AvgBonus[team_consolidation],$K589,AvgBonus[location_name],$G589,AvgBonus[job_title],$H589))*AA484*SUM(BonusPayout[Month 16]))</f>
        <v>0</v>
      </c>
      <c r="AB589" s="652">
        <f>IF($B589="",,IF(LEFT($H589,5)="dummy",SUMIFS(AvgBonus[avg_bonus],AvgBonus[job_title],$H589),SUMIFS(AvgBonus[avg_bonus],AvgBonus[exp_item],$J589,AvgBonus[company_name],$B589,AvgBonus[bu_name],$C589,AvgBonus[dept_name],$D589,AvgBonus[team_consolidation],$K589,AvgBonus[location_name],$G589,AvgBonus[job_title],$H589))*AB484*SUM(BonusPayout[Month 17]))</f>
        <v>0</v>
      </c>
      <c r="AC589" s="652">
        <f>IF($B589="",,IF(LEFT($H589,5)="dummy",SUMIFS(AvgBonus[avg_bonus],AvgBonus[job_title],$H589),SUMIFS(AvgBonus[avg_bonus],AvgBonus[exp_item],$J589,AvgBonus[company_name],$B589,AvgBonus[bu_name],$C589,AvgBonus[dept_name],$D589,AvgBonus[team_consolidation],$K589,AvgBonus[location_name],$G589,AvgBonus[job_title],$H589))*AC484*SUM(BonusPayout[Month 18]))</f>
        <v>0</v>
      </c>
      <c r="AD589" s="652">
        <f>IF($B589="",,IF(LEFT($H589,5)="dummy",SUMIFS(AvgBonus[avg_bonus],AvgBonus[job_title],$H589),SUMIFS(AvgBonus[avg_bonus],AvgBonus[exp_item],$J589,AvgBonus[company_name],$B589,AvgBonus[bu_name],$C589,AvgBonus[dept_name],$D589,AvgBonus[team_consolidation],$K589,AvgBonus[location_name],$G589,AvgBonus[job_title],$H589))*AD484*SUM(BonusPayout[Month 19]))</f>
        <v>0</v>
      </c>
      <c r="AE589" s="652">
        <f>IF($B589="",,IF(LEFT($H589,5)="dummy",SUMIFS(AvgBonus[avg_bonus],AvgBonus[job_title],$H589),SUMIFS(AvgBonus[avg_bonus],AvgBonus[exp_item],$J589,AvgBonus[company_name],$B589,AvgBonus[bu_name],$C589,AvgBonus[dept_name],$D589,AvgBonus[team_consolidation],$K589,AvgBonus[location_name],$G589,AvgBonus[job_title],$H589))*AE484*SUM(BonusPayout[Month 20]))</f>
        <v>0</v>
      </c>
      <c r="AF589" s="652">
        <f>IF($B589="",,IF(LEFT($H589,5)="dummy",SUMIFS(AvgBonus[avg_bonus],AvgBonus[job_title],$H589),SUMIFS(AvgBonus[avg_bonus],AvgBonus[exp_item],$J589,AvgBonus[company_name],$B589,AvgBonus[bu_name],$C589,AvgBonus[dept_name],$D589,AvgBonus[team_consolidation],$K589,AvgBonus[location_name],$G589,AvgBonus[job_title],$H589))*AF484*SUM(BonusPayout[Month 21]))</f>
        <v>0</v>
      </c>
      <c r="AG589" s="652">
        <f>IF($B589="",,IF(LEFT($H589,5)="dummy",SUMIFS(AvgBonus[avg_bonus],AvgBonus[job_title],$H589),SUMIFS(AvgBonus[avg_bonus],AvgBonus[exp_item],$J589,AvgBonus[company_name],$B589,AvgBonus[bu_name],$C589,AvgBonus[dept_name],$D589,AvgBonus[team_consolidation],$K589,AvgBonus[location_name],$G589,AvgBonus[job_title],$H589))*AG484*SUM(BonusPayout[Month 22]))</f>
        <v>0</v>
      </c>
      <c r="AH589" s="652">
        <f>IF($B589="",,IF(LEFT($H589,5)="dummy",SUMIFS(AvgBonus[avg_bonus],AvgBonus[job_title],$H589),SUMIFS(AvgBonus[avg_bonus],AvgBonus[exp_item],$J589,AvgBonus[company_name],$B589,AvgBonus[bu_name],$C589,AvgBonus[dept_name],$D589,AvgBonus[team_consolidation],$K589,AvgBonus[location_name],$G589,AvgBonus[job_title],$H589))*AH484*SUM(BonusPayout[Month 23]))</f>
        <v>0</v>
      </c>
      <c r="AI589" s="652">
        <f>IF($B589="",,IF(LEFT($H589,5)="dummy",SUMIFS(AvgBonus[avg_bonus],AvgBonus[job_title],$H589),SUMIFS(AvgBonus[avg_bonus],AvgBonus[exp_item],$J589,AvgBonus[company_name],$B589,AvgBonus[bu_name],$C589,AvgBonus[dept_name],$D589,AvgBonus[team_consolidation],$K589,AvgBonus[location_name],$G589,AvgBonus[job_title],$H589))*AI484*SUM(BonusPayout[Month 24]))</f>
        <v>0</v>
      </c>
      <c r="AJ589" s="652">
        <f>IF($B589="",,IF(LEFT($H589,5)="dummy",SUMIFS(AvgBonus[avg_bonus],AvgBonus[job_title],$H589),SUMIFS(AvgBonus[avg_bonus],AvgBonus[exp_item],$J589,AvgBonus[company_name],$B589,AvgBonus[bu_name],$C589,AvgBonus[dept_name],$D589,AvgBonus[team_consolidation],$K589,AvgBonus[location_name],$G589,AvgBonus[job_title],$H589))*AJ484*SUM(BonusPayout[Month 25]))</f>
        <v>0</v>
      </c>
      <c r="AK589" s="652">
        <f>IF($B589="",,IF(LEFT($H589,5)="dummy",SUMIFS(AvgBonus[avg_bonus],AvgBonus[job_title],$H589),SUMIFS(AvgBonus[avg_bonus],AvgBonus[exp_item],$J589,AvgBonus[company_name],$B589,AvgBonus[bu_name],$C589,AvgBonus[dept_name],$D589,AvgBonus[team_consolidation],$K589,AvgBonus[location_name],$G589,AvgBonus[job_title],$H589))*AK484*SUM(BonusPayout[Month 26]))</f>
        <v>0</v>
      </c>
      <c r="AL589" s="652">
        <f>IF($B589="",,IF(LEFT($H589,5)="dummy",SUMIFS(AvgBonus[avg_bonus],AvgBonus[job_title],$H589),SUMIFS(AvgBonus[avg_bonus],AvgBonus[exp_item],$J589,AvgBonus[company_name],$B589,AvgBonus[bu_name],$C589,AvgBonus[dept_name],$D589,AvgBonus[team_consolidation],$K589,AvgBonus[location_name],$G589,AvgBonus[job_title],$H589))*AL484*SUM(BonusPayout[Month 27]))</f>
        <v>0</v>
      </c>
      <c r="AM589" s="652">
        <f>IF($B589="",,IF(LEFT($H589,5)="dummy",SUMIFS(AvgBonus[avg_bonus],AvgBonus[job_title],$H589),SUMIFS(AvgBonus[avg_bonus],AvgBonus[exp_item],$J589,AvgBonus[company_name],$B589,AvgBonus[bu_name],$C589,AvgBonus[dept_name],$D589,AvgBonus[team_consolidation],$K589,AvgBonus[location_name],$G589,AvgBonus[job_title],$H589))*AM484*SUM(BonusPayout[Month 28]))</f>
        <v>0</v>
      </c>
      <c r="AN589" s="652">
        <f>IF($B589="",,IF(LEFT($H589,5)="dummy",SUMIFS(AvgBonus[avg_bonus],AvgBonus[job_title],$H589),SUMIFS(AvgBonus[avg_bonus],AvgBonus[exp_item],$J589,AvgBonus[company_name],$B589,AvgBonus[bu_name],$C589,AvgBonus[dept_name],$D589,AvgBonus[team_consolidation],$K589,AvgBonus[location_name],$G589,AvgBonus[job_title],$H589))*AN484*SUM(BonusPayout[Month 29]))</f>
        <v>0</v>
      </c>
      <c r="AO589" s="652">
        <f>IF($B589="",,IF(LEFT($H589,5)="dummy",SUMIFS(AvgBonus[avg_bonus],AvgBonus[job_title],$H589),SUMIFS(AvgBonus[avg_bonus],AvgBonus[exp_item],$J589,AvgBonus[company_name],$B589,AvgBonus[bu_name],$C589,AvgBonus[dept_name],$D589,AvgBonus[team_consolidation],$K589,AvgBonus[location_name],$G589,AvgBonus[job_title],$H589))*AO484*SUM(BonusPayout[Month 30]))</f>
        <v>0</v>
      </c>
      <c r="AP589" s="652">
        <f>IF($B589="",,IF(LEFT($H589,5)="dummy",SUMIFS(AvgBonus[avg_bonus],AvgBonus[job_title],$H589),SUMIFS(AvgBonus[avg_bonus],AvgBonus[exp_item],$J589,AvgBonus[company_name],$B589,AvgBonus[bu_name],$C589,AvgBonus[dept_name],$D589,AvgBonus[team_consolidation],$K589,AvgBonus[location_name],$G589,AvgBonus[job_title],$H589))*AP484*SUM(BonusPayout[Month 31]))</f>
        <v>0</v>
      </c>
      <c r="AQ589" s="652">
        <f>IF($B589="",,IF(LEFT($H589,5)="dummy",SUMIFS(AvgBonus[avg_bonus],AvgBonus[job_title],$H589),SUMIFS(AvgBonus[avg_bonus],AvgBonus[exp_item],$J589,AvgBonus[company_name],$B589,AvgBonus[bu_name],$C589,AvgBonus[dept_name],$D589,AvgBonus[team_consolidation],$K589,AvgBonus[location_name],$G589,AvgBonus[job_title],$H589))*AQ484*SUM(BonusPayout[Month 32]))</f>
        <v>0</v>
      </c>
      <c r="AR589" s="652">
        <f>IF($B589="",,IF(LEFT($H589,5)="dummy",SUMIFS(AvgBonus[avg_bonus],AvgBonus[job_title],$H589),SUMIFS(AvgBonus[avg_bonus],AvgBonus[exp_item],$J589,AvgBonus[company_name],$B589,AvgBonus[bu_name],$C589,AvgBonus[dept_name],$D589,AvgBonus[team_consolidation],$K589,AvgBonus[location_name],$G589,AvgBonus[job_title],$H589))*AR484*SUM(BonusPayout[Month 33]))</f>
        <v>0</v>
      </c>
      <c r="AS589" s="652">
        <f>IF($B589="",,IF(LEFT($H589,5)="dummy",SUMIFS(AvgBonus[avg_bonus],AvgBonus[job_title],$H589),SUMIFS(AvgBonus[avg_bonus],AvgBonus[exp_item],$J589,AvgBonus[company_name],$B589,AvgBonus[bu_name],$C589,AvgBonus[dept_name],$D589,AvgBonus[team_consolidation],$K589,AvgBonus[location_name],$G589,AvgBonus[job_title],$H589))*AS484*SUM(BonusPayout[Month 34]))</f>
        <v>0</v>
      </c>
      <c r="AT589" s="652">
        <f>IF($B589="",,IF(LEFT($H589,5)="dummy",SUMIFS(AvgBonus[avg_bonus],AvgBonus[job_title],$H589),SUMIFS(AvgBonus[avg_bonus],AvgBonus[exp_item],$J589,AvgBonus[company_name],$B589,AvgBonus[bu_name],$C589,AvgBonus[dept_name],$D589,AvgBonus[team_consolidation],$K589,AvgBonus[location_name],$G589,AvgBonus[job_title],$H589))*AT484*SUM(BonusPayout[Month 35]))</f>
        <v>0</v>
      </c>
      <c r="AU589" s="652">
        <f>IF($B589="",,IF(LEFT($H589,5)="dummy",SUMIFS(AvgBonus[avg_bonus],AvgBonus[job_title],$H589),SUMIFS(AvgBonus[avg_bonus],AvgBonus[exp_item],$J589,AvgBonus[company_name],$B589,AvgBonus[bu_name],$C589,AvgBonus[dept_name],$D589,AvgBonus[team_consolidation],$K589,AvgBonus[location_name],$G589,AvgBonus[job_title],$H589))*AU484*SUM(BonusPayout[Month 36]))</f>
        <v>0</v>
      </c>
    </row>
    <row r="590" spans="2:47" x14ac:dyDescent="0.35">
      <c r="B590" t="str">
        <f t="shared" ref="B590:G590" si="387">IF(B485="","",B485)</f>
        <v/>
      </c>
      <c r="C590" t="str">
        <f t="shared" si="387"/>
        <v/>
      </c>
      <c r="D590" t="str">
        <f t="shared" si="387"/>
        <v/>
      </c>
      <c r="E590" t="str">
        <f t="shared" si="387"/>
        <v/>
      </c>
      <c r="F590" t="str">
        <f t="shared" si="387"/>
        <v/>
      </c>
      <c r="G590" t="str">
        <f t="shared" si="387"/>
        <v/>
      </c>
      <c r="H590" t="str">
        <f t="shared" si="360"/>
        <v/>
      </c>
      <c r="J590" t="str">
        <f>IF($H590="","",IF(VLOOKUP($B$500,ExpItems[],2,0),$B$500&amp;" - "&amp;INDEX(DivisionMapping[category_code],MATCH($D590&amp;$C590,DivisionMapping[dept_bu],0)),$B$500))</f>
        <v/>
      </c>
      <c r="K590" t="str">
        <f t="shared" si="363"/>
        <v/>
      </c>
      <c r="L590" s="652">
        <f>IF($B590="",,IF(LEFT($H590,5)="dummy",SUMIFS(AvgBonus[avg_bonus],AvgBonus[job_title],$H590),SUMIFS(AvgBonus[avg_bonus],AvgBonus[exp_item],$J590,AvgBonus[company_name],$B590,AvgBonus[bu_name],$C590,AvgBonus[dept_name],$D590,AvgBonus[team_consolidation],$K590,AvgBonus[location_name],$G590,AvgBonus[job_title],$H590))*L485*SUM(BonusPayout[Month 1]))</f>
        <v>0</v>
      </c>
      <c r="M590" s="652">
        <f>IF($B590="",,IF(LEFT($H590,5)="dummy",SUMIFS(AvgBonus[avg_bonus],AvgBonus[job_title],$H590),SUMIFS(AvgBonus[avg_bonus],AvgBonus[exp_item],$J590,AvgBonus[company_name],$B590,AvgBonus[bu_name],$C590,AvgBonus[dept_name],$D590,AvgBonus[team_consolidation],$K590,AvgBonus[location_name],$G590,AvgBonus[job_title],$H590))*M485*SUM(BonusPayout[Month 2]))</f>
        <v>0</v>
      </c>
      <c r="N590" s="652">
        <f>IF($B590="",,IF(LEFT($H590,5)="dummy",SUMIFS(AvgBonus[avg_bonus],AvgBonus[job_title],$H590),SUMIFS(AvgBonus[avg_bonus],AvgBonus[exp_item],$J590,AvgBonus[company_name],$B590,AvgBonus[bu_name],$C590,AvgBonus[dept_name],$D590,AvgBonus[team_consolidation],$K590,AvgBonus[location_name],$G590,AvgBonus[job_title],$H590))*N485*SUM(BonusPayout[Month 3]))</f>
        <v>0</v>
      </c>
      <c r="O590" s="652">
        <f>IF($B590="",,IF(LEFT($H590,5)="dummy",SUMIFS(AvgBonus[avg_bonus],AvgBonus[job_title],$H590),SUMIFS(AvgBonus[avg_bonus],AvgBonus[exp_item],$J590,AvgBonus[company_name],$B590,AvgBonus[bu_name],$C590,AvgBonus[dept_name],$D590,AvgBonus[team_consolidation],$K590,AvgBonus[location_name],$G590,AvgBonus[job_title],$H590))*O485*SUM(BonusPayout[Month 4]))</f>
        <v>0</v>
      </c>
      <c r="P590" s="652">
        <f>IF($B590="",,IF(LEFT($H590,5)="dummy",SUMIFS(AvgBonus[avg_bonus],AvgBonus[job_title],$H590),SUMIFS(AvgBonus[avg_bonus],AvgBonus[exp_item],$J590,AvgBonus[company_name],$B590,AvgBonus[bu_name],$C590,AvgBonus[dept_name],$D590,AvgBonus[team_consolidation],$K590,AvgBonus[location_name],$G590,AvgBonus[job_title],$H590))*P485*SUM(BonusPayout[Month 5]))</f>
        <v>0</v>
      </c>
      <c r="Q590" s="652">
        <f>IF($B590="",,IF(LEFT($H590,5)="dummy",SUMIFS(AvgBonus[avg_bonus],AvgBonus[job_title],$H590),SUMIFS(AvgBonus[avg_bonus],AvgBonus[exp_item],$J590,AvgBonus[company_name],$B590,AvgBonus[bu_name],$C590,AvgBonus[dept_name],$D590,AvgBonus[team_consolidation],$K590,AvgBonus[location_name],$G590,AvgBonus[job_title],$H590))*Q485*SUM(BonusPayout[Month 6]))</f>
        <v>0</v>
      </c>
      <c r="R590" s="652">
        <f>IF($B590="",,IF(LEFT($H590,5)="dummy",SUMIFS(AvgBonus[avg_bonus],AvgBonus[job_title],$H590),SUMIFS(AvgBonus[avg_bonus],AvgBonus[exp_item],$J590,AvgBonus[company_name],$B590,AvgBonus[bu_name],$C590,AvgBonus[dept_name],$D590,AvgBonus[team_consolidation],$K590,AvgBonus[location_name],$G590,AvgBonus[job_title],$H590))*R485*SUM(BonusPayout[Month 7]))</f>
        <v>0</v>
      </c>
      <c r="S590" s="652">
        <f>IF($B590="",,IF(LEFT($H590,5)="dummy",SUMIFS(AvgBonus[avg_bonus],AvgBonus[job_title],$H590),SUMIFS(AvgBonus[avg_bonus],AvgBonus[exp_item],$J590,AvgBonus[company_name],$B590,AvgBonus[bu_name],$C590,AvgBonus[dept_name],$D590,AvgBonus[team_consolidation],$K590,AvgBonus[location_name],$G590,AvgBonus[job_title],$H590))*S485*SUM(BonusPayout[Month 8]))</f>
        <v>0</v>
      </c>
      <c r="T590" s="652">
        <f>IF($B590="",,IF(LEFT($H590,5)="dummy",SUMIFS(AvgBonus[avg_bonus],AvgBonus[job_title],$H590),SUMIFS(AvgBonus[avg_bonus],AvgBonus[exp_item],$J590,AvgBonus[company_name],$B590,AvgBonus[bu_name],$C590,AvgBonus[dept_name],$D590,AvgBonus[team_consolidation],$K590,AvgBonus[location_name],$G590,AvgBonus[job_title],$H590))*T485*SUM(BonusPayout[Month 9]))</f>
        <v>0</v>
      </c>
      <c r="U590" s="652">
        <f>IF($B590="",,IF(LEFT($H590,5)="dummy",SUMIFS(AvgBonus[avg_bonus],AvgBonus[job_title],$H590),SUMIFS(AvgBonus[avg_bonus],AvgBonus[exp_item],$J590,AvgBonus[company_name],$B590,AvgBonus[bu_name],$C590,AvgBonus[dept_name],$D590,AvgBonus[team_consolidation],$K590,AvgBonus[location_name],$G590,AvgBonus[job_title],$H590))*U485*SUM(BonusPayout[Month 10]))</f>
        <v>0</v>
      </c>
      <c r="V590" s="652">
        <f>IF($B590="",,IF(LEFT($H590,5)="dummy",SUMIFS(AvgBonus[avg_bonus],AvgBonus[job_title],$H590),SUMIFS(AvgBonus[avg_bonus],AvgBonus[exp_item],$J590,AvgBonus[company_name],$B590,AvgBonus[bu_name],$C590,AvgBonus[dept_name],$D590,AvgBonus[team_consolidation],$K590,AvgBonus[location_name],$G590,AvgBonus[job_title],$H590))*V485*SUM(BonusPayout[Month 11]))</f>
        <v>0</v>
      </c>
      <c r="W590" s="652">
        <f>IF($B590="",,IF(LEFT($H590,5)="dummy",SUMIFS(AvgBonus[avg_bonus],AvgBonus[job_title],$H590),SUMIFS(AvgBonus[avg_bonus],AvgBonus[exp_item],$J590,AvgBonus[company_name],$B590,AvgBonus[bu_name],$C590,AvgBonus[dept_name],$D590,AvgBonus[team_consolidation],$K590,AvgBonus[location_name],$G590,AvgBonus[job_title],$H590))*W485*SUM(BonusPayout[Month 12]))</f>
        <v>0</v>
      </c>
      <c r="X590" s="652">
        <f>IF($B590="",,IF(LEFT($H590,5)="dummy",SUMIFS(AvgBonus[avg_bonus],AvgBonus[job_title],$H590),SUMIFS(AvgBonus[avg_bonus],AvgBonus[exp_item],$J590,AvgBonus[company_name],$B590,AvgBonus[bu_name],$C590,AvgBonus[dept_name],$D590,AvgBonus[team_consolidation],$K590,AvgBonus[location_name],$G590,AvgBonus[job_title],$H590))*X485*SUM(BonusPayout[Month 13]))</f>
        <v>0</v>
      </c>
      <c r="Y590" s="652">
        <f>IF($B590="",,IF(LEFT($H590,5)="dummy",SUMIFS(AvgBonus[avg_bonus],AvgBonus[job_title],$H590),SUMIFS(AvgBonus[avg_bonus],AvgBonus[exp_item],$J590,AvgBonus[company_name],$B590,AvgBonus[bu_name],$C590,AvgBonus[dept_name],$D590,AvgBonus[team_consolidation],$K590,AvgBonus[location_name],$G590,AvgBonus[job_title],$H590))*Y485*SUM(BonusPayout[Month 14]))</f>
        <v>0</v>
      </c>
      <c r="Z590" s="652">
        <f>IF($B590="",,IF(LEFT($H590,5)="dummy",SUMIFS(AvgBonus[avg_bonus],AvgBonus[job_title],$H590),SUMIFS(AvgBonus[avg_bonus],AvgBonus[exp_item],$J590,AvgBonus[company_name],$B590,AvgBonus[bu_name],$C590,AvgBonus[dept_name],$D590,AvgBonus[team_consolidation],$K590,AvgBonus[location_name],$G590,AvgBonus[job_title],$H590))*Z485*SUM(BonusPayout[Month 15]))</f>
        <v>0</v>
      </c>
      <c r="AA590" s="652">
        <f>IF($B590="",,IF(LEFT($H590,5)="dummy",SUMIFS(AvgBonus[avg_bonus],AvgBonus[job_title],$H590),SUMIFS(AvgBonus[avg_bonus],AvgBonus[exp_item],$J590,AvgBonus[company_name],$B590,AvgBonus[bu_name],$C590,AvgBonus[dept_name],$D590,AvgBonus[team_consolidation],$K590,AvgBonus[location_name],$G590,AvgBonus[job_title],$H590))*AA485*SUM(BonusPayout[Month 16]))</f>
        <v>0</v>
      </c>
      <c r="AB590" s="652">
        <f>IF($B590="",,IF(LEFT($H590,5)="dummy",SUMIFS(AvgBonus[avg_bonus],AvgBonus[job_title],$H590),SUMIFS(AvgBonus[avg_bonus],AvgBonus[exp_item],$J590,AvgBonus[company_name],$B590,AvgBonus[bu_name],$C590,AvgBonus[dept_name],$D590,AvgBonus[team_consolidation],$K590,AvgBonus[location_name],$G590,AvgBonus[job_title],$H590))*AB485*SUM(BonusPayout[Month 17]))</f>
        <v>0</v>
      </c>
      <c r="AC590" s="652">
        <f>IF($B590="",,IF(LEFT($H590,5)="dummy",SUMIFS(AvgBonus[avg_bonus],AvgBonus[job_title],$H590),SUMIFS(AvgBonus[avg_bonus],AvgBonus[exp_item],$J590,AvgBonus[company_name],$B590,AvgBonus[bu_name],$C590,AvgBonus[dept_name],$D590,AvgBonus[team_consolidation],$K590,AvgBonus[location_name],$G590,AvgBonus[job_title],$H590))*AC485*SUM(BonusPayout[Month 18]))</f>
        <v>0</v>
      </c>
      <c r="AD590" s="652">
        <f>IF($B590="",,IF(LEFT($H590,5)="dummy",SUMIFS(AvgBonus[avg_bonus],AvgBonus[job_title],$H590),SUMIFS(AvgBonus[avg_bonus],AvgBonus[exp_item],$J590,AvgBonus[company_name],$B590,AvgBonus[bu_name],$C590,AvgBonus[dept_name],$D590,AvgBonus[team_consolidation],$K590,AvgBonus[location_name],$G590,AvgBonus[job_title],$H590))*AD485*SUM(BonusPayout[Month 19]))</f>
        <v>0</v>
      </c>
      <c r="AE590" s="652">
        <f>IF($B590="",,IF(LEFT($H590,5)="dummy",SUMIFS(AvgBonus[avg_bonus],AvgBonus[job_title],$H590),SUMIFS(AvgBonus[avg_bonus],AvgBonus[exp_item],$J590,AvgBonus[company_name],$B590,AvgBonus[bu_name],$C590,AvgBonus[dept_name],$D590,AvgBonus[team_consolidation],$K590,AvgBonus[location_name],$G590,AvgBonus[job_title],$H590))*AE485*SUM(BonusPayout[Month 20]))</f>
        <v>0</v>
      </c>
      <c r="AF590" s="652">
        <f>IF($B590="",,IF(LEFT($H590,5)="dummy",SUMIFS(AvgBonus[avg_bonus],AvgBonus[job_title],$H590),SUMIFS(AvgBonus[avg_bonus],AvgBonus[exp_item],$J590,AvgBonus[company_name],$B590,AvgBonus[bu_name],$C590,AvgBonus[dept_name],$D590,AvgBonus[team_consolidation],$K590,AvgBonus[location_name],$G590,AvgBonus[job_title],$H590))*AF485*SUM(BonusPayout[Month 21]))</f>
        <v>0</v>
      </c>
      <c r="AG590" s="652">
        <f>IF($B590="",,IF(LEFT($H590,5)="dummy",SUMIFS(AvgBonus[avg_bonus],AvgBonus[job_title],$H590),SUMIFS(AvgBonus[avg_bonus],AvgBonus[exp_item],$J590,AvgBonus[company_name],$B590,AvgBonus[bu_name],$C590,AvgBonus[dept_name],$D590,AvgBonus[team_consolidation],$K590,AvgBonus[location_name],$G590,AvgBonus[job_title],$H590))*AG485*SUM(BonusPayout[Month 22]))</f>
        <v>0</v>
      </c>
      <c r="AH590" s="652">
        <f>IF($B590="",,IF(LEFT($H590,5)="dummy",SUMIFS(AvgBonus[avg_bonus],AvgBonus[job_title],$H590),SUMIFS(AvgBonus[avg_bonus],AvgBonus[exp_item],$J590,AvgBonus[company_name],$B590,AvgBonus[bu_name],$C590,AvgBonus[dept_name],$D590,AvgBonus[team_consolidation],$K590,AvgBonus[location_name],$G590,AvgBonus[job_title],$H590))*AH485*SUM(BonusPayout[Month 23]))</f>
        <v>0</v>
      </c>
      <c r="AI590" s="652">
        <f>IF($B590="",,IF(LEFT($H590,5)="dummy",SUMIFS(AvgBonus[avg_bonus],AvgBonus[job_title],$H590),SUMIFS(AvgBonus[avg_bonus],AvgBonus[exp_item],$J590,AvgBonus[company_name],$B590,AvgBonus[bu_name],$C590,AvgBonus[dept_name],$D590,AvgBonus[team_consolidation],$K590,AvgBonus[location_name],$G590,AvgBonus[job_title],$H590))*AI485*SUM(BonusPayout[Month 24]))</f>
        <v>0</v>
      </c>
      <c r="AJ590" s="652">
        <f>IF($B590="",,IF(LEFT($H590,5)="dummy",SUMIFS(AvgBonus[avg_bonus],AvgBonus[job_title],$H590),SUMIFS(AvgBonus[avg_bonus],AvgBonus[exp_item],$J590,AvgBonus[company_name],$B590,AvgBonus[bu_name],$C590,AvgBonus[dept_name],$D590,AvgBonus[team_consolidation],$K590,AvgBonus[location_name],$G590,AvgBonus[job_title],$H590))*AJ485*SUM(BonusPayout[Month 25]))</f>
        <v>0</v>
      </c>
      <c r="AK590" s="652">
        <f>IF($B590="",,IF(LEFT($H590,5)="dummy",SUMIFS(AvgBonus[avg_bonus],AvgBonus[job_title],$H590),SUMIFS(AvgBonus[avg_bonus],AvgBonus[exp_item],$J590,AvgBonus[company_name],$B590,AvgBonus[bu_name],$C590,AvgBonus[dept_name],$D590,AvgBonus[team_consolidation],$K590,AvgBonus[location_name],$G590,AvgBonus[job_title],$H590))*AK485*SUM(BonusPayout[Month 26]))</f>
        <v>0</v>
      </c>
      <c r="AL590" s="652">
        <f>IF($B590="",,IF(LEFT($H590,5)="dummy",SUMIFS(AvgBonus[avg_bonus],AvgBonus[job_title],$H590),SUMIFS(AvgBonus[avg_bonus],AvgBonus[exp_item],$J590,AvgBonus[company_name],$B590,AvgBonus[bu_name],$C590,AvgBonus[dept_name],$D590,AvgBonus[team_consolidation],$K590,AvgBonus[location_name],$G590,AvgBonus[job_title],$H590))*AL485*SUM(BonusPayout[Month 27]))</f>
        <v>0</v>
      </c>
      <c r="AM590" s="652">
        <f>IF($B590="",,IF(LEFT($H590,5)="dummy",SUMIFS(AvgBonus[avg_bonus],AvgBonus[job_title],$H590),SUMIFS(AvgBonus[avg_bonus],AvgBonus[exp_item],$J590,AvgBonus[company_name],$B590,AvgBonus[bu_name],$C590,AvgBonus[dept_name],$D590,AvgBonus[team_consolidation],$K590,AvgBonus[location_name],$G590,AvgBonus[job_title],$H590))*AM485*SUM(BonusPayout[Month 28]))</f>
        <v>0</v>
      </c>
      <c r="AN590" s="652">
        <f>IF($B590="",,IF(LEFT($H590,5)="dummy",SUMIFS(AvgBonus[avg_bonus],AvgBonus[job_title],$H590),SUMIFS(AvgBonus[avg_bonus],AvgBonus[exp_item],$J590,AvgBonus[company_name],$B590,AvgBonus[bu_name],$C590,AvgBonus[dept_name],$D590,AvgBonus[team_consolidation],$K590,AvgBonus[location_name],$G590,AvgBonus[job_title],$H590))*AN485*SUM(BonusPayout[Month 29]))</f>
        <v>0</v>
      </c>
      <c r="AO590" s="652">
        <f>IF($B590="",,IF(LEFT($H590,5)="dummy",SUMIFS(AvgBonus[avg_bonus],AvgBonus[job_title],$H590),SUMIFS(AvgBonus[avg_bonus],AvgBonus[exp_item],$J590,AvgBonus[company_name],$B590,AvgBonus[bu_name],$C590,AvgBonus[dept_name],$D590,AvgBonus[team_consolidation],$K590,AvgBonus[location_name],$G590,AvgBonus[job_title],$H590))*AO485*SUM(BonusPayout[Month 30]))</f>
        <v>0</v>
      </c>
      <c r="AP590" s="652">
        <f>IF($B590="",,IF(LEFT($H590,5)="dummy",SUMIFS(AvgBonus[avg_bonus],AvgBonus[job_title],$H590),SUMIFS(AvgBonus[avg_bonus],AvgBonus[exp_item],$J590,AvgBonus[company_name],$B590,AvgBonus[bu_name],$C590,AvgBonus[dept_name],$D590,AvgBonus[team_consolidation],$K590,AvgBonus[location_name],$G590,AvgBonus[job_title],$H590))*AP485*SUM(BonusPayout[Month 31]))</f>
        <v>0</v>
      </c>
      <c r="AQ590" s="652">
        <f>IF($B590="",,IF(LEFT($H590,5)="dummy",SUMIFS(AvgBonus[avg_bonus],AvgBonus[job_title],$H590),SUMIFS(AvgBonus[avg_bonus],AvgBonus[exp_item],$J590,AvgBonus[company_name],$B590,AvgBonus[bu_name],$C590,AvgBonus[dept_name],$D590,AvgBonus[team_consolidation],$K590,AvgBonus[location_name],$G590,AvgBonus[job_title],$H590))*AQ485*SUM(BonusPayout[Month 32]))</f>
        <v>0</v>
      </c>
      <c r="AR590" s="652">
        <f>IF($B590="",,IF(LEFT($H590,5)="dummy",SUMIFS(AvgBonus[avg_bonus],AvgBonus[job_title],$H590),SUMIFS(AvgBonus[avg_bonus],AvgBonus[exp_item],$J590,AvgBonus[company_name],$B590,AvgBonus[bu_name],$C590,AvgBonus[dept_name],$D590,AvgBonus[team_consolidation],$K590,AvgBonus[location_name],$G590,AvgBonus[job_title],$H590))*AR485*SUM(BonusPayout[Month 33]))</f>
        <v>0</v>
      </c>
      <c r="AS590" s="652">
        <f>IF($B590="",,IF(LEFT($H590,5)="dummy",SUMIFS(AvgBonus[avg_bonus],AvgBonus[job_title],$H590),SUMIFS(AvgBonus[avg_bonus],AvgBonus[exp_item],$J590,AvgBonus[company_name],$B590,AvgBonus[bu_name],$C590,AvgBonus[dept_name],$D590,AvgBonus[team_consolidation],$K590,AvgBonus[location_name],$G590,AvgBonus[job_title],$H590))*AS485*SUM(BonusPayout[Month 34]))</f>
        <v>0</v>
      </c>
      <c r="AT590" s="652">
        <f>IF($B590="",,IF(LEFT($H590,5)="dummy",SUMIFS(AvgBonus[avg_bonus],AvgBonus[job_title],$H590),SUMIFS(AvgBonus[avg_bonus],AvgBonus[exp_item],$J590,AvgBonus[company_name],$B590,AvgBonus[bu_name],$C590,AvgBonus[dept_name],$D590,AvgBonus[team_consolidation],$K590,AvgBonus[location_name],$G590,AvgBonus[job_title],$H590))*AT485*SUM(BonusPayout[Month 35]))</f>
        <v>0</v>
      </c>
      <c r="AU590" s="652">
        <f>IF($B590="",,IF(LEFT($H590,5)="dummy",SUMIFS(AvgBonus[avg_bonus],AvgBonus[job_title],$H590),SUMIFS(AvgBonus[avg_bonus],AvgBonus[exp_item],$J590,AvgBonus[company_name],$B590,AvgBonus[bu_name],$C590,AvgBonus[dept_name],$D590,AvgBonus[team_consolidation],$K590,AvgBonus[location_name],$G590,AvgBonus[job_title],$H590))*AU485*SUM(BonusPayout[Month 36]))</f>
        <v>0</v>
      </c>
    </row>
    <row r="591" spans="2:47" x14ac:dyDescent="0.35">
      <c r="B591" t="str">
        <f t="shared" ref="B591:G591" si="388">IF(B486="","",B486)</f>
        <v/>
      </c>
      <c r="C591" t="str">
        <f t="shared" si="388"/>
        <v/>
      </c>
      <c r="D591" t="str">
        <f t="shared" si="388"/>
        <v/>
      </c>
      <c r="E591" t="str">
        <f t="shared" si="388"/>
        <v/>
      </c>
      <c r="F591" t="str">
        <f t="shared" si="388"/>
        <v/>
      </c>
      <c r="G591" t="str">
        <f t="shared" si="388"/>
        <v/>
      </c>
      <c r="H591" t="str">
        <f t="shared" si="360"/>
        <v/>
      </c>
      <c r="J591" t="str">
        <f>IF($H591="","",IF(VLOOKUP($B$500,ExpItems[],2,0),$B$500&amp;" - "&amp;INDEX(DivisionMapping[category_code],MATCH($D591&amp;$C591,DivisionMapping[dept_bu],0)),$B$500))</f>
        <v/>
      </c>
      <c r="K591" t="str">
        <f t="shared" si="363"/>
        <v/>
      </c>
      <c r="L591" s="652">
        <f>IF($B591="",,IF(LEFT($H591,5)="dummy",SUMIFS(AvgBonus[avg_bonus],AvgBonus[job_title],$H591),SUMIFS(AvgBonus[avg_bonus],AvgBonus[exp_item],$J591,AvgBonus[company_name],$B591,AvgBonus[bu_name],$C591,AvgBonus[dept_name],$D591,AvgBonus[team_consolidation],$K591,AvgBonus[location_name],$G591,AvgBonus[job_title],$H591))*L486*SUM(BonusPayout[Month 1]))</f>
        <v>0</v>
      </c>
      <c r="M591" s="652">
        <f>IF($B591="",,IF(LEFT($H591,5)="dummy",SUMIFS(AvgBonus[avg_bonus],AvgBonus[job_title],$H591),SUMIFS(AvgBonus[avg_bonus],AvgBonus[exp_item],$J591,AvgBonus[company_name],$B591,AvgBonus[bu_name],$C591,AvgBonus[dept_name],$D591,AvgBonus[team_consolidation],$K591,AvgBonus[location_name],$G591,AvgBonus[job_title],$H591))*M486*SUM(BonusPayout[Month 2]))</f>
        <v>0</v>
      </c>
      <c r="N591" s="652">
        <f>IF($B591="",,IF(LEFT($H591,5)="dummy",SUMIFS(AvgBonus[avg_bonus],AvgBonus[job_title],$H591),SUMIFS(AvgBonus[avg_bonus],AvgBonus[exp_item],$J591,AvgBonus[company_name],$B591,AvgBonus[bu_name],$C591,AvgBonus[dept_name],$D591,AvgBonus[team_consolidation],$K591,AvgBonus[location_name],$G591,AvgBonus[job_title],$H591))*N486*SUM(BonusPayout[Month 3]))</f>
        <v>0</v>
      </c>
      <c r="O591" s="652">
        <f>IF($B591="",,IF(LEFT($H591,5)="dummy",SUMIFS(AvgBonus[avg_bonus],AvgBonus[job_title],$H591),SUMIFS(AvgBonus[avg_bonus],AvgBonus[exp_item],$J591,AvgBonus[company_name],$B591,AvgBonus[bu_name],$C591,AvgBonus[dept_name],$D591,AvgBonus[team_consolidation],$K591,AvgBonus[location_name],$G591,AvgBonus[job_title],$H591))*O486*SUM(BonusPayout[Month 4]))</f>
        <v>0</v>
      </c>
      <c r="P591" s="652">
        <f>IF($B591="",,IF(LEFT($H591,5)="dummy",SUMIFS(AvgBonus[avg_bonus],AvgBonus[job_title],$H591),SUMIFS(AvgBonus[avg_bonus],AvgBonus[exp_item],$J591,AvgBonus[company_name],$B591,AvgBonus[bu_name],$C591,AvgBonus[dept_name],$D591,AvgBonus[team_consolidation],$K591,AvgBonus[location_name],$G591,AvgBonus[job_title],$H591))*P486*SUM(BonusPayout[Month 5]))</f>
        <v>0</v>
      </c>
      <c r="Q591" s="652">
        <f>IF($B591="",,IF(LEFT($H591,5)="dummy",SUMIFS(AvgBonus[avg_bonus],AvgBonus[job_title],$H591),SUMIFS(AvgBonus[avg_bonus],AvgBonus[exp_item],$J591,AvgBonus[company_name],$B591,AvgBonus[bu_name],$C591,AvgBonus[dept_name],$D591,AvgBonus[team_consolidation],$K591,AvgBonus[location_name],$G591,AvgBonus[job_title],$H591))*Q486*SUM(BonusPayout[Month 6]))</f>
        <v>0</v>
      </c>
      <c r="R591" s="652">
        <f>IF($B591="",,IF(LEFT($H591,5)="dummy",SUMIFS(AvgBonus[avg_bonus],AvgBonus[job_title],$H591),SUMIFS(AvgBonus[avg_bonus],AvgBonus[exp_item],$J591,AvgBonus[company_name],$B591,AvgBonus[bu_name],$C591,AvgBonus[dept_name],$D591,AvgBonus[team_consolidation],$K591,AvgBonus[location_name],$G591,AvgBonus[job_title],$H591))*R486*SUM(BonusPayout[Month 7]))</f>
        <v>0</v>
      </c>
      <c r="S591" s="652">
        <f>IF($B591="",,IF(LEFT($H591,5)="dummy",SUMIFS(AvgBonus[avg_bonus],AvgBonus[job_title],$H591),SUMIFS(AvgBonus[avg_bonus],AvgBonus[exp_item],$J591,AvgBonus[company_name],$B591,AvgBonus[bu_name],$C591,AvgBonus[dept_name],$D591,AvgBonus[team_consolidation],$K591,AvgBonus[location_name],$G591,AvgBonus[job_title],$H591))*S486*SUM(BonusPayout[Month 8]))</f>
        <v>0</v>
      </c>
      <c r="T591" s="652">
        <f>IF($B591="",,IF(LEFT($H591,5)="dummy",SUMIFS(AvgBonus[avg_bonus],AvgBonus[job_title],$H591),SUMIFS(AvgBonus[avg_bonus],AvgBonus[exp_item],$J591,AvgBonus[company_name],$B591,AvgBonus[bu_name],$C591,AvgBonus[dept_name],$D591,AvgBonus[team_consolidation],$K591,AvgBonus[location_name],$G591,AvgBonus[job_title],$H591))*T486*SUM(BonusPayout[Month 9]))</f>
        <v>0</v>
      </c>
      <c r="U591" s="652">
        <f>IF($B591="",,IF(LEFT($H591,5)="dummy",SUMIFS(AvgBonus[avg_bonus],AvgBonus[job_title],$H591),SUMIFS(AvgBonus[avg_bonus],AvgBonus[exp_item],$J591,AvgBonus[company_name],$B591,AvgBonus[bu_name],$C591,AvgBonus[dept_name],$D591,AvgBonus[team_consolidation],$K591,AvgBonus[location_name],$G591,AvgBonus[job_title],$H591))*U486*SUM(BonusPayout[Month 10]))</f>
        <v>0</v>
      </c>
      <c r="V591" s="652">
        <f>IF($B591="",,IF(LEFT($H591,5)="dummy",SUMIFS(AvgBonus[avg_bonus],AvgBonus[job_title],$H591),SUMIFS(AvgBonus[avg_bonus],AvgBonus[exp_item],$J591,AvgBonus[company_name],$B591,AvgBonus[bu_name],$C591,AvgBonus[dept_name],$D591,AvgBonus[team_consolidation],$K591,AvgBonus[location_name],$G591,AvgBonus[job_title],$H591))*V486*SUM(BonusPayout[Month 11]))</f>
        <v>0</v>
      </c>
      <c r="W591" s="652">
        <f>IF($B591="",,IF(LEFT($H591,5)="dummy",SUMIFS(AvgBonus[avg_bonus],AvgBonus[job_title],$H591),SUMIFS(AvgBonus[avg_bonus],AvgBonus[exp_item],$J591,AvgBonus[company_name],$B591,AvgBonus[bu_name],$C591,AvgBonus[dept_name],$D591,AvgBonus[team_consolidation],$K591,AvgBonus[location_name],$G591,AvgBonus[job_title],$H591))*W486*SUM(BonusPayout[Month 12]))</f>
        <v>0</v>
      </c>
      <c r="X591" s="652">
        <f>IF($B591="",,IF(LEFT($H591,5)="dummy",SUMIFS(AvgBonus[avg_bonus],AvgBonus[job_title],$H591),SUMIFS(AvgBonus[avg_bonus],AvgBonus[exp_item],$J591,AvgBonus[company_name],$B591,AvgBonus[bu_name],$C591,AvgBonus[dept_name],$D591,AvgBonus[team_consolidation],$K591,AvgBonus[location_name],$G591,AvgBonus[job_title],$H591))*X486*SUM(BonusPayout[Month 13]))</f>
        <v>0</v>
      </c>
      <c r="Y591" s="652">
        <f>IF($B591="",,IF(LEFT($H591,5)="dummy",SUMIFS(AvgBonus[avg_bonus],AvgBonus[job_title],$H591),SUMIFS(AvgBonus[avg_bonus],AvgBonus[exp_item],$J591,AvgBonus[company_name],$B591,AvgBonus[bu_name],$C591,AvgBonus[dept_name],$D591,AvgBonus[team_consolidation],$K591,AvgBonus[location_name],$G591,AvgBonus[job_title],$H591))*Y486*SUM(BonusPayout[Month 14]))</f>
        <v>0</v>
      </c>
      <c r="Z591" s="652">
        <f>IF($B591="",,IF(LEFT($H591,5)="dummy",SUMIFS(AvgBonus[avg_bonus],AvgBonus[job_title],$H591),SUMIFS(AvgBonus[avg_bonus],AvgBonus[exp_item],$J591,AvgBonus[company_name],$B591,AvgBonus[bu_name],$C591,AvgBonus[dept_name],$D591,AvgBonus[team_consolidation],$K591,AvgBonus[location_name],$G591,AvgBonus[job_title],$H591))*Z486*SUM(BonusPayout[Month 15]))</f>
        <v>0</v>
      </c>
      <c r="AA591" s="652">
        <f>IF($B591="",,IF(LEFT($H591,5)="dummy",SUMIFS(AvgBonus[avg_bonus],AvgBonus[job_title],$H591),SUMIFS(AvgBonus[avg_bonus],AvgBonus[exp_item],$J591,AvgBonus[company_name],$B591,AvgBonus[bu_name],$C591,AvgBonus[dept_name],$D591,AvgBonus[team_consolidation],$K591,AvgBonus[location_name],$G591,AvgBonus[job_title],$H591))*AA486*SUM(BonusPayout[Month 16]))</f>
        <v>0</v>
      </c>
      <c r="AB591" s="652">
        <f>IF($B591="",,IF(LEFT($H591,5)="dummy",SUMIFS(AvgBonus[avg_bonus],AvgBonus[job_title],$H591),SUMIFS(AvgBonus[avg_bonus],AvgBonus[exp_item],$J591,AvgBonus[company_name],$B591,AvgBonus[bu_name],$C591,AvgBonus[dept_name],$D591,AvgBonus[team_consolidation],$K591,AvgBonus[location_name],$G591,AvgBonus[job_title],$H591))*AB486*SUM(BonusPayout[Month 17]))</f>
        <v>0</v>
      </c>
      <c r="AC591" s="652">
        <f>IF($B591="",,IF(LEFT($H591,5)="dummy",SUMIFS(AvgBonus[avg_bonus],AvgBonus[job_title],$H591),SUMIFS(AvgBonus[avg_bonus],AvgBonus[exp_item],$J591,AvgBonus[company_name],$B591,AvgBonus[bu_name],$C591,AvgBonus[dept_name],$D591,AvgBonus[team_consolidation],$K591,AvgBonus[location_name],$G591,AvgBonus[job_title],$H591))*AC486*SUM(BonusPayout[Month 18]))</f>
        <v>0</v>
      </c>
      <c r="AD591" s="652">
        <f>IF($B591="",,IF(LEFT($H591,5)="dummy",SUMIFS(AvgBonus[avg_bonus],AvgBonus[job_title],$H591),SUMIFS(AvgBonus[avg_bonus],AvgBonus[exp_item],$J591,AvgBonus[company_name],$B591,AvgBonus[bu_name],$C591,AvgBonus[dept_name],$D591,AvgBonus[team_consolidation],$K591,AvgBonus[location_name],$G591,AvgBonus[job_title],$H591))*AD486*SUM(BonusPayout[Month 19]))</f>
        <v>0</v>
      </c>
      <c r="AE591" s="652">
        <f>IF($B591="",,IF(LEFT($H591,5)="dummy",SUMIFS(AvgBonus[avg_bonus],AvgBonus[job_title],$H591),SUMIFS(AvgBonus[avg_bonus],AvgBonus[exp_item],$J591,AvgBonus[company_name],$B591,AvgBonus[bu_name],$C591,AvgBonus[dept_name],$D591,AvgBonus[team_consolidation],$K591,AvgBonus[location_name],$G591,AvgBonus[job_title],$H591))*AE486*SUM(BonusPayout[Month 20]))</f>
        <v>0</v>
      </c>
      <c r="AF591" s="652">
        <f>IF($B591="",,IF(LEFT($H591,5)="dummy",SUMIFS(AvgBonus[avg_bonus],AvgBonus[job_title],$H591),SUMIFS(AvgBonus[avg_bonus],AvgBonus[exp_item],$J591,AvgBonus[company_name],$B591,AvgBonus[bu_name],$C591,AvgBonus[dept_name],$D591,AvgBonus[team_consolidation],$K591,AvgBonus[location_name],$G591,AvgBonus[job_title],$H591))*AF486*SUM(BonusPayout[Month 21]))</f>
        <v>0</v>
      </c>
      <c r="AG591" s="652">
        <f>IF($B591="",,IF(LEFT($H591,5)="dummy",SUMIFS(AvgBonus[avg_bonus],AvgBonus[job_title],$H591),SUMIFS(AvgBonus[avg_bonus],AvgBonus[exp_item],$J591,AvgBonus[company_name],$B591,AvgBonus[bu_name],$C591,AvgBonus[dept_name],$D591,AvgBonus[team_consolidation],$K591,AvgBonus[location_name],$G591,AvgBonus[job_title],$H591))*AG486*SUM(BonusPayout[Month 22]))</f>
        <v>0</v>
      </c>
      <c r="AH591" s="652">
        <f>IF($B591="",,IF(LEFT($H591,5)="dummy",SUMIFS(AvgBonus[avg_bonus],AvgBonus[job_title],$H591),SUMIFS(AvgBonus[avg_bonus],AvgBonus[exp_item],$J591,AvgBonus[company_name],$B591,AvgBonus[bu_name],$C591,AvgBonus[dept_name],$D591,AvgBonus[team_consolidation],$K591,AvgBonus[location_name],$G591,AvgBonus[job_title],$H591))*AH486*SUM(BonusPayout[Month 23]))</f>
        <v>0</v>
      </c>
      <c r="AI591" s="652">
        <f>IF($B591="",,IF(LEFT($H591,5)="dummy",SUMIFS(AvgBonus[avg_bonus],AvgBonus[job_title],$H591),SUMIFS(AvgBonus[avg_bonus],AvgBonus[exp_item],$J591,AvgBonus[company_name],$B591,AvgBonus[bu_name],$C591,AvgBonus[dept_name],$D591,AvgBonus[team_consolidation],$K591,AvgBonus[location_name],$G591,AvgBonus[job_title],$H591))*AI486*SUM(BonusPayout[Month 24]))</f>
        <v>0</v>
      </c>
      <c r="AJ591" s="652">
        <f>IF($B591="",,IF(LEFT($H591,5)="dummy",SUMIFS(AvgBonus[avg_bonus],AvgBonus[job_title],$H591),SUMIFS(AvgBonus[avg_bonus],AvgBonus[exp_item],$J591,AvgBonus[company_name],$B591,AvgBonus[bu_name],$C591,AvgBonus[dept_name],$D591,AvgBonus[team_consolidation],$K591,AvgBonus[location_name],$G591,AvgBonus[job_title],$H591))*AJ486*SUM(BonusPayout[Month 25]))</f>
        <v>0</v>
      </c>
      <c r="AK591" s="652">
        <f>IF($B591="",,IF(LEFT($H591,5)="dummy",SUMIFS(AvgBonus[avg_bonus],AvgBonus[job_title],$H591),SUMIFS(AvgBonus[avg_bonus],AvgBonus[exp_item],$J591,AvgBonus[company_name],$B591,AvgBonus[bu_name],$C591,AvgBonus[dept_name],$D591,AvgBonus[team_consolidation],$K591,AvgBonus[location_name],$G591,AvgBonus[job_title],$H591))*AK486*SUM(BonusPayout[Month 26]))</f>
        <v>0</v>
      </c>
      <c r="AL591" s="652">
        <f>IF($B591="",,IF(LEFT($H591,5)="dummy",SUMIFS(AvgBonus[avg_bonus],AvgBonus[job_title],$H591),SUMIFS(AvgBonus[avg_bonus],AvgBonus[exp_item],$J591,AvgBonus[company_name],$B591,AvgBonus[bu_name],$C591,AvgBonus[dept_name],$D591,AvgBonus[team_consolidation],$K591,AvgBonus[location_name],$G591,AvgBonus[job_title],$H591))*AL486*SUM(BonusPayout[Month 27]))</f>
        <v>0</v>
      </c>
      <c r="AM591" s="652">
        <f>IF($B591="",,IF(LEFT($H591,5)="dummy",SUMIFS(AvgBonus[avg_bonus],AvgBonus[job_title],$H591),SUMIFS(AvgBonus[avg_bonus],AvgBonus[exp_item],$J591,AvgBonus[company_name],$B591,AvgBonus[bu_name],$C591,AvgBonus[dept_name],$D591,AvgBonus[team_consolidation],$K591,AvgBonus[location_name],$G591,AvgBonus[job_title],$H591))*AM486*SUM(BonusPayout[Month 28]))</f>
        <v>0</v>
      </c>
      <c r="AN591" s="652">
        <f>IF($B591="",,IF(LEFT($H591,5)="dummy",SUMIFS(AvgBonus[avg_bonus],AvgBonus[job_title],$H591),SUMIFS(AvgBonus[avg_bonus],AvgBonus[exp_item],$J591,AvgBonus[company_name],$B591,AvgBonus[bu_name],$C591,AvgBonus[dept_name],$D591,AvgBonus[team_consolidation],$K591,AvgBonus[location_name],$G591,AvgBonus[job_title],$H591))*AN486*SUM(BonusPayout[Month 29]))</f>
        <v>0</v>
      </c>
      <c r="AO591" s="652">
        <f>IF($B591="",,IF(LEFT($H591,5)="dummy",SUMIFS(AvgBonus[avg_bonus],AvgBonus[job_title],$H591),SUMIFS(AvgBonus[avg_bonus],AvgBonus[exp_item],$J591,AvgBonus[company_name],$B591,AvgBonus[bu_name],$C591,AvgBonus[dept_name],$D591,AvgBonus[team_consolidation],$K591,AvgBonus[location_name],$G591,AvgBonus[job_title],$H591))*AO486*SUM(BonusPayout[Month 30]))</f>
        <v>0</v>
      </c>
      <c r="AP591" s="652">
        <f>IF($B591="",,IF(LEFT($H591,5)="dummy",SUMIFS(AvgBonus[avg_bonus],AvgBonus[job_title],$H591),SUMIFS(AvgBonus[avg_bonus],AvgBonus[exp_item],$J591,AvgBonus[company_name],$B591,AvgBonus[bu_name],$C591,AvgBonus[dept_name],$D591,AvgBonus[team_consolidation],$K591,AvgBonus[location_name],$G591,AvgBonus[job_title],$H591))*AP486*SUM(BonusPayout[Month 31]))</f>
        <v>0</v>
      </c>
      <c r="AQ591" s="652">
        <f>IF($B591="",,IF(LEFT($H591,5)="dummy",SUMIFS(AvgBonus[avg_bonus],AvgBonus[job_title],$H591),SUMIFS(AvgBonus[avg_bonus],AvgBonus[exp_item],$J591,AvgBonus[company_name],$B591,AvgBonus[bu_name],$C591,AvgBonus[dept_name],$D591,AvgBonus[team_consolidation],$K591,AvgBonus[location_name],$G591,AvgBonus[job_title],$H591))*AQ486*SUM(BonusPayout[Month 32]))</f>
        <v>0</v>
      </c>
      <c r="AR591" s="652">
        <f>IF($B591="",,IF(LEFT($H591,5)="dummy",SUMIFS(AvgBonus[avg_bonus],AvgBonus[job_title],$H591),SUMIFS(AvgBonus[avg_bonus],AvgBonus[exp_item],$J591,AvgBonus[company_name],$B591,AvgBonus[bu_name],$C591,AvgBonus[dept_name],$D591,AvgBonus[team_consolidation],$K591,AvgBonus[location_name],$G591,AvgBonus[job_title],$H591))*AR486*SUM(BonusPayout[Month 33]))</f>
        <v>0</v>
      </c>
      <c r="AS591" s="652">
        <f>IF($B591="",,IF(LEFT($H591,5)="dummy",SUMIFS(AvgBonus[avg_bonus],AvgBonus[job_title],$H591),SUMIFS(AvgBonus[avg_bonus],AvgBonus[exp_item],$J591,AvgBonus[company_name],$B591,AvgBonus[bu_name],$C591,AvgBonus[dept_name],$D591,AvgBonus[team_consolidation],$K591,AvgBonus[location_name],$G591,AvgBonus[job_title],$H591))*AS486*SUM(BonusPayout[Month 34]))</f>
        <v>0</v>
      </c>
      <c r="AT591" s="652">
        <f>IF($B591="",,IF(LEFT($H591,5)="dummy",SUMIFS(AvgBonus[avg_bonus],AvgBonus[job_title],$H591),SUMIFS(AvgBonus[avg_bonus],AvgBonus[exp_item],$J591,AvgBonus[company_name],$B591,AvgBonus[bu_name],$C591,AvgBonus[dept_name],$D591,AvgBonus[team_consolidation],$K591,AvgBonus[location_name],$G591,AvgBonus[job_title],$H591))*AT486*SUM(BonusPayout[Month 35]))</f>
        <v>0</v>
      </c>
      <c r="AU591" s="652">
        <f>IF($B591="",,IF(LEFT($H591,5)="dummy",SUMIFS(AvgBonus[avg_bonus],AvgBonus[job_title],$H591),SUMIFS(AvgBonus[avg_bonus],AvgBonus[exp_item],$J591,AvgBonus[company_name],$B591,AvgBonus[bu_name],$C591,AvgBonus[dept_name],$D591,AvgBonus[team_consolidation],$K591,AvgBonus[location_name],$G591,AvgBonus[job_title],$H591))*AU486*SUM(BonusPayout[Month 36]))</f>
        <v>0</v>
      </c>
    </row>
    <row r="592" spans="2:47" x14ac:dyDescent="0.35">
      <c r="B592" t="str">
        <f t="shared" ref="B592:G592" si="389">IF(B487="","",B487)</f>
        <v/>
      </c>
      <c r="C592" t="str">
        <f t="shared" si="389"/>
        <v/>
      </c>
      <c r="D592" t="str">
        <f t="shared" si="389"/>
        <v/>
      </c>
      <c r="E592" t="str">
        <f t="shared" si="389"/>
        <v/>
      </c>
      <c r="F592" t="str">
        <f t="shared" si="389"/>
        <v/>
      </c>
      <c r="G592" t="str">
        <f t="shared" si="389"/>
        <v/>
      </c>
      <c r="H592" t="str">
        <f t="shared" si="360"/>
        <v/>
      </c>
      <c r="J592" t="str">
        <f>IF($H592="","",IF(VLOOKUP($B$500,ExpItems[],2,0),$B$500&amp;" - "&amp;INDEX(DivisionMapping[category_code],MATCH($D592&amp;$C592,DivisionMapping[dept_bu],0)),$B$500))</f>
        <v/>
      </c>
      <c r="K592" t="str">
        <f t="shared" si="363"/>
        <v/>
      </c>
      <c r="L592" s="652">
        <f>IF($B592="",,IF(LEFT($H592,5)="dummy",SUMIFS(AvgBonus[avg_bonus],AvgBonus[job_title],$H592),SUMIFS(AvgBonus[avg_bonus],AvgBonus[exp_item],$J592,AvgBonus[company_name],$B592,AvgBonus[bu_name],$C592,AvgBonus[dept_name],$D592,AvgBonus[team_consolidation],$K592,AvgBonus[location_name],$G592,AvgBonus[job_title],$H592))*L487*SUM(BonusPayout[Month 1]))</f>
        <v>0</v>
      </c>
      <c r="M592" s="652">
        <f>IF($B592="",,IF(LEFT($H592,5)="dummy",SUMIFS(AvgBonus[avg_bonus],AvgBonus[job_title],$H592),SUMIFS(AvgBonus[avg_bonus],AvgBonus[exp_item],$J592,AvgBonus[company_name],$B592,AvgBonus[bu_name],$C592,AvgBonus[dept_name],$D592,AvgBonus[team_consolidation],$K592,AvgBonus[location_name],$G592,AvgBonus[job_title],$H592))*M487*SUM(BonusPayout[Month 2]))</f>
        <v>0</v>
      </c>
      <c r="N592" s="652">
        <f>IF($B592="",,IF(LEFT($H592,5)="dummy",SUMIFS(AvgBonus[avg_bonus],AvgBonus[job_title],$H592),SUMIFS(AvgBonus[avg_bonus],AvgBonus[exp_item],$J592,AvgBonus[company_name],$B592,AvgBonus[bu_name],$C592,AvgBonus[dept_name],$D592,AvgBonus[team_consolidation],$K592,AvgBonus[location_name],$G592,AvgBonus[job_title],$H592))*N487*SUM(BonusPayout[Month 3]))</f>
        <v>0</v>
      </c>
      <c r="O592" s="652">
        <f>IF($B592="",,IF(LEFT($H592,5)="dummy",SUMIFS(AvgBonus[avg_bonus],AvgBonus[job_title],$H592),SUMIFS(AvgBonus[avg_bonus],AvgBonus[exp_item],$J592,AvgBonus[company_name],$B592,AvgBonus[bu_name],$C592,AvgBonus[dept_name],$D592,AvgBonus[team_consolidation],$K592,AvgBonus[location_name],$G592,AvgBonus[job_title],$H592))*O487*SUM(BonusPayout[Month 4]))</f>
        <v>0</v>
      </c>
      <c r="P592" s="652">
        <f>IF($B592="",,IF(LEFT($H592,5)="dummy",SUMIFS(AvgBonus[avg_bonus],AvgBonus[job_title],$H592),SUMIFS(AvgBonus[avg_bonus],AvgBonus[exp_item],$J592,AvgBonus[company_name],$B592,AvgBonus[bu_name],$C592,AvgBonus[dept_name],$D592,AvgBonus[team_consolidation],$K592,AvgBonus[location_name],$G592,AvgBonus[job_title],$H592))*P487*SUM(BonusPayout[Month 5]))</f>
        <v>0</v>
      </c>
      <c r="Q592" s="652">
        <f>IF($B592="",,IF(LEFT($H592,5)="dummy",SUMIFS(AvgBonus[avg_bonus],AvgBonus[job_title],$H592),SUMIFS(AvgBonus[avg_bonus],AvgBonus[exp_item],$J592,AvgBonus[company_name],$B592,AvgBonus[bu_name],$C592,AvgBonus[dept_name],$D592,AvgBonus[team_consolidation],$K592,AvgBonus[location_name],$G592,AvgBonus[job_title],$H592))*Q487*SUM(BonusPayout[Month 6]))</f>
        <v>0</v>
      </c>
      <c r="R592" s="652">
        <f>IF($B592="",,IF(LEFT($H592,5)="dummy",SUMIFS(AvgBonus[avg_bonus],AvgBonus[job_title],$H592),SUMIFS(AvgBonus[avg_bonus],AvgBonus[exp_item],$J592,AvgBonus[company_name],$B592,AvgBonus[bu_name],$C592,AvgBonus[dept_name],$D592,AvgBonus[team_consolidation],$K592,AvgBonus[location_name],$G592,AvgBonus[job_title],$H592))*R487*SUM(BonusPayout[Month 7]))</f>
        <v>0</v>
      </c>
      <c r="S592" s="652">
        <f>IF($B592="",,IF(LEFT($H592,5)="dummy",SUMIFS(AvgBonus[avg_bonus],AvgBonus[job_title],$H592),SUMIFS(AvgBonus[avg_bonus],AvgBonus[exp_item],$J592,AvgBonus[company_name],$B592,AvgBonus[bu_name],$C592,AvgBonus[dept_name],$D592,AvgBonus[team_consolidation],$K592,AvgBonus[location_name],$G592,AvgBonus[job_title],$H592))*S487*SUM(BonusPayout[Month 8]))</f>
        <v>0</v>
      </c>
      <c r="T592" s="652">
        <f>IF($B592="",,IF(LEFT($H592,5)="dummy",SUMIFS(AvgBonus[avg_bonus],AvgBonus[job_title],$H592),SUMIFS(AvgBonus[avg_bonus],AvgBonus[exp_item],$J592,AvgBonus[company_name],$B592,AvgBonus[bu_name],$C592,AvgBonus[dept_name],$D592,AvgBonus[team_consolidation],$K592,AvgBonus[location_name],$G592,AvgBonus[job_title],$H592))*T487*SUM(BonusPayout[Month 9]))</f>
        <v>0</v>
      </c>
      <c r="U592" s="652">
        <f>IF($B592="",,IF(LEFT($H592,5)="dummy",SUMIFS(AvgBonus[avg_bonus],AvgBonus[job_title],$H592),SUMIFS(AvgBonus[avg_bonus],AvgBonus[exp_item],$J592,AvgBonus[company_name],$B592,AvgBonus[bu_name],$C592,AvgBonus[dept_name],$D592,AvgBonus[team_consolidation],$K592,AvgBonus[location_name],$G592,AvgBonus[job_title],$H592))*U487*SUM(BonusPayout[Month 10]))</f>
        <v>0</v>
      </c>
      <c r="V592" s="652">
        <f>IF($B592="",,IF(LEFT($H592,5)="dummy",SUMIFS(AvgBonus[avg_bonus],AvgBonus[job_title],$H592),SUMIFS(AvgBonus[avg_bonus],AvgBonus[exp_item],$J592,AvgBonus[company_name],$B592,AvgBonus[bu_name],$C592,AvgBonus[dept_name],$D592,AvgBonus[team_consolidation],$K592,AvgBonus[location_name],$G592,AvgBonus[job_title],$H592))*V487*SUM(BonusPayout[Month 11]))</f>
        <v>0</v>
      </c>
      <c r="W592" s="652">
        <f>IF($B592="",,IF(LEFT($H592,5)="dummy",SUMIFS(AvgBonus[avg_bonus],AvgBonus[job_title],$H592),SUMIFS(AvgBonus[avg_bonus],AvgBonus[exp_item],$J592,AvgBonus[company_name],$B592,AvgBonus[bu_name],$C592,AvgBonus[dept_name],$D592,AvgBonus[team_consolidation],$K592,AvgBonus[location_name],$G592,AvgBonus[job_title],$H592))*W487*SUM(BonusPayout[Month 12]))</f>
        <v>0</v>
      </c>
      <c r="X592" s="652">
        <f>IF($B592="",,IF(LEFT($H592,5)="dummy",SUMIFS(AvgBonus[avg_bonus],AvgBonus[job_title],$H592),SUMIFS(AvgBonus[avg_bonus],AvgBonus[exp_item],$J592,AvgBonus[company_name],$B592,AvgBonus[bu_name],$C592,AvgBonus[dept_name],$D592,AvgBonus[team_consolidation],$K592,AvgBonus[location_name],$G592,AvgBonus[job_title],$H592))*X487*SUM(BonusPayout[Month 13]))</f>
        <v>0</v>
      </c>
      <c r="Y592" s="652">
        <f>IF($B592="",,IF(LEFT($H592,5)="dummy",SUMIFS(AvgBonus[avg_bonus],AvgBonus[job_title],$H592),SUMIFS(AvgBonus[avg_bonus],AvgBonus[exp_item],$J592,AvgBonus[company_name],$B592,AvgBonus[bu_name],$C592,AvgBonus[dept_name],$D592,AvgBonus[team_consolidation],$K592,AvgBonus[location_name],$G592,AvgBonus[job_title],$H592))*Y487*SUM(BonusPayout[Month 14]))</f>
        <v>0</v>
      </c>
      <c r="Z592" s="652">
        <f>IF($B592="",,IF(LEFT($H592,5)="dummy",SUMIFS(AvgBonus[avg_bonus],AvgBonus[job_title],$H592),SUMIFS(AvgBonus[avg_bonus],AvgBonus[exp_item],$J592,AvgBonus[company_name],$B592,AvgBonus[bu_name],$C592,AvgBonus[dept_name],$D592,AvgBonus[team_consolidation],$K592,AvgBonus[location_name],$G592,AvgBonus[job_title],$H592))*Z487*SUM(BonusPayout[Month 15]))</f>
        <v>0</v>
      </c>
      <c r="AA592" s="652">
        <f>IF($B592="",,IF(LEFT($H592,5)="dummy",SUMIFS(AvgBonus[avg_bonus],AvgBonus[job_title],$H592),SUMIFS(AvgBonus[avg_bonus],AvgBonus[exp_item],$J592,AvgBonus[company_name],$B592,AvgBonus[bu_name],$C592,AvgBonus[dept_name],$D592,AvgBonus[team_consolidation],$K592,AvgBonus[location_name],$G592,AvgBonus[job_title],$H592))*AA487*SUM(BonusPayout[Month 16]))</f>
        <v>0</v>
      </c>
      <c r="AB592" s="652">
        <f>IF($B592="",,IF(LEFT($H592,5)="dummy",SUMIFS(AvgBonus[avg_bonus],AvgBonus[job_title],$H592),SUMIFS(AvgBonus[avg_bonus],AvgBonus[exp_item],$J592,AvgBonus[company_name],$B592,AvgBonus[bu_name],$C592,AvgBonus[dept_name],$D592,AvgBonus[team_consolidation],$K592,AvgBonus[location_name],$G592,AvgBonus[job_title],$H592))*AB487*SUM(BonusPayout[Month 17]))</f>
        <v>0</v>
      </c>
      <c r="AC592" s="652">
        <f>IF($B592="",,IF(LEFT($H592,5)="dummy",SUMIFS(AvgBonus[avg_bonus],AvgBonus[job_title],$H592),SUMIFS(AvgBonus[avg_bonus],AvgBonus[exp_item],$J592,AvgBonus[company_name],$B592,AvgBonus[bu_name],$C592,AvgBonus[dept_name],$D592,AvgBonus[team_consolidation],$K592,AvgBonus[location_name],$G592,AvgBonus[job_title],$H592))*AC487*SUM(BonusPayout[Month 18]))</f>
        <v>0</v>
      </c>
      <c r="AD592" s="652">
        <f>IF($B592="",,IF(LEFT($H592,5)="dummy",SUMIFS(AvgBonus[avg_bonus],AvgBonus[job_title],$H592),SUMIFS(AvgBonus[avg_bonus],AvgBonus[exp_item],$J592,AvgBonus[company_name],$B592,AvgBonus[bu_name],$C592,AvgBonus[dept_name],$D592,AvgBonus[team_consolidation],$K592,AvgBonus[location_name],$G592,AvgBonus[job_title],$H592))*AD487*SUM(BonusPayout[Month 19]))</f>
        <v>0</v>
      </c>
      <c r="AE592" s="652">
        <f>IF($B592="",,IF(LEFT($H592,5)="dummy",SUMIFS(AvgBonus[avg_bonus],AvgBonus[job_title],$H592),SUMIFS(AvgBonus[avg_bonus],AvgBonus[exp_item],$J592,AvgBonus[company_name],$B592,AvgBonus[bu_name],$C592,AvgBonus[dept_name],$D592,AvgBonus[team_consolidation],$K592,AvgBonus[location_name],$G592,AvgBonus[job_title],$H592))*AE487*SUM(BonusPayout[Month 20]))</f>
        <v>0</v>
      </c>
      <c r="AF592" s="652">
        <f>IF($B592="",,IF(LEFT($H592,5)="dummy",SUMIFS(AvgBonus[avg_bonus],AvgBonus[job_title],$H592),SUMIFS(AvgBonus[avg_bonus],AvgBonus[exp_item],$J592,AvgBonus[company_name],$B592,AvgBonus[bu_name],$C592,AvgBonus[dept_name],$D592,AvgBonus[team_consolidation],$K592,AvgBonus[location_name],$G592,AvgBonus[job_title],$H592))*AF487*SUM(BonusPayout[Month 21]))</f>
        <v>0</v>
      </c>
      <c r="AG592" s="652">
        <f>IF($B592="",,IF(LEFT($H592,5)="dummy",SUMIFS(AvgBonus[avg_bonus],AvgBonus[job_title],$H592),SUMIFS(AvgBonus[avg_bonus],AvgBonus[exp_item],$J592,AvgBonus[company_name],$B592,AvgBonus[bu_name],$C592,AvgBonus[dept_name],$D592,AvgBonus[team_consolidation],$K592,AvgBonus[location_name],$G592,AvgBonus[job_title],$H592))*AG487*SUM(BonusPayout[Month 22]))</f>
        <v>0</v>
      </c>
      <c r="AH592" s="652">
        <f>IF($B592="",,IF(LEFT($H592,5)="dummy",SUMIFS(AvgBonus[avg_bonus],AvgBonus[job_title],$H592),SUMIFS(AvgBonus[avg_bonus],AvgBonus[exp_item],$J592,AvgBonus[company_name],$B592,AvgBonus[bu_name],$C592,AvgBonus[dept_name],$D592,AvgBonus[team_consolidation],$K592,AvgBonus[location_name],$G592,AvgBonus[job_title],$H592))*AH487*SUM(BonusPayout[Month 23]))</f>
        <v>0</v>
      </c>
      <c r="AI592" s="652">
        <f>IF($B592="",,IF(LEFT($H592,5)="dummy",SUMIFS(AvgBonus[avg_bonus],AvgBonus[job_title],$H592),SUMIFS(AvgBonus[avg_bonus],AvgBonus[exp_item],$J592,AvgBonus[company_name],$B592,AvgBonus[bu_name],$C592,AvgBonus[dept_name],$D592,AvgBonus[team_consolidation],$K592,AvgBonus[location_name],$G592,AvgBonus[job_title],$H592))*AI487*SUM(BonusPayout[Month 24]))</f>
        <v>0</v>
      </c>
      <c r="AJ592" s="652">
        <f>IF($B592="",,IF(LEFT($H592,5)="dummy",SUMIFS(AvgBonus[avg_bonus],AvgBonus[job_title],$H592),SUMIFS(AvgBonus[avg_bonus],AvgBonus[exp_item],$J592,AvgBonus[company_name],$B592,AvgBonus[bu_name],$C592,AvgBonus[dept_name],$D592,AvgBonus[team_consolidation],$K592,AvgBonus[location_name],$G592,AvgBonus[job_title],$H592))*AJ487*SUM(BonusPayout[Month 25]))</f>
        <v>0</v>
      </c>
      <c r="AK592" s="652">
        <f>IF($B592="",,IF(LEFT($H592,5)="dummy",SUMIFS(AvgBonus[avg_bonus],AvgBonus[job_title],$H592),SUMIFS(AvgBonus[avg_bonus],AvgBonus[exp_item],$J592,AvgBonus[company_name],$B592,AvgBonus[bu_name],$C592,AvgBonus[dept_name],$D592,AvgBonus[team_consolidation],$K592,AvgBonus[location_name],$G592,AvgBonus[job_title],$H592))*AK487*SUM(BonusPayout[Month 26]))</f>
        <v>0</v>
      </c>
      <c r="AL592" s="652">
        <f>IF($B592="",,IF(LEFT($H592,5)="dummy",SUMIFS(AvgBonus[avg_bonus],AvgBonus[job_title],$H592),SUMIFS(AvgBonus[avg_bonus],AvgBonus[exp_item],$J592,AvgBonus[company_name],$B592,AvgBonus[bu_name],$C592,AvgBonus[dept_name],$D592,AvgBonus[team_consolidation],$K592,AvgBonus[location_name],$G592,AvgBonus[job_title],$H592))*AL487*SUM(BonusPayout[Month 27]))</f>
        <v>0</v>
      </c>
      <c r="AM592" s="652">
        <f>IF($B592="",,IF(LEFT($H592,5)="dummy",SUMIFS(AvgBonus[avg_bonus],AvgBonus[job_title],$H592),SUMIFS(AvgBonus[avg_bonus],AvgBonus[exp_item],$J592,AvgBonus[company_name],$B592,AvgBonus[bu_name],$C592,AvgBonus[dept_name],$D592,AvgBonus[team_consolidation],$K592,AvgBonus[location_name],$G592,AvgBonus[job_title],$H592))*AM487*SUM(BonusPayout[Month 28]))</f>
        <v>0</v>
      </c>
      <c r="AN592" s="652">
        <f>IF($B592="",,IF(LEFT($H592,5)="dummy",SUMIFS(AvgBonus[avg_bonus],AvgBonus[job_title],$H592),SUMIFS(AvgBonus[avg_bonus],AvgBonus[exp_item],$J592,AvgBonus[company_name],$B592,AvgBonus[bu_name],$C592,AvgBonus[dept_name],$D592,AvgBonus[team_consolidation],$K592,AvgBonus[location_name],$G592,AvgBonus[job_title],$H592))*AN487*SUM(BonusPayout[Month 29]))</f>
        <v>0</v>
      </c>
      <c r="AO592" s="652">
        <f>IF($B592="",,IF(LEFT($H592,5)="dummy",SUMIFS(AvgBonus[avg_bonus],AvgBonus[job_title],$H592),SUMIFS(AvgBonus[avg_bonus],AvgBonus[exp_item],$J592,AvgBonus[company_name],$B592,AvgBonus[bu_name],$C592,AvgBonus[dept_name],$D592,AvgBonus[team_consolidation],$K592,AvgBonus[location_name],$G592,AvgBonus[job_title],$H592))*AO487*SUM(BonusPayout[Month 30]))</f>
        <v>0</v>
      </c>
      <c r="AP592" s="652">
        <f>IF($B592="",,IF(LEFT($H592,5)="dummy",SUMIFS(AvgBonus[avg_bonus],AvgBonus[job_title],$H592),SUMIFS(AvgBonus[avg_bonus],AvgBonus[exp_item],$J592,AvgBonus[company_name],$B592,AvgBonus[bu_name],$C592,AvgBonus[dept_name],$D592,AvgBonus[team_consolidation],$K592,AvgBonus[location_name],$G592,AvgBonus[job_title],$H592))*AP487*SUM(BonusPayout[Month 31]))</f>
        <v>0</v>
      </c>
      <c r="AQ592" s="652">
        <f>IF($B592="",,IF(LEFT($H592,5)="dummy",SUMIFS(AvgBonus[avg_bonus],AvgBonus[job_title],$H592),SUMIFS(AvgBonus[avg_bonus],AvgBonus[exp_item],$J592,AvgBonus[company_name],$B592,AvgBonus[bu_name],$C592,AvgBonus[dept_name],$D592,AvgBonus[team_consolidation],$K592,AvgBonus[location_name],$G592,AvgBonus[job_title],$H592))*AQ487*SUM(BonusPayout[Month 32]))</f>
        <v>0</v>
      </c>
      <c r="AR592" s="652">
        <f>IF($B592="",,IF(LEFT($H592,5)="dummy",SUMIFS(AvgBonus[avg_bonus],AvgBonus[job_title],$H592),SUMIFS(AvgBonus[avg_bonus],AvgBonus[exp_item],$J592,AvgBonus[company_name],$B592,AvgBonus[bu_name],$C592,AvgBonus[dept_name],$D592,AvgBonus[team_consolidation],$K592,AvgBonus[location_name],$G592,AvgBonus[job_title],$H592))*AR487*SUM(BonusPayout[Month 33]))</f>
        <v>0</v>
      </c>
      <c r="AS592" s="652">
        <f>IF($B592="",,IF(LEFT($H592,5)="dummy",SUMIFS(AvgBonus[avg_bonus],AvgBonus[job_title],$H592),SUMIFS(AvgBonus[avg_bonus],AvgBonus[exp_item],$J592,AvgBonus[company_name],$B592,AvgBonus[bu_name],$C592,AvgBonus[dept_name],$D592,AvgBonus[team_consolidation],$K592,AvgBonus[location_name],$G592,AvgBonus[job_title],$H592))*AS487*SUM(BonusPayout[Month 34]))</f>
        <v>0</v>
      </c>
      <c r="AT592" s="652">
        <f>IF($B592="",,IF(LEFT($H592,5)="dummy",SUMIFS(AvgBonus[avg_bonus],AvgBonus[job_title],$H592),SUMIFS(AvgBonus[avg_bonus],AvgBonus[exp_item],$J592,AvgBonus[company_name],$B592,AvgBonus[bu_name],$C592,AvgBonus[dept_name],$D592,AvgBonus[team_consolidation],$K592,AvgBonus[location_name],$G592,AvgBonus[job_title],$H592))*AT487*SUM(BonusPayout[Month 35]))</f>
        <v>0</v>
      </c>
      <c r="AU592" s="652">
        <f>IF($B592="",,IF(LEFT($H592,5)="dummy",SUMIFS(AvgBonus[avg_bonus],AvgBonus[job_title],$H592),SUMIFS(AvgBonus[avg_bonus],AvgBonus[exp_item],$J592,AvgBonus[company_name],$B592,AvgBonus[bu_name],$C592,AvgBonus[dept_name],$D592,AvgBonus[team_consolidation],$K592,AvgBonus[location_name],$G592,AvgBonus[job_title],$H592))*AU487*SUM(BonusPayout[Month 36]))</f>
        <v>0</v>
      </c>
    </row>
    <row r="593" spans="1:52" x14ac:dyDescent="0.35">
      <c r="B593" t="str">
        <f t="shared" ref="B593:G593" si="390">IF(B488="","",B488)</f>
        <v/>
      </c>
      <c r="C593" t="str">
        <f t="shared" si="390"/>
        <v/>
      </c>
      <c r="D593" t="str">
        <f t="shared" si="390"/>
        <v/>
      </c>
      <c r="E593" t="str">
        <f t="shared" si="390"/>
        <v/>
      </c>
      <c r="F593" t="str">
        <f t="shared" si="390"/>
        <v/>
      </c>
      <c r="G593" t="str">
        <f t="shared" si="390"/>
        <v/>
      </c>
      <c r="H593" t="str">
        <f t="shared" si="360"/>
        <v/>
      </c>
      <c r="J593" t="str">
        <f>IF($H593="","",IF(VLOOKUP($B$500,ExpItems[],2,0),$B$500&amp;" - "&amp;INDEX(DivisionMapping[category_code],MATCH($D593&amp;$C593,DivisionMapping[dept_bu],0)),$B$500))</f>
        <v/>
      </c>
      <c r="K593" t="str">
        <f t="shared" si="363"/>
        <v/>
      </c>
      <c r="L593" s="652">
        <f>IF($B593="",,IF(LEFT($H593,5)="dummy",SUMIFS(AvgBonus[avg_bonus],AvgBonus[job_title],$H593),SUMIFS(AvgBonus[avg_bonus],AvgBonus[exp_item],$J593,AvgBonus[company_name],$B593,AvgBonus[bu_name],$C593,AvgBonus[dept_name],$D593,AvgBonus[team_consolidation],$K593,AvgBonus[location_name],$G593,AvgBonus[job_title],$H593))*L488*SUM(BonusPayout[Month 1]))</f>
        <v>0</v>
      </c>
      <c r="M593" s="652">
        <f>IF($B593="",,IF(LEFT($H593,5)="dummy",SUMIFS(AvgBonus[avg_bonus],AvgBonus[job_title],$H593),SUMIFS(AvgBonus[avg_bonus],AvgBonus[exp_item],$J593,AvgBonus[company_name],$B593,AvgBonus[bu_name],$C593,AvgBonus[dept_name],$D593,AvgBonus[team_consolidation],$K593,AvgBonus[location_name],$G593,AvgBonus[job_title],$H593))*M488*SUM(BonusPayout[Month 2]))</f>
        <v>0</v>
      </c>
      <c r="N593" s="652">
        <f>IF($B593="",,IF(LEFT($H593,5)="dummy",SUMIFS(AvgBonus[avg_bonus],AvgBonus[job_title],$H593),SUMIFS(AvgBonus[avg_bonus],AvgBonus[exp_item],$J593,AvgBonus[company_name],$B593,AvgBonus[bu_name],$C593,AvgBonus[dept_name],$D593,AvgBonus[team_consolidation],$K593,AvgBonus[location_name],$G593,AvgBonus[job_title],$H593))*N488*SUM(BonusPayout[Month 3]))</f>
        <v>0</v>
      </c>
      <c r="O593" s="652">
        <f>IF($B593="",,IF(LEFT($H593,5)="dummy",SUMIFS(AvgBonus[avg_bonus],AvgBonus[job_title],$H593),SUMIFS(AvgBonus[avg_bonus],AvgBonus[exp_item],$J593,AvgBonus[company_name],$B593,AvgBonus[bu_name],$C593,AvgBonus[dept_name],$D593,AvgBonus[team_consolidation],$K593,AvgBonus[location_name],$G593,AvgBonus[job_title],$H593))*O488*SUM(BonusPayout[Month 4]))</f>
        <v>0</v>
      </c>
      <c r="P593" s="652">
        <f>IF($B593="",,IF(LEFT($H593,5)="dummy",SUMIFS(AvgBonus[avg_bonus],AvgBonus[job_title],$H593),SUMIFS(AvgBonus[avg_bonus],AvgBonus[exp_item],$J593,AvgBonus[company_name],$B593,AvgBonus[bu_name],$C593,AvgBonus[dept_name],$D593,AvgBonus[team_consolidation],$K593,AvgBonus[location_name],$G593,AvgBonus[job_title],$H593))*P488*SUM(BonusPayout[Month 5]))</f>
        <v>0</v>
      </c>
      <c r="Q593" s="652">
        <f>IF($B593="",,IF(LEFT($H593,5)="dummy",SUMIFS(AvgBonus[avg_bonus],AvgBonus[job_title],$H593),SUMIFS(AvgBonus[avg_bonus],AvgBonus[exp_item],$J593,AvgBonus[company_name],$B593,AvgBonus[bu_name],$C593,AvgBonus[dept_name],$D593,AvgBonus[team_consolidation],$K593,AvgBonus[location_name],$G593,AvgBonus[job_title],$H593))*Q488*SUM(BonusPayout[Month 6]))</f>
        <v>0</v>
      </c>
      <c r="R593" s="652">
        <f>IF($B593="",,IF(LEFT($H593,5)="dummy",SUMIFS(AvgBonus[avg_bonus],AvgBonus[job_title],$H593),SUMIFS(AvgBonus[avg_bonus],AvgBonus[exp_item],$J593,AvgBonus[company_name],$B593,AvgBonus[bu_name],$C593,AvgBonus[dept_name],$D593,AvgBonus[team_consolidation],$K593,AvgBonus[location_name],$G593,AvgBonus[job_title],$H593))*R488*SUM(BonusPayout[Month 7]))</f>
        <v>0</v>
      </c>
      <c r="S593" s="652">
        <f>IF($B593="",,IF(LEFT($H593,5)="dummy",SUMIFS(AvgBonus[avg_bonus],AvgBonus[job_title],$H593),SUMIFS(AvgBonus[avg_bonus],AvgBonus[exp_item],$J593,AvgBonus[company_name],$B593,AvgBonus[bu_name],$C593,AvgBonus[dept_name],$D593,AvgBonus[team_consolidation],$K593,AvgBonus[location_name],$G593,AvgBonus[job_title],$H593))*S488*SUM(BonusPayout[Month 8]))</f>
        <v>0</v>
      </c>
      <c r="T593" s="652">
        <f>IF($B593="",,IF(LEFT($H593,5)="dummy",SUMIFS(AvgBonus[avg_bonus],AvgBonus[job_title],$H593),SUMIFS(AvgBonus[avg_bonus],AvgBonus[exp_item],$J593,AvgBonus[company_name],$B593,AvgBonus[bu_name],$C593,AvgBonus[dept_name],$D593,AvgBonus[team_consolidation],$K593,AvgBonus[location_name],$G593,AvgBonus[job_title],$H593))*T488*SUM(BonusPayout[Month 9]))</f>
        <v>0</v>
      </c>
      <c r="U593" s="652">
        <f>IF($B593="",,IF(LEFT($H593,5)="dummy",SUMIFS(AvgBonus[avg_bonus],AvgBonus[job_title],$H593),SUMIFS(AvgBonus[avg_bonus],AvgBonus[exp_item],$J593,AvgBonus[company_name],$B593,AvgBonus[bu_name],$C593,AvgBonus[dept_name],$D593,AvgBonus[team_consolidation],$K593,AvgBonus[location_name],$G593,AvgBonus[job_title],$H593))*U488*SUM(BonusPayout[Month 10]))</f>
        <v>0</v>
      </c>
      <c r="V593" s="652">
        <f>IF($B593="",,IF(LEFT($H593,5)="dummy",SUMIFS(AvgBonus[avg_bonus],AvgBonus[job_title],$H593),SUMIFS(AvgBonus[avg_bonus],AvgBonus[exp_item],$J593,AvgBonus[company_name],$B593,AvgBonus[bu_name],$C593,AvgBonus[dept_name],$D593,AvgBonus[team_consolidation],$K593,AvgBonus[location_name],$G593,AvgBonus[job_title],$H593))*V488*SUM(BonusPayout[Month 11]))</f>
        <v>0</v>
      </c>
      <c r="W593" s="652">
        <f>IF($B593="",,IF(LEFT($H593,5)="dummy",SUMIFS(AvgBonus[avg_bonus],AvgBonus[job_title],$H593),SUMIFS(AvgBonus[avg_bonus],AvgBonus[exp_item],$J593,AvgBonus[company_name],$B593,AvgBonus[bu_name],$C593,AvgBonus[dept_name],$D593,AvgBonus[team_consolidation],$K593,AvgBonus[location_name],$G593,AvgBonus[job_title],$H593))*W488*SUM(BonusPayout[Month 12]))</f>
        <v>0</v>
      </c>
      <c r="X593" s="652">
        <f>IF($B593="",,IF(LEFT($H593,5)="dummy",SUMIFS(AvgBonus[avg_bonus],AvgBonus[job_title],$H593),SUMIFS(AvgBonus[avg_bonus],AvgBonus[exp_item],$J593,AvgBonus[company_name],$B593,AvgBonus[bu_name],$C593,AvgBonus[dept_name],$D593,AvgBonus[team_consolidation],$K593,AvgBonus[location_name],$G593,AvgBonus[job_title],$H593))*X488*SUM(BonusPayout[Month 13]))</f>
        <v>0</v>
      </c>
      <c r="Y593" s="652">
        <f>IF($B593="",,IF(LEFT($H593,5)="dummy",SUMIFS(AvgBonus[avg_bonus],AvgBonus[job_title],$H593),SUMIFS(AvgBonus[avg_bonus],AvgBonus[exp_item],$J593,AvgBonus[company_name],$B593,AvgBonus[bu_name],$C593,AvgBonus[dept_name],$D593,AvgBonus[team_consolidation],$K593,AvgBonus[location_name],$G593,AvgBonus[job_title],$H593))*Y488*SUM(BonusPayout[Month 14]))</f>
        <v>0</v>
      </c>
      <c r="Z593" s="652">
        <f>IF($B593="",,IF(LEFT($H593,5)="dummy",SUMIFS(AvgBonus[avg_bonus],AvgBonus[job_title],$H593),SUMIFS(AvgBonus[avg_bonus],AvgBonus[exp_item],$J593,AvgBonus[company_name],$B593,AvgBonus[bu_name],$C593,AvgBonus[dept_name],$D593,AvgBonus[team_consolidation],$K593,AvgBonus[location_name],$G593,AvgBonus[job_title],$H593))*Z488*SUM(BonusPayout[Month 15]))</f>
        <v>0</v>
      </c>
      <c r="AA593" s="652">
        <f>IF($B593="",,IF(LEFT($H593,5)="dummy",SUMIFS(AvgBonus[avg_bonus],AvgBonus[job_title],$H593),SUMIFS(AvgBonus[avg_bonus],AvgBonus[exp_item],$J593,AvgBonus[company_name],$B593,AvgBonus[bu_name],$C593,AvgBonus[dept_name],$D593,AvgBonus[team_consolidation],$K593,AvgBonus[location_name],$G593,AvgBonus[job_title],$H593))*AA488*SUM(BonusPayout[Month 16]))</f>
        <v>0</v>
      </c>
      <c r="AB593" s="652">
        <f>IF($B593="",,IF(LEFT($H593,5)="dummy",SUMIFS(AvgBonus[avg_bonus],AvgBonus[job_title],$H593),SUMIFS(AvgBonus[avg_bonus],AvgBonus[exp_item],$J593,AvgBonus[company_name],$B593,AvgBonus[bu_name],$C593,AvgBonus[dept_name],$D593,AvgBonus[team_consolidation],$K593,AvgBonus[location_name],$G593,AvgBonus[job_title],$H593))*AB488*SUM(BonusPayout[Month 17]))</f>
        <v>0</v>
      </c>
      <c r="AC593" s="652">
        <f>IF($B593="",,IF(LEFT($H593,5)="dummy",SUMIFS(AvgBonus[avg_bonus],AvgBonus[job_title],$H593),SUMIFS(AvgBonus[avg_bonus],AvgBonus[exp_item],$J593,AvgBonus[company_name],$B593,AvgBonus[bu_name],$C593,AvgBonus[dept_name],$D593,AvgBonus[team_consolidation],$K593,AvgBonus[location_name],$G593,AvgBonus[job_title],$H593))*AC488*SUM(BonusPayout[Month 18]))</f>
        <v>0</v>
      </c>
      <c r="AD593" s="652">
        <f>IF($B593="",,IF(LEFT($H593,5)="dummy",SUMIFS(AvgBonus[avg_bonus],AvgBonus[job_title],$H593),SUMIFS(AvgBonus[avg_bonus],AvgBonus[exp_item],$J593,AvgBonus[company_name],$B593,AvgBonus[bu_name],$C593,AvgBonus[dept_name],$D593,AvgBonus[team_consolidation],$K593,AvgBonus[location_name],$G593,AvgBonus[job_title],$H593))*AD488*SUM(BonusPayout[Month 19]))</f>
        <v>0</v>
      </c>
      <c r="AE593" s="652">
        <f>IF($B593="",,IF(LEFT($H593,5)="dummy",SUMIFS(AvgBonus[avg_bonus],AvgBonus[job_title],$H593),SUMIFS(AvgBonus[avg_bonus],AvgBonus[exp_item],$J593,AvgBonus[company_name],$B593,AvgBonus[bu_name],$C593,AvgBonus[dept_name],$D593,AvgBonus[team_consolidation],$K593,AvgBonus[location_name],$G593,AvgBonus[job_title],$H593))*AE488*SUM(BonusPayout[Month 20]))</f>
        <v>0</v>
      </c>
      <c r="AF593" s="652">
        <f>IF($B593="",,IF(LEFT($H593,5)="dummy",SUMIFS(AvgBonus[avg_bonus],AvgBonus[job_title],$H593),SUMIFS(AvgBonus[avg_bonus],AvgBonus[exp_item],$J593,AvgBonus[company_name],$B593,AvgBonus[bu_name],$C593,AvgBonus[dept_name],$D593,AvgBonus[team_consolidation],$K593,AvgBonus[location_name],$G593,AvgBonus[job_title],$H593))*AF488*SUM(BonusPayout[Month 21]))</f>
        <v>0</v>
      </c>
      <c r="AG593" s="652">
        <f>IF($B593="",,IF(LEFT($H593,5)="dummy",SUMIFS(AvgBonus[avg_bonus],AvgBonus[job_title],$H593),SUMIFS(AvgBonus[avg_bonus],AvgBonus[exp_item],$J593,AvgBonus[company_name],$B593,AvgBonus[bu_name],$C593,AvgBonus[dept_name],$D593,AvgBonus[team_consolidation],$K593,AvgBonus[location_name],$G593,AvgBonus[job_title],$H593))*AG488*SUM(BonusPayout[Month 22]))</f>
        <v>0</v>
      </c>
      <c r="AH593" s="652">
        <f>IF($B593="",,IF(LEFT($H593,5)="dummy",SUMIFS(AvgBonus[avg_bonus],AvgBonus[job_title],$H593),SUMIFS(AvgBonus[avg_bonus],AvgBonus[exp_item],$J593,AvgBonus[company_name],$B593,AvgBonus[bu_name],$C593,AvgBonus[dept_name],$D593,AvgBonus[team_consolidation],$K593,AvgBonus[location_name],$G593,AvgBonus[job_title],$H593))*AH488*SUM(BonusPayout[Month 23]))</f>
        <v>0</v>
      </c>
      <c r="AI593" s="652">
        <f>IF($B593="",,IF(LEFT($H593,5)="dummy",SUMIFS(AvgBonus[avg_bonus],AvgBonus[job_title],$H593),SUMIFS(AvgBonus[avg_bonus],AvgBonus[exp_item],$J593,AvgBonus[company_name],$B593,AvgBonus[bu_name],$C593,AvgBonus[dept_name],$D593,AvgBonus[team_consolidation],$K593,AvgBonus[location_name],$G593,AvgBonus[job_title],$H593))*AI488*SUM(BonusPayout[Month 24]))</f>
        <v>0</v>
      </c>
      <c r="AJ593" s="652">
        <f>IF($B593="",,IF(LEFT($H593,5)="dummy",SUMIFS(AvgBonus[avg_bonus],AvgBonus[job_title],$H593),SUMIFS(AvgBonus[avg_bonus],AvgBonus[exp_item],$J593,AvgBonus[company_name],$B593,AvgBonus[bu_name],$C593,AvgBonus[dept_name],$D593,AvgBonus[team_consolidation],$K593,AvgBonus[location_name],$G593,AvgBonus[job_title],$H593))*AJ488*SUM(BonusPayout[Month 25]))</f>
        <v>0</v>
      </c>
      <c r="AK593" s="652">
        <f>IF($B593="",,IF(LEFT($H593,5)="dummy",SUMIFS(AvgBonus[avg_bonus],AvgBonus[job_title],$H593),SUMIFS(AvgBonus[avg_bonus],AvgBonus[exp_item],$J593,AvgBonus[company_name],$B593,AvgBonus[bu_name],$C593,AvgBonus[dept_name],$D593,AvgBonus[team_consolidation],$K593,AvgBonus[location_name],$G593,AvgBonus[job_title],$H593))*AK488*SUM(BonusPayout[Month 26]))</f>
        <v>0</v>
      </c>
      <c r="AL593" s="652">
        <f>IF($B593="",,IF(LEFT($H593,5)="dummy",SUMIFS(AvgBonus[avg_bonus],AvgBonus[job_title],$H593),SUMIFS(AvgBonus[avg_bonus],AvgBonus[exp_item],$J593,AvgBonus[company_name],$B593,AvgBonus[bu_name],$C593,AvgBonus[dept_name],$D593,AvgBonus[team_consolidation],$K593,AvgBonus[location_name],$G593,AvgBonus[job_title],$H593))*AL488*SUM(BonusPayout[Month 27]))</f>
        <v>0</v>
      </c>
      <c r="AM593" s="652">
        <f>IF($B593="",,IF(LEFT($H593,5)="dummy",SUMIFS(AvgBonus[avg_bonus],AvgBonus[job_title],$H593),SUMIFS(AvgBonus[avg_bonus],AvgBonus[exp_item],$J593,AvgBonus[company_name],$B593,AvgBonus[bu_name],$C593,AvgBonus[dept_name],$D593,AvgBonus[team_consolidation],$K593,AvgBonus[location_name],$G593,AvgBonus[job_title],$H593))*AM488*SUM(BonusPayout[Month 28]))</f>
        <v>0</v>
      </c>
      <c r="AN593" s="652">
        <f>IF($B593="",,IF(LEFT($H593,5)="dummy",SUMIFS(AvgBonus[avg_bonus],AvgBonus[job_title],$H593),SUMIFS(AvgBonus[avg_bonus],AvgBonus[exp_item],$J593,AvgBonus[company_name],$B593,AvgBonus[bu_name],$C593,AvgBonus[dept_name],$D593,AvgBonus[team_consolidation],$K593,AvgBonus[location_name],$G593,AvgBonus[job_title],$H593))*AN488*SUM(BonusPayout[Month 29]))</f>
        <v>0</v>
      </c>
      <c r="AO593" s="652">
        <f>IF($B593="",,IF(LEFT($H593,5)="dummy",SUMIFS(AvgBonus[avg_bonus],AvgBonus[job_title],$H593),SUMIFS(AvgBonus[avg_bonus],AvgBonus[exp_item],$J593,AvgBonus[company_name],$B593,AvgBonus[bu_name],$C593,AvgBonus[dept_name],$D593,AvgBonus[team_consolidation],$K593,AvgBonus[location_name],$G593,AvgBonus[job_title],$H593))*AO488*SUM(BonusPayout[Month 30]))</f>
        <v>0</v>
      </c>
      <c r="AP593" s="652">
        <f>IF($B593="",,IF(LEFT($H593,5)="dummy",SUMIFS(AvgBonus[avg_bonus],AvgBonus[job_title],$H593),SUMIFS(AvgBonus[avg_bonus],AvgBonus[exp_item],$J593,AvgBonus[company_name],$B593,AvgBonus[bu_name],$C593,AvgBonus[dept_name],$D593,AvgBonus[team_consolidation],$K593,AvgBonus[location_name],$G593,AvgBonus[job_title],$H593))*AP488*SUM(BonusPayout[Month 31]))</f>
        <v>0</v>
      </c>
      <c r="AQ593" s="652">
        <f>IF($B593="",,IF(LEFT($H593,5)="dummy",SUMIFS(AvgBonus[avg_bonus],AvgBonus[job_title],$H593),SUMIFS(AvgBonus[avg_bonus],AvgBonus[exp_item],$J593,AvgBonus[company_name],$B593,AvgBonus[bu_name],$C593,AvgBonus[dept_name],$D593,AvgBonus[team_consolidation],$K593,AvgBonus[location_name],$G593,AvgBonus[job_title],$H593))*AQ488*SUM(BonusPayout[Month 32]))</f>
        <v>0</v>
      </c>
      <c r="AR593" s="652">
        <f>IF($B593="",,IF(LEFT($H593,5)="dummy",SUMIFS(AvgBonus[avg_bonus],AvgBonus[job_title],$H593),SUMIFS(AvgBonus[avg_bonus],AvgBonus[exp_item],$J593,AvgBonus[company_name],$B593,AvgBonus[bu_name],$C593,AvgBonus[dept_name],$D593,AvgBonus[team_consolidation],$K593,AvgBonus[location_name],$G593,AvgBonus[job_title],$H593))*AR488*SUM(BonusPayout[Month 33]))</f>
        <v>0</v>
      </c>
      <c r="AS593" s="652">
        <f>IF($B593="",,IF(LEFT($H593,5)="dummy",SUMIFS(AvgBonus[avg_bonus],AvgBonus[job_title],$H593),SUMIFS(AvgBonus[avg_bonus],AvgBonus[exp_item],$J593,AvgBonus[company_name],$B593,AvgBonus[bu_name],$C593,AvgBonus[dept_name],$D593,AvgBonus[team_consolidation],$K593,AvgBonus[location_name],$G593,AvgBonus[job_title],$H593))*AS488*SUM(BonusPayout[Month 34]))</f>
        <v>0</v>
      </c>
      <c r="AT593" s="652">
        <f>IF($B593="",,IF(LEFT($H593,5)="dummy",SUMIFS(AvgBonus[avg_bonus],AvgBonus[job_title],$H593),SUMIFS(AvgBonus[avg_bonus],AvgBonus[exp_item],$J593,AvgBonus[company_name],$B593,AvgBonus[bu_name],$C593,AvgBonus[dept_name],$D593,AvgBonus[team_consolidation],$K593,AvgBonus[location_name],$G593,AvgBonus[job_title],$H593))*AT488*SUM(BonusPayout[Month 35]))</f>
        <v>0</v>
      </c>
      <c r="AU593" s="652">
        <f>IF($B593="",,IF(LEFT($H593,5)="dummy",SUMIFS(AvgBonus[avg_bonus],AvgBonus[job_title],$H593),SUMIFS(AvgBonus[avg_bonus],AvgBonus[exp_item],$J593,AvgBonus[company_name],$B593,AvgBonus[bu_name],$C593,AvgBonus[dept_name],$D593,AvgBonus[team_consolidation],$K593,AvgBonus[location_name],$G593,AvgBonus[job_title],$H593))*AU488*SUM(BonusPayout[Month 36]))</f>
        <v>0</v>
      </c>
    </row>
    <row r="594" spans="1:52" x14ac:dyDescent="0.35">
      <c r="B594" t="str">
        <f t="shared" ref="B594:G594" si="391">IF(B489="","",B489)</f>
        <v/>
      </c>
      <c r="C594" t="str">
        <f t="shared" si="391"/>
        <v/>
      </c>
      <c r="D594" t="str">
        <f t="shared" si="391"/>
        <v/>
      </c>
      <c r="E594" t="str">
        <f t="shared" si="391"/>
        <v/>
      </c>
      <c r="F594" t="str">
        <f t="shared" si="391"/>
        <v/>
      </c>
      <c r="G594" t="str">
        <f t="shared" si="391"/>
        <v/>
      </c>
      <c r="H594" t="str">
        <f t="shared" si="360"/>
        <v/>
      </c>
      <c r="J594" t="str">
        <f>IF($H594="","",IF(VLOOKUP($B$500,ExpItems[],2,0),$B$500&amp;" - "&amp;INDEX(DivisionMapping[category_code],MATCH($D594&amp;$C594,DivisionMapping[dept_bu],0)),$B$500))</f>
        <v/>
      </c>
      <c r="K594" t="str">
        <f t="shared" si="363"/>
        <v/>
      </c>
      <c r="L594" s="652">
        <f>IF($B594="",,IF(LEFT($H594,5)="dummy",SUMIFS(AvgBonus[avg_bonus],AvgBonus[job_title],$H594),SUMIFS(AvgBonus[avg_bonus],AvgBonus[exp_item],$J594,AvgBonus[company_name],$B594,AvgBonus[bu_name],$C594,AvgBonus[dept_name],$D594,AvgBonus[team_consolidation],$K594,AvgBonus[location_name],$G594,AvgBonus[job_title],$H594))*L489*SUM(BonusPayout[Month 1]))</f>
        <v>0</v>
      </c>
      <c r="M594" s="652">
        <f>IF($B594="",,IF(LEFT($H594,5)="dummy",SUMIFS(AvgBonus[avg_bonus],AvgBonus[job_title],$H594),SUMIFS(AvgBonus[avg_bonus],AvgBonus[exp_item],$J594,AvgBonus[company_name],$B594,AvgBonus[bu_name],$C594,AvgBonus[dept_name],$D594,AvgBonus[team_consolidation],$K594,AvgBonus[location_name],$G594,AvgBonus[job_title],$H594))*M489*SUM(BonusPayout[Month 2]))</f>
        <v>0</v>
      </c>
      <c r="N594" s="652">
        <f>IF($B594="",,IF(LEFT($H594,5)="dummy",SUMIFS(AvgBonus[avg_bonus],AvgBonus[job_title],$H594),SUMIFS(AvgBonus[avg_bonus],AvgBonus[exp_item],$J594,AvgBonus[company_name],$B594,AvgBonus[bu_name],$C594,AvgBonus[dept_name],$D594,AvgBonus[team_consolidation],$K594,AvgBonus[location_name],$G594,AvgBonus[job_title],$H594))*N489*SUM(BonusPayout[Month 3]))</f>
        <v>0</v>
      </c>
      <c r="O594" s="652">
        <f>IF($B594="",,IF(LEFT($H594,5)="dummy",SUMIFS(AvgBonus[avg_bonus],AvgBonus[job_title],$H594),SUMIFS(AvgBonus[avg_bonus],AvgBonus[exp_item],$J594,AvgBonus[company_name],$B594,AvgBonus[bu_name],$C594,AvgBonus[dept_name],$D594,AvgBonus[team_consolidation],$K594,AvgBonus[location_name],$G594,AvgBonus[job_title],$H594))*O489*SUM(BonusPayout[Month 4]))</f>
        <v>0</v>
      </c>
      <c r="P594" s="652">
        <f>IF($B594="",,IF(LEFT($H594,5)="dummy",SUMIFS(AvgBonus[avg_bonus],AvgBonus[job_title],$H594),SUMIFS(AvgBonus[avg_bonus],AvgBonus[exp_item],$J594,AvgBonus[company_name],$B594,AvgBonus[bu_name],$C594,AvgBonus[dept_name],$D594,AvgBonus[team_consolidation],$K594,AvgBonus[location_name],$G594,AvgBonus[job_title],$H594))*P489*SUM(BonusPayout[Month 5]))</f>
        <v>0</v>
      </c>
      <c r="Q594" s="652">
        <f>IF($B594="",,IF(LEFT($H594,5)="dummy",SUMIFS(AvgBonus[avg_bonus],AvgBonus[job_title],$H594),SUMIFS(AvgBonus[avg_bonus],AvgBonus[exp_item],$J594,AvgBonus[company_name],$B594,AvgBonus[bu_name],$C594,AvgBonus[dept_name],$D594,AvgBonus[team_consolidation],$K594,AvgBonus[location_name],$G594,AvgBonus[job_title],$H594))*Q489*SUM(BonusPayout[Month 6]))</f>
        <v>0</v>
      </c>
      <c r="R594" s="652">
        <f>IF($B594="",,IF(LEFT($H594,5)="dummy",SUMIFS(AvgBonus[avg_bonus],AvgBonus[job_title],$H594),SUMIFS(AvgBonus[avg_bonus],AvgBonus[exp_item],$J594,AvgBonus[company_name],$B594,AvgBonus[bu_name],$C594,AvgBonus[dept_name],$D594,AvgBonus[team_consolidation],$K594,AvgBonus[location_name],$G594,AvgBonus[job_title],$H594))*R489*SUM(BonusPayout[Month 7]))</f>
        <v>0</v>
      </c>
      <c r="S594" s="652">
        <f>IF($B594="",,IF(LEFT($H594,5)="dummy",SUMIFS(AvgBonus[avg_bonus],AvgBonus[job_title],$H594),SUMIFS(AvgBonus[avg_bonus],AvgBonus[exp_item],$J594,AvgBonus[company_name],$B594,AvgBonus[bu_name],$C594,AvgBonus[dept_name],$D594,AvgBonus[team_consolidation],$K594,AvgBonus[location_name],$G594,AvgBonus[job_title],$H594))*S489*SUM(BonusPayout[Month 8]))</f>
        <v>0</v>
      </c>
      <c r="T594" s="652">
        <f>IF($B594="",,IF(LEFT($H594,5)="dummy",SUMIFS(AvgBonus[avg_bonus],AvgBonus[job_title],$H594),SUMIFS(AvgBonus[avg_bonus],AvgBonus[exp_item],$J594,AvgBonus[company_name],$B594,AvgBonus[bu_name],$C594,AvgBonus[dept_name],$D594,AvgBonus[team_consolidation],$K594,AvgBonus[location_name],$G594,AvgBonus[job_title],$H594))*T489*SUM(BonusPayout[Month 9]))</f>
        <v>0</v>
      </c>
      <c r="U594" s="652">
        <f>IF($B594="",,IF(LEFT($H594,5)="dummy",SUMIFS(AvgBonus[avg_bonus],AvgBonus[job_title],$H594),SUMIFS(AvgBonus[avg_bonus],AvgBonus[exp_item],$J594,AvgBonus[company_name],$B594,AvgBonus[bu_name],$C594,AvgBonus[dept_name],$D594,AvgBonus[team_consolidation],$K594,AvgBonus[location_name],$G594,AvgBonus[job_title],$H594))*U489*SUM(BonusPayout[Month 10]))</f>
        <v>0</v>
      </c>
      <c r="V594" s="652">
        <f>IF($B594="",,IF(LEFT($H594,5)="dummy",SUMIFS(AvgBonus[avg_bonus],AvgBonus[job_title],$H594),SUMIFS(AvgBonus[avg_bonus],AvgBonus[exp_item],$J594,AvgBonus[company_name],$B594,AvgBonus[bu_name],$C594,AvgBonus[dept_name],$D594,AvgBonus[team_consolidation],$K594,AvgBonus[location_name],$G594,AvgBonus[job_title],$H594))*V489*SUM(BonusPayout[Month 11]))</f>
        <v>0</v>
      </c>
      <c r="W594" s="652">
        <f>IF($B594="",,IF(LEFT($H594,5)="dummy",SUMIFS(AvgBonus[avg_bonus],AvgBonus[job_title],$H594),SUMIFS(AvgBonus[avg_bonus],AvgBonus[exp_item],$J594,AvgBonus[company_name],$B594,AvgBonus[bu_name],$C594,AvgBonus[dept_name],$D594,AvgBonus[team_consolidation],$K594,AvgBonus[location_name],$G594,AvgBonus[job_title],$H594))*W489*SUM(BonusPayout[Month 12]))</f>
        <v>0</v>
      </c>
      <c r="X594" s="652">
        <f>IF($B594="",,IF(LEFT($H594,5)="dummy",SUMIFS(AvgBonus[avg_bonus],AvgBonus[job_title],$H594),SUMIFS(AvgBonus[avg_bonus],AvgBonus[exp_item],$J594,AvgBonus[company_name],$B594,AvgBonus[bu_name],$C594,AvgBonus[dept_name],$D594,AvgBonus[team_consolidation],$K594,AvgBonus[location_name],$G594,AvgBonus[job_title],$H594))*X489*SUM(BonusPayout[Month 13]))</f>
        <v>0</v>
      </c>
      <c r="Y594" s="652">
        <f>IF($B594="",,IF(LEFT($H594,5)="dummy",SUMIFS(AvgBonus[avg_bonus],AvgBonus[job_title],$H594),SUMIFS(AvgBonus[avg_bonus],AvgBonus[exp_item],$J594,AvgBonus[company_name],$B594,AvgBonus[bu_name],$C594,AvgBonus[dept_name],$D594,AvgBonus[team_consolidation],$K594,AvgBonus[location_name],$G594,AvgBonus[job_title],$H594))*Y489*SUM(BonusPayout[Month 14]))</f>
        <v>0</v>
      </c>
      <c r="Z594" s="652">
        <f>IF($B594="",,IF(LEFT($H594,5)="dummy",SUMIFS(AvgBonus[avg_bonus],AvgBonus[job_title],$H594),SUMIFS(AvgBonus[avg_bonus],AvgBonus[exp_item],$J594,AvgBonus[company_name],$B594,AvgBonus[bu_name],$C594,AvgBonus[dept_name],$D594,AvgBonus[team_consolidation],$K594,AvgBonus[location_name],$G594,AvgBonus[job_title],$H594))*Z489*SUM(BonusPayout[Month 15]))</f>
        <v>0</v>
      </c>
      <c r="AA594" s="652">
        <f>IF($B594="",,IF(LEFT($H594,5)="dummy",SUMIFS(AvgBonus[avg_bonus],AvgBonus[job_title],$H594),SUMIFS(AvgBonus[avg_bonus],AvgBonus[exp_item],$J594,AvgBonus[company_name],$B594,AvgBonus[bu_name],$C594,AvgBonus[dept_name],$D594,AvgBonus[team_consolidation],$K594,AvgBonus[location_name],$G594,AvgBonus[job_title],$H594))*AA489*SUM(BonusPayout[Month 16]))</f>
        <v>0</v>
      </c>
      <c r="AB594" s="652">
        <f>IF($B594="",,IF(LEFT($H594,5)="dummy",SUMIFS(AvgBonus[avg_bonus],AvgBonus[job_title],$H594),SUMIFS(AvgBonus[avg_bonus],AvgBonus[exp_item],$J594,AvgBonus[company_name],$B594,AvgBonus[bu_name],$C594,AvgBonus[dept_name],$D594,AvgBonus[team_consolidation],$K594,AvgBonus[location_name],$G594,AvgBonus[job_title],$H594))*AB489*SUM(BonusPayout[Month 17]))</f>
        <v>0</v>
      </c>
      <c r="AC594" s="652">
        <f>IF($B594="",,IF(LEFT($H594,5)="dummy",SUMIFS(AvgBonus[avg_bonus],AvgBonus[job_title],$H594),SUMIFS(AvgBonus[avg_bonus],AvgBonus[exp_item],$J594,AvgBonus[company_name],$B594,AvgBonus[bu_name],$C594,AvgBonus[dept_name],$D594,AvgBonus[team_consolidation],$K594,AvgBonus[location_name],$G594,AvgBonus[job_title],$H594))*AC489*SUM(BonusPayout[Month 18]))</f>
        <v>0</v>
      </c>
      <c r="AD594" s="652">
        <f>IF($B594="",,IF(LEFT($H594,5)="dummy",SUMIFS(AvgBonus[avg_bonus],AvgBonus[job_title],$H594),SUMIFS(AvgBonus[avg_bonus],AvgBonus[exp_item],$J594,AvgBonus[company_name],$B594,AvgBonus[bu_name],$C594,AvgBonus[dept_name],$D594,AvgBonus[team_consolidation],$K594,AvgBonus[location_name],$G594,AvgBonus[job_title],$H594))*AD489*SUM(BonusPayout[Month 19]))</f>
        <v>0</v>
      </c>
      <c r="AE594" s="652">
        <f>IF($B594="",,IF(LEFT($H594,5)="dummy",SUMIFS(AvgBonus[avg_bonus],AvgBonus[job_title],$H594),SUMIFS(AvgBonus[avg_bonus],AvgBonus[exp_item],$J594,AvgBonus[company_name],$B594,AvgBonus[bu_name],$C594,AvgBonus[dept_name],$D594,AvgBonus[team_consolidation],$K594,AvgBonus[location_name],$G594,AvgBonus[job_title],$H594))*AE489*SUM(BonusPayout[Month 20]))</f>
        <v>0</v>
      </c>
      <c r="AF594" s="652">
        <f>IF($B594="",,IF(LEFT($H594,5)="dummy",SUMIFS(AvgBonus[avg_bonus],AvgBonus[job_title],$H594),SUMIFS(AvgBonus[avg_bonus],AvgBonus[exp_item],$J594,AvgBonus[company_name],$B594,AvgBonus[bu_name],$C594,AvgBonus[dept_name],$D594,AvgBonus[team_consolidation],$K594,AvgBonus[location_name],$G594,AvgBonus[job_title],$H594))*AF489*SUM(BonusPayout[Month 21]))</f>
        <v>0</v>
      </c>
      <c r="AG594" s="652">
        <f>IF($B594="",,IF(LEFT($H594,5)="dummy",SUMIFS(AvgBonus[avg_bonus],AvgBonus[job_title],$H594),SUMIFS(AvgBonus[avg_bonus],AvgBonus[exp_item],$J594,AvgBonus[company_name],$B594,AvgBonus[bu_name],$C594,AvgBonus[dept_name],$D594,AvgBonus[team_consolidation],$K594,AvgBonus[location_name],$G594,AvgBonus[job_title],$H594))*AG489*SUM(BonusPayout[Month 22]))</f>
        <v>0</v>
      </c>
      <c r="AH594" s="652">
        <f>IF($B594="",,IF(LEFT($H594,5)="dummy",SUMIFS(AvgBonus[avg_bonus],AvgBonus[job_title],$H594),SUMIFS(AvgBonus[avg_bonus],AvgBonus[exp_item],$J594,AvgBonus[company_name],$B594,AvgBonus[bu_name],$C594,AvgBonus[dept_name],$D594,AvgBonus[team_consolidation],$K594,AvgBonus[location_name],$G594,AvgBonus[job_title],$H594))*AH489*SUM(BonusPayout[Month 23]))</f>
        <v>0</v>
      </c>
      <c r="AI594" s="652">
        <f>IF($B594="",,IF(LEFT($H594,5)="dummy",SUMIFS(AvgBonus[avg_bonus],AvgBonus[job_title],$H594),SUMIFS(AvgBonus[avg_bonus],AvgBonus[exp_item],$J594,AvgBonus[company_name],$B594,AvgBonus[bu_name],$C594,AvgBonus[dept_name],$D594,AvgBonus[team_consolidation],$K594,AvgBonus[location_name],$G594,AvgBonus[job_title],$H594))*AI489*SUM(BonusPayout[Month 24]))</f>
        <v>0</v>
      </c>
      <c r="AJ594" s="652">
        <f>IF($B594="",,IF(LEFT($H594,5)="dummy",SUMIFS(AvgBonus[avg_bonus],AvgBonus[job_title],$H594),SUMIFS(AvgBonus[avg_bonus],AvgBonus[exp_item],$J594,AvgBonus[company_name],$B594,AvgBonus[bu_name],$C594,AvgBonus[dept_name],$D594,AvgBonus[team_consolidation],$K594,AvgBonus[location_name],$G594,AvgBonus[job_title],$H594))*AJ489*SUM(BonusPayout[Month 25]))</f>
        <v>0</v>
      </c>
      <c r="AK594" s="652">
        <f>IF($B594="",,IF(LEFT($H594,5)="dummy",SUMIFS(AvgBonus[avg_bonus],AvgBonus[job_title],$H594),SUMIFS(AvgBonus[avg_bonus],AvgBonus[exp_item],$J594,AvgBonus[company_name],$B594,AvgBonus[bu_name],$C594,AvgBonus[dept_name],$D594,AvgBonus[team_consolidation],$K594,AvgBonus[location_name],$G594,AvgBonus[job_title],$H594))*AK489*SUM(BonusPayout[Month 26]))</f>
        <v>0</v>
      </c>
      <c r="AL594" s="652">
        <f>IF($B594="",,IF(LEFT($H594,5)="dummy",SUMIFS(AvgBonus[avg_bonus],AvgBonus[job_title],$H594),SUMIFS(AvgBonus[avg_bonus],AvgBonus[exp_item],$J594,AvgBonus[company_name],$B594,AvgBonus[bu_name],$C594,AvgBonus[dept_name],$D594,AvgBonus[team_consolidation],$K594,AvgBonus[location_name],$G594,AvgBonus[job_title],$H594))*AL489*SUM(BonusPayout[Month 27]))</f>
        <v>0</v>
      </c>
      <c r="AM594" s="652">
        <f>IF($B594="",,IF(LEFT($H594,5)="dummy",SUMIFS(AvgBonus[avg_bonus],AvgBonus[job_title],$H594),SUMIFS(AvgBonus[avg_bonus],AvgBonus[exp_item],$J594,AvgBonus[company_name],$B594,AvgBonus[bu_name],$C594,AvgBonus[dept_name],$D594,AvgBonus[team_consolidation],$K594,AvgBonus[location_name],$G594,AvgBonus[job_title],$H594))*AM489*SUM(BonusPayout[Month 28]))</f>
        <v>0</v>
      </c>
      <c r="AN594" s="652">
        <f>IF($B594="",,IF(LEFT($H594,5)="dummy",SUMIFS(AvgBonus[avg_bonus],AvgBonus[job_title],$H594),SUMIFS(AvgBonus[avg_bonus],AvgBonus[exp_item],$J594,AvgBonus[company_name],$B594,AvgBonus[bu_name],$C594,AvgBonus[dept_name],$D594,AvgBonus[team_consolidation],$K594,AvgBonus[location_name],$G594,AvgBonus[job_title],$H594))*AN489*SUM(BonusPayout[Month 29]))</f>
        <v>0</v>
      </c>
      <c r="AO594" s="652">
        <f>IF($B594="",,IF(LEFT($H594,5)="dummy",SUMIFS(AvgBonus[avg_bonus],AvgBonus[job_title],$H594),SUMIFS(AvgBonus[avg_bonus],AvgBonus[exp_item],$J594,AvgBonus[company_name],$B594,AvgBonus[bu_name],$C594,AvgBonus[dept_name],$D594,AvgBonus[team_consolidation],$K594,AvgBonus[location_name],$G594,AvgBonus[job_title],$H594))*AO489*SUM(BonusPayout[Month 30]))</f>
        <v>0</v>
      </c>
      <c r="AP594" s="652">
        <f>IF($B594="",,IF(LEFT($H594,5)="dummy",SUMIFS(AvgBonus[avg_bonus],AvgBonus[job_title],$H594),SUMIFS(AvgBonus[avg_bonus],AvgBonus[exp_item],$J594,AvgBonus[company_name],$B594,AvgBonus[bu_name],$C594,AvgBonus[dept_name],$D594,AvgBonus[team_consolidation],$K594,AvgBonus[location_name],$G594,AvgBonus[job_title],$H594))*AP489*SUM(BonusPayout[Month 31]))</f>
        <v>0</v>
      </c>
      <c r="AQ594" s="652">
        <f>IF($B594="",,IF(LEFT($H594,5)="dummy",SUMIFS(AvgBonus[avg_bonus],AvgBonus[job_title],$H594),SUMIFS(AvgBonus[avg_bonus],AvgBonus[exp_item],$J594,AvgBonus[company_name],$B594,AvgBonus[bu_name],$C594,AvgBonus[dept_name],$D594,AvgBonus[team_consolidation],$K594,AvgBonus[location_name],$G594,AvgBonus[job_title],$H594))*AQ489*SUM(BonusPayout[Month 32]))</f>
        <v>0</v>
      </c>
      <c r="AR594" s="652">
        <f>IF($B594="",,IF(LEFT($H594,5)="dummy",SUMIFS(AvgBonus[avg_bonus],AvgBonus[job_title],$H594),SUMIFS(AvgBonus[avg_bonus],AvgBonus[exp_item],$J594,AvgBonus[company_name],$B594,AvgBonus[bu_name],$C594,AvgBonus[dept_name],$D594,AvgBonus[team_consolidation],$K594,AvgBonus[location_name],$G594,AvgBonus[job_title],$H594))*AR489*SUM(BonusPayout[Month 33]))</f>
        <v>0</v>
      </c>
      <c r="AS594" s="652">
        <f>IF($B594="",,IF(LEFT($H594,5)="dummy",SUMIFS(AvgBonus[avg_bonus],AvgBonus[job_title],$H594),SUMIFS(AvgBonus[avg_bonus],AvgBonus[exp_item],$J594,AvgBonus[company_name],$B594,AvgBonus[bu_name],$C594,AvgBonus[dept_name],$D594,AvgBonus[team_consolidation],$K594,AvgBonus[location_name],$G594,AvgBonus[job_title],$H594))*AS489*SUM(BonusPayout[Month 34]))</f>
        <v>0</v>
      </c>
      <c r="AT594" s="652">
        <f>IF($B594="",,IF(LEFT($H594,5)="dummy",SUMIFS(AvgBonus[avg_bonus],AvgBonus[job_title],$H594),SUMIFS(AvgBonus[avg_bonus],AvgBonus[exp_item],$J594,AvgBonus[company_name],$B594,AvgBonus[bu_name],$C594,AvgBonus[dept_name],$D594,AvgBonus[team_consolidation],$K594,AvgBonus[location_name],$G594,AvgBonus[job_title],$H594))*AT489*SUM(BonusPayout[Month 35]))</f>
        <v>0</v>
      </c>
      <c r="AU594" s="652">
        <f>IF($B594="",,IF(LEFT($H594,5)="dummy",SUMIFS(AvgBonus[avg_bonus],AvgBonus[job_title],$H594),SUMIFS(AvgBonus[avg_bonus],AvgBonus[exp_item],$J594,AvgBonus[company_name],$B594,AvgBonus[bu_name],$C594,AvgBonus[dept_name],$D594,AvgBonus[team_consolidation],$K594,AvgBonus[location_name],$G594,AvgBonus[job_title],$H594))*AU489*SUM(BonusPayout[Month 36]))</f>
        <v>0</v>
      </c>
    </row>
    <row r="595" spans="1:52" x14ac:dyDescent="0.35">
      <c r="B595" t="str">
        <f t="shared" ref="B595:G595" si="392">IF(B490="","",B490)</f>
        <v/>
      </c>
      <c r="C595" t="str">
        <f t="shared" si="392"/>
        <v/>
      </c>
      <c r="D595" t="str">
        <f t="shared" si="392"/>
        <v/>
      </c>
      <c r="E595" t="str">
        <f t="shared" si="392"/>
        <v/>
      </c>
      <c r="F595" t="str">
        <f t="shared" si="392"/>
        <v/>
      </c>
      <c r="G595" t="str">
        <f t="shared" si="392"/>
        <v/>
      </c>
      <c r="H595" t="str">
        <f t="shared" si="360"/>
        <v/>
      </c>
      <c r="J595" t="str">
        <f>IF($H595="","",IF(VLOOKUP($B$500,ExpItems[],2,0),$B$500&amp;" - "&amp;INDEX(DivisionMapping[category_code],MATCH($D595&amp;$C595,DivisionMapping[dept_bu],0)),$B$500))</f>
        <v/>
      </c>
      <c r="K595" t="str">
        <f t="shared" si="363"/>
        <v/>
      </c>
      <c r="L595" s="652">
        <f>IF($B595="",,IF(LEFT($H595,5)="dummy",SUMIFS(AvgBonus[avg_bonus],AvgBonus[job_title],$H595),SUMIFS(AvgBonus[avg_bonus],AvgBonus[exp_item],$J595,AvgBonus[company_name],$B595,AvgBonus[bu_name],$C595,AvgBonus[dept_name],$D595,AvgBonus[team_consolidation],$K595,AvgBonus[location_name],$G595,AvgBonus[job_title],$H595))*L490*SUM(BonusPayout[Month 1]))</f>
        <v>0</v>
      </c>
      <c r="M595" s="652">
        <f>IF($B595="",,IF(LEFT($H595,5)="dummy",SUMIFS(AvgBonus[avg_bonus],AvgBonus[job_title],$H595),SUMIFS(AvgBonus[avg_bonus],AvgBonus[exp_item],$J595,AvgBonus[company_name],$B595,AvgBonus[bu_name],$C595,AvgBonus[dept_name],$D595,AvgBonus[team_consolidation],$K595,AvgBonus[location_name],$G595,AvgBonus[job_title],$H595))*M490*SUM(BonusPayout[Month 2]))</f>
        <v>0</v>
      </c>
      <c r="N595" s="652">
        <f>IF($B595="",,IF(LEFT($H595,5)="dummy",SUMIFS(AvgBonus[avg_bonus],AvgBonus[job_title],$H595),SUMIFS(AvgBonus[avg_bonus],AvgBonus[exp_item],$J595,AvgBonus[company_name],$B595,AvgBonus[bu_name],$C595,AvgBonus[dept_name],$D595,AvgBonus[team_consolidation],$K595,AvgBonus[location_name],$G595,AvgBonus[job_title],$H595))*N490*SUM(BonusPayout[Month 3]))</f>
        <v>0</v>
      </c>
      <c r="O595" s="652">
        <f>IF($B595="",,IF(LEFT($H595,5)="dummy",SUMIFS(AvgBonus[avg_bonus],AvgBonus[job_title],$H595),SUMIFS(AvgBonus[avg_bonus],AvgBonus[exp_item],$J595,AvgBonus[company_name],$B595,AvgBonus[bu_name],$C595,AvgBonus[dept_name],$D595,AvgBonus[team_consolidation],$K595,AvgBonus[location_name],$G595,AvgBonus[job_title],$H595))*O490*SUM(BonusPayout[Month 4]))</f>
        <v>0</v>
      </c>
      <c r="P595" s="652">
        <f>IF($B595="",,IF(LEFT($H595,5)="dummy",SUMIFS(AvgBonus[avg_bonus],AvgBonus[job_title],$H595),SUMIFS(AvgBonus[avg_bonus],AvgBonus[exp_item],$J595,AvgBonus[company_name],$B595,AvgBonus[bu_name],$C595,AvgBonus[dept_name],$D595,AvgBonus[team_consolidation],$K595,AvgBonus[location_name],$G595,AvgBonus[job_title],$H595))*P490*SUM(BonusPayout[Month 5]))</f>
        <v>0</v>
      </c>
      <c r="Q595" s="652">
        <f>IF($B595="",,IF(LEFT($H595,5)="dummy",SUMIFS(AvgBonus[avg_bonus],AvgBonus[job_title],$H595),SUMIFS(AvgBonus[avg_bonus],AvgBonus[exp_item],$J595,AvgBonus[company_name],$B595,AvgBonus[bu_name],$C595,AvgBonus[dept_name],$D595,AvgBonus[team_consolidation],$K595,AvgBonus[location_name],$G595,AvgBonus[job_title],$H595))*Q490*SUM(BonusPayout[Month 6]))</f>
        <v>0</v>
      </c>
      <c r="R595" s="652">
        <f>IF($B595="",,IF(LEFT($H595,5)="dummy",SUMIFS(AvgBonus[avg_bonus],AvgBonus[job_title],$H595),SUMIFS(AvgBonus[avg_bonus],AvgBonus[exp_item],$J595,AvgBonus[company_name],$B595,AvgBonus[bu_name],$C595,AvgBonus[dept_name],$D595,AvgBonus[team_consolidation],$K595,AvgBonus[location_name],$G595,AvgBonus[job_title],$H595))*R490*SUM(BonusPayout[Month 7]))</f>
        <v>0</v>
      </c>
      <c r="S595" s="652">
        <f>IF($B595="",,IF(LEFT($H595,5)="dummy",SUMIFS(AvgBonus[avg_bonus],AvgBonus[job_title],$H595),SUMIFS(AvgBonus[avg_bonus],AvgBonus[exp_item],$J595,AvgBonus[company_name],$B595,AvgBonus[bu_name],$C595,AvgBonus[dept_name],$D595,AvgBonus[team_consolidation],$K595,AvgBonus[location_name],$G595,AvgBonus[job_title],$H595))*S490*SUM(BonusPayout[Month 8]))</f>
        <v>0</v>
      </c>
      <c r="T595" s="652">
        <f>IF($B595="",,IF(LEFT($H595,5)="dummy",SUMIFS(AvgBonus[avg_bonus],AvgBonus[job_title],$H595),SUMIFS(AvgBonus[avg_bonus],AvgBonus[exp_item],$J595,AvgBonus[company_name],$B595,AvgBonus[bu_name],$C595,AvgBonus[dept_name],$D595,AvgBonus[team_consolidation],$K595,AvgBonus[location_name],$G595,AvgBonus[job_title],$H595))*T490*SUM(BonusPayout[Month 9]))</f>
        <v>0</v>
      </c>
      <c r="U595" s="652">
        <f>IF($B595="",,IF(LEFT($H595,5)="dummy",SUMIFS(AvgBonus[avg_bonus],AvgBonus[job_title],$H595),SUMIFS(AvgBonus[avg_bonus],AvgBonus[exp_item],$J595,AvgBonus[company_name],$B595,AvgBonus[bu_name],$C595,AvgBonus[dept_name],$D595,AvgBonus[team_consolidation],$K595,AvgBonus[location_name],$G595,AvgBonus[job_title],$H595))*U490*SUM(BonusPayout[Month 10]))</f>
        <v>0</v>
      </c>
      <c r="V595" s="652">
        <f>IF($B595="",,IF(LEFT($H595,5)="dummy",SUMIFS(AvgBonus[avg_bonus],AvgBonus[job_title],$H595),SUMIFS(AvgBonus[avg_bonus],AvgBonus[exp_item],$J595,AvgBonus[company_name],$B595,AvgBonus[bu_name],$C595,AvgBonus[dept_name],$D595,AvgBonus[team_consolidation],$K595,AvgBonus[location_name],$G595,AvgBonus[job_title],$H595))*V490*SUM(BonusPayout[Month 11]))</f>
        <v>0</v>
      </c>
      <c r="W595" s="652">
        <f>IF($B595="",,IF(LEFT($H595,5)="dummy",SUMIFS(AvgBonus[avg_bonus],AvgBonus[job_title],$H595),SUMIFS(AvgBonus[avg_bonus],AvgBonus[exp_item],$J595,AvgBonus[company_name],$B595,AvgBonus[bu_name],$C595,AvgBonus[dept_name],$D595,AvgBonus[team_consolidation],$K595,AvgBonus[location_name],$G595,AvgBonus[job_title],$H595))*W490*SUM(BonusPayout[Month 12]))</f>
        <v>0</v>
      </c>
      <c r="X595" s="652">
        <f>IF($B595="",,IF(LEFT($H595,5)="dummy",SUMIFS(AvgBonus[avg_bonus],AvgBonus[job_title],$H595),SUMIFS(AvgBonus[avg_bonus],AvgBonus[exp_item],$J595,AvgBonus[company_name],$B595,AvgBonus[bu_name],$C595,AvgBonus[dept_name],$D595,AvgBonus[team_consolidation],$K595,AvgBonus[location_name],$G595,AvgBonus[job_title],$H595))*X490*SUM(BonusPayout[Month 13]))</f>
        <v>0</v>
      </c>
      <c r="Y595" s="652">
        <f>IF($B595="",,IF(LEFT($H595,5)="dummy",SUMIFS(AvgBonus[avg_bonus],AvgBonus[job_title],$H595),SUMIFS(AvgBonus[avg_bonus],AvgBonus[exp_item],$J595,AvgBonus[company_name],$B595,AvgBonus[bu_name],$C595,AvgBonus[dept_name],$D595,AvgBonus[team_consolidation],$K595,AvgBonus[location_name],$G595,AvgBonus[job_title],$H595))*Y490*SUM(BonusPayout[Month 14]))</f>
        <v>0</v>
      </c>
      <c r="Z595" s="652">
        <f>IF($B595="",,IF(LEFT($H595,5)="dummy",SUMIFS(AvgBonus[avg_bonus],AvgBonus[job_title],$H595),SUMIFS(AvgBonus[avg_bonus],AvgBonus[exp_item],$J595,AvgBonus[company_name],$B595,AvgBonus[bu_name],$C595,AvgBonus[dept_name],$D595,AvgBonus[team_consolidation],$K595,AvgBonus[location_name],$G595,AvgBonus[job_title],$H595))*Z490*SUM(BonusPayout[Month 15]))</f>
        <v>0</v>
      </c>
      <c r="AA595" s="652">
        <f>IF($B595="",,IF(LEFT($H595,5)="dummy",SUMIFS(AvgBonus[avg_bonus],AvgBonus[job_title],$H595),SUMIFS(AvgBonus[avg_bonus],AvgBonus[exp_item],$J595,AvgBonus[company_name],$B595,AvgBonus[bu_name],$C595,AvgBonus[dept_name],$D595,AvgBonus[team_consolidation],$K595,AvgBonus[location_name],$G595,AvgBonus[job_title],$H595))*AA490*SUM(BonusPayout[Month 16]))</f>
        <v>0</v>
      </c>
      <c r="AB595" s="652">
        <f>IF($B595="",,IF(LEFT($H595,5)="dummy",SUMIFS(AvgBonus[avg_bonus],AvgBonus[job_title],$H595),SUMIFS(AvgBonus[avg_bonus],AvgBonus[exp_item],$J595,AvgBonus[company_name],$B595,AvgBonus[bu_name],$C595,AvgBonus[dept_name],$D595,AvgBonus[team_consolidation],$K595,AvgBonus[location_name],$G595,AvgBonus[job_title],$H595))*AB490*SUM(BonusPayout[Month 17]))</f>
        <v>0</v>
      </c>
      <c r="AC595" s="652">
        <f>IF($B595="",,IF(LEFT($H595,5)="dummy",SUMIFS(AvgBonus[avg_bonus],AvgBonus[job_title],$H595),SUMIFS(AvgBonus[avg_bonus],AvgBonus[exp_item],$J595,AvgBonus[company_name],$B595,AvgBonus[bu_name],$C595,AvgBonus[dept_name],$D595,AvgBonus[team_consolidation],$K595,AvgBonus[location_name],$G595,AvgBonus[job_title],$H595))*AC490*SUM(BonusPayout[Month 18]))</f>
        <v>0</v>
      </c>
      <c r="AD595" s="652">
        <f>IF($B595="",,IF(LEFT($H595,5)="dummy",SUMIFS(AvgBonus[avg_bonus],AvgBonus[job_title],$H595),SUMIFS(AvgBonus[avg_bonus],AvgBonus[exp_item],$J595,AvgBonus[company_name],$B595,AvgBonus[bu_name],$C595,AvgBonus[dept_name],$D595,AvgBonus[team_consolidation],$K595,AvgBonus[location_name],$G595,AvgBonus[job_title],$H595))*AD490*SUM(BonusPayout[Month 19]))</f>
        <v>0</v>
      </c>
      <c r="AE595" s="652">
        <f>IF($B595="",,IF(LEFT($H595,5)="dummy",SUMIFS(AvgBonus[avg_bonus],AvgBonus[job_title],$H595),SUMIFS(AvgBonus[avg_bonus],AvgBonus[exp_item],$J595,AvgBonus[company_name],$B595,AvgBonus[bu_name],$C595,AvgBonus[dept_name],$D595,AvgBonus[team_consolidation],$K595,AvgBonus[location_name],$G595,AvgBonus[job_title],$H595))*AE490*SUM(BonusPayout[Month 20]))</f>
        <v>0</v>
      </c>
      <c r="AF595" s="652">
        <f>IF($B595="",,IF(LEFT($H595,5)="dummy",SUMIFS(AvgBonus[avg_bonus],AvgBonus[job_title],$H595),SUMIFS(AvgBonus[avg_bonus],AvgBonus[exp_item],$J595,AvgBonus[company_name],$B595,AvgBonus[bu_name],$C595,AvgBonus[dept_name],$D595,AvgBonus[team_consolidation],$K595,AvgBonus[location_name],$G595,AvgBonus[job_title],$H595))*AF490*SUM(BonusPayout[Month 21]))</f>
        <v>0</v>
      </c>
      <c r="AG595" s="652">
        <f>IF($B595="",,IF(LEFT($H595,5)="dummy",SUMIFS(AvgBonus[avg_bonus],AvgBonus[job_title],$H595),SUMIFS(AvgBonus[avg_bonus],AvgBonus[exp_item],$J595,AvgBonus[company_name],$B595,AvgBonus[bu_name],$C595,AvgBonus[dept_name],$D595,AvgBonus[team_consolidation],$K595,AvgBonus[location_name],$G595,AvgBonus[job_title],$H595))*AG490*SUM(BonusPayout[Month 22]))</f>
        <v>0</v>
      </c>
      <c r="AH595" s="652">
        <f>IF($B595="",,IF(LEFT($H595,5)="dummy",SUMIFS(AvgBonus[avg_bonus],AvgBonus[job_title],$H595),SUMIFS(AvgBonus[avg_bonus],AvgBonus[exp_item],$J595,AvgBonus[company_name],$B595,AvgBonus[bu_name],$C595,AvgBonus[dept_name],$D595,AvgBonus[team_consolidation],$K595,AvgBonus[location_name],$G595,AvgBonus[job_title],$H595))*AH490*SUM(BonusPayout[Month 23]))</f>
        <v>0</v>
      </c>
      <c r="AI595" s="652">
        <f>IF($B595="",,IF(LEFT($H595,5)="dummy",SUMIFS(AvgBonus[avg_bonus],AvgBonus[job_title],$H595),SUMIFS(AvgBonus[avg_bonus],AvgBonus[exp_item],$J595,AvgBonus[company_name],$B595,AvgBonus[bu_name],$C595,AvgBonus[dept_name],$D595,AvgBonus[team_consolidation],$K595,AvgBonus[location_name],$G595,AvgBonus[job_title],$H595))*AI490*SUM(BonusPayout[Month 24]))</f>
        <v>0</v>
      </c>
      <c r="AJ595" s="652">
        <f>IF($B595="",,IF(LEFT($H595,5)="dummy",SUMIFS(AvgBonus[avg_bonus],AvgBonus[job_title],$H595),SUMIFS(AvgBonus[avg_bonus],AvgBonus[exp_item],$J595,AvgBonus[company_name],$B595,AvgBonus[bu_name],$C595,AvgBonus[dept_name],$D595,AvgBonus[team_consolidation],$K595,AvgBonus[location_name],$G595,AvgBonus[job_title],$H595))*AJ490*SUM(BonusPayout[Month 25]))</f>
        <v>0</v>
      </c>
      <c r="AK595" s="652">
        <f>IF($B595="",,IF(LEFT($H595,5)="dummy",SUMIFS(AvgBonus[avg_bonus],AvgBonus[job_title],$H595),SUMIFS(AvgBonus[avg_bonus],AvgBonus[exp_item],$J595,AvgBonus[company_name],$B595,AvgBonus[bu_name],$C595,AvgBonus[dept_name],$D595,AvgBonus[team_consolidation],$K595,AvgBonus[location_name],$G595,AvgBonus[job_title],$H595))*AK490*SUM(BonusPayout[Month 26]))</f>
        <v>0</v>
      </c>
      <c r="AL595" s="652">
        <f>IF($B595="",,IF(LEFT($H595,5)="dummy",SUMIFS(AvgBonus[avg_bonus],AvgBonus[job_title],$H595),SUMIFS(AvgBonus[avg_bonus],AvgBonus[exp_item],$J595,AvgBonus[company_name],$B595,AvgBonus[bu_name],$C595,AvgBonus[dept_name],$D595,AvgBonus[team_consolidation],$K595,AvgBonus[location_name],$G595,AvgBonus[job_title],$H595))*AL490*SUM(BonusPayout[Month 27]))</f>
        <v>0</v>
      </c>
      <c r="AM595" s="652">
        <f>IF($B595="",,IF(LEFT($H595,5)="dummy",SUMIFS(AvgBonus[avg_bonus],AvgBonus[job_title],$H595),SUMIFS(AvgBonus[avg_bonus],AvgBonus[exp_item],$J595,AvgBonus[company_name],$B595,AvgBonus[bu_name],$C595,AvgBonus[dept_name],$D595,AvgBonus[team_consolidation],$K595,AvgBonus[location_name],$G595,AvgBonus[job_title],$H595))*AM490*SUM(BonusPayout[Month 28]))</f>
        <v>0</v>
      </c>
      <c r="AN595" s="652">
        <f>IF($B595="",,IF(LEFT($H595,5)="dummy",SUMIFS(AvgBonus[avg_bonus],AvgBonus[job_title],$H595),SUMIFS(AvgBonus[avg_bonus],AvgBonus[exp_item],$J595,AvgBonus[company_name],$B595,AvgBonus[bu_name],$C595,AvgBonus[dept_name],$D595,AvgBonus[team_consolidation],$K595,AvgBonus[location_name],$G595,AvgBonus[job_title],$H595))*AN490*SUM(BonusPayout[Month 29]))</f>
        <v>0</v>
      </c>
      <c r="AO595" s="652">
        <f>IF($B595="",,IF(LEFT($H595,5)="dummy",SUMIFS(AvgBonus[avg_bonus],AvgBonus[job_title],$H595),SUMIFS(AvgBonus[avg_bonus],AvgBonus[exp_item],$J595,AvgBonus[company_name],$B595,AvgBonus[bu_name],$C595,AvgBonus[dept_name],$D595,AvgBonus[team_consolidation],$K595,AvgBonus[location_name],$G595,AvgBonus[job_title],$H595))*AO490*SUM(BonusPayout[Month 30]))</f>
        <v>0</v>
      </c>
      <c r="AP595" s="652">
        <f>IF($B595="",,IF(LEFT($H595,5)="dummy",SUMIFS(AvgBonus[avg_bonus],AvgBonus[job_title],$H595),SUMIFS(AvgBonus[avg_bonus],AvgBonus[exp_item],$J595,AvgBonus[company_name],$B595,AvgBonus[bu_name],$C595,AvgBonus[dept_name],$D595,AvgBonus[team_consolidation],$K595,AvgBonus[location_name],$G595,AvgBonus[job_title],$H595))*AP490*SUM(BonusPayout[Month 31]))</f>
        <v>0</v>
      </c>
      <c r="AQ595" s="652">
        <f>IF($B595="",,IF(LEFT($H595,5)="dummy",SUMIFS(AvgBonus[avg_bonus],AvgBonus[job_title],$H595),SUMIFS(AvgBonus[avg_bonus],AvgBonus[exp_item],$J595,AvgBonus[company_name],$B595,AvgBonus[bu_name],$C595,AvgBonus[dept_name],$D595,AvgBonus[team_consolidation],$K595,AvgBonus[location_name],$G595,AvgBonus[job_title],$H595))*AQ490*SUM(BonusPayout[Month 32]))</f>
        <v>0</v>
      </c>
      <c r="AR595" s="652">
        <f>IF($B595="",,IF(LEFT($H595,5)="dummy",SUMIFS(AvgBonus[avg_bonus],AvgBonus[job_title],$H595),SUMIFS(AvgBonus[avg_bonus],AvgBonus[exp_item],$J595,AvgBonus[company_name],$B595,AvgBonus[bu_name],$C595,AvgBonus[dept_name],$D595,AvgBonus[team_consolidation],$K595,AvgBonus[location_name],$G595,AvgBonus[job_title],$H595))*AR490*SUM(BonusPayout[Month 33]))</f>
        <v>0</v>
      </c>
      <c r="AS595" s="652">
        <f>IF($B595="",,IF(LEFT($H595,5)="dummy",SUMIFS(AvgBonus[avg_bonus],AvgBonus[job_title],$H595),SUMIFS(AvgBonus[avg_bonus],AvgBonus[exp_item],$J595,AvgBonus[company_name],$B595,AvgBonus[bu_name],$C595,AvgBonus[dept_name],$D595,AvgBonus[team_consolidation],$K595,AvgBonus[location_name],$G595,AvgBonus[job_title],$H595))*AS490*SUM(BonusPayout[Month 34]))</f>
        <v>0</v>
      </c>
      <c r="AT595" s="652">
        <f>IF($B595="",,IF(LEFT($H595,5)="dummy",SUMIFS(AvgBonus[avg_bonus],AvgBonus[job_title],$H595),SUMIFS(AvgBonus[avg_bonus],AvgBonus[exp_item],$J595,AvgBonus[company_name],$B595,AvgBonus[bu_name],$C595,AvgBonus[dept_name],$D595,AvgBonus[team_consolidation],$K595,AvgBonus[location_name],$G595,AvgBonus[job_title],$H595))*AT490*SUM(BonusPayout[Month 35]))</f>
        <v>0</v>
      </c>
      <c r="AU595" s="652">
        <f>IF($B595="",,IF(LEFT($H595,5)="dummy",SUMIFS(AvgBonus[avg_bonus],AvgBonus[job_title],$H595),SUMIFS(AvgBonus[avg_bonus],AvgBonus[exp_item],$J595,AvgBonus[company_name],$B595,AvgBonus[bu_name],$C595,AvgBonus[dept_name],$D595,AvgBonus[team_consolidation],$K595,AvgBonus[location_name],$G595,AvgBonus[job_title],$H595))*AU490*SUM(BonusPayout[Month 36]))</f>
        <v>0</v>
      </c>
    </row>
    <row r="596" spans="1:52" x14ac:dyDescent="0.35">
      <c r="B596" t="str">
        <f t="shared" ref="B596:G596" si="393">IF(B491="","",B491)</f>
        <v/>
      </c>
      <c r="C596" t="str">
        <f t="shared" si="393"/>
        <v/>
      </c>
      <c r="D596" t="str">
        <f t="shared" si="393"/>
        <v/>
      </c>
      <c r="E596" t="str">
        <f t="shared" si="393"/>
        <v/>
      </c>
      <c r="F596" t="str">
        <f t="shared" si="393"/>
        <v/>
      </c>
      <c r="G596" t="str">
        <f t="shared" si="393"/>
        <v/>
      </c>
      <c r="H596" t="str">
        <f t="shared" si="360"/>
        <v/>
      </c>
      <c r="J596" t="str">
        <f>IF($H596="","",IF(VLOOKUP($B$500,ExpItems[],2,0),$B$500&amp;" - "&amp;INDEX(DivisionMapping[category_code],MATCH($D596&amp;$C596,DivisionMapping[dept_bu],0)),$B$500))</f>
        <v/>
      </c>
      <c r="K596" t="str">
        <f t="shared" si="363"/>
        <v/>
      </c>
      <c r="L596" s="652">
        <f>IF($B596="",,IF(LEFT($H596,5)="dummy",SUMIFS(AvgBonus[avg_bonus],AvgBonus[job_title],$H596),SUMIFS(AvgBonus[avg_bonus],AvgBonus[exp_item],$J596,AvgBonus[company_name],$B596,AvgBonus[bu_name],$C596,AvgBonus[dept_name],$D596,AvgBonus[team_consolidation],$K596,AvgBonus[location_name],$G596,AvgBonus[job_title],$H596))*L491*SUM(BonusPayout[Month 1]))</f>
        <v>0</v>
      </c>
      <c r="M596" s="652">
        <f>IF($B596="",,IF(LEFT($H596,5)="dummy",SUMIFS(AvgBonus[avg_bonus],AvgBonus[job_title],$H596),SUMIFS(AvgBonus[avg_bonus],AvgBonus[exp_item],$J596,AvgBonus[company_name],$B596,AvgBonus[bu_name],$C596,AvgBonus[dept_name],$D596,AvgBonus[team_consolidation],$K596,AvgBonus[location_name],$G596,AvgBonus[job_title],$H596))*M491*SUM(BonusPayout[Month 2]))</f>
        <v>0</v>
      </c>
      <c r="N596" s="652">
        <f>IF($B596="",,IF(LEFT($H596,5)="dummy",SUMIFS(AvgBonus[avg_bonus],AvgBonus[job_title],$H596),SUMIFS(AvgBonus[avg_bonus],AvgBonus[exp_item],$J596,AvgBonus[company_name],$B596,AvgBonus[bu_name],$C596,AvgBonus[dept_name],$D596,AvgBonus[team_consolidation],$K596,AvgBonus[location_name],$G596,AvgBonus[job_title],$H596))*N491*SUM(BonusPayout[Month 3]))</f>
        <v>0</v>
      </c>
      <c r="O596" s="652">
        <f>IF($B596="",,IF(LEFT($H596,5)="dummy",SUMIFS(AvgBonus[avg_bonus],AvgBonus[job_title],$H596),SUMIFS(AvgBonus[avg_bonus],AvgBonus[exp_item],$J596,AvgBonus[company_name],$B596,AvgBonus[bu_name],$C596,AvgBonus[dept_name],$D596,AvgBonus[team_consolidation],$K596,AvgBonus[location_name],$G596,AvgBonus[job_title],$H596))*O491*SUM(BonusPayout[Month 4]))</f>
        <v>0</v>
      </c>
      <c r="P596" s="652">
        <f>IF($B596="",,IF(LEFT($H596,5)="dummy",SUMIFS(AvgBonus[avg_bonus],AvgBonus[job_title],$H596),SUMIFS(AvgBonus[avg_bonus],AvgBonus[exp_item],$J596,AvgBonus[company_name],$B596,AvgBonus[bu_name],$C596,AvgBonus[dept_name],$D596,AvgBonus[team_consolidation],$K596,AvgBonus[location_name],$G596,AvgBonus[job_title],$H596))*P491*SUM(BonusPayout[Month 5]))</f>
        <v>0</v>
      </c>
      <c r="Q596" s="652">
        <f>IF($B596="",,IF(LEFT($H596,5)="dummy",SUMIFS(AvgBonus[avg_bonus],AvgBonus[job_title],$H596),SUMIFS(AvgBonus[avg_bonus],AvgBonus[exp_item],$J596,AvgBonus[company_name],$B596,AvgBonus[bu_name],$C596,AvgBonus[dept_name],$D596,AvgBonus[team_consolidation],$K596,AvgBonus[location_name],$G596,AvgBonus[job_title],$H596))*Q491*SUM(BonusPayout[Month 6]))</f>
        <v>0</v>
      </c>
      <c r="R596" s="652">
        <f>IF($B596="",,IF(LEFT($H596,5)="dummy",SUMIFS(AvgBonus[avg_bonus],AvgBonus[job_title],$H596),SUMIFS(AvgBonus[avg_bonus],AvgBonus[exp_item],$J596,AvgBonus[company_name],$B596,AvgBonus[bu_name],$C596,AvgBonus[dept_name],$D596,AvgBonus[team_consolidation],$K596,AvgBonus[location_name],$G596,AvgBonus[job_title],$H596))*R491*SUM(BonusPayout[Month 7]))</f>
        <v>0</v>
      </c>
      <c r="S596" s="652">
        <f>IF($B596="",,IF(LEFT($H596,5)="dummy",SUMIFS(AvgBonus[avg_bonus],AvgBonus[job_title],$H596),SUMIFS(AvgBonus[avg_bonus],AvgBonus[exp_item],$J596,AvgBonus[company_name],$B596,AvgBonus[bu_name],$C596,AvgBonus[dept_name],$D596,AvgBonus[team_consolidation],$K596,AvgBonus[location_name],$G596,AvgBonus[job_title],$H596))*S491*SUM(BonusPayout[Month 8]))</f>
        <v>0</v>
      </c>
      <c r="T596" s="652">
        <f>IF($B596="",,IF(LEFT($H596,5)="dummy",SUMIFS(AvgBonus[avg_bonus],AvgBonus[job_title],$H596),SUMIFS(AvgBonus[avg_bonus],AvgBonus[exp_item],$J596,AvgBonus[company_name],$B596,AvgBonus[bu_name],$C596,AvgBonus[dept_name],$D596,AvgBonus[team_consolidation],$K596,AvgBonus[location_name],$G596,AvgBonus[job_title],$H596))*T491*SUM(BonusPayout[Month 9]))</f>
        <v>0</v>
      </c>
      <c r="U596" s="652">
        <f>IF($B596="",,IF(LEFT($H596,5)="dummy",SUMIFS(AvgBonus[avg_bonus],AvgBonus[job_title],$H596),SUMIFS(AvgBonus[avg_bonus],AvgBonus[exp_item],$J596,AvgBonus[company_name],$B596,AvgBonus[bu_name],$C596,AvgBonus[dept_name],$D596,AvgBonus[team_consolidation],$K596,AvgBonus[location_name],$G596,AvgBonus[job_title],$H596))*U491*SUM(BonusPayout[Month 10]))</f>
        <v>0</v>
      </c>
      <c r="V596" s="652">
        <f>IF($B596="",,IF(LEFT($H596,5)="dummy",SUMIFS(AvgBonus[avg_bonus],AvgBonus[job_title],$H596),SUMIFS(AvgBonus[avg_bonus],AvgBonus[exp_item],$J596,AvgBonus[company_name],$B596,AvgBonus[bu_name],$C596,AvgBonus[dept_name],$D596,AvgBonus[team_consolidation],$K596,AvgBonus[location_name],$G596,AvgBonus[job_title],$H596))*V491*SUM(BonusPayout[Month 11]))</f>
        <v>0</v>
      </c>
      <c r="W596" s="652">
        <f>IF($B596="",,IF(LEFT($H596,5)="dummy",SUMIFS(AvgBonus[avg_bonus],AvgBonus[job_title],$H596),SUMIFS(AvgBonus[avg_bonus],AvgBonus[exp_item],$J596,AvgBonus[company_name],$B596,AvgBonus[bu_name],$C596,AvgBonus[dept_name],$D596,AvgBonus[team_consolidation],$K596,AvgBonus[location_name],$G596,AvgBonus[job_title],$H596))*W491*SUM(BonusPayout[Month 12]))</f>
        <v>0</v>
      </c>
      <c r="X596" s="652">
        <f>IF($B596="",,IF(LEFT($H596,5)="dummy",SUMIFS(AvgBonus[avg_bonus],AvgBonus[job_title],$H596),SUMIFS(AvgBonus[avg_bonus],AvgBonus[exp_item],$J596,AvgBonus[company_name],$B596,AvgBonus[bu_name],$C596,AvgBonus[dept_name],$D596,AvgBonus[team_consolidation],$K596,AvgBonus[location_name],$G596,AvgBonus[job_title],$H596))*X491*SUM(BonusPayout[Month 13]))</f>
        <v>0</v>
      </c>
      <c r="Y596" s="652">
        <f>IF($B596="",,IF(LEFT($H596,5)="dummy",SUMIFS(AvgBonus[avg_bonus],AvgBonus[job_title],$H596),SUMIFS(AvgBonus[avg_bonus],AvgBonus[exp_item],$J596,AvgBonus[company_name],$B596,AvgBonus[bu_name],$C596,AvgBonus[dept_name],$D596,AvgBonus[team_consolidation],$K596,AvgBonus[location_name],$G596,AvgBonus[job_title],$H596))*Y491*SUM(BonusPayout[Month 14]))</f>
        <v>0</v>
      </c>
      <c r="Z596" s="652">
        <f>IF($B596="",,IF(LEFT($H596,5)="dummy",SUMIFS(AvgBonus[avg_bonus],AvgBonus[job_title],$H596),SUMIFS(AvgBonus[avg_bonus],AvgBonus[exp_item],$J596,AvgBonus[company_name],$B596,AvgBonus[bu_name],$C596,AvgBonus[dept_name],$D596,AvgBonus[team_consolidation],$K596,AvgBonus[location_name],$G596,AvgBonus[job_title],$H596))*Z491*SUM(BonusPayout[Month 15]))</f>
        <v>0</v>
      </c>
      <c r="AA596" s="652">
        <f>IF($B596="",,IF(LEFT($H596,5)="dummy",SUMIFS(AvgBonus[avg_bonus],AvgBonus[job_title],$H596),SUMIFS(AvgBonus[avg_bonus],AvgBonus[exp_item],$J596,AvgBonus[company_name],$B596,AvgBonus[bu_name],$C596,AvgBonus[dept_name],$D596,AvgBonus[team_consolidation],$K596,AvgBonus[location_name],$G596,AvgBonus[job_title],$H596))*AA491*SUM(BonusPayout[Month 16]))</f>
        <v>0</v>
      </c>
      <c r="AB596" s="652">
        <f>IF($B596="",,IF(LEFT($H596,5)="dummy",SUMIFS(AvgBonus[avg_bonus],AvgBonus[job_title],$H596),SUMIFS(AvgBonus[avg_bonus],AvgBonus[exp_item],$J596,AvgBonus[company_name],$B596,AvgBonus[bu_name],$C596,AvgBonus[dept_name],$D596,AvgBonus[team_consolidation],$K596,AvgBonus[location_name],$G596,AvgBonus[job_title],$H596))*AB491*SUM(BonusPayout[Month 17]))</f>
        <v>0</v>
      </c>
      <c r="AC596" s="652">
        <f>IF($B596="",,IF(LEFT($H596,5)="dummy",SUMIFS(AvgBonus[avg_bonus],AvgBonus[job_title],$H596),SUMIFS(AvgBonus[avg_bonus],AvgBonus[exp_item],$J596,AvgBonus[company_name],$B596,AvgBonus[bu_name],$C596,AvgBonus[dept_name],$D596,AvgBonus[team_consolidation],$K596,AvgBonus[location_name],$G596,AvgBonus[job_title],$H596))*AC491*SUM(BonusPayout[Month 18]))</f>
        <v>0</v>
      </c>
      <c r="AD596" s="652">
        <f>IF($B596="",,IF(LEFT($H596,5)="dummy",SUMIFS(AvgBonus[avg_bonus],AvgBonus[job_title],$H596),SUMIFS(AvgBonus[avg_bonus],AvgBonus[exp_item],$J596,AvgBonus[company_name],$B596,AvgBonus[bu_name],$C596,AvgBonus[dept_name],$D596,AvgBonus[team_consolidation],$K596,AvgBonus[location_name],$G596,AvgBonus[job_title],$H596))*AD491*SUM(BonusPayout[Month 19]))</f>
        <v>0</v>
      </c>
      <c r="AE596" s="652">
        <f>IF($B596="",,IF(LEFT($H596,5)="dummy",SUMIFS(AvgBonus[avg_bonus],AvgBonus[job_title],$H596),SUMIFS(AvgBonus[avg_bonus],AvgBonus[exp_item],$J596,AvgBonus[company_name],$B596,AvgBonus[bu_name],$C596,AvgBonus[dept_name],$D596,AvgBonus[team_consolidation],$K596,AvgBonus[location_name],$G596,AvgBonus[job_title],$H596))*AE491*SUM(BonusPayout[Month 20]))</f>
        <v>0</v>
      </c>
      <c r="AF596" s="652">
        <f>IF($B596="",,IF(LEFT($H596,5)="dummy",SUMIFS(AvgBonus[avg_bonus],AvgBonus[job_title],$H596),SUMIFS(AvgBonus[avg_bonus],AvgBonus[exp_item],$J596,AvgBonus[company_name],$B596,AvgBonus[bu_name],$C596,AvgBonus[dept_name],$D596,AvgBonus[team_consolidation],$K596,AvgBonus[location_name],$G596,AvgBonus[job_title],$H596))*AF491*SUM(BonusPayout[Month 21]))</f>
        <v>0</v>
      </c>
      <c r="AG596" s="652">
        <f>IF($B596="",,IF(LEFT($H596,5)="dummy",SUMIFS(AvgBonus[avg_bonus],AvgBonus[job_title],$H596),SUMIFS(AvgBonus[avg_bonus],AvgBonus[exp_item],$J596,AvgBonus[company_name],$B596,AvgBonus[bu_name],$C596,AvgBonus[dept_name],$D596,AvgBonus[team_consolidation],$K596,AvgBonus[location_name],$G596,AvgBonus[job_title],$H596))*AG491*SUM(BonusPayout[Month 22]))</f>
        <v>0</v>
      </c>
      <c r="AH596" s="652">
        <f>IF($B596="",,IF(LEFT($H596,5)="dummy",SUMIFS(AvgBonus[avg_bonus],AvgBonus[job_title],$H596),SUMIFS(AvgBonus[avg_bonus],AvgBonus[exp_item],$J596,AvgBonus[company_name],$B596,AvgBonus[bu_name],$C596,AvgBonus[dept_name],$D596,AvgBonus[team_consolidation],$K596,AvgBonus[location_name],$G596,AvgBonus[job_title],$H596))*AH491*SUM(BonusPayout[Month 23]))</f>
        <v>0</v>
      </c>
      <c r="AI596" s="652">
        <f>IF($B596="",,IF(LEFT($H596,5)="dummy",SUMIFS(AvgBonus[avg_bonus],AvgBonus[job_title],$H596),SUMIFS(AvgBonus[avg_bonus],AvgBonus[exp_item],$J596,AvgBonus[company_name],$B596,AvgBonus[bu_name],$C596,AvgBonus[dept_name],$D596,AvgBonus[team_consolidation],$K596,AvgBonus[location_name],$G596,AvgBonus[job_title],$H596))*AI491*SUM(BonusPayout[Month 24]))</f>
        <v>0</v>
      </c>
      <c r="AJ596" s="652">
        <f>IF($B596="",,IF(LEFT($H596,5)="dummy",SUMIFS(AvgBonus[avg_bonus],AvgBonus[job_title],$H596),SUMIFS(AvgBonus[avg_bonus],AvgBonus[exp_item],$J596,AvgBonus[company_name],$B596,AvgBonus[bu_name],$C596,AvgBonus[dept_name],$D596,AvgBonus[team_consolidation],$K596,AvgBonus[location_name],$G596,AvgBonus[job_title],$H596))*AJ491*SUM(BonusPayout[Month 25]))</f>
        <v>0</v>
      </c>
      <c r="AK596" s="652">
        <f>IF($B596="",,IF(LEFT($H596,5)="dummy",SUMIFS(AvgBonus[avg_bonus],AvgBonus[job_title],$H596),SUMIFS(AvgBonus[avg_bonus],AvgBonus[exp_item],$J596,AvgBonus[company_name],$B596,AvgBonus[bu_name],$C596,AvgBonus[dept_name],$D596,AvgBonus[team_consolidation],$K596,AvgBonus[location_name],$G596,AvgBonus[job_title],$H596))*AK491*SUM(BonusPayout[Month 26]))</f>
        <v>0</v>
      </c>
      <c r="AL596" s="652">
        <f>IF($B596="",,IF(LEFT($H596,5)="dummy",SUMIFS(AvgBonus[avg_bonus],AvgBonus[job_title],$H596),SUMIFS(AvgBonus[avg_bonus],AvgBonus[exp_item],$J596,AvgBonus[company_name],$B596,AvgBonus[bu_name],$C596,AvgBonus[dept_name],$D596,AvgBonus[team_consolidation],$K596,AvgBonus[location_name],$G596,AvgBonus[job_title],$H596))*AL491*SUM(BonusPayout[Month 27]))</f>
        <v>0</v>
      </c>
      <c r="AM596" s="652">
        <f>IF($B596="",,IF(LEFT($H596,5)="dummy",SUMIFS(AvgBonus[avg_bonus],AvgBonus[job_title],$H596),SUMIFS(AvgBonus[avg_bonus],AvgBonus[exp_item],$J596,AvgBonus[company_name],$B596,AvgBonus[bu_name],$C596,AvgBonus[dept_name],$D596,AvgBonus[team_consolidation],$K596,AvgBonus[location_name],$G596,AvgBonus[job_title],$H596))*AM491*SUM(BonusPayout[Month 28]))</f>
        <v>0</v>
      </c>
      <c r="AN596" s="652">
        <f>IF($B596="",,IF(LEFT($H596,5)="dummy",SUMIFS(AvgBonus[avg_bonus],AvgBonus[job_title],$H596),SUMIFS(AvgBonus[avg_bonus],AvgBonus[exp_item],$J596,AvgBonus[company_name],$B596,AvgBonus[bu_name],$C596,AvgBonus[dept_name],$D596,AvgBonus[team_consolidation],$K596,AvgBonus[location_name],$G596,AvgBonus[job_title],$H596))*AN491*SUM(BonusPayout[Month 29]))</f>
        <v>0</v>
      </c>
      <c r="AO596" s="652">
        <f>IF($B596="",,IF(LEFT($H596,5)="dummy",SUMIFS(AvgBonus[avg_bonus],AvgBonus[job_title],$H596),SUMIFS(AvgBonus[avg_bonus],AvgBonus[exp_item],$J596,AvgBonus[company_name],$B596,AvgBonus[bu_name],$C596,AvgBonus[dept_name],$D596,AvgBonus[team_consolidation],$K596,AvgBonus[location_name],$G596,AvgBonus[job_title],$H596))*AO491*SUM(BonusPayout[Month 30]))</f>
        <v>0</v>
      </c>
      <c r="AP596" s="652">
        <f>IF($B596="",,IF(LEFT($H596,5)="dummy",SUMIFS(AvgBonus[avg_bonus],AvgBonus[job_title],$H596),SUMIFS(AvgBonus[avg_bonus],AvgBonus[exp_item],$J596,AvgBonus[company_name],$B596,AvgBonus[bu_name],$C596,AvgBonus[dept_name],$D596,AvgBonus[team_consolidation],$K596,AvgBonus[location_name],$G596,AvgBonus[job_title],$H596))*AP491*SUM(BonusPayout[Month 31]))</f>
        <v>0</v>
      </c>
      <c r="AQ596" s="652">
        <f>IF($B596="",,IF(LEFT($H596,5)="dummy",SUMIFS(AvgBonus[avg_bonus],AvgBonus[job_title],$H596),SUMIFS(AvgBonus[avg_bonus],AvgBonus[exp_item],$J596,AvgBonus[company_name],$B596,AvgBonus[bu_name],$C596,AvgBonus[dept_name],$D596,AvgBonus[team_consolidation],$K596,AvgBonus[location_name],$G596,AvgBonus[job_title],$H596))*AQ491*SUM(BonusPayout[Month 32]))</f>
        <v>0</v>
      </c>
      <c r="AR596" s="652">
        <f>IF($B596="",,IF(LEFT($H596,5)="dummy",SUMIFS(AvgBonus[avg_bonus],AvgBonus[job_title],$H596),SUMIFS(AvgBonus[avg_bonus],AvgBonus[exp_item],$J596,AvgBonus[company_name],$B596,AvgBonus[bu_name],$C596,AvgBonus[dept_name],$D596,AvgBonus[team_consolidation],$K596,AvgBonus[location_name],$G596,AvgBonus[job_title],$H596))*AR491*SUM(BonusPayout[Month 33]))</f>
        <v>0</v>
      </c>
      <c r="AS596" s="652">
        <f>IF($B596="",,IF(LEFT($H596,5)="dummy",SUMIFS(AvgBonus[avg_bonus],AvgBonus[job_title],$H596),SUMIFS(AvgBonus[avg_bonus],AvgBonus[exp_item],$J596,AvgBonus[company_name],$B596,AvgBonus[bu_name],$C596,AvgBonus[dept_name],$D596,AvgBonus[team_consolidation],$K596,AvgBonus[location_name],$G596,AvgBonus[job_title],$H596))*AS491*SUM(BonusPayout[Month 34]))</f>
        <v>0</v>
      </c>
      <c r="AT596" s="652">
        <f>IF($B596="",,IF(LEFT($H596,5)="dummy",SUMIFS(AvgBonus[avg_bonus],AvgBonus[job_title],$H596),SUMIFS(AvgBonus[avg_bonus],AvgBonus[exp_item],$J596,AvgBonus[company_name],$B596,AvgBonus[bu_name],$C596,AvgBonus[dept_name],$D596,AvgBonus[team_consolidation],$K596,AvgBonus[location_name],$G596,AvgBonus[job_title],$H596))*AT491*SUM(BonusPayout[Month 35]))</f>
        <v>0</v>
      </c>
      <c r="AU596" s="652">
        <f>IF($B596="",,IF(LEFT($H596,5)="dummy",SUMIFS(AvgBonus[avg_bonus],AvgBonus[job_title],$H596),SUMIFS(AvgBonus[avg_bonus],AvgBonus[exp_item],$J596,AvgBonus[company_name],$B596,AvgBonus[bu_name],$C596,AvgBonus[dept_name],$D596,AvgBonus[team_consolidation],$K596,AvgBonus[location_name],$G596,AvgBonus[job_title],$H596))*AU491*SUM(BonusPayout[Month 36]))</f>
        <v>0</v>
      </c>
    </row>
    <row r="597" spans="1:52" x14ac:dyDescent="0.35">
      <c r="B597" t="str">
        <f t="shared" ref="B597:G597" si="394">IF(B492="","",B492)</f>
        <v/>
      </c>
      <c r="C597" t="str">
        <f t="shared" si="394"/>
        <v/>
      </c>
      <c r="D597" t="str">
        <f t="shared" si="394"/>
        <v/>
      </c>
      <c r="E597" t="str">
        <f t="shared" si="394"/>
        <v/>
      </c>
      <c r="F597" t="str">
        <f t="shared" si="394"/>
        <v/>
      </c>
      <c r="G597" t="str">
        <f t="shared" si="394"/>
        <v/>
      </c>
      <c r="H597" t="str">
        <f t="shared" ref="H597:H601" si="395">IF(H282="","",H282)</f>
        <v/>
      </c>
      <c r="J597" t="str">
        <f>IF($H597="","",IF(VLOOKUP($B$500,ExpItems[],2,0),$B$500&amp;" - "&amp;INDEX(DivisionMapping[category_code],MATCH($D597&amp;$C597,DivisionMapping[dept_bu],0)),$B$500))</f>
        <v/>
      </c>
      <c r="K597" t="str">
        <f t="shared" si="363"/>
        <v/>
      </c>
      <c r="L597" s="652">
        <f>IF($B597="",,IF(LEFT($H597,5)="dummy",SUMIFS(AvgBonus[avg_bonus],AvgBonus[job_title],$H597),SUMIFS(AvgBonus[avg_bonus],AvgBonus[exp_item],$J597,AvgBonus[company_name],$B597,AvgBonus[bu_name],$C597,AvgBonus[dept_name],$D597,AvgBonus[team_consolidation],$K597,AvgBonus[location_name],$G597,AvgBonus[job_title],$H597))*L492*SUM(BonusPayout[Month 1]))</f>
        <v>0</v>
      </c>
      <c r="M597" s="652">
        <f>IF($B597="",,IF(LEFT($H597,5)="dummy",SUMIFS(AvgBonus[avg_bonus],AvgBonus[job_title],$H597),SUMIFS(AvgBonus[avg_bonus],AvgBonus[exp_item],$J597,AvgBonus[company_name],$B597,AvgBonus[bu_name],$C597,AvgBonus[dept_name],$D597,AvgBonus[team_consolidation],$K597,AvgBonus[location_name],$G597,AvgBonus[job_title],$H597))*M492*SUM(BonusPayout[Month 2]))</f>
        <v>0</v>
      </c>
      <c r="N597" s="652">
        <f>IF($B597="",,IF(LEFT($H597,5)="dummy",SUMIFS(AvgBonus[avg_bonus],AvgBonus[job_title],$H597),SUMIFS(AvgBonus[avg_bonus],AvgBonus[exp_item],$J597,AvgBonus[company_name],$B597,AvgBonus[bu_name],$C597,AvgBonus[dept_name],$D597,AvgBonus[team_consolidation],$K597,AvgBonus[location_name],$G597,AvgBonus[job_title],$H597))*N492*SUM(BonusPayout[Month 3]))</f>
        <v>0</v>
      </c>
      <c r="O597" s="652">
        <f>IF($B597="",,IF(LEFT($H597,5)="dummy",SUMIFS(AvgBonus[avg_bonus],AvgBonus[job_title],$H597),SUMIFS(AvgBonus[avg_bonus],AvgBonus[exp_item],$J597,AvgBonus[company_name],$B597,AvgBonus[bu_name],$C597,AvgBonus[dept_name],$D597,AvgBonus[team_consolidation],$K597,AvgBonus[location_name],$G597,AvgBonus[job_title],$H597))*O492*SUM(BonusPayout[Month 4]))</f>
        <v>0</v>
      </c>
      <c r="P597" s="652">
        <f>IF($B597="",,IF(LEFT($H597,5)="dummy",SUMIFS(AvgBonus[avg_bonus],AvgBonus[job_title],$H597),SUMIFS(AvgBonus[avg_bonus],AvgBonus[exp_item],$J597,AvgBonus[company_name],$B597,AvgBonus[bu_name],$C597,AvgBonus[dept_name],$D597,AvgBonus[team_consolidation],$K597,AvgBonus[location_name],$G597,AvgBonus[job_title],$H597))*P492*SUM(BonusPayout[Month 5]))</f>
        <v>0</v>
      </c>
      <c r="Q597" s="652">
        <f>IF($B597="",,IF(LEFT($H597,5)="dummy",SUMIFS(AvgBonus[avg_bonus],AvgBonus[job_title],$H597),SUMIFS(AvgBonus[avg_bonus],AvgBonus[exp_item],$J597,AvgBonus[company_name],$B597,AvgBonus[bu_name],$C597,AvgBonus[dept_name],$D597,AvgBonus[team_consolidation],$K597,AvgBonus[location_name],$G597,AvgBonus[job_title],$H597))*Q492*SUM(BonusPayout[Month 6]))</f>
        <v>0</v>
      </c>
      <c r="R597" s="652">
        <f>IF($B597="",,IF(LEFT($H597,5)="dummy",SUMIFS(AvgBonus[avg_bonus],AvgBonus[job_title],$H597),SUMIFS(AvgBonus[avg_bonus],AvgBonus[exp_item],$J597,AvgBonus[company_name],$B597,AvgBonus[bu_name],$C597,AvgBonus[dept_name],$D597,AvgBonus[team_consolidation],$K597,AvgBonus[location_name],$G597,AvgBonus[job_title],$H597))*R492*SUM(BonusPayout[Month 7]))</f>
        <v>0</v>
      </c>
      <c r="S597" s="652">
        <f>IF($B597="",,IF(LEFT($H597,5)="dummy",SUMIFS(AvgBonus[avg_bonus],AvgBonus[job_title],$H597),SUMIFS(AvgBonus[avg_bonus],AvgBonus[exp_item],$J597,AvgBonus[company_name],$B597,AvgBonus[bu_name],$C597,AvgBonus[dept_name],$D597,AvgBonus[team_consolidation],$K597,AvgBonus[location_name],$G597,AvgBonus[job_title],$H597))*S492*SUM(BonusPayout[Month 8]))</f>
        <v>0</v>
      </c>
      <c r="T597" s="652">
        <f>IF($B597="",,IF(LEFT($H597,5)="dummy",SUMIFS(AvgBonus[avg_bonus],AvgBonus[job_title],$H597),SUMIFS(AvgBonus[avg_bonus],AvgBonus[exp_item],$J597,AvgBonus[company_name],$B597,AvgBonus[bu_name],$C597,AvgBonus[dept_name],$D597,AvgBonus[team_consolidation],$K597,AvgBonus[location_name],$G597,AvgBonus[job_title],$H597))*T492*SUM(BonusPayout[Month 9]))</f>
        <v>0</v>
      </c>
      <c r="U597" s="652">
        <f>IF($B597="",,IF(LEFT($H597,5)="dummy",SUMIFS(AvgBonus[avg_bonus],AvgBonus[job_title],$H597),SUMIFS(AvgBonus[avg_bonus],AvgBonus[exp_item],$J597,AvgBonus[company_name],$B597,AvgBonus[bu_name],$C597,AvgBonus[dept_name],$D597,AvgBonus[team_consolidation],$K597,AvgBonus[location_name],$G597,AvgBonus[job_title],$H597))*U492*SUM(BonusPayout[Month 10]))</f>
        <v>0</v>
      </c>
      <c r="V597" s="652">
        <f>IF($B597="",,IF(LEFT($H597,5)="dummy",SUMIFS(AvgBonus[avg_bonus],AvgBonus[job_title],$H597),SUMIFS(AvgBonus[avg_bonus],AvgBonus[exp_item],$J597,AvgBonus[company_name],$B597,AvgBonus[bu_name],$C597,AvgBonus[dept_name],$D597,AvgBonus[team_consolidation],$K597,AvgBonus[location_name],$G597,AvgBonus[job_title],$H597))*V492*SUM(BonusPayout[Month 11]))</f>
        <v>0</v>
      </c>
      <c r="W597" s="652">
        <f>IF($B597="",,IF(LEFT($H597,5)="dummy",SUMIFS(AvgBonus[avg_bonus],AvgBonus[job_title],$H597),SUMIFS(AvgBonus[avg_bonus],AvgBonus[exp_item],$J597,AvgBonus[company_name],$B597,AvgBonus[bu_name],$C597,AvgBonus[dept_name],$D597,AvgBonus[team_consolidation],$K597,AvgBonus[location_name],$G597,AvgBonus[job_title],$H597))*W492*SUM(BonusPayout[Month 12]))</f>
        <v>0</v>
      </c>
      <c r="X597" s="652">
        <f>IF($B597="",,IF(LEFT($H597,5)="dummy",SUMIFS(AvgBonus[avg_bonus],AvgBonus[job_title],$H597),SUMIFS(AvgBonus[avg_bonus],AvgBonus[exp_item],$J597,AvgBonus[company_name],$B597,AvgBonus[bu_name],$C597,AvgBonus[dept_name],$D597,AvgBonus[team_consolidation],$K597,AvgBonus[location_name],$G597,AvgBonus[job_title],$H597))*X492*SUM(BonusPayout[Month 13]))</f>
        <v>0</v>
      </c>
      <c r="Y597" s="652">
        <f>IF($B597="",,IF(LEFT($H597,5)="dummy",SUMIFS(AvgBonus[avg_bonus],AvgBonus[job_title],$H597),SUMIFS(AvgBonus[avg_bonus],AvgBonus[exp_item],$J597,AvgBonus[company_name],$B597,AvgBonus[bu_name],$C597,AvgBonus[dept_name],$D597,AvgBonus[team_consolidation],$K597,AvgBonus[location_name],$G597,AvgBonus[job_title],$H597))*Y492*SUM(BonusPayout[Month 14]))</f>
        <v>0</v>
      </c>
      <c r="Z597" s="652">
        <f>IF($B597="",,IF(LEFT($H597,5)="dummy",SUMIFS(AvgBonus[avg_bonus],AvgBonus[job_title],$H597),SUMIFS(AvgBonus[avg_bonus],AvgBonus[exp_item],$J597,AvgBonus[company_name],$B597,AvgBonus[bu_name],$C597,AvgBonus[dept_name],$D597,AvgBonus[team_consolidation],$K597,AvgBonus[location_name],$G597,AvgBonus[job_title],$H597))*Z492*SUM(BonusPayout[Month 15]))</f>
        <v>0</v>
      </c>
      <c r="AA597" s="652">
        <f>IF($B597="",,IF(LEFT($H597,5)="dummy",SUMIFS(AvgBonus[avg_bonus],AvgBonus[job_title],$H597),SUMIFS(AvgBonus[avg_bonus],AvgBonus[exp_item],$J597,AvgBonus[company_name],$B597,AvgBonus[bu_name],$C597,AvgBonus[dept_name],$D597,AvgBonus[team_consolidation],$K597,AvgBonus[location_name],$G597,AvgBonus[job_title],$H597))*AA492*SUM(BonusPayout[Month 16]))</f>
        <v>0</v>
      </c>
      <c r="AB597" s="652">
        <f>IF($B597="",,IF(LEFT($H597,5)="dummy",SUMIFS(AvgBonus[avg_bonus],AvgBonus[job_title],$H597),SUMIFS(AvgBonus[avg_bonus],AvgBonus[exp_item],$J597,AvgBonus[company_name],$B597,AvgBonus[bu_name],$C597,AvgBonus[dept_name],$D597,AvgBonus[team_consolidation],$K597,AvgBonus[location_name],$G597,AvgBonus[job_title],$H597))*AB492*SUM(BonusPayout[Month 17]))</f>
        <v>0</v>
      </c>
      <c r="AC597" s="652">
        <f>IF($B597="",,IF(LEFT($H597,5)="dummy",SUMIFS(AvgBonus[avg_bonus],AvgBonus[job_title],$H597),SUMIFS(AvgBonus[avg_bonus],AvgBonus[exp_item],$J597,AvgBonus[company_name],$B597,AvgBonus[bu_name],$C597,AvgBonus[dept_name],$D597,AvgBonus[team_consolidation],$K597,AvgBonus[location_name],$G597,AvgBonus[job_title],$H597))*AC492*SUM(BonusPayout[Month 18]))</f>
        <v>0</v>
      </c>
      <c r="AD597" s="652">
        <f>IF($B597="",,IF(LEFT($H597,5)="dummy",SUMIFS(AvgBonus[avg_bonus],AvgBonus[job_title],$H597),SUMIFS(AvgBonus[avg_bonus],AvgBonus[exp_item],$J597,AvgBonus[company_name],$B597,AvgBonus[bu_name],$C597,AvgBonus[dept_name],$D597,AvgBonus[team_consolidation],$K597,AvgBonus[location_name],$G597,AvgBonus[job_title],$H597))*AD492*SUM(BonusPayout[Month 19]))</f>
        <v>0</v>
      </c>
      <c r="AE597" s="652">
        <f>IF($B597="",,IF(LEFT($H597,5)="dummy",SUMIFS(AvgBonus[avg_bonus],AvgBonus[job_title],$H597),SUMIFS(AvgBonus[avg_bonus],AvgBonus[exp_item],$J597,AvgBonus[company_name],$B597,AvgBonus[bu_name],$C597,AvgBonus[dept_name],$D597,AvgBonus[team_consolidation],$K597,AvgBonus[location_name],$G597,AvgBonus[job_title],$H597))*AE492*SUM(BonusPayout[Month 20]))</f>
        <v>0</v>
      </c>
      <c r="AF597" s="652">
        <f>IF($B597="",,IF(LEFT($H597,5)="dummy",SUMIFS(AvgBonus[avg_bonus],AvgBonus[job_title],$H597),SUMIFS(AvgBonus[avg_bonus],AvgBonus[exp_item],$J597,AvgBonus[company_name],$B597,AvgBonus[bu_name],$C597,AvgBonus[dept_name],$D597,AvgBonus[team_consolidation],$K597,AvgBonus[location_name],$G597,AvgBonus[job_title],$H597))*AF492*SUM(BonusPayout[Month 21]))</f>
        <v>0</v>
      </c>
      <c r="AG597" s="652">
        <f>IF($B597="",,IF(LEFT($H597,5)="dummy",SUMIFS(AvgBonus[avg_bonus],AvgBonus[job_title],$H597),SUMIFS(AvgBonus[avg_bonus],AvgBonus[exp_item],$J597,AvgBonus[company_name],$B597,AvgBonus[bu_name],$C597,AvgBonus[dept_name],$D597,AvgBonus[team_consolidation],$K597,AvgBonus[location_name],$G597,AvgBonus[job_title],$H597))*AG492*SUM(BonusPayout[Month 22]))</f>
        <v>0</v>
      </c>
      <c r="AH597" s="652">
        <f>IF($B597="",,IF(LEFT($H597,5)="dummy",SUMIFS(AvgBonus[avg_bonus],AvgBonus[job_title],$H597),SUMIFS(AvgBonus[avg_bonus],AvgBonus[exp_item],$J597,AvgBonus[company_name],$B597,AvgBonus[bu_name],$C597,AvgBonus[dept_name],$D597,AvgBonus[team_consolidation],$K597,AvgBonus[location_name],$G597,AvgBonus[job_title],$H597))*AH492*SUM(BonusPayout[Month 23]))</f>
        <v>0</v>
      </c>
      <c r="AI597" s="652">
        <f>IF($B597="",,IF(LEFT($H597,5)="dummy",SUMIFS(AvgBonus[avg_bonus],AvgBonus[job_title],$H597),SUMIFS(AvgBonus[avg_bonus],AvgBonus[exp_item],$J597,AvgBonus[company_name],$B597,AvgBonus[bu_name],$C597,AvgBonus[dept_name],$D597,AvgBonus[team_consolidation],$K597,AvgBonus[location_name],$G597,AvgBonus[job_title],$H597))*AI492*SUM(BonusPayout[Month 24]))</f>
        <v>0</v>
      </c>
      <c r="AJ597" s="652">
        <f>IF($B597="",,IF(LEFT($H597,5)="dummy",SUMIFS(AvgBonus[avg_bonus],AvgBonus[job_title],$H597),SUMIFS(AvgBonus[avg_bonus],AvgBonus[exp_item],$J597,AvgBonus[company_name],$B597,AvgBonus[bu_name],$C597,AvgBonus[dept_name],$D597,AvgBonus[team_consolidation],$K597,AvgBonus[location_name],$G597,AvgBonus[job_title],$H597))*AJ492*SUM(BonusPayout[Month 25]))</f>
        <v>0</v>
      </c>
      <c r="AK597" s="652">
        <f>IF($B597="",,IF(LEFT($H597,5)="dummy",SUMIFS(AvgBonus[avg_bonus],AvgBonus[job_title],$H597),SUMIFS(AvgBonus[avg_bonus],AvgBonus[exp_item],$J597,AvgBonus[company_name],$B597,AvgBonus[bu_name],$C597,AvgBonus[dept_name],$D597,AvgBonus[team_consolidation],$K597,AvgBonus[location_name],$G597,AvgBonus[job_title],$H597))*AK492*SUM(BonusPayout[Month 26]))</f>
        <v>0</v>
      </c>
      <c r="AL597" s="652">
        <f>IF($B597="",,IF(LEFT($H597,5)="dummy",SUMIFS(AvgBonus[avg_bonus],AvgBonus[job_title],$H597),SUMIFS(AvgBonus[avg_bonus],AvgBonus[exp_item],$J597,AvgBonus[company_name],$B597,AvgBonus[bu_name],$C597,AvgBonus[dept_name],$D597,AvgBonus[team_consolidation],$K597,AvgBonus[location_name],$G597,AvgBonus[job_title],$H597))*AL492*SUM(BonusPayout[Month 27]))</f>
        <v>0</v>
      </c>
      <c r="AM597" s="652">
        <f>IF($B597="",,IF(LEFT($H597,5)="dummy",SUMIFS(AvgBonus[avg_bonus],AvgBonus[job_title],$H597),SUMIFS(AvgBonus[avg_bonus],AvgBonus[exp_item],$J597,AvgBonus[company_name],$B597,AvgBonus[bu_name],$C597,AvgBonus[dept_name],$D597,AvgBonus[team_consolidation],$K597,AvgBonus[location_name],$G597,AvgBonus[job_title],$H597))*AM492*SUM(BonusPayout[Month 28]))</f>
        <v>0</v>
      </c>
      <c r="AN597" s="652">
        <f>IF($B597="",,IF(LEFT($H597,5)="dummy",SUMIFS(AvgBonus[avg_bonus],AvgBonus[job_title],$H597),SUMIFS(AvgBonus[avg_bonus],AvgBonus[exp_item],$J597,AvgBonus[company_name],$B597,AvgBonus[bu_name],$C597,AvgBonus[dept_name],$D597,AvgBonus[team_consolidation],$K597,AvgBonus[location_name],$G597,AvgBonus[job_title],$H597))*AN492*SUM(BonusPayout[Month 29]))</f>
        <v>0</v>
      </c>
      <c r="AO597" s="652">
        <f>IF($B597="",,IF(LEFT($H597,5)="dummy",SUMIFS(AvgBonus[avg_bonus],AvgBonus[job_title],$H597),SUMIFS(AvgBonus[avg_bonus],AvgBonus[exp_item],$J597,AvgBonus[company_name],$B597,AvgBonus[bu_name],$C597,AvgBonus[dept_name],$D597,AvgBonus[team_consolidation],$K597,AvgBonus[location_name],$G597,AvgBonus[job_title],$H597))*AO492*SUM(BonusPayout[Month 30]))</f>
        <v>0</v>
      </c>
      <c r="AP597" s="652">
        <f>IF($B597="",,IF(LEFT($H597,5)="dummy",SUMIFS(AvgBonus[avg_bonus],AvgBonus[job_title],$H597),SUMIFS(AvgBonus[avg_bonus],AvgBonus[exp_item],$J597,AvgBonus[company_name],$B597,AvgBonus[bu_name],$C597,AvgBonus[dept_name],$D597,AvgBonus[team_consolidation],$K597,AvgBonus[location_name],$G597,AvgBonus[job_title],$H597))*AP492*SUM(BonusPayout[Month 31]))</f>
        <v>0</v>
      </c>
      <c r="AQ597" s="652">
        <f>IF($B597="",,IF(LEFT($H597,5)="dummy",SUMIFS(AvgBonus[avg_bonus],AvgBonus[job_title],$H597),SUMIFS(AvgBonus[avg_bonus],AvgBonus[exp_item],$J597,AvgBonus[company_name],$B597,AvgBonus[bu_name],$C597,AvgBonus[dept_name],$D597,AvgBonus[team_consolidation],$K597,AvgBonus[location_name],$G597,AvgBonus[job_title],$H597))*AQ492*SUM(BonusPayout[Month 32]))</f>
        <v>0</v>
      </c>
      <c r="AR597" s="652">
        <f>IF($B597="",,IF(LEFT($H597,5)="dummy",SUMIFS(AvgBonus[avg_bonus],AvgBonus[job_title],$H597),SUMIFS(AvgBonus[avg_bonus],AvgBonus[exp_item],$J597,AvgBonus[company_name],$B597,AvgBonus[bu_name],$C597,AvgBonus[dept_name],$D597,AvgBonus[team_consolidation],$K597,AvgBonus[location_name],$G597,AvgBonus[job_title],$H597))*AR492*SUM(BonusPayout[Month 33]))</f>
        <v>0</v>
      </c>
      <c r="AS597" s="652">
        <f>IF($B597="",,IF(LEFT($H597,5)="dummy",SUMIFS(AvgBonus[avg_bonus],AvgBonus[job_title],$H597),SUMIFS(AvgBonus[avg_bonus],AvgBonus[exp_item],$J597,AvgBonus[company_name],$B597,AvgBonus[bu_name],$C597,AvgBonus[dept_name],$D597,AvgBonus[team_consolidation],$K597,AvgBonus[location_name],$G597,AvgBonus[job_title],$H597))*AS492*SUM(BonusPayout[Month 34]))</f>
        <v>0</v>
      </c>
      <c r="AT597" s="652">
        <f>IF($B597="",,IF(LEFT($H597,5)="dummy",SUMIFS(AvgBonus[avg_bonus],AvgBonus[job_title],$H597),SUMIFS(AvgBonus[avg_bonus],AvgBonus[exp_item],$J597,AvgBonus[company_name],$B597,AvgBonus[bu_name],$C597,AvgBonus[dept_name],$D597,AvgBonus[team_consolidation],$K597,AvgBonus[location_name],$G597,AvgBonus[job_title],$H597))*AT492*SUM(BonusPayout[Month 35]))</f>
        <v>0</v>
      </c>
      <c r="AU597" s="652">
        <f>IF($B597="",,IF(LEFT($H597,5)="dummy",SUMIFS(AvgBonus[avg_bonus],AvgBonus[job_title],$H597),SUMIFS(AvgBonus[avg_bonus],AvgBonus[exp_item],$J597,AvgBonus[company_name],$B597,AvgBonus[bu_name],$C597,AvgBonus[dept_name],$D597,AvgBonus[team_consolidation],$K597,AvgBonus[location_name],$G597,AvgBonus[job_title],$H597))*AU492*SUM(BonusPayout[Month 36]))</f>
        <v>0</v>
      </c>
    </row>
    <row r="598" spans="1:52" x14ac:dyDescent="0.35">
      <c r="B598" t="str">
        <f t="shared" ref="B598:G598" si="396">IF(B493="","",B493)</f>
        <v/>
      </c>
      <c r="C598" t="str">
        <f t="shared" si="396"/>
        <v/>
      </c>
      <c r="D598" t="str">
        <f t="shared" si="396"/>
        <v/>
      </c>
      <c r="E598" t="str">
        <f t="shared" si="396"/>
        <v/>
      </c>
      <c r="F598" t="str">
        <f t="shared" si="396"/>
        <v/>
      </c>
      <c r="G598" t="str">
        <f t="shared" si="396"/>
        <v/>
      </c>
      <c r="H598" t="str">
        <f t="shared" si="395"/>
        <v/>
      </c>
      <c r="J598" t="str">
        <f>IF($H598="","",IF(VLOOKUP($B$500,ExpItems[],2,0),$B$500&amp;" - "&amp;INDEX(DivisionMapping[category_code],MATCH($D598&amp;$C598,DivisionMapping[dept_bu],0)),$B$500))</f>
        <v/>
      </c>
      <c r="K598" t="str">
        <f t="shared" si="363"/>
        <v/>
      </c>
      <c r="L598" s="652">
        <f>IF($B598="",,IF(LEFT($H598,5)="dummy",SUMIFS(AvgBonus[avg_bonus],AvgBonus[job_title],$H598),SUMIFS(AvgBonus[avg_bonus],AvgBonus[exp_item],$J598,AvgBonus[company_name],$B598,AvgBonus[bu_name],$C598,AvgBonus[dept_name],$D598,AvgBonus[team_consolidation],$K598,AvgBonus[location_name],$G598,AvgBonus[job_title],$H598))*L493*SUM(BonusPayout[Month 1]))</f>
        <v>0</v>
      </c>
      <c r="M598" s="652">
        <f>IF($B598="",,IF(LEFT($H598,5)="dummy",SUMIFS(AvgBonus[avg_bonus],AvgBonus[job_title],$H598),SUMIFS(AvgBonus[avg_bonus],AvgBonus[exp_item],$J598,AvgBonus[company_name],$B598,AvgBonus[bu_name],$C598,AvgBonus[dept_name],$D598,AvgBonus[team_consolidation],$K598,AvgBonus[location_name],$G598,AvgBonus[job_title],$H598))*M493*SUM(BonusPayout[Month 2]))</f>
        <v>0</v>
      </c>
      <c r="N598" s="652">
        <f>IF($B598="",,IF(LEFT($H598,5)="dummy",SUMIFS(AvgBonus[avg_bonus],AvgBonus[job_title],$H598),SUMIFS(AvgBonus[avg_bonus],AvgBonus[exp_item],$J598,AvgBonus[company_name],$B598,AvgBonus[bu_name],$C598,AvgBonus[dept_name],$D598,AvgBonus[team_consolidation],$K598,AvgBonus[location_name],$G598,AvgBonus[job_title],$H598))*N493*SUM(BonusPayout[Month 3]))</f>
        <v>0</v>
      </c>
      <c r="O598" s="652">
        <f>IF($B598="",,IF(LEFT($H598,5)="dummy",SUMIFS(AvgBonus[avg_bonus],AvgBonus[job_title],$H598),SUMIFS(AvgBonus[avg_bonus],AvgBonus[exp_item],$J598,AvgBonus[company_name],$B598,AvgBonus[bu_name],$C598,AvgBonus[dept_name],$D598,AvgBonus[team_consolidation],$K598,AvgBonus[location_name],$G598,AvgBonus[job_title],$H598))*O493*SUM(BonusPayout[Month 4]))</f>
        <v>0</v>
      </c>
      <c r="P598" s="652">
        <f>IF($B598="",,IF(LEFT($H598,5)="dummy",SUMIFS(AvgBonus[avg_bonus],AvgBonus[job_title],$H598),SUMIFS(AvgBonus[avg_bonus],AvgBonus[exp_item],$J598,AvgBonus[company_name],$B598,AvgBonus[bu_name],$C598,AvgBonus[dept_name],$D598,AvgBonus[team_consolidation],$K598,AvgBonus[location_name],$G598,AvgBonus[job_title],$H598))*P493*SUM(BonusPayout[Month 5]))</f>
        <v>0</v>
      </c>
      <c r="Q598" s="652">
        <f>IF($B598="",,IF(LEFT($H598,5)="dummy",SUMIFS(AvgBonus[avg_bonus],AvgBonus[job_title],$H598),SUMIFS(AvgBonus[avg_bonus],AvgBonus[exp_item],$J598,AvgBonus[company_name],$B598,AvgBonus[bu_name],$C598,AvgBonus[dept_name],$D598,AvgBonus[team_consolidation],$K598,AvgBonus[location_name],$G598,AvgBonus[job_title],$H598))*Q493*SUM(BonusPayout[Month 6]))</f>
        <v>0</v>
      </c>
      <c r="R598" s="652">
        <f>IF($B598="",,IF(LEFT($H598,5)="dummy",SUMIFS(AvgBonus[avg_bonus],AvgBonus[job_title],$H598),SUMIFS(AvgBonus[avg_bonus],AvgBonus[exp_item],$J598,AvgBonus[company_name],$B598,AvgBonus[bu_name],$C598,AvgBonus[dept_name],$D598,AvgBonus[team_consolidation],$K598,AvgBonus[location_name],$G598,AvgBonus[job_title],$H598))*R493*SUM(BonusPayout[Month 7]))</f>
        <v>0</v>
      </c>
      <c r="S598" s="652">
        <f>IF($B598="",,IF(LEFT($H598,5)="dummy",SUMIFS(AvgBonus[avg_bonus],AvgBonus[job_title],$H598),SUMIFS(AvgBonus[avg_bonus],AvgBonus[exp_item],$J598,AvgBonus[company_name],$B598,AvgBonus[bu_name],$C598,AvgBonus[dept_name],$D598,AvgBonus[team_consolidation],$K598,AvgBonus[location_name],$G598,AvgBonus[job_title],$H598))*S493*SUM(BonusPayout[Month 8]))</f>
        <v>0</v>
      </c>
      <c r="T598" s="652">
        <f>IF($B598="",,IF(LEFT($H598,5)="dummy",SUMIFS(AvgBonus[avg_bonus],AvgBonus[job_title],$H598),SUMIFS(AvgBonus[avg_bonus],AvgBonus[exp_item],$J598,AvgBonus[company_name],$B598,AvgBonus[bu_name],$C598,AvgBonus[dept_name],$D598,AvgBonus[team_consolidation],$K598,AvgBonus[location_name],$G598,AvgBonus[job_title],$H598))*T493*SUM(BonusPayout[Month 9]))</f>
        <v>0</v>
      </c>
      <c r="U598" s="652">
        <f>IF($B598="",,IF(LEFT($H598,5)="dummy",SUMIFS(AvgBonus[avg_bonus],AvgBonus[job_title],$H598),SUMIFS(AvgBonus[avg_bonus],AvgBonus[exp_item],$J598,AvgBonus[company_name],$B598,AvgBonus[bu_name],$C598,AvgBonus[dept_name],$D598,AvgBonus[team_consolidation],$K598,AvgBonus[location_name],$G598,AvgBonus[job_title],$H598))*U493*SUM(BonusPayout[Month 10]))</f>
        <v>0</v>
      </c>
      <c r="V598" s="652">
        <f>IF($B598="",,IF(LEFT($H598,5)="dummy",SUMIFS(AvgBonus[avg_bonus],AvgBonus[job_title],$H598),SUMIFS(AvgBonus[avg_bonus],AvgBonus[exp_item],$J598,AvgBonus[company_name],$B598,AvgBonus[bu_name],$C598,AvgBonus[dept_name],$D598,AvgBonus[team_consolidation],$K598,AvgBonus[location_name],$G598,AvgBonus[job_title],$H598))*V493*SUM(BonusPayout[Month 11]))</f>
        <v>0</v>
      </c>
      <c r="W598" s="652">
        <f>IF($B598="",,IF(LEFT($H598,5)="dummy",SUMIFS(AvgBonus[avg_bonus],AvgBonus[job_title],$H598),SUMIFS(AvgBonus[avg_bonus],AvgBonus[exp_item],$J598,AvgBonus[company_name],$B598,AvgBonus[bu_name],$C598,AvgBonus[dept_name],$D598,AvgBonus[team_consolidation],$K598,AvgBonus[location_name],$G598,AvgBonus[job_title],$H598))*W493*SUM(BonusPayout[Month 12]))</f>
        <v>0</v>
      </c>
      <c r="X598" s="652">
        <f>IF($B598="",,IF(LEFT($H598,5)="dummy",SUMIFS(AvgBonus[avg_bonus],AvgBonus[job_title],$H598),SUMIFS(AvgBonus[avg_bonus],AvgBonus[exp_item],$J598,AvgBonus[company_name],$B598,AvgBonus[bu_name],$C598,AvgBonus[dept_name],$D598,AvgBonus[team_consolidation],$K598,AvgBonus[location_name],$G598,AvgBonus[job_title],$H598))*X493*SUM(BonusPayout[Month 13]))</f>
        <v>0</v>
      </c>
      <c r="Y598" s="652">
        <f>IF($B598="",,IF(LEFT($H598,5)="dummy",SUMIFS(AvgBonus[avg_bonus],AvgBonus[job_title],$H598),SUMIFS(AvgBonus[avg_bonus],AvgBonus[exp_item],$J598,AvgBonus[company_name],$B598,AvgBonus[bu_name],$C598,AvgBonus[dept_name],$D598,AvgBonus[team_consolidation],$K598,AvgBonus[location_name],$G598,AvgBonus[job_title],$H598))*Y493*SUM(BonusPayout[Month 14]))</f>
        <v>0</v>
      </c>
      <c r="Z598" s="652">
        <f>IF($B598="",,IF(LEFT($H598,5)="dummy",SUMIFS(AvgBonus[avg_bonus],AvgBonus[job_title],$H598),SUMIFS(AvgBonus[avg_bonus],AvgBonus[exp_item],$J598,AvgBonus[company_name],$B598,AvgBonus[bu_name],$C598,AvgBonus[dept_name],$D598,AvgBonus[team_consolidation],$K598,AvgBonus[location_name],$G598,AvgBonus[job_title],$H598))*Z493*SUM(BonusPayout[Month 15]))</f>
        <v>0</v>
      </c>
      <c r="AA598" s="652">
        <f>IF($B598="",,IF(LEFT($H598,5)="dummy",SUMIFS(AvgBonus[avg_bonus],AvgBonus[job_title],$H598),SUMIFS(AvgBonus[avg_bonus],AvgBonus[exp_item],$J598,AvgBonus[company_name],$B598,AvgBonus[bu_name],$C598,AvgBonus[dept_name],$D598,AvgBonus[team_consolidation],$K598,AvgBonus[location_name],$G598,AvgBonus[job_title],$H598))*AA493*SUM(BonusPayout[Month 16]))</f>
        <v>0</v>
      </c>
      <c r="AB598" s="652">
        <f>IF($B598="",,IF(LEFT($H598,5)="dummy",SUMIFS(AvgBonus[avg_bonus],AvgBonus[job_title],$H598),SUMIFS(AvgBonus[avg_bonus],AvgBonus[exp_item],$J598,AvgBonus[company_name],$B598,AvgBonus[bu_name],$C598,AvgBonus[dept_name],$D598,AvgBonus[team_consolidation],$K598,AvgBonus[location_name],$G598,AvgBonus[job_title],$H598))*AB493*SUM(BonusPayout[Month 17]))</f>
        <v>0</v>
      </c>
      <c r="AC598" s="652">
        <f>IF($B598="",,IF(LEFT($H598,5)="dummy",SUMIFS(AvgBonus[avg_bonus],AvgBonus[job_title],$H598),SUMIFS(AvgBonus[avg_bonus],AvgBonus[exp_item],$J598,AvgBonus[company_name],$B598,AvgBonus[bu_name],$C598,AvgBonus[dept_name],$D598,AvgBonus[team_consolidation],$K598,AvgBonus[location_name],$G598,AvgBonus[job_title],$H598))*AC493*SUM(BonusPayout[Month 18]))</f>
        <v>0</v>
      </c>
      <c r="AD598" s="652">
        <f>IF($B598="",,IF(LEFT($H598,5)="dummy",SUMIFS(AvgBonus[avg_bonus],AvgBonus[job_title],$H598),SUMIFS(AvgBonus[avg_bonus],AvgBonus[exp_item],$J598,AvgBonus[company_name],$B598,AvgBonus[bu_name],$C598,AvgBonus[dept_name],$D598,AvgBonus[team_consolidation],$K598,AvgBonus[location_name],$G598,AvgBonus[job_title],$H598))*AD493*SUM(BonusPayout[Month 19]))</f>
        <v>0</v>
      </c>
      <c r="AE598" s="652">
        <f>IF($B598="",,IF(LEFT($H598,5)="dummy",SUMIFS(AvgBonus[avg_bonus],AvgBonus[job_title],$H598),SUMIFS(AvgBonus[avg_bonus],AvgBonus[exp_item],$J598,AvgBonus[company_name],$B598,AvgBonus[bu_name],$C598,AvgBonus[dept_name],$D598,AvgBonus[team_consolidation],$K598,AvgBonus[location_name],$G598,AvgBonus[job_title],$H598))*AE493*SUM(BonusPayout[Month 20]))</f>
        <v>0</v>
      </c>
      <c r="AF598" s="652">
        <f>IF($B598="",,IF(LEFT($H598,5)="dummy",SUMIFS(AvgBonus[avg_bonus],AvgBonus[job_title],$H598),SUMIFS(AvgBonus[avg_bonus],AvgBonus[exp_item],$J598,AvgBonus[company_name],$B598,AvgBonus[bu_name],$C598,AvgBonus[dept_name],$D598,AvgBonus[team_consolidation],$K598,AvgBonus[location_name],$G598,AvgBonus[job_title],$H598))*AF493*SUM(BonusPayout[Month 21]))</f>
        <v>0</v>
      </c>
      <c r="AG598" s="652">
        <f>IF($B598="",,IF(LEFT($H598,5)="dummy",SUMIFS(AvgBonus[avg_bonus],AvgBonus[job_title],$H598),SUMIFS(AvgBonus[avg_bonus],AvgBonus[exp_item],$J598,AvgBonus[company_name],$B598,AvgBonus[bu_name],$C598,AvgBonus[dept_name],$D598,AvgBonus[team_consolidation],$K598,AvgBonus[location_name],$G598,AvgBonus[job_title],$H598))*AG493*SUM(BonusPayout[Month 22]))</f>
        <v>0</v>
      </c>
      <c r="AH598" s="652">
        <f>IF($B598="",,IF(LEFT($H598,5)="dummy",SUMIFS(AvgBonus[avg_bonus],AvgBonus[job_title],$H598),SUMIFS(AvgBonus[avg_bonus],AvgBonus[exp_item],$J598,AvgBonus[company_name],$B598,AvgBonus[bu_name],$C598,AvgBonus[dept_name],$D598,AvgBonus[team_consolidation],$K598,AvgBonus[location_name],$G598,AvgBonus[job_title],$H598))*AH493*SUM(BonusPayout[Month 23]))</f>
        <v>0</v>
      </c>
      <c r="AI598" s="652">
        <f>IF($B598="",,IF(LEFT($H598,5)="dummy",SUMIFS(AvgBonus[avg_bonus],AvgBonus[job_title],$H598),SUMIFS(AvgBonus[avg_bonus],AvgBonus[exp_item],$J598,AvgBonus[company_name],$B598,AvgBonus[bu_name],$C598,AvgBonus[dept_name],$D598,AvgBonus[team_consolidation],$K598,AvgBonus[location_name],$G598,AvgBonus[job_title],$H598))*AI493*SUM(BonusPayout[Month 24]))</f>
        <v>0</v>
      </c>
      <c r="AJ598" s="652">
        <f>IF($B598="",,IF(LEFT($H598,5)="dummy",SUMIFS(AvgBonus[avg_bonus],AvgBonus[job_title],$H598),SUMIFS(AvgBonus[avg_bonus],AvgBonus[exp_item],$J598,AvgBonus[company_name],$B598,AvgBonus[bu_name],$C598,AvgBonus[dept_name],$D598,AvgBonus[team_consolidation],$K598,AvgBonus[location_name],$G598,AvgBonus[job_title],$H598))*AJ493*SUM(BonusPayout[Month 25]))</f>
        <v>0</v>
      </c>
      <c r="AK598" s="652">
        <f>IF($B598="",,IF(LEFT($H598,5)="dummy",SUMIFS(AvgBonus[avg_bonus],AvgBonus[job_title],$H598),SUMIFS(AvgBonus[avg_bonus],AvgBonus[exp_item],$J598,AvgBonus[company_name],$B598,AvgBonus[bu_name],$C598,AvgBonus[dept_name],$D598,AvgBonus[team_consolidation],$K598,AvgBonus[location_name],$G598,AvgBonus[job_title],$H598))*AK493*SUM(BonusPayout[Month 26]))</f>
        <v>0</v>
      </c>
      <c r="AL598" s="652">
        <f>IF($B598="",,IF(LEFT($H598,5)="dummy",SUMIFS(AvgBonus[avg_bonus],AvgBonus[job_title],$H598),SUMIFS(AvgBonus[avg_bonus],AvgBonus[exp_item],$J598,AvgBonus[company_name],$B598,AvgBonus[bu_name],$C598,AvgBonus[dept_name],$D598,AvgBonus[team_consolidation],$K598,AvgBonus[location_name],$G598,AvgBonus[job_title],$H598))*AL493*SUM(BonusPayout[Month 27]))</f>
        <v>0</v>
      </c>
      <c r="AM598" s="652">
        <f>IF($B598="",,IF(LEFT($H598,5)="dummy",SUMIFS(AvgBonus[avg_bonus],AvgBonus[job_title],$H598),SUMIFS(AvgBonus[avg_bonus],AvgBonus[exp_item],$J598,AvgBonus[company_name],$B598,AvgBonus[bu_name],$C598,AvgBonus[dept_name],$D598,AvgBonus[team_consolidation],$K598,AvgBonus[location_name],$G598,AvgBonus[job_title],$H598))*AM493*SUM(BonusPayout[Month 28]))</f>
        <v>0</v>
      </c>
      <c r="AN598" s="652">
        <f>IF($B598="",,IF(LEFT($H598,5)="dummy",SUMIFS(AvgBonus[avg_bonus],AvgBonus[job_title],$H598),SUMIFS(AvgBonus[avg_bonus],AvgBonus[exp_item],$J598,AvgBonus[company_name],$B598,AvgBonus[bu_name],$C598,AvgBonus[dept_name],$D598,AvgBonus[team_consolidation],$K598,AvgBonus[location_name],$G598,AvgBonus[job_title],$H598))*AN493*SUM(BonusPayout[Month 29]))</f>
        <v>0</v>
      </c>
      <c r="AO598" s="652">
        <f>IF($B598="",,IF(LEFT($H598,5)="dummy",SUMIFS(AvgBonus[avg_bonus],AvgBonus[job_title],$H598),SUMIFS(AvgBonus[avg_bonus],AvgBonus[exp_item],$J598,AvgBonus[company_name],$B598,AvgBonus[bu_name],$C598,AvgBonus[dept_name],$D598,AvgBonus[team_consolidation],$K598,AvgBonus[location_name],$G598,AvgBonus[job_title],$H598))*AO493*SUM(BonusPayout[Month 30]))</f>
        <v>0</v>
      </c>
      <c r="AP598" s="652">
        <f>IF($B598="",,IF(LEFT($H598,5)="dummy",SUMIFS(AvgBonus[avg_bonus],AvgBonus[job_title],$H598),SUMIFS(AvgBonus[avg_bonus],AvgBonus[exp_item],$J598,AvgBonus[company_name],$B598,AvgBonus[bu_name],$C598,AvgBonus[dept_name],$D598,AvgBonus[team_consolidation],$K598,AvgBonus[location_name],$G598,AvgBonus[job_title],$H598))*AP493*SUM(BonusPayout[Month 31]))</f>
        <v>0</v>
      </c>
      <c r="AQ598" s="652">
        <f>IF($B598="",,IF(LEFT($H598,5)="dummy",SUMIFS(AvgBonus[avg_bonus],AvgBonus[job_title],$H598),SUMIFS(AvgBonus[avg_bonus],AvgBonus[exp_item],$J598,AvgBonus[company_name],$B598,AvgBonus[bu_name],$C598,AvgBonus[dept_name],$D598,AvgBonus[team_consolidation],$K598,AvgBonus[location_name],$G598,AvgBonus[job_title],$H598))*AQ493*SUM(BonusPayout[Month 32]))</f>
        <v>0</v>
      </c>
      <c r="AR598" s="652">
        <f>IF($B598="",,IF(LEFT($H598,5)="dummy",SUMIFS(AvgBonus[avg_bonus],AvgBonus[job_title],$H598),SUMIFS(AvgBonus[avg_bonus],AvgBonus[exp_item],$J598,AvgBonus[company_name],$B598,AvgBonus[bu_name],$C598,AvgBonus[dept_name],$D598,AvgBonus[team_consolidation],$K598,AvgBonus[location_name],$G598,AvgBonus[job_title],$H598))*AR493*SUM(BonusPayout[Month 33]))</f>
        <v>0</v>
      </c>
      <c r="AS598" s="652">
        <f>IF($B598="",,IF(LEFT($H598,5)="dummy",SUMIFS(AvgBonus[avg_bonus],AvgBonus[job_title],$H598),SUMIFS(AvgBonus[avg_bonus],AvgBonus[exp_item],$J598,AvgBonus[company_name],$B598,AvgBonus[bu_name],$C598,AvgBonus[dept_name],$D598,AvgBonus[team_consolidation],$K598,AvgBonus[location_name],$G598,AvgBonus[job_title],$H598))*AS493*SUM(BonusPayout[Month 34]))</f>
        <v>0</v>
      </c>
      <c r="AT598" s="652">
        <f>IF($B598="",,IF(LEFT($H598,5)="dummy",SUMIFS(AvgBonus[avg_bonus],AvgBonus[job_title],$H598),SUMIFS(AvgBonus[avg_bonus],AvgBonus[exp_item],$J598,AvgBonus[company_name],$B598,AvgBonus[bu_name],$C598,AvgBonus[dept_name],$D598,AvgBonus[team_consolidation],$K598,AvgBonus[location_name],$G598,AvgBonus[job_title],$H598))*AT493*SUM(BonusPayout[Month 35]))</f>
        <v>0</v>
      </c>
      <c r="AU598" s="652">
        <f>IF($B598="",,IF(LEFT($H598,5)="dummy",SUMIFS(AvgBonus[avg_bonus],AvgBonus[job_title],$H598),SUMIFS(AvgBonus[avg_bonus],AvgBonus[exp_item],$J598,AvgBonus[company_name],$B598,AvgBonus[bu_name],$C598,AvgBonus[dept_name],$D598,AvgBonus[team_consolidation],$K598,AvgBonus[location_name],$G598,AvgBonus[job_title],$H598))*AU493*SUM(BonusPayout[Month 36]))</f>
        <v>0</v>
      </c>
    </row>
    <row r="599" spans="1:52" x14ac:dyDescent="0.35">
      <c r="B599" t="str">
        <f t="shared" ref="B599:G599" si="397">IF(B494="","",B494)</f>
        <v/>
      </c>
      <c r="C599" t="str">
        <f t="shared" si="397"/>
        <v/>
      </c>
      <c r="D599" t="str">
        <f t="shared" si="397"/>
        <v/>
      </c>
      <c r="E599" t="str">
        <f t="shared" si="397"/>
        <v/>
      </c>
      <c r="F599" t="str">
        <f t="shared" si="397"/>
        <v/>
      </c>
      <c r="G599" t="str">
        <f t="shared" si="397"/>
        <v/>
      </c>
      <c r="H599" t="str">
        <f t="shared" si="395"/>
        <v/>
      </c>
      <c r="J599" t="str">
        <f>IF($H599="","",IF(VLOOKUP($B$500,ExpItems[],2,0),$B$500&amp;" - "&amp;INDEX(DivisionMapping[category_code],MATCH($D599&amp;$C599,DivisionMapping[dept_bu],0)),$B$500))</f>
        <v/>
      </c>
      <c r="K599" t="str">
        <f t="shared" si="363"/>
        <v/>
      </c>
      <c r="L599" s="652">
        <f>IF($B599="",,IF(LEFT($H599,5)="dummy",SUMIFS(AvgBonus[avg_bonus],AvgBonus[job_title],$H599),SUMIFS(AvgBonus[avg_bonus],AvgBonus[exp_item],$J599,AvgBonus[company_name],$B599,AvgBonus[bu_name],$C599,AvgBonus[dept_name],$D599,AvgBonus[team_consolidation],$K599,AvgBonus[location_name],$G599,AvgBonus[job_title],$H599))*L494*SUM(BonusPayout[Month 1]))</f>
        <v>0</v>
      </c>
      <c r="M599" s="652">
        <f>IF($B599="",,IF(LEFT($H599,5)="dummy",SUMIFS(AvgBonus[avg_bonus],AvgBonus[job_title],$H599),SUMIFS(AvgBonus[avg_bonus],AvgBonus[exp_item],$J599,AvgBonus[company_name],$B599,AvgBonus[bu_name],$C599,AvgBonus[dept_name],$D599,AvgBonus[team_consolidation],$K599,AvgBonus[location_name],$G599,AvgBonus[job_title],$H599))*M494*SUM(BonusPayout[Month 2]))</f>
        <v>0</v>
      </c>
      <c r="N599" s="652">
        <f>IF($B599="",,IF(LEFT($H599,5)="dummy",SUMIFS(AvgBonus[avg_bonus],AvgBonus[job_title],$H599),SUMIFS(AvgBonus[avg_bonus],AvgBonus[exp_item],$J599,AvgBonus[company_name],$B599,AvgBonus[bu_name],$C599,AvgBonus[dept_name],$D599,AvgBonus[team_consolidation],$K599,AvgBonus[location_name],$G599,AvgBonus[job_title],$H599))*N494*SUM(BonusPayout[Month 3]))</f>
        <v>0</v>
      </c>
      <c r="O599" s="652">
        <f>IF($B599="",,IF(LEFT($H599,5)="dummy",SUMIFS(AvgBonus[avg_bonus],AvgBonus[job_title],$H599),SUMIFS(AvgBonus[avg_bonus],AvgBonus[exp_item],$J599,AvgBonus[company_name],$B599,AvgBonus[bu_name],$C599,AvgBonus[dept_name],$D599,AvgBonus[team_consolidation],$K599,AvgBonus[location_name],$G599,AvgBonus[job_title],$H599))*O494*SUM(BonusPayout[Month 4]))</f>
        <v>0</v>
      </c>
      <c r="P599" s="652">
        <f>IF($B599="",,IF(LEFT($H599,5)="dummy",SUMIFS(AvgBonus[avg_bonus],AvgBonus[job_title],$H599),SUMIFS(AvgBonus[avg_bonus],AvgBonus[exp_item],$J599,AvgBonus[company_name],$B599,AvgBonus[bu_name],$C599,AvgBonus[dept_name],$D599,AvgBonus[team_consolidation],$K599,AvgBonus[location_name],$G599,AvgBonus[job_title],$H599))*P494*SUM(BonusPayout[Month 5]))</f>
        <v>0</v>
      </c>
      <c r="Q599" s="652">
        <f>IF($B599="",,IF(LEFT($H599,5)="dummy",SUMIFS(AvgBonus[avg_bonus],AvgBonus[job_title],$H599),SUMIFS(AvgBonus[avg_bonus],AvgBonus[exp_item],$J599,AvgBonus[company_name],$B599,AvgBonus[bu_name],$C599,AvgBonus[dept_name],$D599,AvgBonus[team_consolidation],$K599,AvgBonus[location_name],$G599,AvgBonus[job_title],$H599))*Q494*SUM(BonusPayout[Month 6]))</f>
        <v>0</v>
      </c>
      <c r="R599" s="652">
        <f>IF($B599="",,IF(LEFT($H599,5)="dummy",SUMIFS(AvgBonus[avg_bonus],AvgBonus[job_title],$H599),SUMIFS(AvgBonus[avg_bonus],AvgBonus[exp_item],$J599,AvgBonus[company_name],$B599,AvgBonus[bu_name],$C599,AvgBonus[dept_name],$D599,AvgBonus[team_consolidation],$K599,AvgBonus[location_name],$G599,AvgBonus[job_title],$H599))*R494*SUM(BonusPayout[Month 7]))</f>
        <v>0</v>
      </c>
      <c r="S599" s="652">
        <f>IF($B599="",,IF(LEFT($H599,5)="dummy",SUMIFS(AvgBonus[avg_bonus],AvgBonus[job_title],$H599),SUMIFS(AvgBonus[avg_bonus],AvgBonus[exp_item],$J599,AvgBonus[company_name],$B599,AvgBonus[bu_name],$C599,AvgBonus[dept_name],$D599,AvgBonus[team_consolidation],$K599,AvgBonus[location_name],$G599,AvgBonus[job_title],$H599))*S494*SUM(BonusPayout[Month 8]))</f>
        <v>0</v>
      </c>
      <c r="T599" s="652">
        <f>IF($B599="",,IF(LEFT($H599,5)="dummy",SUMIFS(AvgBonus[avg_bonus],AvgBonus[job_title],$H599),SUMIFS(AvgBonus[avg_bonus],AvgBonus[exp_item],$J599,AvgBonus[company_name],$B599,AvgBonus[bu_name],$C599,AvgBonus[dept_name],$D599,AvgBonus[team_consolidation],$K599,AvgBonus[location_name],$G599,AvgBonus[job_title],$H599))*T494*SUM(BonusPayout[Month 9]))</f>
        <v>0</v>
      </c>
      <c r="U599" s="652">
        <f>IF($B599="",,IF(LEFT($H599,5)="dummy",SUMIFS(AvgBonus[avg_bonus],AvgBonus[job_title],$H599),SUMIFS(AvgBonus[avg_bonus],AvgBonus[exp_item],$J599,AvgBonus[company_name],$B599,AvgBonus[bu_name],$C599,AvgBonus[dept_name],$D599,AvgBonus[team_consolidation],$K599,AvgBonus[location_name],$G599,AvgBonus[job_title],$H599))*U494*SUM(BonusPayout[Month 10]))</f>
        <v>0</v>
      </c>
      <c r="V599" s="652">
        <f>IF($B599="",,IF(LEFT($H599,5)="dummy",SUMIFS(AvgBonus[avg_bonus],AvgBonus[job_title],$H599),SUMIFS(AvgBonus[avg_bonus],AvgBonus[exp_item],$J599,AvgBonus[company_name],$B599,AvgBonus[bu_name],$C599,AvgBonus[dept_name],$D599,AvgBonus[team_consolidation],$K599,AvgBonus[location_name],$G599,AvgBonus[job_title],$H599))*V494*SUM(BonusPayout[Month 11]))</f>
        <v>0</v>
      </c>
      <c r="W599" s="652">
        <f>IF($B599="",,IF(LEFT($H599,5)="dummy",SUMIFS(AvgBonus[avg_bonus],AvgBonus[job_title],$H599),SUMIFS(AvgBonus[avg_bonus],AvgBonus[exp_item],$J599,AvgBonus[company_name],$B599,AvgBonus[bu_name],$C599,AvgBonus[dept_name],$D599,AvgBonus[team_consolidation],$K599,AvgBonus[location_name],$G599,AvgBonus[job_title],$H599))*W494*SUM(BonusPayout[Month 12]))</f>
        <v>0</v>
      </c>
      <c r="X599" s="652">
        <f>IF($B599="",,IF(LEFT($H599,5)="dummy",SUMIFS(AvgBonus[avg_bonus],AvgBonus[job_title],$H599),SUMIFS(AvgBonus[avg_bonus],AvgBonus[exp_item],$J599,AvgBonus[company_name],$B599,AvgBonus[bu_name],$C599,AvgBonus[dept_name],$D599,AvgBonus[team_consolidation],$K599,AvgBonus[location_name],$G599,AvgBonus[job_title],$H599))*X494*SUM(BonusPayout[Month 13]))</f>
        <v>0</v>
      </c>
      <c r="Y599" s="652">
        <f>IF($B599="",,IF(LEFT($H599,5)="dummy",SUMIFS(AvgBonus[avg_bonus],AvgBonus[job_title],$H599),SUMIFS(AvgBonus[avg_bonus],AvgBonus[exp_item],$J599,AvgBonus[company_name],$B599,AvgBonus[bu_name],$C599,AvgBonus[dept_name],$D599,AvgBonus[team_consolidation],$K599,AvgBonus[location_name],$G599,AvgBonus[job_title],$H599))*Y494*SUM(BonusPayout[Month 14]))</f>
        <v>0</v>
      </c>
      <c r="Z599" s="652">
        <f>IF($B599="",,IF(LEFT($H599,5)="dummy",SUMIFS(AvgBonus[avg_bonus],AvgBonus[job_title],$H599),SUMIFS(AvgBonus[avg_bonus],AvgBonus[exp_item],$J599,AvgBonus[company_name],$B599,AvgBonus[bu_name],$C599,AvgBonus[dept_name],$D599,AvgBonus[team_consolidation],$K599,AvgBonus[location_name],$G599,AvgBonus[job_title],$H599))*Z494*SUM(BonusPayout[Month 15]))</f>
        <v>0</v>
      </c>
      <c r="AA599" s="652">
        <f>IF($B599="",,IF(LEFT($H599,5)="dummy",SUMIFS(AvgBonus[avg_bonus],AvgBonus[job_title],$H599),SUMIFS(AvgBonus[avg_bonus],AvgBonus[exp_item],$J599,AvgBonus[company_name],$B599,AvgBonus[bu_name],$C599,AvgBonus[dept_name],$D599,AvgBonus[team_consolidation],$K599,AvgBonus[location_name],$G599,AvgBonus[job_title],$H599))*AA494*SUM(BonusPayout[Month 16]))</f>
        <v>0</v>
      </c>
      <c r="AB599" s="652">
        <f>IF($B599="",,IF(LEFT($H599,5)="dummy",SUMIFS(AvgBonus[avg_bonus],AvgBonus[job_title],$H599),SUMIFS(AvgBonus[avg_bonus],AvgBonus[exp_item],$J599,AvgBonus[company_name],$B599,AvgBonus[bu_name],$C599,AvgBonus[dept_name],$D599,AvgBonus[team_consolidation],$K599,AvgBonus[location_name],$G599,AvgBonus[job_title],$H599))*AB494*SUM(BonusPayout[Month 17]))</f>
        <v>0</v>
      </c>
      <c r="AC599" s="652">
        <f>IF($B599="",,IF(LEFT($H599,5)="dummy",SUMIFS(AvgBonus[avg_bonus],AvgBonus[job_title],$H599),SUMIFS(AvgBonus[avg_bonus],AvgBonus[exp_item],$J599,AvgBonus[company_name],$B599,AvgBonus[bu_name],$C599,AvgBonus[dept_name],$D599,AvgBonus[team_consolidation],$K599,AvgBonus[location_name],$G599,AvgBonus[job_title],$H599))*AC494*SUM(BonusPayout[Month 18]))</f>
        <v>0</v>
      </c>
      <c r="AD599" s="652">
        <f>IF($B599="",,IF(LEFT($H599,5)="dummy",SUMIFS(AvgBonus[avg_bonus],AvgBonus[job_title],$H599),SUMIFS(AvgBonus[avg_bonus],AvgBonus[exp_item],$J599,AvgBonus[company_name],$B599,AvgBonus[bu_name],$C599,AvgBonus[dept_name],$D599,AvgBonus[team_consolidation],$K599,AvgBonus[location_name],$G599,AvgBonus[job_title],$H599))*AD494*SUM(BonusPayout[Month 19]))</f>
        <v>0</v>
      </c>
      <c r="AE599" s="652">
        <f>IF($B599="",,IF(LEFT($H599,5)="dummy",SUMIFS(AvgBonus[avg_bonus],AvgBonus[job_title],$H599),SUMIFS(AvgBonus[avg_bonus],AvgBonus[exp_item],$J599,AvgBonus[company_name],$B599,AvgBonus[bu_name],$C599,AvgBonus[dept_name],$D599,AvgBonus[team_consolidation],$K599,AvgBonus[location_name],$G599,AvgBonus[job_title],$H599))*AE494*SUM(BonusPayout[Month 20]))</f>
        <v>0</v>
      </c>
      <c r="AF599" s="652">
        <f>IF($B599="",,IF(LEFT($H599,5)="dummy",SUMIFS(AvgBonus[avg_bonus],AvgBonus[job_title],$H599),SUMIFS(AvgBonus[avg_bonus],AvgBonus[exp_item],$J599,AvgBonus[company_name],$B599,AvgBonus[bu_name],$C599,AvgBonus[dept_name],$D599,AvgBonus[team_consolidation],$K599,AvgBonus[location_name],$G599,AvgBonus[job_title],$H599))*AF494*SUM(BonusPayout[Month 21]))</f>
        <v>0</v>
      </c>
      <c r="AG599" s="652">
        <f>IF($B599="",,IF(LEFT($H599,5)="dummy",SUMIFS(AvgBonus[avg_bonus],AvgBonus[job_title],$H599),SUMIFS(AvgBonus[avg_bonus],AvgBonus[exp_item],$J599,AvgBonus[company_name],$B599,AvgBonus[bu_name],$C599,AvgBonus[dept_name],$D599,AvgBonus[team_consolidation],$K599,AvgBonus[location_name],$G599,AvgBonus[job_title],$H599))*AG494*SUM(BonusPayout[Month 22]))</f>
        <v>0</v>
      </c>
      <c r="AH599" s="652">
        <f>IF($B599="",,IF(LEFT($H599,5)="dummy",SUMIFS(AvgBonus[avg_bonus],AvgBonus[job_title],$H599),SUMIFS(AvgBonus[avg_bonus],AvgBonus[exp_item],$J599,AvgBonus[company_name],$B599,AvgBonus[bu_name],$C599,AvgBonus[dept_name],$D599,AvgBonus[team_consolidation],$K599,AvgBonus[location_name],$G599,AvgBonus[job_title],$H599))*AH494*SUM(BonusPayout[Month 23]))</f>
        <v>0</v>
      </c>
      <c r="AI599" s="652">
        <f>IF($B599="",,IF(LEFT($H599,5)="dummy",SUMIFS(AvgBonus[avg_bonus],AvgBonus[job_title],$H599),SUMIFS(AvgBonus[avg_bonus],AvgBonus[exp_item],$J599,AvgBonus[company_name],$B599,AvgBonus[bu_name],$C599,AvgBonus[dept_name],$D599,AvgBonus[team_consolidation],$K599,AvgBonus[location_name],$G599,AvgBonus[job_title],$H599))*AI494*SUM(BonusPayout[Month 24]))</f>
        <v>0</v>
      </c>
      <c r="AJ599" s="652">
        <f>IF($B599="",,IF(LEFT($H599,5)="dummy",SUMIFS(AvgBonus[avg_bonus],AvgBonus[job_title],$H599),SUMIFS(AvgBonus[avg_bonus],AvgBonus[exp_item],$J599,AvgBonus[company_name],$B599,AvgBonus[bu_name],$C599,AvgBonus[dept_name],$D599,AvgBonus[team_consolidation],$K599,AvgBonus[location_name],$G599,AvgBonus[job_title],$H599))*AJ494*SUM(BonusPayout[Month 25]))</f>
        <v>0</v>
      </c>
      <c r="AK599" s="652">
        <f>IF($B599="",,IF(LEFT($H599,5)="dummy",SUMIFS(AvgBonus[avg_bonus],AvgBonus[job_title],$H599),SUMIFS(AvgBonus[avg_bonus],AvgBonus[exp_item],$J599,AvgBonus[company_name],$B599,AvgBonus[bu_name],$C599,AvgBonus[dept_name],$D599,AvgBonus[team_consolidation],$K599,AvgBonus[location_name],$G599,AvgBonus[job_title],$H599))*AK494*SUM(BonusPayout[Month 26]))</f>
        <v>0</v>
      </c>
      <c r="AL599" s="652">
        <f>IF($B599="",,IF(LEFT($H599,5)="dummy",SUMIFS(AvgBonus[avg_bonus],AvgBonus[job_title],$H599),SUMIFS(AvgBonus[avg_bonus],AvgBonus[exp_item],$J599,AvgBonus[company_name],$B599,AvgBonus[bu_name],$C599,AvgBonus[dept_name],$D599,AvgBonus[team_consolidation],$K599,AvgBonus[location_name],$G599,AvgBonus[job_title],$H599))*AL494*SUM(BonusPayout[Month 27]))</f>
        <v>0</v>
      </c>
      <c r="AM599" s="652">
        <f>IF($B599="",,IF(LEFT($H599,5)="dummy",SUMIFS(AvgBonus[avg_bonus],AvgBonus[job_title],$H599),SUMIFS(AvgBonus[avg_bonus],AvgBonus[exp_item],$J599,AvgBonus[company_name],$B599,AvgBonus[bu_name],$C599,AvgBonus[dept_name],$D599,AvgBonus[team_consolidation],$K599,AvgBonus[location_name],$G599,AvgBonus[job_title],$H599))*AM494*SUM(BonusPayout[Month 28]))</f>
        <v>0</v>
      </c>
      <c r="AN599" s="652">
        <f>IF($B599="",,IF(LEFT($H599,5)="dummy",SUMIFS(AvgBonus[avg_bonus],AvgBonus[job_title],$H599),SUMIFS(AvgBonus[avg_bonus],AvgBonus[exp_item],$J599,AvgBonus[company_name],$B599,AvgBonus[bu_name],$C599,AvgBonus[dept_name],$D599,AvgBonus[team_consolidation],$K599,AvgBonus[location_name],$G599,AvgBonus[job_title],$H599))*AN494*SUM(BonusPayout[Month 29]))</f>
        <v>0</v>
      </c>
      <c r="AO599" s="652">
        <f>IF($B599="",,IF(LEFT($H599,5)="dummy",SUMIFS(AvgBonus[avg_bonus],AvgBonus[job_title],$H599),SUMIFS(AvgBonus[avg_bonus],AvgBonus[exp_item],$J599,AvgBonus[company_name],$B599,AvgBonus[bu_name],$C599,AvgBonus[dept_name],$D599,AvgBonus[team_consolidation],$K599,AvgBonus[location_name],$G599,AvgBonus[job_title],$H599))*AO494*SUM(BonusPayout[Month 30]))</f>
        <v>0</v>
      </c>
      <c r="AP599" s="652">
        <f>IF($B599="",,IF(LEFT($H599,5)="dummy",SUMIFS(AvgBonus[avg_bonus],AvgBonus[job_title],$H599),SUMIFS(AvgBonus[avg_bonus],AvgBonus[exp_item],$J599,AvgBonus[company_name],$B599,AvgBonus[bu_name],$C599,AvgBonus[dept_name],$D599,AvgBonus[team_consolidation],$K599,AvgBonus[location_name],$G599,AvgBonus[job_title],$H599))*AP494*SUM(BonusPayout[Month 31]))</f>
        <v>0</v>
      </c>
      <c r="AQ599" s="652">
        <f>IF($B599="",,IF(LEFT($H599,5)="dummy",SUMIFS(AvgBonus[avg_bonus],AvgBonus[job_title],$H599),SUMIFS(AvgBonus[avg_bonus],AvgBonus[exp_item],$J599,AvgBonus[company_name],$B599,AvgBonus[bu_name],$C599,AvgBonus[dept_name],$D599,AvgBonus[team_consolidation],$K599,AvgBonus[location_name],$G599,AvgBonus[job_title],$H599))*AQ494*SUM(BonusPayout[Month 32]))</f>
        <v>0</v>
      </c>
      <c r="AR599" s="652">
        <f>IF($B599="",,IF(LEFT($H599,5)="dummy",SUMIFS(AvgBonus[avg_bonus],AvgBonus[job_title],$H599),SUMIFS(AvgBonus[avg_bonus],AvgBonus[exp_item],$J599,AvgBonus[company_name],$B599,AvgBonus[bu_name],$C599,AvgBonus[dept_name],$D599,AvgBonus[team_consolidation],$K599,AvgBonus[location_name],$G599,AvgBonus[job_title],$H599))*AR494*SUM(BonusPayout[Month 33]))</f>
        <v>0</v>
      </c>
      <c r="AS599" s="652">
        <f>IF($B599="",,IF(LEFT($H599,5)="dummy",SUMIFS(AvgBonus[avg_bonus],AvgBonus[job_title],$H599),SUMIFS(AvgBonus[avg_bonus],AvgBonus[exp_item],$J599,AvgBonus[company_name],$B599,AvgBonus[bu_name],$C599,AvgBonus[dept_name],$D599,AvgBonus[team_consolidation],$K599,AvgBonus[location_name],$G599,AvgBonus[job_title],$H599))*AS494*SUM(BonusPayout[Month 34]))</f>
        <v>0</v>
      </c>
      <c r="AT599" s="652">
        <f>IF($B599="",,IF(LEFT($H599,5)="dummy",SUMIFS(AvgBonus[avg_bonus],AvgBonus[job_title],$H599),SUMIFS(AvgBonus[avg_bonus],AvgBonus[exp_item],$J599,AvgBonus[company_name],$B599,AvgBonus[bu_name],$C599,AvgBonus[dept_name],$D599,AvgBonus[team_consolidation],$K599,AvgBonus[location_name],$G599,AvgBonus[job_title],$H599))*AT494*SUM(BonusPayout[Month 35]))</f>
        <v>0</v>
      </c>
      <c r="AU599" s="652">
        <f>IF($B599="",,IF(LEFT($H599,5)="dummy",SUMIFS(AvgBonus[avg_bonus],AvgBonus[job_title],$H599),SUMIFS(AvgBonus[avg_bonus],AvgBonus[exp_item],$J599,AvgBonus[company_name],$B599,AvgBonus[bu_name],$C599,AvgBonus[dept_name],$D599,AvgBonus[team_consolidation],$K599,AvgBonus[location_name],$G599,AvgBonus[job_title],$H599))*AU494*SUM(BonusPayout[Month 36]))</f>
        <v>0</v>
      </c>
    </row>
    <row r="600" spans="1:52" x14ac:dyDescent="0.35">
      <c r="B600" t="str">
        <f t="shared" ref="B600:G600" si="398">IF(B495="","",B495)</f>
        <v/>
      </c>
      <c r="C600" t="str">
        <f t="shared" si="398"/>
        <v/>
      </c>
      <c r="D600" t="str">
        <f t="shared" si="398"/>
        <v/>
      </c>
      <c r="E600" t="str">
        <f t="shared" si="398"/>
        <v/>
      </c>
      <c r="F600" t="str">
        <f t="shared" si="398"/>
        <v/>
      </c>
      <c r="G600" t="str">
        <f t="shared" si="398"/>
        <v/>
      </c>
      <c r="H600" t="str">
        <f t="shared" si="395"/>
        <v/>
      </c>
      <c r="J600" t="str">
        <f>IF($H600="","",IF(VLOOKUP($B$500,ExpItems[],2,0),$B$500&amp;" - "&amp;INDEX(DivisionMapping[category_code],MATCH($D600&amp;$C600,DivisionMapping[dept_bu],0)),$B$500))</f>
        <v/>
      </c>
      <c r="K600" t="str">
        <f t="shared" si="363"/>
        <v/>
      </c>
      <c r="L600" s="652">
        <f>IF($B600="",,IF(LEFT($H600,5)="dummy",SUMIFS(AvgBonus[avg_bonus],AvgBonus[job_title],$H600),SUMIFS(AvgBonus[avg_bonus],AvgBonus[exp_item],$J600,AvgBonus[company_name],$B600,AvgBonus[bu_name],$C600,AvgBonus[dept_name],$D600,AvgBonus[team_consolidation],$K600,AvgBonus[location_name],$G600,AvgBonus[job_title],$H600))*L495*SUM(BonusPayout[Month 1]))</f>
        <v>0</v>
      </c>
      <c r="M600" s="652">
        <f>IF($B600="",,IF(LEFT($H600,5)="dummy",SUMIFS(AvgBonus[avg_bonus],AvgBonus[job_title],$H600),SUMIFS(AvgBonus[avg_bonus],AvgBonus[exp_item],$J600,AvgBonus[company_name],$B600,AvgBonus[bu_name],$C600,AvgBonus[dept_name],$D600,AvgBonus[team_consolidation],$K600,AvgBonus[location_name],$G600,AvgBonus[job_title],$H600))*M495*SUM(BonusPayout[Month 2]))</f>
        <v>0</v>
      </c>
      <c r="N600" s="652">
        <f>IF($B600="",,IF(LEFT($H600,5)="dummy",SUMIFS(AvgBonus[avg_bonus],AvgBonus[job_title],$H600),SUMIFS(AvgBonus[avg_bonus],AvgBonus[exp_item],$J600,AvgBonus[company_name],$B600,AvgBonus[bu_name],$C600,AvgBonus[dept_name],$D600,AvgBonus[team_consolidation],$K600,AvgBonus[location_name],$G600,AvgBonus[job_title],$H600))*N495*SUM(BonusPayout[Month 3]))</f>
        <v>0</v>
      </c>
      <c r="O600" s="652">
        <f>IF($B600="",,IF(LEFT($H600,5)="dummy",SUMIFS(AvgBonus[avg_bonus],AvgBonus[job_title],$H600),SUMIFS(AvgBonus[avg_bonus],AvgBonus[exp_item],$J600,AvgBonus[company_name],$B600,AvgBonus[bu_name],$C600,AvgBonus[dept_name],$D600,AvgBonus[team_consolidation],$K600,AvgBonus[location_name],$G600,AvgBonus[job_title],$H600))*O495*SUM(BonusPayout[Month 4]))</f>
        <v>0</v>
      </c>
      <c r="P600" s="652">
        <f>IF($B600="",,IF(LEFT($H600,5)="dummy",SUMIFS(AvgBonus[avg_bonus],AvgBonus[job_title],$H600),SUMIFS(AvgBonus[avg_bonus],AvgBonus[exp_item],$J600,AvgBonus[company_name],$B600,AvgBonus[bu_name],$C600,AvgBonus[dept_name],$D600,AvgBonus[team_consolidation],$K600,AvgBonus[location_name],$G600,AvgBonus[job_title],$H600))*P495*SUM(BonusPayout[Month 5]))</f>
        <v>0</v>
      </c>
      <c r="Q600" s="652">
        <f>IF($B600="",,IF(LEFT($H600,5)="dummy",SUMIFS(AvgBonus[avg_bonus],AvgBonus[job_title],$H600),SUMIFS(AvgBonus[avg_bonus],AvgBonus[exp_item],$J600,AvgBonus[company_name],$B600,AvgBonus[bu_name],$C600,AvgBonus[dept_name],$D600,AvgBonus[team_consolidation],$K600,AvgBonus[location_name],$G600,AvgBonus[job_title],$H600))*Q495*SUM(BonusPayout[Month 6]))</f>
        <v>0</v>
      </c>
      <c r="R600" s="652">
        <f>IF($B600="",,IF(LEFT($H600,5)="dummy",SUMIFS(AvgBonus[avg_bonus],AvgBonus[job_title],$H600),SUMIFS(AvgBonus[avg_bonus],AvgBonus[exp_item],$J600,AvgBonus[company_name],$B600,AvgBonus[bu_name],$C600,AvgBonus[dept_name],$D600,AvgBonus[team_consolidation],$K600,AvgBonus[location_name],$G600,AvgBonus[job_title],$H600))*R495*SUM(BonusPayout[Month 7]))</f>
        <v>0</v>
      </c>
      <c r="S600" s="652">
        <f>IF($B600="",,IF(LEFT($H600,5)="dummy",SUMIFS(AvgBonus[avg_bonus],AvgBonus[job_title],$H600),SUMIFS(AvgBonus[avg_bonus],AvgBonus[exp_item],$J600,AvgBonus[company_name],$B600,AvgBonus[bu_name],$C600,AvgBonus[dept_name],$D600,AvgBonus[team_consolidation],$K600,AvgBonus[location_name],$G600,AvgBonus[job_title],$H600))*S495*SUM(BonusPayout[Month 8]))</f>
        <v>0</v>
      </c>
      <c r="T600" s="652">
        <f>IF($B600="",,IF(LEFT($H600,5)="dummy",SUMIFS(AvgBonus[avg_bonus],AvgBonus[job_title],$H600),SUMIFS(AvgBonus[avg_bonus],AvgBonus[exp_item],$J600,AvgBonus[company_name],$B600,AvgBonus[bu_name],$C600,AvgBonus[dept_name],$D600,AvgBonus[team_consolidation],$K600,AvgBonus[location_name],$G600,AvgBonus[job_title],$H600))*T495*SUM(BonusPayout[Month 9]))</f>
        <v>0</v>
      </c>
      <c r="U600" s="652">
        <f>IF($B600="",,IF(LEFT($H600,5)="dummy",SUMIFS(AvgBonus[avg_bonus],AvgBonus[job_title],$H600),SUMIFS(AvgBonus[avg_bonus],AvgBonus[exp_item],$J600,AvgBonus[company_name],$B600,AvgBonus[bu_name],$C600,AvgBonus[dept_name],$D600,AvgBonus[team_consolidation],$K600,AvgBonus[location_name],$G600,AvgBonus[job_title],$H600))*U495*SUM(BonusPayout[Month 10]))</f>
        <v>0</v>
      </c>
      <c r="V600" s="652">
        <f>IF($B600="",,IF(LEFT($H600,5)="dummy",SUMIFS(AvgBonus[avg_bonus],AvgBonus[job_title],$H600),SUMIFS(AvgBonus[avg_bonus],AvgBonus[exp_item],$J600,AvgBonus[company_name],$B600,AvgBonus[bu_name],$C600,AvgBonus[dept_name],$D600,AvgBonus[team_consolidation],$K600,AvgBonus[location_name],$G600,AvgBonus[job_title],$H600))*V495*SUM(BonusPayout[Month 11]))</f>
        <v>0</v>
      </c>
      <c r="W600" s="652">
        <f>IF($B600="",,IF(LEFT($H600,5)="dummy",SUMIFS(AvgBonus[avg_bonus],AvgBonus[job_title],$H600),SUMIFS(AvgBonus[avg_bonus],AvgBonus[exp_item],$J600,AvgBonus[company_name],$B600,AvgBonus[bu_name],$C600,AvgBonus[dept_name],$D600,AvgBonus[team_consolidation],$K600,AvgBonus[location_name],$G600,AvgBonus[job_title],$H600))*W495*SUM(BonusPayout[Month 12]))</f>
        <v>0</v>
      </c>
      <c r="X600" s="652">
        <f>IF($B600="",,IF(LEFT($H600,5)="dummy",SUMIFS(AvgBonus[avg_bonus],AvgBonus[job_title],$H600),SUMIFS(AvgBonus[avg_bonus],AvgBonus[exp_item],$J600,AvgBonus[company_name],$B600,AvgBonus[bu_name],$C600,AvgBonus[dept_name],$D600,AvgBonus[team_consolidation],$K600,AvgBonus[location_name],$G600,AvgBonus[job_title],$H600))*X495*SUM(BonusPayout[Month 13]))</f>
        <v>0</v>
      </c>
      <c r="Y600" s="652">
        <f>IF($B600="",,IF(LEFT($H600,5)="dummy",SUMIFS(AvgBonus[avg_bonus],AvgBonus[job_title],$H600),SUMIFS(AvgBonus[avg_bonus],AvgBonus[exp_item],$J600,AvgBonus[company_name],$B600,AvgBonus[bu_name],$C600,AvgBonus[dept_name],$D600,AvgBonus[team_consolidation],$K600,AvgBonus[location_name],$G600,AvgBonus[job_title],$H600))*Y495*SUM(BonusPayout[Month 14]))</f>
        <v>0</v>
      </c>
      <c r="Z600" s="652">
        <f>IF($B600="",,IF(LEFT($H600,5)="dummy",SUMIFS(AvgBonus[avg_bonus],AvgBonus[job_title],$H600),SUMIFS(AvgBonus[avg_bonus],AvgBonus[exp_item],$J600,AvgBonus[company_name],$B600,AvgBonus[bu_name],$C600,AvgBonus[dept_name],$D600,AvgBonus[team_consolidation],$K600,AvgBonus[location_name],$G600,AvgBonus[job_title],$H600))*Z495*SUM(BonusPayout[Month 15]))</f>
        <v>0</v>
      </c>
      <c r="AA600" s="652">
        <f>IF($B600="",,IF(LEFT($H600,5)="dummy",SUMIFS(AvgBonus[avg_bonus],AvgBonus[job_title],$H600),SUMIFS(AvgBonus[avg_bonus],AvgBonus[exp_item],$J600,AvgBonus[company_name],$B600,AvgBonus[bu_name],$C600,AvgBonus[dept_name],$D600,AvgBonus[team_consolidation],$K600,AvgBonus[location_name],$G600,AvgBonus[job_title],$H600))*AA495*SUM(BonusPayout[Month 16]))</f>
        <v>0</v>
      </c>
      <c r="AB600" s="652">
        <f>IF($B600="",,IF(LEFT($H600,5)="dummy",SUMIFS(AvgBonus[avg_bonus],AvgBonus[job_title],$H600),SUMIFS(AvgBonus[avg_bonus],AvgBonus[exp_item],$J600,AvgBonus[company_name],$B600,AvgBonus[bu_name],$C600,AvgBonus[dept_name],$D600,AvgBonus[team_consolidation],$K600,AvgBonus[location_name],$G600,AvgBonus[job_title],$H600))*AB495*SUM(BonusPayout[Month 17]))</f>
        <v>0</v>
      </c>
      <c r="AC600" s="652">
        <f>IF($B600="",,IF(LEFT($H600,5)="dummy",SUMIFS(AvgBonus[avg_bonus],AvgBonus[job_title],$H600),SUMIFS(AvgBonus[avg_bonus],AvgBonus[exp_item],$J600,AvgBonus[company_name],$B600,AvgBonus[bu_name],$C600,AvgBonus[dept_name],$D600,AvgBonus[team_consolidation],$K600,AvgBonus[location_name],$G600,AvgBonus[job_title],$H600))*AC495*SUM(BonusPayout[Month 18]))</f>
        <v>0</v>
      </c>
      <c r="AD600" s="652">
        <f>IF($B600="",,IF(LEFT($H600,5)="dummy",SUMIFS(AvgBonus[avg_bonus],AvgBonus[job_title],$H600),SUMIFS(AvgBonus[avg_bonus],AvgBonus[exp_item],$J600,AvgBonus[company_name],$B600,AvgBonus[bu_name],$C600,AvgBonus[dept_name],$D600,AvgBonus[team_consolidation],$K600,AvgBonus[location_name],$G600,AvgBonus[job_title],$H600))*AD495*SUM(BonusPayout[Month 19]))</f>
        <v>0</v>
      </c>
      <c r="AE600" s="652">
        <f>IF($B600="",,IF(LEFT($H600,5)="dummy",SUMIFS(AvgBonus[avg_bonus],AvgBonus[job_title],$H600),SUMIFS(AvgBonus[avg_bonus],AvgBonus[exp_item],$J600,AvgBonus[company_name],$B600,AvgBonus[bu_name],$C600,AvgBonus[dept_name],$D600,AvgBonus[team_consolidation],$K600,AvgBonus[location_name],$G600,AvgBonus[job_title],$H600))*AE495*SUM(BonusPayout[Month 20]))</f>
        <v>0</v>
      </c>
      <c r="AF600" s="652">
        <f>IF($B600="",,IF(LEFT($H600,5)="dummy",SUMIFS(AvgBonus[avg_bonus],AvgBonus[job_title],$H600),SUMIFS(AvgBonus[avg_bonus],AvgBonus[exp_item],$J600,AvgBonus[company_name],$B600,AvgBonus[bu_name],$C600,AvgBonus[dept_name],$D600,AvgBonus[team_consolidation],$K600,AvgBonus[location_name],$G600,AvgBonus[job_title],$H600))*AF495*SUM(BonusPayout[Month 21]))</f>
        <v>0</v>
      </c>
      <c r="AG600" s="652">
        <f>IF($B600="",,IF(LEFT($H600,5)="dummy",SUMIFS(AvgBonus[avg_bonus],AvgBonus[job_title],$H600),SUMIFS(AvgBonus[avg_bonus],AvgBonus[exp_item],$J600,AvgBonus[company_name],$B600,AvgBonus[bu_name],$C600,AvgBonus[dept_name],$D600,AvgBonus[team_consolidation],$K600,AvgBonus[location_name],$G600,AvgBonus[job_title],$H600))*AG495*SUM(BonusPayout[Month 22]))</f>
        <v>0</v>
      </c>
      <c r="AH600" s="652">
        <f>IF($B600="",,IF(LEFT($H600,5)="dummy",SUMIFS(AvgBonus[avg_bonus],AvgBonus[job_title],$H600),SUMIFS(AvgBonus[avg_bonus],AvgBonus[exp_item],$J600,AvgBonus[company_name],$B600,AvgBonus[bu_name],$C600,AvgBonus[dept_name],$D600,AvgBonus[team_consolidation],$K600,AvgBonus[location_name],$G600,AvgBonus[job_title],$H600))*AH495*SUM(BonusPayout[Month 23]))</f>
        <v>0</v>
      </c>
      <c r="AI600" s="652">
        <f>IF($B600="",,IF(LEFT($H600,5)="dummy",SUMIFS(AvgBonus[avg_bonus],AvgBonus[job_title],$H600),SUMIFS(AvgBonus[avg_bonus],AvgBonus[exp_item],$J600,AvgBonus[company_name],$B600,AvgBonus[bu_name],$C600,AvgBonus[dept_name],$D600,AvgBonus[team_consolidation],$K600,AvgBonus[location_name],$G600,AvgBonus[job_title],$H600))*AI495*SUM(BonusPayout[Month 24]))</f>
        <v>0</v>
      </c>
      <c r="AJ600" s="652">
        <f>IF($B600="",,IF(LEFT($H600,5)="dummy",SUMIFS(AvgBonus[avg_bonus],AvgBonus[job_title],$H600),SUMIFS(AvgBonus[avg_bonus],AvgBonus[exp_item],$J600,AvgBonus[company_name],$B600,AvgBonus[bu_name],$C600,AvgBonus[dept_name],$D600,AvgBonus[team_consolidation],$K600,AvgBonus[location_name],$G600,AvgBonus[job_title],$H600))*AJ495*SUM(BonusPayout[Month 25]))</f>
        <v>0</v>
      </c>
      <c r="AK600" s="652">
        <f>IF($B600="",,IF(LEFT($H600,5)="dummy",SUMIFS(AvgBonus[avg_bonus],AvgBonus[job_title],$H600),SUMIFS(AvgBonus[avg_bonus],AvgBonus[exp_item],$J600,AvgBonus[company_name],$B600,AvgBonus[bu_name],$C600,AvgBonus[dept_name],$D600,AvgBonus[team_consolidation],$K600,AvgBonus[location_name],$G600,AvgBonus[job_title],$H600))*AK495*SUM(BonusPayout[Month 26]))</f>
        <v>0</v>
      </c>
      <c r="AL600" s="652">
        <f>IF($B600="",,IF(LEFT($H600,5)="dummy",SUMIFS(AvgBonus[avg_bonus],AvgBonus[job_title],$H600),SUMIFS(AvgBonus[avg_bonus],AvgBonus[exp_item],$J600,AvgBonus[company_name],$B600,AvgBonus[bu_name],$C600,AvgBonus[dept_name],$D600,AvgBonus[team_consolidation],$K600,AvgBonus[location_name],$G600,AvgBonus[job_title],$H600))*AL495*SUM(BonusPayout[Month 27]))</f>
        <v>0</v>
      </c>
      <c r="AM600" s="652">
        <f>IF($B600="",,IF(LEFT($H600,5)="dummy",SUMIFS(AvgBonus[avg_bonus],AvgBonus[job_title],$H600),SUMIFS(AvgBonus[avg_bonus],AvgBonus[exp_item],$J600,AvgBonus[company_name],$B600,AvgBonus[bu_name],$C600,AvgBonus[dept_name],$D600,AvgBonus[team_consolidation],$K600,AvgBonus[location_name],$G600,AvgBonus[job_title],$H600))*AM495*SUM(BonusPayout[Month 28]))</f>
        <v>0</v>
      </c>
      <c r="AN600" s="652">
        <f>IF($B600="",,IF(LEFT($H600,5)="dummy",SUMIFS(AvgBonus[avg_bonus],AvgBonus[job_title],$H600),SUMIFS(AvgBonus[avg_bonus],AvgBonus[exp_item],$J600,AvgBonus[company_name],$B600,AvgBonus[bu_name],$C600,AvgBonus[dept_name],$D600,AvgBonus[team_consolidation],$K600,AvgBonus[location_name],$G600,AvgBonus[job_title],$H600))*AN495*SUM(BonusPayout[Month 29]))</f>
        <v>0</v>
      </c>
      <c r="AO600" s="652">
        <f>IF($B600="",,IF(LEFT($H600,5)="dummy",SUMIFS(AvgBonus[avg_bonus],AvgBonus[job_title],$H600),SUMIFS(AvgBonus[avg_bonus],AvgBonus[exp_item],$J600,AvgBonus[company_name],$B600,AvgBonus[bu_name],$C600,AvgBonus[dept_name],$D600,AvgBonus[team_consolidation],$K600,AvgBonus[location_name],$G600,AvgBonus[job_title],$H600))*AO495*SUM(BonusPayout[Month 30]))</f>
        <v>0</v>
      </c>
      <c r="AP600" s="652">
        <f>IF($B600="",,IF(LEFT($H600,5)="dummy",SUMIFS(AvgBonus[avg_bonus],AvgBonus[job_title],$H600),SUMIFS(AvgBonus[avg_bonus],AvgBonus[exp_item],$J600,AvgBonus[company_name],$B600,AvgBonus[bu_name],$C600,AvgBonus[dept_name],$D600,AvgBonus[team_consolidation],$K600,AvgBonus[location_name],$G600,AvgBonus[job_title],$H600))*AP495*SUM(BonusPayout[Month 31]))</f>
        <v>0</v>
      </c>
      <c r="AQ600" s="652">
        <f>IF($B600="",,IF(LEFT($H600,5)="dummy",SUMIFS(AvgBonus[avg_bonus],AvgBonus[job_title],$H600),SUMIFS(AvgBonus[avg_bonus],AvgBonus[exp_item],$J600,AvgBonus[company_name],$B600,AvgBonus[bu_name],$C600,AvgBonus[dept_name],$D600,AvgBonus[team_consolidation],$K600,AvgBonus[location_name],$G600,AvgBonus[job_title],$H600))*AQ495*SUM(BonusPayout[Month 32]))</f>
        <v>0</v>
      </c>
      <c r="AR600" s="652">
        <f>IF($B600="",,IF(LEFT($H600,5)="dummy",SUMIFS(AvgBonus[avg_bonus],AvgBonus[job_title],$H600),SUMIFS(AvgBonus[avg_bonus],AvgBonus[exp_item],$J600,AvgBonus[company_name],$B600,AvgBonus[bu_name],$C600,AvgBonus[dept_name],$D600,AvgBonus[team_consolidation],$K600,AvgBonus[location_name],$G600,AvgBonus[job_title],$H600))*AR495*SUM(BonusPayout[Month 33]))</f>
        <v>0</v>
      </c>
      <c r="AS600" s="652">
        <f>IF($B600="",,IF(LEFT($H600,5)="dummy",SUMIFS(AvgBonus[avg_bonus],AvgBonus[job_title],$H600),SUMIFS(AvgBonus[avg_bonus],AvgBonus[exp_item],$J600,AvgBonus[company_name],$B600,AvgBonus[bu_name],$C600,AvgBonus[dept_name],$D600,AvgBonus[team_consolidation],$K600,AvgBonus[location_name],$G600,AvgBonus[job_title],$H600))*AS495*SUM(BonusPayout[Month 34]))</f>
        <v>0</v>
      </c>
      <c r="AT600" s="652">
        <f>IF($B600="",,IF(LEFT($H600,5)="dummy",SUMIFS(AvgBonus[avg_bonus],AvgBonus[job_title],$H600),SUMIFS(AvgBonus[avg_bonus],AvgBonus[exp_item],$J600,AvgBonus[company_name],$B600,AvgBonus[bu_name],$C600,AvgBonus[dept_name],$D600,AvgBonus[team_consolidation],$K600,AvgBonus[location_name],$G600,AvgBonus[job_title],$H600))*AT495*SUM(BonusPayout[Month 35]))</f>
        <v>0</v>
      </c>
      <c r="AU600" s="652">
        <f>IF($B600="",,IF(LEFT($H600,5)="dummy",SUMIFS(AvgBonus[avg_bonus],AvgBonus[job_title],$H600),SUMIFS(AvgBonus[avg_bonus],AvgBonus[exp_item],$J600,AvgBonus[company_name],$B600,AvgBonus[bu_name],$C600,AvgBonus[dept_name],$D600,AvgBonus[team_consolidation],$K600,AvgBonus[location_name],$G600,AvgBonus[job_title],$H600))*AU495*SUM(BonusPayout[Month 36]))</f>
        <v>0</v>
      </c>
    </row>
    <row r="601" spans="1:52" x14ac:dyDescent="0.35">
      <c r="B601" t="str">
        <f t="shared" ref="B601:G601" si="399">IF(B496="","",B496)</f>
        <v/>
      </c>
      <c r="C601" t="str">
        <f t="shared" si="399"/>
        <v/>
      </c>
      <c r="D601" t="str">
        <f t="shared" si="399"/>
        <v/>
      </c>
      <c r="E601" t="str">
        <f t="shared" si="399"/>
        <v/>
      </c>
      <c r="F601" t="str">
        <f t="shared" si="399"/>
        <v/>
      </c>
      <c r="G601" t="str">
        <f t="shared" si="399"/>
        <v/>
      </c>
      <c r="H601" t="str">
        <f t="shared" si="395"/>
        <v/>
      </c>
      <c r="J601" t="str">
        <f>IF($H601="","",IF(VLOOKUP($B$500,ExpItems[],2,0),$B$500&amp;" - "&amp;INDEX(DivisionMapping[category_code],MATCH($D601&amp;$C601,DivisionMapping[dept_bu],0)),$B$500))</f>
        <v/>
      </c>
      <c r="K601" t="str">
        <f t="shared" si="363"/>
        <v/>
      </c>
      <c r="L601" s="652">
        <f>IF($B601="",,IF(LEFT($H601,5)="dummy",SUMIFS(AvgBonus[avg_bonus],AvgBonus[job_title],$H601),SUMIFS(AvgBonus[avg_bonus],AvgBonus[exp_item],$J601,AvgBonus[company_name],$B601,AvgBonus[bu_name],$C601,AvgBonus[dept_name],$D601,AvgBonus[team_consolidation],$K601,AvgBonus[location_name],$G601,AvgBonus[job_title],$H601))*L496*SUM(BonusPayout[Month 1]))</f>
        <v>0</v>
      </c>
      <c r="M601" s="652">
        <f>IF($B601="",,IF(LEFT($H601,5)="dummy",SUMIFS(AvgBonus[avg_bonus],AvgBonus[job_title],$H601),SUMIFS(AvgBonus[avg_bonus],AvgBonus[exp_item],$J601,AvgBonus[company_name],$B601,AvgBonus[bu_name],$C601,AvgBonus[dept_name],$D601,AvgBonus[team_consolidation],$K601,AvgBonus[location_name],$G601,AvgBonus[job_title],$H601))*M496*SUM(BonusPayout[Month 2]))</f>
        <v>0</v>
      </c>
      <c r="N601" s="652">
        <f>IF($B601="",,IF(LEFT($H601,5)="dummy",SUMIFS(AvgBonus[avg_bonus],AvgBonus[job_title],$H601),SUMIFS(AvgBonus[avg_bonus],AvgBonus[exp_item],$J601,AvgBonus[company_name],$B601,AvgBonus[bu_name],$C601,AvgBonus[dept_name],$D601,AvgBonus[team_consolidation],$K601,AvgBonus[location_name],$G601,AvgBonus[job_title],$H601))*N496*SUM(BonusPayout[Month 3]))</f>
        <v>0</v>
      </c>
      <c r="O601" s="652">
        <f>IF($B601="",,IF(LEFT($H601,5)="dummy",SUMIFS(AvgBonus[avg_bonus],AvgBonus[job_title],$H601),SUMIFS(AvgBonus[avg_bonus],AvgBonus[exp_item],$J601,AvgBonus[company_name],$B601,AvgBonus[bu_name],$C601,AvgBonus[dept_name],$D601,AvgBonus[team_consolidation],$K601,AvgBonus[location_name],$G601,AvgBonus[job_title],$H601))*O496*SUM(BonusPayout[Month 4]))</f>
        <v>0</v>
      </c>
      <c r="P601" s="652">
        <f>IF($B601="",,IF(LEFT($H601,5)="dummy",SUMIFS(AvgBonus[avg_bonus],AvgBonus[job_title],$H601),SUMIFS(AvgBonus[avg_bonus],AvgBonus[exp_item],$J601,AvgBonus[company_name],$B601,AvgBonus[bu_name],$C601,AvgBonus[dept_name],$D601,AvgBonus[team_consolidation],$K601,AvgBonus[location_name],$G601,AvgBonus[job_title],$H601))*P496*SUM(BonusPayout[Month 5]))</f>
        <v>0</v>
      </c>
      <c r="Q601" s="652">
        <f>IF($B601="",,IF(LEFT($H601,5)="dummy",SUMIFS(AvgBonus[avg_bonus],AvgBonus[job_title],$H601),SUMIFS(AvgBonus[avg_bonus],AvgBonus[exp_item],$J601,AvgBonus[company_name],$B601,AvgBonus[bu_name],$C601,AvgBonus[dept_name],$D601,AvgBonus[team_consolidation],$K601,AvgBonus[location_name],$G601,AvgBonus[job_title],$H601))*Q496*SUM(BonusPayout[Month 6]))</f>
        <v>0</v>
      </c>
      <c r="R601" s="652">
        <f>IF($B601="",,IF(LEFT($H601,5)="dummy",SUMIFS(AvgBonus[avg_bonus],AvgBonus[job_title],$H601),SUMIFS(AvgBonus[avg_bonus],AvgBonus[exp_item],$J601,AvgBonus[company_name],$B601,AvgBonus[bu_name],$C601,AvgBonus[dept_name],$D601,AvgBonus[team_consolidation],$K601,AvgBonus[location_name],$G601,AvgBonus[job_title],$H601))*R496*SUM(BonusPayout[Month 7]))</f>
        <v>0</v>
      </c>
      <c r="S601" s="652">
        <f>IF($B601="",,IF(LEFT($H601,5)="dummy",SUMIFS(AvgBonus[avg_bonus],AvgBonus[job_title],$H601),SUMIFS(AvgBonus[avg_bonus],AvgBonus[exp_item],$J601,AvgBonus[company_name],$B601,AvgBonus[bu_name],$C601,AvgBonus[dept_name],$D601,AvgBonus[team_consolidation],$K601,AvgBonus[location_name],$G601,AvgBonus[job_title],$H601))*S496*SUM(BonusPayout[Month 8]))</f>
        <v>0</v>
      </c>
      <c r="T601" s="652">
        <f>IF($B601="",,IF(LEFT($H601,5)="dummy",SUMIFS(AvgBonus[avg_bonus],AvgBonus[job_title],$H601),SUMIFS(AvgBonus[avg_bonus],AvgBonus[exp_item],$J601,AvgBonus[company_name],$B601,AvgBonus[bu_name],$C601,AvgBonus[dept_name],$D601,AvgBonus[team_consolidation],$K601,AvgBonus[location_name],$G601,AvgBonus[job_title],$H601))*T496*SUM(BonusPayout[Month 9]))</f>
        <v>0</v>
      </c>
      <c r="U601" s="652">
        <f>IF($B601="",,IF(LEFT($H601,5)="dummy",SUMIFS(AvgBonus[avg_bonus],AvgBonus[job_title],$H601),SUMIFS(AvgBonus[avg_bonus],AvgBonus[exp_item],$J601,AvgBonus[company_name],$B601,AvgBonus[bu_name],$C601,AvgBonus[dept_name],$D601,AvgBonus[team_consolidation],$K601,AvgBonus[location_name],$G601,AvgBonus[job_title],$H601))*U496*SUM(BonusPayout[Month 10]))</f>
        <v>0</v>
      </c>
      <c r="V601" s="652">
        <f>IF($B601="",,IF(LEFT($H601,5)="dummy",SUMIFS(AvgBonus[avg_bonus],AvgBonus[job_title],$H601),SUMIFS(AvgBonus[avg_bonus],AvgBonus[exp_item],$J601,AvgBonus[company_name],$B601,AvgBonus[bu_name],$C601,AvgBonus[dept_name],$D601,AvgBonus[team_consolidation],$K601,AvgBonus[location_name],$G601,AvgBonus[job_title],$H601))*V496*SUM(BonusPayout[Month 11]))</f>
        <v>0</v>
      </c>
      <c r="W601" s="652">
        <f>IF($B601="",,IF(LEFT($H601,5)="dummy",SUMIFS(AvgBonus[avg_bonus],AvgBonus[job_title],$H601),SUMIFS(AvgBonus[avg_bonus],AvgBonus[exp_item],$J601,AvgBonus[company_name],$B601,AvgBonus[bu_name],$C601,AvgBonus[dept_name],$D601,AvgBonus[team_consolidation],$K601,AvgBonus[location_name],$G601,AvgBonus[job_title],$H601))*W496*SUM(BonusPayout[Month 12]))</f>
        <v>0</v>
      </c>
      <c r="X601" s="652">
        <f>IF($B601="",,IF(LEFT($H601,5)="dummy",SUMIFS(AvgBonus[avg_bonus],AvgBonus[job_title],$H601),SUMIFS(AvgBonus[avg_bonus],AvgBonus[exp_item],$J601,AvgBonus[company_name],$B601,AvgBonus[bu_name],$C601,AvgBonus[dept_name],$D601,AvgBonus[team_consolidation],$K601,AvgBonus[location_name],$G601,AvgBonus[job_title],$H601))*X496*SUM(BonusPayout[Month 13]))</f>
        <v>0</v>
      </c>
      <c r="Y601" s="652">
        <f>IF($B601="",,IF(LEFT($H601,5)="dummy",SUMIFS(AvgBonus[avg_bonus],AvgBonus[job_title],$H601),SUMIFS(AvgBonus[avg_bonus],AvgBonus[exp_item],$J601,AvgBonus[company_name],$B601,AvgBonus[bu_name],$C601,AvgBonus[dept_name],$D601,AvgBonus[team_consolidation],$K601,AvgBonus[location_name],$G601,AvgBonus[job_title],$H601))*Y496*SUM(BonusPayout[Month 14]))</f>
        <v>0</v>
      </c>
      <c r="Z601" s="652">
        <f>IF($B601="",,IF(LEFT($H601,5)="dummy",SUMIFS(AvgBonus[avg_bonus],AvgBonus[job_title],$H601),SUMIFS(AvgBonus[avg_bonus],AvgBonus[exp_item],$J601,AvgBonus[company_name],$B601,AvgBonus[bu_name],$C601,AvgBonus[dept_name],$D601,AvgBonus[team_consolidation],$K601,AvgBonus[location_name],$G601,AvgBonus[job_title],$H601))*Z496*SUM(BonusPayout[Month 15]))</f>
        <v>0</v>
      </c>
      <c r="AA601" s="652">
        <f>IF($B601="",,IF(LEFT($H601,5)="dummy",SUMIFS(AvgBonus[avg_bonus],AvgBonus[job_title],$H601),SUMIFS(AvgBonus[avg_bonus],AvgBonus[exp_item],$J601,AvgBonus[company_name],$B601,AvgBonus[bu_name],$C601,AvgBonus[dept_name],$D601,AvgBonus[team_consolidation],$K601,AvgBonus[location_name],$G601,AvgBonus[job_title],$H601))*AA496*SUM(BonusPayout[Month 16]))</f>
        <v>0</v>
      </c>
      <c r="AB601" s="652">
        <f>IF($B601="",,IF(LEFT($H601,5)="dummy",SUMIFS(AvgBonus[avg_bonus],AvgBonus[job_title],$H601),SUMIFS(AvgBonus[avg_bonus],AvgBonus[exp_item],$J601,AvgBonus[company_name],$B601,AvgBonus[bu_name],$C601,AvgBonus[dept_name],$D601,AvgBonus[team_consolidation],$K601,AvgBonus[location_name],$G601,AvgBonus[job_title],$H601))*AB496*SUM(BonusPayout[Month 17]))</f>
        <v>0</v>
      </c>
      <c r="AC601" s="652">
        <f>IF($B601="",,IF(LEFT($H601,5)="dummy",SUMIFS(AvgBonus[avg_bonus],AvgBonus[job_title],$H601),SUMIFS(AvgBonus[avg_bonus],AvgBonus[exp_item],$J601,AvgBonus[company_name],$B601,AvgBonus[bu_name],$C601,AvgBonus[dept_name],$D601,AvgBonus[team_consolidation],$K601,AvgBonus[location_name],$G601,AvgBonus[job_title],$H601))*AC496*SUM(BonusPayout[Month 18]))</f>
        <v>0</v>
      </c>
      <c r="AD601" s="652">
        <f>IF($B601="",,IF(LEFT($H601,5)="dummy",SUMIFS(AvgBonus[avg_bonus],AvgBonus[job_title],$H601),SUMIFS(AvgBonus[avg_bonus],AvgBonus[exp_item],$J601,AvgBonus[company_name],$B601,AvgBonus[bu_name],$C601,AvgBonus[dept_name],$D601,AvgBonus[team_consolidation],$K601,AvgBonus[location_name],$G601,AvgBonus[job_title],$H601))*AD496*SUM(BonusPayout[Month 19]))</f>
        <v>0</v>
      </c>
      <c r="AE601" s="652">
        <f>IF($B601="",,IF(LEFT($H601,5)="dummy",SUMIFS(AvgBonus[avg_bonus],AvgBonus[job_title],$H601),SUMIFS(AvgBonus[avg_bonus],AvgBonus[exp_item],$J601,AvgBonus[company_name],$B601,AvgBonus[bu_name],$C601,AvgBonus[dept_name],$D601,AvgBonus[team_consolidation],$K601,AvgBonus[location_name],$G601,AvgBonus[job_title],$H601))*AE496*SUM(BonusPayout[Month 20]))</f>
        <v>0</v>
      </c>
      <c r="AF601" s="652">
        <f>IF($B601="",,IF(LEFT($H601,5)="dummy",SUMIFS(AvgBonus[avg_bonus],AvgBonus[job_title],$H601),SUMIFS(AvgBonus[avg_bonus],AvgBonus[exp_item],$J601,AvgBonus[company_name],$B601,AvgBonus[bu_name],$C601,AvgBonus[dept_name],$D601,AvgBonus[team_consolidation],$K601,AvgBonus[location_name],$G601,AvgBonus[job_title],$H601))*AF496*SUM(BonusPayout[Month 21]))</f>
        <v>0</v>
      </c>
      <c r="AG601" s="652">
        <f>IF($B601="",,IF(LEFT($H601,5)="dummy",SUMIFS(AvgBonus[avg_bonus],AvgBonus[job_title],$H601),SUMIFS(AvgBonus[avg_bonus],AvgBonus[exp_item],$J601,AvgBonus[company_name],$B601,AvgBonus[bu_name],$C601,AvgBonus[dept_name],$D601,AvgBonus[team_consolidation],$K601,AvgBonus[location_name],$G601,AvgBonus[job_title],$H601))*AG496*SUM(BonusPayout[Month 22]))</f>
        <v>0</v>
      </c>
      <c r="AH601" s="652">
        <f>IF($B601="",,IF(LEFT($H601,5)="dummy",SUMIFS(AvgBonus[avg_bonus],AvgBonus[job_title],$H601),SUMIFS(AvgBonus[avg_bonus],AvgBonus[exp_item],$J601,AvgBonus[company_name],$B601,AvgBonus[bu_name],$C601,AvgBonus[dept_name],$D601,AvgBonus[team_consolidation],$K601,AvgBonus[location_name],$G601,AvgBonus[job_title],$H601))*AH496*SUM(BonusPayout[Month 23]))</f>
        <v>0</v>
      </c>
      <c r="AI601" s="652">
        <f>IF($B601="",,IF(LEFT($H601,5)="dummy",SUMIFS(AvgBonus[avg_bonus],AvgBonus[job_title],$H601),SUMIFS(AvgBonus[avg_bonus],AvgBonus[exp_item],$J601,AvgBonus[company_name],$B601,AvgBonus[bu_name],$C601,AvgBonus[dept_name],$D601,AvgBonus[team_consolidation],$K601,AvgBonus[location_name],$G601,AvgBonus[job_title],$H601))*AI496*SUM(BonusPayout[Month 24]))</f>
        <v>0</v>
      </c>
      <c r="AJ601" s="652">
        <f>IF($B601="",,IF(LEFT($H601,5)="dummy",SUMIFS(AvgBonus[avg_bonus],AvgBonus[job_title],$H601),SUMIFS(AvgBonus[avg_bonus],AvgBonus[exp_item],$J601,AvgBonus[company_name],$B601,AvgBonus[bu_name],$C601,AvgBonus[dept_name],$D601,AvgBonus[team_consolidation],$K601,AvgBonus[location_name],$G601,AvgBonus[job_title],$H601))*AJ496*SUM(BonusPayout[Month 25]))</f>
        <v>0</v>
      </c>
      <c r="AK601" s="652">
        <f>IF($B601="",,IF(LEFT($H601,5)="dummy",SUMIFS(AvgBonus[avg_bonus],AvgBonus[job_title],$H601),SUMIFS(AvgBonus[avg_bonus],AvgBonus[exp_item],$J601,AvgBonus[company_name],$B601,AvgBonus[bu_name],$C601,AvgBonus[dept_name],$D601,AvgBonus[team_consolidation],$K601,AvgBonus[location_name],$G601,AvgBonus[job_title],$H601))*AK496*SUM(BonusPayout[Month 26]))</f>
        <v>0</v>
      </c>
      <c r="AL601" s="652">
        <f>IF($B601="",,IF(LEFT($H601,5)="dummy",SUMIFS(AvgBonus[avg_bonus],AvgBonus[job_title],$H601),SUMIFS(AvgBonus[avg_bonus],AvgBonus[exp_item],$J601,AvgBonus[company_name],$B601,AvgBonus[bu_name],$C601,AvgBonus[dept_name],$D601,AvgBonus[team_consolidation],$K601,AvgBonus[location_name],$G601,AvgBonus[job_title],$H601))*AL496*SUM(BonusPayout[Month 27]))</f>
        <v>0</v>
      </c>
      <c r="AM601" s="652">
        <f>IF($B601="",,IF(LEFT($H601,5)="dummy",SUMIFS(AvgBonus[avg_bonus],AvgBonus[job_title],$H601),SUMIFS(AvgBonus[avg_bonus],AvgBonus[exp_item],$J601,AvgBonus[company_name],$B601,AvgBonus[bu_name],$C601,AvgBonus[dept_name],$D601,AvgBonus[team_consolidation],$K601,AvgBonus[location_name],$G601,AvgBonus[job_title],$H601))*AM496*SUM(BonusPayout[Month 28]))</f>
        <v>0</v>
      </c>
      <c r="AN601" s="652">
        <f>IF($B601="",,IF(LEFT($H601,5)="dummy",SUMIFS(AvgBonus[avg_bonus],AvgBonus[job_title],$H601),SUMIFS(AvgBonus[avg_bonus],AvgBonus[exp_item],$J601,AvgBonus[company_name],$B601,AvgBonus[bu_name],$C601,AvgBonus[dept_name],$D601,AvgBonus[team_consolidation],$K601,AvgBonus[location_name],$G601,AvgBonus[job_title],$H601))*AN496*SUM(BonusPayout[Month 29]))</f>
        <v>0</v>
      </c>
      <c r="AO601" s="652">
        <f>IF($B601="",,IF(LEFT($H601,5)="dummy",SUMIFS(AvgBonus[avg_bonus],AvgBonus[job_title],$H601),SUMIFS(AvgBonus[avg_bonus],AvgBonus[exp_item],$J601,AvgBonus[company_name],$B601,AvgBonus[bu_name],$C601,AvgBonus[dept_name],$D601,AvgBonus[team_consolidation],$K601,AvgBonus[location_name],$G601,AvgBonus[job_title],$H601))*AO496*SUM(BonusPayout[Month 30]))</f>
        <v>0</v>
      </c>
      <c r="AP601" s="652">
        <f>IF($B601="",,IF(LEFT($H601,5)="dummy",SUMIFS(AvgBonus[avg_bonus],AvgBonus[job_title],$H601),SUMIFS(AvgBonus[avg_bonus],AvgBonus[exp_item],$J601,AvgBonus[company_name],$B601,AvgBonus[bu_name],$C601,AvgBonus[dept_name],$D601,AvgBonus[team_consolidation],$K601,AvgBonus[location_name],$G601,AvgBonus[job_title],$H601))*AP496*SUM(BonusPayout[Month 31]))</f>
        <v>0</v>
      </c>
      <c r="AQ601" s="652">
        <f>IF($B601="",,IF(LEFT($H601,5)="dummy",SUMIFS(AvgBonus[avg_bonus],AvgBonus[job_title],$H601),SUMIFS(AvgBonus[avg_bonus],AvgBonus[exp_item],$J601,AvgBonus[company_name],$B601,AvgBonus[bu_name],$C601,AvgBonus[dept_name],$D601,AvgBonus[team_consolidation],$K601,AvgBonus[location_name],$G601,AvgBonus[job_title],$H601))*AQ496*SUM(BonusPayout[Month 32]))</f>
        <v>0</v>
      </c>
      <c r="AR601" s="652">
        <f>IF($B601="",,IF(LEFT($H601,5)="dummy",SUMIFS(AvgBonus[avg_bonus],AvgBonus[job_title],$H601),SUMIFS(AvgBonus[avg_bonus],AvgBonus[exp_item],$J601,AvgBonus[company_name],$B601,AvgBonus[bu_name],$C601,AvgBonus[dept_name],$D601,AvgBonus[team_consolidation],$K601,AvgBonus[location_name],$G601,AvgBonus[job_title],$H601))*AR496*SUM(BonusPayout[Month 33]))</f>
        <v>0</v>
      </c>
      <c r="AS601" s="652">
        <f>IF($B601="",,IF(LEFT($H601,5)="dummy",SUMIFS(AvgBonus[avg_bonus],AvgBonus[job_title],$H601),SUMIFS(AvgBonus[avg_bonus],AvgBonus[exp_item],$J601,AvgBonus[company_name],$B601,AvgBonus[bu_name],$C601,AvgBonus[dept_name],$D601,AvgBonus[team_consolidation],$K601,AvgBonus[location_name],$G601,AvgBonus[job_title],$H601))*AS496*SUM(BonusPayout[Month 34]))</f>
        <v>0</v>
      </c>
      <c r="AT601" s="652">
        <f>IF($B601="",,IF(LEFT($H601,5)="dummy",SUMIFS(AvgBonus[avg_bonus],AvgBonus[job_title],$H601),SUMIFS(AvgBonus[avg_bonus],AvgBonus[exp_item],$J601,AvgBonus[company_name],$B601,AvgBonus[bu_name],$C601,AvgBonus[dept_name],$D601,AvgBonus[team_consolidation],$K601,AvgBonus[location_name],$G601,AvgBonus[job_title],$H601))*AT496*SUM(BonusPayout[Month 35]))</f>
        <v>0</v>
      </c>
      <c r="AU601" s="652">
        <f>IF($B601="",,IF(LEFT($H601,5)="dummy",SUMIFS(AvgBonus[avg_bonus],AvgBonus[job_title],$H601),SUMIFS(AvgBonus[avg_bonus],AvgBonus[exp_item],$J601,AvgBonus[company_name],$B601,AvgBonus[bu_name],$C601,AvgBonus[dept_name],$D601,AvgBonus[team_consolidation],$K601,AvgBonus[location_name],$G601,AvgBonus[job_title],$H601))*AU496*SUM(BonusPayout[Month 36]))</f>
        <v>0</v>
      </c>
    </row>
    <row r="603" spans="1:52" x14ac:dyDescent="0.35">
      <c r="A603" s="285" t="s">
        <v>1157</v>
      </c>
      <c r="B603" s="285" t="s">
        <v>1157</v>
      </c>
      <c r="C603" s="285" t="s">
        <v>1157</v>
      </c>
      <c r="D603" s="285" t="s">
        <v>1157</v>
      </c>
      <c r="E603" s="285" t="s">
        <v>1157</v>
      </c>
      <c r="F603" s="285" t="s">
        <v>1157</v>
      </c>
      <c r="G603" s="285" t="s">
        <v>1157</v>
      </c>
      <c r="H603" s="285" t="s">
        <v>1157</v>
      </c>
      <c r="I603" s="285" t="s">
        <v>1157</v>
      </c>
      <c r="J603" s="285" t="s">
        <v>1157</v>
      </c>
      <c r="K603" s="285" t="s">
        <v>1157</v>
      </c>
      <c r="L603" s="285" t="s">
        <v>1157</v>
      </c>
      <c r="M603" s="285" t="s">
        <v>1157</v>
      </c>
      <c r="N603" s="285" t="s">
        <v>1157</v>
      </c>
      <c r="O603" s="285" t="s">
        <v>1157</v>
      </c>
      <c r="P603" s="285" t="s">
        <v>1157</v>
      </c>
      <c r="Q603" s="285" t="s">
        <v>1157</v>
      </c>
      <c r="R603" s="285" t="s">
        <v>1157</v>
      </c>
      <c r="S603" s="285" t="s">
        <v>1157</v>
      </c>
      <c r="T603" s="285" t="s">
        <v>1157</v>
      </c>
      <c r="U603" s="285" t="s">
        <v>1157</v>
      </c>
      <c r="V603" s="285" t="s">
        <v>1157</v>
      </c>
      <c r="W603" s="285" t="s">
        <v>1157</v>
      </c>
      <c r="X603" s="285" t="s">
        <v>1157</v>
      </c>
      <c r="Y603" s="285" t="s">
        <v>1157</v>
      </c>
      <c r="Z603" s="285" t="s">
        <v>1157</v>
      </c>
      <c r="AA603" s="285" t="s">
        <v>1157</v>
      </c>
      <c r="AB603" s="285" t="s">
        <v>1157</v>
      </c>
      <c r="AC603" s="285" t="s">
        <v>1157</v>
      </c>
      <c r="AD603" s="285" t="s">
        <v>1157</v>
      </c>
      <c r="AE603" s="285" t="s">
        <v>1157</v>
      </c>
      <c r="AF603" s="285" t="s">
        <v>1157</v>
      </c>
      <c r="AG603" s="285" t="s">
        <v>1157</v>
      </c>
      <c r="AH603" s="285" t="s">
        <v>1157</v>
      </c>
      <c r="AI603" s="285" t="s">
        <v>1157</v>
      </c>
      <c r="AJ603" s="285" t="s">
        <v>1157</v>
      </c>
      <c r="AK603" s="285" t="s">
        <v>1157</v>
      </c>
      <c r="AL603" s="285" t="s">
        <v>1157</v>
      </c>
      <c r="AM603" s="285" t="s">
        <v>1157</v>
      </c>
      <c r="AN603" s="285" t="s">
        <v>1157</v>
      </c>
      <c r="AO603" s="285" t="s">
        <v>1157</v>
      </c>
      <c r="AP603" s="285" t="s">
        <v>1157</v>
      </c>
      <c r="AQ603" s="285" t="s">
        <v>1157</v>
      </c>
      <c r="AR603" s="285" t="s">
        <v>1157</v>
      </c>
      <c r="AS603" s="285" t="s">
        <v>1157</v>
      </c>
      <c r="AT603" s="285" t="s">
        <v>1157</v>
      </c>
      <c r="AU603" s="285" t="s">
        <v>1157</v>
      </c>
      <c r="AV603" s="285" t="s">
        <v>1157</v>
      </c>
      <c r="AW603" s="285" t="s">
        <v>1157</v>
      </c>
      <c r="AX603" s="285" t="s">
        <v>1157</v>
      </c>
      <c r="AY603" s="285" t="s">
        <v>1157</v>
      </c>
      <c r="AZ603" s="285" t="s">
        <v>1157</v>
      </c>
    </row>
    <row r="605" spans="1:52" ht="23.5" x14ac:dyDescent="0.55000000000000004">
      <c r="B605" s="252" t="s">
        <v>23</v>
      </c>
    </row>
    <row r="606" spans="1:52" x14ac:dyDescent="0.35">
      <c r="B606" t="str">
        <f t="shared" ref="B606:G621" si="400">IF(B501="","",B501)</f>
        <v/>
      </c>
      <c r="C606" t="str">
        <f t="shared" si="400"/>
        <v/>
      </c>
      <c r="D606" t="str">
        <f t="shared" si="400"/>
        <v/>
      </c>
      <c r="E606" t="str">
        <f t="shared" si="400"/>
        <v/>
      </c>
      <c r="F606" t="str">
        <f t="shared" si="400"/>
        <v/>
      </c>
      <c r="G606" t="str">
        <f t="shared" si="400"/>
        <v/>
      </c>
      <c r="H606" t="str">
        <f t="shared" ref="H606:H637" si="401">IF(H291="","",H291)</f>
        <v/>
      </c>
      <c r="J606" t="str">
        <f>IF($H606="","",IF(VLOOKUP($B$605,ExpItems[],2,0),$B$605&amp;" - "&amp;INDEX(DivisionMapping[category_code],MATCH($D606&amp;$C606,DivisionMapping[dept_bu],0)),$B$605))</f>
        <v/>
      </c>
      <c r="K606" t="str">
        <f>K501</f>
        <v/>
      </c>
      <c r="L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L396*L$78)</f>
        <v>0</v>
      </c>
      <c r="M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M396*M$78)</f>
        <v>0</v>
      </c>
      <c r="N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N396*N$78)</f>
        <v>0</v>
      </c>
      <c r="O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O396*O$78)</f>
        <v>0</v>
      </c>
      <c r="P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P396*P$78)</f>
        <v>0</v>
      </c>
      <c r="Q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Q396*Q$78)</f>
        <v>0</v>
      </c>
      <c r="R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R396*R$78)</f>
        <v>0</v>
      </c>
      <c r="S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S396*S$78)</f>
        <v>0</v>
      </c>
      <c r="T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T396*T$78)</f>
        <v>0</v>
      </c>
      <c r="U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U396*U$78)</f>
        <v>0</v>
      </c>
      <c r="V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V396*V$78)</f>
        <v>0</v>
      </c>
      <c r="W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W396*W$78)</f>
        <v>0</v>
      </c>
      <c r="X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X396*X$78)</f>
        <v>0</v>
      </c>
      <c r="Y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Y396*Y$78)</f>
        <v>0</v>
      </c>
      <c r="Z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Z396*Z$78)</f>
        <v>0</v>
      </c>
      <c r="AA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A396*AA$78)</f>
        <v>0</v>
      </c>
      <c r="AB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B396*AB$78)</f>
        <v>0</v>
      </c>
      <c r="AC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C396*AC$78)</f>
        <v>0</v>
      </c>
      <c r="AD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D396*AD$78)</f>
        <v>0</v>
      </c>
      <c r="AE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E396*AE$78)</f>
        <v>0</v>
      </c>
      <c r="AF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F396*AF$78)</f>
        <v>0</v>
      </c>
      <c r="AG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G396*AG$78)</f>
        <v>0</v>
      </c>
      <c r="AH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H396*AH$78)</f>
        <v>0</v>
      </c>
      <c r="AI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I396*AI$78)</f>
        <v>0</v>
      </c>
      <c r="AJ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J396*AJ$78)</f>
        <v>0</v>
      </c>
      <c r="AK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K396*AK$78)</f>
        <v>0</v>
      </c>
      <c r="AL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L396*AL$78)</f>
        <v>0</v>
      </c>
      <c r="AM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M396*AM$78)</f>
        <v>0</v>
      </c>
      <c r="AN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N396*AN$78)</f>
        <v>0</v>
      </c>
      <c r="AO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O396*AO$78)</f>
        <v>0</v>
      </c>
      <c r="AP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P396*AP$78)</f>
        <v>0</v>
      </c>
      <c r="AQ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Q396*AQ$78)</f>
        <v>0</v>
      </c>
      <c r="AR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R396*AR$78)</f>
        <v>0</v>
      </c>
      <c r="AS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S396*AS$78)</f>
        <v>0</v>
      </c>
      <c r="AT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T396*AT$78)</f>
        <v>0</v>
      </c>
      <c r="AU606" s="652">
        <f>IF($B606="",,IF(LEFT($H606,5)="dummy",SUMIFS(AvgCommission[avg_commission],AvgCommission[job_title],$H606),SUMIFS(AvgCommission[avg_commission],AvgCommission[exp_item],$J606,AvgCommission[company_name],$B606,AvgCommission[bu_name],$C606,AvgCommission[dept_name],$D606,AvgCommission[team_consolidation],$K606,AvgCommission[location_name],$G606,AvgCommission[job_title],$H606))*AU396*AU$78)</f>
        <v>0</v>
      </c>
    </row>
    <row r="607" spans="1:52" x14ac:dyDescent="0.35">
      <c r="B607" t="str">
        <f t="shared" si="400"/>
        <v/>
      </c>
      <c r="C607" t="str">
        <f t="shared" si="400"/>
        <v/>
      </c>
      <c r="D607" t="str">
        <f t="shared" si="400"/>
        <v/>
      </c>
      <c r="E607" t="str">
        <f t="shared" si="400"/>
        <v/>
      </c>
      <c r="F607" t="str">
        <f t="shared" si="400"/>
        <v/>
      </c>
      <c r="G607" t="str">
        <f t="shared" si="400"/>
        <v/>
      </c>
      <c r="H607" t="str">
        <f t="shared" si="401"/>
        <v/>
      </c>
      <c r="J607" t="str">
        <f>IF($H607="","",IF(VLOOKUP($B$605,ExpItems[],2,0),$B$605&amp;" - "&amp;INDEX(DivisionMapping[category_code],MATCH($D607&amp;$C607,DivisionMapping[dept_bu],0)),$B$605))</f>
        <v/>
      </c>
      <c r="K607" t="str">
        <f t="shared" ref="K607:K670" si="402">K502</f>
        <v/>
      </c>
      <c r="L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L397*L$78)</f>
        <v>0</v>
      </c>
      <c r="M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M397*M$78)</f>
        <v>0</v>
      </c>
      <c r="N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N397*N$78)</f>
        <v>0</v>
      </c>
      <c r="O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O397*O$78)</f>
        <v>0</v>
      </c>
      <c r="P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P397*P$78)</f>
        <v>0</v>
      </c>
      <c r="Q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Q397*Q$78)</f>
        <v>0</v>
      </c>
      <c r="R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R397*R$78)</f>
        <v>0</v>
      </c>
      <c r="S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S397*S$78)</f>
        <v>0</v>
      </c>
      <c r="T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T397*T$78)</f>
        <v>0</v>
      </c>
      <c r="U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U397*U$78)</f>
        <v>0</v>
      </c>
      <c r="V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V397*V$78)</f>
        <v>0</v>
      </c>
      <c r="W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W397*W$78)</f>
        <v>0</v>
      </c>
      <c r="X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X397*X$78)</f>
        <v>0</v>
      </c>
      <c r="Y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Y397*Y$78)</f>
        <v>0</v>
      </c>
      <c r="Z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Z397*Z$78)</f>
        <v>0</v>
      </c>
      <c r="AA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A397*AA$78)</f>
        <v>0</v>
      </c>
      <c r="AB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B397*AB$78)</f>
        <v>0</v>
      </c>
      <c r="AC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C397*AC$78)</f>
        <v>0</v>
      </c>
      <c r="AD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D397*AD$78)</f>
        <v>0</v>
      </c>
      <c r="AE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E397*AE$78)</f>
        <v>0</v>
      </c>
      <c r="AF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F397*AF$78)</f>
        <v>0</v>
      </c>
      <c r="AG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G397*AG$78)</f>
        <v>0</v>
      </c>
      <c r="AH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H397*AH$78)</f>
        <v>0</v>
      </c>
      <c r="AI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I397*AI$78)</f>
        <v>0</v>
      </c>
      <c r="AJ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J397*AJ$78)</f>
        <v>0</v>
      </c>
      <c r="AK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K397*AK$78)</f>
        <v>0</v>
      </c>
      <c r="AL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L397*AL$78)</f>
        <v>0</v>
      </c>
      <c r="AM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M397*AM$78)</f>
        <v>0</v>
      </c>
      <c r="AN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N397*AN$78)</f>
        <v>0</v>
      </c>
      <c r="AO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O397*AO$78)</f>
        <v>0</v>
      </c>
      <c r="AP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P397*AP$78)</f>
        <v>0</v>
      </c>
      <c r="AQ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Q397*AQ$78)</f>
        <v>0</v>
      </c>
      <c r="AR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R397*AR$78)</f>
        <v>0</v>
      </c>
      <c r="AS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S397*AS$78)</f>
        <v>0</v>
      </c>
      <c r="AT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T397*AT$78)</f>
        <v>0</v>
      </c>
      <c r="AU607" s="652">
        <f>IF($B607="",,IF(LEFT($H607,5)="dummy",SUMIFS(AvgCommission[avg_commission],AvgCommission[job_title],$H607),SUMIFS(AvgCommission[avg_commission],AvgCommission[exp_item],$J607,AvgCommission[company_name],$B607,AvgCommission[bu_name],$C607,AvgCommission[dept_name],$D607,AvgCommission[team_consolidation],$K607,AvgCommission[location_name],$G607,AvgCommission[job_title],$H607))*AU397*AU$78)</f>
        <v>0</v>
      </c>
    </row>
    <row r="608" spans="1:52" x14ac:dyDescent="0.35">
      <c r="B608" t="str">
        <f t="shared" si="400"/>
        <v/>
      </c>
      <c r="C608" t="str">
        <f t="shared" si="400"/>
        <v/>
      </c>
      <c r="D608" t="str">
        <f t="shared" si="400"/>
        <v/>
      </c>
      <c r="E608" t="str">
        <f t="shared" si="400"/>
        <v/>
      </c>
      <c r="F608" t="str">
        <f t="shared" si="400"/>
        <v/>
      </c>
      <c r="G608" t="str">
        <f t="shared" si="400"/>
        <v/>
      </c>
      <c r="H608" t="str">
        <f t="shared" si="401"/>
        <v/>
      </c>
      <c r="J608" t="str">
        <f>IF($H608="","",IF(VLOOKUP($B$605,ExpItems[],2,0),$B$605&amp;" - "&amp;INDEX(DivisionMapping[category_code],MATCH($D608&amp;$C608,DivisionMapping[dept_bu],0)),$B$605))</f>
        <v/>
      </c>
      <c r="K608" t="str">
        <f t="shared" si="402"/>
        <v/>
      </c>
      <c r="L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L398*L$78)</f>
        <v>0</v>
      </c>
      <c r="M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M398*M$78)</f>
        <v>0</v>
      </c>
      <c r="N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N398*N$78)</f>
        <v>0</v>
      </c>
      <c r="O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O398*O$78)</f>
        <v>0</v>
      </c>
      <c r="P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P398*P$78)</f>
        <v>0</v>
      </c>
      <c r="Q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Q398*Q$78)</f>
        <v>0</v>
      </c>
      <c r="R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R398*R$78)</f>
        <v>0</v>
      </c>
      <c r="S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S398*S$78)</f>
        <v>0</v>
      </c>
      <c r="T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T398*T$78)</f>
        <v>0</v>
      </c>
      <c r="U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U398*U$78)</f>
        <v>0</v>
      </c>
      <c r="V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V398*V$78)</f>
        <v>0</v>
      </c>
      <c r="W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W398*W$78)</f>
        <v>0</v>
      </c>
      <c r="X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X398*X$78)</f>
        <v>0</v>
      </c>
      <c r="Y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Y398*Y$78)</f>
        <v>0</v>
      </c>
      <c r="Z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Z398*Z$78)</f>
        <v>0</v>
      </c>
      <c r="AA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A398*AA$78)</f>
        <v>0</v>
      </c>
      <c r="AB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B398*AB$78)</f>
        <v>0</v>
      </c>
      <c r="AC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C398*AC$78)</f>
        <v>0</v>
      </c>
      <c r="AD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D398*AD$78)</f>
        <v>0</v>
      </c>
      <c r="AE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E398*AE$78)</f>
        <v>0</v>
      </c>
      <c r="AF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F398*AF$78)</f>
        <v>0</v>
      </c>
      <c r="AG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G398*AG$78)</f>
        <v>0</v>
      </c>
      <c r="AH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H398*AH$78)</f>
        <v>0</v>
      </c>
      <c r="AI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I398*AI$78)</f>
        <v>0</v>
      </c>
      <c r="AJ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J398*AJ$78)</f>
        <v>0</v>
      </c>
      <c r="AK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K398*AK$78)</f>
        <v>0</v>
      </c>
      <c r="AL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L398*AL$78)</f>
        <v>0</v>
      </c>
      <c r="AM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M398*AM$78)</f>
        <v>0</v>
      </c>
      <c r="AN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N398*AN$78)</f>
        <v>0</v>
      </c>
      <c r="AO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O398*AO$78)</f>
        <v>0</v>
      </c>
      <c r="AP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P398*AP$78)</f>
        <v>0</v>
      </c>
      <c r="AQ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Q398*AQ$78)</f>
        <v>0</v>
      </c>
      <c r="AR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R398*AR$78)</f>
        <v>0</v>
      </c>
      <c r="AS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S398*AS$78)</f>
        <v>0</v>
      </c>
      <c r="AT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T398*AT$78)</f>
        <v>0</v>
      </c>
      <c r="AU608" s="652">
        <f>IF($B608="",,IF(LEFT($H608,5)="dummy",SUMIFS(AvgCommission[avg_commission],AvgCommission[job_title],$H608),SUMIFS(AvgCommission[avg_commission],AvgCommission[exp_item],$J608,AvgCommission[company_name],$B608,AvgCommission[bu_name],$C608,AvgCommission[dept_name],$D608,AvgCommission[team_consolidation],$K608,AvgCommission[location_name],$G608,AvgCommission[job_title],$H608))*AU398*AU$78)</f>
        <v>0</v>
      </c>
    </row>
    <row r="609" spans="2:47" x14ac:dyDescent="0.35">
      <c r="B609" t="str">
        <f t="shared" si="400"/>
        <v/>
      </c>
      <c r="C609" t="str">
        <f t="shared" si="400"/>
        <v/>
      </c>
      <c r="D609" t="str">
        <f t="shared" si="400"/>
        <v/>
      </c>
      <c r="E609" t="str">
        <f t="shared" si="400"/>
        <v/>
      </c>
      <c r="F609" t="str">
        <f t="shared" si="400"/>
        <v/>
      </c>
      <c r="G609" t="str">
        <f t="shared" si="400"/>
        <v/>
      </c>
      <c r="H609" t="str">
        <f t="shared" si="401"/>
        <v/>
      </c>
      <c r="J609" t="str">
        <f>IF($H609="","",IF(VLOOKUP($B$605,ExpItems[],2,0),$B$605&amp;" - "&amp;INDEX(DivisionMapping[category_code],MATCH($D609&amp;$C609,DivisionMapping[dept_bu],0)),$B$605))</f>
        <v/>
      </c>
      <c r="K609" t="str">
        <f t="shared" si="402"/>
        <v/>
      </c>
      <c r="L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L399*L$78)</f>
        <v>0</v>
      </c>
      <c r="M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M399*M$78)</f>
        <v>0</v>
      </c>
      <c r="N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N399*N$78)</f>
        <v>0</v>
      </c>
      <c r="O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O399*O$78)</f>
        <v>0</v>
      </c>
      <c r="P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P399*P$78)</f>
        <v>0</v>
      </c>
      <c r="Q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Q399*Q$78)</f>
        <v>0</v>
      </c>
      <c r="R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R399*R$78)</f>
        <v>0</v>
      </c>
      <c r="S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S399*S$78)</f>
        <v>0</v>
      </c>
      <c r="T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T399*T$78)</f>
        <v>0</v>
      </c>
      <c r="U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U399*U$78)</f>
        <v>0</v>
      </c>
      <c r="V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V399*V$78)</f>
        <v>0</v>
      </c>
      <c r="W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W399*W$78)</f>
        <v>0</v>
      </c>
      <c r="X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X399*X$78)</f>
        <v>0</v>
      </c>
      <c r="Y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Y399*Y$78)</f>
        <v>0</v>
      </c>
      <c r="Z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Z399*Z$78)</f>
        <v>0</v>
      </c>
      <c r="AA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A399*AA$78)</f>
        <v>0</v>
      </c>
      <c r="AB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B399*AB$78)</f>
        <v>0</v>
      </c>
      <c r="AC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C399*AC$78)</f>
        <v>0</v>
      </c>
      <c r="AD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D399*AD$78)</f>
        <v>0</v>
      </c>
      <c r="AE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E399*AE$78)</f>
        <v>0</v>
      </c>
      <c r="AF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F399*AF$78)</f>
        <v>0</v>
      </c>
      <c r="AG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G399*AG$78)</f>
        <v>0</v>
      </c>
      <c r="AH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H399*AH$78)</f>
        <v>0</v>
      </c>
      <c r="AI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I399*AI$78)</f>
        <v>0</v>
      </c>
      <c r="AJ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J399*AJ$78)</f>
        <v>0</v>
      </c>
      <c r="AK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K399*AK$78)</f>
        <v>0</v>
      </c>
      <c r="AL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L399*AL$78)</f>
        <v>0</v>
      </c>
      <c r="AM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M399*AM$78)</f>
        <v>0</v>
      </c>
      <c r="AN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N399*AN$78)</f>
        <v>0</v>
      </c>
      <c r="AO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O399*AO$78)</f>
        <v>0</v>
      </c>
      <c r="AP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P399*AP$78)</f>
        <v>0</v>
      </c>
      <c r="AQ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Q399*AQ$78)</f>
        <v>0</v>
      </c>
      <c r="AR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R399*AR$78)</f>
        <v>0</v>
      </c>
      <c r="AS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S399*AS$78)</f>
        <v>0</v>
      </c>
      <c r="AT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T399*AT$78)</f>
        <v>0</v>
      </c>
      <c r="AU609" s="652">
        <f>IF($B609="",,IF(LEFT($H609,5)="dummy",SUMIFS(AvgCommission[avg_commission],AvgCommission[job_title],$H609),SUMIFS(AvgCommission[avg_commission],AvgCommission[exp_item],$J609,AvgCommission[company_name],$B609,AvgCommission[bu_name],$C609,AvgCommission[dept_name],$D609,AvgCommission[team_consolidation],$K609,AvgCommission[location_name],$G609,AvgCommission[job_title],$H609))*AU399*AU$78)</f>
        <v>0</v>
      </c>
    </row>
    <row r="610" spans="2:47" x14ac:dyDescent="0.35">
      <c r="B610" t="str">
        <f t="shared" si="400"/>
        <v/>
      </c>
      <c r="C610" t="str">
        <f t="shared" si="400"/>
        <v/>
      </c>
      <c r="D610" t="str">
        <f t="shared" si="400"/>
        <v/>
      </c>
      <c r="E610" t="str">
        <f t="shared" si="400"/>
        <v/>
      </c>
      <c r="F610" t="str">
        <f t="shared" si="400"/>
        <v/>
      </c>
      <c r="G610" t="str">
        <f t="shared" si="400"/>
        <v/>
      </c>
      <c r="H610" t="str">
        <f t="shared" si="401"/>
        <v/>
      </c>
      <c r="J610" t="str">
        <f>IF($H610="","",IF(VLOOKUP($B$605,ExpItems[],2,0),$B$605&amp;" - "&amp;INDEX(DivisionMapping[category_code],MATCH($D610&amp;$C610,DivisionMapping[dept_bu],0)),$B$605))</f>
        <v/>
      </c>
      <c r="K610" t="str">
        <f t="shared" si="402"/>
        <v/>
      </c>
      <c r="L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L400*L$78)</f>
        <v>0</v>
      </c>
      <c r="M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M400*M$78)</f>
        <v>0</v>
      </c>
      <c r="N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N400*N$78)</f>
        <v>0</v>
      </c>
      <c r="O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O400*O$78)</f>
        <v>0</v>
      </c>
      <c r="P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P400*P$78)</f>
        <v>0</v>
      </c>
      <c r="Q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Q400*Q$78)</f>
        <v>0</v>
      </c>
      <c r="R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R400*R$78)</f>
        <v>0</v>
      </c>
      <c r="S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S400*S$78)</f>
        <v>0</v>
      </c>
      <c r="T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T400*T$78)</f>
        <v>0</v>
      </c>
      <c r="U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U400*U$78)</f>
        <v>0</v>
      </c>
      <c r="V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V400*V$78)</f>
        <v>0</v>
      </c>
      <c r="W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W400*W$78)</f>
        <v>0</v>
      </c>
      <c r="X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X400*X$78)</f>
        <v>0</v>
      </c>
      <c r="Y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Y400*Y$78)</f>
        <v>0</v>
      </c>
      <c r="Z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Z400*Z$78)</f>
        <v>0</v>
      </c>
      <c r="AA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A400*AA$78)</f>
        <v>0</v>
      </c>
      <c r="AB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B400*AB$78)</f>
        <v>0</v>
      </c>
      <c r="AC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C400*AC$78)</f>
        <v>0</v>
      </c>
      <c r="AD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D400*AD$78)</f>
        <v>0</v>
      </c>
      <c r="AE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E400*AE$78)</f>
        <v>0</v>
      </c>
      <c r="AF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F400*AF$78)</f>
        <v>0</v>
      </c>
      <c r="AG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G400*AG$78)</f>
        <v>0</v>
      </c>
      <c r="AH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H400*AH$78)</f>
        <v>0</v>
      </c>
      <c r="AI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I400*AI$78)</f>
        <v>0</v>
      </c>
      <c r="AJ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J400*AJ$78)</f>
        <v>0</v>
      </c>
      <c r="AK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K400*AK$78)</f>
        <v>0</v>
      </c>
      <c r="AL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L400*AL$78)</f>
        <v>0</v>
      </c>
      <c r="AM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M400*AM$78)</f>
        <v>0</v>
      </c>
      <c r="AN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N400*AN$78)</f>
        <v>0</v>
      </c>
      <c r="AO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O400*AO$78)</f>
        <v>0</v>
      </c>
      <c r="AP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P400*AP$78)</f>
        <v>0</v>
      </c>
      <c r="AQ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Q400*AQ$78)</f>
        <v>0</v>
      </c>
      <c r="AR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R400*AR$78)</f>
        <v>0</v>
      </c>
      <c r="AS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S400*AS$78)</f>
        <v>0</v>
      </c>
      <c r="AT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T400*AT$78)</f>
        <v>0</v>
      </c>
      <c r="AU610" s="652">
        <f>IF($B610="",,IF(LEFT($H610,5)="dummy",SUMIFS(AvgCommission[avg_commission],AvgCommission[job_title],$H610),SUMIFS(AvgCommission[avg_commission],AvgCommission[exp_item],$J610,AvgCommission[company_name],$B610,AvgCommission[bu_name],$C610,AvgCommission[dept_name],$D610,AvgCommission[team_consolidation],$K610,AvgCommission[location_name],$G610,AvgCommission[job_title],$H610))*AU400*AU$78)</f>
        <v>0</v>
      </c>
    </row>
    <row r="611" spans="2:47" x14ac:dyDescent="0.35">
      <c r="B611" t="str">
        <f t="shared" si="400"/>
        <v/>
      </c>
      <c r="C611" t="str">
        <f t="shared" si="400"/>
        <v/>
      </c>
      <c r="D611" t="str">
        <f t="shared" si="400"/>
        <v/>
      </c>
      <c r="E611" t="str">
        <f t="shared" si="400"/>
        <v/>
      </c>
      <c r="F611" t="str">
        <f t="shared" si="400"/>
        <v/>
      </c>
      <c r="G611" t="str">
        <f t="shared" si="400"/>
        <v/>
      </c>
      <c r="H611" t="str">
        <f t="shared" si="401"/>
        <v/>
      </c>
      <c r="J611" t="str">
        <f>IF($H611="","",IF(VLOOKUP($B$605,ExpItems[],2,0),$B$605&amp;" - "&amp;INDEX(DivisionMapping[category_code],MATCH($D611&amp;$C611,DivisionMapping[dept_bu],0)),$B$605))</f>
        <v/>
      </c>
      <c r="K611" t="str">
        <f t="shared" si="402"/>
        <v/>
      </c>
      <c r="L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L401*L$78)</f>
        <v>0</v>
      </c>
      <c r="M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M401*M$78)</f>
        <v>0</v>
      </c>
      <c r="N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N401*N$78)</f>
        <v>0</v>
      </c>
      <c r="O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O401*O$78)</f>
        <v>0</v>
      </c>
      <c r="P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P401*P$78)</f>
        <v>0</v>
      </c>
      <c r="Q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Q401*Q$78)</f>
        <v>0</v>
      </c>
      <c r="R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R401*R$78)</f>
        <v>0</v>
      </c>
      <c r="S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S401*S$78)</f>
        <v>0</v>
      </c>
      <c r="T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T401*T$78)</f>
        <v>0</v>
      </c>
      <c r="U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U401*U$78)</f>
        <v>0</v>
      </c>
      <c r="V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V401*V$78)</f>
        <v>0</v>
      </c>
      <c r="W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W401*W$78)</f>
        <v>0</v>
      </c>
      <c r="X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X401*X$78)</f>
        <v>0</v>
      </c>
      <c r="Y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Y401*Y$78)</f>
        <v>0</v>
      </c>
      <c r="Z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Z401*Z$78)</f>
        <v>0</v>
      </c>
      <c r="AA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A401*AA$78)</f>
        <v>0</v>
      </c>
      <c r="AB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B401*AB$78)</f>
        <v>0</v>
      </c>
      <c r="AC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C401*AC$78)</f>
        <v>0</v>
      </c>
      <c r="AD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D401*AD$78)</f>
        <v>0</v>
      </c>
      <c r="AE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E401*AE$78)</f>
        <v>0</v>
      </c>
      <c r="AF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F401*AF$78)</f>
        <v>0</v>
      </c>
      <c r="AG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G401*AG$78)</f>
        <v>0</v>
      </c>
      <c r="AH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H401*AH$78)</f>
        <v>0</v>
      </c>
      <c r="AI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I401*AI$78)</f>
        <v>0</v>
      </c>
      <c r="AJ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J401*AJ$78)</f>
        <v>0</v>
      </c>
      <c r="AK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K401*AK$78)</f>
        <v>0</v>
      </c>
      <c r="AL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L401*AL$78)</f>
        <v>0</v>
      </c>
      <c r="AM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M401*AM$78)</f>
        <v>0</v>
      </c>
      <c r="AN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N401*AN$78)</f>
        <v>0</v>
      </c>
      <c r="AO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O401*AO$78)</f>
        <v>0</v>
      </c>
      <c r="AP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P401*AP$78)</f>
        <v>0</v>
      </c>
      <c r="AQ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Q401*AQ$78)</f>
        <v>0</v>
      </c>
      <c r="AR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R401*AR$78)</f>
        <v>0</v>
      </c>
      <c r="AS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S401*AS$78)</f>
        <v>0</v>
      </c>
      <c r="AT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T401*AT$78)</f>
        <v>0</v>
      </c>
      <c r="AU611" s="652">
        <f>IF($B611="",,IF(LEFT($H611,5)="dummy",SUMIFS(AvgCommission[avg_commission],AvgCommission[job_title],$H611),SUMIFS(AvgCommission[avg_commission],AvgCommission[exp_item],$J611,AvgCommission[company_name],$B611,AvgCommission[bu_name],$C611,AvgCommission[dept_name],$D611,AvgCommission[team_consolidation],$K611,AvgCommission[location_name],$G611,AvgCommission[job_title],$H611))*AU401*AU$78)</f>
        <v>0</v>
      </c>
    </row>
    <row r="612" spans="2:47" x14ac:dyDescent="0.35">
      <c r="B612" t="str">
        <f t="shared" si="400"/>
        <v/>
      </c>
      <c r="C612" t="str">
        <f t="shared" si="400"/>
        <v/>
      </c>
      <c r="D612" t="str">
        <f t="shared" si="400"/>
        <v/>
      </c>
      <c r="E612" t="str">
        <f t="shared" si="400"/>
        <v/>
      </c>
      <c r="F612" t="str">
        <f t="shared" si="400"/>
        <v/>
      </c>
      <c r="G612" t="str">
        <f t="shared" si="400"/>
        <v/>
      </c>
      <c r="H612" t="str">
        <f t="shared" si="401"/>
        <v/>
      </c>
      <c r="J612" t="str">
        <f>IF($H612="","",IF(VLOOKUP($B$605,ExpItems[],2,0),$B$605&amp;" - "&amp;INDEX(DivisionMapping[category_code],MATCH($D612&amp;$C612,DivisionMapping[dept_bu],0)),$B$605))</f>
        <v/>
      </c>
      <c r="K612" t="str">
        <f t="shared" si="402"/>
        <v/>
      </c>
      <c r="L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L402*L$78)</f>
        <v>0</v>
      </c>
      <c r="M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M402*M$78)</f>
        <v>0</v>
      </c>
      <c r="N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N402*N$78)</f>
        <v>0</v>
      </c>
      <c r="O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O402*O$78)</f>
        <v>0</v>
      </c>
      <c r="P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P402*P$78)</f>
        <v>0</v>
      </c>
      <c r="Q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Q402*Q$78)</f>
        <v>0</v>
      </c>
      <c r="R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R402*R$78)</f>
        <v>0</v>
      </c>
      <c r="S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S402*S$78)</f>
        <v>0</v>
      </c>
      <c r="T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T402*T$78)</f>
        <v>0</v>
      </c>
      <c r="U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U402*U$78)</f>
        <v>0</v>
      </c>
      <c r="V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V402*V$78)</f>
        <v>0</v>
      </c>
      <c r="W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W402*W$78)</f>
        <v>0</v>
      </c>
      <c r="X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X402*X$78)</f>
        <v>0</v>
      </c>
      <c r="Y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Y402*Y$78)</f>
        <v>0</v>
      </c>
      <c r="Z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Z402*Z$78)</f>
        <v>0</v>
      </c>
      <c r="AA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A402*AA$78)</f>
        <v>0</v>
      </c>
      <c r="AB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B402*AB$78)</f>
        <v>0</v>
      </c>
      <c r="AC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C402*AC$78)</f>
        <v>0</v>
      </c>
      <c r="AD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D402*AD$78)</f>
        <v>0</v>
      </c>
      <c r="AE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E402*AE$78)</f>
        <v>0</v>
      </c>
      <c r="AF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F402*AF$78)</f>
        <v>0</v>
      </c>
      <c r="AG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G402*AG$78)</f>
        <v>0</v>
      </c>
      <c r="AH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H402*AH$78)</f>
        <v>0</v>
      </c>
      <c r="AI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I402*AI$78)</f>
        <v>0</v>
      </c>
      <c r="AJ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J402*AJ$78)</f>
        <v>0</v>
      </c>
      <c r="AK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K402*AK$78)</f>
        <v>0</v>
      </c>
      <c r="AL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L402*AL$78)</f>
        <v>0</v>
      </c>
      <c r="AM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M402*AM$78)</f>
        <v>0</v>
      </c>
      <c r="AN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N402*AN$78)</f>
        <v>0</v>
      </c>
      <c r="AO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O402*AO$78)</f>
        <v>0</v>
      </c>
      <c r="AP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P402*AP$78)</f>
        <v>0</v>
      </c>
      <c r="AQ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Q402*AQ$78)</f>
        <v>0</v>
      </c>
      <c r="AR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R402*AR$78)</f>
        <v>0</v>
      </c>
      <c r="AS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S402*AS$78)</f>
        <v>0</v>
      </c>
      <c r="AT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T402*AT$78)</f>
        <v>0</v>
      </c>
      <c r="AU612" s="652">
        <f>IF($B612="",,IF(LEFT($H612,5)="dummy",SUMIFS(AvgCommission[avg_commission],AvgCommission[job_title],$H612),SUMIFS(AvgCommission[avg_commission],AvgCommission[exp_item],$J612,AvgCommission[company_name],$B612,AvgCommission[bu_name],$C612,AvgCommission[dept_name],$D612,AvgCommission[team_consolidation],$K612,AvgCommission[location_name],$G612,AvgCommission[job_title],$H612))*AU402*AU$78)</f>
        <v>0</v>
      </c>
    </row>
    <row r="613" spans="2:47" x14ac:dyDescent="0.35">
      <c r="B613" t="str">
        <f t="shared" si="400"/>
        <v/>
      </c>
      <c r="C613" t="str">
        <f t="shared" si="400"/>
        <v/>
      </c>
      <c r="D613" t="str">
        <f t="shared" si="400"/>
        <v/>
      </c>
      <c r="E613" t="str">
        <f t="shared" si="400"/>
        <v/>
      </c>
      <c r="F613" t="str">
        <f t="shared" si="400"/>
        <v/>
      </c>
      <c r="G613" t="str">
        <f t="shared" si="400"/>
        <v/>
      </c>
      <c r="H613" t="str">
        <f t="shared" si="401"/>
        <v/>
      </c>
      <c r="J613" t="str">
        <f>IF($H613="","",IF(VLOOKUP($B$605,ExpItems[],2,0),$B$605&amp;" - "&amp;INDEX(DivisionMapping[category_code],MATCH($D613&amp;$C613,DivisionMapping[dept_bu],0)),$B$605))</f>
        <v/>
      </c>
      <c r="K613" t="str">
        <f t="shared" si="402"/>
        <v/>
      </c>
      <c r="L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L403*L$78)</f>
        <v>0</v>
      </c>
      <c r="M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M403*M$78)</f>
        <v>0</v>
      </c>
      <c r="N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N403*N$78)</f>
        <v>0</v>
      </c>
      <c r="O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O403*O$78)</f>
        <v>0</v>
      </c>
      <c r="P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P403*P$78)</f>
        <v>0</v>
      </c>
      <c r="Q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Q403*Q$78)</f>
        <v>0</v>
      </c>
      <c r="R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R403*R$78)</f>
        <v>0</v>
      </c>
      <c r="S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S403*S$78)</f>
        <v>0</v>
      </c>
      <c r="T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T403*T$78)</f>
        <v>0</v>
      </c>
      <c r="U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U403*U$78)</f>
        <v>0</v>
      </c>
      <c r="V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V403*V$78)</f>
        <v>0</v>
      </c>
      <c r="W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W403*W$78)</f>
        <v>0</v>
      </c>
      <c r="X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X403*X$78)</f>
        <v>0</v>
      </c>
      <c r="Y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Y403*Y$78)</f>
        <v>0</v>
      </c>
      <c r="Z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Z403*Z$78)</f>
        <v>0</v>
      </c>
      <c r="AA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A403*AA$78)</f>
        <v>0</v>
      </c>
      <c r="AB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B403*AB$78)</f>
        <v>0</v>
      </c>
      <c r="AC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C403*AC$78)</f>
        <v>0</v>
      </c>
      <c r="AD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D403*AD$78)</f>
        <v>0</v>
      </c>
      <c r="AE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E403*AE$78)</f>
        <v>0</v>
      </c>
      <c r="AF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F403*AF$78)</f>
        <v>0</v>
      </c>
      <c r="AG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G403*AG$78)</f>
        <v>0</v>
      </c>
      <c r="AH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H403*AH$78)</f>
        <v>0</v>
      </c>
      <c r="AI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I403*AI$78)</f>
        <v>0</v>
      </c>
      <c r="AJ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J403*AJ$78)</f>
        <v>0</v>
      </c>
      <c r="AK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K403*AK$78)</f>
        <v>0</v>
      </c>
      <c r="AL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L403*AL$78)</f>
        <v>0</v>
      </c>
      <c r="AM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M403*AM$78)</f>
        <v>0</v>
      </c>
      <c r="AN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N403*AN$78)</f>
        <v>0</v>
      </c>
      <c r="AO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O403*AO$78)</f>
        <v>0</v>
      </c>
      <c r="AP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P403*AP$78)</f>
        <v>0</v>
      </c>
      <c r="AQ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Q403*AQ$78)</f>
        <v>0</v>
      </c>
      <c r="AR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R403*AR$78)</f>
        <v>0</v>
      </c>
      <c r="AS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S403*AS$78)</f>
        <v>0</v>
      </c>
      <c r="AT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T403*AT$78)</f>
        <v>0</v>
      </c>
      <c r="AU613" s="652">
        <f>IF($B613="",,IF(LEFT($H613,5)="dummy",SUMIFS(AvgCommission[avg_commission],AvgCommission[job_title],$H613),SUMIFS(AvgCommission[avg_commission],AvgCommission[exp_item],$J613,AvgCommission[company_name],$B613,AvgCommission[bu_name],$C613,AvgCommission[dept_name],$D613,AvgCommission[team_consolidation],$K613,AvgCommission[location_name],$G613,AvgCommission[job_title],$H613))*AU403*AU$78)</f>
        <v>0</v>
      </c>
    </row>
    <row r="614" spans="2:47" x14ac:dyDescent="0.35">
      <c r="B614" t="str">
        <f t="shared" si="400"/>
        <v/>
      </c>
      <c r="C614" t="str">
        <f t="shared" si="400"/>
        <v/>
      </c>
      <c r="D614" t="str">
        <f t="shared" si="400"/>
        <v/>
      </c>
      <c r="E614" t="str">
        <f t="shared" si="400"/>
        <v/>
      </c>
      <c r="F614" t="str">
        <f t="shared" si="400"/>
        <v/>
      </c>
      <c r="G614" t="str">
        <f t="shared" si="400"/>
        <v/>
      </c>
      <c r="H614" t="str">
        <f t="shared" si="401"/>
        <v/>
      </c>
      <c r="J614" t="str">
        <f>IF($H614="","",IF(VLOOKUP($B$605,ExpItems[],2,0),$B$605&amp;" - "&amp;INDEX(DivisionMapping[category_code],MATCH($D614&amp;$C614,DivisionMapping[dept_bu],0)),$B$605))</f>
        <v/>
      </c>
      <c r="K614" t="str">
        <f t="shared" si="402"/>
        <v/>
      </c>
      <c r="L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L404*L$78)</f>
        <v>0</v>
      </c>
      <c r="M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M404*M$78)</f>
        <v>0</v>
      </c>
      <c r="N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N404*N$78)</f>
        <v>0</v>
      </c>
      <c r="O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O404*O$78)</f>
        <v>0</v>
      </c>
      <c r="P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P404*P$78)</f>
        <v>0</v>
      </c>
      <c r="Q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Q404*Q$78)</f>
        <v>0</v>
      </c>
      <c r="R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R404*R$78)</f>
        <v>0</v>
      </c>
      <c r="S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S404*S$78)</f>
        <v>0</v>
      </c>
      <c r="T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T404*T$78)</f>
        <v>0</v>
      </c>
      <c r="U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U404*U$78)</f>
        <v>0</v>
      </c>
      <c r="V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V404*V$78)</f>
        <v>0</v>
      </c>
      <c r="W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W404*W$78)</f>
        <v>0</v>
      </c>
      <c r="X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X404*X$78)</f>
        <v>0</v>
      </c>
      <c r="Y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Y404*Y$78)</f>
        <v>0</v>
      </c>
      <c r="Z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Z404*Z$78)</f>
        <v>0</v>
      </c>
      <c r="AA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A404*AA$78)</f>
        <v>0</v>
      </c>
      <c r="AB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B404*AB$78)</f>
        <v>0</v>
      </c>
      <c r="AC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C404*AC$78)</f>
        <v>0</v>
      </c>
      <c r="AD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D404*AD$78)</f>
        <v>0</v>
      </c>
      <c r="AE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E404*AE$78)</f>
        <v>0</v>
      </c>
      <c r="AF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F404*AF$78)</f>
        <v>0</v>
      </c>
      <c r="AG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G404*AG$78)</f>
        <v>0</v>
      </c>
      <c r="AH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H404*AH$78)</f>
        <v>0</v>
      </c>
      <c r="AI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I404*AI$78)</f>
        <v>0</v>
      </c>
      <c r="AJ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J404*AJ$78)</f>
        <v>0</v>
      </c>
      <c r="AK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K404*AK$78)</f>
        <v>0</v>
      </c>
      <c r="AL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L404*AL$78)</f>
        <v>0</v>
      </c>
      <c r="AM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M404*AM$78)</f>
        <v>0</v>
      </c>
      <c r="AN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N404*AN$78)</f>
        <v>0</v>
      </c>
      <c r="AO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O404*AO$78)</f>
        <v>0</v>
      </c>
      <c r="AP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P404*AP$78)</f>
        <v>0</v>
      </c>
      <c r="AQ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Q404*AQ$78)</f>
        <v>0</v>
      </c>
      <c r="AR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R404*AR$78)</f>
        <v>0</v>
      </c>
      <c r="AS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S404*AS$78)</f>
        <v>0</v>
      </c>
      <c r="AT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T404*AT$78)</f>
        <v>0</v>
      </c>
      <c r="AU614" s="652">
        <f>IF($B614="",,IF(LEFT($H614,5)="dummy",SUMIFS(AvgCommission[avg_commission],AvgCommission[job_title],$H614),SUMIFS(AvgCommission[avg_commission],AvgCommission[exp_item],$J614,AvgCommission[company_name],$B614,AvgCommission[bu_name],$C614,AvgCommission[dept_name],$D614,AvgCommission[team_consolidation],$K614,AvgCommission[location_name],$G614,AvgCommission[job_title],$H614))*AU404*AU$78)</f>
        <v>0</v>
      </c>
    </row>
    <row r="615" spans="2:47" x14ac:dyDescent="0.35">
      <c r="B615" t="str">
        <f t="shared" si="400"/>
        <v/>
      </c>
      <c r="C615" t="str">
        <f t="shared" si="400"/>
        <v/>
      </c>
      <c r="D615" t="str">
        <f t="shared" si="400"/>
        <v/>
      </c>
      <c r="E615" t="str">
        <f t="shared" si="400"/>
        <v/>
      </c>
      <c r="F615" t="str">
        <f t="shared" si="400"/>
        <v/>
      </c>
      <c r="G615" t="str">
        <f t="shared" si="400"/>
        <v/>
      </c>
      <c r="H615" t="str">
        <f t="shared" si="401"/>
        <v/>
      </c>
      <c r="J615" t="str">
        <f>IF($H615="","",IF(VLOOKUP($B$605,ExpItems[],2,0),$B$605&amp;" - "&amp;INDEX(DivisionMapping[category_code],MATCH($D615&amp;$C615,DivisionMapping[dept_bu],0)),$B$605))</f>
        <v/>
      </c>
      <c r="K615" t="str">
        <f t="shared" si="402"/>
        <v/>
      </c>
      <c r="L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L405*L$78)</f>
        <v>0</v>
      </c>
      <c r="M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M405*M$78)</f>
        <v>0</v>
      </c>
      <c r="N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N405*N$78)</f>
        <v>0</v>
      </c>
      <c r="O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O405*O$78)</f>
        <v>0</v>
      </c>
      <c r="P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P405*P$78)</f>
        <v>0</v>
      </c>
      <c r="Q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Q405*Q$78)</f>
        <v>0</v>
      </c>
      <c r="R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R405*R$78)</f>
        <v>0</v>
      </c>
      <c r="S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S405*S$78)</f>
        <v>0</v>
      </c>
      <c r="T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T405*T$78)</f>
        <v>0</v>
      </c>
      <c r="U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U405*U$78)</f>
        <v>0</v>
      </c>
      <c r="V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V405*V$78)</f>
        <v>0</v>
      </c>
      <c r="W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W405*W$78)</f>
        <v>0</v>
      </c>
      <c r="X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X405*X$78)</f>
        <v>0</v>
      </c>
      <c r="Y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Y405*Y$78)</f>
        <v>0</v>
      </c>
      <c r="Z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Z405*Z$78)</f>
        <v>0</v>
      </c>
      <c r="AA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A405*AA$78)</f>
        <v>0</v>
      </c>
      <c r="AB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B405*AB$78)</f>
        <v>0</v>
      </c>
      <c r="AC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C405*AC$78)</f>
        <v>0</v>
      </c>
      <c r="AD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D405*AD$78)</f>
        <v>0</v>
      </c>
      <c r="AE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E405*AE$78)</f>
        <v>0</v>
      </c>
      <c r="AF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F405*AF$78)</f>
        <v>0</v>
      </c>
      <c r="AG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G405*AG$78)</f>
        <v>0</v>
      </c>
      <c r="AH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H405*AH$78)</f>
        <v>0</v>
      </c>
      <c r="AI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I405*AI$78)</f>
        <v>0</v>
      </c>
      <c r="AJ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J405*AJ$78)</f>
        <v>0</v>
      </c>
      <c r="AK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K405*AK$78)</f>
        <v>0</v>
      </c>
      <c r="AL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L405*AL$78)</f>
        <v>0</v>
      </c>
      <c r="AM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M405*AM$78)</f>
        <v>0</v>
      </c>
      <c r="AN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N405*AN$78)</f>
        <v>0</v>
      </c>
      <c r="AO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O405*AO$78)</f>
        <v>0</v>
      </c>
      <c r="AP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P405*AP$78)</f>
        <v>0</v>
      </c>
      <c r="AQ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Q405*AQ$78)</f>
        <v>0</v>
      </c>
      <c r="AR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R405*AR$78)</f>
        <v>0</v>
      </c>
      <c r="AS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S405*AS$78)</f>
        <v>0</v>
      </c>
      <c r="AT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T405*AT$78)</f>
        <v>0</v>
      </c>
      <c r="AU615" s="652">
        <f>IF($B615="",,IF(LEFT($H615,5)="dummy",SUMIFS(AvgCommission[avg_commission],AvgCommission[job_title],$H615),SUMIFS(AvgCommission[avg_commission],AvgCommission[exp_item],$J615,AvgCommission[company_name],$B615,AvgCommission[bu_name],$C615,AvgCommission[dept_name],$D615,AvgCommission[team_consolidation],$K615,AvgCommission[location_name],$G615,AvgCommission[job_title],$H615))*AU405*AU$78)</f>
        <v>0</v>
      </c>
    </row>
    <row r="616" spans="2:47" x14ac:dyDescent="0.35">
      <c r="B616" t="str">
        <f t="shared" si="400"/>
        <v/>
      </c>
      <c r="C616" t="str">
        <f t="shared" si="400"/>
        <v/>
      </c>
      <c r="D616" t="str">
        <f t="shared" si="400"/>
        <v/>
      </c>
      <c r="E616" t="str">
        <f t="shared" si="400"/>
        <v/>
      </c>
      <c r="F616" t="str">
        <f t="shared" si="400"/>
        <v/>
      </c>
      <c r="G616" t="str">
        <f t="shared" si="400"/>
        <v/>
      </c>
      <c r="H616" t="str">
        <f t="shared" si="401"/>
        <v/>
      </c>
      <c r="J616" t="str">
        <f>IF($H616="","",IF(VLOOKUP($B$605,ExpItems[],2,0),$B$605&amp;" - "&amp;INDEX(DivisionMapping[category_code],MATCH($D616&amp;$C616,DivisionMapping[dept_bu],0)),$B$605))</f>
        <v/>
      </c>
      <c r="K616" t="str">
        <f t="shared" si="402"/>
        <v/>
      </c>
      <c r="L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L406*L$78)</f>
        <v>0</v>
      </c>
      <c r="M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M406*M$78)</f>
        <v>0</v>
      </c>
      <c r="N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N406*N$78)</f>
        <v>0</v>
      </c>
      <c r="O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O406*O$78)</f>
        <v>0</v>
      </c>
      <c r="P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P406*P$78)</f>
        <v>0</v>
      </c>
      <c r="Q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Q406*Q$78)</f>
        <v>0</v>
      </c>
      <c r="R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R406*R$78)</f>
        <v>0</v>
      </c>
      <c r="S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S406*S$78)</f>
        <v>0</v>
      </c>
      <c r="T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T406*T$78)</f>
        <v>0</v>
      </c>
      <c r="U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U406*U$78)</f>
        <v>0</v>
      </c>
      <c r="V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V406*V$78)</f>
        <v>0</v>
      </c>
      <c r="W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W406*W$78)</f>
        <v>0</v>
      </c>
      <c r="X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X406*X$78)</f>
        <v>0</v>
      </c>
      <c r="Y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Y406*Y$78)</f>
        <v>0</v>
      </c>
      <c r="Z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Z406*Z$78)</f>
        <v>0</v>
      </c>
      <c r="AA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A406*AA$78)</f>
        <v>0</v>
      </c>
      <c r="AB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B406*AB$78)</f>
        <v>0</v>
      </c>
      <c r="AC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C406*AC$78)</f>
        <v>0</v>
      </c>
      <c r="AD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D406*AD$78)</f>
        <v>0</v>
      </c>
      <c r="AE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E406*AE$78)</f>
        <v>0</v>
      </c>
      <c r="AF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F406*AF$78)</f>
        <v>0</v>
      </c>
      <c r="AG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G406*AG$78)</f>
        <v>0</v>
      </c>
      <c r="AH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H406*AH$78)</f>
        <v>0</v>
      </c>
      <c r="AI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I406*AI$78)</f>
        <v>0</v>
      </c>
      <c r="AJ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J406*AJ$78)</f>
        <v>0</v>
      </c>
      <c r="AK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K406*AK$78)</f>
        <v>0</v>
      </c>
      <c r="AL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L406*AL$78)</f>
        <v>0</v>
      </c>
      <c r="AM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M406*AM$78)</f>
        <v>0</v>
      </c>
      <c r="AN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N406*AN$78)</f>
        <v>0</v>
      </c>
      <c r="AO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O406*AO$78)</f>
        <v>0</v>
      </c>
      <c r="AP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P406*AP$78)</f>
        <v>0</v>
      </c>
      <c r="AQ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Q406*AQ$78)</f>
        <v>0</v>
      </c>
      <c r="AR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R406*AR$78)</f>
        <v>0</v>
      </c>
      <c r="AS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S406*AS$78)</f>
        <v>0</v>
      </c>
      <c r="AT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T406*AT$78)</f>
        <v>0</v>
      </c>
      <c r="AU616" s="652">
        <f>IF($B616="",,IF(LEFT($H616,5)="dummy",SUMIFS(AvgCommission[avg_commission],AvgCommission[job_title],$H616),SUMIFS(AvgCommission[avg_commission],AvgCommission[exp_item],$J616,AvgCommission[company_name],$B616,AvgCommission[bu_name],$C616,AvgCommission[dept_name],$D616,AvgCommission[team_consolidation],$K616,AvgCommission[location_name],$G616,AvgCommission[job_title],$H616))*AU406*AU$78)</f>
        <v>0</v>
      </c>
    </row>
    <row r="617" spans="2:47" x14ac:dyDescent="0.35">
      <c r="B617" t="str">
        <f t="shared" si="400"/>
        <v/>
      </c>
      <c r="C617" t="str">
        <f t="shared" si="400"/>
        <v/>
      </c>
      <c r="D617" t="str">
        <f t="shared" si="400"/>
        <v/>
      </c>
      <c r="E617" t="str">
        <f t="shared" si="400"/>
        <v/>
      </c>
      <c r="F617" t="str">
        <f t="shared" si="400"/>
        <v/>
      </c>
      <c r="G617" t="str">
        <f t="shared" si="400"/>
        <v/>
      </c>
      <c r="H617" t="str">
        <f t="shared" si="401"/>
        <v/>
      </c>
      <c r="J617" t="str">
        <f>IF($H617="","",IF(VLOOKUP($B$605,ExpItems[],2,0),$B$605&amp;" - "&amp;INDEX(DivisionMapping[category_code],MATCH($D617&amp;$C617,DivisionMapping[dept_bu],0)),$B$605))</f>
        <v/>
      </c>
      <c r="K617" t="str">
        <f t="shared" si="402"/>
        <v/>
      </c>
      <c r="L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L407*L$78)</f>
        <v>0</v>
      </c>
      <c r="M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M407*M$78)</f>
        <v>0</v>
      </c>
      <c r="N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N407*N$78)</f>
        <v>0</v>
      </c>
      <c r="O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O407*O$78)</f>
        <v>0</v>
      </c>
      <c r="P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P407*P$78)</f>
        <v>0</v>
      </c>
      <c r="Q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Q407*Q$78)</f>
        <v>0</v>
      </c>
      <c r="R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R407*R$78)</f>
        <v>0</v>
      </c>
      <c r="S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S407*S$78)</f>
        <v>0</v>
      </c>
      <c r="T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T407*T$78)</f>
        <v>0</v>
      </c>
      <c r="U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U407*U$78)</f>
        <v>0</v>
      </c>
      <c r="V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V407*V$78)</f>
        <v>0</v>
      </c>
      <c r="W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W407*W$78)</f>
        <v>0</v>
      </c>
      <c r="X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X407*X$78)</f>
        <v>0</v>
      </c>
      <c r="Y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Y407*Y$78)</f>
        <v>0</v>
      </c>
      <c r="Z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Z407*Z$78)</f>
        <v>0</v>
      </c>
      <c r="AA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A407*AA$78)</f>
        <v>0</v>
      </c>
      <c r="AB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B407*AB$78)</f>
        <v>0</v>
      </c>
      <c r="AC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C407*AC$78)</f>
        <v>0</v>
      </c>
      <c r="AD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D407*AD$78)</f>
        <v>0</v>
      </c>
      <c r="AE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E407*AE$78)</f>
        <v>0</v>
      </c>
      <c r="AF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F407*AF$78)</f>
        <v>0</v>
      </c>
      <c r="AG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G407*AG$78)</f>
        <v>0</v>
      </c>
      <c r="AH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H407*AH$78)</f>
        <v>0</v>
      </c>
      <c r="AI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I407*AI$78)</f>
        <v>0</v>
      </c>
      <c r="AJ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J407*AJ$78)</f>
        <v>0</v>
      </c>
      <c r="AK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K407*AK$78)</f>
        <v>0</v>
      </c>
      <c r="AL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L407*AL$78)</f>
        <v>0</v>
      </c>
      <c r="AM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M407*AM$78)</f>
        <v>0</v>
      </c>
      <c r="AN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N407*AN$78)</f>
        <v>0</v>
      </c>
      <c r="AO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O407*AO$78)</f>
        <v>0</v>
      </c>
      <c r="AP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P407*AP$78)</f>
        <v>0</v>
      </c>
      <c r="AQ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Q407*AQ$78)</f>
        <v>0</v>
      </c>
      <c r="AR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R407*AR$78)</f>
        <v>0</v>
      </c>
      <c r="AS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S407*AS$78)</f>
        <v>0</v>
      </c>
      <c r="AT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T407*AT$78)</f>
        <v>0</v>
      </c>
      <c r="AU617" s="652">
        <f>IF($B617="",,IF(LEFT($H617,5)="dummy",SUMIFS(AvgCommission[avg_commission],AvgCommission[job_title],$H617),SUMIFS(AvgCommission[avg_commission],AvgCommission[exp_item],$J617,AvgCommission[company_name],$B617,AvgCommission[bu_name],$C617,AvgCommission[dept_name],$D617,AvgCommission[team_consolidation],$K617,AvgCommission[location_name],$G617,AvgCommission[job_title],$H617))*AU407*AU$78)</f>
        <v>0</v>
      </c>
    </row>
    <row r="618" spans="2:47" x14ac:dyDescent="0.35">
      <c r="B618" t="str">
        <f t="shared" si="400"/>
        <v/>
      </c>
      <c r="C618" t="str">
        <f t="shared" si="400"/>
        <v/>
      </c>
      <c r="D618" t="str">
        <f t="shared" si="400"/>
        <v/>
      </c>
      <c r="E618" t="str">
        <f t="shared" si="400"/>
        <v/>
      </c>
      <c r="F618" t="str">
        <f t="shared" si="400"/>
        <v/>
      </c>
      <c r="G618" t="str">
        <f t="shared" si="400"/>
        <v/>
      </c>
      <c r="H618" t="str">
        <f t="shared" si="401"/>
        <v/>
      </c>
      <c r="J618" t="str">
        <f>IF($H618="","",IF(VLOOKUP($B$605,ExpItems[],2,0),$B$605&amp;" - "&amp;INDEX(DivisionMapping[category_code],MATCH($D618&amp;$C618,DivisionMapping[dept_bu],0)),$B$605))</f>
        <v/>
      </c>
      <c r="K618" t="str">
        <f t="shared" si="402"/>
        <v/>
      </c>
      <c r="L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L408*L$78)</f>
        <v>0</v>
      </c>
      <c r="M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M408*M$78)</f>
        <v>0</v>
      </c>
      <c r="N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N408*N$78)</f>
        <v>0</v>
      </c>
      <c r="O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O408*O$78)</f>
        <v>0</v>
      </c>
      <c r="P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P408*P$78)</f>
        <v>0</v>
      </c>
      <c r="Q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Q408*Q$78)</f>
        <v>0</v>
      </c>
      <c r="R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R408*R$78)</f>
        <v>0</v>
      </c>
      <c r="S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S408*S$78)</f>
        <v>0</v>
      </c>
      <c r="T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T408*T$78)</f>
        <v>0</v>
      </c>
      <c r="U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U408*U$78)</f>
        <v>0</v>
      </c>
      <c r="V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V408*V$78)</f>
        <v>0</v>
      </c>
      <c r="W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W408*W$78)</f>
        <v>0</v>
      </c>
      <c r="X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X408*X$78)</f>
        <v>0</v>
      </c>
      <c r="Y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Y408*Y$78)</f>
        <v>0</v>
      </c>
      <c r="Z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Z408*Z$78)</f>
        <v>0</v>
      </c>
      <c r="AA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A408*AA$78)</f>
        <v>0</v>
      </c>
      <c r="AB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B408*AB$78)</f>
        <v>0</v>
      </c>
      <c r="AC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C408*AC$78)</f>
        <v>0</v>
      </c>
      <c r="AD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D408*AD$78)</f>
        <v>0</v>
      </c>
      <c r="AE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E408*AE$78)</f>
        <v>0</v>
      </c>
      <c r="AF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F408*AF$78)</f>
        <v>0</v>
      </c>
      <c r="AG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G408*AG$78)</f>
        <v>0</v>
      </c>
      <c r="AH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H408*AH$78)</f>
        <v>0</v>
      </c>
      <c r="AI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I408*AI$78)</f>
        <v>0</v>
      </c>
      <c r="AJ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J408*AJ$78)</f>
        <v>0</v>
      </c>
      <c r="AK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K408*AK$78)</f>
        <v>0</v>
      </c>
      <c r="AL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L408*AL$78)</f>
        <v>0</v>
      </c>
      <c r="AM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M408*AM$78)</f>
        <v>0</v>
      </c>
      <c r="AN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N408*AN$78)</f>
        <v>0</v>
      </c>
      <c r="AO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O408*AO$78)</f>
        <v>0</v>
      </c>
      <c r="AP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P408*AP$78)</f>
        <v>0</v>
      </c>
      <c r="AQ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Q408*AQ$78)</f>
        <v>0</v>
      </c>
      <c r="AR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R408*AR$78)</f>
        <v>0</v>
      </c>
      <c r="AS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S408*AS$78)</f>
        <v>0</v>
      </c>
      <c r="AT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T408*AT$78)</f>
        <v>0</v>
      </c>
      <c r="AU618" s="652">
        <f>IF($B618="",,IF(LEFT($H618,5)="dummy",SUMIFS(AvgCommission[avg_commission],AvgCommission[job_title],$H618),SUMIFS(AvgCommission[avg_commission],AvgCommission[exp_item],$J618,AvgCommission[company_name],$B618,AvgCommission[bu_name],$C618,AvgCommission[dept_name],$D618,AvgCommission[team_consolidation],$K618,AvgCommission[location_name],$G618,AvgCommission[job_title],$H618))*AU408*AU$78)</f>
        <v>0</v>
      </c>
    </row>
    <row r="619" spans="2:47" x14ac:dyDescent="0.35">
      <c r="B619" t="str">
        <f t="shared" si="400"/>
        <v/>
      </c>
      <c r="C619" t="str">
        <f t="shared" si="400"/>
        <v/>
      </c>
      <c r="D619" t="str">
        <f t="shared" si="400"/>
        <v/>
      </c>
      <c r="E619" t="str">
        <f t="shared" si="400"/>
        <v/>
      </c>
      <c r="F619" t="str">
        <f t="shared" si="400"/>
        <v/>
      </c>
      <c r="G619" t="str">
        <f t="shared" si="400"/>
        <v/>
      </c>
      <c r="H619" t="str">
        <f t="shared" si="401"/>
        <v/>
      </c>
      <c r="J619" t="str">
        <f>IF($H619="","",IF(VLOOKUP($B$605,ExpItems[],2,0),$B$605&amp;" - "&amp;INDEX(DivisionMapping[category_code],MATCH($D619&amp;$C619,DivisionMapping[dept_bu],0)),$B$605))</f>
        <v/>
      </c>
      <c r="K619" t="str">
        <f t="shared" si="402"/>
        <v/>
      </c>
      <c r="L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L409*L$78)</f>
        <v>0</v>
      </c>
      <c r="M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M409*M$78)</f>
        <v>0</v>
      </c>
      <c r="N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N409*N$78)</f>
        <v>0</v>
      </c>
      <c r="O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O409*O$78)</f>
        <v>0</v>
      </c>
      <c r="P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P409*P$78)</f>
        <v>0</v>
      </c>
      <c r="Q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Q409*Q$78)</f>
        <v>0</v>
      </c>
      <c r="R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R409*R$78)</f>
        <v>0</v>
      </c>
      <c r="S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S409*S$78)</f>
        <v>0</v>
      </c>
      <c r="T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T409*T$78)</f>
        <v>0</v>
      </c>
      <c r="U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U409*U$78)</f>
        <v>0</v>
      </c>
      <c r="V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V409*V$78)</f>
        <v>0</v>
      </c>
      <c r="W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W409*W$78)</f>
        <v>0</v>
      </c>
      <c r="X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X409*X$78)</f>
        <v>0</v>
      </c>
      <c r="Y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Y409*Y$78)</f>
        <v>0</v>
      </c>
      <c r="Z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Z409*Z$78)</f>
        <v>0</v>
      </c>
      <c r="AA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A409*AA$78)</f>
        <v>0</v>
      </c>
      <c r="AB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B409*AB$78)</f>
        <v>0</v>
      </c>
      <c r="AC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C409*AC$78)</f>
        <v>0</v>
      </c>
      <c r="AD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D409*AD$78)</f>
        <v>0</v>
      </c>
      <c r="AE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E409*AE$78)</f>
        <v>0</v>
      </c>
      <c r="AF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F409*AF$78)</f>
        <v>0</v>
      </c>
      <c r="AG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G409*AG$78)</f>
        <v>0</v>
      </c>
      <c r="AH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H409*AH$78)</f>
        <v>0</v>
      </c>
      <c r="AI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I409*AI$78)</f>
        <v>0</v>
      </c>
      <c r="AJ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J409*AJ$78)</f>
        <v>0</v>
      </c>
      <c r="AK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K409*AK$78)</f>
        <v>0</v>
      </c>
      <c r="AL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L409*AL$78)</f>
        <v>0</v>
      </c>
      <c r="AM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M409*AM$78)</f>
        <v>0</v>
      </c>
      <c r="AN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N409*AN$78)</f>
        <v>0</v>
      </c>
      <c r="AO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O409*AO$78)</f>
        <v>0</v>
      </c>
      <c r="AP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P409*AP$78)</f>
        <v>0</v>
      </c>
      <c r="AQ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Q409*AQ$78)</f>
        <v>0</v>
      </c>
      <c r="AR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R409*AR$78)</f>
        <v>0</v>
      </c>
      <c r="AS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S409*AS$78)</f>
        <v>0</v>
      </c>
      <c r="AT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T409*AT$78)</f>
        <v>0</v>
      </c>
      <c r="AU619" s="652">
        <f>IF($B619="",,IF(LEFT($H619,5)="dummy",SUMIFS(AvgCommission[avg_commission],AvgCommission[job_title],$H619),SUMIFS(AvgCommission[avg_commission],AvgCommission[exp_item],$J619,AvgCommission[company_name],$B619,AvgCommission[bu_name],$C619,AvgCommission[dept_name],$D619,AvgCommission[team_consolidation],$K619,AvgCommission[location_name],$G619,AvgCommission[job_title],$H619))*AU409*AU$78)</f>
        <v>0</v>
      </c>
    </row>
    <row r="620" spans="2:47" x14ac:dyDescent="0.35">
      <c r="B620" t="str">
        <f t="shared" si="400"/>
        <v/>
      </c>
      <c r="C620" t="str">
        <f t="shared" si="400"/>
        <v/>
      </c>
      <c r="D620" t="str">
        <f t="shared" si="400"/>
        <v/>
      </c>
      <c r="E620" t="str">
        <f t="shared" si="400"/>
        <v/>
      </c>
      <c r="F620" t="str">
        <f t="shared" si="400"/>
        <v/>
      </c>
      <c r="G620" t="str">
        <f t="shared" si="400"/>
        <v/>
      </c>
      <c r="H620" t="str">
        <f t="shared" si="401"/>
        <v/>
      </c>
      <c r="J620" t="str">
        <f>IF($H620="","",IF(VLOOKUP($B$605,ExpItems[],2,0),$B$605&amp;" - "&amp;INDEX(DivisionMapping[category_code],MATCH($D620&amp;$C620,DivisionMapping[dept_bu],0)),$B$605))</f>
        <v/>
      </c>
      <c r="K620" t="str">
        <f t="shared" si="402"/>
        <v/>
      </c>
      <c r="L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L410*L$78)</f>
        <v>0</v>
      </c>
      <c r="M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M410*M$78)</f>
        <v>0</v>
      </c>
      <c r="N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N410*N$78)</f>
        <v>0</v>
      </c>
      <c r="O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O410*O$78)</f>
        <v>0</v>
      </c>
      <c r="P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P410*P$78)</f>
        <v>0</v>
      </c>
      <c r="Q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Q410*Q$78)</f>
        <v>0</v>
      </c>
      <c r="R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R410*R$78)</f>
        <v>0</v>
      </c>
      <c r="S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S410*S$78)</f>
        <v>0</v>
      </c>
      <c r="T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T410*T$78)</f>
        <v>0</v>
      </c>
      <c r="U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U410*U$78)</f>
        <v>0</v>
      </c>
      <c r="V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V410*V$78)</f>
        <v>0</v>
      </c>
      <c r="W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W410*W$78)</f>
        <v>0</v>
      </c>
      <c r="X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X410*X$78)</f>
        <v>0</v>
      </c>
      <c r="Y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Y410*Y$78)</f>
        <v>0</v>
      </c>
      <c r="Z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Z410*Z$78)</f>
        <v>0</v>
      </c>
      <c r="AA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A410*AA$78)</f>
        <v>0</v>
      </c>
      <c r="AB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B410*AB$78)</f>
        <v>0</v>
      </c>
      <c r="AC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C410*AC$78)</f>
        <v>0</v>
      </c>
      <c r="AD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D410*AD$78)</f>
        <v>0</v>
      </c>
      <c r="AE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E410*AE$78)</f>
        <v>0</v>
      </c>
      <c r="AF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F410*AF$78)</f>
        <v>0</v>
      </c>
      <c r="AG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G410*AG$78)</f>
        <v>0</v>
      </c>
      <c r="AH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H410*AH$78)</f>
        <v>0</v>
      </c>
      <c r="AI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I410*AI$78)</f>
        <v>0</v>
      </c>
      <c r="AJ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J410*AJ$78)</f>
        <v>0</v>
      </c>
      <c r="AK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K410*AK$78)</f>
        <v>0</v>
      </c>
      <c r="AL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L410*AL$78)</f>
        <v>0</v>
      </c>
      <c r="AM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M410*AM$78)</f>
        <v>0</v>
      </c>
      <c r="AN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N410*AN$78)</f>
        <v>0</v>
      </c>
      <c r="AO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O410*AO$78)</f>
        <v>0</v>
      </c>
      <c r="AP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P410*AP$78)</f>
        <v>0</v>
      </c>
      <c r="AQ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Q410*AQ$78)</f>
        <v>0</v>
      </c>
      <c r="AR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R410*AR$78)</f>
        <v>0</v>
      </c>
      <c r="AS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S410*AS$78)</f>
        <v>0</v>
      </c>
      <c r="AT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T410*AT$78)</f>
        <v>0</v>
      </c>
      <c r="AU620" s="652">
        <f>IF($B620="",,IF(LEFT($H620,5)="dummy",SUMIFS(AvgCommission[avg_commission],AvgCommission[job_title],$H620),SUMIFS(AvgCommission[avg_commission],AvgCommission[exp_item],$J620,AvgCommission[company_name],$B620,AvgCommission[bu_name],$C620,AvgCommission[dept_name],$D620,AvgCommission[team_consolidation],$K620,AvgCommission[location_name],$G620,AvgCommission[job_title],$H620))*AU410*AU$78)</f>
        <v>0</v>
      </c>
    </row>
    <row r="621" spans="2:47" x14ac:dyDescent="0.35">
      <c r="B621" t="str">
        <f t="shared" si="400"/>
        <v/>
      </c>
      <c r="C621" t="str">
        <f t="shared" si="400"/>
        <v/>
      </c>
      <c r="D621" t="str">
        <f t="shared" si="400"/>
        <v/>
      </c>
      <c r="E621" t="str">
        <f t="shared" si="400"/>
        <v/>
      </c>
      <c r="F621" t="str">
        <f t="shared" si="400"/>
        <v/>
      </c>
      <c r="G621" t="str">
        <f t="shared" si="400"/>
        <v/>
      </c>
      <c r="H621" t="str">
        <f t="shared" si="401"/>
        <v/>
      </c>
      <c r="J621" t="str">
        <f>IF($H621="","",IF(VLOOKUP($B$605,ExpItems[],2,0),$B$605&amp;" - "&amp;INDEX(DivisionMapping[category_code],MATCH($D621&amp;$C621,DivisionMapping[dept_bu],0)),$B$605))</f>
        <v/>
      </c>
      <c r="K621" t="str">
        <f t="shared" si="402"/>
        <v/>
      </c>
      <c r="L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L411*L$78)</f>
        <v>0</v>
      </c>
      <c r="M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M411*M$78)</f>
        <v>0</v>
      </c>
      <c r="N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N411*N$78)</f>
        <v>0</v>
      </c>
      <c r="O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O411*O$78)</f>
        <v>0</v>
      </c>
      <c r="P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P411*P$78)</f>
        <v>0</v>
      </c>
      <c r="Q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Q411*Q$78)</f>
        <v>0</v>
      </c>
      <c r="R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R411*R$78)</f>
        <v>0</v>
      </c>
      <c r="S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S411*S$78)</f>
        <v>0</v>
      </c>
      <c r="T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T411*T$78)</f>
        <v>0</v>
      </c>
      <c r="U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U411*U$78)</f>
        <v>0</v>
      </c>
      <c r="V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V411*V$78)</f>
        <v>0</v>
      </c>
      <c r="W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W411*W$78)</f>
        <v>0</v>
      </c>
      <c r="X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X411*X$78)</f>
        <v>0</v>
      </c>
      <c r="Y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Y411*Y$78)</f>
        <v>0</v>
      </c>
      <c r="Z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Z411*Z$78)</f>
        <v>0</v>
      </c>
      <c r="AA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A411*AA$78)</f>
        <v>0</v>
      </c>
      <c r="AB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B411*AB$78)</f>
        <v>0</v>
      </c>
      <c r="AC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C411*AC$78)</f>
        <v>0</v>
      </c>
      <c r="AD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D411*AD$78)</f>
        <v>0</v>
      </c>
      <c r="AE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E411*AE$78)</f>
        <v>0</v>
      </c>
      <c r="AF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F411*AF$78)</f>
        <v>0</v>
      </c>
      <c r="AG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G411*AG$78)</f>
        <v>0</v>
      </c>
      <c r="AH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H411*AH$78)</f>
        <v>0</v>
      </c>
      <c r="AI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I411*AI$78)</f>
        <v>0</v>
      </c>
      <c r="AJ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J411*AJ$78)</f>
        <v>0</v>
      </c>
      <c r="AK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K411*AK$78)</f>
        <v>0</v>
      </c>
      <c r="AL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L411*AL$78)</f>
        <v>0</v>
      </c>
      <c r="AM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M411*AM$78)</f>
        <v>0</v>
      </c>
      <c r="AN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N411*AN$78)</f>
        <v>0</v>
      </c>
      <c r="AO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O411*AO$78)</f>
        <v>0</v>
      </c>
      <c r="AP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P411*AP$78)</f>
        <v>0</v>
      </c>
      <c r="AQ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Q411*AQ$78)</f>
        <v>0</v>
      </c>
      <c r="AR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R411*AR$78)</f>
        <v>0</v>
      </c>
      <c r="AS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S411*AS$78)</f>
        <v>0</v>
      </c>
      <c r="AT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T411*AT$78)</f>
        <v>0</v>
      </c>
      <c r="AU621" s="652">
        <f>IF($B621="",,IF(LEFT($H621,5)="dummy",SUMIFS(AvgCommission[avg_commission],AvgCommission[job_title],$H621),SUMIFS(AvgCommission[avg_commission],AvgCommission[exp_item],$J621,AvgCommission[company_name],$B621,AvgCommission[bu_name],$C621,AvgCommission[dept_name],$D621,AvgCommission[team_consolidation],$K621,AvgCommission[location_name],$G621,AvgCommission[job_title],$H621))*AU411*AU$78)</f>
        <v>0</v>
      </c>
    </row>
    <row r="622" spans="2:47" x14ac:dyDescent="0.35">
      <c r="B622" t="str">
        <f t="shared" ref="B622:G637" si="403">IF(B517="","",B517)</f>
        <v/>
      </c>
      <c r="C622" t="str">
        <f t="shared" si="403"/>
        <v/>
      </c>
      <c r="D622" t="str">
        <f t="shared" si="403"/>
        <v/>
      </c>
      <c r="E622" t="str">
        <f t="shared" si="403"/>
        <v/>
      </c>
      <c r="F622" t="str">
        <f t="shared" si="403"/>
        <v/>
      </c>
      <c r="G622" t="str">
        <f t="shared" si="403"/>
        <v/>
      </c>
      <c r="H622" t="str">
        <f t="shared" si="401"/>
        <v/>
      </c>
      <c r="J622" t="str">
        <f>IF($H622="","",IF(VLOOKUP($B$605,ExpItems[],2,0),$B$605&amp;" - "&amp;INDEX(DivisionMapping[category_code],MATCH($D622&amp;$C622,DivisionMapping[dept_bu],0)),$B$605))</f>
        <v/>
      </c>
      <c r="K622" t="str">
        <f t="shared" si="402"/>
        <v/>
      </c>
      <c r="L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L412*L$78)</f>
        <v>0</v>
      </c>
      <c r="M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M412*M$78)</f>
        <v>0</v>
      </c>
      <c r="N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N412*N$78)</f>
        <v>0</v>
      </c>
      <c r="O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O412*O$78)</f>
        <v>0</v>
      </c>
      <c r="P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P412*P$78)</f>
        <v>0</v>
      </c>
      <c r="Q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Q412*Q$78)</f>
        <v>0</v>
      </c>
      <c r="R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R412*R$78)</f>
        <v>0</v>
      </c>
      <c r="S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S412*S$78)</f>
        <v>0</v>
      </c>
      <c r="T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T412*T$78)</f>
        <v>0</v>
      </c>
      <c r="U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U412*U$78)</f>
        <v>0</v>
      </c>
      <c r="V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V412*V$78)</f>
        <v>0</v>
      </c>
      <c r="W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W412*W$78)</f>
        <v>0</v>
      </c>
      <c r="X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X412*X$78)</f>
        <v>0</v>
      </c>
      <c r="Y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Y412*Y$78)</f>
        <v>0</v>
      </c>
      <c r="Z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Z412*Z$78)</f>
        <v>0</v>
      </c>
      <c r="AA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A412*AA$78)</f>
        <v>0</v>
      </c>
      <c r="AB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B412*AB$78)</f>
        <v>0</v>
      </c>
      <c r="AC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C412*AC$78)</f>
        <v>0</v>
      </c>
      <c r="AD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D412*AD$78)</f>
        <v>0</v>
      </c>
      <c r="AE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E412*AE$78)</f>
        <v>0</v>
      </c>
      <c r="AF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F412*AF$78)</f>
        <v>0</v>
      </c>
      <c r="AG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G412*AG$78)</f>
        <v>0</v>
      </c>
      <c r="AH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H412*AH$78)</f>
        <v>0</v>
      </c>
      <c r="AI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I412*AI$78)</f>
        <v>0</v>
      </c>
      <c r="AJ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J412*AJ$78)</f>
        <v>0</v>
      </c>
      <c r="AK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K412*AK$78)</f>
        <v>0</v>
      </c>
      <c r="AL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L412*AL$78)</f>
        <v>0</v>
      </c>
      <c r="AM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M412*AM$78)</f>
        <v>0</v>
      </c>
      <c r="AN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N412*AN$78)</f>
        <v>0</v>
      </c>
      <c r="AO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O412*AO$78)</f>
        <v>0</v>
      </c>
      <c r="AP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P412*AP$78)</f>
        <v>0</v>
      </c>
      <c r="AQ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Q412*AQ$78)</f>
        <v>0</v>
      </c>
      <c r="AR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R412*AR$78)</f>
        <v>0</v>
      </c>
      <c r="AS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S412*AS$78)</f>
        <v>0</v>
      </c>
      <c r="AT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T412*AT$78)</f>
        <v>0</v>
      </c>
      <c r="AU622" s="652">
        <f>IF($B622="",,IF(LEFT($H622,5)="dummy",SUMIFS(AvgCommission[avg_commission],AvgCommission[job_title],$H622),SUMIFS(AvgCommission[avg_commission],AvgCommission[exp_item],$J622,AvgCommission[company_name],$B622,AvgCommission[bu_name],$C622,AvgCommission[dept_name],$D622,AvgCommission[team_consolidation],$K622,AvgCommission[location_name],$G622,AvgCommission[job_title],$H622))*AU412*AU$78)</f>
        <v>0</v>
      </c>
    </row>
    <row r="623" spans="2:47" x14ac:dyDescent="0.35">
      <c r="B623" t="str">
        <f t="shared" si="403"/>
        <v/>
      </c>
      <c r="C623" t="str">
        <f t="shared" si="403"/>
        <v/>
      </c>
      <c r="D623" t="str">
        <f t="shared" si="403"/>
        <v/>
      </c>
      <c r="E623" t="str">
        <f t="shared" si="403"/>
        <v/>
      </c>
      <c r="F623" t="str">
        <f t="shared" si="403"/>
        <v/>
      </c>
      <c r="G623" t="str">
        <f t="shared" si="403"/>
        <v/>
      </c>
      <c r="H623" t="str">
        <f t="shared" si="401"/>
        <v/>
      </c>
      <c r="J623" t="str">
        <f>IF($H623="","",IF(VLOOKUP($B$605,ExpItems[],2,0),$B$605&amp;" - "&amp;INDEX(DivisionMapping[category_code],MATCH($D623&amp;$C623,DivisionMapping[dept_bu],0)),$B$605))</f>
        <v/>
      </c>
      <c r="K623" t="str">
        <f t="shared" si="402"/>
        <v/>
      </c>
      <c r="L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L413*L$78)</f>
        <v>0</v>
      </c>
      <c r="M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M413*M$78)</f>
        <v>0</v>
      </c>
      <c r="N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N413*N$78)</f>
        <v>0</v>
      </c>
      <c r="O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O413*O$78)</f>
        <v>0</v>
      </c>
      <c r="P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P413*P$78)</f>
        <v>0</v>
      </c>
      <c r="Q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Q413*Q$78)</f>
        <v>0</v>
      </c>
      <c r="R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R413*R$78)</f>
        <v>0</v>
      </c>
      <c r="S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S413*S$78)</f>
        <v>0</v>
      </c>
      <c r="T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T413*T$78)</f>
        <v>0</v>
      </c>
      <c r="U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U413*U$78)</f>
        <v>0</v>
      </c>
      <c r="V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V413*V$78)</f>
        <v>0</v>
      </c>
      <c r="W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W413*W$78)</f>
        <v>0</v>
      </c>
      <c r="X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X413*X$78)</f>
        <v>0</v>
      </c>
      <c r="Y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Y413*Y$78)</f>
        <v>0</v>
      </c>
      <c r="Z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Z413*Z$78)</f>
        <v>0</v>
      </c>
      <c r="AA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A413*AA$78)</f>
        <v>0</v>
      </c>
      <c r="AB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B413*AB$78)</f>
        <v>0</v>
      </c>
      <c r="AC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C413*AC$78)</f>
        <v>0</v>
      </c>
      <c r="AD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D413*AD$78)</f>
        <v>0</v>
      </c>
      <c r="AE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E413*AE$78)</f>
        <v>0</v>
      </c>
      <c r="AF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F413*AF$78)</f>
        <v>0</v>
      </c>
      <c r="AG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G413*AG$78)</f>
        <v>0</v>
      </c>
      <c r="AH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H413*AH$78)</f>
        <v>0</v>
      </c>
      <c r="AI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I413*AI$78)</f>
        <v>0</v>
      </c>
      <c r="AJ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J413*AJ$78)</f>
        <v>0</v>
      </c>
      <c r="AK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K413*AK$78)</f>
        <v>0</v>
      </c>
      <c r="AL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L413*AL$78)</f>
        <v>0</v>
      </c>
      <c r="AM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M413*AM$78)</f>
        <v>0</v>
      </c>
      <c r="AN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N413*AN$78)</f>
        <v>0</v>
      </c>
      <c r="AO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O413*AO$78)</f>
        <v>0</v>
      </c>
      <c r="AP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P413*AP$78)</f>
        <v>0</v>
      </c>
      <c r="AQ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Q413*AQ$78)</f>
        <v>0</v>
      </c>
      <c r="AR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R413*AR$78)</f>
        <v>0</v>
      </c>
      <c r="AS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S413*AS$78)</f>
        <v>0</v>
      </c>
      <c r="AT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T413*AT$78)</f>
        <v>0</v>
      </c>
      <c r="AU623" s="652">
        <f>IF($B623="",,IF(LEFT($H623,5)="dummy",SUMIFS(AvgCommission[avg_commission],AvgCommission[job_title],$H623),SUMIFS(AvgCommission[avg_commission],AvgCommission[exp_item],$J623,AvgCommission[company_name],$B623,AvgCommission[bu_name],$C623,AvgCommission[dept_name],$D623,AvgCommission[team_consolidation],$K623,AvgCommission[location_name],$G623,AvgCommission[job_title],$H623))*AU413*AU$78)</f>
        <v>0</v>
      </c>
    </row>
    <row r="624" spans="2:47" x14ac:dyDescent="0.35">
      <c r="B624" t="str">
        <f t="shared" si="403"/>
        <v/>
      </c>
      <c r="C624" t="str">
        <f t="shared" si="403"/>
        <v/>
      </c>
      <c r="D624" t="str">
        <f t="shared" si="403"/>
        <v/>
      </c>
      <c r="E624" t="str">
        <f t="shared" si="403"/>
        <v/>
      </c>
      <c r="F624" t="str">
        <f t="shared" si="403"/>
        <v/>
      </c>
      <c r="G624" t="str">
        <f t="shared" si="403"/>
        <v/>
      </c>
      <c r="H624" t="str">
        <f t="shared" si="401"/>
        <v/>
      </c>
      <c r="J624" t="str">
        <f>IF($H624="","",IF(VLOOKUP($B$605,ExpItems[],2,0),$B$605&amp;" - "&amp;INDEX(DivisionMapping[category_code],MATCH($D624&amp;$C624,DivisionMapping[dept_bu],0)),$B$605))</f>
        <v/>
      </c>
      <c r="K624" t="str">
        <f t="shared" si="402"/>
        <v/>
      </c>
      <c r="L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L414*L$78)</f>
        <v>0</v>
      </c>
      <c r="M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M414*M$78)</f>
        <v>0</v>
      </c>
      <c r="N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N414*N$78)</f>
        <v>0</v>
      </c>
      <c r="O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O414*O$78)</f>
        <v>0</v>
      </c>
      <c r="P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P414*P$78)</f>
        <v>0</v>
      </c>
      <c r="Q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Q414*Q$78)</f>
        <v>0</v>
      </c>
      <c r="R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R414*R$78)</f>
        <v>0</v>
      </c>
      <c r="S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S414*S$78)</f>
        <v>0</v>
      </c>
      <c r="T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T414*T$78)</f>
        <v>0</v>
      </c>
      <c r="U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U414*U$78)</f>
        <v>0</v>
      </c>
      <c r="V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V414*V$78)</f>
        <v>0</v>
      </c>
      <c r="W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W414*W$78)</f>
        <v>0</v>
      </c>
      <c r="X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X414*X$78)</f>
        <v>0</v>
      </c>
      <c r="Y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Y414*Y$78)</f>
        <v>0</v>
      </c>
      <c r="Z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Z414*Z$78)</f>
        <v>0</v>
      </c>
      <c r="AA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A414*AA$78)</f>
        <v>0</v>
      </c>
      <c r="AB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B414*AB$78)</f>
        <v>0</v>
      </c>
      <c r="AC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C414*AC$78)</f>
        <v>0</v>
      </c>
      <c r="AD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D414*AD$78)</f>
        <v>0</v>
      </c>
      <c r="AE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E414*AE$78)</f>
        <v>0</v>
      </c>
      <c r="AF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F414*AF$78)</f>
        <v>0</v>
      </c>
      <c r="AG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G414*AG$78)</f>
        <v>0</v>
      </c>
      <c r="AH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H414*AH$78)</f>
        <v>0</v>
      </c>
      <c r="AI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I414*AI$78)</f>
        <v>0</v>
      </c>
      <c r="AJ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J414*AJ$78)</f>
        <v>0</v>
      </c>
      <c r="AK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K414*AK$78)</f>
        <v>0</v>
      </c>
      <c r="AL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L414*AL$78)</f>
        <v>0</v>
      </c>
      <c r="AM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M414*AM$78)</f>
        <v>0</v>
      </c>
      <c r="AN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N414*AN$78)</f>
        <v>0</v>
      </c>
      <c r="AO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O414*AO$78)</f>
        <v>0</v>
      </c>
      <c r="AP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P414*AP$78)</f>
        <v>0</v>
      </c>
      <c r="AQ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Q414*AQ$78)</f>
        <v>0</v>
      </c>
      <c r="AR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R414*AR$78)</f>
        <v>0</v>
      </c>
      <c r="AS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S414*AS$78)</f>
        <v>0</v>
      </c>
      <c r="AT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T414*AT$78)</f>
        <v>0</v>
      </c>
      <c r="AU624" s="652">
        <f>IF($B624="",,IF(LEFT($H624,5)="dummy",SUMIFS(AvgCommission[avg_commission],AvgCommission[job_title],$H624),SUMIFS(AvgCommission[avg_commission],AvgCommission[exp_item],$J624,AvgCommission[company_name],$B624,AvgCommission[bu_name],$C624,AvgCommission[dept_name],$D624,AvgCommission[team_consolidation],$K624,AvgCommission[location_name],$G624,AvgCommission[job_title],$H624))*AU414*AU$78)</f>
        <v>0</v>
      </c>
    </row>
    <row r="625" spans="2:47" x14ac:dyDescent="0.35">
      <c r="B625" t="str">
        <f t="shared" si="403"/>
        <v/>
      </c>
      <c r="C625" t="str">
        <f t="shared" si="403"/>
        <v/>
      </c>
      <c r="D625" t="str">
        <f t="shared" si="403"/>
        <v/>
      </c>
      <c r="E625" t="str">
        <f t="shared" si="403"/>
        <v/>
      </c>
      <c r="F625" t="str">
        <f t="shared" si="403"/>
        <v/>
      </c>
      <c r="G625" t="str">
        <f t="shared" si="403"/>
        <v/>
      </c>
      <c r="H625" t="str">
        <f t="shared" si="401"/>
        <v/>
      </c>
      <c r="J625" t="str">
        <f>IF($H625="","",IF(VLOOKUP($B$605,ExpItems[],2,0),$B$605&amp;" - "&amp;INDEX(DivisionMapping[category_code],MATCH($D625&amp;$C625,DivisionMapping[dept_bu],0)),$B$605))</f>
        <v/>
      </c>
      <c r="K625" t="str">
        <f t="shared" si="402"/>
        <v/>
      </c>
      <c r="L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L415*L$78)</f>
        <v>0</v>
      </c>
      <c r="M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M415*M$78)</f>
        <v>0</v>
      </c>
      <c r="N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N415*N$78)</f>
        <v>0</v>
      </c>
      <c r="O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O415*O$78)</f>
        <v>0</v>
      </c>
      <c r="P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P415*P$78)</f>
        <v>0</v>
      </c>
      <c r="Q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Q415*Q$78)</f>
        <v>0</v>
      </c>
      <c r="R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R415*R$78)</f>
        <v>0</v>
      </c>
      <c r="S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S415*S$78)</f>
        <v>0</v>
      </c>
      <c r="T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T415*T$78)</f>
        <v>0</v>
      </c>
      <c r="U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U415*U$78)</f>
        <v>0</v>
      </c>
      <c r="V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V415*V$78)</f>
        <v>0</v>
      </c>
      <c r="W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W415*W$78)</f>
        <v>0</v>
      </c>
      <c r="X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X415*X$78)</f>
        <v>0</v>
      </c>
      <c r="Y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Y415*Y$78)</f>
        <v>0</v>
      </c>
      <c r="Z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Z415*Z$78)</f>
        <v>0</v>
      </c>
      <c r="AA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A415*AA$78)</f>
        <v>0</v>
      </c>
      <c r="AB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B415*AB$78)</f>
        <v>0</v>
      </c>
      <c r="AC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C415*AC$78)</f>
        <v>0</v>
      </c>
      <c r="AD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D415*AD$78)</f>
        <v>0</v>
      </c>
      <c r="AE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E415*AE$78)</f>
        <v>0</v>
      </c>
      <c r="AF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F415*AF$78)</f>
        <v>0</v>
      </c>
      <c r="AG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G415*AG$78)</f>
        <v>0</v>
      </c>
      <c r="AH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H415*AH$78)</f>
        <v>0</v>
      </c>
      <c r="AI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I415*AI$78)</f>
        <v>0</v>
      </c>
      <c r="AJ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J415*AJ$78)</f>
        <v>0</v>
      </c>
      <c r="AK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K415*AK$78)</f>
        <v>0</v>
      </c>
      <c r="AL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L415*AL$78)</f>
        <v>0</v>
      </c>
      <c r="AM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M415*AM$78)</f>
        <v>0</v>
      </c>
      <c r="AN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N415*AN$78)</f>
        <v>0</v>
      </c>
      <c r="AO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O415*AO$78)</f>
        <v>0</v>
      </c>
      <c r="AP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P415*AP$78)</f>
        <v>0</v>
      </c>
      <c r="AQ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Q415*AQ$78)</f>
        <v>0</v>
      </c>
      <c r="AR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R415*AR$78)</f>
        <v>0</v>
      </c>
      <c r="AS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S415*AS$78)</f>
        <v>0</v>
      </c>
      <c r="AT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T415*AT$78)</f>
        <v>0</v>
      </c>
      <c r="AU625" s="652">
        <f>IF($B625="",,IF(LEFT($H625,5)="dummy",SUMIFS(AvgCommission[avg_commission],AvgCommission[job_title],$H625),SUMIFS(AvgCommission[avg_commission],AvgCommission[exp_item],$J625,AvgCommission[company_name],$B625,AvgCommission[bu_name],$C625,AvgCommission[dept_name],$D625,AvgCommission[team_consolidation],$K625,AvgCommission[location_name],$G625,AvgCommission[job_title],$H625))*AU415*AU$78)</f>
        <v>0</v>
      </c>
    </row>
    <row r="626" spans="2:47" x14ac:dyDescent="0.35">
      <c r="B626" t="str">
        <f t="shared" si="403"/>
        <v/>
      </c>
      <c r="C626" t="str">
        <f t="shared" si="403"/>
        <v/>
      </c>
      <c r="D626" t="str">
        <f t="shared" si="403"/>
        <v/>
      </c>
      <c r="E626" t="str">
        <f t="shared" si="403"/>
        <v/>
      </c>
      <c r="F626" t="str">
        <f t="shared" si="403"/>
        <v/>
      </c>
      <c r="G626" t="str">
        <f t="shared" si="403"/>
        <v/>
      </c>
      <c r="H626" t="str">
        <f t="shared" si="401"/>
        <v/>
      </c>
      <c r="J626" t="str">
        <f>IF($H626="","",IF(VLOOKUP($B$605,ExpItems[],2,0),$B$605&amp;" - "&amp;INDEX(DivisionMapping[category_code],MATCH($D626&amp;$C626,DivisionMapping[dept_bu],0)),$B$605))</f>
        <v/>
      </c>
      <c r="K626" t="str">
        <f t="shared" si="402"/>
        <v/>
      </c>
      <c r="L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L416*L$78)</f>
        <v>0</v>
      </c>
      <c r="M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M416*M$78)</f>
        <v>0</v>
      </c>
      <c r="N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N416*N$78)</f>
        <v>0</v>
      </c>
      <c r="O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O416*O$78)</f>
        <v>0</v>
      </c>
      <c r="P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P416*P$78)</f>
        <v>0</v>
      </c>
      <c r="Q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Q416*Q$78)</f>
        <v>0</v>
      </c>
      <c r="R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R416*R$78)</f>
        <v>0</v>
      </c>
      <c r="S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S416*S$78)</f>
        <v>0</v>
      </c>
      <c r="T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T416*T$78)</f>
        <v>0</v>
      </c>
      <c r="U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U416*U$78)</f>
        <v>0</v>
      </c>
      <c r="V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V416*V$78)</f>
        <v>0</v>
      </c>
      <c r="W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W416*W$78)</f>
        <v>0</v>
      </c>
      <c r="X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X416*X$78)</f>
        <v>0</v>
      </c>
      <c r="Y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Y416*Y$78)</f>
        <v>0</v>
      </c>
      <c r="Z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Z416*Z$78)</f>
        <v>0</v>
      </c>
      <c r="AA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A416*AA$78)</f>
        <v>0</v>
      </c>
      <c r="AB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B416*AB$78)</f>
        <v>0</v>
      </c>
      <c r="AC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C416*AC$78)</f>
        <v>0</v>
      </c>
      <c r="AD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D416*AD$78)</f>
        <v>0</v>
      </c>
      <c r="AE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E416*AE$78)</f>
        <v>0</v>
      </c>
      <c r="AF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F416*AF$78)</f>
        <v>0</v>
      </c>
      <c r="AG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G416*AG$78)</f>
        <v>0</v>
      </c>
      <c r="AH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H416*AH$78)</f>
        <v>0</v>
      </c>
      <c r="AI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I416*AI$78)</f>
        <v>0</v>
      </c>
      <c r="AJ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J416*AJ$78)</f>
        <v>0</v>
      </c>
      <c r="AK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K416*AK$78)</f>
        <v>0</v>
      </c>
      <c r="AL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L416*AL$78)</f>
        <v>0</v>
      </c>
      <c r="AM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M416*AM$78)</f>
        <v>0</v>
      </c>
      <c r="AN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N416*AN$78)</f>
        <v>0</v>
      </c>
      <c r="AO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O416*AO$78)</f>
        <v>0</v>
      </c>
      <c r="AP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P416*AP$78)</f>
        <v>0</v>
      </c>
      <c r="AQ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Q416*AQ$78)</f>
        <v>0</v>
      </c>
      <c r="AR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R416*AR$78)</f>
        <v>0</v>
      </c>
      <c r="AS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S416*AS$78)</f>
        <v>0</v>
      </c>
      <c r="AT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T416*AT$78)</f>
        <v>0</v>
      </c>
      <c r="AU626" s="652">
        <f>IF($B626="",,IF(LEFT($H626,5)="dummy",SUMIFS(AvgCommission[avg_commission],AvgCommission[job_title],$H626),SUMIFS(AvgCommission[avg_commission],AvgCommission[exp_item],$J626,AvgCommission[company_name],$B626,AvgCommission[bu_name],$C626,AvgCommission[dept_name],$D626,AvgCommission[team_consolidation],$K626,AvgCommission[location_name],$G626,AvgCommission[job_title],$H626))*AU416*AU$78)</f>
        <v>0</v>
      </c>
    </row>
    <row r="627" spans="2:47" x14ac:dyDescent="0.35">
      <c r="B627" t="str">
        <f t="shared" si="403"/>
        <v/>
      </c>
      <c r="C627" t="str">
        <f t="shared" si="403"/>
        <v/>
      </c>
      <c r="D627" t="str">
        <f t="shared" si="403"/>
        <v/>
      </c>
      <c r="E627" t="str">
        <f t="shared" si="403"/>
        <v/>
      </c>
      <c r="F627" t="str">
        <f t="shared" si="403"/>
        <v/>
      </c>
      <c r="G627" t="str">
        <f t="shared" si="403"/>
        <v/>
      </c>
      <c r="H627" t="str">
        <f t="shared" si="401"/>
        <v/>
      </c>
      <c r="J627" t="str">
        <f>IF($H627="","",IF(VLOOKUP($B$605,ExpItems[],2,0),$B$605&amp;" - "&amp;INDEX(DivisionMapping[category_code],MATCH($D627&amp;$C627,DivisionMapping[dept_bu],0)),$B$605))</f>
        <v/>
      </c>
      <c r="K627" t="str">
        <f t="shared" si="402"/>
        <v/>
      </c>
      <c r="L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L417*L$78)</f>
        <v>0</v>
      </c>
      <c r="M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M417*M$78)</f>
        <v>0</v>
      </c>
      <c r="N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N417*N$78)</f>
        <v>0</v>
      </c>
      <c r="O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O417*O$78)</f>
        <v>0</v>
      </c>
      <c r="P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P417*P$78)</f>
        <v>0</v>
      </c>
      <c r="Q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Q417*Q$78)</f>
        <v>0</v>
      </c>
      <c r="R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R417*R$78)</f>
        <v>0</v>
      </c>
      <c r="S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S417*S$78)</f>
        <v>0</v>
      </c>
      <c r="T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T417*T$78)</f>
        <v>0</v>
      </c>
      <c r="U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U417*U$78)</f>
        <v>0</v>
      </c>
      <c r="V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V417*V$78)</f>
        <v>0</v>
      </c>
      <c r="W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W417*W$78)</f>
        <v>0</v>
      </c>
      <c r="X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X417*X$78)</f>
        <v>0</v>
      </c>
      <c r="Y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Y417*Y$78)</f>
        <v>0</v>
      </c>
      <c r="Z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Z417*Z$78)</f>
        <v>0</v>
      </c>
      <c r="AA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A417*AA$78)</f>
        <v>0</v>
      </c>
      <c r="AB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B417*AB$78)</f>
        <v>0</v>
      </c>
      <c r="AC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C417*AC$78)</f>
        <v>0</v>
      </c>
      <c r="AD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D417*AD$78)</f>
        <v>0</v>
      </c>
      <c r="AE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E417*AE$78)</f>
        <v>0</v>
      </c>
      <c r="AF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F417*AF$78)</f>
        <v>0</v>
      </c>
      <c r="AG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G417*AG$78)</f>
        <v>0</v>
      </c>
      <c r="AH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H417*AH$78)</f>
        <v>0</v>
      </c>
      <c r="AI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I417*AI$78)</f>
        <v>0</v>
      </c>
      <c r="AJ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J417*AJ$78)</f>
        <v>0</v>
      </c>
      <c r="AK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K417*AK$78)</f>
        <v>0</v>
      </c>
      <c r="AL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L417*AL$78)</f>
        <v>0</v>
      </c>
      <c r="AM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M417*AM$78)</f>
        <v>0</v>
      </c>
      <c r="AN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N417*AN$78)</f>
        <v>0</v>
      </c>
      <c r="AO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O417*AO$78)</f>
        <v>0</v>
      </c>
      <c r="AP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P417*AP$78)</f>
        <v>0</v>
      </c>
      <c r="AQ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Q417*AQ$78)</f>
        <v>0</v>
      </c>
      <c r="AR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R417*AR$78)</f>
        <v>0</v>
      </c>
      <c r="AS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S417*AS$78)</f>
        <v>0</v>
      </c>
      <c r="AT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T417*AT$78)</f>
        <v>0</v>
      </c>
      <c r="AU627" s="652">
        <f>IF($B627="",,IF(LEFT($H627,5)="dummy",SUMIFS(AvgCommission[avg_commission],AvgCommission[job_title],$H627),SUMIFS(AvgCommission[avg_commission],AvgCommission[exp_item],$J627,AvgCommission[company_name],$B627,AvgCommission[bu_name],$C627,AvgCommission[dept_name],$D627,AvgCommission[team_consolidation],$K627,AvgCommission[location_name],$G627,AvgCommission[job_title],$H627))*AU417*AU$78)</f>
        <v>0</v>
      </c>
    </row>
    <row r="628" spans="2:47" x14ac:dyDescent="0.35">
      <c r="B628" t="str">
        <f t="shared" si="403"/>
        <v/>
      </c>
      <c r="C628" t="str">
        <f t="shared" si="403"/>
        <v/>
      </c>
      <c r="D628" t="str">
        <f t="shared" si="403"/>
        <v/>
      </c>
      <c r="E628" t="str">
        <f t="shared" si="403"/>
        <v/>
      </c>
      <c r="F628" t="str">
        <f t="shared" si="403"/>
        <v/>
      </c>
      <c r="G628" t="str">
        <f t="shared" si="403"/>
        <v/>
      </c>
      <c r="H628" t="str">
        <f t="shared" si="401"/>
        <v/>
      </c>
      <c r="J628" t="str">
        <f>IF($H628="","",IF(VLOOKUP($B$605,ExpItems[],2,0),$B$605&amp;" - "&amp;INDEX(DivisionMapping[category_code],MATCH($D628&amp;$C628,DivisionMapping[dept_bu],0)),$B$605))</f>
        <v/>
      </c>
      <c r="K628" t="str">
        <f t="shared" si="402"/>
        <v/>
      </c>
      <c r="L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L418*L$78)</f>
        <v>0</v>
      </c>
      <c r="M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M418*M$78)</f>
        <v>0</v>
      </c>
      <c r="N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N418*N$78)</f>
        <v>0</v>
      </c>
      <c r="O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O418*O$78)</f>
        <v>0</v>
      </c>
      <c r="P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P418*P$78)</f>
        <v>0</v>
      </c>
      <c r="Q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Q418*Q$78)</f>
        <v>0</v>
      </c>
      <c r="R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R418*R$78)</f>
        <v>0</v>
      </c>
      <c r="S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S418*S$78)</f>
        <v>0</v>
      </c>
      <c r="T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T418*T$78)</f>
        <v>0</v>
      </c>
      <c r="U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U418*U$78)</f>
        <v>0</v>
      </c>
      <c r="V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V418*V$78)</f>
        <v>0</v>
      </c>
      <c r="W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W418*W$78)</f>
        <v>0</v>
      </c>
      <c r="X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X418*X$78)</f>
        <v>0</v>
      </c>
      <c r="Y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Y418*Y$78)</f>
        <v>0</v>
      </c>
      <c r="Z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Z418*Z$78)</f>
        <v>0</v>
      </c>
      <c r="AA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A418*AA$78)</f>
        <v>0</v>
      </c>
      <c r="AB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B418*AB$78)</f>
        <v>0</v>
      </c>
      <c r="AC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C418*AC$78)</f>
        <v>0</v>
      </c>
      <c r="AD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D418*AD$78)</f>
        <v>0</v>
      </c>
      <c r="AE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E418*AE$78)</f>
        <v>0</v>
      </c>
      <c r="AF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F418*AF$78)</f>
        <v>0</v>
      </c>
      <c r="AG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G418*AG$78)</f>
        <v>0</v>
      </c>
      <c r="AH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H418*AH$78)</f>
        <v>0</v>
      </c>
      <c r="AI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I418*AI$78)</f>
        <v>0</v>
      </c>
      <c r="AJ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J418*AJ$78)</f>
        <v>0</v>
      </c>
      <c r="AK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K418*AK$78)</f>
        <v>0</v>
      </c>
      <c r="AL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L418*AL$78)</f>
        <v>0</v>
      </c>
      <c r="AM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M418*AM$78)</f>
        <v>0</v>
      </c>
      <c r="AN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N418*AN$78)</f>
        <v>0</v>
      </c>
      <c r="AO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O418*AO$78)</f>
        <v>0</v>
      </c>
      <c r="AP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P418*AP$78)</f>
        <v>0</v>
      </c>
      <c r="AQ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Q418*AQ$78)</f>
        <v>0</v>
      </c>
      <c r="AR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R418*AR$78)</f>
        <v>0</v>
      </c>
      <c r="AS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S418*AS$78)</f>
        <v>0</v>
      </c>
      <c r="AT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T418*AT$78)</f>
        <v>0</v>
      </c>
      <c r="AU628" s="652">
        <f>IF($B628="",,IF(LEFT($H628,5)="dummy",SUMIFS(AvgCommission[avg_commission],AvgCommission[job_title],$H628),SUMIFS(AvgCommission[avg_commission],AvgCommission[exp_item],$J628,AvgCommission[company_name],$B628,AvgCommission[bu_name],$C628,AvgCommission[dept_name],$D628,AvgCommission[team_consolidation],$K628,AvgCommission[location_name],$G628,AvgCommission[job_title],$H628))*AU418*AU$78)</f>
        <v>0</v>
      </c>
    </row>
    <row r="629" spans="2:47" x14ac:dyDescent="0.35">
      <c r="B629" t="str">
        <f t="shared" si="403"/>
        <v/>
      </c>
      <c r="C629" t="str">
        <f t="shared" si="403"/>
        <v/>
      </c>
      <c r="D629" t="str">
        <f t="shared" si="403"/>
        <v/>
      </c>
      <c r="E629" t="str">
        <f t="shared" si="403"/>
        <v/>
      </c>
      <c r="F629" t="str">
        <f t="shared" si="403"/>
        <v/>
      </c>
      <c r="G629" t="str">
        <f t="shared" si="403"/>
        <v/>
      </c>
      <c r="H629" t="str">
        <f t="shared" si="401"/>
        <v/>
      </c>
      <c r="J629" t="str">
        <f>IF($H629="","",IF(VLOOKUP($B$605,ExpItems[],2,0),$B$605&amp;" - "&amp;INDEX(DivisionMapping[category_code],MATCH($D629&amp;$C629,DivisionMapping[dept_bu],0)),$B$605))</f>
        <v/>
      </c>
      <c r="K629" t="str">
        <f t="shared" si="402"/>
        <v/>
      </c>
      <c r="L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L419*L$78)</f>
        <v>0</v>
      </c>
      <c r="M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M419*M$78)</f>
        <v>0</v>
      </c>
      <c r="N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N419*N$78)</f>
        <v>0</v>
      </c>
      <c r="O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O419*O$78)</f>
        <v>0</v>
      </c>
      <c r="P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P419*P$78)</f>
        <v>0</v>
      </c>
      <c r="Q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Q419*Q$78)</f>
        <v>0</v>
      </c>
      <c r="R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R419*R$78)</f>
        <v>0</v>
      </c>
      <c r="S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S419*S$78)</f>
        <v>0</v>
      </c>
      <c r="T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T419*T$78)</f>
        <v>0</v>
      </c>
      <c r="U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U419*U$78)</f>
        <v>0</v>
      </c>
      <c r="V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V419*V$78)</f>
        <v>0</v>
      </c>
      <c r="W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W419*W$78)</f>
        <v>0</v>
      </c>
      <c r="X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X419*X$78)</f>
        <v>0</v>
      </c>
      <c r="Y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Y419*Y$78)</f>
        <v>0</v>
      </c>
      <c r="Z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Z419*Z$78)</f>
        <v>0</v>
      </c>
      <c r="AA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A419*AA$78)</f>
        <v>0</v>
      </c>
      <c r="AB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B419*AB$78)</f>
        <v>0</v>
      </c>
      <c r="AC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C419*AC$78)</f>
        <v>0</v>
      </c>
      <c r="AD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D419*AD$78)</f>
        <v>0</v>
      </c>
      <c r="AE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E419*AE$78)</f>
        <v>0</v>
      </c>
      <c r="AF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F419*AF$78)</f>
        <v>0</v>
      </c>
      <c r="AG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G419*AG$78)</f>
        <v>0</v>
      </c>
      <c r="AH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H419*AH$78)</f>
        <v>0</v>
      </c>
      <c r="AI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I419*AI$78)</f>
        <v>0</v>
      </c>
      <c r="AJ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J419*AJ$78)</f>
        <v>0</v>
      </c>
      <c r="AK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K419*AK$78)</f>
        <v>0</v>
      </c>
      <c r="AL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L419*AL$78)</f>
        <v>0</v>
      </c>
      <c r="AM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M419*AM$78)</f>
        <v>0</v>
      </c>
      <c r="AN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N419*AN$78)</f>
        <v>0</v>
      </c>
      <c r="AO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O419*AO$78)</f>
        <v>0</v>
      </c>
      <c r="AP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P419*AP$78)</f>
        <v>0</v>
      </c>
      <c r="AQ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Q419*AQ$78)</f>
        <v>0</v>
      </c>
      <c r="AR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R419*AR$78)</f>
        <v>0</v>
      </c>
      <c r="AS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S419*AS$78)</f>
        <v>0</v>
      </c>
      <c r="AT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T419*AT$78)</f>
        <v>0</v>
      </c>
      <c r="AU629" s="652">
        <f>IF($B629="",,IF(LEFT($H629,5)="dummy",SUMIFS(AvgCommission[avg_commission],AvgCommission[job_title],$H629),SUMIFS(AvgCommission[avg_commission],AvgCommission[exp_item],$J629,AvgCommission[company_name],$B629,AvgCommission[bu_name],$C629,AvgCommission[dept_name],$D629,AvgCommission[team_consolidation],$K629,AvgCommission[location_name],$G629,AvgCommission[job_title],$H629))*AU419*AU$78)</f>
        <v>0</v>
      </c>
    </row>
    <row r="630" spans="2:47" x14ac:dyDescent="0.35">
      <c r="B630" t="str">
        <f t="shared" si="403"/>
        <v/>
      </c>
      <c r="C630" t="str">
        <f t="shared" si="403"/>
        <v/>
      </c>
      <c r="D630" t="str">
        <f t="shared" si="403"/>
        <v/>
      </c>
      <c r="E630" t="str">
        <f t="shared" si="403"/>
        <v/>
      </c>
      <c r="F630" t="str">
        <f t="shared" si="403"/>
        <v/>
      </c>
      <c r="G630" t="str">
        <f t="shared" si="403"/>
        <v/>
      </c>
      <c r="H630" t="str">
        <f t="shared" si="401"/>
        <v/>
      </c>
      <c r="J630" t="str">
        <f>IF($H630="","",IF(VLOOKUP($B$605,ExpItems[],2,0),$B$605&amp;" - "&amp;INDEX(DivisionMapping[category_code],MATCH($D630&amp;$C630,DivisionMapping[dept_bu],0)),$B$605))</f>
        <v/>
      </c>
      <c r="K630" t="str">
        <f t="shared" si="402"/>
        <v/>
      </c>
      <c r="L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L420*L$78)</f>
        <v>0</v>
      </c>
      <c r="M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M420*M$78)</f>
        <v>0</v>
      </c>
      <c r="N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N420*N$78)</f>
        <v>0</v>
      </c>
      <c r="O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O420*O$78)</f>
        <v>0</v>
      </c>
      <c r="P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P420*P$78)</f>
        <v>0</v>
      </c>
      <c r="Q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Q420*Q$78)</f>
        <v>0</v>
      </c>
      <c r="R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R420*R$78)</f>
        <v>0</v>
      </c>
      <c r="S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S420*S$78)</f>
        <v>0</v>
      </c>
      <c r="T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T420*T$78)</f>
        <v>0</v>
      </c>
      <c r="U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U420*U$78)</f>
        <v>0</v>
      </c>
      <c r="V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V420*V$78)</f>
        <v>0</v>
      </c>
      <c r="W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W420*W$78)</f>
        <v>0</v>
      </c>
      <c r="X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X420*X$78)</f>
        <v>0</v>
      </c>
      <c r="Y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Y420*Y$78)</f>
        <v>0</v>
      </c>
      <c r="Z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Z420*Z$78)</f>
        <v>0</v>
      </c>
      <c r="AA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A420*AA$78)</f>
        <v>0</v>
      </c>
      <c r="AB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B420*AB$78)</f>
        <v>0</v>
      </c>
      <c r="AC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C420*AC$78)</f>
        <v>0</v>
      </c>
      <c r="AD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D420*AD$78)</f>
        <v>0</v>
      </c>
      <c r="AE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E420*AE$78)</f>
        <v>0</v>
      </c>
      <c r="AF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F420*AF$78)</f>
        <v>0</v>
      </c>
      <c r="AG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G420*AG$78)</f>
        <v>0</v>
      </c>
      <c r="AH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H420*AH$78)</f>
        <v>0</v>
      </c>
      <c r="AI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I420*AI$78)</f>
        <v>0</v>
      </c>
      <c r="AJ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J420*AJ$78)</f>
        <v>0</v>
      </c>
      <c r="AK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K420*AK$78)</f>
        <v>0</v>
      </c>
      <c r="AL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L420*AL$78)</f>
        <v>0</v>
      </c>
      <c r="AM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M420*AM$78)</f>
        <v>0</v>
      </c>
      <c r="AN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N420*AN$78)</f>
        <v>0</v>
      </c>
      <c r="AO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O420*AO$78)</f>
        <v>0</v>
      </c>
      <c r="AP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P420*AP$78)</f>
        <v>0</v>
      </c>
      <c r="AQ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Q420*AQ$78)</f>
        <v>0</v>
      </c>
      <c r="AR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R420*AR$78)</f>
        <v>0</v>
      </c>
      <c r="AS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S420*AS$78)</f>
        <v>0</v>
      </c>
      <c r="AT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T420*AT$78)</f>
        <v>0</v>
      </c>
      <c r="AU630" s="652">
        <f>IF($B630="",,IF(LEFT($H630,5)="dummy",SUMIFS(AvgCommission[avg_commission],AvgCommission[job_title],$H630),SUMIFS(AvgCommission[avg_commission],AvgCommission[exp_item],$J630,AvgCommission[company_name],$B630,AvgCommission[bu_name],$C630,AvgCommission[dept_name],$D630,AvgCommission[team_consolidation],$K630,AvgCommission[location_name],$G630,AvgCommission[job_title],$H630))*AU420*AU$78)</f>
        <v>0</v>
      </c>
    </row>
    <row r="631" spans="2:47" x14ac:dyDescent="0.35">
      <c r="B631" t="str">
        <f t="shared" si="403"/>
        <v/>
      </c>
      <c r="C631" t="str">
        <f t="shared" si="403"/>
        <v/>
      </c>
      <c r="D631" t="str">
        <f t="shared" si="403"/>
        <v/>
      </c>
      <c r="E631" t="str">
        <f t="shared" si="403"/>
        <v/>
      </c>
      <c r="F631" t="str">
        <f t="shared" si="403"/>
        <v/>
      </c>
      <c r="G631" t="str">
        <f t="shared" si="403"/>
        <v/>
      </c>
      <c r="H631" t="str">
        <f t="shared" si="401"/>
        <v/>
      </c>
      <c r="J631" t="str">
        <f>IF($H631="","",IF(VLOOKUP($B$605,ExpItems[],2,0),$B$605&amp;" - "&amp;INDEX(DivisionMapping[category_code],MATCH($D631&amp;$C631,DivisionMapping[dept_bu],0)),$B$605))</f>
        <v/>
      </c>
      <c r="K631" t="str">
        <f t="shared" si="402"/>
        <v/>
      </c>
      <c r="L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L421*L$78)</f>
        <v>0</v>
      </c>
      <c r="M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M421*M$78)</f>
        <v>0</v>
      </c>
      <c r="N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N421*N$78)</f>
        <v>0</v>
      </c>
      <c r="O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O421*O$78)</f>
        <v>0</v>
      </c>
      <c r="P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P421*P$78)</f>
        <v>0</v>
      </c>
      <c r="Q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Q421*Q$78)</f>
        <v>0</v>
      </c>
      <c r="R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R421*R$78)</f>
        <v>0</v>
      </c>
      <c r="S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S421*S$78)</f>
        <v>0</v>
      </c>
      <c r="T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T421*T$78)</f>
        <v>0</v>
      </c>
      <c r="U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U421*U$78)</f>
        <v>0</v>
      </c>
      <c r="V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V421*V$78)</f>
        <v>0</v>
      </c>
      <c r="W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W421*W$78)</f>
        <v>0</v>
      </c>
      <c r="X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X421*X$78)</f>
        <v>0</v>
      </c>
      <c r="Y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Y421*Y$78)</f>
        <v>0</v>
      </c>
      <c r="Z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Z421*Z$78)</f>
        <v>0</v>
      </c>
      <c r="AA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A421*AA$78)</f>
        <v>0</v>
      </c>
      <c r="AB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B421*AB$78)</f>
        <v>0</v>
      </c>
      <c r="AC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C421*AC$78)</f>
        <v>0</v>
      </c>
      <c r="AD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D421*AD$78)</f>
        <v>0</v>
      </c>
      <c r="AE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E421*AE$78)</f>
        <v>0</v>
      </c>
      <c r="AF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F421*AF$78)</f>
        <v>0</v>
      </c>
      <c r="AG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G421*AG$78)</f>
        <v>0</v>
      </c>
      <c r="AH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H421*AH$78)</f>
        <v>0</v>
      </c>
      <c r="AI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I421*AI$78)</f>
        <v>0</v>
      </c>
      <c r="AJ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J421*AJ$78)</f>
        <v>0</v>
      </c>
      <c r="AK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K421*AK$78)</f>
        <v>0</v>
      </c>
      <c r="AL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L421*AL$78)</f>
        <v>0</v>
      </c>
      <c r="AM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M421*AM$78)</f>
        <v>0</v>
      </c>
      <c r="AN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N421*AN$78)</f>
        <v>0</v>
      </c>
      <c r="AO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O421*AO$78)</f>
        <v>0</v>
      </c>
      <c r="AP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P421*AP$78)</f>
        <v>0</v>
      </c>
      <c r="AQ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Q421*AQ$78)</f>
        <v>0</v>
      </c>
      <c r="AR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R421*AR$78)</f>
        <v>0</v>
      </c>
      <c r="AS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S421*AS$78)</f>
        <v>0</v>
      </c>
      <c r="AT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T421*AT$78)</f>
        <v>0</v>
      </c>
      <c r="AU631" s="652">
        <f>IF($B631="",,IF(LEFT($H631,5)="dummy",SUMIFS(AvgCommission[avg_commission],AvgCommission[job_title],$H631),SUMIFS(AvgCommission[avg_commission],AvgCommission[exp_item],$J631,AvgCommission[company_name],$B631,AvgCommission[bu_name],$C631,AvgCommission[dept_name],$D631,AvgCommission[team_consolidation],$K631,AvgCommission[location_name],$G631,AvgCommission[job_title],$H631))*AU421*AU$78)</f>
        <v>0</v>
      </c>
    </row>
    <row r="632" spans="2:47" x14ac:dyDescent="0.35">
      <c r="B632" t="str">
        <f t="shared" si="403"/>
        <v/>
      </c>
      <c r="C632" t="str">
        <f t="shared" si="403"/>
        <v/>
      </c>
      <c r="D632" t="str">
        <f t="shared" si="403"/>
        <v/>
      </c>
      <c r="E632" t="str">
        <f t="shared" si="403"/>
        <v/>
      </c>
      <c r="F632" t="str">
        <f t="shared" si="403"/>
        <v/>
      </c>
      <c r="G632" t="str">
        <f t="shared" si="403"/>
        <v/>
      </c>
      <c r="H632" t="str">
        <f t="shared" si="401"/>
        <v/>
      </c>
      <c r="J632" t="str">
        <f>IF($H632="","",IF(VLOOKUP($B$605,ExpItems[],2,0),$B$605&amp;" - "&amp;INDEX(DivisionMapping[category_code],MATCH($D632&amp;$C632,DivisionMapping[dept_bu],0)),$B$605))</f>
        <v/>
      </c>
      <c r="K632" t="str">
        <f t="shared" si="402"/>
        <v/>
      </c>
      <c r="L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L422*L$78)</f>
        <v>0</v>
      </c>
      <c r="M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M422*M$78)</f>
        <v>0</v>
      </c>
      <c r="N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N422*N$78)</f>
        <v>0</v>
      </c>
      <c r="O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O422*O$78)</f>
        <v>0</v>
      </c>
      <c r="P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P422*P$78)</f>
        <v>0</v>
      </c>
      <c r="Q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Q422*Q$78)</f>
        <v>0</v>
      </c>
      <c r="R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R422*R$78)</f>
        <v>0</v>
      </c>
      <c r="S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S422*S$78)</f>
        <v>0</v>
      </c>
      <c r="T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T422*T$78)</f>
        <v>0</v>
      </c>
      <c r="U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U422*U$78)</f>
        <v>0</v>
      </c>
      <c r="V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V422*V$78)</f>
        <v>0</v>
      </c>
      <c r="W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W422*W$78)</f>
        <v>0</v>
      </c>
      <c r="X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X422*X$78)</f>
        <v>0</v>
      </c>
      <c r="Y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Y422*Y$78)</f>
        <v>0</v>
      </c>
      <c r="Z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Z422*Z$78)</f>
        <v>0</v>
      </c>
      <c r="AA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A422*AA$78)</f>
        <v>0</v>
      </c>
      <c r="AB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B422*AB$78)</f>
        <v>0</v>
      </c>
      <c r="AC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C422*AC$78)</f>
        <v>0</v>
      </c>
      <c r="AD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D422*AD$78)</f>
        <v>0</v>
      </c>
      <c r="AE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E422*AE$78)</f>
        <v>0</v>
      </c>
      <c r="AF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F422*AF$78)</f>
        <v>0</v>
      </c>
      <c r="AG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G422*AG$78)</f>
        <v>0</v>
      </c>
      <c r="AH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H422*AH$78)</f>
        <v>0</v>
      </c>
      <c r="AI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I422*AI$78)</f>
        <v>0</v>
      </c>
      <c r="AJ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J422*AJ$78)</f>
        <v>0</v>
      </c>
      <c r="AK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K422*AK$78)</f>
        <v>0</v>
      </c>
      <c r="AL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L422*AL$78)</f>
        <v>0</v>
      </c>
      <c r="AM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M422*AM$78)</f>
        <v>0</v>
      </c>
      <c r="AN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N422*AN$78)</f>
        <v>0</v>
      </c>
      <c r="AO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O422*AO$78)</f>
        <v>0</v>
      </c>
      <c r="AP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P422*AP$78)</f>
        <v>0</v>
      </c>
      <c r="AQ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Q422*AQ$78)</f>
        <v>0</v>
      </c>
      <c r="AR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R422*AR$78)</f>
        <v>0</v>
      </c>
      <c r="AS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S422*AS$78)</f>
        <v>0</v>
      </c>
      <c r="AT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T422*AT$78)</f>
        <v>0</v>
      </c>
      <c r="AU632" s="652">
        <f>IF($B632="",,IF(LEFT($H632,5)="dummy",SUMIFS(AvgCommission[avg_commission],AvgCommission[job_title],$H632),SUMIFS(AvgCommission[avg_commission],AvgCommission[exp_item],$J632,AvgCommission[company_name],$B632,AvgCommission[bu_name],$C632,AvgCommission[dept_name],$D632,AvgCommission[team_consolidation],$K632,AvgCommission[location_name],$G632,AvgCommission[job_title],$H632))*AU422*AU$78)</f>
        <v>0</v>
      </c>
    </row>
    <row r="633" spans="2:47" x14ac:dyDescent="0.35">
      <c r="B633" t="str">
        <f t="shared" si="403"/>
        <v/>
      </c>
      <c r="C633" t="str">
        <f t="shared" si="403"/>
        <v/>
      </c>
      <c r="D633" t="str">
        <f t="shared" si="403"/>
        <v/>
      </c>
      <c r="E633" t="str">
        <f t="shared" si="403"/>
        <v/>
      </c>
      <c r="F633" t="str">
        <f t="shared" si="403"/>
        <v/>
      </c>
      <c r="G633" t="str">
        <f t="shared" si="403"/>
        <v/>
      </c>
      <c r="H633" t="str">
        <f t="shared" si="401"/>
        <v/>
      </c>
      <c r="J633" t="str">
        <f>IF($H633="","",IF(VLOOKUP($B$605,ExpItems[],2,0),$B$605&amp;" - "&amp;INDEX(DivisionMapping[category_code],MATCH($D633&amp;$C633,DivisionMapping[dept_bu],0)),$B$605))</f>
        <v/>
      </c>
      <c r="K633" t="str">
        <f t="shared" si="402"/>
        <v/>
      </c>
      <c r="L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L423*L$78)</f>
        <v>0</v>
      </c>
      <c r="M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M423*M$78)</f>
        <v>0</v>
      </c>
      <c r="N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N423*N$78)</f>
        <v>0</v>
      </c>
      <c r="O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O423*O$78)</f>
        <v>0</v>
      </c>
      <c r="P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P423*P$78)</f>
        <v>0</v>
      </c>
      <c r="Q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Q423*Q$78)</f>
        <v>0</v>
      </c>
      <c r="R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R423*R$78)</f>
        <v>0</v>
      </c>
      <c r="S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S423*S$78)</f>
        <v>0</v>
      </c>
      <c r="T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T423*T$78)</f>
        <v>0</v>
      </c>
      <c r="U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U423*U$78)</f>
        <v>0</v>
      </c>
      <c r="V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V423*V$78)</f>
        <v>0</v>
      </c>
      <c r="W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W423*W$78)</f>
        <v>0</v>
      </c>
      <c r="X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X423*X$78)</f>
        <v>0</v>
      </c>
      <c r="Y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Y423*Y$78)</f>
        <v>0</v>
      </c>
      <c r="Z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Z423*Z$78)</f>
        <v>0</v>
      </c>
      <c r="AA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A423*AA$78)</f>
        <v>0</v>
      </c>
      <c r="AB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B423*AB$78)</f>
        <v>0</v>
      </c>
      <c r="AC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C423*AC$78)</f>
        <v>0</v>
      </c>
      <c r="AD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D423*AD$78)</f>
        <v>0</v>
      </c>
      <c r="AE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E423*AE$78)</f>
        <v>0</v>
      </c>
      <c r="AF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F423*AF$78)</f>
        <v>0</v>
      </c>
      <c r="AG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G423*AG$78)</f>
        <v>0</v>
      </c>
      <c r="AH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H423*AH$78)</f>
        <v>0</v>
      </c>
      <c r="AI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I423*AI$78)</f>
        <v>0</v>
      </c>
      <c r="AJ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J423*AJ$78)</f>
        <v>0</v>
      </c>
      <c r="AK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K423*AK$78)</f>
        <v>0</v>
      </c>
      <c r="AL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L423*AL$78)</f>
        <v>0</v>
      </c>
      <c r="AM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M423*AM$78)</f>
        <v>0</v>
      </c>
      <c r="AN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N423*AN$78)</f>
        <v>0</v>
      </c>
      <c r="AO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O423*AO$78)</f>
        <v>0</v>
      </c>
      <c r="AP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P423*AP$78)</f>
        <v>0</v>
      </c>
      <c r="AQ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Q423*AQ$78)</f>
        <v>0</v>
      </c>
      <c r="AR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R423*AR$78)</f>
        <v>0</v>
      </c>
      <c r="AS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S423*AS$78)</f>
        <v>0</v>
      </c>
      <c r="AT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T423*AT$78)</f>
        <v>0</v>
      </c>
      <c r="AU633" s="652">
        <f>IF($B633="",,IF(LEFT($H633,5)="dummy",SUMIFS(AvgCommission[avg_commission],AvgCommission[job_title],$H633),SUMIFS(AvgCommission[avg_commission],AvgCommission[exp_item],$J633,AvgCommission[company_name],$B633,AvgCommission[bu_name],$C633,AvgCommission[dept_name],$D633,AvgCommission[team_consolidation],$K633,AvgCommission[location_name],$G633,AvgCommission[job_title],$H633))*AU423*AU$78)</f>
        <v>0</v>
      </c>
    </row>
    <row r="634" spans="2:47" x14ac:dyDescent="0.35">
      <c r="B634" t="str">
        <f t="shared" si="403"/>
        <v/>
      </c>
      <c r="C634" t="str">
        <f t="shared" si="403"/>
        <v/>
      </c>
      <c r="D634" t="str">
        <f t="shared" si="403"/>
        <v/>
      </c>
      <c r="E634" t="str">
        <f t="shared" si="403"/>
        <v/>
      </c>
      <c r="F634" t="str">
        <f t="shared" si="403"/>
        <v/>
      </c>
      <c r="G634" t="str">
        <f t="shared" si="403"/>
        <v/>
      </c>
      <c r="H634" t="str">
        <f t="shared" si="401"/>
        <v/>
      </c>
      <c r="J634" t="str">
        <f>IF($H634="","",IF(VLOOKUP($B$605,ExpItems[],2,0),$B$605&amp;" - "&amp;INDEX(DivisionMapping[category_code],MATCH($D634&amp;$C634,DivisionMapping[dept_bu],0)),$B$605))</f>
        <v/>
      </c>
      <c r="K634" t="str">
        <f t="shared" si="402"/>
        <v/>
      </c>
      <c r="L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L424*L$78)</f>
        <v>0</v>
      </c>
      <c r="M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M424*M$78)</f>
        <v>0</v>
      </c>
      <c r="N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N424*N$78)</f>
        <v>0</v>
      </c>
      <c r="O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O424*O$78)</f>
        <v>0</v>
      </c>
      <c r="P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P424*P$78)</f>
        <v>0</v>
      </c>
      <c r="Q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Q424*Q$78)</f>
        <v>0</v>
      </c>
      <c r="R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R424*R$78)</f>
        <v>0</v>
      </c>
      <c r="S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S424*S$78)</f>
        <v>0</v>
      </c>
      <c r="T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T424*T$78)</f>
        <v>0</v>
      </c>
      <c r="U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U424*U$78)</f>
        <v>0</v>
      </c>
      <c r="V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V424*V$78)</f>
        <v>0</v>
      </c>
      <c r="W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W424*W$78)</f>
        <v>0</v>
      </c>
      <c r="X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X424*X$78)</f>
        <v>0</v>
      </c>
      <c r="Y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Y424*Y$78)</f>
        <v>0</v>
      </c>
      <c r="Z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Z424*Z$78)</f>
        <v>0</v>
      </c>
      <c r="AA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A424*AA$78)</f>
        <v>0</v>
      </c>
      <c r="AB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B424*AB$78)</f>
        <v>0</v>
      </c>
      <c r="AC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C424*AC$78)</f>
        <v>0</v>
      </c>
      <c r="AD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D424*AD$78)</f>
        <v>0</v>
      </c>
      <c r="AE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E424*AE$78)</f>
        <v>0</v>
      </c>
      <c r="AF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F424*AF$78)</f>
        <v>0</v>
      </c>
      <c r="AG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G424*AG$78)</f>
        <v>0</v>
      </c>
      <c r="AH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H424*AH$78)</f>
        <v>0</v>
      </c>
      <c r="AI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I424*AI$78)</f>
        <v>0</v>
      </c>
      <c r="AJ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J424*AJ$78)</f>
        <v>0</v>
      </c>
      <c r="AK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K424*AK$78)</f>
        <v>0</v>
      </c>
      <c r="AL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L424*AL$78)</f>
        <v>0</v>
      </c>
      <c r="AM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M424*AM$78)</f>
        <v>0</v>
      </c>
      <c r="AN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N424*AN$78)</f>
        <v>0</v>
      </c>
      <c r="AO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O424*AO$78)</f>
        <v>0</v>
      </c>
      <c r="AP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P424*AP$78)</f>
        <v>0</v>
      </c>
      <c r="AQ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Q424*AQ$78)</f>
        <v>0</v>
      </c>
      <c r="AR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R424*AR$78)</f>
        <v>0</v>
      </c>
      <c r="AS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S424*AS$78)</f>
        <v>0</v>
      </c>
      <c r="AT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T424*AT$78)</f>
        <v>0</v>
      </c>
      <c r="AU634" s="652">
        <f>IF($B634="",,IF(LEFT($H634,5)="dummy",SUMIFS(AvgCommission[avg_commission],AvgCommission[job_title],$H634),SUMIFS(AvgCommission[avg_commission],AvgCommission[exp_item],$J634,AvgCommission[company_name],$B634,AvgCommission[bu_name],$C634,AvgCommission[dept_name],$D634,AvgCommission[team_consolidation],$K634,AvgCommission[location_name],$G634,AvgCommission[job_title],$H634))*AU424*AU$78)</f>
        <v>0</v>
      </c>
    </row>
    <row r="635" spans="2:47" x14ac:dyDescent="0.35">
      <c r="B635" t="str">
        <f t="shared" si="403"/>
        <v/>
      </c>
      <c r="C635" t="str">
        <f t="shared" si="403"/>
        <v/>
      </c>
      <c r="D635" t="str">
        <f t="shared" si="403"/>
        <v/>
      </c>
      <c r="E635" t="str">
        <f t="shared" si="403"/>
        <v/>
      </c>
      <c r="F635" t="str">
        <f t="shared" si="403"/>
        <v/>
      </c>
      <c r="G635" t="str">
        <f t="shared" si="403"/>
        <v/>
      </c>
      <c r="H635" t="str">
        <f t="shared" si="401"/>
        <v/>
      </c>
      <c r="J635" t="str">
        <f>IF($H635="","",IF(VLOOKUP($B$605,ExpItems[],2,0),$B$605&amp;" - "&amp;INDEX(DivisionMapping[category_code],MATCH($D635&amp;$C635,DivisionMapping[dept_bu],0)),$B$605))</f>
        <v/>
      </c>
      <c r="K635" t="str">
        <f t="shared" si="402"/>
        <v/>
      </c>
      <c r="L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L425*L$78)</f>
        <v>0</v>
      </c>
      <c r="M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M425*M$78)</f>
        <v>0</v>
      </c>
      <c r="N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N425*N$78)</f>
        <v>0</v>
      </c>
      <c r="O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O425*O$78)</f>
        <v>0</v>
      </c>
      <c r="P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P425*P$78)</f>
        <v>0</v>
      </c>
      <c r="Q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Q425*Q$78)</f>
        <v>0</v>
      </c>
      <c r="R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R425*R$78)</f>
        <v>0</v>
      </c>
      <c r="S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S425*S$78)</f>
        <v>0</v>
      </c>
      <c r="T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T425*T$78)</f>
        <v>0</v>
      </c>
      <c r="U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U425*U$78)</f>
        <v>0</v>
      </c>
      <c r="V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V425*V$78)</f>
        <v>0</v>
      </c>
      <c r="W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W425*W$78)</f>
        <v>0</v>
      </c>
      <c r="X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X425*X$78)</f>
        <v>0</v>
      </c>
      <c r="Y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Y425*Y$78)</f>
        <v>0</v>
      </c>
      <c r="Z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Z425*Z$78)</f>
        <v>0</v>
      </c>
      <c r="AA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A425*AA$78)</f>
        <v>0</v>
      </c>
      <c r="AB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B425*AB$78)</f>
        <v>0</v>
      </c>
      <c r="AC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C425*AC$78)</f>
        <v>0</v>
      </c>
      <c r="AD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D425*AD$78)</f>
        <v>0</v>
      </c>
      <c r="AE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E425*AE$78)</f>
        <v>0</v>
      </c>
      <c r="AF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F425*AF$78)</f>
        <v>0</v>
      </c>
      <c r="AG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G425*AG$78)</f>
        <v>0</v>
      </c>
      <c r="AH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H425*AH$78)</f>
        <v>0</v>
      </c>
      <c r="AI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I425*AI$78)</f>
        <v>0</v>
      </c>
      <c r="AJ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J425*AJ$78)</f>
        <v>0</v>
      </c>
      <c r="AK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K425*AK$78)</f>
        <v>0</v>
      </c>
      <c r="AL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L425*AL$78)</f>
        <v>0</v>
      </c>
      <c r="AM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M425*AM$78)</f>
        <v>0</v>
      </c>
      <c r="AN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N425*AN$78)</f>
        <v>0</v>
      </c>
      <c r="AO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O425*AO$78)</f>
        <v>0</v>
      </c>
      <c r="AP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P425*AP$78)</f>
        <v>0</v>
      </c>
      <c r="AQ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Q425*AQ$78)</f>
        <v>0</v>
      </c>
      <c r="AR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R425*AR$78)</f>
        <v>0</v>
      </c>
      <c r="AS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S425*AS$78)</f>
        <v>0</v>
      </c>
      <c r="AT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T425*AT$78)</f>
        <v>0</v>
      </c>
      <c r="AU635" s="652">
        <f>IF($B635="",,IF(LEFT($H635,5)="dummy",SUMIFS(AvgCommission[avg_commission],AvgCommission[job_title],$H635),SUMIFS(AvgCommission[avg_commission],AvgCommission[exp_item],$J635,AvgCommission[company_name],$B635,AvgCommission[bu_name],$C635,AvgCommission[dept_name],$D635,AvgCommission[team_consolidation],$K635,AvgCommission[location_name],$G635,AvgCommission[job_title],$H635))*AU425*AU$78)</f>
        <v>0</v>
      </c>
    </row>
    <row r="636" spans="2:47" x14ac:dyDescent="0.35">
      <c r="B636" t="str">
        <f t="shared" si="403"/>
        <v/>
      </c>
      <c r="C636" t="str">
        <f t="shared" si="403"/>
        <v/>
      </c>
      <c r="D636" t="str">
        <f t="shared" si="403"/>
        <v/>
      </c>
      <c r="E636" t="str">
        <f t="shared" si="403"/>
        <v/>
      </c>
      <c r="F636" t="str">
        <f t="shared" si="403"/>
        <v/>
      </c>
      <c r="G636" t="str">
        <f t="shared" si="403"/>
        <v/>
      </c>
      <c r="H636" t="str">
        <f t="shared" si="401"/>
        <v/>
      </c>
      <c r="J636" t="str">
        <f>IF($H636="","",IF(VLOOKUP($B$605,ExpItems[],2,0),$B$605&amp;" - "&amp;INDEX(DivisionMapping[category_code],MATCH($D636&amp;$C636,DivisionMapping[dept_bu],0)),$B$605))</f>
        <v/>
      </c>
      <c r="K636" t="str">
        <f t="shared" si="402"/>
        <v/>
      </c>
      <c r="L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L426*L$78)</f>
        <v>0</v>
      </c>
      <c r="M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M426*M$78)</f>
        <v>0</v>
      </c>
      <c r="N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N426*N$78)</f>
        <v>0</v>
      </c>
      <c r="O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O426*O$78)</f>
        <v>0</v>
      </c>
      <c r="P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P426*P$78)</f>
        <v>0</v>
      </c>
      <c r="Q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Q426*Q$78)</f>
        <v>0</v>
      </c>
      <c r="R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R426*R$78)</f>
        <v>0</v>
      </c>
      <c r="S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S426*S$78)</f>
        <v>0</v>
      </c>
      <c r="T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T426*T$78)</f>
        <v>0</v>
      </c>
      <c r="U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U426*U$78)</f>
        <v>0</v>
      </c>
      <c r="V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V426*V$78)</f>
        <v>0</v>
      </c>
      <c r="W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W426*W$78)</f>
        <v>0</v>
      </c>
      <c r="X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X426*X$78)</f>
        <v>0</v>
      </c>
      <c r="Y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Y426*Y$78)</f>
        <v>0</v>
      </c>
      <c r="Z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Z426*Z$78)</f>
        <v>0</v>
      </c>
      <c r="AA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A426*AA$78)</f>
        <v>0</v>
      </c>
      <c r="AB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B426*AB$78)</f>
        <v>0</v>
      </c>
      <c r="AC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C426*AC$78)</f>
        <v>0</v>
      </c>
      <c r="AD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D426*AD$78)</f>
        <v>0</v>
      </c>
      <c r="AE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E426*AE$78)</f>
        <v>0</v>
      </c>
      <c r="AF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F426*AF$78)</f>
        <v>0</v>
      </c>
      <c r="AG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G426*AG$78)</f>
        <v>0</v>
      </c>
      <c r="AH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H426*AH$78)</f>
        <v>0</v>
      </c>
      <c r="AI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I426*AI$78)</f>
        <v>0</v>
      </c>
      <c r="AJ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J426*AJ$78)</f>
        <v>0</v>
      </c>
      <c r="AK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K426*AK$78)</f>
        <v>0</v>
      </c>
      <c r="AL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L426*AL$78)</f>
        <v>0</v>
      </c>
      <c r="AM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M426*AM$78)</f>
        <v>0</v>
      </c>
      <c r="AN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N426*AN$78)</f>
        <v>0</v>
      </c>
      <c r="AO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O426*AO$78)</f>
        <v>0</v>
      </c>
      <c r="AP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P426*AP$78)</f>
        <v>0</v>
      </c>
      <c r="AQ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Q426*AQ$78)</f>
        <v>0</v>
      </c>
      <c r="AR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R426*AR$78)</f>
        <v>0</v>
      </c>
      <c r="AS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S426*AS$78)</f>
        <v>0</v>
      </c>
      <c r="AT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T426*AT$78)</f>
        <v>0</v>
      </c>
      <c r="AU636" s="652">
        <f>IF($B636="",,IF(LEFT($H636,5)="dummy",SUMIFS(AvgCommission[avg_commission],AvgCommission[job_title],$H636),SUMIFS(AvgCommission[avg_commission],AvgCommission[exp_item],$J636,AvgCommission[company_name],$B636,AvgCommission[bu_name],$C636,AvgCommission[dept_name],$D636,AvgCommission[team_consolidation],$K636,AvgCommission[location_name],$G636,AvgCommission[job_title],$H636))*AU426*AU$78)</f>
        <v>0</v>
      </c>
    </row>
    <row r="637" spans="2:47" x14ac:dyDescent="0.35">
      <c r="B637" t="str">
        <f t="shared" si="403"/>
        <v/>
      </c>
      <c r="C637" t="str">
        <f t="shared" si="403"/>
        <v/>
      </c>
      <c r="D637" t="str">
        <f t="shared" si="403"/>
        <v/>
      </c>
      <c r="E637" t="str">
        <f t="shared" si="403"/>
        <v/>
      </c>
      <c r="F637" t="str">
        <f t="shared" si="403"/>
        <v/>
      </c>
      <c r="G637" t="str">
        <f t="shared" si="403"/>
        <v/>
      </c>
      <c r="H637" t="str">
        <f t="shared" si="401"/>
        <v/>
      </c>
      <c r="J637" t="str">
        <f>IF($H637="","",IF(VLOOKUP($B$605,ExpItems[],2,0),$B$605&amp;" - "&amp;INDEX(DivisionMapping[category_code],MATCH($D637&amp;$C637,DivisionMapping[dept_bu],0)),$B$605))</f>
        <v/>
      </c>
      <c r="K637" t="str">
        <f t="shared" si="402"/>
        <v/>
      </c>
      <c r="L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L427*L$78)</f>
        <v>0</v>
      </c>
      <c r="M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M427*M$78)</f>
        <v>0</v>
      </c>
      <c r="N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N427*N$78)</f>
        <v>0</v>
      </c>
      <c r="O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O427*O$78)</f>
        <v>0</v>
      </c>
      <c r="P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P427*P$78)</f>
        <v>0</v>
      </c>
      <c r="Q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Q427*Q$78)</f>
        <v>0</v>
      </c>
      <c r="R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R427*R$78)</f>
        <v>0</v>
      </c>
      <c r="S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S427*S$78)</f>
        <v>0</v>
      </c>
      <c r="T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T427*T$78)</f>
        <v>0</v>
      </c>
      <c r="U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U427*U$78)</f>
        <v>0</v>
      </c>
      <c r="V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V427*V$78)</f>
        <v>0</v>
      </c>
      <c r="W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W427*W$78)</f>
        <v>0</v>
      </c>
      <c r="X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X427*X$78)</f>
        <v>0</v>
      </c>
      <c r="Y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Y427*Y$78)</f>
        <v>0</v>
      </c>
      <c r="Z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Z427*Z$78)</f>
        <v>0</v>
      </c>
      <c r="AA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A427*AA$78)</f>
        <v>0</v>
      </c>
      <c r="AB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B427*AB$78)</f>
        <v>0</v>
      </c>
      <c r="AC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C427*AC$78)</f>
        <v>0</v>
      </c>
      <c r="AD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D427*AD$78)</f>
        <v>0</v>
      </c>
      <c r="AE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E427*AE$78)</f>
        <v>0</v>
      </c>
      <c r="AF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F427*AF$78)</f>
        <v>0</v>
      </c>
      <c r="AG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G427*AG$78)</f>
        <v>0</v>
      </c>
      <c r="AH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H427*AH$78)</f>
        <v>0</v>
      </c>
      <c r="AI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I427*AI$78)</f>
        <v>0</v>
      </c>
      <c r="AJ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J427*AJ$78)</f>
        <v>0</v>
      </c>
      <c r="AK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K427*AK$78)</f>
        <v>0</v>
      </c>
      <c r="AL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L427*AL$78)</f>
        <v>0</v>
      </c>
      <c r="AM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M427*AM$78)</f>
        <v>0</v>
      </c>
      <c r="AN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N427*AN$78)</f>
        <v>0</v>
      </c>
      <c r="AO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O427*AO$78)</f>
        <v>0</v>
      </c>
      <c r="AP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P427*AP$78)</f>
        <v>0</v>
      </c>
      <c r="AQ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Q427*AQ$78)</f>
        <v>0</v>
      </c>
      <c r="AR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R427*AR$78)</f>
        <v>0</v>
      </c>
      <c r="AS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S427*AS$78)</f>
        <v>0</v>
      </c>
      <c r="AT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T427*AT$78)</f>
        <v>0</v>
      </c>
      <c r="AU637" s="652">
        <f>IF($B637="",,IF(LEFT($H637,5)="dummy",SUMIFS(AvgCommission[avg_commission],AvgCommission[job_title],$H637),SUMIFS(AvgCommission[avg_commission],AvgCommission[exp_item],$J637,AvgCommission[company_name],$B637,AvgCommission[bu_name],$C637,AvgCommission[dept_name],$D637,AvgCommission[team_consolidation],$K637,AvgCommission[location_name],$G637,AvgCommission[job_title],$H637))*AU427*AU$78)</f>
        <v>0</v>
      </c>
    </row>
    <row r="638" spans="2:47" x14ac:dyDescent="0.35">
      <c r="B638" t="str">
        <f t="shared" ref="B638:G653" si="404">IF(B533="","",B533)</f>
        <v/>
      </c>
      <c r="C638" t="str">
        <f t="shared" si="404"/>
        <v/>
      </c>
      <c r="D638" t="str">
        <f t="shared" si="404"/>
        <v/>
      </c>
      <c r="E638" t="str">
        <f t="shared" si="404"/>
        <v/>
      </c>
      <c r="F638" t="str">
        <f t="shared" si="404"/>
        <v/>
      </c>
      <c r="G638" t="str">
        <f t="shared" si="404"/>
        <v/>
      </c>
      <c r="H638" t="str">
        <f t="shared" ref="H638:H669" si="405">IF(H323="","",H323)</f>
        <v/>
      </c>
      <c r="J638" t="str">
        <f>IF($H638="","",IF(VLOOKUP($B$605,ExpItems[],2,0),$B$605&amp;" - "&amp;INDEX(DivisionMapping[category_code],MATCH($D638&amp;$C638,DivisionMapping[dept_bu],0)),$B$605))</f>
        <v/>
      </c>
      <c r="K638" t="str">
        <f t="shared" si="402"/>
        <v/>
      </c>
      <c r="L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L428*L$78)</f>
        <v>0</v>
      </c>
      <c r="M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M428*M$78)</f>
        <v>0</v>
      </c>
      <c r="N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N428*N$78)</f>
        <v>0</v>
      </c>
      <c r="O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O428*O$78)</f>
        <v>0</v>
      </c>
      <c r="P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P428*P$78)</f>
        <v>0</v>
      </c>
      <c r="Q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Q428*Q$78)</f>
        <v>0</v>
      </c>
      <c r="R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R428*R$78)</f>
        <v>0</v>
      </c>
      <c r="S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S428*S$78)</f>
        <v>0</v>
      </c>
      <c r="T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T428*T$78)</f>
        <v>0</v>
      </c>
      <c r="U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U428*U$78)</f>
        <v>0</v>
      </c>
      <c r="V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V428*V$78)</f>
        <v>0</v>
      </c>
      <c r="W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W428*W$78)</f>
        <v>0</v>
      </c>
      <c r="X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X428*X$78)</f>
        <v>0</v>
      </c>
      <c r="Y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Y428*Y$78)</f>
        <v>0</v>
      </c>
      <c r="Z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Z428*Z$78)</f>
        <v>0</v>
      </c>
      <c r="AA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A428*AA$78)</f>
        <v>0</v>
      </c>
      <c r="AB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B428*AB$78)</f>
        <v>0</v>
      </c>
      <c r="AC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C428*AC$78)</f>
        <v>0</v>
      </c>
      <c r="AD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D428*AD$78)</f>
        <v>0</v>
      </c>
      <c r="AE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E428*AE$78)</f>
        <v>0</v>
      </c>
      <c r="AF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F428*AF$78)</f>
        <v>0</v>
      </c>
      <c r="AG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G428*AG$78)</f>
        <v>0</v>
      </c>
      <c r="AH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H428*AH$78)</f>
        <v>0</v>
      </c>
      <c r="AI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I428*AI$78)</f>
        <v>0</v>
      </c>
      <c r="AJ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J428*AJ$78)</f>
        <v>0</v>
      </c>
      <c r="AK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K428*AK$78)</f>
        <v>0</v>
      </c>
      <c r="AL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L428*AL$78)</f>
        <v>0</v>
      </c>
      <c r="AM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M428*AM$78)</f>
        <v>0</v>
      </c>
      <c r="AN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N428*AN$78)</f>
        <v>0</v>
      </c>
      <c r="AO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O428*AO$78)</f>
        <v>0</v>
      </c>
      <c r="AP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P428*AP$78)</f>
        <v>0</v>
      </c>
      <c r="AQ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Q428*AQ$78)</f>
        <v>0</v>
      </c>
      <c r="AR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R428*AR$78)</f>
        <v>0</v>
      </c>
      <c r="AS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S428*AS$78)</f>
        <v>0</v>
      </c>
      <c r="AT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T428*AT$78)</f>
        <v>0</v>
      </c>
      <c r="AU638" s="652">
        <f>IF($B638="",,IF(LEFT($H638,5)="dummy",SUMIFS(AvgCommission[avg_commission],AvgCommission[job_title],$H638),SUMIFS(AvgCommission[avg_commission],AvgCommission[exp_item],$J638,AvgCommission[company_name],$B638,AvgCommission[bu_name],$C638,AvgCommission[dept_name],$D638,AvgCommission[team_consolidation],$K638,AvgCommission[location_name],$G638,AvgCommission[job_title],$H638))*AU428*AU$78)</f>
        <v>0</v>
      </c>
    </row>
    <row r="639" spans="2:47" x14ac:dyDescent="0.35">
      <c r="B639" t="str">
        <f t="shared" si="404"/>
        <v/>
      </c>
      <c r="C639" t="str">
        <f t="shared" si="404"/>
        <v/>
      </c>
      <c r="D639" t="str">
        <f t="shared" si="404"/>
        <v/>
      </c>
      <c r="E639" t="str">
        <f t="shared" si="404"/>
        <v/>
      </c>
      <c r="F639" t="str">
        <f t="shared" si="404"/>
        <v/>
      </c>
      <c r="G639" t="str">
        <f t="shared" si="404"/>
        <v/>
      </c>
      <c r="H639" t="str">
        <f t="shared" si="405"/>
        <v/>
      </c>
      <c r="J639" t="str">
        <f>IF($H639="","",IF(VLOOKUP($B$605,ExpItems[],2,0),$B$605&amp;" - "&amp;INDEX(DivisionMapping[category_code],MATCH($D639&amp;$C639,DivisionMapping[dept_bu],0)),$B$605))</f>
        <v/>
      </c>
      <c r="K639" t="str">
        <f t="shared" si="402"/>
        <v/>
      </c>
      <c r="L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L429*L$78)</f>
        <v>0</v>
      </c>
      <c r="M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M429*M$78)</f>
        <v>0</v>
      </c>
      <c r="N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N429*N$78)</f>
        <v>0</v>
      </c>
      <c r="O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O429*O$78)</f>
        <v>0</v>
      </c>
      <c r="P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P429*P$78)</f>
        <v>0</v>
      </c>
      <c r="Q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Q429*Q$78)</f>
        <v>0</v>
      </c>
      <c r="R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R429*R$78)</f>
        <v>0</v>
      </c>
      <c r="S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S429*S$78)</f>
        <v>0</v>
      </c>
      <c r="T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T429*T$78)</f>
        <v>0</v>
      </c>
      <c r="U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U429*U$78)</f>
        <v>0</v>
      </c>
      <c r="V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V429*V$78)</f>
        <v>0</v>
      </c>
      <c r="W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W429*W$78)</f>
        <v>0</v>
      </c>
      <c r="X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X429*X$78)</f>
        <v>0</v>
      </c>
      <c r="Y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Y429*Y$78)</f>
        <v>0</v>
      </c>
      <c r="Z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Z429*Z$78)</f>
        <v>0</v>
      </c>
      <c r="AA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A429*AA$78)</f>
        <v>0</v>
      </c>
      <c r="AB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B429*AB$78)</f>
        <v>0</v>
      </c>
      <c r="AC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C429*AC$78)</f>
        <v>0</v>
      </c>
      <c r="AD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D429*AD$78)</f>
        <v>0</v>
      </c>
      <c r="AE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E429*AE$78)</f>
        <v>0</v>
      </c>
      <c r="AF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F429*AF$78)</f>
        <v>0</v>
      </c>
      <c r="AG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G429*AG$78)</f>
        <v>0</v>
      </c>
      <c r="AH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H429*AH$78)</f>
        <v>0</v>
      </c>
      <c r="AI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I429*AI$78)</f>
        <v>0</v>
      </c>
      <c r="AJ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J429*AJ$78)</f>
        <v>0</v>
      </c>
      <c r="AK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K429*AK$78)</f>
        <v>0</v>
      </c>
      <c r="AL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L429*AL$78)</f>
        <v>0</v>
      </c>
      <c r="AM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M429*AM$78)</f>
        <v>0</v>
      </c>
      <c r="AN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N429*AN$78)</f>
        <v>0</v>
      </c>
      <c r="AO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O429*AO$78)</f>
        <v>0</v>
      </c>
      <c r="AP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P429*AP$78)</f>
        <v>0</v>
      </c>
      <c r="AQ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Q429*AQ$78)</f>
        <v>0</v>
      </c>
      <c r="AR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R429*AR$78)</f>
        <v>0</v>
      </c>
      <c r="AS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S429*AS$78)</f>
        <v>0</v>
      </c>
      <c r="AT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T429*AT$78)</f>
        <v>0</v>
      </c>
      <c r="AU639" s="652">
        <f>IF($B639="",,IF(LEFT($H639,5)="dummy",SUMIFS(AvgCommission[avg_commission],AvgCommission[job_title],$H639),SUMIFS(AvgCommission[avg_commission],AvgCommission[exp_item],$J639,AvgCommission[company_name],$B639,AvgCommission[bu_name],$C639,AvgCommission[dept_name],$D639,AvgCommission[team_consolidation],$K639,AvgCommission[location_name],$G639,AvgCommission[job_title],$H639))*AU429*AU$78)</f>
        <v>0</v>
      </c>
    </row>
    <row r="640" spans="2:47" x14ac:dyDescent="0.35">
      <c r="B640" t="str">
        <f t="shared" si="404"/>
        <v/>
      </c>
      <c r="C640" t="str">
        <f t="shared" si="404"/>
        <v/>
      </c>
      <c r="D640" t="str">
        <f t="shared" si="404"/>
        <v/>
      </c>
      <c r="E640" t="str">
        <f t="shared" si="404"/>
        <v/>
      </c>
      <c r="F640" t="str">
        <f t="shared" si="404"/>
        <v/>
      </c>
      <c r="G640" t="str">
        <f t="shared" si="404"/>
        <v/>
      </c>
      <c r="H640" t="str">
        <f t="shared" si="405"/>
        <v/>
      </c>
      <c r="J640" t="str">
        <f>IF($H640="","",IF(VLOOKUP($B$605,ExpItems[],2,0),$B$605&amp;" - "&amp;INDEX(DivisionMapping[category_code],MATCH($D640&amp;$C640,DivisionMapping[dept_bu],0)),$B$605))</f>
        <v/>
      </c>
      <c r="K640" t="str">
        <f t="shared" si="402"/>
        <v/>
      </c>
      <c r="L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L430*L$78)</f>
        <v>0</v>
      </c>
      <c r="M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M430*M$78)</f>
        <v>0</v>
      </c>
      <c r="N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N430*N$78)</f>
        <v>0</v>
      </c>
      <c r="O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O430*O$78)</f>
        <v>0</v>
      </c>
      <c r="P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P430*P$78)</f>
        <v>0</v>
      </c>
      <c r="Q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Q430*Q$78)</f>
        <v>0</v>
      </c>
      <c r="R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R430*R$78)</f>
        <v>0</v>
      </c>
      <c r="S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S430*S$78)</f>
        <v>0</v>
      </c>
      <c r="T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T430*T$78)</f>
        <v>0</v>
      </c>
      <c r="U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U430*U$78)</f>
        <v>0</v>
      </c>
      <c r="V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V430*V$78)</f>
        <v>0</v>
      </c>
      <c r="W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W430*W$78)</f>
        <v>0</v>
      </c>
      <c r="X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X430*X$78)</f>
        <v>0</v>
      </c>
      <c r="Y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Y430*Y$78)</f>
        <v>0</v>
      </c>
      <c r="Z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Z430*Z$78)</f>
        <v>0</v>
      </c>
      <c r="AA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A430*AA$78)</f>
        <v>0</v>
      </c>
      <c r="AB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B430*AB$78)</f>
        <v>0</v>
      </c>
      <c r="AC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C430*AC$78)</f>
        <v>0</v>
      </c>
      <c r="AD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D430*AD$78)</f>
        <v>0</v>
      </c>
      <c r="AE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E430*AE$78)</f>
        <v>0</v>
      </c>
      <c r="AF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F430*AF$78)</f>
        <v>0</v>
      </c>
      <c r="AG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G430*AG$78)</f>
        <v>0</v>
      </c>
      <c r="AH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H430*AH$78)</f>
        <v>0</v>
      </c>
      <c r="AI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I430*AI$78)</f>
        <v>0</v>
      </c>
      <c r="AJ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J430*AJ$78)</f>
        <v>0</v>
      </c>
      <c r="AK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K430*AK$78)</f>
        <v>0</v>
      </c>
      <c r="AL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L430*AL$78)</f>
        <v>0</v>
      </c>
      <c r="AM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M430*AM$78)</f>
        <v>0</v>
      </c>
      <c r="AN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N430*AN$78)</f>
        <v>0</v>
      </c>
      <c r="AO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O430*AO$78)</f>
        <v>0</v>
      </c>
      <c r="AP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P430*AP$78)</f>
        <v>0</v>
      </c>
      <c r="AQ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Q430*AQ$78)</f>
        <v>0</v>
      </c>
      <c r="AR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R430*AR$78)</f>
        <v>0</v>
      </c>
      <c r="AS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S430*AS$78)</f>
        <v>0</v>
      </c>
      <c r="AT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T430*AT$78)</f>
        <v>0</v>
      </c>
      <c r="AU640" s="652">
        <f>IF($B640="",,IF(LEFT($H640,5)="dummy",SUMIFS(AvgCommission[avg_commission],AvgCommission[job_title],$H640),SUMIFS(AvgCommission[avg_commission],AvgCommission[exp_item],$J640,AvgCommission[company_name],$B640,AvgCommission[bu_name],$C640,AvgCommission[dept_name],$D640,AvgCommission[team_consolidation],$K640,AvgCommission[location_name],$G640,AvgCommission[job_title],$H640))*AU430*AU$78)</f>
        <v>0</v>
      </c>
    </row>
    <row r="641" spans="2:47" x14ac:dyDescent="0.35">
      <c r="B641" t="str">
        <f t="shared" si="404"/>
        <v/>
      </c>
      <c r="C641" t="str">
        <f t="shared" si="404"/>
        <v/>
      </c>
      <c r="D641" t="str">
        <f t="shared" si="404"/>
        <v/>
      </c>
      <c r="E641" t="str">
        <f t="shared" si="404"/>
        <v/>
      </c>
      <c r="F641" t="str">
        <f t="shared" si="404"/>
        <v/>
      </c>
      <c r="G641" t="str">
        <f t="shared" si="404"/>
        <v/>
      </c>
      <c r="H641" t="str">
        <f t="shared" si="405"/>
        <v/>
      </c>
      <c r="J641" t="str">
        <f>IF($H641="","",IF(VLOOKUP($B$605,ExpItems[],2,0),$B$605&amp;" - "&amp;INDEX(DivisionMapping[category_code],MATCH($D641&amp;$C641,DivisionMapping[dept_bu],0)),$B$605))</f>
        <v/>
      </c>
      <c r="K641" t="str">
        <f t="shared" si="402"/>
        <v/>
      </c>
      <c r="L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L431*L$78)</f>
        <v>0</v>
      </c>
      <c r="M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M431*M$78)</f>
        <v>0</v>
      </c>
      <c r="N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N431*N$78)</f>
        <v>0</v>
      </c>
      <c r="O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O431*O$78)</f>
        <v>0</v>
      </c>
      <c r="P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P431*P$78)</f>
        <v>0</v>
      </c>
      <c r="Q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Q431*Q$78)</f>
        <v>0</v>
      </c>
      <c r="R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R431*R$78)</f>
        <v>0</v>
      </c>
      <c r="S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S431*S$78)</f>
        <v>0</v>
      </c>
      <c r="T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T431*T$78)</f>
        <v>0</v>
      </c>
      <c r="U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U431*U$78)</f>
        <v>0</v>
      </c>
      <c r="V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V431*V$78)</f>
        <v>0</v>
      </c>
      <c r="W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W431*W$78)</f>
        <v>0</v>
      </c>
      <c r="X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X431*X$78)</f>
        <v>0</v>
      </c>
      <c r="Y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Y431*Y$78)</f>
        <v>0</v>
      </c>
      <c r="Z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Z431*Z$78)</f>
        <v>0</v>
      </c>
      <c r="AA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A431*AA$78)</f>
        <v>0</v>
      </c>
      <c r="AB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B431*AB$78)</f>
        <v>0</v>
      </c>
      <c r="AC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C431*AC$78)</f>
        <v>0</v>
      </c>
      <c r="AD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D431*AD$78)</f>
        <v>0</v>
      </c>
      <c r="AE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E431*AE$78)</f>
        <v>0</v>
      </c>
      <c r="AF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F431*AF$78)</f>
        <v>0</v>
      </c>
      <c r="AG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G431*AG$78)</f>
        <v>0</v>
      </c>
      <c r="AH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H431*AH$78)</f>
        <v>0</v>
      </c>
      <c r="AI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I431*AI$78)</f>
        <v>0</v>
      </c>
      <c r="AJ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J431*AJ$78)</f>
        <v>0</v>
      </c>
      <c r="AK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K431*AK$78)</f>
        <v>0</v>
      </c>
      <c r="AL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L431*AL$78)</f>
        <v>0</v>
      </c>
      <c r="AM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M431*AM$78)</f>
        <v>0</v>
      </c>
      <c r="AN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N431*AN$78)</f>
        <v>0</v>
      </c>
      <c r="AO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O431*AO$78)</f>
        <v>0</v>
      </c>
      <c r="AP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P431*AP$78)</f>
        <v>0</v>
      </c>
      <c r="AQ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Q431*AQ$78)</f>
        <v>0</v>
      </c>
      <c r="AR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R431*AR$78)</f>
        <v>0</v>
      </c>
      <c r="AS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S431*AS$78)</f>
        <v>0</v>
      </c>
      <c r="AT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T431*AT$78)</f>
        <v>0</v>
      </c>
      <c r="AU641" s="652">
        <f>IF($B641="",,IF(LEFT($H641,5)="dummy",SUMIFS(AvgCommission[avg_commission],AvgCommission[job_title],$H641),SUMIFS(AvgCommission[avg_commission],AvgCommission[exp_item],$J641,AvgCommission[company_name],$B641,AvgCommission[bu_name],$C641,AvgCommission[dept_name],$D641,AvgCommission[team_consolidation],$K641,AvgCommission[location_name],$G641,AvgCommission[job_title],$H641))*AU431*AU$78)</f>
        <v>0</v>
      </c>
    </row>
    <row r="642" spans="2:47" x14ac:dyDescent="0.35">
      <c r="B642" t="str">
        <f t="shared" si="404"/>
        <v/>
      </c>
      <c r="C642" t="str">
        <f t="shared" si="404"/>
        <v/>
      </c>
      <c r="D642" t="str">
        <f t="shared" si="404"/>
        <v/>
      </c>
      <c r="E642" t="str">
        <f t="shared" si="404"/>
        <v/>
      </c>
      <c r="F642" t="str">
        <f t="shared" si="404"/>
        <v/>
      </c>
      <c r="G642" t="str">
        <f t="shared" si="404"/>
        <v/>
      </c>
      <c r="H642" t="str">
        <f t="shared" si="405"/>
        <v/>
      </c>
      <c r="J642" t="str">
        <f>IF($H642="","",IF(VLOOKUP($B$605,ExpItems[],2,0),$B$605&amp;" - "&amp;INDEX(DivisionMapping[category_code],MATCH($D642&amp;$C642,DivisionMapping[dept_bu],0)),$B$605))</f>
        <v/>
      </c>
      <c r="K642" t="str">
        <f t="shared" si="402"/>
        <v/>
      </c>
      <c r="L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L432*L$78)</f>
        <v>0</v>
      </c>
      <c r="M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M432*M$78)</f>
        <v>0</v>
      </c>
      <c r="N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N432*N$78)</f>
        <v>0</v>
      </c>
      <c r="O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O432*O$78)</f>
        <v>0</v>
      </c>
      <c r="P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P432*P$78)</f>
        <v>0</v>
      </c>
      <c r="Q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Q432*Q$78)</f>
        <v>0</v>
      </c>
      <c r="R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R432*R$78)</f>
        <v>0</v>
      </c>
      <c r="S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S432*S$78)</f>
        <v>0</v>
      </c>
      <c r="T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T432*T$78)</f>
        <v>0</v>
      </c>
      <c r="U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U432*U$78)</f>
        <v>0</v>
      </c>
      <c r="V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V432*V$78)</f>
        <v>0</v>
      </c>
      <c r="W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W432*W$78)</f>
        <v>0</v>
      </c>
      <c r="X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X432*X$78)</f>
        <v>0</v>
      </c>
      <c r="Y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Y432*Y$78)</f>
        <v>0</v>
      </c>
      <c r="Z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Z432*Z$78)</f>
        <v>0</v>
      </c>
      <c r="AA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A432*AA$78)</f>
        <v>0</v>
      </c>
      <c r="AB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B432*AB$78)</f>
        <v>0</v>
      </c>
      <c r="AC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C432*AC$78)</f>
        <v>0</v>
      </c>
      <c r="AD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D432*AD$78)</f>
        <v>0</v>
      </c>
      <c r="AE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E432*AE$78)</f>
        <v>0</v>
      </c>
      <c r="AF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F432*AF$78)</f>
        <v>0</v>
      </c>
      <c r="AG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G432*AG$78)</f>
        <v>0</v>
      </c>
      <c r="AH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H432*AH$78)</f>
        <v>0</v>
      </c>
      <c r="AI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I432*AI$78)</f>
        <v>0</v>
      </c>
      <c r="AJ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J432*AJ$78)</f>
        <v>0</v>
      </c>
      <c r="AK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K432*AK$78)</f>
        <v>0</v>
      </c>
      <c r="AL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L432*AL$78)</f>
        <v>0</v>
      </c>
      <c r="AM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M432*AM$78)</f>
        <v>0</v>
      </c>
      <c r="AN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N432*AN$78)</f>
        <v>0</v>
      </c>
      <c r="AO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O432*AO$78)</f>
        <v>0</v>
      </c>
      <c r="AP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P432*AP$78)</f>
        <v>0</v>
      </c>
      <c r="AQ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Q432*AQ$78)</f>
        <v>0</v>
      </c>
      <c r="AR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R432*AR$78)</f>
        <v>0</v>
      </c>
      <c r="AS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S432*AS$78)</f>
        <v>0</v>
      </c>
      <c r="AT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T432*AT$78)</f>
        <v>0</v>
      </c>
      <c r="AU642" s="652">
        <f>IF($B642="",,IF(LEFT($H642,5)="dummy",SUMIFS(AvgCommission[avg_commission],AvgCommission[job_title],$H642),SUMIFS(AvgCommission[avg_commission],AvgCommission[exp_item],$J642,AvgCommission[company_name],$B642,AvgCommission[bu_name],$C642,AvgCommission[dept_name],$D642,AvgCommission[team_consolidation],$K642,AvgCommission[location_name],$G642,AvgCommission[job_title],$H642))*AU432*AU$78)</f>
        <v>0</v>
      </c>
    </row>
    <row r="643" spans="2:47" x14ac:dyDescent="0.35">
      <c r="B643" t="str">
        <f t="shared" si="404"/>
        <v/>
      </c>
      <c r="C643" t="str">
        <f t="shared" si="404"/>
        <v/>
      </c>
      <c r="D643" t="str">
        <f t="shared" si="404"/>
        <v/>
      </c>
      <c r="E643" t="str">
        <f t="shared" si="404"/>
        <v/>
      </c>
      <c r="F643" t="str">
        <f t="shared" si="404"/>
        <v/>
      </c>
      <c r="G643" t="str">
        <f t="shared" si="404"/>
        <v/>
      </c>
      <c r="H643" t="str">
        <f t="shared" si="405"/>
        <v/>
      </c>
      <c r="J643" t="str">
        <f>IF($H643="","",IF(VLOOKUP($B$605,ExpItems[],2,0),$B$605&amp;" - "&amp;INDEX(DivisionMapping[category_code],MATCH($D643&amp;$C643,DivisionMapping[dept_bu],0)),$B$605))</f>
        <v/>
      </c>
      <c r="K643" t="str">
        <f t="shared" si="402"/>
        <v/>
      </c>
      <c r="L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L433*L$78)</f>
        <v>0</v>
      </c>
      <c r="M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M433*M$78)</f>
        <v>0</v>
      </c>
      <c r="N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N433*N$78)</f>
        <v>0</v>
      </c>
      <c r="O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O433*O$78)</f>
        <v>0</v>
      </c>
      <c r="P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P433*P$78)</f>
        <v>0</v>
      </c>
      <c r="Q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Q433*Q$78)</f>
        <v>0</v>
      </c>
      <c r="R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R433*R$78)</f>
        <v>0</v>
      </c>
      <c r="S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S433*S$78)</f>
        <v>0</v>
      </c>
      <c r="T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T433*T$78)</f>
        <v>0</v>
      </c>
      <c r="U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U433*U$78)</f>
        <v>0</v>
      </c>
      <c r="V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V433*V$78)</f>
        <v>0</v>
      </c>
      <c r="W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W433*W$78)</f>
        <v>0</v>
      </c>
      <c r="X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X433*X$78)</f>
        <v>0</v>
      </c>
      <c r="Y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Y433*Y$78)</f>
        <v>0</v>
      </c>
      <c r="Z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Z433*Z$78)</f>
        <v>0</v>
      </c>
      <c r="AA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A433*AA$78)</f>
        <v>0</v>
      </c>
      <c r="AB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B433*AB$78)</f>
        <v>0</v>
      </c>
      <c r="AC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C433*AC$78)</f>
        <v>0</v>
      </c>
      <c r="AD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D433*AD$78)</f>
        <v>0</v>
      </c>
      <c r="AE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E433*AE$78)</f>
        <v>0</v>
      </c>
      <c r="AF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F433*AF$78)</f>
        <v>0</v>
      </c>
      <c r="AG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G433*AG$78)</f>
        <v>0</v>
      </c>
      <c r="AH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H433*AH$78)</f>
        <v>0</v>
      </c>
      <c r="AI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I433*AI$78)</f>
        <v>0</v>
      </c>
      <c r="AJ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J433*AJ$78)</f>
        <v>0</v>
      </c>
      <c r="AK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K433*AK$78)</f>
        <v>0</v>
      </c>
      <c r="AL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L433*AL$78)</f>
        <v>0</v>
      </c>
      <c r="AM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M433*AM$78)</f>
        <v>0</v>
      </c>
      <c r="AN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N433*AN$78)</f>
        <v>0</v>
      </c>
      <c r="AO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O433*AO$78)</f>
        <v>0</v>
      </c>
      <c r="AP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P433*AP$78)</f>
        <v>0</v>
      </c>
      <c r="AQ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Q433*AQ$78)</f>
        <v>0</v>
      </c>
      <c r="AR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R433*AR$78)</f>
        <v>0</v>
      </c>
      <c r="AS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S433*AS$78)</f>
        <v>0</v>
      </c>
      <c r="AT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T433*AT$78)</f>
        <v>0</v>
      </c>
      <c r="AU643" s="652">
        <f>IF($B643="",,IF(LEFT($H643,5)="dummy",SUMIFS(AvgCommission[avg_commission],AvgCommission[job_title],$H643),SUMIFS(AvgCommission[avg_commission],AvgCommission[exp_item],$J643,AvgCommission[company_name],$B643,AvgCommission[bu_name],$C643,AvgCommission[dept_name],$D643,AvgCommission[team_consolidation],$K643,AvgCommission[location_name],$G643,AvgCommission[job_title],$H643))*AU433*AU$78)</f>
        <v>0</v>
      </c>
    </row>
    <row r="644" spans="2:47" x14ac:dyDescent="0.35">
      <c r="B644" t="str">
        <f t="shared" si="404"/>
        <v/>
      </c>
      <c r="C644" t="str">
        <f t="shared" si="404"/>
        <v/>
      </c>
      <c r="D644" t="str">
        <f t="shared" si="404"/>
        <v/>
      </c>
      <c r="E644" t="str">
        <f t="shared" si="404"/>
        <v/>
      </c>
      <c r="F644" t="str">
        <f t="shared" si="404"/>
        <v/>
      </c>
      <c r="G644" t="str">
        <f t="shared" si="404"/>
        <v/>
      </c>
      <c r="H644" t="str">
        <f t="shared" si="405"/>
        <v/>
      </c>
      <c r="J644" t="str">
        <f>IF($H644="","",IF(VLOOKUP($B$605,ExpItems[],2,0),$B$605&amp;" - "&amp;INDEX(DivisionMapping[category_code],MATCH($D644&amp;$C644,DivisionMapping[dept_bu],0)),$B$605))</f>
        <v/>
      </c>
      <c r="K644" t="str">
        <f t="shared" si="402"/>
        <v/>
      </c>
      <c r="L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L434*L$78)</f>
        <v>0</v>
      </c>
      <c r="M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M434*M$78)</f>
        <v>0</v>
      </c>
      <c r="N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N434*N$78)</f>
        <v>0</v>
      </c>
      <c r="O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O434*O$78)</f>
        <v>0</v>
      </c>
      <c r="P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P434*P$78)</f>
        <v>0</v>
      </c>
      <c r="Q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Q434*Q$78)</f>
        <v>0</v>
      </c>
      <c r="R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R434*R$78)</f>
        <v>0</v>
      </c>
      <c r="S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S434*S$78)</f>
        <v>0</v>
      </c>
      <c r="T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T434*T$78)</f>
        <v>0</v>
      </c>
      <c r="U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U434*U$78)</f>
        <v>0</v>
      </c>
      <c r="V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V434*V$78)</f>
        <v>0</v>
      </c>
      <c r="W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W434*W$78)</f>
        <v>0</v>
      </c>
      <c r="X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X434*X$78)</f>
        <v>0</v>
      </c>
      <c r="Y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Y434*Y$78)</f>
        <v>0</v>
      </c>
      <c r="Z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Z434*Z$78)</f>
        <v>0</v>
      </c>
      <c r="AA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A434*AA$78)</f>
        <v>0</v>
      </c>
      <c r="AB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B434*AB$78)</f>
        <v>0</v>
      </c>
      <c r="AC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C434*AC$78)</f>
        <v>0</v>
      </c>
      <c r="AD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D434*AD$78)</f>
        <v>0</v>
      </c>
      <c r="AE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E434*AE$78)</f>
        <v>0</v>
      </c>
      <c r="AF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F434*AF$78)</f>
        <v>0</v>
      </c>
      <c r="AG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G434*AG$78)</f>
        <v>0</v>
      </c>
      <c r="AH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H434*AH$78)</f>
        <v>0</v>
      </c>
      <c r="AI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I434*AI$78)</f>
        <v>0</v>
      </c>
      <c r="AJ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J434*AJ$78)</f>
        <v>0</v>
      </c>
      <c r="AK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K434*AK$78)</f>
        <v>0</v>
      </c>
      <c r="AL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L434*AL$78)</f>
        <v>0</v>
      </c>
      <c r="AM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M434*AM$78)</f>
        <v>0</v>
      </c>
      <c r="AN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N434*AN$78)</f>
        <v>0</v>
      </c>
      <c r="AO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O434*AO$78)</f>
        <v>0</v>
      </c>
      <c r="AP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P434*AP$78)</f>
        <v>0</v>
      </c>
      <c r="AQ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Q434*AQ$78)</f>
        <v>0</v>
      </c>
      <c r="AR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R434*AR$78)</f>
        <v>0</v>
      </c>
      <c r="AS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S434*AS$78)</f>
        <v>0</v>
      </c>
      <c r="AT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T434*AT$78)</f>
        <v>0</v>
      </c>
      <c r="AU644" s="652">
        <f>IF($B644="",,IF(LEFT($H644,5)="dummy",SUMIFS(AvgCommission[avg_commission],AvgCommission[job_title],$H644),SUMIFS(AvgCommission[avg_commission],AvgCommission[exp_item],$J644,AvgCommission[company_name],$B644,AvgCommission[bu_name],$C644,AvgCommission[dept_name],$D644,AvgCommission[team_consolidation],$K644,AvgCommission[location_name],$G644,AvgCommission[job_title],$H644))*AU434*AU$78)</f>
        <v>0</v>
      </c>
    </row>
    <row r="645" spans="2:47" x14ac:dyDescent="0.35">
      <c r="B645" t="str">
        <f t="shared" si="404"/>
        <v/>
      </c>
      <c r="C645" t="str">
        <f t="shared" si="404"/>
        <v/>
      </c>
      <c r="D645" t="str">
        <f t="shared" si="404"/>
        <v/>
      </c>
      <c r="E645" t="str">
        <f t="shared" si="404"/>
        <v/>
      </c>
      <c r="F645" t="str">
        <f t="shared" si="404"/>
        <v/>
      </c>
      <c r="G645" t="str">
        <f t="shared" si="404"/>
        <v/>
      </c>
      <c r="H645" t="str">
        <f t="shared" si="405"/>
        <v/>
      </c>
      <c r="J645" t="str">
        <f>IF($H645="","",IF(VLOOKUP($B$605,ExpItems[],2,0),$B$605&amp;" - "&amp;INDEX(DivisionMapping[category_code],MATCH($D645&amp;$C645,DivisionMapping[dept_bu],0)),$B$605))</f>
        <v/>
      </c>
      <c r="K645" t="str">
        <f t="shared" si="402"/>
        <v/>
      </c>
      <c r="L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L435*L$78)</f>
        <v>0</v>
      </c>
      <c r="M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M435*M$78)</f>
        <v>0</v>
      </c>
      <c r="N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N435*N$78)</f>
        <v>0</v>
      </c>
      <c r="O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O435*O$78)</f>
        <v>0</v>
      </c>
      <c r="P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P435*P$78)</f>
        <v>0</v>
      </c>
      <c r="Q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Q435*Q$78)</f>
        <v>0</v>
      </c>
      <c r="R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R435*R$78)</f>
        <v>0</v>
      </c>
      <c r="S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S435*S$78)</f>
        <v>0</v>
      </c>
      <c r="T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T435*T$78)</f>
        <v>0</v>
      </c>
      <c r="U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U435*U$78)</f>
        <v>0</v>
      </c>
      <c r="V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V435*V$78)</f>
        <v>0</v>
      </c>
      <c r="W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W435*W$78)</f>
        <v>0</v>
      </c>
      <c r="X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X435*X$78)</f>
        <v>0</v>
      </c>
      <c r="Y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Y435*Y$78)</f>
        <v>0</v>
      </c>
      <c r="Z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Z435*Z$78)</f>
        <v>0</v>
      </c>
      <c r="AA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A435*AA$78)</f>
        <v>0</v>
      </c>
      <c r="AB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B435*AB$78)</f>
        <v>0</v>
      </c>
      <c r="AC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C435*AC$78)</f>
        <v>0</v>
      </c>
      <c r="AD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D435*AD$78)</f>
        <v>0</v>
      </c>
      <c r="AE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E435*AE$78)</f>
        <v>0</v>
      </c>
      <c r="AF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F435*AF$78)</f>
        <v>0</v>
      </c>
      <c r="AG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G435*AG$78)</f>
        <v>0</v>
      </c>
      <c r="AH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H435*AH$78)</f>
        <v>0</v>
      </c>
      <c r="AI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I435*AI$78)</f>
        <v>0</v>
      </c>
      <c r="AJ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J435*AJ$78)</f>
        <v>0</v>
      </c>
      <c r="AK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K435*AK$78)</f>
        <v>0</v>
      </c>
      <c r="AL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L435*AL$78)</f>
        <v>0</v>
      </c>
      <c r="AM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M435*AM$78)</f>
        <v>0</v>
      </c>
      <c r="AN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N435*AN$78)</f>
        <v>0</v>
      </c>
      <c r="AO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O435*AO$78)</f>
        <v>0</v>
      </c>
      <c r="AP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P435*AP$78)</f>
        <v>0</v>
      </c>
      <c r="AQ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Q435*AQ$78)</f>
        <v>0</v>
      </c>
      <c r="AR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R435*AR$78)</f>
        <v>0</v>
      </c>
      <c r="AS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S435*AS$78)</f>
        <v>0</v>
      </c>
      <c r="AT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T435*AT$78)</f>
        <v>0</v>
      </c>
      <c r="AU645" s="652">
        <f>IF($B645="",,IF(LEFT($H645,5)="dummy",SUMIFS(AvgCommission[avg_commission],AvgCommission[job_title],$H645),SUMIFS(AvgCommission[avg_commission],AvgCommission[exp_item],$J645,AvgCommission[company_name],$B645,AvgCommission[bu_name],$C645,AvgCommission[dept_name],$D645,AvgCommission[team_consolidation],$K645,AvgCommission[location_name],$G645,AvgCommission[job_title],$H645))*AU435*AU$78)</f>
        <v>0</v>
      </c>
    </row>
    <row r="646" spans="2:47" x14ac:dyDescent="0.35">
      <c r="B646" t="str">
        <f t="shared" si="404"/>
        <v/>
      </c>
      <c r="C646" t="str">
        <f t="shared" si="404"/>
        <v/>
      </c>
      <c r="D646" t="str">
        <f t="shared" si="404"/>
        <v/>
      </c>
      <c r="E646" t="str">
        <f t="shared" si="404"/>
        <v/>
      </c>
      <c r="F646" t="str">
        <f t="shared" si="404"/>
        <v/>
      </c>
      <c r="G646" t="str">
        <f t="shared" si="404"/>
        <v/>
      </c>
      <c r="H646" t="str">
        <f t="shared" si="405"/>
        <v/>
      </c>
      <c r="J646" t="str">
        <f>IF($H646="","",IF(VLOOKUP($B$605,ExpItems[],2,0),$B$605&amp;" - "&amp;INDEX(DivisionMapping[category_code],MATCH($D646&amp;$C646,DivisionMapping[dept_bu],0)),$B$605))</f>
        <v/>
      </c>
      <c r="K646" t="str">
        <f t="shared" si="402"/>
        <v/>
      </c>
      <c r="L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L436*L$78)</f>
        <v>0</v>
      </c>
      <c r="M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M436*M$78)</f>
        <v>0</v>
      </c>
      <c r="N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N436*N$78)</f>
        <v>0</v>
      </c>
      <c r="O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O436*O$78)</f>
        <v>0</v>
      </c>
      <c r="P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P436*P$78)</f>
        <v>0</v>
      </c>
      <c r="Q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Q436*Q$78)</f>
        <v>0</v>
      </c>
      <c r="R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R436*R$78)</f>
        <v>0</v>
      </c>
      <c r="S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S436*S$78)</f>
        <v>0</v>
      </c>
      <c r="T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T436*T$78)</f>
        <v>0</v>
      </c>
      <c r="U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U436*U$78)</f>
        <v>0</v>
      </c>
      <c r="V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V436*V$78)</f>
        <v>0</v>
      </c>
      <c r="W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W436*W$78)</f>
        <v>0</v>
      </c>
      <c r="X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X436*X$78)</f>
        <v>0</v>
      </c>
      <c r="Y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Y436*Y$78)</f>
        <v>0</v>
      </c>
      <c r="Z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Z436*Z$78)</f>
        <v>0</v>
      </c>
      <c r="AA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A436*AA$78)</f>
        <v>0</v>
      </c>
      <c r="AB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B436*AB$78)</f>
        <v>0</v>
      </c>
      <c r="AC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C436*AC$78)</f>
        <v>0</v>
      </c>
      <c r="AD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D436*AD$78)</f>
        <v>0</v>
      </c>
      <c r="AE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E436*AE$78)</f>
        <v>0</v>
      </c>
      <c r="AF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F436*AF$78)</f>
        <v>0</v>
      </c>
      <c r="AG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G436*AG$78)</f>
        <v>0</v>
      </c>
      <c r="AH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H436*AH$78)</f>
        <v>0</v>
      </c>
      <c r="AI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I436*AI$78)</f>
        <v>0</v>
      </c>
      <c r="AJ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J436*AJ$78)</f>
        <v>0</v>
      </c>
      <c r="AK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K436*AK$78)</f>
        <v>0</v>
      </c>
      <c r="AL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L436*AL$78)</f>
        <v>0</v>
      </c>
      <c r="AM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M436*AM$78)</f>
        <v>0</v>
      </c>
      <c r="AN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N436*AN$78)</f>
        <v>0</v>
      </c>
      <c r="AO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O436*AO$78)</f>
        <v>0</v>
      </c>
      <c r="AP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P436*AP$78)</f>
        <v>0</v>
      </c>
      <c r="AQ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Q436*AQ$78)</f>
        <v>0</v>
      </c>
      <c r="AR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R436*AR$78)</f>
        <v>0</v>
      </c>
      <c r="AS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S436*AS$78)</f>
        <v>0</v>
      </c>
      <c r="AT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T436*AT$78)</f>
        <v>0</v>
      </c>
      <c r="AU646" s="652">
        <f>IF($B646="",,IF(LEFT($H646,5)="dummy",SUMIFS(AvgCommission[avg_commission],AvgCommission[job_title],$H646),SUMIFS(AvgCommission[avg_commission],AvgCommission[exp_item],$J646,AvgCommission[company_name],$B646,AvgCommission[bu_name],$C646,AvgCommission[dept_name],$D646,AvgCommission[team_consolidation],$K646,AvgCommission[location_name],$G646,AvgCommission[job_title],$H646))*AU436*AU$78)</f>
        <v>0</v>
      </c>
    </row>
    <row r="647" spans="2:47" x14ac:dyDescent="0.35">
      <c r="B647" t="str">
        <f t="shared" si="404"/>
        <v/>
      </c>
      <c r="C647" t="str">
        <f t="shared" si="404"/>
        <v/>
      </c>
      <c r="D647" t="str">
        <f t="shared" si="404"/>
        <v/>
      </c>
      <c r="E647" t="str">
        <f t="shared" si="404"/>
        <v/>
      </c>
      <c r="F647" t="str">
        <f t="shared" si="404"/>
        <v/>
      </c>
      <c r="G647" t="str">
        <f t="shared" si="404"/>
        <v/>
      </c>
      <c r="H647" t="str">
        <f t="shared" si="405"/>
        <v/>
      </c>
      <c r="J647" t="str">
        <f>IF($H647="","",IF(VLOOKUP($B$605,ExpItems[],2,0),$B$605&amp;" - "&amp;INDEX(DivisionMapping[category_code],MATCH($D647&amp;$C647,DivisionMapping[dept_bu],0)),$B$605))</f>
        <v/>
      </c>
      <c r="K647" t="str">
        <f t="shared" si="402"/>
        <v/>
      </c>
      <c r="L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L437*L$78)</f>
        <v>0</v>
      </c>
      <c r="M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M437*M$78)</f>
        <v>0</v>
      </c>
      <c r="N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N437*N$78)</f>
        <v>0</v>
      </c>
      <c r="O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O437*O$78)</f>
        <v>0</v>
      </c>
      <c r="P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P437*P$78)</f>
        <v>0</v>
      </c>
      <c r="Q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Q437*Q$78)</f>
        <v>0</v>
      </c>
      <c r="R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R437*R$78)</f>
        <v>0</v>
      </c>
      <c r="S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S437*S$78)</f>
        <v>0</v>
      </c>
      <c r="T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T437*T$78)</f>
        <v>0</v>
      </c>
      <c r="U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U437*U$78)</f>
        <v>0</v>
      </c>
      <c r="V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V437*V$78)</f>
        <v>0</v>
      </c>
      <c r="W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W437*W$78)</f>
        <v>0</v>
      </c>
      <c r="X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X437*X$78)</f>
        <v>0</v>
      </c>
      <c r="Y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Y437*Y$78)</f>
        <v>0</v>
      </c>
      <c r="Z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Z437*Z$78)</f>
        <v>0</v>
      </c>
      <c r="AA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A437*AA$78)</f>
        <v>0</v>
      </c>
      <c r="AB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B437*AB$78)</f>
        <v>0</v>
      </c>
      <c r="AC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C437*AC$78)</f>
        <v>0</v>
      </c>
      <c r="AD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D437*AD$78)</f>
        <v>0</v>
      </c>
      <c r="AE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E437*AE$78)</f>
        <v>0</v>
      </c>
      <c r="AF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F437*AF$78)</f>
        <v>0</v>
      </c>
      <c r="AG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G437*AG$78)</f>
        <v>0</v>
      </c>
      <c r="AH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H437*AH$78)</f>
        <v>0</v>
      </c>
      <c r="AI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I437*AI$78)</f>
        <v>0</v>
      </c>
      <c r="AJ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J437*AJ$78)</f>
        <v>0</v>
      </c>
      <c r="AK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K437*AK$78)</f>
        <v>0</v>
      </c>
      <c r="AL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L437*AL$78)</f>
        <v>0</v>
      </c>
      <c r="AM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M437*AM$78)</f>
        <v>0</v>
      </c>
      <c r="AN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N437*AN$78)</f>
        <v>0</v>
      </c>
      <c r="AO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O437*AO$78)</f>
        <v>0</v>
      </c>
      <c r="AP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P437*AP$78)</f>
        <v>0</v>
      </c>
      <c r="AQ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Q437*AQ$78)</f>
        <v>0</v>
      </c>
      <c r="AR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R437*AR$78)</f>
        <v>0</v>
      </c>
      <c r="AS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S437*AS$78)</f>
        <v>0</v>
      </c>
      <c r="AT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T437*AT$78)</f>
        <v>0</v>
      </c>
      <c r="AU647" s="652">
        <f>IF($B647="",,IF(LEFT($H647,5)="dummy",SUMIFS(AvgCommission[avg_commission],AvgCommission[job_title],$H647),SUMIFS(AvgCommission[avg_commission],AvgCommission[exp_item],$J647,AvgCommission[company_name],$B647,AvgCommission[bu_name],$C647,AvgCommission[dept_name],$D647,AvgCommission[team_consolidation],$K647,AvgCommission[location_name],$G647,AvgCommission[job_title],$H647))*AU437*AU$78)</f>
        <v>0</v>
      </c>
    </row>
    <row r="648" spans="2:47" x14ac:dyDescent="0.35">
      <c r="B648" t="str">
        <f t="shared" si="404"/>
        <v/>
      </c>
      <c r="C648" t="str">
        <f t="shared" si="404"/>
        <v/>
      </c>
      <c r="D648" t="str">
        <f t="shared" si="404"/>
        <v/>
      </c>
      <c r="E648" t="str">
        <f t="shared" si="404"/>
        <v/>
      </c>
      <c r="F648" t="str">
        <f t="shared" si="404"/>
        <v/>
      </c>
      <c r="G648" t="str">
        <f t="shared" si="404"/>
        <v/>
      </c>
      <c r="H648" t="str">
        <f t="shared" si="405"/>
        <v/>
      </c>
      <c r="J648" t="str">
        <f>IF($H648="","",IF(VLOOKUP($B$605,ExpItems[],2,0),$B$605&amp;" - "&amp;INDEX(DivisionMapping[category_code],MATCH($D648&amp;$C648,DivisionMapping[dept_bu],0)),$B$605))</f>
        <v/>
      </c>
      <c r="K648" t="str">
        <f t="shared" si="402"/>
        <v/>
      </c>
      <c r="L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L438*L$78)</f>
        <v>0</v>
      </c>
      <c r="M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M438*M$78)</f>
        <v>0</v>
      </c>
      <c r="N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N438*N$78)</f>
        <v>0</v>
      </c>
      <c r="O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O438*O$78)</f>
        <v>0</v>
      </c>
      <c r="P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P438*P$78)</f>
        <v>0</v>
      </c>
      <c r="Q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Q438*Q$78)</f>
        <v>0</v>
      </c>
      <c r="R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R438*R$78)</f>
        <v>0</v>
      </c>
      <c r="S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S438*S$78)</f>
        <v>0</v>
      </c>
      <c r="T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T438*T$78)</f>
        <v>0</v>
      </c>
      <c r="U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U438*U$78)</f>
        <v>0</v>
      </c>
      <c r="V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V438*V$78)</f>
        <v>0</v>
      </c>
      <c r="W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W438*W$78)</f>
        <v>0</v>
      </c>
      <c r="X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X438*X$78)</f>
        <v>0</v>
      </c>
      <c r="Y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Y438*Y$78)</f>
        <v>0</v>
      </c>
      <c r="Z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Z438*Z$78)</f>
        <v>0</v>
      </c>
      <c r="AA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A438*AA$78)</f>
        <v>0</v>
      </c>
      <c r="AB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B438*AB$78)</f>
        <v>0</v>
      </c>
      <c r="AC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C438*AC$78)</f>
        <v>0</v>
      </c>
      <c r="AD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D438*AD$78)</f>
        <v>0</v>
      </c>
      <c r="AE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E438*AE$78)</f>
        <v>0</v>
      </c>
      <c r="AF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F438*AF$78)</f>
        <v>0</v>
      </c>
      <c r="AG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G438*AG$78)</f>
        <v>0</v>
      </c>
      <c r="AH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H438*AH$78)</f>
        <v>0</v>
      </c>
      <c r="AI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I438*AI$78)</f>
        <v>0</v>
      </c>
      <c r="AJ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J438*AJ$78)</f>
        <v>0</v>
      </c>
      <c r="AK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K438*AK$78)</f>
        <v>0</v>
      </c>
      <c r="AL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L438*AL$78)</f>
        <v>0</v>
      </c>
      <c r="AM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M438*AM$78)</f>
        <v>0</v>
      </c>
      <c r="AN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N438*AN$78)</f>
        <v>0</v>
      </c>
      <c r="AO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O438*AO$78)</f>
        <v>0</v>
      </c>
      <c r="AP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P438*AP$78)</f>
        <v>0</v>
      </c>
      <c r="AQ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Q438*AQ$78)</f>
        <v>0</v>
      </c>
      <c r="AR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R438*AR$78)</f>
        <v>0</v>
      </c>
      <c r="AS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S438*AS$78)</f>
        <v>0</v>
      </c>
      <c r="AT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T438*AT$78)</f>
        <v>0</v>
      </c>
      <c r="AU648" s="652">
        <f>IF($B648="",,IF(LEFT($H648,5)="dummy",SUMIFS(AvgCommission[avg_commission],AvgCommission[job_title],$H648),SUMIFS(AvgCommission[avg_commission],AvgCommission[exp_item],$J648,AvgCommission[company_name],$B648,AvgCommission[bu_name],$C648,AvgCommission[dept_name],$D648,AvgCommission[team_consolidation],$K648,AvgCommission[location_name],$G648,AvgCommission[job_title],$H648))*AU438*AU$78)</f>
        <v>0</v>
      </c>
    </row>
    <row r="649" spans="2:47" x14ac:dyDescent="0.35">
      <c r="B649" t="str">
        <f t="shared" si="404"/>
        <v/>
      </c>
      <c r="C649" t="str">
        <f t="shared" si="404"/>
        <v/>
      </c>
      <c r="D649" t="str">
        <f t="shared" si="404"/>
        <v/>
      </c>
      <c r="E649" t="str">
        <f t="shared" si="404"/>
        <v/>
      </c>
      <c r="F649" t="str">
        <f t="shared" si="404"/>
        <v/>
      </c>
      <c r="G649" t="str">
        <f t="shared" si="404"/>
        <v/>
      </c>
      <c r="H649" t="str">
        <f t="shared" si="405"/>
        <v/>
      </c>
      <c r="J649" t="str">
        <f>IF($H649="","",IF(VLOOKUP($B$605,ExpItems[],2,0),$B$605&amp;" - "&amp;INDEX(DivisionMapping[category_code],MATCH($D649&amp;$C649,DivisionMapping[dept_bu],0)),$B$605))</f>
        <v/>
      </c>
      <c r="K649" t="str">
        <f t="shared" si="402"/>
        <v/>
      </c>
      <c r="L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L439*L$78)</f>
        <v>0</v>
      </c>
      <c r="M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M439*M$78)</f>
        <v>0</v>
      </c>
      <c r="N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N439*N$78)</f>
        <v>0</v>
      </c>
      <c r="O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O439*O$78)</f>
        <v>0</v>
      </c>
      <c r="P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P439*P$78)</f>
        <v>0</v>
      </c>
      <c r="Q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Q439*Q$78)</f>
        <v>0</v>
      </c>
      <c r="R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R439*R$78)</f>
        <v>0</v>
      </c>
      <c r="S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S439*S$78)</f>
        <v>0</v>
      </c>
      <c r="T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T439*T$78)</f>
        <v>0</v>
      </c>
      <c r="U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U439*U$78)</f>
        <v>0</v>
      </c>
      <c r="V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V439*V$78)</f>
        <v>0</v>
      </c>
      <c r="W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W439*W$78)</f>
        <v>0</v>
      </c>
      <c r="X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X439*X$78)</f>
        <v>0</v>
      </c>
      <c r="Y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Y439*Y$78)</f>
        <v>0</v>
      </c>
      <c r="Z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Z439*Z$78)</f>
        <v>0</v>
      </c>
      <c r="AA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A439*AA$78)</f>
        <v>0</v>
      </c>
      <c r="AB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B439*AB$78)</f>
        <v>0</v>
      </c>
      <c r="AC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C439*AC$78)</f>
        <v>0</v>
      </c>
      <c r="AD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D439*AD$78)</f>
        <v>0</v>
      </c>
      <c r="AE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E439*AE$78)</f>
        <v>0</v>
      </c>
      <c r="AF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F439*AF$78)</f>
        <v>0</v>
      </c>
      <c r="AG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G439*AG$78)</f>
        <v>0</v>
      </c>
      <c r="AH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H439*AH$78)</f>
        <v>0</v>
      </c>
      <c r="AI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I439*AI$78)</f>
        <v>0</v>
      </c>
      <c r="AJ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J439*AJ$78)</f>
        <v>0</v>
      </c>
      <c r="AK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K439*AK$78)</f>
        <v>0</v>
      </c>
      <c r="AL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L439*AL$78)</f>
        <v>0</v>
      </c>
      <c r="AM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M439*AM$78)</f>
        <v>0</v>
      </c>
      <c r="AN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N439*AN$78)</f>
        <v>0</v>
      </c>
      <c r="AO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O439*AO$78)</f>
        <v>0</v>
      </c>
      <c r="AP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P439*AP$78)</f>
        <v>0</v>
      </c>
      <c r="AQ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Q439*AQ$78)</f>
        <v>0</v>
      </c>
      <c r="AR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R439*AR$78)</f>
        <v>0</v>
      </c>
      <c r="AS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S439*AS$78)</f>
        <v>0</v>
      </c>
      <c r="AT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T439*AT$78)</f>
        <v>0</v>
      </c>
      <c r="AU649" s="652">
        <f>IF($B649="",,IF(LEFT($H649,5)="dummy",SUMIFS(AvgCommission[avg_commission],AvgCommission[job_title],$H649),SUMIFS(AvgCommission[avg_commission],AvgCommission[exp_item],$J649,AvgCommission[company_name],$B649,AvgCommission[bu_name],$C649,AvgCommission[dept_name],$D649,AvgCommission[team_consolidation],$K649,AvgCommission[location_name],$G649,AvgCommission[job_title],$H649))*AU439*AU$78)</f>
        <v>0</v>
      </c>
    </row>
    <row r="650" spans="2:47" x14ac:dyDescent="0.35">
      <c r="B650" t="str">
        <f t="shared" si="404"/>
        <v/>
      </c>
      <c r="C650" t="str">
        <f t="shared" si="404"/>
        <v/>
      </c>
      <c r="D650" t="str">
        <f t="shared" si="404"/>
        <v/>
      </c>
      <c r="E650" t="str">
        <f t="shared" si="404"/>
        <v/>
      </c>
      <c r="F650" t="str">
        <f t="shared" si="404"/>
        <v/>
      </c>
      <c r="G650" t="str">
        <f t="shared" si="404"/>
        <v/>
      </c>
      <c r="H650" t="str">
        <f t="shared" si="405"/>
        <v/>
      </c>
      <c r="J650" t="str">
        <f>IF($H650="","",IF(VLOOKUP($B$605,ExpItems[],2,0),$B$605&amp;" - "&amp;INDEX(DivisionMapping[category_code],MATCH($D650&amp;$C650,DivisionMapping[dept_bu],0)),$B$605))</f>
        <v/>
      </c>
      <c r="K650" t="str">
        <f t="shared" si="402"/>
        <v/>
      </c>
      <c r="L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L440*L$78)</f>
        <v>0</v>
      </c>
      <c r="M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M440*M$78)</f>
        <v>0</v>
      </c>
      <c r="N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N440*N$78)</f>
        <v>0</v>
      </c>
      <c r="O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O440*O$78)</f>
        <v>0</v>
      </c>
      <c r="P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P440*P$78)</f>
        <v>0</v>
      </c>
      <c r="Q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Q440*Q$78)</f>
        <v>0</v>
      </c>
      <c r="R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R440*R$78)</f>
        <v>0</v>
      </c>
      <c r="S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S440*S$78)</f>
        <v>0</v>
      </c>
      <c r="T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T440*T$78)</f>
        <v>0</v>
      </c>
      <c r="U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U440*U$78)</f>
        <v>0</v>
      </c>
      <c r="V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V440*V$78)</f>
        <v>0</v>
      </c>
      <c r="W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W440*W$78)</f>
        <v>0</v>
      </c>
      <c r="X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X440*X$78)</f>
        <v>0</v>
      </c>
      <c r="Y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Y440*Y$78)</f>
        <v>0</v>
      </c>
      <c r="Z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Z440*Z$78)</f>
        <v>0</v>
      </c>
      <c r="AA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A440*AA$78)</f>
        <v>0</v>
      </c>
      <c r="AB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B440*AB$78)</f>
        <v>0</v>
      </c>
      <c r="AC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C440*AC$78)</f>
        <v>0</v>
      </c>
      <c r="AD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D440*AD$78)</f>
        <v>0</v>
      </c>
      <c r="AE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E440*AE$78)</f>
        <v>0</v>
      </c>
      <c r="AF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F440*AF$78)</f>
        <v>0</v>
      </c>
      <c r="AG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G440*AG$78)</f>
        <v>0</v>
      </c>
      <c r="AH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H440*AH$78)</f>
        <v>0</v>
      </c>
      <c r="AI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I440*AI$78)</f>
        <v>0</v>
      </c>
      <c r="AJ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J440*AJ$78)</f>
        <v>0</v>
      </c>
      <c r="AK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K440*AK$78)</f>
        <v>0</v>
      </c>
      <c r="AL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L440*AL$78)</f>
        <v>0</v>
      </c>
      <c r="AM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M440*AM$78)</f>
        <v>0</v>
      </c>
      <c r="AN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N440*AN$78)</f>
        <v>0</v>
      </c>
      <c r="AO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O440*AO$78)</f>
        <v>0</v>
      </c>
      <c r="AP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P440*AP$78)</f>
        <v>0</v>
      </c>
      <c r="AQ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Q440*AQ$78)</f>
        <v>0</v>
      </c>
      <c r="AR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R440*AR$78)</f>
        <v>0</v>
      </c>
      <c r="AS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S440*AS$78)</f>
        <v>0</v>
      </c>
      <c r="AT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T440*AT$78)</f>
        <v>0</v>
      </c>
      <c r="AU650" s="652">
        <f>IF($B650="",,IF(LEFT($H650,5)="dummy",SUMIFS(AvgCommission[avg_commission],AvgCommission[job_title],$H650),SUMIFS(AvgCommission[avg_commission],AvgCommission[exp_item],$J650,AvgCommission[company_name],$B650,AvgCommission[bu_name],$C650,AvgCommission[dept_name],$D650,AvgCommission[team_consolidation],$K650,AvgCommission[location_name],$G650,AvgCommission[job_title],$H650))*AU440*AU$78)</f>
        <v>0</v>
      </c>
    </row>
    <row r="651" spans="2:47" x14ac:dyDescent="0.35">
      <c r="B651" t="str">
        <f t="shared" si="404"/>
        <v/>
      </c>
      <c r="C651" t="str">
        <f t="shared" si="404"/>
        <v/>
      </c>
      <c r="D651" t="str">
        <f t="shared" si="404"/>
        <v/>
      </c>
      <c r="E651" t="str">
        <f t="shared" si="404"/>
        <v/>
      </c>
      <c r="F651" t="str">
        <f t="shared" si="404"/>
        <v/>
      </c>
      <c r="G651" t="str">
        <f t="shared" si="404"/>
        <v/>
      </c>
      <c r="H651" t="str">
        <f t="shared" si="405"/>
        <v/>
      </c>
      <c r="J651" t="str">
        <f>IF($H651="","",IF(VLOOKUP($B$605,ExpItems[],2,0),$B$605&amp;" - "&amp;INDEX(DivisionMapping[category_code],MATCH($D651&amp;$C651,DivisionMapping[dept_bu],0)),$B$605))</f>
        <v/>
      </c>
      <c r="K651" t="str">
        <f t="shared" si="402"/>
        <v/>
      </c>
      <c r="L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L441*L$78)</f>
        <v>0</v>
      </c>
      <c r="M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M441*M$78)</f>
        <v>0</v>
      </c>
      <c r="N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N441*N$78)</f>
        <v>0</v>
      </c>
      <c r="O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O441*O$78)</f>
        <v>0</v>
      </c>
      <c r="P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P441*P$78)</f>
        <v>0</v>
      </c>
      <c r="Q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Q441*Q$78)</f>
        <v>0</v>
      </c>
      <c r="R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R441*R$78)</f>
        <v>0</v>
      </c>
      <c r="S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S441*S$78)</f>
        <v>0</v>
      </c>
      <c r="T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T441*T$78)</f>
        <v>0</v>
      </c>
      <c r="U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U441*U$78)</f>
        <v>0</v>
      </c>
      <c r="V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V441*V$78)</f>
        <v>0</v>
      </c>
      <c r="W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W441*W$78)</f>
        <v>0</v>
      </c>
      <c r="X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X441*X$78)</f>
        <v>0</v>
      </c>
      <c r="Y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Y441*Y$78)</f>
        <v>0</v>
      </c>
      <c r="Z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Z441*Z$78)</f>
        <v>0</v>
      </c>
      <c r="AA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A441*AA$78)</f>
        <v>0</v>
      </c>
      <c r="AB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B441*AB$78)</f>
        <v>0</v>
      </c>
      <c r="AC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C441*AC$78)</f>
        <v>0</v>
      </c>
      <c r="AD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D441*AD$78)</f>
        <v>0</v>
      </c>
      <c r="AE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E441*AE$78)</f>
        <v>0</v>
      </c>
      <c r="AF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F441*AF$78)</f>
        <v>0</v>
      </c>
      <c r="AG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G441*AG$78)</f>
        <v>0</v>
      </c>
      <c r="AH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H441*AH$78)</f>
        <v>0</v>
      </c>
      <c r="AI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I441*AI$78)</f>
        <v>0</v>
      </c>
      <c r="AJ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J441*AJ$78)</f>
        <v>0</v>
      </c>
      <c r="AK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K441*AK$78)</f>
        <v>0</v>
      </c>
      <c r="AL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L441*AL$78)</f>
        <v>0</v>
      </c>
      <c r="AM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M441*AM$78)</f>
        <v>0</v>
      </c>
      <c r="AN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N441*AN$78)</f>
        <v>0</v>
      </c>
      <c r="AO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O441*AO$78)</f>
        <v>0</v>
      </c>
      <c r="AP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P441*AP$78)</f>
        <v>0</v>
      </c>
      <c r="AQ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Q441*AQ$78)</f>
        <v>0</v>
      </c>
      <c r="AR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R441*AR$78)</f>
        <v>0</v>
      </c>
      <c r="AS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S441*AS$78)</f>
        <v>0</v>
      </c>
      <c r="AT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T441*AT$78)</f>
        <v>0</v>
      </c>
      <c r="AU651" s="652">
        <f>IF($B651="",,IF(LEFT($H651,5)="dummy",SUMIFS(AvgCommission[avg_commission],AvgCommission[job_title],$H651),SUMIFS(AvgCommission[avg_commission],AvgCommission[exp_item],$J651,AvgCommission[company_name],$B651,AvgCommission[bu_name],$C651,AvgCommission[dept_name],$D651,AvgCommission[team_consolidation],$K651,AvgCommission[location_name],$G651,AvgCommission[job_title],$H651))*AU441*AU$78)</f>
        <v>0</v>
      </c>
    </row>
    <row r="652" spans="2:47" x14ac:dyDescent="0.35">
      <c r="B652" t="str">
        <f t="shared" si="404"/>
        <v/>
      </c>
      <c r="C652" t="str">
        <f t="shared" si="404"/>
        <v/>
      </c>
      <c r="D652" t="str">
        <f t="shared" si="404"/>
        <v/>
      </c>
      <c r="E652" t="str">
        <f t="shared" si="404"/>
        <v/>
      </c>
      <c r="F652" t="str">
        <f t="shared" si="404"/>
        <v/>
      </c>
      <c r="G652" t="str">
        <f t="shared" si="404"/>
        <v/>
      </c>
      <c r="H652" t="str">
        <f t="shared" si="405"/>
        <v/>
      </c>
      <c r="J652" t="str">
        <f>IF($H652="","",IF(VLOOKUP($B$605,ExpItems[],2,0),$B$605&amp;" - "&amp;INDEX(DivisionMapping[category_code],MATCH($D652&amp;$C652,DivisionMapping[dept_bu],0)),$B$605))</f>
        <v/>
      </c>
      <c r="K652" t="str">
        <f t="shared" si="402"/>
        <v/>
      </c>
      <c r="L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L442*L$78)</f>
        <v>0</v>
      </c>
      <c r="M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M442*M$78)</f>
        <v>0</v>
      </c>
      <c r="N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N442*N$78)</f>
        <v>0</v>
      </c>
      <c r="O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O442*O$78)</f>
        <v>0</v>
      </c>
      <c r="P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P442*P$78)</f>
        <v>0</v>
      </c>
      <c r="Q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Q442*Q$78)</f>
        <v>0</v>
      </c>
      <c r="R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R442*R$78)</f>
        <v>0</v>
      </c>
      <c r="S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S442*S$78)</f>
        <v>0</v>
      </c>
      <c r="T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T442*T$78)</f>
        <v>0</v>
      </c>
      <c r="U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U442*U$78)</f>
        <v>0</v>
      </c>
      <c r="V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V442*V$78)</f>
        <v>0</v>
      </c>
      <c r="W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W442*W$78)</f>
        <v>0</v>
      </c>
      <c r="X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X442*X$78)</f>
        <v>0</v>
      </c>
      <c r="Y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Y442*Y$78)</f>
        <v>0</v>
      </c>
      <c r="Z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Z442*Z$78)</f>
        <v>0</v>
      </c>
      <c r="AA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A442*AA$78)</f>
        <v>0</v>
      </c>
      <c r="AB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B442*AB$78)</f>
        <v>0</v>
      </c>
      <c r="AC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C442*AC$78)</f>
        <v>0</v>
      </c>
      <c r="AD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D442*AD$78)</f>
        <v>0</v>
      </c>
      <c r="AE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E442*AE$78)</f>
        <v>0</v>
      </c>
      <c r="AF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F442*AF$78)</f>
        <v>0</v>
      </c>
      <c r="AG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G442*AG$78)</f>
        <v>0</v>
      </c>
      <c r="AH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H442*AH$78)</f>
        <v>0</v>
      </c>
      <c r="AI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I442*AI$78)</f>
        <v>0</v>
      </c>
      <c r="AJ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J442*AJ$78)</f>
        <v>0</v>
      </c>
      <c r="AK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K442*AK$78)</f>
        <v>0</v>
      </c>
      <c r="AL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L442*AL$78)</f>
        <v>0</v>
      </c>
      <c r="AM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M442*AM$78)</f>
        <v>0</v>
      </c>
      <c r="AN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N442*AN$78)</f>
        <v>0</v>
      </c>
      <c r="AO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O442*AO$78)</f>
        <v>0</v>
      </c>
      <c r="AP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P442*AP$78)</f>
        <v>0</v>
      </c>
      <c r="AQ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Q442*AQ$78)</f>
        <v>0</v>
      </c>
      <c r="AR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R442*AR$78)</f>
        <v>0</v>
      </c>
      <c r="AS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S442*AS$78)</f>
        <v>0</v>
      </c>
      <c r="AT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T442*AT$78)</f>
        <v>0</v>
      </c>
      <c r="AU652" s="652">
        <f>IF($B652="",,IF(LEFT($H652,5)="dummy",SUMIFS(AvgCommission[avg_commission],AvgCommission[job_title],$H652),SUMIFS(AvgCommission[avg_commission],AvgCommission[exp_item],$J652,AvgCommission[company_name],$B652,AvgCommission[bu_name],$C652,AvgCommission[dept_name],$D652,AvgCommission[team_consolidation],$K652,AvgCommission[location_name],$G652,AvgCommission[job_title],$H652))*AU442*AU$78)</f>
        <v>0</v>
      </c>
    </row>
    <row r="653" spans="2:47" x14ac:dyDescent="0.35">
      <c r="B653" t="str">
        <f t="shared" si="404"/>
        <v/>
      </c>
      <c r="C653" t="str">
        <f t="shared" si="404"/>
        <v/>
      </c>
      <c r="D653" t="str">
        <f t="shared" si="404"/>
        <v/>
      </c>
      <c r="E653" t="str">
        <f t="shared" si="404"/>
        <v/>
      </c>
      <c r="F653" t="str">
        <f t="shared" si="404"/>
        <v/>
      </c>
      <c r="G653" t="str">
        <f t="shared" si="404"/>
        <v/>
      </c>
      <c r="H653" t="str">
        <f t="shared" si="405"/>
        <v/>
      </c>
      <c r="J653" t="str">
        <f>IF($H653="","",IF(VLOOKUP($B$605,ExpItems[],2,0),$B$605&amp;" - "&amp;INDEX(DivisionMapping[category_code],MATCH($D653&amp;$C653,DivisionMapping[dept_bu],0)),$B$605))</f>
        <v/>
      </c>
      <c r="K653" t="str">
        <f t="shared" si="402"/>
        <v/>
      </c>
      <c r="L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L443*L$78)</f>
        <v>0</v>
      </c>
      <c r="M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M443*M$78)</f>
        <v>0</v>
      </c>
      <c r="N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N443*N$78)</f>
        <v>0</v>
      </c>
      <c r="O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O443*O$78)</f>
        <v>0</v>
      </c>
      <c r="P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P443*P$78)</f>
        <v>0</v>
      </c>
      <c r="Q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Q443*Q$78)</f>
        <v>0</v>
      </c>
      <c r="R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R443*R$78)</f>
        <v>0</v>
      </c>
      <c r="S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S443*S$78)</f>
        <v>0</v>
      </c>
      <c r="T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T443*T$78)</f>
        <v>0</v>
      </c>
      <c r="U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U443*U$78)</f>
        <v>0</v>
      </c>
      <c r="V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V443*V$78)</f>
        <v>0</v>
      </c>
      <c r="W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W443*W$78)</f>
        <v>0</v>
      </c>
      <c r="X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X443*X$78)</f>
        <v>0</v>
      </c>
      <c r="Y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Y443*Y$78)</f>
        <v>0</v>
      </c>
      <c r="Z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Z443*Z$78)</f>
        <v>0</v>
      </c>
      <c r="AA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A443*AA$78)</f>
        <v>0</v>
      </c>
      <c r="AB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B443*AB$78)</f>
        <v>0</v>
      </c>
      <c r="AC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C443*AC$78)</f>
        <v>0</v>
      </c>
      <c r="AD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D443*AD$78)</f>
        <v>0</v>
      </c>
      <c r="AE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E443*AE$78)</f>
        <v>0</v>
      </c>
      <c r="AF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F443*AF$78)</f>
        <v>0</v>
      </c>
      <c r="AG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G443*AG$78)</f>
        <v>0</v>
      </c>
      <c r="AH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H443*AH$78)</f>
        <v>0</v>
      </c>
      <c r="AI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I443*AI$78)</f>
        <v>0</v>
      </c>
      <c r="AJ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J443*AJ$78)</f>
        <v>0</v>
      </c>
      <c r="AK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K443*AK$78)</f>
        <v>0</v>
      </c>
      <c r="AL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L443*AL$78)</f>
        <v>0</v>
      </c>
      <c r="AM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M443*AM$78)</f>
        <v>0</v>
      </c>
      <c r="AN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N443*AN$78)</f>
        <v>0</v>
      </c>
      <c r="AO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O443*AO$78)</f>
        <v>0</v>
      </c>
      <c r="AP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P443*AP$78)</f>
        <v>0</v>
      </c>
      <c r="AQ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Q443*AQ$78)</f>
        <v>0</v>
      </c>
      <c r="AR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R443*AR$78)</f>
        <v>0</v>
      </c>
      <c r="AS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S443*AS$78)</f>
        <v>0</v>
      </c>
      <c r="AT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T443*AT$78)</f>
        <v>0</v>
      </c>
      <c r="AU653" s="652">
        <f>IF($B653="",,IF(LEFT($H653,5)="dummy",SUMIFS(AvgCommission[avg_commission],AvgCommission[job_title],$H653),SUMIFS(AvgCommission[avg_commission],AvgCommission[exp_item],$J653,AvgCommission[company_name],$B653,AvgCommission[bu_name],$C653,AvgCommission[dept_name],$D653,AvgCommission[team_consolidation],$K653,AvgCommission[location_name],$G653,AvgCommission[job_title],$H653))*AU443*AU$78)</f>
        <v>0</v>
      </c>
    </row>
    <row r="654" spans="2:47" x14ac:dyDescent="0.35">
      <c r="B654" t="str">
        <f t="shared" ref="B654:G669" si="406">IF(B549="","",B549)</f>
        <v/>
      </c>
      <c r="C654" t="str">
        <f t="shared" si="406"/>
        <v/>
      </c>
      <c r="D654" t="str">
        <f t="shared" si="406"/>
        <v/>
      </c>
      <c r="E654" t="str">
        <f t="shared" si="406"/>
        <v/>
      </c>
      <c r="F654" t="str">
        <f t="shared" si="406"/>
        <v/>
      </c>
      <c r="G654" t="str">
        <f t="shared" si="406"/>
        <v/>
      </c>
      <c r="H654" t="str">
        <f t="shared" si="405"/>
        <v/>
      </c>
      <c r="J654" t="str">
        <f>IF($H654="","",IF(VLOOKUP($B$605,ExpItems[],2,0),$B$605&amp;" - "&amp;INDEX(DivisionMapping[category_code],MATCH($D654&amp;$C654,DivisionMapping[dept_bu],0)),$B$605))</f>
        <v/>
      </c>
      <c r="K654" t="str">
        <f t="shared" si="402"/>
        <v/>
      </c>
      <c r="L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L444*L$78)</f>
        <v>0</v>
      </c>
      <c r="M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M444*M$78)</f>
        <v>0</v>
      </c>
      <c r="N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N444*N$78)</f>
        <v>0</v>
      </c>
      <c r="O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O444*O$78)</f>
        <v>0</v>
      </c>
      <c r="P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P444*P$78)</f>
        <v>0</v>
      </c>
      <c r="Q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Q444*Q$78)</f>
        <v>0</v>
      </c>
      <c r="R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R444*R$78)</f>
        <v>0</v>
      </c>
      <c r="S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S444*S$78)</f>
        <v>0</v>
      </c>
      <c r="T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T444*T$78)</f>
        <v>0</v>
      </c>
      <c r="U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U444*U$78)</f>
        <v>0</v>
      </c>
      <c r="V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V444*V$78)</f>
        <v>0</v>
      </c>
      <c r="W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W444*W$78)</f>
        <v>0</v>
      </c>
      <c r="X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X444*X$78)</f>
        <v>0</v>
      </c>
      <c r="Y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Y444*Y$78)</f>
        <v>0</v>
      </c>
      <c r="Z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Z444*Z$78)</f>
        <v>0</v>
      </c>
      <c r="AA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A444*AA$78)</f>
        <v>0</v>
      </c>
      <c r="AB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B444*AB$78)</f>
        <v>0</v>
      </c>
      <c r="AC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C444*AC$78)</f>
        <v>0</v>
      </c>
      <c r="AD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D444*AD$78)</f>
        <v>0</v>
      </c>
      <c r="AE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E444*AE$78)</f>
        <v>0</v>
      </c>
      <c r="AF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F444*AF$78)</f>
        <v>0</v>
      </c>
      <c r="AG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G444*AG$78)</f>
        <v>0</v>
      </c>
      <c r="AH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H444*AH$78)</f>
        <v>0</v>
      </c>
      <c r="AI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I444*AI$78)</f>
        <v>0</v>
      </c>
      <c r="AJ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J444*AJ$78)</f>
        <v>0</v>
      </c>
      <c r="AK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K444*AK$78)</f>
        <v>0</v>
      </c>
      <c r="AL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L444*AL$78)</f>
        <v>0</v>
      </c>
      <c r="AM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M444*AM$78)</f>
        <v>0</v>
      </c>
      <c r="AN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N444*AN$78)</f>
        <v>0</v>
      </c>
      <c r="AO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O444*AO$78)</f>
        <v>0</v>
      </c>
      <c r="AP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P444*AP$78)</f>
        <v>0</v>
      </c>
      <c r="AQ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Q444*AQ$78)</f>
        <v>0</v>
      </c>
      <c r="AR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R444*AR$78)</f>
        <v>0</v>
      </c>
      <c r="AS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S444*AS$78)</f>
        <v>0</v>
      </c>
      <c r="AT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T444*AT$78)</f>
        <v>0</v>
      </c>
      <c r="AU654" s="652">
        <f>IF($B654="",,IF(LEFT($H654,5)="dummy",SUMIFS(AvgCommission[avg_commission],AvgCommission[job_title],$H654),SUMIFS(AvgCommission[avg_commission],AvgCommission[exp_item],$J654,AvgCommission[company_name],$B654,AvgCommission[bu_name],$C654,AvgCommission[dept_name],$D654,AvgCommission[team_consolidation],$K654,AvgCommission[location_name],$G654,AvgCommission[job_title],$H654))*AU444*AU$78)</f>
        <v>0</v>
      </c>
    </row>
    <row r="655" spans="2:47" x14ac:dyDescent="0.35">
      <c r="B655" t="str">
        <f t="shared" si="406"/>
        <v/>
      </c>
      <c r="C655" t="str">
        <f t="shared" si="406"/>
        <v/>
      </c>
      <c r="D655" t="str">
        <f t="shared" si="406"/>
        <v/>
      </c>
      <c r="E655" t="str">
        <f t="shared" si="406"/>
        <v/>
      </c>
      <c r="F655" t="str">
        <f t="shared" si="406"/>
        <v/>
      </c>
      <c r="G655" t="str">
        <f t="shared" si="406"/>
        <v/>
      </c>
      <c r="H655" t="str">
        <f t="shared" si="405"/>
        <v/>
      </c>
      <c r="J655" t="str">
        <f>IF($H655="","",IF(VLOOKUP($B$605,ExpItems[],2,0),$B$605&amp;" - "&amp;INDEX(DivisionMapping[category_code],MATCH($D655&amp;$C655,DivisionMapping[dept_bu],0)),$B$605))</f>
        <v/>
      </c>
      <c r="K655" t="str">
        <f t="shared" si="402"/>
        <v/>
      </c>
      <c r="L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L445*L$78)</f>
        <v>0</v>
      </c>
      <c r="M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M445*M$78)</f>
        <v>0</v>
      </c>
      <c r="N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N445*N$78)</f>
        <v>0</v>
      </c>
      <c r="O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O445*O$78)</f>
        <v>0</v>
      </c>
      <c r="P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P445*P$78)</f>
        <v>0</v>
      </c>
      <c r="Q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Q445*Q$78)</f>
        <v>0</v>
      </c>
      <c r="R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R445*R$78)</f>
        <v>0</v>
      </c>
      <c r="S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S445*S$78)</f>
        <v>0</v>
      </c>
      <c r="T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T445*T$78)</f>
        <v>0</v>
      </c>
      <c r="U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U445*U$78)</f>
        <v>0</v>
      </c>
      <c r="V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V445*V$78)</f>
        <v>0</v>
      </c>
      <c r="W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W445*W$78)</f>
        <v>0</v>
      </c>
      <c r="X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X445*X$78)</f>
        <v>0</v>
      </c>
      <c r="Y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Y445*Y$78)</f>
        <v>0</v>
      </c>
      <c r="Z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Z445*Z$78)</f>
        <v>0</v>
      </c>
      <c r="AA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A445*AA$78)</f>
        <v>0</v>
      </c>
      <c r="AB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B445*AB$78)</f>
        <v>0</v>
      </c>
      <c r="AC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C445*AC$78)</f>
        <v>0</v>
      </c>
      <c r="AD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D445*AD$78)</f>
        <v>0</v>
      </c>
      <c r="AE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E445*AE$78)</f>
        <v>0</v>
      </c>
      <c r="AF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F445*AF$78)</f>
        <v>0</v>
      </c>
      <c r="AG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G445*AG$78)</f>
        <v>0</v>
      </c>
      <c r="AH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H445*AH$78)</f>
        <v>0</v>
      </c>
      <c r="AI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I445*AI$78)</f>
        <v>0</v>
      </c>
      <c r="AJ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J445*AJ$78)</f>
        <v>0</v>
      </c>
      <c r="AK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K445*AK$78)</f>
        <v>0</v>
      </c>
      <c r="AL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L445*AL$78)</f>
        <v>0</v>
      </c>
      <c r="AM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M445*AM$78)</f>
        <v>0</v>
      </c>
      <c r="AN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N445*AN$78)</f>
        <v>0</v>
      </c>
      <c r="AO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O445*AO$78)</f>
        <v>0</v>
      </c>
      <c r="AP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P445*AP$78)</f>
        <v>0</v>
      </c>
      <c r="AQ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Q445*AQ$78)</f>
        <v>0</v>
      </c>
      <c r="AR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R445*AR$78)</f>
        <v>0</v>
      </c>
      <c r="AS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S445*AS$78)</f>
        <v>0</v>
      </c>
      <c r="AT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T445*AT$78)</f>
        <v>0</v>
      </c>
      <c r="AU655" s="652">
        <f>IF($B655="",,IF(LEFT($H655,5)="dummy",SUMIFS(AvgCommission[avg_commission],AvgCommission[job_title],$H655),SUMIFS(AvgCommission[avg_commission],AvgCommission[exp_item],$J655,AvgCommission[company_name],$B655,AvgCommission[bu_name],$C655,AvgCommission[dept_name],$D655,AvgCommission[team_consolidation],$K655,AvgCommission[location_name],$G655,AvgCommission[job_title],$H655))*AU445*AU$78)</f>
        <v>0</v>
      </c>
    </row>
    <row r="656" spans="2:47" x14ac:dyDescent="0.35">
      <c r="B656" t="str">
        <f t="shared" si="406"/>
        <v/>
      </c>
      <c r="C656" t="str">
        <f t="shared" si="406"/>
        <v/>
      </c>
      <c r="D656" t="str">
        <f t="shared" si="406"/>
        <v/>
      </c>
      <c r="E656" t="str">
        <f t="shared" si="406"/>
        <v/>
      </c>
      <c r="F656" t="str">
        <f t="shared" si="406"/>
        <v/>
      </c>
      <c r="G656" t="str">
        <f t="shared" si="406"/>
        <v/>
      </c>
      <c r="H656" t="str">
        <f t="shared" si="405"/>
        <v/>
      </c>
      <c r="J656" t="str">
        <f>IF($H656="","",IF(VLOOKUP($B$605,ExpItems[],2,0),$B$605&amp;" - "&amp;INDEX(DivisionMapping[category_code],MATCH($D656&amp;$C656,DivisionMapping[dept_bu],0)),$B$605))</f>
        <v/>
      </c>
      <c r="K656" t="str">
        <f t="shared" si="402"/>
        <v/>
      </c>
      <c r="L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L446*L$78)</f>
        <v>0</v>
      </c>
      <c r="M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M446*M$78)</f>
        <v>0</v>
      </c>
      <c r="N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N446*N$78)</f>
        <v>0</v>
      </c>
      <c r="O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O446*O$78)</f>
        <v>0</v>
      </c>
      <c r="P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P446*P$78)</f>
        <v>0</v>
      </c>
      <c r="Q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Q446*Q$78)</f>
        <v>0</v>
      </c>
      <c r="R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R446*R$78)</f>
        <v>0</v>
      </c>
      <c r="S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S446*S$78)</f>
        <v>0</v>
      </c>
      <c r="T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T446*T$78)</f>
        <v>0</v>
      </c>
      <c r="U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U446*U$78)</f>
        <v>0</v>
      </c>
      <c r="V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V446*V$78)</f>
        <v>0</v>
      </c>
      <c r="W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W446*W$78)</f>
        <v>0</v>
      </c>
      <c r="X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X446*X$78)</f>
        <v>0</v>
      </c>
      <c r="Y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Y446*Y$78)</f>
        <v>0</v>
      </c>
      <c r="Z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Z446*Z$78)</f>
        <v>0</v>
      </c>
      <c r="AA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A446*AA$78)</f>
        <v>0</v>
      </c>
      <c r="AB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B446*AB$78)</f>
        <v>0</v>
      </c>
      <c r="AC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C446*AC$78)</f>
        <v>0</v>
      </c>
      <c r="AD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D446*AD$78)</f>
        <v>0</v>
      </c>
      <c r="AE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E446*AE$78)</f>
        <v>0</v>
      </c>
      <c r="AF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F446*AF$78)</f>
        <v>0</v>
      </c>
      <c r="AG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G446*AG$78)</f>
        <v>0</v>
      </c>
      <c r="AH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H446*AH$78)</f>
        <v>0</v>
      </c>
      <c r="AI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I446*AI$78)</f>
        <v>0</v>
      </c>
      <c r="AJ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J446*AJ$78)</f>
        <v>0</v>
      </c>
      <c r="AK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K446*AK$78)</f>
        <v>0</v>
      </c>
      <c r="AL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L446*AL$78)</f>
        <v>0</v>
      </c>
      <c r="AM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M446*AM$78)</f>
        <v>0</v>
      </c>
      <c r="AN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N446*AN$78)</f>
        <v>0</v>
      </c>
      <c r="AO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O446*AO$78)</f>
        <v>0</v>
      </c>
      <c r="AP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P446*AP$78)</f>
        <v>0</v>
      </c>
      <c r="AQ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Q446*AQ$78)</f>
        <v>0</v>
      </c>
      <c r="AR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R446*AR$78)</f>
        <v>0</v>
      </c>
      <c r="AS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S446*AS$78)</f>
        <v>0</v>
      </c>
      <c r="AT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T446*AT$78)</f>
        <v>0</v>
      </c>
      <c r="AU656" s="652">
        <f>IF($B656="",,IF(LEFT($H656,5)="dummy",SUMIFS(AvgCommission[avg_commission],AvgCommission[job_title],$H656),SUMIFS(AvgCommission[avg_commission],AvgCommission[exp_item],$J656,AvgCommission[company_name],$B656,AvgCommission[bu_name],$C656,AvgCommission[dept_name],$D656,AvgCommission[team_consolidation],$K656,AvgCommission[location_name],$G656,AvgCommission[job_title],$H656))*AU446*AU$78)</f>
        <v>0</v>
      </c>
    </row>
    <row r="657" spans="2:47" x14ac:dyDescent="0.35">
      <c r="B657" t="str">
        <f t="shared" si="406"/>
        <v/>
      </c>
      <c r="C657" t="str">
        <f t="shared" si="406"/>
        <v/>
      </c>
      <c r="D657" t="str">
        <f t="shared" si="406"/>
        <v/>
      </c>
      <c r="E657" t="str">
        <f t="shared" si="406"/>
        <v/>
      </c>
      <c r="F657" t="str">
        <f t="shared" si="406"/>
        <v/>
      </c>
      <c r="G657" t="str">
        <f t="shared" si="406"/>
        <v/>
      </c>
      <c r="H657" t="str">
        <f t="shared" si="405"/>
        <v/>
      </c>
      <c r="J657" t="str">
        <f>IF($H657="","",IF(VLOOKUP($B$605,ExpItems[],2,0),$B$605&amp;" - "&amp;INDEX(DivisionMapping[category_code],MATCH($D657&amp;$C657,DivisionMapping[dept_bu],0)),$B$605))</f>
        <v/>
      </c>
      <c r="K657" t="str">
        <f t="shared" si="402"/>
        <v/>
      </c>
      <c r="L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L447*L$78)</f>
        <v>0</v>
      </c>
      <c r="M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M447*M$78)</f>
        <v>0</v>
      </c>
      <c r="N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N447*N$78)</f>
        <v>0</v>
      </c>
      <c r="O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O447*O$78)</f>
        <v>0</v>
      </c>
      <c r="P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P447*P$78)</f>
        <v>0</v>
      </c>
      <c r="Q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Q447*Q$78)</f>
        <v>0</v>
      </c>
      <c r="R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R447*R$78)</f>
        <v>0</v>
      </c>
      <c r="S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S447*S$78)</f>
        <v>0</v>
      </c>
      <c r="T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T447*T$78)</f>
        <v>0</v>
      </c>
      <c r="U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U447*U$78)</f>
        <v>0</v>
      </c>
      <c r="V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V447*V$78)</f>
        <v>0</v>
      </c>
      <c r="W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W447*W$78)</f>
        <v>0</v>
      </c>
      <c r="X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X447*X$78)</f>
        <v>0</v>
      </c>
      <c r="Y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Y447*Y$78)</f>
        <v>0</v>
      </c>
      <c r="Z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Z447*Z$78)</f>
        <v>0</v>
      </c>
      <c r="AA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A447*AA$78)</f>
        <v>0</v>
      </c>
      <c r="AB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B447*AB$78)</f>
        <v>0</v>
      </c>
      <c r="AC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C447*AC$78)</f>
        <v>0</v>
      </c>
      <c r="AD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D447*AD$78)</f>
        <v>0</v>
      </c>
      <c r="AE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E447*AE$78)</f>
        <v>0</v>
      </c>
      <c r="AF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F447*AF$78)</f>
        <v>0</v>
      </c>
      <c r="AG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G447*AG$78)</f>
        <v>0</v>
      </c>
      <c r="AH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H447*AH$78)</f>
        <v>0</v>
      </c>
      <c r="AI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I447*AI$78)</f>
        <v>0</v>
      </c>
      <c r="AJ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J447*AJ$78)</f>
        <v>0</v>
      </c>
      <c r="AK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K447*AK$78)</f>
        <v>0</v>
      </c>
      <c r="AL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L447*AL$78)</f>
        <v>0</v>
      </c>
      <c r="AM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M447*AM$78)</f>
        <v>0</v>
      </c>
      <c r="AN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N447*AN$78)</f>
        <v>0</v>
      </c>
      <c r="AO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O447*AO$78)</f>
        <v>0</v>
      </c>
      <c r="AP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P447*AP$78)</f>
        <v>0</v>
      </c>
      <c r="AQ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Q447*AQ$78)</f>
        <v>0</v>
      </c>
      <c r="AR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R447*AR$78)</f>
        <v>0</v>
      </c>
      <c r="AS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S447*AS$78)</f>
        <v>0</v>
      </c>
      <c r="AT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T447*AT$78)</f>
        <v>0</v>
      </c>
      <c r="AU657" s="652">
        <f>IF($B657="",,IF(LEFT($H657,5)="dummy",SUMIFS(AvgCommission[avg_commission],AvgCommission[job_title],$H657),SUMIFS(AvgCommission[avg_commission],AvgCommission[exp_item],$J657,AvgCommission[company_name],$B657,AvgCommission[bu_name],$C657,AvgCommission[dept_name],$D657,AvgCommission[team_consolidation],$K657,AvgCommission[location_name],$G657,AvgCommission[job_title],$H657))*AU447*AU$78)</f>
        <v>0</v>
      </c>
    </row>
    <row r="658" spans="2:47" x14ac:dyDescent="0.35">
      <c r="B658" t="str">
        <f t="shared" si="406"/>
        <v/>
      </c>
      <c r="C658" t="str">
        <f t="shared" si="406"/>
        <v/>
      </c>
      <c r="D658" t="str">
        <f t="shared" si="406"/>
        <v/>
      </c>
      <c r="E658" t="str">
        <f t="shared" si="406"/>
        <v/>
      </c>
      <c r="F658" t="str">
        <f t="shared" si="406"/>
        <v/>
      </c>
      <c r="G658" t="str">
        <f t="shared" si="406"/>
        <v/>
      </c>
      <c r="H658" t="str">
        <f t="shared" si="405"/>
        <v/>
      </c>
      <c r="J658" t="str">
        <f>IF($H658="","",IF(VLOOKUP($B$605,ExpItems[],2,0),$B$605&amp;" - "&amp;INDEX(DivisionMapping[category_code],MATCH($D658&amp;$C658,DivisionMapping[dept_bu],0)),$B$605))</f>
        <v/>
      </c>
      <c r="K658" t="str">
        <f t="shared" si="402"/>
        <v/>
      </c>
      <c r="L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L448*L$78)</f>
        <v>0</v>
      </c>
      <c r="M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M448*M$78)</f>
        <v>0</v>
      </c>
      <c r="N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N448*N$78)</f>
        <v>0</v>
      </c>
      <c r="O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O448*O$78)</f>
        <v>0</v>
      </c>
      <c r="P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P448*P$78)</f>
        <v>0</v>
      </c>
      <c r="Q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Q448*Q$78)</f>
        <v>0</v>
      </c>
      <c r="R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R448*R$78)</f>
        <v>0</v>
      </c>
      <c r="S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S448*S$78)</f>
        <v>0</v>
      </c>
      <c r="T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T448*T$78)</f>
        <v>0</v>
      </c>
      <c r="U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U448*U$78)</f>
        <v>0</v>
      </c>
      <c r="V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V448*V$78)</f>
        <v>0</v>
      </c>
      <c r="W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W448*W$78)</f>
        <v>0</v>
      </c>
      <c r="X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X448*X$78)</f>
        <v>0</v>
      </c>
      <c r="Y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Y448*Y$78)</f>
        <v>0</v>
      </c>
      <c r="Z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Z448*Z$78)</f>
        <v>0</v>
      </c>
      <c r="AA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A448*AA$78)</f>
        <v>0</v>
      </c>
      <c r="AB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B448*AB$78)</f>
        <v>0</v>
      </c>
      <c r="AC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C448*AC$78)</f>
        <v>0</v>
      </c>
      <c r="AD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D448*AD$78)</f>
        <v>0</v>
      </c>
      <c r="AE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E448*AE$78)</f>
        <v>0</v>
      </c>
      <c r="AF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F448*AF$78)</f>
        <v>0</v>
      </c>
      <c r="AG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G448*AG$78)</f>
        <v>0</v>
      </c>
      <c r="AH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H448*AH$78)</f>
        <v>0</v>
      </c>
      <c r="AI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I448*AI$78)</f>
        <v>0</v>
      </c>
      <c r="AJ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J448*AJ$78)</f>
        <v>0</v>
      </c>
      <c r="AK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K448*AK$78)</f>
        <v>0</v>
      </c>
      <c r="AL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L448*AL$78)</f>
        <v>0</v>
      </c>
      <c r="AM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M448*AM$78)</f>
        <v>0</v>
      </c>
      <c r="AN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N448*AN$78)</f>
        <v>0</v>
      </c>
      <c r="AO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O448*AO$78)</f>
        <v>0</v>
      </c>
      <c r="AP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P448*AP$78)</f>
        <v>0</v>
      </c>
      <c r="AQ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Q448*AQ$78)</f>
        <v>0</v>
      </c>
      <c r="AR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R448*AR$78)</f>
        <v>0</v>
      </c>
      <c r="AS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S448*AS$78)</f>
        <v>0</v>
      </c>
      <c r="AT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T448*AT$78)</f>
        <v>0</v>
      </c>
      <c r="AU658" s="652">
        <f>IF($B658="",,IF(LEFT($H658,5)="dummy",SUMIFS(AvgCommission[avg_commission],AvgCommission[job_title],$H658),SUMIFS(AvgCommission[avg_commission],AvgCommission[exp_item],$J658,AvgCommission[company_name],$B658,AvgCommission[bu_name],$C658,AvgCommission[dept_name],$D658,AvgCommission[team_consolidation],$K658,AvgCommission[location_name],$G658,AvgCommission[job_title],$H658))*AU448*AU$78)</f>
        <v>0</v>
      </c>
    </row>
    <row r="659" spans="2:47" x14ac:dyDescent="0.35">
      <c r="B659" t="str">
        <f t="shared" si="406"/>
        <v/>
      </c>
      <c r="C659" t="str">
        <f t="shared" si="406"/>
        <v/>
      </c>
      <c r="D659" t="str">
        <f t="shared" si="406"/>
        <v/>
      </c>
      <c r="E659" t="str">
        <f t="shared" si="406"/>
        <v/>
      </c>
      <c r="F659" t="str">
        <f t="shared" si="406"/>
        <v/>
      </c>
      <c r="G659" t="str">
        <f t="shared" si="406"/>
        <v/>
      </c>
      <c r="H659" t="str">
        <f t="shared" si="405"/>
        <v/>
      </c>
      <c r="J659" t="str">
        <f>IF($H659="","",IF(VLOOKUP($B$605,ExpItems[],2,0),$B$605&amp;" - "&amp;INDEX(DivisionMapping[category_code],MATCH($D659&amp;$C659,DivisionMapping[dept_bu],0)),$B$605))</f>
        <v/>
      </c>
      <c r="K659" t="str">
        <f t="shared" si="402"/>
        <v/>
      </c>
      <c r="L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L449*L$78)</f>
        <v>0</v>
      </c>
      <c r="M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M449*M$78)</f>
        <v>0</v>
      </c>
      <c r="N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N449*N$78)</f>
        <v>0</v>
      </c>
      <c r="O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O449*O$78)</f>
        <v>0</v>
      </c>
      <c r="P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P449*P$78)</f>
        <v>0</v>
      </c>
      <c r="Q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Q449*Q$78)</f>
        <v>0</v>
      </c>
      <c r="R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R449*R$78)</f>
        <v>0</v>
      </c>
      <c r="S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S449*S$78)</f>
        <v>0</v>
      </c>
      <c r="T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T449*T$78)</f>
        <v>0</v>
      </c>
      <c r="U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U449*U$78)</f>
        <v>0</v>
      </c>
      <c r="V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V449*V$78)</f>
        <v>0</v>
      </c>
      <c r="W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W449*W$78)</f>
        <v>0</v>
      </c>
      <c r="X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X449*X$78)</f>
        <v>0</v>
      </c>
      <c r="Y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Y449*Y$78)</f>
        <v>0</v>
      </c>
      <c r="Z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Z449*Z$78)</f>
        <v>0</v>
      </c>
      <c r="AA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A449*AA$78)</f>
        <v>0</v>
      </c>
      <c r="AB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B449*AB$78)</f>
        <v>0</v>
      </c>
      <c r="AC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C449*AC$78)</f>
        <v>0</v>
      </c>
      <c r="AD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D449*AD$78)</f>
        <v>0</v>
      </c>
      <c r="AE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E449*AE$78)</f>
        <v>0</v>
      </c>
      <c r="AF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F449*AF$78)</f>
        <v>0</v>
      </c>
      <c r="AG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G449*AG$78)</f>
        <v>0</v>
      </c>
      <c r="AH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H449*AH$78)</f>
        <v>0</v>
      </c>
      <c r="AI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I449*AI$78)</f>
        <v>0</v>
      </c>
      <c r="AJ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J449*AJ$78)</f>
        <v>0</v>
      </c>
      <c r="AK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K449*AK$78)</f>
        <v>0</v>
      </c>
      <c r="AL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L449*AL$78)</f>
        <v>0</v>
      </c>
      <c r="AM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M449*AM$78)</f>
        <v>0</v>
      </c>
      <c r="AN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N449*AN$78)</f>
        <v>0</v>
      </c>
      <c r="AO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O449*AO$78)</f>
        <v>0</v>
      </c>
      <c r="AP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P449*AP$78)</f>
        <v>0</v>
      </c>
      <c r="AQ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Q449*AQ$78)</f>
        <v>0</v>
      </c>
      <c r="AR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R449*AR$78)</f>
        <v>0</v>
      </c>
      <c r="AS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S449*AS$78)</f>
        <v>0</v>
      </c>
      <c r="AT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T449*AT$78)</f>
        <v>0</v>
      </c>
      <c r="AU659" s="652">
        <f>IF($B659="",,IF(LEFT($H659,5)="dummy",SUMIFS(AvgCommission[avg_commission],AvgCommission[job_title],$H659),SUMIFS(AvgCommission[avg_commission],AvgCommission[exp_item],$J659,AvgCommission[company_name],$B659,AvgCommission[bu_name],$C659,AvgCommission[dept_name],$D659,AvgCommission[team_consolidation],$K659,AvgCommission[location_name],$G659,AvgCommission[job_title],$H659))*AU449*AU$78)</f>
        <v>0</v>
      </c>
    </row>
    <row r="660" spans="2:47" x14ac:dyDescent="0.35">
      <c r="B660" t="str">
        <f t="shared" si="406"/>
        <v/>
      </c>
      <c r="C660" t="str">
        <f t="shared" si="406"/>
        <v/>
      </c>
      <c r="D660" t="str">
        <f t="shared" si="406"/>
        <v/>
      </c>
      <c r="E660" t="str">
        <f t="shared" si="406"/>
        <v/>
      </c>
      <c r="F660" t="str">
        <f t="shared" si="406"/>
        <v/>
      </c>
      <c r="G660" t="str">
        <f t="shared" si="406"/>
        <v/>
      </c>
      <c r="H660" t="str">
        <f t="shared" si="405"/>
        <v/>
      </c>
      <c r="J660" t="str">
        <f>IF($H660="","",IF(VLOOKUP($B$605,ExpItems[],2,0),$B$605&amp;" - "&amp;INDEX(DivisionMapping[category_code],MATCH($D660&amp;$C660,DivisionMapping[dept_bu],0)),$B$605))</f>
        <v/>
      </c>
      <c r="K660" t="str">
        <f t="shared" si="402"/>
        <v/>
      </c>
      <c r="L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L450*L$78)</f>
        <v>0</v>
      </c>
      <c r="M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M450*M$78)</f>
        <v>0</v>
      </c>
      <c r="N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N450*N$78)</f>
        <v>0</v>
      </c>
      <c r="O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O450*O$78)</f>
        <v>0</v>
      </c>
      <c r="P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P450*P$78)</f>
        <v>0</v>
      </c>
      <c r="Q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Q450*Q$78)</f>
        <v>0</v>
      </c>
      <c r="R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R450*R$78)</f>
        <v>0</v>
      </c>
      <c r="S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S450*S$78)</f>
        <v>0</v>
      </c>
      <c r="T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T450*T$78)</f>
        <v>0</v>
      </c>
      <c r="U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U450*U$78)</f>
        <v>0</v>
      </c>
      <c r="V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V450*V$78)</f>
        <v>0</v>
      </c>
      <c r="W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W450*W$78)</f>
        <v>0</v>
      </c>
      <c r="X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X450*X$78)</f>
        <v>0</v>
      </c>
      <c r="Y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Y450*Y$78)</f>
        <v>0</v>
      </c>
      <c r="Z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Z450*Z$78)</f>
        <v>0</v>
      </c>
      <c r="AA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A450*AA$78)</f>
        <v>0</v>
      </c>
      <c r="AB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B450*AB$78)</f>
        <v>0</v>
      </c>
      <c r="AC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C450*AC$78)</f>
        <v>0</v>
      </c>
      <c r="AD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D450*AD$78)</f>
        <v>0</v>
      </c>
      <c r="AE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E450*AE$78)</f>
        <v>0</v>
      </c>
      <c r="AF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F450*AF$78)</f>
        <v>0</v>
      </c>
      <c r="AG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G450*AG$78)</f>
        <v>0</v>
      </c>
      <c r="AH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H450*AH$78)</f>
        <v>0</v>
      </c>
      <c r="AI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I450*AI$78)</f>
        <v>0</v>
      </c>
      <c r="AJ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J450*AJ$78)</f>
        <v>0</v>
      </c>
      <c r="AK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K450*AK$78)</f>
        <v>0</v>
      </c>
      <c r="AL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L450*AL$78)</f>
        <v>0</v>
      </c>
      <c r="AM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M450*AM$78)</f>
        <v>0</v>
      </c>
      <c r="AN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N450*AN$78)</f>
        <v>0</v>
      </c>
      <c r="AO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O450*AO$78)</f>
        <v>0</v>
      </c>
      <c r="AP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P450*AP$78)</f>
        <v>0</v>
      </c>
      <c r="AQ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Q450*AQ$78)</f>
        <v>0</v>
      </c>
      <c r="AR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R450*AR$78)</f>
        <v>0</v>
      </c>
      <c r="AS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S450*AS$78)</f>
        <v>0</v>
      </c>
      <c r="AT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T450*AT$78)</f>
        <v>0</v>
      </c>
      <c r="AU660" s="652">
        <f>IF($B660="",,IF(LEFT($H660,5)="dummy",SUMIFS(AvgCommission[avg_commission],AvgCommission[job_title],$H660),SUMIFS(AvgCommission[avg_commission],AvgCommission[exp_item],$J660,AvgCommission[company_name],$B660,AvgCommission[bu_name],$C660,AvgCommission[dept_name],$D660,AvgCommission[team_consolidation],$K660,AvgCommission[location_name],$G660,AvgCommission[job_title],$H660))*AU450*AU$78)</f>
        <v>0</v>
      </c>
    </row>
    <row r="661" spans="2:47" x14ac:dyDescent="0.35">
      <c r="B661" t="str">
        <f t="shared" si="406"/>
        <v/>
      </c>
      <c r="C661" t="str">
        <f t="shared" si="406"/>
        <v/>
      </c>
      <c r="D661" t="str">
        <f t="shared" si="406"/>
        <v/>
      </c>
      <c r="E661" t="str">
        <f t="shared" si="406"/>
        <v/>
      </c>
      <c r="F661" t="str">
        <f t="shared" si="406"/>
        <v/>
      </c>
      <c r="G661" t="str">
        <f t="shared" si="406"/>
        <v/>
      </c>
      <c r="H661" t="str">
        <f t="shared" si="405"/>
        <v/>
      </c>
      <c r="J661" t="str">
        <f>IF($H661="","",IF(VLOOKUP($B$605,ExpItems[],2,0),$B$605&amp;" - "&amp;INDEX(DivisionMapping[category_code],MATCH($D661&amp;$C661,DivisionMapping[dept_bu],0)),$B$605))</f>
        <v/>
      </c>
      <c r="K661" t="str">
        <f t="shared" si="402"/>
        <v/>
      </c>
      <c r="L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L451*L$78)</f>
        <v>0</v>
      </c>
      <c r="M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M451*M$78)</f>
        <v>0</v>
      </c>
      <c r="N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N451*N$78)</f>
        <v>0</v>
      </c>
      <c r="O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O451*O$78)</f>
        <v>0</v>
      </c>
      <c r="P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P451*P$78)</f>
        <v>0</v>
      </c>
      <c r="Q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Q451*Q$78)</f>
        <v>0</v>
      </c>
      <c r="R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R451*R$78)</f>
        <v>0</v>
      </c>
      <c r="S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S451*S$78)</f>
        <v>0</v>
      </c>
      <c r="T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T451*T$78)</f>
        <v>0</v>
      </c>
      <c r="U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U451*U$78)</f>
        <v>0</v>
      </c>
      <c r="V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V451*V$78)</f>
        <v>0</v>
      </c>
      <c r="W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W451*W$78)</f>
        <v>0</v>
      </c>
      <c r="X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X451*X$78)</f>
        <v>0</v>
      </c>
      <c r="Y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Y451*Y$78)</f>
        <v>0</v>
      </c>
      <c r="Z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Z451*Z$78)</f>
        <v>0</v>
      </c>
      <c r="AA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A451*AA$78)</f>
        <v>0</v>
      </c>
      <c r="AB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B451*AB$78)</f>
        <v>0</v>
      </c>
      <c r="AC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C451*AC$78)</f>
        <v>0</v>
      </c>
      <c r="AD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D451*AD$78)</f>
        <v>0</v>
      </c>
      <c r="AE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E451*AE$78)</f>
        <v>0</v>
      </c>
      <c r="AF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F451*AF$78)</f>
        <v>0</v>
      </c>
      <c r="AG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G451*AG$78)</f>
        <v>0</v>
      </c>
      <c r="AH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H451*AH$78)</f>
        <v>0</v>
      </c>
      <c r="AI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I451*AI$78)</f>
        <v>0</v>
      </c>
      <c r="AJ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J451*AJ$78)</f>
        <v>0</v>
      </c>
      <c r="AK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K451*AK$78)</f>
        <v>0</v>
      </c>
      <c r="AL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L451*AL$78)</f>
        <v>0</v>
      </c>
      <c r="AM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M451*AM$78)</f>
        <v>0</v>
      </c>
      <c r="AN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N451*AN$78)</f>
        <v>0</v>
      </c>
      <c r="AO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O451*AO$78)</f>
        <v>0</v>
      </c>
      <c r="AP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P451*AP$78)</f>
        <v>0</v>
      </c>
      <c r="AQ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Q451*AQ$78)</f>
        <v>0</v>
      </c>
      <c r="AR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R451*AR$78)</f>
        <v>0</v>
      </c>
      <c r="AS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S451*AS$78)</f>
        <v>0</v>
      </c>
      <c r="AT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T451*AT$78)</f>
        <v>0</v>
      </c>
      <c r="AU661" s="652">
        <f>IF($B661="",,IF(LEFT($H661,5)="dummy",SUMIFS(AvgCommission[avg_commission],AvgCommission[job_title],$H661),SUMIFS(AvgCommission[avg_commission],AvgCommission[exp_item],$J661,AvgCommission[company_name],$B661,AvgCommission[bu_name],$C661,AvgCommission[dept_name],$D661,AvgCommission[team_consolidation],$K661,AvgCommission[location_name],$G661,AvgCommission[job_title],$H661))*AU451*AU$78)</f>
        <v>0</v>
      </c>
    </row>
    <row r="662" spans="2:47" x14ac:dyDescent="0.35">
      <c r="B662" t="str">
        <f t="shared" si="406"/>
        <v/>
      </c>
      <c r="C662" t="str">
        <f t="shared" si="406"/>
        <v/>
      </c>
      <c r="D662" t="str">
        <f t="shared" si="406"/>
        <v/>
      </c>
      <c r="E662" t="str">
        <f t="shared" si="406"/>
        <v/>
      </c>
      <c r="F662" t="str">
        <f t="shared" si="406"/>
        <v/>
      </c>
      <c r="G662" t="str">
        <f t="shared" si="406"/>
        <v/>
      </c>
      <c r="H662" t="str">
        <f t="shared" si="405"/>
        <v/>
      </c>
      <c r="J662" t="str">
        <f>IF($H662="","",IF(VLOOKUP($B$605,ExpItems[],2,0),$B$605&amp;" - "&amp;INDEX(DivisionMapping[category_code],MATCH($D662&amp;$C662,DivisionMapping[dept_bu],0)),$B$605))</f>
        <v/>
      </c>
      <c r="K662" t="str">
        <f t="shared" si="402"/>
        <v/>
      </c>
      <c r="L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L452*L$78)</f>
        <v>0</v>
      </c>
      <c r="M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M452*M$78)</f>
        <v>0</v>
      </c>
      <c r="N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N452*N$78)</f>
        <v>0</v>
      </c>
      <c r="O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O452*O$78)</f>
        <v>0</v>
      </c>
      <c r="P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P452*P$78)</f>
        <v>0</v>
      </c>
      <c r="Q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Q452*Q$78)</f>
        <v>0</v>
      </c>
      <c r="R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R452*R$78)</f>
        <v>0</v>
      </c>
      <c r="S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S452*S$78)</f>
        <v>0</v>
      </c>
      <c r="T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T452*T$78)</f>
        <v>0</v>
      </c>
      <c r="U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U452*U$78)</f>
        <v>0</v>
      </c>
      <c r="V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V452*V$78)</f>
        <v>0</v>
      </c>
      <c r="W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W452*W$78)</f>
        <v>0</v>
      </c>
      <c r="X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X452*X$78)</f>
        <v>0</v>
      </c>
      <c r="Y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Y452*Y$78)</f>
        <v>0</v>
      </c>
      <c r="Z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Z452*Z$78)</f>
        <v>0</v>
      </c>
      <c r="AA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A452*AA$78)</f>
        <v>0</v>
      </c>
      <c r="AB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B452*AB$78)</f>
        <v>0</v>
      </c>
      <c r="AC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C452*AC$78)</f>
        <v>0</v>
      </c>
      <c r="AD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D452*AD$78)</f>
        <v>0</v>
      </c>
      <c r="AE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E452*AE$78)</f>
        <v>0</v>
      </c>
      <c r="AF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F452*AF$78)</f>
        <v>0</v>
      </c>
      <c r="AG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G452*AG$78)</f>
        <v>0</v>
      </c>
      <c r="AH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H452*AH$78)</f>
        <v>0</v>
      </c>
      <c r="AI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I452*AI$78)</f>
        <v>0</v>
      </c>
      <c r="AJ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J452*AJ$78)</f>
        <v>0</v>
      </c>
      <c r="AK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K452*AK$78)</f>
        <v>0</v>
      </c>
      <c r="AL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L452*AL$78)</f>
        <v>0</v>
      </c>
      <c r="AM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M452*AM$78)</f>
        <v>0</v>
      </c>
      <c r="AN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N452*AN$78)</f>
        <v>0</v>
      </c>
      <c r="AO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O452*AO$78)</f>
        <v>0</v>
      </c>
      <c r="AP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P452*AP$78)</f>
        <v>0</v>
      </c>
      <c r="AQ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Q452*AQ$78)</f>
        <v>0</v>
      </c>
      <c r="AR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R452*AR$78)</f>
        <v>0</v>
      </c>
      <c r="AS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S452*AS$78)</f>
        <v>0</v>
      </c>
      <c r="AT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T452*AT$78)</f>
        <v>0</v>
      </c>
      <c r="AU662" s="652">
        <f>IF($B662="",,IF(LEFT($H662,5)="dummy",SUMIFS(AvgCommission[avg_commission],AvgCommission[job_title],$H662),SUMIFS(AvgCommission[avg_commission],AvgCommission[exp_item],$J662,AvgCommission[company_name],$B662,AvgCommission[bu_name],$C662,AvgCommission[dept_name],$D662,AvgCommission[team_consolidation],$K662,AvgCommission[location_name],$G662,AvgCommission[job_title],$H662))*AU452*AU$78)</f>
        <v>0</v>
      </c>
    </row>
    <row r="663" spans="2:47" x14ac:dyDescent="0.35">
      <c r="B663" t="str">
        <f t="shared" si="406"/>
        <v/>
      </c>
      <c r="C663" t="str">
        <f t="shared" si="406"/>
        <v/>
      </c>
      <c r="D663" t="str">
        <f t="shared" si="406"/>
        <v/>
      </c>
      <c r="E663" t="str">
        <f t="shared" si="406"/>
        <v/>
      </c>
      <c r="F663" t="str">
        <f t="shared" si="406"/>
        <v/>
      </c>
      <c r="G663" t="str">
        <f t="shared" si="406"/>
        <v/>
      </c>
      <c r="H663" t="str">
        <f t="shared" si="405"/>
        <v/>
      </c>
      <c r="J663" t="str">
        <f>IF($H663="","",IF(VLOOKUP($B$605,ExpItems[],2,0),$B$605&amp;" - "&amp;INDEX(DivisionMapping[category_code],MATCH($D663&amp;$C663,DivisionMapping[dept_bu],0)),$B$605))</f>
        <v/>
      </c>
      <c r="K663" t="str">
        <f t="shared" si="402"/>
        <v/>
      </c>
      <c r="L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L453*L$78)</f>
        <v>0</v>
      </c>
      <c r="M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M453*M$78)</f>
        <v>0</v>
      </c>
      <c r="N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N453*N$78)</f>
        <v>0</v>
      </c>
      <c r="O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O453*O$78)</f>
        <v>0</v>
      </c>
      <c r="P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P453*P$78)</f>
        <v>0</v>
      </c>
      <c r="Q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Q453*Q$78)</f>
        <v>0</v>
      </c>
      <c r="R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R453*R$78)</f>
        <v>0</v>
      </c>
      <c r="S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S453*S$78)</f>
        <v>0</v>
      </c>
      <c r="T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T453*T$78)</f>
        <v>0</v>
      </c>
      <c r="U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U453*U$78)</f>
        <v>0</v>
      </c>
      <c r="V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V453*V$78)</f>
        <v>0</v>
      </c>
      <c r="W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W453*W$78)</f>
        <v>0</v>
      </c>
      <c r="X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X453*X$78)</f>
        <v>0</v>
      </c>
      <c r="Y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Y453*Y$78)</f>
        <v>0</v>
      </c>
      <c r="Z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Z453*Z$78)</f>
        <v>0</v>
      </c>
      <c r="AA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A453*AA$78)</f>
        <v>0</v>
      </c>
      <c r="AB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B453*AB$78)</f>
        <v>0</v>
      </c>
      <c r="AC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C453*AC$78)</f>
        <v>0</v>
      </c>
      <c r="AD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D453*AD$78)</f>
        <v>0</v>
      </c>
      <c r="AE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E453*AE$78)</f>
        <v>0</v>
      </c>
      <c r="AF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F453*AF$78)</f>
        <v>0</v>
      </c>
      <c r="AG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G453*AG$78)</f>
        <v>0</v>
      </c>
      <c r="AH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H453*AH$78)</f>
        <v>0</v>
      </c>
      <c r="AI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I453*AI$78)</f>
        <v>0</v>
      </c>
      <c r="AJ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J453*AJ$78)</f>
        <v>0</v>
      </c>
      <c r="AK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K453*AK$78)</f>
        <v>0</v>
      </c>
      <c r="AL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L453*AL$78)</f>
        <v>0</v>
      </c>
      <c r="AM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M453*AM$78)</f>
        <v>0</v>
      </c>
      <c r="AN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N453*AN$78)</f>
        <v>0</v>
      </c>
      <c r="AO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O453*AO$78)</f>
        <v>0</v>
      </c>
      <c r="AP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P453*AP$78)</f>
        <v>0</v>
      </c>
      <c r="AQ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Q453*AQ$78)</f>
        <v>0</v>
      </c>
      <c r="AR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R453*AR$78)</f>
        <v>0</v>
      </c>
      <c r="AS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S453*AS$78)</f>
        <v>0</v>
      </c>
      <c r="AT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T453*AT$78)</f>
        <v>0</v>
      </c>
      <c r="AU663" s="652">
        <f>IF($B663="",,IF(LEFT($H663,5)="dummy",SUMIFS(AvgCommission[avg_commission],AvgCommission[job_title],$H663),SUMIFS(AvgCommission[avg_commission],AvgCommission[exp_item],$J663,AvgCommission[company_name],$B663,AvgCommission[bu_name],$C663,AvgCommission[dept_name],$D663,AvgCommission[team_consolidation],$K663,AvgCommission[location_name],$G663,AvgCommission[job_title],$H663))*AU453*AU$78)</f>
        <v>0</v>
      </c>
    </row>
    <row r="664" spans="2:47" x14ac:dyDescent="0.35">
      <c r="B664" t="str">
        <f t="shared" si="406"/>
        <v/>
      </c>
      <c r="C664" t="str">
        <f t="shared" si="406"/>
        <v/>
      </c>
      <c r="D664" t="str">
        <f t="shared" si="406"/>
        <v/>
      </c>
      <c r="E664" t="str">
        <f t="shared" si="406"/>
        <v/>
      </c>
      <c r="F664" t="str">
        <f t="shared" si="406"/>
        <v/>
      </c>
      <c r="G664" t="str">
        <f t="shared" si="406"/>
        <v/>
      </c>
      <c r="H664" t="str">
        <f t="shared" si="405"/>
        <v/>
      </c>
      <c r="J664" t="str">
        <f>IF($H664="","",IF(VLOOKUP($B$605,ExpItems[],2,0),$B$605&amp;" - "&amp;INDEX(DivisionMapping[category_code],MATCH($D664&amp;$C664,DivisionMapping[dept_bu],0)),$B$605))</f>
        <v/>
      </c>
      <c r="K664" t="str">
        <f t="shared" si="402"/>
        <v/>
      </c>
      <c r="L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L454*L$78)</f>
        <v>0</v>
      </c>
      <c r="M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M454*M$78)</f>
        <v>0</v>
      </c>
      <c r="N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N454*N$78)</f>
        <v>0</v>
      </c>
      <c r="O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O454*O$78)</f>
        <v>0</v>
      </c>
      <c r="P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P454*P$78)</f>
        <v>0</v>
      </c>
      <c r="Q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Q454*Q$78)</f>
        <v>0</v>
      </c>
      <c r="R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R454*R$78)</f>
        <v>0</v>
      </c>
      <c r="S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S454*S$78)</f>
        <v>0</v>
      </c>
      <c r="T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T454*T$78)</f>
        <v>0</v>
      </c>
      <c r="U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U454*U$78)</f>
        <v>0</v>
      </c>
      <c r="V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V454*V$78)</f>
        <v>0</v>
      </c>
      <c r="W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W454*W$78)</f>
        <v>0</v>
      </c>
      <c r="X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X454*X$78)</f>
        <v>0</v>
      </c>
      <c r="Y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Y454*Y$78)</f>
        <v>0</v>
      </c>
      <c r="Z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Z454*Z$78)</f>
        <v>0</v>
      </c>
      <c r="AA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A454*AA$78)</f>
        <v>0</v>
      </c>
      <c r="AB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B454*AB$78)</f>
        <v>0</v>
      </c>
      <c r="AC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C454*AC$78)</f>
        <v>0</v>
      </c>
      <c r="AD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D454*AD$78)</f>
        <v>0</v>
      </c>
      <c r="AE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E454*AE$78)</f>
        <v>0</v>
      </c>
      <c r="AF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F454*AF$78)</f>
        <v>0</v>
      </c>
      <c r="AG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G454*AG$78)</f>
        <v>0</v>
      </c>
      <c r="AH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H454*AH$78)</f>
        <v>0</v>
      </c>
      <c r="AI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I454*AI$78)</f>
        <v>0</v>
      </c>
      <c r="AJ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J454*AJ$78)</f>
        <v>0</v>
      </c>
      <c r="AK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K454*AK$78)</f>
        <v>0</v>
      </c>
      <c r="AL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L454*AL$78)</f>
        <v>0</v>
      </c>
      <c r="AM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M454*AM$78)</f>
        <v>0</v>
      </c>
      <c r="AN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N454*AN$78)</f>
        <v>0</v>
      </c>
      <c r="AO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O454*AO$78)</f>
        <v>0</v>
      </c>
      <c r="AP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P454*AP$78)</f>
        <v>0</v>
      </c>
      <c r="AQ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Q454*AQ$78)</f>
        <v>0</v>
      </c>
      <c r="AR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R454*AR$78)</f>
        <v>0</v>
      </c>
      <c r="AS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S454*AS$78)</f>
        <v>0</v>
      </c>
      <c r="AT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T454*AT$78)</f>
        <v>0</v>
      </c>
      <c r="AU664" s="652">
        <f>IF($B664="",,IF(LEFT($H664,5)="dummy",SUMIFS(AvgCommission[avg_commission],AvgCommission[job_title],$H664),SUMIFS(AvgCommission[avg_commission],AvgCommission[exp_item],$J664,AvgCommission[company_name],$B664,AvgCommission[bu_name],$C664,AvgCommission[dept_name],$D664,AvgCommission[team_consolidation],$K664,AvgCommission[location_name],$G664,AvgCommission[job_title],$H664))*AU454*AU$78)</f>
        <v>0</v>
      </c>
    </row>
    <row r="665" spans="2:47" x14ac:dyDescent="0.35">
      <c r="B665" t="str">
        <f t="shared" si="406"/>
        <v/>
      </c>
      <c r="C665" t="str">
        <f t="shared" si="406"/>
        <v/>
      </c>
      <c r="D665" t="str">
        <f t="shared" si="406"/>
        <v/>
      </c>
      <c r="E665" t="str">
        <f t="shared" si="406"/>
        <v/>
      </c>
      <c r="F665" t="str">
        <f t="shared" si="406"/>
        <v/>
      </c>
      <c r="G665" t="str">
        <f t="shared" si="406"/>
        <v/>
      </c>
      <c r="H665" t="str">
        <f t="shared" si="405"/>
        <v/>
      </c>
      <c r="J665" t="str">
        <f>IF($H665="","",IF(VLOOKUP($B$605,ExpItems[],2,0),$B$605&amp;" - "&amp;INDEX(DivisionMapping[category_code],MATCH($D665&amp;$C665,DivisionMapping[dept_bu],0)),$B$605))</f>
        <v/>
      </c>
      <c r="K665" t="str">
        <f t="shared" si="402"/>
        <v/>
      </c>
      <c r="L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L455*L$78)</f>
        <v>0</v>
      </c>
      <c r="M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M455*M$78)</f>
        <v>0</v>
      </c>
      <c r="N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N455*N$78)</f>
        <v>0</v>
      </c>
      <c r="O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O455*O$78)</f>
        <v>0</v>
      </c>
      <c r="P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P455*P$78)</f>
        <v>0</v>
      </c>
      <c r="Q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Q455*Q$78)</f>
        <v>0</v>
      </c>
      <c r="R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R455*R$78)</f>
        <v>0</v>
      </c>
      <c r="S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S455*S$78)</f>
        <v>0</v>
      </c>
      <c r="T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T455*T$78)</f>
        <v>0</v>
      </c>
      <c r="U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U455*U$78)</f>
        <v>0</v>
      </c>
      <c r="V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V455*V$78)</f>
        <v>0</v>
      </c>
      <c r="W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W455*W$78)</f>
        <v>0</v>
      </c>
      <c r="X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X455*X$78)</f>
        <v>0</v>
      </c>
      <c r="Y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Y455*Y$78)</f>
        <v>0</v>
      </c>
      <c r="Z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Z455*Z$78)</f>
        <v>0</v>
      </c>
      <c r="AA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A455*AA$78)</f>
        <v>0</v>
      </c>
      <c r="AB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B455*AB$78)</f>
        <v>0</v>
      </c>
      <c r="AC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C455*AC$78)</f>
        <v>0</v>
      </c>
      <c r="AD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D455*AD$78)</f>
        <v>0</v>
      </c>
      <c r="AE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E455*AE$78)</f>
        <v>0</v>
      </c>
      <c r="AF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F455*AF$78)</f>
        <v>0</v>
      </c>
      <c r="AG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G455*AG$78)</f>
        <v>0</v>
      </c>
      <c r="AH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H455*AH$78)</f>
        <v>0</v>
      </c>
      <c r="AI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I455*AI$78)</f>
        <v>0</v>
      </c>
      <c r="AJ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J455*AJ$78)</f>
        <v>0</v>
      </c>
      <c r="AK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K455*AK$78)</f>
        <v>0</v>
      </c>
      <c r="AL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L455*AL$78)</f>
        <v>0</v>
      </c>
      <c r="AM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M455*AM$78)</f>
        <v>0</v>
      </c>
      <c r="AN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N455*AN$78)</f>
        <v>0</v>
      </c>
      <c r="AO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O455*AO$78)</f>
        <v>0</v>
      </c>
      <c r="AP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P455*AP$78)</f>
        <v>0</v>
      </c>
      <c r="AQ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Q455*AQ$78)</f>
        <v>0</v>
      </c>
      <c r="AR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R455*AR$78)</f>
        <v>0</v>
      </c>
      <c r="AS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S455*AS$78)</f>
        <v>0</v>
      </c>
      <c r="AT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T455*AT$78)</f>
        <v>0</v>
      </c>
      <c r="AU665" s="652">
        <f>IF($B665="",,IF(LEFT($H665,5)="dummy",SUMIFS(AvgCommission[avg_commission],AvgCommission[job_title],$H665),SUMIFS(AvgCommission[avg_commission],AvgCommission[exp_item],$J665,AvgCommission[company_name],$B665,AvgCommission[bu_name],$C665,AvgCommission[dept_name],$D665,AvgCommission[team_consolidation],$K665,AvgCommission[location_name],$G665,AvgCommission[job_title],$H665))*AU455*AU$78)</f>
        <v>0</v>
      </c>
    </row>
    <row r="666" spans="2:47" x14ac:dyDescent="0.35">
      <c r="B666" t="str">
        <f t="shared" si="406"/>
        <v/>
      </c>
      <c r="C666" t="str">
        <f t="shared" si="406"/>
        <v/>
      </c>
      <c r="D666" t="str">
        <f t="shared" si="406"/>
        <v/>
      </c>
      <c r="E666" t="str">
        <f t="shared" si="406"/>
        <v/>
      </c>
      <c r="F666" t="str">
        <f t="shared" si="406"/>
        <v/>
      </c>
      <c r="G666" t="str">
        <f t="shared" si="406"/>
        <v/>
      </c>
      <c r="H666" t="str">
        <f t="shared" si="405"/>
        <v/>
      </c>
      <c r="J666" t="str">
        <f>IF($H666="","",IF(VLOOKUP($B$605,ExpItems[],2,0),$B$605&amp;" - "&amp;INDEX(DivisionMapping[category_code],MATCH($D666&amp;$C666,DivisionMapping[dept_bu],0)),$B$605))</f>
        <v/>
      </c>
      <c r="K666" t="str">
        <f t="shared" si="402"/>
        <v/>
      </c>
      <c r="L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L456*L$78)</f>
        <v>0</v>
      </c>
      <c r="M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M456*M$78)</f>
        <v>0</v>
      </c>
      <c r="N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N456*N$78)</f>
        <v>0</v>
      </c>
      <c r="O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O456*O$78)</f>
        <v>0</v>
      </c>
      <c r="P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P456*P$78)</f>
        <v>0</v>
      </c>
      <c r="Q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Q456*Q$78)</f>
        <v>0</v>
      </c>
      <c r="R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R456*R$78)</f>
        <v>0</v>
      </c>
      <c r="S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S456*S$78)</f>
        <v>0</v>
      </c>
      <c r="T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T456*T$78)</f>
        <v>0</v>
      </c>
      <c r="U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U456*U$78)</f>
        <v>0</v>
      </c>
      <c r="V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V456*V$78)</f>
        <v>0</v>
      </c>
      <c r="W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W456*W$78)</f>
        <v>0</v>
      </c>
      <c r="X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X456*X$78)</f>
        <v>0</v>
      </c>
      <c r="Y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Y456*Y$78)</f>
        <v>0</v>
      </c>
      <c r="Z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Z456*Z$78)</f>
        <v>0</v>
      </c>
      <c r="AA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A456*AA$78)</f>
        <v>0</v>
      </c>
      <c r="AB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B456*AB$78)</f>
        <v>0</v>
      </c>
      <c r="AC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C456*AC$78)</f>
        <v>0</v>
      </c>
      <c r="AD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D456*AD$78)</f>
        <v>0</v>
      </c>
      <c r="AE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E456*AE$78)</f>
        <v>0</v>
      </c>
      <c r="AF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F456*AF$78)</f>
        <v>0</v>
      </c>
      <c r="AG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G456*AG$78)</f>
        <v>0</v>
      </c>
      <c r="AH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H456*AH$78)</f>
        <v>0</v>
      </c>
      <c r="AI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I456*AI$78)</f>
        <v>0</v>
      </c>
      <c r="AJ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J456*AJ$78)</f>
        <v>0</v>
      </c>
      <c r="AK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K456*AK$78)</f>
        <v>0</v>
      </c>
      <c r="AL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L456*AL$78)</f>
        <v>0</v>
      </c>
      <c r="AM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M456*AM$78)</f>
        <v>0</v>
      </c>
      <c r="AN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N456*AN$78)</f>
        <v>0</v>
      </c>
      <c r="AO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O456*AO$78)</f>
        <v>0</v>
      </c>
      <c r="AP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P456*AP$78)</f>
        <v>0</v>
      </c>
      <c r="AQ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Q456*AQ$78)</f>
        <v>0</v>
      </c>
      <c r="AR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R456*AR$78)</f>
        <v>0</v>
      </c>
      <c r="AS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S456*AS$78)</f>
        <v>0</v>
      </c>
      <c r="AT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T456*AT$78)</f>
        <v>0</v>
      </c>
      <c r="AU666" s="652">
        <f>IF($B666="",,IF(LEFT($H666,5)="dummy",SUMIFS(AvgCommission[avg_commission],AvgCommission[job_title],$H666),SUMIFS(AvgCommission[avg_commission],AvgCommission[exp_item],$J666,AvgCommission[company_name],$B666,AvgCommission[bu_name],$C666,AvgCommission[dept_name],$D666,AvgCommission[team_consolidation],$K666,AvgCommission[location_name],$G666,AvgCommission[job_title],$H666))*AU456*AU$78)</f>
        <v>0</v>
      </c>
    </row>
    <row r="667" spans="2:47" x14ac:dyDescent="0.35">
      <c r="B667" t="str">
        <f t="shared" si="406"/>
        <v/>
      </c>
      <c r="C667" t="str">
        <f t="shared" si="406"/>
        <v/>
      </c>
      <c r="D667" t="str">
        <f t="shared" si="406"/>
        <v/>
      </c>
      <c r="E667" t="str">
        <f t="shared" si="406"/>
        <v/>
      </c>
      <c r="F667" t="str">
        <f t="shared" si="406"/>
        <v/>
      </c>
      <c r="G667" t="str">
        <f t="shared" si="406"/>
        <v/>
      </c>
      <c r="H667" t="str">
        <f t="shared" si="405"/>
        <v/>
      </c>
      <c r="J667" t="str">
        <f>IF($H667="","",IF(VLOOKUP($B$605,ExpItems[],2,0),$B$605&amp;" - "&amp;INDEX(DivisionMapping[category_code],MATCH($D667&amp;$C667,DivisionMapping[dept_bu],0)),$B$605))</f>
        <v/>
      </c>
      <c r="K667" t="str">
        <f t="shared" si="402"/>
        <v/>
      </c>
      <c r="L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L457*L$78)</f>
        <v>0</v>
      </c>
      <c r="M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M457*M$78)</f>
        <v>0</v>
      </c>
      <c r="N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N457*N$78)</f>
        <v>0</v>
      </c>
      <c r="O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O457*O$78)</f>
        <v>0</v>
      </c>
      <c r="P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P457*P$78)</f>
        <v>0</v>
      </c>
      <c r="Q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Q457*Q$78)</f>
        <v>0</v>
      </c>
      <c r="R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R457*R$78)</f>
        <v>0</v>
      </c>
      <c r="S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S457*S$78)</f>
        <v>0</v>
      </c>
      <c r="T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T457*T$78)</f>
        <v>0</v>
      </c>
      <c r="U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U457*U$78)</f>
        <v>0</v>
      </c>
      <c r="V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V457*V$78)</f>
        <v>0</v>
      </c>
      <c r="W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W457*W$78)</f>
        <v>0</v>
      </c>
      <c r="X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X457*X$78)</f>
        <v>0</v>
      </c>
      <c r="Y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Y457*Y$78)</f>
        <v>0</v>
      </c>
      <c r="Z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Z457*Z$78)</f>
        <v>0</v>
      </c>
      <c r="AA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A457*AA$78)</f>
        <v>0</v>
      </c>
      <c r="AB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B457*AB$78)</f>
        <v>0</v>
      </c>
      <c r="AC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C457*AC$78)</f>
        <v>0</v>
      </c>
      <c r="AD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D457*AD$78)</f>
        <v>0</v>
      </c>
      <c r="AE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E457*AE$78)</f>
        <v>0</v>
      </c>
      <c r="AF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F457*AF$78)</f>
        <v>0</v>
      </c>
      <c r="AG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G457*AG$78)</f>
        <v>0</v>
      </c>
      <c r="AH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H457*AH$78)</f>
        <v>0</v>
      </c>
      <c r="AI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I457*AI$78)</f>
        <v>0</v>
      </c>
      <c r="AJ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J457*AJ$78)</f>
        <v>0</v>
      </c>
      <c r="AK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K457*AK$78)</f>
        <v>0</v>
      </c>
      <c r="AL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L457*AL$78)</f>
        <v>0</v>
      </c>
      <c r="AM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M457*AM$78)</f>
        <v>0</v>
      </c>
      <c r="AN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N457*AN$78)</f>
        <v>0</v>
      </c>
      <c r="AO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O457*AO$78)</f>
        <v>0</v>
      </c>
      <c r="AP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P457*AP$78)</f>
        <v>0</v>
      </c>
      <c r="AQ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Q457*AQ$78)</f>
        <v>0</v>
      </c>
      <c r="AR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R457*AR$78)</f>
        <v>0</v>
      </c>
      <c r="AS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S457*AS$78)</f>
        <v>0</v>
      </c>
      <c r="AT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T457*AT$78)</f>
        <v>0</v>
      </c>
      <c r="AU667" s="652">
        <f>IF($B667="",,IF(LEFT($H667,5)="dummy",SUMIFS(AvgCommission[avg_commission],AvgCommission[job_title],$H667),SUMIFS(AvgCommission[avg_commission],AvgCommission[exp_item],$J667,AvgCommission[company_name],$B667,AvgCommission[bu_name],$C667,AvgCommission[dept_name],$D667,AvgCommission[team_consolidation],$K667,AvgCommission[location_name],$G667,AvgCommission[job_title],$H667))*AU457*AU$78)</f>
        <v>0</v>
      </c>
    </row>
    <row r="668" spans="2:47" x14ac:dyDescent="0.35">
      <c r="B668" t="str">
        <f t="shared" si="406"/>
        <v/>
      </c>
      <c r="C668" t="str">
        <f t="shared" si="406"/>
        <v/>
      </c>
      <c r="D668" t="str">
        <f t="shared" si="406"/>
        <v/>
      </c>
      <c r="E668" t="str">
        <f t="shared" si="406"/>
        <v/>
      </c>
      <c r="F668" t="str">
        <f t="shared" si="406"/>
        <v/>
      </c>
      <c r="G668" t="str">
        <f t="shared" si="406"/>
        <v/>
      </c>
      <c r="H668" t="str">
        <f t="shared" si="405"/>
        <v/>
      </c>
      <c r="J668" t="str">
        <f>IF($H668="","",IF(VLOOKUP($B$605,ExpItems[],2,0),$B$605&amp;" - "&amp;INDEX(DivisionMapping[category_code],MATCH($D668&amp;$C668,DivisionMapping[dept_bu],0)),$B$605))</f>
        <v/>
      </c>
      <c r="K668" t="str">
        <f t="shared" si="402"/>
        <v/>
      </c>
      <c r="L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L458*L$78)</f>
        <v>0</v>
      </c>
      <c r="M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M458*M$78)</f>
        <v>0</v>
      </c>
      <c r="N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N458*N$78)</f>
        <v>0</v>
      </c>
      <c r="O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O458*O$78)</f>
        <v>0</v>
      </c>
      <c r="P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P458*P$78)</f>
        <v>0</v>
      </c>
      <c r="Q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Q458*Q$78)</f>
        <v>0</v>
      </c>
      <c r="R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R458*R$78)</f>
        <v>0</v>
      </c>
      <c r="S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S458*S$78)</f>
        <v>0</v>
      </c>
      <c r="T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T458*T$78)</f>
        <v>0</v>
      </c>
      <c r="U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U458*U$78)</f>
        <v>0</v>
      </c>
      <c r="V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V458*V$78)</f>
        <v>0</v>
      </c>
      <c r="W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W458*W$78)</f>
        <v>0</v>
      </c>
      <c r="X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X458*X$78)</f>
        <v>0</v>
      </c>
      <c r="Y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Y458*Y$78)</f>
        <v>0</v>
      </c>
      <c r="Z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Z458*Z$78)</f>
        <v>0</v>
      </c>
      <c r="AA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A458*AA$78)</f>
        <v>0</v>
      </c>
      <c r="AB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B458*AB$78)</f>
        <v>0</v>
      </c>
      <c r="AC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C458*AC$78)</f>
        <v>0</v>
      </c>
      <c r="AD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D458*AD$78)</f>
        <v>0</v>
      </c>
      <c r="AE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E458*AE$78)</f>
        <v>0</v>
      </c>
      <c r="AF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F458*AF$78)</f>
        <v>0</v>
      </c>
      <c r="AG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G458*AG$78)</f>
        <v>0</v>
      </c>
      <c r="AH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H458*AH$78)</f>
        <v>0</v>
      </c>
      <c r="AI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I458*AI$78)</f>
        <v>0</v>
      </c>
      <c r="AJ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J458*AJ$78)</f>
        <v>0</v>
      </c>
      <c r="AK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K458*AK$78)</f>
        <v>0</v>
      </c>
      <c r="AL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L458*AL$78)</f>
        <v>0</v>
      </c>
      <c r="AM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M458*AM$78)</f>
        <v>0</v>
      </c>
      <c r="AN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N458*AN$78)</f>
        <v>0</v>
      </c>
      <c r="AO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O458*AO$78)</f>
        <v>0</v>
      </c>
      <c r="AP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P458*AP$78)</f>
        <v>0</v>
      </c>
      <c r="AQ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Q458*AQ$78)</f>
        <v>0</v>
      </c>
      <c r="AR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R458*AR$78)</f>
        <v>0</v>
      </c>
      <c r="AS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S458*AS$78)</f>
        <v>0</v>
      </c>
      <c r="AT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T458*AT$78)</f>
        <v>0</v>
      </c>
      <c r="AU668" s="652">
        <f>IF($B668="",,IF(LEFT($H668,5)="dummy",SUMIFS(AvgCommission[avg_commission],AvgCommission[job_title],$H668),SUMIFS(AvgCommission[avg_commission],AvgCommission[exp_item],$J668,AvgCommission[company_name],$B668,AvgCommission[bu_name],$C668,AvgCommission[dept_name],$D668,AvgCommission[team_consolidation],$K668,AvgCommission[location_name],$G668,AvgCommission[job_title],$H668))*AU458*AU$78)</f>
        <v>0</v>
      </c>
    </row>
    <row r="669" spans="2:47" x14ac:dyDescent="0.35">
      <c r="B669" t="str">
        <f t="shared" si="406"/>
        <v/>
      </c>
      <c r="C669" t="str">
        <f t="shared" si="406"/>
        <v/>
      </c>
      <c r="D669" t="str">
        <f t="shared" si="406"/>
        <v/>
      </c>
      <c r="E669" t="str">
        <f t="shared" si="406"/>
        <v/>
      </c>
      <c r="F669" t="str">
        <f t="shared" si="406"/>
        <v/>
      </c>
      <c r="G669" t="str">
        <f t="shared" si="406"/>
        <v/>
      </c>
      <c r="H669" t="str">
        <f t="shared" si="405"/>
        <v/>
      </c>
      <c r="J669" t="str">
        <f>IF($H669="","",IF(VLOOKUP($B$605,ExpItems[],2,0),$B$605&amp;" - "&amp;INDEX(DivisionMapping[category_code],MATCH($D669&amp;$C669,DivisionMapping[dept_bu],0)),$B$605))</f>
        <v/>
      </c>
      <c r="K669" t="str">
        <f t="shared" si="402"/>
        <v/>
      </c>
      <c r="L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L459*L$78)</f>
        <v>0</v>
      </c>
      <c r="M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M459*M$78)</f>
        <v>0</v>
      </c>
      <c r="N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N459*N$78)</f>
        <v>0</v>
      </c>
      <c r="O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O459*O$78)</f>
        <v>0</v>
      </c>
      <c r="P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P459*P$78)</f>
        <v>0</v>
      </c>
      <c r="Q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Q459*Q$78)</f>
        <v>0</v>
      </c>
      <c r="R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R459*R$78)</f>
        <v>0</v>
      </c>
      <c r="S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S459*S$78)</f>
        <v>0</v>
      </c>
      <c r="T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T459*T$78)</f>
        <v>0</v>
      </c>
      <c r="U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U459*U$78)</f>
        <v>0</v>
      </c>
      <c r="V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V459*V$78)</f>
        <v>0</v>
      </c>
      <c r="W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W459*W$78)</f>
        <v>0</v>
      </c>
      <c r="X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X459*X$78)</f>
        <v>0</v>
      </c>
      <c r="Y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Y459*Y$78)</f>
        <v>0</v>
      </c>
      <c r="Z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Z459*Z$78)</f>
        <v>0</v>
      </c>
      <c r="AA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A459*AA$78)</f>
        <v>0</v>
      </c>
      <c r="AB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B459*AB$78)</f>
        <v>0</v>
      </c>
      <c r="AC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C459*AC$78)</f>
        <v>0</v>
      </c>
      <c r="AD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D459*AD$78)</f>
        <v>0</v>
      </c>
      <c r="AE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E459*AE$78)</f>
        <v>0</v>
      </c>
      <c r="AF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F459*AF$78)</f>
        <v>0</v>
      </c>
      <c r="AG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G459*AG$78)</f>
        <v>0</v>
      </c>
      <c r="AH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H459*AH$78)</f>
        <v>0</v>
      </c>
      <c r="AI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I459*AI$78)</f>
        <v>0</v>
      </c>
      <c r="AJ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J459*AJ$78)</f>
        <v>0</v>
      </c>
      <c r="AK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K459*AK$78)</f>
        <v>0</v>
      </c>
      <c r="AL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L459*AL$78)</f>
        <v>0</v>
      </c>
      <c r="AM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M459*AM$78)</f>
        <v>0</v>
      </c>
      <c r="AN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N459*AN$78)</f>
        <v>0</v>
      </c>
      <c r="AO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O459*AO$78)</f>
        <v>0</v>
      </c>
      <c r="AP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P459*AP$78)</f>
        <v>0</v>
      </c>
      <c r="AQ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Q459*AQ$78)</f>
        <v>0</v>
      </c>
      <c r="AR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R459*AR$78)</f>
        <v>0</v>
      </c>
      <c r="AS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S459*AS$78)</f>
        <v>0</v>
      </c>
      <c r="AT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T459*AT$78)</f>
        <v>0</v>
      </c>
      <c r="AU669" s="652">
        <f>IF($B669="",,IF(LEFT($H669,5)="dummy",SUMIFS(AvgCommission[avg_commission],AvgCommission[job_title],$H669),SUMIFS(AvgCommission[avg_commission],AvgCommission[exp_item],$J669,AvgCommission[company_name],$B669,AvgCommission[bu_name],$C669,AvgCommission[dept_name],$D669,AvgCommission[team_consolidation],$K669,AvgCommission[location_name],$G669,AvgCommission[job_title],$H669))*AU459*AU$78)</f>
        <v>0</v>
      </c>
    </row>
    <row r="670" spans="2:47" x14ac:dyDescent="0.35">
      <c r="B670" t="str">
        <f t="shared" ref="B670:G685" si="407">IF(B565="","",B565)</f>
        <v/>
      </c>
      <c r="C670" t="str">
        <f t="shared" si="407"/>
        <v/>
      </c>
      <c r="D670" t="str">
        <f t="shared" si="407"/>
        <v/>
      </c>
      <c r="E670" t="str">
        <f t="shared" si="407"/>
        <v/>
      </c>
      <c r="F670" t="str">
        <f t="shared" si="407"/>
        <v/>
      </c>
      <c r="G670" t="str">
        <f t="shared" si="407"/>
        <v/>
      </c>
      <c r="H670" t="str">
        <f t="shared" ref="H670:H701" si="408">IF(H355="","",H355)</f>
        <v/>
      </c>
      <c r="J670" t="str">
        <f>IF($H670="","",IF(VLOOKUP($B$605,ExpItems[],2,0),$B$605&amp;" - "&amp;INDEX(DivisionMapping[category_code],MATCH($D670&amp;$C670,DivisionMapping[dept_bu],0)),$B$605))</f>
        <v/>
      </c>
      <c r="K670" t="str">
        <f t="shared" si="402"/>
        <v/>
      </c>
      <c r="L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L460*L$78)</f>
        <v>0</v>
      </c>
      <c r="M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M460*M$78)</f>
        <v>0</v>
      </c>
      <c r="N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N460*N$78)</f>
        <v>0</v>
      </c>
      <c r="O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O460*O$78)</f>
        <v>0</v>
      </c>
      <c r="P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P460*P$78)</f>
        <v>0</v>
      </c>
      <c r="Q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Q460*Q$78)</f>
        <v>0</v>
      </c>
      <c r="R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R460*R$78)</f>
        <v>0</v>
      </c>
      <c r="S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S460*S$78)</f>
        <v>0</v>
      </c>
      <c r="T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T460*T$78)</f>
        <v>0</v>
      </c>
      <c r="U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U460*U$78)</f>
        <v>0</v>
      </c>
      <c r="V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V460*V$78)</f>
        <v>0</v>
      </c>
      <c r="W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W460*W$78)</f>
        <v>0</v>
      </c>
      <c r="X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X460*X$78)</f>
        <v>0</v>
      </c>
      <c r="Y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Y460*Y$78)</f>
        <v>0</v>
      </c>
      <c r="Z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Z460*Z$78)</f>
        <v>0</v>
      </c>
      <c r="AA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A460*AA$78)</f>
        <v>0</v>
      </c>
      <c r="AB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B460*AB$78)</f>
        <v>0</v>
      </c>
      <c r="AC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C460*AC$78)</f>
        <v>0</v>
      </c>
      <c r="AD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D460*AD$78)</f>
        <v>0</v>
      </c>
      <c r="AE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E460*AE$78)</f>
        <v>0</v>
      </c>
      <c r="AF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F460*AF$78)</f>
        <v>0</v>
      </c>
      <c r="AG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G460*AG$78)</f>
        <v>0</v>
      </c>
      <c r="AH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H460*AH$78)</f>
        <v>0</v>
      </c>
      <c r="AI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I460*AI$78)</f>
        <v>0</v>
      </c>
      <c r="AJ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J460*AJ$78)</f>
        <v>0</v>
      </c>
      <c r="AK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K460*AK$78)</f>
        <v>0</v>
      </c>
      <c r="AL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L460*AL$78)</f>
        <v>0</v>
      </c>
      <c r="AM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M460*AM$78)</f>
        <v>0</v>
      </c>
      <c r="AN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N460*AN$78)</f>
        <v>0</v>
      </c>
      <c r="AO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O460*AO$78)</f>
        <v>0</v>
      </c>
      <c r="AP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P460*AP$78)</f>
        <v>0</v>
      </c>
      <c r="AQ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Q460*AQ$78)</f>
        <v>0</v>
      </c>
      <c r="AR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R460*AR$78)</f>
        <v>0</v>
      </c>
      <c r="AS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S460*AS$78)</f>
        <v>0</v>
      </c>
      <c r="AT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T460*AT$78)</f>
        <v>0</v>
      </c>
      <c r="AU670" s="652">
        <f>IF($B670="",,IF(LEFT($H670,5)="dummy",SUMIFS(AvgCommission[avg_commission],AvgCommission[job_title],$H670),SUMIFS(AvgCommission[avg_commission],AvgCommission[exp_item],$J670,AvgCommission[company_name],$B670,AvgCommission[bu_name],$C670,AvgCommission[dept_name],$D670,AvgCommission[team_consolidation],$K670,AvgCommission[location_name],$G670,AvgCommission[job_title],$H670))*AU460*AU$78)</f>
        <v>0</v>
      </c>
    </row>
    <row r="671" spans="2:47" x14ac:dyDescent="0.35">
      <c r="B671" t="str">
        <f t="shared" si="407"/>
        <v/>
      </c>
      <c r="C671" t="str">
        <f t="shared" si="407"/>
        <v/>
      </c>
      <c r="D671" t="str">
        <f t="shared" si="407"/>
        <v/>
      </c>
      <c r="E671" t="str">
        <f t="shared" si="407"/>
        <v/>
      </c>
      <c r="F671" t="str">
        <f t="shared" si="407"/>
        <v/>
      </c>
      <c r="G671" t="str">
        <f t="shared" si="407"/>
        <v/>
      </c>
      <c r="H671" t="str">
        <f t="shared" si="408"/>
        <v/>
      </c>
      <c r="J671" t="str">
        <f>IF($H671="","",IF(VLOOKUP($B$605,ExpItems[],2,0),$B$605&amp;" - "&amp;INDEX(DivisionMapping[category_code],MATCH($D671&amp;$C671,DivisionMapping[dept_bu],0)),$B$605))</f>
        <v/>
      </c>
      <c r="K671" t="str">
        <f t="shared" ref="K671:K706" si="409">K566</f>
        <v/>
      </c>
      <c r="L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L461*L$78)</f>
        <v>0</v>
      </c>
      <c r="M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M461*M$78)</f>
        <v>0</v>
      </c>
      <c r="N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N461*N$78)</f>
        <v>0</v>
      </c>
      <c r="O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O461*O$78)</f>
        <v>0</v>
      </c>
      <c r="P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P461*P$78)</f>
        <v>0</v>
      </c>
      <c r="Q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Q461*Q$78)</f>
        <v>0</v>
      </c>
      <c r="R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R461*R$78)</f>
        <v>0</v>
      </c>
      <c r="S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S461*S$78)</f>
        <v>0</v>
      </c>
      <c r="T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T461*T$78)</f>
        <v>0</v>
      </c>
      <c r="U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U461*U$78)</f>
        <v>0</v>
      </c>
      <c r="V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V461*V$78)</f>
        <v>0</v>
      </c>
      <c r="W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W461*W$78)</f>
        <v>0</v>
      </c>
      <c r="X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X461*X$78)</f>
        <v>0</v>
      </c>
      <c r="Y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Y461*Y$78)</f>
        <v>0</v>
      </c>
      <c r="Z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Z461*Z$78)</f>
        <v>0</v>
      </c>
      <c r="AA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A461*AA$78)</f>
        <v>0</v>
      </c>
      <c r="AB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B461*AB$78)</f>
        <v>0</v>
      </c>
      <c r="AC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C461*AC$78)</f>
        <v>0</v>
      </c>
      <c r="AD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D461*AD$78)</f>
        <v>0</v>
      </c>
      <c r="AE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E461*AE$78)</f>
        <v>0</v>
      </c>
      <c r="AF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F461*AF$78)</f>
        <v>0</v>
      </c>
      <c r="AG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G461*AG$78)</f>
        <v>0</v>
      </c>
      <c r="AH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H461*AH$78)</f>
        <v>0</v>
      </c>
      <c r="AI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I461*AI$78)</f>
        <v>0</v>
      </c>
      <c r="AJ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J461*AJ$78)</f>
        <v>0</v>
      </c>
      <c r="AK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K461*AK$78)</f>
        <v>0</v>
      </c>
      <c r="AL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L461*AL$78)</f>
        <v>0</v>
      </c>
      <c r="AM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M461*AM$78)</f>
        <v>0</v>
      </c>
      <c r="AN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N461*AN$78)</f>
        <v>0</v>
      </c>
      <c r="AO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O461*AO$78)</f>
        <v>0</v>
      </c>
      <c r="AP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P461*AP$78)</f>
        <v>0</v>
      </c>
      <c r="AQ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Q461*AQ$78)</f>
        <v>0</v>
      </c>
      <c r="AR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R461*AR$78)</f>
        <v>0</v>
      </c>
      <c r="AS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S461*AS$78)</f>
        <v>0</v>
      </c>
      <c r="AT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T461*AT$78)</f>
        <v>0</v>
      </c>
      <c r="AU671" s="652">
        <f>IF($B671="",,IF(LEFT($H671,5)="dummy",SUMIFS(AvgCommission[avg_commission],AvgCommission[job_title],$H671),SUMIFS(AvgCommission[avg_commission],AvgCommission[exp_item],$J671,AvgCommission[company_name],$B671,AvgCommission[bu_name],$C671,AvgCommission[dept_name],$D671,AvgCommission[team_consolidation],$K671,AvgCommission[location_name],$G671,AvgCommission[job_title],$H671))*AU461*AU$78)</f>
        <v>0</v>
      </c>
    </row>
    <row r="672" spans="2:47" x14ac:dyDescent="0.35">
      <c r="B672" t="str">
        <f t="shared" si="407"/>
        <v/>
      </c>
      <c r="C672" t="str">
        <f t="shared" si="407"/>
        <v/>
      </c>
      <c r="D672" t="str">
        <f t="shared" si="407"/>
        <v/>
      </c>
      <c r="E672" t="str">
        <f t="shared" si="407"/>
        <v/>
      </c>
      <c r="F672" t="str">
        <f t="shared" si="407"/>
        <v/>
      </c>
      <c r="G672" t="str">
        <f t="shared" si="407"/>
        <v/>
      </c>
      <c r="H672" t="str">
        <f t="shared" si="408"/>
        <v/>
      </c>
      <c r="J672" t="str">
        <f>IF($H672="","",IF(VLOOKUP($B$605,ExpItems[],2,0),$B$605&amp;" - "&amp;INDEX(DivisionMapping[category_code],MATCH($D672&amp;$C672,DivisionMapping[dept_bu],0)),$B$605))</f>
        <v/>
      </c>
      <c r="K672" t="str">
        <f t="shared" si="409"/>
        <v/>
      </c>
      <c r="L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L462*L$78)</f>
        <v>0</v>
      </c>
      <c r="M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M462*M$78)</f>
        <v>0</v>
      </c>
      <c r="N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N462*N$78)</f>
        <v>0</v>
      </c>
      <c r="O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O462*O$78)</f>
        <v>0</v>
      </c>
      <c r="P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P462*P$78)</f>
        <v>0</v>
      </c>
      <c r="Q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Q462*Q$78)</f>
        <v>0</v>
      </c>
      <c r="R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R462*R$78)</f>
        <v>0</v>
      </c>
      <c r="S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S462*S$78)</f>
        <v>0</v>
      </c>
      <c r="T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T462*T$78)</f>
        <v>0</v>
      </c>
      <c r="U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U462*U$78)</f>
        <v>0</v>
      </c>
      <c r="V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V462*V$78)</f>
        <v>0</v>
      </c>
      <c r="W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W462*W$78)</f>
        <v>0</v>
      </c>
      <c r="X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X462*X$78)</f>
        <v>0</v>
      </c>
      <c r="Y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Y462*Y$78)</f>
        <v>0</v>
      </c>
      <c r="Z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Z462*Z$78)</f>
        <v>0</v>
      </c>
      <c r="AA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A462*AA$78)</f>
        <v>0</v>
      </c>
      <c r="AB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B462*AB$78)</f>
        <v>0</v>
      </c>
      <c r="AC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C462*AC$78)</f>
        <v>0</v>
      </c>
      <c r="AD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D462*AD$78)</f>
        <v>0</v>
      </c>
      <c r="AE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E462*AE$78)</f>
        <v>0</v>
      </c>
      <c r="AF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F462*AF$78)</f>
        <v>0</v>
      </c>
      <c r="AG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G462*AG$78)</f>
        <v>0</v>
      </c>
      <c r="AH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H462*AH$78)</f>
        <v>0</v>
      </c>
      <c r="AI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I462*AI$78)</f>
        <v>0</v>
      </c>
      <c r="AJ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J462*AJ$78)</f>
        <v>0</v>
      </c>
      <c r="AK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K462*AK$78)</f>
        <v>0</v>
      </c>
      <c r="AL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L462*AL$78)</f>
        <v>0</v>
      </c>
      <c r="AM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M462*AM$78)</f>
        <v>0</v>
      </c>
      <c r="AN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N462*AN$78)</f>
        <v>0</v>
      </c>
      <c r="AO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O462*AO$78)</f>
        <v>0</v>
      </c>
      <c r="AP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P462*AP$78)</f>
        <v>0</v>
      </c>
      <c r="AQ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Q462*AQ$78)</f>
        <v>0</v>
      </c>
      <c r="AR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R462*AR$78)</f>
        <v>0</v>
      </c>
      <c r="AS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S462*AS$78)</f>
        <v>0</v>
      </c>
      <c r="AT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T462*AT$78)</f>
        <v>0</v>
      </c>
      <c r="AU672" s="652">
        <f>IF($B672="",,IF(LEFT($H672,5)="dummy",SUMIFS(AvgCommission[avg_commission],AvgCommission[job_title],$H672),SUMIFS(AvgCommission[avg_commission],AvgCommission[exp_item],$J672,AvgCommission[company_name],$B672,AvgCommission[bu_name],$C672,AvgCommission[dept_name],$D672,AvgCommission[team_consolidation],$K672,AvgCommission[location_name],$G672,AvgCommission[job_title],$H672))*AU462*AU$78)</f>
        <v>0</v>
      </c>
    </row>
    <row r="673" spans="2:47" x14ac:dyDescent="0.35">
      <c r="B673" t="str">
        <f t="shared" si="407"/>
        <v/>
      </c>
      <c r="C673" t="str">
        <f t="shared" si="407"/>
        <v/>
      </c>
      <c r="D673" t="str">
        <f t="shared" si="407"/>
        <v/>
      </c>
      <c r="E673" t="str">
        <f t="shared" si="407"/>
        <v/>
      </c>
      <c r="F673" t="str">
        <f t="shared" si="407"/>
        <v/>
      </c>
      <c r="G673" t="str">
        <f t="shared" si="407"/>
        <v/>
      </c>
      <c r="H673" t="str">
        <f t="shared" si="408"/>
        <v/>
      </c>
      <c r="J673" t="str">
        <f>IF($H673="","",IF(VLOOKUP($B$605,ExpItems[],2,0),$B$605&amp;" - "&amp;INDEX(DivisionMapping[category_code],MATCH($D673&amp;$C673,DivisionMapping[dept_bu],0)),$B$605))</f>
        <v/>
      </c>
      <c r="K673" t="str">
        <f t="shared" si="409"/>
        <v/>
      </c>
      <c r="L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L463*L$78)</f>
        <v>0</v>
      </c>
      <c r="M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M463*M$78)</f>
        <v>0</v>
      </c>
      <c r="N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N463*N$78)</f>
        <v>0</v>
      </c>
      <c r="O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O463*O$78)</f>
        <v>0</v>
      </c>
      <c r="P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P463*P$78)</f>
        <v>0</v>
      </c>
      <c r="Q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Q463*Q$78)</f>
        <v>0</v>
      </c>
      <c r="R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R463*R$78)</f>
        <v>0</v>
      </c>
      <c r="S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S463*S$78)</f>
        <v>0</v>
      </c>
      <c r="T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T463*T$78)</f>
        <v>0</v>
      </c>
      <c r="U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U463*U$78)</f>
        <v>0</v>
      </c>
      <c r="V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V463*V$78)</f>
        <v>0</v>
      </c>
      <c r="W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W463*W$78)</f>
        <v>0</v>
      </c>
      <c r="X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X463*X$78)</f>
        <v>0</v>
      </c>
      <c r="Y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Y463*Y$78)</f>
        <v>0</v>
      </c>
      <c r="Z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Z463*Z$78)</f>
        <v>0</v>
      </c>
      <c r="AA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A463*AA$78)</f>
        <v>0</v>
      </c>
      <c r="AB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B463*AB$78)</f>
        <v>0</v>
      </c>
      <c r="AC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C463*AC$78)</f>
        <v>0</v>
      </c>
      <c r="AD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D463*AD$78)</f>
        <v>0</v>
      </c>
      <c r="AE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E463*AE$78)</f>
        <v>0</v>
      </c>
      <c r="AF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F463*AF$78)</f>
        <v>0</v>
      </c>
      <c r="AG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G463*AG$78)</f>
        <v>0</v>
      </c>
      <c r="AH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H463*AH$78)</f>
        <v>0</v>
      </c>
      <c r="AI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I463*AI$78)</f>
        <v>0</v>
      </c>
      <c r="AJ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J463*AJ$78)</f>
        <v>0</v>
      </c>
      <c r="AK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K463*AK$78)</f>
        <v>0</v>
      </c>
      <c r="AL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L463*AL$78)</f>
        <v>0</v>
      </c>
      <c r="AM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M463*AM$78)</f>
        <v>0</v>
      </c>
      <c r="AN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N463*AN$78)</f>
        <v>0</v>
      </c>
      <c r="AO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O463*AO$78)</f>
        <v>0</v>
      </c>
      <c r="AP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P463*AP$78)</f>
        <v>0</v>
      </c>
      <c r="AQ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Q463*AQ$78)</f>
        <v>0</v>
      </c>
      <c r="AR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R463*AR$78)</f>
        <v>0</v>
      </c>
      <c r="AS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S463*AS$78)</f>
        <v>0</v>
      </c>
      <c r="AT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T463*AT$78)</f>
        <v>0</v>
      </c>
      <c r="AU673" s="652">
        <f>IF($B673="",,IF(LEFT($H673,5)="dummy",SUMIFS(AvgCommission[avg_commission],AvgCommission[job_title],$H673),SUMIFS(AvgCommission[avg_commission],AvgCommission[exp_item],$J673,AvgCommission[company_name],$B673,AvgCommission[bu_name],$C673,AvgCommission[dept_name],$D673,AvgCommission[team_consolidation],$K673,AvgCommission[location_name],$G673,AvgCommission[job_title],$H673))*AU463*AU$78)</f>
        <v>0</v>
      </c>
    </row>
    <row r="674" spans="2:47" x14ac:dyDescent="0.35">
      <c r="B674" t="str">
        <f t="shared" si="407"/>
        <v/>
      </c>
      <c r="C674" t="str">
        <f t="shared" si="407"/>
        <v/>
      </c>
      <c r="D674" t="str">
        <f t="shared" si="407"/>
        <v/>
      </c>
      <c r="E674" t="str">
        <f t="shared" si="407"/>
        <v/>
      </c>
      <c r="F674" t="str">
        <f t="shared" si="407"/>
        <v/>
      </c>
      <c r="G674" t="str">
        <f t="shared" si="407"/>
        <v/>
      </c>
      <c r="H674" t="str">
        <f t="shared" si="408"/>
        <v/>
      </c>
      <c r="J674" t="str">
        <f>IF($H674="","",IF(VLOOKUP($B$605,ExpItems[],2,0),$B$605&amp;" - "&amp;INDEX(DivisionMapping[category_code],MATCH($D674&amp;$C674,DivisionMapping[dept_bu],0)),$B$605))</f>
        <v/>
      </c>
      <c r="K674" t="str">
        <f t="shared" si="409"/>
        <v/>
      </c>
      <c r="L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L464*L$78)</f>
        <v>0</v>
      </c>
      <c r="M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M464*M$78)</f>
        <v>0</v>
      </c>
      <c r="N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N464*N$78)</f>
        <v>0</v>
      </c>
      <c r="O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O464*O$78)</f>
        <v>0</v>
      </c>
      <c r="P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P464*P$78)</f>
        <v>0</v>
      </c>
      <c r="Q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Q464*Q$78)</f>
        <v>0</v>
      </c>
      <c r="R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R464*R$78)</f>
        <v>0</v>
      </c>
      <c r="S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S464*S$78)</f>
        <v>0</v>
      </c>
      <c r="T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T464*T$78)</f>
        <v>0</v>
      </c>
      <c r="U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U464*U$78)</f>
        <v>0</v>
      </c>
      <c r="V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V464*V$78)</f>
        <v>0</v>
      </c>
      <c r="W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W464*W$78)</f>
        <v>0</v>
      </c>
      <c r="X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X464*X$78)</f>
        <v>0</v>
      </c>
      <c r="Y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Y464*Y$78)</f>
        <v>0</v>
      </c>
      <c r="Z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Z464*Z$78)</f>
        <v>0</v>
      </c>
      <c r="AA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A464*AA$78)</f>
        <v>0</v>
      </c>
      <c r="AB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B464*AB$78)</f>
        <v>0</v>
      </c>
      <c r="AC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C464*AC$78)</f>
        <v>0</v>
      </c>
      <c r="AD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D464*AD$78)</f>
        <v>0</v>
      </c>
      <c r="AE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E464*AE$78)</f>
        <v>0</v>
      </c>
      <c r="AF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F464*AF$78)</f>
        <v>0</v>
      </c>
      <c r="AG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G464*AG$78)</f>
        <v>0</v>
      </c>
      <c r="AH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H464*AH$78)</f>
        <v>0</v>
      </c>
      <c r="AI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I464*AI$78)</f>
        <v>0</v>
      </c>
      <c r="AJ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J464*AJ$78)</f>
        <v>0</v>
      </c>
      <c r="AK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K464*AK$78)</f>
        <v>0</v>
      </c>
      <c r="AL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L464*AL$78)</f>
        <v>0</v>
      </c>
      <c r="AM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M464*AM$78)</f>
        <v>0</v>
      </c>
      <c r="AN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N464*AN$78)</f>
        <v>0</v>
      </c>
      <c r="AO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O464*AO$78)</f>
        <v>0</v>
      </c>
      <c r="AP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P464*AP$78)</f>
        <v>0</v>
      </c>
      <c r="AQ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Q464*AQ$78)</f>
        <v>0</v>
      </c>
      <c r="AR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R464*AR$78)</f>
        <v>0</v>
      </c>
      <c r="AS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S464*AS$78)</f>
        <v>0</v>
      </c>
      <c r="AT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T464*AT$78)</f>
        <v>0</v>
      </c>
      <c r="AU674" s="652">
        <f>IF($B674="",,IF(LEFT($H674,5)="dummy",SUMIFS(AvgCommission[avg_commission],AvgCommission[job_title],$H674),SUMIFS(AvgCommission[avg_commission],AvgCommission[exp_item],$J674,AvgCommission[company_name],$B674,AvgCommission[bu_name],$C674,AvgCommission[dept_name],$D674,AvgCommission[team_consolidation],$K674,AvgCommission[location_name],$G674,AvgCommission[job_title],$H674))*AU464*AU$78)</f>
        <v>0</v>
      </c>
    </row>
    <row r="675" spans="2:47" x14ac:dyDescent="0.35">
      <c r="B675" t="str">
        <f t="shared" si="407"/>
        <v/>
      </c>
      <c r="C675" t="str">
        <f t="shared" si="407"/>
        <v/>
      </c>
      <c r="D675" t="str">
        <f t="shared" si="407"/>
        <v/>
      </c>
      <c r="E675" t="str">
        <f t="shared" si="407"/>
        <v/>
      </c>
      <c r="F675" t="str">
        <f t="shared" si="407"/>
        <v/>
      </c>
      <c r="G675" t="str">
        <f t="shared" si="407"/>
        <v/>
      </c>
      <c r="H675" t="str">
        <f t="shared" si="408"/>
        <v/>
      </c>
      <c r="J675" t="str">
        <f>IF($H675="","",IF(VLOOKUP($B$605,ExpItems[],2,0),$B$605&amp;" - "&amp;INDEX(DivisionMapping[category_code],MATCH($D675&amp;$C675,DivisionMapping[dept_bu],0)),$B$605))</f>
        <v/>
      </c>
      <c r="K675" t="str">
        <f t="shared" si="409"/>
        <v/>
      </c>
      <c r="L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L465*L$78)</f>
        <v>0</v>
      </c>
      <c r="M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M465*M$78)</f>
        <v>0</v>
      </c>
      <c r="N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N465*N$78)</f>
        <v>0</v>
      </c>
      <c r="O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O465*O$78)</f>
        <v>0</v>
      </c>
      <c r="P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P465*P$78)</f>
        <v>0</v>
      </c>
      <c r="Q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Q465*Q$78)</f>
        <v>0</v>
      </c>
      <c r="R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R465*R$78)</f>
        <v>0</v>
      </c>
      <c r="S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S465*S$78)</f>
        <v>0</v>
      </c>
      <c r="T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T465*T$78)</f>
        <v>0</v>
      </c>
      <c r="U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U465*U$78)</f>
        <v>0</v>
      </c>
      <c r="V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V465*V$78)</f>
        <v>0</v>
      </c>
      <c r="W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W465*W$78)</f>
        <v>0</v>
      </c>
      <c r="X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X465*X$78)</f>
        <v>0</v>
      </c>
      <c r="Y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Y465*Y$78)</f>
        <v>0</v>
      </c>
      <c r="Z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Z465*Z$78)</f>
        <v>0</v>
      </c>
      <c r="AA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A465*AA$78)</f>
        <v>0</v>
      </c>
      <c r="AB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B465*AB$78)</f>
        <v>0</v>
      </c>
      <c r="AC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C465*AC$78)</f>
        <v>0</v>
      </c>
      <c r="AD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D465*AD$78)</f>
        <v>0</v>
      </c>
      <c r="AE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E465*AE$78)</f>
        <v>0</v>
      </c>
      <c r="AF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F465*AF$78)</f>
        <v>0</v>
      </c>
      <c r="AG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G465*AG$78)</f>
        <v>0</v>
      </c>
      <c r="AH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H465*AH$78)</f>
        <v>0</v>
      </c>
      <c r="AI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I465*AI$78)</f>
        <v>0</v>
      </c>
      <c r="AJ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J465*AJ$78)</f>
        <v>0</v>
      </c>
      <c r="AK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K465*AK$78)</f>
        <v>0</v>
      </c>
      <c r="AL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L465*AL$78)</f>
        <v>0</v>
      </c>
      <c r="AM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M465*AM$78)</f>
        <v>0</v>
      </c>
      <c r="AN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N465*AN$78)</f>
        <v>0</v>
      </c>
      <c r="AO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O465*AO$78)</f>
        <v>0</v>
      </c>
      <c r="AP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P465*AP$78)</f>
        <v>0</v>
      </c>
      <c r="AQ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Q465*AQ$78)</f>
        <v>0</v>
      </c>
      <c r="AR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R465*AR$78)</f>
        <v>0</v>
      </c>
      <c r="AS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S465*AS$78)</f>
        <v>0</v>
      </c>
      <c r="AT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T465*AT$78)</f>
        <v>0</v>
      </c>
      <c r="AU675" s="652">
        <f>IF($B675="",,IF(LEFT($H675,5)="dummy",SUMIFS(AvgCommission[avg_commission],AvgCommission[job_title],$H675),SUMIFS(AvgCommission[avg_commission],AvgCommission[exp_item],$J675,AvgCommission[company_name],$B675,AvgCommission[bu_name],$C675,AvgCommission[dept_name],$D675,AvgCommission[team_consolidation],$K675,AvgCommission[location_name],$G675,AvgCommission[job_title],$H675))*AU465*AU$78)</f>
        <v>0</v>
      </c>
    </row>
    <row r="676" spans="2:47" x14ac:dyDescent="0.35">
      <c r="B676" t="str">
        <f t="shared" si="407"/>
        <v/>
      </c>
      <c r="C676" t="str">
        <f t="shared" si="407"/>
        <v/>
      </c>
      <c r="D676" t="str">
        <f t="shared" si="407"/>
        <v/>
      </c>
      <c r="E676" t="str">
        <f t="shared" si="407"/>
        <v/>
      </c>
      <c r="F676" t="str">
        <f t="shared" si="407"/>
        <v/>
      </c>
      <c r="G676" t="str">
        <f t="shared" si="407"/>
        <v/>
      </c>
      <c r="H676" t="str">
        <f t="shared" si="408"/>
        <v/>
      </c>
      <c r="J676" t="str">
        <f>IF($H676="","",IF(VLOOKUP($B$605,ExpItems[],2,0),$B$605&amp;" - "&amp;INDEX(DivisionMapping[category_code],MATCH($D676&amp;$C676,DivisionMapping[dept_bu],0)),$B$605))</f>
        <v/>
      </c>
      <c r="K676" t="str">
        <f t="shared" si="409"/>
        <v/>
      </c>
      <c r="L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L466*L$78)</f>
        <v>0</v>
      </c>
      <c r="M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M466*M$78)</f>
        <v>0</v>
      </c>
      <c r="N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N466*N$78)</f>
        <v>0</v>
      </c>
      <c r="O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O466*O$78)</f>
        <v>0</v>
      </c>
      <c r="P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P466*P$78)</f>
        <v>0</v>
      </c>
      <c r="Q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Q466*Q$78)</f>
        <v>0</v>
      </c>
      <c r="R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R466*R$78)</f>
        <v>0</v>
      </c>
      <c r="S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S466*S$78)</f>
        <v>0</v>
      </c>
      <c r="T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T466*T$78)</f>
        <v>0</v>
      </c>
      <c r="U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U466*U$78)</f>
        <v>0</v>
      </c>
      <c r="V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V466*V$78)</f>
        <v>0</v>
      </c>
      <c r="W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W466*W$78)</f>
        <v>0</v>
      </c>
      <c r="X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X466*X$78)</f>
        <v>0</v>
      </c>
      <c r="Y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Y466*Y$78)</f>
        <v>0</v>
      </c>
      <c r="Z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Z466*Z$78)</f>
        <v>0</v>
      </c>
      <c r="AA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A466*AA$78)</f>
        <v>0</v>
      </c>
      <c r="AB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B466*AB$78)</f>
        <v>0</v>
      </c>
      <c r="AC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C466*AC$78)</f>
        <v>0</v>
      </c>
      <c r="AD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D466*AD$78)</f>
        <v>0</v>
      </c>
      <c r="AE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E466*AE$78)</f>
        <v>0</v>
      </c>
      <c r="AF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F466*AF$78)</f>
        <v>0</v>
      </c>
      <c r="AG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G466*AG$78)</f>
        <v>0</v>
      </c>
      <c r="AH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H466*AH$78)</f>
        <v>0</v>
      </c>
      <c r="AI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I466*AI$78)</f>
        <v>0</v>
      </c>
      <c r="AJ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J466*AJ$78)</f>
        <v>0</v>
      </c>
      <c r="AK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K466*AK$78)</f>
        <v>0</v>
      </c>
      <c r="AL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L466*AL$78)</f>
        <v>0</v>
      </c>
      <c r="AM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M466*AM$78)</f>
        <v>0</v>
      </c>
      <c r="AN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N466*AN$78)</f>
        <v>0</v>
      </c>
      <c r="AO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O466*AO$78)</f>
        <v>0</v>
      </c>
      <c r="AP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P466*AP$78)</f>
        <v>0</v>
      </c>
      <c r="AQ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Q466*AQ$78)</f>
        <v>0</v>
      </c>
      <c r="AR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R466*AR$78)</f>
        <v>0</v>
      </c>
      <c r="AS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S466*AS$78)</f>
        <v>0</v>
      </c>
      <c r="AT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T466*AT$78)</f>
        <v>0</v>
      </c>
      <c r="AU676" s="652">
        <f>IF($B676="",,IF(LEFT($H676,5)="dummy",SUMIFS(AvgCommission[avg_commission],AvgCommission[job_title],$H676),SUMIFS(AvgCommission[avg_commission],AvgCommission[exp_item],$J676,AvgCommission[company_name],$B676,AvgCommission[bu_name],$C676,AvgCommission[dept_name],$D676,AvgCommission[team_consolidation],$K676,AvgCommission[location_name],$G676,AvgCommission[job_title],$H676))*AU466*AU$78)</f>
        <v>0</v>
      </c>
    </row>
    <row r="677" spans="2:47" x14ac:dyDescent="0.35">
      <c r="B677" t="str">
        <f t="shared" si="407"/>
        <v/>
      </c>
      <c r="C677" t="str">
        <f t="shared" si="407"/>
        <v/>
      </c>
      <c r="D677" t="str">
        <f t="shared" si="407"/>
        <v/>
      </c>
      <c r="E677" t="str">
        <f t="shared" si="407"/>
        <v/>
      </c>
      <c r="F677" t="str">
        <f t="shared" si="407"/>
        <v/>
      </c>
      <c r="G677" t="str">
        <f t="shared" si="407"/>
        <v/>
      </c>
      <c r="H677" t="str">
        <f t="shared" si="408"/>
        <v/>
      </c>
      <c r="J677" t="str">
        <f>IF($H677="","",IF(VLOOKUP($B$605,ExpItems[],2,0),$B$605&amp;" - "&amp;INDEX(DivisionMapping[category_code],MATCH($D677&amp;$C677,DivisionMapping[dept_bu],0)),$B$605))</f>
        <v/>
      </c>
      <c r="K677" t="str">
        <f t="shared" si="409"/>
        <v/>
      </c>
      <c r="L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L467*L$78)</f>
        <v>0</v>
      </c>
      <c r="M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M467*M$78)</f>
        <v>0</v>
      </c>
      <c r="N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N467*N$78)</f>
        <v>0</v>
      </c>
      <c r="O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O467*O$78)</f>
        <v>0</v>
      </c>
      <c r="P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P467*P$78)</f>
        <v>0</v>
      </c>
      <c r="Q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Q467*Q$78)</f>
        <v>0</v>
      </c>
      <c r="R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R467*R$78)</f>
        <v>0</v>
      </c>
      <c r="S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S467*S$78)</f>
        <v>0</v>
      </c>
      <c r="T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T467*T$78)</f>
        <v>0</v>
      </c>
      <c r="U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U467*U$78)</f>
        <v>0</v>
      </c>
      <c r="V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V467*V$78)</f>
        <v>0</v>
      </c>
      <c r="W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W467*W$78)</f>
        <v>0</v>
      </c>
      <c r="X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X467*X$78)</f>
        <v>0</v>
      </c>
      <c r="Y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Y467*Y$78)</f>
        <v>0</v>
      </c>
      <c r="Z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Z467*Z$78)</f>
        <v>0</v>
      </c>
      <c r="AA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A467*AA$78)</f>
        <v>0</v>
      </c>
      <c r="AB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B467*AB$78)</f>
        <v>0</v>
      </c>
      <c r="AC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C467*AC$78)</f>
        <v>0</v>
      </c>
      <c r="AD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D467*AD$78)</f>
        <v>0</v>
      </c>
      <c r="AE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E467*AE$78)</f>
        <v>0</v>
      </c>
      <c r="AF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F467*AF$78)</f>
        <v>0</v>
      </c>
      <c r="AG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G467*AG$78)</f>
        <v>0</v>
      </c>
      <c r="AH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H467*AH$78)</f>
        <v>0</v>
      </c>
      <c r="AI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I467*AI$78)</f>
        <v>0</v>
      </c>
      <c r="AJ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J467*AJ$78)</f>
        <v>0</v>
      </c>
      <c r="AK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K467*AK$78)</f>
        <v>0</v>
      </c>
      <c r="AL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L467*AL$78)</f>
        <v>0</v>
      </c>
      <c r="AM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M467*AM$78)</f>
        <v>0</v>
      </c>
      <c r="AN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N467*AN$78)</f>
        <v>0</v>
      </c>
      <c r="AO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O467*AO$78)</f>
        <v>0</v>
      </c>
      <c r="AP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P467*AP$78)</f>
        <v>0</v>
      </c>
      <c r="AQ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Q467*AQ$78)</f>
        <v>0</v>
      </c>
      <c r="AR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R467*AR$78)</f>
        <v>0</v>
      </c>
      <c r="AS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S467*AS$78)</f>
        <v>0</v>
      </c>
      <c r="AT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T467*AT$78)</f>
        <v>0</v>
      </c>
      <c r="AU677" s="652">
        <f>IF($B677="",,IF(LEFT($H677,5)="dummy",SUMIFS(AvgCommission[avg_commission],AvgCommission[job_title],$H677),SUMIFS(AvgCommission[avg_commission],AvgCommission[exp_item],$J677,AvgCommission[company_name],$B677,AvgCommission[bu_name],$C677,AvgCommission[dept_name],$D677,AvgCommission[team_consolidation],$K677,AvgCommission[location_name],$G677,AvgCommission[job_title],$H677))*AU467*AU$78)</f>
        <v>0</v>
      </c>
    </row>
    <row r="678" spans="2:47" x14ac:dyDescent="0.35">
      <c r="B678" t="str">
        <f t="shared" si="407"/>
        <v/>
      </c>
      <c r="C678" t="str">
        <f t="shared" si="407"/>
        <v/>
      </c>
      <c r="D678" t="str">
        <f t="shared" si="407"/>
        <v/>
      </c>
      <c r="E678" t="str">
        <f t="shared" si="407"/>
        <v/>
      </c>
      <c r="F678" t="str">
        <f t="shared" si="407"/>
        <v/>
      </c>
      <c r="G678" t="str">
        <f t="shared" si="407"/>
        <v/>
      </c>
      <c r="H678" t="str">
        <f t="shared" si="408"/>
        <v/>
      </c>
      <c r="J678" t="str">
        <f>IF($H678="","",IF(VLOOKUP($B$605,ExpItems[],2,0),$B$605&amp;" - "&amp;INDEX(DivisionMapping[category_code],MATCH($D678&amp;$C678,DivisionMapping[dept_bu],0)),$B$605))</f>
        <v/>
      </c>
      <c r="K678" t="str">
        <f t="shared" si="409"/>
        <v/>
      </c>
      <c r="L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L468*L$78)</f>
        <v>0</v>
      </c>
      <c r="M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M468*M$78)</f>
        <v>0</v>
      </c>
      <c r="N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N468*N$78)</f>
        <v>0</v>
      </c>
      <c r="O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O468*O$78)</f>
        <v>0</v>
      </c>
      <c r="P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P468*P$78)</f>
        <v>0</v>
      </c>
      <c r="Q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Q468*Q$78)</f>
        <v>0</v>
      </c>
      <c r="R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R468*R$78)</f>
        <v>0</v>
      </c>
      <c r="S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S468*S$78)</f>
        <v>0</v>
      </c>
      <c r="T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T468*T$78)</f>
        <v>0</v>
      </c>
      <c r="U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U468*U$78)</f>
        <v>0</v>
      </c>
      <c r="V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V468*V$78)</f>
        <v>0</v>
      </c>
      <c r="W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W468*W$78)</f>
        <v>0</v>
      </c>
      <c r="X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X468*X$78)</f>
        <v>0</v>
      </c>
      <c r="Y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Y468*Y$78)</f>
        <v>0</v>
      </c>
      <c r="Z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Z468*Z$78)</f>
        <v>0</v>
      </c>
      <c r="AA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A468*AA$78)</f>
        <v>0</v>
      </c>
      <c r="AB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B468*AB$78)</f>
        <v>0</v>
      </c>
      <c r="AC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C468*AC$78)</f>
        <v>0</v>
      </c>
      <c r="AD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D468*AD$78)</f>
        <v>0</v>
      </c>
      <c r="AE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E468*AE$78)</f>
        <v>0</v>
      </c>
      <c r="AF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F468*AF$78)</f>
        <v>0</v>
      </c>
      <c r="AG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G468*AG$78)</f>
        <v>0</v>
      </c>
      <c r="AH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H468*AH$78)</f>
        <v>0</v>
      </c>
      <c r="AI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I468*AI$78)</f>
        <v>0</v>
      </c>
      <c r="AJ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J468*AJ$78)</f>
        <v>0</v>
      </c>
      <c r="AK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K468*AK$78)</f>
        <v>0</v>
      </c>
      <c r="AL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L468*AL$78)</f>
        <v>0</v>
      </c>
      <c r="AM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M468*AM$78)</f>
        <v>0</v>
      </c>
      <c r="AN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N468*AN$78)</f>
        <v>0</v>
      </c>
      <c r="AO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O468*AO$78)</f>
        <v>0</v>
      </c>
      <c r="AP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P468*AP$78)</f>
        <v>0</v>
      </c>
      <c r="AQ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Q468*AQ$78)</f>
        <v>0</v>
      </c>
      <c r="AR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R468*AR$78)</f>
        <v>0</v>
      </c>
      <c r="AS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S468*AS$78)</f>
        <v>0</v>
      </c>
      <c r="AT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T468*AT$78)</f>
        <v>0</v>
      </c>
      <c r="AU678" s="652">
        <f>IF($B678="",,IF(LEFT($H678,5)="dummy",SUMIFS(AvgCommission[avg_commission],AvgCommission[job_title],$H678),SUMIFS(AvgCommission[avg_commission],AvgCommission[exp_item],$J678,AvgCommission[company_name],$B678,AvgCommission[bu_name],$C678,AvgCommission[dept_name],$D678,AvgCommission[team_consolidation],$K678,AvgCommission[location_name],$G678,AvgCommission[job_title],$H678))*AU468*AU$78)</f>
        <v>0</v>
      </c>
    </row>
    <row r="679" spans="2:47" x14ac:dyDescent="0.35">
      <c r="B679" t="str">
        <f t="shared" si="407"/>
        <v/>
      </c>
      <c r="C679" t="str">
        <f t="shared" si="407"/>
        <v/>
      </c>
      <c r="D679" t="str">
        <f t="shared" si="407"/>
        <v/>
      </c>
      <c r="E679" t="str">
        <f t="shared" si="407"/>
        <v/>
      </c>
      <c r="F679" t="str">
        <f t="shared" si="407"/>
        <v/>
      </c>
      <c r="G679" t="str">
        <f t="shared" si="407"/>
        <v/>
      </c>
      <c r="H679" t="str">
        <f t="shared" si="408"/>
        <v/>
      </c>
      <c r="J679" t="str">
        <f>IF($H679="","",IF(VLOOKUP($B$605,ExpItems[],2,0),$B$605&amp;" - "&amp;INDEX(DivisionMapping[category_code],MATCH($D679&amp;$C679,DivisionMapping[dept_bu],0)),$B$605))</f>
        <v/>
      </c>
      <c r="K679" t="str">
        <f t="shared" si="409"/>
        <v/>
      </c>
      <c r="L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L469*L$78)</f>
        <v>0</v>
      </c>
      <c r="M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M469*M$78)</f>
        <v>0</v>
      </c>
      <c r="N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N469*N$78)</f>
        <v>0</v>
      </c>
      <c r="O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O469*O$78)</f>
        <v>0</v>
      </c>
      <c r="P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P469*P$78)</f>
        <v>0</v>
      </c>
      <c r="Q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Q469*Q$78)</f>
        <v>0</v>
      </c>
      <c r="R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R469*R$78)</f>
        <v>0</v>
      </c>
      <c r="S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S469*S$78)</f>
        <v>0</v>
      </c>
      <c r="T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T469*T$78)</f>
        <v>0</v>
      </c>
      <c r="U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U469*U$78)</f>
        <v>0</v>
      </c>
      <c r="V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V469*V$78)</f>
        <v>0</v>
      </c>
      <c r="W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W469*W$78)</f>
        <v>0</v>
      </c>
      <c r="X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X469*X$78)</f>
        <v>0</v>
      </c>
      <c r="Y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Y469*Y$78)</f>
        <v>0</v>
      </c>
      <c r="Z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Z469*Z$78)</f>
        <v>0</v>
      </c>
      <c r="AA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A469*AA$78)</f>
        <v>0</v>
      </c>
      <c r="AB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B469*AB$78)</f>
        <v>0</v>
      </c>
      <c r="AC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C469*AC$78)</f>
        <v>0</v>
      </c>
      <c r="AD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D469*AD$78)</f>
        <v>0</v>
      </c>
      <c r="AE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E469*AE$78)</f>
        <v>0</v>
      </c>
      <c r="AF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F469*AF$78)</f>
        <v>0</v>
      </c>
      <c r="AG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G469*AG$78)</f>
        <v>0</v>
      </c>
      <c r="AH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H469*AH$78)</f>
        <v>0</v>
      </c>
      <c r="AI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I469*AI$78)</f>
        <v>0</v>
      </c>
      <c r="AJ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J469*AJ$78)</f>
        <v>0</v>
      </c>
      <c r="AK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K469*AK$78)</f>
        <v>0</v>
      </c>
      <c r="AL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L469*AL$78)</f>
        <v>0</v>
      </c>
      <c r="AM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M469*AM$78)</f>
        <v>0</v>
      </c>
      <c r="AN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N469*AN$78)</f>
        <v>0</v>
      </c>
      <c r="AO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O469*AO$78)</f>
        <v>0</v>
      </c>
      <c r="AP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P469*AP$78)</f>
        <v>0</v>
      </c>
      <c r="AQ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Q469*AQ$78)</f>
        <v>0</v>
      </c>
      <c r="AR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R469*AR$78)</f>
        <v>0</v>
      </c>
      <c r="AS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S469*AS$78)</f>
        <v>0</v>
      </c>
      <c r="AT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T469*AT$78)</f>
        <v>0</v>
      </c>
      <c r="AU679" s="652">
        <f>IF($B679="",,IF(LEFT($H679,5)="dummy",SUMIFS(AvgCommission[avg_commission],AvgCommission[job_title],$H679),SUMIFS(AvgCommission[avg_commission],AvgCommission[exp_item],$J679,AvgCommission[company_name],$B679,AvgCommission[bu_name],$C679,AvgCommission[dept_name],$D679,AvgCommission[team_consolidation],$K679,AvgCommission[location_name],$G679,AvgCommission[job_title],$H679))*AU469*AU$78)</f>
        <v>0</v>
      </c>
    </row>
    <row r="680" spans="2:47" x14ac:dyDescent="0.35">
      <c r="B680" t="str">
        <f t="shared" si="407"/>
        <v/>
      </c>
      <c r="C680" t="str">
        <f t="shared" si="407"/>
        <v/>
      </c>
      <c r="D680" t="str">
        <f t="shared" si="407"/>
        <v/>
      </c>
      <c r="E680" t="str">
        <f t="shared" si="407"/>
        <v/>
      </c>
      <c r="F680" t="str">
        <f t="shared" si="407"/>
        <v/>
      </c>
      <c r="G680" t="str">
        <f t="shared" si="407"/>
        <v/>
      </c>
      <c r="H680" t="str">
        <f t="shared" si="408"/>
        <v/>
      </c>
      <c r="J680" t="str">
        <f>IF($H680="","",IF(VLOOKUP($B$605,ExpItems[],2,0),$B$605&amp;" - "&amp;INDEX(DivisionMapping[category_code],MATCH($D680&amp;$C680,DivisionMapping[dept_bu],0)),$B$605))</f>
        <v/>
      </c>
      <c r="K680" t="str">
        <f t="shared" si="409"/>
        <v/>
      </c>
      <c r="L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L470*L$78)</f>
        <v>0</v>
      </c>
      <c r="M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M470*M$78)</f>
        <v>0</v>
      </c>
      <c r="N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N470*N$78)</f>
        <v>0</v>
      </c>
      <c r="O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O470*O$78)</f>
        <v>0</v>
      </c>
      <c r="P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P470*P$78)</f>
        <v>0</v>
      </c>
      <c r="Q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Q470*Q$78)</f>
        <v>0</v>
      </c>
      <c r="R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R470*R$78)</f>
        <v>0</v>
      </c>
      <c r="S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S470*S$78)</f>
        <v>0</v>
      </c>
      <c r="T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T470*T$78)</f>
        <v>0</v>
      </c>
      <c r="U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U470*U$78)</f>
        <v>0</v>
      </c>
      <c r="V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V470*V$78)</f>
        <v>0</v>
      </c>
      <c r="W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W470*W$78)</f>
        <v>0</v>
      </c>
      <c r="X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X470*X$78)</f>
        <v>0</v>
      </c>
      <c r="Y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Y470*Y$78)</f>
        <v>0</v>
      </c>
      <c r="Z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Z470*Z$78)</f>
        <v>0</v>
      </c>
      <c r="AA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A470*AA$78)</f>
        <v>0</v>
      </c>
      <c r="AB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B470*AB$78)</f>
        <v>0</v>
      </c>
      <c r="AC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C470*AC$78)</f>
        <v>0</v>
      </c>
      <c r="AD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D470*AD$78)</f>
        <v>0</v>
      </c>
      <c r="AE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E470*AE$78)</f>
        <v>0</v>
      </c>
      <c r="AF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F470*AF$78)</f>
        <v>0</v>
      </c>
      <c r="AG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G470*AG$78)</f>
        <v>0</v>
      </c>
      <c r="AH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H470*AH$78)</f>
        <v>0</v>
      </c>
      <c r="AI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I470*AI$78)</f>
        <v>0</v>
      </c>
      <c r="AJ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J470*AJ$78)</f>
        <v>0</v>
      </c>
      <c r="AK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K470*AK$78)</f>
        <v>0</v>
      </c>
      <c r="AL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L470*AL$78)</f>
        <v>0</v>
      </c>
      <c r="AM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M470*AM$78)</f>
        <v>0</v>
      </c>
      <c r="AN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N470*AN$78)</f>
        <v>0</v>
      </c>
      <c r="AO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O470*AO$78)</f>
        <v>0</v>
      </c>
      <c r="AP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P470*AP$78)</f>
        <v>0</v>
      </c>
      <c r="AQ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Q470*AQ$78)</f>
        <v>0</v>
      </c>
      <c r="AR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R470*AR$78)</f>
        <v>0</v>
      </c>
      <c r="AS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S470*AS$78)</f>
        <v>0</v>
      </c>
      <c r="AT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T470*AT$78)</f>
        <v>0</v>
      </c>
      <c r="AU680" s="652">
        <f>IF($B680="",,IF(LEFT($H680,5)="dummy",SUMIFS(AvgCommission[avg_commission],AvgCommission[job_title],$H680),SUMIFS(AvgCommission[avg_commission],AvgCommission[exp_item],$J680,AvgCommission[company_name],$B680,AvgCommission[bu_name],$C680,AvgCommission[dept_name],$D680,AvgCommission[team_consolidation],$K680,AvgCommission[location_name],$G680,AvgCommission[job_title],$H680))*AU470*AU$78)</f>
        <v>0</v>
      </c>
    </row>
    <row r="681" spans="2:47" x14ac:dyDescent="0.35">
      <c r="B681" t="str">
        <f t="shared" si="407"/>
        <v/>
      </c>
      <c r="C681" t="str">
        <f t="shared" si="407"/>
        <v/>
      </c>
      <c r="D681" t="str">
        <f t="shared" si="407"/>
        <v/>
      </c>
      <c r="E681" t="str">
        <f t="shared" si="407"/>
        <v/>
      </c>
      <c r="F681" t="str">
        <f t="shared" si="407"/>
        <v/>
      </c>
      <c r="G681" t="str">
        <f t="shared" si="407"/>
        <v/>
      </c>
      <c r="H681" t="str">
        <f t="shared" si="408"/>
        <v/>
      </c>
      <c r="J681" t="str">
        <f>IF($H681="","",IF(VLOOKUP($B$605,ExpItems[],2,0),$B$605&amp;" - "&amp;INDEX(DivisionMapping[category_code],MATCH($D681&amp;$C681,DivisionMapping[dept_bu],0)),$B$605))</f>
        <v/>
      </c>
      <c r="K681" t="str">
        <f t="shared" si="409"/>
        <v/>
      </c>
      <c r="L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L471*L$78)</f>
        <v>0</v>
      </c>
      <c r="M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M471*M$78)</f>
        <v>0</v>
      </c>
      <c r="N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N471*N$78)</f>
        <v>0</v>
      </c>
      <c r="O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O471*O$78)</f>
        <v>0</v>
      </c>
      <c r="P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P471*P$78)</f>
        <v>0</v>
      </c>
      <c r="Q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Q471*Q$78)</f>
        <v>0</v>
      </c>
      <c r="R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R471*R$78)</f>
        <v>0</v>
      </c>
      <c r="S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S471*S$78)</f>
        <v>0</v>
      </c>
      <c r="T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T471*T$78)</f>
        <v>0</v>
      </c>
      <c r="U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U471*U$78)</f>
        <v>0</v>
      </c>
      <c r="V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V471*V$78)</f>
        <v>0</v>
      </c>
      <c r="W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W471*W$78)</f>
        <v>0</v>
      </c>
      <c r="X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X471*X$78)</f>
        <v>0</v>
      </c>
      <c r="Y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Y471*Y$78)</f>
        <v>0</v>
      </c>
      <c r="Z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Z471*Z$78)</f>
        <v>0</v>
      </c>
      <c r="AA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A471*AA$78)</f>
        <v>0</v>
      </c>
      <c r="AB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B471*AB$78)</f>
        <v>0</v>
      </c>
      <c r="AC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C471*AC$78)</f>
        <v>0</v>
      </c>
      <c r="AD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D471*AD$78)</f>
        <v>0</v>
      </c>
      <c r="AE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E471*AE$78)</f>
        <v>0</v>
      </c>
      <c r="AF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F471*AF$78)</f>
        <v>0</v>
      </c>
      <c r="AG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G471*AG$78)</f>
        <v>0</v>
      </c>
      <c r="AH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H471*AH$78)</f>
        <v>0</v>
      </c>
      <c r="AI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I471*AI$78)</f>
        <v>0</v>
      </c>
      <c r="AJ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J471*AJ$78)</f>
        <v>0</v>
      </c>
      <c r="AK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K471*AK$78)</f>
        <v>0</v>
      </c>
      <c r="AL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L471*AL$78)</f>
        <v>0</v>
      </c>
      <c r="AM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M471*AM$78)</f>
        <v>0</v>
      </c>
      <c r="AN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N471*AN$78)</f>
        <v>0</v>
      </c>
      <c r="AO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O471*AO$78)</f>
        <v>0</v>
      </c>
      <c r="AP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P471*AP$78)</f>
        <v>0</v>
      </c>
      <c r="AQ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Q471*AQ$78)</f>
        <v>0</v>
      </c>
      <c r="AR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R471*AR$78)</f>
        <v>0</v>
      </c>
      <c r="AS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S471*AS$78)</f>
        <v>0</v>
      </c>
      <c r="AT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T471*AT$78)</f>
        <v>0</v>
      </c>
      <c r="AU681" s="652">
        <f>IF($B681="",,IF(LEFT($H681,5)="dummy",SUMIFS(AvgCommission[avg_commission],AvgCommission[job_title],$H681),SUMIFS(AvgCommission[avg_commission],AvgCommission[exp_item],$J681,AvgCommission[company_name],$B681,AvgCommission[bu_name],$C681,AvgCommission[dept_name],$D681,AvgCommission[team_consolidation],$K681,AvgCommission[location_name],$G681,AvgCommission[job_title],$H681))*AU471*AU$78)</f>
        <v>0</v>
      </c>
    </row>
    <row r="682" spans="2:47" x14ac:dyDescent="0.35">
      <c r="B682" t="str">
        <f t="shared" si="407"/>
        <v/>
      </c>
      <c r="C682" t="str">
        <f t="shared" si="407"/>
        <v/>
      </c>
      <c r="D682" t="str">
        <f t="shared" si="407"/>
        <v/>
      </c>
      <c r="E682" t="str">
        <f t="shared" si="407"/>
        <v/>
      </c>
      <c r="F682" t="str">
        <f t="shared" si="407"/>
        <v/>
      </c>
      <c r="G682" t="str">
        <f t="shared" si="407"/>
        <v/>
      </c>
      <c r="H682" t="str">
        <f t="shared" si="408"/>
        <v/>
      </c>
      <c r="J682" t="str">
        <f>IF($H682="","",IF(VLOOKUP($B$605,ExpItems[],2,0),$B$605&amp;" - "&amp;INDEX(DivisionMapping[category_code],MATCH($D682&amp;$C682,DivisionMapping[dept_bu],0)),$B$605))</f>
        <v/>
      </c>
      <c r="K682" t="str">
        <f t="shared" si="409"/>
        <v/>
      </c>
      <c r="L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L472*L$78)</f>
        <v>0</v>
      </c>
      <c r="M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M472*M$78)</f>
        <v>0</v>
      </c>
      <c r="N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N472*N$78)</f>
        <v>0</v>
      </c>
      <c r="O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O472*O$78)</f>
        <v>0</v>
      </c>
      <c r="P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P472*P$78)</f>
        <v>0</v>
      </c>
      <c r="Q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Q472*Q$78)</f>
        <v>0</v>
      </c>
      <c r="R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R472*R$78)</f>
        <v>0</v>
      </c>
      <c r="S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S472*S$78)</f>
        <v>0</v>
      </c>
      <c r="T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T472*T$78)</f>
        <v>0</v>
      </c>
      <c r="U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U472*U$78)</f>
        <v>0</v>
      </c>
      <c r="V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V472*V$78)</f>
        <v>0</v>
      </c>
      <c r="W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W472*W$78)</f>
        <v>0</v>
      </c>
      <c r="X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X472*X$78)</f>
        <v>0</v>
      </c>
      <c r="Y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Y472*Y$78)</f>
        <v>0</v>
      </c>
      <c r="Z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Z472*Z$78)</f>
        <v>0</v>
      </c>
      <c r="AA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A472*AA$78)</f>
        <v>0</v>
      </c>
      <c r="AB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B472*AB$78)</f>
        <v>0</v>
      </c>
      <c r="AC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C472*AC$78)</f>
        <v>0</v>
      </c>
      <c r="AD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D472*AD$78)</f>
        <v>0</v>
      </c>
      <c r="AE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E472*AE$78)</f>
        <v>0</v>
      </c>
      <c r="AF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F472*AF$78)</f>
        <v>0</v>
      </c>
      <c r="AG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G472*AG$78)</f>
        <v>0</v>
      </c>
      <c r="AH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H472*AH$78)</f>
        <v>0</v>
      </c>
      <c r="AI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I472*AI$78)</f>
        <v>0</v>
      </c>
      <c r="AJ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J472*AJ$78)</f>
        <v>0</v>
      </c>
      <c r="AK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K472*AK$78)</f>
        <v>0</v>
      </c>
      <c r="AL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L472*AL$78)</f>
        <v>0</v>
      </c>
      <c r="AM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M472*AM$78)</f>
        <v>0</v>
      </c>
      <c r="AN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N472*AN$78)</f>
        <v>0</v>
      </c>
      <c r="AO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O472*AO$78)</f>
        <v>0</v>
      </c>
      <c r="AP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P472*AP$78)</f>
        <v>0</v>
      </c>
      <c r="AQ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Q472*AQ$78)</f>
        <v>0</v>
      </c>
      <c r="AR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R472*AR$78)</f>
        <v>0</v>
      </c>
      <c r="AS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S472*AS$78)</f>
        <v>0</v>
      </c>
      <c r="AT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T472*AT$78)</f>
        <v>0</v>
      </c>
      <c r="AU682" s="652">
        <f>IF($B682="",,IF(LEFT($H682,5)="dummy",SUMIFS(AvgCommission[avg_commission],AvgCommission[job_title],$H682),SUMIFS(AvgCommission[avg_commission],AvgCommission[exp_item],$J682,AvgCommission[company_name],$B682,AvgCommission[bu_name],$C682,AvgCommission[dept_name],$D682,AvgCommission[team_consolidation],$K682,AvgCommission[location_name],$G682,AvgCommission[job_title],$H682))*AU472*AU$78)</f>
        <v>0</v>
      </c>
    </row>
    <row r="683" spans="2:47" x14ac:dyDescent="0.35">
      <c r="B683" t="str">
        <f t="shared" si="407"/>
        <v/>
      </c>
      <c r="C683" t="str">
        <f t="shared" si="407"/>
        <v/>
      </c>
      <c r="D683" t="str">
        <f t="shared" si="407"/>
        <v/>
      </c>
      <c r="E683" t="str">
        <f t="shared" si="407"/>
        <v/>
      </c>
      <c r="F683" t="str">
        <f t="shared" si="407"/>
        <v/>
      </c>
      <c r="G683" t="str">
        <f t="shared" si="407"/>
        <v/>
      </c>
      <c r="H683" t="str">
        <f t="shared" si="408"/>
        <v/>
      </c>
      <c r="J683" t="str">
        <f>IF($H683="","",IF(VLOOKUP($B$605,ExpItems[],2,0),$B$605&amp;" - "&amp;INDEX(DivisionMapping[category_code],MATCH($D683&amp;$C683,DivisionMapping[dept_bu],0)),$B$605))</f>
        <v/>
      </c>
      <c r="K683" t="str">
        <f t="shared" si="409"/>
        <v/>
      </c>
      <c r="L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L473*L$78)</f>
        <v>0</v>
      </c>
      <c r="M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M473*M$78)</f>
        <v>0</v>
      </c>
      <c r="N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N473*N$78)</f>
        <v>0</v>
      </c>
      <c r="O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O473*O$78)</f>
        <v>0</v>
      </c>
      <c r="P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P473*P$78)</f>
        <v>0</v>
      </c>
      <c r="Q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Q473*Q$78)</f>
        <v>0</v>
      </c>
      <c r="R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R473*R$78)</f>
        <v>0</v>
      </c>
      <c r="S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S473*S$78)</f>
        <v>0</v>
      </c>
      <c r="T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T473*T$78)</f>
        <v>0</v>
      </c>
      <c r="U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U473*U$78)</f>
        <v>0</v>
      </c>
      <c r="V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V473*V$78)</f>
        <v>0</v>
      </c>
      <c r="W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W473*W$78)</f>
        <v>0</v>
      </c>
      <c r="X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X473*X$78)</f>
        <v>0</v>
      </c>
      <c r="Y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Y473*Y$78)</f>
        <v>0</v>
      </c>
      <c r="Z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Z473*Z$78)</f>
        <v>0</v>
      </c>
      <c r="AA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A473*AA$78)</f>
        <v>0</v>
      </c>
      <c r="AB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B473*AB$78)</f>
        <v>0</v>
      </c>
      <c r="AC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C473*AC$78)</f>
        <v>0</v>
      </c>
      <c r="AD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D473*AD$78)</f>
        <v>0</v>
      </c>
      <c r="AE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E473*AE$78)</f>
        <v>0</v>
      </c>
      <c r="AF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F473*AF$78)</f>
        <v>0</v>
      </c>
      <c r="AG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G473*AG$78)</f>
        <v>0</v>
      </c>
      <c r="AH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H473*AH$78)</f>
        <v>0</v>
      </c>
      <c r="AI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I473*AI$78)</f>
        <v>0</v>
      </c>
      <c r="AJ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J473*AJ$78)</f>
        <v>0</v>
      </c>
      <c r="AK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K473*AK$78)</f>
        <v>0</v>
      </c>
      <c r="AL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L473*AL$78)</f>
        <v>0</v>
      </c>
      <c r="AM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M473*AM$78)</f>
        <v>0</v>
      </c>
      <c r="AN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N473*AN$78)</f>
        <v>0</v>
      </c>
      <c r="AO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O473*AO$78)</f>
        <v>0</v>
      </c>
      <c r="AP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P473*AP$78)</f>
        <v>0</v>
      </c>
      <c r="AQ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Q473*AQ$78)</f>
        <v>0</v>
      </c>
      <c r="AR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R473*AR$78)</f>
        <v>0</v>
      </c>
      <c r="AS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S473*AS$78)</f>
        <v>0</v>
      </c>
      <c r="AT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T473*AT$78)</f>
        <v>0</v>
      </c>
      <c r="AU683" s="652">
        <f>IF($B683="",,IF(LEFT($H683,5)="dummy",SUMIFS(AvgCommission[avg_commission],AvgCommission[job_title],$H683),SUMIFS(AvgCommission[avg_commission],AvgCommission[exp_item],$J683,AvgCommission[company_name],$B683,AvgCommission[bu_name],$C683,AvgCommission[dept_name],$D683,AvgCommission[team_consolidation],$K683,AvgCommission[location_name],$G683,AvgCommission[job_title],$H683))*AU473*AU$78)</f>
        <v>0</v>
      </c>
    </row>
    <row r="684" spans="2:47" x14ac:dyDescent="0.35">
      <c r="B684" t="str">
        <f t="shared" si="407"/>
        <v/>
      </c>
      <c r="C684" t="str">
        <f t="shared" si="407"/>
        <v/>
      </c>
      <c r="D684" t="str">
        <f t="shared" si="407"/>
        <v/>
      </c>
      <c r="E684" t="str">
        <f t="shared" si="407"/>
        <v/>
      </c>
      <c r="F684" t="str">
        <f t="shared" si="407"/>
        <v/>
      </c>
      <c r="G684" t="str">
        <f t="shared" si="407"/>
        <v/>
      </c>
      <c r="H684" t="str">
        <f t="shared" si="408"/>
        <v/>
      </c>
      <c r="J684" t="str">
        <f>IF($H684="","",IF(VLOOKUP($B$605,ExpItems[],2,0),$B$605&amp;" - "&amp;INDEX(DivisionMapping[category_code],MATCH($D684&amp;$C684,DivisionMapping[dept_bu],0)),$B$605))</f>
        <v/>
      </c>
      <c r="K684" t="str">
        <f t="shared" si="409"/>
        <v/>
      </c>
      <c r="L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L474*L$78)</f>
        <v>0</v>
      </c>
      <c r="M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M474*M$78)</f>
        <v>0</v>
      </c>
      <c r="N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N474*N$78)</f>
        <v>0</v>
      </c>
      <c r="O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O474*O$78)</f>
        <v>0</v>
      </c>
      <c r="P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P474*P$78)</f>
        <v>0</v>
      </c>
      <c r="Q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Q474*Q$78)</f>
        <v>0</v>
      </c>
      <c r="R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R474*R$78)</f>
        <v>0</v>
      </c>
      <c r="S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S474*S$78)</f>
        <v>0</v>
      </c>
      <c r="T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T474*T$78)</f>
        <v>0</v>
      </c>
      <c r="U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U474*U$78)</f>
        <v>0</v>
      </c>
      <c r="V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V474*V$78)</f>
        <v>0</v>
      </c>
      <c r="W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W474*W$78)</f>
        <v>0</v>
      </c>
      <c r="X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X474*X$78)</f>
        <v>0</v>
      </c>
      <c r="Y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Y474*Y$78)</f>
        <v>0</v>
      </c>
      <c r="Z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Z474*Z$78)</f>
        <v>0</v>
      </c>
      <c r="AA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A474*AA$78)</f>
        <v>0</v>
      </c>
      <c r="AB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B474*AB$78)</f>
        <v>0</v>
      </c>
      <c r="AC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C474*AC$78)</f>
        <v>0</v>
      </c>
      <c r="AD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D474*AD$78)</f>
        <v>0</v>
      </c>
      <c r="AE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E474*AE$78)</f>
        <v>0</v>
      </c>
      <c r="AF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F474*AF$78)</f>
        <v>0</v>
      </c>
      <c r="AG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G474*AG$78)</f>
        <v>0</v>
      </c>
      <c r="AH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H474*AH$78)</f>
        <v>0</v>
      </c>
      <c r="AI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I474*AI$78)</f>
        <v>0</v>
      </c>
      <c r="AJ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J474*AJ$78)</f>
        <v>0</v>
      </c>
      <c r="AK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K474*AK$78)</f>
        <v>0</v>
      </c>
      <c r="AL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L474*AL$78)</f>
        <v>0</v>
      </c>
      <c r="AM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M474*AM$78)</f>
        <v>0</v>
      </c>
      <c r="AN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N474*AN$78)</f>
        <v>0</v>
      </c>
      <c r="AO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O474*AO$78)</f>
        <v>0</v>
      </c>
      <c r="AP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P474*AP$78)</f>
        <v>0</v>
      </c>
      <c r="AQ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Q474*AQ$78)</f>
        <v>0</v>
      </c>
      <c r="AR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R474*AR$78)</f>
        <v>0</v>
      </c>
      <c r="AS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S474*AS$78)</f>
        <v>0</v>
      </c>
      <c r="AT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T474*AT$78)</f>
        <v>0</v>
      </c>
      <c r="AU684" s="652">
        <f>IF($B684="",,IF(LEFT($H684,5)="dummy",SUMIFS(AvgCommission[avg_commission],AvgCommission[job_title],$H684),SUMIFS(AvgCommission[avg_commission],AvgCommission[exp_item],$J684,AvgCommission[company_name],$B684,AvgCommission[bu_name],$C684,AvgCommission[dept_name],$D684,AvgCommission[team_consolidation],$K684,AvgCommission[location_name],$G684,AvgCommission[job_title],$H684))*AU474*AU$78)</f>
        <v>0</v>
      </c>
    </row>
    <row r="685" spans="2:47" x14ac:dyDescent="0.35">
      <c r="B685" t="str">
        <f t="shared" si="407"/>
        <v/>
      </c>
      <c r="C685" t="str">
        <f t="shared" si="407"/>
        <v/>
      </c>
      <c r="D685" t="str">
        <f t="shared" si="407"/>
        <v/>
      </c>
      <c r="E685" t="str">
        <f t="shared" si="407"/>
        <v/>
      </c>
      <c r="F685" t="str">
        <f t="shared" si="407"/>
        <v/>
      </c>
      <c r="G685" t="str">
        <f t="shared" si="407"/>
        <v/>
      </c>
      <c r="H685" t="str">
        <f t="shared" si="408"/>
        <v/>
      </c>
      <c r="J685" t="str">
        <f>IF($H685="","",IF(VLOOKUP($B$605,ExpItems[],2,0),$B$605&amp;" - "&amp;INDEX(DivisionMapping[category_code],MATCH($D685&amp;$C685,DivisionMapping[dept_bu],0)),$B$605))</f>
        <v/>
      </c>
      <c r="K685" t="str">
        <f t="shared" si="409"/>
        <v/>
      </c>
      <c r="L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L475*L$78)</f>
        <v>0</v>
      </c>
      <c r="M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M475*M$78)</f>
        <v>0</v>
      </c>
      <c r="N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N475*N$78)</f>
        <v>0</v>
      </c>
      <c r="O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O475*O$78)</f>
        <v>0</v>
      </c>
      <c r="P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P475*P$78)</f>
        <v>0</v>
      </c>
      <c r="Q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Q475*Q$78)</f>
        <v>0</v>
      </c>
      <c r="R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R475*R$78)</f>
        <v>0</v>
      </c>
      <c r="S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S475*S$78)</f>
        <v>0</v>
      </c>
      <c r="T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T475*T$78)</f>
        <v>0</v>
      </c>
      <c r="U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U475*U$78)</f>
        <v>0</v>
      </c>
      <c r="V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V475*V$78)</f>
        <v>0</v>
      </c>
      <c r="W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W475*W$78)</f>
        <v>0</v>
      </c>
      <c r="X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X475*X$78)</f>
        <v>0</v>
      </c>
      <c r="Y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Y475*Y$78)</f>
        <v>0</v>
      </c>
      <c r="Z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Z475*Z$78)</f>
        <v>0</v>
      </c>
      <c r="AA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A475*AA$78)</f>
        <v>0</v>
      </c>
      <c r="AB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B475*AB$78)</f>
        <v>0</v>
      </c>
      <c r="AC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C475*AC$78)</f>
        <v>0</v>
      </c>
      <c r="AD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D475*AD$78)</f>
        <v>0</v>
      </c>
      <c r="AE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E475*AE$78)</f>
        <v>0</v>
      </c>
      <c r="AF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F475*AF$78)</f>
        <v>0</v>
      </c>
      <c r="AG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G475*AG$78)</f>
        <v>0</v>
      </c>
      <c r="AH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H475*AH$78)</f>
        <v>0</v>
      </c>
      <c r="AI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I475*AI$78)</f>
        <v>0</v>
      </c>
      <c r="AJ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J475*AJ$78)</f>
        <v>0</v>
      </c>
      <c r="AK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K475*AK$78)</f>
        <v>0</v>
      </c>
      <c r="AL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L475*AL$78)</f>
        <v>0</v>
      </c>
      <c r="AM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M475*AM$78)</f>
        <v>0</v>
      </c>
      <c r="AN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N475*AN$78)</f>
        <v>0</v>
      </c>
      <c r="AO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O475*AO$78)</f>
        <v>0</v>
      </c>
      <c r="AP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P475*AP$78)</f>
        <v>0</v>
      </c>
      <c r="AQ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Q475*AQ$78)</f>
        <v>0</v>
      </c>
      <c r="AR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R475*AR$78)</f>
        <v>0</v>
      </c>
      <c r="AS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S475*AS$78)</f>
        <v>0</v>
      </c>
      <c r="AT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T475*AT$78)</f>
        <v>0</v>
      </c>
      <c r="AU685" s="652">
        <f>IF($B685="",,IF(LEFT($H685,5)="dummy",SUMIFS(AvgCommission[avg_commission],AvgCommission[job_title],$H685),SUMIFS(AvgCommission[avg_commission],AvgCommission[exp_item],$J685,AvgCommission[company_name],$B685,AvgCommission[bu_name],$C685,AvgCommission[dept_name],$D685,AvgCommission[team_consolidation],$K685,AvgCommission[location_name],$G685,AvgCommission[job_title],$H685))*AU475*AU$78)</f>
        <v>0</v>
      </c>
    </row>
    <row r="686" spans="2:47" x14ac:dyDescent="0.35">
      <c r="B686" t="str">
        <f t="shared" ref="B686:G690" si="410">IF(B581="","",B581)</f>
        <v/>
      </c>
      <c r="C686" t="str">
        <f t="shared" si="410"/>
        <v/>
      </c>
      <c r="D686" t="str">
        <f t="shared" si="410"/>
        <v/>
      </c>
      <c r="E686" t="str">
        <f t="shared" si="410"/>
        <v/>
      </c>
      <c r="F686" t="str">
        <f t="shared" si="410"/>
        <v/>
      </c>
      <c r="G686" t="str">
        <f t="shared" si="410"/>
        <v/>
      </c>
      <c r="H686" t="str">
        <f t="shared" si="408"/>
        <v/>
      </c>
      <c r="J686" t="str">
        <f>IF($H686="","",IF(VLOOKUP($B$605,ExpItems[],2,0),$B$605&amp;" - "&amp;INDEX(DivisionMapping[category_code],MATCH($D686&amp;$C686,DivisionMapping[dept_bu],0)),$B$605))</f>
        <v/>
      </c>
      <c r="K686" t="str">
        <f t="shared" si="409"/>
        <v/>
      </c>
      <c r="L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L476*L$78)</f>
        <v>0</v>
      </c>
      <c r="M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M476*M$78)</f>
        <v>0</v>
      </c>
      <c r="N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N476*N$78)</f>
        <v>0</v>
      </c>
      <c r="O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O476*O$78)</f>
        <v>0</v>
      </c>
      <c r="P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P476*P$78)</f>
        <v>0</v>
      </c>
      <c r="Q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Q476*Q$78)</f>
        <v>0</v>
      </c>
      <c r="R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R476*R$78)</f>
        <v>0</v>
      </c>
      <c r="S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S476*S$78)</f>
        <v>0</v>
      </c>
      <c r="T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T476*T$78)</f>
        <v>0</v>
      </c>
      <c r="U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U476*U$78)</f>
        <v>0</v>
      </c>
      <c r="V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V476*V$78)</f>
        <v>0</v>
      </c>
      <c r="W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W476*W$78)</f>
        <v>0</v>
      </c>
      <c r="X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X476*X$78)</f>
        <v>0</v>
      </c>
      <c r="Y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Y476*Y$78)</f>
        <v>0</v>
      </c>
      <c r="Z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Z476*Z$78)</f>
        <v>0</v>
      </c>
      <c r="AA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A476*AA$78)</f>
        <v>0</v>
      </c>
      <c r="AB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B476*AB$78)</f>
        <v>0</v>
      </c>
      <c r="AC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C476*AC$78)</f>
        <v>0</v>
      </c>
      <c r="AD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D476*AD$78)</f>
        <v>0</v>
      </c>
      <c r="AE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E476*AE$78)</f>
        <v>0</v>
      </c>
      <c r="AF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F476*AF$78)</f>
        <v>0</v>
      </c>
      <c r="AG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G476*AG$78)</f>
        <v>0</v>
      </c>
      <c r="AH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H476*AH$78)</f>
        <v>0</v>
      </c>
      <c r="AI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I476*AI$78)</f>
        <v>0</v>
      </c>
      <c r="AJ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J476*AJ$78)</f>
        <v>0</v>
      </c>
      <c r="AK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K476*AK$78)</f>
        <v>0</v>
      </c>
      <c r="AL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L476*AL$78)</f>
        <v>0</v>
      </c>
      <c r="AM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M476*AM$78)</f>
        <v>0</v>
      </c>
      <c r="AN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N476*AN$78)</f>
        <v>0</v>
      </c>
      <c r="AO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O476*AO$78)</f>
        <v>0</v>
      </c>
      <c r="AP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P476*AP$78)</f>
        <v>0</v>
      </c>
      <c r="AQ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Q476*AQ$78)</f>
        <v>0</v>
      </c>
      <c r="AR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R476*AR$78)</f>
        <v>0</v>
      </c>
      <c r="AS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S476*AS$78)</f>
        <v>0</v>
      </c>
      <c r="AT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T476*AT$78)</f>
        <v>0</v>
      </c>
      <c r="AU686" s="652">
        <f>IF($B686="",,IF(LEFT($H686,5)="dummy",SUMIFS(AvgCommission[avg_commission],AvgCommission[job_title],$H686),SUMIFS(AvgCommission[avg_commission],AvgCommission[exp_item],$J686,AvgCommission[company_name],$B686,AvgCommission[bu_name],$C686,AvgCommission[dept_name],$D686,AvgCommission[team_consolidation],$K686,AvgCommission[location_name],$G686,AvgCommission[job_title],$H686))*AU476*AU$78)</f>
        <v>0</v>
      </c>
    </row>
    <row r="687" spans="2:47" x14ac:dyDescent="0.35">
      <c r="B687" t="str">
        <f t="shared" si="410"/>
        <v/>
      </c>
      <c r="C687" t="str">
        <f t="shared" si="410"/>
        <v/>
      </c>
      <c r="D687" t="str">
        <f t="shared" si="410"/>
        <v/>
      </c>
      <c r="E687" t="str">
        <f t="shared" si="410"/>
        <v/>
      </c>
      <c r="F687" t="str">
        <f t="shared" si="410"/>
        <v/>
      </c>
      <c r="G687" t="str">
        <f t="shared" si="410"/>
        <v/>
      </c>
      <c r="H687" t="str">
        <f t="shared" si="408"/>
        <v/>
      </c>
      <c r="J687" t="str">
        <f>IF($H687="","",IF(VLOOKUP($B$605,ExpItems[],2,0),$B$605&amp;" - "&amp;INDEX(DivisionMapping[category_code],MATCH($D687&amp;$C687,DivisionMapping[dept_bu],0)),$B$605))</f>
        <v/>
      </c>
      <c r="K687" t="str">
        <f t="shared" si="409"/>
        <v/>
      </c>
      <c r="L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L477*L$78)</f>
        <v>0</v>
      </c>
      <c r="M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M477*M$78)</f>
        <v>0</v>
      </c>
      <c r="N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N477*N$78)</f>
        <v>0</v>
      </c>
      <c r="O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O477*O$78)</f>
        <v>0</v>
      </c>
      <c r="P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P477*P$78)</f>
        <v>0</v>
      </c>
      <c r="Q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Q477*Q$78)</f>
        <v>0</v>
      </c>
      <c r="R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R477*R$78)</f>
        <v>0</v>
      </c>
      <c r="S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S477*S$78)</f>
        <v>0</v>
      </c>
      <c r="T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T477*T$78)</f>
        <v>0</v>
      </c>
      <c r="U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U477*U$78)</f>
        <v>0</v>
      </c>
      <c r="V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V477*V$78)</f>
        <v>0</v>
      </c>
      <c r="W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W477*W$78)</f>
        <v>0</v>
      </c>
      <c r="X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X477*X$78)</f>
        <v>0</v>
      </c>
      <c r="Y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Y477*Y$78)</f>
        <v>0</v>
      </c>
      <c r="Z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Z477*Z$78)</f>
        <v>0</v>
      </c>
      <c r="AA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A477*AA$78)</f>
        <v>0</v>
      </c>
      <c r="AB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B477*AB$78)</f>
        <v>0</v>
      </c>
      <c r="AC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C477*AC$78)</f>
        <v>0</v>
      </c>
      <c r="AD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D477*AD$78)</f>
        <v>0</v>
      </c>
      <c r="AE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E477*AE$78)</f>
        <v>0</v>
      </c>
      <c r="AF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F477*AF$78)</f>
        <v>0</v>
      </c>
      <c r="AG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G477*AG$78)</f>
        <v>0</v>
      </c>
      <c r="AH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H477*AH$78)</f>
        <v>0</v>
      </c>
      <c r="AI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I477*AI$78)</f>
        <v>0</v>
      </c>
      <c r="AJ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J477*AJ$78)</f>
        <v>0</v>
      </c>
      <c r="AK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K477*AK$78)</f>
        <v>0</v>
      </c>
      <c r="AL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L477*AL$78)</f>
        <v>0</v>
      </c>
      <c r="AM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M477*AM$78)</f>
        <v>0</v>
      </c>
      <c r="AN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N477*AN$78)</f>
        <v>0</v>
      </c>
      <c r="AO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O477*AO$78)</f>
        <v>0</v>
      </c>
      <c r="AP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P477*AP$78)</f>
        <v>0</v>
      </c>
      <c r="AQ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Q477*AQ$78)</f>
        <v>0</v>
      </c>
      <c r="AR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R477*AR$78)</f>
        <v>0</v>
      </c>
      <c r="AS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S477*AS$78)</f>
        <v>0</v>
      </c>
      <c r="AT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T477*AT$78)</f>
        <v>0</v>
      </c>
      <c r="AU687" s="652">
        <f>IF($B687="",,IF(LEFT($H687,5)="dummy",SUMIFS(AvgCommission[avg_commission],AvgCommission[job_title],$H687),SUMIFS(AvgCommission[avg_commission],AvgCommission[exp_item],$J687,AvgCommission[company_name],$B687,AvgCommission[bu_name],$C687,AvgCommission[dept_name],$D687,AvgCommission[team_consolidation],$K687,AvgCommission[location_name],$G687,AvgCommission[job_title],$H687))*AU477*AU$78)</f>
        <v>0</v>
      </c>
    </row>
    <row r="688" spans="2:47" x14ac:dyDescent="0.35">
      <c r="B688" t="str">
        <f t="shared" si="410"/>
        <v/>
      </c>
      <c r="C688" t="str">
        <f t="shared" si="410"/>
        <v/>
      </c>
      <c r="D688" t="str">
        <f t="shared" si="410"/>
        <v/>
      </c>
      <c r="E688" t="str">
        <f t="shared" si="410"/>
        <v/>
      </c>
      <c r="F688" t="str">
        <f t="shared" si="410"/>
        <v/>
      </c>
      <c r="G688" t="str">
        <f t="shared" si="410"/>
        <v/>
      </c>
      <c r="H688" t="str">
        <f t="shared" si="408"/>
        <v/>
      </c>
      <c r="J688" t="str">
        <f>IF($H688="","",IF(VLOOKUP($B$605,ExpItems[],2,0),$B$605&amp;" - "&amp;INDEX(DivisionMapping[category_code],MATCH($D688&amp;$C688,DivisionMapping[dept_bu],0)),$B$605))</f>
        <v/>
      </c>
      <c r="K688" t="str">
        <f t="shared" si="409"/>
        <v/>
      </c>
      <c r="L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L478*L$78)</f>
        <v>0</v>
      </c>
      <c r="M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M478*M$78)</f>
        <v>0</v>
      </c>
      <c r="N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N478*N$78)</f>
        <v>0</v>
      </c>
      <c r="O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O478*O$78)</f>
        <v>0</v>
      </c>
      <c r="P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P478*P$78)</f>
        <v>0</v>
      </c>
      <c r="Q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Q478*Q$78)</f>
        <v>0</v>
      </c>
      <c r="R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R478*R$78)</f>
        <v>0</v>
      </c>
      <c r="S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S478*S$78)</f>
        <v>0</v>
      </c>
      <c r="T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T478*T$78)</f>
        <v>0</v>
      </c>
      <c r="U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U478*U$78)</f>
        <v>0</v>
      </c>
      <c r="V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V478*V$78)</f>
        <v>0</v>
      </c>
      <c r="W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W478*W$78)</f>
        <v>0</v>
      </c>
      <c r="X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X478*X$78)</f>
        <v>0</v>
      </c>
      <c r="Y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Y478*Y$78)</f>
        <v>0</v>
      </c>
      <c r="Z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Z478*Z$78)</f>
        <v>0</v>
      </c>
      <c r="AA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A478*AA$78)</f>
        <v>0</v>
      </c>
      <c r="AB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B478*AB$78)</f>
        <v>0</v>
      </c>
      <c r="AC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C478*AC$78)</f>
        <v>0</v>
      </c>
      <c r="AD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D478*AD$78)</f>
        <v>0</v>
      </c>
      <c r="AE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E478*AE$78)</f>
        <v>0</v>
      </c>
      <c r="AF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F478*AF$78)</f>
        <v>0</v>
      </c>
      <c r="AG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G478*AG$78)</f>
        <v>0</v>
      </c>
      <c r="AH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H478*AH$78)</f>
        <v>0</v>
      </c>
      <c r="AI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I478*AI$78)</f>
        <v>0</v>
      </c>
      <c r="AJ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J478*AJ$78)</f>
        <v>0</v>
      </c>
      <c r="AK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K478*AK$78)</f>
        <v>0</v>
      </c>
      <c r="AL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L478*AL$78)</f>
        <v>0</v>
      </c>
      <c r="AM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M478*AM$78)</f>
        <v>0</v>
      </c>
      <c r="AN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N478*AN$78)</f>
        <v>0</v>
      </c>
      <c r="AO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O478*AO$78)</f>
        <v>0</v>
      </c>
      <c r="AP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P478*AP$78)</f>
        <v>0</v>
      </c>
      <c r="AQ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Q478*AQ$78)</f>
        <v>0</v>
      </c>
      <c r="AR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R478*AR$78)</f>
        <v>0</v>
      </c>
      <c r="AS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S478*AS$78)</f>
        <v>0</v>
      </c>
      <c r="AT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T478*AT$78)</f>
        <v>0</v>
      </c>
      <c r="AU688" s="652">
        <f>IF($B688="",,IF(LEFT($H688,5)="dummy",SUMIFS(AvgCommission[avg_commission],AvgCommission[job_title],$H688),SUMIFS(AvgCommission[avg_commission],AvgCommission[exp_item],$J688,AvgCommission[company_name],$B688,AvgCommission[bu_name],$C688,AvgCommission[dept_name],$D688,AvgCommission[team_consolidation],$K688,AvgCommission[location_name],$G688,AvgCommission[job_title],$H688))*AU478*AU$78)</f>
        <v>0</v>
      </c>
    </row>
    <row r="689" spans="2:47" x14ac:dyDescent="0.35">
      <c r="B689" t="str">
        <f t="shared" si="410"/>
        <v/>
      </c>
      <c r="C689" t="str">
        <f t="shared" si="410"/>
        <v/>
      </c>
      <c r="D689" t="str">
        <f t="shared" si="410"/>
        <v/>
      </c>
      <c r="E689" t="str">
        <f t="shared" si="410"/>
        <v/>
      </c>
      <c r="F689" t="str">
        <f t="shared" si="410"/>
        <v/>
      </c>
      <c r="G689" t="str">
        <f t="shared" si="410"/>
        <v/>
      </c>
      <c r="H689" t="str">
        <f t="shared" si="408"/>
        <v/>
      </c>
      <c r="J689" t="str">
        <f>IF($H689="","",IF(VLOOKUP($B$605,ExpItems[],2,0),$B$605&amp;" - "&amp;INDEX(DivisionMapping[category_code],MATCH($D689&amp;$C689,DivisionMapping[dept_bu],0)),$B$605))</f>
        <v/>
      </c>
      <c r="K689" t="str">
        <f t="shared" si="409"/>
        <v/>
      </c>
      <c r="L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L479*L$78)</f>
        <v>0</v>
      </c>
      <c r="M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M479*M$78)</f>
        <v>0</v>
      </c>
      <c r="N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N479*N$78)</f>
        <v>0</v>
      </c>
      <c r="O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O479*O$78)</f>
        <v>0</v>
      </c>
      <c r="P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P479*P$78)</f>
        <v>0</v>
      </c>
      <c r="Q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Q479*Q$78)</f>
        <v>0</v>
      </c>
      <c r="R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R479*R$78)</f>
        <v>0</v>
      </c>
      <c r="S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S479*S$78)</f>
        <v>0</v>
      </c>
      <c r="T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T479*T$78)</f>
        <v>0</v>
      </c>
      <c r="U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U479*U$78)</f>
        <v>0</v>
      </c>
      <c r="V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V479*V$78)</f>
        <v>0</v>
      </c>
      <c r="W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W479*W$78)</f>
        <v>0</v>
      </c>
      <c r="X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X479*X$78)</f>
        <v>0</v>
      </c>
      <c r="Y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Y479*Y$78)</f>
        <v>0</v>
      </c>
      <c r="Z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Z479*Z$78)</f>
        <v>0</v>
      </c>
      <c r="AA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A479*AA$78)</f>
        <v>0</v>
      </c>
      <c r="AB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B479*AB$78)</f>
        <v>0</v>
      </c>
      <c r="AC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C479*AC$78)</f>
        <v>0</v>
      </c>
      <c r="AD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D479*AD$78)</f>
        <v>0</v>
      </c>
      <c r="AE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E479*AE$78)</f>
        <v>0</v>
      </c>
      <c r="AF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F479*AF$78)</f>
        <v>0</v>
      </c>
      <c r="AG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G479*AG$78)</f>
        <v>0</v>
      </c>
      <c r="AH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H479*AH$78)</f>
        <v>0</v>
      </c>
      <c r="AI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I479*AI$78)</f>
        <v>0</v>
      </c>
      <c r="AJ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J479*AJ$78)</f>
        <v>0</v>
      </c>
      <c r="AK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K479*AK$78)</f>
        <v>0</v>
      </c>
      <c r="AL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L479*AL$78)</f>
        <v>0</v>
      </c>
      <c r="AM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M479*AM$78)</f>
        <v>0</v>
      </c>
      <c r="AN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N479*AN$78)</f>
        <v>0</v>
      </c>
      <c r="AO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O479*AO$78)</f>
        <v>0</v>
      </c>
      <c r="AP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P479*AP$78)</f>
        <v>0</v>
      </c>
      <c r="AQ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Q479*AQ$78)</f>
        <v>0</v>
      </c>
      <c r="AR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R479*AR$78)</f>
        <v>0</v>
      </c>
      <c r="AS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S479*AS$78)</f>
        <v>0</v>
      </c>
      <c r="AT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T479*AT$78)</f>
        <v>0</v>
      </c>
      <c r="AU689" s="652">
        <f>IF($B689="",,IF(LEFT($H689,5)="dummy",SUMIFS(AvgCommission[avg_commission],AvgCommission[job_title],$H689),SUMIFS(AvgCommission[avg_commission],AvgCommission[exp_item],$J689,AvgCommission[company_name],$B689,AvgCommission[bu_name],$C689,AvgCommission[dept_name],$D689,AvgCommission[team_consolidation],$K689,AvgCommission[location_name],$G689,AvgCommission[job_title],$H689))*AU479*AU$78)</f>
        <v>0</v>
      </c>
    </row>
    <row r="690" spans="2:47" x14ac:dyDescent="0.35">
      <c r="B690" t="str">
        <f t="shared" si="410"/>
        <v/>
      </c>
      <c r="C690" t="str">
        <f t="shared" si="410"/>
        <v/>
      </c>
      <c r="D690" t="str">
        <f t="shared" si="410"/>
        <v/>
      </c>
      <c r="E690" t="str">
        <f t="shared" si="410"/>
        <v/>
      </c>
      <c r="F690" t="str">
        <f t="shared" si="410"/>
        <v/>
      </c>
      <c r="G690" t="str">
        <f t="shared" si="410"/>
        <v/>
      </c>
      <c r="H690" t="str">
        <f t="shared" si="408"/>
        <v/>
      </c>
      <c r="J690" t="str">
        <f>IF($H690="","",IF(VLOOKUP($B$605,ExpItems[],2,0),$B$605&amp;" - "&amp;INDEX(DivisionMapping[category_code],MATCH($D690&amp;$C690,DivisionMapping[dept_bu],0)),$B$605))</f>
        <v/>
      </c>
      <c r="K690" t="str">
        <f t="shared" si="409"/>
        <v/>
      </c>
      <c r="L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L480*L$78)</f>
        <v>0</v>
      </c>
      <c r="M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M480*M$78)</f>
        <v>0</v>
      </c>
      <c r="N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N480*N$78)</f>
        <v>0</v>
      </c>
      <c r="O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O480*O$78)</f>
        <v>0</v>
      </c>
      <c r="P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P480*P$78)</f>
        <v>0</v>
      </c>
      <c r="Q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Q480*Q$78)</f>
        <v>0</v>
      </c>
      <c r="R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R480*R$78)</f>
        <v>0</v>
      </c>
      <c r="S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S480*S$78)</f>
        <v>0</v>
      </c>
      <c r="T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T480*T$78)</f>
        <v>0</v>
      </c>
      <c r="U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U480*U$78)</f>
        <v>0</v>
      </c>
      <c r="V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V480*V$78)</f>
        <v>0</v>
      </c>
      <c r="W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W480*W$78)</f>
        <v>0</v>
      </c>
      <c r="X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X480*X$78)</f>
        <v>0</v>
      </c>
      <c r="Y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Y480*Y$78)</f>
        <v>0</v>
      </c>
      <c r="Z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Z480*Z$78)</f>
        <v>0</v>
      </c>
      <c r="AA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A480*AA$78)</f>
        <v>0</v>
      </c>
      <c r="AB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B480*AB$78)</f>
        <v>0</v>
      </c>
      <c r="AC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C480*AC$78)</f>
        <v>0</v>
      </c>
      <c r="AD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D480*AD$78)</f>
        <v>0</v>
      </c>
      <c r="AE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E480*AE$78)</f>
        <v>0</v>
      </c>
      <c r="AF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F480*AF$78)</f>
        <v>0</v>
      </c>
      <c r="AG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G480*AG$78)</f>
        <v>0</v>
      </c>
      <c r="AH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H480*AH$78)</f>
        <v>0</v>
      </c>
      <c r="AI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I480*AI$78)</f>
        <v>0</v>
      </c>
      <c r="AJ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J480*AJ$78)</f>
        <v>0</v>
      </c>
      <c r="AK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K480*AK$78)</f>
        <v>0</v>
      </c>
      <c r="AL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L480*AL$78)</f>
        <v>0</v>
      </c>
      <c r="AM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M480*AM$78)</f>
        <v>0</v>
      </c>
      <c r="AN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N480*AN$78)</f>
        <v>0</v>
      </c>
      <c r="AO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O480*AO$78)</f>
        <v>0</v>
      </c>
      <c r="AP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P480*AP$78)</f>
        <v>0</v>
      </c>
      <c r="AQ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Q480*AQ$78)</f>
        <v>0</v>
      </c>
      <c r="AR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R480*AR$78)</f>
        <v>0</v>
      </c>
      <c r="AS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S480*AS$78)</f>
        <v>0</v>
      </c>
      <c r="AT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T480*AT$78)</f>
        <v>0</v>
      </c>
      <c r="AU690" s="652">
        <f>IF($B690="",,IF(LEFT($H690,5)="dummy",SUMIFS(AvgCommission[avg_commission],AvgCommission[job_title],$H690),SUMIFS(AvgCommission[avg_commission],AvgCommission[exp_item],$J690,AvgCommission[company_name],$B690,AvgCommission[bu_name],$C690,AvgCommission[dept_name],$D690,AvgCommission[team_consolidation],$K690,AvgCommission[location_name],$G690,AvgCommission[job_title],$H690))*AU480*AU$78)</f>
        <v>0</v>
      </c>
    </row>
    <row r="691" spans="2:47" x14ac:dyDescent="0.35">
      <c r="B691" t="str">
        <f t="shared" ref="B691:G691" si="411">IF(B586="","",B586)</f>
        <v/>
      </c>
      <c r="C691" t="str">
        <f t="shared" si="411"/>
        <v/>
      </c>
      <c r="D691" t="str">
        <f t="shared" si="411"/>
        <v/>
      </c>
      <c r="E691" t="str">
        <f t="shared" si="411"/>
        <v/>
      </c>
      <c r="F691" t="str">
        <f t="shared" si="411"/>
        <v/>
      </c>
      <c r="G691" t="str">
        <f t="shared" si="411"/>
        <v/>
      </c>
      <c r="H691" t="str">
        <f t="shared" si="408"/>
        <v/>
      </c>
      <c r="J691" t="str">
        <f>IF($H691="","",IF(VLOOKUP($B$605,ExpItems[],2,0),$B$605&amp;" - "&amp;INDEX(DivisionMapping[category_code],MATCH($D691&amp;$C691,DivisionMapping[dept_bu],0)),$B$605))</f>
        <v/>
      </c>
      <c r="K691" t="str">
        <f t="shared" si="409"/>
        <v/>
      </c>
      <c r="L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L481*L$78)</f>
        <v>0</v>
      </c>
      <c r="M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M481*M$78)</f>
        <v>0</v>
      </c>
      <c r="N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N481*N$78)</f>
        <v>0</v>
      </c>
      <c r="O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O481*O$78)</f>
        <v>0</v>
      </c>
      <c r="P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P481*P$78)</f>
        <v>0</v>
      </c>
      <c r="Q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Q481*Q$78)</f>
        <v>0</v>
      </c>
      <c r="R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R481*R$78)</f>
        <v>0</v>
      </c>
      <c r="S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S481*S$78)</f>
        <v>0</v>
      </c>
      <c r="T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T481*T$78)</f>
        <v>0</v>
      </c>
      <c r="U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U481*U$78)</f>
        <v>0</v>
      </c>
      <c r="V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V481*V$78)</f>
        <v>0</v>
      </c>
      <c r="W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W481*W$78)</f>
        <v>0</v>
      </c>
      <c r="X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X481*X$78)</f>
        <v>0</v>
      </c>
      <c r="Y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Y481*Y$78)</f>
        <v>0</v>
      </c>
      <c r="Z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Z481*Z$78)</f>
        <v>0</v>
      </c>
      <c r="AA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A481*AA$78)</f>
        <v>0</v>
      </c>
      <c r="AB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B481*AB$78)</f>
        <v>0</v>
      </c>
      <c r="AC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C481*AC$78)</f>
        <v>0</v>
      </c>
      <c r="AD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D481*AD$78)</f>
        <v>0</v>
      </c>
      <c r="AE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E481*AE$78)</f>
        <v>0</v>
      </c>
      <c r="AF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F481*AF$78)</f>
        <v>0</v>
      </c>
      <c r="AG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G481*AG$78)</f>
        <v>0</v>
      </c>
      <c r="AH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H481*AH$78)</f>
        <v>0</v>
      </c>
      <c r="AI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I481*AI$78)</f>
        <v>0</v>
      </c>
      <c r="AJ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J481*AJ$78)</f>
        <v>0</v>
      </c>
      <c r="AK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K481*AK$78)</f>
        <v>0</v>
      </c>
      <c r="AL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L481*AL$78)</f>
        <v>0</v>
      </c>
      <c r="AM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M481*AM$78)</f>
        <v>0</v>
      </c>
      <c r="AN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N481*AN$78)</f>
        <v>0</v>
      </c>
      <c r="AO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O481*AO$78)</f>
        <v>0</v>
      </c>
      <c r="AP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P481*AP$78)</f>
        <v>0</v>
      </c>
      <c r="AQ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Q481*AQ$78)</f>
        <v>0</v>
      </c>
      <c r="AR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R481*AR$78)</f>
        <v>0</v>
      </c>
      <c r="AS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S481*AS$78)</f>
        <v>0</v>
      </c>
      <c r="AT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T481*AT$78)</f>
        <v>0</v>
      </c>
      <c r="AU691" s="652">
        <f>IF($B691="",,IF(LEFT($H691,5)="dummy",SUMIFS(AvgCommission[avg_commission],AvgCommission[job_title],$H691),SUMIFS(AvgCommission[avg_commission],AvgCommission[exp_item],$J691,AvgCommission[company_name],$B691,AvgCommission[bu_name],$C691,AvgCommission[dept_name],$D691,AvgCommission[team_consolidation],$K691,AvgCommission[location_name],$G691,AvgCommission[job_title],$H691))*AU481*AU$78)</f>
        <v>0</v>
      </c>
    </row>
    <row r="692" spans="2:47" x14ac:dyDescent="0.35">
      <c r="B692" t="str">
        <f t="shared" ref="B692:G692" si="412">IF(B587="","",B587)</f>
        <v/>
      </c>
      <c r="C692" t="str">
        <f t="shared" si="412"/>
        <v/>
      </c>
      <c r="D692" t="str">
        <f t="shared" si="412"/>
        <v/>
      </c>
      <c r="E692" t="str">
        <f t="shared" si="412"/>
        <v/>
      </c>
      <c r="F692" t="str">
        <f t="shared" si="412"/>
        <v/>
      </c>
      <c r="G692" t="str">
        <f t="shared" si="412"/>
        <v/>
      </c>
      <c r="H692" t="str">
        <f t="shared" si="408"/>
        <v/>
      </c>
      <c r="J692" t="str">
        <f>IF($H692="","",IF(VLOOKUP($B$605,ExpItems[],2,0),$B$605&amp;" - "&amp;INDEX(DivisionMapping[category_code],MATCH($D692&amp;$C692,DivisionMapping[dept_bu],0)),$B$605))</f>
        <v/>
      </c>
      <c r="K692" t="str">
        <f t="shared" si="409"/>
        <v/>
      </c>
      <c r="L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L482*L$78)</f>
        <v>0</v>
      </c>
      <c r="M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M482*M$78)</f>
        <v>0</v>
      </c>
      <c r="N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N482*N$78)</f>
        <v>0</v>
      </c>
      <c r="O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O482*O$78)</f>
        <v>0</v>
      </c>
      <c r="P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P482*P$78)</f>
        <v>0</v>
      </c>
      <c r="Q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Q482*Q$78)</f>
        <v>0</v>
      </c>
      <c r="R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R482*R$78)</f>
        <v>0</v>
      </c>
      <c r="S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S482*S$78)</f>
        <v>0</v>
      </c>
      <c r="T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T482*T$78)</f>
        <v>0</v>
      </c>
      <c r="U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U482*U$78)</f>
        <v>0</v>
      </c>
      <c r="V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V482*V$78)</f>
        <v>0</v>
      </c>
      <c r="W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W482*W$78)</f>
        <v>0</v>
      </c>
      <c r="X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X482*X$78)</f>
        <v>0</v>
      </c>
      <c r="Y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Y482*Y$78)</f>
        <v>0</v>
      </c>
      <c r="Z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Z482*Z$78)</f>
        <v>0</v>
      </c>
      <c r="AA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A482*AA$78)</f>
        <v>0</v>
      </c>
      <c r="AB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B482*AB$78)</f>
        <v>0</v>
      </c>
      <c r="AC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C482*AC$78)</f>
        <v>0</v>
      </c>
      <c r="AD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D482*AD$78)</f>
        <v>0</v>
      </c>
      <c r="AE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E482*AE$78)</f>
        <v>0</v>
      </c>
      <c r="AF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F482*AF$78)</f>
        <v>0</v>
      </c>
      <c r="AG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G482*AG$78)</f>
        <v>0</v>
      </c>
      <c r="AH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H482*AH$78)</f>
        <v>0</v>
      </c>
      <c r="AI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I482*AI$78)</f>
        <v>0</v>
      </c>
      <c r="AJ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J482*AJ$78)</f>
        <v>0</v>
      </c>
      <c r="AK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K482*AK$78)</f>
        <v>0</v>
      </c>
      <c r="AL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L482*AL$78)</f>
        <v>0</v>
      </c>
      <c r="AM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M482*AM$78)</f>
        <v>0</v>
      </c>
      <c r="AN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N482*AN$78)</f>
        <v>0</v>
      </c>
      <c r="AO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O482*AO$78)</f>
        <v>0</v>
      </c>
      <c r="AP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P482*AP$78)</f>
        <v>0</v>
      </c>
      <c r="AQ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Q482*AQ$78)</f>
        <v>0</v>
      </c>
      <c r="AR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R482*AR$78)</f>
        <v>0</v>
      </c>
      <c r="AS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S482*AS$78)</f>
        <v>0</v>
      </c>
      <c r="AT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T482*AT$78)</f>
        <v>0</v>
      </c>
      <c r="AU692" s="652">
        <f>IF($B692="",,IF(LEFT($H692,5)="dummy",SUMIFS(AvgCommission[avg_commission],AvgCommission[job_title],$H692),SUMIFS(AvgCommission[avg_commission],AvgCommission[exp_item],$J692,AvgCommission[company_name],$B692,AvgCommission[bu_name],$C692,AvgCommission[dept_name],$D692,AvgCommission[team_consolidation],$K692,AvgCommission[location_name],$G692,AvgCommission[job_title],$H692))*AU482*AU$78)</f>
        <v>0</v>
      </c>
    </row>
    <row r="693" spans="2:47" x14ac:dyDescent="0.35">
      <c r="B693" t="str">
        <f t="shared" ref="B693:G693" si="413">IF(B588="","",B588)</f>
        <v/>
      </c>
      <c r="C693" t="str">
        <f t="shared" si="413"/>
        <v/>
      </c>
      <c r="D693" t="str">
        <f t="shared" si="413"/>
        <v/>
      </c>
      <c r="E693" t="str">
        <f t="shared" si="413"/>
        <v/>
      </c>
      <c r="F693" t="str">
        <f t="shared" si="413"/>
        <v/>
      </c>
      <c r="G693" t="str">
        <f t="shared" si="413"/>
        <v/>
      </c>
      <c r="H693" t="str">
        <f t="shared" si="408"/>
        <v/>
      </c>
      <c r="J693" t="str">
        <f>IF($H693="","",IF(VLOOKUP($B$605,ExpItems[],2,0),$B$605&amp;" - "&amp;INDEX(DivisionMapping[category_code],MATCH($D693&amp;$C693,DivisionMapping[dept_bu],0)),$B$605))</f>
        <v/>
      </c>
      <c r="K693" t="str">
        <f t="shared" si="409"/>
        <v/>
      </c>
      <c r="L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L483*L$78)</f>
        <v>0</v>
      </c>
      <c r="M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M483*M$78)</f>
        <v>0</v>
      </c>
      <c r="N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N483*N$78)</f>
        <v>0</v>
      </c>
      <c r="O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O483*O$78)</f>
        <v>0</v>
      </c>
      <c r="P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P483*P$78)</f>
        <v>0</v>
      </c>
      <c r="Q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Q483*Q$78)</f>
        <v>0</v>
      </c>
      <c r="R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R483*R$78)</f>
        <v>0</v>
      </c>
      <c r="S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S483*S$78)</f>
        <v>0</v>
      </c>
      <c r="T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T483*T$78)</f>
        <v>0</v>
      </c>
      <c r="U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U483*U$78)</f>
        <v>0</v>
      </c>
      <c r="V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V483*V$78)</f>
        <v>0</v>
      </c>
      <c r="W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W483*W$78)</f>
        <v>0</v>
      </c>
      <c r="X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X483*X$78)</f>
        <v>0</v>
      </c>
      <c r="Y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Y483*Y$78)</f>
        <v>0</v>
      </c>
      <c r="Z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Z483*Z$78)</f>
        <v>0</v>
      </c>
      <c r="AA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A483*AA$78)</f>
        <v>0</v>
      </c>
      <c r="AB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B483*AB$78)</f>
        <v>0</v>
      </c>
      <c r="AC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C483*AC$78)</f>
        <v>0</v>
      </c>
      <c r="AD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D483*AD$78)</f>
        <v>0</v>
      </c>
      <c r="AE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E483*AE$78)</f>
        <v>0</v>
      </c>
      <c r="AF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F483*AF$78)</f>
        <v>0</v>
      </c>
      <c r="AG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G483*AG$78)</f>
        <v>0</v>
      </c>
      <c r="AH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H483*AH$78)</f>
        <v>0</v>
      </c>
      <c r="AI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I483*AI$78)</f>
        <v>0</v>
      </c>
      <c r="AJ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J483*AJ$78)</f>
        <v>0</v>
      </c>
      <c r="AK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K483*AK$78)</f>
        <v>0</v>
      </c>
      <c r="AL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L483*AL$78)</f>
        <v>0</v>
      </c>
      <c r="AM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M483*AM$78)</f>
        <v>0</v>
      </c>
      <c r="AN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N483*AN$78)</f>
        <v>0</v>
      </c>
      <c r="AO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O483*AO$78)</f>
        <v>0</v>
      </c>
      <c r="AP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P483*AP$78)</f>
        <v>0</v>
      </c>
      <c r="AQ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Q483*AQ$78)</f>
        <v>0</v>
      </c>
      <c r="AR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R483*AR$78)</f>
        <v>0</v>
      </c>
      <c r="AS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S483*AS$78)</f>
        <v>0</v>
      </c>
      <c r="AT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T483*AT$78)</f>
        <v>0</v>
      </c>
      <c r="AU693" s="652">
        <f>IF($B693="",,IF(LEFT($H693,5)="dummy",SUMIFS(AvgCommission[avg_commission],AvgCommission[job_title],$H693),SUMIFS(AvgCommission[avg_commission],AvgCommission[exp_item],$J693,AvgCommission[company_name],$B693,AvgCommission[bu_name],$C693,AvgCommission[dept_name],$D693,AvgCommission[team_consolidation],$K693,AvgCommission[location_name],$G693,AvgCommission[job_title],$H693))*AU483*AU$78)</f>
        <v>0</v>
      </c>
    </row>
    <row r="694" spans="2:47" x14ac:dyDescent="0.35">
      <c r="B694" t="str">
        <f t="shared" ref="B694:G694" si="414">IF(B589="","",B589)</f>
        <v/>
      </c>
      <c r="C694" t="str">
        <f t="shared" si="414"/>
        <v/>
      </c>
      <c r="D694" t="str">
        <f t="shared" si="414"/>
        <v/>
      </c>
      <c r="E694" t="str">
        <f t="shared" si="414"/>
        <v/>
      </c>
      <c r="F694" t="str">
        <f t="shared" si="414"/>
        <v/>
      </c>
      <c r="G694" t="str">
        <f t="shared" si="414"/>
        <v/>
      </c>
      <c r="H694" t="str">
        <f t="shared" si="408"/>
        <v/>
      </c>
      <c r="J694" t="str">
        <f>IF($H694="","",IF(VLOOKUP($B$605,ExpItems[],2,0),$B$605&amp;" - "&amp;INDEX(DivisionMapping[category_code],MATCH($D694&amp;$C694,DivisionMapping[dept_bu],0)),$B$605))</f>
        <v/>
      </c>
      <c r="K694" t="str">
        <f t="shared" si="409"/>
        <v/>
      </c>
      <c r="L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L484*L$78)</f>
        <v>0</v>
      </c>
      <c r="M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M484*M$78)</f>
        <v>0</v>
      </c>
      <c r="N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N484*N$78)</f>
        <v>0</v>
      </c>
      <c r="O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O484*O$78)</f>
        <v>0</v>
      </c>
      <c r="P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P484*P$78)</f>
        <v>0</v>
      </c>
      <c r="Q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Q484*Q$78)</f>
        <v>0</v>
      </c>
      <c r="R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R484*R$78)</f>
        <v>0</v>
      </c>
      <c r="S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S484*S$78)</f>
        <v>0</v>
      </c>
      <c r="T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T484*T$78)</f>
        <v>0</v>
      </c>
      <c r="U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U484*U$78)</f>
        <v>0</v>
      </c>
      <c r="V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V484*V$78)</f>
        <v>0</v>
      </c>
      <c r="W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W484*W$78)</f>
        <v>0</v>
      </c>
      <c r="X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X484*X$78)</f>
        <v>0</v>
      </c>
      <c r="Y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Y484*Y$78)</f>
        <v>0</v>
      </c>
      <c r="Z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Z484*Z$78)</f>
        <v>0</v>
      </c>
      <c r="AA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A484*AA$78)</f>
        <v>0</v>
      </c>
      <c r="AB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B484*AB$78)</f>
        <v>0</v>
      </c>
      <c r="AC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C484*AC$78)</f>
        <v>0</v>
      </c>
      <c r="AD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D484*AD$78)</f>
        <v>0</v>
      </c>
      <c r="AE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E484*AE$78)</f>
        <v>0</v>
      </c>
      <c r="AF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F484*AF$78)</f>
        <v>0</v>
      </c>
      <c r="AG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G484*AG$78)</f>
        <v>0</v>
      </c>
      <c r="AH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H484*AH$78)</f>
        <v>0</v>
      </c>
      <c r="AI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I484*AI$78)</f>
        <v>0</v>
      </c>
      <c r="AJ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J484*AJ$78)</f>
        <v>0</v>
      </c>
      <c r="AK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K484*AK$78)</f>
        <v>0</v>
      </c>
      <c r="AL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L484*AL$78)</f>
        <v>0</v>
      </c>
      <c r="AM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M484*AM$78)</f>
        <v>0</v>
      </c>
      <c r="AN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N484*AN$78)</f>
        <v>0</v>
      </c>
      <c r="AO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O484*AO$78)</f>
        <v>0</v>
      </c>
      <c r="AP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P484*AP$78)</f>
        <v>0</v>
      </c>
      <c r="AQ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Q484*AQ$78)</f>
        <v>0</v>
      </c>
      <c r="AR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R484*AR$78)</f>
        <v>0</v>
      </c>
      <c r="AS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S484*AS$78)</f>
        <v>0</v>
      </c>
      <c r="AT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T484*AT$78)</f>
        <v>0</v>
      </c>
      <c r="AU694" s="652">
        <f>IF($B694="",,IF(LEFT($H694,5)="dummy",SUMIFS(AvgCommission[avg_commission],AvgCommission[job_title],$H694),SUMIFS(AvgCommission[avg_commission],AvgCommission[exp_item],$J694,AvgCommission[company_name],$B694,AvgCommission[bu_name],$C694,AvgCommission[dept_name],$D694,AvgCommission[team_consolidation],$K694,AvgCommission[location_name],$G694,AvgCommission[job_title],$H694))*AU484*AU$78)</f>
        <v>0</v>
      </c>
    </row>
    <row r="695" spans="2:47" x14ac:dyDescent="0.35">
      <c r="B695" t="str">
        <f t="shared" ref="B695:G695" si="415">IF(B590="","",B590)</f>
        <v/>
      </c>
      <c r="C695" t="str">
        <f t="shared" si="415"/>
        <v/>
      </c>
      <c r="D695" t="str">
        <f t="shared" si="415"/>
        <v/>
      </c>
      <c r="E695" t="str">
        <f t="shared" si="415"/>
        <v/>
      </c>
      <c r="F695" t="str">
        <f t="shared" si="415"/>
        <v/>
      </c>
      <c r="G695" t="str">
        <f t="shared" si="415"/>
        <v/>
      </c>
      <c r="H695" t="str">
        <f t="shared" si="408"/>
        <v/>
      </c>
      <c r="J695" t="str">
        <f>IF($H695="","",IF(VLOOKUP($B$605,ExpItems[],2,0),$B$605&amp;" - "&amp;INDEX(DivisionMapping[category_code],MATCH($D695&amp;$C695,DivisionMapping[dept_bu],0)),$B$605))</f>
        <v/>
      </c>
      <c r="K695" t="str">
        <f t="shared" si="409"/>
        <v/>
      </c>
      <c r="L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L485*L$78)</f>
        <v>0</v>
      </c>
      <c r="M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M485*M$78)</f>
        <v>0</v>
      </c>
      <c r="N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N485*N$78)</f>
        <v>0</v>
      </c>
      <c r="O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O485*O$78)</f>
        <v>0</v>
      </c>
      <c r="P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P485*P$78)</f>
        <v>0</v>
      </c>
      <c r="Q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Q485*Q$78)</f>
        <v>0</v>
      </c>
      <c r="R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R485*R$78)</f>
        <v>0</v>
      </c>
      <c r="S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S485*S$78)</f>
        <v>0</v>
      </c>
      <c r="T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T485*T$78)</f>
        <v>0</v>
      </c>
      <c r="U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U485*U$78)</f>
        <v>0</v>
      </c>
      <c r="V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V485*V$78)</f>
        <v>0</v>
      </c>
      <c r="W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W485*W$78)</f>
        <v>0</v>
      </c>
      <c r="X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X485*X$78)</f>
        <v>0</v>
      </c>
      <c r="Y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Y485*Y$78)</f>
        <v>0</v>
      </c>
      <c r="Z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Z485*Z$78)</f>
        <v>0</v>
      </c>
      <c r="AA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A485*AA$78)</f>
        <v>0</v>
      </c>
      <c r="AB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B485*AB$78)</f>
        <v>0</v>
      </c>
      <c r="AC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C485*AC$78)</f>
        <v>0</v>
      </c>
      <c r="AD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D485*AD$78)</f>
        <v>0</v>
      </c>
      <c r="AE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E485*AE$78)</f>
        <v>0</v>
      </c>
      <c r="AF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F485*AF$78)</f>
        <v>0</v>
      </c>
      <c r="AG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G485*AG$78)</f>
        <v>0</v>
      </c>
      <c r="AH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H485*AH$78)</f>
        <v>0</v>
      </c>
      <c r="AI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I485*AI$78)</f>
        <v>0</v>
      </c>
      <c r="AJ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J485*AJ$78)</f>
        <v>0</v>
      </c>
      <c r="AK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K485*AK$78)</f>
        <v>0</v>
      </c>
      <c r="AL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L485*AL$78)</f>
        <v>0</v>
      </c>
      <c r="AM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M485*AM$78)</f>
        <v>0</v>
      </c>
      <c r="AN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N485*AN$78)</f>
        <v>0</v>
      </c>
      <c r="AO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O485*AO$78)</f>
        <v>0</v>
      </c>
      <c r="AP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P485*AP$78)</f>
        <v>0</v>
      </c>
      <c r="AQ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Q485*AQ$78)</f>
        <v>0</v>
      </c>
      <c r="AR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R485*AR$78)</f>
        <v>0</v>
      </c>
      <c r="AS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S485*AS$78)</f>
        <v>0</v>
      </c>
      <c r="AT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T485*AT$78)</f>
        <v>0</v>
      </c>
      <c r="AU695" s="652">
        <f>IF($B695="",,IF(LEFT($H695,5)="dummy",SUMIFS(AvgCommission[avg_commission],AvgCommission[job_title],$H695),SUMIFS(AvgCommission[avg_commission],AvgCommission[exp_item],$J695,AvgCommission[company_name],$B695,AvgCommission[bu_name],$C695,AvgCommission[dept_name],$D695,AvgCommission[team_consolidation],$K695,AvgCommission[location_name],$G695,AvgCommission[job_title],$H695))*AU485*AU$78)</f>
        <v>0</v>
      </c>
    </row>
    <row r="696" spans="2:47" x14ac:dyDescent="0.35">
      <c r="B696" t="str">
        <f t="shared" ref="B696:G696" si="416">IF(B591="","",B591)</f>
        <v/>
      </c>
      <c r="C696" t="str">
        <f t="shared" si="416"/>
        <v/>
      </c>
      <c r="D696" t="str">
        <f t="shared" si="416"/>
        <v/>
      </c>
      <c r="E696" t="str">
        <f t="shared" si="416"/>
        <v/>
      </c>
      <c r="F696" t="str">
        <f t="shared" si="416"/>
        <v/>
      </c>
      <c r="G696" t="str">
        <f t="shared" si="416"/>
        <v/>
      </c>
      <c r="H696" t="str">
        <f t="shared" si="408"/>
        <v/>
      </c>
      <c r="J696" t="str">
        <f>IF($H696="","",IF(VLOOKUP($B$605,ExpItems[],2,0),$B$605&amp;" - "&amp;INDEX(DivisionMapping[category_code],MATCH($D696&amp;$C696,DivisionMapping[dept_bu],0)),$B$605))</f>
        <v/>
      </c>
      <c r="K696" t="str">
        <f t="shared" si="409"/>
        <v/>
      </c>
      <c r="L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L486*L$78)</f>
        <v>0</v>
      </c>
      <c r="M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M486*M$78)</f>
        <v>0</v>
      </c>
      <c r="N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N486*N$78)</f>
        <v>0</v>
      </c>
      <c r="O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O486*O$78)</f>
        <v>0</v>
      </c>
      <c r="P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P486*P$78)</f>
        <v>0</v>
      </c>
      <c r="Q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Q486*Q$78)</f>
        <v>0</v>
      </c>
      <c r="R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R486*R$78)</f>
        <v>0</v>
      </c>
      <c r="S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S486*S$78)</f>
        <v>0</v>
      </c>
      <c r="T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T486*T$78)</f>
        <v>0</v>
      </c>
      <c r="U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U486*U$78)</f>
        <v>0</v>
      </c>
      <c r="V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V486*V$78)</f>
        <v>0</v>
      </c>
      <c r="W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W486*W$78)</f>
        <v>0</v>
      </c>
      <c r="X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X486*X$78)</f>
        <v>0</v>
      </c>
      <c r="Y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Y486*Y$78)</f>
        <v>0</v>
      </c>
      <c r="Z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Z486*Z$78)</f>
        <v>0</v>
      </c>
      <c r="AA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A486*AA$78)</f>
        <v>0</v>
      </c>
      <c r="AB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B486*AB$78)</f>
        <v>0</v>
      </c>
      <c r="AC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C486*AC$78)</f>
        <v>0</v>
      </c>
      <c r="AD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D486*AD$78)</f>
        <v>0</v>
      </c>
      <c r="AE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E486*AE$78)</f>
        <v>0</v>
      </c>
      <c r="AF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F486*AF$78)</f>
        <v>0</v>
      </c>
      <c r="AG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G486*AG$78)</f>
        <v>0</v>
      </c>
      <c r="AH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H486*AH$78)</f>
        <v>0</v>
      </c>
      <c r="AI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I486*AI$78)</f>
        <v>0</v>
      </c>
      <c r="AJ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J486*AJ$78)</f>
        <v>0</v>
      </c>
      <c r="AK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K486*AK$78)</f>
        <v>0</v>
      </c>
      <c r="AL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L486*AL$78)</f>
        <v>0</v>
      </c>
      <c r="AM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M486*AM$78)</f>
        <v>0</v>
      </c>
      <c r="AN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N486*AN$78)</f>
        <v>0</v>
      </c>
      <c r="AO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O486*AO$78)</f>
        <v>0</v>
      </c>
      <c r="AP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P486*AP$78)</f>
        <v>0</v>
      </c>
      <c r="AQ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Q486*AQ$78)</f>
        <v>0</v>
      </c>
      <c r="AR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R486*AR$78)</f>
        <v>0</v>
      </c>
      <c r="AS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S486*AS$78)</f>
        <v>0</v>
      </c>
      <c r="AT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T486*AT$78)</f>
        <v>0</v>
      </c>
      <c r="AU696" s="652">
        <f>IF($B696="",,IF(LEFT($H696,5)="dummy",SUMIFS(AvgCommission[avg_commission],AvgCommission[job_title],$H696),SUMIFS(AvgCommission[avg_commission],AvgCommission[exp_item],$J696,AvgCommission[company_name],$B696,AvgCommission[bu_name],$C696,AvgCommission[dept_name],$D696,AvgCommission[team_consolidation],$K696,AvgCommission[location_name],$G696,AvgCommission[job_title],$H696))*AU486*AU$78)</f>
        <v>0</v>
      </c>
    </row>
    <row r="697" spans="2:47" x14ac:dyDescent="0.35">
      <c r="B697" t="str">
        <f t="shared" ref="B697:G697" si="417">IF(B592="","",B592)</f>
        <v/>
      </c>
      <c r="C697" t="str">
        <f t="shared" si="417"/>
        <v/>
      </c>
      <c r="D697" t="str">
        <f t="shared" si="417"/>
        <v/>
      </c>
      <c r="E697" t="str">
        <f t="shared" si="417"/>
        <v/>
      </c>
      <c r="F697" t="str">
        <f t="shared" si="417"/>
        <v/>
      </c>
      <c r="G697" t="str">
        <f t="shared" si="417"/>
        <v/>
      </c>
      <c r="H697" t="str">
        <f t="shared" si="408"/>
        <v/>
      </c>
      <c r="J697" t="str">
        <f>IF($H697="","",IF(VLOOKUP($B$605,ExpItems[],2,0),$B$605&amp;" - "&amp;INDEX(DivisionMapping[category_code],MATCH($D697&amp;$C697,DivisionMapping[dept_bu],0)),$B$605))</f>
        <v/>
      </c>
      <c r="K697" t="str">
        <f t="shared" si="409"/>
        <v/>
      </c>
      <c r="L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L487*L$78)</f>
        <v>0</v>
      </c>
      <c r="M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M487*M$78)</f>
        <v>0</v>
      </c>
      <c r="N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N487*N$78)</f>
        <v>0</v>
      </c>
      <c r="O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O487*O$78)</f>
        <v>0</v>
      </c>
      <c r="P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P487*P$78)</f>
        <v>0</v>
      </c>
      <c r="Q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Q487*Q$78)</f>
        <v>0</v>
      </c>
      <c r="R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R487*R$78)</f>
        <v>0</v>
      </c>
      <c r="S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S487*S$78)</f>
        <v>0</v>
      </c>
      <c r="T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T487*T$78)</f>
        <v>0</v>
      </c>
      <c r="U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U487*U$78)</f>
        <v>0</v>
      </c>
      <c r="V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V487*V$78)</f>
        <v>0</v>
      </c>
      <c r="W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W487*W$78)</f>
        <v>0</v>
      </c>
      <c r="X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X487*X$78)</f>
        <v>0</v>
      </c>
      <c r="Y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Y487*Y$78)</f>
        <v>0</v>
      </c>
      <c r="Z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Z487*Z$78)</f>
        <v>0</v>
      </c>
      <c r="AA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A487*AA$78)</f>
        <v>0</v>
      </c>
      <c r="AB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B487*AB$78)</f>
        <v>0</v>
      </c>
      <c r="AC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C487*AC$78)</f>
        <v>0</v>
      </c>
      <c r="AD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D487*AD$78)</f>
        <v>0</v>
      </c>
      <c r="AE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E487*AE$78)</f>
        <v>0</v>
      </c>
      <c r="AF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F487*AF$78)</f>
        <v>0</v>
      </c>
      <c r="AG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G487*AG$78)</f>
        <v>0</v>
      </c>
      <c r="AH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H487*AH$78)</f>
        <v>0</v>
      </c>
      <c r="AI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I487*AI$78)</f>
        <v>0</v>
      </c>
      <c r="AJ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J487*AJ$78)</f>
        <v>0</v>
      </c>
      <c r="AK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K487*AK$78)</f>
        <v>0</v>
      </c>
      <c r="AL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L487*AL$78)</f>
        <v>0</v>
      </c>
      <c r="AM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M487*AM$78)</f>
        <v>0</v>
      </c>
      <c r="AN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N487*AN$78)</f>
        <v>0</v>
      </c>
      <c r="AO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O487*AO$78)</f>
        <v>0</v>
      </c>
      <c r="AP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P487*AP$78)</f>
        <v>0</v>
      </c>
      <c r="AQ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Q487*AQ$78)</f>
        <v>0</v>
      </c>
      <c r="AR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R487*AR$78)</f>
        <v>0</v>
      </c>
      <c r="AS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S487*AS$78)</f>
        <v>0</v>
      </c>
      <c r="AT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T487*AT$78)</f>
        <v>0</v>
      </c>
      <c r="AU697" s="652">
        <f>IF($B697="",,IF(LEFT($H697,5)="dummy",SUMIFS(AvgCommission[avg_commission],AvgCommission[job_title],$H697),SUMIFS(AvgCommission[avg_commission],AvgCommission[exp_item],$J697,AvgCommission[company_name],$B697,AvgCommission[bu_name],$C697,AvgCommission[dept_name],$D697,AvgCommission[team_consolidation],$K697,AvgCommission[location_name],$G697,AvgCommission[job_title],$H697))*AU487*AU$78)</f>
        <v>0</v>
      </c>
    </row>
    <row r="698" spans="2:47" x14ac:dyDescent="0.35">
      <c r="B698" t="str">
        <f t="shared" ref="B698:G698" si="418">IF(B593="","",B593)</f>
        <v/>
      </c>
      <c r="C698" t="str">
        <f t="shared" si="418"/>
        <v/>
      </c>
      <c r="D698" t="str">
        <f t="shared" si="418"/>
        <v/>
      </c>
      <c r="E698" t="str">
        <f t="shared" si="418"/>
        <v/>
      </c>
      <c r="F698" t="str">
        <f t="shared" si="418"/>
        <v/>
      </c>
      <c r="G698" t="str">
        <f t="shared" si="418"/>
        <v/>
      </c>
      <c r="H698" t="str">
        <f t="shared" si="408"/>
        <v/>
      </c>
      <c r="J698" t="str">
        <f>IF($H698="","",IF(VLOOKUP($B$605,ExpItems[],2,0),$B$605&amp;" - "&amp;INDEX(DivisionMapping[category_code],MATCH($D698&amp;$C698,DivisionMapping[dept_bu],0)),$B$605))</f>
        <v/>
      </c>
      <c r="K698" t="str">
        <f t="shared" si="409"/>
        <v/>
      </c>
      <c r="L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L488*L$78)</f>
        <v>0</v>
      </c>
      <c r="M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M488*M$78)</f>
        <v>0</v>
      </c>
      <c r="N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N488*N$78)</f>
        <v>0</v>
      </c>
      <c r="O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O488*O$78)</f>
        <v>0</v>
      </c>
      <c r="P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P488*P$78)</f>
        <v>0</v>
      </c>
      <c r="Q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Q488*Q$78)</f>
        <v>0</v>
      </c>
      <c r="R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R488*R$78)</f>
        <v>0</v>
      </c>
      <c r="S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S488*S$78)</f>
        <v>0</v>
      </c>
      <c r="T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T488*T$78)</f>
        <v>0</v>
      </c>
      <c r="U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U488*U$78)</f>
        <v>0</v>
      </c>
      <c r="V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V488*V$78)</f>
        <v>0</v>
      </c>
      <c r="W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W488*W$78)</f>
        <v>0</v>
      </c>
      <c r="X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X488*X$78)</f>
        <v>0</v>
      </c>
      <c r="Y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Y488*Y$78)</f>
        <v>0</v>
      </c>
      <c r="Z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Z488*Z$78)</f>
        <v>0</v>
      </c>
      <c r="AA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A488*AA$78)</f>
        <v>0</v>
      </c>
      <c r="AB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B488*AB$78)</f>
        <v>0</v>
      </c>
      <c r="AC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C488*AC$78)</f>
        <v>0</v>
      </c>
      <c r="AD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D488*AD$78)</f>
        <v>0</v>
      </c>
      <c r="AE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E488*AE$78)</f>
        <v>0</v>
      </c>
      <c r="AF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F488*AF$78)</f>
        <v>0</v>
      </c>
      <c r="AG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G488*AG$78)</f>
        <v>0</v>
      </c>
      <c r="AH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H488*AH$78)</f>
        <v>0</v>
      </c>
      <c r="AI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I488*AI$78)</f>
        <v>0</v>
      </c>
      <c r="AJ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J488*AJ$78)</f>
        <v>0</v>
      </c>
      <c r="AK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K488*AK$78)</f>
        <v>0</v>
      </c>
      <c r="AL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L488*AL$78)</f>
        <v>0</v>
      </c>
      <c r="AM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M488*AM$78)</f>
        <v>0</v>
      </c>
      <c r="AN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N488*AN$78)</f>
        <v>0</v>
      </c>
      <c r="AO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O488*AO$78)</f>
        <v>0</v>
      </c>
      <c r="AP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P488*AP$78)</f>
        <v>0</v>
      </c>
      <c r="AQ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Q488*AQ$78)</f>
        <v>0</v>
      </c>
      <c r="AR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R488*AR$78)</f>
        <v>0</v>
      </c>
      <c r="AS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S488*AS$78)</f>
        <v>0</v>
      </c>
      <c r="AT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T488*AT$78)</f>
        <v>0</v>
      </c>
      <c r="AU698" s="652">
        <f>IF($B698="",,IF(LEFT($H698,5)="dummy",SUMIFS(AvgCommission[avg_commission],AvgCommission[job_title],$H698),SUMIFS(AvgCommission[avg_commission],AvgCommission[exp_item],$J698,AvgCommission[company_name],$B698,AvgCommission[bu_name],$C698,AvgCommission[dept_name],$D698,AvgCommission[team_consolidation],$K698,AvgCommission[location_name],$G698,AvgCommission[job_title],$H698))*AU488*AU$78)</f>
        <v>0</v>
      </c>
    </row>
    <row r="699" spans="2:47" x14ac:dyDescent="0.35">
      <c r="B699" t="str">
        <f t="shared" ref="B699:G699" si="419">IF(B594="","",B594)</f>
        <v/>
      </c>
      <c r="C699" t="str">
        <f t="shared" si="419"/>
        <v/>
      </c>
      <c r="D699" t="str">
        <f t="shared" si="419"/>
        <v/>
      </c>
      <c r="E699" t="str">
        <f t="shared" si="419"/>
        <v/>
      </c>
      <c r="F699" t="str">
        <f t="shared" si="419"/>
        <v/>
      </c>
      <c r="G699" t="str">
        <f t="shared" si="419"/>
        <v/>
      </c>
      <c r="H699" t="str">
        <f t="shared" si="408"/>
        <v/>
      </c>
      <c r="J699" t="str">
        <f>IF($H699="","",IF(VLOOKUP($B$605,ExpItems[],2,0),$B$605&amp;" - "&amp;INDEX(DivisionMapping[category_code],MATCH($D699&amp;$C699,DivisionMapping[dept_bu],0)),$B$605))</f>
        <v/>
      </c>
      <c r="K699" t="str">
        <f t="shared" si="409"/>
        <v/>
      </c>
      <c r="L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L489*L$78)</f>
        <v>0</v>
      </c>
      <c r="M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M489*M$78)</f>
        <v>0</v>
      </c>
      <c r="N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N489*N$78)</f>
        <v>0</v>
      </c>
      <c r="O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O489*O$78)</f>
        <v>0</v>
      </c>
      <c r="P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P489*P$78)</f>
        <v>0</v>
      </c>
      <c r="Q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Q489*Q$78)</f>
        <v>0</v>
      </c>
      <c r="R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R489*R$78)</f>
        <v>0</v>
      </c>
      <c r="S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S489*S$78)</f>
        <v>0</v>
      </c>
      <c r="T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T489*T$78)</f>
        <v>0</v>
      </c>
      <c r="U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U489*U$78)</f>
        <v>0</v>
      </c>
      <c r="V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V489*V$78)</f>
        <v>0</v>
      </c>
      <c r="W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W489*W$78)</f>
        <v>0</v>
      </c>
      <c r="X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X489*X$78)</f>
        <v>0</v>
      </c>
      <c r="Y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Y489*Y$78)</f>
        <v>0</v>
      </c>
      <c r="Z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Z489*Z$78)</f>
        <v>0</v>
      </c>
      <c r="AA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A489*AA$78)</f>
        <v>0</v>
      </c>
      <c r="AB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B489*AB$78)</f>
        <v>0</v>
      </c>
      <c r="AC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C489*AC$78)</f>
        <v>0</v>
      </c>
      <c r="AD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D489*AD$78)</f>
        <v>0</v>
      </c>
      <c r="AE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E489*AE$78)</f>
        <v>0</v>
      </c>
      <c r="AF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F489*AF$78)</f>
        <v>0</v>
      </c>
      <c r="AG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G489*AG$78)</f>
        <v>0</v>
      </c>
      <c r="AH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H489*AH$78)</f>
        <v>0</v>
      </c>
      <c r="AI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I489*AI$78)</f>
        <v>0</v>
      </c>
      <c r="AJ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J489*AJ$78)</f>
        <v>0</v>
      </c>
      <c r="AK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K489*AK$78)</f>
        <v>0</v>
      </c>
      <c r="AL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L489*AL$78)</f>
        <v>0</v>
      </c>
      <c r="AM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M489*AM$78)</f>
        <v>0</v>
      </c>
      <c r="AN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N489*AN$78)</f>
        <v>0</v>
      </c>
      <c r="AO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O489*AO$78)</f>
        <v>0</v>
      </c>
      <c r="AP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P489*AP$78)</f>
        <v>0</v>
      </c>
      <c r="AQ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Q489*AQ$78)</f>
        <v>0</v>
      </c>
      <c r="AR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R489*AR$78)</f>
        <v>0</v>
      </c>
      <c r="AS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S489*AS$78)</f>
        <v>0</v>
      </c>
      <c r="AT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T489*AT$78)</f>
        <v>0</v>
      </c>
      <c r="AU699" s="652">
        <f>IF($B699="",,IF(LEFT($H699,5)="dummy",SUMIFS(AvgCommission[avg_commission],AvgCommission[job_title],$H699),SUMIFS(AvgCommission[avg_commission],AvgCommission[exp_item],$J699,AvgCommission[company_name],$B699,AvgCommission[bu_name],$C699,AvgCommission[dept_name],$D699,AvgCommission[team_consolidation],$K699,AvgCommission[location_name],$G699,AvgCommission[job_title],$H699))*AU489*AU$78)</f>
        <v>0</v>
      </c>
    </row>
    <row r="700" spans="2:47" x14ac:dyDescent="0.35">
      <c r="B700" t="str">
        <f t="shared" ref="B700:G700" si="420">IF(B595="","",B595)</f>
        <v/>
      </c>
      <c r="C700" t="str">
        <f t="shared" si="420"/>
        <v/>
      </c>
      <c r="D700" t="str">
        <f t="shared" si="420"/>
        <v/>
      </c>
      <c r="E700" t="str">
        <f t="shared" si="420"/>
        <v/>
      </c>
      <c r="F700" t="str">
        <f t="shared" si="420"/>
        <v/>
      </c>
      <c r="G700" t="str">
        <f t="shared" si="420"/>
        <v/>
      </c>
      <c r="H700" t="str">
        <f t="shared" si="408"/>
        <v/>
      </c>
      <c r="J700" t="str">
        <f>IF($H700="","",IF(VLOOKUP($B$605,ExpItems[],2,0),$B$605&amp;" - "&amp;INDEX(DivisionMapping[category_code],MATCH($D700&amp;$C700,DivisionMapping[dept_bu],0)),$B$605))</f>
        <v/>
      </c>
      <c r="K700" t="str">
        <f t="shared" si="409"/>
        <v/>
      </c>
      <c r="L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L490*L$78)</f>
        <v>0</v>
      </c>
      <c r="M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M490*M$78)</f>
        <v>0</v>
      </c>
      <c r="N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N490*N$78)</f>
        <v>0</v>
      </c>
      <c r="O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O490*O$78)</f>
        <v>0</v>
      </c>
      <c r="P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P490*P$78)</f>
        <v>0</v>
      </c>
      <c r="Q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Q490*Q$78)</f>
        <v>0</v>
      </c>
      <c r="R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R490*R$78)</f>
        <v>0</v>
      </c>
      <c r="S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S490*S$78)</f>
        <v>0</v>
      </c>
      <c r="T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T490*T$78)</f>
        <v>0</v>
      </c>
      <c r="U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U490*U$78)</f>
        <v>0</v>
      </c>
      <c r="V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V490*V$78)</f>
        <v>0</v>
      </c>
      <c r="W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W490*W$78)</f>
        <v>0</v>
      </c>
      <c r="X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X490*X$78)</f>
        <v>0</v>
      </c>
      <c r="Y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Y490*Y$78)</f>
        <v>0</v>
      </c>
      <c r="Z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Z490*Z$78)</f>
        <v>0</v>
      </c>
      <c r="AA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A490*AA$78)</f>
        <v>0</v>
      </c>
      <c r="AB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B490*AB$78)</f>
        <v>0</v>
      </c>
      <c r="AC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C490*AC$78)</f>
        <v>0</v>
      </c>
      <c r="AD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D490*AD$78)</f>
        <v>0</v>
      </c>
      <c r="AE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E490*AE$78)</f>
        <v>0</v>
      </c>
      <c r="AF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F490*AF$78)</f>
        <v>0</v>
      </c>
      <c r="AG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G490*AG$78)</f>
        <v>0</v>
      </c>
      <c r="AH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H490*AH$78)</f>
        <v>0</v>
      </c>
      <c r="AI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I490*AI$78)</f>
        <v>0</v>
      </c>
      <c r="AJ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J490*AJ$78)</f>
        <v>0</v>
      </c>
      <c r="AK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K490*AK$78)</f>
        <v>0</v>
      </c>
      <c r="AL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L490*AL$78)</f>
        <v>0</v>
      </c>
      <c r="AM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M490*AM$78)</f>
        <v>0</v>
      </c>
      <c r="AN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N490*AN$78)</f>
        <v>0</v>
      </c>
      <c r="AO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O490*AO$78)</f>
        <v>0</v>
      </c>
      <c r="AP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P490*AP$78)</f>
        <v>0</v>
      </c>
      <c r="AQ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Q490*AQ$78)</f>
        <v>0</v>
      </c>
      <c r="AR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R490*AR$78)</f>
        <v>0</v>
      </c>
      <c r="AS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S490*AS$78)</f>
        <v>0</v>
      </c>
      <c r="AT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T490*AT$78)</f>
        <v>0</v>
      </c>
      <c r="AU700" s="652">
        <f>IF($B700="",,IF(LEFT($H700,5)="dummy",SUMIFS(AvgCommission[avg_commission],AvgCommission[job_title],$H700),SUMIFS(AvgCommission[avg_commission],AvgCommission[exp_item],$J700,AvgCommission[company_name],$B700,AvgCommission[bu_name],$C700,AvgCommission[dept_name],$D700,AvgCommission[team_consolidation],$K700,AvgCommission[location_name],$G700,AvgCommission[job_title],$H700))*AU490*AU$78)</f>
        <v>0</v>
      </c>
    </row>
    <row r="701" spans="2:47" x14ac:dyDescent="0.35">
      <c r="B701" t="str">
        <f t="shared" ref="B701:G701" si="421">IF(B596="","",B596)</f>
        <v/>
      </c>
      <c r="C701" t="str">
        <f t="shared" si="421"/>
        <v/>
      </c>
      <c r="D701" t="str">
        <f t="shared" si="421"/>
        <v/>
      </c>
      <c r="E701" t="str">
        <f t="shared" si="421"/>
        <v/>
      </c>
      <c r="F701" t="str">
        <f t="shared" si="421"/>
        <v/>
      </c>
      <c r="G701" t="str">
        <f t="shared" si="421"/>
        <v/>
      </c>
      <c r="H701" t="str">
        <f t="shared" si="408"/>
        <v/>
      </c>
      <c r="J701" t="str">
        <f>IF($H701="","",IF(VLOOKUP($B$605,ExpItems[],2,0),$B$605&amp;" - "&amp;INDEX(DivisionMapping[category_code],MATCH($D701&amp;$C701,DivisionMapping[dept_bu],0)),$B$605))</f>
        <v/>
      </c>
      <c r="K701" t="str">
        <f t="shared" si="409"/>
        <v/>
      </c>
      <c r="L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L491*L$78)</f>
        <v>0</v>
      </c>
      <c r="M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M491*M$78)</f>
        <v>0</v>
      </c>
      <c r="N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N491*N$78)</f>
        <v>0</v>
      </c>
      <c r="O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O491*O$78)</f>
        <v>0</v>
      </c>
      <c r="P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P491*P$78)</f>
        <v>0</v>
      </c>
      <c r="Q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Q491*Q$78)</f>
        <v>0</v>
      </c>
      <c r="R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R491*R$78)</f>
        <v>0</v>
      </c>
      <c r="S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S491*S$78)</f>
        <v>0</v>
      </c>
      <c r="T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T491*T$78)</f>
        <v>0</v>
      </c>
      <c r="U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U491*U$78)</f>
        <v>0</v>
      </c>
      <c r="V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V491*V$78)</f>
        <v>0</v>
      </c>
      <c r="W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W491*W$78)</f>
        <v>0</v>
      </c>
      <c r="X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X491*X$78)</f>
        <v>0</v>
      </c>
      <c r="Y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Y491*Y$78)</f>
        <v>0</v>
      </c>
      <c r="Z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Z491*Z$78)</f>
        <v>0</v>
      </c>
      <c r="AA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A491*AA$78)</f>
        <v>0</v>
      </c>
      <c r="AB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B491*AB$78)</f>
        <v>0</v>
      </c>
      <c r="AC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C491*AC$78)</f>
        <v>0</v>
      </c>
      <c r="AD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D491*AD$78)</f>
        <v>0</v>
      </c>
      <c r="AE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E491*AE$78)</f>
        <v>0</v>
      </c>
      <c r="AF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F491*AF$78)</f>
        <v>0</v>
      </c>
      <c r="AG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G491*AG$78)</f>
        <v>0</v>
      </c>
      <c r="AH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H491*AH$78)</f>
        <v>0</v>
      </c>
      <c r="AI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I491*AI$78)</f>
        <v>0</v>
      </c>
      <c r="AJ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J491*AJ$78)</f>
        <v>0</v>
      </c>
      <c r="AK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K491*AK$78)</f>
        <v>0</v>
      </c>
      <c r="AL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L491*AL$78)</f>
        <v>0</v>
      </c>
      <c r="AM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M491*AM$78)</f>
        <v>0</v>
      </c>
      <c r="AN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N491*AN$78)</f>
        <v>0</v>
      </c>
      <c r="AO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O491*AO$78)</f>
        <v>0</v>
      </c>
      <c r="AP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P491*AP$78)</f>
        <v>0</v>
      </c>
      <c r="AQ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Q491*AQ$78)</f>
        <v>0</v>
      </c>
      <c r="AR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R491*AR$78)</f>
        <v>0</v>
      </c>
      <c r="AS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S491*AS$78)</f>
        <v>0</v>
      </c>
      <c r="AT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T491*AT$78)</f>
        <v>0</v>
      </c>
      <c r="AU701" s="652">
        <f>IF($B701="",,IF(LEFT($H701,5)="dummy",SUMIFS(AvgCommission[avg_commission],AvgCommission[job_title],$H701),SUMIFS(AvgCommission[avg_commission],AvgCommission[exp_item],$J701,AvgCommission[company_name],$B701,AvgCommission[bu_name],$C701,AvgCommission[dept_name],$D701,AvgCommission[team_consolidation],$K701,AvgCommission[location_name],$G701,AvgCommission[job_title],$H701))*AU491*AU$78)</f>
        <v>0</v>
      </c>
    </row>
    <row r="702" spans="2:47" x14ac:dyDescent="0.35">
      <c r="B702" t="str">
        <f t="shared" ref="B702:G702" si="422">IF(B597="","",B597)</f>
        <v/>
      </c>
      <c r="C702" t="str">
        <f t="shared" si="422"/>
        <v/>
      </c>
      <c r="D702" t="str">
        <f t="shared" si="422"/>
        <v/>
      </c>
      <c r="E702" t="str">
        <f t="shared" si="422"/>
        <v/>
      </c>
      <c r="F702" t="str">
        <f t="shared" si="422"/>
        <v/>
      </c>
      <c r="G702" t="str">
        <f t="shared" si="422"/>
        <v/>
      </c>
      <c r="H702" t="str">
        <f t="shared" ref="H702:H706" si="423">IF(H387="","",H387)</f>
        <v/>
      </c>
      <c r="J702" t="str">
        <f>IF($H702="","",IF(VLOOKUP($B$605,ExpItems[],2,0),$B$605&amp;" - "&amp;INDEX(DivisionMapping[category_code],MATCH($D702&amp;$C702,DivisionMapping[dept_bu],0)),$B$605))</f>
        <v/>
      </c>
      <c r="K702" t="str">
        <f t="shared" si="409"/>
        <v/>
      </c>
      <c r="L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L492*L$78)</f>
        <v>0</v>
      </c>
      <c r="M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M492*M$78)</f>
        <v>0</v>
      </c>
      <c r="N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N492*N$78)</f>
        <v>0</v>
      </c>
      <c r="O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O492*O$78)</f>
        <v>0</v>
      </c>
      <c r="P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P492*P$78)</f>
        <v>0</v>
      </c>
      <c r="Q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Q492*Q$78)</f>
        <v>0</v>
      </c>
      <c r="R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R492*R$78)</f>
        <v>0</v>
      </c>
      <c r="S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S492*S$78)</f>
        <v>0</v>
      </c>
      <c r="T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T492*T$78)</f>
        <v>0</v>
      </c>
      <c r="U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U492*U$78)</f>
        <v>0</v>
      </c>
      <c r="V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V492*V$78)</f>
        <v>0</v>
      </c>
      <c r="W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W492*W$78)</f>
        <v>0</v>
      </c>
      <c r="X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X492*X$78)</f>
        <v>0</v>
      </c>
      <c r="Y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Y492*Y$78)</f>
        <v>0</v>
      </c>
      <c r="Z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Z492*Z$78)</f>
        <v>0</v>
      </c>
      <c r="AA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A492*AA$78)</f>
        <v>0</v>
      </c>
      <c r="AB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B492*AB$78)</f>
        <v>0</v>
      </c>
      <c r="AC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C492*AC$78)</f>
        <v>0</v>
      </c>
      <c r="AD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D492*AD$78)</f>
        <v>0</v>
      </c>
      <c r="AE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E492*AE$78)</f>
        <v>0</v>
      </c>
      <c r="AF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F492*AF$78)</f>
        <v>0</v>
      </c>
      <c r="AG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G492*AG$78)</f>
        <v>0</v>
      </c>
      <c r="AH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H492*AH$78)</f>
        <v>0</v>
      </c>
      <c r="AI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I492*AI$78)</f>
        <v>0</v>
      </c>
      <c r="AJ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J492*AJ$78)</f>
        <v>0</v>
      </c>
      <c r="AK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K492*AK$78)</f>
        <v>0</v>
      </c>
      <c r="AL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L492*AL$78)</f>
        <v>0</v>
      </c>
      <c r="AM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M492*AM$78)</f>
        <v>0</v>
      </c>
      <c r="AN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N492*AN$78)</f>
        <v>0</v>
      </c>
      <c r="AO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O492*AO$78)</f>
        <v>0</v>
      </c>
      <c r="AP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P492*AP$78)</f>
        <v>0</v>
      </c>
      <c r="AQ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Q492*AQ$78)</f>
        <v>0</v>
      </c>
      <c r="AR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R492*AR$78)</f>
        <v>0</v>
      </c>
      <c r="AS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S492*AS$78)</f>
        <v>0</v>
      </c>
      <c r="AT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T492*AT$78)</f>
        <v>0</v>
      </c>
      <c r="AU702" s="652">
        <f>IF($B702="",,IF(LEFT($H702,5)="dummy",SUMIFS(AvgCommission[avg_commission],AvgCommission[job_title],$H702),SUMIFS(AvgCommission[avg_commission],AvgCommission[exp_item],$J702,AvgCommission[company_name],$B702,AvgCommission[bu_name],$C702,AvgCommission[dept_name],$D702,AvgCommission[team_consolidation],$K702,AvgCommission[location_name],$G702,AvgCommission[job_title],$H702))*AU492*AU$78)</f>
        <v>0</v>
      </c>
    </row>
    <row r="703" spans="2:47" x14ac:dyDescent="0.35">
      <c r="B703" t="str">
        <f t="shared" ref="B703:G703" si="424">IF(B598="","",B598)</f>
        <v/>
      </c>
      <c r="C703" t="str">
        <f t="shared" si="424"/>
        <v/>
      </c>
      <c r="D703" t="str">
        <f t="shared" si="424"/>
        <v/>
      </c>
      <c r="E703" t="str">
        <f t="shared" si="424"/>
        <v/>
      </c>
      <c r="F703" t="str">
        <f t="shared" si="424"/>
        <v/>
      </c>
      <c r="G703" t="str">
        <f t="shared" si="424"/>
        <v/>
      </c>
      <c r="H703" t="str">
        <f t="shared" si="423"/>
        <v/>
      </c>
      <c r="J703" t="str">
        <f>IF($H703="","",IF(VLOOKUP($B$605,ExpItems[],2,0),$B$605&amp;" - "&amp;INDEX(DivisionMapping[category_code],MATCH($D703&amp;$C703,DivisionMapping[dept_bu],0)),$B$605))</f>
        <v/>
      </c>
      <c r="K703" t="str">
        <f t="shared" si="409"/>
        <v/>
      </c>
      <c r="L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L493*L$78)</f>
        <v>0</v>
      </c>
      <c r="M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M493*M$78)</f>
        <v>0</v>
      </c>
      <c r="N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N493*N$78)</f>
        <v>0</v>
      </c>
      <c r="O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O493*O$78)</f>
        <v>0</v>
      </c>
      <c r="P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P493*P$78)</f>
        <v>0</v>
      </c>
      <c r="Q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Q493*Q$78)</f>
        <v>0</v>
      </c>
      <c r="R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R493*R$78)</f>
        <v>0</v>
      </c>
      <c r="S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S493*S$78)</f>
        <v>0</v>
      </c>
      <c r="T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T493*T$78)</f>
        <v>0</v>
      </c>
      <c r="U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U493*U$78)</f>
        <v>0</v>
      </c>
      <c r="V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V493*V$78)</f>
        <v>0</v>
      </c>
      <c r="W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W493*W$78)</f>
        <v>0</v>
      </c>
      <c r="X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X493*X$78)</f>
        <v>0</v>
      </c>
      <c r="Y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Y493*Y$78)</f>
        <v>0</v>
      </c>
      <c r="Z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Z493*Z$78)</f>
        <v>0</v>
      </c>
      <c r="AA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A493*AA$78)</f>
        <v>0</v>
      </c>
      <c r="AB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B493*AB$78)</f>
        <v>0</v>
      </c>
      <c r="AC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C493*AC$78)</f>
        <v>0</v>
      </c>
      <c r="AD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D493*AD$78)</f>
        <v>0</v>
      </c>
      <c r="AE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E493*AE$78)</f>
        <v>0</v>
      </c>
      <c r="AF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F493*AF$78)</f>
        <v>0</v>
      </c>
      <c r="AG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G493*AG$78)</f>
        <v>0</v>
      </c>
      <c r="AH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H493*AH$78)</f>
        <v>0</v>
      </c>
      <c r="AI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I493*AI$78)</f>
        <v>0</v>
      </c>
      <c r="AJ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J493*AJ$78)</f>
        <v>0</v>
      </c>
      <c r="AK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K493*AK$78)</f>
        <v>0</v>
      </c>
      <c r="AL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L493*AL$78)</f>
        <v>0</v>
      </c>
      <c r="AM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M493*AM$78)</f>
        <v>0</v>
      </c>
      <c r="AN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N493*AN$78)</f>
        <v>0</v>
      </c>
      <c r="AO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O493*AO$78)</f>
        <v>0</v>
      </c>
      <c r="AP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P493*AP$78)</f>
        <v>0</v>
      </c>
      <c r="AQ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Q493*AQ$78)</f>
        <v>0</v>
      </c>
      <c r="AR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R493*AR$78)</f>
        <v>0</v>
      </c>
      <c r="AS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S493*AS$78)</f>
        <v>0</v>
      </c>
      <c r="AT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T493*AT$78)</f>
        <v>0</v>
      </c>
      <c r="AU703" s="652">
        <f>IF($B703="",,IF(LEFT($H703,5)="dummy",SUMIFS(AvgCommission[avg_commission],AvgCommission[job_title],$H703),SUMIFS(AvgCommission[avg_commission],AvgCommission[exp_item],$J703,AvgCommission[company_name],$B703,AvgCommission[bu_name],$C703,AvgCommission[dept_name],$D703,AvgCommission[team_consolidation],$K703,AvgCommission[location_name],$G703,AvgCommission[job_title],$H703))*AU493*AU$78)</f>
        <v>0</v>
      </c>
    </row>
    <row r="704" spans="2:47" x14ac:dyDescent="0.35">
      <c r="B704" t="str">
        <f t="shared" ref="B704:G704" si="425">IF(B599="","",B599)</f>
        <v/>
      </c>
      <c r="C704" t="str">
        <f t="shared" si="425"/>
        <v/>
      </c>
      <c r="D704" t="str">
        <f t="shared" si="425"/>
        <v/>
      </c>
      <c r="E704" t="str">
        <f t="shared" si="425"/>
        <v/>
      </c>
      <c r="F704" t="str">
        <f t="shared" si="425"/>
        <v/>
      </c>
      <c r="G704" t="str">
        <f t="shared" si="425"/>
        <v/>
      </c>
      <c r="H704" t="str">
        <f t="shared" si="423"/>
        <v/>
      </c>
      <c r="J704" t="str">
        <f>IF($H704="","",IF(VLOOKUP($B$605,ExpItems[],2,0),$B$605&amp;" - "&amp;INDEX(DivisionMapping[category_code],MATCH($D704&amp;$C704,DivisionMapping[dept_bu],0)),$B$605))</f>
        <v/>
      </c>
      <c r="K704" t="str">
        <f t="shared" si="409"/>
        <v/>
      </c>
      <c r="L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L494*L$78)</f>
        <v>0</v>
      </c>
      <c r="M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M494*M$78)</f>
        <v>0</v>
      </c>
      <c r="N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N494*N$78)</f>
        <v>0</v>
      </c>
      <c r="O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O494*O$78)</f>
        <v>0</v>
      </c>
      <c r="P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P494*P$78)</f>
        <v>0</v>
      </c>
      <c r="Q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Q494*Q$78)</f>
        <v>0</v>
      </c>
      <c r="R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R494*R$78)</f>
        <v>0</v>
      </c>
      <c r="S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S494*S$78)</f>
        <v>0</v>
      </c>
      <c r="T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T494*T$78)</f>
        <v>0</v>
      </c>
      <c r="U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U494*U$78)</f>
        <v>0</v>
      </c>
      <c r="V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V494*V$78)</f>
        <v>0</v>
      </c>
      <c r="W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W494*W$78)</f>
        <v>0</v>
      </c>
      <c r="X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X494*X$78)</f>
        <v>0</v>
      </c>
      <c r="Y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Y494*Y$78)</f>
        <v>0</v>
      </c>
      <c r="Z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Z494*Z$78)</f>
        <v>0</v>
      </c>
      <c r="AA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A494*AA$78)</f>
        <v>0</v>
      </c>
      <c r="AB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B494*AB$78)</f>
        <v>0</v>
      </c>
      <c r="AC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C494*AC$78)</f>
        <v>0</v>
      </c>
      <c r="AD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D494*AD$78)</f>
        <v>0</v>
      </c>
      <c r="AE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E494*AE$78)</f>
        <v>0</v>
      </c>
      <c r="AF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F494*AF$78)</f>
        <v>0</v>
      </c>
      <c r="AG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G494*AG$78)</f>
        <v>0</v>
      </c>
      <c r="AH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H494*AH$78)</f>
        <v>0</v>
      </c>
      <c r="AI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I494*AI$78)</f>
        <v>0</v>
      </c>
      <c r="AJ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J494*AJ$78)</f>
        <v>0</v>
      </c>
      <c r="AK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K494*AK$78)</f>
        <v>0</v>
      </c>
      <c r="AL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L494*AL$78)</f>
        <v>0</v>
      </c>
      <c r="AM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M494*AM$78)</f>
        <v>0</v>
      </c>
      <c r="AN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N494*AN$78)</f>
        <v>0</v>
      </c>
      <c r="AO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O494*AO$78)</f>
        <v>0</v>
      </c>
      <c r="AP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P494*AP$78)</f>
        <v>0</v>
      </c>
      <c r="AQ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Q494*AQ$78)</f>
        <v>0</v>
      </c>
      <c r="AR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R494*AR$78)</f>
        <v>0</v>
      </c>
      <c r="AS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S494*AS$78)</f>
        <v>0</v>
      </c>
      <c r="AT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T494*AT$78)</f>
        <v>0</v>
      </c>
      <c r="AU704" s="652">
        <f>IF($B704="",,IF(LEFT($H704,5)="dummy",SUMIFS(AvgCommission[avg_commission],AvgCommission[job_title],$H704),SUMIFS(AvgCommission[avg_commission],AvgCommission[exp_item],$J704,AvgCommission[company_name],$B704,AvgCommission[bu_name],$C704,AvgCommission[dept_name],$D704,AvgCommission[team_consolidation],$K704,AvgCommission[location_name],$G704,AvgCommission[job_title],$H704))*AU494*AU$78)</f>
        <v>0</v>
      </c>
    </row>
    <row r="705" spans="1:52" x14ac:dyDescent="0.35">
      <c r="B705" t="str">
        <f t="shared" ref="B705:G705" si="426">IF(B600="","",B600)</f>
        <v/>
      </c>
      <c r="C705" t="str">
        <f t="shared" si="426"/>
        <v/>
      </c>
      <c r="D705" t="str">
        <f t="shared" si="426"/>
        <v/>
      </c>
      <c r="E705" t="str">
        <f t="shared" si="426"/>
        <v/>
      </c>
      <c r="F705" t="str">
        <f t="shared" si="426"/>
        <v/>
      </c>
      <c r="G705" t="str">
        <f t="shared" si="426"/>
        <v/>
      </c>
      <c r="H705" t="str">
        <f t="shared" si="423"/>
        <v/>
      </c>
      <c r="J705" t="str">
        <f>IF($H705="","",IF(VLOOKUP($B$605,ExpItems[],2,0),$B$605&amp;" - "&amp;INDEX(DivisionMapping[category_code],MATCH($D705&amp;$C705,DivisionMapping[dept_bu],0)),$B$605))</f>
        <v/>
      </c>
      <c r="K705" t="str">
        <f t="shared" si="409"/>
        <v/>
      </c>
      <c r="L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L495*L$78)</f>
        <v>0</v>
      </c>
      <c r="M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M495*M$78)</f>
        <v>0</v>
      </c>
      <c r="N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N495*N$78)</f>
        <v>0</v>
      </c>
      <c r="O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O495*O$78)</f>
        <v>0</v>
      </c>
      <c r="P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P495*P$78)</f>
        <v>0</v>
      </c>
      <c r="Q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Q495*Q$78)</f>
        <v>0</v>
      </c>
      <c r="R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R495*R$78)</f>
        <v>0</v>
      </c>
      <c r="S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S495*S$78)</f>
        <v>0</v>
      </c>
      <c r="T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T495*T$78)</f>
        <v>0</v>
      </c>
      <c r="U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U495*U$78)</f>
        <v>0</v>
      </c>
      <c r="V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V495*V$78)</f>
        <v>0</v>
      </c>
      <c r="W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W495*W$78)</f>
        <v>0</v>
      </c>
      <c r="X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X495*X$78)</f>
        <v>0</v>
      </c>
      <c r="Y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Y495*Y$78)</f>
        <v>0</v>
      </c>
      <c r="Z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Z495*Z$78)</f>
        <v>0</v>
      </c>
      <c r="AA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A495*AA$78)</f>
        <v>0</v>
      </c>
      <c r="AB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B495*AB$78)</f>
        <v>0</v>
      </c>
      <c r="AC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C495*AC$78)</f>
        <v>0</v>
      </c>
      <c r="AD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D495*AD$78)</f>
        <v>0</v>
      </c>
      <c r="AE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E495*AE$78)</f>
        <v>0</v>
      </c>
      <c r="AF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F495*AF$78)</f>
        <v>0</v>
      </c>
      <c r="AG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G495*AG$78)</f>
        <v>0</v>
      </c>
      <c r="AH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H495*AH$78)</f>
        <v>0</v>
      </c>
      <c r="AI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I495*AI$78)</f>
        <v>0</v>
      </c>
      <c r="AJ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J495*AJ$78)</f>
        <v>0</v>
      </c>
      <c r="AK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K495*AK$78)</f>
        <v>0</v>
      </c>
      <c r="AL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L495*AL$78)</f>
        <v>0</v>
      </c>
      <c r="AM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M495*AM$78)</f>
        <v>0</v>
      </c>
      <c r="AN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N495*AN$78)</f>
        <v>0</v>
      </c>
      <c r="AO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O495*AO$78)</f>
        <v>0</v>
      </c>
      <c r="AP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P495*AP$78)</f>
        <v>0</v>
      </c>
      <c r="AQ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Q495*AQ$78)</f>
        <v>0</v>
      </c>
      <c r="AR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R495*AR$78)</f>
        <v>0</v>
      </c>
      <c r="AS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S495*AS$78)</f>
        <v>0</v>
      </c>
      <c r="AT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T495*AT$78)</f>
        <v>0</v>
      </c>
      <c r="AU705" s="652">
        <f>IF($B705="",,IF(LEFT($H705,5)="dummy",SUMIFS(AvgCommission[avg_commission],AvgCommission[job_title],$H705),SUMIFS(AvgCommission[avg_commission],AvgCommission[exp_item],$J705,AvgCommission[company_name],$B705,AvgCommission[bu_name],$C705,AvgCommission[dept_name],$D705,AvgCommission[team_consolidation],$K705,AvgCommission[location_name],$G705,AvgCommission[job_title],$H705))*AU495*AU$78)</f>
        <v>0</v>
      </c>
    </row>
    <row r="706" spans="1:52" x14ac:dyDescent="0.35">
      <c r="B706" t="str">
        <f t="shared" ref="B706:G706" si="427">IF(B601="","",B601)</f>
        <v/>
      </c>
      <c r="C706" t="str">
        <f t="shared" si="427"/>
        <v/>
      </c>
      <c r="D706" t="str">
        <f t="shared" si="427"/>
        <v/>
      </c>
      <c r="E706" t="str">
        <f t="shared" si="427"/>
        <v/>
      </c>
      <c r="F706" t="str">
        <f t="shared" si="427"/>
        <v/>
      </c>
      <c r="G706" t="str">
        <f t="shared" si="427"/>
        <v/>
      </c>
      <c r="H706" t="str">
        <f t="shared" si="423"/>
        <v/>
      </c>
      <c r="J706" t="str">
        <f>IF($H706="","",IF(VLOOKUP($B$605,ExpItems[],2,0),$B$605&amp;" - "&amp;INDEX(DivisionMapping[category_code],MATCH($D706&amp;$C706,DivisionMapping[dept_bu],0)),$B$605))</f>
        <v/>
      </c>
      <c r="K706" t="str">
        <f t="shared" si="409"/>
        <v/>
      </c>
      <c r="L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L496*L$78)</f>
        <v>0</v>
      </c>
      <c r="M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M496*M$78)</f>
        <v>0</v>
      </c>
      <c r="N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N496*N$78)</f>
        <v>0</v>
      </c>
      <c r="O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O496*O$78)</f>
        <v>0</v>
      </c>
      <c r="P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P496*P$78)</f>
        <v>0</v>
      </c>
      <c r="Q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Q496*Q$78)</f>
        <v>0</v>
      </c>
      <c r="R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R496*R$78)</f>
        <v>0</v>
      </c>
      <c r="S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S496*S$78)</f>
        <v>0</v>
      </c>
      <c r="T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T496*T$78)</f>
        <v>0</v>
      </c>
      <c r="U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U496*U$78)</f>
        <v>0</v>
      </c>
      <c r="V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V496*V$78)</f>
        <v>0</v>
      </c>
      <c r="W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W496*W$78)</f>
        <v>0</v>
      </c>
      <c r="X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X496*X$78)</f>
        <v>0</v>
      </c>
      <c r="Y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Y496*Y$78)</f>
        <v>0</v>
      </c>
      <c r="Z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Z496*Z$78)</f>
        <v>0</v>
      </c>
      <c r="AA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A496*AA$78)</f>
        <v>0</v>
      </c>
      <c r="AB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B496*AB$78)</f>
        <v>0</v>
      </c>
      <c r="AC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C496*AC$78)</f>
        <v>0</v>
      </c>
      <c r="AD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D496*AD$78)</f>
        <v>0</v>
      </c>
      <c r="AE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E496*AE$78)</f>
        <v>0</v>
      </c>
      <c r="AF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F496*AF$78)</f>
        <v>0</v>
      </c>
      <c r="AG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G496*AG$78)</f>
        <v>0</v>
      </c>
      <c r="AH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H496*AH$78)</f>
        <v>0</v>
      </c>
      <c r="AI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I496*AI$78)</f>
        <v>0</v>
      </c>
      <c r="AJ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J496*AJ$78)</f>
        <v>0</v>
      </c>
      <c r="AK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K496*AK$78)</f>
        <v>0</v>
      </c>
      <c r="AL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L496*AL$78)</f>
        <v>0</v>
      </c>
      <c r="AM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M496*AM$78)</f>
        <v>0</v>
      </c>
      <c r="AN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N496*AN$78)</f>
        <v>0</v>
      </c>
      <c r="AO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O496*AO$78)</f>
        <v>0</v>
      </c>
      <c r="AP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P496*AP$78)</f>
        <v>0</v>
      </c>
      <c r="AQ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Q496*AQ$78)</f>
        <v>0</v>
      </c>
      <c r="AR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R496*AR$78)</f>
        <v>0</v>
      </c>
      <c r="AS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S496*AS$78)</f>
        <v>0</v>
      </c>
      <c r="AT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T496*AT$78)</f>
        <v>0</v>
      </c>
      <c r="AU706" s="652">
        <f>IF($B706="",,IF(LEFT($H706,5)="dummy",SUMIFS(AvgCommission[avg_commission],AvgCommission[job_title],$H706),SUMIFS(AvgCommission[avg_commission],AvgCommission[exp_item],$J706,AvgCommission[company_name],$B706,AvgCommission[bu_name],$C706,AvgCommission[dept_name],$D706,AvgCommission[team_consolidation],$K706,AvgCommission[location_name],$G706,AvgCommission[job_title],$H706))*AU496*AU$78)</f>
        <v>0</v>
      </c>
    </row>
    <row r="708" spans="1:52" x14ac:dyDescent="0.35">
      <c r="A708" s="285" t="s">
        <v>1157</v>
      </c>
      <c r="B708" s="285" t="s">
        <v>1157</v>
      </c>
      <c r="C708" s="285" t="s">
        <v>1157</v>
      </c>
      <c r="D708" s="285" t="s">
        <v>1157</v>
      </c>
      <c r="E708" s="285" t="s">
        <v>1157</v>
      </c>
      <c r="F708" s="285" t="s">
        <v>1157</v>
      </c>
      <c r="G708" s="285" t="s">
        <v>1157</v>
      </c>
      <c r="H708" s="285" t="s">
        <v>1157</v>
      </c>
      <c r="I708" s="285" t="s">
        <v>1157</v>
      </c>
      <c r="J708" s="285" t="s">
        <v>1157</v>
      </c>
      <c r="K708" s="285" t="s">
        <v>1157</v>
      </c>
      <c r="L708" s="285" t="s">
        <v>1157</v>
      </c>
      <c r="M708" s="285" t="s">
        <v>1157</v>
      </c>
      <c r="N708" s="285" t="s">
        <v>1157</v>
      </c>
      <c r="O708" s="285" t="s">
        <v>1157</v>
      </c>
      <c r="P708" s="285" t="s">
        <v>1157</v>
      </c>
      <c r="Q708" s="285" t="s">
        <v>1157</v>
      </c>
      <c r="R708" s="285" t="s">
        <v>1157</v>
      </c>
      <c r="S708" s="285" t="s">
        <v>1157</v>
      </c>
      <c r="T708" s="285" t="s">
        <v>1157</v>
      </c>
      <c r="U708" s="285" t="s">
        <v>1157</v>
      </c>
      <c r="V708" s="285" t="s">
        <v>1157</v>
      </c>
      <c r="W708" s="285" t="s">
        <v>1157</v>
      </c>
      <c r="X708" s="285" t="s">
        <v>1157</v>
      </c>
      <c r="Y708" s="285" t="s">
        <v>1157</v>
      </c>
      <c r="Z708" s="285" t="s">
        <v>1157</v>
      </c>
      <c r="AA708" s="285" t="s">
        <v>1157</v>
      </c>
      <c r="AB708" s="285" t="s">
        <v>1157</v>
      </c>
      <c r="AC708" s="285" t="s">
        <v>1157</v>
      </c>
      <c r="AD708" s="285" t="s">
        <v>1157</v>
      </c>
      <c r="AE708" s="285" t="s">
        <v>1157</v>
      </c>
      <c r="AF708" s="285" t="s">
        <v>1157</v>
      </c>
      <c r="AG708" s="285" t="s">
        <v>1157</v>
      </c>
      <c r="AH708" s="285" t="s">
        <v>1157</v>
      </c>
      <c r="AI708" s="285" t="s">
        <v>1157</v>
      </c>
      <c r="AJ708" s="285" t="s">
        <v>1157</v>
      </c>
      <c r="AK708" s="285" t="s">
        <v>1157</v>
      </c>
      <c r="AL708" s="285" t="s">
        <v>1157</v>
      </c>
      <c r="AM708" s="285" t="s">
        <v>1157</v>
      </c>
      <c r="AN708" s="285" t="s">
        <v>1157</v>
      </c>
      <c r="AO708" s="285" t="s">
        <v>1157</v>
      </c>
      <c r="AP708" s="285" t="s">
        <v>1157</v>
      </c>
      <c r="AQ708" s="285" t="s">
        <v>1157</v>
      </c>
      <c r="AR708" s="285" t="s">
        <v>1157</v>
      </c>
      <c r="AS708" s="285" t="s">
        <v>1157</v>
      </c>
      <c r="AT708" s="285" t="s">
        <v>1157</v>
      </c>
      <c r="AU708" s="285" t="s">
        <v>1157</v>
      </c>
      <c r="AV708" s="285" t="s">
        <v>1157</v>
      </c>
      <c r="AW708" s="285" t="s">
        <v>1157</v>
      </c>
      <c r="AX708" s="285" t="s">
        <v>1157</v>
      </c>
      <c r="AY708" s="285" t="s">
        <v>1157</v>
      </c>
      <c r="AZ708" s="285" t="s">
        <v>1157</v>
      </c>
    </row>
    <row r="710" spans="1:52" ht="23.5" x14ac:dyDescent="0.55000000000000004">
      <c r="B710" s="252" t="s">
        <v>30</v>
      </c>
    </row>
    <row r="711" spans="1:52" x14ac:dyDescent="0.35">
      <c r="B711" t="str">
        <f t="shared" ref="B711:G720" si="428">IF(B606="","",B606)</f>
        <v/>
      </c>
      <c r="C711" t="str">
        <f t="shared" si="428"/>
        <v/>
      </c>
      <c r="D711" t="str">
        <f t="shared" si="428"/>
        <v/>
      </c>
      <c r="E711" t="str">
        <f t="shared" si="428"/>
        <v/>
      </c>
      <c r="F711" t="str">
        <f t="shared" si="428"/>
        <v/>
      </c>
      <c r="G711" t="str">
        <f t="shared" si="428"/>
        <v/>
      </c>
      <c r="H711" t="str">
        <f>IF(B711="","",$B$710)</f>
        <v/>
      </c>
      <c r="J711" t="str">
        <f>IF($H711="","",IF(VLOOKUP(H711,ExpItems[],2,0),H711&amp;" - "&amp;INDEX(DivisionMapping[category_code],MATCH($D711&amp;$C711,DivisionMapping[dept_bu],0)),H711))</f>
        <v/>
      </c>
      <c r="K711" t="str">
        <f>K606</f>
        <v/>
      </c>
      <c r="L711" s="652">
        <f>IF($B711="",,SUMIFS(PerHeadcount[Month 1],PerHeadcount[exp_item],$H711,PerHeadcount[company_name],$B711)*L186)</f>
        <v>0</v>
      </c>
      <c r="M711" s="652">
        <f>IF($B711="",,SUMIFS(PerHeadcount[Month 2],PerHeadcount[exp_item],$H711,PerHeadcount[company_name],$B711)*M186)</f>
        <v>0</v>
      </c>
      <c r="N711" s="652">
        <f>IF($B711="",,SUMIFS(PerHeadcount[Month 3],PerHeadcount[exp_item],$H711,PerHeadcount[company_name],$B711)*N186)</f>
        <v>0</v>
      </c>
      <c r="O711" s="652">
        <f>IF($B711="",,SUMIFS(PerHeadcount[Month 4],PerHeadcount[exp_item],$H711,PerHeadcount[company_name],$B711)*O186)</f>
        <v>0</v>
      </c>
      <c r="P711" s="652">
        <f>IF($B711="",,SUMIFS(PerHeadcount[Month 5],PerHeadcount[exp_item],$H711,PerHeadcount[company_name],$B711)*P186)</f>
        <v>0</v>
      </c>
      <c r="Q711" s="652">
        <f>IF($B711="",,SUMIFS(PerHeadcount[Month 6],PerHeadcount[exp_item],$H711,PerHeadcount[company_name],$B711)*Q186)</f>
        <v>0</v>
      </c>
      <c r="R711" s="652">
        <f>IF($B711="",,SUMIFS(PerHeadcount[Month 7],PerHeadcount[exp_item],$H711,PerHeadcount[company_name],$B711)*R186)</f>
        <v>0</v>
      </c>
      <c r="S711" s="652">
        <f>IF($B711="",,SUMIFS(PerHeadcount[Month 8],PerHeadcount[exp_item],$H711,PerHeadcount[company_name],$B711)*S186)</f>
        <v>0</v>
      </c>
      <c r="T711" s="652">
        <f>IF($B711="",,SUMIFS(PerHeadcount[Month 9],PerHeadcount[exp_item],$H711,PerHeadcount[company_name],$B711)*T186)</f>
        <v>0</v>
      </c>
      <c r="U711" s="652">
        <f>IF($B711="",,SUMIFS(PerHeadcount[Month 10],PerHeadcount[exp_item],$H711,PerHeadcount[company_name],$B711)*U186)</f>
        <v>0</v>
      </c>
      <c r="V711" s="652">
        <f>IF($B711="",,SUMIFS(PerHeadcount[Month 11],PerHeadcount[exp_item],$H711,PerHeadcount[company_name],$B711)*V186)</f>
        <v>0</v>
      </c>
      <c r="W711" s="652">
        <f>IF($B711="",,SUMIFS(PerHeadcount[Month 12],PerHeadcount[exp_item],$H711,PerHeadcount[company_name],$B711)*W186)</f>
        <v>0</v>
      </c>
      <c r="X711" s="652">
        <f>IF($B711="",,SUMIFS(PerHeadcount[Month 13],PerHeadcount[exp_item],$H711,PerHeadcount[company_name],$B711)*X186)</f>
        <v>0</v>
      </c>
      <c r="Y711" s="652">
        <f>IF($B711="",,SUMIFS(PerHeadcount[Month 14],PerHeadcount[exp_item],$H711,PerHeadcount[company_name],$B711)*Y186)</f>
        <v>0</v>
      </c>
      <c r="Z711" s="652">
        <f>IF($B711="",,SUMIFS(PerHeadcount[Month 15],PerHeadcount[exp_item],$H711,PerHeadcount[company_name],$B711)*Z186)</f>
        <v>0</v>
      </c>
      <c r="AA711" s="652">
        <f>IF($B711="",,SUMIFS(PerHeadcount[Month 16],PerHeadcount[exp_item],$H711,PerHeadcount[company_name],$B711)*AA186)</f>
        <v>0</v>
      </c>
      <c r="AB711" s="652">
        <f>IF($B711="",,SUMIFS(PerHeadcount[Month 17],PerHeadcount[exp_item],$H711,PerHeadcount[company_name],$B711)*AB186)</f>
        <v>0</v>
      </c>
      <c r="AC711" s="652">
        <f>IF($B711="",,SUMIFS(PerHeadcount[Month 18],PerHeadcount[exp_item],$H711,PerHeadcount[company_name],$B711)*AC186)</f>
        <v>0</v>
      </c>
      <c r="AD711" s="652">
        <f>IF($B711="",,SUMIFS(PerHeadcount[Month 19],PerHeadcount[exp_item],$H711,PerHeadcount[company_name],$B711)*AD186)</f>
        <v>0</v>
      </c>
      <c r="AE711" s="652">
        <f>IF($B711="",,SUMIFS(PerHeadcount[Month 20],PerHeadcount[exp_item],$H711,PerHeadcount[company_name],$B711)*AE186)</f>
        <v>0</v>
      </c>
      <c r="AF711" s="652">
        <f>IF($B711="",,SUMIFS(PerHeadcount[Month 21],PerHeadcount[exp_item],$H711,PerHeadcount[company_name],$B711)*AF186)</f>
        <v>0</v>
      </c>
      <c r="AG711" s="652">
        <f>IF($B711="",,SUMIFS(PerHeadcount[Month 22],PerHeadcount[exp_item],$H711,PerHeadcount[company_name],$B711)*AG186)</f>
        <v>0</v>
      </c>
      <c r="AH711" s="652">
        <f>IF($B711="",,SUMIFS(PerHeadcount[Month 23],PerHeadcount[exp_item],$H711,PerHeadcount[company_name],$B711)*AH186)</f>
        <v>0</v>
      </c>
      <c r="AI711" s="652">
        <f>IF($B711="",,SUMIFS(PerHeadcount[Month 24],PerHeadcount[exp_item],$H711,PerHeadcount[company_name],$B711)*AI186)</f>
        <v>0</v>
      </c>
      <c r="AJ711" s="652">
        <f>IF($B711="",,SUMIFS(PerHeadcount[Month 25],PerHeadcount[exp_item],$H711,PerHeadcount[company_name],$B711)*AJ186)</f>
        <v>0</v>
      </c>
      <c r="AK711" s="652">
        <f>IF($B711="",,SUMIFS(PerHeadcount[Month 26],PerHeadcount[exp_item],$H711,PerHeadcount[company_name],$B711)*AK186)</f>
        <v>0</v>
      </c>
      <c r="AL711" s="652">
        <f>IF($B711="",,SUMIFS(PerHeadcount[Month 27],PerHeadcount[exp_item],$H711,PerHeadcount[company_name],$B711)*AL186)</f>
        <v>0</v>
      </c>
      <c r="AM711" s="652">
        <f>IF($B711="",,SUMIFS(PerHeadcount[Month 28],PerHeadcount[exp_item],$H711,PerHeadcount[company_name],$B711)*AM186)</f>
        <v>0</v>
      </c>
      <c r="AN711" s="652">
        <f>IF($B711="",,SUMIFS(PerHeadcount[Month 29],PerHeadcount[exp_item],$H711,PerHeadcount[company_name],$B711)*AN186)</f>
        <v>0</v>
      </c>
      <c r="AO711" s="652">
        <f>IF($B711="",,SUMIFS(PerHeadcount[Month 30],PerHeadcount[exp_item],$H711,PerHeadcount[company_name],$B711)*AO186)</f>
        <v>0</v>
      </c>
      <c r="AP711" s="652">
        <f>IF($B711="",,SUMIFS(PerHeadcount[Month 31],PerHeadcount[exp_item],$H711,PerHeadcount[company_name],$B711)*AP186)</f>
        <v>0</v>
      </c>
      <c r="AQ711" s="652">
        <f>IF($B711="",,SUMIFS(PerHeadcount[Month 32],PerHeadcount[exp_item],$H711,PerHeadcount[company_name],$B711)*AQ186)</f>
        <v>0</v>
      </c>
      <c r="AR711" s="652">
        <f>IF($B711="",,SUMIFS(PerHeadcount[Month 33],PerHeadcount[exp_item],$H711,PerHeadcount[company_name],$B711)*AR186)</f>
        <v>0</v>
      </c>
      <c r="AS711" s="652">
        <f>IF($B711="",,SUMIFS(PerHeadcount[Month 34],PerHeadcount[exp_item],$H711,PerHeadcount[company_name],$B711)*AS186)</f>
        <v>0</v>
      </c>
      <c r="AT711" s="652">
        <f>IF($B711="",,SUMIFS(PerHeadcount[Month 35],PerHeadcount[exp_item],$H711,PerHeadcount[company_name],$B711)*AT186)</f>
        <v>0</v>
      </c>
      <c r="AU711" s="652">
        <f>IF($B711="",,SUMIFS(PerHeadcount[Month 36],PerHeadcount[exp_item],$H711,PerHeadcount[company_name],$B711)*AU186)</f>
        <v>0</v>
      </c>
    </row>
    <row r="712" spans="1:52" x14ac:dyDescent="0.35">
      <c r="B712" t="str">
        <f t="shared" si="428"/>
        <v/>
      </c>
      <c r="C712" t="str">
        <f t="shared" si="428"/>
        <v/>
      </c>
      <c r="D712" t="str">
        <f t="shared" si="428"/>
        <v/>
      </c>
      <c r="E712" t="str">
        <f t="shared" si="428"/>
        <v/>
      </c>
      <c r="F712" t="str">
        <f t="shared" si="428"/>
        <v/>
      </c>
      <c r="G712" t="str">
        <f t="shared" si="428"/>
        <v/>
      </c>
      <c r="H712" t="str">
        <f t="shared" ref="H712:H775" si="429">IF(B712="","",$B$710)</f>
        <v/>
      </c>
      <c r="J712" t="str">
        <f>IF($H712="","",IF(VLOOKUP(H712,ExpItems[],2,0),H712&amp;" - "&amp;INDEX(DivisionMapping[category_code],MATCH($D712&amp;$C712,DivisionMapping[dept_bu],0)),H712))</f>
        <v/>
      </c>
      <c r="K712" t="str">
        <f t="shared" ref="K712:K775" si="430">K607</f>
        <v/>
      </c>
      <c r="L712" s="652">
        <f>IF($B712="",,SUMIFS(PerHeadcount[Month 1],PerHeadcount[exp_item],$H712,PerHeadcount[company_name],$B712)*L187)</f>
        <v>0</v>
      </c>
      <c r="M712" s="652">
        <f>IF($B712="",,SUMIFS(PerHeadcount[Month 2],PerHeadcount[exp_item],$H712,PerHeadcount[company_name],$B712)*M187)</f>
        <v>0</v>
      </c>
      <c r="N712" s="652">
        <f>IF($B712="",,SUMIFS(PerHeadcount[Month 3],PerHeadcount[exp_item],$H712,PerHeadcount[company_name],$B712)*N187)</f>
        <v>0</v>
      </c>
      <c r="O712" s="652">
        <f>IF($B712="",,SUMIFS(PerHeadcount[Month 4],PerHeadcount[exp_item],$H712,PerHeadcount[company_name],$B712)*O187)</f>
        <v>0</v>
      </c>
      <c r="P712" s="652">
        <f>IF($B712="",,SUMIFS(PerHeadcount[Month 5],PerHeadcount[exp_item],$H712,PerHeadcount[company_name],$B712)*P187)</f>
        <v>0</v>
      </c>
      <c r="Q712" s="652">
        <f>IF($B712="",,SUMIFS(PerHeadcount[Month 6],PerHeadcount[exp_item],$H712,PerHeadcount[company_name],$B712)*Q187)</f>
        <v>0</v>
      </c>
      <c r="R712" s="652">
        <f>IF($B712="",,SUMIFS(PerHeadcount[Month 7],PerHeadcount[exp_item],$H712,PerHeadcount[company_name],$B712)*R187)</f>
        <v>0</v>
      </c>
      <c r="S712" s="652">
        <f>IF($B712="",,SUMIFS(PerHeadcount[Month 8],PerHeadcount[exp_item],$H712,PerHeadcount[company_name],$B712)*S187)</f>
        <v>0</v>
      </c>
      <c r="T712" s="652">
        <f>IF($B712="",,SUMIFS(PerHeadcount[Month 9],PerHeadcount[exp_item],$H712,PerHeadcount[company_name],$B712)*T187)</f>
        <v>0</v>
      </c>
      <c r="U712" s="652">
        <f>IF($B712="",,SUMIFS(PerHeadcount[Month 10],PerHeadcount[exp_item],$H712,PerHeadcount[company_name],$B712)*U187)</f>
        <v>0</v>
      </c>
      <c r="V712" s="652">
        <f>IF($B712="",,SUMIFS(PerHeadcount[Month 11],PerHeadcount[exp_item],$H712,PerHeadcount[company_name],$B712)*V187)</f>
        <v>0</v>
      </c>
      <c r="W712" s="652">
        <f>IF($B712="",,SUMIFS(PerHeadcount[Month 12],PerHeadcount[exp_item],$H712,PerHeadcount[company_name],$B712)*W187)</f>
        <v>0</v>
      </c>
      <c r="X712" s="652">
        <f>IF($B712="",,SUMIFS(PerHeadcount[Month 13],PerHeadcount[exp_item],$H712,PerHeadcount[company_name],$B712)*X187)</f>
        <v>0</v>
      </c>
      <c r="Y712" s="652">
        <f>IF($B712="",,SUMIFS(PerHeadcount[Month 14],PerHeadcount[exp_item],$H712,PerHeadcount[company_name],$B712)*Y187)</f>
        <v>0</v>
      </c>
      <c r="Z712" s="652">
        <f>IF($B712="",,SUMIFS(PerHeadcount[Month 15],PerHeadcount[exp_item],$H712,PerHeadcount[company_name],$B712)*Z187)</f>
        <v>0</v>
      </c>
      <c r="AA712" s="652">
        <f>IF($B712="",,SUMIFS(PerHeadcount[Month 16],PerHeadcount[exp_item],$H712,PerHeadcount[company_name],$B712)*AA187)</f>
        <v>0</v>
      </c>
      <c r="AB712" s="652">
        <f>IF($B712="",,SUMIFS(PerHeadcount[Month 17],PerHeadcount[exp_item],$H712,PerHeadcount[company_name],$B712)*AB187)</f>
        <v>0</v>
      </c>
      <c r="AC712" s="652">
        <f>IF($B712="",,SUMIFS(PerHeadcount[Month 18],PerHeadcount[exp_item],$H712,PerHeadcount[company_name],$B712)*AC187)</f>
        <v>0</v>
      </c>
      <c r="AD712" s="652">
        <f>IF($B712="",,SUMIFS(PerHeadcount[Month 19],PerHeadcount[exp_item],$H712,PerHeadcount[company_name],$B712)*AD187)</f>
        <v>0</v>
      </c>
      <c r="AE712" s="652">
        <f>IF($B712="",,SUMIFS(PerHeadcount[Month 20],PerHeadcount[exp_item],$H712,PerHeadcount[company_name],$B712)*AE187)</f>
        <v>0</v>
      </c>
      <c r="AF712" s="652">
        <f>IF($B712="",,SUMIFS(PerHeadcount[Month 21],PerHeadcount[exp_item],$H712,PerHeadcount[company_name],$B712)*AF187)</f>
        <v>0</v>
      </c>
      <c r="AG712" s="652">
        <f>IF($B712="",,SUMIFS(PerHeadcount[Month 22],PerHeadcount[exp_item],$H712,PerHeadcount[company_name],$B712)*AG187)</f>
        <v>0</v>
      </c>
      <c r="AH712" s="652">
        <f>IF($B712="",,SUMIFS(PerHeadcount[Month 23],PerHeadcount[exp_item],$H712,PerHeadcount[company_name],$B712)*AH187)</f>
        <v>0</v>
      </c>
      <c r="AI712" s="652">
        <f>IF($B712="",,SUMIFS(PerHeadcount[Month 24],PerHeadcount[exp_item],$H712,PerHeadcount[company_name],$B712)*AI187)</f>
        <v>0</v>
      </c>
      <c r="AJ712" s="652">
        <f>IF($B712="",,SUMIFS(PerHeadcount[Month 25],PerHeadcount[exp_item],$H712,PerHeadcount[company_name],$B712)*AJ187)</f>
        <v>0</v>
      </c>
      <c r="AK712" s="652">
        <f>IF($B712="",,SUMIFS(PerHeadcount[Month 26],PerHeadcount[exp_item],$H712,PerHeadcount[company_name],$B712)*AK187)</f>
        <v>0</v>
      </c>
      <c r="AL712" s="652">
        <f>IF($B712="",,SUMIFS(PerHeadcount[Month 27],PerHeadcount[exp_item],$H712,PerHeadcount[company_name],$B712)*AL187)</f>
        <v>0</v>
      </c>
      <c r="AM712" s="652">
        <f>IF($B712="",,SUMIFS(PerHeadcount[Month 28],PerHeadcount[exp_item],$H712,PerHeadcount[company_name],$B712)*AM187)</f>
        <v>0</v>
      </c>
      <c r="AN712" s="652">
        <f>IF($B712="",,SUMIFS(PerHeadcount[Month 29],PerHeadcount[exp_item],$H712,PerHeadcount[company_name],$B712)*AN187)</f>
        <v>0</v>
      </c>
      <c r="AO712" s="652">
        <f>IF($B712="",,SUMIFS(PerHeadcount[Month 30],PerHeadcount[exp_item],$H712,PerHeadcount[company_name],$B712)*AO187)</f>
        <v>0</v>
      </c>
      <c r="AP712" s="652">
        <f>IF($B712="",,SUMIFS(PerHeadcount[Month 31],PerHeadcount[exp_item],$H712,PerHeadcount[company_name],$B712)*AP187)</f>
        <v>0</v>
      </c>
      <c r="AQ712" s="652">
        <f>IF($B712="",,SUMIFS(PerHeadcount[Month 32],PerHeadcount[exp_item],$H712,PerHeadcount[company_name],$B712)*AQ187)</f>
        <v>0</v>
      </c>
      <c r="AR712" s="652">
        <f>IF($B712="",,SUMIFS(PerHeadcount[Month 33],PerHeadcount[exp_item],$H712,PerHeadcount[company_name],$B712)*AR187)</f>
        <v>0</v>
      </c>
      <c r="AS712" s="652">
        <f>IF($B712="",,SUMIFS(PerHeadcount[Month 34],PerHeadcount[exp_item],$H712,PerHeadcount[company_name],$B712)*AS187)</f>
        <v>0</v>
      </c>
      <c r="AT712" s="652">
        <f>IF($B712="",,SUMIFS(PerHeadcount[Month 35],PerHeadcount[exp_item],$H712,PerHeadcount[company_name],$B712)*AT187)</f>
        <v>0</v>
      </c>
      <c r="AU712" s="652">
        <f>IF($B712="",,SUMIFS(PerHeadcount[Month 36],PerHeadcount[exp_item],$H712,PerHeadcount[company_name],$B712)*AU187)</f>
        <v>0</v>
      </c>
    </row>
    <row r="713" spans="1:52" x14ac:dyDescent="0.35">
      <c r="B713" t="str">
        <f t="shared" si="428"/>
        <v/>
      </c>
      <c r="C713" t="str">
        <f t="shared" si="428"/>
        <v/>
      </c>
      <c r="D713" t="str">
        <f t="shared" si="428"/>
        <v/>
      </c>
      <c r="E713" t="str">
        <f t="shared" si="428"/>
        <v/>
      </c>
      <c r="F713" t="str">
        <f t="shared" si="428"/>
        <v/>
      </c>
      <c r="G713" t="str">
        <f t="shared" si="428"/>
        <v/>
      </c>
      <c r="H713" t="str">
        <f t="shared" si="429"/>
        <v/>
      </c>
      <c r="J713" t="str">
        <f>IF($H713="","",IF(VLOOKUP(H713,ExpItems[],2,0),H713&amp;" - "&amp;INDEX(DivisionMapping[category_code],MATCH($D713&amp;$C713,DivisionMapping[dept_bu],0)),H713))</f>
        <v/>
      </c>
      <c r="K713" t="str">
        <f t="shared" si="430"/>
        <v/>
      </c>
      <c r="L713" s="652">
        <f>IF($B713="",,SUMIFS(PerHeadcount[Month 1],PerHeadcount[exp_item],$H713,PerHeadcount[company_name],$B713)*L188)</f>
        <v>0</v>
      </c>
      <c r="M713" s="652">
        <f>IF($B713="",,SUMIFS(PerHeadcount[Month 2],PerHeadcount[exp_item],$H713,PerHeadcount[company_name],$B713)*M188)</f>
        <v>0</v>
      </c>
      <c r="N713" s="652">
        <f>IF($B713="",,SUMIFS(PerHeadcount[Month 3],PerHeadcount[exp_item],$H713,PerHeadcount[company_name],$B713)*N188)</f>
        <v>0</v>
      </c>
      <c r="O713" s="652">
        <f>IF($B713="",,SUMIFS(PerHeadcount[Month 4],PerHeadcount[exp_item],$H713,PerHeadcount[company_name],$B713)*O188)</f>
        <v>0</v>
      </c>
      <c r="P713" s="652">
        <f>IF($B713="",,SUMIFS(PerHeadcount[Month 5],PerHeadcount[exp_item],$H713,PerHeadcount[company_name],$B713)*P188)</f>
        <v>0</v>
      </c>
      <c r="Q713" s="652">
        <f>IF($B713="",,SUMIFS(PerHeadcount[Month 6],PerHeadcount[exp_item],$H713,PerHeadcount[company_name],$B713)*Q188)</f>
        <v>0</v>
      </c>
      <c r="R713" s="652">
        <f>IF($B713="",,SUMIFS(PerHeadcount[Month 7],PerHeadcount[exp_item],$H713,PerHeadcount[company_name],$B713)*R188)</f>
        <v>0</v>
      </c>
      <c r="S713" s="652">
        <f>IF($B713="",,SUMIFS(PerHeadcount[Month 8],PerHeadcount[exp_item],$H713,PerHeadcount[company_name],$B713)*S188)</f>
        <v>0</v>
      </c>
      <c r="T713" s="652">
        <f>IF($B713="",,SUMIFS(PerHeadcount[Month 9],PerHeadcount[exp_item],$H713,PerHeadcount[company_name],$B713)*T188)</f>
        <v>0</v>
      </c>
      <c r="U713" s="652">
        <f>IF($B713="",,SUMIFS(PerHeadcount[Month 10],PerHeadcount[exp_item],$H713,PerHeadcount[company_name],$B713)*U188)</f>
        <v>0</v>
      </c>
      <c r="V713" s="652">
        <f>IF($B713="",,SUMIFS(PerHeadcount[Month 11],PerHeadcount[exp_item],$H713,PerHeadcount[company_name],$B713)*V188)</f>
        <v>0</v>
      </c>
      <c r="W713" s="652">
        <f>IF($B713="",,SUMIFS(PerHeadcount[Month 12],PerHeadcount[exp_item],$H713,PerHeadcount[company_name],$B713)*W188)</f>
        <v>0</v>
      </c>
      <c r="X713" s="652">
        <f>IF($B713="",,SUMIFS(PerHeadcount[Month 13],PerHeadcount[exp_item],$H713,PerHeadcount[company_name],$B713)*X188)</f>
        <v>0</v>
      </c>
      <c r="Y713" s="652">
        <f>IF($B713="",,SUMIFS(PerHeadcount[Month 14],PerHeadcount[exp_item],$H713,PerHeadcount[company_name],$B713)*Y188)</f>
        <v>0</v>
      </c>
      <c r="Z713" s="652">
        <f>IF($B713="",,SUMIFS(PerHeadcount[Month 15],PerHeadcount[exp_item],$H713,PerHeadcount[company_name],$B713)*Z188)</f>
        <v>0</v>
      </c>
      <c r="AA713" s="652">
        <f>IF($B713="",,SUMIFS(PerHeadcount[Month 16],PerHeadcount[exp_item],$H713,PerHeadcount[company_name],$B713)*AA188)</f>
        <v>0</v>
      </c>
      <c r="AB713" s="652">
        <f>IF($B713="",,SUMIFS(PerHeadcount[Month 17],PerHeadcount[exp_item],$H713,PerHeadcount[company_name],$B713)*AB188)</f>
        <v>0</v>
      </c>
      <c r="AC713" s="652">
        <f>IF($B713="",,SUMIFS(PerHeadcount[Month 18],PerHeadcount[exp_item],$H713,PerHeadcount[company_name],$B713)*AC188)</f>
        <v>0</v>
      </c>
      <c r="AD713" s="652">
        <f>IF($B713="",,SUMIFS(PerHeadcount[Month 19],PerHeadcount[exp_item],$H713,PerHeadcount[company_name],$B713)*AD188)</f>
        <v>0</v>
      </c>
      <c r="AE713" s="652">
        <f>IF($B713="",,SUMIFS(PerHeadcount[Month 20],PerHeadcount[exp_item],$H713,PerHeadcount[company_name],$B713)*AE188)</f>
        <v>0</v>
      </c>
      <c r="AF713" s="652">
        <f>IF($B713="",,SUMIFS(PerHeadcount[Month 21],PerHeadcount[exp_item],$H713,PerHeadcount[company_name],$B713)*AF188)</f>
        <v>0</v>
      </c>
      <c r="AG713" s="652">
        <f>IF($B713="",,SUMIFS(PerHeadcount[Month 22],PerHeadcount[exp_item],$H713,PerHeadcount[company_name],$B713)*AG188)</f>
        <v>0</v>
      </c>
      <c r="AH713" s="652">
        <f>IF($B713="",,SUMIFS(PerHeadcount[Month 23],PerHeadcount[exp_item],$H713,PerHeadcount[company_name],$B713)*AH188)</f>
        <v>0</v>
      </c>
      <c r="AI713" s="652">
        <f>IF($B713="",,SUMIFS(PerHeadcount[Month 24],PerHeadcount[exp_item],$H713,PerHeadcount[company_name],$B713)*AI188)</f>
        <v>0</v>
      </c>
      <c r="AJ713" s="652">
        <f>IF($B713="",,SUMIFS(PerHeadcount[Month 25],PerHeadcount[exp_item],$H713,PerHeadcount[company_name],$B713)*AJ188)</f>
        <v>0</v>
      </c>
      <c r="AK713" s="652">
        <f>IF($B713="",,SUMIFS(PerHeadcount[Month 26],PerHeadcount[exp_item],$H713,PerHeadcount[company_name],$B713)*AK188)</f>
        <v>0</v>
      </c>
      <c r="AL713" s="652">
        <f>IF($B713="",,SUMIFS(PerHeadcount[Month 27],PerHeadcount[exp_item],$H713,PerHeadcount[company_name],$B713)*AL188)</f>
        <v>0</v>
      </c>
      <c r="AM713" s="652">
        <f>IF($B713="",,SUMIFS(PerHeadcount[Month 28],PerHeadcount[exp_item],$H713,PerHeadcount[company_name],$B713)*AM188)</f>
        <v>0</v>
      </c>
      <c r="AN713" s="652">
        <f>IF($B713="",,SUMIFS(PerHeadcount[Month 29],PerHeadcount[exp_item],$H713,PerHeadcount[company_name],$B713)*AN188)</f>
        <v>0</v>
      </c>
      <c r="AO713" s="652">
        <f>IF($B713="",,SUMIFS(PerHeadcount[Month 30],PerHeadcount[exp_item],$H713,PerHeadcount[company_name],$B713)*AO188)</f>
        <v>0</v>
      </c>
      <c r="AP713" s="652">
        <f>IF($B713="",,SUMIFS(PerHeadcount[Month 31],PerHeadcount[exp_item],$H713,PerHeadcount[company_name],$B713)*AP188)</f>
        <v>0</v>
      </c>
      <c r="AQ713" s="652">
        <f>IF($B713="",,SUMIFS(PerHeadcount[Month 32],PerHeadcount[exp_item],$H713,PerHeadcount[company_name],$B713)*AQ188)</f>
        <v>0</v>
      </c>
      <c r="AR713" s="652">
        <f>IF($B713="",,SUMIFS(PerHeadcount[Month 33],PerHeadcount[exp_item],$H713,PerHeadcount[company_name],$B713)*AR188)</f>
        <v>0</v>
      </c>
      <c r="AS713" s="652">
        <f>IF($B713="",,SUMIFS(PerHeadcount[Month 34],PerHeadcount[exp_item],$H713,PerHeadcount[company_name],$B713)*AS188)</f>
        <v>0</v>
      </c>
      <c r="AT713" s="652">
        <f>IF($B713="",,SUMIFS(PerHeadcount[Month 35],PerHeadcount[exp_item],$H713,PerHeadcount[company_name],$B713)*AT188)</f>
        <v>0</v>
      </c>
      <c r="AU713" s="652">
        <f>IF($B713="",,SUMIFS(PerHeadcount[Month 36],PerHeadcount[exp_item],$H713,PerHeadcount[company_name],$B713)*AU188)</f>
        <v>0</v>
      </c>
    </row>
    <row r="714" spans="1:52" x14ac:dyDescent="0.35">
      <c r="B714" t="str">
        <f t="shared" si="428"/>
        <v/>
      </c>
      <c r="C714" t="str">
        <f t="shared" si="428"/>
        <v/>
      </c>
      <c r="D714" t="str">
        <f t="shared" si="428"/>
        <v/>
      </c>
      <c r="E714" t="str">
        <f t="shared" si="428"/>
        <v/>
      </c>
      <c r="F714" t="str">
        <f t="shared" si="428"/>
        <v/>
      </c>
      <c r="G714" t="str">
        <f t="shared" si="428"/>
        <v/>
      </c>
      <c r="H714" t="str">
        <f t="shared" si="429"/>
        <v/>
      </c>
      <c r="J714" t="str">
        <f>IF($H714="","",IF(VLOOKUP(H714,ExpItems[],2,0),H714&amp;" - "&amp;INDEX(DivisionMapping[category_code],MATCH($D714&amp;$C714,DivisionMapping[dept_bu],0)),H714))</f>
        <v/>
      </c>
      <c r="K714" t="str">
        <f t="shared" si="430"/>
        <v/>
      </c>
      <c r="L714" s="652">
        <f>IF($B714="",,SUMIFS(PerHeadcount[Month 1],PerHeadcount[exp_item],$H714,PerHeadcount[company_name],$B714)*L189)</f>
        <v>0</v>
      </c>
      <c r="M714" s="652">
        <f>IF($B714="",,SUMIFS(PerHeadcount[Month 2],PerHeadcount[exp_item],$H714,PerHeadcount[company_name],$B714)*M189)</f>
        <v>0</v>
      </c>
      <c r="N714" s="652">
        <f>IF($B714="",,SUMIFS(PerHeadcount[Month 3],PerHeadcount[exp_item],$H714,PerHeadcount[company_name],$B714)*N189)</f>
        <v>0</v>
      </c>
      <c r="O714" s="652">
        <f>IF($B714="",,SUMIFS(PerHeadcount[Month 4],PerHeadcount[exp_item],$H714,PerHeadcount[company_name],$B714)*O189)</f>
        <v>0</v>
      </c>
      <c r="P714" s="652">
        <f>IF($B714="",,SUMIFS(PerHeadcount[Month 5],PerHeadcount[exp_item],$H714,PerHeadcount[company_name],$B714)*P189)</f>
        <v>0</v>
      </c>
      <c r="Q714" s="652">
        <f>IF($B714="",,SUMIFS(PerHeadcount[Month 6],PerHeadcount[exp_item],$H714,PerHeadcount[company_name],$B714)*Q189)</f>
        <v>0</v>
      </c>
      <c r="R714" s="652">
        <f>IF($B714="",,SUMIFS(PerHeadcount[Month 7],PerHeadcount[exp_item],$H714,PerHeadcount[company_name],$B714)*R189)</f>
        <v>0</v>
      </c>
      <c r="S714" s="652">
        <f>IF($B714="",,SUMIFS(PerHeadcount[Month 8],PerHeadcount[exp_item],$H714,PerHeadcount[company_name],$B714)*S189)</f>
        <v>0</v>
      </c>
      <c r="T714" s="652">
        <f>IF($B714="",,SUMIFS(PerHeadcount[Month 9],PerHeadcount[exp_item],$H714,PerHeadcount[company_name],$B714)*T189)</f>
        <v>0</v>
      </c>
      <c r="U714" s="652">
        <f>IF($B714="",,SUMIFS(PerHeadcount[Month 10],PerHeadcount[exp_item],$H714,PerHeadcount[company_name],$B714)*U189)</f>
        <v>0</v>
      </c>
      <c r="V714" s="652">
        <f>IF($B714="",,SUMIFS(PerHeadcount[Month 11],PerHeadcount[exp_item],$H714,PerHeadcount[company_name],$B714)*V189)</f>
        <v>0</v>
      </c>
      <c r="W714" s="652">
        <f>IF($B714="",,SUMIFS(PerHeadcount[Month 12],PerHeadcount[exp_item],$H714,PerHeadcount[company_name],$B714)*W189)</f>
        <v>0</v>
      </c>
      <c r="X714" s="652">
        <f>IF($B714="",,SUMIFS(PerHeadcount[Month 13],PerHeadcount[exp_item],$H714,PerHeadcount[company_name],$B714)*X189)</f>
        <v>0</v>
      </c>
      <c r="Y714" s="652">
        <f>IF($B714="",,SUMIFS(PerHeadcount[Month 14],PerHeadcount[exp_item],$H714,PerHeadcount[company_name],$B714)*Y189)</f>
        <v>0</v>
      </c>
      <c r="Z714" s="652">
        <f>IF($B714="",,SUMIFS(PerHeadcount[Month 15],PerHeadcount[exp_item],$H714,PerHeadcount[company_name],$B714)*Z189)</f>
        <v>0</v>
      </c>
      <c r="AA714" s="652">
        <f>IF($B714="",,SUMIFS(PerHeadcount[Month 16],PerHeadcount[exp_item],$H714,PerHeadcount[company_name],$B714)*AA189)</f>
        <v>0</v>
      </c>
      <c r="AB714" s="652">
        <f>IF($B714="",,SUMIFS(PerHeadcount[Month 17],PerHeadcount[exp_item],$H714,PerHeadcount[company_name],$B714)*AB189)</f>
        <v>0</v>
      </c>
      <c r="AC714" s="652">
        <f>IF($B714="",,SUMIFS(PerHeadcount[Month 18],PerHeadcount[exp_item],$H714,PerHeadcount[company_name],$B714)*AC189)</f>
        <v>0</v>
      </c>
      <c r="AD714" s="652">
        <f>IF($B714="",,SUMIFS(PerHeadcount[Month 19],PerHeadcount[exp_item],$H714,PerHeadcount[company_name],$B714)*AD189)</f>
        <v>0</v>
      </c>
      <c r="AE714" s="652">
        <f>IF($B714="",,SUMIFS(PerHeadcount[Month 20],PerHeadcount[exp_item],$H714,PerHeadcount[company_name],$B714)*AE189)</f>
        <v>0</v>
      </c>
      <c r="AF714" s="652">
        <f>IF($B714="",,SUMIFS(PerHeadcount[Month 21],PerHeadcount[exp_item],$H714,PerHeadcount[company_name],$B714)*AF189)</f>
        <v>0</v>
      </c>
      <c r="AG714" s="652">
        <f>IF($B714="",,SUMIFS(PerHeadcount[Month 22],PerHeadcount[exp_item],$H714,PerHeadcount[company_name],$B714)*AG189)</f>
        <v>0</v>
      </c>
      <c r="AH714" s="652">
        <f>IF($B714="",,SUMIFS(PerHeadcount[Month 23],PerHeadcount[exp_item],$H714,PerHeadcount[company_name],$B714)*AH189)</f>
        <v>0</v>
      </c>
      <c r="AI714" s="652">
        <f>IF($B714="",,SUMIFS(PerHeadcount[Month 24],PerHeadcount[exp_item],$H714,PerHeadcount[company_name],$B714)*AI189)</f>
        <v>0</v>
      </c>
      <c r="AJ714" s="652">
        <f>IF($B714="",,SUMIFS(PerHeadcount[Month 25],PerHeadcount[exp_item],$H714,PerHeadcount[company_name],$B714)*AJ189)</f>
        <v>0</v>
      </c>
      <c r="AK714" s="652">
        <f>IF($B714="",,SUMIFS(PerHeadcount[Month 26],PerHeadcount[exp_item],$H714,PerHeadcount[company_name],$B714)*AK189)</f>
        <v>0</v>
      </c>
      <c r="AL714" s="652">
        <f>IF($B714="",,SUMIFS(PerHeadcount[Month 27],PerHeadcount[exp_item],$H714,PerHeadcount[company_name],$B714)*AL189)</f>
        <v>0</v>
      </c>
      <c r="AM714" s="652">
        <f>IF($B714="",,SUMIFS(PerHeadcount[Month 28],PerHeadcount[exp_item],$H714,PerHeadcount[company_name],$B714)*AM189)</f>
        <v>0</v>
      </c>
      <c r="AN714" s="652">
        <f>IF($B714="",,SUMIFS(PerHeadcount[Month 29],PerHeadcount[exp_item],$H714,PerHeadcount[company_name],$B714)*AN189)</f>
        <v>0</v>
      </c>
      <c r="AO714" s="652">
        <f>IF($B714="",,SUMIFS(PerHeadcount[Month 30],PerHeadcount[exp_item],$H714,PerHeadcount[company_name],$B714)*AO189)</f>
        <v>0</v>
      </c>
      <c r="AP714" s="652">
        <f>IF($B714="",,SUMIFS(PerHeadcount[Month 31],PerHeadcount[exp_item],$H714,PerHeadcount[company_name],$B714)*AP189)</f>
        <v>0</v>
      </c>
      <c r="AQ714" s="652">
        <f>IF($B714="",,SUMIFS(PerHeadcount[Month 32],PerHeadcount[exp_item],$H714,PerHeadcount[company_name],$B714)*AQ189)</f>
        <v>0</v>
      </c>
      <c r="AR714" s="652">
        <f>IF($B714="",,SUMIFS(PerHeadcount[Month 33],PerHeadcount[exp_item],$H714,PerHeadcount[company_name],$B714)*AR189)</f>
        <v>0</v>
      </c>
      <c r="AS714" s="652">
        <f>IF($B714="",,SUMIFS(PerHeadcount[Month 34],PerHeadcount[exp_item],$H714,PerHeadcount[company_name],$B714)*AS189)</f>
        <v>0</v>
      </c>
      <c r="AT714" s="652">
        <f>IF($B714="",,SUMIFS(PerHeadcount[Month 35],PerHeadcount[exp_item],$H714,PerHeadcount[company_name],$B714)*AT189)</f>
        <v>0</v>
      </c>
      <c r="AU714" s="652">
        <f>IF($B714="",,SUMIFS(PerHeadcount[Month 36],PerHeadcount[exp_item],$H714,PerHeadcount[company_name],$B714)*AU189)</f>
        <v>0</v>
      </c>
    </row>
    <row r="715" spans="1:52" x14ac:dyDescent="0.35">
      <c r="B715" t="str">
        <f t="shared" si="428"/>
        <v/>
      </c>
      <c r="C715" t="str">
        <f t="shared" si="428"/>
        <v/>
      </c>
      <c r="D715" t="str">
        <f t="shared" si="428"/>
        <v/>
      </c>
      <c r="E715" t="str">
        <f t="shared" si="428"/>
        <v/>
      </c>
      <c r="F715" t="str">
        <f t="shared" si="428"/>
        <v/>
      </c>
      <c r="G715" t="str">
        <f t="shared" si="428"/>
        <v/>
      </c>
      <c r="H715" t="str">
        <f t="shared" si="429"/>
        <v/>
      </c>
      <c r="J715" t="str">
        <f>IF($H715="","",IF(VLOOKUP(H715,ExpItems[],2,0),H715&amp;" - "&amp;INDEX(DivisionMapping[category_code],MATCH($D715&amp;$C715,DivisionMapping[dept_bu],0)),H715))</f>
        <v/>
      </c>
      <c r="K715" t="str">
        <f t="shared" si="430"/>
        <v/>
      </c>
      <c r="L715" s="652">
        <f>IF($B715="",,SUMIFS(PerHeadcount[Month 1],PerHeadcount[exp_item],$H715,PerHeadcount[company_name],$B715)*L190)</f>
        <v>0</v>
      </c>
      <c r="M715" s="652">
        <f>IF($B715="",,SUMIFS(PerHeadcount[Month 2],PerHeadcount[exp_item],$H715,PerHeadcount[company_name],$B715)*M190)</f>
        <v>0</v>
      </c>
      <c r="N715" s="652">
        <f>IF($B715="",,SUMIFS(PerHeadcount[Month 3],PerHeadcount[exp_item],$H715,PerHeadcount[company_name],$B715)*N190)</f>
        <v>0</v>
      </c>
      <c r="O715" s="652">
        <f>IF($B715="",,SUMIFS(PerHeadcount[Month 4],PerHeadcount[exp_item],$H715,PerHeadcount[company_name],$B715)*O190)</f>
        <v>0</v>
      </c>
      <c r="P715" s="652">
        <f>IF($B715="",,SUMIFS(PerHeadcount[Month 5],PerHeadcount[exp_item],$H715,PerHeadcount[company_name],$B715)*P190)</f>
        <v>0</v>
      </c>
      <c r="Q715" s="652">
        <f>IF($B715="",,SUMIFS(PerHeadcount[Month 6],PerHeadcount[exp_item],$H715,PerHeadcount[company_name],$B715)*Q190)</f>
        <v>0</v>
      </c>
      <c r="R715" s="652">
        <f>IF($B715="",,SUMIFS(PerHeadcount[Month 7],PerHeadcount[exp_item],$H715,PerHeadcount[company_name],$B715)*R190)</f>
        <v>0</v>
      </c>
      <c r="S715" s="652">
        <f>IF($B715="",,SUMIFS(PerHeadcount[Month 8],PerHeadcount[exp_item],$H715,PerHeadcount[company_name],$B715)*S190)</f>
        <v>0</v>
      </c>
      <c r="T715" s="652">
        <f>IF($B715="",,SUMIFS(PerHeadcount[Month 9],PerHeadcount[exp_item],$H715,PerHeadcount[company_name],$B715)*T190)</f>
        <v>0</v>
      </c>
      <c r="U715" s="652">
        <f>IF($B715="",,SUMIFS(PerHeadcount[Month 10],PerHeadcount[exp_item],$H715,PerHeadcount[company_name],$B715)*U190)</f>
        <v>0</v>
      </c>
      <c r="V715" s="652">
        <f>IF($B715="",,SUMIFS(PerHeadcount[Month 11],PerHeadcount[exp_item],$H715,PerHeadcount[company_name],$B715)*V190)</f>
        <v>0</v>
      </c>
      <c r="W715" s="652">
        <f>IF($B715="",,SUMIFS(PerHeadcount[Month 12],PerHeadcount[exp_item],$H715,PerHeadcount[company_name],$B715)*W190)</f>
        <v>0</v>
      </c>
      <c r="X715" s="652">
        <f>IF($B715="",,SUMIFS(PerHeadcount[Month 13],PerHeadcount[exp_item],$H715,PerHeadcount[company_name],$B715)*X190)</f>
        <v>0</v>
      </c>
      <c r="Y715" s="652">
        <f>IF($B715="",,SUMIFS(PerHeadcount[Month 14],PerHeadcount[exp_item],$H715,PerHeadcount[company_name],$B715)*Y190)</f>
        <v>0</v>
      </c>
      <c r="Z715" s="652">
        <f>IF($B715="",,SUMIFS(PerHeadcount[Month 15],PerHeadcount[exp_item],$H715,PerHeadcount[company_name],$B715)*Z190)</f>
        <v>0</v>
      </c>
      <c r="AA715" s="652">
        <f>IF($B715="",,SUMIFS(PerHeadcount[Month 16],PerHeadcount[exp_item],$H715,PerHeadcount[company_name],$B715)*AA190)</f>
        <v>0</v>
      </c>
      <c r="AB715" s="652">
        <f>IF($B715="",,SUMIFS(PerHeadcount[Month 17],PerHeadcount[exp_item],$H715,PerHeadcount[company_name],$B715)*AB190)</f>
        <v>0</v>
      </c>
      <c r="AC715" s="652">
        <f>IF($B715="",,SUMIFS(PerHeadcount[Month 18],PerHeadcount[exp_item],$H715,PerHeadcount[company_name],$B715)*AC190)</f>
        <v>0</v>
      </c>
      <c r="AD715" s="652">
        <f>IF($B715="",,SUMIFS(PerHeadcount[Month 19],PerHeadcount[exp_item],$H715,PerHeadcount[company_name],$B715)*AD190)</f>
        <v>0</v>
      </c>
      <c r="AE715" s="652">
        <f>IF($B715="",,SUMIFS(PerHeadcount[Month 20],PerHeadcount[exp_item],$H715,PerHeadcount[company_name],$B715)*AE190)</f>
        <v>0</v>
      </c>
      <c r="AF715" s="652">
        <f>IF($B715="",,SUMIFS(PerHeadcount[Month 21],PerHeadcount[exp_item],$H715,PerHeadcount[company_name],$B715)*AF190)</f>
        <v>0</v>
      </c>
      <c r="AG715" s="652">
        <f>IF($B715="",,SUMIFS(PerHeadcount[Month 22],PerHeadcount[exp_item],$H715,PerHeadcount[company_name],$B715)*AG190)</f>
        <v>0</v>
      </c>
      <c r="AH715" s="652">
        <f>IF($B715="",,SUMIFS(PerHeadcount[Month 23],PerHeadcount[exp_item],$H715,PerHeadcount[company_name],$B715)*AH190)</f>
        <v>0</v>
      </c>
      <c r="AI715" s="652">
        <f>IF($B715="",,SUMIFS(PerHeadcount[Month 24],PerHeadcount[exp_item],$H715,PerHeadcount[company_name],$B715)*AI190)</f>
        <v>0</v>
      </c>
      <c r="AJ715" s="652">
        <f>IF($B715="",,SUMIFS(PerHeadcount[Month 25],PerHeadcount[exp_item],$H715,PerHeadcount[company_name],$B715)*AJ190)</f>
        <v>0</v>
      </c>
      <c r="AK715" s="652">
        <f>IF($B715="",,SUMIFS(PerHeadcount[Month 26],PerHeadcount[exp_item],$H715,PerHeadcount[company_name],$B715)*AK190)</f>
        <v>0</v>
      </c>
      <c r="AL715" s="652">
        <f>IF($B715="",,SUMIFS(PerHeadcount[Month 27],PerHeadcount[exp_item],$H715,PerHeadcount[company_name],$B715)*AL190)</f>
        <v>0</v>
      </c>
      <c r="AM715" s="652">
        <f>IF($B715="",,SUMIFS(PerHeadcount[Month 28],PerHeadcount[exp_item],$H715,PerHeadcount[company_name],$B715)*AM190)</f>
        <v>0</v>
      </c>
      <c r="AN715" s="652">
        <f>IF($B715="",,SUMIFS(PerHeadcount[Month 29],PerHeadcount[exp_item],$H715,PerHeadcount[company_name],$B715)*AN190)</f>
        <v>0</v>
      </c>
      <c r="AO715" s="652">
        <f>IF($B715="",,SUMIFS(PerHeadcount[Month 30],PerHeadcount[exp_item],$H715,PerHeadcount[company_name],$B715)*AO190)</f>
        <v>0</v>
      </c>
      <c r="AP715" s="652">
        <f>IF($B715="",,SUMIFS(PerHeadcount[Month 31],PerHeadcount[exp_item],$H715,PerHeadcount[company_name],$B715)*AP190)</f>
        <v>0</v>
      </c>
      <c r="AQ715" s="652">
        <f>IF($B715="",,SUMIFS(PerHeadcount[Month 32],PerHeadcount[exp_item],$H715,PerHeadcount[company_name],$B715)*AQ190)</f>
        <v>0</v>
      </c>
      <c r="AR715" s="652">
        <f>IF($B715="",,SUMIFS(PerHeadcount[Month 33],PerHeadcount[exp_item],$H715,PerHeadcount[company_name],$B715)*AR190)</f>
        <v>0</v>
      </c>
      <c r="AS715" s="652">
        <f>IF($B715="",,SUMIFS(PerHeadcount[Month 34],PerHeadcount[exp_item],$H715,PerHeadcount[company_name],$B715)*AS190)</f>
        <v>0</v>
      </c>
      <c r="AT715" s="652">
        <f>IF($B715="",,SUMIFS(PerHeadcount[Month 35],PerHeadcount[exp_item],$H715,PerHeadcount[company_name],$B715)*AT190)</f>
        <v>0</v>
      </c>
      <c r="AU715" s="652">
        <f>IF($B715="",,SUMIFS(PerHeadcount[Month 36],PerHeadcount[exp_item],$H715,PerHeadcount[company_name],$B715)*AU190)</f>
        <v>0</v>
      </c>
    </row>
    <row r="716" spans="1:52" x14ac:dyDescent="0.35">
      <c r="B716" t="str">
        <f t="shared" si="428"/>
        <v/>
      </c>
      <c r="C716" t="str">
        <f t="shared" si="428"/>
        <v/>
      </c>
      <c r="D716" t="str">
        <f t="shared" si="428"/>
        <v/>
      </c>
      <c r="E716" t="str">
        <f t="shared" si="428"/>
        <v/>
      </c>
      <c r="F716" t="str">
        <f t="shared" si="428"/>
        <v/>
      </c>
      <c r="G716" t="str">
        <f t="shared" si="428"/>
        <v/>
      </c>
      <c r="H716" t="str">
        <f t="shared" si="429"/>
        <v/>
      </c>
      <c r="J716" t="str">
        <f>IF($H716="","",IF(VLOOKUP(H716,ExpItems[],2,0),H716&amp;" - "&amp;INDEX(DivisionMapping[category_code],MATCH($D716&amp;$C716,DivisionMapping[dept_bu],0)),H716))</f>
        <v/>
      </c>
      <c r="K716" t="str">
        <f t="shared" si="430"/>
        <v/>
      </c>
      <c r="L716" s="652">
        <f>IF($B716="",,SUMIFS(PerHeadcount[Month 1],PerHeadcount[exp_item],$H716,PerHeadcount[company_name],$B716)*L191)</f>
        <v>0</v>
      </c>
      <c r="M716" s="652">
        <f>IF($B716="",,SUMIFS(PerHeadcount[Month 2],PerHeadcount[exp_item],$H716,PerHeadcount[company_name],$B716)*M191)</f>
        <v>0</v>
      </c>
      <c r="N716" s="652">
        <f>IF($B716="",,SUMIFS(PerHeadcount[Month 3],PerHeadcount[exp_item],$H716,PerHeadcount[company_name],$B716)*N191)</f>
        <v>0</v>
      </c>
      <c r="O716" s="652">
        <f>IF($B716="",,SUMIFS(PerHeadcount[Month 4],PerHeadcount[exp_item],$H716,PerHeadcount[company_name],$B716)*O191)</f>
        <v>0</v>
      </c>
      <c r="P716" s="652">
        <f>IF($B716="",,SUMIFS(PerHeadcount[Month 5],PerHeadcount[exp_item],$H716,PerHeadcount[company_name],$B716)*P191)</f>
        <v>0</v>
      </c>
      <c r="Q716" s="652">
        <f>IF($B716="",,SUMIFS(PerHeadcount[Month 6],PerHeadcount[exp_item],$H716,PerHeadcount[company_name],$B716)*Q191)</f>
        <v>0</v>
      </c>
      <c r="R716" s="652">
        <f>IF($B716="",,SUMIFS(PerHeadcount[Month 7],PerHeadcount[exp_item],$H716,PerHeadcount[company_name],$B716)*R191)</f>
        <v>0</v>
      </c>
      <c r="S716" s="652">
        <f>IF($B716="",,SUMIFS(PerHeadcount[Month 8],PerHeadcount[exp_item],$H716,PerHeadcount[company_name],$B716)*S191)</f>
        <v>0</v>
      </c>
      <c r="T716" s="652">
        <f>IF($B716="",,SUMIFS(PerHeadcount[Month 9],PerHeadcount[exp_item],$H716,PerHeadcount[company_name],$B716)*T191)</f>
        <v>0</v>
      </c>
      <c r="U716" s="652">
        <f>IF($B716="",,SUMIFS(PerHeadcount[Month 10],PerHeadcount[exp_item],$H716,PerHeadcount[company_name],$B716)*U191)</f>
        <v>0</v>
      </c>
      <c r="V716" s="652">
        <f>IF($B716="",,SUMIFS(PerHeadcount[Month 11],PerHeadcount[exp_item],$H716,PerHeadcount[company_name],$B716)*V191)</f>
        <v>0</v>
      </c>
      <c r="W716" s="652">
        <f>IF($B716="",,SUMIFS(PerHeadcount[Month 12],PerHeadcount[exp_item],$H716,PerHeadcount[company_name],$B716)*W191)</f>
        <v>0</v>
      </c>
      <c r="X716" s="652">
        <f>IF($B716="",,SUMIFS(PerHeadcount[Month 13],PerHeadcount[exp_item],$H716,PerHeadcount[company_name],$B716)*X191)</f>
        <v>0</v>
      </c>
      <c r="Y716" s="652">
        <f>IF($B716="",,SUMIFS(PerHeadcount[Month 14],PerHeadcount[exp_item],$H716,PerHeadcount[company_name],$B716)*Y191)</f>
        <v>0</v>
      </c>
      <c r="Z716" s="652">
        <f>IF($B716="",,SUMIFS(PerHeadcount[Month 15],PerHeadcount[exp_item],$H716,PerHeadcount[company_name],$B716)*Z191)</f>
        <v>0</v>
      </c>
      <c r="AA716" s="652">
        <f>IF($B716="",,SUMIFS(PerHeadcount[Month 16],PerHeadcount[exp_item],$H716,PerHeadcount[company_name],$B716)*AA191)</f>
        <v>0</v>
      </c>
      <c r="AB716" s="652">
        <f>IF($B716="",,SUMIFS(PerHeadcount[Month 17],PerHeadcount[exp_item],$H716,PerHeadcount[company_name],$B716)*AB191)</f>
        <v>0</v>
      </c>
      <c r="AC716" s="652">
        <f>IF($B716="",,SUMIFS(PerHeadcount[Month 18],PerHeadcount[exp_item],$H716,PerHeadcount[company_name],$B716)*AC191)</f>
        <v>0</v>
      </c>
      <c r="AD716" s="652">
        <f>IF($B716="",,SUMIFS(PerHeadcount[Month 19],PerHeadcount[exp_item],$H716,PerHeadcount[company_name],$B716)*AD191)</f>
        <v>0</v>
      </c>
      <c r="AE716" s="652">
        <f>IF($B716="",,SUMIFS(PerHeadcount[Month 20],PerHeadcount[exp_item],$H716,PerHeadcount[company_name],$B716)*AE191)</f>
        <v>0</v>
      </c>
      <c r="AF716" s="652">
        <f>IF($B716="",,SUMIFS(PerHeadcount[Month 21],PerHeadcount[exp_item],$H716,PerHeadcount[company_name],$B716)*AF191)</f>
        <v>0</v>
      </c>
      <c r="AG716" s="652">
        <f>IF($B716="",,SUMIFS(PerHeadcount[Month 22],PerHeadcount[exp_item],$H716,PerHeadcount[company_name],$B716)*AG191)</f>
        <v>0</v>
      </c>
      <c r="AH716" s="652">
        <f>IF($B716="",,SUMIFS(PerHeadcount[Month 23],PerHeadcount[exp_item],$H716,PerHeadcount[company_name],$B716)*AH191)</f>
        <v>0</v>
      </c>
      <c r="AI716" s="652">
        <f>IF($B716="",,SUMIFS(PerHeadcount[Month 24],PerHeadcount[exp_item],$H716,PerHeadcount[company_name],$B716)*AI191)</f>
        <v>0</v>
      </c>
      <c r="AJ716" s="652">
        <f>IF($B716="",,SUMIFS(PerHeadcount[Month 25],PerHeadcount[exp_item],$H716,PerHeadcount[company_name],$B716)*AJ191)</f>
        <v>0</v>
      </c>
      <c r="AK716" s="652">
        <f>IF($B716="",,SUMIFS(PerHeadcount[Month 26],PerHeadcount[exp_item],$H716,PerHeadcount[company_name],$B716)*AK191)</f>
        <v>0</v>
      </c>
      <c r="AL716" s="652">
        <f>IF($B716="",,SUMIFS(PerHeadcount[Month 27],PerHeadcount[exp_item],$H716,PerHeadcount[company_name],$B716)*AL191)</f>
        <v>0</v>
      </c>
      <c r="AM716" s="652">
        <f>IF($B716="",,SUMIFS(PerHeadcount[Month 28],PerHeadcount[exp_item],$H716,PerHeadcount[company_name],$B716)*AM191)</f>
        <v>0</v>
      </c>
      <c r="AN716" s="652">
        <f>IF($B716="",,SUMIFS(PerHeadcount[Month 29],PerHeadcount[exp_item],$H716,PerHeadcount[company_name],$B716)*AN191)</f>
        <v>0</v>
      </c>
      <c r="AO716" s="652">
        <f>IF($B716="",,SUMIFS(PerHeadcount[Month 30],PerHeadcount[exp_item],$H716,PerHeadcount[company_name],$B716)*AO191)</f>
        <v>0</v>
      </c>
      <c r="AP716" s="652">
        <f>IF($B716="",,SUMIFS(PerHeadcount[Month 31],PerHeadcount[exp_item],$H716,PerHeadcount[company_name],$B716)*AP191)</f>
        <v>0</v>
      </c>
      <c r="AQ716" s="652">
        <f>IF($B716="",,SUMIFS(PerHeadcount[Month 32],PerHeadcount[exp_item],$H716,PerHeadcount[company_name],$B716)*AQ191)</f>
        <v>0</v>
      </c>
      <c r="AR716" s="652">
        <f>IF($B716="",,SUMIFS(PerHeadcount[Month 33],PerHeadcount[exp_item],$H716,PerHeadcount[company_name],$B716)*AR191)</f>
        <v>0</v>
      </c>
      <c r="AS716" s="652">
        <f>IF($B716="",,SUMIFS(PerHeadcount[Month 34],PerHeadcount[exp_item],$H716,PerHeadcount[company_name],$B716)*AS191)</f>
        <v>0</v>
      </c>
      <c r="AT716" s="652">
        <f>IF($B716="",,SUMIFS(PerHeadcount[Month 35],PerHeadcount[exp_item],$H716,PerHeadcount[company_name],$B716)*AT191)</f>
        <v>0</v>
      </c>
      <c r="AU716" s="652">
        <f>IF($B716="",,SUMIFS(PerHeadcount[Month 36],PerHeadcount[exp_item],$H716,PerHeadcount[company_name],$B716)*AU191)</f>
        <v>0</v>
      </c>
    </row>
    <row r="717" spans="1:52" x14ac:dyDescent="0.35">
      <c r="B717" t="str">
        <f t="shared" si="428"/>
        <v/>
      </c>
      <c r="C717" t="str">
        <f t="shared" si="428"/>
        <v/>
      </c>
      <c r="D717" t="str">
        <f t="shared" si="428"/>
        <v/>
      </c>
      <c r="E717" t="str">
        <f t="shared" si="428"/>
        <v/>
      </c>
      <c r="F717" t="str">
        <f t="shared" si="428"/>
        <v/>
      </c>
      <c r="G717" t="str">
        <f t="shared" si="428"/>
        <v/>
      </c>
      <c r="H717" t="str">
        <f t="shared" si="429"/>
        <v/>
      </c>
      <c r="J717" t="str">
        <f>IF($H717="","",IF(VLOOKUP(H717,ExpItems[],2,0),H717&amp;" - "&amp;INDEX(DivisionMapping[category_code],MATCH($D717&amp;$C717,DivisionMapping[dept_bu],0)),H717))</f>
        <v/>
      </c>
      <c r="K717" t="str">
        <f t="shared" si="430"/>
        <v/>
      </c>
      <c r="L717" s="652">
        <f>IF($B717="",,SUMIFS(PerHeadcount[Month 1],PerHeadcount[exp_item],$H717,PerHeadcount[company_name],$B717)*L192)</f>
        <v>0</v>
      </c>
      <c r="M717" s="652">
        <f>IF($B717="",,SUMIFS(PerHeadcount[Month 2],PerHeadcount[exp_item],$H717,PerHeadcount[company_name],$B717)*M192)</f>
        <v>0</v>
      </c>
      <c r="N717" s="652">
        <f>IF($B717="",,SUMIFS(PerHeadcount[Month 3],PerHeadcount[exp_item],$H717,PerHeadcount[company_name],$B717)*N192)</f>
        <v>0</v>
      </c>
      <c r="O717" s="652">
        <f>IF($B717="",,SUMIFS(PerHeadcount[Month 4],PerHeadcount[exp_item],$H717,PerHeadcount[company_name],$B717)*O192)</f>
        <v>0</v>
      </c>
      <c r="P717" s="652">
        <f>IF($B717="",,SUMIFS(PerHeadcount[Month 5],PerHeadcount[exp_item],$H717,PerHeadcount[company_name],$B717)*P192)</f>
        <v>0</v>
      </c>
      <c r="Q717" s="652">
        <f>IF($B717="",,SUMIFS(PerHeadcount[Month 6],PerHeadcount[exp_item],$H717,PerHeadcount[company_name],$B717)*Q192)</f>
        <v>0</v>
      </c>
      <c r="R717" s="652">
        <f>IF($B717="",,SUMIFS(PerHeadcount[Month 7],PerHeadcount[exp_item],$H717,PerHeadcount[company_name],$B717)*R192)</f>
        <v>0</v>
      </c>
      <c r="S717" s="652">
        <f>IF($B717="",,SUMIFS(PerHeadcount[Month 8],PerHeadcount[exp_item],$H717,PerHeadcount[company_name],$B717)*S192)</f>
        <v>0</v>
      </c>
      <c r="T717" s="652">
        <f>IF($B717="",,SUMIFS(PerHeadcount[Month 9],PerHeadcount[exp_item],$H717,PerHeadcount[company_name],$B717)*T192)</f>
        <v>0</v>
      </c>
      <c r="U717" s="652">
        <f>IF($B717="",,SUMIFS(PerHeadcount[Month 10],PerHeadcount[exp_item],$H717,PerHeadcount[company_name],$B717)*U192)</f>
        <v>0</v>
      </c>
      <c r="V717" s="652">
        <f>IF($B717="",,SUMIFS(PerHeadcount[Month 11],PerHeadcount[exp_item],$H717,PerHeadcount[company_name],$B717)*V192)</f>
        <v>0</v>
      </c>
      <c r="W717" s="652">
        <f>IF($B717="",,SUMIFS(PerHeadcount[Month 12],PerHeadcount[exp_item],$H717,PerHeadcount[company_name],$B717)*W192)</f>
        <v>0</v>
      </c>
      <c r="X717" s="652">
        <f>IF($B717="",,SUMIFS(PerHeadcount[Month 13],PerHeadcount[exp_item],$H717,PerHeadcount[company_name],$B717)*X192)</f>
        <v>0</v>
      </c>
      <c r="Y717" s="652">
        <f>IF($B717="",,SUMIFS(PerHeadcount[Month 14],PerHeadcount[exp_item],$H717,PerHeadcount[company_name],$B717)*Y192)</f>
        <v>0</v>
      </c>
      <c r="Z717" s="652">
        <f>IF($B717="",,SUMIFS(PerHeadcount[Month 15],PerHeadcount[exp_item],$H717,PerHeadcount[company_name],$B717)*Z192)</f>
        <v>0</v>
      </c>
      <c r="AA717" s="652">
        <f>IF($B717="",,SUMIFS(PerHeadcount[Month 16],PerHeadcount[exp_item],$H717,PerHeadcount[company_name],$B717)*AA192)</f>
        <v>0</v>
      </c>
      <c r="AB717" s="652">
        <f>IF($B717="",,SUMIFS(PerHeadcount[Month 17],PerHeadcount[exp_item],$H717,PerHeadcount[company_name],$B717)*AB192)</f>
        <v>0</v>
      </c>
      <c r="AC717" s="652">
        <f>IF($B717="",,SUMIFS(PerHeadcount[Month 18],PerHeadcount[exp_item],$H717,PerHeadcount[company_name],$B717)*AC192)</f>
        <v>0</v>
      </c>
      <c r="AD717" s="652">
        <f>IF($B717="",,SUMIFS(PerHeadcount[Month 19],PerHeadcount[exp_item],$H717,PerHeadcount[company_name],$B717)*AD192)</f>
        <v>0</v>
      </c>
      <c r="AE717" s="652">
        <f>IF($B717="",,SUMIFS(PerHeadcount[Month 20],PerHeadcount[exp_item],$H717,PerHeadcount[company_name],$B717)*AE192)</f>
        <v>0</v>
      </c>
      <c r="AF717" s="652">
        <f>IF($B717="",,SUMIFS(PerHeadcount[Month 21],PerHeadcount[exp_item],$H717,PerHeadcount[company_name],$B717)*AF192)</f>
        <v>0</v>
      </c>
      <c r="AG717" s="652">
        <f>IF($B717="",,SUMIFS(PerHeadcount[Month 22],PerHeadcount[exp_item],$H717,PerHeadcount[company_name],$B717)*AG192)</f>
        <v>0</v>
      </c>
      <c r="AH717" s="652">
        <f>IF($B717="",,SUMIFS(PerHeadcount[Month 23],PerHeadcount[exp_item],$H717,PerHeadcount[company_name],$B717)*AH192)</f>
        <v>0</v>
      </c>
      <c r="AI717" s="652">
        <f>IF($B717="",,SUMIFS(PerHeadcount[Month 24],PerHeadcount[exp_item],$H717,PerHeadcount[company_name],$B717)*AI192)</f>
        <v>0</v>
      </c>
      <c r="AJ717" s="652">
        <f>IF($B717="",,SUMIFS(PerHeadcount[Month 25],PerHeadcount[exp_item],$H717,PerHeadcount[company_name],$B717)*AJ192)</f>
        <v>0</v>
      </c>
      <c r="AK717" s="652">
        <f>IF($B717="",,SUMIFS(PerHeadcount[Month 26],PerHeadcount[exp_item],$H717,PerHeadcount[company_name],$B717)*AK192)</f>
        <v>0</v>
      </c>
      <c r="AL717" s="652">
        <f>IF($B717="",,SUMIFS(PerHeadcount[Month 27],PerHeadcount[exp_item],$H717,PerHeadcount[company_name],$B717)*AL192)</f>
        <v>0</v>
      </c>
      <c r="AM717" s="652">
        <f>IF($B717="",,SUMIFS(PerHeadcount[Month 28],PerHeadcount[exp_item],$H717,PerHeadcount[company_name],$B717)*AM192)</f>
        <v>0</v>
      </c>
      <c r="AN717" s="652">
        <f>IF($B717="",,SUMIFS(PerHeadcount[Month 29],PerHeadcount[exp_item],$H717,PerHeadcount[company_name],$B717)*AN192)</f>
        <v>0</v>
      </c>
      <c r="AO717" s="652">
        <f>IF($B717="",,SUMIFS(PerHeadcount[Month 30],PerHeadcount[exp_item],$H717,PerHeadcount[company_name],$B717)*AO192)</f>
        <v>0</v>
      </c>
      <c r="AP717" s="652">
        <f>IF($B717="",,SUMIFS(PerHeadcount[Month 31],PerHeadcount[exp_item],$H717,PerHeadcount[company_name],$B717)*AP192)</f>
        <v>0</v>
      </c>
      <c r="AQ717" s="652">
        <f>IF($B717="",,SUMIFS(PerHeadcount[Month 32],PerHeadcount[exp_item],$H717,PerHeadcount[company_name],$B717)*AQ192)</f>
        <v>0</v>
      </c>
      <c r="AR717" s="652">
        <f>IF($B717="",,SUMIFS(PerHeadcount[Month 33],PerHeadcount[exp_item],$H717,PerHeadcount[company_name],$B717)*AR192)</f>
        <v>0</v>
      </c>
      <c r="AS717" s="652">
        <f>IF($B717="",,SUMIFS(PerHeadcount[Month 34],PerHeadcount[exp_item],$H717,PerHeadcount[company_name],$B717)*AS192)</f>
        <v>0</v>
      </c>
      <c r="AT717" s="652">
        <f>IF($B717="",,SUMIFS(PerHeadcount[Month 35],PerHeadcount[exp_item],$H717,PerHeadcount[company_name],$B717)*AT192)</f>
        <v>0</v>
      </c>
      <c r="AU717" s="652">
        <f>IF($B717="",,SUMIFS(PerHeadcount[Month 36],PerHeadcount[exp_item],$H717,PerHeadcount[company_name],$B717)*AU192)</f>
        <v>0</v>
      </c>
    </row>
    <row r="718" spans="1:52" x14ac:dyDescent="0.35">
      <c r="B718" t="str">
        <f t="shared" si="428"/>
        <v/>
      </c>
      <c r="C718" t="str">
        <f t="shared" si="428"/>
        <v/>
      </c>
      <c r="D718" t="str">
        <f t="shared" si="428"/>
        <v/>
      </c>
      <c r="E718" t="str">
        <f t="shared" si="428"/>
        <v/>
      </c>
      <c r="F718" t="str">
        <f t="shared" si="428"/>
        <v/>
      </c>
      <c r="G718" t="str">
        <f t="shared" si="428"/>
        <v/>
      </c>
      <c r="H718" t="str">
        <f t="shared" si="429"/>
        <v/>
      </c>
      <c r="J718" t="str">
        <f>IF($H718="","",IF(VLOOKUP(H718,ExpItems[],2,0),H718&amp;" - "&amp;INDEX(DivisionMapping[category_code],MATCH($D718&amp;$C718,DivisionMapping[dept_bu],0)),H718))</f>
        <v/>
      </c>
      <c r="K718" t="str">
        <f t="shared" si="430"/>
        <v/>
      </c>
      <c r="L718" s="652">
        <f>IF($B718="",,SUMIFS(PerHeadcount[Month 1],PerHeadcount[exp_item],$H718,PerHeadcount[company_name],$B718)*L193)</f>
        <v>0</v>
      </c>
      <c r="M718" s="652">
        <f>IF($B718="",,SUMIFS(PerHeadcount[Month 2],PerHeadcount[exp_item],$H718,PerHeadcount[company_name],$B718)*M193)</f>
        <v>0</v>
      </c>
      <c r="N718" s="652">
        <f>IF($B718="",,SUMIFS(PerHeadcount[Month 3],PerHeadcount[exp_item],$H718,PerHeadcount[company_name],$B718)*N193)</f>
        <v>0</v>
      </c>
      <c r="O718" s="652">
        <f>IF($B718="",,SUMIFS(PerHeadcount[Month 4],PerHeadcount[exp_item],$H718,PerHeadcount[company_name],$B718)*O193)</f>
        <v>0</v>
      </c>
      <c r="P718" s="652">
        <f>IF($B718="",,SUMIFS(PerHeadcount[Month 5],PerHeadcount[exp_item],$H718,PerHeadcount[company_name],$B718)*P193)</f>
        <v>0</v>
      </c>
      <c r="Q718" s="652">
        <f>IF($B718="",,SUMIFS(PerHeadcount[Month 6],PerHeadcount[exp_item],$H718,PerHeadcount[company_name],$B718)*Q193)</f>
        <v>0</v>
      </c>
      <c r="R718" s="652">
        <f>IF($B718="",,SUMIFS(PerHeadcount[Month 7],PerHeadcount[exp_item],$H718,PerHeadcount[company_name],$B718)*R193)</f>
        <v>0</v>
      </c>
      <c r="S718" s="652">
        <f>IF($B718="",,SUMIFS(PerHeadcount[Month 8],PerHeadcount[exp_item],$H718,PerHeadcount[company_name],$B718)*S193)</f>
        <v>0</v>
      </c>
      <c r="T718" s="652">
        <f>IF($B718="",,SUMIFS(PerHeadcount[Month 9],PerHeadcount[exp_item],$H718,PerHeadcount[company_name],$B718)*T193)</f>
        <v>0</v>
      </c>
      <c r="U718" s="652">
        <f>IF($B718="",,SUMIFS(PerHeadcount[Month 10],PerHeadcount[exp_item],$H718,PerHeadcount[company_name],$B718)*U193)</f>
        <v>0</v>
      </c>
      <c r="V718" s="652">
        <f>IF($B718="",,SUMIFS(PerHeadcount[Month 11],PerHeadcount[exp_item],$H718,PerHeadcount[company_name],$B718)*V193)</f>
        <v>0</v>
      </c>
      <c r="W718" s="652">
        <f>IF($B718="",,SUMIFS(PerHeadcount[Month 12],PerHeadcount[exp_item],$H718,PerHeadcount[company_name],$B718)*W193)</f>
        <v>0</v>
      </c>
      <c r="X718" s="652">
        <f>IF($B718="",,SUMIFS(PerHeadcount[Month 13],PerHeadcount[exp_item],$H718,PerHeadcount[company_name],$B718)*X193)</f>
        <v>0</v>
      </c>
      <c r="Y718" s="652">
        <f>IF($B718="",,SUMIFS(PerHeadcount[Month 14],PerHeadcount[exp_item],$H718,PerHeadcount[company_name],$B718)*Y193)</f>
        <v>0</v>
      </c>
      <c r="Z718" s="652">
        <f>IF($B718="",,SUMIFS(PerHeadcount[Month 15],PerHeadcount[exp_item],$H718,PerHeadcount[company_name],$B718)*Z193)</f>
        <v>0</v>
      </c>
      <c r="AA718" s="652">
        <f>IF($B718="",,SUMIFS(PerHeadcount[Month 16],PerHeadcount[exp_item],$H718,PerHeadcount[company_name],$B718)*AA193)</f>
        <v>0</v>
      </c>
      <c r="AB718" s="652">
        <f>IF($B718="",,SUMIFS(PerHeadcount[Month 17],PerHeadcount[exp_item],$H718,PerHeadcount[company_name],$B718)*AB193)</f>
        <v>0</v>
      </c>
      <c r="AC718" s="652">
        <f>IF($B718="",,SUMIFS(PerHeadcount[Month 18],PerHeadcount[exp_item],$H718,PerHeadcount[company_name],$B718)*AC193)</f>
        <v>0</v>
      </c>
      <c r="AD718" s="652">
        <f>IF($B718="",,SUMIFS(PerHeadcount[Month 19],PerHeadcount[exp_item],$H718,PerHeadcount[company_name],$B718)*AD193)</f>
        <v>0</v>
      </c>
      <c r="AE718" s="652">
        <f>IF($B718="",,SUMIFS(PerHeadcount[Month 20],PerHeadcount[exp_item],$H718,PerHeadcount[company_name],$B718)*AE193)</f>
        <v>0</v>
      </c>
      <c r="AF718" s="652">
        <f>IF($B718="",,SUMIFS(PerHeadcount[Month 21],PerHeadcount[exp_item],$H718,PerHeadcount[company_name],$B718)*AF193)</f>
        <v>0</v>
      </c>
      <c r="AG718" s="652">
        <f>IF($B718="",,SUMIFS(PerHeadcount[Month 22],PerHeadcount[exp_item],$H718,PerHeadcount[company_name],$B718)*AG193)</f>
        <v>0</v>
      </c>
      <c r="AH718" s="652">
        <f>IF($B718="",,SUMIFS(PerHeadcount[Month 23],PerHeadcount[exp_item],$H718,PerHeadcount[company_name],$B718)*AH193)</f>
        <v>0</v>
      </c>
      <c r="AI718" s="652">
        <f>IF($B718="",,SUMIFS(PerHeadcount[Month 24],PerHeadcount[exp_item],$H718,PerHeadcount[company_name],$B718)*AI193)</f>
        <v>0</v>
      </c>
      <c r="AJ718" s="652">
        <f>IF($B718="",,SUMIFS(PerHeadcount[Month 25],PerHeadcount[exp_item],$H718,PerHeadcount[company_name],$B718)*AJ193)</f>
        <v>0</v>
      </c>
      <c r="AK718" s="652">
        <f>IF($B718="",,SUMIFS(PerHeadcount[Month 26],PerHeadcount[exp_item],$H718,PerHeadcount[company_name],$B718)*AK193)</f>
        <v>0</v>
      </c>
      <c r="AL718" s="652">
        <f>IF($B718="",,SUMIFS(PerHeadcount[Month 27],PerHeadcount[exp_item],$H718,PerHeadcount[company_name],$B718)*AL193)</f>
        <v>0</v>
      </c>
      <c r="AM718" s="652">
        <f>IF($B718="",,SUMIFS(PerHeadcount[Month 28],PerHeadcount[exp_item],$H718,PerHeadcount[company_name],$B718)*AM193)</f>
        <v>0</v>
      </c>
      <c r="AN718" s="652">
        <f>IF($B718="",,SUMIFS(PerHeadcount[Month 29],PerHeadcount[exp_item],$H718,PerHeadcount[company_name],$B718)*AN193)</f>
        <v>0</v>
      </c>
      <c r="AO718" s="652">
        <f>IF($B718="",,SUMIFS(PerHeadcount[Month 30],PerHeadcount[exp_item],$H718,PerHeadcount[company_name],$B718)*AO193)</f>
        <v>0</v>
      </c>
      <c r="AP718" s="652">
        <f>IF($B718="",,SUMIFS(PerHeadcount[Month 31],PerHeadcount[exp_item],$H718,PerHeadcount[company_name],$B718)*AP193)</f>
        <v>0</v>
      </c>
      <c r="AQ718" s="652">
        <f>IF($B718="",,SUMIFS(PerHeadcount[Month 32],PerHeadcount[exp_item],$H718,PerHeadcount[company_name],$B718)*AQ193)</f>
        <v>0</v>
      </c>
      <c r="AR718" s="652">
        <f>IF($B718="",,SUMIFS(PerHeadcount[Month 33],PerHeadcount[exp_item],$H718,PerHeadcount[company_name],$B718)*AR193)</f>
        <v>0</v>
      </c>
      <c r="AS718" s="652">
        <f>IF($B718="",,SUMIFS(PerHeadcount[Month 34],PerHeadcount[exp_item],$H718,PerHeadcount[company_name],$B718)*AS193)</f>
        <v>0</v>
      </c>
      <c r="AT718" s="652">
        <f>IF($B718="",,SUMIFS(PerHeadcount[Month 35],PerHeadcount[exp_item],$H718,PerHeadcount[company_name],$B718)*AT193)</f>
        <v>0</v>
      </c>
      <c r="AU718" s="652">
        <f>IF($B718="",,SUMIFS(PerHeadcount[Month 36],PerHeadcount[exp_item],$H718,PerHeadcount[company_name],$B718)*AU193)</f>
        <v>0</v>
      </c>
    </row>
    <row r="719" spans="1:52" x14ac:dyDescent="0.35">
      <c r="B719" t="str">
        <f t="shared" si="428"/>
        <v/>
      </c>
      <c r="C719" t="str">
        <f t="shared" si="428"/>
        <v/>
      </c>
      <c r="D719" t="str">
        <f t="shared" si="428"/>
        <v/>
      </c>
      <c r="E719" t="str">
        <f t="shared" si="428"/>
        <v/>
      </c>
      <c r="F719" t="str">
        <f t="shared" si="428"/>
        <v/>
      </c>
      <c r="G719" t="str">
        <f t="shared" si="428"/>
        <v/>
      </c>
      <c r="H719" t="str">
        <f t="shared" si="429"/>
        <v/>
      </c>
      <c r="J719" t="str">
        <f>IF($H719="","",IF(VLOOKUP(H719,ExpItems[],2,0),H719&amp;" - "&amp;INDEX(DivisionMapping[category_code],MATCH($D719&amp;$C719,DivisionMapping[dept_bu],0)),H719))</f>
        <v/>
      </c>
      <c r="K719" t="str">
        <f t="shared" si="430"/>
        <v/>
      </c>
      <c r="L719" s="652">
        <f>IF($B719="",,SUMIFS(PerHeadcount[Month 1],PerHeadcount[exp_item],$H719,PerHeadcount[company_name],$B719)*L194)</f>
        <v>0</v>
      </c>
      <c r="M719" s="652">
        <f>IF($B719="",,SUMIFS(PerHeadcount[Month 2],PerHeadcount[exp_item],$H719,PerHeadcount[company_name],$B719)*M194)</f>
        <v>0</v>
      </c>
      <c r="N719" s="652">
        <f>IF($B719="",,SUMIFS(PerHeadcount[Month 3],PerHeadcount[exp_item],$H719,PerHeadcount[company_name],$B719)*N194)</f>
        <v>0</v>
      </c>
      <c r="O719" s="652">
        <f>IF($B719="",,SUMIFS(PerHeadcount[Month 4],PerHeadcount[exp_item],$H719,PerHeadcount[company_name],$B719)*O194)</f>
        <v>0</v>
      </c>
      <c r="P719" s="652">
        <f>IF($B719="",,SUMIFS(PerHeadcount[Month 5],PerHeadcount[exp_item],$H719,PerHeadcount[company_name],$B719)*P194)</f>
        <v>0</v>
      </c>
      <c r="Q719" s="652">
        <f>IF($B719="",,SUMIFS(PerHeadcount[Month 6],PerHeadcount[exp_item],$H719,PerHeadcount[company_name],$B719)*Q194)</f>
        <v>0</v>
      </c>
      <c r="R719" s="652">
        <f>IF($B719="",,SUMIFS(PerHeadcount[Month 7],PerHeadcount[exp_item],$H719,PerHeadcount[company_name],$B719)*R194)</f>
        <v>0</v>
      </c>
      <c r="S719" s="652">
        <f>IF($B719="",,SUMIFS(PerHeadcount[Month 8],PerHeadcount[exp_item],$H719,PerHeadcount[company_name],$B719)*S194)</f>
        <v>0</v>
      </c>
      <c r="T719" s="652">
        <f>IF($B719="",,SUMIFS(PerHeadcount[Month 9],PerHeadcount[exp_item],$H719,PerHeadcount[company_name],$B719)*T194)</f>
        <v>0</v>
      </c>
      <c r="U719" s="652">
        <f>IF($B719="",,SUMIFS(PerHeadcount[Month 10],PerHeadcount[exp_item],$H719,PerHeadcount[company_name],$B719)*U194)</f>
        <v>0</v>
      </c>
      <c r="V719" s="652">
        <f>IF($B719="",,SUMIFS(PerHeadcount[Month 11],PerHeadcount[exp_item],$H719,PerHeadcount[company_name],$B719)*V194)</f>
        <v>0</v>
      </c>
      <c r="W719" s="652">
        <f>IF($B719="",,SUMIFS(PerHeadcount[Month 12],PerHeadcount[exp_item],$H719,PerHeadcount[company_name],$B719)*W194)</f>
        <v>0</v>
      </c>
      <c r="X719" s="652">
        <f>IF($B719="",,SUMIFS(PerHeadcount[Month 13],PerHeadcount[exp_item],$H719,PerHeadcount[company_name],$B719)*X194)</f>
        <v>0</v>
      </c>
      <c r="Y719" s="652">
        <f>IF($B719="",,SUMIFS(PerHeadcount[Month 14],PerHeadcount[exp_item],$H719,PerHeadcount[company_name],$B719)*Y194)</f>
        <v>0</v>
      </c>
      <c r="Z719" s="652">
        <f>IF($B719="",,SUMIFS(PerHeadcount[Month 15],PerHeadcount[exp_item],$H719,PerHeadcount[company_name],$B719)*Z194)</f>
        <v>0</v>
      </c>
      <c r="AA719" s="652">
        <f>IF($B719="",,SUMIFS(PerHeadcount[Month 16],PerHeadcount[exp_item],$H719,PerHeadcount[company_name],$B719)*AA194)</f>
        <v>0</v>
      </c>
      <c r="AB719" s="652">
        <f>IF($B719="",,SUMIFS(PerHeadcount[Month 17],PerHeadcount[exp_item],$H719,PerHeadcount[company_name],$B719)*AB194)</f>
        <v>0</v>
      </c>
      <c r="AC719" s="652">
        <f>IF($B719="",,SUMIFS(PerHeadcount[Month 18],PerHeadcount[exp_item],$H719,PerHeadcount[company_name],$B719)*AC194)</f>
        <v>0</v>
      </c>
      <c r="AD719" s="652">
        <f>IF($B719="",,SUMIFS(PerHeadcount[Month 19],PerHeadcount[exp_item],$H719,PerHeadcount[company_name],$B719)*AD194)</f>
        <v>0</v>
      </c>
      <c r="AE719" s="652">
        <f>IF($B719="",,SUMIFS(PerHeadcount[Month 20],PerHeadcount[exp_item],$H719,PerHeadcount[company_name],$B719)*AE194)</f>
        <v>0</v>
      </c>
      <c r="AF719" s="652">
        <f>IF($B719="",,SUMIFS(PerHeadcount[Month 21],PerHeadcount[exp_item],$H719,PerHeadcount[company_name],$B719)*AF194)</f>
        <v>0</v>
      </c>
      <c r="AG719" s="652">
        <f>IF($B719="",,SUMIFS(PerHeadcount[Month 22],PerHeadcount[exp_item],$H719,PerHeadcount[company_name],$B719)*AG194)</f>
        <v>0</v>
      </c>
      <c r="AH719" s="652">
        <f>IF($B719="",,SUMIFS(PerHeadcount[Month 23],PerHeadcount[exp_item],$H719,PerHeadcount[company_name],$B719)*AH194)</f>
        <v>0</v>
      </c>
      <c r="AI719" s="652">
        <f>IF($B719="",,SUMIFS(PerHeadcount[Month 24],PerHeadcount[exp_item],$H719,PerHeadcount[company_name],$B719)*AI194)</f>
        <v>0</v>
      </c>
      <c r="AJ719" s="652">
        <f>IF($B719="",,SUMIFS(PerHeadcount[Month 25],PerHeadcount[exp_item],$H719,PerHeadcount[company_name],$B719)*AJ194)</f>
        <v>0</v>
      </c>
      <c r="AK719" s="652">
        <f>IF($B719="",,SUMIFS(PerHeadcount[Month 26],PerHeadcount[exp_item],$H719,PerHeadcount[company_name],$B719)*AK194)</f>
        <v>0</v>
      </c>
      <c r="AL719" s="652">
        <f>IF($B719="",,SUMIFS(PerHeadcount[Month 27],PerHeadcount[exp_item],$H719,PerHeadcount[company_name],$B719)*AL194)</f>
        <v>0</v>
      </c>
      <c r="AM719" s="652">
        <f>IF($B719="",,SUMIFS(PerHeadcount[Month 28],PerHeadcount[exp_item],$H719,PerHeadcount[company_name],$B719)*AM194)</f>
        <v>0</v>
      </c>
      <c r="AN719" s="652">
        <f>IF($B719="",,SUMIFS(PerHeadcount[Month 29],PerHeadcount[exp_item],$H719,PerHeadcount[company_name],$B719)*AN194)</f>
        <v>0</v>
      </c>
      <c r="AO719" s="652">
        <f>IF($B719="",,SUMIFS(PerHeadcount[Month 30],PerHeadcount[exp_item],$H719,PerHeadcount[company_name],$B719)*AO194)</f>
        <v>0</v>
      </c>
      <c r="AP719" s="652">
        <f>IF($B719="",,SUMIFS(PerHeadcount[Month 31],PerHeadcount[exp_item],$H719,PerHeadcount[company_name],$B719)*AP194)</f>
        <v>0</v>
      </c>
      <c r="AQ719" s="652">
        <f>IF($B719="",,SUMIFS(PerHeadcount[Month 32],PerHeadcount[exp_item],$H719,PerHeadcount[company_name],$B719)*AQ194)</f>
        <v>0</v>
      </c>
      <c r="AR719" s="652">
        <f>IF($B719="",,SUMIFS(PerHeadcount[Month 33],PerHeadcount[exp_item],$H719,PerHeadcount[company_name],$B719)*AR194)</f>
        <v>0</v>
      </c>
      <c r="AS719" s="652">
        <f>IF($B719="",,SUMIFS(PerHeadcount[Month 34],PerHeadcount[exp_item],$H719,PerHeadcount[company_name],$B719)*AS194)</f>
        <v>0</v>
      </c>
      <c r="AT719" s="652">
        <f>IF($B719="",,SUMIFS(PerHeadcount[Month 35],PerHeadcount[exp_item],$H719,PerHeadcount[company_name],$B719)*AT194)</f>
        <v>0</v>
      </c>
      <c r="AU719" s="652">
        <f>IF($B719="",,SUMIFS(PerHeadcount[Month 36],PerHeadcount[exp_item],$H719,PerHeadcount[company_name],$B719)*AU194)</f>
        <v>0</v>
      </c>
    </row>
    <row r="720" spans="1:52" x14ac:dyDescent="0.35">
      <c r="B720" t="str">
        <f t="shared" si="428"/>
        <v/>
      </c>
      <c r="C720" t="str">
        <f t="shared" si="428"/>
        <v/>
      </c>
      <c r="D720" t="str">
        <f t="shared" si="428"/>
        <v/>
      </c>
      <c r="E720" t="str">
        <f t="shared" si="428"/>
        <v/>
      </c>
      <c r="F720" t="str">
        <f t="shared" si="428"/>
        <v/>
      </c>
      <c r="G720" t="str">
        <f t="shared" si="428"/>
        <v/>
      </c>
      <c r="H720" t="str">
        <f t="shared" si="429"/>
        <v/>
      </c>
      <c r="J720" t="str">
        <f>IF($H720="","",IF(VLOOKUP(H720,ExpItems[],2,0),H720&amp;" - "&amp;INDEX(DivisionMapping[category_code],MATCH($D720&amp;$C720,DivisionMapping[dept_bu],0)),H720))</f>
        <v/>
      </c>
      <c r="K720" t="str">
        <f t="shared" si="430"/>
        <v/>
      </c>
      <c r="L720" s="652">
        <f>IF($B720="",,SUMIFS(PerHeadcount[Month 1],PerHeadcount[exp_item],$H720,PerHeadcount[company_name],$B720)*L195)</f>
        <v>0</v>
      </c>
      <c r="M720" s="652">
        <f>IF($B720="",,SUMIFS(PerHeadcount[Month 2],PerHeadcount[exp_item],$H720,PerHeadcount[company_name],$B720)*M195)</f>
        <v>0</v>
      </c>
      <c r="N720" s="652">
        <f>IF($B720="",,SUMIFS(PerHeadcount[Month 3],PerHeadcount[exp_item],$H720,PerHeadcount[company_name],$B720)*N195)</f>
        <v>0</v>
      </c>
      <c r="O720" s="652">
        <f>IF($B720="",,SUMIFS(PerHeadcount[Month 4],PerHeadcount[exp_item],$H720,PerHeadcount[company_name],$B720)*O195)</f>
        <v>0</v>
      </c>
      <c r="P720" s="652">
        <f>IF($B720="",,SUMIFS(PerHeadcount[Month 5],PerHeadcount[exp_item],$H720,PerHeadcount[company_name],$B720)*P195)</f>
        <v>0</v>
      </c>
      <c r="Q720" s="652">
        <f>IF($B720="",,SUMIFS(PerHeadcount[Month 6],PerHeadcount[exp_item],$H720,PerHeadcount[company_name],$B720)*Q195)</f>
        <v>0</v>
      </c>
      <c r="R720" s="652">
        <f>IF($B720="",,SUMIFS(PerHeadcount[Month 7],PerHeadcount[exp_item],$H720,PerHeadcount[company_name],$B720)*R195)</f>
        <v>0</v>
      </c>
      <c r="S720" s="652">
        <f>IF($B720="",,SUMIFS(PerHeadcount[Month 8],PerHeadcount[exp_item],$H720,PerHeadcount[company_name],$B720)*S195)</f>
        <v>0</v>
      </c>
      <c r="T720" s="652">
        <f>IF($B720="",,SUMIFS(PerHeadcount[Month 9],PerHeadcount[exp_item],$H720,PerHeadcount[company_name],$B720)*T195)</f>
        <v>0</v>
      </c>
      <c r="U720" s="652">
        <f>IF($B720="",,SUMIFS(PerHeadcount[Month 10],PerHeadcount[exp_item],$H720,PerHeadcount[company_name],$B720)*U195)</f>
        <v>0</v>
      </c>
      <c r="V720" s="652">
        <f>IF($B720="",,SUMIFS(PerHeadcount[Month 11],PerHeadcount[exp_item],$H720,PerHeadcount[company_name],$B720)*V195)</f>
        <v>0</v>
      </c>
      <c r="W720" s="652">
        <f>IF($B720="",,SUMIFS(PerHeadcount[Month 12],PerHeadcount[exp_item],$H720,PerHeadcount[company_name],$B720)*W195)</f>
        <v>0</v>
      </c>
      <c r="X720" s="652">
        <f>IF($B720="",,SUMIFS(PerHeadcount[Month 13],PerHeadcount[exp_item],$H720,PerHeadcount[company_name],$B720)*X195)</f>
        <v>0</v>
      </c>
      <c r="Y720" s="652">
        <f>IF($B720="",,SUMIFS(PerHeadcount[Month 14],PerHeadcount[exp_item],$H720,PerHeadcount[company_name],$B720)*Y195)</f>
        <v>0</v>
      </c>
      <c r="Z720" s="652">
        <f>IF($B720="",,SUMIFS(PerHeadcount[Month 15],PerHeadcount[exp_item],$H720,PerHeadcount[company_name],$B720)*Z195)</f>
        <v>0</v>
      </c>
      <c r="AA720" s="652">
        <f>IF($B720="",,SUMIFS(PerHeadcount[Month 16],PerHeadcount[exp_item],$H720,PerHeadcount[company_name],$B720)*AA195)</f>
        <v>0</v>
      </c>
      <c r="AB720" s="652">
        <f>IF($B720="",,SUMIFS(PerHeadcount[Month 17],PerHeadcount[exp_item],$H720,PerHeadcount[company_name],$B720)*AB195)</f>
        <v>0</v>
      </c>
      <c r="AC720" s="652">
        <f>IF($B720="",,SUMIFS(PerHeadcount[Month 18],PerHeadcount[exp_item],$H720,PerHeadcount[company_name],$B720)*AC195)</f>
        <v>0</v>
      </c>
      <c r="AD720" s="652">
        <f>IF($B720="",,SUMIFS(PerHeadcount[Month 19],PerHeadcount[exp_item],$H720,PerHeadcount[company_name],$B720)*AD195)</f>
        <v>0</v>
      </c>
      <c r="AE720" s="652">
        <f>IF($B720="",,SUMIFS(PerHeadcount[Month 20],PerHeadcount[exp_item],$H720,PerHeadcount[company_name],$B720)*AE195)</f>
        <v>0</v>
      </c>
      <c r="AF720" s="652">
        <f>IF($B720="",,SUMIFS(PerHeadcount[Month 21],PerHeadcount[exp_item],$H720,PerHeadcount[company_name],$B720)*AF195)</f>
        <v>0</v>
      </c>
      <c r="AG720" s="652">
        <f>IF($B720="",,SUMIFS(PerHeadcount[Month 22],PerHeadcount[exp_item],$H720,PerHeadcount[company_name],$B720)*AG195)</f>
        <v>0</v>
      </c>
      <c r="AH720" s="652">
        <f>IF($B720="",,SUMIFS(PerHeadcount[Month 23],PerHeadcount[exp_item],$H720,PerHeadcount[company_name],$B720)*AH195)</f>
        <v>0</v>
      </c>
      <c r="AI720" s="652">
        <f>IF($B720="",,SUMIFS(PerHeadcount[Month 24],PerHeadcount[exp_item],$H720,PerHeadcount[company_name],$B720)*AI195)</f>
        <v>0</v>
      </c>
      <c r="AJ720" s="652">
        <f>IF($B720="",,SUMIFS(PerHeadcount[Month 25],PerHeadcount[exp_item],$H720,PerHeadcount[company_name],$B720)*AJ195)</f>
        <v>0</v>
      </c>
      <c r="AK720" s="652">
        <f>IF($B720="",,SUMIFS(PerHeadcount[Month 26],PerHeadcount[exp_item],$H720,PerHeadcount[company_name],$B720)*AK195)</f>
        <v>0</v>
      </c>
      <c r="AL720" s="652">
        <f>IF($B720="",,SUMIFS(PerHeadcount[Month 27],PerHeadcount[exp_item],$H720,PerHeadcount[company_name],$B720)*AL195)</f>
        <v>0</v>
      </c>
      <c r="AM720" s="652">
        <f>IF($B720="",,SUMIFS(PerHeadcount[Month 28],PerHeadcount[exp_item],$H720,PerHeadcount[company_name],$B720)*AM195)</f>
        <v>0</v>
      </c>
      <c r="AN720" s="652">
        <f>IF($B720="",,SUMIFS(PerHeadcount[Month 29],PerHeadcount[exp_item],$H720,PerHeadcount[company_name],$B720)*AN195)</f>
        <v>0</v>
      </c>
      <c r="AO720" s="652">
        <f>IF($B720="",,SUMIFS(PerHeadcount[Month 30],PerHeadcount[exp_item],$H720,PerHeadcount[company_name],$B720)*AO195)</f>
        <v>0</v>
      </c>
      <c r="AP720" s="652">
        <f>IF($B720="",,SUMIFS(PerHeadcount[Month 31],PerHeadcount[exp_item],$H720,PerHeadcount[company_name],$B720)*AP195)</f>
        <v>0</v>
      </c>
      <c r="AQ720" s="652">
        <f>IF($B720="",,SUMIFS(PerHeadcount[Month 32],PerHeadcount[exp_item],$H720,PerHeadcount[company_name],$B720)*AQ195)</f>
        <v>0</v>
      </c>
      <c r="AR720" s="652">
        <f>IF($B720="",,SUMIFS(PerHeadcount[Month 33],PerHeadcount[exp_item],$H720,PerHeadcount[company_name],$B720)*AR195)</f>
        <v>0</v>
      </c>
      <c r="AS720" s="652">
        <f>IF($B720="",,SUMIFS(PerHeadcount[Month 34],PerHeadcount[exp_item],$H720,PerHeadcount[company_name],$B720)*AS195)</f>
        <v>0</v>
      </c>
      <c r="AT720" s="652">
        <f>IF($B720="",,SUMIFS(PerHeadcount[Month 35],PerHeadcount[exp_item],$H720,PerHeadcount[company_name],$B720)*AT195)</f>
        <v>0</v>
      </c>
      <c r="AU720" s="652">
        <f>IF($B720="",,SUMIFS(PerHeadcount[Month 36],PerHeadcount[exp_item],$H720,PerHeadcount[company_name],$B720)*AU195)</f>
        <v>0</v>
      </c>
    </row>
    <row r="721" spans="2:47" x14ac:dyDescent="0.35">
      <c r="B721" t="str">
        <f t="shared" ref="B721:G730" si="431">IF(B616="","",B616)</f>
        <v/>
      </c>
      <c r="C721" t="str">
        <f t="shared" si="431"/>
        <v/>
      </c>
      <c r="D721" t="str">
        <f t="shared" si="431"/>
        <v/>
      </c>
      <c r="E721" t="str">
        <f t="shared" si="431"/>
        <v/>
      </c>
      <c r="F721" t="str">
        <f t="shared" si="431"/>
        <v/>
      </c>
      <c r="G721" t="str">
        <f t="shared" si="431"/>
        <v/>
      </c>
      <c r="H721" t="str">
        <f t="shared" si="429"/>
        <v/>
      </c>
      <c r="J721" t="str">
        <f>IF($H721="","",IF(VLOOKUP(H721,ExpItems[],2,0),H721&amp;" - "&amp;INDEX(DivisionMapping[category_code],MATCH($D721&amp;$C721,DivisionMapping[dept_bu],0)),H721))</f>
        <v/>
      </c>
      <c r="K721" t="str">
        <f t="shared" si="430"/>
        <v/>
      </c>
      <c r="L721" s="652">
        <f>IF($B721="",,SUMIFS(PerHeadcount[Month 1],PerHeadcount[exp_item],$H721,PerHeadcount[company_name],$B721)*L196)</f>
        <v>0</v>
      </c>
      <c r="M721" s="652">
        <f>IF($B721="",,SUMIFS(PerHeadcount[Month 2],PerHeadcount[exp_item],$H721,PerHeadcount[company_name],$B721)*M196)</f>
        <v>0</v>
      </c>
      <c r="N721" s="652">
        <f>IF($B721="",,SUMIFS(PerHeadcount[Month 3],PerHeadcount[exp_item],$H721,PerHeadcount[company_name],$B721)*N196)</f>
        <v>0</v>
      </c>
      <c r="O721" s="652">
        <f>IF($B721="",,SUMIFS(PerHeadcount[Month 4],PerHeadcount[exp_item],$H721,PerHeadcount[company_name],$B721)*O196)</f>
        <v>0</v>
      </c>
      <c r="P721" s="652">
        <f>IF($B721="",,SUMIFS(PerHeadcount[Month 5],PerHeadcount[exp_item],$H721,PerHeadcount[company_name],$B721)*P196)</f>
        <v>0</v>
      </c>
      <c r="Q721" s="652">
        <f>IF($B721="",,SUMIFS(PerHeadcount[Month 6],PerHeadcount[exp_item],$H721,PerHeadcount[company_name],$B721)*Q196)</f>
        <v>0</v>
      </c>
      <c r="R721" s="652">
        <f>IF($B721="",,SUMIFS(PerHeadcount[Month 7],PerHeadcount[exp_item],$H721,PerHeadcount[company_name],$B721)*R196)</f>
        <v>0</v>
      </c>
      <c r="S721" s="652">
        <f>IF($B721="",,SUMIFS(PerHeadcount[Month 8],PerHeadcount[exp_item],$H721,PerHeadcount[company_name],$B721)*S196)</f>
        <v>0</v>
      </c>
      <c r="T721" s="652">
        <f>IF($B721="",,SUMIFS(PerHeadcount[Month 9],PerHeadcount[exp_item],$H721,PerHeadcount[company_name],$B721)*T196)</f>
        <v>0</v>
      </c>
      <c r="U721" s="652">
        <f>IF($B721="",,SUMIFS(PerHeadcount[Month 10],PerHeadcount[exp_item],$H721,PerHeadcount[company_name],$B721)*U196)</f>
        <v>0</v>
      </c>
      <c r="V721" s="652">
        <f>IF($B721="",,SUMIFS(PerHeadcount[Month 11],PerHeadcount[exp_item],$H721,PerHeadcount[company_name],$B721)*V196)</f>
        <v>0</v>
      </c>
      <c r="W721" s="652">
        <f>IF($B721="",,SUMIFS(PerHeadcount[Month 12],PerHeadcount[exp_item],$H721,PerHeadcount[company_name],$B721)*W196)</f>
        <v>0</v>
      </c>
      <c r="X721" s="652">
        <f>IF($B721="",,SUMIFS(PerHeadcount[Month 13],PerHeadcount[exp_item],$H721,PerHeadcount[company_name],$B721)*X196)</f>
        <v>0</v>
      </c>
      <c r="Y721" s="652">
        <f>IF($B721="",,SUMIFS(PerHeadcount[Month 14],PerHeadcount[exp_item],$H721,PerHeadcount[company_name],$B721)*Y196)</f>
        <v>0</v>
      </c>
      <c r="Z721" s="652">
        <f>IF($B721="",,SUMIFS(PerHeadcount[Month 15],PerHeadcount[exp_item],$H721,PerHeadcount[company_name],$B721)*Z196)</f>
        <v>0</v>
      </c>
      <c r="AA721" s="652">
        <f>IF($B721="",,SUMIFS(PerHeadcount[Month 16],PerHeadcount[exp_item],$H721,PerHeadcount[company_name],$B721)*AA196)</f>
        <v>0</v>
      </c>
      <c r="AB721" s="652">
        <f>IF($B721="",,SUMIFS(PerHeadcount[Month 17],PerHeadcount[exp_item],$H721,PerHeadcount[company_name],$B721)*AB196)</f>
        <v>0</v>
      </c>
      <c r="AC721" s="652">
        <f>IF($B721="",,SUMIFS(PerHeadcount[Month 18],PerHeadcount[exp_item],$H721,PerHeadcount[company_name],$B721)*AC196)</f>
        <v>0</v>
      </c>
      <c r="AD721" s="652">
        <f>IF($B721="",,SUMIFS(PerHeadcount[Month 19],PerHeadcount[exp_item],$H721,PerHeadcount[company_name],$B721)*AD196)</f>
        <v>0</v>
      </c>
      <c r="AE721" s="652">
        <f>IF($B721="",,SUMIFS(PerHeadcount[Month 20],PerHeadcount[exp_item],$H721,PerHeadcount[company_name],$B721)*AE196)</f>
        <v>0</v>
      </c>
      <c r="AF721" s="652">
        <f>IF($B721="",,SUMIFS(PerHeadcount[Month 21],PerHeadcount[exp_item],$H721,PerHeadcount[company_name],$B721)*AF196)</f>
        <v>0</v>
      </c>
      <c r="AG721" s="652">
        <f>IF($B721="",,SUMIFS(PerHeadcount[Month 22],PerHeadcount[exp_item],$H721,PerHeadcount[company_name],$B721)*AG196)</f>
        <v>0</v>
      </c>
      <c r="AH721" s="652">
        <f>IF($B721="",,SUMIFS(PerHeadcount[Month 23],PerHeadcount[exp_item],$H721,PerHeadcount[company_name],$B721)*AH196)</f>
        <v>0</v>
      </c>
      <c r="AI721" s="652">
        <f>IF($B721="",,SUMIFS(PerHeadcount[Month 24],PerHeadcount[exp_item],$H721,PerHeadcount[company_name],$B721)*AI196)</f>
        <v>0</v>
      </c>
      <c r="AJ721" s="652">
        <f>IF($B721="",,SUMIFS(PerHeadcount[Month 25],PerHeadcount[exp_item],$H721,PerHeadcount[company_name],$B721)*AJ196)</f>
        <v>0</v>
      </c>
      <c r="AK721" s="652">
        <f>IF($B721="",,SUMIFS(PerHeadcount[Month 26],PerHeadcount[exp_item],$H721,PerHeadcount[company_name],$B721)*AK196)</f>
        <v>0</v>
      </c>
      <c r="AL721" s="652">
        <f>IF($B721="",,SUMIFS(PerHeadcount[Month 27],PerHeadcount[exp_item],$H721,PerHeadcount[company_name],$B721)*AL196)</f>
        <v>0</v>
      </c>
      <c r="AM721" s="652">
        <f>IF($B721="",,SUMIFS(PerHeadcount[Month 28],PerHeadcount[exp_item],$H721,PerHeadcount[company_name],$B721)*AM196)</f>
        <v>0</v>
      </c>
      <c r="AN721" s="652">
        <f>IF($B721="",,SUMIFS(PerHeadcount[Month 29],PerHeadcount[exp_item],$H721,PerHeadcount[company_name],$B721)*AN196)</f>
        <v>0</v>
      </c>
      <c r="AO721" s="652">
        <f>IF($B721="",,SUMIFS(PerHeadcount[Month 30],PerHeadcount[exp_item],$H721,PerHeadcount[company_name],$B721)*AO196)</f>
        <v>0</v>
      </c>
      <c r="AP721" s="652">
        <f>IF($B721="",,SUMIFS(PerHeadcount[Month 31],PerHeadcount[exp_item],$H721,PerHeadcount[company_name],$B721)*AP196)</f>
        <v>0</v>
      </c>
      <c r="AQ721" s="652">
        <f>IF($B721="",,SUMIFS(PerHeadcount[Month 32],PerHeadcount[exp_item],$H721,PerHeadcount[company_name],$B721)*AQ196)</f>
        <v>0</v>
      </c>
      <c r="AR721" s="652">
        <f>IF($B721="",,SUMIFS(PerHeadcount[Month 33],PerHeadcount[exp_item],$H721,PerHeadcount[company_name],$B721)*AR196)</f>
        <v>0</v>
      </c>
      <c r="AS721" s="652">
        <f>IF($B721="",,SUMIFS(PerHeadcount[Month 34],PerHeadcount[exp_item],$H721,PerHeadcount[company_name],$B721)*AS196)</f>
        <v>0</v>
      </c>
      <c r="AT721" s="652">
        <f>IF($B721="",,SUMIFS(PerHeadcount[Month 35],PerHeadcount[exp_item],$H721,PerHeadcount[company_name],$B721)*AT196)</f>
        <v>0</v>
      </c>
      <c r="AU721" s="652">
        <f>IF($B721="",,SUMIFS(PerHeadcount[Month 36],PerHeadcount[exp_item],$H721,PerHeadcount[company_name],$B721)*AU196)</f>
        <v>0</v>
      </c>
    </row>
    <row r="722" spans="2:47" x14ac:dyDescent="0.35">
      <c r="B722" t="str">
        <f t="shared" si="431"/>
        <v/>
      </c>
      <c r="C722" t="str">
        <f t="shared" si="431"/>
        <v/>
      </c>
      <c r="D722" t="str">
        <f t="shared" si="431"/>
        <v/>
      </c>
      <c r="E722" t="str">
        <f t="shared" si="431"/>
        <v/>
      </c>
      <c r="F722" t="str">
        <f t="shared" si="431"/>
        <v/>
      </c>
      <c r="G722" t="str">
        <f t="shared" si="431"/>
        <v/>
      </c>
      <c r="H722" t="str">
        <f t="shared" si="429"/>
        <v/>
      </c>
      <c r="J722" t="str">
        <f>IF($H722="","",IF(VLOOKUP(H722,ExpItems[],2,0),H722&amp;" - "&amp;INDEX(DivisionMapping[category_code],MATCH($D722&amp;$C722,DivisionMapping[dept_bu],0)),H722))</f>
        <v/>
      </c>
      <c r="K722" t="str">
        <f t="shared" si="430"/>
        <v/>
      </c>
      <c r="L722" s="652">
        <f>IF($B722="",,SUMIFS(PerHeadcount[Month 1],PerHeadcount[exp_item],$H722,PerHeadcount[company_name],$B722)*L197)</f>
        <v>0</v>
      </c>
      <c r="M722" s="652">
        <f>IF($B722="",,SUMIFS(PerHeadcount[Month 2],PerHeadcount[exp_item],$H722,PerHeadcount[company_name],$B722)*M197)</f>
        <v>0</v>
      </c>
      <c r="N722" s="652">
        <f>IF($B722="",,SUMIFS(PerHeadcount[Month 3],PerHeadcount[exp_item],$H722,PerHeadcount[company_name],$B722)*N197)</f>
        <v>0</v>
      </c>
      <c r="O722" s="652">
        <f>IF($B722="",,SUMIFS(PerHeadcount[Month 4],PerHeadcount[exp_item],$H722,PerHeadcount[company_name],$B722)*O197)</f>
        <v>0</v>
      </c>
      <c r="P722" s="652">
        <f>IF($B722="",,SUMIFS(PerHeadcount[Month 5],PerHeadcount[exp_item],$H722,PerHeadcount[company_name],$B722)*P197)</f>
        <v>0</v>
      </c>
      <c r="Q722" s="652">
        <f>IF($B722="",,SUMIFS(PerHeadcount[Month 6],PerHeadcount[exp_item],$H722,PerHeadcount[company_name],$B722)*Q197)</f>
        <v>0</v>
      </c>
      <c r="R722" s="652">
        <f>IF($B722="",,SUMIFS(PerHeadcount[Month 7],PerHeadcount[exp_item],$H722,PerHeadcount[company_name],$B722)*R197)</f>
        <v>0</v>
      </c>
      <c r="S722" s="652">
        <f>IF($B722="",,SUMIFS(PerHeadcount[Month 8],PerHeadcount[exp_item],$H722,PerHeadcount[company_name],$B722)*S197)</f>
        <v>0</v>
      </c>
      <c r="T722" s="652">
        <f>IF($B722="",,SUMIFS(PerHeadcount[Month 9],PerHeadcount[exp_item],$H722,PerHeadcount[company_name],$B722)*T197)</f>
        <v>0</v>
      </c>
      <c r="U722" s="652">
        <f>IF($B722="",,SUMIFS(PerHeadcount[Month 10],PerHeadcount[exp_item],$H722,PerHeadcount[company_name],$B722)*U197)</f>
        <v>0</v>
      </c>
      <c r="V722" s="652">
        <f>IF($B722="",,SUMIFS(PerHeadcount[Month 11],PerHeadcount[exp_item],$H722,PerHeadcount[company_name],$B722)*V197)</f>
        <v>0</v>
      </c>
      <c r="W722" s="652">
        <f>IF($B722="",,SUMIFS(PerHeadcount[Month 12],PerHeadcount[exp_item],$H722,PerHeadcount[company_name],$B722)*W197)</f>
        <v>0</v>
      </c>
      <c r="X722" s="652">
        <f>IF($B722="",,SUMIFS(PerHeadcount[Month 13],PerHeadcount[exp_item],$H722,PerHeadcount[company_name],$B722)*X197)</f>
        <v>0</v>
      </c>
      <c r="Y722" s="652">
        <f>IF($B722="",,SUMIFS(PerHeadcount[Month 14],PerHeadcount[exp_item],$H722,PerHeadcount[company_name],$B722)*Y197)</f>
        <v>0</v>
      </c>
      <c r="Z722" s="652">
        <f>IF($B722="",,SUMIFS(PerHeadcount[Month 15],PerHeadcount[exp_item],$H722,PerHeadcount[company_name],$B722)*Z197)</f>
        <v>0</v>
      </c>
      <c r="AA722" s="652">
        <f>IF($B722="",,SUMIFS(PerHeadcount[Month 16],PerHeadcount[exp_item],$H722,PerHeadcount[company_name],$B722)*AA197)</f>
        <v>0</v>
      </c>
      <c r="AB722" s="652">
        <f>IF($B722="",,SUMIFS(PerHeadcount[Month 17],PerHeadcount[exp_item],$H722,PerHeadcount[company_name],$B722)*AB197)</f>
        <v>0</v>
      </c>
      <c r="AC722" s="652">
        <f>IF($B722="",,SUMIFS(PerHeadcount[Month 18],PerHeadcount[exp_item],$H722,PerHeadcount[company_name],$B722)*AC197)</f>
        <v>0</v>
      </c>
      <c r="AD722" s="652">
        <f>IF($B722="",,SUMIFS(PerHeadcount[Month 19],PerHeadcount[exp_item],$H722,PerHeadcount[company_name],$B722)*AD197)</f>
        <v>0</v>
      </c>
      <c r="AE722" s="652">
        <f>IF($B722="",,SUMIFS(PerHeadcount[Month 20],PerHeadcount[exp_item],$H722,PerHeadcount[company_name],$B722)*AE197)</f>
        <v>0</v>
      </c>
      <c r="AF722" s="652">
        <f>IF($B722="",,SUMIFS(PerHeadcount[Month 21],PerHeadcount[exp_item],$H722,PerHeadcount[company_name],$B722)*AF197)</f>
        <v>0</v>
      </c>
      <c r="AG722" s="652">
        <f>IF($B722="",,SUMIFS(PerHeadcount[Month 22],PerHeadcount[exp_item],$H722,PerHeadcount[company_name],$B722)*AG197)</f>
        <v>0</v>
      </c>
      <c r="AH722" s="652">
        <f>IF($B722="",,SUMIFS(PerHeadcount[Month 23],PerHeadcount[exp_item],$H722,PerHeadcount[company_name],$B722)*AH197)</f>
        <v>0</v>
      </c>
      <c r="AI722" s="652">
        <f>IF($B722="",,SUMIFS(PerHeadcount[Month 24],PerHeadcount[exp_item],$H722,PerHeadcount[company_name],$B722)*AI197)</f>
        <v>0</v>
      </c>
      <c r="AJ722" s="652">
        <f>IF($B722="",,SUMIFS(PerHeadcount[Month 25],PerHeadcount[exp_item],$H722,PerHeadcount[company_name],$B722)*AJ197)</f>
        <v>0</v>
      </c>
      <c r="AK722" s="652">
        <f>IF($B722="",,SUMIFS(PerHeadcount[Month 26],PerHeadcount[exp_item],$H722,PerHeadcount[company_name],$B722)*AK197)</f>
        <v>0</v>
      </c>
      <c r="AL722" s="652">
        <f>IF($B722="",,SUMIFS(PerHeadcount[Month 27],PerHeadcount[exp_item],$H722,PerHeadcount[company_name],$B722)*AL197)</f>
        <v>0</v>
      </c>
      <c r="AM722" s="652">
        <f>IF($B722="",,SUMIFS(PerHeadcount[Month 28],PerHeadcount[exp_item],$H722,PerHeadcount[company_name],$B722)*AM197)</f>
        <v>0</v>
      </c>
      <c r="AN722" s="652">
        <f>IF($B722="",,SUMIFS(PerHeadcount[Month 29],PerHeadcount[exp_item],$H722,PerHeadcount[company_name],$B722)*AN197)</f>
        <v>0</v>
      </c>
      <c r="AO722" s="652">
        <f>IF($B722="",,SUMIFS(PerHeadcount[Month 30],PerHeadcount[exp_item],$H722,PerHeadcount[company_name],$B722)*AO197)</f>
        <v>0</v>
      </c>
      <c r="AP722" s="652">
        <f>IF($B722="",,SUMIFS(PerHeadcount[Month 31],PerHeadcount[exp_item],$H722,PerHeadcount[company_name],$B722)*AP197)</f>
        <v>0</v>
      </c>
      <c r="AQ722" s="652">
        <f>IF($B722="",,SUMIFS(PerHeadcount[Month 32],PerHeadcount[exp_item],$H722,PerHeadcount[company_name],$B722)*AQ197)</f>
        <v>0</v>
      </c>
      <c r="AR722" s="652">
        <f>IF($B722="",,SUMIFS(PerHeadcount[Month 33],PerHeadcount[exp_item],$H722,PerHeadcount[company_name],$B722)*AR197)</f>
        <v>0</v>
      </c>
      <c r="AS722" s="652">
        <f>IF($B722="",,SUMIFS(PerHeadcount[Month 34],PerHeadcount[exp_item],$H722,PerHeadcount[company_name],$B722)*AS197)</f>
        <v>0</v>
      </c>
      <c r="AT722" s="652">
        <f>IF($B722="",,SUMIFS(PerHeadcount[Month 35],PerHeadcount[exp_item],$H722,PerHeadcount[company_name],$B722)*AT197)</f>
        <v>0</v>
      </c>
      <c r="AU722" s="652">
        <f>IF($B722="",,SUMIFS(PerHeadcount[Month 36],PerHeadcount[exp_item],$H722,PerHeadcount[company_name],$B722)*AU197)</f>
        <v>0</v>
      </c>
    </row>
    <row r="723" spans="2:47" x14ac:dyDescent="0.35">
      <c r="B723" t="str">
        <f t="shared" si="431"/>
        <v/>
      </c>
      <c r="C723" t="str">
        <f t="shared" si="431"/>
        <v/>
      </c>
      <c r="D723" t="str">
        <f t="shared" si="431"/>
        <v/>
      </c>
      <c r="E723" t="str">
        <f t="shared" si="431"/>
        <v/>
      </c>
      <c r="F723" t="str">
        <f t="shared" si="431"/>
        <v/>
      </c>
      <c r="G723" t="str">
        <f t="shared" si="431"/>
        <v/>
      </c>
      <c r="H723" t="str">
        <f t="shared" si="429"/>
        <v/>
      </c>
      <c r="J723" t="str">
        <f>IF($H723="","",IF(VLOOKUP(H723,ExpItems[],2,0),H723&amp;" - "&amp;INDEX(DivisionMapping[category_code],MATCH($D723&amp;$C723,DivisionMapping[dept_bu],0)),H723))</f>
        <v/>
      </c>
      <c r="K723" t="str">
        <f t="shared" si="430"/>
        <v/>
      </c>
      <c r="L723" s="652">
        <f>IF($B723="",,SUMIFS(PerHeadcount[Month 1],PerHeadcount[exp_item],$H723,PerHeadcount[company_name],$B723)*L198)</f>
        <v>0</v>
      </c>
      <c r="M723" s="652">
        <f>IF($B723="",,SUMIFS(PerHeadcount[Month 2],PerHeadcount[exp_item],$H723,PerHeadcount[company_name],$B723)*M198)</f>
        <v>0</v>
      </c>
      <c r="N723" s="652">
        <f>IF($B723="",,SUMIFS(PerHeadcount[Month 3],PerHeadcount[exp_item],$H723,PerHeadcount[company_name],$B723)*N198)</f>
        <v>0</v>
      </c>
      <c r="O723" s="652">
        <f>IF($B723="",,SUMIFS(PerHeadcount[Month 4],PerHeadcount[exp_item],$H723,PerHeadcount[company_name],$B723)*O198)</f>
        <v>0</v>
      </c>
      <c r="P723" s="652">
        <f>IF($B723="",,SUMIFS(PerHeadcount[Month 5],PerHeadcount[exp_item],$H723,PerHeadcount[company_name],$B723)*P198)</f>
        <v>0</v>
      </c>
      <c r="Q723" s="652">
        <f>IF($B723="",,SUMIFS(PerHeadcount[Month 6],PerHeadcount[exp_item],$H723,PerHeadcount[company_name],$B723)*Q198)</f>
        <v>0</v>
      </c>
      <c r="R723" s="652">
        <f>IF($B723="",,SUMIFS(PerHeadcount[Month 7],PerHeadcount[exp_item],$H723,PerHeadcount[company_name],$B723)*R198)</f>
        <v>0</v>
      </c>
      <c r="S723" s="652">
        <f>IF($B723="",,SUMIFS(PerHeadcount[Month 8],PerHeadcount[exp_item],$H723,PerHeadcount[company_name],$B723)*S198)</f>
        <v>0</v>
      </c>
      <c r="T723" s="652">
        <f>IF($B723="",,SUMIFS(PerHeadcount[Month 9],PerHeadcount[exp_item],$H723,PerHeadcount[company_name],$B723)*T198)</f>
        <v>0</v>
      </c>
      <c r="U723" s="652">
        <f>IF($B723="",,SUMIFS(PerHeadcount[Month 10],PerHeadcount[exp_item],$H723,PerHeadcount[company_name],$B723)*U198)</f>
        <v>0</v>
      </c>
      <c r="V723" s="652">
        <f>IF($B723="",,SUMIFS(PerHeadcount[Month 11],PerHeadcount[exp_item],$H723,PerHeadcount[company_name],$B723)*V198)</f>
        <v>0</v>
      </c>
      <c r="W723" s="652">
        <f>IF($B723="",,SUMIFS(PerHeadcount[Month 12],PerHeadcount[exp_item],$H723,PerHeadcount[company_name],$B723)*W198)</f>
        <v>0</v>
      </c>
      <c r="X723" s="652">
        <f>IF($B723="",,SUMIFS(PerHeadcount[Month 13],PerHeadcount[exp_item],$H723,PerHeadcount[company_name],$B723)*X198)</f>
        <v>0</v>
      </c>
      <c r="Y723" s="652">
        <f>IF($B723="",,SUMIFS(PerHeadcount[Month 14],PerHeadcount[exp_item],$H723,PerHeadcount[company_name],$B723)*Y198)</f>
        <v>0</v>
      </c>
      <c r="Z723" s="652">
        <f>IF($B723="",,SUMIFS(PerHeadcount[Month 15],PerHeadcount[exp_item],$H723,PerHeadcount[company_name],$B723)*Z198)</f>
        <v>0</v>
      </c>
      <c r="AA723" s="652">
        <f>IF($B723="",,SUMIFS(PerHeadcount[Month 16],PerHeadcount[exp_item],$H723,PerHeadcount[company_name],$B723)*AA198)</f>
        <v>0</v>
      </c>
      <c r="AB723" s="652">
        <f>IF($B723="",,SUMIFS(PerHeadcount[Month 17],PerHeadcount[exp_item],$H723,PerHeadcount[company_name],$B723)*AB198)</f>
        <v>0</v>
      </c>
      <c r="AC723" s="652">
        <f>IF($B723="",,SUMIFS(PerHeadcount[Month 18],PerHeadcount[exp_item],$H723,PerHeadcount[company_name],$B723)*AC198)</f>
        <v>0</v>
      </c>
      <c r="AD723" s="652">
        <f>IF($B723="",,SUMIFS(PerHeadcount[Month 19],PerHeadcount[exp_item],$H723,PerHeadcount[company_name],$B723)*AD198)</f>
        <v>0</v>
      </c>
      <c r="AE723" s="652">
        <f>IF($B723="",,SUMIFS(PerHeadcount[Month 20],PerHeadcount[exp_item],$H723,PerHeadcount[company_name],$B723)*AE198)</f>
        <v>0</v>
      </c>
      <c r="AF723" s="652">
        <f>IF($B723="",,SUMIFS(PerHeadcount[Month 21],PerHeadcount[exp_item],$H723,PerHeadcount[company_name],$B723)*AF198)</f>
        <v>0</v>
      </c>
      <c r="AG723" s="652">
        <f>IF($B723="",,SUMIFS(PerHeadcount[Month 22],PerHeadcount[exp_item],$H723,PerHeadcount[company_name],$B723)*AG198)</f>
        <v>0</v>
      </c>
      <c r="AH723" s="652">
        <f>IF($B723="",,SUMIFS(PerHeadcount[Month 23],PerHeadcount[exp_item],$H723,PerHeadcount[company_name],$B723)*AH198)</f>
        <v>0</v>
      </c>
      <c r="AI723" s="652">
        <f>IF($B723="",,SUMIFS(PerHeadcount[Month 24],PerHeadcount[exp_item],$H723,PerHeadcount[company_name],$B723)*AI198)</f>
        <v>0</v>
      </c>
      <c r="AJ723" s="652">
        <f>IF($B723="",,SUMIFS(PerHeadcount[Month 25],PerHeadcount[exp_item],$H723,PerHeadcount[company_name],$B723)*AJ198)</f>
        <v>0</v>
      </c>
      <c r="AK723" s="652">
        <f>IF($B723="",,SUMIFS(PerHeadcount[Month 26],PerHeadcount[exp_item],$H723,PerHeadcount[company_name],$B723)*AK198)</f>
        <v>0</v>
      </c>
      <c r="AL723" s="652">
        <f>IF($B723="",,SUMIFS(PerHeadcount[Month 27],PerHeadcount[exp_item],$H723,PerHeadcount[company_name],$B723)*AL198)</f>
        <v>0</v>
      </c>
      <c r="AM723" s="652">
        <f>IF($B723="",,SUMIFS(PerHeadcount[Month 28],PerHeadcount[exp_item],$H723,PerHeadcount[company_name],$B723)*AM198)</f>
        <v>0</v>
      </c>
      <c r="AN723" s="652">
        <f>IF($B723="",,SUMIFS(PerHeadcount[Month 29],PerHeadcount[exp_item],$H723,PerHeadcount[company_name],$B723)*AN198)</f>
        <v>0</v>
      </c>
      <c r="AO723" s="652">
        <f>IF($B723="",,SUMIFS(PerHeadcount[Month 30],PerHeadcount[exp_item],$H723,PerHeadcount[company_name],$B723)*AO198)</f>
        <v>0</v>
      </c>
      <c r="AP723" s="652">
        <f>IF($B723="",,SUMIFS(PerHeadcount[Month 31],PerHeadcount[exp_item],$H723,PerHeadcount[company_name],$B723)*AP198)</f>
        <v>0</v>
      </c>
      <c r="AQ723" s="652">
        <f>IF($B723="",,SUMIFS(PerHeadcount[Month 32],PerHeadcount[exp_item],$H723,PerHeadcount[company_name],$B723)*AQ198)</f>
        <v>0</v>
      </c>
      <c r="AR723" s="652">
        <f>IF($B723="",,SUMIFS(PerHeadcount[Month 33],PerHeadcount[exp_item],$H723,PerHeadcount[company_name],$B723)*AR198)</f>
        <v>0</v>
      </c>
      <c r="AS723" s="652">
        <f>IF($B723="",,SUMIFS(PerHeadcount[Month 34],PerHeadcount[exp_item],$H723,PerHeadcount[company_name],$B723)*AS198)</f>
        <v>0</v>
      </c>
      <c r="AT723" s="652">
        <f>IF($B723="",,SUMIFS(PerHeadcount[Month 35],PerHeadcount[exp_item],$H723,PerHeadcount[company_name],$B723)*AT198)</f>
        <v>0</v>
      </c>
      <c r="AU723" s="652">
        <f>IF($B723="",,SUMIFS(PerHeadcount[Month 36],PerHeadcount[exp_item],$H723,PerHeadcount[company_name],$B723)*AU198)</f>
        <v>0</v>
      </c>
    </row>
    <row r="724" spans="2:47" x14ac:dyDescent="0.35">
      <c r="B724" t="str">
        <f t="shared" si="431"/>
        <v/>
      </c>
      <c r="C724" t="str">
        <f t="shared" si="431"/>
        <v/>
      </c>
      <c r="D724" t="str">
        <f t="shared" si="431"/>
        <v/>
      </c>
      <c r="E724" t="str">
        <f t="shared" si="431"/>
        <v/>
      </c>
      <c r="F724" t="str">
        <f t="shared" si="431"/>
        <v/>
      </c>
      <c r="G724" t="str">
        <f t="shared" si="431"/>
        <v/>
      </c>
      <c r="H724" t="str">
        <f t="shared" si="429"/>
        <v/>
      </c>
      <c r="J724" t="str">
        <f>IF($H724="","",IF(VLOOKUP(H724,ExpItems[],2,0),H724&amp;" - "&amp;INDEX(DivisionMapping[category_code],MATCH($D724&amp;$C724,DivisionMapping[dept_bu],0)),H724))</f>
        <v/>
      </c>
      <c r="K724" t="str">
        <f t="shared" si="430"/>
        <v/>
      </c>
      <c r="L724" s="652">
        <f>IF($B724="",,SUMIFS(PerHeadcount[Month 1],PerHeadcount[exp_item],$H724,PerHeadcount[company_name],$B724)*L199)</f>
        <v>0</v>
      </c>
      <c r="M724" s="652">
        <f>IF($B724="",,SUMIFS(PerHeadcount[Month 2],PerHeadcount[exp_item],$H724,PerHeadcount[company_name],$B724)*M199)</f>
        <v>0</v>
      </c>
      <c r="N724" s="652">
        <f>IF($B724="",,SUMIFS(PerHeadcount[Month 3],PerHeadcount[exp_item],$H724,PerHeadcount[company_name],$B724)*N199)</f>
        <v>0</v>
      </c>
      <c r="O724" s="652">
        <f>IF($B724="",,SUMIFS(PerHeadcount[Month 4],PerHeadcount[exp_item],$H724,PerHeadcount[company_name],$B724)*O199)</f>
        <v>0</v>
      </c>
      <c r="P724" s="652">
        <f>IF($B724="",,SUMIFS(PerHeadcount[Month 5],PerHeadcount[exp_item],$H724,PerHeadcount[company_name],$B724)*P199)</f>
        <v>0</v>
      </c>
      <c r="Q724" s="652">
        <f>IF($B724="",,SUMIFS(PerHeadcount[Month 6],PerHeadcount[exp_item],$H724,PerHeadcount[company_name],$B724)*Q199)</f>
        <v>0</v>
      </c>
      <c r="R724" s="652">
        <f>IF($B724="",,SUMIFS(PerHeadcount[Month 7],PerHeadcount[exp_item],$H724,PerHeadcount[company_name],$B724)*R199)</f>
        <v>0</v>
      </c>
      <c r="S724" s="652">
        <f>IF($B724="",,SUMIFS(PerHeadcount[Month 8],PerHeadcount[exp_item],$H724,PerHeadcount[company_name],$B724)*S199)</f>
        <v>0</v>
      </c>
      <c r="T724" s="652">
        <f>IF($B724="",,SUMIFS(PerHeadcount[Month 9],PerHeadcount[exp_item],$H724,PerHeadcount[company_name],$B724)*T199)</f>
        <v>0</v>
      </c>
      <c r="U724" s="652">
        <f>IF($B724="",,SUMIFS(PerHeadcount[Month 10],PerHeadcount[exp_item],$H724,PerHeadcount[company_name],$B724)*U199)</f>
        <v>0</v>
      </c>
      <c r="V724" s="652">
        <f>IF($B724="",,SUMIFS(PerHeadcount[Month 11],PerHeadcount[exp_item],$H724,PerHeadcount[company_name],$B724)*V199)</f>
        <v>0</v>
      </c>
      <c r="W724" s="652">
        <f>IF($B724="",,SUMIFS(PerHeadcount[Month 12],PerHeadcount[exp_item],$H724,PerHeadcount[company_name],$B724)*W199)</f>
        <v>0</v>
      </c>
      <c r="X724" s="652">
        <f>IF($B724="",,SUMIFS(PerHeadcount[Month 13],PerHeadcount[exp_item],$H724,PerHeadcount[company_name],$B724)*X199)</f>
        <v>0</v>
      </c>
      <c r="Y724" s="652">
        <f>IF($B724="",,SUMIFS(PerHeadcount[Month 14],PerHeadcount[exp_item],$H724,PerHeadcount[company_name],$B724)*Y199)</f>
        <v>0</v>
      </c>
      <c r="Z724" s="652">
        <f>IF($B724="",,SUMIFS(PerHeadcount[Month 15],PerHeadcount[exp_item],$H724,PerHeadcount[company_name],$B724)*Z199)</f>
        <v>0</v>
      </c>
      <c r="AA724" s="652">
        <f>IF($B724="",,SUMIFS(PerHeadcount[Month 16],PerHeadcount[exp_item],$H724,PerHeadcount[company_name],$B724)*AA199)</f>
        <v>0</v>
      </c>
      <c r="AB724" s="652">
        <f>IF($B724="",,SUMIFS(PerHeadcount[Month 17],PerHeadcount[exp_item],$H724,PerHeadcount[company_name],$B724)*AB199)</f>
        <v>0</v>
      </c>
      <c r="AC724" s="652">
        <f>IF($B724="",,SUMIFS(PerHeadcount[Month 18],PerHeadcount[exp_item],$H724,PerHeadcount[company_name],$B724)*AC199)</f>
        <v>0</v>
      </c>
      <c r="AD724" s="652">
        <f>IF($B724="",,SUMIFS(PerHeadcount[Month 19],PerHeadcount[exp_item],$H724,PerHeadcount[company_name],$B724)*AD199)</f>
        <v>0</v>
      </c>
      <c r="AE724" s="652">
        <f>IF($B724="",,SUMIFS(PerHeadcount[Month 20],PerHeadcount[exp_item],$H724,PerHeadcount[company_name],$B724)*AE199)</f>
        <v>0</v>
      </c>
      <c r="AF724" s="652">
        <f>IF($B724="",,SUMIFS(PerHeadcount[Month 21],PerHeadcount[exp_item],$H724,PerHeadcount[company_name],$B724)*AF199)</f>
        <v>0</v>
      </c>
      <c r="AG724" s="652">
        <f>IF($B724="",,SUMIFS(PerHeadcount[Month 22],PerHeadcount[exp_item],$H724,PerHeadcount[company_name],$B724)*AG199)</f>
        <v>0</v>
      </c>
      <c r="AH724" s="652">
        <f>IF($B724="",,SUMIFS(PerHeadcount[Month 23],PerHeadcount[exp_item],$H724,PerHeadcount[company_name],$B724)*AH199)</f>
        <v>0</v>
      </c>
      <c r="AI724" s="652">
        <f>IF($B724="",,SUMIFS(PerHeadcount[Month 24],PerHeadcount[exp_item],$H724,PerHeadcount[company_name],$B724)*AI199)</f>
        <v>0</v>
      </c>
      <c r="AJ724" s="652">
        <f>IF($B724="",,SUMIFS(PerHeadcount[Month 25],PerHeadcount[exp_item],$H724,PerHeadcount[company_name],$B724)*AJ199)</f>
        <v>0</v>
      </c>
      <c r="AK724" s="652">
        <f>IF($B724="",,SUMIFS(PerHeadcount[Month 26],PerHeadcount[exp_item],$H724,PerHeadcount[company_name],$B724)*AK199)</f>
        <v>0</v>
      </c>
      <c r="AL724" s="652">
        <f>IF($B724="",,SUMIFS(PerHeadcount[Month 27],PerHeadcount[exp_item],$H724,PerHeadcount[company_name],$B724)*AL199)</f>
        <v>0</v>
      </c>
      <c r="AM724" s="652">
        <f>IF($B724="",,SUMIFS(PerHeadcount[Month 28],PerHeadcount[exp_item],$H724,PerHeadcount[company_name],$B724)*AM199)</f>
        <v>0</v>
      </c>
      <c r="AN724" s="652">
        <f>IF($B724="",,SUMIFS(PerHeadcount[Month 29],PerHeadcount[exp_item],$H724,PerHeadcount[company_name],$B724)*AN199)</f>
        <v>0</v>
      </c>
      <c r="AO724" s="652">
        <f>IF($B724="",,SUMIFS(PerHeadcount[Month 30],PerHeadcount[exp_item],$H724,PerHeadcount[company_name],$B724)*AO199)</f>
        <v>0</v>
      </c>
      <c r="AP724" s="652">
        <f>IF($B724="",,SUMIFS(PerHeadcount[Month 31],PerHeadcount[exp_item],$H724,PerHeadcount[company_name],$B724)*AP199)</f>
        <v>0</v>
      </c>
      <c r="AQ724" s="652">
        <f>IF($B724="",,SUMIFS(PerHeadcount[Month 32],PerHeadcount[exp_item],$H724,PerHeadcount[company_name],$B724)*AQ199)</f>
        <v>0</v>
      </c>
      <c r="AR724" s="652">
        <f>IF($B724="",,SUMIFS(PerHeadcount[Month 33],PerHeadcount[exp_item],$H724,PerHeadcount[company_name],$B724)*AR199)</f>
        <v>0</v>
      </c>
      <c r="AS724" s="652">
        <f>IF($B724="",,SUMIFS(PerHeadcount[Month 34],PerHeadcount[exp_item],$H724,PerHeadcount[company_name],$B724)*AS199)</f>
        <v>0</v>
      </c>
      <c r="AT724" s="652">
        <f>IF($B724="",,SUMIFS(PerHeadcount[Month 35],PerHeadcount[exp_item],$H724,PerHeadcount[company_name],$B724)*AT199)</f>
        <v>0</v>
      </c>
      <c r="AU724" s="652">
        <f>IF($B724="",,SUMIFS(PerHeadcount[Month 36],PerHeadcount[exp_item],$H724,PerHeadcount[company_name],$B724)*AU199)</f>
        <v>0</v>
      </c>
    </row>
    <row r="725" spans="2:47" x14ac:dyDescent="0.35">
      <c r="B725" t="str">
        <f t="shared" si="431"/>
        <v/>
      </c>
      <c r="C725" t="str">
        <f t="shared" si="431"/>
        <v/>
      </c>
      <c r="D725" t="str">
        <f t="shared" si="431"/>
        <v/>
      </c>
      <c r="E725" t="str">
        <f t="shared" si="431"/>
        <v/>
      </c>
      <c r="F725" t="str">
        <f t="shared" si="431"/>
        <v/>
      </c>
      <c r="G725" t="str">
        <f t="shared" si="431"/>
        <v/>
      </c>
      <c r="H725" t="str">
        <f t="shared" si="429"/>
        <v/>
      </c>
      <c r="J725" t="str">
        <f>IF($H725="","",IF(VLOOKUP(H725,ExpItems[],2,0),H725&amp;" - "&amp;INDEX(DivisionMapping[category_code],MATCH($D725&amp;$C725,DivisionMapping[dept_bu],0)),H725))</f>
        <v/>
      </c>
      <c r="K725" t="str">
        <f t="shared" si="430"/>
        <v/>
      </c>
      <c r="L725" s="652">
        <f>IF($B725="",,SUMIFS(PerHeadcount[Month 1],PerHeadcount[exp_item],$H725,PerHeadcount[company_name],$B725)*L200)</f>
        <v>0</v>
      </c>
      <c r="M725" s="652">
        <f>IF($B725="",,SUMIFS(PerHeadcount[Month 2],PerHeadcount[exp_item],$H725,PerHeadcount[company_name],$B725)*M200)</f>
        <v>0</v>
      </c>
      <c r="N725" s="652">
        <f>IF($B725="",,SUMIFS(PerHeadcount[Month 3],PerHeadcount[exp_item],$H725,PerHeadcount[company_name],$B725)*N200)</f>
        <v>0</v>
      </c>
      <c r="O725" s="652">
        <f>IF($B725="",,SUMIFS(PerHeadcount[Month 4],PerHeadcount[exp_item],$H725,PerHeadcount[company_name],$B725)*O200)</f>
        <v>0</v>
      </c>
      <c r="P725" s="652">
        <f>IF($B725="",,SUMIFS(PerHeadcount[Month 5],PerHeadcount[exp_item],$H725,PerHeadcount[company_name],$B725)*P200)</f>
        <v>0</v>
      </c>
      <c r="Q725" s="652">
        <f>IF($B725="",,SUMIFS(PerHeadcount[Month 6],PerHeadcount[exp_item],$H725,PerHeadcount[company_name],$B725)*Q200)</f>
        <v>0</v>
      </c>
      <c r="R725" s="652">
        <f>IF($B725="",,SUMIFS(PerHeadcount[Month 7],PerHeadcount[exp_item],$H725,PerHeadcount[company_name],$B725)*R200)</f>
        <v>0</v>
      </c>
      <c r="S725" s="652">
        <f>IF($B725="",,SUMIFS(PerHeadcount[Month 8],PerHeadcount[exp_item],$H725,PerHeadcount[company_name],$B725)*S200)</f>
        <v>0</v>
      </c>
      <c r="T725" s="652">
        <f>IF($B725="",,SUMIFS(PerHeadcount[Month 9],PerHeadcount[exp_item],$H725,PerHeadcount[company_name],$B725)*T200)</f>
        <v>0</v>
      </c>
      <c r="U725" s="652">
        <f>IF($B725="",,SUMIFS(PerHeadcount[Month 10],PerHeadcount[exp_item],$H725,PerHeadcount[company_name],$B725)*U200)</f>
        <v>0</v>
      </c>
      <c r="V725" s="652">
        <f>IF($B725="",,SUMIFS(PerHeadcount[Month 11],PerHeadcount[exp_item],$H725,PerHeadcount[company_name],$B725)*V200)</f>
        <v>0</v>
      </c>
      <c r="W725" s="652">
        <f>IF($B725="",,SUMIFS(PerHeadcount[Month 12],PerHeadcount[exp_item],$H725,PerHeadcount[company_name],$B725)*W200)</f>
        <v>0</v>
      </c>
      <c r="X725" s="652">
        <f>IF($B725="",,SUMIFS(PerHeadcount[Month 13],PerHeadcount[exp_item],$H725,PerHeadcount[company_name],$B725)*X200)</f>
        <v>0</v>
      </c>
      <c r="Y725" s="652">
        <f>IF($B725="",,SUMIFS(PerHeadcount[Month 14],PerHeadcount[exp_item],$H725,PerHeadcount[company_name],$B725)*Y200)</f>
        <v>0</v>
      </c>
      <c r="Z725" s="652">
        <f>IF($B725="",,SUMIFS(PerHeadcount[Month 15],PerHeadcount[exp_item],$H725,PerHeadcount[company_name],$B725)*Z200)</f>
        <v>0</v>
      </c>
      <c r="AA725" s="652">
        <f>IF($B725="",,SUMIFS(PerHeadcount[Month 16],PerHeadcount[exp_item],$H725,PerHeadcount[company_name],$B725)*AA200)</f>
        <v>0</v>
      </c>
      <c r="AB725" s="652">
        <f>IF($B725="",,SUMIFS(PerHeadcount[Month 17],PerHeadcount[exp_item],$H725,PerHeadcount[company_name],$B725)*AB200)</f>
        <v>0</v>
      </c>
      <c r="AC725" s="652">
        <f>IF($B725="",,SUMIFS(PerHeadcount[Month 18],PerHeadcount[exp_item],$H725,PerHeadcount[company_name],$B725)*AC200)</f>
        <v>0</v>
      </c>
      <c r="AD725" s="652">
        <f>IF($B725="",,SUMIFS(PerHeadcount[Month 19],PerHeadcount[exp_item],$H725,PerHeadcount[company_name],$B725)*AD200)</f>
        <v>0</v>
      </c>
      <c r="AE725" s="652">
        <f>IF($B725="",,SUMIFS(PerHeadcount[Month 20],PerHeadcount[exp_item],$H725,PerHeadcount[company_name],$B725)*AE200)</f>
        <v>0</v>
      </c>
      <c r="AF725" s="652">
        <f>IF($B725="",,SUMIFS(PerHeadcount[Month 21],PerHeadcount[exp_item],$H725,PerHeadcount[company_name],$B725)*AF200)</f>
        <v>0</v>
      </c>
      <c r="AG725" s="652">
        <f>IF($B725="",,SUMIFS(PerHeadcount[Month 22],PerHeadcount[exp_item],$H725,PerHeadcount[company_name],$B725)*AG200)</f>
        <v>0</v>
      </c>
      <c r="AH725" s="652">
        <f>IF($B725="",,SUMIFS(PerHeadcount[Month 23],PerHeadcount[exp_item],$H725,PerHeadcount[company_name],$B725)*AH200)</f>
        <v>0</v>
      </c>
      <c r="AI725" s="652">
        <f>IF($B725="",,SUMIFS(PerHeadcount[Month 24],PerHeadcount[exp_item],$H725,PerHeadcount[company_name],$B725)*AI200)</f>
        <v>0</v>
      </c>
      <c r="AJ725" s="652">
        <f>IF($B725="",,SUMIFS(PerHeadcount[Month 25],PerHeadcount[exp_item],$H725,PerHeadcount[company_name],$B725)*AJ200)</f>
        <v>0</v>
      </c>
      <c r="AK725" s="652">
        <f>IF($B725="",,SUMIFS(PerHeadcount[Month 26],PerHeadcount[exp_item],$H725,PerHeadcount[company_name],$B725)*AK200)</f>
        <v>0</v>
      </c>
      <c r="AL725" s="652">
        <f>IF($B725="",,SUMIFS(PerHeadcount[Month 27],PerHeadcount[exp_item],$H725,PerHeadcount[company_name],$B725)*AL200)</f>
        <v>0</v>
      </c>
      <c r="AM725" s="652">
        <f>IF($B725="",,SUMIFS(PerHeadcount[Month 28],PerHeadcount[exp_item],$H725,PerHeadcount[company_name],$B725)*AM200)</f>
        <v>0</v>
      </c>
      <c r="AN725" s="652">
        <f>IF($B725="",,SUMIFS(PerHeadcount[Month 29],PerHeadcount[exp_item],$H725,PerHeadcount[company_name],$B725)*AN200)</f>
        <v>0</v>
      </c>
      <c r="AO725" s="652">
        <f>IF($B725="",,SUMIFS(PerHeadcount[Month 30],PerHeadcount[exp_item],$H725,PerHeadcount[company_name],$B725)*AO200)</f>
        <v>0</v>
      </c>
      <c r="AP725" s="652">
        <f>IF($B725="",,SUMIFS(PerHeadcount[Month 31],PerHeadcount[exp_item],$H725,PerHeadcount[company_name],$B725)*AP200)</f>
        <v>0</v>
      </c>
      <c r="AQ725" s="652">
        <f>IF($B725="",,SUMIFS(PerHeadcount[Month 32],PerHeadcount[exp_item],$H725,PerHeadcount[company_name],$B725)*AQ200)</f>
        <v>0</v>
      </c>
      <c r="AR725" s="652">
        <f>IF($B725="",,SUMIFS(PerHeadcount[Month 33],PerHeadcount[exp_item],$H725,PerHeadcount[company_name],$B725)*AR200)</f>
        <v>0</v>
      </c>
      <c r="AS725" s="652">
        <f>IF($B725="",,SUMIFS(PerHeadcount[Month 34],PerHeadcount[exp_item],$H725,PerHeadcount[company_name],$B725)*AS200)</f>
        <v>0</v>
      </c>
      <c r="AT725" s="652">
        <f>IF($B725="",,SUMIFS(PerHeadcount[Month 35],PerHeadcount[exp_item],$H725,PerHeadcount[company_name],$B725)*AT200)</f>
        <v>0</v>
      </c>
      <c r="AU725" s="652">
        <f>IF($B725="",,SUMIFS(PerHeadcount[Month 36],PerHeadcount[exp_item],$H725,PerHeadcount[company_name],$B725)*AU200)</f>
        <v>0</v>
      </c>
    </row>
    <row r="726" spans="2:47" x14ac:dyDescent="0.35">
      <c r="B726" t="str">
        <f t="shared" si="431"/>
        <v/>
      </c>
      <c r="C726" t="str">
        <f t="shared" si="431"/>
        <v/>
      </c>
      <c r="D726" t="str">
        <f t="shared" si="431"/>
        <v/>
      </c>
      <c r="E726" t="str">
        <f t="shared" si="431"/>
        <v/>
      </c>
      <c r="F726" t="str">
        <f t="shared" si="431"/>
        <v/>
      </c>
      <c r="G726" t="str">
        <f t="shared" si="431"/>
        <v/>
      </c>
      <c r="H726" t="str">
        <f t="shared" si="429"/>
        <v/>
      </c>
      <c r="J726" t="str">
        <f>IF($H726="","",IF(VLOOKUP(H726,ExpItems[],2,0),H726&amp;" - "&amp;INDEX(DivisionMapping[category_code],MATCH($D726&amp;$C726,DivisionMapping[dept_bu],0)),H726))</f>
        <v/>
      </c>
      <c r="K726" t="str">
        <f t="shared" si="430"/>
        <v/>
      </c>
      <c r="L726" s="652">
        <f>IF($B726="",,SUMIFS(PerHeadcount[Month 1],PerHeadcount[exp_item],$H726,PerHeadcount[company_name],$B726)*L201)</f>
        <v>0</v>
      </c>
      <c r="M726" s="652">
        <f>IF($B726="",,SUMIFS(PerHeadcount[Month 2],PerHeadcount[exp_item],$H726,PerHeadcount[company_name],$B726)*M201)</f>
        <v>0</v>
      </c>
      <c r="N726" s="652">
        <f>IF($B726="",,SUMIFS(PerHeadcount[Month 3],PerHeadcount[exp_item],$H726,PerHeadcount[company_name],$B726)*N201)</f>
        <v>0</v>
      </c>
      <c r="O726" s="652">
        <f>IF($B726="",,SUMIFS(PerHeadcount[Month 4],PerHeadcount[exp_item],$H726,PerHeadcount[company_name],$B726)*O201)</f>
        <v>0</v>
      </c>
      <c r="P726" s="652">
        <f>IF($B726="",,SUMIFS(PerHeadcount[Month 5],PerHeadcount[exp_item],$H726,PerHeadcount[company_name],$B726)*P201)</f>
        <v>0</v>
      </c>
      <c r="Q726" s="652">
        <f>IF($B726="",,SUMIFS(PerHeadcount[Month 6],PerHeadcount[exp_item],$H726,PerHeadcount[company_name],$B726)*Q201)</f>
        <v>0</v>
      </c>
      <c r="R726" s="652">
        <f>IF($B726="",,SUMIFS(PerHeadcount[Month 7],PerHeadcount[exp_item],$H726,PerHeadcount[company_name],$B726)*R201)</f>
        <v>0</v>
      </c>
      <c r="S726" s="652">
        <f>IF($B726="",,SUMIFS(PerHeadcount[Month 8],PerHeadcount[exp_item],$H726,PerHeadcount[company_name],$B726)*S201)</f>
        <v>0</v>
      </c>
      <c r="T726" s="652">
        <f>IF($B726="",,SUMIFS(PerHeadcount[Month 9],PerHeadcount[exp_item],$H726,PerHeadcount[company_name],$B726)*T201)</f>
        <v>0</v>
      </c>
      <c r="U726" s="652">
        <f>IF($B726="",,SUMIFS(PerHeadcount[Month 10],PerHeadcount[exp_item],$H726,PerHeadcount[company_name],$B726)*U201)</f>
        <v>0</v>
      </c>
      <c r="V726" s="652">
        <f>IF($B726="",,SUMIFS(PerHeadcount[Month 11],PerHeadcount[exp_item],$H726,PerHeadcount[company_name],$B726)*V201)</f>
        <v>0</v>
      </c>
      <c r="W726" s="652">
        <f>IF($B726="",,SUMIFS(PerHeadcount[Month 12],PerHeadcount[exp_item],$H726,PerHeadcount[company_name],$B726)*W201)</f>
        <v>0</v>
      </c>
      <c r="X726" s="652">
        <f>IF($B726="",,SUMIFS(PerHeadcount[Month 13],PerHeadcount[exp_item],$H726,PerHeadcount[company_name],$B726)*X201)</f>
        <v>0</v>
      </c>
      <c r="Y726" s="652">
        <f>IF($B726="",,SUMIFS(PerHeadcount[Month 14],PerHeadcount[exp_item],$H726,PerHeadcount[company_name],$B726)*Y201)</f>
        <v>0</v>
      </c>
      <c r="Z726" s="652">
        <f>IF($B726="",,SUMIFS(PerHeadcount[Month 15],PerHeadcount[exp_item],$H726,PerHeadcount[company_name],$B726)*Z201)</f>
        <v>0</v>
      </c>
      <c r="AA726" s="652">
        <f>IF($B726="",,SUMIFS(PerHeadcount[Month 16],PerHeadcount[exp_item],$H726,PerHeadcount[company_name],$B726)*AA201)</f>
        <v>0</v>
      </c>
      <c r="AB726" s="652">
        <f>IF($B726="",,SUMIFS(PerHeadcount[Month 17],PerHeadcount[exp_item],$H726,PerHeadcount[company_name],$B726)*AB201)</f>
        <v>0</v>
      </c>
      <c r="AC726" s="652">
        <f>IF($B726="",,SUMIFS(PerHeadcount[Month 18],PerHeadcount[exp_item],$H726,PerHeadcount[company_name],$B726)*AC201)</f>
        <v>0</v>
      </c>
      <c r="AD726" s="652">
        <f>IF($B726="",,SUMIFS(PerHeadcount[Month 19],PerHeadcount[exp_item],$H726,PerHeadcount[company_name],$B726)*AD201)</f>
        <v>0</v>
      </c>
      <c r="AE726" s="652">
        <f>IF($B726="",,SUMIFS(PerHeadcount[Month 20],PerHeadcount[exp_item],$H726,PerHeadcount[company_name],$B726)*AE201)</f>
        <v>0</v>
      </c>
      <c r="AF726" s="652">
        <f>IF($B726="",,SUMIFS(PerHeadcount[Month 21],PerHeadcount[exp_item],$H726,PerHeadcount[company_name],$B726)*AF201)</f>
        <v>0</v>
      </c>
      <c r="AG726" s="652">
        <f>IF($B726="",,SUMIFS(PerHeadcount[Month 22],PerHeadcount[exp_item],$H726,PerHeadcount[company_name],$B726)*AG201)</f>
        <v>0</v>
      </c>
      <c r="AH726" s="652">
        <f>IF($B726="",,SUMIFS(PerHeadcount[Month 23],PerHeadcount[exp_item],$H726,PerHeadcount[company_name],$B726)*AH201)</f>
        <v>0</v>
      </c>
      <c r="AI726" s="652">
        <f>IF($B726="",,SUMIFS(PerHeadcount[Month 24],PerHeadcount[exp_item],$H726,PerHeadcount[company_name],$B726)*AI201)</f>
        <v>0</v>
      </c>
      <c r="AJ726" s="652">
        <f>IF($B726="",,SUMIFS(PerHeadcount[Month 25],PerHeadcount[exp_item],$H726,PerHeadcount[company_name],$B726)*AJ201)</f>
        <v>0</v>
      </c>
      <c r="AK726" s="652">
        <f>IF($B726="",,SUMIFS(PerHeadcount[Month 26],PerHeadcount[exp_item],$H726,PerHeadcount[company_name],$B726)*AK201)</f>
        <v>0</v>
      </c>
      <c r="AL726" s="652">
        <f>IF($B726="",,SUMIFS(PerHeadcount[Month 27],PerHeadcount[exp_item],$H726,PerHeadcount[company_name],$B726)*AL201)</f>
        <v>0</v>
      </c>
      <c r="AM726" s="652">
        <f>IF($B726="",,SUMIFS(PerHeadcount[Month 28],PerHeadcount[exp_item],$H726,PerHeadcount[company_name],$B726)*AM201)</f>
        <v>0</v>
      </c>
      <c r="AN726" s="652">
        <f>IF($B726="",,SUMIFS(PerHeadcount[Month 29],PerHeadcount[exp_item],$H726,PerHeadcount[company_name],$B726)*AN201)</f>
        <v>0</v>
      </c>
      <c r="AO726" s="652">
        <f>IF($B726="",,SUMIFS(PerHeadcount[Month 30],PerHeadcount[exp_item],$H726,PerHeadcount[company_name],$B726)*AO201)</f>
        <v>0</v>
      </c>
      <c r="AP726" s="652">
        <f>IF($B726="",,SUMIFS(PerHeadcount[Month 31],PerHeadcount[exp_item],$H726,PerHeadcount[company_name],$B726)*AP201)</f>
        <v>0</v>
      </c>
      <c r="AQ726" s="652">
        <f>IF($B726="",,SUMIFS(PerHeadcount[Month 32],PerHeadcount[exp_item],$H726,PerHeadcount[company_name],$B726)*AQ201)</f>
        <v>0</v>
      </c>
      <c r="AR726" s="652">
        <f>IF($B726="",,SUMIFS(PerHeadcount[Month 33],PerHeadcount[exp_item],$H726,PerHeadcount[company_name],$B726)*AR201)</f>
        <v>0</v>
      </c>
      <c r="AS726" s="652">
        <f>IF($B726="",,SUMIFS(PerHeadcount[Month 34],PerHeadcount[exp_item],$H726,PerHeadcount[company_name],$B726)*AS201)</f>
        <v>0</v>
      </c>
      <c r="AT726" s="652">
        <f>IF($B726="",,SUMIFS(PerHeadcount[Month 35],PerHeadcount[exp_item],$H726,PerHeadcount[company_name],$B726)*AT201)</f>
        <v>0</v>
      </c>
      <c r="AU726" s="652">
        <f>IF($B726="",,SUMIFS(PerHeadcount[Month 36],PerHeadcount[exp_item],$H726,PerHeadcount[company_name],$B726)*AU201)</f>
        <v>0</v>
      </c>
    </row>
    <row r="727" spans="2:47" x14ac:dyDescent="0.35">
      <c r="B727" t="str">
        <f t="shared" si="431"/>
        <v/>
      </c>
      <c r="C727" t="str">
        <f t="shared" si="431"/>
        <v/>
      </c>
      <c r="D727" t="str">
        <f t="shared" si="431"/>
        <v/>
      </c>
      <c r="E727" t="str">
        <f t="shared" si="431"/>
        <v/>
      </c>
      <c r="F727" t="str">
        <f t="shared" si="431"/>
        <v/>
      </c>
      <c r="G727" t="str">
        <f t="shared" si="431"/>
        <v/>
      </c>
      <c r="H727" t="str">
        <f t="shared" si="429"/>
        <v/>
      </c>
      <c r="J727" t="str">
        <f>IF($H727="","",IF(VLOOKUP(H727,ExpItems[],2,0),H727&amp;" - "&amp;INDEX(DivisionMapping[category_code],MATCH($D727&amp;$C727,DivisionMapping[dept_bu],0)),H727))</f>
        <v/>
      </c>
      <c r="K727" t="str">
        <f t="shared" si="430"/>
        <v/>
      </c>
      <c r="L727" s="652">
        <f>IF($B727="",,SUMIFS(PerHeadcount[Month 1],PerHeadcount[exp_item],$H727,PerHeadcount[company_name],$B727)*L202)</f>
        <v>0</v>
      </c>
      <c r="M727" s="652">
        <f>IF($B727="",,SUMIFS(PerHeadcount[Month 2],PerHeadcount[exp_item],$H727,PerHeadcount[company_name],$B727)*M202)</f>
        <v>0</v>
      </c>
      <c r="N727" s="652">
        <f>IF($B727="",,SUMIFS(PerHeadcount[Month 3],PerHeadcount[exp_item],$H727,PerHeadcount[company_name],$B727)*N202)</f>
        <v>0</v>
      </c>
      <c r="O727" s="652">
        <f>IF($B727="",,SUMIFS(PerHeadcount[Month 4],PerHeadcount[exp_item],$H727,PerHeadcount[company_name],$B727)*O202)</f>
        <v>0</v>
      </c>
      <c r="P727" s="652">
        <f>IF($B727="",,SUMIFS(PerHeadcount[Month 5],PerHeadcount[exp_item],$H727,PerHeadcount[company_name],$B727)*P202)</f>
        <v>0</v>
      </c>
      <c r="Q727" s="652">
        <f>IF($B727="",,SUMIFS(PerHeadcount[Month 6],PerHeadcount[exp_item],$H727,PerHeadcount[company_name],$B727)*Q202)</f>
        <v>0</v>
      </c>
      <c r="R727" s="652">
        <f>IF($B727="",,SUMIFS(PerHeadcount[Month 7],PerHeadcount[exp_item],$H727,PerHeadcount[company_name],$B727)*R202)</f>
        <v>0</v>
      </c>
      <c r="S727" s="652">
        <f>IF($B727="",,SUMIFS(PerHeadcount[Month 8],PerHeadcount[exp_item],$H727,PerHeadcount[company_name],$B727)*S202)</f>
        <v>0</v>
      </c>
      <c r="T727" s="652">
        <f>IF($B727="",,SUMIFS(PerHeadcount[Month 9],PerHeadcount[exp_item],$H727,PerHeadcount[company_name],$B727)*T202)</f>
        <v>0</v>
      </c>
      <c r="U727" s="652">
        <f>IF($B727="",,SUMIFS(PerHeadcount[Month 10],PerHeadcount[exp_item],$H727,PerHeadcount[company_name],$B727)*U202)</f>
        <v>0</v>
      </c>
      <c r="V727" s="652">
        <f>IF($B727="",,SUMIFS(PerHeadcount[Month 11],PerHeadcount[exp_item],$H727,PerHeadcount[company_name],$B727)*V202)</f>
        <v>0</v>
      </c>
      <c r="W727" s="652">
        <f>IF($B727="",,SUMIFS(PerHeadcount[Month 12],PerHeadcount[exp_item],$H727,PerHeadcount[company_name],$B727)*W202)</f>
        <v>0</v>
      </c>
      <c r="X727" s="652">
        <f>IF($B727="",,SUMIFS(PerHeadcount[Month 13],PerHeadcount[exp_item],$H727,PerHeadcount[company_name],$B727)*X202)</f>
        <v>0</v>
      </c>
      <c r="Y727" s="652">
        <f>IF($B727="",,SUMIFS(PerHeadcount[Month 14],PerHeadcount[exp_item],$H727,PerHeadcount[company_name],$B727)*Y202)</f>
        <v>0</v>
      </c>
      <c r="Z727" s="652">
        <f>IF($B727="",,SUMIFS(PerHeadcount[Month 15],PerHeadcount[exp_item],$H727,PerHeadcount[company_name],$B727)*Z202)</f>
        <v>0</v>
      </c>
      <c r="AA727" s="652">
        <f>IF($B727="",,SUMIFS(PerHeadcount[Month 16],PerHeadcount[exp_item],$H727,PerHeadcount[company_name],$B727)*AA202)</f>
        <v>0</v>
      </c>
      <c r="AB727" s="652">
        <f>IF($B727="",,SUMIFS(PerHeadcount[Month 17],PerHeadcount[exp_item],$H727,PerHeadcount[company_name],$B727)*AB202)</f>
        <v>0</v>
      </c>
      <c r="AC727" s="652">
        <f>IF($B727="",,SUMIFS(PerHeadcount[Month 18],PerHeadcount[exp_item],$H727,PerHeadcount[company_name],$B727)*AC202)</f>
        <v>0</v>
      </c>
      <c r="AD727" s="652">
        <f>IF($B727="",,SUMIFS(PerHeadcount[Month 19],PerHeadcount[exp_item],$H727,PerHeadcount[company_name],$B727)*AD202)</f>
        <v>0</v>
      </c>
      <c r="AE727" s="652">
        <f>IF($B727="",,SUMIFS(PerHeadcount[Month 20],PerHeadcount[exp_item],$H727,PerHeadcount[company_name],$B727)*AE202)</f>
        <v>0</v>
      </c>
      <c r="AF727" s="652">
        <f>IF($B727="",,SUMIFS(PerHeadcount[Month 21],PerHeadcount[exp_item],$H727,PerHeadcount[company_name],$B727)*AF202)</f>
        <v>0</v>
      </c>
      <c r="AG727" s="652">
        <f>IF($B727="",,SUMIFS(PerHeadcount[Month 22],PerHeadcount[exp_item],$H727,PerHeadcount[company_name],$B727)*AG202)</f>
        <v>0</v>
      </c>
      <c r="AH727" s="652">
        <f>IF($B727="",,SUMIFS(PerHeadcount[Month 23],PerHeadcount[exp_item],$H727,PerHeadcount[company_name],$B727)*AH202)</f>
        <v>0</v>
      </c>
      <c r="AI727" s="652">
        <f>IF($B727="",,SUMIFS(PerHeadcount[Month 24],PerHeadcount[exp_item],$H727,PerHeadcount[company_name],$B727)*AI202)</f>
        <v>0</v>
      </c>
      <c r="AJ727" s="652">
        <f>IF($B727="",,SUMIFS(PerHeadcount[Month 25],PerHeadcount[exp_item],$H727,PerHeadcount[company_name],$B727)*AJ202)</f>
        <v>0</v>
      </c>
      <c r="AK727" s="652">
        <f>IF($B727="",,SUMIFS(PerHeadcount[Month 26],PerHeadcount[exp_item],$H727,PerHeadcount[company_name],$B727)*AK202)</f>
        <v>0</v>
      </c>
      <c r="AL727" s="652">
        <f>IF($B727="",,SUMIFS(PerHeadcount[Month 27],PerHeadcount[exp_item],$H727,PerHeadcount[company_name],$B727)*AL202)</f>
        <v>0</v>
      </c>
      <c r="AM727" s="652">
        <f>IF($B727="",,SUMIFS(PerHeadcount[Month 28],PerHeadcount[exp_item],$H727,PerHeadcount[company_name],$B727)*AM202)</f>
        <v>0</v>
      </c>
      <c r="AN727" s="652">
        <f>IF($B727="",,SUMIFS(PerHeadcount[Month 29],PerHeadcount[exp_item],$H727,PerHeadcount[company_name],$B727)*AN202)</f>
        <v>0</v>
      </c>
      <c r="AO727" s="652">
        <f>IF($B727="",,SUMIFS(PerHeadcount[Month 30],PerHeadcount[exp_item],$H727,PerHeadcount[company_name],$B727)*AO202)</f>
        <v>0</v>
      </c>
      <c r="AP727" s="652">
        <f>IF($B727="",,SUMIFS(PerHeadcount[Month 31],PerHeadcount[exp_item],$H727,PerHeadcount[company_name],$B727)*AP202)</f>
        <v>0</v>
      </c>
      <c r="AQ727" s="652">
        <f>IF($B727="",,SUMIFS(PerHeadcount[Month 32],PerHeadcount[exp_item],$H727,PerHeadcount[company_name],$B727)*AQ202)</f>
        <v>0</v>
      </c>
      <c r="AR727" s="652">
        <f>IF($B727="",,SUMIFS(PerHeadcount[Month 33],PerHeadcount[exp_item],$H727,PerHeadcount[company_name],$B727)*AR202)</f>
        <v>0</v>
      </c>
      <c r="AS727" s="652">
        <f>IF($B727="",,SUMIFS(PerHeadcount[Month 34],PerHeadcount[exp_item],$H727,PerHeadcount[company_name],$B727)*AS202)</f>
        <v>0</v>
      </c>
      <c r="AT727" s="652">
        <f>IF($B727="",,SUMIFS(PerHeadcount[Month 35],PerHeadcount[exp_item],$H727,PerHeadcount[company_name],$B727)*AT202)</f>
        <v>0</v>
      </c>
      <c r="AU727" s="652">
        <f>IF($B727="",,SUMIFS(PerHeadcount[Month 36],PerHeadcount[exp_item],$H727,PerHeadcount[company_name],$B727)*AU202)</f>
        <v>0</v>
      </c>
    </row>
    <row r="728" spans="2:47" x14ac:dyDescent="0.35">
      <c r="B728" t="str">
        <f t="shared" si="431"/>
        <v/>
      </c>
      <c r="C728" t="str">
        <f t="shared" si="431"/>
        <v/>
      </c>
      <c r="D728" t="str">
        <f t="shared" si="431"/>
        <v/>
      </c>
      <c r="E728" t="str">
        <f t="shared" si="431"/>
        <v/>
      </c>
      <c r="F728" t="str">
        <f t="shared" si="431"/>
        <v/>
      </c>
      <c r="G728" t="str">
        <f t="shared" si="431"/>
        <v/>
      </c>
      <c r="H728" t="str">
        <f t="shared" si="429"/>
        <v/>
      </c>
      <c r="J728" t="str">
        <f>IF($H728="","",IF(VLOOKUP(H728,ExpItems[],2,0),H728&amp;" - "&amp;INDEX(DivisionMapping[category_code],MATCH($D728&amp;$C728,DivisionMapping[dept_bu],0)),H728))</f>
        <v/>
      </c>
      <c r="K728" t="str">
        <f t="shared" si="430"/>
        <v/>
      </c>
      <c r="L728" s="652">
        <f>IF($B728="",,SUMIFS(PerHeadcount[Month 1],PerHeadcount[exp_item],$H728,PerHeadcount[company_name],$B728)*L203)</f>
        <v>0</v>
      </c>
      <c r="M728" s="652">
        <f>IF($B728="",,SUMIFS(PerHeadcount[Month 2],PerHeadcount[exp_item],$H728,PerHeadcount[company_name],$B728)*M203)</f>
        <v>0</v>
      </c>
      <c r="N728" s="652">
        <f>IF($B728="",,SUMIFS(PerHeadcount[Month 3],PerHeadcount[exp_item],$H728,PerHeadcount[company_name],$B728)*N203)</f>
        <v>0</v>
      </c>
      <c r="O728" s="652">
        <f>IF($B728="",,SUMIFS(PerHeadcount[Month 4],PerHeadcount[exp_item],$H728,PerHeadcount[company_name],$B728)*O203)</f>
        <v>0</v>
      </c>
      <c r="P728" s="652">
        <f>IF($B728="",,SUMIFS(PerHeadcount[Month 5],PerHeadcount[exp_item],$H728,PerHeadcount[company_name],$B728)*P203)</f>
        <v>0</v>
      </c>
      <c r="Q728" s="652">
        <f>IF($B728="",,SUMIFS(PerHeadcount[Month 6],PerHeadcount[exp_item],$H728,PerHeadcount[company_name],$B728)*Q203)</f>
        <v>0</v>
      </c>
      <c r="R728" s="652">
        <f>IF($B728="",,SUMIFS(PerHeadcount[Month 7],PerHeadcount[exp_item],$H728,PerHeadcount[company_name],$B728)*R203)</f>
        <v>0</v>
      </c>
      <c r="S728" s="652">
        <f>IF($B728="",,SUMIFS(PerHeadcount[Month 8],PerHeadcount[exp_item],$H728,PerHeadcount[company_name],$B728)*S203)</f>
        <v>0</v>
      </c>
      <c r="T728" s="652">
        <f>IF($B728="",,SUMIFS(PerHeadcount[Month 9],PerHeadcount[exp_item],$H728,PerHeadcount[company_name],$B728)*T203)</f>
        <v>0</v>
      </c>
      <c r="U728" s="652">
        <f>IF($B728="",,SUMIFS(PerHeadcount[Month 10],PerHeadcount[exp_item],$H728,PerHeadcount[company_name],$B728)*U203)</f>
        <v>0</v>
      </c>
      <c r="V728" s="652">
        <f>IF($B728="",,SUMIFS(PerHeadcount[Month 11],PerHeadcount[exp_item],$H728,PerHeadcount[company_name],$B728)*V203)</f>
        <v>0</v>
      </c>
      <c r="W728" s="652">
        <f>IF($B728="",,SUMIFS(PerHeadcount[Month 12],PerHeadcount[exp_item],$H728,PerHeadcount[company_name],$B728)*W203)</f>
        <v>0</v>
      </c>
      <c r="X728" s="652">
        <f>IF($B728="",,SUMIFS(PerHeadcount[Month 13],PerHeadcount[exp_item],$H728,PerHeadcount[company_name],$B728)*X203)</f>
        <v>0</v>
      </c>
      <c r="Y728" s="652">
        <f>IF($B728="",,SUMIFS(PerHeadcount[Month 14],PerHeadcount[exp_item],$H728,PerHeadcount[company_name],$B728)*Y203)</f>
        <v>0</v>
      </c>
      <c r="Z728" s="652">
        <f>IF($B728="",,SUMIFS(PerHeadcount[Month 15],PerHeadcount[exp_item],$H728,PerHeadcount[company_name],$B728)*Z203)</f>
        <v>0</v>
      </c>
      <c r="AA728" s="652">
        <f>IF($B728="",,SUMIFS(PerHeadcount[Month 16],PerHeadcount[exp_item],$H728,PerHeadcount[company_name],$B728)*AA203)</f>
        <v>0</v>
      </c>
      <c r="AB728" s="652">
        <f>IF($B728="",,SUMIFS(PerHeadcount[Month 17],PerHeadcount[exp_item],$H728,PerHeadcount[company_name],$B728)*AB203)</f>
        <v>0</v>
      </c>
      <c r="AC728" s="652">
        <f>IF($B728="",,SUMIFS(PerHeadcount[Month 18],PerHeadcount[exp_item],$H728,PerHeadcount[company_name],$B728)*AC203)</f>
        <v>0</v>
      </c>
      <c r="AD728" s="652">
        <f>IF($B728="",,SUMIFS(PerHeadcount[Month 19],PerHeadcount[exp_item],$H728,PerHeadcount[company_name],$B728)*AD203)</f>
        <v>0</v>
      </c>
      <c r="AE728" s="652">
        <f>IF($B728="",,SUMIFS(PerHeadcount[Month 20],PerHeadcount[exp_item],$H728,PerHeadcount[company_name],$B728)*AE203)</f>
        <v>0</v>
      </c>
      <c r="AF728" s="652">
        <f>IF($B728="",,SUMIFS(PerHeadcount[Month 21],PerHeadcount[exp_item],$H728,PerHeadcount[company_name],$B728)*AF203)</f>
        <v>0</v>
      </c>
      <c r="AG728" s="652">
        <f>IF($B728="",,SUMIFS(PerHeadcount[Month 22],PerHeadcount[exp_item],$H728,PerHeadcount[company_name],$B728)*AG203)</f>
        <v>0</v>
      </c>
      <c r="AH728" s="652">
        <f>IF($B728="",,SUMIFS(PerHeadcount[Month 23],PerHeadcount[exp_item],$H728,PerHeadcount[company_name],$B728)*AH203)</f>
        <v>0</v>
      </c>
      <c r="AI728" s="652">
        <f>IF($B728="",,SUMIFS(PerHeadcount[Month 24],PerHeadcount[exp_item],$H728,PerHeadcount[company_name],$B728)*AI203)</f>
        <v>0</v>
      </c>
      <c r="AJ728" s="652">
        <f>IF($B728="",,SUMIFS(PerHeadcount[Month 25],PerHeadcount[exp_item],$H728,PerHeadcount[company_name],$B728)*AJ203)</f>
        <v>0</v>
      </c>
      <c r="AK728" s="652">
        <f>IF($B728="",,SUMIFS(PerHeadcount[Month 26],PerHeadcount[exp_item],$H728,PerHeadcount[company_name],$B728)*AK203)</f>
        <v>0</v>
      </c>
      <c r="AL728" s="652">
        <f>IF($B728="",,SUMIFS(PerHeadcount[Month 27],PerHeadcount[exp_item],$H728,PerHeadcount[company_name],$B728)*AL203)</f>
        <v>0</v>
      </c>
      <c r="AM728" s="652">
        <f>IF($B728="",,SUMIFS(PerHeadcount[Month 28],PerHeadcount[exp_item],$H728,PerHeadcount[company_name],$B728)*AM203)</f>
        <v>0</v>
      </c>
      <c r="AN728" s="652">
        <f>IF($B728="",,SUMIFS(PerHeadcount[Month 29],PerHeadcount[exp_item],$H728,PerHeadcount[company_name],$B728)*AN203)</f>
        <v>0</v>
      </c>
      <c r="AO728" s="652">
        <f>IF($B728="",,SUMIFS(PerHeadcount[Month 30],PerHeadcount[exp_item],$H728,PerHeadcount[company_name],$B728)*AO203)</f>
        <v>0</v>
      </c>
      <c r="AP728" s="652">
        <f>IF($B728="",,SUMIFS(PerHeadcount[Month 31],PerHeadcount[exp_item],$H728,PerHeadcount[company_name],$B728)*AP203)</f>
        <v>0</v>
      </c>
      <c r="AQ728" s="652">
        <f>IF($B728="",,SUMIFS(PerHeadcount[Month 32],PerHeadcount[exp_item],$H728,PerHeadcount[company_name],$B728)*AQ203)</f>
        <v>0</v>
      </c>
      <c r="AR728" s="652">
        <f>IF($B728="",,SUMIFS(PerHeadcount[Month 33],PerHeadcount[exp_item],$H728,PerHeadcount[company_name],$B728)*AR203)</f>
        <v>0</v>
      </c>
      <c r="AS728" s="652">
        <f>IF($B728="",,SUMIFS(PerHeadcount[Month 34],PerHeadcount[exp_item],$H728,PerHeadcount[company_name],$B728)*AS203)</f>
        <v>0</v>
      </c>
      <c r="AT728" s="652">
        <f>IF($B728="",,SUMIFS(PerHeadcount[Month 35],PerHeadcount[exp_item],$H728,PerHeadcount[company_name],$B728)*AT203)</f>
        <v>0</v>
      </c>
      <c r="AU728" s="652">
        <f>IF($B728="",,SUMIFS(PerHeadcount[Month 36],PerHeadcount[exp_item],$H728,PerHeadcount[company_name],$B728)*AU203)</f>
        <v>0</v>
      </c>
    </row>
    <row r="729" spans="2:47" x14ac:dyDescent="0.35">
      <c r="B729" t="str">
        <f t="shared" si="431"/>
        <v/>
      </c>
      <c r="C729" t="str">
        <f t="shared" si="431"/>
        <v/>
      </c>
      <c r="D729" t="str">
        <f t="shared" si="431"/>
        <v/>
      </c>
      <c r="E729" t="str">
        <f t="shared" si="431"/>
        <v/>
      </c>
      <c r="F729" t="str">
        <f t="shared" si="431"/>
        <v/>
      </c>
      <c r="G729" t="str">
        <f t="shared" si="431"/>
        <v/>
      </c>
      <c r="H729" t="str">
        <f t="shared" si="429"/>
        <v/>
      </c>
      <c r="J729" t="str">
        <f>IF($H729="","",IF(VLOOKUP(H729,ExpItems[],2,0),H729&amp;" - "&amp;INDEX(DivisionMapping[category_code],MATCH($D729&amp;$C729,DivisionMapping[dept_bu],0)),H729))</f>
        <v/>
      </c>
      <c r="K729" t="str">
        <f t="shared" si="430"/>
        <v/>
      </c>
      <c r="L729" s="652">
        <f>IF($B729="",,SUMIFS(PerHeadcount[Month 1],PerHeadcount[exp_item],$H729,PerHeadcount[company_name],$B729)*L204)</f>
        <v>0</v>
      </c>
      <c r="M729" s="652">
        <f>IF($B729="",,SUMIFS(PerHeadcount[Month 2],PerHeadcount[exp_item],$H729,PerHeadcount[company_name],$B729)*M204)</f>
        <v>0</v>
      </c>
      <c r="N729" s="652">
        <f>IF($B729="",,SUMIFS(PerHeadcount[Month 3],PerHeadcount[exp_item],$H729,PerHeadcount[company_name],$B729)*N204)</f>
        <v>0</v>
      </c>
      <c r="O729" s="652">
        <f>IF($B729="",,SUMIFS(PerHeadcount[Month 4],PerHeadcount[exp_item],$H729,PerHeadcount[company_name],$B729)*O204)</f>
        <v>0</v>
      </c>
      <c r="P729" s="652">
        <f>IF($B729="",,SUMIFS(PerHeadcount[Month 5],PerHeadcount[exp_item],$H729,PerHeadcount[company_name],$B729)*P204)</f>
        <v>0</v>
      </c>
      <c r="Q729" s="652">
        <f>IF($B729="",,SUMIFS(PerHeadcount[Month 6],PerHeadcount[exp_item],$H729,PerHeadcount[company_name],$B729)*Q204)</f>
        <v>0</v>
      </c>
      <c r="R729" s="652">
        <f>IF($B729="",,SUMIFS(PerHeadcount[Month 7],PerHeadcount[exp_item],$H729,PerHeadcount[company_name],$B729)*R204)</f>
        <v>0</v>
      </c>
      <c r="S729" s="652">
        <f>IF($B729="",,SUMIFS(PerHeadcount[Month 8],PerHeadcount[exp_item],$H729,PerHeadcount[company_name],$B729)*S204)</f>
        <v>0</v>
      </c>
      <c r="T729" s="652">
        <f>IF($B729="",,SUMIFS(PerHeadcount[Month 9],PerHeadcount[exp_item],$H729,PerHeadcount[company_name],$B729)*T204)</f>
        <v>0</v>
      </c>
      <c r="U729" s="652">
        <f>IF($B729="",,SUMIFS(PerHeadcount[Month 10],PerHeadcount[exp_item],$H729,PerHeadcount[company_name],$B729)*U204)</f>
        <v>0</v>
      </c>
      <c r="V729" s="652">
        <f>IF($B729="",,SUMIFS(PerHeadcount[Month 11],PerHeadcount[exp_item],$H729,PerHeadcount[company_name],$B729)*V204)</f>
        <v>0</v>
      </c>
      <c r="W729" s="652">
        <f>IF($B729="",,SUMIFS(PerHeadcount[Month 12],PerHeadcount[exp_item],$H729,PerHeadcount[company_name],$B729)*W204)</f>
        <v>0</v>
      </c>
      <c r="X729" s="652">
        <f>IF($B729="",,SUMIFS(PerHeadcount[Month 13],PerHeadcount[exp_item],$H729,PerHeadcount[company_name],$B729)*X204)</f>
        <v>0</v>
      </c>
      <c r="Y729" s="652">
        <f>IF($B729="",,SUMIFS(PerHeadcount[Month 14],PerHeadcount[exp_item],$H729,PerHeadcount[company_name],$B729)*Y204)</f>
        <v>0</v>
      </c>
      <c r="Z729" s="652">
        <f>IF($B729="",,SUMIFS(PerHeadcount[Month 15],PerHeadcount[exp_item],$H729,PerHeadcount[company_name],$B729)*Z204)</f>
        <v>0</v>
      </c>
      <c r="AA729" s="652">
        <f>IF($B729="",,SUMIFS(PerHeadcount[Month 16],PerHeadcount[exp_item],$H729,PerHeadcount[company_name],$B729)*AA204)</f>
        <v>0</v>
      </c>
      <c r="AB729" s="652">
        <f>IF($B729="",,SUMIFS(PerHeadcount[Month 17],PerHeadcount[exp_item],$H729,PerHeadcount[company_name],$B729)*AB204)</f>
        <v>0</v>
      </c>
      <c r="AC729" s="652">
        <f>IF($B729="",,SUMIFS(PerHeadcount[Month 18],PerHeadcount[exp_item],$H729,PerHeadcount[company_name],$B729)*AC204)</f>
        <v>0</v>
      </c>
      <c r="AD729" s="652">
        <f>IF($B729="",,SUMIFS(PerHeadcount[Month 19],PerHeadcount[exp_item],$H729,PerHeadcount[company_name],$B729)*AD204)</f>
        <v>0</v>
      </c>
      <c r="AE729" s="652">
        <f>IF($B729="",,SUMIFS(PerHeadcount[Month 20],PerHeadcount[exp_item],$H729,PerHeadcount[company_name],$B729)*AE204)</f>
        <v>0</v>
      </c>
      <c r="AF729" s="652">
        <f>IF($B729="",,SUMIFS(PerHeadcount[Month 21],PerHeadcount[exp_item],$H729,PerHeadcount[company_name],$B729)*AF204)</f>
        <v>0</v>
      </c>
      <c r="AG729" s="652">
        <f>IF($B729="",,SUMIFS(PerHeadcount[Month 22],PerHeadcount[exp_item],$H729,PerHeadcount[company_name],$B729)*AG204)</f>
        <v>0</v>
      </c>
      <c r="AH729" s="652">
        <f>IF($B729="",,SUMIFS(PerHeadcount[Month 23],PerHeadcount[exp_item],$H729,PerHeadcount[company_name],$B729)*AH204)</f>
        <v>0</v>
      </c>
      <c r="AI729" s="652">
        <f>IF($B729="",,SUMIFS(PerHeadcount[Month 24],PerHeadcount[exp_item],$H729,PerHeadcount[company_name],$B729)*AI204)</f>
        <v>0</v>
      </c>
      <c r="AJ729" s="652">
        <f>IF($B729="",,SUMIFS(PerHeadcount[Month 25],PerHeadcount[exp_item],$H729,PerHeadcount[company_name],$B729)*AJ204)</f>
        <v>0</v>
      </c>
      <c r="AK729" s="652">
        <f>IF($B729="",,SUMIFS(PerHeadcount[Month 26],PerHeadcount[exp_item],$H729,PerHeadcount[company_name],$B729)*AK204)</f>
        <v>0</v>
      </c>
      <c r="AL729" s="652">
        <f>IF($B729="",,SUMIFS(PerHeadcount[Month 27],PerHeadcount[exp_item],$H729,PerHeadcount[company_name],$B729)*AL204)</f>
        <v>0</v>
      </c>
      <c r="AM729" s="652">
        <f>IF($B729="",,SUMIFS(PerHeadcount[Month 28],PerHeadcount[exp_item],$H729,PerHeadcount[company_name],$B729)*AM204)</f>
        <v>0</v>
      </c>
      <c r="AN729" s="652">
        <f>IF($B729="",,SUMIFS(PerHeadcount[Month 29],PerHeadcount[exp_item],$H729,PerHeadcount[company_name],$B729)*AN204)</f>
        <v>0</v>
      </c>
      <c r="AO729" s="652">
        <f>IF($B729="",,SUMIFS(PerHeadcount[Month 30],PerHeadcount[exp_item],$H729,PerHeadcount[company_name],$B729)*AO204)</f>
        <v>0</v>
      </c>
      <c r="AP729" s="652">
        <f>IF($B729="",,SUMIFS(PerHeadcount[Month 31],PerHeadcount[exp_item],$H729,PerHeadcount[company_name],$B729)*AP204)</f>
        <v>0</v>
      </c>
      <c r="AQ729" s="652">
        <f>IF($B729="",,SUMIFS(PerHeadcount[Month 32],PerHeadcount[exp_item],$H729,PerHeadcount[company_name],$B729)*AQ204)</f>
        <v>0</v>
      </c>
      <c r="AR729" s="652">
        <f>IF($B729="",,SUMIFS(PerHeadcount[Month 33],PerHeadcount[exp_item],$H729,PerHeadcount[company_name],$B729)*AR204)</f>
        <v>0</v>
      </c>
      <c r="AS729" s="652">
        <f>IF($B729="",,SUMIFS(PerHeadcount[Month 34],PerHeadcount[exp_item],$H729,PerHeadcount[company_name],$B729)*AS204)</f>
        <v>0</v>
      </c>
      <c r="AT729" s="652">
        <f>IF($B729="",,SUMIFS(PerHeadcount[Month 35],PerHeadcount[exp_item],$H729,PerHeadcount[company_name],$B729)*AT204)</f>
        <v>0</v>
      </c>
      <c r="AU729" s="652">
        <f>IF($B729="",,SUMIFS(PerHeadcount[Month 36],PerHeadcount[exp_item],$H729,PerHeadcount[company_name],$B729)*AU204)</f>
        <v>0</v>
      </c>
    </row>
    <row r="730" spans="2:47" x14ac:dyDescent="0.35">
      <c r="B730" t="str">
        <f t="shared" si="431"/>
        <v/>
      </c>
      <c r="C730" t="str">
        <f t="shared" si="431"/>
        <v/>
      </c>
      <c r="D730" t="str">
        <f t="shared" si="431"/>
        <v/>
      </c>
      <c r="E730" t="str">
        <f t="shared" si="431"/>
        <v/>
      </c>
      <c r="F730" t="str">
        <f t="shared" si="431"/>
        <v/>
      </c>
      <c r="G730" t="str">
        <f t="shared" si="431"/>
        <v/>
      </c>
      <c r="H730" t="str">
        <f t="shared" si="429"/>
        <v/>
      </c>
      <c r="J730" t="str">
        <f>IF($H730="","",IF(VLOOKUP(H730,ExpItems[],2,0),H730&amp;" - "&amp;INDEX(DivisionMapping[category_code],MATCH($D730&amp;$C730,DivisionMapping[dept_bu],0)),H730))</f>
        <v/>
      </c>
      <c r="K730" t="str">
        <f t="shared" si="430"/>
        <v/>
      </c>
      <c r="L730" s="652">
        <f>IF($B730="",,SUMIFS(PerHeadcount[Month 1],PerHeadcount[exp_item],$H730,PerHeadcount[company_name],$B730)*L205)</f>
        <v>0</v>
      </c>
      <c r="M730" s="652">
        <f>IF($B730="",,SUMIFS(PerHeadcount[Month 2],PerHeadcount[exp_item],$H730,PerHeadcount[company_name],$B730)*M205)</f>
        <v>0</v>
      </c>
      <c r="N730" s="652">
        <f>IF($B730="",,SUMIFS(PerHeadcount[Month 3],PerHeadcount[exp_item],$H730,PerHeadcount[company_name],$B730)*N205)</f>
        <v>0</v>
      </c>
      <c r="O730" s="652">
        <f>IF($B730="",,SUMIFS(PerHeadcount[Month 4],PerHeadcount[exp_item],$H730,PerHeadcount[company_name],$B730)*O205)</f>
        <v>0</v>
      </c>
      <c r="P730" s="652">
        <f>IF($B730="",,SUMIFS(PerHeadcount[Month 5],PerHeadcount[exp_item],$H730,PerHeadcount[company_name],$B730)*P205)</f>
        <v>0</v>
      </c>
      <c r="Q730" s="652">
        <f>IF($B730="",,SUMIFS(PerHeadcount[Month 6],PerHeadcount[exp_item],$H730,PerHeadcount[company_name],$B730)*Q205)</f>
        <v>0</v>
      </c>
      <c r="R730" s="652">
        <f>IF($B730="",,SUMIFS(PerHeadcount[Month 7],PerHeadcount[exp_item],$H730,PerHeadcount[company_name],$B730)*R205)</f>
        <v>0</v>
      </c>
      <c r="S730" s="652">
        <f>IF($B730="",,SUMIFS(PerHeadcount[Month 8],PerHeadcount[exp_item],$H730,PerHeadcount[company_name],$B730)*S205)</f>
        <v>0</v>
      </c>
      <c r="T730" s="652">
        <f>IF($B730="",,SUMIFS(PerHeadcount[Month 9],PerHeadcount[exp_item],$H730,PerHeadcount[company_name],$B730)*T205)</f>
        <v>0</v>
      </c>
      <c r="U730" s="652">
        <f>IF($B730="",,SUMIFS(PerHeadcount[Month 10],PerHeadcount[exp_item],$H730,PerHeadcount[company_name],$B730)*U205)</f>
        <v>0</v>
      </c>
      <c r="V730" s="652">
        <f>IF($B730="",,SUMIFS(PerHeadcount[Month 11],PerHeadcount[exp_item],$H730,PerHeadcount[company_name],$B730)*V205)</f>
        <v>0</v>
      </c>
      <c r="W730" s="652">
        <f>IF($B730="",,SUMIFS(PerHeadcount[Month 12],PerHeadcount[exp_item],$H730,PerHeadcount[company_name],$B730)*W205)</f>
        <v>0</v>
      </c>
      <c r="X730" s="652">
        <f>IF($B730="",,SUMIFS(PerHeadcount[Month 13],PerHeadcount[exp_item],$H730,PerHeadcount[company_name],$B730)*X205)</f>
        <v>0</v>
      </c>
      <c r="Y730" s="652">
        <f>IF($B730="",,SUMIFS(PerHeadcount[Month 14],PerHeadcount[exp_item],$H730,PerHeadcount[company_name],$B730)*Y205)</f>
        <v>0</v>
      </c>
      <c r="Z730" s="652">
        <f>IF($B730="",,SUMIFS(PerHeadcount[Month 15],PerHeadcount[exp_item],$H730,PerHeadcount[company_name],$B730)*Z205)</f>
        <v>0</v>
      </c>
      <c r="AA730" s="652">
        <f>IF($B730="",,SUMIFS(PerHeadcount[Month 16],PerHeadcount[exp_item],$H730,PerHeadcount[company_name],$B730)*AA205)</f>
        <v>0</v>
      </c>
      <c r="AB730" s="652">
        <f>IF($B730="",,SUMIFS(PerHeadcount[Month 17],PerHeadcount[exp_item],$H730,PerHeadcount[company_name],$B730)*AB205)</f>
        <v>0</v>
      </c>
      <c r="AC730" s="652">
        <f>IF($B730="",,SUMIFS(PerHeadcount[Month 18],PerHeadcount[exp_item],$H730,PerHeadcount[company_name],$B730)*AC205)</f>
        <v>0</v>
      </c>
      <c r="AD730" s="652">
        <f>IF($B730="",,SUMIFS(PerHeadcount[Month 19],PerHeadcount[exp_item],$H730,PerHeadcount[company_name],$B730)*AD205)</f>
        <v>0</v>
      </c>
      <c r="AE730" s="652">
        <f>IF($B730="",,SUMIFS(PerHeadcount[Month 20],PerHeadcount[exp_item],$H730,PerHeadcount[company_name],$B730)*AE205)</f>
        <v>0</v>
      </c>
      <c r="AF730" s="652">
        <f>IF($B730="",,SUMIFS(PerHeadcount[Month 21],PerHeadcount[exp_item],$H730,PerHeadcount[company_name],$B730)*AF205)</f>
        <v>0</v>
      </c>
      <c r="AG730" s="652">
        <f>IF($B730="",,SUMIFS(PerHeadcount[Month 22],PerHeadcount[exp_item],$H730,PerHeadcount[company_name],$B730)*AG205)</f>
        <v>0</v>
      </c>
      <c r="AH730" s="652">
        <f>IF($B730="",,SUMIFS(PerHeadcount[Month 23],PerHeadcount[exp_item],$H730,PerHeadcount[company_name],$B730)*AH205)</f>
        <v>0</v>
      </c>
      <c r="AI730" s="652">
        <f>IF($B730="",,SUMIFS(PerHeadcount[Month 24],PerHeadcount[exp_item],$H730,PerHeadcount[company_name],$B730)*AI205)</f>
        <v>0</v>
      </c>
      <c r="AJ730" s="652">
        <f>IF($B730="",,SUMIFS(PerHeadcount[Month 25],PerHeadcount[exp_item],$H730,PerHeadcount[company_name],$B730)*AJ205)</f>
        <v>0</v>
      </c>
      <c r="AK730" s="652">
        <f>IF($B730="",,SUMIFS(PerHeadcount[Month 26],PerHeadcount[exp_item],$H730,PerHeadcount[company_name],$B730)*AK205)</f>
        <v>0</v>
      </c>
      <c r="AL730" s="652">
        <f>IF($B730="",,SUMIFS(PerHeadcount[Month 27],PerHeadcount[exp_item],$H730,PerHeadcount[company_name],$B730)*AL205)</f>
        <v>0</v>
      </c>
      <c r="AM730" s="652">
        <f>IF($B730="",,SUMIFS(PerHeadcount[Month 28],PerHeadcount[exp_item],$H730,PerHeadcount[company_name],$B730)*AM205)</f>
        <v>0</v>
      </c>
      <c r="AN730" s="652">
        <f>IF($B730="",,SUMIFS(PerHeadcount[Month 29],PerHeadcount[exp_item],$H730,PerHeadcount[company_name],$B730)*AN205)</f>
        <v>0</v>
      </c>
      <c r="AO730" s="652">
        <f>IF($B730="",,SUMIFS(PerHeadcount[Month 30],PerHeadcount[exp_item],$H730,PerHeadcount[company_name],$B730)*AO205)</f>
        <v>0</v>
      </c>
      <c r="AP730" s="652">
        <f>IF($B730="",,SUMIFS(PerHeadcount[Month 31],PerHeadcount[exp_item],$H730,PerHeadcount[company_name],$B730)*AP205)</f>
        <v>0</v>
      </c>
      <c r="AQ730" s="652">
        <f>IF($B730="",,SUMIFS(PerHeadcount[Month 32],PerHeadcount[exp_item],$H730,PerHeadcount[company_name],$B730)*AQ205)</f>
        <v>0</v>
      </c>
      <c r="AR730" s="652">
        <f>IF($B730="",,SUMIFS(PerHeadcount[Month 33],PerHeadcount[exp_item],$H730,PerHeadcount[company_name],$B730)*AR205)</f>
        <v>0</v>
      </c>
      <c r="AS730" s="652">
        <f>IF($B730="",,SUMIFS(PerHeadcount[Month 34],PerHeadcount[exp_item],$H730,PerHeadcount[company_name],$B730)*AS205)</f>
        <v>0</v>
      </c>
      <c r="AT730" s="652">
        <f>IF($B730="",,SUMIFS(PerHeadcount[Month 35],PerHeadcount[exp_item],$H730,PerHeadcount[company_name],$B730)*AT205)</f>
        <v>0</v>
      </c>
      <c r="AU730" s="652">
        <f>IF($B730="",,SUMIFS(PerHeadcount[Month 36],PerHeadcount[exp_item],$H730,PerHeadcount[company_name],$B730)*AU205)</f>
        <v>0</v>
      </c>
    </row>
    <row r="731" spans="2:47" x14ac:dyDescent="0.35">
      <c r="B731" t="str">
        <f t="shared" ref="B731:G740" si="432">IF(B626="","",B626)</f>
        <v/>
      </c>
      <c r="C731" t="str">
        <f t="shared" si="432"/>
        <v/>
      </c>
      <c r="D731" t="str">
        <f t="shared" si="432"/>
        <v/>
      </c>
      <c r="E731" t="str">
        <f t="shared" si="432"/>
        <v/>
      </c>
      <c r="F731" t="str">
        <f t="shared" si="432"/>
        <v/>
      </c>
      <c r="G731" t="str">
        <f t="shared" si="432"/>
        <v/>
      </c>
      <c r="H731" t="str">
        <f t="shared" si="429"/>
        <v/>
      </c>
      <c r="J731" t="str">
        <f>IF($H731="","",IF(VLOOKUP(H731,ExpItems[],2,0),H731&amp;" - "&amp;INDEX(DivisionMapping[category_code],MATCH($D731&amp;$C731,DivisionMapping[dept_bu],0)),H731))</f>
        <v/>
      </c>
      <c r="K731" t="str">
        <f t="shared" si="430"/>
        <v/>
      </c>
      <c r="L731" s="652">
        <f>IF($B731="",,SUMIFS(PerHeadcount[Month 1],PerHeadcount[exp_item],$H731,PerHeadcount[company_name],$B731)*L206)</f>
        <v>0</v>
      </c>
      <c r="M731" s="652">
        <f>IF($B731="",,SUMIFS(PerHeadcount[Month 2],PerHeadcount[exp_item],$H731,PerHeadcount[company_name],$B731)*M206)</f>
        <v>0</v>
      </c>
      <c r="N731" s="652">
        <f>IF($B731="",,SUMIFS(PerHeadcount[Month 3],PerHeadcount[exp_item],$H731,PerHeadcount[company_name],$B731)*N206)</f>
        <v>0</v>
      </c>
      <c r="O731" s="652">
        <f>IF($B731="",,SUMIFS(PerHeadcount[Month 4],PerHeadcount[exp_item],$H731,PerHeadcount[company_name],$B731)*O206)</f>
        <v>0</v>
      </c>
      <c r="P731" s="652">
        <f>IF($B731="",,SUMIFS(PerHeadcount[Month 5],PerHeadcount[exp_item],$H731,PerHeadcount[company_name],$B731)*P206)</f>
        <v>0</v>
      </c>
      <c r="Q731" s="652">
        <f>IF($B731="",,SUMIFS(PerHeadcount[Month 6],PerHeadcount[exp_item],$H731,PerHeadcount[company_name],$B731)*Q206)</f>
        <v>0</v>
      </c>
      <c r="R731" s="652">
        <f>IF($B731="",,SUMIFS(PerHeadcount[Month 7],PerHeadcount[exp_item],$H731,PerHeadcount[company_name],$B731)*R206)</f>
        <v>0</v>
      </c>
      <c r="S731" s="652">
        <f>IF($B731="",,SUMIFS(PerHeadcount[Month 8],PerHeadcount[exp_item],$H731,PerHeadcount[company_name],$B731)*S206)</f>
        <v>0</v>
      </c>
      <c r="T731" s="652">
        <f>IF($B731="",,SUMIFS(PerHeadcount[Month 9],PerHeadcount[exp_item],$H731,PerHeadcount[company_name],$B731)*T206)</f>
        <v>0</v>
      </c>
      <c r="U731" s="652">
        <f>IF($B731="",,SUMIFS(PerHeadcount[Month 10],PerHeadcount[exp_item],$H731,PerHeadcount[company_name],$B731)*U206)</f>
        <v>0</v>
      </c>
      <c r="V731" s="652">
        <f>IF($B731="",,SUMIFS(PerHeadcount[Month 11],PerHeadcount[exp_item],$H731,PerHeadcount[company_name],$B731)*V206)</f>
        <v>0</v>
      </c>
      <c r="W731" s="652">
        <f>IF($B731="",,SUMIFS(PerHeadcount[Month 12],PerHeadcount[exp_item],$H731,PerHeadcount[company_name],$B731)*W206)</f>
        <v>0</v>
      </c>
      <c r="X731" s="652">
        <f>IF($B731="",,SUMIFS(PerHeadcount[Month 13],PerHeadcount[exp_item],$H731,PerHeadcount[company_name],$B731)*X206)</f>
        <v>0</v>
      </c>
      <c r="Y731" s="652">
        <f>IF($B731="",,SUMIFS(PerHeadcount[Month 14],PerHeadcount[exp_item],$H731,PerHeadcount[company_name],$B731)*Y206)</f>
        <v>0</v>
      </c>
      <c r="Z731" s="652">
        <f>IF($B731="",,SUMIFS(PerHeadcount[Month 15],PerHeadcount[exp_item],$H731,PerHeadcount[company_name],$B731)*Z206)</f>
        <v>0</v>
      </c>
      <c r="AA731" s="652">
        <f>IF($B731="",,SUMIFS(PerHeadcount[Month 16],PerHeadcount[exp_item],$H731,PerHeadcount[company_name],$B731)*AA206)</f>
        <v>0</v>
      </c>
      <c r="AB731" s="652">
        <f>IF($B731="",,SUMIFS(PerHeadcount[Month 17],PerHeadcount[exp_item],$H731,PerHeadcount[company_name],$B731)*AB206)</f>
        <v>0</v>
      </c>
      <c r="AC731" s="652">
        <f>IF($B731="",,SUMIFS(PerHeadcount[Month 18],PerHeadcount[exp_item],$H731,PerHeadcount[company_name],$B731)*AC206)</f>
        <v>0</v>
      </c>
      <c r="AD731" s="652">
        <f>IF($B731="",,SUMIFS(PerHeadcount[Month 19],PerHeadcount[exp_item],$H731,PerHeadcount[company_name],$B731)*AD206)</f>
        <v>0</v>
      </c>
      <c r="AE731" s="652">
        <f>IF($B731="",,SUMIFS(PerHeadcount[Month 20],PerHeadcount[exp_item],$H731,PerHeadcount[company_name],$B731)*AE206)</f>
        <v>0</v>
      </c>
      <c r="AF731" s="652">
        <f>IF($B731="",,SUMIFS(PerHeadcount[Month 21],PerHeadcount[exp_item],$H731,PerHeadcount[company_name],$B731)*AF206)</f>
        <v>0</v>
      </c>
      <c r="AG731" s="652">
        <f>IF($B731="",,SUMIFS(PerHeadcount[Month 22],PerHeadcount[exp_item],$H731,PerHeadcount[company_name],$B731)*AG206)</f>
        <v>0</v>
      </c>
      <c r="AH731" s="652">
        <f>IF($B731="",,SUMIFS(PerHeadcount[Month 23],PerHeadcount[exp_item],$H731,PerHeadcount[company_name],$B731)*AH206)</f>
        <v>0</v>
      </c>
      <c r="AI731" s="652">
        <f>IF($B731="",,SUMIFS(PerHeadcount[Month 24],PerHeadcount[exp_item],$H731,PerHeadcount[company_name],$B731)*AI206)</f>
        <v>0</v>
      </c>
      <c r="AJ731" s="652">
        <f>IF($B731="",,SUMIFS(PerHeadcount[Month 25],PerHeadcount[exp_item],$H731,PerHeadcount[company_name],$B731)*AJ206)</f>
        <v>0</v>
      </c>
      <c r="AK731" s="652">
        <f>IF($B731="",,SUMIFS(PerHeadcount[Month 26],PerHeadcount[exp_item],$H731,PerHeadcount[company_name],$B731)*AK206)</f>
        <v>0</v>
      </c>
      <c r="AL731" s="652">
        <f>IF($B731="",,SUMIFS(PerHeadcount[Month 27],PerHeadcount[exp_item],$H731,PerHeadcount[company_name],$B731)*AL206)</f>
        <v>0</v>
      </c>
      <c r="AM731" s="652">
        <f>IF($B731="",,SUMIFS(PerHeadcount[Month 28],PerHeadcount[exp_item],$H731,PerHeadcount[company_name],$B731)*AM206)</f>
        <v>0</v>
      </c>
      <c r="AN731" s="652">
        <f>IF($B731="",,SUMIFS(PerHeadcount[Month 29],PerHeadcount[exp_item],$H731,PerHeadcount[company_name],$B731)*AN206)</f>
        <v>0</v>
      </c>
      <c r="AO731" s="652">
        <f>IF($B731="",,SUMIFS(PerHeadcount[Month 30],PerHeadcount[exp_item],$H731,PerHeadcount[company_name],$B731)*AO206)</f>
        <v>0</v>
      </c>
      <c r="AP731" s="652">
        <f>IF($B731="",,SUMIFS(PerHeadcount[Month 31],PerHeadcount[exp_item],$H731,PerHeadcount[company_name],$B731)*AP206)</f>
        <v>0</v>
      </c>
      <c r="AQ731" s="652">
        <f>IF($B731="",,SUMIFS(PerHeadcount[Month 32],PerHeadcount[exp_item],$H731,PerHeadcount[company_name],$B731)*AQ206)</f>
        <v>0</v>
      </c>
      <c r="AR731" s="652">
        <f>IF($B731="",,SUMIFS(PerHeadcount[Month 33],PerHeadcount[exp_item],$H731,PerHeadcount[company_name],$B731)*AR206)</f>
        <v>0</v>
      </c>
      <c r="AS731" s="652">
        <f>IF($B731="",,SUMIFS(PerHeadcount[Month 34],PerHeadcount[exp_item],$H731,PerHeadcount[company_name],$B731)*AS206)</f>
        <v>0</v>
      </c>
      <c r="AT731" s="652">
        <f>IF($B731="",,SUMIFS(PerHeadcount[Month 35],PerHeadcount[exp_item],$H731,PerHeadcount[company_name],$B731)*AT206)</f>
        <v>0</v>
      </c>
      <c r="AU731" s="652">
        <f>IF($B731="",,SUMIFS(PerHeadcount[Month 36],PerHeadcount[exp_item],$H731,PerHeadcount[company_name],$B731)*AU206)</f>
        <v>0</v>
      </c>
    </row>
    <row r="732" spans="2:47" x14ac:dyDescent="0.35">
      <c r="B732" t="str">
        <f t="shared" si="432"/>
        <v/>
      </c>
      <c r="C732" t="str">
        <f t="shared" si="432"/>
        <v/>
      </c>
      <c r="D732" t="str">
        <f t="shared" si="432"/>
        <v/>
      </c>
      <c r="E732" t="str">
        <f t="shared" si="432"/>
        <v/>
      </c>
      <c r="F732" t="str">
        <f t="shared" si="432"/>
        <v/>
      </c>
      <c r="G732" t="str">
        <f t="shared" si="432"/>
        <v/>
      </c>
      <c r="H732" t="str">
        <f t="shared" si="429"/>
        <v/>
      </c>
      <c r="J732" t="str">
        <f>IF($H732="","",IF(VLOOKUP(H732,ExpItems[],2,0),H732&amp;" - "&amp;INDEX(DivisionMapping[category_code],MATCH($D732&amp;$C732,DivisionMapping[dept_bu],0)),H732))</f>
        <v/>
      </c>
      <c r="K732" t="str">
        <f t="shared" si="430"/>
        <v/>
      </c>
      <c r="L732" s="652">
        <f>IF($B732="",,SUMIFS(PerHeadcount[Month 1],PerHeadcount[exp_item],$H732,PerHeadcount[company_name],$B732)*L207)</f>
        <v>0</v>
      </c>
      <c r="M732" s="652">
        <f>IF($B732="",,SUMIFS(PerHeadcount[Month 2],PerHeadcount[exp_item],$H732,PerHeadcount[company_name],$B732)*M207)</f>
        <v>0</v>
      </c>
      <c r="N732" s="652">
        <f>IF($B732="",,SUMIFS(PerHeadcount[Month 3],PerHeadcount[exp_item],$H732,PerHeadcount[company_name],$B732)*N207)</f>
        <v>0</v>
      </c>
      <c r="O732" s="652">
        <f>IF($B732="",,SUMIFS(PerHeadcount[Month 4],PerHeadcount[exp_item],$H732,PerHeadcount[company_name],$B732)*O207)</f>
        <v>0</v>
      </c>
      <c r="P732" s="652">
        <f>IF($B732="",,SUMIFS(PerHeadcount[Month 5],PerHeadcount[exp_item],$H732,PerHeadcount[company_name],$B732)*P207)</f>
        <v>0</v>
      </c>
      <c r="Q732" s="652">
        <f>IF($B732="",,SUMIFS(PerHeadcount[Month 6],PerHeadcount[exp_item],$H732,PerHeadcount[company_name],$B732)*Q207)</f>
        <v>0</v>
      </c>
      <c r="R732" s="652">
        <f>IF($B732="",,SUMIFS(PerHeadcount[Month 7],PerHeadcount[exp_item],$H732,PerHeadcount[company_name],$B732)*R207)</f>
        <v>0</v>
      </c>
      <c r="S732" s="652">
        <f>IF($B732="",,SUMIFS(PerHeadcount[Month 8],PerHeadcount[exp_item],$H732,PerHeadcount[company_name],$B732)*S207)</f>
        <v>0</v>
      </c>
      <c r="T732" s="652">
        <f>IF($B732="",,SUMIFS(PerHeadcount[Month 9],PerHeadcount[exp_item],$H732,PerHeadcount[company_name],$B732)*T207)</f>
        <v>0</v>
      </c>
      <c r="U732" s="652">
        <f>IF($B732="",,SUMIFS(PerHeadcount[Month 10],PerHeadcount[exp_item],$H732,PerHeadcount[company_name],$B732)*U207)</f>
        <v>0</v>
      </c>
      <c r="V732" s="652">
        <f>IF($B732="",,SUMIFS(PerHeadcount[Month 11],PerHeadcount[exp_item],$H732,PerHeadcount[company_name],$B732)*V207)</f>
        <v>0</v>
      </c>
      <c r="W732" s="652">
        <f>IF($B732="",,SUMIFS(PerHeadcount[Month 12],PerHeadcount[exp_item],$H732,PerHeadcount[company_name],$B732)*W207)</f>
        <v>0</v>
      </c>
      <c r="X732" s="652">
        <f>IF($B732="",,SUMIFS(PerHeadcount[Month 13],PerHeadcount[exp_item],$H732,PerHeadcount[company_name],$B732)*X207)</f>
        <v>0</v>
      </c>
      <c r="Y732" s="652">
        <f>IF($B732="",,SUMIFS(PerHeadcount[Month 14],PerHeadcount[exp_item],$H732,PerHeadcount[company_name],$B732)*Y207)</f>
        <v>0</v>
      </c>
      <c r="Z732" s="652">
        <f>IF($B732="",,SUMIFS(PerHeadcount[Month 15],PerHeadcount[exp_item],$H732,PerHeadcount[company_name],$B732)*Z207)</f>
        <v>0</v>
      </c>
      <c r="AA732" s="652">
        <f>IF($B732="",,SUMIFS(PerHeadcount[Month 16],PerHeadcount[exp_item],$H732,PerHeadcount[company_name],$B732)*AA207)</f>
        <v>0</v>
      </c>
      <c r="AB732" s="652">
        <f>IF($B732="",,SUMIFS(PerHeadcount[Month 17],PerHeadcount[exp_item],$H732,PerHeadcount[company_name],$B732)*AB207)</f>
        <v>0</v>
      </c>
      <c r="AC732" s="652">
        <f>IF($B732="",,SUMIFS(PerHeadcount[Month 18],PerHeadcount[exp_item],$H732,PerHeadcount[company_name],$B732)*AC207)</f>
        <v>0</v>
      </c>
      <c r="AD732" s="652">
        <f>IF($B732="",,SUMIFS(PerHeadcount[Month 19],PerHeadcount[exp_item],$H732,PerHeadcount[company_name],$B732)*AD207)</f>
        <v>0</v>
      </c>
      <c r="AE732" s="652">
        <f>IF($B732="",,SUMIFS(PerHeadcount[Month 20],PerHeadcount[exp_item],$H732,PerHeadcount[company_name],$B732)*AE207)</f>
        <v>0</v>
      </c>
      <c r="AF732" s="652">
        <f>IF($B732="",,SUMIFS(PerHeadcount[Month 21],PerHeadcount[exp_item],$H732,PerHeadcount[company_name],$B732)*AF207)</f>
        <v>0</v>
      </c>
      <c r="AG732" s="652">
        <f>IF($B732="",,SUMIFS(PerHeadcount[Month 22],PerHeadcount[exp_item],$H732,PerHeadcount[company_name],$B732)*AG207)</f>
        <v>0</v>
      </c>
      <c r="AH732" s="652">
        <f>IF($B732="",,SUMIFS(PerHeadcount[Month 23],PerHeadcount[exp_item],$H732,PerHeadcount[company_name],$B732)*AH207)</f>
        <v>0</v>
      </c>
      <c r="AI732" s="652">
        <f>IF($B732="",,SUMIFS(PerHeadcount[Month 24],PerHeadcount[exp_item],$H732,PerHeadcount[company_name],$B732)*AI207)</f>
        <v>0</v>
      </c>
      <c r="AJ732" s="652">
        <f>IF($B732="",,SUMIFS(PerHeadcount[Month 25],PerHeadcount[exp_item],$H732,PerHeadcount[company_name],$B732)*AJ207)</f>
        <v>0</v>
      </c>
      <c r="AK732" s="652">
        <f>IF($B732="",,SUMIFS(PerHeadcount[Month 26],PerHeadcount[exp_item],$H732,PerHeadcount[company_name],$B732)*AK207)</f>
        <v>0</v>
      </c>
      <c r="AL732" s="652">
        <f>IF($B732="",,SUMIFS(PerHeadcount[Month 27],PerHeadcount[exp_item],$H732,PerHeadcount[company_name],$B732)*AL207)</f>
        <v>0</v>
      </c>
      <c r="AM732" s="652">
        <f>IF($B732="",,SUMIFS(PerHeadcount[Month 28],PerHeadcount[exp_item],$H732,PerHeadcount[company_name],$B732)*AM207)</f>
        <v>0</v>
      </c>
      <c r="AN732" s="652">
        <f>IF($B732="",,SUMIFS(PerHeadcount[Month 29],PerHeadcount[exp_item],$H732,PerHeadcount[company_name],$B732)*AN207)</f>
        <v>0</v>
      </c>
      <c r="AO732" s="652">
        <f>IF($B732="",,SUMIFS(PerHeadcount[Month 30],PerHeadcount[exp_item],$H732,PerHeadcount[company_name],$B732)*AO207)</f>
        <v>0</v>
      </c>
      <c r="AP732" s="652">
        <f>IF($B732="",,SUMIFS(PerHeadcount[Month 31],PerHeadcount[exp_item],$H732,PerHeadcount[company_name],$B732)*AP207)</f>
        <v>0</v>
      </c>
      <c r="AQ732" s="652">
        <f>IF($B732="",,SUMIFS(PerHeadcount[Month 32],PerHeadcount[exp_item],$H732,PerHeadcount[company_name],$B732)*AQ207)</f>
        <v>0</v>
      </c>
      <c r="AR732" s="652">
        <f>IF($B732="",,SUMIFS(PerHeadcount[Month 33],PerHeadcount[exp_item],$H732,PerHeadcount[company_name],$B732)*AR207)</f>
        <v>0</v>
      </c>
      <c r="AS732" s="652">
        <f>IF($B732="",,SUMIFS(PerHeadcount[Month 34],PerHeadcount[exp_item],$H732,PerHeadcount[company_name],$B732)*AS207)</f>
        <v>0</v>
      </c>
      <c r="AT732" s="652">
        <f>IF($B732="",,SUMIFS(PerHeadcount[Month 35],PerHeadcount[exp_item],$H732,PerHeadcount[company_name],$B732)*AT207)</f>
        <v>0</v>
      </c>
      <c r="AU732" s="652">
        <f>IF($B732="",,SUMIFS(PerHeadcount[Month 36],PerHeadcount[exp_item],$H732,PerHeadcount[company_name],$B732)*AU207)</f>
        <v>0</v>
      </c>
    </row>
    <row r="733" spans="2:47" x14ac:dyDescent="0.35">
      <c r="B733" t="str">
        <f t="shared" si="432"/>
        <v/>
      </c>
      <c r="C733" t="str">
        <f t="shared" si="432"/>
        <v/>
      </c>
      <c r="D733" t="str">
        <f t="shared" si="432"/>
        <v/>
      </c>
      <c r="E733" t="str">
        <f t="shared" si="432"/>
        <v/>
      </c>
      <c r="F733" t="str">
        <f t="shared" si="432"/>
        <v/>
      </c>
      <c r="G733" t="str">
        <f t="shared" si="432"/>
        <v/>
      </c>
      <c r="H733" t="str">
        <f t="shared" si="429"/>
        <v/>
      </c>
      <c r="J733" t="str">
        <f>IF($H733="","",IF(VLOOKUP(H733,ExpItems[],2,0),H733&amp;" - "&amp;INDEX(DivisionMapping[category_code],MATCH($D733&amp;$C733,DivisionMapping[dept_bu],0)),H733))</f>
        <v/>
      </c>
      <c r="K733" t="str">
        <f t="shared" si="430"/>
        <v/>
      </c>
      <c r="L733" s="652">
        <f>IF($B733="",,SUMIFS(PerHeadcount[Month 1],PerHeadcount[exp_item],$H733,PerHeadcount[company_name],$B733)*L208)</f>
        <v>0</v>
      </c>
      <c r="M733" s="652">
        <f>IF($B733="",,SUMIFS(PerHeadcount[Month 2],PerHeadcount[exp_item],$H733,PerHeadcount[company_name],$B733)*M208)</f>
        <v>0</v>
      </c>
      <c r="N733" s="652">
        <f>IF($B733="",,SUMIFS(PerHeadcount[Month 3],PerHeadcount[exp_item],$H733,PerHeadcount[company_name],$B733)*N208)</f>
        <v>0</v>
      </c>
      <c r="O733" s="652">
        <f>IF($B733="",,SUMIFS(PerHeadcount[Month 4],PerHeadcount[exp_item],$H733,PerHeadcount[company_name],$B733)*O208)</f>
        <v>0</v>
      </c>
      <c r="P733" s="652">
        <f>IF($B733="",,SUMIFS(PerHeadcount[Month 5],PerHeadcount[exp_item],$H733,PerHeadcount[company_name],$B733)*P208)</f>
        <v>0</v>
      </c>
      <c r="Q733" s="652">
        <f>IF($B733="",,SUMIFS(PerHeadcount[Month 6],PerHeadcount[exp_item],$H733,PerHeadcount[company_name],$B733)*Q208)</f>
        <v>0</v>
      </c>
      <c r="R733" s="652">
        <f>IF($B733="",,SUMIFS(PerHeadcount[Month 7],PerHeadcount[exp_item],$H733,PerHeadcount[company_name],$B733)*R208)</f>
        <v>0</v>
      </c>
      <c r="S733" s="652">
        <f>IF($B733="",,SUMIFS(PerHeadcount[Month 8],PerHeadcount[exp_item],$H733,PerHeadcount[company_name],$B733)*S208)</f>
        <v>0</v>
      </c>
      <c r="T733" s="652">
        <f>IF($B733="",,SUMIFS(PerHeadcount[Month 9],PerHeadcount[exp_item],$H733,PerHeadcount[company_name],$B733)*T208)</f>
        <v>0</v>
      </c>
      <c r="U733" s="652">
        <f>IF($B733="",,SUMIFS(PerHeadcount[Month 10],PerHeadcount[exp_item],$H733,PerHeadcount[company_name],$B733)*U208)</f>
        <v>0</v>
      </c>
      <c r="V733" s="652">
        <f>IF($B733="",,SUMIFS(PerHeadcount[Month 11],PerHeadcount[exp_item],$H733,PerHeadcount[company_name],$B733)*V208)</f>
        <v>0</v>
      </c>
      <c r="W733" s="652">
        <f>IF($B733="",,SUMIFS(PerHeadcount[Month 12],PerHeadcount[exp_item],$H733,PerHeadcount[company_name],$B733)*W208)</f>
        <v>0</v>
      </c>
      <c r="X733" s="652">
        <f>IF($B733="",,SUMIFS(PerHeadcount[Month 13],PerHeadcount[exp_item],$H733,PerHeadcount[company_name],$B733)*X208)</f>
        <v>0</v>
      </c>
      <c r="Y733" s="652">
        <f>IF($B733="",,SUMIFS(PerHeadcount[Month 14],PerHeadcount[exp_item],$H733,PerHeadcount[company_name],$B733)*Y208)</f>
        <v>0</v>
      </c>
      <c r="Z733" s="652">
        <f>IF($B733="",,SUMIFS(PerHeadcount[Month 15],PerHeadcount[exp_item],$H733,PerHeadcount[company_name],$B733)*Z208)</f>
        <v>0</v>
      </c>
      <c r="AA733" s="652">
        <f>IF($B733="",,SUMIFS(PerHeadcount[Month 16],PerHeadcount[exp_item],$H733,PerHeadcount[company_name],$B733)*AA208)</f>
        <v>0</v>
      </c>
      <c r="AB733" s="652">
        <f>IF($B733="",,SUMIFS(PerHeadcount[Month 17],PerHeadcount[exp_item],$H733,PerHeadcount[company_name],$B733)*AB208)</f>
        <v>0</v>
      </c>
      <c r="AC733" s="652">
        <f>IF($B733="",,SUMIFS(PerHeadcount[Month 18],PerHeadcount[exp_item],$H733,PerHeadcount[company_name],$B733)*AC208)</f>
        <v>0</v>
      </c>
      <c r="AD733" s="652">
        <f>IF($B733="",,SUMIFS(PerHeadcount[Month 19],PerHeadcount[exp_item],$H733,PerHeadcount[company_name],$B733)*AD208)</f>
        <v>0</v>
      </c>
      <c r="AE733" s="652">
        <f>IF($B733="",,SUMIFS(PerHeadcount[Month 20],PerHeadcount[exp_item],$H733,PerHeadcount[company_name],$B733)*AE208)</f>
        <v>0</v>
      </c>
      <c r="AF733" s="652">
        <f>IF($B733="",,SUMIFS(PerHeadcount[Month 21],PerHeadcount[exp_item],$H733,PerHeadcount[company_name],$B733)*AF208)</f>
        <v>0</v>
      </c>
      <c r="AG733" s="652">
        <f>IF($B733="",,SUMIFS(PerHeadcount[Month 22],PerHeadcount[exp_item],$H733,PerHeadcount[company_name],$B733)*AG208)</f>
        <v>0</v>
      </c>
      <c r="AH733" s="652">
        <f>IF($B733="",,SUMIFS(PerHeadcount[Month 23],PerHeadcount[exp_item],$H733,PerHeadcount[company_name],$B733)*AH208)</f>
        <v>0</v>
      </c>
      <c r="AI733" s="652">
        <f>IF($B733="",,SUMIFS(PerHeadcount[Month 24],PerHeadcount[exp_item],$H733,PerHeadcount[company_name],$B733)*AI208)</f>
        <v>0</v>
      </c>
      <c r="AJ733" s="652">
        <f>IF($B733="",,SUMIFS(PerHeadcount[Month 25],PerHeadcount[exp_item],$H733,PerHeadcount[company_name],$B733)*AJ208)</f>
        <v>0</v>
      </c>
      <c r="AK733" s="652">
        <f>IF($B733="",,SUMIFS(PerHeadcount[Month 26],PerHeadcount[exp_item],$H733,PerHeadcount[company_name],$B733)*AK208)</f>
        <v>0</v>
      </c>
      <c r="AL733" s="652">
        <f>IF($B733="",,SUMIFS(PerHeadcount[Month 27],PerHeadcount[exp_item],$H733,PerHeadcount[company_name],$B733)*AL208)</f>
        <v>0</v>
      </c>
      <c r="AM733" s="652">
        <f>IF($B733="",,SUMIFS(PerHeadcount[Month 28],PerHeadcount[exp_item],$H733,PerHeadcount[company_name],$B733)*AM208)</f>
        <v>0</v>
      </c>
      <c r="AN733" s="652">
        <f>IF($B733="",,SUMIFS(PerHeadcount[Month 29],PerHeadcount[exp_item],$H733,PerHeadcount[company_name],$B733)*AN208)</f>
        <v>0</v>
      </c>
      <c r="AO733" s="652">
        <f>IF($B733="",,SUMIFS(PerHeadcount[Month 30],PerHeadcount[exp_item],$H733,PerHeadcount[company_name],$B733)*AO208)</f>
        <v>0</v>
      </c>
      <c r="AP733" s="652">
        <f>IF($B733="",,SUMIFS(PerHeadcount[Month 31],PerHeadcount[exp_item],$H733,PerHeadcount[company_name],$B733)*AP208)</f>
        <v>0</v>
      </c>
      <c r="AQ733" s="652">
        <f>IF($B733="",,SUMIFS(PerHeadcount[Month 32],PerHeadcount[exp_item],$H733,PerHeadcount[company_name],$B733)*AQ208)</f>
        <v>0</v>
      </c>
      <c r="AR733" s="652">
        <f>IF($B733="",,SUMIFS(PerHeadcount[Month 33],PerHeadcount[exp_item],$H733,PerHeadcount[company_name],$B733)*AR208)</f>
        <v>0</v>
      </c>
      <c r="AS733" s="652">
        <f>IF($B733="",,SUMIFS(PerHeadcount[Month 34],PerHeadcount[exp_item],$H733,PerHeadcount[company_name],$B733)*AS208)</f>
        <v>0</v>
      </c>
      <c r="AT733" s="652">
        <f>IF($B733="",,SUMIFS(PerHeadcount[Month 35],PerHeadcount[exp_item],$H733,PerHeadcount[company_name],$B733)*AT208)</f>
        <v>0</v>
      </c>
      <c r="AU733" s="652">
        <f>IF($B733="",,SUMIFS(PerHeadcount[Month 36],PerHeadcount[exp_item],$H733,PerHeadcount[company_name],$B733)*AU208)</f>
        <v>0</v>
      </c>
    </row>
    <row r="734" spans="2:47" x14ac:dyDescent="0.35">
      <c r="B734" t="str">
        <f t="shared" si="432"/>
        <v/>
      </c>
      <c r="C734" t="str">
        <f t="shared" si="432"/>
        <v/>
      </c>
      <c r="D734" t="str">
        <f t="shared" si="432"/>
        <v/>
      </c>
      <c r="E734" t="str">
        <f t="shared" si="432"/>
        <v/>
      </c>
      <c r="F734" t="str">
        <f t="shared" si="432"/>
        <v/>
      </c>
      <c r="G734" t="str">
        <f t="shared" si="432"/>
        <v/>
      </c>
      <c r="H734" t="str">
        <f t="shared" si="429"/>
        <v/>
      </c>
      <c r="J734" t="str">
        <f>IF($H734="","",IF(VLOOKUP(H734,ExpItems[],2,0),H734&amp;" - "&amp;INDEX(DivisionMapping[category_code],MATCH($D734&amp;$C734,DivisionMapping[dept_bu],0)),H734))</f>
        <v/>
      </c>
      <c r="K734" t="str">
        <f t="shared" si="430"/>
        <v/>
      </c>
      <c r="L734" s="652">
        <f>IF($B734="",,SUMIFS(PerHeadcount[Month 1],PerHeadcount[exp_item],$H734,PerHeadcount[company_name],$B734)*L209)</f>
        <v>0</v>
      </c>
      <c r="M734" s="652">
        <f>IF($B734="",,SUMIFS(PerHeadcount[Month 2],PerHeadcount[exp_item],$H734,PerHeadcount[company_name],$B734)*M209)</f>
        <v>0</v>
      </c>
      <c r="N734" s="652">
        <f>IF($B734="",,SUMIFS(PerHeadcount[Month 3],PerHeadcount[exp_item],$H734,PerHeadcount[company_name],$B734)*N209)</f>
        <v>0</v>
      </c>
      <c r="O734" s="652">
        <f>IF($B734="",,SUMIFS(PerHeadcount[Month 4],PerHeadcount[exp_item],$H734,PerHeadcount[company_name],$B734)*O209)</f>
        <v>0</v>
      </c>
      <c r="P734" s="652">
        <f>IF($B734="",,SUMIFS(PerHeadcount[Month 5],PerHeadcount[exp_item],$H734,PerHeadcount[company_name],$B734)*P209)</f>
        <v>0</v>
      </c>
      <c r="Q734" s="652">
        <f>IF($B734="",,SUMIFS(PerHeadcount[Month 6],PerHeadcount[exp_item],$H734,PerHeadcount[company_name],$B734)*Q209)</f>
        <v>0</v>
      </c>
      <c r="R734" s="652">
        <f>IF($B734="",,SUMIFS(PerHeadcount[Month 7],PerHeadcount[exp_item],$H734,PerHeadcount[company_name],$B734)*R209)</f>
        <v>0</v>
      </c>
      <c r="S734" s="652">
        <f>IF($B734="",,SUMIFS(PerHeadcount[Month 8],PerHeadcount[exp_item],$H734,PerHeadcount[company_name],$B734)*S209)</f>
        <v>0</v>
      </c>
      <c r="T734" s="652">
        <f>IF($B734="",,SUMIFS(PerHeadcount[Month 9],PerHeadcount[exp_item],$H734,PerHeadcount[company_name],$B734)*T209)</f>
        <v>0</v>
      </c>
      <c r="U734" s="652">
        <f>IF($B734="",,SUMIFS(PerHeadcount[Month 10],PerHeadcount[exp_item],$H734,PerHeadcount[company_name],$B734)*U209)</f>
        <v>0</v>
      </c>
      <c r="V734" s="652">
        <f>IF($B734="",,SUMIFS(PerHeadcount[Month 11],PerHeadcount[exp_item],$H734,PerHeadcount[company_name],$B734)*V209)</f>
        <v>0</v>
      </c>
      <c r="W734" s="652">
        <f>IF($B734="",,SUMIFS(PerHeadcount[Month 12],PerHeadcount[exp_item],$H734,PerHeadcount[company_name],$B734)*W209)</f>
        <v>0</v>
      </c>
      <c r="X734" s="652">
        <f>IF($B734="",,SUMIFS(PerHeadcount[Month 13],PerHeadcount[exp_item],$H734,PerHeadcount[company_name],$B734)*X209)</f>
        <v>0</v>
      </c>
      <c r="Y734" s="652">
        <f>IF($B734="",,SUMIFS(PerHeadcount[Month 14],PerHeadcount[exp_item],$H734,PerHeadcount[company_name],$B734)*Y209)</f>
        <v>0</v>
      </c>
      <c r="Z734" s="652">
        <f>IF($B734="",,SUMIFS(PerHeadcount[Month 15],PerHeadcount[exp_item],$H734,PerHeadcount[company_name],$B734)*Z209)</f>
        <v>0</v>
      </c>
      <c r="AA734" s="652">
        <f>IF($B734="",,SUMIFS(PerHeadcount[Month 16],PerHeadcount[exp_item],$H734,PerHeadcount[company_name],$B734)*AA209)</f>
        <v>0</v>
      </c>
      <c r="AB734" s="652">
        <f>IF($B734="",,SUMIFS(PerHeadcount[Month 17],PerHeadcount[exp_item],$H734,PerHeadcount[company_name],$B734)*AB209)</f>
        <v>0</v>
      </c>
      <c r="AC734" s="652">
        <f>IF($B734="",,SUMIFS(PerHeadcount[Month 18],PerHeadcount[exp_item],$H734,PerHeadcount[company_name],$B734)*AC209)</f>
        <v>0</v>
      </c>
      <c r="AD734" s="652">
        <f>IF($B734="",,SUMIFS(PerHeadcount[Month 19],PerHeadcount[exp_item],$H734,PerHeadcount[company_name],$B734)*AD209)</f>
        <v>0</v>
      </c>
      <c r="AE734" s="652">
        <f>IF($B734="",,SUMIFS(PerHeadcount[Month 20],PerHeadcount[exp_item],$H734,PerHeadcount[company_name],$B734)*AE209)</f>
        <v>0</v>
      </c>
      <c r="AF734" s="652">
        <f>IF($B734="",,SUMIFS(PerHeadcount[Month 21],PerHeadcount[exp_item],$H734,PerHeadcount[company_name],$B734)*AF209)</f>
        <v>0</v>
      </c>
      <c r="AG734" s="652">
        <f>IF($B734="",,SUMIFS(PerHeadcount[Month 22],PerHeadcount[exp_item],$H734,PerHeadcount[company_name],$B734)*AG209)</f>
        <v>0</v>
      </c>
      <c r="AH734" s="652">
        <f>IF($B734="",,SUMIFS(PerHeadcount[Month 23],PerHeadcount[exp_item],$H734,PerHeadcount[company_name],$B734)*AH209)</f>
        <v>0</v>
      </c>
      <c r="AI734" s="652">
        <f>IF($B734="",,SUMIFS(PerHeadcount[Month 24],PerHeadcount[exp_item],$H734,PerHeadcount[company_name],$B734)*AI209)</f>
        <v>0</v>
      </c>
      <c r="AJ734" s="652">
        <f>IF($B734="",,SUMIFS(PerHeadcount[Month 25],PerHeadcount[exp_item],$H734,PerHeadcount[company_name],$B734)*AJ209)</f>
        <v>0</v>
      </c>
      <c r="AK734" s="652">
        <f>IF($B734="",,SUMIFS(PerHeadcount[Month 26],PerHeadcount[exp_item],$H734,PerHeadcount[company_name],$B734)*AK209)</f>
        <v>0</v>
      </c>
      <c r="AL734" s="652">
        <f>IF($B734="",,SUMIFS(PerHeadcount[Month 27],PerHeadcount[exp_item],$H734,PerHeadcount[company_name],$B734)*AL209)</f>
        <v>0</v>
      </c>
      <c r="AM734" s="652">
        <f>IF($B734="",,SUMIFS(PerHeadcount[Month 28],PerHeadcount[exp_item],$H734,PerHeadcount[company_name],$B734)*AM209)</f>
        <v>0</v>
      </c>
      <c r="AN734" s="652">
        <f>IF($B734="",,SUMIFS(PerHeadcount[Month 29],PerHeadcount[exp_item],$H734,PerHeadcount[company_name],$B734)*AN209)</f>
        <v>0</v>
      </c>
      <c r="AO734" s="652">
        <f>IF($B734="",,SUMIFS(PerHeadcount[Month 30],PerHeadcount[exp_item],$H734,PerHeadcount[company_name],$B734)*AO209)</f>
        <v>0</v>
      </c>
      <c r="AP734" s="652">
        <f>IF($B734="",,SUMIFS(PerHeadcount[Month 31],PerHeadcount[exp_item],$H734,PerHeadcount[company_name],$B734)*AP209)</f>
        <v>0</v>
      </c>
      <c r="AQ734" s="652">
        <f>IF($B734="",,SUMIFS(PerHeadcount[Month 32],PerHeadcount[exp_item],$H734,PerHeadcount[company_name],$B734)*AQ209)</f>
        <v>0</v>
      </c>
      <c r="AR734" s="652">
        <f>IF($B734="",,SUMIFS(PerHeadcount[Month 33],PerHeadcount[exp_item],$H734,PerHeadcount[company_name],$B734)*AR209)</f>
        <v>0</v>
      </c>
      <c r="AS734" s="652">
        <f>IF($B734="",,SUMIFS(PerHeadcount[Month 34],PerHeadcount[exp_item],$H734,PerHeadcount[company_name],$B734)*AS209)</f>
        <v>0</v>
      </c>
      <c r="AT734" s="652">
        <f>IF($B734="",,SUMIFS(PerHeadcount[Month 35],PerHeadcount[exp_item],$H734,PerHeadcount[company_name],$B734)*AT209)</f>
        <v>0</v>
      </c>
      <c r="AU734" s="652">
        <f>IF($B734="",,SUMIFS(PerHeadcount[Month 36],PerHeadcount[exp_item],$H734,PerHeadcount[company_name],$B734)*AU209)</f>
        <v>0</v>
      </c>
    </row>
    <row r="735" spans="2:47" x14ac:dyDescent="0.35">
      <c r="B735" t="str">
        <f t="shared" si="432"/>
        <v/>
      </c>
      <c r="C735" t="str">
        <f t="shared" si="432"/>
        <v/>
      </c>
      <c r="D735" t="str">
        <f t="shared" si="432"/>
        <v/>
      </c>
      <c r="E735" t="str">
        <f t="shared" si="432"/>
        <v/>
      </c>
      <c r="F735" t="str">
        <f t="shared" si="432"/>
        <v/>
      </c>
      <c r="G735" t="str">
        <f t="shared" si="432"/>
        <v/>
      </c>
      <c r="H735" t="str">
        <f t="shared" si="429"/>
        <v/>
      </c>
      <c r="J735" t="str">
        <f>IF($H735="","",IF(VLOOKUP(H735,ExpItems[],2,0),H735&amp;" - "&amp;INDEX(DivisionMapping[category_code],MATCH($D735&amp;$C735,DivisionMapping[dept_bu],0)),H735))</f>
        <v/>
      </c>
      <c r="K735" t="str">
        <f t="shared" si="430"/>
        <v/>
      </c>
      <c r="L735" s="652">
        <f>IF($B735="",,SUMIFS(PerHeadcount[Month 1],PerHeadcount[exp_item],$H735,PerHeadcount[company_name],$B735)*L210)</f>
        <v>0</v>
      </c>
      <c r="M735" s="652">
        <f>IF($B735="",,SUMIFS(PerHeadcount[Month 2],PerHeadcount[exp_item],$H735,PerHeadcount[company_name],$B735)*M210)</f>
        <v>0</v>
      </c>
      <c r="N735" s="652">
        <f>IF($B735="",,SUMIFS(PerHeadcount[Month 3],PerHeadcount[exp_item],$H735,PerHeadcount[company_name],$B735)*N210)</f>
        <v>0</v>
      </c>
      <c r="O735" s="652">
        <f>IF($B735="",,SUMIFS(PerHeadcount[Month 4],PerHeadcount[exp_item],$H735,PerHeadcount[company_name],$B735)*O210)</f>
        <v>0</v>
      </c>
      <c r="P735" s="652">
        <f>IF($B735="",,SUMIFS(PerHeadcount[Month 5],PerHeadcount[exp_item],$H735,PerHeadcount[company_name],$B735)*P210)</f>
        <v>0</v>
      </c>
      <c r="Q735" s="652">
        <f>IF($B735="",,SUMIFS(PerHeadcount[Month 6],PerHeadcount[exp_item],$H735,PerHeadcount[company_name],$B735)*Q210)</f>
        <v>0</v>
      </c>
      <c r="R735" s="652">
        <f>IF($B735="",,SUMIFS(PerHeadcount[Month 7],PerHeadcount[exp_item],$H735,PerHeadcount[company_name],$B735)*R210)</f>
        <v>0</v>
      </c>
      <c r="S735" s="652">
        <f>IF($B735="",,SUMIFS(PerHeadcount[Month 8],PerHeadcount[exp_item],$H735,PerHeadcount[company_name],$B735)*S210)</f>
        <v>0</v>
      </c>
      <c r="T735" s="652">
        <f>IF($B735="",,SUMIFS(PerHeadcount[Month 9],PerHeadcount[exp_item],$H735,PerHeadcount[company_name],$B735)*T210)</f>
        <v>0</v>
      </c>
      <c r="U735" s="652">
        <f>IF($B735="",,SUMIFS(PerHeadcount[Month 10],PerHeadcount[exp_item],$H735,PerHeadcount[company_name],$B735)*U210)</f>
        <v>0</v>
      </c>
      <c r="V735" s="652">
        <f>IF($B735="",,SUMIFS(PerHeadcount[Month 11],PerHeadcount[exp_item],$H735,PerHeadcount[company_name],$B735)*V210)</f>
        <v>0</v>
      </c>
      <c r="W735" s="652">
        <f>IF($B735="",,SUMIFS(PerHeadcount[Month 12],PerHeadcount[exp_item],$H735,PerHeadcount[company_name],$B735)*W210)</f>
        <v>0</v>
      </c>
      <c r="X735" s="652">
        <f>IF($B735="",,SUMIFS(PerHeadcount[Month 13],PerHeadcount[exp_item],$H735,PerHeadcount[company_name],$B735)*X210)</f>
        <v>0</v>
      </c>
      <c r="Y735" s="652">
        <f>IF($B735="",,SUMIFS(PerHeadcount[Month 14],PerHeadcount[exp_item],$H735,PerHeadcount[company_name],$B735)*Y210)</f>
        <v>0</v>
      </c>
      <c r="Z735" s="652">
        <f>IF($B735="",,SUMIFS(PerHeadcount[Month 15],PerHeadcount[exp_item],$H735,PerHeadcount[company_name],$B735)*Z210)</f>
        <v>0</v>
      </c>
      <c r="AA735" s="652">
        <f>IF($B735="",,SUMIFS(PerHeadcount[Month 16],PerHeadcount[exp_item],$H735,PerHeadcount[company_name],$B735)*AA210)</f>
        <v>0</v>
      </c>
      <c r="AB735" s="652">
        <f>IF($B735="",,SUMIFS(PerHeadcount[Month 17],PerHeadcount[exp_item],$H735,PerHeadcount[company_name],$B735)*AB210)</f>
        <v>0</v>
      </c>
      <c r="AC735" s="652">
        <f>IF($B735="",,SUMIFS(PerHeadcount[Month 18],PerHeadcount[exp_item],$H735,PerHeadcount[company_name],$B735)*AC210)</f>
        <v>0</v>
      </c>
      <c r="AD735" s="652">
        <f>IF($B735="",,SUMIFS(PerHeadcount[Month 19],PerHeadcount[exp_item],$H735,PerHeadcount[company_name],$B735)*AD210)</f>
        <v>0</v>
      </c>
      <c r="AE735" s="652">
        <f>IF($B735="",,SUMIFS(PerHeadcount[Month 20],PerHeadcount[exp_item],$H735,PerHeadcount[company_name],$B735)*AE210)</f>
        <v>0</v>
      </c>
      <c r="AF735" s="652">
        <f>IF($B735="",,SUMIFS(PerHeadcount[Month 21],PerHeadcount[exp_item],$H735,PerHeadcount[company_name],$B735)*AF210)</f>
        <v>0</v>
      </c>
      <c r="AG735" s="652">
        <f>IF($B735="",,SUMIFS(PerHeadcount[Month 22],PerHeadcount[exp_item],$H735,PerHeadcount[company_name],$B735)*AG210)</f>
        <v>0</v>
      </c>
      <c r="AH735" s="652">
        <f>IF($B735="",,SUMIFS(PerHeadcount[Month 23],PerHeadcount[exp_item],$H735,PerHeadcount[company_name],$B735)*AH210)</f>
        <v>0</v>
      </c>
      <c r="AI735" s="652">
        <f>IF($B735="",,SUMIFS(PerHeadcount[Month 24],PerHeadcount[exp_item],$H735,PerHeadcount[company_name],$B735)*AI210)</f>
        <v>0</v>
      </c>
      <c r="AJ735" s="652">
        <f>IF($B735="",,SUMIFS(PerHeadcount[Month 25],PerHeadcount[exp_item],$H735,PerHeadcount[company_name],$B735)*AJ210)</f>
        <v>0</v>
      </c>
      <c r="AK735" s="652">
        <f>IF($B735="",,SUMIFS(PerHeadcount[Month 26],PerHeadcount[exp_item],$H735,PerHeadcount[company_name],$B735)*AK210)</f>
        <v>0</v>
      </c>
      <c r="AL735" s="652">
        <f>IF($B735="",,SUMIFS(PerHeadcount[Month 27],PerHeadcount[exp_item],$H735,PerHeadcount[company_name],$B735)*AL210)</f>
        <v>0</v>
      </c>
      <c r="AM735" s="652">
        <f>IF($B735="",,SUMIFS(PerHeadcount[Month 28],PerHeadcount[exp_item],$H735,PerHeadcount[company_name],$B735)*AM210)</f>
        <v>0</v>
      </c>
      <c r="AN735" s="652">
        <f>IF($B735="",,SUMIFS(PerHeadcount[Month 29],PerHeadcount[exp_item],$H735,PerHeadcount[company_name],$B735)*AN210)</f>
        <v>0</v>
      </c>
      <c r="AO735" s="652">
        <f>IF($B735="",,SUMIFS(PerHeadcount[Month 30],PerHeadcount[exp_item],$H735,PerHeadcount[company_name],$B735)*AO210)</f>
        <v>0</v>
      </c>
      <c r="AP735" s="652">
        <f>IF($B735="",,SUMIFS(PerHeadcount[Month 31],PerHeadcount[exp_item],$H735,PerHeadcount[company_name],$B735)*AP210)</f>
        <v>0</v>
      </c>
      <c r="AQ735" s="652">
        <f>IF($B735="",,SUMIFS(PerHeadcount[Month 32],PerHeadcount[exp_item],$H735,PerHeadcount[company_name],$B735)*AQ210)</f>
        <v>0</v>
      </c>
      <c r="AR735" s="652">
        <f>IF($B735="",,SUMIFS(PerHeadcount[Month 33],PerHeadcount[exp_item],$H735,PerHeadcount[company_name],$B735)*AR210)</f>
        <v>0</v>
      </c>
      <c r="AS735" s="652">
        <f>IF($B735="",,SUMIFS(PerHeadcount[Month 34],PerHeadcount[exp_item],$H735,PerHeadcount[company_name],$B735)*AS210)</f>
        <v>0</v>
      </c>
      <c r="AT735" s="652">
        <f>IF($B735="",,SUMIFS(PerHeadcount[Month 35],PerHeadcount[exp_item],$H735,PerHeadcount[company_name],$B735)*AT210)</f>
        <v>0</v>
      </c>
      <c r="AU735" s="652">
        <f>IF($B735="",,SUMIFS(PerHeadcount[Month 36],PerHeadcount[exp_item],$H735,PerHeadcount[company_name],$B735)*AU210)</f>
        <v>0</v>
      </c>
    </row>
    <row r="736" spans="2:47" x14ac:dyDescent="0.35">
      <c r="B736" t="str">
        <f t="shared" si="432"/>
        <v/>
      </c>
      <c r="C736" t="str">
        <f t="shared" si="432"/>
        <v/>
      </c>
      <c r="D736" t="str">
        <f t="shared" si="432"/>
        <v/>
      </c>
      <c r="E736" t="str">
        <f t="shared" si="432"/>
        <v/>
      </c>
      <c r="F736" t="str">
        <f t="shared" si="432"/>
        <v/>
      </c>
      <c r="G736" t="str">
        <f t="shared" si="432"/>
        <v/>
      </c>
      <c r="H736" t="str">
        <f t="shared" si="429"/>
        <v/>
      </c>
      <c r="J736" t="str">
        <f>IF($H736="","",IF(VLOOKUP(H736,ExpItems[],2,0),H736&amp;" - "&amp;INDEX(DivisionMapping[category_code],MATCH($D736&amp;$C736,DivisionMapping[dept_bu],0)),H736))</f>
        <v/>
      </c>
      <c r="K736" t="str">
        <f t="shared" si="430"/>
        <v/>
      </c>
      <c r="L736" s="652">
        <f>IF($B736="",,SUMIFS(PerHeadcount[Month 1],PerHeadcount[exp_item],$H736,PerHeadcount[company_name],$B736)*L211)</f>
        <v>0</v>
      </c>
      <c r="M736" s="652">
        <f>IF($B736="",,SUMIFS(PerHeadcount[Month 2],PerHeadcount[exp_item],$H736,PerHeadcount[company_name],$B736)*M211)</f>
        <v>0</v>
      </c>
      <c r="N736" s="652">
        <f>IF($B736="",,SUMIFS(PerHeadcount[Month 3],PerHeadcount[exp_item],$H736,PerHeadcount[company_name],$B736)*N211)</f>
        <v>0</v>
      </c>
      <c r="O736" s="652">
        <f>IF($B736="",,SUMIFS(PerHeadcount[Month 4],PerHeadcount[exp_item],$H736,PerHeadcount[company_name],$B736)*O211)</f>
        <v>0</v>
      </c>
      <c r="P736" s="652">
        <f>IF($B736="",,SUMIFS(PerHeadcount[Month 5],PerHeadcount[exp_item],$H736,PerHeadcount[company_name],$B736)*P211)</f>
        <v>0</v>
      </c>
      <c r="Q736" s="652">
        <f>IF($B736="",,SUMIFS(PerHeadcount[Month 6],PerHeadcount[exp_item],$H736,PerHeadcount[company_name],$B736)*Q211)</f>
        <v>0</v>
      </c>
      <c r="R736" s="652">
        <f>IF($B736="",,SUMIFS(PerHeadcount[Month 7],PerHeadcount[exp_item],$H736,PerHeadcount[company_name],$B736)*R211)</f>
        <v>0</v>
      </c>
      <c r="S736" s="652">
        <f>IF($B736="",,SUMIFS(PerHeadcount[Month 8],PerHeadcount[exp_item],$H736,PerHeadcount[company_name],$B736)*S211)</f>
        <v>0</v>
      </c>
      <c r="T736" s="652">
        <f>IF($B736="",,SUMIFS(PerHeadcount[Month 9],PerHeadcount[exp_item],$H736,PerHeadcount[company_name],$B736)*T211)</f>
        <v>0</v>
      </c>
      <c r="U736" s="652">
        <f>IF($B736="",,SUMIFS(PerHeadcount[Month 10],PerHeadcount[exp_item],$H736,PerHeadcount[company_name],$B736)*U211)</f>
        <v>0</v>
      </c>
      <c r="V736" s="652">
        <f>IF($B736="",,SUMIFS(PerHeadcount[Month 11],PerHeadcount[exp_item],$H736,PerHeadcount[company_name],$B736)*V211)</f>
        <v>0</v>
      </c>
      <c r="W736" s="652">
        <f>IF($B736="",,SUMIFS(PerHeadcount[Month 12],PerHeadcount[exp_item],$H736,PerHeadcount[company_name],$B736)*W211)</f>
        <v>0</v>
      </c>
      <c r="X736" s="652">
        <f>IF($B736="",,SUMIFS(PerHeadcount[Month 13],PerHeadcount[exp_item],$H736,PerHeadcount[company_name],$B736)*X211)</f>
        <v>0</v>
      </c>
      <c r="Y736" s="652">
        <f>IF($B736="",,SUMIFS(PerHeadcount[Month 14],PerHeadcount[exp_item],$H736,PerHeadcount[company_name],$B736)*Y211)</f>
        <v>0</v>
      </c>
      <c r="Z736" s="652">
        <f>IF($B736="",,SUMIFS(PerHeadcount[Month 15],PerHeadcount[exp_item],$H736,PerHeadcount[company_name],$B736)*Z211)</f>
        <v>0</v>
      </c>
      <c r="AA736" s="652">
        <f>IF($B736="",,SUMIFS(PerHeadcount[Month 16],PerHeadcount[exp_item],$H736,PerHeadcount[company_name],$B736)*AA211)</f>
        <v>0</v>
      </c>
      <c r="AB736" s="652">
        <f>IF($B736="",,SUMIFS(PerHeadcount[Month 17],PerHeadcount[exp_item],$H736,PerHeadcount[company_name],$B736)*AB211)</f>
        <v>0</v>
      </c>
      <c r="AC736" s="652">
        <f>IF($B736="",,SUMIFS(PerHeadcount[Month 18],PerHeadcount[exp_item],$H736,PerHeadcount[company_name],$B736)*AC211)</f>
        <v>0</v>
      </c>
      <c r="AD736" s="652">
        <f>IF($B736="",,SUMIFS(PerHeadcount[Month 19],PerHeadcount[exp_item],$H736,PerHeadcount[company_name],$B736)*AD211)</f>
        <v>0</v>
      </c>
      <c r="AE736" s="652">
        <f>IF($B736="",,SUMIFS(PerHeadcount[Month 20],PerHeadcount[exp_item],$H736,PerHeadcount[company_name],$B736)*AE211)</f>
        <v>0</v>
      </c>
      <c r="AF736" s="652">
        <f>IF($B736="",,SUMIFS(PerHeadcount[Month 21],PerHeadcount[exp_item],$H736,PerHeadcount[company_name],$B736)*AF211)</f>
        <v>0</v>
      </c>
      <c r="AG736" s="652">
        <f>IF($B736="",,SUMIFS(PerHeadcount[Month 22],PerHeadcount[exp_item],$H736,PerHeadcount[company_name],$B736)*AG211)</f>
        <v>0</v>
      </c>
      <c r="AH736" s="652">
        <f>IF($B736="",,SUMIFS(PerHeadcount[Month 23],PerHeadcount[exp_item],$H736,PerHeadcount[company_name],$B736)*AH211)</f>
        <v>0</v>
      </c>
      <c r="AI736" s="652">
        <f>IF($B736="",,SUMIFS(PerHeadcount[Month 24],PerHeadcount[exp_item],$H736,PerHeadcount[company_name],$B736)*AI211)</f>
        <v>0</v>
      </c>
      <c r="AJ736" s="652">
        <f>IF($B736="",,SUMIFS(PerHeadcount[Month 25],PerHeadcount[exp_item],$H736,PerHeadcount[company_name],$B736)*AJ211)</f>
        <v>0</v>
      </c>
      <c r="AK736" s="652">
        <f>IF($B736="",,SUMIFS(PerHeadcount[Month 26],PerHeadcount[exp_item],$H736,PerHeadcount[company_name],$B736)*AK211)</f>
        <v>0</v>
      </c>
      <c r="AL736" s="652">
        <f>IF($B736="",,SUMIFS(PerHeadcount[Month 27],PerHeadcount[exp_item],$H736,PerHeadcount[company_name],$B736)*AL211)</f>
        <v>0</v>
      </c>
      <c r="AM736" s="652">
        <f>IF($B736="",,SUMIFS(PerHeadcount[Month 28],PerHeadcount[exp_item],$H736,PerHeadcount[company_name],$B736)*AM211)</f>
        <v>0</v>
      </c>
      <c r="AN736" s="652">
        <f>IF($B736="",,SUMIFS(PerHeadcount[Month 29],PerHeadcount[exp_item],$H736,PerHeadcount[company_name],$B736)*AN211)</f>
        <v>0</v>
      </c>
      <c r="AO736" s="652">
        <f>IF($B736="",,SUMIFS(PerHeadcount[Month 30],PerHeadcount[exp_item],$H736,PerHeadcount[company_name],$B736)*AO211)</f>
        <v>0</v>
      </c>
      <c r="AP736" s="652">
        <f>IF($B736="",,SUMIFS(PerHeadcount[Month 31],PerHeadcount[exp_item],$H736,PerHeadcount[company_name],$B736)*AP211)</f>
        <v>0</v>
      </c>
      <c r="AQ736" s="652">
        <f>IF($B736="",,SUMIFS(PerHeadcount[Month 32],PerHeadcount[exp_item],$H736,PerHeadcount[company_name],$B736)*AQ211)</f>
        <v>0</v>
      </c>
      <c r="AR736" s="652">
        <f>IF($B736="",,SUMIFS(PerHeadcount[Month 33],PerHeadcount[exp_item],$H736,PerHeadcount[company_name],$B736)*AR211)</f>
        <v>0</v>
      </c>
      <c r="AS736" s="652">
        <f>IF($B736="",,SUMIFS(PerHeadcount[Month 34],PerHeadcount[exp_item],$H736,PerHeadcount[company_name],$B736)*AS211)</f>
        <v>0</v>
      </c>
      <c r="AT736" s="652">
        <f>IF($B736="",,SUMIFS(PerHeadcount[Month 35],PerHeadcount[exp_item],$H736,PerHeadcount[company_name],$B736)*AT211)</f>
        <v>0</v>
      </c>
      <c r="AU736" s="652">
        <f>IF($B736="",,SUMIFS(PerHeadcount[Month 36],PerHeadcount[exp_item],$H736,PerHeadcount[company_name],$B736)*AU211)</f>
        <v>0</v>
      </c>
    </row>
    <row r="737" spans="2:47" x14ac:dyDescent="0.35">
      <c r="B737" t="str">
        <f t="shared" si="432"/>
        <v/>
      </c>
      <c r="C737" t="str">
        <f t="shared" si="432"/>
        <v/>
      </c>
      <c r="D737" t="str">
        <f t="shared" si="432"/>
        <v/>
      </c>
      <c r="E737" t="str">
        <f t="shared" si="432"/>
        <v/>
      </c>
      <c r="F737" t="str">
        <f t="shared" si="432"/>
        <v/>
      </c>
      <c r="G737" t="str">
        <f t="shared" si="432"/>
        <v/>
      </c>
      <c r="H737" t="str">
        <f t="shared" si="429"/>
        <v/>
      </c>
      <c r="J737" t="str">
        <f>IF($H737="","",IF(VLOOKUP(H737,ExpItems[],2,0),H737&amp;" - "&amp;INDEX(DivisionMapping[category_code],MATCH($D737&amp;$C737,DivisionMapping[dept_bu],0)),H737))</f>
        <v/>
      </c>
      <c r="K737" t="str">
        <f t="shared" si="430"/>
        <v/>
      </c>
      <c r="L737" s="652">
        <f>IF($B737="",,SUMIFS(PerHeadcount[Month 1],PerHeadcount[exp_item],$H737,PerHeadcount[company_name],$B737)*L212)</f>
        <v>0</v>
      </c>
      <c r="M737" s="652">
        <f>IF($B737="",,SUMIFS(PerHeadcount[Month 2],PerHeadcount[exp_item],$H737,PerHeadcount[company_name],$B737)*M212)</f>
        <v>0</v>
      </c>
      <c r="N737" s="652">
        <f>IF($B737="",,SUMIFS(PerHeadcount[Month 3],PerHeadcount[exp_item],$H737,PerHeadcount[company_name],$B737)*N212)</f>
        <v>0</v>
      </c>
      <c r="O737" s="652">
        <f>IF($B737="",,SUMIFS(PerHeadcount[Month 4],PerHeadcount[exp_item],$H737,PerHeadcount[company_name],$B737)*O212)</f>
        <v>0</v>
      </c>
      <c r="P737" s="652">
        <f>IF($B737="",,SUMIFS(PerHeadcount[Month 5],PerHeadcount[exp_item],$H737,PerHeadcount[company_name],$B737)*P212)</f>
        <v>0</v>
      </c>
      <c r="Q737" s="652">
        <f>IF($B737="",,SUMIFS(PerHeadcount[Month 6],PerHeadcount[exp_item],$H737,PerHeadcount[company_name],$B737)*Q212)</f>
        <v>0</v>
      </c>
      <c r="R737" s="652">
        <f>IF($B737="",,SUMIFS(PerHeadcount[Month 7],PerHeadcount[exp_item],$H737,PerHeadcount[company_name],$B737)*R212)</f>
        <v>0</v>
      </c>
      <c r="S737" s="652">
        <f>IF($B737="",,SUMIFS(PerHeadcount[Month 8],PerHeadcount[exp_item],$H737,PerHeadcount[company_name],$B737)*S212)</f>
        <v>0</v>
      </c>
      <c r="T737" s="652">
        <f>IF($B737="",,SUMIFS(PerHeadcount[Month 9],PerHeadcount[exp_item],$H737,PerHeadcount[company_name],$B737)*T212)</f>
        <v>0</v>
      </c>
      <c r="U737" s="652">
        <f>IF($B737="",,SUMIFS(PerHeadcount[Month 10],PerHeadcount[exp_item],$H737,PerHeadcount[company_name],$B737)*U212)</f>
        <v>0</v>
      </c>
      <c r="V737" s="652">
        <f>IF($B737="",,SUMIFS(PerHeadcount[Month 11],PerHeadcount[exp_item],$H737,PerHeadcount[company_name],$B737)*V212)</f>
        <v>0</v>
      </c>
      <c r="W737" s="652">
        <f>IF($B737="",,SUMIFS(PerHeadcount[Month 12],PerHeadcount[exp_item],$H737,PerHeadcount[company_name],$B737)*W212)</f>
        <v>0</v>
      </c>
      <c r="X737" s="652">
        <f>IF($B737="",,SUMIFS(PerHeadcount[Month 13],PerHeadcount[exp_item],$H737,PerHeadcount[company_name],$B737)*X212)</f>
        <v>0</v>
      </c>
      <c r="Y737" s="652">
        <f>IF($B737="",,SUMIFS(PerHeadcount[Month 14],PerHeadcount[exp_item],$H737,PerHeadcount[company_name],$B737)*Y212)</f>
        <v>0</v>
      </c>
      <c r="Z737" s="652">
        <f>IF($B737="",,SUMIFS(PerHeadcount[Month 15],PerHeadcount[exp_item],$H737,PerHeadcount[company_name],$B737)*Z212)</f>
        <v>0</v>
      </c>
      <c r="AA737" s="652">
        <f>IF($B737="",,SUMIFS(PerHeadcount[Month 16],PerHeadcount[exp_item],$H737,PerHeadcount[company_name],$B737)*AA212)</f>
        <v>0</v>
      </c>
      <c r="AB737" s="652">
        <f>IF($B737="",,SUMIFS(PerHeadcount[Month 17],PerHeadcount[exp_item],$H737,PerHeadcount[company_name],$B737)*AB212)</f>
        <v>0</v>
      </c>
      <c r="AC737" s="652">
        <f>IF($B737="",,SUMIFS(PerHeadcount[Month 18],PerHeadcount[exp_item],$H737,PerHeadcount[company_name],$B737)*AC212)</f>
        <v>0</v>
      </c>
      <c r="AD737" s="652">
        <f>IF($B737="",,SUMIFS(PerHeadcount[Month 19],PerHeadcount[exp_item],$H737,PerHeadcount[company_name],$B737)*AD212)</f>
        <v>0</v>
      </c>
      <c r="AE737" s="652">
        <f>IF($B737="",,SUMIFS(PerHeadcount[Month 20],PerHeadcount[exp_item],$H737,PerHeadcount[company_name],$B737)*AE212)</f>
        <v>0</v>
      </c>
      <c r="AF737" s="652">
        <f>IF($B737="",,SUMIFS(PerHeadcount[Month 21],PerHeadcount[exp_item],$H737,PerHeadcount[company_name],$B737)*AF212)</f>
        <v>0</v>
      </c>
      <c r="AG737" s="652">
        <f>IF($B737="",,SUMIFS(PerHeadcount[Month 22],PerHeadcount[exp_item],$H737,PerHeadcount[company_name],$B737)*AG212)</f>
        <v>0</v>
      </c>
      <c r="AH737" s="652">
        <f>IF($B737="",,SUMIFS(PerHeadcount[Month 23],PerHeadcount[exp_item],$H737,PerHeadcount[company_name],$B737)*AH212)</f>
        <v>0</v>
      </c>
      <c r="AI737" s="652">
        <f>IF($B737="",,SUMIFS(PerHeadcount[Month 24],PerHeadcount[exp_item],$H737,PerHeadcount[company_name],$B737)*AI212)</f>
        <v>0</v>
      </c>
      <c r="AJ737" s="652">
        <f>IF($B737="",,SUMIFS(PerHeadcount[Month 25],PerHeadcount[exp_item],$H737,PerHeadcount[company_name],$B737)*AJ212)</f>
        <v>0</v>
      </c>
      <c r="AK737" s="652">
        <f>IF($B737="",,SUMIFS(PerHeadcount[Month 26],PerHeadcount[exp_item],$H737,PerHeadcount[company_name],$B737)*AK212)</f>
        <v>0</v>
      </c>
      <c r="AL737" s="652">
        <f>IF($B737="",,SUMIFS(PerHeadcount[Month 27],PerHeadcount[exp_item],$H737,PerHeadcount[company_name],$B737)*AL212)</f>
        <v>0</v>
      </c>
      <c r="AM737" s="652">
        <f>IF($B737="",,SUMIFS(PerHeadcount[Month 28],PerHeadcount[exp_item],$H737,PerHeadcount[company_name],$B737)*AM212)</f>
        <v>0</v>
      </c>
      <c r="AN737" s="652">
        <f>IF($B737="",,SUMIFS(PerHeadcount[Month 29],PerHeadcount[exp_item],$H737,PerHeadcount[company_name],$B737)*AN212)</f>
        <v>0</v>
      </c>
      <c r="AO737" s="652">
        <f>IF($B737="",,SUMIFS(PerHeadcount[Month 30],PerHeadcount[exp_item],$H737,PerHeadcount[company_name],$B737)*AO212)</f>
        <v>0</v>
      </c>
      <c r="AP737" s="652">
        <f>IF($B737="",,SUMIFS(PerHeadcount[Month 31],PerHeadcount[exp_item],$H737,PerHeadcount[company_name],$B737)*AP212)</f>
        <v>0</v>
      </c>
      <c r="AQ737" s="652">
        <f>IF($B737="",,SUMIFS(PerHeadcount[Month 32],PerHeadcount[exp_item],$H737,PerHeadcount[company_name],$B737)*AQ212)</f>
        <v>0</v>
      </c>
      <c r="AR737" s="652">
        <f>IF($B737="",,SUMIFS(PerHeadcount[Month 33],PerHeadcount[exp_item],$H737,PerHeadcount[company_name],$B737)*AR212)</f>
        <v>0</v>
      </c>
      <c r="AS737" s="652">
        <f>IF($B737="",,SUMIFS(PerHeadcount[Month 34],PerHeadcount[exp_item],$H737,PerHeadcount[company_name],$B737)*AS212)</f>
        <v>0</v>
      </c>
      <c r="AT737" s="652">
        <f>IF($B737="",,SUMIFS(PerHeadcount[Month 35],PerHeadcount[exp_item],$H737,PerHeadcount[company_name],$B737)*AT212)</f>
        <v>0</v>
      </c>
      <c r="AU737" s="652">
        <f>IF($B737="",,SUMIFS(PerHeadcount[Month 36],PerHeadcount[exp_item],$H737,PerHeadcount[company_name],$B737)*AU212)</f>
        <v>0</v>
      </c>
    </row>
    <row r="738" spans="2:47" x14ac:dyDescent="0.35">
      <c r="B738" t="str">
        <f t="shared" si="432"/>
        <v/>
      </c>
      <c r="C738" t="str">
        <f t="shared" si="432"/>
        <v/>
      </c>
      <c r="D738" t="str">
        <f t="shared" si="432"/>
        <v/>
      </c>
      <c r="E738" t="str">
        <f t="shared" si="432"/>
        <v/>
      </c>
      <c r="F738" t="str">
        <f t="shared" si="432"/>
        <v/>
      </c>
      <c r="G738" t="str">
        <f t="shared" si="432"/>
        <v/>
      </c>
      <c r="H738" t="str">
        <f t="shared" si="429"/>
        <v/>
      </c>
      <c r="J738" t="str">
        <f>IF($H738="","",IF(VLOOKUP(H738,ExpItems[],2,0),H738&amp;" - "&amp;INDEX(DivisionMapping[category_code],MATCH($D738&amp;$C738,DivisionMapping[dept_bu],0)),H738))</f>
        <v/>
      </c>
      <c r="K738" t="str">
        <f t="shared" si="430"/>
        <v/>
      </c>
      <c r="L738" s="652">
        <f>IF($B738="",,SUMIFS(PerHeadcount[Month 1],PerHeadcount[exp_item],$H738,PerHeadcount[company_name],$B738)*L213)</f>
        <v>0</v>
      </c>
      <c r="M738" s="652">
        <f>IF($B738="",,SUMIFS(PerHeadcount[Month 2],PerHeadcount[exp_item],$H738,PerHeadcount[company_name],$B738)*M213)</f>
        <v>0</v>
      </c>
      <c r="N738" s="652">
        <f>IF($B738="",,SUMIFS(PerHeadcount[Month 3],PerHeadcount[exp_item],$H738,PerHeadcount[company_name],$B738)*N213)</f>
        <v>0</v>
      </c>
      <c r="O738" s="652">
        <f>IF($B738="",,SUMIFS(PerHeadcount[Month 4],PerHeadcount[exp_item],$H738,PerHeadcount[company_name],$B738)*O213)</f>
        <v>0</v>
      </c>
      <c r="P738" s="652">
        <f>IF($B738="",,SUMIFS(PerHeadcount[Month 5],PerHeadcount[exp_item],$H738,PerHeadcount[company_name],$B738)*P213)</f>
        <v>0</v>
      </c>
      <c r="Q738" s="652">
        <f>IF($B738="",,SUMIFS(PerHeadcount[Month 6],PerHeadcount[exp_item],$H738,PerHeadcount[company_name],$B738)*Q213)</f>
        <v>0</v>
      </c>
      <c r="R738" s="652">
        <f>IF($B738="",,SUMIFS(PerHeadcount[Month 7],PerHeadcount[exp_item],$H738,PerHeadcount[company_name],$B738)*R213)</f>
        <v>0</v>
      </c>
      <c r="S738" s="652">
        <f>IF($B738="",,SUMIFS(PerHeadcount[Month 8],PerHeadcount[exp_item],$H738,PerHeadcount[company_name],$B738)*S213)</f>
        <v>0</v>
      </c>
      <c r="T738" s="652">
        <f>IF($B738="",,SUMIFS(PerHeadcount[Month 9],PerHeadcount[exp_item],$H738,PerHeadcount[company_name],$B738)*T213)</f>
        <v>0</v>
      </c>
      <c r="U738" s="652">
        <f>IF($B738="",,SUMIFS(PerHeadcount[Month 10],PerHeadcount[exp_item],$H738,PerHeadcount[company_name],$B738)*U213)</f>
        <v>0</v>
      </c>
      <c r="V738" s="652">
        <f>IF($B738="",,SUMIFS(PerHeadcount[Month 11],PerHeadcount[exp_item],$H738,PerHeadcount[company_name],$B738)*V213)</f>
        <v>0</v>
      </c>
      <c r="W738" s="652">
        <f>IF($B738="",,SUMIFS(PerHeadcount[Month 12],PerHeadcount[exp_item],$H738,PerHeadcount[company_name],$B738)*W213)</f>
        <v>0</v>
      </c>
      <c r="X738" s="652">
        <f>IF($B738="",,SUMIFS(PerHeadcount[Month 13],PerHeadcount[exp_item],$H738,PerHeadcount[company_name],$B738)*X213)</f>
        <v>0</v>
      </c>
      <c r="Y738" s="652">
        <f>IF($B738="",,SUMIFS(PerHeadcount[Month 14],PerHeadcount[exp_item],$H738,PerHeadcount[company_name],$B738)*Y213)</f>
        <v>0</v>
      </c>
      <c r="Z738" s="652">
        <f>IF($B738="",,SUMIFS(PerHeadcount[Month 15],PerHeadcount[exp_item],$H738,PerHeadcount[company_name],$B738)*Z213)</f>
        <v>0</v>
      </c>
      <c r="AA738" s="652">
        <f>IF($B738="",,SUMIFS(PerHeadcount[Month 16],PerHeadcount[exp_item],$H738,PerHeadcount[company_name],$B738)*AA213)</f>
        <v>0</v>
      </c>
      <c r="AB738" s="652">
        <f>IF($B738="",,SUMIFS(PerHeadcount[Month 17],PerHeadcount[exp_item],$H738,PerHeadcount[company_name],$B738)*AB213)</f>
        <v>0</v>
      </c>
      <c r="AC738" s="652">
        <f>IF($B738="",,SUMIFS(PerHeadcount[Month 18],PerHeadcount[exp_item],$H738,PerHeadcount[company_name],$B738)*AC213)</f>
        <v>0</v>
      </c>
      <c r="AD738" s="652">
        <f>IF($B738="",,SUMIFS(PerHeadcount[Month 19],PerHeadcount[exp_item],$H738,PerHeadcount[company_name],$B738)*AD213)</f>
        <v>0</v>
      </c>
      <c r="AE738" s="652">
        <f>IF($B738="",,SUMIFS(PerHeadcount[Month 20],PerHeadcount[exp_item],$H738,PerHeadcount[company_name],$B738)*AE213)</f>
        <v>0</v>
      </c>
      <c r="AF738" s="652">
        <f>IF($B738="",,SUMIFS(PerHeadcount[Month 21],PerHeadcount[exp_item],$H738,PerHeadcount[company_name],$B738)*AF213)</f>
        <v>0</v>
      </c>
      <c r="AG738" s="652">
        <f>IF($B738="",,SUMIFS(PerHeadcount[Month 22],PerHeadcount[exp_item],$H738,PerHeadcount[company_name],$B738)*AG213)</f>
        <v>0</v>
      </c>
      <c r="AH738" s="652">
        <f>IF($B738="",,SUMIFS(PerHeadcount[Month 23],PerHeadcount[exp_item],$H738,PerHeadcount[company_name],$B738)*AH213)</f>
        <v>0</v>
      </c>
      <c r="AI738" s="652">
        <f>IF($B738="",,SUMIFS(PerHeadcount[Month 24],PerHeadcount[exp_item],$H738,PerHeadcount[company_name],$B738)*AI213)</f>
        <v>0</v>
      </c>
      <c r="AJ738" s="652">
        <f>IF($B738="",,SUMIFS(PerHeadcount[Month 25],PerHeadcount[exp_item],$H738,PerHeadcount[company_name],$B738)*AJ213)</f>
        <v>0</v>
      </c>
      <c r="AK738" s="652">
        <f>IF($B738="",,SUMIFS(PerHeadcount[Month 26],PerHeadcount[exp_item],$H738,PerHeadcount[company_name],$B738)*AK213)</f>
        <v>0</v>
      </c>
      <c r="AL738" s="652">
        <f>IF($B738="",,SUMIFS(PerHeadcount[Month 27],PerHeadcount[exp_item],$H738,PerHeadcount[company_name],$B738)*AL213)</f>
        <v>0</v>
      </c>
      <c r="AM738" s="652">
        <f>IF($B738="",,SUMIFS(PerHeadcount[Month 28],PerHeadcount[exp_item],$H738,PerHeadcount[company_name],$B738)*AM213)</f>
        <v>0</v>
      </c>
      <c r="AN738" s="652">
        <f>IF($B738="",,SUMIFS(PerHeadcount[Month 29],PerHeadcount[exp_item],$H738,PerHeadcount[company_name],$B738)*AN213)</f>
        <v>0</v>
      </c>
      <c r="AO738" s="652">
        <f>IF($B738="",,SUMIFS(PerHeadcount[Month 30],PerHeadcount[exp_item],$H738,PerHeadcount[company_name],$B738)*AO213)</f>
        <v>0</v>
      </c>
      <c r="AP738" s="652">
        <f>IF($B738="",,SUMIFS(PerHeadcount[Month 31],PerHeadcount[exp_item],$H738,PerHeadcount[company_name],$B738)*AP213)</f>
        <v>0</v>
      </c>
      <c r="AQ738" s="652">
        <f>IF($B738="",,SUMIFS(PerHeadcount[Month 32],PerHeadcount[exp_item],$H738,PerHeadcount[company_name],$B738)*AQ213)</f>
        <v>0</v>
      </c>
      <c r="AR738" s="652">
        <f>IF($B738="",,SUMIFS(PerHeadcount[Month 33],PerHeadcount[exp_item],$H738,PerHeadcount[company_name],$B738)*AR213)</f>
        <v>0</v>
      </c>
      <c r="AS738" s="652">
        <f>IF($B738="",,SUMIFS(PerHeadcount[Month 34],PerHeadcount[exp_item],$H738,PerHeadcount[company_name],$B738)*AS213)</f>
        <v>0</v>
      </c>
      <c r="AT738" s="652">
        <f>IF($B738="",,SUMIFS(PerHeadcount[Month 35],PerHeadcount[exp_item],$H738,PerHeadcount[company_name],$B738)*AT213)</f>
        <v>0</v>
      </c>
      <c r="AU738" s="652">
        <f>IF($B738="",,SUMIFS(PerHeadcount[Month 36],PerHeadcount[exp_item],$H738,PerHeadcount[company_name],$B738)*AU213)</f>
        <v>0</v>
      </c>
    </row>
    <row r="739" spans="2:47" x14ac:dyDescent="0.35">
      <c r="B739" t="str">
        <f t="shared" si="432"/>
        <v/>
      </c>
      <c r="C739" t="str">
        <f t="shared" si="432"/>
        <v/>
      </c>
      <c r="D739" t="str">
        <f t="shared" si="432"/>
        <v/>
      </c>
      <c r="E739" t="str">
        <f t="shared" si="432"/>
        <v/>
      </c>
      <c r="F739" t="str">
        <f t="shared" si="432"/>
        <v/>
      </c>
      <c r="G739" t="str">
        <f t="shared" si="432"/>
        <v/>
      </c>
      <c r="H739" t="str">
        <f t="shared" si="429"/>
        <v/>
      </c>
      <c r="J739" t="str">
        <f>IF($H739="","",IF(VLOOKUP(H739,ExpItems[],2,0),H739&amp;" - "&amp;INDEX(DivisionMapping[category_code],MATCH($D739&amp;$C739,DivisionMapping[dept_bu],0)),H739))</f>
        <v/>
      </c>
      <c r="K739" t="str">
        <f t="shared" si="430"/>
        <v/>
      </c>
      <c r="L739" s="652">
        <f>IF($B739="",,SUMIFS(PerHeadcount[Month 1],PerHeadcount[exp_item],$H739,PerHeadcount[company_name],$B739)*L214)</f>
        <v>0</v>
      </c>
      <c r="M739" s="652">
        <f>IF($B739="",,SUMIFS(PerHeadcount[Month 2],PerHeadcount[exp_item],$H739,PerHeadcount[company_name],$B739)*M214)</f>
        <v>0</v>
      </c>
      <c r="N739" s="652">
        <f>IF($B739="",,SUMIFS(PerHeadcount[Month 3],PerHeadcount[exp_item],$H739,PerHeadcount[company_name],$B739)*N214)</f>
        <v>0</v>
      </c>
      <c r="O739" s="652">
        <f>IF($B739="",,SUMIFS(PerHeadcount[Month 4],PerHeadcount[exp_item],$H739,PerHeadcount[company_name],$B739)*O214)</f>
        <v>0</v>
      </c>
      <c r="P739" s="652">
        <f>IF($B739="",,SUMIFS(PerHeadcount[Month 5],PerHeadcount[exp_item],$H739,PerHeadcount[company_name],$B739)*P214)</f>
        <v>0</v>
      </c>
      <c r="Q739" s="652">
        <f>IF($B739="",,SUMIFS(PerHeadcount[Month 6],PerHeadcount[exp_item],$H739,PerHeadcount[company_name],$B739)*Q214)</f>
        <v>0</v>
      </c>
      <c r="R739" s="652">
        <f>IF($B739="",,SUMIFS(PerHeadcount[Month 7],PerHeadcount[exp_item],$H739,PerHeadcount[company_name],$B739)*R214)</f>
        <v>0</v>
      </c>
      <c r="S739" s="652">
        <f>IF($B739="",,SUMIFS(PerHeadcount[Month 8],PerHeadcount[exp_item],$H739,PerHeadcount[company_name],$B739)*S214)</f>
        <v>0</v>
      </c>
      <c r="T739" s="652">
        <f>IF($B739="",,SUMIFS(PerHeadcount[Month 9],PerHeadcount[exp_item],$H739,PerHeadcount[company_name],$B739)*T214)</f>
        <v>0</v>
      </c>
      <c r="U739" s="652">
        <f>IF($B739="",,SUMIFS(PerHeadcount[Month 10],PerHeadcount[exp_item],$H739,PerHeadcount[company_name],$B739)*U214)</f>
        <v>0</v>
      </c>
      <c r="V739" s="652">
        <f>IF($B739="",,SUMIFS(PerHeadcount[Month 11],PerHeadcount[exp_item],$H739,PerHeadcount[company_name],$B739)*V214)</f>
        <v>0</v>
      </c>
      <c r="W739" s="652">
        <f>IF($B739="",,SUMIFS(PerHeadcount[Month 12],PerHeadcount[exp_item],$H739,PerHeadcount[company_name],$B739)*W214)</f>
        <v>0</v>
      </c>
      <c r="X739" s="652">
        <f>IF($B739="",,SUMIFS(PerHeadcount[Month 13],PerHeadcount[exp_item],$H739,PerHeadcount[company_name],$B739)*X214)</f>
        <v>0</v>
      </c>
      <c r="Y739" s="652">
        <f>IF($B739="",,SUMIFS(PerHeadcount[Month 14],PerHeadcount[exp_item],$H739,PerHeadcount[company_name],$B739)*Y214)</f>
        <v>0</v>
      </c>
      <c r="Z739" s="652">
        <f>IF($B739="",,SUMIFS(PerHeadcount[Month 15],PerHeadcount[exp_item],$H739,PerHeadcount[company_name],$B739)*Z214)</f>
        <v>0</v>
      </c>
      <c r="AA739" s="652">
        <f>IF($B739="",,SUMIFS(PerHeadcount[Month 16],PerHeadcount[exp_item],$H739,PerHeadcount[company_name],$B739)*AA214)</f>
        <v>0</v>
      </c>
      <c r="AB739" s="652">
        <f>IF($B739="",,SUMIFS(PerHeadcount[Month 17],PerHeadcount[exp_item],$H739,PerHeadcount[company_name],$B739)*AB214)</f>
        <v>0</v>
      </c>
      <c r="AC739" s="652">
        <f>IF($B739="",,SUMIFS(PerHeadcount[Month 18],PerHeadcount[exp_item],$H739,PerHeadcount[company_name],$B739)*AC214)</f>
        <v>0</v>
      </c>
      <c r="AD739" s="652">
        <f>IF($B739="",,SUMIFS(PerHeadcount[Month 19],PerHeadcount[exp_item],$H739,PerHeadcount[company_name],$B739)*AD214)</f>
        <v>0</v>
      </c>
      <c r="AE739" s="652">
        <f>IF($B739="",,SUMIFS(PerHeadcount[Month 20],PerHeadcount[exp_item],$H739,PerHeadcount[company_name],$B739)*AE214)</f>
        <v>0</v>
      </c>
      <c r="AF739" s="652">
        <f>IF($B739="",,SUMIFS(PerHeadcount[Month 21],PerHeadcount[exp_item],$H739,PerHeadcount[company_name],$B739)*AF214)</f>
        <v>0</v>
      </c>
      <c r="AG739" s="652">
        <f>IF($B739="",,SUMIFS(PerHeadcount[Month 22],PerHeadcount[exp_item],$H739,PerHeadcount[company_name],$B739)*AG214)</f>
        <v>0</v>
      </c>
      <c r="AH739" s="652">
        <f>IF($B739="",,SUMIFS(PerHeadcount[Month 23],PerHeadcount[exp_item],$H739,PerHeadcount[company_name],$B739)*AH214)</f>
        <v>0</v>
      </c>
      <c r="AI739" s="652">
        <f>IF($B739="",,SUMIFS(PerHeadcount[Month 24],PerHeadcount[exp_item],$H739,PerHeadcount[company_name],$B739)*AI214)</f>
        <v>0</v>
      </c>
      <c r="AJ739" s="652">
        <f>IF($B739="",,SUMIFS(PerHeadcount[Month 25],PerHeadcount[exp_item],$H739,PerHeadcount[company_name],$B739)*AJ214)</f>
        <v>0</v>
      </c>
      <c r="AK739" s="652">
        <f>IF($B739="",,SUMIFS(PerHeadcount[Month 26],PerHeadcount[exp_item],$H739,PerHeadcount[company_name],$B739)*AK214)</f>
        <v>0</v>
      </c>
      <c r="AL739" s="652">
        <f>IF($B739="",,SUMIFS(PerHeadcount[Month 27],PerHeadcount[exp_item],$H739,PerHeadcount[company_name],$B739)*AL214)</f>
        <v>0</v>
      </c>
      <c r="AM739" s="652">
        <f>IF($B739="",,SUMIFS(PerHeadcount[Month 28],PerHeadcount[exp_item],$H739,PerHeadcount[company_name],$B739)*AM214)</f>
        <v>0</v>
      </c>
      <c r="AN739" s="652">
        <f>IF($B739="",,SUMIFS(PerHeadcount[Month 29],PerHeadcount[exp_item],$H739,PerHeadcount[company_name],$B739)*AN214)</f>
        <v>0</v>
      </c>
      <c r="AO739" s="652">
        <f>IF($B739="",,SUMIFS(PerHeadcount[Month 30],PerHeadcount[exp_item],$H739,PerHeadcount[company_name],$B739)*AO214)</f>
        <v>0</v>
      </c>
      <c r="AP739" s="652">
        <f>IF($B739="",,SUMIFS(PerHeadcount[Month 31],PerHeadcount[exp_item],$H739,PerHeadcount[company_name],$B739)*AP214)</f>
        <v>0</v>
      </c>
      <c r="AQ739" s="652">
        <f>IF($B739="",,SUMIFS(PerHeadcount[Month 32],PerHeadcount[exp_item],$H739,PerHeadcount[company_name],$B739)*AQ214)</f>
        <v>0</v>
      </c>
      <c r="AR739" s="652">
        <f>IF($B739="",,SUMIFS(PerHeadcount[Month 33],PerHeadcount[exp_item],$H739,PerHeadcount[company_name],$B739)*AR214)</f>
        <v>0</v>
      </c>
      <c r="AS739" s="652">
        <f>IF($B739="",,SUMIFS(PerHeadcount[Month 34],PerHeadcount[exp_item],$H739,PerHeadcount[company_name],$B739)*AS214)</f>
        <v>0</v>
      </c>
      <c r="AT739" s="652">
        <f>IF($B739="",,SUMIFS(PerHeadcount[Month 35],PerHeadcount[exp_item],$H739,PerHeadcount[company_name],$B739)*AT214)</f>
        <v>0</v>
      </c>
      <c r="AU739" s="652">
        <f>IF($B739="",,SUMIFS(PerHeadcount[Month 36],PerHeadcount[exp_item],$H739,PerHeadcount[company_name],$B739)*AU214)</f>
        <v>0</v>
      </c>
    </row>
    <row r="740" spans="2:47" x14ac:dyDescent="0.35">
      <c r="B740" t="str">
        <f t="shared" si="432"/>
        <v/>
      </c>
      <c r="C740" t="str">
        <f t="shared" si="432"/>
        <v/>
      </c>
      <c r="D740" t="str">
        <f t="shared" si="432"/>
        <v/>
      </c>
      <c r="E740" t="str">
        <f t="shared" si="432"/>
        <v/>
      </c>
      <c r="F740" t="str">
        <f t="shared" si="432"/>
        <v/>
      </c>
      <c r="G740" t="str">
        <f t="shared" si="432"/>
        <v/>
      </c>
      <c r="H740" t="str">
        <f t="shared" si="429"/>
        <v/>
      </c>
      <c r="J740" t="str">
        <f>IF($H740="","",IF(VLOOKUP(H740,ExpItems[],2,0),H740&amp;" - "&amp;INDEX(DivisionMapping[category_code],MATCH($D740&amp;$C740,DivisionMapping[dept_bu],0)),H740))</f>
        <v/>
      </c>
      <c r="K740" t="str">
        <f t="shared" si="430"/>
        <v/>
      </c>
      <c r="L740" s="652">
        <f>IF($B740="",,SUMIFS(PerHeadcount[Month 1],PerHeadcount[exp_item],$H740,PerHeadcount[company_name],$B740)*L215)</f>
        <v>0</v>
      </c>
      <c r="M740" s="652">
        <f>IF($B740="",,SUMIFS(PerHeadcount[Month 2],PerHeadcount[exp_item],$H740,PerHeadcount[company_name],$B740)*M215)</f>
        <v>0</v>
      </c>
      <c r="N740" s="652">
        <f>IF($B740="",,SUMIFS(PerHeadcount[Month 3],PerHeadcount[exp_item],$H740,PerHeadcount[company_name],$B740)*N215)</f>
        <v>0</v>
      </c>
      <c r="O740" s="652">
        <f>IF($B740="",,SUMIFS(PerHeadcount[Month 4],PerHeadcount[exp_item],$H740,PerHeadcount[company_name],$B740)*O215)</f>
        <v>0</v>
      </c>
      <c r="P740" s="652">
        <f>IF($B740="",,SUMIFS(PerHeadcount[Month 5],PerHeadcount[exp_item],$H740,PerHeadcount[company_name],$B740)*P215)</f>
        <v>0</v>
      </c>
      <c r="Q740" s="652">
        <f>IF($B740="",,SUMIFS(PerHeadcount[Month 6],PerHeadcount[exp_item],$H740,PerHeadcount[company_name],$B740)*Q215)</f>
        <v>0</v>
      </c>
      <c r="R740" s="652">
        <f>IF($B740="",,SUMIFS(PerHeadcount[Month 7],PerHeadcount[exp_item],$H740,PerHeadcount[company_name],$B740)*R215)</f>
        <v>0</v>
      </c>
      <c r="S740" s="652">
        <f>IF($B740="",,SUMIFS(PerHeadcount[Month 8],PerHeadcount[exp_item],$H740,PerHeadcount[company_name],$B740)*S215)</f>
        <v>0</v>
      </c>
      <c r="T740" s="652">
        <f>IF($B740="",,SUMIFS(PerHeadcount[Month 9],PerHeadcount[exp_item],$H740,PerHeadcount[company_name],$B740)*T215)</f>
        <v>0</v>
      </c>
      <c r="U740" s="652">
        <f>IF($B740="",,SUMIFS(PerHeadcount[Month 10],PerHeadcount[exp_item],$H740,PerHeadcount[company_name],$B740)*U215)</f>
        <v>0</v>
      </c>
      <c r="V740" s="652">
        <f>IF($B740="",,SUMIFS(PerHeadcount[Month 11],PerHeadcount[exp_item],$H740,PerHeadcount[company_name],$B740)*V215)</f>
        <v>0</v>
      </c>
      <c r="W740" s="652">
        <f>IF($B740="",,SUMIFS(PerHeadcount[Month 12],PerHeadcount[exp_item],$H740,PerHeadcount[company_name],$B740)*W215)</f>
        <v>0</v>
      </c>
      <c r="X740" s="652">
        <f>IF($B740="",,SUMIFS(PerHeadcount[Month 13],PerHeadcount[exp_item],$H740,PerHeadcount[company_name],$B740)*X215)</f>
        <v>0</v>
      </c>
      <c r="Y740" s="652">
        <f>IF($B740="",,SUMIFS(PerHeadcount[Month 14],PerHeadcount[exp_item],$H740,PerHeadcount[company_name],$B740)*Y215)</f>
        <v>0</v>
      </c>
      <c r="Z740" s="652">
        <f>IF($B740="",,SUMIFS(PerHeadcount[Month 15],PerHeadcount[exp_item],$H740,PerHeadcount[company_name],$B740)*Z215)</f>
        <v>0</v>
      </c>
      <c r="AA740" s="652">
        <f>IF($B740="",,SUMIFS(PerHeadcount[Month 16],PerHeadcount[exp_item],$H740,PerHeadcount[company_name],$B740)*AA215)</f>
        <v>0</v>
      </c>
      <c r="AB740" s="652">
        <f>IF($B740="",,SUMIFS(PerHeadcount[Month 17],PerHeadcount[exp_item],$H740,PerHeadcount[company_name],$B740)*AB215)</f>
        <v>0</v>
      </c>
      <c r="AC740" s="652">
        <f>IF($B740="",,SUMIFS(PerHeadcount[Month 18],PerHeadcount[exp_item],$H740,PerHeadcount[company_name],$B740)*AC215)</f>
        <v>0</v>
      </c>
      <c r="AD740" s="652">
        <f>IF($B740="",,SUMIFS(PerHeadcount[Month 19],PerHeadcount[exp_item],$H740,PerHeadcount[company_name],$B740)*AD215)</f>
        <v>0</v>
      </c>
      <c r="AE740" s="652">
        <f>IF($B740="",,SUMIFS(PerHeadcount[Month 20],PerHeadcount[exp_item],$H740,PerHeadcount[company_name],$B740)*AE215)</f>
        <v>0</v>
      </c>
      <c r="AF740" s="652">
        <f>IF($B740="",,SUMIFS(PerHeadcount[Month 21],PerHeadcount[exp_item],$H740,PerHeadcount[company_name],$B740)*AF215)</f>
        <v>0</v>
      </c>
      <c r="AG740" s="652">
        <f>IF($B740="",,SUMIFS(PerHeadcount[Month 22],PerHeadcount[exp_item],$H740,PerHeadcount[company_name],$B740)*AG215)</f>
        <v>0</v>
      </c>
      <c r="AH740" s="652">
        <f>IF($B740="",,SUMIFS(PerHeadcount[Month 23],PerHeadcount[exp_item],$H740,PerHeadcount[company_name],$B740)*AH215)</f>
        <v>0</v>
      </c>
      <c r="AI740" s="652">
        <f>IF($B740="",,SUMIFS(PerHeadcount[Month 24],PerHeadcount[exp_item],$H740,PerHeadcount[company_name],$B740)*AI215)</f>
        <v>0</v>
      </c>
      <c r="AJ740" s="652">
        <f>IF($B740="",,SUMIFS(PerHeadcount[Month 25],PerHeadcount[exp_item],$H740,PerHeadcount[company_name],$B740)*AJ215)</f>
        <v>0</v>
      </c>
      <c r="AK740" s="652">
        <f>IF($B740="",,SUMIFS(PerHeadcount[Month 26],PerHeadcount[exp_item],$H740,PerHeadcount[company_name],$B740)*AK215)</f>
        <v>0</v>
      </c>
      <c r="AL740" s="652">
        <f>IF($B740="",,SUMIFS(PerHeadcount[Month 27],PerHeadcount[exp_item],$H740,PerHeadcount[company_name],$B740)*AL215)</f>
        <v>0</v>
      </c>
      <c r="AM740" s="652">
        <f>IF($B740="",,SUMIFS(PerHeadcount[Month 28],PerHeadcount[exp_item],$H740,PerHeadcount[company_name],$B740)*AM215)</f>
        <v>0</v>
      </c>
      <c r="AN740" s="652">
        <f>IF($B740="",,SUMIFS(PerHeadcount[Month 29],PerHeadcount[exp_item],$H740,PerHeadcount[company_name],$B740)*AN215)</f>
        <v>0</v>
      </c>
      <c r="AO740" s="652">
        <f>IF($B740="",,SUMIFS(PerHeadcount[Month 30],PerHeadcount[exp_item],$H740,PerHeadcount[company_name],$B740)*AO215)</f>
        <v>0</v>
      </c>
      <c r="AP740" s="652">
        <f>IF($B740="",,SUMIFS(PerHeadcount[Month 31],PerHeadcount[exp_item],$H740,PerHeadcount[company_name],$B740)*AP215)</f>
        <v>0</v>
      </c>
      <c r="AQ740" s="652">
        <f>IF($B740="",,SUMIFS(PerHeadcount[Month 32],PerHeadcount[exp_item],$H740,PerHeadcount[company_name],$B740)*AQ215)</f>
        <v>0</v>
      </c>
      <c r="AR740" s="652">
        <f>IF($B740="",,SUMIFS(PerHeadcount[Month 33],PerHeadcount[exp_item],$H740,PerHeadcount[company_name],$B740)*AR215)</f>
        <v>0</v>
      </c>
      <c r="AS740" s="652">
        <f>IF($B740="",,SUMIFS(PerHeadcount[Month 34],PerHeadcount[exp_item],$H740,PerHeadcount[company_name],$B740)*AS215)</f>
        <v>0</v>
      </c>
      <c r="AT740" s="652">
        <f>IF($B740="",,SUMIFS(PerHeadcount[Month 35],PerHeadcount[exp_item],$H740,PerHeadcount[company_name],$B740)*AT215)</f>
        <v>0</v>
      </c>
      <c r="AU740" s="652">
        <f>IF($B740="",,SUMIFS(PerHeadcount[Month 36],PerHeadcount[exp_item],$H740,PerHeadcount[company_name],$B740)*AU215)</f>
        <v>0</v>
      </c>
    </row>
    <row r="741" spans="2:47" x14ac:dyDescent="0.35">
      <c r="B741" t="str">
        <f t="shared" ref="B741:G750" si="433">IF(B636="","",B636)</f>
        <v/>
      </c>
      <c r="C741" t="str">
        <f t="shared" si="433"/>
        <v/>
      </c>
      <c r="D741" t="str">
        <f t="shared" si="433"/>
        <v/>
      </c>
      <c r="E741" t="str">
        <f t="shared" si="433"/>
        <v/>
      </c>
      <c r="F741" t="str">
        <f t="shared" si="433"/>
        <v/>
      </c>
      <c r="G741" t="str">
        <f t="shared" si="433"/>
        <v/>
      </c>
      <c r="H741" t="str">
        <f t="shared" si="429"/>
        <v/>
      </c>
      <c r="J741" t="str">
        <f>IF($H741="","",IF(VLOOKUP(H741,ExpItems[],2,0),H741&amp;" - "&amp;INDEX(DivisionMapping[category_code],MATCH($D741&amp;$C741,DivisionMapping[dept_bu],0)),H741))</f>
        <v/>
      </c>
      <c r="K741" t="str">
        <f t="shared" si="430"/>
        <v/>
      </c>
      <c r="L741" s="652">
        <f>IF($B741="",,SUMIFS(PerHeadcount[Month 1],PerHeadcount[exp_item],$H741,PerHeadcount[company_name],$B741)*L216)</f>
        <v>0</v>
      </c>
      <c r="M741" s="652">
        <f>IF($B741="",,SUMIFS(PerHeadcount[Month 2],PerHeadcount[exp_item],$H741,PerHeadcount[company_name],$B741)*M216)</f>
        <v>0</v>
      </c>
      <c r="N741" s="652">
        <f>IF($B741="",,SUMIFS(PerHeadcount[Month 3],PerHeadcount[exp_item],$H741,PerHeadcount[company_name],$B741)*N216)</f>
        <v>0</v>
      </c>
      <c r="O741" s="652">
        <f>IF($B741="",,SUMIFS(PerHeadcount[Month 4],PerHeadcount[exp_item],$H741,PerHeadcount[company_name],$B741)*O216)</f>
        <v>0</v>
      </c>
      <c r="P741" s="652">
        <f>IF($B741="",,SUMIFS(PerHeadcount[Month 5],PerHeadcount[exp_item],$H741,PerHeadcount[company_name],$B741)*P216)</f>
        <v>0</v>
      </c>
      <c r="Q741" s="652">
        <f>IF($B741="",,SUMIFS(PerHeadcount[Month 6],PerHeadcount[exp_item],$H741,PerHeadcount[company_name],$B741)*Q216)</f>
        <v>0</v>
      </c>
      <c r="R741" s="652">
        <f>IF($B741="",,SUMIFS(PerHeadcount[Month 7],PerHeadcount[exp_item],$H741,PerHeadcount[company_name],$B741)*R216)</f>
        <v>0</v>
      </c>
      <c r="S741" s="652">
        <f>IF($B741="",,SUMIFS(PerHeadcount[Month 8],PerHeadcount[exp_item],$H741,PerHeadcount[company_name],$B741)*S216)</f>
        <v>0</v>
      </c>
      <c r="T741" s="652">
        <f>IF($B741="",,SUMIFS(PerHeadcount[Month 9],PerHeadcount[exp_item],$H741,PerHeadcount[company_name],$B741)*T216)</f>
        <v>0</v>
      </c>
      <c r="U741" s="652">
        <f>IF($B741="",,SUMIFS(PerHeadcount[Month 10],PerHeadcount[exp_item],$H741,PerHeadcount[company_name],$B741)*U216)</f>
        <v>0</v>
      </c>
      <c r="V741" s="652">
        <f>IF($B741="",,SUMIFS(PerHeadcount[Month 11],PerHeadcount[exp_item],$H741,PerHeadcount[company_name],$B741)*V216)</f>
        <v>0</v>
      </c>
      <c r="W741" s="652">
        <f>IF($B741="",,SUMIFS(PerHeadcount[Month 12],PerHeadcount[exp_item],$H741,PerHeadcount[company_name],$B741)*W216)</f>
        <v>0</v>
      </c>
      <c r="X741" s="652">
        <f>IF($B741="",,SUMIFS(PerHeadcount[Month 13],PerHeadcount[exp_item],$H741,PerHeadcount[company_name],$B741)*X216)</f>
        <v>0</v>
      </c>
      <c r="Y741" s="652">
        <f>IF($B741="",,SUMIFS(PerHeadcount[Month 14],PerHeadcount[exp_item],$H741,PerHeadcount[company_name],$B741)*Y216)</f>
        <v>0</v>
      </c>
      <c r="Z741" s="652">
        <f>IF($B741="",,SUMIFS(PerHeadcount[Month 15],PerHeadcount[exp_item],$H741,PerHeadcount[company_name],$B741)*Z216)</f>
        <v>0</v>
      </c>
      <c r="AA741" s="652">
        <f>IF($B741="",,SUMIFS(PerHeadcount[Month 16],PerHeadcount[exp_item],$H741,PerHeadcount[company_name],$B741)*AA216)</f>
        <v>0</v>
      </c>
      <c r="AB741" s="652">
        <f>IF($B741="",,SUMIFS(PerHeadcount[Month 17],PerHeadcount[exp_item],$H741,PerHeadcount[company_name],$B741)*AB216)</f>
        <v>0</v>
      </c>
      <c r="AC741" s="652">
        <f>IF($B741="",,SUMIFS(PerHeadcount[Month 18],PerHeadcount[exp_item],$H741,PerHeadcount[company_name],$B741)*AC216)</f>
        <v>0</v>
      </c>
      <c r="AD741" s="652">
        <f>IF($B741="",,SUMIFS(PerHeadcount[Month 19],PerHeadcount[exp_item],$H741,PerHeadcount[company_name],$B741)*AD216)</f>
        <v>0</v>
      </c>
      <c r="AE741" s="652">
        <f>IF($B741="",,SUMIFS(PerHeadcount[Month 20],PerHeadcount[exp_item],$H741,PerHeadcount[company_name],$B741)*AE216)</f>
        <v>0</v>
      </c>
      <c r="AF741" s="652">
        <f>IF($B741="",,SUMIFS(PerHeadcount[Month 21],PerHeadcount[exp_item],$H741,PerHeadcount[company_name],$B741)*AF216)</f>
        <v>0</v>
      </c>
      <c r="AG741" s="652">
        <f>IF($B741="",,SUMIFS(PerHeadcount[Month 22],PerHeadcount[exp_item],$H741,PerHeadcount[company_name],$B741)*AG216)</f>
        <v>0</v>
      </c>
      <c r="AH741" s="652">
        <f>IF($B741="",,SUMIFS(PerHeadcount[Month 23],PerHeadcount[exp_item],$H741,PerHeadcount[company_name],$B741)*AH216)</f>
        <v>0</v>
      </c>
      <c r="AI741" s="652">
        <f>IF($B741="",,SUMIFS(PerHeadcount[Month 24],PerHeadcount[exp_item],$H741,PerHeadcount[company_name],$B741)*AI216)</f>
        <v>0</v>
      </c>
      <c r="AJ741" s="652">
        <f>IF($B741="",,SUMIFS(PerHeadcount[Month 25],PerHeadcount[exp_item],$H741,PerHeadcount[company_name],$B741)*AJ216)</f>
        <v>0</v>
      </c>
      <c r="AK741" s="652">
        <f>IF($B741="",,SUMIFS(PerHeadcount[Month 26],PerHeadcount[exp_item],$H741,PerHeadcount[company_name],$B741)*AK216)</f>
        <v>0</v>
      </c>
      <c r="AL741" s="652">
        <f>IF($B741="",,SUMIFS(PerHeadcount[Month 27],PerHeadcount[exp_item],$H741,PerHeadcount[company_name],$B741)*AL216)</f>
        <v>0</v>
      </c>
      <c r="AM741" s="652">
        <f>IF($B741="",,SUMIFS(PerHeadcount[Month 28],PerHeadcount[exp_item],$H741,PerHeadcount[company_name],$B741)*AM216)</f>
        <v>0</v>
      </c>
      <c r="AN741" s="652">
        <f>IF($B741="",,SUMIFS(PerHeadcount[Month 29],PerHeadcount[exp_item],$H741,PerHeadcount[company_name],$B741)*AN216)</f>
        <v>0</v>
      </c>
      <c r="AO741" s="652">
        <f>IF($B741="",,SUMIFS(PerHeadcount[Month 30],PerHeadcount[exp_item],$H741,PerHeadcount[company_name],$B741)*AO216)</f>
        <v>0</v>
      </c>
      <c r="AP741" s="652">
        <f>IF($B741="",,SUMIFS(PerHeadcount[Month 31],PerHeadcount[exp_item],$H741,PerHeadcount[company_name],$B741)*AP216)</f>
        <v>0</v>
      </c>
      <c r="AQ741" s="652">
        <f>IF($B741="",,SUMIFS(PerHeadcount[Month 32],PerHeadcount[exp_item],$H741,PerHeadcount[company_name],$B741)*AQ216)</f>
        <v>0</v>
      </c>
      <c r="AR741" s="652">
        <f>IF($B741="",,SUMIFS(PerHeadcount[Month 33],PerHeadcount[exp_item],$H741,PerHeadcount[company_name],$B741)*AR216)</f>
        <v>0</v>
      </c>
      <c r="AS741" s="652">
        <f>IF($B741="",,SUMIFS(PerHeadcount[Month 34],PerHeadcount[exp_item],$H741,PerHeadcount[company_name],$B741)*AS216)</f>
        <v>0</v>
      </c>
      <c r="AT741" s="652">
        <f>IF($B741="",,SUMIFS(PerHeadcount[Month 35],PerHeadcount[exp_item],$H741,PerHeadcount[company_name],$B741)*AT216)</f>
        <v>0</v>
      </c>
      <c r="AU741" s="652">
        <f>IF($B741="",,SUMIFS(PerHeadcount[Month 36],PerHeadcount[exp_item],$H741,PerHeadcount[company_name],$B741)*AU216)</f>
        <v>0</v>
      </c>
    </row>
    <row r="742" spans="2:47" x14ac:dyDescent="0.35">
      <c r="B742" t="str">
        <f t="shared" si="433"/>
        <v/>
      </c>
      <c r="C742" t="str">
        <f t="shared" si="433"/>
        <v/>
      </c>
      <c r="D742" t="str">
        <f t="shared" si="433"/>
        <v/>
      </c>
      <c r="E742" t="str">
        <f t="shared" si="433"/>
        <v/>
      </c>
      <c r="F742" t="str">
        <f t="shared" si="433"/>
        <v/>
      </c>
      <c r="G742" t="str">
        <f t="shared" si="433"/>
        <v/>
      </c>
      <c r="H742" t="str">
        <f t="shared" si="429"/>
        <v/>
      </c>
      <c r="J742" t="str">
        <f>IF($H742="","",IF(VLOOKUP(H742,ExpItems[],2,0),H742&amp;" - "&amp;INDEX(DivisionMapping[category_code],MATCH($D742&amp;$C742,DivisionMapping[dept_bu],0)),H742))</f>
        <v/>
      </c>
      <c r="K742" t="str">
        <f t="shared" si="430"/>
        <v/>
      </c>
      <c r="L742" s="652">
        <f>IF($B742="",,SUMIFS(PerHeadcount[Month 1],PerHeadcount[exp_item],$H742,PerHeadcount[company_name],$B742)*L217)</f>
        <v>0</v>
      </c>
      <c r="M742" s="652">
        <f>IF($B742="",,SUMIFS(PerHeadcount[Month 2],PerHeadcount[exp_item],$H742,PerHeadcount[company_name],$B742)*M217)</f>
        <v>0</v>
      </c>
      <c r="N742" s="652">
        <f>IF($B742="",,SUMIFS(PerHeadcount[Month 3],PerHeadcount[exp_item],$H742,PerHeadcount[company_name],$B742)*N217)</f>
        <v>0</v>
      </c>
      <c r="O742" s="652">
        <f>IF($B742="",,SUMIFS(PerHeadcount[Month 4],PerHeadcount[exp_item],$H742,PerHeadcount[company_name],$B742)*O217)</f>
        <v>0</v>
      </c>
      <c r="P742" s="652">
        <f>IF($B742="",,SUMIFS(PerHeadcount[Month 5],PerHeadcount[exp_item],$H742,PerHeadcount[company_name],$B742)*P217)</f>
        <v>0</v>
      </c>
      <c r="Q742" s="652">
        <f>IF($B742="",,SUMIFS(PerHeadcount[Month 6],PerHeadcount[exp_item],$H742,PerHeadcount[company_name],$B742)*Q217)</f>
        <v>0</v>
      </c>
      <c r="R742" s="652">
        <f>IF($B742="",,SUMIFS(PerHeadcount[Month 7],PerHeadcount[exp_item],$H742,PerHeadcount[company_name],$B742)*R217)</f>
        <v>0</v>
      </c>
      <c r="S742" s="652">
        <f>IF($B742="",,SUMIFS(PerHeadcount[Month 8],PerHeadcount[exp_item],$H742,PerHeadcount[company_name],$B742)*S217)</f>
        <v>0</v>
      </c>
      <c r="T742" s="652">
        <f>IF($B742="",,SUMIFS(PerHeadcount[Month 9],PerHeadcount[exp_item],$H742,PerHeadcount[company_name],$B742)*T217)</f>
        <v>0</v>
      </c>
      <c r="U742" s="652">
        <f>IF($B742="",,SUMIFS(PerHeadcount[Month 10],PerHeadcount[exp_item],$H742,PerHeadcount[company_name],$B742)*U217)</f>
        <v>0</v>
      </c>
      <c r="V742" s="652">
        <f>IF($B742="",,SUMIFS(PerHeadcount[Month 11],PerHeadcount[exp_item],$H742,PerHeadcount[company_name],$B742)*V217)</f>
        <v>0</v>
      </c>
      <c r="W742" s="652">
        <f>IF($B742="",,SUMIFS(PerHeadcount[Month 12],PerHeadcount[exp_item],$H742,PerHeadcount[company_name],$B742)*W217)</f>
        <v>0</v>
      </c>
      <c r="X742" s="652">
        <f>IF($B742="",,SUMIFS(PerHeadcount[Month 13],PerHeadcount[exp_item],$H742,PerHeadcount[company_name],$B742)*X217)</f>
        <v>0</v>
      </c>
      <c r="Y742" s="652">
        <f>IF($B742="",,SUMIFS(PerHeadcount[Month 14],PerHeadcount[exp_item],$H742,PerHeadcount[company_name],$B742)*Y217)</f>
        <v>0</v>
      </c>
      <c r="Z742" s="652">
        <f>IF($B742="",,SUMIFS(PerHeadcount[Month 15],PerHeadcount[exp_item],$H742,PerHeadcount[company_name],$B742)*Z217)</f>
        <v>0</v>
      </c>
      <c r="AA742" s="652">
        <f>IF($B742="",,SUMIFS(PerHeadcount[Month 16],PerHeadcount[exp_item],$H742,PerHeadcount[company_name],$B742)*AA217)</f>
        <v>0</v>
      </c>
      <c r="AB742" s="652">
        <f>IF($B742="",,SUMIFS(PerHeadcount[Month 17],PerHeadcount[exp_item],$H742,PerHeadcount[company_name],$B742)*AB217)</f>
        <v>0</v>
      </c>
      <c r="AC742" s="652">
        <f>IF($B742="",,SUMIFS(PerHeadcount[Month 18],PerHeadcount[exp_item],$H742,PerHeadcount[company_name],$B742)*AC217)</f>
        <v>0</v>
      </c>
      <c r="AD742" s="652">
        <f>IF($B742="",,SUMIFS(PerHeadcount[Month 19],PerHeadcount[exp_item],$H742,PerHeadcount[company_name],$B742)*AD217)</f>
        <v>0</v>
      </c>
      <c r="AE742" s="652">
        <f>IF($B742="",,SUMIFS(PerHeadcount[Month 20],PerHeadcount[exp_item],$H742,PerHeadcount[company_name],$B742)*AE217)</f>
        <v>0</v>
      </c>
      <c r="AF742" s="652">
        <f>IF($B742="",,SUMIFS(PerHeadcount[Month 21],PerHeadcount[exp_item],$H742,PerHeadcount[company_name],$B742)*AF217)</f>
        <v>0</v>
      </c>
      <c r="AG742" s="652">
        <f>IF($B742="",,SUMIFS(PerHeadcount[Month 22],PerHeadcount[exp_item],$H742,PerHeadcount[company_name],$B742)*AG217)</f>
        <v>0</v>
      </c>
      <c r="AH742" s="652">
        <f>IF($B742="",,SUMIFS(PerHeadcount[Month 23],PerHeadcount[exp_item],$H742,PerHeadcount[company_name],$B742)*AH217)</f>
        <v>0</v>
      </c>
      <c r="AI742" s="652">
        <f>IF($B742="",,SUMIFS(PerHeadcount[Month 24],PerHeadcount[exp_item],$H742,PerHeadcount[company_name],$B742)*AI217)</f>
        <v>0</v>
      </c>
      <c r="AJ742" s="652">
        <f>IF($B742="",,SUMIFS(PerHeadcount[Month 25],PerHeadcount[exp_item],$H742,PerHeadcount[company_name],$B742)*AJ217)</f>
        <v>0</v>
      </c>
      <c r="AK742" s="652">
        <f>IF($B742="",,SUMIFS(PerHeadcount[Month 26],PerHeadcount[exp_item],$H742,PerHeadcount[company_name],$B742)*AK217)</f>
        <v>0</v>
      </c>
      <c r="AL742" s="652">
        <f>IF($B742="",,SUMIFS(PerHeadcount[Month 27],PerHeadcount[exp_item],$H742,PerHeadcount[company_name],$B742)*AL217)</f>
        <v>0</v>
      </c>
      <c r="AM742" s="652">
        <f>IF($B742="",,SUMIFS(PerHeadcount[Month 28],PerHeadcount[exp_item],$H742,PerHeadcount[company_name],$B742)*AM217)</f>
        <v>0</v>
      </c>
      <c r="AN742" s="652">
        <f>IF($B742="",,SUMIFS(PerHeadcount[Month 29],PerHeadcount[exp_item],$H742,PerHeadcount[company_name],$B742)*AN217)</f>
        <v>0</v>
      </c>
      <c r="AO742" s="652">
        <f>IF($B742="",,SUMIFS(PerHeadcount[Month 30],PerHeadcount[exp_item],$H742,PerHeadcount[company_name],$B742)*AO217)</f>
        <v>0</v>
      </c>
      <c r="AP742" s="652">
        <f>IF($B742="",,SUMIFS(PerHeadcount[Month 31],PerHeadcount[exp_item],$H742,PerHeadcount[company_name],$B742)*AP217)</f>
        <v>0</v>
      </c>
      <c r="AQ742" s="652">
        <f>IF($B742="",,SUMIFS(PerHeadcount[Month 32],PerHeadcount[exp_item],$H742,PerHeadcount[company_name],$B742)*AQ217)</f>
        <v>0</v>
      </c>
      <c r="AR742" s="652">
        <f>IF($B742="",,SUMIFS(PerHeadcount[Month 33],PerHeadcount[exp_item],$H742,PerHeadcount[company_name],$B742)*AR217)</f>
        <v>0</v>
      </c>
      <c r="AS742" s="652">
        <f>IF($B742="",,SUMIFS(PerHeadcount[Month 34],PerHeadcount[exp_item],$H742,PerHeadcount[company_name],$B742)*AS217)</f>
        <v>0</v>
      </c>
      <c r="AT742" s="652">
        <f>IF($B742="",,SUMIFS(PerHeadcount[Month 35],PerHeadcount[exp_item],$H742,PerHeadcount[company_name],$B742)*AT217)</f>
        <v>0</v>
      </c>
      <c r="AU742" s="652">
        <f>IF($B742="",,SUMIFS(PerHeadcount[Month 36],PerHeadcount[exp_item],$H742,PerHeadcount[company_name],$B742)*AU217)</f>
        <v>0</v>
      </c>
    </row>
    <row r="743" spans="2:47" x14ac:dyDescent="0.35">
      <c r="B743" t="str">
        <f t="shared" si="433"/>
        <v/>
      </c>
      <c r="C743" t="str">
        <f t="shared" si="433"/>
        <v/>
      </c>
      <c r="D743" t="str">
        <f t="shared" si="433"/>
        <v/>
      </c>
      <c r="E743" t="str">
        <f t="shared" si="433"/>
        <v/>
      </c>
      <c r="F743" t="str">
        <f t="shared" si="433"/>
        <v/>
      </c>
      <c r="G743" t="str">
        <f t="shared" si="433"/>
        <v/>
      </c>
      <c r="H743" t="str">
        <f t="shared" si="429"/>
        <v/>
      </c>
      <c r="J743" t="str">
        <f>IF($H743="","",IF(VLOOKUP(H743,ExpItems[],2,0),H743&amp;" - "&amp;INDEX(DivisionMapping[category_code],MATCH($D743&amp;$C743,DivisionMapping[dept_bu],0)),H743))</f>
        <v/>
      </c>
      <c r="K743" t="str">
        <f t="shared" si="430"/>
        <v/>
      </c>
      <c r="L743" s="652">
        <f>IF($B743="",,SUMIFS(PerHeadcount[Month 1],PerHeadcount[exp_item],$H743,PerHeadcount[company_name],$B743)*L218)</f>
        <v>0</v>
      </c>
      <c r="M743" s="652">
        <f>IF($B743="",,SUMIFS(PerHeadcount[Month 2],PerHeadcount[exp_item],$H743,PerHeadcount[company_name],$B743)*M218)</f>
        <v>0</v>
      </c>
      <c r="N743" s="652">
        <f>IF($B743="",,SUMIFS(PerHeadcount[Month 3],PerHeadcount[exp_item],$H743,PerHeadcount[company_name],$B743)*N218)</f>
        <v>0</v>
      </c>
      <c r="O743" s="652">
        <f>IF($B743="",,SUMIFS(PerHeadcount[Month 4],PerHeadcount[exp_item],$H743,PerHeadcount[company_name],$B743)*O218)</f>
        <v>0</v>
      </c>
      <c r="P743" s="652">
        <f>IF($B743="",,SUMIFS(PerHeadcount[Month 5],PerHeadcount[exp_item],$H743,PerHeadcount[company_name],$B743)*P218)</f>
        <v>0</v>
      </c>
      <c r="Q743" s="652">
        <f>IF($B743="",,SUMIFS(PerHeadcount[Month 6],PerHeadcount[exp_item],$H743,PerHeadcount[company_name],$B743)*Q218)</f>
        <v>0</v>
      </c>
      <c r="R743" s="652">
        <f>IF($B743="",,SUMIFS(PerHeadcount[Month 7],PerHeadcount[exp_item],$H743,PerHeadcount[company_name],$B743)*R218)</f>
        <v>0</v>
      </c>
      <c r="S743" s="652">
        <f>IF($B743="",,SUMIFS(PerHeadcount[Month 8],PerHeadcount[exp_item],$H743,PerHeadcount[company_name],$B743)*S218)</f>
        <v>0</v>
      </c>
      <c r="T743" s="652">
        <f>IF($B743="",,SUMIFS(PerHeadcount[Month 9],PerHeadcount[exp_item],$H743,PerHeadcount[company_name],$B743)*T218)</f>
        <v>0</v>
      </c>
      <c r="U743" s="652">
        <f>IF($B743="",,SUMIFS(PerHeadcount[Month 10],PerHeadcount[exp_item],$H743,PerHeadcount[company_name],$B743)*U218)</f>
        <v>0</v>
      </c>
      <c r="V743" s="652">
        <f>IF($B743="",,SUMIFS(PerHeadcount[Month 11],PerHeadcount[exp_item],$H743,PerHeadcount[company_name],$B743)*V218)</f>
        <v>0</v>
      </c>
      <c r="W743" s="652">
        <f>IF($B743="",,SUMIFS(PerHeadcount[Month 12],PerHeadcount[exp_item],$H743,PerHeadcount[company_name],$B743)*W218)</f>
        <v>0</v>
      </c>
      <c r="X743" s="652">
        <f>IF($B743="",,SUMIFS(PerHeadcount[Month 13],PerHeadcount[exp_item],$H743,PerHeadcount[company_name],$B743)*X218)</f>
        <v>0</v>
      </c>
      <c r="Y743" s="652">
        <f>IF($B743="",,SUMIFS(PerHeadcount[Month 14],PerHeadcount[exp_item],$H743,PerHeadcount[company_name],$B743)*Y218)</f>
        <v>0</v>
      </c>
      <c r="Z743" s="652">
        <f>IF($B743="",,SUMIFS(PerHeadcount[Month 15],PerHeadcount[exp_item],$H743,PerHeadcount[company_name],$B743)*Z218)</f>
        <v>0</v>
      </c>
      <c r="AA743" s="652">
        <f>IF($B743="",,SUMIFS(PerHeadcount[Month 16],PerHeadcount[exp_item],$H743,PerHeadcount[company_name],$B743)*AA218)</f>
        <v>0</v>
      </c>
      <c r="AB743" s="652">
        <f>IF($B743="",,SUMIFS(PerHeadcount[Month 17],PerHeadcount[exp_item],$H743,PerHeadcount[company_name],$B743)*AB218)</f>
        <v>0</v>
      </c>
      <c r="AC743" s="652">
        <f>IF($B743="",,SUMIFS(PerHeadcount[Month 18],PerHeadcount[exp_item],$H743,PerHeadcount[company_name],$B743)*AC218)</f>
        <v>0</v>
      </c>
      <c r="AD743" s="652">
        <f>IF($B743="",,SUMIFS(PerHeadcount[Month 19],PerHeadcount[exp_item],$H743,PerHeadcount[company_name],$B743)*AD218)</f>
        <v>0</v>
      </c>
      <c r="AE743" s="652">
        <f>IF($B743="",,SUMIFS(PerHeadcount[Month 20],PerHeadcount[exp_item],$H743,PerHeadcount[company_name],$B743)*AE218)</f>
        <v>0</v>
      </c>
      <c r="AF743" s="652">
        <f>IF($B743="",,SUMIFS(PerHeadcount[Month 21],PerHeadcount[exp_item],$H743,PerHeadcount[company_name],$B743)*AF218)</f>
        <v>0</v>
      </c>
      <c r="AG743" s="652">
        <f>IF($B743="",,SUMIFS(PerHeadcount[Month 22],PerHeadcount[exp_item],$H743,PerHeadcount[company_name],$B743)*AG218)</f>
        <v>0</v>
      </c>
      <c r="AH743" s="652">
        <f>IF($B743="",,SUMIFS(PerHeadcount[Month 23],PerHeadcount[exp_item],$H743,PerHeadcount[company_name],$B743)*AH218)</f>
        <v>0</v>
      </c>
      <c r="AI743" s="652">
        <f>IF($B743="",,SUMIFS(PerHeadcount[Month 24],PerHeadcount[exp_item],$H743,PerHeadcount[company_name],$B743)*AI218)</f>
        <v>0</v>
      </c>
      <c r="AJ743" s="652">
        <f>IF($B743="",,SUMIFS(PerHeadcount[Month 25],PerHeadcount[exp_item],$H743,PerHeadcount[company_name],$B743)*AJ218)</f>
        <v>0</v>
      </c>
      <c r="AK743" s="652">
        <f>IF($B743="",,SUMIFS(PerHeadcount[Month 26],PerHeadcount[exp_item],$H743,PerHeadcount[company_name],$B743)*AK218)</f>
        <v>0</v>
      </c>
      <c r="AL743" s="652">
        <f>IF($B743="",,SUMIFS(PerHeadcount[Month 27],PerHeadcount[exp_item],$H743,PerHeadcount[company_name],$B743)*AL218)</f>
        <v>0</v>
      </c>
      <c r="AM743" s="652">
        <f>IF($B743="",,SUMIFS(PerHeadcount[Month 28],PerHeadcount[exp_item],$H743,PerHeadcount[company_name],$B743)*AM218)</f>
        <v>0</v>
      </c>
      <c r="AN743" s="652">
        <f>IF($B743="",,SUMIFS(PerHeadcount[Month 29],PerHeadcount[exp_item],$H743,PerHeadcount[company_name],$B743)*AN218)</f>
        <v>0</v>
      </c>
      <c r="AO743" s="652">
        <f>IF($B743="",,SUMIFS(PerHeadcount[Month 30],PerHeadcount[exp_item],$H743,PerHeadcount[company_name],$B743)*AO218)</f>
        <v>0</v>
      </c>
      <c r="AP743" s="652">
        <f>IF($B743="",,SUMIFS(PerHeadcount[Month 31],PerHeadcount[exp_item],$H743,PerHeadcount[company_name],$B743)*AP218)</f>
        <v>0</v>
      </c>
      <c r="AQ743" s="652">
        <f>IF($B743="",,SUMIFS(PerHeadcount[Month 32],PerHeadcount[exp_item],$H743,PerHeadcount[company_name],$B743)*AQ218)</f>
        <v>0</v>
      </c>
      <c r="AR743" s="652">
        <f>IF($B743="",,SUMIFS(PerHeadcount[Month 33],PerHeadcount[exp_item],$H743,PerHeadcount[company_name],$B743)*AR218)</f>
        <v>0</v>
      </c>
      <c r="AS743" s="652">
        <f>IF($B743="",,SUMIFS(PerHeadcount[Month 34],PerHeadcount[exp_item],$H743,PerHeadcount[company_name],$B743)*AS218)</f>
        <v>0</v>
      </c>
      <c r="AT743" s="652">
        <f>IF($B743="",,SUMIFS(PerHeadcount[Month 35],PerHeadcount[exp_item],$H743,PerHeadcount[company_name],$B743)*AT218)</f>
        <v>0</v>
      </c>
      <c r="AU743" s="652">
        <f>IF($B743="",,SUMIFS(PerHeadcount[Month 36],PerHeadcount[exp_item],$H743,PerHeadcount[company_name],$B743)*AU218)</f>
        <v>0</v>
      </c>
    </row>
    <row r="744" spans="2:47" x14ac:dyDescent="0.35">
      <c r="B744" t="str">
        <f t="shared" si="433"/>
        <v/>
      </c>
      <c r="C744" t="str">
        <f t="shared" si="433"/>
        <v/>
      </c>
      <c r="D744" t="str">
        <f t="shared" si="433"/>
        <v/>
      </c>
      <c r="E744" t="str">
        <f t="shared" si="433"/>
        <v/>
      </c>
      <c r="F744" t="str">
        <f t="shared" si="433"/>
        <v/>
      </c>
      <c r="G744" t="str">
        <f t="shared" si="433"/>
        <v/>
      </c>
      <c r="H744" t="str">
        <f t="shared" si="429"/>
        <v/>
      </c>
      <c r="J744" t="str">
        <f>IF($H744="","",IF(VLOOKUP(H744,ExpItems[],2,0),H744&amp;" - "&amp;INDEX(DivisionMapping[category_code],MATCH($D744&amp;$C744,DivisionMapping[dept_bu],0)),H744))</f>
        <v/>
      </c>
      <c r="K744" t="str">
        <f t="shared" si="430"/>
        <v/>
      </c>
      <c r="L744" s="652">
        <f>IF($B744="",,SUMIFS(PerHeadcount[Month 1],PerHeadcount[exp_item],$H744,PerHeadcount[company_name],$B744)*L219)</f>
        <v>0</v>
      </c>
      <c r="M744" s="652">
        <f>IF($B744="",,SUMIFS(PerHeadcount[Month 2],PerHeadcount[exp_item],$H744,PerHeadcount[company_name],$B744)*M219)</f>
        <v>0</v>
      </c>
      <c r="N744" s="652">
        <f>IF($B744="",,SUMIFS(PerHeadcount[Month 3],PerHeadcount[exp_item],$H744,PerHeadcount[company_name],$B744)*N219)</f>
        <v>0</v>
      </c>
      <c r="O744" s="652">
        <f>IF($B744="",,SUMIFS(PerHeadcount[Month 4],PerHeadcount[exp_item],$H744,PerHeadcount[company_name],$B744)*O219)</f>
        <v>0</v>
      </c>
      <c r="P744" s="652">
        <f>IF($B744="",,SUMIFS(PerHeadcount[Month 5],PerHeadcount[exp_item],$H744,PerHeadcount[company_name],$B744)*P219)</f>
        <v>0</v>
      </c>
      <c r="Q744" s="652">
        <f>IF($B744="",,SUMIFS(PerHeadcount[Month 6],PerHeadcount[exp_item],$H744,PerHeadcount[company_name],$B744)*Q219)</f>
        <v>0</v>
      </c>
      <c r="R744" s="652">
        <f>IF($B744="",,SUMIFS(PerHeadcount[Month 7],PerHeadcount[exp_item],$H744,PerHeadcount[company_name],$B744)*R219)</f>
        <v>0</v>
      </c>
      <c r="S744" s="652">
        <f>IF($B744="",,SUMIFS(PerHeadcount[Month 8],PerHeadcount[exp_item],$H744,PerHeadcount[company_name],$B744)*S219)</f>
        <v>0</v>
      </c>
      <c r="T744" s="652">
        <f>IF($B744="",,SUMIFS(PerHeadcount[Month 9],PerHeadcount[exp_item],$H744,PerHeadcount[company_name],$B744)*T219)</f>
        <v>0</v>
      </c>
      <c r="U744" s="652">
        <f>IF($B744="",,SUMIFS(PerHeadcount[Month 10],PerHeadcount[exp_item],$H744,PerHeadcount[company_name],$B744)*U219)</f>
        <v>0</v>
      </c>
      <c r="V744" s="652">
        <f>IF($B744="",,SUMIFS(PerHeadcount[Month 11],PerHeadcount[exp_item],$H744,PerHeadcount[company_name],$B744)*V219)</f>
        <v>0</v>
      </c>
      <c r="W744" s="652">
        <f>IF($B744="",,SUMIFS(PerHeadcount[Month 12],PerHeadcount[exp_item],$H744,PerHeadcount[company_name],$B744)*W219)</f>
        <v>0</v>
      </c>
      <c r="X744" s="652">
        <f>IF($B744="",,SUMIFS(PerHeadcount[Month 13],PerHeadcount[exp_item],$H744,PerHeadcount[company_name],$B744)*X219)</f>
        <v>0</v>
      </c>
      <c r="Y744" s="652">
        <f>IF($B744="",,SUMIFS(PerHeadcount[Month 14],PerHeadcount[exp_item],$H744,PerHeadcount[company_name],$B744)*Y219)</f>
        <v>0</v>
      </c>
      <c r="Z744" s="652">
        <f>IF($B744="",,SUMIFS(PerHeadcount[Month 15],PerHeadcount[exp_item],$H744,PerHeadcount[company_name],$B744)*Z219)</f>
        <v>0</v>
      </c>
      <c r="AA744" s="652">
        <f>IF($B744="",,SUMIFS(PerHeadcount[Month 16],PerHeadcount[exp_item],$H744,PerHeadcount[company_name],$B744)*AA219)</f>
        <v>0</v>
      </c>
      <c r="AB744" s="652">
        <f>IF($B744="",,SUMIFS(PerHeadcount[Month 17],PerHeadcount[exp_item],$H744,PerHeadcount[company_name],$B744)*AB219)</f>
        <v>0</v>
      </c>
      <c r="AC744" s="652">
        <f>IF($B744="",,SUMIFS(PerHeadcount[Month 18],PerHeadcount[exp_item],$H744,PerHeadcount[company_name],$B744)*AC219)</f>
        <v>0</v>
      </c>
      <c r="AD744" s="652">
        <f>IF($B744="",,SUMIFS(PerHeadcount[Month 19],PerHeadcount[exp_item],$H744,PerHeadcount[company_name],$B744)*AD219)</f>
        <v>0</v>
      </c>
      <c r="AE744" s="652">
        <f>IF($B744="",,SUMIFS(PerHeadcount[Month 20],PerHeadcount[exp_item],$H744,PerHeadcount[company_name],$B744)*AE219)</f>
        <v>0</v>
      </c>
      <c r="AF744" s="652">
        <f>IF($B744="",,SUMIFS(PerHeadcount[Month 21],PerHeadcount[exp_item],$H744,PerHeadcount[company_name],$B744)*AF219)</f>
        <v>0</v>
      </c>
      <c r="AG744" s="652">
        <f>IF($B744="",,SUMIFS(PerHeadcount[Month 22],PerHeadcount[exp_item],$H744,PerHeadcount[company_name],$B744)*AG219)</f>
        <v>0</v>
      </c>
      <c r="AH744" s="652">
        <f>IF($B744="",,SUMIFS(PerHeadcount[Month 23],PerHeadcount[exp_item],$H744,PerHeadcount[company_name],$B744)*AH219)</f>
        <v>0</v>
      </c>
      <c r="AI744" s="652">
        <f>IF($B744="",,SUMIFS(PerHeadcount[Month 24],PerHeadcount[exp_item],$H744,PerHeadcount[company_name],$B744)*AI219)</f>
        <v>0</v>
      </c>
      <c r="AJ744" s="652">
        <f>IF($B744="",,SUMIFS(PerHeadcount[Month 25],PerHeadcount[exp_item],$H744,PerHeadcount[company_name],$B744)*AJ219)</f>
        <v>0</v>
      </c>
      <c r="AK744" s="652">
        <f>IF($B744="",,SUMIFS(PerHeadcount[Month 26],PerHeadcount[exp_item],$H744,PerHeadcount[company_name],$B744)*AK219)</f>
        <v>0</v>
      </c>
      <c r="AL744" s="652">
        <f>IF($B744="",,SUMIFS(PerHeadcount[Month 27],PerHeadcount[exp_item],$H744,PerHeadcount[company_name],$B744)*AL219)</f>
        <v>0</v>
      </c>
      <c r="AM744" s="652">
        <f>IF($B744="",,SUMIFS(PerHeadcount[Month 28],PerHeadcount[exp_item],$H744,PerHeadcount[company_name],$B744)*AM219)</f>
        <v>0</v>
      </c>
      <c r="AN744" s="652">
        <f>IF($B744="",,SUMIFS(PerHeadcount[Month 29],PerHeadcount[exp_item],$H744,PerHeadcount[company_name],$B744)*AN219)</f>
        <v>0</v>
      </c>
      <c r="AO744" s="652">
        <f>IF($B744="",,SUMIFS(PerHeadcount[Month 30],PerHeadcount[exp_item],$H744,PerHeadcount[company_name],$B744)*AO219)</f>
        <v>0</v>
      </c>
      <c r="AP744" s="652">
        <f>IF($B744="",,SUMIFS(PerHeadcount[Month 31],PerHeadcount[exp_item],$H744,PerHeadcount[company_name],$B744)*AP219)</f>
        <v>0</v>
      </c>
      <c r="AQ744" s="652">
        <f>IF($B744="",,SUMIFS(PerHeadcount[Month 32],PerHeadcount[exp_item],$H744,PerHeadcount[company_name],$B744)*AQ219)</f>
        <v>0</v>
      </c>
      <c r="AR744" s="652">
        <f>IF($B744="",,SUMIFS(PerHeadcount[Month 33],PerHeadcount[exp_item],$H744,PerHeadcount[company_name],$B744)*AR219)</f>
        <v>0</v>
      </c>
      <c r="AS744" s="652">
        <f>IF($B744="",,SUMIFS(PerHeadcount[Month 34],PerHeadcount[exp_item],$H744,PerHeadcount[company_name],$B744)*AS219)</f>
        <v>0</v>
      </c>
      <c r="AT744" s="652">
        <f>IF($B744="",,SUMIFS(PerHeadcount[Month 35],PerHeadcount[exp_item],$H744,PerHeadcount[company_name],$B744)*AT219)</f>
        <v>0</v>
      </c>
      <c r="AU744" s="652">
        <f>IF($B744="",,SUMIFS(PerHeadcount[Month 36],PerHeadcount[exp_item],$H744,PerHeadcount[company_name],$B744)*AU219)</f>
        <v>0</v>
      </c>
    </row>
    <row r="745" spans="2:47" x14ac:dyDescent="0.35">
      <c r="B745" t="str">
        <f t="shared" si="433"/>
        <v/>
      </c>
      <c r="C745" t="str">
        <f t="shared" si="433"/>
        <v/>
      </c>
      <c r="D745" t="str">
        <f t="shared" si="433"/>
        <v/>
      </c>
      <c r="E745" t="str">
        <f t="shared" si="433"/>
        <v/>
      </c>
      <c r="F745" t="str">
        <f t="shared" si="433"/>
        <v/>
      </c>
      <c r="G745" t="str">
        <f t="shared" si="433"/>
        <v/>
      </c>
      <c r="H745" t="str">
        <f t="shared" si="429"/>
        <v/>
      </c>
      <c r="J745" t="str">
        <f>IF($H745="","",IF(VLOOKUP(H745,ExpItems[],2,0),H745&amp;" - "&amp;INDEX(DivisionMapping[category_code],MATCH($D745&amp;$C745,DivisionMapping[dept_bu],0)),H745))</f>
        <v/>
      </c>
      <c r="K745" t="str">
        <f t="shared" si="430"/>
        <v/>
      </c>
      <c r="L745" s="652">
        <f>IF($B745="",,SUMIFS(PerHeadcount[Month 1],PerHeadcount[exp_item],$H745,PerHeadcount[company_name],$B745)*L220)</f>
        <v>0</v>
      </c>
      <c r="M745" s="652">
        <f>IF($B745="",,SUMIFS(PerHeadcount[Month 2],PerHeadcount[exp_item],$H745,PerHeadcount[company_name],$B745)*M220)</f>
        <v>0</v>
      </c>
      <c r="N745" s="652">
        <f>IF($B745="",,SUMIFS(PerHeadcount[Month 3],PerHeadcount[exp_item],$H745,PerHeadcount[company_name],$B745)*N220)</f>
        <v>0</v>
      </c>
      <c r="O745" s="652">
        <f>IF($B745="",,SUMIFS(PerHeadcount[Month 4],PerHeadcount[exp_item],$H745,PerHeadcount[company_name],$B745)*O220)</f>
        <v>0</v>
      </c>
      <c r="P745" s="652">
        <f>IF($B745="",,SUMIFS(PerHeadcount[Month 5],PerHeadcount[exp_item],$H745,PerHeadcount[company_name],$B745)*P220)</f>
        <v>0</v>
      </c>
      <c r="Q745" s="652">
        <f>IF($B745="",,SUMIFS(PerHeadcount[Month 6],PerHeadcount[exp_item],$H745,PerHeadcount[company_name],$B745)*Q220)</f>
        <v>0</v>
      </c>
      <c r="R745" s="652">
        <f>IF($B745="",,SUMIFS(PerHeadcount[Month 7],PerHeadcount[exp_item],$H745,PerHeadcount[company_name],$B745)*R220)</f>
        <v>0</v>
      </c>
      <c r="S745" s="652">
        <f>IF($B745="",,SUMIFS(PerHeadcount[Month 8],PerHeadcount[exp_item],$H745,PerHeadcount[company_name],$B745)*S220)</f>
        <v>0</v>
      </c>
      <c r="T745" s="652">
        <f>IF($B745="",,SUMIFS(PerHeadcount[Month 9],PerHeadcount[exp_item],$H745,PerHeadcount[company_name],$B745)*T220)</f>
        <v>0</v>
      </c>
      <c r="U745" s="652">
        <f>IF($B745="",,SUMIFS(PerHeadcount[Month 10],PerHeadcount[exp_item],$H745,PerHeadcount[company_name],$B745)*U220)</f>
        <v>0</v>
      </c>
      <c r="V745" s="652">
        <f>IF($B745="",,SUMIFS(PerHeadcount[Month 11],PerHeadcount[exp_item],$H745,PerHeadcount[company_name],$B745)*V220)</f>
        <v>0</v>
      </c>
      <c r="W745" s="652">
        <f>IF($B745="",,SUMIFS(PerHeadcount[Month 12],PerHeadcount[exp_item],$H745,PerHeadcount[company_name],$B745)*W220)</f>
        <v>0</v>
      </c>
      <c r="X745" s="652">
        <f>IF($B745="",,SUMIFS(PerHeadcount[Month 13],PerHeadcount[exp_item],$H745,PerHeadcount[company_name],$B745)*X220)</f>
        <v>0</v>
      </c>
      <c r="Y745" s="652">
        <f>IF($B745="",,SUMIFS(PerHeadcount[Month 14],PerHeadcount[exp_item],$H745,PerHeadcount[company_name],$B745)*Y220)</f>
        <v>0</v>
      </c>
      <c r="Z745" s="652">
        <f>IF($B745="",,SUMIFS(PerHeadcount[Month 15],PerHeadcount[exp_item],$H745,PerHeadcount[company_name],$B745)*Z220)</f>
        <v>0</v>
      </c>
      <c r="AA745" s="652">
        <f>IF($B745="",,SUMIFS(PerHeadcount[Month 16],PerHeadcount[exp_item],$H745,PerHeadcount[company_name],$B745)*AA220)</f>
        <v>0</v>
      </c>
      <c r="AB745" s="652">
        <f>IF($B745="",,SUMIFS(PerHeadcount[Month 17],PerHeadcount[exp_item],$H745,PerHeadcount[company_name],$B745)*AB220)</f>
        <v>0</v>
      </c>
      <c r="AC745" s="652">
        <f>IF($B745="",,SUMIFS(PerHeadcount[Month 18],PerHeadcount[exp_item],$H745,PerHeadcount[company_name],$B745)*AC220)</f>
        <v>0</v>
      </c>
      <c r="AD745" s="652">
        <f>IF($B745="",,SUMIFS(PerHeadcount[Month 19],PerHeadcount[exp_item],$H745,PerHeadcount[company_name],$B745)*AD220)</f>
        <v>0</v>
      </c>
      <c r="AE745" s="652">
        <f>IF($B745="",,SUMIFS(PerHeadcount[Month 20],PerHeadcount[exp_item],$H745,PerHeadcount[company_name],$B745)*AE220)</f>
        <v>0</v>
      </c>
      <c r="AF745" s="652">
        <f>IF($B745="",,SUMIFS(PerHeadcount[Month 21],PerHeadcount[exp_item],$H745,PerHeadcount[company_name],$B745)*AF220)</f>
        <v>0</v>
      </c>
      <c r="AG745" s="652">
        <f>IF($B745="",,SUMIFS(PerHeadcount[Month 22],PerHeadcount[exp_item],$H745,PerHeadcount[company_name],$B745)*AG220)</f>
        <v>0</v>
      </c>
      <c r="AH745" s="652">
        <f>IF($B745="",,SUMIFS(PerHeadcount[Month 23],PerHeadcount[exp_item],$H745,PerHeadcount[company_name],$B745)*AH220)</f>
        <v>0</v>
      </c>
      <c r="AI745" s="652">
        <f>IF($B745="",,SUMIFS(PerHeadcount[Month 24],PerHeadcount[exp_item],$H745,PerHeadcount[company_name],$B745)*AI220)</f>
        <v>0</v>
      </c>
      <c r="AJ745" s="652">
        <f>IF($B745="",,SUMIFS(PerHeadcount[Month 25],PerHeadcount[exp_item],$H745,PerHeadcount[company_name],$B745)*AJ220)</f>
        <v>0</v>
      </c>
      <c r="AK745" s="652">
        <f>IF($B745="",,SUMIFS(PerHeadcount[Month 26],PerHeadcount[exp_item],$H745,PerHeadcount[company_name],$B745)*AK220)</f>
        <v>0</v>
      </c>
      <c r="AL745" s="652">
        <f>IF($B745="",,SUMIFS(PerHeadcount[Month 27],PerHeadcount[exp_item],$H745,PerHeadcount[company_name],$B745)*AL220)</f>
        <v>0</v>
      </c>
      <c r="AM745" s="652">
        <f>IF($B745="",,SUMIFS(PerHeadcount[Month 28],PerHeadcount[exp_item],$H745,PerHeadcount[company_name],$B745)*AM220)</f>
        <v>0</v>
      </c>
      <c r="AN745" s="652">
        <f>IF($B745="",,SUMIFS(PerHeadcount[Month 29],PerHeadcount[exp_item],$H745,PerHeadcount[company_name],$B745)*AN220)</f>
        <v>0</v>
      </c>
      <c r="AO745" s="652">
        <f>IF($B745="",,SUMIFS(PerHeadcount[Month 30],PerHeadcount[exp_item],$H745,PerHeadcount[company_name],$B745)*AO220)</f>
        <v>0</v>
      </c>
      <c r="AP745" s="652">
        <f>IF($B745="",,SUMIFS(PerHeadcount[Month 31],PerHeadcount[exp_item],$H745,PerHeadcount[company_name],$B745)*AP220)</f>
        <v>0</v>
      </c>
      <c r="AQ745" s="652">
        <f>IF($B745="",,SUMIFS(PerHeadcount[Month 32],PerHeadcount[exp_item],$H745,PerHeadcount[company_name],$B745)*AQ220)</f>
        <v>0</v>
      </c>
      <c r="AR745" s="652">
        <f>IF($B745="",,SUMIFS(PerHeadcount[Month 33],PerHeadcount[exp_item],$H745,PerHeadcount[company_name],$B745)*AR220)</f>
        <v>0</v>
      </c>
      <c r="AS745" s="652">
        <f>IF($B745="",,SUMIFS(PerHeadcount[Month 34],PerHeadcount[exp_item],$H745,PerHeadcount[company_name],$B745)*AS220)</f>
        <v>0</v>
      </c>
      <c r="AT745" s="652">
        <f>IF($B745="",,SUMIFS(PerHeadcount[Month 35],PerHeadcount[exp_item],$H745,PerHeadcount[company_name],$B745)*AT220)</f>
        <v>0</v>
      </c>
      <c r="AU745" s="652">
        <f>IF($B745="",,SUMIFS(PerHeadcount[Month 36],PerHeadcount[exp_item],$H745,PerHeadcount[company_name],$B745)*AU220)</f>
        <v>0</v>
      </c>
    </row>
    <row r="746" spans="2:47" x14ac:dyDescent="0.35">
      <c r="B746" t="str">
        <f t="shared" si="433"/>
        <v/>
      </c>
      <c r="C746" t="str">
        <f t="shared" si="433"/>
        <v/>
      </c>
      <c r="D746" t="str">
        <f t="shared" si="433"/>
        <v/>
      </c>
      <c r="E746" t="str">
        <f t="shared" si="433"/>
        <v/>
      </c>
      <c r="F746" t="str">
        <f t="shared" si="433"/>
        <v/>
      </c>
      <c r="G746" t="str">
        <f t="shared" si="433"/>
        <v/>
      </c>
      <c r="H746" t="str">
        <f t="shared" si="429"/>
        <v/>
      </c>
      <c r="J746" t="str">
        <f>IF($H746="","",IF(VLOOKUP(H746,ExpItems[],2,0),H746&amp;" - "&amp;INDEX(DivisionMapping[category_code],MATCH($D746&amp;$C746,DivisionMapping[dept_bu],0)),H746))</f>
        <v/>
      </c>
      <c r="K746" t="str">
        <f t="shared" si="430"/>
        <v/>
      </c>
      <c r="L746" s="652">
        <f>IF($B746="",,SUMIFS(PerHeadcount[Month 1],PerHeadcount[exp_item],$H746,PerHeadcount[company_name],$B746)*L221)</f>
        <v>0</v>
      </c>
      <c r="M746" s="652">
        <f>IF($B746="",,SUMIFS(PerHeadcount[Month 2],PerHeadcount[exp_item],$H746,PerHeadcount[company_name],$B746)*M221)</f>
        <v>0</v>
      </c>
      <c r="N746" s="652">
        <f>IF($B746="",,SUMIFS(PerHeadcount[Month 3],PerHeadcount[exp_item],$H746,PerHeadcount[company_name],$B746)*N221)</f>
        <v>0</v>
      </c>
      <c r="O746" s="652">
        <f>IF($B746="",,SUMIFS(PerHeadcount[Month 4],PerHeadcount[exp_item],$H746,PerHeadcount[company_name],$B746)*O221)</f>
        <v>0</v>
      </c>
      <c r="P746" s="652">
        <f>IF($B746="",,SUMIFS(PerHeadcount[Month 5],PerHeadcount[exp_item],$H746,PerHeadcount[company_name],$B746)*P221)</f>
        <v>0</v>
      </c>
      <c r="Q746" s="652">
        <f>IF($B746="",,SUMIFS(PerHeadcount[Month 6],PerHeadcount[exp_item],$H746,PerHeadcount[company_name],$B746)*Q221)</f>
        <v>0</v>
      </c>
      <c r="R746" s="652">
        <f>IF($B746="",,SUMIFS(PerHeadcount[Month 7],PerHeadcount[exp_item],$H746,PerHeadcount[company_name],$B746)*R221)</f>
        <v>0</v>
      </c>
      <c r="S746" s="652">
        <f>IF($B746="",,SUMIFS(PerHeadcount[Month 8],PerHeadcount[exp_item],$H746,PerHeadcount[company_name],$B746)*S221)</f>
        <v>0</v>
      </c>
      <c r="T746" s="652">
        <f>IF($B746="",,SUMIFS(PerHeadcount[Month 9],PerHeadcount[exp_item],$H746,PerHeadcount[company_name],$B746)*T221)</f>
        <v>0</v>
      </c>
      <c r="U746" s="652">
        <f>IF($B746="",,SUMIFS(PerHeadcount[Month 10],PerHeadcount[exp_item],$H746,PerHeadcount[company_name],$B746)*U221)</f>
        <v>0</v>
      </c>
      <c r="V746" s="652">
        <f>IF($B746="",,SUMIFS(PerHeadcount[Month 11],PerHeadcount[exp_item],$H746,PerHeadcount[company_name],$B746)*V221)</f>
        <v>0</v>
      </c>
      <c r="W746" s="652">
        <f>IF($B746="",,SUMIFS(PerHeadcount[Month 12],PerHeadcount[exp_item],$H746,PerHeadcount[company_name],$B746)*W221)</f>
        <v>0</v>
      </c>
      <c r="X746" s="652">
        <f>IF($B746="",,SUMIFS(PerHeadcount[Month 13],PerHeadcount[exp_item],$H746,PerHeadcount[company_name],$B746)*X221)</f>
        <v>0</v>
      </c>
      <c r="Y746" s="652">
        <f>IF($B746="",,SUMIFS(PerHeadcount[Month 14],PerHeadcount[exp_item],$H746,PerHeadcount[company_name],$B746)*Y221)</f>
        <v>0</v>
      </c>
      <c r="Z746" s="652">
        <f>IF($B746="",,SUMIFS(PerHeadcount[Month 15],PerHeadcount[exp_item],$H746,PerHeadcount[company_name],$B746)*Z221)</f>
        <v>0</v>
      </c>
      <c r="AA746" s="652">
        <f>IF($B746="",,SUMIFS(PerHeadcount[Month 16],PerHeadcount[exp_item],$H746,PerHeadcount[company_name],$B746)*AA221)</f>
        <v>0</v>
      </c>
      <c r="AB746" s="652">
        <f>IF($B746="",,SUMIFS(PerHeadcount[Month 17],PerHeadcount[exp_item],$H746,PerHeadcount[company_name],$B746)*AB221)</f>
        <v>0</v>
      </c>
      <c r="AC746" s="652">
        <f>IF($B746="",,SUMIFS(PerHeadcount[Month 18],PerHeadcount[exp_item],$H746,PerHeadcount[company_name],$B746)*AC221)</f>
        <v>0</v>
      </c>
      <c r="AD746" s="652">
        <f>IF($B746="",,SUMIFS(PerHeadcount[Month 19],PerHeadcount[exp_item],$H746,PerHeadcount[company_name],$B746)*AD221)</f>
        <v>0</v>
      </c>
      <c r="AE746" s="652">
        <f>IF($B746="",,SUMIFS(PerHeadcount[Month 20],PerHeadcount[exp_item],$H746,PerHeadcount[company_name],$B746)*AE221)</f>
        <v>0</v>
      </c>
      <c r="AF746" s="652">
        <f>IF($B746="",,SUMIFS(PerHeadcount[Month 21],PerHeadcount[exp_item],$H746,PerHeadcount[company_name],$B746)*AF221)</f>
        <v>0</v>
      </c>
      <c r="AG746" s="652">
        <f>IF($B746="",,SUMIFS(PerHeadcount[Month 22],PerHeadcount[exp_item],$H746,PerHeadcount[company_name],$B746)*AG221)</f>
        <v>0</v>
      </c>
      <c r="AH746" s="652">
        <f>IF($B746="",,SUMIFS(PerHeadcount[Month 23],PerHeadcount[exp_item],$H746,PerHeadcount[company_name],$B746)*AH221)</f>
        <v>0</v>
      </c>
      <c r="AI746" s="652">
        <f>IF($B746="",,SUMIFS(PerHeadcount[Month 24],PerHeadcount[exp_item],$H746,PerHeadcount[company_name],$B746)*AI221)</f>
        <v>0</v>
      </c>
      <c r="AJ746" s="652">
        <f>IF($B746="",,SUMIFS(PerHeadcount[Month 25],PerHeadcount[exp_item],$H746,PerHeadcount[company_name],$B746)*AJ221)</f>
        <v>0</v>
      </c>
      <c r="AK746" s="652">
        <f>IF($B746="",,SUMIFS(PerHeadcount[Month 26],PerHeadcount[exp_item],$H746,PerHeadcount[company_name],$B746)*AK221)</f>
        <v>0</v>
      </c>
      <c r="AL746" s="652">
        <f>IF($B746="",,SUMIFS(PerHeadcount[Month 27],PerHeadcount[exp_item],$H746,PerHeadcount[company_name],$B746)*AL221)</f>
        <v>0</v>
      </c>
      <c r="AM746" s="652">
        <f>IF($B746="",,SUMIFS(PerHeadcount[Month 28],PerHeadcount[exp_item],$H746,PerHeadcount[company_name],$B746)*AM221)</f>
        <v>0</v>
      </c>
      <c r="AN746" s="652">
        <f>IF($B746="",,SUMIFS(PerHeadcount[Month 29],PerHeadcount[exp_item],$H746,PerHeadcount[company_name],$B746)*AN221)</f>
        <v>0</v>
      </c>
      <c r="AO746" s="652">
        <f>IF($B746="",,SUMIFS(PerHeadcount[Month 30],PerHeadcount[exp_item],$H746,PerHeadcount[company_name],$B746)*AO221)</f>
        <v>0</v>
      </c>
      <c r="AP746" s="652">
        <f>IF($B746="",,SUMIFS(PerHeadcount[Month 31],PerHeadcount[exp_item],$H746,PerHeadcount[company_name],$B746)*AP221)</f>
        <v>0</v>
      </c>
      <c r="AQ746" s="652">
        <f>IF($B746="",,SUMIFS(PerHeadcount[Month 32],PerHeadcount[exp_item],$H746,PerHeadcount[company_name],$B746)*AQ221)</f>
        <v>0</v>
      </c>
      <c r="AR746" s="652">
        <f>IF($B746="",,SUMIFS(PerHeadcount[Month 33],PerHeadcount[exp_item],$H746,PerHeadcount[company_name],$B746)*AR221)</f>
        <v>0</v>
      </c>
      <c r="AS746" s="652">
        <f>IF($B746="",,SUMIFS(PerHeadcount[Month 34],PerHeadcount[exp_item],$H746,PerHeadcount[company_name],$B746)*AS221)</f>
        <v>0</v>
      </c>
      <c r="AT746" s="652">
        <f>IF($B746="",,SUMIFS(PerHeadcount[Month 35],PerHeadcount[exp_item],$H746,PerHeadcount[company_name],$B746)*AT221)</f>
        <v>0</v>
      </c>
      <c r="AU746" s="652">
        <f>IF($B746="",,SUMIFS(PerHeadcount[Month 36],PerHeadcount[exp_item],$H746,PerHeadcount[company_name],$B746)*AU221)</f>
        <v>0</v>
      </c>
    </row>
    <row r="747" spans="2:47" x14ac:dyDescent="0.35">
      <c r="B747" t="str">
        <f t="shared" si="433"/>
        <v/>
      </c>
      <c r="C747" t="str">
        <f t="shared" si="433"/>
        <v/>
      </c>
      <c r="D747" t="str">
        <f t="shared" si="433"/>
        <v/>
      </c>
      <c r="E747" t="str">
        <f t="shared" si="433"/>
        <v/>
      </c>
      <c r="F747" t="str">
        <f t="shared" si="433"/>
        <v/>
      </c>
      <c r="G747" t="str">
        <f t="shared" si="433"/>
        <v/>
      </c>
      <c r="H747" t="str">
        <f t="shared" si="429"/>
        <v/>
      </c>
      <c r="J747" t="str">
        <f>IF($H747="","",IF(VLOOKUP(H747,ExpItems[],2,0),H747&amp;" - "&amp;INDEX(DivisionMapping[category_code],MATCH($D747&amp;$C747,DivisionMapping[dept_bu],0)),H747))</f>
        <v/>
      </c>
      <c r="K747" t="str">
        <f t="shared" si="430"/>
        <v/>
      </c>
      <c r="L747" s="652">
        <f>IF($B747="",,SUMIFS(PerHeadcount[Month 1],PerHeadcount[exp_item],$H747,PerHeadcount[company_name],$B747)*L222)</f>
        <v>0</v>
      </c>
      <c r="M747" s="652">
        <f>IF($B747="",,SUMIFS(PerHeadcount[Month 2],PerHeadcount[exp_item],$H747,PerHeadcount[company_name],$B747)*M222)</f>
        <v>0</v>
      </c>
      <c r="N747" s="652">
        <f>IF($B747="",,SUMIFS(PerHeadcount[Month 3],PerHeadcount[exp_item],$H747,PerHeadcount[company_name],$B747)*N222)</f>
        <v>0</v>
      </c>
      <c r="O747" s="652">
        <f>IF($B747="",,SUMIFS(PerHeadcount[Month 4],PerHeadcount[exp_item],$H747,PerHeadcount[company_name],$B747)*O222)</f>
        <v>0</v>
      </c>
      <c r="P747" s="652">
        <f>IF($B747="",,SUMIFS(PerHeadcount[Month 5],PerHeadcount[exp_item],$H747,PerHeadcount[company_name],$B747)*P222)</f>
        <v>0</v>
      </c>
      <c r="Q747" s="652">
        <f>IF($B747="",,SUMIFS(PerHeadcount[Month 6],PerHeadcount[exp_item],$H747,PerHeadcount[company_name],$B747)*Q222)</f>
        <v>0</v>
      </c>
      <c r="R747" s="652">
        <f>IF($B747="",,SUMIFS(PerHeadcount[Month 7],PerHeadcount[exp_item],$H747,PerHeadcount[company_name],$B747)*R222)</f>
        <v>0</v>
      </c>
      <c r="S747" s="652">
        <f>IF($B747="",,SUMIFS(PerHeadcount[Month 8],PerHeadcount[exp_item],$H747,PerHeadcount[company_name],$B747)*S222)</f>
        <v>0</v>
      </c>
      <c r="T747" s="652">
        <f>IF($B747="",,SUMIFS(PerHeadcount[Month 9],PerHeadcount[exp_item],$H747,PerHeadcount[company_name],$B747)*T222)</f>
        <v>0</v>
      </c>
      <c r="U747" s="652">
        <f>IF($B747="",,SUMIFS(PerHeadcount[Month 10],PerHeadcount[exp_item],$H747,PerHeadcount[company_name],$B747)*U222)</f>
        <v>0</v>
      </c>
      <c r="V747" s="652">
        <f>IF($B747="",,SUMIFS(PerHeadcount[Month 11],PerHeadcount[exp_item],$H747,PerHeadcount[company_name],$B747)*V222)</f>
        <v>0</v>
      </c>
      <c r="W747" s="652">
        <f>IF($B747="",,SUMIFS(PerHeadcount[Month 12],PerHeadcount[exp_item],$H747,PerHeadcount[company_name],$B747)*W222)</f>
        <v>0</v>
      </c>
      <c r="X747" s="652">
        <f>IF($B747="",,SUMIFS(PerHeadcount[Month 13],PerHeadcount[exp_item],$H747,PerHeadcount[company_name],$B747)*X222)</f>
        <v>0</v>
      </c>
      <c r="Y747" s="652">
        <f>IF($B747="",,SUMIFS(PerHeadcount[Month 14],PerHeadcount[exp_item],$H747,PerHeadcount[company_name],$B747)*Y222)</f>
        <v>0</v>
      </c>
      <c r="Z747" s="652">
        <f>IF($B747="",,SUMIFS(PerHeadcount[Month 15],PerHeadcount[exp_item],$H747,PerHeadcount[company_name],$B747)*Z222)</f>
        <v>0</v>
      </c>
      <c r="AA747" s="652">
        <f>IF($B747="",,SUMIFS(PerHeadcount[Month 16],PerHeadcount[exp_item],$H747,PerHeadcount[company_name],$B747)*AA222)</f>
        <v>0</v>
      </c>
      <c r="AB747" s="652">
        <f>IF($B747="",,SUMIFS(PerHeadcount[Month 17],PerHeadcount[exp_item],$H747,PerHeadcount[company_name],$B747)*AB222)</f>
        <v>0</v>
      </c>
      <c r="AC747" s="652">
        <f>IF($B747="",,SUMIFS(PerHeadcount[Month 18],PerHeadcount[exp_item],$H747,PerHeadcount[company_name],$B747)*AC222)</f>
        <v>0</v>
      </c>
      <c r="AD747" s="652">
        <f>IF($B747="",,SUMIFS(PerHeadcount[Month 19],PerHeadcount[exp_item],$H747,PerHeadcount[company_name],$B747)*AD222)</f>
        <v>0</v>
      </c>
      <c r="AE747" s="652">
        <f>IF($B747="",,SUMIFS(PerHeadcount[Month 20],PerHeadcount[exp_item],$H747,PerHeadcount[company_name],$B747)*AE222)</f>
        <v>0</v>
      </c>
      <c r="AF747" s="652">
        <f>IF($B747="",,SUMIFS(PerHeadcount[Month 21],PerHeadcount[exp_item],$H747,PerHeadcount[company_name],$B747)*AF222)</f>
        <v>0</v>
      </c>
      <c r="AG747" s="652">
        <f>IF($B747="",,SUMIFS(PerHeadcount[Month 22],PerHeadcount[exp_item],$H747,PerHeadcount[company_name],$B747)*AG222)</f>
        <v>0</v>
      </c>
      <c r="AH747" s="652">
        <f>IF($B747="",,SUMIFS(PerHeadcount[Month 23],PerHeadcount[exp_item],$H747,PerHeadcount[company_name],$B747)*AH222)</f>
        <v>0</v>
      </c>
      <c r="AI747" s="652">
        <f>IF($B747="",,SUMIFS(PerHeadcount[Month 24],PerHeadcount[exp_item],$H747,PerHeadcount[company_name],$B747)*AI222)</f>
        <v>0</v>
      </c>
      <c r="AJ747" s="652">
        <f>IF($B747="",,SUMIFS(PerHeadcount[Month 25],PerHeadcount[exp_item],$H747,PerHeadcount[company_name],$B747)*AJ222)</f>
        <v>0</v>
      </c>
      <c r="AK747" s="652">
        <f>IF($B747="",,SUMIFS(PerHeadcount[Month 26],PerHeadcount[exp_item],$H747,PerHeadcount[company_name],$B747)*AK222)</f>
        <v>0</v>
      </c>
      <c r="AL747" s="652">
        <f>IF($B747="",,SUMIFS(PerHeadcount[Month 27],PerHeadcount[exp_item],$H747,PerHeadcount[company_name],$B747)*AL222)</f>
        <v>0</v>
      </c>
      <c r="AM747" s="652">
        <f>IF($B747="",,SUMIFS(PerHeadcount[Month 28],PerHeadcount[exp_item],$H747,PerHeadcount[company_name],$B747)*AM222)</f>
        <v>0</v>
      </c>
      <c r="AN747" s="652">
        <f>IF($B747="",,SUMIFS(PerHeadcount[Month 29],PerHeadcount[exp_item],$H747,PerHeadcount[company_name],$B747)*AN222)</f>
        <v>0</v>
      </c>
      <c r="AO747" s="652">
        <f>IF($B747="",,SUMIFS(PerHeadcount[Month 30],PerHeadcount[exp_item],$H747,PerHeadcount[company_name],$B747)*AO222)</f>
        <v>0</v>
      </c>
      <c r="AP747" s="652">
        <f>IF($B747="",,SUMIFS(PerHeadcount[Month 31],PerHeadcount[exp_item],$H747,PerHeadcount[company_name],$B747)*AP222)</f>
        <v>0</v>
      </c>
      <c r="AQ747" s="652">
        <f>IF($B747="",,SUMIFS(PerHeadcount[Month 32],PerHeadcount[exp_item],$H747,PerHeadcount[company_name],$B747)*AQ222)</f>
        <v>0</v>
      </c>
      <c r="AR747" s="652">
        <f>IF($B747="",,SUMIFS(PerHeadcount[Month 33],PerHeadcount[exp_item],$H747,PerHeadcount[company_name],$B747)*AR222)</f>
        <v>0</v>
      </c>
      <c r="AS747" s="652">
        <f>IF($B747="",,SUMIFS(PerHeadcount[Month 34],PerHeadcount[exp_item],$H747,PerHeadcount[company_name],$B747)*AS222)</f>
        <v>0</v>
      </c>
      <c r="AT747" s="652">
        <f>IF($B747="",,SUMIFS(PerHeadcount[Month 35],PerHeadcount[exp_item],$H747,PerHeadcount[company_name],$B747)*AT222)</f>
        <v>0</v>
      </c>
      <c r="AU747" s="652">
        <f>IF($B747="",,SUMIFS(PerHeadcount[Month 36],PerHeadcount[exp_item],$H747,PerHeadcount[company_name],$B747)*AU222)</f>
        <v>0</v>
      </c>
    </row>
    <row r="748" spans="2:47" x14ac:dyDescent="0.35">
      <c r="B748" t="str">
        <f t="shared" si="433"/>
        <v/>
      </c>
      <c r="C748" t="str">
        <f t="shared" si="433"/>
        <v/>
      </c>
      <c r="D748" t="str">
        <f t="shared" si="433"/>
        <v/>
      </c>
      <c r="E748" t="str">
        <f t="shared" si="433"/>
        <v/>
      </c>
      <c r="F748" t="str">
        <f t="shared" si="433"/>
        <v/>
      </c>
      <c r="G748" t="str">
        <f t="shared" si="433"/>
        <v/>
      </c>
      <c r="H748" t="str">
        <f t="shared" si="429"/>
        <v/>
      </c>
      <c r="J748" t="str">
        <f>IF($H748="","",IF(VLOOKUP(H748,ExpItems[],2,0),H748&amp;" - "&amp;INDEX(DivisionMapping[category_code],MATCH($D748&amp;$C748,DivisionMapping[dept_bu],0)),H748))</f>
        <v/>
      </c>
      <c r="K748" t="str">
        <f t="shared" si="430"/>
        <v/>
      </c>
      <c r="L748" s="652">
        <f>IF($B748="",,SUMIFS(PerHeadcount[Month 1],PerHeadcount[exp_item],$H748,PerHeadcount[company_name],$B748)*L223)</f>
        <v>0</v>
      </c>
      <c r="M748" s="652">
        <f>IF($B748="",,SUMIFS(PerHeadcount[Month 2],PerHeadcount[exp_item],$H748,PerHeadcount[company_name],$B748)*M223)</f>
        <v>0</v>
      </c>
      <c r="N748" s="652">
        <f>IF($B748="",,SUMIFS(PerHeadcount[Month 3],PerHeadcount[exp_item],$H748,PerHeadcount[company_name],$B748)*N223)</f>
        <v>0</v>
      </c>
      <c r="O748" s="652">
        <f>IF($B748="",,SUMIFS(PerHeadcount[Month 4],PerHeadcount[exp_item],$H748,PerHeadcount[company_name],$B748)*O223)</f>
        <v>0</v>
      </c>
      <c r="P748" s="652">
        <f>IF($B748="",,SUMIFS(PerHeadcount[Month 5],PerHeadcount[exp_item],$H748,PerHeadcount[company_name],$B748)*P223)</f>
        <v>0</v>
      </c>
      <c r="Q748" s="652">
        <f>IF($B748="",,SUMIFS(PerHeadcount[Month 6],PerHeadcount[exp_item],$H748,PerHeadcount[company_name],$B748)*Q223)</f>
        <v>0</v>
      </c>
      <c r="R748" s="652">
        <f>IF($B748="",,SUMIFS(PerHeadcount[Month 7],PerHeadcount[exp_item],$H748,PerHeadcount[company_name],$B748)*R223)</f>
        <v>0</v>
      </c>
      <c r="S748" s="652">
        <f>IF($B748="",,SUMIFS(PerHeadcount[Month 8],PerHeadcount[exp_item],$H748,PerHeadcount[company_name],$B748)*S223)</f>
        <v>0</v>
      </c>
      <c r="T748" s="652">
        <f>IF($B748="",,SUMIFS(PerHeadcount[Month 9],PerHeadcount[exp_item],$H748,PerHeadcount[company_name],$B748)*T223)</f>
        <v>0</v>
      </c>
      <c r="U748" s="652">
        <f>IF($B748="",,SUMIFS(PerHeadcount[Month 10],PerHeadcount[exp_item],$H748,PerHeadcount[company_name],$B748)*U223)</f>
        <v>0</v>
      </c>
      <c r="V748" s="652">
        <f>IF($B748="",,SUMIFS(PerHeadcount[Month 11],PerHeadcount[exp_item],$H748,PerHeadcount[company_name],$B748)*V223)</f>
        <v>0</v>
      </c>
      <c r="W748" s="652">
        <f>IF($B748="",,SUMIFS(PerHeadcount[Month 12],PerHeadcount[exp_item],$H748,PerHeadcount[company_name],$B748)*W223)</f>
        <v>0</v>
      </c>
      <c r="X748" s="652">
        <f>IF($B748="",,SUMIFS(PerHeadcount[Month 13],PerHeadcount[exp_item],$H748,PerHeadcount[company_name],$B748)*X223)</f>
        <v>0</v>
      </c>
      <c r="Y748" s="652">
        <f>IF($B748="",,SUMIFS(PerHeadcount[Month 14],PerHeadcount[exp_item],$H748,PerHeadcount[company_name],$B748)*Y223)</f>
        <v>0</v>
      </c>
      <c r="Z748" s="652">
        <f>IF($B748="",,SUMIFS(PerHeadcount[Month 15],PerHeadcount[exp_item],$H748,PerHeadcount[company_name],$B748)*Z223)</f>
        <v>0</v>
      </c>
      <c r="AA748" s="652">
        <f>IF($B748="",,SUMIFS(PerHeadcount[Month 16],PerHeadcount[exp_item],$H748,PerHeadcount[company_name],$B748)*AA223)</f>
        <v>0</v>
      </c>
      <c r="AB748" s="652">
        <f>IF($B748="",,SUMIFS(PerHeadcount[Month 17],PerHeadcount[exp_item],$H748,PerHeadcount[company_name],$B748)*AB223)</f>
        <v>0</v>
      </c>
      <c r="AC748" s="652">
        <f>IF($B748="",,SUMIFS(PerHeadcount[Month 18],PerHeadcount[exp_item],$H748,PerHeadcount[company_name],$B748)*AC223)</f>
        <v>0</v>
      </c>
      <c r="AD748" s="652">
        <f>IF($B748="",,SUMIFS(PerHeadcount[Month 19],PerHeadcount[exp_item],$H748,PerHeadcount[company_name],$B748)*AD223)</f>
        <v>0</v>
      </c>
      <c r="AE748" s="652">
        <f>IF($B748="",,SUMIFS(PerHeadcount[Month 20],PerHeadcount[exp_item],$H748,PerHeadcount[company_name],$B748)*AE223)</f>
        <v>0</v>
      </c>
      <c r="AF748" s="652">
        <f>IF($B748="",,SUMIFS(PerHeadcount[Month 21],PerHeadcount[exp_item],$H748,PerHeadcount[company_name],$B748)*AF223)</f>
        <v>0</v>
      </c>
      <c r="AG748" s="652">
        <f>IF($B748="",,SUMIFS(PerHeadcount[Month 22],PerHeadcount[exp_item],$H748,PerHeadcount[company_name],$B748)*AG223)</f>
        <v>0</v>
      </c>
      <c r="AH748" s="652">
        <f>IF($B748="",,SUMIFS(PerHeadcount[Month 23],PerHeadcount[exp_item],$H748,PerHeadcount[company_name],$B748)*AH223)</f>
        <v>0</v>
      </c>
      <c r="AI748" s="652">
        <f>IF($B748="",,SUMIFS(PerHeadcount[Month 24],PerHeadcount[exp_item],$H748,PerHeadcount[company_name],$B748)*AI223)</f>
        <v>0</v>
      </c>
      <c r="AJ748" s="652">
        <f>IF($B748="",,SUMIFS(PerHeadcount[Month 25],PerHeadcount[exp_item],$H748,PerHeadcount[company_name],$B748)*AJ223)</f>
        <v>0</v>
      </c>
      <c r="AK748" s="652">
        <f>IF($B748="",,SUMIFS(PerHeadcount[Month 26],PerHeadcount[exp_item],$H748,PerHeadcount[company_name],$B748)*AK223)</f>
        <v>0</v>
      </c>
      <c r="AL748" s="652">
        <f>IF($B748="",,SUMIFS(PerHeadcount[Month 27],PerHeadcount[exp_item],$H748,PerHeadcount[company_name],$B748)*AL223)</f>
        <v>0</v>
      </c>
      <c r="AM748" s="652">
        <f>IF($B748="",,SUMIFS(PerHeadcount[Month 28],PerHeadcount[exp_item],$H748,PerHeadcount[company_name],$B748)*AM223)</f>
        <v>0</v>
      </c>
      <c r="AN748" s="652">
        <f>IF($B748="",,SUMIFS(PerHeadcount[Month 29],PerHeadcount[exp_item],$H748,PerHeadcount[company_name],$B748)*AN223)</f>
        <v>0</v>
      </c>
      <c r="AO748" s="652">
        <f>IF($B748="",,SUMIFS(PerHeadcount[Month 30],PerHeadcount[exp_item],$H748,PerHeadcount[company_name],$B748)*AO223)</f>
        <v>0</v>
      </c>
      <c r="AP748" s="652">
        <f>IF($B748="",,SUMIFS(PerHeadcount[Month 31],PerHeadcount[exp_item],$H748,PerHeadcount[company_name],$B748)*AP223)</f>
        <v>0</v>
      </c>
      <c r="AQ748" s="652">
        <f>IF($B748="",,SUMIFS(PerHeadcount[Month 32],PerHeadcount[exp_item],$H748,PerHeadcount[company_name],$B748)*AQ223)</f>
        <v>0</v>
      </c>
      <c r="AR748" s="652">
        <f>IF($B748="",,SUMIFS(PerHeadcount[Month 33],PerHeadcount[exp_item],$H748,PerHeadcount[company_name],$B748)*AR223)</f>
        <v>0</v>
      </c>
      <c r="AS748" s="652">
        <f>IF($B748="",,SUMIFS(PerHeadcount[Month 34],PerHeadcount[exp_item],$H748,PerHeadcount[company_name],$B748)*AS223)</f>
        <v>0</v>
      </c>
      <c r="AT748" s="652">
        <f>IF($B748="",,SUMIFS(PerHeadcount[Month 35],PerHeadcount[exp_item],$H748,PerHeadcount[company_name],$B748)*AT223)</f>
        <v>0</v>
      </c>
      <c r="AU748" s="652">
        <f>IF($B748="",,SUMIFS(PerHeadcount[Month 36],PerHeadcount[exp_item],$H748,PerHeadcount[company_name],$B748)*AU223)</f>
        <v>0</v>
      </c>
    </row>
    <row r="749" spans="2:47" x14ac:dyDescent="0.35">
      <c r="B749" t="str">
        <f t="shared" si="433"/>
        <v/>
      </c>
      <c r="C749" t="str">
        <f t="shared" si="433"/>
        <v/>
      </c>
      <c r="D749" t="str">
        <f t="shared" si="433"/>
        <v/>
      </c>
      <c r="E749" t="str">
        <f t="shared" si="433"/>
        <v/>
      </c>
      <c r="F749" t="str">
        <f t="shared" si="433"/>
        <v/>
      </c>
      <c r="G749" t="str">
        <f t="shared" si="433"/>
        <v/>
      </c>
      <c r="H749" t="str">
        <f t="shared" si="429"/>
        <v/>
      </c>
      <c r="J749" t="str">
        <f>IF($H749="","",IF(VLOOKUP(H749,ExpItems[],2,0),H749&amp;" - "&amp;INDEX(DivisionMapping[category_code],MATCH($D749&amp;$C749,DivisionMapping[dept_bu],0)),H749))</f>
        <v/>
      </c>
      <c r="K749" t="str">
        <f t="shared" si="430"/>
        <v/>
      </c>
      <c r="L749" s="652">
        <f>IF($B749="",,SUMIFS(PerHeadcount[Month 1],PerHeadcount[exp_item],$H749,PerHeadcount[company_name],$B749)*L224)</f>
        <v>0</v>
      </c>
      <c r="M749" s="652">
        <f>IF($B749="",,SUMIFS(PerHeadcount[Month 2],PerHeadcount[exp_item],$H749,PerHeadcount[company_name],$B749)*M224)</f>
        <v>0</v>
      </c>
      <c r="N749" s="652">
        <f>IF($B749="",,SUMIFS(PerHeadcount[Month 3],PerHeadcount[exp_item],$H749,PerHeadcount[company_name],$B749)*N224)</f>
        <v>0</v>
      </c>
      <c r="O749" s="652">
        <f>IF($B749="",,SUMIFS(PerHeadcount[Month 4],PerHeadcount[exp_item],$H749,PerHeadcount[company_name],$B749)*O224)</f>
        <v>0</v>
      </c>
      <c r="P749" s="652">
        <f>IF($B749="",,SUMIFS(PerHeadcount[Month 5],PerHeadcount[exp_item],$H749,PerHeadcount[company_name],$B749)*P224)</f>
        <v>0</v>
      </c>
      <c r="Q749" s="652">
        <f>IF($B749="",,SUMIFS(PerHeadcount[Month 6],PerHeadcount[exp_item],$H749,PerHeadcount[company_name],$B749)*Q224)</f>
        <v>0</v>
      </c>
      <c r="R749" s="652">
        <f>IF($B749="",,SUMIFS(PerHeadcount[Month 7],PerHeadcount[exp_item],$H749,PerHeadcount[company_name],$B749)*R224)</f>
        <v>0</v>
      </c>
      <c r="S749" s="652">
        <f>IF($B749="",,SUMIFS(PerHeadcount[Month 8],PerHeadcount[exp_item],$H749,PerHeadcount[company_name],$B749)*S224)</f>
        <v>0</v>
      </c>
      <c r="T749" s="652">
        <f>IF($B749="",,SUMIFS(PerHeadcount[Month 9],PerHeadcount[exp_item],$H749,PerHeadcount[company_name],$B749)*T224)</f>
        <v>0</v>
      </c>
      <c r="U749" s="652">
        <f>IF($B749="",,SUMIFS(PerHeadcount[Month 10],PerHeadcount[exp_item],$H749,PerHeadcount[company_name],$B749)*U224)</f>
        <v>0</v>
      </c>
      <c r="V749" s="652">
        <f>IF($B749="",,SUMIFS(PerHeadcount[Month 11],PerHeadcount[exp_item],$H749,PerHeadcount[company_name],$B749)*V224)</f>
        <v>0</v>
      </c>
      <c r="W749" s="652">
        <f>IF($B749="",,SUMIFS(PerHeadcount[Month 12],PerHeadcount[exp_item],$H749,PerHeadcount[company_name],$B749)*W224)</f>
        <v>0</v>
      </c>
      <c r="X749" s="652">
        <f>IF($B749="",,SUMIFS(PerHeadcount[Month 13],PerHeadcount[exp_item],$H749,PerHeadcount[company_name],$B749)*X224)</f>
        <v>0</v>
      </c>
      <c r="Y749" s="652">
        <f>IF($B749="",,SUMIFS(PerHeadcount[Month 14],PerHeadcount[exp_item],$H749,PerHeadcount[company_name],$B749)*Y224)</f>
        <v>0</v>
      </c>
      <c r="Z749" s="652">
        <f>IF($B749="",,SUMIFS(PerHeadcount[Month 15],PerHeadcount[exp_item],$H749,PerHeadcount[company_name],$B749)*Z224)</f>
        <v>0</v>
      </c>
      <c r="AA749" s="652">
        <f>IF($B749="",,SUMIFS(PerHeadcount[Month 16],PerHeadcount[exp_item],$H749,PerHeadcount[company_name],$B749)*AA224)</f>
        <v>0</v>
      </c>
      <c r="AB749" s="652">
        <f>IF($B749="",,SUMIFS(PerHeadcount[Month 17],PerHeadcount[exp_item],$H749,PerHeadcount[company_name],$B749)*AB224)</f>
        <v>0</v>
      </c>
      <c r="AC749" s="652">
        <f>IF($B749="",,SUMIFS(PerHeadcount[Month 18],PerHeadcount[exp_item],$H749,PerHeadcount[company_name],$B749)*AC224)</f>
        <v>0</v>
      </c>
      <c r="AD749" s="652">
        <f>IF($B749="",,SUMIFS(PerHeadcount[Month 19],PerHeadcount[exp_item],$H749,PerHeadcount[company_name],$B749)*AD224)</f>
        <v>0</v>
      </c>
      <c r="AE749" s="652">
        <f>IF($B749="",,SUMIFS(PerHeadcount[Month 20],PerHeadcount[exp_item],$H749,PerHeadcount[company_name],$B749)*AE224)</f>
        <v>0</v>
      </c>
      <c r="AF749" s="652">
        <f>IF($B749="",,SUMIFS(PerHeadcount[Month 21],PerHeadcount[exp_item],$H749,PerHeadcount[company_name],$B749)*AF224)</f>
        <v>0</v>
      </c>
      <c r="AG749" s="652">
        <f>IF($B749="",,SUMIFS(PerHeadcount[Month 22],PerHeadcount[exp_item],$H749,PerHeadcount[company_name],$B749)*AG224)</f>
        <v>0</v>
      </c>
      <c r="AH749" s="652">
        <f>IF($B749="",,SUMIFS(PerHeadcount[Month 23],PerHeadcount[exp_item],$H749,PerHeadcount[company_name],$B749)*AH224)</f>
        <v>0</v>
      </c>
      <c r="AI749" s="652">
        <f>IF($B749="",,SUMIFS(PerHeadcount[Month 24],PerHeadcount[exp_item],$H749,PerHeadcount[company_name],$B749)*AI224)</f>
        <v>0</v>
      </c>
      <c r="AJ749" s="652">
        <f>IF($B749="",,SUMIFS(PerHeadcount[Month 25],PerHeadcount[exp_item],$H749,PerHeadcount[company_name],$B749)*AJ224)</f>
        <v>0</v>
      </c>
      <c r="AK749" s="652">
        <f>IF($B749="",,SUMIFS(PerHeadcount[Month 26],PerHeadcount[exp_item],$H749,PerHeadcount[company_name],$B749)*AK224)</f>
        <v>0</v>
      </c>
      <c r="AL749" s="652">
        <f>IF($B749="",,SUMIFS(PerHeadcount[Month 27],PerHeadcount[exp_item],$H749,PerHeadcount[company_name],$B749)*AL224)</f>
        <v>0</v>
      </c>
      <c r="AM749" s="652">
        <f>IF($B749="",,SUMIFS(PerHeadcount[Month 28],PerHeadcount[exp_item],$H749,PerHeadcount[company_name],$B749)*AM224)</f>
        <v>0</v>
      </c>
      <c r="AN749" s="652">
        <f>IF($B749="",,SUMIFS(PerHeadcount[Month 29],PerHeadcount[exp_item],$H749,PerHeadcount[company_name],$B749)*AN224)</f>
        <v>0</v>
      </c>
      <c r="AO749" s="652">
        <f>IF($B749="",,SUMIFS(PerHeadcount[Month 30],PerHeadcount[exp_item],$H749,PerHeadcount[company_name],$B749)*AO224)</f>
        <v>0</v>
      </c>
      <c r="AP749" s="652">
        <f>IF($B749="",,SUMIFS(PerHeadcount[Month 31],PerHeadcount[exp_item],$H749,PerHeadcount[company_name],$B749)*AP224)</f>
        <v>0</v>
      </c>
      <c r="AQ749" s="652">
        <f>IF($B749="",,SUMIFS(PerHeadcount[Month 32],PerHeadcount[exp_item],$H749,PerHeadcount[company_name],$B749)*AQ224)</f>
        <v>0</v>
      </c>
      <c r="AR749" s="652">
        <f>IF($B749="",,SUMIFS(PerHeadcount[Month 33],PerHeadcount[exp_item],$H749,PerHeadcount[company_name],$B749)*AR224)</f>
        <v>0</v>
      </c>
      <c r="AS749" s="652">
        <f>IF($B749="",,SUMIFS(PerHeadcount[Month 34],PerHeadcount[exp_item],$H749,PerHeadcount[company_name],$B749)*AS224)</f>
        <v>0</v>
      </c>
      <c r="AT749" s="652">
        <f>IF($B749="",,SUMIFS(PerHeadcount[Month 35],PerHeadcount[exp_item],$H749,PerHeadcount[company_name],$B749)*AT224)</f>
        <v>0</v>
      </c>
      <c r="AU749" s="652">
        <f>IF($B749="",,SUMIFS(PerHeadcount[Month 36],PerHeadcount[exp_item],$H749,PerHeadcount[company_name],$B749)*AU224)</f>
        <v>0</v>
      </c>
    </row>
    <row r="750" spans="2:47" x14ac:dyDescent="0.35">
      <c r="B750" t="str">
        <f t="shared" si="433"/>
        <v/>
      </c>
      <c r="C750" t="str">
        <f t="shared" si="433"/>
        <v/>
      </c>
      <c r="D750" t="str">
        <f t="shared" si="433"/>
        <v/>
      </c>
      <c r="E750" t="str">
        <f t="shared" si="433"/>
        <v/>
      </c>
      <c r="F750" t="str">
        <f t="shared" si="433"/>
        <v/>
      </c>
      <c r="G750" t="str">
        <f t="shared" si="433"/>
        <v/>
      </c>
      <c r="H750" t="str">
        <f t="shared" si="429"/>
        <v/>
      </c>
      <c r="J750" t="str">
        <f>IF($H750="","",IF(VLOOKUP(H750,ExpItems[],2,0),H750&amp;" - "&amp;INDEX(DivisionMapping[category_code],MATCH($D750&amp;$C750,DivisionMapping[dept_bu],0)),H750))</f>
        <v/>
      </c>
      <c r="K750" t="str">
        <f t="shared" si="430"/>
        <v/>
      </c>
      <c r="L750" s="652">
        <f>IF($B750="",,SUMIFS(PerHeadcount[Month 1],PerHeadcount[exp_item],$H750,PerHeadcount[company_name],$B750)*L225)</f>
        <v>0</v>
      </c>
      <c r="M750" s="652">
        <f>IF($B750="",,SUMIFS(PerHeadcount[Month 2],PerHeadcount[exp_item],$H750,PerHeadcount[company_name],$B750)*M225)</f>
        <v>0</v>
      </c>
      <c r="N750" s="652">
        <f>IF($B750="",,SUMIFS(PerHeadcount[Month 3],PerHeadcount[exp_item],$H750,PerHeadcount[company_name],$B750)*N225)</f>
        <v>0</v>
      </c>
      <c r="O750" s="652">
        <f>IF($B750="",,SUMIFS(PerHeadcount[Month 4],PerHeadcount[exp_item],$H750,PerHeadcount[company_name],$B750)*O225)</f>
        <v>0</v>
      </c>
      <c r="P750" s="652">
        <f>IF($B750="",,SUMIFS(PerHeadcount[Month 5],PerHeadcount[exp_item],$H750,PerHeadcount[company_name],$B750)*P225)</f>
        <v>0</v>
      </c>
      <c r="Q750" s="652">
        <f>IF($B750="",,SUMIFS(PerHeadcount[Month 6],PerHeadcount[exp_item],$H750,PerHeadcount[company_name],$B750)*Q225)</f>
        <v>0</v>
      </c>
      <c r="R750" s="652">
        <f>IF($B750="",,SUMIFS(PerHeadcount[Month 7],PerHeadcount[exp_item],$H750,PerHeadcount[company_name],$B750)*R225)</f>
        <v>0</v>
      </c>
      <c r="S750" s="652">
        <f>IF($B750="",,SUMIFS(PerHeadcount[Month 8],PerHeadcount[exp_item],$H750,PerHeadcount[company_name],$B750)*S225)</f>
        <v>0</v>
      </c>
      <c r="T750" s="652">
        <f>IF($B750="",,SUMIFS(PerHeadcount[Month 9],PerHeadcount[exp_item],$H750,PerHeadcount[company_name],$B750)*T225)</f>
        <v>0</v>
      </c>
      <c r="U750" s="652">
        <f>IF($B750="",,SUMIFS(PerHeadcount[Month 10],PerHeadcount[exp_item],$H750,PerHeadcount[company_name],$B750)*U225)</f>
        <v>0</v>
      </c>
      <c r="V750" s="652">
        <f>IF($B750="",,SUMIFS(PerHeadcount[Month 11],PerHeadcount[exp_item],$H750,PerHeadcount[company_name],$B750)*V225)</f>
        <v>0</v>
      </c>
      <c r="W750" s="652">
        <f>IF($B750="",,SUMIFS(PerHeadcount[Month 12],PerHeadcount[exp_item],$H750,PerHeadcount[company_name],$B750)*W225)</f>
        <v>0</v>
      </c>
      <c r="X750" s="652">
        <f>IF($B750="",,SUMIFS(PerHeadcount[Month 13],PerHeadcount[exp_item],$H750,PerHeadcount[company_name],$B750)*X225)</f>
        <v>0</v>
      </c>
      <c r="Y750" s="652">
        <f>IF($B750="",,SUMIFS(PerHeadcount[Month 14],PerHeadcount[exp_item],$H750,PerHeadcount[company_name],$B750)*Y225)</f>
        <v>0</v>
      </c>
      <c r="Z750" s="652">
        <f>IF($B750="",,SUMIFS(PerHeadcount[Month 15],PerHeadcount[exp_item],$H750,PerHeadcount[company_name],$B750)*Z225)</f>
        <v>0</v>
      </c>
      <c r="AA750" s="652">
        <f>IF($B750="",,SUMIFS(PerHeadcount[Month 16],PerHeadcount[exp_item],$H750,PerHeadcount[company_name],$B750)*AA225)</f>
        <v>0</v>
      </c>
      <c r="AB750" s="652">
        <f>IF($B750="",,SUMIFS(PerHeadcount[Month 17],PerHeadcount[exp_item],$H750,PerHeadcount[company_name],$B750)*AB225)</f>
        <v>0</v>
      </c>
      <c r="AC750" s="652">
        <f>IF($B750="",,SUMIFS(PerHeadcount[Month 18],PerHeadcount[exp_item],$H750,PerHeadcount[company_name],$B750)*AC225)</f>
        <v>0</v>
      </c>
      <c r="AD750" s="652">
        <f>IF($B750="",,SUMIFS(PerHeadcount[Month 19],PerHeadcount[exp_item],$H750,PerHeadcount[company_name],$B750)*AD225)</f>
        <v>0</v>
      </c>
      <c r="AE750" s="652">
        <f>IF($B750="",,SUMIFS(PerHeadcount[Month 20],PerHeadcount[exp_item],$H750,PerHeadcount[company_name],$B750)*AE225)</f>
        <v>0</v>
      </c>
      <c r="AF750" s="652">
        <f>IF($B750="",,SUMIFS(PerHeadcount[Month 21],PerHeadcount[exp_item],$H750,PerHeadcount[company_name],$B750)*AF225)</f>
        <v>0</v>
      </c>
      <c r="AG750" s="652">
        <f>IF($B750="",,SUMIFS(PerHeadcount[Month 22],PerHeadcount[exp_item],$H750,PerHeadcount[company_name],$B750)*AG225)</f>
        <v>0</v>
      </c>
      <c r="AH750" s="652">
        <f>IF($B750="",,SUMIFS(PerHeadcount[Month 23],PerHeadcount[exp_item],$H750,PerHeadcount[company_name],$B750)*AH225)</f>
        <v>0</v>
      </c>
      <c r="AI750" s="652">
        <f>IF($B750="",,SUMIFS(PerHeadcount[Month 24],PerHeadcount[exp_item],$H750,PerHeadcount[company_name],$B750)*AI225)</f>
        <v>0</v>
      </c>
      <c r="AJ750" s="652">
        <f>IF($B750="",,SUMIFS(PerHeadcount[Month 25],PerHeadcount[exp_item],$H750,PerHeadcount[company_name],$B750)*AJ225)</f>
        <v>0</v>
      </c>
      <c r="AK750" s="652">
        <f>IF($B750="",,SUMIFS(PerHeadcount[Month 26],PerHeadcount[exp_item],$H750,PerHeadcount[company_name],$B750)*AK225)</f>
        <v>0</v>
      </c>
      <c r="AL750" s="652">
        <f>IF($B750="",,SUMIFS(PerHeadcount[Month 27],PerHeadcount[exp_item],$H750,PerHeadcount[company_name],$B750)*AL225)</f>
        <v>0</v>
      </c>
      <c r="AM750" s="652">
        <f>IF($B750="",,SUMIFS(PerHeadcount[Month 28],PerHeadcount[exp_item],$H750,PerHeadcount[company_name],$B750)*AM225)</f>
        <v>0</v>
      </c>
      <c r="AN750" s="652">
        <f>IF($B750="",,SUMIFS(PerHeadcount[Month 29],PerHeadcount[exp_item],$H750,PerHeadcount[company_name],$B750)*AN225)</f>
        <v>0</v>
      </c>
      <c r="AO750" s="652">
        <f>IF($B750="",,SUMIFS(PerHeadcount[Month 30],PerHeadcount[exp_item],$H750,PerHeadcount[company_name],$B750)*AO225)</f>
        <v>0</v>
      </c>
      <c r="AP750" s="652">
        <f>IF($B750="",,SUMIFS(PerHeadcount[Month 31],PerHeadcount[exp_item],$H750,PerHeadcount[company_name],$B750)*AP225)</f>
        <v>0</v>
      </c>
      <c r="AQ750" s="652">
        <f>IF($B750="",,SUMIFS(PerHeadcount[Month 32],PerHeadcount[exp_item],$H750,PerHeadcount[company_name],$B750)*AQ225)</f>
        <v>0</v>
      </c>
      <c r="AR750" s="652">
        <f>IF($B750="",,SUMIFS(PerHeadcount[Month 33],PerHeadcount[exp_item],$H750,PerHeadcount[company_name],$B750)*AR225)</f>
        <v>0</v>
      </c>
      <c r="AS750" s="652">
        <f>IF($B750="",,SUMIFS(PerHeadcount[Month 34],PerHeadcount[exp_item],$H750,PerHeadcount[company_name],$B750)*AS225)</f>
        <v>0</v>
      </c>
      <c r="AT750" s="652">
        <f>IF($B750="",,SUMIFS(PerHeadcount[Month 35],PerHeadcount[exp_item],$H750,PerHeadcount[company_name],$B750)*AT225)</f>
        <v>0</v>
      </c>
      <c r="AU750" s="652">
        <f>IF($B750="",,SUMIFS(PerHeadcount[Month 36],PerHeadcount[exp_item],$H750,PerHeadcount[company_name],$B750)*AU225)</f>
        <v>0</v>
      </c>
    </row>
    <row r="751" spans="2:47" x14ac:dyDescent="0.35">
      <c r="B751" t="str">
        <f t="shared" ref="B751:G760" si="434">IF(B646="","",B646)</f>
        <v/>
      </c>
      <c r="C751" t="str">
        <f t="shared" si="434"/>
        <v/>
      </c>
      <c r="D751" t="str">
        <f t="shared" si="434"/>
        <v/>
      </c>
      <c r="E751" t="str">
        <f t="shared" si="434"/>
        <v/>
      </c>
      <c r="F751" t="str">
        <f t="shared" si="434"/>
        <v/>
      </c>
      <c r="G751" t="str">
        <f t="shared" si="434"/>
        <v/>
      </c>
      <c r="H751" t="str">
        <f t="shared" si="429"/>
        <v/>
      </c>
      <c r="J751" t="str">
        <f>IF($H751="","",IF(VLOOKUP(H751,ExpItems[],2,0),H751&amp;" - "&amp;INDEX(DivisionMapping[category_code],MATCH($D751&amp;$C751,DivisionMapping[dept_bu],0)),H751))</f>
        <v/>
      </c>
      <c r="K751" t="str">
        <f t="shared" si="430"/>
        <v/>
      </c>
      <c r="L751" s="652">
        <f>IF($B751="",,SUMIFS(PerHeadcount[Month 1],PerHeadcount[exp_item],$H751,PerHeadcount[company_name],$B751)*L226)</f>
        <v>0</v>
      </c>
      <c r="M751" s="652">
        <f>IF($B751="",,SUMIFS(PerHeadcount[Month 2],PerHeadcount[exp_item],$H751,PerHeadcount[company_name],$B751)*M226)</f>
        <v>0</v>
      </c>
      <c r="N751" s="652">
        <f>IF($B751="",,SUMIFS(PerHeadcount[Month 3],PerHeadcount[exp_item],$H751,PerHeadcount[company_name],$B751)*N226)</f>
        <v>0</v>
      </c>
      <c r="O751" s="652">
        <f>IF($B751="",,SUMIFS(PerHeadcount[Month 4],PerHeadcount[exp_item],$H751,PerHeadcount[company_name],$B751)*O226)</f>
        <v>0</v>
      </c>
      <c r="P751" s="652">
        <f>IF($B751="",,SUMIFS(PerHeadcount[Month 5],PerHeadcount[exp_item],$H751,PerHeadcount[company_name],$B751)*P226)</f>
        <v>0</v>
      </c>
      <c r="Q751" s="652">
        <f>IF($B751="",,SUMIFS(PerHeadcount[Month 6],PerHeadcount[exp_item],$H751,PerHeadcount[company_name],$B751)*Q226)</f>
        <v>0</v>
      </c>
      <c r="R751" s="652">
        <f>IF($B751="",,SUMIFS(PerHeadcount[Month 7],PerHeadcount[exp_item],$H751,PerHeadcount[company_name],$B751)*R226)</f>
        <v>0</v>
      </c>
      <c r="S751" s="652">
        <f>IF($B751="",,SUMIFS(PerHeadcount[Month 8],PerHeadcount[exp_item],$H751,PerHeadcount[company_name],$B751)*S226)</f>
        <v>0</v>
      </c>
      <c r="T751" s="652">
        <f>IF($B751="",,SUMIFS(PerHeadcount[Month 9],PerHeadcount[exp_item],$H751,PerHeadcount[company_name],$B751)*T226)</f>
        <v>0</v>
      </c>
      <c r="U751" s="652">
        <f>IF($B751="",,SUMIFS(PerHeadcount[Month 10],PerHeadcount[exp_item],$H751,PerHeadcount[company_name],$B751)*U226)</f>
        <v>0</v>
      </c>
      <c r="V751" s="652">
        <f>IF($B751="",,SUMIFS(PerHeadcount[Month 11],PerHeadcount[exp_item],$H751,PerHeadcount[company_name],$B751)*V226)</f>
        <v>0</v>
      </c>
      <c r="W751" s="652">
        <f>IF($B751="",,SUMIFS(PerHeadcount[Month 12],PerHeadcount[exp_item],$H751,PerHeadcount[company_name],$B751)*W226)</f>
        <v>0</v>
      </c>
      <c r="X751" s="652">
        <f>IF($B751="",,SUMIFS(PerHeadcount[Month 13],PerHeadcount[exp_item],$H751,PerHeadcount[company_name],$B751)*X226)</f>
        <v>0</v>
      </c>
      <c r="Y751" s="652">
        <f>IF($B751="",,SUMIFS(PerHeadcount[Month 14],PerHeadcount[exp_item],$H751,PerHeadcount[company_name],$B751)*Y226)</f>
        <v>0</v>
      </c>
      <c r="Z751" s="652">
        <f>IF($B751="",,SUMIFS(PerHeadcount[Month 15],PerHeadcount[exp_item],$H751,PerHeadcount[company_name],$B751)*Z226)</f>
        <v>0</v>
      </c>
      <c r="AA751" s="652">
        <f>IF($B751="",,SUMIFS(PerHeadcount[Month 16],PerHeadcount[exp_item],$H751,PerHeadcount[company_name],$B751)*AA226)</f>
        <v>0</v>
      </c>
      <c r="AB751" s="652">
        <f>IF($B751="",,SUMIFS(PerHeadcount[Month 17],PerHeadcount[exp_item],$H751,PerHeadcount[company_name],$B751)*AB226)</f>
        <v>0</v>
      </c>
      <c r="AC751" s="652">
        <f>IF($B751="",,SUMIFS(PerHeadcount[Month 18],PerHeadcount[exp_item],$H751,PerHeadcount[company_name],$B751)*AC226)</f>
        <v>0</v>
      </c>
      <c r="AD751" s="652">
        <f>IF($B751="",,SUMIFS(PerHeadcount[Month 19],PerHeadcount[exp_item],$H751,PerHeadcount[company_name],$B751)*AD226)</f>
        <v>0</v>
      </c>
      <c r="AE751" s="652">
        <f>IF($B751="",,SUMIFS(PerHeadcount[Month 20],PerHeadcount[exp_item],$H751,PerHeadcount[company_name],$B751)*AE226)</f>
        <v>0</v>
      </c>
      <c r="AF751" s="652">
        <f>IF($B751="",,SUMIFS(PerHeadcount[Month 21],PerHeadcount[exp_item],$H751,PerHeadcount[company_name],$B751)*AF226)</f>
        <v>0</v>
      </c>
      <c r="AG751" s="652">
        <f>IF($B751="",,SUMIFS(PerHeadcount[Month 22],PerHeadcount[exp_item],$H751,PerHeadcount[company_name],$B751)*AG226)</f>
        <v>0</v>
      </c>
      <c r="AH751" s="652">
        <f>IF($B751="",,SUMIFS(PerHeadcount[Month 23],PerHeadcount[exp_item],$H751,PerHeadcount[company_name],$B751)*AH226)</f>
        <v>0</v>
      </c>
      <c r="AI751" s="652">
        <f>IF($B751="",,SUMIFS(PerHeadcount[Month 24],PerHeadcount[exp_item],$H751,PerHeadcount[company_name],$B751)*AI226)</f>
        <v>0</v>
      </c>
      <c r="AJ751" s="652">
        <f>IF($B751="",,SUMIFS(PerHeadcount[Month 25],PerHeadcount[exp_item],$H751,PerHeadcount[company_name],$B751)*AJ226)</f>
        <v>0</v>
      </c>
      <c r="AK751" s="652">
        <f>IF($B751="",,SUMIFS(PerHeadcount[Month 26],PerHeadcount[exp_item],$H751,PerHeadcount[company_name],$B751)*AK226)</f>
        <v>0</v>
      </c>
      <c r="AL751" s="652">
        <f>IF($B751="",,SUMIFS(PerHeadcount[Month 27],PerHeadcount[exp_item],$H751,PerHeadcount[company_name],$B751)*AL226)</f>
        <v>0</v>
      </c>
      <c r="AM751" s="652">
        <f>IF($B751="",,SUMIFS(PerHeadcount[Month 28],PerHeadcount[exp_item],$H751,PerHeadcount[company_name],$B751)*AM226)</f>
        <v>0</v>
      </c>
      <c r="AN751" s="652">
        <f>IF($B751="",,SUMIFS(PerHeadcount[Month 29],PerHeadcount[exp_item],$H751,PerHeadcount[company_name],$B751)*AN226)</f>
        <v>0</v>
      </c>
      <c r="AO751" s="652">
        <f>IF($B751="",,SUMIFS(PerHeadcount[Month 30],PerHeadcount[exp_item],$H751,PerHeadcount[company_name],$B751)*AO226)</f>
        <v>0</v>
      </c>
      <c r="AP751" s="652">
        <f>IF($B751="",,SUMIFS(PerHeadcount[Month 31],PerHeadcount[exp_item],$H751,PerHeadcount[company_name],$B751)*AP226)</f>
        <v>0</v>
      </c>
      <c r="AQ751" s="652">
        <f>IF($B751="",,SUMIFS(PerHeadcount[Month 32],PerHeadcount[exp_item],$H751,PerHeadcount[company_name],$B751)*AQ226)</f>
        <v>0</v>
      </c>
      <c r="AR751" s="652">
        <f>IF($B751="",,SUMIFS(PerHeadcount[Month 33],PerHeadcount[exp_item],$H751,PerHeadcount[company_name],$B751)*AR226)</f>
        <v>0</v>
      </c>
      <c r="AS751" s="652">
        <f>IF($B751="",,SUMIFS(PerHeadcount[Month 34],PerHeadcount[exp_item],$H751,PerHeadcount[company_name],$B751)*AS226)</f>
        <v>0</v>
      </c>
      <c r="AT751" s="652">
        <f>IF($B751="",,SUMIFS(PerHeadcount[Month 35],PerHeadcount[exp_item],$H751,PerHeadcount[company_name],$B751)*AT226)</f>
        <v>0</v>
      </c>
      <c r="AU751" s="652">
        <f>IF($B751="",,SUMIFS(PerHeadcount[Month 36],PerHeadcount[exp_item],$H751,PerHeadcount[company_name],$B751)*AU226)</f>
        <v>0</v>
      </c>
    </row>
    <row r="752" spans="2:47" x14ac:dyDescent="0.35">
      <c r="B752" t="str">
        <f t="shared" si="434"/>
        <v/>
      </c>
      <c r="C752" t="str">
        <f t="shared" si="434"/>
        <v/>
      </c>
      <c r="D752" t="str">
        <f t="shared" si="434"/>
        <v/>
      </c>
      <c r="E752" t="str">
        <f t="shared" si="434"/>
        <v/>
      </c>
      <c r="F752" t="str">
        <f t="shared" si="434"/>
        <v/>
      </c>
      <c r="G752" t="str">
        <f t="shared" si="434"/>
        <v/>
      </c>
      <c r="H752" t="str">
        <f t="shared" si="429"/>
        <v/>
      </c>
      <c r="J752" t="str">
        <f>IF($H752="","",IF(VLOOKUP(H752,ExpItems[],2,0),H752&amp;" - "&amp;INDEX(DivisionMapping[category_code],MATCH($D752&amp;$C752,DivisionMapping[dept_bu],0)),H752))</f>
        <v/>
      </c>
      <c r="K752" t="str">
        <f t="shared" si="430"/>
        <v/>
      </c>
      <c r="L752" s="652">
        <f>IF($B752="",,SUMIFS(PerHeadcount[Month 1],PerHeadcount[exp_item],$H752,PerHeadcount[company_name],$B752)*L227)</f>
        <v>0</v>
      </c>
      <c r="M752" s="652">
        <f>IF($B752="",,SUMIFS(PerHeadcount[Month 2],PerHeadcount[exp_item],$H752,PerHeadcount[company_name],$B752)*M227)</f>
        <v>0</v>
      </c>
      <c r="N752" s="652">
        <f>IF($B752="",,SUMIFS(PerHeadcount[Month 3],PerHeadcount[exp_item],$H752,PerHeadcount[company_name],$B752)*N227)</f>
        <v>0</v>
      </c>
      <c r="O752" s="652">
        <f>IF($B752="",,SUMIFS(PerHeadcount[Month 4],PerHeadcount[exp_item],$H752,PerHeadcount[company_name],$B752)*O227)</f>
        <v>0</v>
      </c>
      <c r="P752" s="652">
        <f>IF($B752="",,SUMIFS(PerHeadcount[Month 5],PerHeadcount[exp_item],$H752,PerHeadcount[company_name],$B752)*P227)</f>
        <v>0</v>
      </c>
      <c r="Q752" s="652">
        <f>IF($B752="",,SUMIFS(PerHeadcount[Month 6],PerHeadcount[exp_item],$H752,PerHeadcount[company_name],$B752)*Q227)</f>
        <v>0</v>
      </c>
      <c r="R752" s="652">
        <f>IF($B752="",,SUMIFS(PerHeadcount[Month 7],PerHeadcount[exp_item],$H752,PerHeadcount[company_name],$B752)*R227)</f>
        <v>0</v>
      </c>
      <c r="S752" s="652">
        <f>IF($B752="",,SUMIFS(PerHeadcount[Month 8],PerHeadcount[exp_item],$H752,PerHeadcount[company_name],$B752)*S227)</f>
        <v>0</v>
      </c>
      <c r="T752" s="652">
        <f>IF($B752="",,SUMIFS(PerHeadcount[Month 9],PerHeadcount[exp_item],$H752,PerHeadcount[company_name],$B752)*T227)</f>
        <v>0</v>
      </c>
      <c r="U752" s="652">
        <f>IF($B752="",,SUMIFS(PerHeadcount[Month 10],PerHeadcount[exp_item],$H752,PerHeadcount[company_name],$B752)*U227)</f>
        <v>0</v>
      </c>
      <c r="V752" s="652">
        <f>IF($B752="",,SUMIFS(PerHeadcount[Month 11],PerHeadcount[exp_item],$H752,PerHeadcount[company_name],$B752)*V227)</f>
        <v>0</v>
      </c>
      <c r="W752" s="652">
        <f>IF($B752="",,SUMIFS(PerHeadcount[Month 12],PerHeadcount[exp_item],$H752,PerHeadcount[company_name],$B752)*W227)</f>
        <v>0</v>
      </c>
      <c r="X752" s="652">
        <f>IF($B752="",,SUMIFS(PerHeadcount[Month 13],PerHeadcount[exp_item],$H752,PerHeadcount[company_name],$B752)*X227)</f>
        <v>0</v>
      </c>
      <c r="Y752" s="652">
        <f>IF($B752="",,SUMIFS(PerHeadcount[Month 14],PerHeadcount[exp_item],$H752,PerHeadcount[company_name],$B752)*Y227)</f>
        <v>0</v>
      </c>
      <c r="Z752" s="652">
        <f>IF($B752="",,SUMIFS(PerHeadcount[Month 15],PerHeadcount[exp_item],$H752,PerHeadcount[company_name],$B752)*Z227)</f>
        <v>0</v>
      </c>
      <c r="AA752" s="652">
        <f>IF($B752="",,SUMIFS(PerHeadcount[Month 16],PerHeadcount[exp_item],$H752,PerHeadcount[company_name],$B752)*AA227)</f>
        <v>0</v>
      </c>
      <c r="AB752" s="652">
        <f>IF($B752="",,SUMIFS(PerHeadcount[Month 17],PerHeadcount[exp_item],$H752,PerHeadcount[company_name],$B752)*AB227)</f>
        <v>0</v>
      </c>
      <c r="AC752" s="652">
        <f>IF($B752="",,SUMIFS(PerHeadcount[Month 18],PerHeadcount[exp_item],$H752,PerHeadcount[company_name],$B752)*AC227)</f>
        <v>0</v>
      </c>
      <c r="AD752" s="652">
        <f>IF($B752="",,SUMIFS(PerHeadcount[Month 19],PerHeadcount[exp_item],$H752,PerHeadcount[company_name],$B752)*AD227)</f>
        <v>0</v>
      </c>
      <c r="AE752" s="652">
        <f>IF($B752="",,SUMIFS(PerHeadcount[Month 20],PerHeadcount[exp_item],$H752,PerHeadcount[company_name],$B752)*AE227)</f>
        <v>0</v>
      </c>
      <c r="AF752" s="652">
        <f>IF($B752="",,SUMIFS(PerHeadcount[Month 21],PerHeadcount[exp_item],$H752,PerHeadcount[company_name],$B752)*AF227)</f>
        <v>0</v>
      </c>
      <c r="AG752" s="652">
        <f>IF($B752="",,SUMIFS(PerHeadcount[Month 22],PerHeadcount[exp_item],$H752,PerHeadcount[company_name],$B752)*AG227)</f>
        <v>0</v>
      </c>
      <c r="AH752" s="652">
        <f>IF($B752="",,SUMIFS(PerHeadcount[Month 23],PerHeadcount[exp_item],$H752,PerHeadcount[company_name],$B752)*AH227)</f>
        <v>0</v>
      </c>
      <c r="AI752" s="652">
        <f>IF($B752="",,SUMIFS(PerHeadcount[Month 24],PerHeadcount[exp_item],$H752,PerHeadcount[company_name],$B752)*AI227)</f>
        <v>0</v>
      </c>
      <c r="AJ752" s="652">
        <f>IF($B752="",,SUMIFS(PerHeadcount[Month 25],PerHeadcount[exp_item],$H752,PerHeadcount[company_name],$B752)*AJ227)</f>
        <v>0</v>
      </c>
      <c r="AK752" s="652">
        <f>IF($B752="",,SUMIFS(PerHeadcount[Month 26],PerHeadcount[exp_item],$H752,PerHeadcount[company_name],$B752)*AK227)</f>
        <v>0</v>
      </c>
      <c r="AL752" s="652">
        <f>IF($B752="",,SUMIFS(PerHeadcount[Month 27],PerHeadcount[exp_item],$H752,PerHeadcount[company_name],$B752)*AL227)</f>
        <v>0</v>
      </c>
      <c r="AM752" s="652">
        <f>IF($B752="",,SUMIFS(PerHeadcount[Month 28],PerHeadcount[exp_item],$H752,PerHeadcount[company_name],$B752)*AM227)</f>
        <v>0</v>
      </c>
      <c r="AN752" s="652">
        <f>IF($B752="",,SUMIFS(PerHeadcount[Month 29],PerHeadcount[exp_item],$H752,PerHeadcount[company_name],$B752)*AN227)</f>
        <v>0</v>
      </c>
      <c r="AO752" s="652">
        <f>IF($B752="",,SUMIFS(PerHeadcount[Month 30],PerHeadcount[exp_item],$H752,PerHeadcount[company_name],$B752)*AO227)</f>
        <v>0</v>
      </c>
      <c r="AP752" s="652">
        <f>IF($B752="",,SUMIFS(PerHeadcount[Month 31],PerHeadcount[exp_item],$H752,PerHeadcount[company_name],$B752)*AP227)</f>
        <v>0</v>
      </c>
      <c r="AQ752" s="652">
        <f>IF($B752="",,SUMIFS(PerHeadcount[Month 32],PerHeadcount[exp_item],$H752,PerHeadcount[company_name],$B752)*AQ227)</f>
        <v>0</v>
      </c>
      <c r="AR752" s="652">
        <f>IF($B752="",,SUMIFS(PerHeadcount[Month 33],PerHeadcount[exp_item],$H752,PerHeadcount[company_name],$B752)*AR227)</f>
        <v>0</v>
      </c>
      <c r="AS752" s="652">
        <f>IF($B752="",,SUMIFS(PerHeadcount[Month 34],PerHeadcount[exp_item],$H752,PerHeadcount[company_name],$B752)*AS227)</f>
        <v>0</v>
      </c>
      <c r="AT752" s="652">
        <f>IF($B752="",,SUMIFS(PerHeadcount[Month 35],PerHeadcount[exp_item],$H752,PerHeadcount[company_name],$B752)*AT227)</f>
        <v>0</v>
      </c>
      <c r="AU752" s="652">
        <f>IF($B752="",,SUMIFS(PerHeadcount[Month 36],PerHeadcount[exp_item],$H752,PerHeadcount[company_name],$B752)*AU227)</f>
        <v>0</v>
      </c>
    </row>
    <row r="753" spans="2:47" x14ac:dyDescent="0.35">
      <c r="B753" t="str">
        <f t="shared" si="434"/>
        <v/>
      </c>
      <c r="C753" t="str">
        <f t="shared" si="434"/>
        <v/>
      </c>
      <c r="D753" t="str">
        <f t="shared" si="434"/>
        <v/>
      </c>
      <c r="E753" t="str">
        <f t="shared" si="434"/>
        <v/>
      </c>
      <c r="F753" t="str">
        <f t="shared" si="434"/>
        <v/>
      </c>
      <c r="G753" t="str">
        <f t="shared" si="434"/>
        <v/>
      </c>
      <c r="H753" t="str">
        <f t="shared" si="429"/>
        <v/>
      </c>
      <c r="J753" t="str">
        <f>IF($H753="","",IF(VLOOKUP(H753,ExpItems[],2,0),H753&amp;" - "&amp;INDEX(DivisionMapping[category_code],MATCH($D753&amp;$C753,DivisionMapping[dept_bu],0)),H753))</f>
        <v/>
      </c>
      <c r="K753" t="str">
        <f t="shared" si="430"/>
        <v/>
      </c>
      <c r="L753" s="652">
        <f>IF($B753="",,SUMIFS(PerHeadcount[Month 1],PerHeadcount[exp_item],$H753,PerHeadcount[company_name],$B753)*L228)</f>
        <v>0</v>
      </c>
      <c r="M753" s="652">
        <f>IF($B753="",,SUMIFS(PerHeadcount[Month 2],PerHeadcount[exp_item],$H753,PerHeadcount[company_name],$B753)*M228)</f>
        <v>0</v>
      </c>
      <c r="N753" s="652">
        <f>IF($B753="",,SUMIFS(PerHeadcount[Month 3],PerHeadcount[exp_item],$H753,PerHeadcount[company_name],$B753)*N228)</f>
        <v>0</v>
      </c>
      <c r="O753" s="652">
        <f>IF($B753="",,SUMIFS(PerHeadcount[Month 4],PerHeadcount[exp_item],$H753,PerHeadcount[company_name],$B753)*O228)</f>
        <v>0</v>
      </c>
      <c r="P753" s="652">
        <f>IF($B753="",,SUMIFS(PerHeadcount[Month 5],PerHeadcount[exp_item],$H753,PerHeadcount[company_name],$B753)*P228)</f>
        <v>0</v>
      </c>
      <c r="Q753" s="652">
        <f>IF($B753="",,SUMIFS(PerHeadcount[Month 6],PerHeadcount[exp_item],$H753,PerHeadcount[company_name],$B753)*Q228)</f>
        <v>0</v>
      </c>
      <c r="R753" s="652">
        <f>IF($B753="",,SUMIFS(PerHeadcount[Month 7],PerHeadcount[exp_item],$H753,PerHeadcount[company_name],$B753)*R228)</f>
        <v>0</v>
      </c>
      <c r="S753" s="652">
        <f>IF($B753="",,SUMIFS(PerHeadcount[Month 8],PerHeadcount[exp_item],$H753,PerHeadcount[company_name],$B753)*S228)</f>
        <v>0</v>
      </c>
      <c r="T753" s="652">
        <f>IF($B753="",,SUMIFS(PerHeadcount[Month 9],PerHeadcount[exp_item],$H753,PerHeadcount[company_name],$B753)*T228)</f>
        <v>0</v>
      </c>
      <c r="U753" s="652">
        <f>IF($B753="",,SUMIFS(PerHeadcount[Month 10],PerHeadcount[exp_item],$H753,PerHeadcount[company_name],$B753)*U228)</f>
        <v>0</v>
      </c>
      <c r="V753" s="652">
        <f>IF($B753="",,SUMIFS(PerHeadcount[Month 11],PerHeadcount[exp_item],$H753,PerHeadcount[company_name],$B753)*V228)</f>
        <v>0</v>
      </c>
      <c r="W753" s="652">
        <f>IF($B753="",,SUMIFS(PerHeadcount[Month 12],PerHeadcount[exp_item],$H753,PerHeadcount[company_name],$B753)*W228)</f>
        <v>0</v>
      </c>
      <c r="X753" s="652">
        <f>IF($B753="",,SUMIFS(PerHeadcount[Month 13],PerHeadcount[exp_item],$H753,PerHeadcount[company_name],$B753)*X228)</f>
        <v>0</v>
      </c>
      <c r="Y753" s="652">
        <f>IF($B753="",,SUMIFS(PerHeadcount[Month 14],PerHeadcount[exp_item],$H753,PerHeadcount[company_name],$B753)*Y228)</f>
        <v>0</v>
      </c>
      <c r="Z753" s="652">
        <f>IF($B753="",,SUMIFS(PerHeadcount[Month 15],PerHeadcount[exp_item],$H753,PerHeadcount[company_name],$B753)*Z228)</f>
        <v>0</v>
      </c>
      <c r="AA753" s="652">
        <f>IF($B753="",,SUMIFS(PerHeadcount[Month 16],PerHeadcount[exp_item],$H753,PerHeadcount[company_name],$B753)*AA228)</f>
        <v>0</v>
      </c>
      <c r="AB753" s="652">
        <f>IF($B753="",,SUMIFS(PerHeadcount[Month 17],PerHeadcount[exp_item],$H753,PerHeadcount[company_name],$B753)*AB228)</f>
        <v>0</v>
      </c>
      <c r="AC753" s="652">
        <f>IF($B753="",,SUMIFS(PerHeadcount[Month 18],PerHeadcount[exp_item],$H753,PerHeadcount[company_name],$B753)*AC228)</f>
        <v>0</v>
      </c>
      <c r="AD753" s="652">
        <f>IF($B753="",,SUMIFS(PerHeadcount[Month 19],PerHeadcount[exp_item],$H753,PerHeadcount[company_name],$B753)*AD228)</f>
        <v>0</v>
      </c>
      <c r="AE753" s="652">
        <f>IF($B753="",,SUMIFS(PerHeadcount[Month 20],PerHeadcount[exp_item],$H753,PerHeadcount[company_name],$B753)*AE228)</f>
        <v>0</v>
      </c>
      <c r="AF753" s="652">
        <f>IF($B753="",,SUMIFS(PerHeadcount[Month 21],PerHeadcount[exp_item],$H753,PerHeadcount[company_name],$B753)*AF228)</f>
        <v>0</v>
      </c>
      <c r="AG753" s="652">
        <f>IF($B753="",,SUMIFS(PerHeadcount[Month 22],PerHeadcount[exp_item],$H753,PerHeadcount[company_name],$B753)*AG228)</f>
        <v>0</v>
      </c>
      <c r="AH753" s="652">
        <f>IF($B753="",,SUMIFS(PerHeadcount[Month 23],PerHeadcount[exp_item],$H753,PerHeadcount[company_name],$B753)*AH228)</f>
        <v>0</v>
      </c>
      <c r="AI753" s="652">
        <f>IF($B753="",,SUMIFS(PerHeadcount[Month 24],PerHeadcount[exp_item],$H753,PerHeadcount[company_name],$B753)*AI228)</f>
        <v>0</v>
      </c>
      <c r="AJ753" s="652">
        <f>IF($B753="",,SUMIFS(PerHeadcount[Month 25],PerHeadcount[exp_item],$H753,PerHeadcount[company_name],$B753)*AJ228)</f>
        <v>0</v>
      </c>
      <c r="AK753" s="652">
        <f>IF($B753="",,SUMIFS(PerHeadcount[Month 26],PerHeadcount[exp_item],$H753,PerHeadcount[company_name],$B753)*AK228)</f>
        <v>0</v>
      </c>
      <c r="AL753" s="652">
        <f>IF($B753="",,SUMIFS(PerHeadcount[Month 27],PerHeadcount[exp_item],$H753,PerHeadcount[company_name],$B753)*AL228)</f>
        <v>0</v>
      </c>
      <c r="AM753" s="652">
        <f>IF($B753="",,SUMIFS(PerHeadcount[Month 28],PerHeadcount[exp_item],$H753,PerHeadcount[company_name],$B753)*AM228)</f>
        <v>0</v>
      </c>
      <c r="AN753" s="652">
        <f>IF($B753="",,SUMIFS(PerHeadcount[Month 29],PerHeadcount[exp_item],$H753,PerHeadcount[company_name],$B753)*AN228)</f>
        <v>0</v>
      </c>
      <c r="AO753" s="652">
        <f>IF($B753="",,SUMIFS(PerHeadcount[Month 30],PerHeadcount[exp_item],$H753,PerHeadcount[company_name],$B753)*AO228)</f>
        <v>0</v>
      </c>
      <c r="AP753" s="652">
        <f>IF($B753="",,SUMIFS(PerHeadcount[Month 31],PerHeadcount[exp_item],$H753,PerHeadcount[company_name],$B753)*AP228)</f>
        <v>0</v>
      </c>
      <c r="AQ753" s="652">
        <f>IF($B753="",,SUMIFS(PerHeadcount[Month 32],PerHeadcount[exp_item],$H753,PerHeadcount[company_name],$B753)*AQ228)</f>
        <v>0</v>
      </c>
      <c r="AR753" s="652">
        <f>IF($B753="",,SUMIFS(PerHeadcount[Month 33],PerHeadcount[exp_item],$H753,PerHeadcount[company_name],$B753)*AR228)</f>
        <v>0</v>
      </c>
      <c r="AS753" s="652">
        <f>IF($B753="",,SUMIFS(PerHeadcount[Month 34],PerHeadcount[exp_item],$H753,PerHeadcount[company_name],$B753)*AS228)</f>
        <v>0</v>
      </c>
      <c r="AT753" s="652">
        <f>IF($B753="",,SUMIFS(PerHeadcount[Month 35],PerHeadcount[exp_item],$H753,PerHeadcount[company_name],$B753)*AT228)</f>
        <v>0</v>
      </c>
      <c r="AU753" s="652">
        <f>IF($B753="",,SUMIFS(PerHeadcount[Month 36],PerHeadcount[exp_item],$H753,PerHeadcount[company_name],$B753)*AU228)</f>
        <v>0</v>
      </c>
    </row>
    <row r="754" spans="2:47" x14ac:dyDescent="0.35">
      <c r="B754" t="str">
        <f t="shared" si="434"/>
        <v/>
      </c>
      <c r="C754" t="str">
        <f t="shared" si="434"/>
        <v/>
      </c>
      <c r="D754" t="str">
        <f t="shared" si="434"/>
        <v/>
      </c>
      <c r="E754" t="str">
        <f t="shared" si="434"/>
        <v/>
      </c>
      <c r="F754" t="str">
        <f t="shared" si="434"/>
        <v/>
      </c>
      <c r="G754" t="str">
        <f t="shared" si="434"/>
        <v/>
      </c>
      <c r="H754" t="str">
        <f t="shared" si="429"/>
        <v/>
      </c>
      <c r="J754" t="str">
        <f>IF($H754="","",IF(VLOOKUP(H754,ExpItems[],2,0),H754&amp;" - "&amp;INDEX(DivisionMapping[category_code],MATCH($D754&amp;$C754,DivisionMapping[dept_bu],0)),H754))</f>
        <v/>
      </c>
      <c r="K754" t="str">
        <f t="shared" si="430"/>
        <v/>
      </c>
      <c r="L754" s="652">
        <f>IF($B754="",,SUMIFS(PerHeadcount[Month 1],PerHeadcount[exp_item],$H754,PerHeadcount[company_name],$B754)*L229)</f>
        <v>0</v>
      </c>
      <c r="M754" s="652">
        <f>IF($B754="",,SUMIFS(PerHeadcount[Month 2],PerHeadcount[exp_item],$H754,PerHeadcount[company_name],$B754)*M229)</f>
        <v>0</v>
      </c>
      <c r="N754" s="652">
        <f>IF($B754="",,SUMIFS(PerHeadcount[Month 3],PerHeadcount[exp_item],$H754,PerHeadcount[company_name],$B754)*N229)</f>
        <v>0</v>
      </c>
      <c r="O754" s="652">
        <f>IF($B754="",,SUMIFS(PerHeadcount[Month 4],PerHeadcount[exp_item],$H754,PerHeadcount[company_name],$B754)*O229)</f>
        <v>0</v>
      </c>
      <c r="P754" s="652">
        <f>IF($B754="",,SUMIFS(PerHeadcount[Month 5],PerHeadcount[exp_item],$H754,PerHeadcount[company_name],$B754)*P229)</f>
        <v>0</v>
      </c>
      <c r="Q754" s="652">
        <f>IF($B754="",,SUMIFS(PerHeadcount[Month 6],PerHeadcount[exp_item],$H754,PerHeadcount[company_name],$B754)*Q229)</f>
        <v>0</v>
      </c>
      <c r="R754" s="652">
        <f>IF($B754="",,SUMIFS(PerHeadcount[Month 7],PerHeadcount[exp_item],$H754,PerHeadcount[company_name],$B754)*R229)</f>
        <v>0</v>
      </c>
      <c r="S754" s="652">
        <f>IF($B754="",,SUMIFS(PerHeadcount[Month 8],PerHeadcount[exp_item],$H754,PerHeadcount[company_name],$B754)*S229)</f>
        <v>0</v>
      </c>
      <c r="T754" s="652">
        <f>IF($B754="",,SUMIFS(PerHeadcount[Month 9],PerHeadcount[exp_item],$H754,PerHeadcount[company_name],$B754)*T229)</f>
        <v>0</v>
      </c>
      <c r="U754" s="652">
        <f>IF($B754="",,SUMIFS(PerHeadcount[Month 10],PerHeadcount[exp_item],$H754,PerHeadcount[company_name],$B754)*U229)</f>
        <v>0</v>
      </c>
      <c r="V754" s="652">
        <f>IF($B754="",,SUMIFS(PerHeadcount[Month 11],PerHeadcount[exp_item],$H754,PerHeadcount[company_name],$B754)*V229)</f>
        <v>0</v>
      </c>
      <c r="W754" s="652">
        <f>IF($B754="",,SUMIFS(PerHeadcount[Month 12],PerHeadcount[exp_item],$H754,PerHeadcount[company_name],$B754)*W229)</f>
        <v>0</v>
      </c>
      <c r="X754" s="652">
        <f>IF($B754="",,SUMIFS(PerHeadcount[Month 13],PerHeadcount[exp_item],$H754,PerHeadcount[company_name],$B754)*X229)</f>
        <v>0</v>
      </c>
      <c r="Y754" s="652">
        <f>IF($B754="",,SUMIFS(PerHeadcount[Month 14],PerHeadcount[exp_item],$H754,PerHeadcount[company_name],$B754)*Y229)</f>
        <v>0</v>
      </c>
      <c r="Z754" s="652">
        <f>IF($B754="",,SUMIFS(PerHeadcount[Month 15],PerHeadcount[exp_item],$H754,PerHeadcount[company_name],$B754)*Z229)</f>
        <v>0</v>
      </c>
      <c r="AA754" s="652">
        <f>IF($B754="",,SUMIFS(PerHeadcount[Month 16],PerHeadcount[exp_item],$H754,PerHeadcount[company_name],$B754)*AA229)</f>
        <v>0</v>
      </c>
      <c r="AB754" s="652">
        <f>IF($B754="",,SUMIFS(PerHeadcount[Month 17],PerHeadcount[exp_item],$H754,PerHeadcount[company_name],$B754)*AB229)</f>
        <v>0</v>
      </c>
      <c r="AC754" s="652">
        <f>IF($B754="",,SUMIFS(PerHeadcount[Month 18],PerHeadcount[exp_item],$H754,PerHeadcount[company_name],$B754)*AC229)</f>
        <v>0</v>
      </c>
      <c r="AD754" s="652">
        <f>IF($B754="",,SUMIFS(PerHeadcount[Month 19],PerHeadcount[exp_item],$H754,PerHeadcount[company_name],$B754)*AD229)</f>
        <v>0</v>
      </c>
      <c r="AE754" s="652">
        <f>IF($B754="",,SUMIFS(PerHeadcount[Month 20],PerHeadcount[exp_item],$H754,PerHeadcount[company_name],$B754)*AE229)</f>
        <v>0</v>
      </c>
      <c r="AF754" s="652">
        <f>IF($B754="",,SUMIFS(PerHeadcount[Month 21],PerHeadcount[exp_item],$H754,PerHeadcount[company_name],$B754)*AF229)</f>
        <v>0</v>
      </c>
      <c r="AG754" s="652">
        <f>IF($B754="",,SUMIFS(PerHeadcount[Month 22],PerHeadcount[exp_item],$H754,PerHeadcount[company_name],$B754)*AG229)</f>
        <v>0</v>
      </c>
      <c r="AH754" s="652">
        <f>IF($B754="",,SUMIFS(PerHeadcount[Month 23],PerHeadcount[exp_item],$H754,PerHeadcount[company_name],$B754)*AH229)</f>
        <v>0</v>
      </c>
      <c r="AI754" s="652">
        <f>IF($B754="",,SUMIFS(PerHeadcount[Month 24],PerHeadcount[exp_item],$H754,PerHeadcount[company_name],$B754)*AI229)</f>
        <v>0</v>
      </c>
      <c r="AJ754" s="652">
        <f>IF($B754="",,SUMIFS(PerHeadcount[Month 25],PerHeadcount[exp_item],$H754,PerHeadcount[company_name],$B754)*AJ229)</f>
        <v>0</v>
      </c>
      <c r="AK754" s="652">
        <f>IF($B754="",,SUMIFS(PerHeadcount[Month 26],PerHeadcount[exp_item],$H754,PerHeadcount[company_name],$B754)*AK229)</f>
        <v>0</v>
      </c>
      <c r="AL754" s="652">
        <f>IF($B754="",,SUMIFS(PerHeadcount[Month 27],PerHeadcount[exp_item],$H754,PerHeadcount[company_name],$B754)*AL229)</f>
        <v>0</v>
      </c>
      <c r="AM754" s="652">
        <f>IF($B754="",,SUMIFS(PerHeadcount[Month 28],PerHeadcount[exp_item],$H754,PerHeadcount[company_name],$B754)*AM229)</f>
        <v>0</v>
      </c>
      <c r="AN754" s="652">
        <f>IF($B754="",,SUMIFS(PerHeadcount[Month 29],PerHeadcount[exp_item],$H754,PerHeadcount[company_name],$B754)*AN229)</f>
        <v>0</v>
      </c>
      <c r="AO754" s="652">
        <f>IF($B754="",,SUMIFS(PerHeadcount[Month 30],PerHeadcount[exp_item],$H754,PerHeadcount[company_name],$B754)*AO229)</f>
        <v>0</v>
      </c>
      <c r="AP754" s="652">
        <f>IF($B754="",,SUMIFS(PerHeadcount[Month 31],PerHeadcount[exp_item],$H754,PerHeadcount[company_name],$B754)*AP229)</f>
        <v>0</v>
      </c>
      <c r="AQ754" s="652">
        <f>IF($B754="",,SUMIFS(PerHeadcount[Month 32],PerHeadcount[exp_item],$H754,PerHeadcount[company_name],$B754)*AQ229)</f>
        <v>0</v>
      </c>
      <c r="AR754" s="652">
        <f>IF($B754="",,SUMIFS(PerHeadcount[Month 33],PerHeadcount[exp_item],$H754,PerHeadcount[company_name],$B754)*AR229)</f>
        <v>0</v>
      </c>
      <c r="AS754" s="652">
        <f>IF($B754="",,SUMIFS(PerHeadcount[Month 34],PerHeadcount[exp_item],$H754,PerHeadcount[company_name],$B754)*AS229)</f>
        <v>0</v>
      </c>
      <c r="AT754" s="652">
        <f>IF($B754="",,SUMIFS(PerHeadcount[Month 35],PerHeadcount[exp_item],$H754,PerHeadcount[company_name],$B754)*AT229)</f>
        <v>0</v>
      </c>
      <c r="AU754" s="652">
        <f>IF($B754="",,SUMIFS(PerHeadcount[Month 36],PerHeadcount[exp_item],$H754,PerHeadcount[company_name],$B754)*AU229)</f>
        <v>0</v>
      </c>
    </row>
    <row r="755" spans="2:47" x14ac:dyDescent="0.35">
      <c r="B755" t="str">
        <f t="shared" si="434"/>
        <v/>
      </c>
      <c r="C755" t="str">
        <f t="shared" si="434"/>
        <v/>
      </c>
      <c r="D755" t="str">
        <f t="shared" si="434"/>
        <v/>
      </c>
      <c r="E755" t="str">
        <f t="shared" si="434"/>
        <v/>
      </c>
      <c r="F755" t="str">
        <f t="shared" si="434"/>
        <v/>
      </c>
      <c r="G755" t="str">
        <f t="shared" si="434"/>
        <v/>
      </c>
      <c r="H755" t="str">
        <f t="shared" si="429"/>
        <v/>
      </c>
      <c r="J755" t="str">
        <f>IF($H755="","",IF(VLOOKUP(H755,ExpItems[],2,0),H755&amp;" - "&amp;INDEX(DivisionMapping[category_code],MATCH($D755&amp;$C755,DivisionMapping[dept_bu],0)),H755))</f>
        <v/>
      </c>
      <c r="K755" t="str">
        <f t="shared" si="430"/>
        <v/>
      </c>
      <c r="L755" s="652">
        <f>IF($B755="",,SUMIFS(PerHeadcount[Month 1],PerHeadcount[exp_item],$H755,PerHeadcount[company_name],$B755)*L230)</f>
        <v>0</v>
      </c>
      <c r="M755" s="652">
        <f>IF($B755="",,SUMIFS(PerHeadcount[Month 2],PerHeadcount[exp_item],$H755,PerHeadcount[company_name],$B755)*M230)</f>
        <v>0</v>
      </c>
      <c r="N755" s="652">
        <f>IF($B755="",,SUMIFS(PerHeadcount[Month 3],PerHeadcount[exp_item],$H755,PerHeadcount[company_name],$B755)*N230)</f>
        <v>0</v>
      </c>
      <c r="O755" s="652">
        <f>IF($B755="",,SUMIFS(PerHeadcount[Month 4],PerHeadcount[exp_item],$H755,PerHeadcount[company_name],$B755)*O230)</f>
        <v>0</v>
      </c>
      <c r="P755" s="652">
        <f>IF($B755="",,SUMIFS(PerHeadcount[Month 5],PerHeadcount[exp_item],$H755,PerHeadcount[company_name],$B755)*P230)</f>
        <v>0</v>
      </c>
      <c r="Q755" s="652">
        <f>IF($B755="",,SUMIFS(PerHeadcount[Month 6],PerHeadcount[exp_item],$H755,PerHeadcount[company_name],$B755)*Q230)</f>
        <v>0</v>
      </c>
      <c r="R755" s="652">
        <f>IF($B755="",,SUMIFS(PerHeadcount[Month 7],PerHeadcount[exp_item],$H755,PerHeadcount[company_name],$B755)*R230)</f>
        <v>0</v>
      </c>
      <c r="S755" s="652">
        <f>IF($B755="",,SUMIFS(PerHeadcount[Month 8],PerHeadcount[exp_item],$H755,PerHeadcount[company_name],$B755)*S230)</f>
        <v>0</v>
      </c>
      <c r="T755" s="652">
        <f>IF($B755="",,SUMIFS(PerHeadcount[Month 9],PerHeadcount[exp_item],$H755,PerHeadcount[company_name],$B755)*T230)</f>
        <v>0</v>
      </c>
      <c r="U755" s="652">
        <f>IF($B755="",,SUMIFS(PerHeadcount[Month 10],PerHeadcount[exp_item],$H755,PerHeadcount[company_name],$B755)*U230)</f>
        <v>0</v>
      </c>
      <c r="V755" s="652">
        <f>IF($B755="",,SUMIFS(PerHeadcount[Month 11],PerHeadcount[exp_item],$H755,PerHeadcount[company_name],$B755)*V230)</f>
        <v>0</v>
      </c>
      <c r="W755" s="652">
        <f>IF($B755="",,SUMIFS(PerHeadcount[Month 12],PerHeadcount[exp_item],$H755,PerHeadcount[company_name],$B755)*W230)</f>
        <v>0</v>
      </c>
      <c r="X755" s="652">
        <f>IF($B755="",,SUMIFS(PerHeadcount[Month 13],PerHeadcount[exp_item],$H755,PerHeadcount[company_name],$B755)*X230)</f>
        <v>0</v>
      </c>
      <c r="Y755" s="652">
        <f>IF($B755="",,SUMIFS(PerHeadcount[Month 14],PerHeadcount[exp_item],$H755,PerHeadcount[company_name],$B755)*Y230)</f>
        <v>0</v>
      </c>
      <c r="Z755" s="652">
        <f>IF($B755="",,SUMIFS(PerHeadcount[Month 15],PerHeadcount[exp_item],$H755,PerHeadcount[company_name],$B755)*Z230)</f>
        <v>0</v>
      </c>
      <c r="AA755" s="652">
        <f>IF($B755="",,SUMIFS(PerHeadcount[Month 16],PerHeadcount[exp_item],$H755,PerHeadcount[company_name],$B755)*AA230)</f>
        <v>0</v>
      </c>
      <c r="AB755" s="652">
        <f>IF($B755="",,SUMIFS(PerHeadcount[Month 17],PerHeadcount[exp_item],$H755,PerHeadcount[company_name],$B755)*AB230)</f>
        <v>0</v>
      </c>
      <c r="AC755" s="652">
        <f>IF($B755="",,SUMIFS(PerHeadcount[Month 18],PerHeadcount[exp_item],$H755,PerHeadcount[company_name],$B755)*AC230)</f>
        <v>0</v>
      </c>
      <c r="AD755" s="652">
        <f>IF($B755="",,SUMIFS(PerHeadcount[Month 19],PerHeadcount[exp_item],$H755,PerHeadcount[company_name],$B755)*AD230)</f>
        <v>0</v>
      </c>
      <c r="AE755" s="652">
        <f>IF($B755="",,SUMIFS(PerHeadcount[Month 20],PerHeadcount[exp_item],$H755,PerHeadcount[company_name],$B755)*AE230)</f>
        <v>0</v>
      </c>
      <c r="AF755" s="652">
        <f>IF($B755="",,SUMIFS(PerHeadcount[Month 21],PerHeadcount[exp_item],$H755,PerHeadcount[company_name],$B755)*AF230)</f>
        <v>0</v>
      </c>
      <c r="AG755" s="652">
        <f>IF($B755="",,SUMIFS(PerHeadcount[Month 22],PerHeadcount[exp_item],$H755,PerHeadcount[company_name],$B755)*AG230)</f>
        <v>0</v>
      </c>
      <c r="AH755" s="652">
        <f>IF($B755="",,SUMIFS(PerHeadcount[Month 23],PerHeadcount[exp_item],$H755,PerHeadcount[company_name],$B755)*AH230)</f>
        <v>0</v>
      </c>
      <c r="AI755" s="652">
        <f>IF($B755="",,SUMIFS(PerHeadcount[Month 24],PerHeadcount[exp_item],$H755,PerHeadcount[company_name],$B755)*AI230)</f>
        <v>0</v>
      </c>
      <c r="AJ755" s="652">
        <f>IF($B755="",,SUMIFS(PerHeadcount[Month 25],PerHeadcount[exp_item],$H755,PerHeadcount[company_name],$B755)*AJ230)</f>
        <v>0</v>
      </c>
      <c r="AK755" s="652">
        <f>IF($B755="",,SUMIFS(PerHeadcount[Month 26],PerHeadcount[exp_item],$H755,PerHeadcount[company_name],$B755)*AK230)</f>
        <v>0</v>
      </c>
      <c r="AL755" s="652">
        <f>IF($B755="",,SUMIFS(PerHeadcount[Month 27],PerHeadcount[exp_item],$H755,PerHeadcount[company_name],$B755)*AL230)</f>
        <v>0</v>
      </c>
      <c r="AM755" s="652">
        <f>IF($B755="",,SUMIFS(PerHeadcount[Month 28],PerHeadcount[exp_item],$H755,PerHeadcount[company_name],$B755)*AM230)</f>
        <v>0</v>
      </c>
      <c r="AN755" s="652">
        <f>IF($B755="",,SUMIFS(PerHeadcount[Month 29],PerHeadcount[exp_item],$H755,PerHeadcount[company_name],$B755)*AN230)</f>
        <v>0</v>
      </c>
      <c r="AO755" s="652">
        <f>IF($B755="",,SUMIFS(PerHeadcount[Month 30],PerHeadcount[exp_item],$H755,PerHeadcount[company_name],$B755)*AO230)</f>
        <v>0</v>
      </c>
      <c r="AP755" s="652">
        <f>IF($B755="",,SUMIFS(PerHeadcount[Month 31],PerHeadcount[exp_item],$H755,PerHeadcount[company_name],$B755)*AP230)</f>
        <v>0</v>
      </c>
      <c r="AQ755" s="652">
        <f>IF($B755="",,SUMIFS(PerHeadcount[Month 32],PerHeadcount[exp_item],$H755,PerHeadcount[company_name],$B755)*AQ230)</f>
        <v>0</v>
      </c>
      <c r="AR755" s="652">
        <f>IF($B755="",,SUMIFS(PerHeadcount[Month 33],PerHeadcount[exp_item],$H755,PerHeadcount[company_name],$B755)*AR230)</f>
        <v>0</v>
      </c>
      <c r="AS755" s="652">
        <f>IF($B755="",,SUMIFS(PerHeadcount[Month 34],PerHeadcount[exp_item],$H755,PerHeadcount[company_name],$B755)*AS230)</f>
        <v>0</v>
      </c>
      <c r="AT755" s="652">
        <f>IF($B755="",,SUMIFS(PerHeadcount[Month 35],PerHeadcount[exp_item],$H755,PerHeadcount[company_name],$B755)*AT230)</f>
        <v>0</v>
      </c>
      <c r="AU755" s="652">
        <f>IF($B755="",,SUMIFS(PerHeadcount[Month 36],PerHeadcount[exp_item],$H755,PerHeadcount[company_name],$B755)*AU230)</f>
        <v>0</v>
      </c>
    </row>
    <row r="756" spans="2:47" x14ac:dyDescent="0.35">
      <c r="B756" t="str">
        <f t="shared" si="434"/>
        <v/>
      </c>
      <c r="C756" t="str">
        <f t="shared" si="434"/>
        <v/>
      </c>
      <c r="D756" t="str">
        <f t="shared" si="434"/>
        <v/>
      </c>
      <c r="E756" t="str">
        <f t="shared" si="434"/>
        <v/>
      </c>
      <c r="F756" t="str">
        <f t="shared" si="434"/>
        <v/>
      </c>
      <c r="G756" t="str">
        <f t="shared" si="434"/>
        <v/>
      </c>
      <c r="H756" t="str">
        <f t="shared" si="429"/>
        <v/>
      </c>
      <c r="J756" t="str">
        <f>IF($H756="","",IF(VLOOKUP(H756,ExpItems[],2,0),H756&amp;" - "&amp;INDEX(DivisionMapping[category_code],MATCH($D756&amp;$C756,DivisionMapping[dept_bu],0)),H756))</f>
        <v/>
      </c>
      <c r="K756" t="str">
        <f t="shared" si="430"/>
        <v/>
      </c>
      <c r="L756" s="652">
        <f>IF($B756="",,SUMIFS(PerHeadcount[Month 1],PerHeadcount[exp_item],$H756,PerHeadcount[company_name],$B756)*L231)</f>
        <v>0</v>
      </c>
      <c r="M756" s="652">
        <f>IF($B756="",,SUMIFS(PerHeadcount[Month 2],PerHeadcount[exp_item],$H756,PerHeadcount[company_name],$B756)*M231)</f>
        <v>0</v>
      </c>
      <c r="N756" s="652">
        <f>IF($B756="",,SUMIFS(PerHeadcount[Month 3],PerHeadcount[exp_item],$H756,PerHeadcount[company_name],$B756)*N231)</f>
        <v>0</v>
      </c>
      <c r="O756" s="652">
        <f>IF($B756="",,SUMIFS(PerHeadcount[Month 4],PerHeadcount[exp_item],$H756,PerHeadcount[company_name],$B756)*O231)</f>
        <v>0</v>
      </c>
      <c r="P756" s="652">
        <f>IF($B756="",,SUMIFS(PerHeadcount[Month 5],PerHeadcount[exp_item],$H756,PerHeadcount[company_name],$B756)*P231)</f>
        <v>0</v>
      </c>
      <c r="Q756" s="652">
        <f>IF($B756="",,SUMIFS(PerHeadcount[Month 6],PerHeadcount[exp_item],$H756,PerHeadcount[company_name],$B756)*Q231)</f>
        <v>0</v>
      </c>
      <c r="R756" s="652">
        <f>IF($B756="",,SUMIFS(PerHeadcount[Month 7],PerHeadcount[exp_item],$H756,PerHeadcount[company_name],$B756)*R231)</f>
        <v>0</v>
      </c>
      <c r="S756" s="652">
        <f>IF($B756="",,SUMIFS(PerHeadcount[Month 8],PerHeadcount[exp_item],$H756,PerHeadcount[company_name],$B756)*S231)</f>
        <v>0</v>
      </c>
      <c r="T756" s="652">
        <f>IF($B756="",,SUMIFS(PerHeadcount[Month 9],PerHeadcount[exp_item],$H756,PerHeadcount[company_name],$B756)*T231)</f>
        <v>0</v>
      </c>
      <c r="U756" s="652">
        <f>IF($B756="",,SUMIFS(PerHeadcount[Month 10],PerHeadcount[exp_item],$H756,PerHeadcount[company_name],$B756)*U231)</f>
        <v>0</v>
      </c>
      <c r="V756" s="652">
        <f>IF($B756="",,SUMIFS(PerHeadcount[Month 11],PerHeadcount[exp_item],$H756,PerHeadcount[company_name],$B756)*V231)</f>
        <v>0</v>
      </c>
      <c r="W756" s="652">
        <f>IF($B756="",,SUMIFS(PerHeadcount[Month 12],PerHeadcount[exp_item],$H756,PerHeadcount[company_name],$B756)*W231)</f>
        <v>0</v>
      </c>
      <c r="X756" s="652">
        <f>IF($B756="",,SUMIFS(PerHeadcount[Month 13],PerHeadcount[exp_item],$H756,PerHeadcount[company_name],$B756)*X231)</f>
        <v>0</v>
      </c>
      <c r="Y756" s="652">
        <f>IF($B756="",,SUMIFS(PerHeadcount[Month 14],PerHeadcount[exp_item],$H756,PerHeadcount[company_name],$B756)*Y231)</f>
        <v>0</v>
      </c>
      <c r="Z756" s="652">
        <f>IF($B756="",,SUMIFS(PerHeadcount[Month 15],PerHeadcount[exp_item],$H756,PerHeadcount[company_name],$B756)*Z231)</f>
        <v>0</v>
      </c>
      <c r="AA756" s="652">
        <f>IF($B756="",,SUMIFS(PerHeadcount[Month 16],PerHeadcount[exp_item],$H756,PerHeadcount[company_name],$B756)*AA231)</f>
        <v>0</v>
      </c>
      <c r="AB756" s="652">
        <f>IF($B756="",,SUMIFS(PerHeadcount[Month 17],PerHeadcount[exp_item],$H756,PerHeadcount[company_name],$B756)*AB231)</f>
        <v>0</v>
      </c>
      <c r="AC756" s="652">
        <f>IF($B756="",,SUMIFS(PerHeadcount[Month 18],PerHeadcount[exp_item],$H756,PerHeadcount[company_name],$B756)*AC231)</f>
        <v>0</v>
      </c>
      <c r="AD756" s="652">
        <f>IF($B756="",,SUMIFS(PerHeadcount[Month 19],PerHeadcount[exp_item],$H756,PerHeadcount[company_name],$B756)*AD231)</f>
        <v>0</v>
      </c>
      <c r="AE756" s="652">
        <f>IF($B756="",,SUMIFS(PerHeadcount[Month 20],PerHeadcount[exp_item],$H756,PerHeadcount[company_name],$B756)*AE231)</f>
        <v>0</v>
      </c>
      <c r="AF756" s="652">
        <f>IF($B756="",,SUMIFS(PerHeadcount[Month 21],PerHeadcount[exp_item],$H756,PerHeadcount[company_name],$B756)*AF231)</f>
        <v>0</v>
      </c>
      <c r="AG756" s="652">
        <f>IF($B756="",,SUMIFS(PerHeadcount[Month 22],PerHeadcount[exp_item],$H756,PerHeadcount[company_name],$B756)*AG231)</f>
        <v>0</v>
      </c>
      <c r="AH756" s="652">
        <f>IF($B756="",,SUMIFS(PerHeadcount[Month 23],PerHeadcount[exp_item],$H756,PerHeadcount[company_name],$B756)*AH231)</f>
        <v>0</v>
      </c>
      <c r="AI756" s="652">
        <f>IF($B756="",,SUMIFS(PerHeadcount[Month 24],PerHeadcount[exp_item],$H756,PerHeadcount[company_name],$B756)*AI231)</f>
        <v>0</v>
      </c>
      <c r="AJ756" s="652">
        <f>IF($B756="",,SUMIFS(PerHeadcount[Month 25],PerHeadcount[exp_item],$H756,PerHeadcount[company_name],$B756)*AJ231)</f>
        <v>0</v>
      </c>
      <c r="AK756" s="652">
        <f>IF($B756="",,SUMIFS(PerHeadcount[Month 26],PerHeadcount[exp_item],$H756,PerHeadcount[company_name],$B756)*AK231)</f>
        <v>0</v>
      </c>
      <c r="AL756" s="652">
        <f>IF($B756="",,SUMIFS(PerHeadcount[Month 27],PerHeadcount[exp_item],$H756,PerHeadcount[company_name],$B756)*AL231)</f>
        <v>0</v>
      </c>
      <c r="AM756" s="652">
        <f>IF($B756="",,SUMIFS(PerHeadcount[Month 28],PerHeadcount[exp_item],$H756,PerHeadcount[company_name],$B756)*AM231)</f>
        <v>0</v>
      </c>
      <c r="AN756" s="652">
        <f>IF($B756="",,SUMIFS(PerHeadcount[Month 29],PerHeadcount[exp_item],$H756,PerHeadcount[company_name],$B756)*AN231)</f>
        <v>0</v>
      </c>
      <c r="AO756" s="652">
        <f>IF($B756="",,SUMIFS(PerHeadcount[Month 30],PerHeadcount[exp_item],$H756,PerHeadcount[company_name],$B756)*AO231)</f>
        <v>0</v>
      </c>
      <c r="AP756" s="652">
        <f>IF($B756="",,SUMIFS(PerHeadcount[Month 31],PerHeadcount[exp_item],$H756,PerHeadcount[company_name],$B756)*AP231)</f>
        <v>0</v>
      </c>
      <c r="AQ756" s="652">
        <f>IF($B756="",,SUMIFS(PerHeadcount[Month 32],PerHeadcount[exp_item],$H756,PerHeadcount[company_name],$B756)*AQ231)</f>
        <v>0</v>
      </c>
      <c r="AR756" s="652">
        <f>IF($B756="",,SUMIFS(PerHeadcount[Month 33],PerHeadcount[exp_item],$H756,PerHeadcount[company_name],$B756)*AR231)</f>
        <v>0</v>
      </c>
      <c r="AS756" s="652">
        <f>IF($B756="",,SUMIFS(PerHeadcount[Month 34],PerHeadcount[exp_item],$H756,PerHeadcount[company_name],$B756)*AS231)</f>
        <v>0</v>
      </c>
      <c r="AT756" s="652">
        <f>IF($B756="",,SUMIFS(PerHeadcount[Month 35],PerHeadcount[exp_item],$H756,PerHeadcount[company_name],$B756)*AT231)</f>
        <v>0</v>
      </c>
      <c r="AU756" s="652">
        <f>IF($B756="",,SUMIFS(PerHeadcount[Month 36],PerHeadcount[exp_item],$H756,PerHeadcount[company_name],$B756)*AU231)</f>
        <v>0</v>
      </c>
    </row>
    <row r="757" spans="2:47" x14ac:dyDescent="0.35">
      <c r="B757" t="str">
        <f t="shared" si="434"/>
        <v/>
      </c>
      <c r="C757" t="str">
        <f t="shared" si="434"/>
        <v/>
      </c>
      <c r="D757" t="str">
        <f t="shared" si="434"/>
        <v/>
      </c>
      <c r="E757" t="str">
        <f t="shared" si="434"/>
        <v/>
      </c>
      <c r="F757" t="str">
        <f t="shared" si="434"/>
        <v/>
      </c>
      <c r="G757" t="str">
        <f t="shared" si="434"/>
        <v/>
      </c>
      <c r="H757" t="str">
        <f t="shared" si="429"/>
        <v/>
      </c>
      <c r="J757" t="str">
        <f>IF($H757="","",IF(VLOOKUP(H757,ExpItems[],2,0),H757&amp;" - "&amp;INDEX(DivisionMapping[category_code],MATCH($D757&amp;$C757,DivisionMapping[dept_bu],0)),H757))</f>
        <v/>
      </c>
      <c r="K757" t="str">
        <f t="shared" si="430"/>
        <v/>
      </c>
      <c r="L757" s="652">
        <f>IF($B757="",,SUMIFS(PerHeadcount[Month 1],PerHeadcount[exp_item],$H757,PerHeadcount[company_name],$B757)*L232)</f>
        <v>0</v>
      </c>
      <c r="M757" s="652">
        <f>IF($B757="",,SUMIFS(PerHeadcount[Month 2],PerHeadcount[exp_item],$H757,PerHeadcount[company_name],$B757)*M232)</f>
        <v>0</v>
      </c>
      <c r="N757" s="652">
        <f>IF($B757="",,SUMIFS(PerHeadcount[Month 3],PerHeadcount[exp_item],$H757,PerHeadcount[company_name],$B757)*N232)</f>
        <v>0</v>
      </c>
      <c r="O757" s="652">
        <f>IF($B757="",,SUMIFS(PerHeadcount[Month 4],PerHeadcount[exp_item],$H757,PerHeadcount[company_name],$B757)*O232)</f>
        <v>0</v>
      </c>
      <c r="P757" s="652">
        <f>IF($B757="",,SUMIFS(PerHeadcount[Month 5],PerHeadcount[exp_item],$H757,PerHeadcount[company_name],$B757)*P232)</f>
        <v>0</v>
      </c>
      <c r="Q757" s="652">
        <f>IF($B757="",,SUMIFS(PerHeadcount[Month 6],PerHeadcount[exp_item],$H757,PerHeadcount[company_name],$B757)*Q232)</f>
        <v>0</v>
      </c>
      <c r="R757" s="652">
        <f>IF($B757="",,SUMIFS(PerHeadcount[Month 7],PerHeadcount[exp_item],$H757,PerHeadcount[company_name],$B757)*R232)</f>
        <v>0</v>
      </c>
      <c r="S757" s="652">
        <f>IF($B757="",,SUMIFS(PerHeadcount[Month 8],PerHeadcount[exp_item],$H757,PerHeadcount[company_name],$B757)*S232)</f>
        <v>0</v>
      </c>
      <c r="T757" s="652">
        <f>IF($B757="",,SUMIFS(PerHeadcount[Month 9],PerHeadcount[exp_item],$H757,PerHeadcount[company_name],$B757)*T232)</f>
        <v>0</v>
      </c>
      <c r="U757" s="652">
        <f>IF($B757="",,SUMIFS(PerHeadcount[Month 10],PerHeadcount[exp_item],$H757,PerHeadcount[company_name],$B757)*U232)</f>
        <v>0</v>
      </c>
      <c r="V757" s="652">
        <f>IF($B757="",,SUMIFS(PerHeadcount[Month 11],PerHeadcount[exp_item],$H757,PerHeadcount[company_name],$B757)*V232)</f>
        <v>0</v>
      </c>
      <c r="W757" s="652">
        <f>IF($B757="",,SUMIFS(PerHeadcount[Month 12],PerHeadcount[exp_item],$H757,PerHeadcount[company_name],$B757)*W232)</f>
        <v>0</v>
      </c>
      <c r="X757" s="652">
        <f>IF($B757="",,SUMIFS(PerHeadcount[Month 13],PerHeadcount[exp_item],$H757,PerHeadcount[company_name],$B757)*X232)</f>
        <v>0</v>
      </c>
      <c r="Y757" s="652">
        <f>IF($B757="",,SUMIFS(PerHeadcount[Month 14],PerHeadcount[exp_item],$H757,PerHeadcount[company_name],$B757)*Y232)</f>
        <v>0</v>
      </c>
      <c r="Z757" s="652">
        <f>IF($B757="",,SUMIFS(PerHeadcount[Month 15],PerHeadcount[exp_item],$H757,PerHeadcount[company_name],$B757)*Z232)</f>
        <v>0</v>
      </c>
      <c r="AA757" s="652">
        <f>IF($B757="",,SUMIFS(PerHeadcount[Month 16],PerHeadcount[exp_item],$H757,PerHeadcount[company_name],$B757)*AA232)</f>
        <v>0</v>
      </c>
      <c r="AB757" s="652">
        <f>IF($B757="",,SUMIFS(PerHeadcount[Month 17],PerHeadcount[exp_item],$H757,PerHeadcount[company_name],$B757)*AB232)</f>
        <v>0</v>
      </c>
      <c r="AC757" s="652">
        <f>IF($B757="",,SUMIFS(PerHeadcount[Month 18],PerHeadcount[exp_item],$H757,PerHeadcount[company_name],$B757)*AC232)</f>
        <v>0</v>
      </c>
      <c r="AD757" s="652">
        <f>IF($B757="",,SUMIFS(PerHeadcount[Month 19],PerHeadcount[exp_item],$H757,PerHeadcount[company_name],$B757)*AD232)</f>
        <v>0</v>
      </c>
      <c r="AE757" s="652">
        <f>IF($B757="",,SUMIFS(PerHeadcount[Month 20],PerHeadcount[exp_item],$H757,PerHeadcount[company_name],$B757)*AE232)</f>
        <v>0</v>
      </c>
      <c r="AF757" s="652">
        <f>IF($B757="",,SUMIFS(PerHeadcount[Month 21],PerHeadcount[exp_item],$H757,PerHeadcount[company_name],$B757)*AF232)</f>
        <v>0</v>
      </c>
      <c r="AG757" s="652">
        <f>IF($B757="",,SUMIFS(PerHeadcount[Month 22],PerHeadcount[exp_item],$H757,PerHeadcount[company_name],$B757)*AG232)</f>
        <v>0</v>
      </c>
      <c r="AH757" s="652">
        <f>IF($B757="",,SUMIFS(PerHeadcount[Month 23],PerHeadcount[exp_item],$H757,PerHeadcount[company_name],$B757)*AH232)</f>
        <v>0</v>
      </c>
      <c r="AI757" s="652">
        <f>IF($B757="",,SUMIFS(PerHeadcount[Month 24],PerHeadcount[exp_item],$H757,PerHeadcount[company_name],$B757)*AI232)</f>
        <v>0</v>
      </c>
      <c r="AJ757" s="652">
        <f>IF($B757="",,SUMIFS(PerHeadcount[Month 25],PerHeadcount[exp_item],$H757,PerHeadcount[company_name],$B757)*AJ232)</f>
        <v>0</v>
      </c>
      <c r="AK757" s="652">
        <f>IF($B757="",,SUMIFS(PerHeadcount[Month 26],PerHeadcount[exp_item],$H757,PerHeadcount[company_name],$B757)*AK232)</f>
        <v>0</v>
      </c>
      <c r="AL757" s="652">
        <f>IF($B757="",,SUMIFS(PerHeadcount[Month 27],PerHeadcount[exp_item],$H757,PerHeadcount[company_name],$B757)*AL232)</f>
        <v>0</v>
      </c>
      <c r="AM757" s="652">
        <f>IF($B757="",,SUMIFS(PerHeadcount[Month 28],PerHeadcount[exp_item],$H757,PerHeadcount[company_name],$B757)*AM232)</f>
        <v>0</v>
      </c>
      <c r="AN757" s="652">
        <f>IF($B757="",,SUMIFS(PerHeadcount[Month 29],PerHeadcount[exp_item],$H757,PerHeadcount[company_name],$B757)*AN232)</f>
        <v>0</v>
      </c>
      <c r="AO757" s="652">
        <f>IF($B757="",,SUMIFS(PerHeadcount[Month 30],PerHeadcount[exp_item],$H757,PerHeadcount[company_name],$B757)*AO232)</f>
        <v>0</v>
      </c>
      <c r="AP757" s="652">
        <f>IF($B757="",,SUMIFS(PerHeadcount[Month 31],PerHeadcount[exp_item],$H757,PerHeadcount[company_name],$B757)*AP232)</f>
        <v>0</v>
      </c>
      <c r="AQ757" s="652">
        <f>IF($B757="",,SUMIFS(PerHeadcount[Month 32],PerHeadcount[exp_item],$H757,PerHeadcount[company_name],$B757)*AQ232)</f>
        <v>0</v>
      </c>
      <c r="AR757" s="652">
        <f>IF($B757="",,SUMIFS(PerHeadcount[Month 33],PerHeadcount[exp_item],$H757,PerHeadcount[company_name],$B757)*AR232)</f>
        <v>0</v>
      </c>
      <c r="AS757" s="652">
        <f>IF($B757="",,SUMIFS(PerHeadcount[Month 34],PerHeadcount[exp_item],$H757,PerHeadcount[company_name],$B757)*AS232)</f>
        <v>0</v>
      </c>
      <c r="AT757" s="652">
        <f>IF($B757="",,SUMIFS(PerHeadcount[Month 35],PerHeadcount[exp_item],$H757,PerHeadcount[company_name],$B757)*AT232)</f>
        <v>0</v>
      </c>
      <c r="AU757" s="652">
        <f>IF($B757="",,SUMIFS(PerHeadcount[Month 36],PerHeadcount[exp_item],$H757,PerHeadcount[company_name],$B757)*AU232)</f>
        <v>0</v>
      </c>
    </row>
    <row r="758" spans="2:47" x14ac:dyDescent="0.35">
      <c r="B758" t="str">
        <f t="shared" si="434"/>
        <v/>
      </c>
      <c r="C758" t="str">
        <f t="shared" si="434"/>
        <v/>
      </c>
      <c r="D758" t="str">
        <f t="shared" si="434"/>
        <v/>
      </c>
      <c r="E758" t="str">
        <f t="shared" si="434"/>
        <v/>
      </c>
      <c r="F758" t="str">
        <f t="shared" si="434"/>
        <v/>
      </c>
      <c r="G758" t="str">
        <f t="shared" si="434"/>
        <v/>
      </c>
      <c r="H758" t="str">
        <f t="shared" si="429"/>
        <v/>
      </c>
      <c r="J758" t="str">
        <f>IF($H758="","",IF(VLOOKUP(H758,ExpItems[],2,0),H758&amp;" - "&amp;INDEX(DivisionMapping[category_code],MATCH($D758&amp;$C758,DivisionMapping[dept_bu],0)),H758))</f>
        <v/>
      </c>
      <c r="K758" t="str">
        <f t="shared" si="430"/>
        <v/>
      </c>
      <c r="L758" s="652">
        <f>IF($B758="",,SUMIFS(PerHeadcount[Month 1],PerHeadcount[exp_item],$H758,PerHeadcount[company_name],$B758)*L233)</f>
        <v>0</v>
      </c>
      <c r="M758" s="652">
        <f>IF($B758="",,SUMIFS(PerHeadcount[Month 2],PerHeadcount[exp_item],$H758,PerHeadcount[company_name],$B758)*M233)</f>
        <v>0</v>
      </c>
      <c r="N758" s="652">
        <f>IF($B758="",,SUMIFS(PerHeadcount[Month 3],PerHeadcount[exp_item],$H758,PerHeadcount[company_name],$B758)*N233)</f>
        <v>0</v>
      </c>
      <c r="O758" s="652">
        <f>IF($B758="",,SUMIFS(PerHeadcount[Month 4],PerHeadcount[exp_item],$H758,PerHeadcount[company_name],$B758)*O233)</f>
        <v>0</v>
      </c>
      <c r="P758" s="652">
        <f>IF($B758="",,SUMIFS(PerHeadcount[Month 5],PerHeadcount[exp_item],$H758,PerHeadcount[company_name],$B758)*P233)</f>
        <v>0</v>
      </c>
      <c r="Q758" s="652">
        <f>IF($B758="",,SUMIFS(PerHeadcount[Month 6],PerHeadcount[exp_item],$H758,PerHeadcount[company_name],$B758)*Q233)</f>
        <v>0</v>
      </c>
      <c r="R758" s="652">
        <f>IF($B758="",,SUMIFS(PerHeadcount[Month 7],PerHeadcount[exp_item],$H758,PerHeadcount[company_name],$B758)*R233)</f>
        <v>0</v>
      </c>
      <c r="S758" s="652">
        <f>IF($B758="",,SUMIFS(PerHeadcount[Month 8],PerHeadcount[exp_item],$H758,PerHeadcount[company_name],$B758)*S233)</f>
        <v>0</v>
      </c>
      <c r="T758" s="652">
        <f>IF($B758="",,SUMIFS(PerHeadcount[Month 9],PerHeadcount[exp_item],$H758,PerHeadcount[company_name],$B758)*T233)</f>
        <v>0</v>
      </c>
      <c r="U758" s="652">
        <f>IF($B758="",,SUMIFS(PerHeadcount[Month 10],PerHeadcount[exp_item],$H758,PerHeadcount[company_name],$B758)*U233)</f>
        <v>0</v>
      </c>
      <c r="V758" s="652">
        <f>IF($B758="",,SUMIFS(PerHeadcount[Month 11],PerHeadcount[exp_item],$H758,PerHeadcount[company_name],$B758)*V233)</f>
        <v>0</v>
      </c>
      <c r="W758" s="652">
        <f>IF($B758="",,SUMIFS(PerHeadcount[Month 12],PerHeadcount[exp_item],$H758,PerHeadcount[company_name],$B758)*W233)</f>
        <v>0</v>
      </c>
      <c r="X758" s="652">
        <f>IF($B758="",,SUMIFS(PerHeadcount[Month 13],PerHeadcount[exp_item],$H758,PerHeadcount[company_name],$B758)*X233)</f>
        <v>0</v>
      </c>
      <c r="Y758" s="652">
        <f>IF($B758="",,SUMIFS(PerHeadcount[Month 14],PerHeadcount[exp_item],$H758,PerHeadcount[company_name],$B758)*Y233)</f>
        <v>0</v>
      </c>
      <c r="Z758" s="652">
        <f>IF($B758="",,SUMIFS(PerHeadcount[Month 15],PerHeadcount[exp_item],$H758,PerHeadcount[company_name],$B758)*Z233)</f>
        <v>0</v>
      </c>
      <c r="AA758" s="652">
        <f>IF($B758="",,SUMIFS(PerHeadcount[Month 16],PerHeadcount[exp_item],$H758,PerHeadcount[company_name],$B758)*AA233)</f>
        <v>0</v>
      </c>
      <c r="AB758" s="652">
        <f>IF($B758="",,SUMIFS(PerHeadcount[Month 17],PerHeadcount[exp_item],$H758,PerHeadcount[company_name],$B758)*AB233)</f>
        <v>0</v>
      </c>
      <c r="AC758" s="652">
        <f>IF($B758="",,SUMIFS(PerHeadcount[Month 18],PerHeadcount[exp_item],$H758,PerHeadcount[company_name],$B758)*AC233)</f>
        <v>0</v>
      </c>
      <c r="AD758" s="652">
        <f>IF($B758="",,SUMIFS(PerHeadcount[Month 19],PerHeadcount[exp_item],$H758,PerHeadcount[company_name],$B758)*AD233)</f>
        <v>0</v>
      </c>
      <c r="AE758" s="652">
        <f>IF($B758="",,SUMIFS(PerHeadcount[Month 20],PerHeadcount[exp_item],$H758,PerHeadcount[company_name],$B758)*AE233)</f>
        <v>0</v>
      </c>
      <c r="AF758" s="652">
        <f>IF($B758="",,SUMIFS(PerHeadcount[Month 21],PerHeadcount[exp_item],$H758,PerHeadcount[company_name],$B758)*AF233)</f>
        <v>0</v>
      </c>
      <c r="AG758" s="652">
        <f>IF($B758="",,SUMIFS(PerHeadcount[Month 22],PerHeadcount[exp_item],$H758,PerHeadcount[company_name],$B758)*AG233)</f>
        <v>0</v>
      </c>
      <c r="AH758" s="652">
        <f>IF($B758="",,SUMIFS(PerHeadcount[Month 23],PerHeadcount[exp_item],$H758,PerHeadcount[company_name],$B758)*AH233)</f>
        <v>0</v>
      </c>
      <c r="AI758" s="652">
        <f>IF($B758="",,SUMIFS(PerHeadcount[Month 24],PerHeadcount[exp_item],$H758,PerHeadcount[company_name],$B758)*AI233)</f>
        <v>0</v>
      </c>
      <c r="AJ758" s="652">
        <f>IF($B758="",,SUMIFS(PerHeadcount[Month 25],PerHeadcount[exp_item],$H758,PerHeadcount[company_name],$B758)*AJ233)</f>
        <v>0</v>
      </c>
      <c r="AK758" s="652">
        <f>IF($B758="",,SUMIFS(PerHeadcount[Month 26],PerHeadcount[exp_item],$H758,PerHeadcount[company_name],$B758)*AK233)</f>
        <v>0</v>
      </c>
      <c r="AL758" s="652">
        <f>IF($B758="",,SUMIFS(PerHeadcount[Month 27],PerHeadcount[exp_item],$H758,PerHeadcount[company_name],$B758)*AL233)</f>
        <v>0</v>
      </c>
      <c r="AM758" s="652">
        <f>IF($B758="",,SUMIFS(PerHeadcount[Month 28],PerHeadcount[exp_item],$H758,PerHeadcount[company_name],$B758)*AM233)</f>
        <v>0</v>
      </c>
      <c r="AN758" s="652">
        <f>IF($B758="",,SUMIFS(PerHeadcount[Month 29],PerHeadcount[exp_item],$H758,PerHeadcount[company_name],$B758)*AN233)</f>
        <v>0</v>
      </c>
      <c r="AO758" s="652">
        <f>IF($B758="",,SUMIFS(PerHeadcount[Month 30],PerHeadcount[exp_item],$H758,PerHeadcount[company_name],$B758)*AO233)</f>
        <v>0</v>
      </c>
      <c r="AP758" s="652">
        <f>IF($B758="",,SUMIFS(PerHeadcount[Month 31],PerHeadcount[exp_item],$H758,PerHeadcount[company_name],$B758)*AP233)</f>
        <v>0</v>
      </c>
      <c r="AQ758" s="652">
        <f>IF($B758="",,SUMIFS(PerHeadcount[Month 32],PerHeadcount[exp_item],$H758,PerHeadcount[company_name],$B758)*AQ233)</f>
        <v>0</v>
      </c>
      <c r="AR758" s="652">
        <f>IF($B758="",,SUMIFS(PerHeadcount[Month 33],PerHeadcount[exp_item],$H758,PerHeadcount[company_name],$B758)*AR233)</f>
        <v>0</v>
      </c>
      <c r="AS758" s="652">
        <f>IF($B758="",,SUMIFS(PerHeadcount[Month 34],PerHeadcount[exp_item],$H758,PerHeadcount[company_name],$B758)*AS233)</f>
        <v>0</v>
      </c>
      <c r="AT758" s="652">
        <f>IF($B758="",,SUMIFS(PerHeadcount[Month 35],PerHeadcount[exp_item],$H758,PerHeadcount[company_name],$B758)*AT233)</f>
        <v>0</v>
      </c>
      <c r="AU758" s="652">
        <f>IF($B758="",,SUMIFS(PerHeadcount[Month 36],PerHeadcount[exp_item],$H758,PerHeadcount[company_name],$B758)*AU233)</f>
        <v>0</v>
      </c>
    </row>
    <row r="759" spans="2:47" x14ac:dyDescent="0.35">
      <c r="B759" t="str">
        <f t="shared" si="434"/>
        <v/>
      </c>
      <c r="C759" t="str">
        <f t="shared" si="434"/>
        <v/>
      </c>
      <c r="D759" t="str">
        <f t="shared" si="434"/>
        <v/>
      </c>
      <c r="E759" t="str">
        <f t="shared" si="434"/>
        <v/>
      </c>
      <c r="F759" t="str">
        <f t="shared" si="434"/>
        <v/>
      </c>
      <c r="G759" t="str">
        <f t="shared" si="434"/>
        <v/>
      </c>
      <c r="H759" t="str">
        <f t="shared" si="429"/>
        <v/>
      </c>
      <c r="J759" t="str">
        <f>IF($H759="","",IF(VLOOKUP(H759,ExpItems[],2,0),H759&amp;" - "&amp;INDEX(DivisionMapping[category_code],MATCH($D759&amp;$C759,DivisionMapping[dept_bu],0)),H759))</f>
        <v/>
      </c>
      <c r="K759" t="str">
        <f t="shared" si="430"/>
        <v/>
      </c>
      <c r="L759" s="652">
        <f>IF($B759="",,SUMIFS(PerHeadcount[Month 1],PerHeadcount[exp_item],$H759,PerHeadcount[company_name],$B759)*L234)</f>
        <v>0</v>
      </c>
      <c r="M759" s="652">
        <f>IF($B759="",,SUMIFS(PerHeadcount[Month 2],PerHeadcount[exp_item],$H759,PerHeadcount[company_name],$B759)*M234)</f>
        <v>0</v>
      </c>
      <c r="N759" s="652">
        <f>IF($B759="",,SUMIFS(PerHeadcount[Month 3],PerHeadcount[exp_item],$H759,PerHeadcount[company_name],$B759)*N234)</f>
        <v>0</v>
      </c>
      <c r="O759" s="652">
        <f>IF($B759="",,SUMIFS(PerHeadcount[Month 4],PerHeadcount[exp_item],$H759,PerHeadcount[company_name],$B759)*O234)</f>
        <v>0</v>
      </c>
      <c r="P759" s="652">
        <f>IF($B759="",,SUMIFS(PerHeadcount[Month 5],PerHeadcount[exp_item],$H759,PerHeadcount[company_name],$B759)*P234)</f>
        <v>0</v>
      </c>
      <c r="Q759" s="652">
        <f>IF($B759="",,SUMIFS(PerHeadcount[Month 6],PerHeadcount[exp_item],$H759,PerHeadcount[company_name],$B759)*Q234)</f>
        <v>0</v>
      </c>
      <c r="R759" s="652">
        <f>IF($B759="",,SUMIFS(PerHeadcount[Month 7],PerHeadcount[exp_item],$H759,PerHeadcount[company_name],$B759)*R234)</f>
        <v>0</v>
      </c>
      <c r="S759" s="652">
        <f>IF($B759="",,SUMIFS(PerHeadcount[Month 8],PerHeadcount[exp_item],$H759,PerHeadcount[company_name],$B759)*S234)</f>
        <v>0</v>
      </c>
      <c r="T759" s="652">
        <f>IF($B759="",,SUMIFS(PerHeadcount[Month 9],PerHeadcount[exp_item],$H759,PerHeadcount[company_name],$B759)*T234)</f>
        <v>0</v>
      </c>
      <c r="U759" s="652">
        <f>IF($B759="",,SUMIFS(PerHeadcount[Month 10],PerHeadcount[exp_item],$H759,PerHeadcount[company_name],$B759)*U234)</f>
        <v>0</v>
      </c>
      <c r="V759" s="652">
        <f>IF($B759="",,SUMIFS(PerHeadcount[Month 11],PerHeadcount[exp_item],$H759,PerHeadcount[company_name],$B759)*V234)</f>
        <v>0</v>
      </c>
      <c r="W759" s="652">
        <f>IF($B759="",,SUMIFS(PerHeadcount[Month 12],PerHeadcount[exp_item],$H759,PerHeadcount[company_name],$B759)*W234)</f>
        <v>0</v>
      </c>
      <c r="X759" s="652">
        <f>IF($B759="",,SUMIFS(PerHeadcount[Month 13],PerHeadcount[exp_item],$H759,PerHeadcount[company_name],$B759)*X234)</f>
        <v>0</v>
      </c>
      <c r="Y759" s="652">
        <f>IF($B759="",,SUMIFS(PerHeadcount[Month 14],PerHeadcount[exp_item],$H759,PerHeadcount[company_name],$B759)*Y234)</f>
        <v>0</v>
      </c>
      <c r="Z759" s="652">
        <f>IF($B759="",,SUMIFS(PerHeadcount[Month 15],PerHeadcount[exp_item],$H759,PerHeadcount[company_name],$B759)*Z234)</f>
        <v>0</v>
      </c>
      <c r="AA759" s="652">
        <f>IF($B759="",,SUMIFS(PerHeadcount[Month 16],PerHeadcount[exp_item],$H759,PerHeadcount[company_name],$B759)*AA234)</f>
        <v>0</v>
      </c>
      <c r="AB759" s="652">
        <f>IF($B759="",,SUMIFS(PerHeadcount[Month 17],PerHeadcount[exp_item],$H759,PerHeadcount[company_name],$B759)*AB234)</f>
        <v>0</v>
      </c>
      <c r="AC759" s="652">
        <f>IF($B759="",,SUMIFS(PerHeadcount[Month 18],PerHeadcount[exp_item],$H759,PerHeadcount[company_name],$B759)*AC234)</f>
        <v>0</v>
      </c>
      <c r="AD759" s="652">
        <f>IF($B759="",,SUMIFS(PerHeadcount[Month 19],PerHeadcount[exp_item],$H759,PerHeadcount[company_name],$B759)*AD234)</f>
        <v>0</v>
      </c>
      <c r="AE759" s="652">
        <f>IF($B759="",,SUMIFS(PerHeadcount[Month 20],PerHeadcount[exp_item],$H759,PerHeadcount[company_name],$B759)*AE234)</f>
        <v>0</v>
      </c>
      <c r="AF759" s="652">
        <f>IF($B759="",,SUMIFS(PerHeadcount[Month 21],PerHeadcount[exp_item],$H759,PerHeadcount[company_name],$B759)*AF234)</f>
        <v>0</v>
      </c>
      <c r="AG759" s="652">
        <f>IF($B759="",,SUMIFS(PerHeadcount[Month 22],PerHeadcount[exp_item],$H759,PerHeadcount[company_name],$B759)*AG234)</f>
        <v>0</v>
      </c>
      <c r="AH759" s="652">
        <f>IF($B759="",,SUMIFS(PerHeadcount[Month 23],PerHeadcount[exp_item],$H759,PerHeadcount[company_name],$B759)*AH234)</f>
        <v>0</v>
      </c>
      <c r="AI759" s="652">
        <f>IF($B759="",,SUMIFS(PerHeadcount[Month 24],PerHeadcount[exp_item],$H759,PerHeadcount[company_name],$B759)*AI234)</f>
        <v>0</v>
      </c>
      <c r="AJ759" s="652">
        <f>IF($B759="",,SUMIFS(PerHeadcount[Month 25],PerHeadcount[exp_item],$H759,PerHeadcount[company_name],$B759)*AJ234)</f>
        <v>0</v>
      </c>
      <c r="AK759" s="652">
        <f>IF($B759="",,SUMIFS(PerHeadcount[Month 26],PerHeadcount[exp_item],$H759,PerHeadcount[company_name],$B759)*AK234)</f>
        <v>0</v>
      </c>
      <c r="AL759" s="652">
        <f>IF($B759="",,SUMIFS(PerHeadcount[Month 27],PerHeadcount[exp_item],$H759,PerHeadcount[company_name],$B759)*AL234)</f>
        <v>0</v>
      </c>
      <c r="AM759" s="652">
        <f>IF($B759="",,SUMIFS(PerHeadcount[Month 28],PerHeadcount[exp_item],$H759,PerHeadcount[company_name],$B759)*AM234)</f>
        <v>0</v>
      </c>
      <c r="AN759" s="652">
        <f>IF($B759="",,SUMIFS(PerHeadcount[Month 29],PerHeadcount[exp_item],$H759,PerHeadcount[company_name],$B759)*AN234)</f>
        <v>0</v>
      </c>
      <c r="AO759" s="652">
        <f>IF($B759="",,SUMIFS(PerHeadcount[Month 30],PerHeadcount[exp_item],$H759,PerHeadcount[company_name],$B759)*AO234)</f>
        <v>0</v>
      </c>
      <c r="AP759" s="652">
        <f>IF($B759="",,SUMIFS(PerHeadcount[Month 31],PerHeadcount[exp_item],$H759,PerHeadcount[company_name],$B759)*AP234)</f>
        <v>0</v>
      </c>
      <c r="AQ759" s="652">
        <f>IF($B759="",,SUMIFS(PerHeadcount[Month 32],PerHeadcount[exp_item],$H759,PerHeadcount[company_name],$B759)*AQ234)</f>
        <v>0</v>
      </c>
      <c r="AR759" s="652">
        <f>IF($B759="",,SUMIFS(PerHeadcount[Month 33],PerHeadcount[exp_item],$H759,PerHeadcount[company_name],$B759)*AR234)</f>
        <v>0</v>
      </c>
      <c r="AS759" s="652">
        <f>IF($B759="",,SUMIFS(PerHeadcount[Month 34],PerHeadcount[exp_item],$H759,PerHeadcount[company_name],$B759)*AS234)</f>
        <v>0</v>
      </c>
      <c r="AT759" s="652">
        <f>IF($B759="",,SUMIFS(PerHeadcount[Month 35],PerHeadcount[exp_item],$H759,PerHeadcount[company_name],$B759)*AT234)</f>
        <v>0</v>
      </c>
      <c r="AU759" s="652">
        <f>IF($B759="",,SUMIFS(PerHeadcount[Month 36],PerHeadcount[exp_item],$H759,PerHeadcount[company_name],$B759)*AU234)</f>
        <v>0</v>
      </c>
    </row>
    <row r="760" spans="2:47" x14ac:dyDescent="0.35">
      <c r="B760" t="str">
        <f t="shared" si="434"/>
        <v/>
      </c>
      <c r="C760" t="str">
        <f t="shared" si="434"/>
        <v/>
      </c>
      <c r="D760" t="str">
        <f t="shared" si="434"/>
        <v/>
      </c>
      <c r="E760" t="str">
        <f t="shared" si="434"/>
        <v/>
      </c>
      <c r="F760" t="str">
        <f t="shared" si="434"/>
        <v/>
      </c>
      <c r="G760" t="str">
        <f t="shared" si="434"/>
        <v/>
      </c>
      <c r="H760" t="str">
        <f t="shared" si="429"/>
        <v/>
      </c>
      <c r="J760" t="str">
        <f>IF($H760="","",IF(VLOOKUP(H760,ExpItems[],2,0),H760&amp;" - "&amp;INDEX(DivisionMapping[category_code],MATCH($D760&amp;$C760,DivisionMapping[dept_bu],0)),H760))</f>
        <v/>
      </c>
      <c r="K760" t="str">
        <f t="shared" si="430"/>
        <v/>
      </c>
      <c r="L760" s="652">
        <f>IF($B760="",,SUMIFS(PerHeadcount[Month 1],PerHeadcount[exp_item],$H760,PerHeadcount[company_name],$B760)*L235)</f>
        <v>0</v>
      </c>
      <c r="M760" s="652">
        <f>IF($B760="",,SUMIFS(PerHeadcount[Month 2],PerHeadcount[exp_item],$H760,PerHeadcount[company_name],$B760)*M235)</f>
        <v>0</v>
      </c>
      <c r="N760" s="652">
        <f>IF($B760="",,SUMIFS(PerHeadcount[Month 3],PerHeadcount[exp_item],$H760,PerHeadcount[company_name],$B760)*N235)</f>
        <v>0</v>
      </c>
      <c r="O760" s="652">
        <f>IF($B760="",,SUMIFS(PerHeadcount[Month 4],PerHeadcount[exp_item],$H760,PerHeadcount[company_name],$B760)*O235)</f>
        <v>0</v>
      </c>
      <c r="P760" s="652">
        <f>IF($B760="",,SUMIFS(PerHeadcount[Month 5],PerHeadcount[exp_item],$H760,PerHeadcount[company_name],$B760)*P235)</f>
        <v>0</v>
      </c>
      <c r="Q760" s="652">
        <f>IF($B760="",,SUMIFS(PerHeadcount[Month 6],PerHeadcount[exp_item],$H760,PerHeadcount[company_name],$B760)*Q235)</f>
        <v>0</v>
      </c>
      <c r="R760" s="652">
        <f>IF($B760="",,SUMIFS(PerHeadcount[Month 7],PerHeadcount[exp_item],$H760,PerHeadcount[company_name],$B760)*R235)</f>
        <v>0</v>
      </c>
      <c r="S760" s="652">
        <f>IF($B760="",,SUMIFS(PerHeadcount[Month 8],PerHeadcount[exp_item],$H760,PerHeadcount[company_name],$B760)*S235)</f>
        <v>0</v>
      </c>
      <c r="T760" s="652">
        <f>IF($B760="",,SUMIFS(PerHeadcount[Month 9],PerHeadcount[exp_item],$H760,PerHeadcount[company_name],$B760)*T235)</f>
        <v>0</v>
      </c>
      <c r="U760" s="652">
        <f>IF($B760="",,SUMIFS(PerHeadcount[Month 10],PerHeadcount[exp_item],$H760,PerHeadcount[company_name],$B760)*U235)</f>
        <v>0</v>
      </c>
      <c r="V760" s="652">
        <f>IF($B760="",,SUMIFS(PerHeadcount[Month 11],PerHeadcount[exp_item],$H760,PerHeadcount[company_name],$B760)*V235)</f>
        <v>0</v>
      </c>
      <c r="W760" s="652">
        <f>IF($B760="",,SUMIFS(PerHeadcount[Month 12],PerHeadcount[exp_item],$H760,PerHeadcount[company_name],$B760)*W235)</f>
        <v>0</v>
      </c>
      <c r="X760" s="652">
        <f>IF($B760="",,SUMIFS(PerHeadcount[Month 13],PerHeadcount[exp_item],$H760,PerHeadcount[company_name],$B760)*X235)</f>
        <v>0</v>
      </c>
      <c r="Y760" s="652">
        <f>IF($B760="",,SUMIFS(PerHeadcount[Month 14],PerHeadcount[exp_item],$H760,PerHeadcount[company_name],$B760)*Y235)</f>
        <v>0</v>
      </c>
      <c r="Z760" s="652">
        <f>IF($B760="",,SUMIFS(PerHeadcount[Month 15],PerHeadcount[exp_item],$H760,PerHeadcount[company_name],$B760)*Z235)</f>
        <v>0</v>
      </c>
      <c r="AA760" s="652">
        <f>IF($B760="",,SUMIFS(PerHeadcount[Month 16],PerHeadcount[exp_item],$H760,PerHeadcount[company_name],$B760)*AA235)</f>
        <v>0</v>
      </c>
      <c r="AB760" s="652">
        <f>IF($B760="",,SUMIFS(PerHeadcount[Month 17],PerHeadcount[exp_item],$H760,PerHeadcount[company_name],$B760)*AB235)</f>
        <v>0</v>
      </c>
      <c r="AC760" s="652">
        <f>IF($B760="",,SUMIFS(PerHeadcount[Month 18],PerHeadcount[exp_item],$H760,PerHeadcount[company_name],$B760)*AC235)</f>
        <v>0</v>
      </c>
      <c r="AD760" s="652">
        <f>IF($B760="",,SUMIFS(PerHeadcount[Month 19],PerHeadcount[exp_item],$H760,PerHeadcount[company_name],$B760)*AD235)</f>
        <v>0</v>
      </c>
      <c r="AE760" s="652">
        <f>IF($B760="",,SUMIFS(PerHeadcount[Month 20],PerHeadcount[exp_item],$H760,PerHeadcount[company_name],$B760)*AE235)</f>
        <v>0</v>
      </c>
      <c r="AF760" s="652">
        <f>IF($B760="",,SUMIFS(PerHeadcount[Month 21],PerHeadcount[exp_item],$H760,PerHeadcount[company_name],$B760)*AF235)</f>
        <v>0</v>
      </c>
      <c r="AG760" s="652">
        <f>IF($B760="",,SUMIFS(PerHeadcount[Month 22],PerHeadcount[exp_item],$H760,PerHeadcount[company_name],$B760)*AG235)</f>
        <v>0</v>
      </c>
      <c r="AH760" s="652">
        <f>IF($B760="",,SUMIFS(PerHeadcount[Month 23],PerHeadcount[exp_item],$H760,PerHeadcount[company_name],$B760)*AH235)</f>
        <v>0</v>
      </c>
      <c r="AI760" s="652">
        <f>IF($B760="",,SUMIFS(PerHeadcount[Month 24],PerHeadcount[exp_item],$H760,PerHeadcount[company_name],$B760)*AI235)</f>
        <v>0</v>
      </c>
      <c r="AJ760" s="652">
        <f>IF($B760="",,SUMIFS(PerHeadcount[Month 25],PerHeadcount[exp_item],$H760,PerHeadcount[company_name],$B760)*AJ235)</f>
        <v>0</v>
      </c>
      <c r="AK760" s="652">
        <f>IF($B760="",,SUMIFS(PerHeadcount[Month 26],PerHeadcount[exp_item],$H760,PerHeadcount[company_name],$B760)*AK235)</f>
        <v>0</v>
      </c>
      <c r="AL760" s="652">
        <f>IF($B760="",,SUMIFS(PerHeadcount[Month 27],PerHeadcount[exp_item],$H760,PerHeadcount[company_name],$B760)*AL235)</f>
        <v>0</v>
      </c>
      <c r="AM760" s="652">
        <f>IF($B760="",,SUMIFS(PerHeadcount[Month 28],PerHeadcount[exp_item],$H760,PerHeadcount[company_name],$B760)*AM235)</f>
        <v>0</v>
      </c>
      <c r="AN760" s="652">
        <f>IF($B760="",,SUMIFS(PerHeadcount[Month 29],PerHeadcount[exp_item],$H760,PerHeadcount[company_name],$B760)*AN235)</f>
        <v>0</v>
      </c>
      <c r="AO760" s="652">
        <f>IF($B760="",,SUMIFS(PerHeadcount[Month 30],PerHeadcount[exp_item],$H760,PerHeadcount[company_name],$B760)*AO235)</f>
        <v>0</v>
      </c>
      <c r="AP760" s="652">
        <f>IF($B760="",,SUMIFS(PerHeadcount[Month 31],PerHeadcount[exp_item],$H760,PerHeadcount[company_name],$B760)*AP235)</f>
        <v>0</v>
      </c>
      <c r="AQ760" s="652">
        <f>IF($B760="",,SUMIFS(PerHeadcount[Month 32],PerHeadcount[exp_item],$H760,PerHeadcount[company_name],$B760)*AQ235)</f>
        <v>0</v>
      </c>
      <c r="AR760" s="652">
        <f>IF($B760="",,SUMIFS(PerHeadcount[Month 33],PerHeadcount[exp_item],$H760,PerHeadcount[company_name],$B760)*AR235)</f>
        <v>0</v>
      </c>
      <c r="AS760" s="652">
        <f>IF($B760="",,SUMIFS(PerHeadcount[Month 34],PerHeadcount[exp_item],$H760,PerHeadcount[company_name],$B760)*AS235)</f>
        <v>0</v>
      </c>
      <c r="AT760" s="652">
        <f>IF($B760="",,SUMIFS(PerHeadcount[Month 35],PerHeadcount[exp_item],$H760,PerHeadcount[company_name],$B760)*AT235)</f>
        <v>0</v>
      </c>
      <c r="AU760" s="652">
        <f>IF($B760="",,SUMIFS(PerHeadcount[Month 36],PerHeadcount[exp_item],$H760,PerHeadcount[company_name],$B760)*AU235)</f>
        <v>0</v>
      </c>
    </row>
    <row r="761" spans="2:47" x14ac:dyDescent="0.35">
      <c r="B761" t="str">
        <f t="shared" ref="B761:G770" si="435">IF(B656="","",B656)</f>
        <v/>
      </c>
      <c r="C761" t="str">
        <f t="shared" si="435"/>
        <v/>
      </c>
      <c r="D761" t="str">
        <f t="shared" si="435"/>
        <v/>
      </c>
      <c r="E761" t="str">
        <f t="shared" si="435"/>
        <v/>
      </c>
      <c r="F761" t="str">
        <f t="shared" si="435"/>
        <v/>
      </c>
      <c r="G761" t="str">
        <f t="shared" si="435"/>
        <v/>
      </c>
      <c r="H761" t="str">
        <f t="shared" si="429"/>
        <v/>
      </c>
      <c r="J761" t="str">
        <f>IF($H761="","",IF(VLOOKUP(H761,ExpItems[],2,0),H761&amp;" - "&amp;INDEX(DivisionMapping[category_code],MATCH($D761&amp;$C761,DivisionMapping[dept_bu],0)),H761))</f>
        <v/>
      </c>
      <c r="K761" t="str">
        <f t="shared" si="430"/>
        <v/>
      </c>
      <c r="L761" s="652">
        <f>IF($B761="",,SUMIFS(PerHeadcount[Month 1],PerHeadcount[exp_item],$H761,PerHeadcount[company_name],$B761)*L236)</f>
        <v>0</v>
      </c>
      <c r="M761" s="652">
        <f>IF($B761="",,SUMIFS(PerHeadcount[Month 2],PerHeadcount[exp_item],$H761,PerHeadcount[company_name],$B761)*M236)</f>
        <v>0</v>
      </c>
      <c r="N761" s="652">
        <f>IF($B761="",,SUMIFS(PerHeadcount[Month 3],PerHeadcount[exp_item],$H761,PerHeadcount[company_name],$B761)*N236)</f>
        <v>0</v>
      </c>
      <c r="O761" s="652">
        <f>IF($B761="",,SUMIFS(PerHeadcount[Month 4],PerHeadcount[exp_item],$H761,PerHeadcount[company_name],$B761)*O236)</f>
        <v>0</v>
      </c>
      <c r="P761" s="652">
        <f>IF($B761="",,SUMIFS(PerHeadcount[Month 5],PerHeadcount[exp_item],$H761,PerHeadcount[company_name],$B761)*P236)</f>
        <v>0</v>
      </c>
      <c r="Q761" s="652">
        <f>IF($B761="",,SUMIFS(PerHeadcount[Month 6],PerHeadcount[exp_item],$H761,PerHeadcount[company_name],$B761)*Q236)</f>
        <v>0</v>
      </c>
      <c r="R761" s="652">
        <f>IF($B761="",,SUMIFS(PerHeadcount[Month 7],PerHeadcount[exp_item],$H761,PerHeadcount[company_name],$B761)*R236)</f>
        <v>0</v>
      </c>
      <c r="S761" s="652">
        <f>IF($B761="",,SUMIFS(PerHeadcount[Month 8],PerHeadcount[exp_item],$H761,PerHeadcount[company_name],$B761)*S236)</f>
        <v>0</v>
      </c>
      <c r="T761" s="652">
        <f>IF($B761="",,SUMIFS(PerHeadcount[Month 9],PerHeadcount[exp_item],$H761,PerHeadcount[company_name],$B761)*T236)</f>
        <v>0</v>
      </c>
      <c r="U761" s="652">
        <f>IF($B761="",,SUMIFS(PerHeadcount[Month 10],PerHeadcount[exp_item],$H761,PerHeadcount[company_name],$B761)*U236)</f>
        <v>0</v>
      </c>
      <c r="V761" s="652">
        <f>IF($B761="",,SUMIFS(PerHeadcount[Month 11],PerHeadcount[exp_item],$H761,PerHeadcount[company_name],$B761)*V236)</f>
        <v>0</v>
      </c>
      <c r="W761" s="652">
        <f>IF($B761="",,SUMIFS(PerHeadcount[Month 12],PerHeadcount[exp_item],$H761,PerHeadcount[company_name],$B761)*W236)</f>
        <v>0</v>
      </c>
      <c r="X761" s="652">
        <f>IF($B761="",,SUMIFS(PerHeadcount[Month 13],PerHeadcount[exp_item],$H761,PerHeadcount[company_name],$B761)*X236)</f>
        <v>0</v>
      </c>
      <c r="Y761" s="652">
        <f>IF($B761="",,SUMIFS(PerHeadcount[Month 14],PerHeadcount[exp_item],$H761,PerHeadcount[company_name],$B761)*Y236)</f>
        <v>0</v>
      </c>
      <c r="Z761" s="652">
        <f>IF($B761="",,SUMIFS(PerHeadcount[Month 15],PerHeadcount[exp_item],$H761,PerHeadcount[company_name],$B761)*Z236)</f>
        <v>0</v>
      </c>
      <c r="AA761" s="652">
        <f>IF($B761="",,SUMIFS(PerHeadcount[Month 16],PerHeadcount[exp_item],$H761,PerHeadcount[company_name],$B761)*AA236)</f>
        <v>0</v>
      </c>
      <c r="AB761" s="652">
        <f>IF($B761="",,SUMIFS(PerHeadcount[Month 17],PerHeadcount[exp_item],$H761,PerHeadcount[company_name],$B761)*AB236)</f>
        <v>0</v>
      </c>
      <c r="AC761" s="652">
        <f>IF($B761="",,SUMIFS(PerHeadcount[Month 18],PerHeadcount[exp_item],$H761,PerHeadcount[company_name],$B761)*AC236)</f>
        <v>0</v>
      </c>
      <c r="AD761" s="652">
        <f>IF($B761="",,SUMIFS(PerHeadcount[Month 19],PerHeadcount[exp_item],$H761,PerHeadcount[company_name],$B761)*AD236)</f>
        <v>0</v>
      </c>
      <c r="AE761" s="652">
        <f>IF($B761="",,SUMIFS(PerHeadcount[Month 20],PerHeadcount[exp_item],$H761,PerHeadcount[company_name],$B761)*AE236)</f>
        <v>0</v>
      </c>
      <c r="AF761" s="652">
        <f>IF($B761="",,SUMIFS(PerHeadcount[Month 21],PerHeadcount[exp_item],$H761,PerHeadcount[company_name],$B761)*AF236)</f>
        <v>0</v>
      </c>
      <c r="AG761" s="652">
        <f>IF($B761="",,SUMIFS(PerHeadcount[Month 22],PerHeadcount[exp_item],$H761,PerHeadcount[company_name],$B761)*AG236)</f>
        <v>0</v>
      </c>
      <c r="AH761" s="652">
        <f>IF($B761="",,SUMIFS(PerHeadcount[Month 23],PerHeadcount[exp_item],$H761,PerHeadcount[company_name],$B761)*AH236)</f>
        <v>0</v>
      </c>
      <c r="AI761" s="652">
        <f>IF($B761="",,SUMIFS(PerHeadcount[Month 24],PerHeadcount[exp_item],$H761,PerHeadcount[company_name],$B761)*AI236)</f>
        <v>0</v>
      </c>
      <c r="AJ761" s="652">
        <f>IF($B761="",,SUMIFS(PerHeadcount[Month 25],PerHeadcount[exp_item],$H761,PerHeadcount[company_name],$B761)*AJ236)</f>
        <v>0</v>
      </c>
      <c r="AK761" s="652">
        <f>IF($B761="",,SUMIFS(PerHeadcount[Month 26],PerHeadcount[exp_item],$H761,PerHeadcount[company_name],$B761)*AK236)</f>
        <v>0</v>
      </c>
      <c r="AL761" s="652">
        <f>IF($B761="",,SUMIFS(PerHeadcount[Month 27],PerHeadcount[exp_item],$H761,PerHeadcount[company_name],$B761)*AL236)</f>
        <v>0</v>
      </c>
      <c r="AM761" s="652">
        <f>IF($B761="",,SUMIFS(PerHeadcount[Month 28],PerHeadcount[exp_item],$H761,PerHeadcount[company_name],$B761)*AM236)</f>
        <v>0</v>
      </c>
      <c r="AN761" s="652">
        <f>IF($B761="",,SUMIFS(PerHeadcount[Month 29],PerHeadcount[exp_item],$H761,PerHeadcount[company_name],$B761)*AN236)</f>
        <v>0</v>
      </c>
      <c r="AO761" s="652">
        <f>IF($B761="",,SUMIFS(PerHeadcount[Month 30],PerHeadcount[exp_item],$H761,PerHeadcount[company_name],$B761)*AO236)</f>
        <v>0</v>
      </c>
      <c r="AP761" s="652">
        <f>IF($B761="",,SUMIFS(PerHeadcount[Month 31],PerHeadcount[exp_item],$H761,PerHeadcount[company_name],$B761)*AP236)</f>
        <v>0</v>
      </c>
      <c r="AQ761" s="652">
        <f>IF($B761="",,SUMIFS(PerHeadcount[Month 32],PerHeadcount[exp_item],$H761,PerHeadcount[company_name],$B761)*AQ236)</f>
        <v>0</v>
      </c>
      <c r="AR761" s="652">
        <f>IF($B761="",,SUMIFS(PerHeadcount[Month 33],PerHeadcount[exp_item],$H761,PerHeadcount[company_name],$B761)*AR236)</f>
        <v>0</v>
      </c>
      <c r="AS761" s="652">
        <f>IF($B761="",,SUMIFS(PerHeadcount[Month 34],PerHeadcount[exp_item],$H761,PerHeadcount[company_name],$B761)*AS236)</f>
        <v>0</v>
      </c>
      <c r="AT761" s="652">
        <f>IF($B761="",,SUMIFS(PerHeadcount[Month 35],PerHeadcount[exp_item],$H761,PerHeadcount[company_name],$B761)*AT236)</f>
        <v>0</v>
      </c>
      <c r="AU761" s="652">
        <f>IF($B761="",,SUMIFS(PerHeadcount[Month 36],PerHeadcount[exp_item],$H761,PerHeadcount[company_name],$B761)*AU236)</f>
        <v>0</v>
      </c>
    </row>
    <row r="762" spans="2:47" x14ac:dyDescent="0.35">
      <c r="B762" t="str">
        <f t="shared" si="435"/>
        <v/>
      </c>
      <c r="C762" t="str">
        <f t="shared" si="435"/>
        <v/>
      </c>
      <c r="D762" t="str">
        <f t="shared" si="435"/>
        <v/>
      </c>
      <c r="E762" t="str">
        <f t="shared" si="435"/>
        <v/>
      </c>
      <c r="F762" t="str">
        <f t="shared" si="435"/>
        <v/>
      </c>
      <c r="G762" t="str">
        <f t="shared" si="435"/>
        <v/>
      </c>
      <c r="H762" t="str">
        <f t="shared" si="429"/>
        <v/>
      </c>
      <c r="J762" t="str">
        <f>IF($H762="","",IF(VLOOKUP(H762,ExpItems[],2,0),H762&amp;" - "&amp;INDEX(DivisionMapping[category_code],MATCH($D762&amp;$C762,DivisionMapping[dept_bu],0)),H762))</f>
        <v/>
      </c>
      <c r="K762" t="str">
        <f t="shared" si="430"/>
        <v/>
      </c>
      <c r="L762" s="652">
        <f>IF($B762="",,SUMIFS(PerHeadcount[Month 1],PerHeadcount[exp_item],$H762,PerHeadcount[company_name],$B762)*L237)</f>
        <v>0</v>
      </c>
      <c r="M762" s="652">
        <f>IF($B762="",,SUMIFS(PerHeadcount[Month 2],PerHeadcount[exp_item],$H762,PerHeadcount[company_name],$B762)*M237)</f>
        <v>0</v>
      </c>
      <c r="N762" s="652">
        <f>IF($B762="",,SUMIFS(PerHeadcount[Month 3],PerHeadcount[exp_item],$H762,PerHeadcount[company_name],$B762)*N237)</f>
        <v>0</v>
      </c>
      <c r="O762" s="652">
        <f>IF($B762="",,SUMIFS(PerHeadcount[Month 4],PerHeadcount[exp_item],$H762,PerHeadcount[company_name],$B762)*O237)</f>
        <v>0</v>
      </c>
      <c r="P762" s="652">
        <f>IF($B762="",,SUMIFS(PerHeadcount[Month 5],PerHeadcount[exp_item],$H762,PerHeadcount[company_name],$B762)*P237)</f>
        <v>0</v>
      </c>
      <c r="Q762" s="652">
        <f>IF($B762="",,SUMIFS(PerHeadcount[Month 6],PerHeadcount[exp_item],$H762,PerHeadcount[company_name],$B762)*Q237)</f>
        <v>0</v>
      </c>
      <c r="R762" s="652">
        <f>IF($B762="",,SUMIFS(PerHeadcount[Month 7],PerHeadcount[exp_item],$H762,PerHeadcount[company_name],$B762)*R237)</f>
        <v>0</v>
      </c>
      <c r="S762" s="652">
        <f>IF($B762="",,SUMIFS(PerHeadcount[Month 8],PerHeadcount[exp_item],$H762,PerHeadcount[company_name],$B762)*S237)</f>
        <v>0</v>
      </c>
      <c r="T762" s="652">
        <f>IF($B762="",,SUMIFS(PerHeadcount[Month 9],PerHeadcount[exp_item],$H762,PerHeadcount[company_name],$B762)*T237)</f>
        <v>0</v>
      </c>
      <c r="U762" s="652">
        <f>IF($B762="",,SUMIFS(PerHeadcount[Month 10],PerHeadcount[exp_item],$H762,PerHeadcount[company_name],$B762)*U237)</f>
        <v>0</v>
      </c>
      <c r="V762" s="652">
        <f>IF($B762="",,SUMIFS(PerHeadcount[Month 11],PerHeadcount[exp_item],$H762,PerHeadcount[company_name],$B762)*V237)</f>
        <v>0</v>
      </c>
      <c r="W762" s="652">
        <f>IF($B762="",,SUMIFS(PerHeadcount[Month 12],PerHeadcount[exp_item],$H762,PerHeadcount[company_name],$B762)*W237)</f>
        <v>0</v>
      </c>
      <c r="X762" s="652">
        <f>IF($B762="",,SUMIFS(PerHeadcount[Month 13],PerHeadcount[exp_item],$H762,PerHeadcount[company_name],$B762)*X237)</f>
        <v>0</v>
      </c>
      <c r="Y762" s="652">
        <f>IF($B762="",,SUMIFS(PerHeadcount[Month 14],PerHeadcount[exp_item],$H762,PerHeadcount[company_name],$B762)*Y237)</f>
        <v>0</v>
      </c>
      <c r="Z762" s="652">
        <f>IF($B762="",,SUMIFS(PerHeadcount[Month 15],PerHeadcount[exp_item],$H762,PerHeadcount[company_name],$B762)*Z237)</f>
        <v>0</v>
      </c>
      <c r="AA762" s="652">
        <f>IF($B762="",,SUMIFS(PerHeadcount[Month 16],PerHeadcount[exp_item],$H762,PerHeadcount[company_name],$B762)*AA237)</f>
        <v>0</v>
      </c>
      <c r="AB762" s="652">
        <f>IF($B762="",,SUMIFS(PerHeadcount[Month 17],PerHeadcount[exp_item],$H762,PerHeadcount[company_name],$B762)*AB237)</f>
        <v>0</v>
      </c>
      <c r="AC762" s="652">
        <f>IF($B762="",,SUMIFS(PerHeadcount[Month 18],PerHeadcount[exp_item],$H762,PerHeadcount[company_name],$B762)*AC237)</f>
        <v>0</v>
      </c>
      <c r="AD762" s="652">
        <f>IF($B762="",,SUMIFS(PerHeadcount[Month 19],PerHeadcount[exp_item],$H762,PerHeadcount[company_name],$B762)*AD237)</f>
        <v>0</v>
      </c>
      <c r="AE762" s="652">
        <f>IF($B762="",,SUMIFS(PerHeadcount[Month 20],PerHeadcount[exp_item],$H762,PerHeadcount[company_name],$B762)*AE237)</f>
        <v>0</v>
      </c>
      <c r="AF762" s="652">
        <f>IF($B762="",,SUMIFS(PerHeadcount[Month 21],PerHeadcount[exp_item],$H762,PerHeadcount[company_name],$B762)*AF237)</f>
        <v>0</v>
      </c>
      <c r="AG762" s="652">
        <f>IF($B762="",,SUMIFS(PerHeadcount[Month 22],PerHeadcount[exp_item],$H762,PerHeadcount[company_name],$B762)*AG237)</f>
        <v>0</v>
      </c>
      <c r="AH762" s="652">
        <f>IF($B762="",,SUMIFS(PerHeadcount[Month 23],PerHeadcount[exp_item],$H762,PerHeadcount[company_name],$B762)*AH237)</f>
        <v>0</v>
      </c>
      <c r="AI762" s="652">
        <f>IF($B762="",,SUMIFS(PerHeadcount[Month 24],PerHeadcount[exp_item],$H762,PerHeadcount[company_name],$B762)*AI237)</f>
        <v>0</v>
      </c>
      <c r="AJ762" s="652">
        <f>IF($B762="",,SUMIFS(PerHeadcount[Month 25],PerHeadcount[exp_item],$H762,PerHeadcount[company_name],$B762)*AJ237)</f>
        <v>0</v>
      </c>
      <c r="AK762" s="652">
        <f>IF($B762="",,SUMIFS(PerHeadcount[Month 26],PerHeadcount[exp_item],$H762,PerHeadcount[company_name],$B762)*AK237)</f>
        <v>0</v>
      </c>
      <c r="AL762" s="652">
        <f>IF($B762="",,SUMIFS(PerHeadcount[Month 27],PerHeadcount[exp_item],$H762,PerHeadcount[company_name],$B762)*AL237)</f>
        <v>0</v>
      </c>
      <c r="AM762" s="652">
        <f>IF($B762="",,SUMIFS(PerHeadcount[Month 28],PerHeadcount[exp_item],$H762,PerHeadcount[company_name],$B762)*AM237)</f>
        <v>0</v>
      </c>
      <c r="AN762" s="652">
        <f>IF($B762="",,SUMIFS(PerHeadcount[Month 29],PerHeadcount[exp_item],$H762,PerHeadcount[company_name],$B762)*AN237)</f>
        <v>0</v>
      </c>
      <c r="AO762" s="652">
        <f>IF($B762="",,SUMIFS(PerHeadcount[Month 30],PerHeadcount[exp_item],$H762,PerHeadcount[company_name],$B762)*AO237)</f>
        <v>0</v>
      </c>
      <c r="AP762" s="652">
        <f>IF($B762="",,SUMIFS(PerHeadcount[Month 31],PerHeadcount[exp_item],$H762,PerHeadcount[company_name],$B762)*AP237)</f>
        <v>0</v>
      </c>
      <c r="AQ762" s="652">
        <f>IF($B762="",,SUMIFS(PerHeadcount[Month 32],PerHeadcount[exp_item],$H762,PerHeadcount[company_name],$B762)*AQ237)</f>
        <v>0</v>
      </c>
      <c r="AR762" s="652">
        <f>IF($B762="",,SUMIFS(PerHeadcount[Month 33],PerHeadcount[exp_item],$H762,PerHeadcount[company_name],$B762)*AR237)</f>
        <v>0</v>
      </c>
      <c r="AS762" s="652">
        <f>IF($B762="",,SUMIFS(PerHeadcount[Month 34],PerHeadcount[exp_item],$H762,PerHeadcount[company_name],$B762)*AS237)</f>
        <v>0</v>
      </c>
      <c r="AT762" s="652">
        <f>IF($B762="",,SUMIFS(PerHeadcount[Month 35],PerHeadcount[exp_item],$H762,PerHeadcount[company_name],$B762)*AT237)</f>
        <v>0</v>
      </c>
      <c r="AU762" s="652">
        <f>IF($B762="",,SUMIFS(PerHeadcount[Month 36],PerHeadcount[exp_item],$H762,PerHeadcount[company_name],$B762)*AU237)</f>
        <v>0</v>
      </c>
    </row>
    <row r="763" spans="2:47" x14ac:dyDescent="0.35">
      <c r="B763" t="str">
        <f t="shared" si="435"/>
        <v/>
      </c>
      <c r="C763" t="str">
        <f t="shared" si="435"/>
        <v/>
      </c>
      <c r="D763" t="str">
        <f t="shared" si="435"/>
        <v/>
      </c>
      <c r="E763" t="str">
        <f t="shared" si="435"/>
        <v/>
      </c>
      <c r="F763" t="str">
        <f t="shared" si="435"/>
        <v/>
      </c>
      <c r="G763" t="str">
        <f t="shared" si="435"/>
        <v/>
      </c>
      <c r="H763" t="str">
        <f t="shared" si="429"/>
        <v/>
      </c>
      <c r="J763" t="str">
        <f>IF($H763="","",IF(VLOOKUP(H763,ExpItems[],2,0),H763&amp;" - "&amp;INDEX(DivisionMapping[category_code],MATCH($D763&amp;$C763,DivisionMapping[dept_bu],0)),H763))</f>
        <v/>
      </c>
      <c r="K763" t="str">
        <f t="shared" si="430"/>
        <v/>
      </c>
      <c r="L763" s="652">
        <f>IF($B763="",,SUMIFS(PerHeadcount[Month 1],PerHeadcount[exp_item],$H763,PerHeadcount[company_name],$B763)*L238)</f>
        <v>0</v>
      </c>
      <c r="M763" s="652">
        <f>IF($B763="",,SUMIFS(PerHeadcount[Month 2],PerHeadcount[exp_item],$H763,PerHeadcount[company_name],$B763)*M238)</f>
        <v>0</v>
      </c>
      <c r="N763" s="652">
        <f>IF($B763="",,SUMIFS(PerHeadcount[Month 3],PerHeadcount[exp_item],$H763,PerHeadcount[company_name],$B763)*N238)</f>
        <v>0</v>
      </c>
      <c r="O763" s="652">
        <f>IF($B763="",,SUMIFS(PerHeadcount[Month 4],PerHeadcount[exp_item],$H763,PerHeadcount[company_name],$B763)*O238)</f>
        <v>0</v>
      </c>
      <c r="P763" s="652">
        <f>IF($B763="",,SUMIFS(PerHeadcount[Month 5],PerHeadcount[exp_item],$H763,PerHeadcount[company_name],$B763)*P238)</f>
        <v>0</v>
      </c>
      <c r="Q763" s="652">
        <f>IF($B763="",,SUMIFS(PerHeadcount[Month 6],PerHeadcount[exp_item],$H763,PerHeadcount[company_name],$B763)*Q238)</f>
        <v>0</v>
      </c>
      <c r="R763" s="652">
        <f>IF($B763="",,SUMIFS(PerHeadcount[Month 7],PerHeadcount[exp_item],$H763,PerHeadcount[company_name],$B763)*R238)</f>
        <v>0</v>
      </c>
      <c r="S763" s="652">
        <f>IF($B763="",,SUMIFS(PerHeadcount[Month 8],PerHeadcount[exp_item],$H763,PerHeadcount[company_name],$B763)*S238)</f>
        <v>0</v>
      </c>
      <c r="T763" s="652">
        <f>IF($B763="",,SUMIFS(PerHeadcount[Month 9],PerHeadcount[exp_item],$H763,PerHeadcount[company_name],$B763)*T238)</f>
        <v>0</v>
      </c>
      <c r="U763" s="652">
        <f>IF($B763="",,SUMIFS(PerHeadcount[Month 10],PerHeadcount[exp_item],$H763,PerHeadcount[company_name],$B763)*U238)</f>
        <v>0</v>
      </c>
      <c r="V763" s="652">
        <f>IF($B763="",,SUMIFS(PerHeadcount[Month 11],PerHeadcount[exp_item],$H763,PerHeadcount[company_name],$B763)*V238)</f>
        <v>0</v>
      </c>
      <c r="W763" s="652">
        <f>IF($B763="",,SUMIFS(PerHeadcount[Month 12],PerHeadcount[exp_item],$H763,PerHeadcount[company_name],$B763)*W238)</f>
        <v>0</v>
      </c>
      <c r="X763" s="652">
        <f>IF($B763="",,SUMIFS(PerHeadcount[Month 13],PerHeadcount[exp_item],$H763,PerHeadcount[company_name],$B763)*X238)</f>
        <v>0</v>
      </c>
      <c r="Y763" s="652">
        <f>IF($B763="",,SUMIFS(PerHeadcount[Month 14],PerHeadcount[exp_item],$H763,PerHeadcount[company_name],$B763)*Y238)</f>
        <v>0</v>
      </c>
      <c r="Z763" s="652">
        <f>IF($B763="",,SUMIFS(PerHeadcount[Month 15],PerHeadcount[exp_item],$H763,PerHeadcount[company_name],$B763)*Z238)</f>
        <v>0</v>
      </c>
      <c r="AA763" s="652">
        <f>IF($B763="",,SUMIFS(PerHeadcount[Month 16],PerHeadcount[exp_item],$H763,PerHeadcount[company_name],$B763)*AA238)</f>
        <v>0</v>
      </c>
      <c r="AB763" s="652">
        <f>IF($B763="",,SUMIFS(PerHeadcount[Month 17],PerHeadcount[exp_item],$H763,PerHeadcount[company_name],$B763)*AB238)</f>
        <v>0</v>
      </c>
      <c r="AC763" s="652">
        <f>IF($B763="",,SUMIFS(PerHeadcount[Month 18],PerHeadcount[exp_item],$H763,PerHeadcount[company_name],$B763)*AC238)</f>
        <v>0</v>
      </c>
      <c r="AD763" s="652">
        <f>IF($B763="",,SUMIFS(PerHeadcount[Month 19],PerHeadcount[exp_item],$H763,PerHeadcount[company_name],$B763)*AD238)</f>
        <v>0</v>
      </c>
      <c r="AE763" s="652">
        <f>IF($B763="",,SUMIFS(PerHeadcount[Month 20],PerHeadcount[exp_item],$H763,PerHeadcount[company_name],$B763)*AE238)</f>
        <v>0</v>
      </c>
      <c r="AF763" s="652">
        <f>IF($B763="",,SUMIFS(PerHeadcount[Month 21],PerHeadcount[exp_item],$H763,PerHeadcount[company_name],$B763)*AF238)</f>
        <v>0</v>
      </c>
      <c r="AG763" s="652">
        <f>IF($B763="",,SUMIFS(PerHeadcount[Month 22],PerHeadcount[exp_item],$H763,PerHeadcount[company_name],$B763)*AG238)</f>
        <v>0</v>
      </c>
      <c r="AH763" s="652">
        <f>IF($B763="",,SUMIFS(PerHeadcount[Month 23],PerHeadcount[exp_item],$H763,PerHeadcount[company_name],$B763)*AH238)</f>
        <v>0</v>
      </c>
      <c r="AI763" s="652">
        <f>IF($B763="",,SUMIFS(PerHeadcount[Month 24],PerHeadcount[exp_item],$H763,PerHeadcount[company_name],$B763)*AI238)</f>
        <v>0</v>
      </c>
      <c r="AJ763" s="652">
        <f>IF($B763="",,SUMIFS(PerHeadcount[Month 25],PerHeadcount[exp_item],$H763,PerHeadcount[company_name],$B763)*AJ238)</f>
        <v>0</v>
      </c>
      <c r="AK763" s="652">
        <f>IF($B763="",,SUMIFS(PerHeadcount[Month 26],PerHeadcount[exp_item],$H763,PerHeadcount[company_name],$B763)*AK238)</f>
        <v>0</v>
      </c>
      <c r="AL763" s="652">
        <f>IF($B763="",,SUMIFS(PerHeadcount[Month 27],PerHeadcount[exp_item],$H763,PerHeadcount[company_name],$B763)*AL238)</f>
        <v>0</v>
      </c>
      <c r="AM763" s="652">
        <f>IF($B763="",,SUMIFS(PerHeadcount[Month 28],PerHeadcount[exp_item],$H763,PerHeadcount[company_name],$B763)*AM238)</f>
        <v>0</v>
      </c>
      <c r="AN763" s="652">
        <f>IF($B763="",,SUMIFS(PerHeadcount[Month 29],PerHeadcount[exp_item],$H763,PerHeadcount[company_name],$B763)*AN238)</f>
        <v>0</v>
      </c>
      <c r="AO763" s="652">
        <f>IF($B763="",,SUMIFS(PerHeadcount[Month 30],PerHeadcount[exp_item],$H763,PerHeadcount[company_name],$B763)*AO238)</f>
        <v>0</v>
      </c>
      <c r="AP763" s="652">
        <f>IF($B763="",,SUMIFS(PerHeadcount[Month 31],PerHeadcount[exp_item],$H763,PerHeadcount[company_name],$B763)*AP238)</f>
        <v>0</v>
      </c>
      <c r="AQ763" s="652">
        <f>IF($B763="",,SUMIFS(PerHeadcount[Month 32],PerHeadcount[exp_item],$H763,PerHeadcount[company_name],$B763)*AQ238)</f>
        <v>0</v>
      </c>
      <c r="AR763" s="652">
        <f>IF($B763="",,SUMIFS(PerHeadcount[Month 33],PerHeadcount[exp_item],$H763,PerHeadcount[company_name],$B763)*AR238)</f>
        <v>0</v>
      </c>
      <c r="AS763" s="652">
        <f>IF($B763="",,SUMIFS(PerHeadcount[Month 34],PerHeadcount[exp_item],$H763,PerHeadcount[company_name],$B763)*AS238)</f>
        <v>0</v>
      </c>
      <c r="AT763" s="652">
        <f>IF($B763="",,SUMIFS(PerHeadcount[Month 35],PerHeadcount[exp_item],$H763,PerHeadcount[company_name],$B763)*AT238)</f>
        <v>0</v>
      </c>
      <c r="AU763" s="652">
        <f>IF($B763="",,SUMIFS(PerHeadcount[Month 36],PerHeadcount[exp_item],$H763,PerHeadcount[company_name],$B763)*AU238)</f>
        <v>0</v>
      </c>
    </row>
    <row r="764" spans="2:47" x14ac:dyDescent="0.35">
      <c r="B764" t="str">
        <f t="shared" si="435"/>
        <v/>
      </c>
      <c r="C764" t="str">
        <f t="shared" si="435"/>
        <v/>
      </c>
      <c r="D764" t="str">
        <f t="shared" si="435"/>
        <v/>
      </c>
      <c r="E764" t="str">
        <f t="shared" si="435"/>
        <v/>
      </c>
      <c r="F764" t="str">
        <f t="shared" si="435"/>
        <v/>
      </c>
      <c r="G764" t="str">
        <f t="shared" si="435"/>
        <v/>
      </c>
      <c r="H764" t="str">
        <f t="shared" si="429"/>
        <v/>
      </c>
      <c r="J764" t="str">
        <f>IF($H764="","",IF(VLOOKUP(H764,ExpItems[],2,0),H764&amp;" - "&amp;INDEX(DivisionMapping[category_code],MATCH($D764&amp;$C764,DivisionMapping[dept_bu],0)),H764))</f>
        <v/>
      </c>
      <c r="K764" t="str">
        <f t="shared" si="430"/>
        <v/>
      </c>
      <c r="L764" s="652">
        <f>IF($B764="",,SUMIFS(PerHeadcount[Month 1],PerHeadcount[exp_item],$H764,PerHeadcount[company_name],$B764)*L239)</f>
        <v>0</v>
      </c>
      <c r="M764" s="652">
        <f>IF($B764="",,SUMIFS(PerHeadcount[Month 2],PerHeadcount[exp_item],$H764,PerHeadcount[company_name],$B764)*M239)</f>
        <v>0</v>
      </c>
      <c r="N764" s="652">
        <f>IF($B764="",,SUMIFS(PerHeadcount[Month 3],PerHeadcount[exp_item],$H764,PerHeadcount[company_name],$B764)*N239)</f>
        <v>0</v>
      </c>
      <c r="O764" s="652">
        <f>IF($B764="",,SUMIFS(PerHeadcount[Month 4],PerHeadcount[exp_item],$H764,PerHeadcount[company_name],$B764)*O239)</f>
        <v>0</v>
      </c>
      <c r="P764" s="652">
        <f>IF($B764="",,SUMIFS(PerHeadcount[Month 5],PerHeadcount[exp_item],$H764,PerHeadcount[company_name],$B764)*P239)</f>
        <v>0</v>
      </c>
      <c r="Q764" s="652">
        <f>IF($B764="",,SUMIFS(PerHeadcount[Month 6],PerHeadcount[exp_item],$H764,PerHeadcount[company_name],$B764)*Q239)</f>
        <v>0</v>
      </c>
      <c r="R764" s="652">
        <f>IF($B764="",,SUMIFS(PerHeadcount[Month 7],PerHeadcount[exp_item],$H764,PerHeadcount[company_name],$B764)*R239)</f>
        <v>0</v>
      </c>
      <c r="S764" s="652">
        <f>IF($B764="",,SUMIFS(PerHeadcount[Month 8],PerHeadcount[exp_item],$H764,PerHeadcount[company_name],$B764)*S239)</f>
        <v>0</v>
      </c>
      <c r="T764" s="652">
        <f>IF($B764="",,SUMIFS(PerHeadcount[Month 9],PerHeadcount[exp_item],$H764,PerHeadcount[company_name],$B764)*T239)</f>
        <v>0</v>
      </c>
      <c r="U764" s="652">
        <f>IF($B764="",,SUMIFS(PerHeadcount[Month 10],PerHeadcount[exp_item],$H764,PerHeadcount[company_name],$B764)*U239)</f>
        <v>0</v>
      </c>
      <c r="V764" s="652">
        <f>IF($B764="",,SUMIFS(PerHeadcount[Month 11],PerHeadcount[exp_item],$H764,PerHeadcount[company_name],$B764)*V239)</f>
        <v>0</v>
      </c>
      <c r="W764" s="652">
        <f>IF($B764="",,SUMIFS(PerHeadcount[Month 12],PerHeadcount[exp_item],$H764,PerHeadcount[company_name],$B764)*W239)</f>
        <v>0</v>
      </c>
      <c r="X764" s="652">
        <f>IF($B764="",,SUMIFS(PerHeadcount[Month 13],PerHeadcount[exp_item],$H764,PerHeadcount[company_name],$B764)*X239)</f>
        <v>0</v>
      </c>
      <c r="Y764" s="652">
        <f>IF($B764="",,SUMIFS(PerHeadcount[Month 14],PerHeadcount[exp_item],$H764,PerHeadcount[company_name],$B764)*Y239)</f>
        <v>0</v>
      </c>
      <c r="Z764" s="652">
        <f>IF($B764="",,SUMIFS(PerHeadcount[Month 15],PerHeadcount[exp_item],$H764,PerHeadcount[company_name],$B764)*Z239)</f>
        <v>0</v>
      </c>
      <c r="AA764" s="652">
        <f>IF($B764="",,SUMIFS(PerHeadcount[Month 16],PerHeadcount[exp_item],$H764,PerHeadcount[company_name],$B764)*AA239)</f>
        <v>0</v>
      </c>
      <c r="AB764" s="652">
        <f>IF($B764="",,SUMIFS(PerHeadcount[Month 17],PerHeadcount[exp_item],$H764,PerHeadcount[company_name],$B764)*AB239)</f>
        <v>0</v>
      </c>
      <c r="AC764" s="652">
        <f>IF($B764="",,SUMIFS(PerHeadcount[Month 18],PerHeadcount[exp_item],$H764,PerHeadcount[company_name],$B764)*AC239)</f>
        <v>0</v>
      </c>
      <c r="AD764" s="652">
        <f>IF($B764="",,SUMIFS(PerHeadcount[Month 19],PerHeadcount[exp_item],$H764,PerHeadcount[company_name],$B764)*AD239)</f>
        <v>0</v>
      </c>
      <c r="AE764" s="652">
        <f>IF($B764="",,SUMIFS(PerHeadcount[Month 20],PerHeadcount[exp_item],$H764,PerHeadcount[company_name],$B764)*AE239)</f>
        <v>0</v>
      </c>
      <c r="AF764" s="652">
        <f>IF($B764="",,SUMIFS(PerHeadcount[Month 21],PerHeadcount[exp_item],$H764,PerHeadcount[company_name],$B764)*AF239)</f>
        <v>0</v>
      </c>
      <c r="AG764" s="652">
        <f>IF($B764="",,SUMIFS(PerHeadcount[Month 22],PerHeadcount[exp_item],$H764,PerHeadcount[company_name],$B764)*AG239)</f>
        <v>0</v>
      </c>
      <c r="AH764" s="652">
        <f>IF($B764="",,SUMIFS(PerHeadcount[Month 23],PerHeadcount[exp_item],$H764,PerHeadcount[company_name],$B764)*AH239)</f>
        <v>0</v>
      </c>
      <c r="AI764" s="652">
        <f>IF($B764="",,SUMIFS(PerHeadcount[Month 24],PerHeadcount[exp_item],$H764,PerHeadcount[company_name],$B764)*AI239)</f>
        <v>0</v>
      </c>
      <c r="AJ764" s="652">
        <f>IF($B764="",,SUMIFS(PerHeadcount[Month 25],PerHeadcount[exp_item],$H764,PerHeadcount[company_name],$B764)*AJ239)</f>
        <v>0</v>
      </c>
      <c r="AK764" s="652">
        <f>IF($B764="",,SUMIFS(PerHeadcount[Month 26],PerHeadcount[exp_item],$H764,PerHeadcount[company_name],$B764)*AK239)</f>
        <v>0</v>
      </c>
      <c r="AL764" s="652">
        <f>IF($B764="",,SUMIFS(PerHeadcount[Month 27],PerHeadcount[exp_item],$H764,PerHeadcount[company_name],$B764)*AL239)</f>
        <v>0</v>
      </c>
      <c r="AM764" s="652">
        <f>IF($B764="",,SUMIFS(PerHeadcount[Month 28],PerHeadcount[exp_item],$H764,PerHeadcount[company_name],$B764)*AM239)</f>
        <v>0</v>
      </c>
      <c r="AN764" s="652">
        <f>IF($B764="",,SUMIFS(PerHeadcount[Month 29],PerHeadcount[exp_item],$H764,PerHeadcount[company_name],$B764)*AN239)</f>
        <v>0</v>
      </c>
      <c r="AO764" s="652">
        <f>IF($B764="",,SUMIFS(PerHeadcount[Month 30],PerHeadcount[exp_item],$H764,PerHeadcount[company_name],$B764)*AO239)</f>
        <v>0</v>
      </c>
      <c r="AP764" s="652">
        <f>IF($B764="",,SUMIFS(PerHeadcount[Month 31],PerHeadcount[exp_item],$H764,PerHeadcount[company_name],$B764)*AP239)</f>
        <v>0</v>
      </c>
      <c r="AQ764" s="652">
        <f>IF($B764="",,SUMIFS(PerHeadcount[Month 32],PerHeadcount[exp_item],$H764,PerHeadcount[company_name],$B764)*AQ239)</f>
        <v>0</v>
      </c>
      <c r="AR764" s="652">
        <f>IF($B764="",,SUMIFS(PerHeadcount[Month 33],PerHeadcount[exp_item],$H764,PerHeadcount[company_name],$B764)*AR239)</f>
        <v>0</v>
      </c>
      <c r="AS764" s="652">
        <f>IF($B764="",,SUMIFS(PerHeadcount[Month 34],PerHeadcount[exp_item],$H764,PerHeadcount[company_name],$B764)*AS239)</f>
        <v>0</v>
      </c>
      <c r="AT764" s="652">
        <f>IF($B764="",,SUMIFS(PerHeadcount[Month 35],PerHeadcount[exp_item],$H764,PerHeadcount[company_name],$B764)*AT239)</f>
        <v>0</v>
      </c>
      <c r="AU764" s="652">
        <f>IF($B764="",,SUMIFS(PerHeadcount[Month 36],PerHeadcount[exp_item],$H764,PerHeadcount[company_name],$B764)*AU239)</f>
        <v>0</v>
      </c>
    </row>
    <row r="765" spans="2:47" x14ac:dyDescent="0.35">
      <c r="B765" t="str">
        <f t="shared" si="435"/>
        <v/>
      </c>
      <c r="C765" t="str">
        <f t="shared" si="435"/>
        <v/>
      </c>
      <c r="D765" t="str">
        <f t="shared" si="435"/>
        <v/>
      </c>
      <c r="E765" t="str">
        <f t="shared" si="435"/>
        <v/>
      </c>
      <c r="F765" t="str">
        <f t="shared" si="435"/>
        <v/>
      </c>
      <c r="G765" t="str">
        <f t="shared" si="435"/>
        <v/>
      </c>
      <c r="H765" t="str">
        <f t="shared" si="429"/>
        <v/>
      </c>
      <c r="J765" t="str">
        <f>IF($H765="","",IF(VLOOKUP(H765,ExpItems[],2,0),H765&amp;" - "&amp;INDEX(DivisionMapping[category_code],MATCH($D765&amp;$C765,DivisionMapping[dept_bu],0)),H765))</f>
        <v/>
      </c>
      <c r="K765" t="str">
        <f t="shared" si="430"/>
        <v/>
      </c>
      <c r="L765" s="652">
        <f>IF($B765="",,SUMIFS(PerHeadcount[Month 1],PerHeadcount[exp_item],$H765,PerHeadcount[company_name],$B765)*L240)</f>
        <v>0</v>
      </c>
      <c r="M765" s="652">
        <f>IF($B765="",,SUMIFS(PerHeadcount[Month 2],PerHeadcount[exp_item],$H765,PerHeadcount[company_name],$B765)*M240)</f>
        <v>0</v>
      </c>
      <c r="N765" s="652">
        <f>IF($B765="",,SUMIFS(PerHeadcount[Month 3],PerHeadcount[exp_item],$H765,PerHeadcount[company_name],$B765)*N240)</f>
        <v>0</v>
      </c>
      <c r="O765" s="652">
        <f>IF($B765="",,SUMIFS(PerHeadcount[Month 4],PerHeadcount[exp_item],$H765,PerHeadcount[company_name],$B765)*O240)</f>
        <v>0</v>
      </c>
      <c r="P765" s="652">
        <f>IF($B765="",,SUMIFS(PerHeadcount[Month 5],PerHeadcount[exp_item],$H765,PerHeadcount[company_name],$B765)*P240)</f>
        <v>0</v>
      </c>
      <c r="Q765" s="652">
        <f>IF($B765="",,SUMIFS(PerHeadcount[Month 6],PerHeadcount[exp_item],$H765,PerHeadcount[company_name],$B765)*Q240)</f>
        <v>0</v>
      </c>
      <c r="R765" s="652">
        <f>IF($B765="",,SUMIFS(PerHeadcount[Month 7],PerHeadcount[exp_item],$H765,PerHeadcount[company_name],$B765)*R240)</f>
        <v>0</v>
      </c>
      <c r="S765" s="652">
        <f>IF($B765="",,SUMIFS(PerHeadcount[Month 8],PerHeadcount[exp_item],$H765,PerHeadcount[company_name],$B765)*S240)</f>
        <v>0</v>
      </c>
      <c r="T765" s="652">
        <f>IF($B765="",,SUMIFS(PerHeadcount[Month 9],PerHeadcount[exp_item],$H765,PerHeadcount[company_name],$B765)*T240)</f>
        <v>0</v>
      </c>
      <c r="U765" s="652">
        <f>IF($B765="",,SUMIFS(PerHeadcount[Month 10],PerHeadcount[exp_item],$H765,PerHeadcount[company_name],$B765)*U240)</f>
        <v>0</v>
      </c>
      <c r="V765" s="652">
        <f>IF($B765="",,SUMIFS(PerHeadcount[Month 11],PerHeadcount[exp_item],$H765,PerHeadcount[company_name],$B765)*V240)</f>
        <v>0</v>
      </c>
      <c r="W765" s="652">
        <f>IF($B765="",,SUMIFS(PerHeadcount[Month 12],PerHeadcount[exp_item],$H765,PerHeadcount[company_name],$B765)*W240)</f>
        <v>0</v>
      </c>
      <c r="X765" s="652">
        <f>IF($B765="",,SUMIFS(PerHeadcount[Month 13],PerHeadcount[exp_item],$H765,PerHeadcount[company_name],$B765)*X240)</f>
        <v>0</v>
      </c>
      <c r="Y765" s="652">
        <f>IF($B765="",,SUMIFS(PerHeadcount[Month 14],PerHeadcount[exp_item],$H765,PerHeadcount[company_name],$B765)*Y240)</f>
        <v>0</v>
      </c>
      <c r="Z765" s="652">
        <f>IF($B765="",,SUMIFS(PerHeadcount[Month 15],PerHeadcount[exp_item],$H765,PerHeadcount[company_name],$B765)*Z240)</f>
        <v>0</v>
      </c>
      <c r="AA765" s="652">
        <f>IF($B765="",,SUMIFS(PerHeadcount[Month 16],PerHeadcount[exp_item],$H765,PerHeadcount[company_name],$B765)*AA240)</f>
        <v>0</v>
      </c>
      <c r="AB765" s="652">
        <f>IF($B765="",,SUMIFS(PerHeadcount[Month 17],PerHeadcount[exp_item],$H765,PerHeadcount[company_name],$B765)*AB240)</f>
        <v>0</v>
      </c>
      <c r="AC765" s="652">
        <f>IF($B765="",,SUMIFS(PerHeadcount[Month 18],PerHeadcount[exp_item],$H765,PerHeadcount[company_name],$B765)*AC240)</f>
        <v>0</v>
      </c>
      <c r="AD765" s="652">
        <f>IF($B765="",,SUMIFS(PerHeadcount[Month 19],PerHeadcount[exp_item],$H765,PerHeadcount[company_name],$B765)*AD240)</f>
        <v>0</v>
      </c>
      <c r="AE765" s="652">
        <f>IF($B765="",,SUMIFS(PerHeadcount[Month 20],PerHeadcount[exp_item],$H765,PerHeadcount[company_name],$B765)*AE240)</f>
        <v>0</v>
      </c>
      <c r="AF765" s="652">
        <f>IF($B765="",,SUMIFS(PerHeadcount[Month 21],PerHeadcount[exp_item],$H765,PerHeadcount[company_name],$B765)*AF240)</f>
        <v>0</v>
      </c>
      <c r="AG765" s="652">
        <f>IF($B765="",,SUMIFS(PerHeadcount[Month 22],PerHeadcount[exp_item],$H765,PerHeadcount[company_name],$B765)*AG240)</f>
        <v>0</v>
      </c>
      <c r="AH765" s="652">
        <f>IF($B765="",,SUMIFS(PerHeadcount[Month 23],PerHeadcount[exp_item],$H765,PerHeadcount[company_name],$B765)*AH240)</f>
        <v>0</v>
      </c>
      <c r="AI765" s="652">
        <f>IF($B765="",,SUMIFS(PerHeadcount[Month 24],PerHeadcount[exp_item],$H765,PerHeadcount[company_name],$B765)*AI240)</f>
        <v>0</v>
      </c>
      <c r="AJ765" s="652">
        <f>IF($B765="",,SUMIFS(PerHeadcount[Month 25],PerHeadcount[exp_item],$H765,PerHeadcount[company_name],$B765)*AJ240)</f>
        <v>0</v>
      </c>
      <c r="AK765" s="652">
        <f>IF($B765="",,SUMIFS(PerHeadcount[Month 26],PerHeadcount[exp_item],$H765,PerHeadcount[company_name],$B765)*AK240)</f>
        <v>0</v>
      </c>
      <c r="AL765" s="652">
        <f>IF($B765="",,SUMIFS(PerHeadcount[Month 27],PerHeadcount[exp_item],$H765,PerHeadcount[company_name],$B765)*AL240)</f>
        <v>0</v>
      </c>
      <c r="AM765" s="652">
        <f>IF($B765="",,SUMIFS(PerHeadcount[Month 28],PerHeadcount[exp_item],$H765,PerHeadcount[company_name],$B765)*AM240)</f>
        <v>0</v>
      </c>
      <c r="AN765" s="652">
        <f>IF($B765="",,SUMIFS(PerHeadcount[Month 29],PerHeadcount[exp_item],$H765,PerHeadcount[company_name],$B765)*AN240)</f>
        <v>0</v>
      </c>
      <c r="AO765" s="652">
        <f>IF($B765="",,SUMIFS(PerHeadcount[Month 30],PerHeadcount[exp_item],$H765,PerHeadcount[company_name],$B765)*AO240)</f>
        <v>0</v>
      </c>
      <c r="AP765" s="652">
        <f>IF($B765="",,SUMIFS(PerHeadcount[Month 31],PerHeadcount[exp_item],$H765,PerHeadcount[company_name],$B765)*AP240)</f>
        <v>0</v>
      </c>
      <c r="AQ765" s="652">
        <f>IF($B765="",,SUMIFS(PerHeadcount[Month 32],PerHeadcount[exp_item],$H765,PerHeadcount[company_name],$B765)*AQ240)</f>
        <v>0</v>
      </c>
      <c r="AR765" s="652">
        <f>IF($B765="",,SUMIFS(PerHeadcount[Month 33],PerHeadcount[exp_item],$H765,PerHeadcount[company_name],$B765)*AR240)</f>
        <v>0</v>
      </c>
      <c r="AS765" s="652">
        <f>IF($B765="",,SUMIFS(PerHeadcount[Month 34],PerHeadcount[exp_item],$H765,PerHeadcount[company_name],$B765)*AS240)</f>
        <v>0</v>
      </c>
      <c r="AT765" s="652">
        <f>IF($B765="",,SUMIFS(PerHeadcount[Month 35],PerHeadcount[exp_item],$H765,PerHeadcount[company_name],$B765)*AT240)</f>
        <v>0</v>
      </c>
      <c r="AU765" s="652">
        <f>IF($B765="",,SUMIFS(PerHeadcount[Month 36],PerHeadcount[exp_item],$H765,PerHeadcount[company_name],$B765)*AU240)</f>
        <v>0</v>
      </c>
    </row>
    <row r="766" spans="2:47" x14ac:dyDescent="0.35">
      <c r="B766" t="str">
        <f t="shared" si="435"/>
        <v/>
      </c>
      <c r="C766" t="str">
        <f t="shared" si="435"/>
        <v/>
      </c>
      <c r="D766" t="str">
        <f t="shared" si="435"/>
        <v/>
      </c>
      <c r="E766" t="str">
        <f t="shared" si="435"/>
        <v/>
      </c>
      <c r="F766" t="str">
        <f t="shared" si="435"/>
        <v/>
      </c>
      <c r="G766" t="str">
        <f t="shared" si="435"/>
        <v/>
      </c>
      <c r="H766" t="str">
        <f t="shared" si="429"/>
        <v/>
      </c>
      <c r="J766" t="str">
        <f>IF($H766="","",IF(VLOOKUP(H766,ExpItems[],2,0),H766&amp;" - "&amp;INDEX(DivisionMapping[category_code],MATCH($D766&amp;$C766,DivisionMapping[dept_bu],0)),H766))</f>
        <v/>
      </c>
      <c r="K766" t="str">
        <f t="shared" si="430"/>
        <v/>
      </c>
      <c r="L766" s="652">
        <f>IF($B766="",,SUMIFS(PerHeadcount[Month 1],PerHeadcount[exp_item],$H766,PerHeadcount[company_name],$B766)*L241)</f>
        <v>0</v>
      </c>
      <c r="M766" s="652">
        <f>IF($B766="",,SUMIFS(PerHeadcount[Month 2],PerHeadcount[exp_item],$H766,PerHeadcount[company_name],$B766)*M241)</f>
        <v>0</v>
      </c>
      <c r="N766" s="652">
        <f>IF($B766="",,SUMIFS(PerHeadcount[Month 3],PerHeadcount[exp_item],$H766,PerHeadcount[company_name],$B766)*N241)</f>
        <v>0</v>
      </c>
      <c r="O766" s="652">
        <f>IF($B766="",,SUMIFS(PerHeadcount[Month 4],PerHeadcount[exp_item],$H766,PerHeadcount[company_name],$B766)*O241)</f>
        <v>0</v>
      </c>
      <c r="P766" s="652">
        <f>IF($B766="",,SUMIFS(PerHeadcount[Month 5],PerHeadcount[exp_item],$H766,PerHeadcount[company_name],$B766)*P241)</f>
        <v>0</v>
      </c>
      <c r="Q766" s="652">
        <f>IF($B766="",,SUMIFS(PerHeadcount[Month 6],PerHeadcount[exp_item],$H766,PerHeadcount[company_name],$B766)*Q241)</f>
        <v>0</v>
      </c>
      <c r="R766" s="652">
        <f>IF($B766="",,SUMIFS(PerHeadcount[Month 7],PerHeadcount[exp_item],$H766,PerHeadcount[company_name],$B766)*R241)</f>
        <v>0</v>
      </c>
      <c r="S766" s="652">
        <f>IF($B766="",,SUMIFS(PerHeadcount[Month 8],PerHeadcount[exp_item],$H766,PerHeadcount[company_name],$B766)*S241)</f>
        <v>0</v>
      </c>
      <c r="T766" s="652">
        <f>IF($B766="",,SUMIFS(PerHeadcount[Month 9],PerHeadcount[exp_item],$H766,PerHeadcount[company_name],$B766)*T241)</f>
        <v>0</v>
      </c>
      <c r="U766" s="652">
        <f>IF($B766="",,SUMIFS(PerHeadcount[Month 10],PerHeadcount[exp_item],$H766,PerHeadcount[company_name],$B766)*U241)</f>
        <v>0</v>
      </c>
      <c r="V766" s="652">
        <f>IF($B766="",,SUMIFS(PerHeadcount[Month 11],PerHeadcount[exp_item],$H766,PerHeadcount[company_name],$B766)*V241)</f>
        <v>0</v>
      </c>
      <c r="W766" s="652">
        <f>IF($B766="",,SUMIFS(PerHeadcount[Month 12],PerHeadcount[exp_item],$H766,PerHeadcount[company_name],$B766)*W241)</f>
        <v>0</v>
      </c>
      <c r="X766" s="652">
        <f>IF($B766="",,SUMIFS(PerHeadcount[Month 13],PerHeadcount[exp_item],$H766,PerHeadcount[company_name],$B766)*X241)</f>
        <v>0</v>
      </c>
      <c r="Y766" s="652">
        <f>IF($B766="",,SUMIFS(PerHeadcount[Month 14],PerHeadcount[exp_item],$H766,PerHeadcount[company_name],$B766)*Y241)</f>
        <v>0</v>
      </c>
      <c r="Z766" s="652">
        <f>IF($B766="",,SUMIFS(PerHeadcount[Month 15],PerHeadcount[exp_item],$H766,PerHeadcount[company_name],$B766)*Z241)</f>
        <v>0</v>
      </c>
      <c r="AA766" s="652">
        <f>IF($B766="",,SUMIFS(PerHeadcount[Month 16],PerHeadcount[exp_item],$H766,PerHeadcount[company_name],$B766)*AA241)</f>
        <v>0</v>
      </c>
      <c r="AB766" s="652">
        <f>IF($B766="",,SUMIFS(PerHeadcount[Month 17],PerHeadcount[exp_item],$H766,PerHeadcount[company_name],$B766)*AB241)</f>
        <v>0</v>
      </c>
      <c r="AC766" s="652">
        <f>IF($B766="",,SUMIFS(PerHeadcount[Month 18],PerHeadcount[exp_item],$H766,PerHeadcount[company_name],$B766)*AC241)</f>
        <v>0</v>
      </c>
      <c r="AD766" s="652">
        <f>IF($B766="",,SUMIFS(PerHeadcount[Month 19],PerHeadcount[exp_item],$H766,PerHeadcount[company_name],$B766)*AD241)</f>
        <v>0</v>
      </c>
      <c r="AE766" s="652">
        <f>IF($B766="",,SUMIFS(PerHeadcount[Month 20],PerHeadcount[exp_item],$H766,PerHeadcount[company_name],$B766)*AE241)</f>
        <v>0</v>
      </c>
      <c r="AF766" s="652">
        <f>IF($B766="",,SUMIFS(PerHeadcount[Month 21],PerHeadcount[exp_item],$H766,PerHeadcount[company_name],$B766)*AF241)</f>
        <v>0</v>
      </c>
      <c r="AG766" s="652">
        <f>IF($B766="",,SUMIFS(PerHeadcount[Month 22],PerHeadcount[exp_item],$H766,PerHeadcount[company_name],$B766)*AG241)</f>
        <v>0</v>
      </c>
      <c r="AH766" s="652">
        <f>IF($B766="",,SUMIFS(PerHeadcount[Month 23],PerHeadcount[exp_item],$H766,PerHeadcount[company_name],$B766)*AH241)</f>
        <v>0</v>
      </c>
      <c r="AI766" s="652">
        <f>IF($B766="",,SUMIFS(PerHeadcount[Month 24],PerHeadcount[exp_item],$H766,PerHeadcount[company_name],$B766)*AI241)</f>
        <v>0</v>
      </c>
      <c r="AJ766" s="652">
        <f>IF($B766="",,SUMIFS(PerHeadcount[Month 25],PerHeadcount[exp_item],$H766,PerHeadcount[company_name],$B766)*AJ241)</f>
        <v>0</v>
      </c>
      <c r="AK766" s="652">
        <f>IF($B766="",,SUMIFS(PerHeadcount[Month 26],PerHeadcount[exp_item],$H766,PerHeadcount[company_name],$B766)*AK241)</f>
        <v>0</v>
      </c>
      <c r="AL766" s="652">
        <f>IF($B766="",,SUMIFS(PerHeadcount[Month 27],PerHeadcount[exp_item],$H766,PerHeadcount[company_name],$B766)*AL241)</f>
        <v>0</v>
      </c>
      <c r="AM766" s="652">
        <f>IF($B766="",,SUMIFS(PerHeadcount[Month 28],PerHeadcount[exp_item],$H766,PerHeadcount[company_name],$B766)*AM241)</f>
        <v>0</v>
      </c>
      <c r="AN766" s="652">
        <f>IF($B766="",,SUMIFS(PerHeadcount[Month 29],PerHeadcount[exp_item],$H766,PerHeadcount[company_name],$B766)*AN241)</f>
        <v>0</v>
      </c>
      <c r="AO766" s="652">
        <f>IF($B766="",,SUMIFS(PerHeadcount[Month 30],PerHeadcount[exp_item],$H766,PerHeadcount[company_name],$B766)*AO241)</f>
        <v>0</v>
      </c>
      <c r="AP766" s="652">
        <f>IF($B766="",,SUMIFS(PerHeadcount[Month 31],PerHeadcount[exp_item],$H766,PerHeadcount[company_name],$B766)*AP241)</f>
        <v>0</v>
      </c>
      <c r="AQ766" s="652">
        <f>IF($B766="",,SUMIFS(PerHeadcount[Month 32],PerHeadcount[exp_item],$H766,PerHeadcount[company_name],$B766)*AQ241)</f>
        <v>0</v>
      </c>
      <c r="AR766" s="652">
        <f>IF($B766="",,SUMIFS(PerHeadcount[Month 33],PerHeadcount[exp_item],$H766,PerHeadcount[company_name],$B766)*AR241)</f>
        <v>0</v>
      </c>
      <c r="AS766" s="652">
        <f>IF($B766="",,SUMIFS(PerHeadcount[Month 34],PerHeadcount[exp_item],$H766,PerHeadcount[company_name],$B766)*AS241)</f>
        <v>0</v>
      </c>
      <c r="AT766" s="652">
        <f>IF($B766="",,SUMIFS(PerHeadcount[Month 35],PerHeadcount[exp_item],$H766,PerHeadcount[company_name],$B766)*AT241)</f>
        <v>0</v>
      </c>
      <c r="AU766" s="652">
        <f>IF($B766="",,SUMIFS(PerHeadcount[Month 36],PerHeadcount[exp_item],$H766,PerHeadcount[company_name],$B766)*AU241)</f>
        <v>0</v>
      </c>
    </row>
    <row r="767" spans="2:47" x14ac:dyDescent="0.35">
      <c r="B767" t="str">
        <f t="shared" si="435"/>
        <v/>
      </c>
      <c r="C767" t="str">
        <f t="shared" si="435"/>
        <v/>
      </c>
      <c r="D767" t="str">
        <f t="shared" si="435"/>
        <v/>
      </c>
      <c r="E767" t="str">
        <f t="shared" si="435"/>
        <v/>
      </c>
      <c r="F767" t="str">
        <f t="shared" si="435"/>
        <v/>
      </c>
      <c r="G767" t="str">
        <f t="shared" si="435"/>
        <v/>
      </c>
      <c r="H767" t="str">
        <f t="shared" si="429"/>
        <v/>
      </c>
      <c r="J767" t="str">
        <f>IF($H767="","",IF(VLOOKUP(H767,ExpItems[],2,0),H767&amp;" - "&amp;INDEX(DivisionMapping[category_code],MATCH($D767&amp;$C767,DivisionMapping[dept_bu],0)),H767))</f>
        <v/>
      </c>
      <c r="K767" t="str">
        <f t="shared" si="430"/>
        <v/>
      </c>
      <c r="L767" s="652">
        <f>IF($B767="",,SUMIFS(PerHeadcount[Month 1],PerHeadcount[exp_item],$H767,PerHeadcount[company_name],$B767)*L242)</f>
        <v>0</v>
      </c>
      <c r="M767" s="652">
        <f>IF($B767="",,SUMIFS(PerHeadcount[Month 2],PerHeadcount[exp_item],$H767,PerHeadcount[company_name],$B767)*M242)</f>
        <v>0</v>
      </c>
      <c r="N767" s="652">
        <f>IF($B767="",,SUMIFS(PerHeadcount[Month 3],PerHeadcount[exp_item],$H767,PerHeadcount[company_name],$B767)*N242)</f>
        <v>0</v>
      </c>
      <c r="O767" s="652">
        <f>IF($B767="",,SUMIFS(PerHeadcount[Month 4],PerHeadcount[exp_item],$H767,PerHeadcount[company_name],$B767)*O242)</f>
        <v>0</v>
      </c>
      <c r="P767" s="652">
        <f>IF($B767="",,SUMIFS(PerHeadcount[Month 5],PerHeadcount[exp_item],$H767,PerHeadcount[company_name],$B767)*P242)</f>
        <v>0</v>
      </c>
      <c r="Q767" s="652">
        <f>IF($B767="",,SUMIFS(PerHeadcount[Month 6],PerHeadcount[exp_item],$H767,PerHeadcount[company_name],$B767)*Q242)</f>
        <v>0</v>
      </c>
      <c r="R767" s="652">
        <f>IF($B767="",,SUMIFS(PerHeadcount[Month 7],PerHeadcount[exp_item],$H767,PerHeadcount[company_name],$B767)*R242)</f>
        <v>0</v>
      </c>
      <c r="S767" s="652">
        <f>IF($B767="",,SUMIFS(PerHeadcount[Month 8],PerHeadcount[exp_item],$H767,PerHeadcount[company_name],$B767)*S242)</f>
        <v>0</v>
      </c>
      <c r="T767" s="652">
        <f>IF($B767="",,SUMIFS(PerHeadcount[Month 9],PerHeadcount[exp_item],$H767,PerHeadcount[company_name],$B767)*T242)</f>
        <v>0</v>
      </c>
      <c r="U767" s="652">
        <f>IF($B767="",,SUMIFS(PerHeadcount[Month 10],PerHeadcount[exp_item],$H767,PerHeadcount[company_name],$B767)*U242)</f>
        <v>0</v>
      </c>
      <c r="V767" s="652">
        <f>IF($B767="",,SUMIFS(PerHeadcount[Month 11],PerHeadcount[exp_item],$H767,PerHeadcount[company_name],$B767)*V242)</f>
        <v>0</v>
      </c>
      <c r="W767" s="652">
        <f>IF($B767="",,SUMIFS(PerHeadcount[Month 12],PerHeadcount[exp_item],$H767,PerHeadcount[company_name],$B767)*W242)</f>
        <v>0</v>
      </c>
      <c r="X767" s="652">
        <f>IF($B767="",,SUMIFS(PerHeadcount[Month 13],PerHeadcount[exp_item],$H767,PerHeadcount[company_name],$B767)*X242)</f>
        <v>0</v>
      </c>
      <c r="Y767" s="652">
        <f>IF($B767="",,SUMIFS(PerHeadcount[Month 14],PerHeadcount[exp_item],$H767,PerHeadcount[company_name],$B767)*Y242)</f>
        <v>0</v>
      </c>
      <c r="Z767" s="652">
        <f>IF($B767="",,SUMIFS(PerHeadcount[Month 15],PerHeadcount[exp_item],$H767,PerHeadcount[company_name],$B767)*Z242)</f>
        <v>0</v>
      </c>
      <c r="AA767" s="652">
        <f>IF($B767="",,SUMIFS(PerHeadcount[Month 16],PerHeadcount[exp_item],$H767,PerHeadcount[company_name],$B767)*AA242)</f>
        <v>0</v>
      </c>
      <c r="AB767" s="652">
        <f>IF($B767="",,SUMIFS(PerHeadcount[Month 17],PerHeadcount[exp_item],$H767,PerHeadcount[company_name],$B767)*AB242)</f>
        <v>0</v>
      </c>
      <c r="AC767" s="652">
        <f>IF($B767="",,SUMIFS(PerHeadcount[Month 18],PerHeadcount[exp_item],$H767,PerHeadcount[company_name],$B767)*AC242)</f>
        <v>0</v>
      </c>
      <c r="AD767" s="652">
        <f>IF($B767="",,SUMIFS(PerHeadcount[Month 19],PerHeadcount[exp_item],$H767,PerHeadcount[company_name],$B767)*AD242)</f>
        <v>0</v>
      </c>
      <c r="AE767" s="652">
        <f>IF($B767="",,SUMIFS(PerHeadcount[Month 20],PerHeadcount[exp_item],$H767,PerHeadcount[company_name],$B767)*AE242)</f>
        <v>0</v>
      </c>
      <c r="AF767" s="652">
        <f>IF($B767="",,SUMIFS(PerHeadcount[Month 21],PerHeadcount[exp_item],$H767,PerHeadcount[company_name],$B767)*AF242)</f>
        <v>0</v>
      </c>
      <c r="AG767" s="652">
        <f>IF($B767="",,SUMIFS(PerHeadcount[Month 22],PerHeadcount[exp_item],$H767,PerHeadcount[company_name],$B767)*AG242)</f>
        <v>0</v>
      </c>
      <c r="AH767" s="652">
        <f>IF($B767="",,SUMIFS(PerHeadcount[Month 23],PerHeadcount[exp_item],$H767,PerHeadcount[company_name],$B767)*AH242)</f>
        <v>0</v>
      </c>
      <c r="AI767" s="652">
        <f>IF($B767="",,SUMIFS(PerHeadcount[Month 24],PerHeadcount[exp_item],$H767,PerHeadcount[company_name],$B767)*AI242)</f>
        <v>0</v>
      </c>
      <c r="AJ767" s="652">
        <f>IF($B767="",,SUMIFS(PerHeadcount[Month 25],PerHeadcount[exp_item],$H767,PerHeadcount[company_name],$B767)*AJ242)</f>
        <v>0</v>
      </c>
      <c r="AK767" s="652">
        <f>IF($B767="",,SUMIFS(PerHeadcount[Month 26],PerHeadcount[exp_item],$H767,PerHeadcount[company_name],$B767)*AK242)</f>
        <v>0</v>
      </c>
      <c r="AL767" s="652">
        <f>IF($B767="",,SUMIFS(PerHeadcount[Month 27],PerHeadcount[exp_item],$H767,PerHeadcount[company_name],$B767)*AL242)</f>
        <v>0</v>
      </c>
      <c r="AM767" s="652">
        <f>IF($B767="",,SUMIFS(PerHeadcount[Month 28],PerHeadcount[exp_item],$H767,PerHeadcount[company_name],$B767)*AM242)</f>
        <v>0</v>
      </c>
      <c r="AN767" s="652">
        <f>IF($B767="",,SUMIFS(PerHeadcount[Month 29],PerHeadcount[exp_item],$H767,PerHeadcount[company_name],$B767)*AN242)</f>
        <v>0</v>
      </c>
      <c r="AO767" s="652">
        <f>IF($B767="",,SUMIFS(PerHeadcount[Month 30],PerHeadcount[exp_item],$H767,PerHeadcount[company_name],$B767)*AO242)</f>
        <v>0</v>
      </c>
      <c r="AP767" s="652">
        <f>IF($B767="",,SUMIFS(PerHeadcount[Month 31],PerHeadcount[exp_item],$H767,PerHeadcount[company_name],$B767)*AP242)</f>
        <v>0</v>
      </c>
      <c r="AQ767" s="652">
        <f>IF($B767="",,SUMIFS(PerHeadcount[Month 32],PerHeadcount[exp_item],$H767,PerHeadcount[company_name],$B767)*AQ242)</f>
        <v>0</v>
      </c>
      <c r="AR767" s="652">
        <f>IF($B767="",,SUMIFS(PerHeadcount[Month 33],PerHeadcount[exp_item],$H767,PerHeadcount[company_name],$B767)*AR242)</f>
        <v>0</v>
      </c>
      <c r="AS767" s="652">
        <f>IF($B767="",,SUMIFS(PerHeadcount[Month 34],PerHeadcount[exp_item],$H767,PerHeadcount[company_name],$B767)*AS242)</f>
        <v>0</v>
      </c>
      <c r="AT767" s="652">
        <f>IF($B767="",,SUMIFS(PerHeadcount[Month 35],PerHeadcount[exp_item],$H767,PerHeadcount[company_name],$B767)*AT242)</f>
        <v>0</v>
      </c>
      <c r="AU767" s="652">
        <f>IF($B767="",,SUMIFS(PerHeadcount[Month 36],PerHeadcount[exp_item],$H767,PerHeadcount[company_name],$B767)*AU242)</f>
        <v>0</v>
      </c>
    </row>
    <row r="768" spans="2:47" x14ac:dyDescent="0.35">
      <c r="B768" t="str">
        <f t="shared" si="435"/>
        <v/>
      </c>
      <c r="C768" t="str">
        <f t="shared" si="435"/>
        <v/>
      </c>
      <c r="D768" t="str">
        <f t="shared" si="435"/>
        <v/>
      </c>
      <c r="E768" t="str">
        <f t="shared" si="435"/>
        <v/>
      </c>
      <c r="F768" t="str">
        <f t="shared" si="435"/>
        <v/>
      </c>
      <c r="G768" t="str">
        <f t="shared" si="435"/>
        <v/>
      </c>
      <c r="H768" t="str">
        <f t="shared" si="429"/>
        <v/>
      </c>
      <c r="J768" t="str">
        <f>IF($H768="","",IF(VLOOKUP(H768,ExpItems[],2,0),H768&amp;" - "&amp;INDEX(DivisionMapping[category_code],MATCH($D768&amp;$C768,DivisionMapping[dept_bu],0)),H768))</f>
        <v/>
      </c>
      <c r="K768" t="str">
        <f t="shared" si="430"/>
        <v/>
      </c>
      <c r="L768" s="652">
        <f>IF($B768="",,SUMIFS(PerHeadcount[Month 1],PerHeadcount[exp_item],$H768,PerHeadcount[company_name],$B768)*L243)</f>
        <v>0</v>
      </c>
      <c r="M768" s="652">
        <f>IF($B768="",,SUMIFS(PerHeadcount[Month 2],PerHeadcount[exp_item],$H768,PerHeadcount[company_name],$B768)*M243)</f>
        <v>0</v>
      </c>
      <c r="N768" s="652">
        <f>IF($B768="",,SUMIFS(PerHeadcount[Month 3],PerHeadcount[exp_item],$H768,PerHeadcount[company_name],$B768)*N243)</f>
        <v>0</v>
      </c>
      <c r="O768" s="652">
        <f>IF($B768="",,SUMIFS(PerHeadcount[Month 4],PerHeadcount[exp_item],$H768,PerHeadcount[company_name],$B768)*O243)</f>
        <v>0</v>
      </c>
      <c r="P768" s="652">
        <f>IF($B768="",,SUMIFS(PerHeadcount[Month 5],PerHeadcount[exp_item],$H768,PerHeadcount[company_name],$B768)*P243)</f>
        <v>0</v>
      </c>
      <c r="Q768" s="652">
        <f>IF($B768="",,SUMIFS(PerHeadcount[Month 6],PerHeadcount[exp_item],$H768,PerHeadcount[company_name],$B768)*Q243)</f>
        <v>0</v>
      </c>
      <c r="R768" s="652">
        <f>IF($B768="",,SUMIFS(PerHeadcount[Month 7],PerHeadcount[exp_item],$H768,PerHeadcount[company_name],$B768)*R243)</f>
        <v>0</v>
      </c>
      <c r="S768" s="652">
        <f>IF($B768="",,SUMIFS(PerHeadcount[Month 8],PerHeadcount[exp_item],$H768,PerHeadcount[company_name],$B768)*S243)</f>
        <v>0</v>
      </c>
      <c r="T768" s="652">
        <f>IF($B768="",,SUMIFS(PerHeadcount[Month 9],PerHeadcount[exp_item],$H768,PerHeadcount[company_name],$B768)*T243)</f>
        <v>0</v>
      </c>
      <c r="U768" s="652">
        <f>IF($B768="",,SUMIFS(PerHeadcount[Month 10],PerHeadcount[exp_item],$H768,PerHeadcount[company_name],$B768)*U243)</f>
        <v>0</v>
      </c>
      <c r="V768" s="652">
        <f>IF($B768="",,SUMIFS(PerHeadcount[Month 11],PerHeadcount[exp_item],$H768,PerHeadcount[company_name],$B768)*V243)</f>
        <v>0</v>
      </c>
      <c r="W768" s="652">
        <f>IF($B768="",,SUMIFS(PerHeadcount[Month 12],PerHeadcount[exp_item],$H768,PerHeadcount[company_name],$B768)*W243)</f>
        <v>0</v>
      </c>
      <c r="X768" s="652">
        <f>IF($B768="",,SUMIFS(PerHeadcount[Month 13],PerHeadcount[exp_item],$H768,PerHeadcount[company_name],$B768)*X243)</f>
        <v>0</v>
      </c>
      <c r="Y768" s="652">
        <f>IF($B768="",,SUMIFS(PerHeadcount[Month 14],PerHeadcount[exp_item],$H768,PerHeadcount[company_name],$B768)*Y243)</f>
        <v>0</v>
      </c>
      <c r="Z768" s="652">
        <f>IF($B768="",,SUMIFS(PerHeadcount[Month 15],PerHeadcount[exp_item],$H768,PerHeadcount[company_name],$B768)*Z243)</f>
        <v>0</v>
      </c>
      <c r="AA768" s="652">
        <f>IF($B768="",,SUMIFS(PerHeadcount[Month 16],PerHeadcount[exp_item],$H768,PerHeadcount[company_name],$B768)*AA243)</f>
        <v>0</v>
      </c>
      <c r="AB768" s="652">
        <f>IF($B768="",,SUMIFS(PerHeadcount[Month 17],PerHeadcount[exp_item],$H768,PerHeadcount[company_name],$B768)*AB243)</f>
        <v>0</v>
      </c>
      <c r="AC768" s="652">
        <f>IF($B768="",,SUMIFS(PerHeadcount[Month 18],PerHeadcount[exp_item],$H768,PerHeadcount[company_name],$B768)*AC243)</f>
        <v>0</v>
      </c>
      <c r="AD768" s="652">
        <f>IF($B768="",,SUMIFS(PerHeadcount[Month 19],PerHeadcount[exp_item],$H768,PerHeadcount[company_name],$B768)*AD243)</f>
        <v>0</v>
      </c>
      <c r="AE768" s="652">
        <f>IF($B768="",,SUMIFS(PerHeadcount[Month 20],PerHeadcount[exp_item],$H768,PerHeadcount[company_name],$B768)*AE243)</f>
        <v>0</v>
      </c>
      <c r="AF768" s="652">
        <f>IF($B768="",,SUMIFS(PerHeadcount[Month 21],PerHeadcount[exp_item],$H768,PerHeadcount[company_name],$B768)*AF243)</f>
        <v>0</v>
      </c>
      <c r="AG768" s="652">
        <f>IF($B768="",,SUMIFS(PerHeadcount[Month 22],PerHeadcount[exp_item],$H768,PerHeadcount[company_name],$B768)*AG243)</f>
        <v>0</v>
      </c>
      <c r="AH768" s="652">
        <f>IF($B768="",,SUMIFS(PerHeadcount[Month 23],PerHeadcount[exp_item],$H768,PerHeadcount[company_name],$B768)*AH243)</f>
        <v>0</v>
      </c>
      <c r="AI768" s="652">
        <f>IF($B768="",,SUMIFS(PerHeadcount[Month 24],PerHeadcount[exp_item],$H768,PerHeadcount[company_name],$B768)*AI243)</f>
        <v>0</v>
      </c>
      <c r="AJ768" s="652">
        <f>IF($B768="",,SUMIFS(PerHeadcount[Month 25],PerHeadcount[exp_item],$H768,PerHeadcount[company_name],$B768)*AJ243)</f>
        <v>0</v>
      </c>
      <c r="AK768" s="652">
        <f>IF($B768="",,SUMIFS(PerHeadcount[Month 26],PerHeadcount[exp_item],$H768,PerHeadcount[company_name],$B768)*AK243)</f>
        <v>0</v>
      </c>
      <c r="AL768" s="652">
        <f>IF($B768="",,SUMIFS(PerHeadcount[Month 27],PerHeadcount[exp_item],$H768,PerHeadcount[company_name],$B768)*AL243)</f>
        <v>0</v>
      </c>
      <c r="AM768" s="652">
        <f>IF($B768="",,SUMIFS(PerHeadcount[Month 28],PerHeadcount[exp_item],$H768,PerHeadcount[company_name],$B768)*AM243)</f>
        <v>0</v>
      </c>
      <c r="AN768" s="652">
        <f>IF($B768="",,SUMIFS(PerHeadcount[Month 29],PerHeadcount[exp_item],$H768,PerHeadcount[company_name],$B768)*AN243)</f>
        <v>0</v>
      </c>
      <c r="AO768" s="652">
        <f>IF($B768="",,SUMIFS(PerHeadcount[Month 30],PerHeadcount[exp_item],$H768,PerHeadcount[company_name],$B768)*AO243)</f>
        <v>0</v>
      </c>
      <c r="AP768" s="652">
        <f>IF($B768="",,SUMIFS(PerHeadcount[Month 31],PerHeadcount[exp_item],$H768,PerHeadcount[company_name],$B768)*AP243)</f>
        <v>0</v>
      </c>
      <c r="AQ768" s="652">
        <f>IF($B768="",,SUMIFS(PerHeadcount[Month 32],PerHeadcount[exp_item],$H768,PerHeadcount[company_name],$B768)*AQ243)</f>
        <v>0</v>
      </c>
      <c r="AR768" s="652">
        <f>IF($B768="",,SUMIFS(PerHeadcount[Month 33],PerHeadcount[exp_item],$H768,PerHeadcount[company_name],$B768)*AR243)</f>
        <v>0</v>
      </c>
      <c r="AS768" s="652">
        <f>IF($B768="",,SUMIFS(PerHeadcount[Month 34],PerHeadcount[exp_item],$H768,PerHeadcount[company_name],$B768)*AS243)</f>
        <v>0</v>
      </c>
      <c r="AT768" s="652">
        <f>IF($B768="",,SUMIFS(PerHeadcount[Month 35],PerHeadcount[exp_item],$H768,PerHeadcount[company_name],$B768)*AT243)</f>
        <v>0</v>
      </c>
      <c r="AU768" s="652">
        <f>IF($B768="",,SUMIFS(PerHeadcount[Month 36],PerHeadcount[exp_item],$H768,PerHeadcount[company_name],$B768)*AU243)</f>
        <v>0</v>
      </c>
    </row>
    <row r="769" spans="2:47" x14ac:dyDescent="0.35">
      <c r="B769" t="str">
        <f t="shared" si="435"/>
        <v/>
      </c>
      <c r="C769" t="str">
        <f t="shared" si="435"/>
        <v/>
      </c>
      <c r="D769" t="str">
        <f t="shared" si="435"/>
        <v/>
      </c>
      <c r="E769" t="str">
        <f t="shared" si="435"/>
        <v/>
      </c>
      <c r="F769" t="str">
        <f t="shared" si="435"/>
        <v/>
      </c>
      <c r="G769" t="str">
        <f t="shared" si="435"/>
        <v/>
      </c>
      <c r="H769" t="str">
        <f t="shared" si="429"/>
        <v/>
      </c>
      <c r="J769" t="str">
        <f>IF($H769="","",IF(VLOOKUP(H769,ExpItems[],2,0),H769&amp;" - "&amp;INDEX(DivisionMapping[category_code],MATCH($D769&amp;$C769,DivisionMapping[dept_bu],0)),H769))</f>
        <v/>
      </c>
      <c r="K769" t="str">
        <f t="shared" si="430"/>
        <v/>
      </c>
      <c r="L769" s="652">
        <f>IF($B769="",,SUMIFS(PerHeadcount[Month 1],PerHeadcount[exp_item],$H769,PerHeadcount[company_name],$B769)*L244)</f>
        <v>0</v>
      </c>
      <c r="M769" s="652">
        <f>IF($B769="",,SUMIFS(PerHeadcount[Month 2],PerHeadcount[exp_item],$H769,PerHeadcount[company_name],$B769)*M244)</f>
        <v>0</v>
      </c>
      <c r="N769" s="652">
        <f>IF($B769="",,SUMIFS(PerHeadcount[Month 3],PerHeadcount[exp_item],$H769,PerHeadcount[company_name],$B769)*N244)</f>
        <v>0</v>
      </c>
      <c r="O769" s="652">
        <f>IF($B769="",,SUMIFS(PerHeadcount[Month 4],PerHeadcount[exp_item],$H769,PerHeadcount[company_name],$B769)*O244)</f>
        <v>0</v>
      </c>
      <c r="P769" s="652">
        <f>IF($B769="",,SUMIFS(PerHeadcount[Month 5],PerHeadcount[exp_item],$H769,PerHeadcount[company_name],$B769)*P244)</f>
        <v>0</v>
      </c>
      <c r="Q769" s="652">
        <f>IF($B769="",,SUMIFS(PerHeadcount[Month 6],PerHeadcount[exp_item],$H769,PerHeadcount[company_name],$B769)*Q244)</f>
        <v>0</v>
      </c>
      <c r="R769" s="652">
        <f>IF($B769="",,SUMIFS(PerHeadcount[Month 7],PerHeadcount[exp_item],$H769,PerHeadcount[company_name],$B769)*R244)</f>
        <v>0</v>
      </c>
      <c r="S769" s="652">
        <f>IF($B769="",,SUMIFS(PerHeadcount[Month 8],PerHeadcount[exp_item],$H769,PerHeadcount[company_name],$B769)*S244)</f>
        <v>0</v>
      </c>
      <c r="T769" s="652">
        <f>IF($B769="",,SUMIFS(PerHeadcount[Month 9],PerHeadcount[exp_item],$H769,PerHeadcount[company_name],$B769)*T244)</f>
        <v>0</v>
      </c>
      <c r="U769" s="652">
        <f>IF($B769="",,SUMIFS(PerHeadcount[Month 10],PerHeadcount[exp_item],$H769,PerHeadcount[company_name],$B769)*U244)</f>
        <v>0</v>
      </c>
      <c r="V769" s="652">
        <f>IF($B769="",,SUMIFS(PerHeadcount[Month 11],PerHeadcount[exp_item],$H769,PerHeadcount[company_name],$B769)*V244)</f>
        <v>0</v>
      </c>
      <c r="W769" s="652">
        <f>IF($B769="",,SUMIFS(PerHeadcount[Month 12],PerHeadcount[exp_item],$H769,PerHeadcount[company_name],$B769)*W244)</f>
        <v>0</v>
      </c>
      <c r="X769" s="652">
        <f>IF($B769="",,SUMIFS(PerHeadcount[Month 13],PerHeadcount[exp_item],$H769,PerHeadcount[company_name],$B769)*X244)</f>
        <v>0</v>
      </c>
      <c r="Y769" s="652">
        <f>IF($B769="",,SUMIFS(PerHeadcount[Month 14],PerHeadcount[exp_item],$H769,PerHeadcount[company_name],$B769)*Y244)</f>
        <v>0</v>
      </c>
      <c r="Z769" s="652">
        <f>IF($B769="",,SUMIFS(PerHeadcount[Month 15],PerHeadcount[exp_item],$H769,PerHeadcount[company_name],$B769)*Z244)</f>
        <v>0</v>
      </c>
      <c r="AA769" s="652">
        <f>IF($B769="",,SUMIFS(PerHeadcount[Month 16],PerHeadcount[exp_item],$H769,PerHeadcount[company_name],$B769)*AA244)</f>
        <v>0</v>
      </c>
      <c r="AB769" s="652">
        <f>IF($B769="",,SUMIFS(PerHeadcount[Month 17],PerHeadcount[exp_item],$H769,PerHeadcount[company_name],$B769)*AB244)</f>
        <v>0</v>
      </c>
      <c r="AC769" s="652">
        <f>IF($B769="",,SUMIFS(PerHeadcount[Month 18],PerHeadcount[exp_item],$H769,PerHeadcount[company_name],$B769)*AC244)</f>
        <v>0</v>
      </c>
      <c r="AD769" s="652">
        <f>IF($B769="",,SUMIFS(PerHeadcount[Month 19],PerHeadcount[exp_item],$H769,PerHeadcount[company_name],$B769)*AD244)</f>
        <v>0</v>
      </c>
      <c r="AE769" s="652">
        <f>IF($B769="",,SUMIFS(PerHeadcount[Month 20],PerHeadcount[exp_item],$H769,PerHeadcount[company_name],$B769)*AE244)</f>
        <v>0</v>
      </c>
      <c r="AF769" s="652">
        <f>IF($B769="",,SUMIFS(PerHeadcount[Month 21],PerHeadcount[exp_item],$H769,PerHeadcount[company_name],$B769)*AF244)</f>
        <v>0</v>
      </c>
      <c r="AG769" s="652">
        <f>IF($B769="",,SUMIFS(PerHeadcount[Month 22],PerHeadcount[exp_item],$H769,PerHeadcount[company_name],$B769)*AG244)</f>
        <v>0</v>
      </c>
      <c r="AH769" s="652">
        <f>IF($B769="",,SUMIFS(PerHeadcount[Month 23],PerHeadcount[exp_item],$H769,PerHeadcount[company_name],$B769)*AH244)</f>
        <v>0</v>
      </c>
      <c r="AI769" s="652">
        <f>IF($B769="",,SUMIFS(PerHeadcount[Month 24],PerHeadcount[exp_item],$H769,PerHeadcount[company_name],$B769)*AI244)</f>
        <v>0</v>
      </c>
      <c r="AJ769" s="652">
        <f>IF($B769="",,SUMIFS(PerHeadcount[Month 25],PerHeadcount[exp_item],$H769,PerHeadcount[company_name],$B769)*AJ244)</f>
        <v>0</v>
      </c>
      <c r="AK769" s="652">
        <f>IF($B769="",,SUMIFS(PerHeadcount[Month 26],PerHeadcount[exp_item],$H769,PerHeadcount[company_name],$B769)*AK244)</f>
        <v>0</v>
      </c>
      <c r="AL769" s="652">
        <f>IF($B769="",,SUMIFS(PerHeadcount[Month 27],PerHeadcount[exp_item],$H769,PerHeadcount[company_name],$B769)*AL244)</f>
        <v>0</v>
      </c>
      <c r="AM769" s="652">
        <f>IF($B769="",,SUMIFS(PerHeadcount[Month 28],PerHeadcount[exp_item],$H769,PerHeadcount[company_name],$B769)*AM244)</f>
        <v>0</v>
      </c>
      <c r="AN769" s="652">
        <f>IF($B769="",,SUMIFS(PerHeadcount[Month 29],PerHeadcount[exp_item],$H769,PerHeadcount[company_name],$B769)*AN244)</f>
        <v>0</v>
      </c>
      <c r="AO769" s="652">
        <f>IF($B769="",,SUMIFS(PerHeadcount[Month 30],PerHeadcount[exp_item],$H769,PerHeadcount[company_name],$B769)*AO244)</f>
        <v>0</v>
      </c>
      <c r="AP769" s="652">
        <f>IF($B769="",,SUMIFS(PerHeadcount[Month 31],PerHeadcount[exp_item],$H769,PerHeadcount[company_name],$B769)*AP244)</f>
        <v>0</v>
      </c>
      <c r="AQ769" s="652">
        <f>IF($B769="",,SUMIFS(PerHeadcount[Month 32],PerHeadcount[exp_item],$H769,PerHeadcount[company_name],$B769)*AQ244)</f>
        <v>0</v>
      </c>
      <c r="AR769" s="652">
        <f>IF($B769="",,SUMIFS(PerHeadcount[Month 33],PerHeadcount[exp_item],$H769,PerHeadcount[company_name],$B769)*AR244)</f>
        <v>0</v>
      </c>
      <c r="AS769" s="652">
        <f>IF($B769="",,SUMIFS(PerHeadcount[Month 34],PerHeadcount[exp_item],$H769,PerHeadcount[company_name],$B769)*AS244)</f>
        <v>0</v>
      </c>
      <c r="AT769" s="652">
        <f>IF($B769="",,SUMIFS(PerHeadcount[Month 35],PerHeadcount[exp_item],$H769,PerHeadcount[company_name],$B769)*AT244)</f>
        <v>0</v>
      </c>
      <c r="AU769" s="652">
        <f>IF($B769="",,SUMIFS(PerHeadcount[Month 36],PerHeadcount[exp_item],$H769,PerHeadcount[company_name],$B769)*AU244)</f>
        <v>0</v>
      </c>
    </row>
    <row r="770" spans="2:47" x14ac:dyDescent="0.35">
      <c r="B770" t="str">
        <f t="shared" si="435"/>
        <v/>
      </c>
      <c r="C770" t="str">
        <f t="shared" si="435"/>
        <v/>
      </c>
      <c r="D770" t="str">
        <f t="shared" si="435"/>
        <v/>
      </c>
      <c r="E770" t="str">
        <f t="shared" si="435"/>
        <v/>
      </c>
      <c r="F770" t="str">
        <f t="shared" si="435"/>
        <v/>
      </c>
      <c r="G770" t="str">
        <f t="shared" si="435"/>
        <v/>
      </c>
      <c r="H770" t="str">
        <f t="shared" si="429"/>
        <v/>
      </c>
      <c r="J770" t="str">
        <f>IF($H770="","",IF(VLOOKUP(H770,ExpItems[],2,0),H770&amp;" - "&amp;INDEX(DivisionMapping[category_code],MATCH($D770&amp;$C770,DivisionMapping[dept_bu],0)),H770))</f>
        <v/>
      </c>
      <c r="K770" t="str">
        <f t="shared" si="430"/>
        <v/>
      </c>
      <c r="L770" s="652">
        <f>IF($B770="",,SUMIFS(PerHeadcount[Month 1],PerHeadcount[exp_item],$H770,PerHeadcount[company_name],$B770)*L245)</f>
        <v>0</v>
      </c>
      <c r="M770" s="652">
        <f>IF($B770="",,SUMIFS(PerHeadcount[Month 2],PerHeadcount[exp_item],$H770,PerHeadcount[company_name],$B770)*M245)</f>
        <v>0</v>
      </c>
      <c r="N770" s="652">
        <f>IF($B770="",,SUMIFS(PerHeadcount[Month 3],PerHeadcount[exp_item],$H770,PerHeadcount[company_name],$B770)*N245)</f>
        <v>0</v>
      </c>
      <c r="O770" s="652">
        <f>IF($B770="",,SUMIFS(PerHeadcount[Month 4],PerHeadcount[exp_item],$H770,PerHeadcount[company_name],$B770)*O245)</f>
        <v>0</v>
      </c>
      <c r="P770" s="652">
        <f>IF($B770="",,SUMIFS(PerHeadcount[Month 5],PerHeadcount[exp_item],$H770,PerHeadcount[company_name],$B770)*P245)</f>
        <v>0</v>
      </c>
      <c r="Q770" s="652">
        <f>IF($B770="",,SUMIFS(PerHeadcount[Month 6],PerHeadcount[exp_item],$H770,PerHeadcount[company_name],$B770)*Q245)</f>
        <v>0</v>
      </c>
      <c r="R770" s="652">
        <f>IF($B770="",,SUMIFS(PerHeadcount[Month 7],PerHeadcount[exp_item],$H770,PerHeadcount[company_name],$B770)*R245)</f>
        <v>0</v>
      </c>
      <c r="S770" s="652">
        <f>IF($B770="",,SUMIFS(PerHeadcount[Month 8],PerHeadcount[exp_item],$H770,PerHeadcount[company_name],$B770)*S245)</f>
        <v>0</v>
      </c>
      <c r="T770" s="652">
        <f>IF($B770="",,SUMIFS(PerHeadcount[Month 9],PerHeadcount[exp_item],$H770,PerHeadcount[company_name],$B770)*T245)</f>
        <v>0</v>
      </c>
      <c r="U770" s="652">
        <f>IF($B770="",,SUMIFS(PerHeadcount[Month 10],PerHeadcount[exp_item],$H770,PerHeadcount[company_name],$B770)*U245)</f>
        <v>0</v>
      </c>
      <c r="V770" s="652">
        <f>IF($B770="",,SUMIFS(PerHeadcount[Month 11],PerHeadcount[exp_item],$H770,PerHeadcount[company_name],$B770)*V245)</f>
        <v>0</v>
      </c>
      <c r="W770" s="652">
        <f>IF($B770="",,SUMIFS(PerHeadcount[Month 12],PerHeadcount[exp_item],$H770,PerHeadcount[company_name],$B770)*W245)</f>
        <v>0</v>
      </c>
      <c r="X770" s="652">
        <f>IF($B770="",,SUMIFS(PerHeadcount[Month 13],PerHeadcount[exp_item],$H770,PerHeadcount[company_name],$B770)*X245)</f>
        <v>0</v>
      </c>
      <c r="Y770" s="652">
        <f>IF($B770="",,SUMIFS(PerHeadcount[Month 14],PerHeadcount[exp_item],$H770,PerHeadcount[company_name],$B770)*Y245)</f>
        <v>0</v>
      </c>
      <c r="Z770" s="652">
        <f>IF($B770="",,SUMIFS(PerHeadcount[Month 15],PerHeadcount[exp_item],$H770,PerHeadcount[company_name],$B770)*Z245)</f>
        <v>0</v>
      </c>
      <c r="AA770" s="652">
        <f>IF($B770="",,SUMIFS(PerHeadcount[Month 16],PerHeadcount[exp_item],$H770,PerHeadcount[company_name],$B770)*AA245)</f>
        <v>0</v>
      </c>
      <c r="AB770" s="652">
        <f>IF($B770="",,SUMIFS(PerHeadcount[Month 17],PerHeadcount[exp_item],$H770,PerHeadcount[company_name],$B770)*AB245)</f>
        <v>0</v>
      </c>
      <c r="AC770" s="652">
        <f>IF($B770="",,SUMIFS(PerHeadcount[Month 18],PerHeadcount[exp_item],$H770,PerHeadcount[company_name],$B770)*AC245)</f>
        <v>0</v>
      </c>
      <c r="AD770" s="652">
        <f>IF($B770="",,SUMIFS(PerHeadcount[Month 19],PerHeadcount[exp_item],$H770,PerHeadcount[company_name],$B770)*AD245)</f>
        <v>0</v>
      </c>
      <c r="AE770" s="652">
        <f>IF($B770="",,SUMIFS(PerHeadcount[Month 20],PerHeadcount[exp_item],$H770,PerHeadcount[company_name],$B770)*AE245)</f>
        <v>0</v>
      </c>
      <c r="AF770" s="652">
        <f>IF($B770="",,SUMIFS(PerHeadcount[Month 21],PerHeadcount[exp_item],$H770,PerHeadcount[company_name],$B770)*AF245)</f>
        <v>0</v>
      </c>
      <c r="AG770" s="652">
        <f>IF($B770="",,SUMIFS(PerHeadcount[Month 22],PerHeadcount[exp_item],$H770,PerHeadcount[company_name],$B770)*AG245)</f>
        <v>0</v>
      </c>
      <c r="AH770" s="652">
        <f>IF($B770="",,SUMIFS(PerHeadcount[Month 23],PerHeadcount[exp_item],$H770,PerHeadcount[company_name],$B770)*AH245)</f>
        <v>0</v>
      </c>
      <c r="AI770" s="652">
        <f>IF($B770="",,SUMIFS(PerHeadcount[Month 24],PerHeadcount[exp_item],$H770,PerHeadcount[company_name],$B770)*AI245)</f>
        <v>0</v>
      </c>
      <c r="AJ770" s="652">
        <f>IF($B770="",,SUMIFS(PerHeadcount[Month 25],PerHeadcount[exp_item],$H770,PerHeadcount[company_name],$B770)*AJ245)</f>
        <v>0</v>
      </c>
      <c r="AK770" s="652">
        <f>IF($B770="",,SUMIFS(PerHeadcount[Month 26],PerHeadcount[exp_item],$H770,PerHeadcount[company_name],$B770)*AK245)</f>
        <v>0</v>
      </c>
      <c r="AL770" s="652">
        <f>IF($B770="",,SUMIFS(PerHeadcount[Month 27],PerHeadcount[exp_item],$H770,PerHeadcount[company_name],$B770)*AL245)</f>
        <v>0</v>
      </c>
      <c r="AM770" s="652">
        <f>IF($B770="",,SUMIFS(PerHeadcount[Month 28],PerHeadcount[exp_item],$H770,PerHeadcount[company_name],$B770)*AM245)</f>
        <v>0</v>
      </c>
      <c r="AN770" s="652">
        <f>IF($B770="",,SUMIFS(PerHeadcount[Month 29],PerHeadcount[exp_item],$H770,PerHeadcount[company_name],$B770)*AN245)</f>
        <v>0</v>
      </c>
      <c r="AO770" s="652">
        <f>IF($B770="",,SUMIFS(PerHeadcount[Month 30],PerHeadcount[exp_item],$H770,PerHeadcount[company_name],$B770)*AO245)</f>
        <v>0</v>
      </c>
      <c r="AP770" s="652">
        <f>IF($B770="",,SUMIFS(PerHeadcount[Month 31],PerHeadcount[exp_item],$H770,PerHeadcount[company_name],$B770)*AP245)</f>
        <v>0</v>
      </c>
      <c r="AQ770" s="652">
        <f>IF($B770="",,SUMIFS(PerHeadcount[Month 32],PerHeadcount[exp_item],$H770,PerHeadcount[company_name],$B770)*AQ245)</f>
        <v>0</v>
      </c>
      <c r="AR770" s="652">
        <f>IF($B770="",,SUMIFS(PerHeadcount[Month 33],PerHeadcount[exp_item],$H770,PerHeadcount[company_name],$B770)*AR245)</f>
        <v>0</v>
      </c>
      <c r="AS770" s="652">
        <f>IF($B770="",,SUMIFS(PerHeadcount[Month 34],PerHeadcount[exp_item],$H770,PerHeadcount[company_name],$B770)*AS245)</f>
        <v>0</v>
      </c>
      <c r="AT770" s="652">
        <f>IF($B770="",,SUMIFS(PerHeadcount[Month 35],PerHeadcount[exp_item],$H770,PerHeadcount[company_name],$B770)*AT245)</f>
        <v>0</v>
      </c>
      <c r="AU770" s="652">
        <f>IF($B770="",,SUMIFS(PerHeadcount[Month 36],PerHeadcount[exp_item],$H770,PerHeadcount[company_name],$B770)*AU245)</f>
        <v>0</v>
      </c>
    </row>
    <row r="771" spans="2:47" x14ac:dyDescent="0.35">
      <c r="B771" t="str">
        <f t="shared" ref="B771:G780" si="436">IF(B666="","",B666)</f>
        <v/>
      </c>
      <c r="C771" t="str">
        <f t="shared" si="436"/>
        <v/>
      </c>
      <c r="D771" t="str">
        <f t="shared" si="436"/>
        <v/>
      </c>
      <c r="E771" t="str">
        <f t="shared" si="436"/>
        <v/>
      </c>
      <c r="F771" t="str">
        <f t="shared" si="436"/>
        <v/>
      </c>
      <c r="G771" t="str">
        <f t="shared" si="436"/>
        <v/>
      </c>
      <c r="H771" t="str">
        <f t="shared" si="429"/>
        <v/>
      </c>
      <c r="J771" t="str">
        <f>IF($H771="","",IF(VLOOKUP(H771,ExpItems[],2,0),H771&amp;" - "&amp;INDEX(DivisionMapping[category_code],MATCH($D771&amp;$C771,DivisionMapping[dept_bu],0)),H771))</f>
        <v/>
      </c>
      <c r="K771" t="str">
        <f t="shared" si="430"/>
        <v/>
      </c>
      <c r="L771" s="652">
        <f>IF($B771="",,SUMIFS(PerHeadcount[Month 1],PerHeadcount[exp_item],$H771,PerHeadcount[company_name],$B771)*L246)</f>
        <v>0</v>
      </c>
      <c r="M771" s="652">
        <f>IF($B771="",,SUMIFS(PerHeadcount[Month 2],PerHeadcount[exp_item],$H771,PerHeadcount[company_name],$B771)*M246)</f>
        <v>0</v>
      </c>
      <c r="N771" s="652">
        <f>IF($B771="",,SUMIFS(PerHeadcount[Month 3],PerHeadcount[exp_item],$H771,PerHeadcount[company_name],$B771)*N246)</f>
        <v>0</v>
      </c>
      <c r="O771" s="652">
        <f>IF($B771="",,SUMIFS(PerHeadcount[Month 4],PerHeadcount[exp_item],$H771,PerHeadcount[company_name],$B771)*O246)</f>
        <v>0</v>
      </c>
      <c r="P771" s="652">
        <f>IF($B771="",,SUMIFS(PerHeadcount[Month 5],PerHeadcount[exp_item],$H771,PerHeadcount[company_name],$B771)*P246)</f>
        <v>0</v>
      </c>
      <c r="Q771" s="652">
        <f>IF($B771="",,SUMIFS(PerHeadcount[Month 6],PerHeadcount[exp_item],$H771,PerHeadcount[company_name],$B771)*Q246)</f>
        <v>0</v>
      </c>
      <c r="R771" s="652">
        <f>IF($B771="",,SUMIFS(PerHeadcount[Month 7],PerHeadcount[exp_item],$H771,PerHeadcount[company_name],$B771)*R246)</f>
        <v>0</v>
      </c>
      <c r="S771" s="652">
        <f>IF($B771="",,SUMIFS(PerHeadcount[Month 8],PerHeadcount[exp_item],$H771,PerHeadcount[company_name],$B771)*S246)</f>
        <v>0</v>
      </c>
      <c r="T771" s="652">
        <f>IF($B771="",,SUMIFS(PerHeadcount[Month 9],PerHeadcount[exp_item],$H771,PerHeadcount[company_name],$B771)*T246)</f>
        <v>0</v>
      </c>
      <c r="U771" s="652">
        <f>IF($B771="",,SUMIFS(PerHeadcount[Month 10],PerHeadcount[exp_item],$H771,PerHeadcount[company_name],$B771)*U246)</f>
        <v>0</v>
      </c>
      <c r="V771" s="652">
        <f>IF($B771="",,SUMIFS(PerHeadcount[Month 11],PerHeadcount[exp_item],$H771,PerHeadcount[company_name],$B771)*V246)</f>
        <v>0</v>
      </c>
      <c r="W771" s="652">
        <f>IF($B771="",,SUMIFS(PerHeadcount[Month 12],PerHeadcount[exp_item],$H771,PerHeadcount[company_name],$B771)*W246)</f>
        <v>0</v>
      </c>
      <c r="X771" s="652">
        <f>IF($B771="",,SUMIFS(PerHeadcount[Month 13],PerHeadcount[exp_item],$H771,PerHeadcount[company_name],$B771)*X246)</f>
        <v>0</v>
      </c>
      <c r="Y771" s="652">
        <f>IF($B771="",,SUMIFS(PerHeadcount[Month 14],PerHeadcount[exp_item],$H771,PerHeadcount[company_name],$B771)*Y246)</f>
        <v>0</v>
      </c>
      <c r="Z771" s="652">
        <f>IF($B771="",,SUMIFS(PerHeadcount[Month 15],PerHeadcount[exp_item],$H771,PerHeadcount[company_name],$B771)*Z246)</f>
        <v>0</v>
      </c>
      <c r="AA771" s="652">
        <f>IF($B771="",,SUMIFS(PerHeadcount[Month 16],PerHeadcount[exp_item],$H771,PerHeadcount[company_name],$B771)*AA246)</f>
        <v>0</v>
      </c>
      <c r="AB771" s="652">
        <f>IF($B771="",,SUMIFS(PerHeadcount[Month 17],PerHeadcount[exp_item],$H771,PerHeadcount[company_name],$B771)*AB246)</f>
        <v>0</v>
      </c>
      <c r="AC771" s="652">
        <f>IF($B771="",,SUMIFS(PerHeadcount[Month 18],PerHeadcount[exp_item],$H771,PerHeadcount[company_name],$B771)*AC246)</f>
        <v>0</v>
      </c>
      <c r="AD771" s="652">
        <f>IF($B771="",,SUMIFS(PerHeadcount[Month 19],PerHeadcount[exp_item],$H771,PerHeadcount[company_name],$B771)*AD246)</f>
        <v>0</v>
      </c>
      <c r="AE771" s="652">
        <f>IF($B771="",,SUMIFS(PerHeadcount[Month 20],PerHeadcount[exp_item],$H771,PerHeadcount[company_name],$B771)*AE246)</f>
        <v>0</v>
      </c>
      <c r="AF771" s="652">
        <f>IF($B771="",,SUMIFS(PerHeadcount[Month 21],PerHeadcount[exp_item],$H771,PerHeadcount[company_name],$B771)*AF246)</f>
        <v>0</v>
      </c>
      <c r="AG771" s="652">
        <f>IF($B771="",,SUMIFS(PerHeadcount[Month 22],PerHeadcount[exp_item],$H771,PerHeadcount[company_name],$B771)*AG246)</f>
        <v>0</v>
      </c>
      <c r="AH771" s="652">
        <f>IF($B771="",,SUMIFS(PerHeadcount[Month 23],PerHeadcount[exp_item],$H771,PerHeadcount[company_name],$B771)*AH246)</f>
        <v>0</v>
      </c>
      <c r="AI771" s="652">
        <f>IF($B771="",,SUMIFS(PerHeadcount[Month 24],PerHeadcount[exp_item],$H771,PerHeadcount[company_name],$B771)*AI246)</f>
        <v>0</v>
      </c>
      <c r="AJ771" s="652">
        <f>IF($B771="",,SUMIFS(PerHeadcount[Month 25],PerHeadcount[exp_item],$H771,PerHeadcount[company_name],$B771)*AJ246)</f>
        <v>0</v>
      </c>
      <c r="AK771" s="652">
        <f>IF($B771="",,SUMIFS(PerHeadcount[Month 26],PerHeadcount[exp_item],$H771,PerHeadcount[company_name],$B771)*AK246)</f>
        <v>0</v>
      </c>
      <c r="AL771" s="652">
        <f>IF($B771="",,SUMIFS(PerHeadcount[Month 27],PerHeadcount[exp_item],$H771,PerHeadcount[company_name],$B771)*AL246)</f>
        <v>0</v>
      </c>
      <c r="AM771" s="652">
        <f>IF($B771="",,SUMIFS(PerHeadcount[Month 28],PerHeadcount[exp_item],$H771,PerHeadcount[company_name],$B771)*AM246)</f>
        <v>0</v>
      </c>
      <c r="AN771" s="652">
        <f>IF($B771="",,SUMIFS(PerHeadcount[Month 29],PerHeadcount[exp_item],$H771,PerHeadcount[company_name],$B771)*AN246)</f>
        <v>0</v>
      </c>
      <c r="AO771" s="652">
        <f>IF($B771="",,SUMIFS(PerHeadcount[Month 30],PerHeadcount[exp_item],$H771,PerHeadcount[company_name],$B771)*AO246)</f>
        <v>0</v>
      </c>
      <c r="AP771" s="652">
        <f>IF($B771="",,SUMIFS(PerHeadcount[Month 31],PerHeadcount[exp_item],$H771,PerHeadcount[company_name],$B771)*AP246)</f>
        <v>0</v>
      </c>
      <c r="AQ771" s="652">
        <f>IF($B771="",,SUMIFS(PerHeadcount[Month 32],PerHeadcount[exp_item],$H771,PerHeadcount[company_name],$B771)*AQ246)</f>
        <v>0</v>
      </c>
      <c r="AR771" s="652">
        <f>IF($B771="",,SUMIFS(PerHeadcount[Month 33],PerHeadcount[exp_item],$H771,PerHeadcount[company_name],$B771)*AR246)</f>
        <v>0</v>
      </c>
      <c r="AS771" s="652">
        <f>IF($B771="",,SUMIFS(PerHeadcount[Month 34],PerHeadcount[exp_item],$H771,PerHeadcount[company_name],$B771)*AS246)</f>
        <v>0</v>
      </c>
      <c r="AT771" s="652">
        <f>IF($B771="",,SUMIFS(PerHeadcount[Month 35],PerHeadcount[exp_item],$H771,PerHeadcount[company_name],$B771)*AT246)</f>
        <v>0</v>
      </c>
      <c r="AU771" s="652">
        <f>IF($B771="",,SUMIFS(PerHeadcount[Month 36],PerHeadcount[exp_item],$H771,PerHeadcount[company_name],$B771)*AU246)</f>
        <v>0</v>
      </c>
    </row>
    <row r="772" spans="2:47" x14ac:dyDescent="0.35">
      <c r="B772" t="str">
        <f t="shared" si="436"/>
        <v/>
      </c>
      <c r="C772" t="str">
        <f t="shared" si="436"/>
        <v/>
      </c>
      <c r="D772" t="str">
        <f t="shared" si="436"/>
        <v/>
      </c>
      <c r="E772" t="str">
        <f t="shared" si="436"/>
        <v/>
      </c>
      <c r="F772" t="str">
        <f t="shared" si="436"/>
        <v/>
      </c>
      <c r="G772" t="str">
        <f t="shared" si="436"/>
        <v/>
      </c>
      <c r="H772" t="str">
        <f t="shared" si="429"/>
        <v/>
      </c>
      <c r="J772" t="str">
        <f>IF($H772="","",IF(VLOOKUP(H772,ExpItems[],2,0),H772&amp;" - "&amp;INDEX(DivisionMapping[category_code],MATCH($D772&amp;$C772,DivisionMapping[dept_bu],0)),H772))</f>
        <v/>
      </c>
      <c r="K772" t="str">
        <f t="shared" si="430"/>
        <v/>
      </c>
      <c r="L772" s="652">
        <f>IF($B772="",,SUMIFS(PerHeadcount[Month 1],PerHeadcount[exp_item],$H772,PerHeadcount[company_name],$B772)*L247)</f>
        <v>0</v>
      </c>
      <c r="M772" s="652">
        <f>IF($B772="",,SUMIFS(PerHeadcount[Month 2],PerHeadcount[exp_item],$H772,PerHeadcount[company_name],$B772)*M247)</f>
        <v>0</v>
      </c>
      <c r="N772" s="652">
        <f>IF($B772="",,SUMIFS(PerHeadcount[Month 3],PerHeadcount[exp_item],$H772,PerHeadcount[company_name],$B772)*N247)</f>
        <v>0</v>
      </c>
      <c r="O772" s="652">
        <f>IF($B772="",,SUMIFS(PerHeadcount[Month 4],PerHeadcount[exp_item],$H772,PerHeadcount[company_name],$B772)*O247)</f>
        <v>0</v>
      </c>
      <c r="P772" s="652">
        <f>IF($B772="",,SUMIFS(PerHeadcount[Month 5],PerHeadcount[exp_item],$H772,PerHeadcount[company_name],$B772)*P247)</f>
        <v>0</v>
      </c>
      <c r="Q772" s="652">
        <f>IF($B772="",,SUMIFS(PerHeadcount[Month 6],PerHeadcount[exp_item],$H772,PerHeadcount[company_name],$B772)*Q247)</f>
        <v>0</v>
      </c>
      <c r="R772" s="652">
        <f>IF($B772="",,SUMIFS(PerHeadcount[Month 7],PerHeadcount[exp_item],$H772,PerHeadcount[company_name],$B772)*R247)</f>
        <v>0</v>
      </c>
      <c r="S772" s="652">
        <f>IF($B772="",,SUMIFS(PerHeadcount[Month 8],PerHeadcount[exp_item],$H772,PerHeadcount[company_name],$B772)*S247)</f>
        <v>0</v>
      </c>
      <c r="T772" s="652">
        <f>IF($B772="",,SUMIFS(PerHeadcount[Month 9],PerHeadcount[exp_item],$H772,PerHeadcount[company_name],$B772)*T247)</f>
        <v>0</v>
      </c>
      <c r="U772" s="652">
        <f>IF($B772="",,SUMIFS(PerHeadcount[Month 10],PerHeadcount[exp_item],$H772,PerHeadcount[company_name],$B772)*U247)</f>
        <v>0</v>
      </c>
      <c r="V772" s="652">
        <f>IF($B772="",,SUMIFS(PerHeadcount[Month 11],PerHeadcount[exp_item],$H772,PerHeadcount[company_name],$B772)*V247)</f>
        <v>0</v>
      </c>
      <c r="W772" s="652">
        <f>IF($B772="",,SUMIFS(PerHeadcount[Month 12],PerHeadcount[exp_item],$H772,PerHeadcount[company_name],$B772)*W247)</f>
        <v>0</v>
      </c>
      <c r="X772" s="652">
        <f>IF($B772="",,SUMIFS(PerHeadcount[Month 13],PerHeadcount[exp_item],$H772,PerHeadcount[company_name],$B772)*X247)</f>
        <v>0</v>
      </c>
      <c r="Y772" s="652">
        <f>IF($B772="",,SUMIFS(PerHeadcount[Month 14],PerHeadcount[exp_item],$H772,PerHeadcount[company_name],$B772)*Y247)</f>
        <v>0</v>
      </c>
      <c r="Z772" s="652">
        <f>IF($B772="",,SUMIFS(PerHeadcount[Month 15],PerHeadcount[exp_item],$H772,PerHeadcount[company_name],$B772)*Z247)</f>
        <v>0</v>
      </c>
      <c r="AA772" s="652">
        <f>IF($B772="",,SUMIFS(PerHeadcount[Month 16],PerHeadcount[exp_item],$H772,PerHeadcount[company_name],$B772)*AA247)</f>
        <v>0</v>
      </c>
      <c r="AB772" s="652">
        <f>IF($B772="",,SUMIFS(PerHeadcount[Month 17],PerHeadcount[exp_item],$H772,PerHeadcount[company_name],$B772)*AB247)</f>
        <v>0</v>
      </c>
      <c r="AC772" s="652">
        <f>IF($B772="",,SUMIFS(PerHeadcount[Month 18],PerHeadcount[exp_item],$H772,PerHeadcount[company_name],$B772)*AC247)</f>
        <v>0</v>
      </c>
      <c r="AD772" s="652">
        <f>IF($B772="",,SUMIFS(PerHeadcount[Month 19],PerHeadcount[exp_item],$H772,PerHeadcount[company_name],$B772)*AD247)</f>
        <v>0</v>
      </c>
      <c r="AE772" s="652">
        <f>IF($B772="",,SUMIFS(PerHeadcount[Month 20],PerHeadcount[exp_item],$H772,PerHeadcount[company_name],$B772)*AE247)</f>
        <v>0</v>
      </c>
      <c r="AF772" s="652">
        <f>IF($B772="",,SUMIFS(PerHeadcount[Month 21],PerHeadcount[exp_item],$H772,PerHeadcount[company_name],$B772)*AF247)</f>
        <v>0</v>
      </c>
      <c r="AG772" s="652">
        <f>IF($B772="",,SUMIFS(PerHeadcount[Month 22],PerHeadcount[exp_item],$H772,PerHeadcount[company_name],$B772)*AG247)</f>
        <v>0</v>
      </c>
      <c r="AH772" s="652">
        <f>IF($B772="",,SUMIFS(PerHeadcount[Month 23],PerHeadcount[exp_item],$H772,PerHeadcount[company_name],$B772)*AH247)</f>
        <v>0</v>
      </c>
      <c r="AI772" s="652">
        <f>IF($B772="",,SUMIFS(PerHeadcount[Month 24],PerHeadcount[exp_item],$H772,PerHeadcount[company_name],$B772)*AI247)</f>
        <v>0</v>
      </c>
      <c r="AJ772" s="652">
        <f>IF($B772="",,SUMIFS(PerHeadcount[Month 25],PerHeadcount[exp_item],$H772,PerHeadcount[company_name],$B772)*AJ247)</f>
        <v>0</v>
      </c>
      <c r="AK772" s="652">
        <f>IF($B772="",,SUMIFS(PerHeadcount[Month 26],PerHeadcount[exp_item],$H772,PerHeadcount[company_name],$B772)*AK247)</f>
        <v>0</v>
      </c>
      <c r="AL772" s="652">
        <f>IF($B772="",,SUMIFS(PerHeadcount[Month 27],PerHeadcount[exp_item],$H772,PerHeadcount[company_name],$B772)*AL247)</f>
        <v>0</v>
      </c>
      <c r="AM772" s="652">
        <f>IF($B772="",,SUMIFS(PerHeadcount[Month 28],PerHeadcount[exp_item],$H772,PerHeadcount[company_name],$B772)*AM247)</f>
        <v>0</v>
      </c>
      <c r="AN772" s="652">
        <f>IF($B772="",,SUMIFS(PerHeadcount[Month 29],PerHeadcount[exp_item],$H772,PerHeadcount[company_name],$B772)*AN247)</f>
        <v>0</v>
      </c>
      <c r="AO772" s="652">
        <f>IF($B772="",,SUMIFS(PerHeadcount[Month 30],PerHeadcount[exp_item],$H772,PerHeadcount[company_name],$B772)*AO247)</f>
        <v>0</v>
      </c>
      <c r="AP772" s="652">
        <f>IF($B772="",,SUMIFS(PerHeadcount[Month 31],PerHeadcount[exp_item],$H772,PerHeadcount[company_name],$B772)*AP247)</f>
        <v>0</v>
      </c>
      <c r="AQ772" s="652">
        <f>IF($B772="",,SUMIFS(PerHeadcount[Month 32],PerHeadcount[exp_item],$H772,PerHeadcount[company_name],$B772)*AQ247)</f>
        <v>0</v>
      </c>
      <c r="AR772" s="652">
        <f>IF($B772="",,SUMIFS(PerHeadcount[Month 33],PerHeadcount[exp_item],$H772,PerHeadcount[company_name],$B772)*AR247)</f>
        <v>0</v>
      </c>
      <c r="AS772" s="652">
        <f>IF($B772="",,SUMIFS(PerHeadcount[Month 34],PerHeadcount[exp_item],$H772,PerHeadcount[company_name],$B772)*AS247)</f>
        <v>0</v>
      </c>
      <c r="AT772" s="652">
        <f>IF($B772="",,SUMIFS(PerHeadcount[Month 35],PerHeadcount[exp_item],$H772,PerHeadcount[company_name],$B772)*AT247)</f>
        <v>0</v>
      </c>
      <c r="AU772" s="652">
        <f>IF($B772="",,SUMIFS(PerHeadcount[Month 36],PerHeadcount[exp_item],$H772,PerHeadcount[company_name],$B772)*AU247)</f>
        <v>0</v>
      </c>
    </row>
    <row r="773" spans="2:47" x14ac:dyDescent="0.35">
      <c r="B773" t="str">
        <f t="shared" si="436"/>
        <v/>
      </c>
      <c r="C773" t="str">
        <f t="shared" si="436"/>
        <v/>
      </c>
      <c r="D773" t="str">
        <f t="shared" si="436"/>
        <v/>
      </c>
      <c r="E773" t="str">
        <f t="shared" si="436"/>
        <v/>
      </c>
      <c r="F773" t="str">
        <f t="shared" si="436"/>
        <v/>
      </c>
      <c r="G773" t="str">
        <f t="shared" si="436"/>
        <v/>
      </c>
      <c r="H773" t="str">
        <f t="shared" si="429"/>
        <v/>
      </c>
      <c r="J773" t="str">
        <f>IF($H773="","",IF(VLOOKUP(H773,ExpItems[],2,0),H773&amp;" - "&amp;INDEX(DivisionMapping[category_code],MATCH($D773&amp;$C773,DivisionMapping[dept_bu],0)),H773))</f>
        <v/>
      </c>
      <c r="K773" t="str">
        <f t="shared" si="430"/>
        <v/>
      </c>
      <c r="L773" s="652">
        <f>IF($B773="",,SUMIFS(PerHeadcount[Month 1],PerHeadcount[exp_item],$H773,PerHeadcount[company_name],$B773)*L248)</f>
        <v>0</v>
      </c>
      <c r="M773" s="652">
        <f>IF($B773="",,SUMIFS(PerHeadcount[Month 2],PerHeadcount[exp_item],$H773,PerHeadcount[company_name],$B773)*M248)</f>
        <v>0</v>
      </c>
      <c r="N773" s="652">
        <f>IF($B773="",,SUMIFS(PerHeadcount[Month 3],PerHeadcount[exp_item],$H773,PerHeadcount[company_name],$B773)*N248)</f>
        <v>0</v>
      </c>
      <c r="O773" s="652">
        <f>IF($B773="",,SUMIFS(PerHeadcount[Month 4],PerHeadcount[exp_item],$H773,PerHeadcount[company_name],$B773)*O248)</f>
        <v>0</v>
      </c>
      <c r="P773" s="652">
        <f>IF($B773="",,SUMIFS(PerHeadcount[Month 5],PerHeadcount[exp_item],$H773,PerHeadcount[company_name],$B773)*P248)</f>
        <v>0</v>
      </c>
      <c r="Q773" s="652">
        <f>IF($B773="",,SUMIFS(PerHeadcount[Month 6],PerHeadcount[exp_item],$H773,PerHeadcount[company_name],$B773)*Q248)</f>
        <v>0</v>
      </c>
      <c r="R773" s="652">
        <f>IF($B773="",,SUMIFS(PerHeadcount[Month 7],PerHeadcount[exp_item],$H773,PerHeadcount[company_name],$B773)*R248)</f>
        <v>0</v>
      </c>
      <c r="S773" s="652">
        <f>IF($B773="",,SUMIFS(PerHeadcount[Month 8],PerHeadcount[exp_item],$H773,PerHeadcount[company_name],$B773)*S248)</f>
        <v>0</v>
      </c>
      <c r="T773" s="652">
        <f>IF($B773="",,SUMIFS(PerHeadcount[Month 9],PerHeadcount[exp_item],$H773,PerHeadcount[company_name],$B773)*T248)</f>
        <v>0</v>
      </c>
      <c r="U773" s="652">
        <f>IF($B773="",,SUMIFS(PerHeadcount[Month 10],PerHeadcount[exp_item],$H773,PerHeadcount[company_name],$B773)*U248)</f>
        <v>0</v>
      </c>
      <c r="V773" s="652">
        <f>IF($B773="",,SUMIFS(PerHeadcount[Month 11],PerHeadcount[exp_item],$H773,PerHeadcount[company_name],$B773)*V248)</f>
        <v>0</v>
      </c>
      <c r="W773" s="652">
        <f>IF($B773="",,SUMIFS(PerHeadcount[Month 12],PerHeadcount[exp_item],$H773,PerHeadcount[company_name],$B773)*W248)</f>
        <v>0</v>
      </c>
      <c r="X773" s="652">
        <f>IF($B773="",,SUMIFS(PerHeadcount[Month 13],PerHeadcount[exp_item],$H773,PerHeadcount[company_name],$B773)*X248)</f>
        <v>0</v>
      </c>
      <c r="Y773" s="652">
        <f>IF($B773="",,SUMIFS(PerHeadcount[Month 14],PerHeadcount[exp_item],$H773,PerHeadcount[company_name],$B773)*Y248)</f>
        <v>0</v>
      </c>
      <c r="Z773" s="652">
        <f>IF($B773="",,SUMIFS(PerHeadcount[Month 15],PerHeadcount[exp_item],$H773,PerHeadcount[company_name],$B773)*Z248)</f>
        <v>0</v>
      </c>
      <c r="AA773" s="652">
        <f>IF($B773="",,SUMIFS(PerHeadcount[Month 16],PerHeadcount[exp_item],$H773,PerHeadcount[company_name],$B773)*AA248)</f>
        <v>0</v>
      </c>
      <c r="AB773" s="652">
        <f>IF($B773="",,SUMIFS(PerHeadcount[Month 17],PerHeadcount[exp_item],$H773,PerHeadcount[company_name],$B773)*AB248)</f>
        <v>0</v>
      </c>
      <c r="AC773" s="652">
        <f>IF($B773="",,SUMIFS(PerHeadcount[Month 18],PerHeadcount[exp_item],$H773,PerHeadcount[company_name],$B773)*AC248)</f>
        <v>0</v>
      </c>
      <c r="AD773" s="652">
        <f>IF($B773="",,SUMIFS(PerHeadcount[Month 19],PerHeadcount[exp_item],$H773,PerHeadcount[company_name],$B773)*AD248)</f>
        <v>0</v>
      </c>
      <c r="AE773" s="652">
        <f>IF($B773="",,SUMIFS(PerHeadcount[Month 20],PerHeadcount[exp_item],$H773,PerHeadcount[company_name],$B773)*AE248)</f>
        <v>0</v>
      </c>
      <c r="AF773" s="652">
        <f>IF($B773="",,SUMIFS(PerHeadcount[Month 21],PerHeadcount[exp_item],$H773,PerHeadcount[company_name],$B773)*AF248)</f>
        <v>0</v>
      </c>
      <c r="AG773" s="652">
        <f>IF($B773="",,SUMIFS(PerHeadcount[Month 22],PerHeadcount[exp_item],$H773,PerHeadcount[company_name],$B773)*AG248)</f>
        <v>0</v>
      </c>
      <c r="AH773" s="652">
        <f>IF($B773="",,SUMIFS(PerHeadcount[Month 23],PerHeadcount[exp_item],$H773,PerHeadcount[company_name],$B773)*AH248)</f>
        <v>0</v>
      </c>
      <c r="AI773" s="652">
        <f>IF($B773="",,SUMIFS(PerHeadcount[Month 24],PerHeadcount[exp_item],$H773,PerHeadcount[company_name],$B773)*AI248)</f>
        <v>0</v>
      </c>
      <c r="AJ773" s="652">
        <f>IF($B773="",,SUMIFS(PerHeadcount[Month 25],PerHeadcount[exp_item],$H773,PerHeadcount[company_name],$B773)*AJ248)</f>
        <v>0</v>
      </c>
      <c r="AK773" s="652">
        <f>IF($B773="",,SUMIFS(PerHeadcount[Month 26],PerHeadcount[exp_item],$H773,PerHeadcount[company_name],$B773)*AK248)</f>
        <v>0</v>
      </c>
      <c r="AL773" s="652">
        <f>IF($B773="",,SUMIFS(PerHeadcount[Month 27],PerHeadcount[exp_item],$H773,PerHeadcount[company_name],$B773)*AL248)</f>
        <v>0</v>
      </c>
      <c r="AM773" s="652">
        <f>IF($B773="",,SUMIFS(PerHeadcount[Month 28],PerHeadcount[exp_item],$H773,PerHeadcount[company_name],$B773)*AM248)</f>
        <v>0</v>
      </c>
      <c r="AN773" s="652">
        <f>IF($B773="",,SUMIFS(PerHeadcount[Month 29],PerHeadcount[exp_item],$H773,PerHeadcount[company_name],$B773)*AN248)</f>
        <v>0</v>
      </c>
      <c r="AO773" s="652">
        <f>IF($B773="",,SUMIFS(PerHeadcount[Month 30],PerHeadcount[exp_item],$H773,PerHeadcount[company_name],$B773)*AO248)</f>
        <v>0</v>
      </c>
      <c r="AP773" s="652">
        <f>IF($B773="",,SUMIFS(PerHeadcount[Month 31],PerHeadcount[exp_item],$H773,PerHeadcount[company_name],$B773)*AP248)</f>
        <v>0</v>
      </c>
      <c r="AQ773" s="652">
        <f>IF($B773="",,SUMIFS(PerHeadcount[Month 32],PerHeadcount[exp_item],$H773,PerHeadcount[company_name],$B773)*AQ248)</f>
        <v>0</v>
      </c>
      <c r="AR773" s="652">
        <f>IF($B773="",,SUMIFS(PerHeadcount[Month 33],PerHeadcount[exp_item],$H773,PerHeadcount[company_name],$B773)*AR248)</f>
        <v>0</v>
      </c>
      <c r="AS773" s="652">
        <f>IF($B773="",,SUMIFS(PerHeadcount[Month 34],PerHeadcount[exp_item],$H773,PerHeadcount[company_name],$B773)*AS248)</f>
        <v>0</v>
      </c>
      <c r="AT773" s="652">
        <f>IF($B773="",,SUMIFS(PerHeadcount[Month 35],PerHeadcount[exp_item],$H773,PerHeadcount[company_name],$B773)*AT248)</f>
        <v>0</v>
      </c>
      <c r="AU773" s="652">
        <f>IF($B773="",,SUMIFS(PerHeadcount[Month 36],PerHeadcount[exp_item],$H773,PerHeadcount[company_name],$B773)*AU248)</f>
        <v>0</v>
      </c>
    </row>
    <row r="774" spans="2:47" x14ac:dyDescent="0.35">
      <c r="B774" t="str">
        <f t="shared" si="436"/>
        <v/>
      </c>
      <c r="C774" t="str">
        <f t="shared" si="436"/>
        <v/>
      </c>
      <c r="D774" t="str">
        <f t="shared" si="436"/>
        <v/>
      </c>
      <c r="E774" t="str">
        <f t="shared" si="436"/>
        <v/>
      </c>
      <c r="F774" t="str">
        <f t="shared" si="436"/>
        <v/>
      </c>
      <c r="G774" t="str">
        <f t="shared" si="436"/>
        <v/>
      </c>
      <c r="H774" t="str">
        <f t="shared" si="429"/>
        <v/>
      </c>
      <c r="J774" t="str">
        <f>IF($H774="","",IF(VLOOKUP(H774,ExpItems[],2,0),H774&amp;" - "&amp;INDEX(DivisionMapping[category_code],MATCH($D774&amp;$C774,DivisionMapping[dept_bu],0)),H774))</f>
        <v/>
      </c>
      <c r="K774" t="str">
        <f t="shared" si="430"/>
        <v/>
      </c>
      <c r="L774" s="652">
        <f>IF($B774="",,SUMIFS(PerHeadcount[Month 1],PerHeadcount[exp_item],$H774,PerHeadcount[company_name],$B774)*L249)</f>
        <v>0</v>
      </c>
      <c r="M774" s="652">
        <f>IF($B774="",,SUMIFS(PerHeadcount[Month 2],PerHeadcount[exp_item],$H774,PerHeadcount[company_name],$B774)*M249)</f>
        <v>0</v>
      </c>
      <c r="N774" s="652">
        <f>IF($B774="",,SUMIFS(PerHeadcount[Month 3],PerHeadcount[exp_item],$H774,PerHeadcount[company_name],$B774)*N249)</f>
        <v>0</v>
      </c>
      <c r="O774" s="652">
        <f>IF($B774="",,SUMIFS(PerHeadcount[Month 4],PerHeadcount[exp_item],$H774,PerHeadcount[company_name],$B774)*O249)</f>
        <v>0</v>
      </c>
      <c r="P774" s="652">
        <f>IF($B774="",,SUMIFS(PerHeadcount[Month 5],PerHeadcount[exp_item],$H774,PerHeadcount[company_name],$B774)*P249)</f>
        <v>0</v>
      </c>
      <c r="Q774" s="652">
        <f>IF($B774="",,SUMIFS(PerHeadcount[Month 6],PerHeadcount[exp_item],$H774,PerHeadcount[company_name],$B774)*Q249)</f>
        <v>0</v>
      </c>
      <c r="R774" s="652">
        <f>IF($B774="",,SUMIFS(PerHeadcount[Month 7],PerHeadcount[exp_item],$H774,PerHeadcount[company_name],$B774)*R249)</f>
        <v>0</v>
      </c>
      <c r="S774" s="652">
        <f>IF($B774="",,SUMIFS(PerHeadcount[Month 8],PerHeadcount[exp_item],$H774,PerHeadcount[company_name],$B774)*S249)</f>
        <v>0</v>
      </c>
      <c r="T774" s="652">
        <f>IF($B774="",,SUMIFS(PerHeadcount[Month 9],PerHeadcount[exp_item],$H774,PerHeadcount[company_name],$B774)*T249)</f>
        <v>0</v>
      </c>
      <c r="U774" s="652">
        <f>IF($B774="",,SUMIFS(PerHeadcount[Month 10],PerHeadcount[exp_item],$H774,PerHeadcount[company_name],$B774)*U249)</f>
        <v>0</v>
      </c>
      <c r="V774" s="652">
        <f>IF($B774="",,SUMIFS(PerHeadcount[Month 11],PerHeadcount[exp_item],$H774,PerHeadcount[company_name],$B774)*V249)</f>
        <v>0</v>
      </c>
      <c r="W774" s="652">
        <f>IF($B774="",,SUMIFS(PerHeadcount[Month 12],PerHeadcount[exp_item],$H774,PerHeadcount[company_name],$B774)*W249)</f>
        <v>0</v>
      </c>
      <c r="X774" s="652">
        <f>IF($B774="",,SUMIFS(PerHeadcount[Month 13],PerHeadcount[exp_item],$H774,PerHeadcount[company_name],$B774)*X249)</f>
        <v>0</v>
      </c>
      <c r="Y774" s="652">
        <f>IF($B774="",,SUMIFS(PerHeadcount[Month 14],PerHeadcount[exp_item],$H774,PerHeadcount[company_name],$B774)*Y249)</f>
        <v>0</v>
      </c>
      <c r="Z774" s="652">
        <f>IF($B774="",,SUMIFS(PerHeadcount[Month 15],PerHeadcount[exp_item],$H774,PerHeadcount[company_name],$B774)*Z249)</f>
        <v>0</v>
      </c>
      <c r="AA774" s="652">
        <f>IF($B774="",,SUMIFS(PerHeadcount[Month 16],PerHeadcount[exp_item],$H774,PerHeadcount[company_name],$B774)*AA249)</f>
        <v>0</v>
      </c>
      <c r="AB774" s="652">
        <f>IF($B774="",,SUMIFS(PerHeadcount[Month 17],PerHeadcount[exp_item],$H774,PerHeadcount[company_name],$B774)*AB249)</f>
        <v>0</v>
      </c>
      <c r="AC774" s="652">
        <f>IF($B774="",,SUMIFS(PerHeadcount[Month 18],PerHeadcount[exp_item],$H774,PerHeadcount[company_name],$B774)*AC249)</f>
        <v>0</v>
      </c>
      <c r="AD774" s="652">
        <f>IF($B774="",,SUMIFS(PerHeadcount[Month 19],PerHeadcount[exp_item],$H774,PerHeadcount[company_name],$B774)*AD249)</f>
        <v>0</v>
      </c>
      <c r="AE774" s="652">
        <f>IF($B774="",,SUMIFS(PerHeadcount[Month 20],PerHeadcount[exp_item],$H774,PerHeadcount[company_name],$B774)*AE249)</f>
        <v>0</v>
      </c>
      <c r="AF774" s="652">
        <f>IF($B774="",,SUMIFS(PerHeadcount[Month 21],PerHeadcount[exp_item],$H774,PerHeadcount[company_name],$B774)*AF249)</f>
        <v>0</v>
      </c>
      <c r="AG774" s="652">
        <f>IF($B774="",,SUMIFS(PerHeadcount[Month 22],PerHeadcount[exp_item],$H774,PerHeadcount[company_name],$B774)*AG249)</f>
        <v>0</v>
      </c>
      <c r="AH774" s="652">
        <f>IF($B774="",,SUMIFS(PerHeadcount[Month 23],PerHeadcount[exp_item],$H774,PerHeadcount[company_name],$B774)*AH249)</f>
        <v>0</v>
      </c>
      <c r="AI774" s="652">
        <f>IF($B774="",,SUMIFS(PerHeadcount[Month 24],PerHeadcount[exp_item],$H774,PerHeadcount[company_name],$B774)*AI249)</f>
        <v>0</v>
      </c>
      <c r="AJ774" s="652">
        <f>IF($B774="",,SUMIFS(PerHeadcount[Month 25],PerHeadcount[exp_item],$H774,PerHeadcount[company_name],$B774)*AJ249)</f>
        <v>0</v>
      </c>
      <c r="AK774" s="652">
        <f>IF($B774="",,SUMIFS(PerHeadcount[Month 26],PerHeadcount[exp_item],$H774,PerHeadcount[company_name],$B774)*AK249)</f>
        <v>0</v>
      </c>
      <c r="AL774" s="652">
        <f>IF($B774="",,SUMIFS(PerHeadcount[Month 27],PerHeadcount[exp_item],$H774,PerHeadcount[company_name],$B774)*AL249)</f>
        <v>0</v>
      </c>
      <c r="AM774" s="652">
        <f>IF($B774="",,SUMIFS(PerHeadcount[Month 28],PerHeadcount[exp_item],$H774,PerHeadcount[company_name],$B774)*AM249)</f>
        <v>0</v>
      </c>
      <c r="AN774" s="652">
        <f>IF($B774="",,SUMIFS(PerHeadcount[Month 29],PerHeadcount[exp_item],$H774,PerHeadcount[company_name],$B774)*AN249)</f>
        <v>0</v>
      </c>
      <c r="AO774" s="652">
        <f>IF($B774="",,SUMIFS(PerHeadcount[Month 30],PerHeadcount[exp_item],$H774,PerHeadcount[company_name],$B774)*AO249)</f>
        <v>0</v>
      </c>
      <c r="AP774" s="652">
        <f>IF($B774="",,SUMIFS(PerHeadcount[Month 31],PerHeadcount[exp_item],$H774,PerHeadcount[company_name],$B774)*AP249)</f>
        <v>0</v>
      </c>
      <c r="AQ774" s="652">
        <f>IF($B774="",,SUMIFS(PerHeadcount[Month 32],PerHeadcount[exp_item],$H774,PerHeadcount[company_name],$B774)*AQ249)</f>
        <v>0</v>
      </c>
      <c r="AR774" s="652">
        <f>IF($B774="",,SUMIFS(PerHeadcount[Month 33],PerHeadcount[exp_item],$H774,PerHeadcount[company_name],$B774)*AR249)</f>
        <v>0</v>
      </c>
      <c r="AS774" s="652">
        <f>IF($B774="",,SUMIFS(PerHeadcount[Month 34],PerHeadcount[exp_item],$H774,PerHeadcount[company_name],$B774)*AS249)</f>
        <v>0</v>
      </c>
      <c r="AT774" s="652">
        <f>IF($B774="",,SUMIFS(PerHeadcount[Month 35],PerHeadcount[exp_item],$H774,PerHeadcount[company_name],$B774)*AT249)</f>
        <v>0</v>
      </c>
      <c r="AU774" s="652">
        <f>IF($B774="",,SUMIFS(PerHeadcount[Month 36],PerHeadcount[exp_item],$H774,PerHeadcount[company_name],$B774)*AU249)</f>
        <v>0</v>
      </c>
    </row>
    <row r="775" spans="2:47" x14ac:dyDescent="0.35">
      <c r="B775" t="str">
        <f t="shared" si="436"/>
        <v/>
      </c>
      <c r="C775" t="str">
        <f t="shared" si="436"/>
        <v/>
      </c>
      <c r="D775" t="str">
        <f t="shared" si="436"/>
        <v/>
      </c>
      <c r="E775" t="str">
        <f t="shared" si="436"/>
        <v/>
      </c>
      <c r="F775" t="str">
        <f t="shared" si="436"/>
        <v/>
      </c>
      <c r="G775" t="str">
        <f t="shared" si="436"/>
        <v/>
      </c>
      <c r="H775" t="str">
        <f t="shared" si="429"/>
        <v/>
      </c>
      <c r="J775" t="str">
        <f>IF($H775="","",IF(VLOOKUP(H775,ExpItems[],2,0),H775&amp;" - "&amp;INDEX(DivisionMapping[category_code],MATCH($D775&amp;$C775,DivisionMapping[dept_bu],0)),H775))</f>
        <v/>
      </c>
      <c r="K775" t="str">
        <f t="shared" si="430"/>
        <v/>
      </c>
      <c r="L775" s="652">
        <f>IF($B775="",,SUMIFS(PerHeadcount[Month 1],PerHeadcount[exp_item],$H775,PerHeadcount[company_name],$B775)*L250)</f>
        <v>0</v>
      </c>
      <c r="M775" s="652">
        <f>IF($B775="",,SUMIFS(PerHeadcount[Month 2],PerHeadcount[exp_item],$H775,PerHeadcount[company_name],$B775)*M250)</f>
        <v>0</v>
      </c>
      <c r="N775" s="652">
        <f>IF($B775="",,SUMIFS(PerHeadcount[Month 3],PerHeadcount[exp_item],$H775,PerHeadcount[company_name],$B775)*N250)</f>
        <v>0</v>
      </c>
      <c r="O775" s="652">
        <f>IF($B775="",,SUMIFS(PerHeadcount[Month 4],PerHeadcount[exp_item],$H775,PerHeadcount[company_name],$B775)*O250)</f>
        <v>0</v>
      </c>
      <c r="P775" s="652">
        <f>IF($B775="",,SUMIFS(PerHeadcount[Month 5],PerHeadcount[exp_item],$H775,PerHeadcount[company_name],$B775)*P250)</f>
        <v>0</v>
      </c>
      <c r="Q775" s="652">
        <f>IF($B775="",,SUMIFS(PerHeadcount[Month 6],PerHeadcount[exp_item],$H775,PerHeadcount[company_name],$B775)*Q250)</f>
        <v>0</v>
      </c>
      <c r="R775" s="652">
        <f>IF($B775="",,SUMIFS(PerHeadcount[Month 7],PerHeadcount[exp_item],$H775,PerHeadcount[company_name],$B775)*R250)</f>
        <v>0</v>
      </c>
      <c r="S775" s="652">
        <f>IF($B775="",,SUMIFS(PerHeadcount[Month 8],PerHeadcount[exp_item],$H775,PerHeadcount[company_name],$B775)*S250)</f>
        <v>0</v>
      </c>
      <c r="T775" s="652">
        <f>IF($B775="",,SUMIFS(PerHeadcount[Month 9],PerHeadcount[exp_item],$H775,PerHeadcount[company_name],$B775)*T250)</f>
        <v>0</v>
      </c>
      <c r="U775" s="652">
        <f>IF($B775="",,SUMIFS(PerHeadcount[Month 10],PerHeadcount[exp_item],$H775,PerHeadcount[company_name],$B775)*U250)</f>
        <v>0</v>
      </c>
      <c r="V775" s="652">
        <f>IF($B775="",,SUMIFS(PerHeadcount[Month 11],PerHeadcount[exp_item],$H775,PerHeadcount[company_name],$B775)*V250)</f>
        <v>0</v>
      </c>
      <c r="W775" s="652">
        <f>IF($B775="",,SUMIFS(PerHeadcount[Month 12],PerHeadcount[exp_item],$H775,PerHeadcount[company_name],$B775)*W250)</f>
        <v>0</v>
      </c>
      <c r="X775" s="652">
        <f>IF($B775="",,SUMIFS(PerHeadcount[Month 13],PerHeadcount[exp_item],$H775,PerHeadcount[company_name],$B775)*X250)</f>
        <v>0</v>
      </c>
      <c r="Y775" s="652">
        <f>IF($B775="",,SUMIFS(PerHeadcount[Month 14],PerHeadcount[exp_item],$H775,PerHeadcount[company_name],$B775)*Y250)</f>
        <v>0</v>
      </c>
      <c r="Z775" s="652">
        <f>IF($B775="",,SUMIFS(PerHeadcount[Month 15],PerHeadcount[exp_item],$H775,PerHeadcount[company_name],$B775)*Z250)</f>
        <v>0</v>
      </c>
      <c r="AA775" s="652">
        <f>IF($B775="",,SUMIFS(PerHeadcount[Month 16],PerHeadcount[exp_item],$H775,PerHeadcount[company_name],$B775)*AA250)</f>
        <v>0</v>
      </c>
      <c r="AB775" s="652">
        <f>IF($B775="",,SUMIFS(PerHeadcount[Month 17],PerHeadcount[exp_item],$H775,PerHeadcount[company_name],$B775)*AB250)</f>
        <v>0</v>
      </c>
      <c r="AC775" s="652">
        <f>IF($B775="",,SUMIFS(PerHeadcount[Month 18],PerHeadcount[exp_item],$H775,PerHeadcount[company_name],$B775)*AC250)</f>
        <v>0</v>
      </c>
      <c r="AD775" s="652">
        <f>IF($B775="",,SUMIFS(PerHeadcount[Month 19],PerHeadcount[exp_item],$H775,PerHeadcount[company_name],$B775)*AD250)</f>
        <v>0</v>
      </c>
      <c r="AE775" s="652">
        <f>IF($B775="",,SUMIFS(PerHeadcount[Month 20],PerHeadcount[exp_item],$H775,PerHeadcount[company_name],$B775)*AE250)</f>
        <v>0</v>
      </c>
      <c r="AF775" s="652">
        <f>IF($B775="",,SUMIFS(PerHeadcount[Month 21],PerHeadcount[exp_item],$H775,PerHeadcount[company_name],$B775)*AF250)</f>
        <v>0</v>
      </c>
      <c r="AG775" s="652">
        <f>IF($B775="",,SUMIFS(PerHeadcount[Month 22],PerHeadcount[exp_item],$H775,PerHeadcount[company_name],$B775)*AG250)</f>
        <v>0</v>
      </c>
      <c r="AH775" s="652">
        <f>IF($B775="",,SUMIFS(PerHeadcount[Month 23],PerHeadcount[exp_item],$H775,PerHeadcount[company_name],$B775)*AH250)</f>
        <v>0</v>
      </c>
      <c r="AI775" s="652">
        <f>IF($B775="",,SUMIFS(PerHeadcount[Month 24],PerHeadcount[exp_item],$H775,PerHeadcount[company_name],$B775)*AI250)</f>
        <v>0</v>
      </c>
      <c r="AJ775" s="652">
        <f>IF($B775="",,SUMIFS(PerHeadcount[Month 25],PerHeadcount[exp_item],$H775,PerHeadcount[company_name],$B775)*AJ250)</f>
        <v>0</v>
      </c>
      <c r="AK775" s="652">
        <f>IF($B775="",,SUMIFS(PerHeadcount[Month 26],PerHeadcount[exp_item],$H775,PerHeadcount[company_name],$B775)*AK250)</f>
        <v>0</v>
      </c>
      <c r="AL775" s="652">
        <f>IF($B775="",,SUMIFS(PerHeadcount[Month 27],PerHeadcount[exp_item],$H775,PerHeadcount[company_name],$B775)*AL250)</f>
        <v>0</v>
      </c>
      <c r="AM775" s="652">
        <f>IF($B775="",,SUMIFS(PerHeadcount[Month 28],PerHeadcount[exp_item],$H775,PerHeadcount[company_name],$B775)*AM250)</f>
        <v>0</v>
      </c>
      <c r="AN775" s="652">
        <f>IF($B775="",,SUMIFS(PerHeadcount[Month 29],PerHeadcount[exp_item],$H775,PerHeadcount[company_name],$B775)*AN250)</f>
        <v>0</v>
      </c>
      <c r="AO775" s="652">
        <f>IF($B775="",,SUMIFS(PerHeadcount[Month 30],PerHeadcount[exp_item],$H775,PerHeadcount[company_name],$B775)*AO250)</f>
        <v>0</v>
      </c>
      <c r="AP775" s="652">
        <f>IF($B775="",,SUMIFS(PerHeadcount[Month 31],PerHeadcount[exp_item],$H775,PerHeadcount[company_name],$B775)*AP250)</f>
        <v>0</v>
      </c>
      <c r="AQ775" s="652">
        <f>IF($B775="",,SUMIFS(PerHeadcount[Month 32],PerHeadcount[exp_item],$H775,PerHeadcount[company_name],$B775)*AQ250)</f>
        <v>0</v>
      </c>
      <c r="AR775" s="652">
        <f>IF($B775="",,SUMIFS(PerHeadcount[Month 33],PerHeadcount[exp_item],$H775,PerHeadcount[company_name],$B775)*AR250)</f>
        <v>0</v>
      </c>
      <c r="AS775" s="652">
        <f>IF($B775="",,SUMIFS(PerHeadcount[Month 34],PerHeadcount[exp_item],$H775,PerHeadcount[company_name],$B775)*AS250)</f>
        <v>0</v>
      </c>
      <c r="AT775" s="652">
        <f>IF($B775="",,SUMIFS(PerHeadcount[Month 35],PerHeadcount[exp_item],$H775,PerHeadcount[company_name],$B775)*AT250)</f>
        <v>0</v>
      </c>
      <c r="AU775" s="652">
        <f>IF($B775="",,SUMIFS(PerHeadcount[Month 36],PerHeadcount[exp_item],$H775,PerHeadcount[company_name],$B775)*AU250)</f>
        <v>0</v>
      </c>
    </row>
    <row r="776" spans="2:47" x14ac:dyDescent="0.35">
      <c r="B776" t="str">
        <f t="shared" si="436"/>
        <v/>
      </c>
      <c r="C776" t="str">
        <f t="shared" si="436"/>
        <v/>
      </c>
      <c r="D776" t="str">
        <f t="shared" si="436"/>
        <v/>
      </c>
      <c r="E776" t="str">
        <f t="shared" si="436"/>
        <v/>
      </c>
      <c r="F776" t="str">
        <f t="shared" si="436"/>
        <v/>
      </c>
      <c r="G776" t="str">
        <f t="shared" si="436"/>
        <v/>
      </c>
      <c r="H776" t="str">
        <f t="shared" ref="H776:H811" si="437">IF(B776="","",$B$710)</f>
        <v/>
      </c>
      <c r="J776" t="str">
        <f>IF($H776="","",IF(VLOOKUP(H776,ExpItems[],2,0),H776&amp;" - "&amp;INDEX(DivisionMapping[category_code],MATCH($D776&amp;$C776,DivisionMapping[dept_bu],0)),H776))</f>
        <v/>
      </c>
      <c r="K776" t="str">
        <f t="shared" ref="K776:K811" si="438">K671</f>
        <v/>
      </c>
      <c r="L776" s="652">
        <f>IF($B776="",,SUMIFS(PerHeadcount[Month 1],PerHeadcount[exp_item],$H776,PerHeadcount[company_name],$B776)*L251)</f>
        <v>0</v>
      </c>
      <c r="M776" s="652">
        <f>IF($B776="",,SUMIFS(PerHeadcount[Month 2],PerHeadcount[exp_item],$H776,PerHeadcount[company_name],$B776)*M251)</f>
        <v>0</v>
      </c>
      <c r="N776" s="652">
        <f>IF($B776="",,SUMIFS(PerHeadcount[Month 3],PerHeadcount[exp_item],$H776,PerHeadcount[company_name],$B776)*N251)</f>
        <v>0</v>
      </c>
      <c r="O776" s="652">
        <f>IF($B776="",,SUMIFS(PerHeadcount[Month 4],PerHeadcount[exp_item],$H776,PerHeadcount[company_name],$B776)*O251)</f>
        <v>0</v>
      </c>
      <c r="P776" s="652">
        <f>IF($B776="",,SUMIFS(PerHeadcount[Month 5],PerHeadcount[exp_item],$H776,PerHeadcount[company_name],$B776)*P251)</f>
        <v>0</v>
      </c>
      <c r="Q776" s="652">
        <f>IF($B776="",,SUMIFS(PerHeadcount[Month 6],PerHeadcount[exp_item],$H776,PerHeadcount[company_name],$B776)*Q251)</f>
        <v>0</v>
      </c>
      <c r="R776" s="652">
        <f>IF($B776="",,SUMIFS(PerHeadcount[Month 7],PerHeadcount[exp_item],$H776,PerHeadcount[company_name],$B776)*R251)</f>
        <v>0</v>
      </c>
      <c r="S776" s="652">
        <f>IF($B776="",,SUMIFS(PerHeadcount[Month 8],PerHeadcount[exp_item],$H776,PerHeadcount[company_name],$B776)*S251)</f>
        <v>0</v>
      </c>
      <c r="T776" s="652">
        <f>IF($B776="",,SUMIFS(PerHeadcount[Month 9],PerHeadcount[exp_item],$H776,PerHeadcount[company_name],$B776)*T251)</f>
        <v>0</v>
      </c>
      <c r="U776" s="652">
        <f>IF($B776="",,SUMIFS(PerHeadcount[Month 10],PerHeadcount[exp_item],$H776,PerHeadcount[company_name],$B776)*U251)</f>
        <v>0</v>
      </c>
      <c r="V776" s="652">
        <f>IF($B776="",,SUMIFS(PerHeadcount[Month 11],PerHeadcount[exp_item],$H776,PerHeadcount[company_name],$B776)*V251)</f>
        <v>0</v>
      </c>
      <c r="W776" s="652">
        <f>IF($B776="",,SUMIFS(PerHeadcount[Month 12],PerHeadcount[exp_item],$H776,PerHeadcount[company_name],$B776)*W251)</f>
        <v>0</v>
      </c>
      <c r="X776" s="652">
        <f>IF($B776="",,SUMIFS(PerHeadcount[Month 13],PerHeadcount[exp_item],$H776,PerHeadcount[company_name],$B776)*X251)</f>
        <v>0</v>
      </c>
      <c r="Y776" s="652">
        <f>IF($B776="",,SUMIFS(PerHeadcount[Month 14],PerHeadcount[exp_item],$H776,PerHeadcount[company_name],$B776)*Y251)</f>
        <v>0</v>
      </c>
      <c r="Z776" s="652">
        <f>IF($B776="",,SUMIFS(PerHeadcount[Month 15],PerHeadcount[exp_item],$H776,PerHeadcount[company_name],$B776)*Z251)</f>
        <v>0</v>
      </c>
      <c r="AA776" s="652">
        <f>IF($B776="",,SUMIFS(PerHeadcount[Month 16],PerHeadcount[exp_item],$H776,PerHeadcount[company_name],$B776)*AA251)</f>
        <v>0</v>
      </c>
      <c r="AB776" s="652">
        <f>IF($B776="",,SUMIFS(PerHeadcount[Month 17],PerHeadcount[exp_item],$H776,PerHeadcount[company_name],$B776)*AB251)</f>
        <v>0</v>
      </c>
      <c r="AC776" s="652">
        <f>IF($B776="",,SUMIFS(PerHeadcount[Month 18],PerHeadcount[exp_item],$H776,PerHeadcount[company_name],$B776)*AC251)</f>
        <v>0</v>
      </c>
      <c r="AD776" s="652">
        <f>IF($B776="",,SUMIFS(PerHeadcount[Month 19],PerHeadcount[exp_item],$H776,PerHeadcount[company_name],$B776)*AD251)</f>
        <v>0</v>
      </c>
      <c r="AE776" s="652">
        <f>IF($B776="",,SUMIFS(PerHeadcount[Month 20],PerHeadcount[exp_item],$H776,PerHeadcount[company_name],$B776)*AE251)</f>
        <v>0</v>
      </c>
      <c r="AF776" s="652">
        <f>IF($B776="",,SUMIFS(PerHeadcount[Month 21],PerHeadcount[exp_item],$H776,PerHeadcount[company_name],$B776)*AF251)</f>
        <v>0</v>
      </c>
      <c r="AG776" s="652">
        <f>IF($B776="",,SUMIFS(PerHeadcount[Month 22],PerHeadcount[exp_item],$H776,PerHeadcount[company_name],$B776)*AG251)</f>
        <v>0</v>
      </c>
      <c r="AH776" s="652">
        <f>IF($B776="",,SUMIFS(PerHeadcount[Month 23],PerHeadcount[exp_item],$H776,PerHeadcount[company_name],$B776)*AH251)</f>
        <v>0</v>
      </c>
      <c r="AI776" s="652">
        <f>IF($B776="",,SUMIFS(PerHeadcount[Month 24],PerHeadcount[exp_item],$H776,PerHeadcount[company_name],$B776)*AI251)</f>
        <v>0</v>
      </c>
      <c r="AJ776" s="652">
        <f>IF($B776="",,SUMIFS(PerHeadcount[Month 25],PerHeadcount[exp_item],$H776,PerHeadcount[company_name],$B776)*AJ251)</f>
        <v>0</v>
      </c>
      <c r="AK776" s="652">
        <f>IF($B776="",,SUMIFS(PerHeadcount[Month 26],PerHeadcount[exp_item],$H776,PerHeadcount[company_name],$B776)*AK251)</f>
        <v>0</v>
      </c>
      <c r="AL776" s="652">
        <f>IF($B776="",,SUMIFS(PerHeadcount[Month 27],PerHeadcount[exp_item],$H776,PerHeadcount[company_name],$B776)*AL251)</f>
        <v>0</v>
      </c>
      <c r="AM776" s="652">
        <f>IF($B776="",,SUMIFS(PerHeadcount[Month 28],PerHeadcount[exp_item],$H776,PerHeadcount[company_name],$B776)*AM251)</f>
        <v>0</v>
      </c>
      <c r="AN776" s="652">
        <f>IF($B776="",,SUMIFS(PerHeadcount[Month 29],PerHeadcount[exp_item],$H776,PerHeadcount[company_name],$B776)*AN251)</f>
        <v>0</v>
      </c>
      <c r="AO776" s="652">
        <f>IF($B776="",,SUMIFS(PerHeadcount[Month 30],PerHeadcount[exp_item],$H776,PerHeadcount[company_name],$B776)*AO251)</f>
        <v>0</v>
      </c>
      <c r="AP776" s="652">
        <f>IF($B776="",,SUMIFS(PerHeadcount[Month 31],PerHeadcount[exp_item],$H776,PerHeadcount[company_name],$B776)*AP251)</f>
        <v>0</v>
      </c>
      <c r="AQ776" s="652">
        <f>IF($B776="",,SUMIFS(PerHeadcount[Month 32],PerHeadcount[exp_item],$H776,PerHeadcount[company_name],$B776)*AQ251)</f>
        <v>0</v>
      </c>
      <c r="AR776" s="652">
        <f>IF($B776="",,SUMIFS(PerHeadcount[Month 33],PerHeadcount[exp_item],$H776,PerHeadcount[company_name],$B776)*AR251)</f>
        <v>0</v>
      </c>
      <c r="AS776" s="652">
        <f>IF($B776="",,SUMIFS(PerHeadcount[Month 34],PerHeadcount[exp_item],$H776,PerHeadcount[company_name],$B776)*AS251)</f>
        <v>0</v>
      </c>
      <c r="AT776" s="652">
        <f>IF($B776="",,SUMIFS(PerHeadcount[Month 35],PerHeadcount[exp_item],$H776,PerHeadcount[company_name],$B776)*AT251)</f>
        <v>0</v>
      </c>
      <c r="AU776" s="652">
        <f>IF($B776="",,SUMIFS(PerHeadcount[Month 36],PerHeadcount[exp_item],$H776,PerHeadcount[company_name],$B776)*AU251)</f>
        <v>0</v>
      </c>
    </row>
    <row r="777" spans="2:47" x14ac:dyDescent="0.35">
      <c r="B777" t="str">
        <f t="shared" si="436"/>
        <v/>
      </c>
      <c r="C777" t="str">
        <f t="shared" si="436"/>
        <v/>
      </c>
      <c r="D777" t="str">
        <f t="shared" si="436"/>
        <v/>
      </c>
      <c r="E777" t="str">
        <f t="shared" si="436"/>
        <v/>
      </c>
      <c r="F777" t="str">
        <f t="shared" si="436"/>
        <v/>
      </c>
      <c r="G777" t="str">
        <f t="shared" si="436"/>
        <v/>
      </c>
      <c r="H777" t="str">
        <f t="shared" si="437"/>
        <v/>
      </c>
      <c r="J777" t="str">
        <f>IF($H777="","",IF(VLOOKUP(H777,ExpItems[],2,0),H777&amp;" - "&amp;INDEX(DivisionMapping[category_code],MATCH($D777&amp;$C777,DivisionMapping[dept_bu],0)),H777))</f>
        <v/>
      </c>
      <c r="K777" t="str">
        <f t="shared" si="438"/>
        <v/>
      </c>
      <c r="L777" s="652">
        <f>IF($B777="",,SUMIFS(PerHeadcount[Month 1],PerHeadcount[exp_item],$H777,PerHeadcount[company_name],$B777)*L252)</f>
        <v>0</v>
      </c>
      <c r="M777" s="652">
        <f>IF($B777="",,SUMIFS(PerHeadcount[Month 2],PerHeadcount[exp_item],$H777,PerHeadcount[company_name],$B777)*M252)</f>
        <v>0</v>
      </c>
      <c r="N777" s="652">
        <f>IF($B777="",,SUMIFS(PerHeadcount[Month 3],PerHeadcount[exp_item],$H777,PerHeadcount[company_name],$B777)*N252)</f>
        <v>0</v>
      </c>
      <c r="O777" s="652">
        <f>IF($B777="",,SUMIFS(PerHeadcount[Month 4],PerHeadcount[exp_item],$H777,PerHeadcount[company_name],$B777)*O252)</f>
        <v>0</v>
      </c>
      <c r="P777" s="652">
        <f>IF($B777="",,SUMIFS(PerHeadcount[Month 5],PerHeadcount[exp_item],$H777,PerHeadcount[company_name],$B777)*P252)</f>
        <v>0</v>
      </c>
      <c r="Q777" s="652">
        <f>IF($B777="",,SUMIFS(PerHeadcount[Month 6],PerHeadcount[exp_item],$H777,PerHeadcount[company_name],$B777)*Q252)</f>
        <v>0</v>
      </c>
      <c r="R777" s="652">
        <f>IF($B777="",,SUMIFS(PerHeadcount[Month 7],PerHeadcount[exp_item],$H777,PerHeadcount[company_name],$B777)*R252)</f>
        <v>0</v>
      </c>
      <c r="S777" s="652">
        <f>IF($B777="",,SUMIFS(PerHeadcount[Month 8],PerHeadcount[exp_item],$H777,PerHeadcount[company_name],$B777)*S252)</f>
        <v>0</v>
      </c>
      <c r="T777" s="652">
        <f>IF($B777="",,SUMIFS(PerHeadcount[Month 9],PerHeadcount[exp_item],$H777,PerHeadcount[company_name],$B777)*T252)</f>
        <v>0</v>
      </c>
      <c r="U777" s="652">
        <f>IF($B777="",,SUMIFS(PerHeadcount[Month 10],PerHeadcount[exp_item],$H777,PerHeadcount[company_name],$B777)*U252)</f>
        <v>0</v>
      </c>
      <c r="V777" s="652">
        <f>IF($B777="",,SUMIFS(PerHeadcount[Month 11],PerHeadcount[exp_item],$H777,PerHeadcount[company_name],$B777)*V252)</f>
        <v>0</v>
      </c>
      <c r="W777" s="652">
        <f>IF($B777="",,SUMIFS(PerHeadcount[Month 12],PerHeadcount[exp_item],$H777,PerHeadcount[company_name],$B777)*W252)</f>
        <v>0</v>
      </c>
      <c r="X777" s="652">
        <f>IF($B777="",,SUMIFS(PerHeadcount[Month 13],PerHeadcount[exp_item],$H777,PerHeadcount[company_name],$B777)*X252)</f>
        <v>0</v>
      </c>
      <c r="Y777" s="652">
        <f>IF($B777="",,SUMIFS(PerHeadcount[Month 14],PerHeadcount[exp_item],$H777,PerHeadcount[company_name],$B777)*Y252)</f>
        <v>0</v>
      </c>
      <c r="Z777" s="652">
        <f>IF($B777="",,SUMIFS(PerHeadcount[Month 15],PerHeadcount[exp_item],$H777,PerHeadcount[company_name],$B777)*Z252)</f>
        <v>0</v>
      </c>
      <c r="AA777" s="652">
        <f>IF($B777="",,SUMIFS(PerHeadcount[Month 16],PerHeadcount[exp_item],$H777,PerHeadcount[company_name],$B777)*AA252)</f>
        <v>0</v>
      </c>
      <c r="AB777" s="652">
        <f>IF($B777="",,SUMIFS(PerHeadcount[Month 17],PerHeadcount[exp_item],$H777,PerHeadcount[company_name],$B777)*AB252)</f>
        <v>0</v>
      </c>
      <c r="AC777" s="652">
        <f>IF($B777="",,SUMIFS(PerHeadcount[Month 18],PerHeadcount[exp_item],$H777,PerHeadcount[company_name],$B777)*AC252)</f>
        <v>0</v>
      </c>
      <c r="AD777" s="652">
        <f>IF($B777="",,SUMIFS(PerHeadcount[Month 19],PerHeadcount[exp_item],$H777,PerHeadcount[company_name],$B777)*AD252)</f>
        <v>0</v>
      </c>
      <c r="AE777" s="652">
        <f>IF($B777="",,SUMIFS(PerHeadcount[Month 20],PerHeadcount[exp_item],$H777,PerHeadcount[company_name],$B777)*AE252)</f>
        <v>0</v>
      </c>
      <c r="AF777" s="652">
        <f>IF($B777="",,SUMIFS(PerHeadcount[Month 21],PerHeadcount[exp_item],$H777,PerHeadcount[company_name],$B777)*AF252)</f>
        <v>0</v>
      </c>
      <c r="AG777" s="652">
        <f>IF($B777="",,SUMIFS(PerHeadcount[Month 22],PerHeadcount[exp_item],$H777,PerHeadcount[company_name],$B777)*AG252)</f>
        <v>0</v>
      </c>
      <c r="AH777" s="652">
        <f>IF($B777="",,SUMIFS(PerHeadcount[Month 23],PerHeadcount[exp_item],$H777,PerHeadcount[company_name],$B777)*AH252)</f>
        <v>0</v>
      </c>
      <c r="AI777" s="652">
        <f>IF($B777="",,SUMIFS(PerHeadcount[Month 24],PerHeadcount[exp_item],$H777,PerHeadcount[company_name],$B777)*AI252)</f>
        <v>0</v>
      </c>
      <c r="AJ777" s="652">
        <f>IF($B777="",,SUMIFS(PerHeadcount[Month 25],PerHeadcount[exp_item],$H777,PerHeadcount[company_name],$B777)*AJ252)</f>
        <v>0</v>
      </c>
      <c r="AK777" s="652">
        <f>IF($B777="",,SUMIFS(PerHeadcount[Month 26],PerHeadcount[exp_item],$H777,PerHeadcount[company_name],$B777)*AK252)</f>
        <v>0</v>
      </c>
      <c r="AL777" s="652">
        <f>IF($B777="",,SUMIFS(PerHeadcount[Month 27],PerHeadcount[exp_item],$H777,PerHeadcount[company_name],$B777)*AL252)</f>
        <v>0</v>
      </c>
      <c r="AM777" s="652">
        <f>IF($B777="",,SUMIFS(PerHeadcount[Month 28],PerHeadcount[exp_item],$H777,PerHeadcount[company_name],$B777)*AM252)</f>
        <v>0</v>
      </c>
      <c r="AN777" s="652">
        <f>IF($B777="",,SUMIFS(PerHeadcount[Month 29],PerHeadcount[exp_item],$H777,PerHeadcount[company_name],$B777)*AN252)</f>
        <v>0</v>
      </c>
      <c r="AO777" s="652">
        <f>IF($B777="",,SUMIFS(PerHeadcount[Month 30],PerHeadcount[exp_item],$H777,PerHeadcount[company_name],$B777)*AO252)</f>
        <v>0</v>
      </c>
      <c r="AP777" s="652">
        <f>IF($B777="",,SUMIFS(PerHeadcount[Month 31],PerHeadcount[exp_item],$H777,PerHeadcount[company_name],$B777)*AP252)</f>
        <v>0</v>
      </c>
      <c r="AQ777" s="652">
        <f>IF($B777="",,SUMIFS(PerHeadcount[Month 32],PerHeadcount[exp_item],$H777,PerHeadcount[company_name],$B777)*AQ252)</f>
        <v>0</v>
      </c>
      <c r="AR777" s="652">
        <f>IF($B777="",,SUMIFS(PerHeadcount[Month 33],PerHeadcount[exp_item],$H777,PerHeadcount[company_name],$B777)*AR252)</f>
        <v>0</v>
      </c>
      <c r="AS777" s="652">
        <f>IF($B777="",,SUMIFS(PerHeadcount[Month 34],PerHeadcount[exp_item],$H777,PerHeadcount[company_name],$B777)*AS252)</f>
        <v>0</v>
      </c>
      <c r="AT777" s="652">
        <f>IF($B777="",,SUMIFS(PerHeadcount[Month 35],PerHeadcount[exp_item],$H777,PerHeadcount[company_name],$B777)*AT252)</f>
        <v>0</v>
      </c>
      <c r="AU777" s="652">
        <f>IF($B777="",,SUMIFS(PerHeadcount[Month 36],PerHeadcount[exp_item],$H777,PerHeadcount[company_name],$B777)*AU252)</f>
        <v>0</v>
      </c>
    </row>
    <row r="778" spans="2:47" x14ac:dyDescent="0.35">
      <c r="B778" t="str">
        <f t="shared" si="436"/>
        <v/>
      </c>
      <c r="C778" t="str">
        <f t="shared" si="436"/>
        <v/>
      </c>
      <c r="D778" t="str">
        <f t="shared" si="436"/>
        <v/>
      </c>
      <c r="E778" t="str">
        <f t="shared" si="436"/>
        <v/>
      </c>
      <c r="F778" t="str">
        <f t="shared" si="436"/>
        <v/>
      </c>
      <c r="G778" t="str">
        <f t="shared" si="436"/>
        <v/>
      </c>
      <c r="H778" t="str">
        <f t="shared" si="437"/>
        <v/>
      </c>
      <c r="J778" t="str">
        <f>IF($H778="","",IF(VLOOKUP(H778,ExpItems[],2,0),H778&amp;" - "&amp;INDEX(DivisionMapping[category_code],MATCH($D778&amp;$C778,DivisionMapping[dept_bu],0)),H778))</f>
        <v/>
      </c>
      <c r="K778" t="str">
        <f t="shared" si="438"/>
        <v/>
      </c>
      <c r="L778" s="652">
        <f>IF($B778="",,SUMIFS(PerHeadcount[Month 1],PerHeadcount[exp_item],$H778,PerHeadcount[company_name],$B778)*L253)</f>
        <v>0</v>
      </c>
      <c r="M778" s="652">
        <f>IF($B778="",,SUMIFS(PerHeadcount[Month 2],PerHeadcount[exp_item],$H778,PerHeadcount[company_name],$B778)*M253)</f>
        <v>0</v>
      </c>
      <c r="N778" s="652">
        <f>IF($B778="",,SUMIFS(PerHeadcount[Month 3],PerHeadcount[exp_item],$H778,PerHeadcount[company_name],$B778)*N253)</f>
        <v>0</v>
      </c>
      <c r="O778" s="652">
        <f>IF($B778="",,SUMIFS(PerHeadcount[Month 4],PerHeadcount[exp_item],$H778,PerHeadcount[company_name],$B778)*O253)</f>
        <v>0</v>
      </c>
      <c r="P778" s="652">
        <f>IF($B778="",,SUMIFS(PerHeadcount[Month 5],PerHeadcount[exp_item],$H778,PerHeadcount[company_name],$B778)*P253)</f>
        <v>0</v>
      </c>
      <c r="Q778" s="652">
        <f>IF($B778="",,SUMIFS(PerHeadcount[Month 6],PerHeadcount[exp_item],$H778,PerHeadcount[company_name],$B778)*Q253)</f>
        <v>0</v>
      </c>
      <c r="R778" s="652">
        <f>IF($B778="",,SUMIFS(PerHeadcount[Month 7],PerHeadcount[exp_item],$H778,PerHeadcount[company_name],$B778)*R253)</f>
        <v>0</v>
      </c>
      <c r="S778" s="652">
        <f>IF($B778="",,SUMIFS(PerHeadcount[Month 8],PerHeadcount[exp_item],$H778,PerHeadcount[company_name],$B778)*S253)</f>
        <v>0</v>
      </c>
      <c r="T778" s="652">
        <f>IF($B778="",,SUMIFS(PerHeadcount[Month 9],PerHeadcount[exp_item],$H778,PerHeadcount[company_name],$B778)*T253)</f>
        <v>0</v>
      </c>
      <c r="U778" s="652">
        <f>IF($B778="",,SUMIFS(PerHeadcount[Month 10],PerHeadcount[exp_item],$H778,PerHeadcount[company_name],$B778)*U253)</f>
        <v>0</v>
      </c>
      <c r="V778" s="652">
        <f>IF($B778="",,SUMIFS(PerHeadcount[Month 11],PerHeadcount[exp_item],$H778,PerHeadcount[company_name],$B778)*V253)</f>
        <v>0</v>
      </c>
      <c r="W778" s="652">
        <f>IF($B778="",,SUMIFS(PerHeadcount[Month 12],PerHeadcount[exp_item],$H778,PerHeadcount[company_name],$B778)*W253)</f>
        <v>0</v>
      </c>
      <c r="X778" s="652">
        <f>IF($B778="",,SUMIFS(PerHeadcount[Month 13],PerHeadcount[exp_item],$H778,PerHeadcount[company_name],$B778)*X253)</f>
        <v>0</v>
      </c>
      <c r="Y778" s="652">
        <f>IF($B778="",,SUMIFS(PerHeadcount[Month 14],PerHeadcount[exp_item],$H778,PerHeadcount[company_name],$B778)*Y253)</f>
        <v>0</v>
      </c>
      <c r="Z778" s="652">
        <f>IF($B778="",,SUMIFS(PerHeadcount[Month 15],PerHeadcount[exp_item],$H778,PerHeadcount[company_name],$B778)*Z253)</f>
        <v>0</v>
      </c>
      <c r="AA778" s="652">
        <f>IF($B778="",,SUMIFS(PerHeadcount[Month 16],PerHeadcount[exp_item],$H778,PerHeadcount[company_name],$B778)*AA253)</f>
        <v>0</v>
      </c>
      <c r="AB778" s="652">
        <f>IF($B778="",,SUMIFS(PerHeadcount[Month 17],PerHeadcount[exp_item],$H778,PerHeadcount[company_name],$B778)*AB253)</f>
        <v>0</v>
      </c>
      <c r="AC778" s="652">
        <f>IF($B778="",,SUMIFS(PerHeadcount[Month 18],PerHeadcount[exp_item],$H778,PerHeadcount[company_name],$B778)*AC253)</f>
        <v>0</v>
      </c>
      <c r="AD778" s="652">
        <f>IF($B778="",,SUMIFS(PerHeadcount[Month 19],PerHeadcount[exp_item],$H778,PerHeadcount[company_name],$B778)*AD253)</f>
        <v>0</v>
      </c>
      <c r="AE778" s="652">
        <f>IF($B778="",,SUMIFS(PerHeadcount[Month 20],PerHeadcount[exp_item],$H778,PerHeadcount[company_name],$B778)*AE253)</f>
        <v>0</v>
      </c>
      <c r="AF778" s="652">
        <f>IF($B778="",,SUMIFS(PerHeadcount[Month 21],PerHeadcount[exp_item],$H778,PerHeadcount[company_name],$B778)*AF253)</f>
        <v>0</v>
      </c>
      <c r="AG778" s="652">
        <f>IF($B778="",,SUMIFS(PerHeadcount[Month 22],PerHeadcount[exp_item],$H778,PerHeadcount[company_name],$B778)*AG253)</f>
        <v>0</v>
      </c>
      <c r="AH778" s="652">
        <f>IF($B778="",,SUMIFS(PerHeadcount[Month 23],PerHeadcount[exp_item],$H778,PerHeadcount[company_name],$B778)*AH253)</f>
        <v>0</v>
      </c>
      <c r="AI778" s="652">
        <f>IF($B778="",,SUMIFS(PerHeadcount[Month 24],PerHeadcount[exp_item],$H778,PerHeadcount[company_name],$B778)*AI253)</f>
        <v>0</v>
      </c>
      <c r="AJ778" s="652">
        <f>IF($B778="",,SUMIFS(PerHeadcount[Month 25],PerHeadcount[exp_item],$H778,PerHeadcount[company_name],$B778)*AJ253)</f>
        <v>0</v>
      </c>
      <c r="AK778" s="652">
        <f>IF($B778="",,SUMIFS(PerHeadcount[Month 26],PerHeadcount[exp_item],$H778,PerHeadcount[company_name],$B778)*AK253)</f>
        <v>0</v>
      </c>
      <c r="AL778" s="652">
        <f>IF($B778="",,SUMIFS(PerHeadcount[Month 27],PerHeadcount[exp_item],$H778,PerHeadcount[company_name],$B778)*AL253)</f>
        <v>0</v>
      </c>
      <c r="AM778" s="652">
        <f>IF($B778="",,SUMIFS(PerHeadcount[Month 28],PerHeadcount[exp_item],$H778,PerHeadcount[company_name],$B778)*AM253)</f>
        <v>0</v>
      </c>
      <c r="AN778" s="652">
        <f>IF($B778="",,SUMIFS(PerHeadcount[Month 29],PerHeadcount[exp_item],$H778,PerHeadcount[company_name],$B778)*AN253)</f>
        <v>0</v>
      </c>
      <c r="AO778" s="652">
        <f>IF($B778="",,SUMIFS(PerHeadcount[Month 30],PerHeadcount[exp_item],$H778,PerHeadcount[company_name],$B778)*AO253)</f>
        <v>0</v>
      </c>
      <c r="AP778" s="652">
        <f>IF($B778="",,SUMIFS(PerHeadcount[Month 31],PerHeadcount[exp_item],$H778,PerHeadcount[company_name],$B778)*AP253)</f>
        <v>0</v>
      </c>
      <c r="AQ778" s="652">
        <f>IF($B778="",,SUMIFS(PerHeadcount[Month 32],PerHeadcount[exp_item],$H778,PerHeadcount[company_name],$B778)*AQ253)</f>
        <v>0</v>
      </c>
      <c r="AR778" s="652">
        <f>IF($B778="",,SUMIFS(PerHeadcount[Month 33],PerHeadcount[exp_item],$H778,PerHeadcount[company_name],$B778)*AR253)</f>
        <v>0</v>
      </c>
      <c r="AS778" s="652">
        <f>IF($B778="",,SUMIFS(PerHeadcount[Month 34],PerHeadcount[exp_item],$H778,PerHeadcount[company_name],$B778)*AS253)</f>
        <v>0</v>
      </c>
      <c r="AT778" s="652">
        <f>IF($B778="",,SUMIFS(PerHeadcount[Month 35],PerHeadcount[exp_item],$H778,PerHeadcount[company_name],$B778)*AT253)</f>
        <v>0</v>
      </c>
      <c r="AU778" s="652">
        <f>IF($B778="",,SUMIFS(PerHeadcount[Month 36],PerHeadcount[exp_item],$H778,PerHeadcount[company_name],$B778)*AU253)</f>
        <v>0</v>
      </c>
    </row>
    <row r="779" spans="2:47" x14ac:dyDescent="0.35">
      <c r="B779" t="str">
        <f t="shared" si="436"/>
        <v/>
      </c>
      <c r="C779" t="str">
        <f t="shared" si="436"/>
        <v/>
      </c>
      <c r="D779" t="str">
        <f t="shared" si="436"/>
        <v/>
      </c>
      <c r="E779" t="str">
        <f t="shared" si="436"/>
        <v/>
      </c>
      <c r="F779" t="str">
        <f t="shared" si="436"/>
        <v/>
      </c>
      <c r="G779" t="str">
        <f t="shared" si="436"/>
        <v/>
      </c>
      <c r="H779" t="str">
        <f t="shared" si="437"/>
        <v/>
      </c>
      <c r="J779" t="str">
        <f>IF($H779="","",IF(VLOOKUP(H779,ExpItems[],2,0),H779&amp;" - "&amp;INDEX(DivisionMapping[category_code],MATCH($D779&amp;$C779,DivisionMapping[dept_bu],0)),H779))</f>
        <v/>
      </c>
      <c r="K779" t="str">
        <f t="shared" si="438"/>
        <v/>
      </c>
      <c r="L779" s="652">
        <f>IF($B779="",,SUMIFS(PerHeadcount[Month 1],PerHeadcount[exp_item],$H779,PerHeadcount[company_name],$B779)*L254)</f>
        <v>0</v>
      </c>
      <c r="M779" s="652">
        <f>IF($B779="",,SUMIFS(PerHeadcount[Month 2],PerHeadcount[exp_item],$H779,PerHeadcount[company_name],$B779)*M254)</f>
        <v>0</v>
      </c>
      <c r="N779" s="652">
        <f>IF($B779="",,SUMIFS(PerHeadcount[Month 3],PerHeadcount[exp_item],$H779,PerHeadcount[company_name],$B779)*N254)</f>
        <v>0</v>
      </c>
      <c r="O779" s="652">
        <f>IF($B779="",,SUMIFS(PerHeadcount[Month 4],PerHeadcount[exp_item],$H779,PerHeadcount[company_name],$B779)*O254)</f>
        <v>0</v>
      </c>
      <c r="P779" s="652">
        <f>IF($B779="",,SUMIFS(PerHeadcount[Month 5],PerHeadcount[exp_item],$H779,PerHeadcount[company_name],$B779)*P254)</f>
        <v>0</v>
      </c>
      <c r="Q779" s="652">
        <f>IF($B779="",,SUMIFS(PerHeadcount[Month 6],PerHeadcount[exp_item],$H779,PerHeadcount[company_name],$B779)*Q254)</f>
        <v>0</v>
      </c>
      <c r="R779" s="652">
        <f>IF($B779="",,SUMIFS(PerHeadcount[Month 7],PerHeadcount[exp_item],$H779,PerHeadcount[company_name],$B779)*R254)</f>
        <v>0</v>
      </c>
      <c r="S779" s="652">
        <f>IF($B779="",,SUMIFS(PerHeadcount[Month 8],PerHeadcount[exp_item],$H779,PerHeadcount[company_name],$B779)*S254)</f>
        <v>0</v>
      </c>
      <c r="T779" s="652">
        <f>IF($B779="",,SUMIFS(PerHeadcount[Month 9],PerHeadcount[exp_item],$H779,PerHeadcount[company_name],$B779)*T254)</f>
        <v>0</v>
      </c>
      <c r="U779" s="652">
        <f>IF($B779="",,SUMIFS(PerHeadcount[Month 10],PerHeadcount[exp_item],$H779,PerHeadcount[company_name],$B779)*U254)</f>
        <v>0</v>
      </c>
      <c r="V779" s="652">
        <f>IF($B779="",,SUMIFS(PerHeadcount[Month 11],PerHeadcount[exp_item],$H779,PerHeadcount[company_name],$B779)*V254)</f>
        <v>0</v>
      </c>
      <c r="W779" s="652">
        <f>IF($B779="",,SUMIFS(PerHeadcount[Month 12],PerHeadcount[exp_item],$H779,PerHeadcount[company_name],$B779)*W254)</f>
        <v>0</v>
      </c>
      <c r="X779" s="652">
        <f>IF($B779="",,SUMIFS(PerHeadcount[Month 13],PerHeadcount[exp_item],$H779,PerHeadcount[company_name],$B779)*X254)</f>
        <v>0</v>
      </c>
      <c r="Y779" s="652">
        <f>IF($B779="",,SUMIFS(PerHeadcount[Month 14],PerHeadcount[exp_item],$H779,PerHeadcount[company_name],$B779)*Y254)</f>
        <v>0</v>
      </c>
      <c r="Z779" s="652">
        <f>IF($B779="",,SUMIFS(PerHeadcount[Month 15],PerHeadcount[exp_item],$H779,PerHeadcount[company_name],$B779)*Z254)</f>
        <v>0</v>
      </c>
      <c r="AA779" s="652">
        <f>IF($B779="",,SUMIFS(PerHeadcount[Month 16],PerHeadcount[exp_item],$H779,PerHeadcount[company_name],$B779)*AA254)</f>
        <v>0</v>
      </c>
      <c r="AB779" s="652">
        <f>IF($B779="",,SUMIFS(PerHeadcount[Month 17],PerHeadcount[exp_item],$H779,PerHeadcount[company_name],$B779)*AB254)</f>
        <v>0</v>
      </c>
      <c r="AC779" s="652">
        <f>IF($B779="",,SUMIFS(PerHeadcount[Month 18],PerHeadcount[exp_item],$H779,PerHeadcount[company_name],$B779)*AC254)</f>
        <v>0</v>
      </c>
      <c r="AD779" s="652">
        <f>IF($B779="",,SUMIFS(PerHeadcount[Month 19],PerHeadcount[exp_item],$H779,PerHeadcount[company_name],$B779)*AD254)</f>
        <v>0</v>
      </c>
      <c r="AE779" s="652">
        <f>IF($B779="",,SUMIFS(PerHeadcount[Month 20],PerHeadcount[exp_item],$H779,PerHeadcount[company_name],$B779)*AE254)</f>
        <v>0</v>
      </c>
      <c r="AF779" s="652">
        <f>IF($B779="",,SUMIFS(PerHeadcount[Month 21],PerHeadcount[exp_item],$H779,PerHeadcount[company_name],$B779)*AF254)</f>
        <v>0</v>
      </c>
      <c r="AG779" s="652">
        <f>IF($B779="",,SUMIFS(PerHeadcount[Month 22],PerHeadcount[exp_item],$H779,PerHeadcount[company_name],$B779)*AG254)</f>
        <v>0</v>
      </c>
      <c r="AH779" s="652">
        <f>IF($B779="",,SUMIFS(PerHeadcount[Month 23],PerHeadcount[exp_item],$H779,PerHeadcount[company_name],$B779)*AH254)</f>
        <v>0</v>
      </c>
      <c r="AI779" s="652">
        <f>IF($B779="",,SUMIFS(PerHeadcount[Month 24],PerHeadcount[exp_item],$H779,PerHeadcount[company_name],$B779)*AI254)</f>
        <v>0</v>
      </c>
      <c r="AJ779" s="652">
        <f>IF($B779="",,SUMIFS(PerHeadcount[Month 25],PerHeadcount[exp_item],$H779,PerHeadcount[company_name],$B779)*AJ254)</f>
        <v>0</v>
      </c>
      <c r="AK779" s="652">
        <f>IF($B779="",,SUMIFS(PerHeadcount[Month 26],PerHeadcount[exp_item],$H779,PerHeadcount[company_name],$B779)*AK254)</f>
        <v>0</v>
      </c>
      <c r="AL779" s="652">
        <f>IF($B779="",,SUMIFS(PerHeadcount[Month 27],PerHeadcount[exp_item],$H779,PerHeadcount[company_name],$B779)*AL254)</f>
        <v>0</v>
      </c>
      <c r="AM779" s="652">
        <f>IF($B779="",,SUMIFS(PerHeadcount[Month 28],PerHeadcount[exp_item],$H779,PerHeadcount[company_name],$B779)*AM254)</f>
        <v>0</v>
      </c>
      <c r="AN779" s="652">
        <f>IF($B779="",,SUMIFS(PerHeadcount[Month 29],PerHeadcount[exp_item],$H779,PerHeadcount[company_name],$B779)*AN254)</f>
        <v>0</v>
      </c>
      <c r="AO779" s="652">
        <f>IF($B779="",,SUMIFS(PerHeadcount[Month 30],PerHeadcount[exp_item],$H779,PerHeadcount[company_name],$B779)*AO254)</f>
        <v>0</v>
      </c>
      <c r="AP779" s="652">
        <f>IF($B779="",,SUMIFS(PerHeadcount[Month 31],PerHeadcount[exp_item],$H779,PerHeadcount[company_name],$B779)*AP254)</f>
        <v>0</v>
      </c>
      <c r="AQ779" s="652">
        <f>IF($B779="",,SUMIFS(PerHeadcount[Month 32],PerHeadcount[exp_item],$H779,PerHeadcount[company_name],$B779)*AQ254)</f>
        <v>0</v>
      </c>
      <c r="AR779" s="652">
        <f>IF($B779="",,SUMIFS(PerHeadcount[Month 33],PerHeadcount[exp_item],$H779,PerHeadcount[company_name],$B779)*AR254)</f>
        <v>0</v>
      </c>
      <c r="AS779" s="652">
        <f>IF($B779="",,SUMIFS(PerHeadcount[Month 34],PerHeadcount[exp_item],$H779,PerHeadcount[company_name],$B779)*AS254)</f>
        <v>0</v>
      </c>
      <c r="AT779" s="652">
        <f>IF($B779="",,SUMIFS(PerHeadcount[Month 35],PerHeadcount[exp_item],$H779,PerHeadcount[company_name],$B779)*AT254)</f>
        <v>0</v>
      </c>
      <c r="AU779" s="652">
        <f>IF($B779="",,SUMIFS(PerHeadcount[Month 36],PerHeadcount[exp_item],$H779,PerHeadcount[company_name],$B779)*AU254)</f>
        <v>0</v>
      </c>
    </row>
    <row r="780" spans="2:47" x14ac:dyDescent="0.35">
      <c r="B780" t="str">
        <f t="shared" si="436"/>
        <v/>
      </c>
      <c r="C780" t="str">
        <f t="shared" si="436"/>
        <v/>
      </c>
      <c r="D780" t="str">
        <f t="shared" si="436"/>
        <v/>
      </c>
      <c r="E780" t="str">
        <f t="shared" si="436"/>
        <v/>
      </c>
      <c r="F780" t="str">
        <f t="shared" si="436"/>
        <v/>
      </c>
      <c r="G780" t="str">
        <f t="shared" si="436"/>
        <v/>
      </c>
      <c r="H780" t="str">
        <f t="shared" si="437"/>
        <v/>
      </c>
      <c r="J780" t="str">
        <f>IF($H780="","",IF(VLOOKUP(H780,ExpItems[],2,0),H780&amp;" - "&amp;INDEX(DivisionMapping[category_code],MATCH($D780&amp;$C780,DivisionMapping[dept_bu],0)),H780))</f>
        <v/>
      </c>
      <c r="K780" t="str">
        <f t="shared" si="438"/>
        <v/>
      </c>
      <c r="L780" s="652">
        <f>IF($B780="",,SUMIFS(PerHeadcount[Month 1],PerHeadcount[exp_item],$H780,PerHeadcount[company_name],$B780)*L255)</f>
        <v>0</v>
      </c>
      <c r="M780" s="652">
        <f>IF($B780="",,SUMIFS(PerHeadcount[Month 2],PerHeadcount[exp_item],$H780,PerHeadcount[company_name],$B780)*M255)</f>
        <v>0</v>
      </c>
      <c r="N780" s="652">
        <f>IF($B780="",,SUMIFS(PerHeadcount[Month 3],PerHeadcount[exp_item],$H780,PerHeadcount[company_name],$B780)*N255)</f>
        <v>0</v>
      </c>
      <c r="O780" s="652">
        <f>IF($B780="",,SUMIFS(PerHeadcount[Month 4],PerHeadcount[exp_item],$H780,PerHeadcount[company_name],$B780)*O255)</f>
        <v>0</v>
      </c>
      <c r="P780" s="652">
        <f>IF($B780="",,SUMIFS(PerHeadcount[Month 5],PerHeadcount[exp_item],$H780,PerHeadcount[company_name],$B780)*P255)</f>
        <v>0</v>
      </c>
      <c r="Q780" s="652">
        <f>IF($B780="",,SUMIFS(PerHeadcount[Month 6],PerHeadcount[exp_item],$H780,PerHeadcount[company_name],$B780)*Q255)</f>
        <v>0</v>
      </c>
      <c r="R780" s="652">
        <f>IF($B780="",,SUMIFS(PerHeadcount[Month 7],PerHeadcount[exp_item],$H780,PerHeadcount[company_name],$B780)*R255)</f>
        <v>0</v>
      </c>
      <c r="S780" s="652">
        <f>IF($B780="",,SUMIFS(PerHeadcount[Month 8],PerHeadcount[exp_item],$H780,PerHeadcount[company_name],$B780)*S255)</f>
        <v>0</v>
      </c>
      <c r="T780" s="652">
        <f>IF($B780="",,SUMIFS(PerHeadcount[Month 9],PerHeadcount[exp_item],$H780,PerHeadcount[company_name],$B780)*T255)</f>
        <v>0</v>
      </c>
      <c r="U780" s="652">
        <f>IF($B780="",,SUMIFS(PerHeadcount[Month 10],PerHeadcount[exp_item],$H780,PerHeadcount[company_name],$B780)*U255)</f>
        <v>0</v>
      </c>
      <c r="V780" s="652">
        <f>IF($B780="",,SUMIFS(PerHeadcount[Month 11],PerHeadcount[exp_item],$H780,PerHeadcount[company_name],$B780)*V255)</f>
        <v>0</v>
      </c>
      <c r="W780" s="652">
        <f>IF($B780="",,SUMIFS(PerHeadcount[Month 12],PerHeadcount[exp_item],$H780,PerHeadcount[company_name],$B780)*W255)</f>
        <v>0</v>
      </c>
      <c r="X780" s="652">
        <f>IF($B780="",,SUMIFS(PerHeadcount[Month 13],PerHeadcount[exp_item],$H780,PerHeadcount[company_name],$B780)*X255)</f>
        <v>0</v>
      </c>
      <c r="Y780" s="652">
        <f>IF($B780="",,SUMIFS(PerHeadcount[Month 14],PerHeadcount[exp_item],$H780,PerHeadcount[company_name],$B780)*Y255)</f>
        <v>0</v>
      </c>
      <c r="Z780" s="652">
        <f>IF($B780="",,SUMIFS(PerHeadcount[Month 15],PerHeadcount[exp_item],$H780,PerHeadcount[company_name],$B780)*Z255)</f>
        <v>0</v>
      </c>
      <c r="AA780" s="652">
        <f>IF($B780="",,SUMIFS(PerHeadcount[Month 16],PerHeadcount[exp_item],$H780,PerHeadcount[company_name],$B780)*AA255)</f>
        <v>0</v>
      </c>
      <c r="AB780" s="652">
        <f>IF($B780="",,SUMIFS(PerHeadcount[Month 17],PerHeadcount[exp_item],$H780,PerHeadcount[company_name],$B780)*AB255)</f>
        <v>0</v>
      </c>
      <c r="AC780" s="652">
        <f>IF($B780="",,SUMIFS(PerHeadcount[Month 18],PerHeadcount[exp_item],$H780,PerHeadcount[company_name],$B780)*AC255)</f>
        <v>0</v>
      </c>
      <c r="AD780" s="652">
        <f>IF($B780="",,SUMIFS(PerHeadcount[Month 19],PerHeadcount[exp_item],$H780,PerHeadcount[company_name],$B780)*AD255)</f>
        <v>0</v>
      </c>
      <c r="AE780" s="652">
        <f>IF($B780="",,SUMIFS(PerHeadcount[Month 20],PerHeadcount[exp_item],$H780,PerHeadcount[company_name],$B780)*AE255)</f>
        <v>0</v>
      </c>
      <c r="AF780" s="652">
        <f>IF($B780="",,SUMIFS(PerHeadcount[Month 21],PerHeadcount[exp_item],$H780,PerHeadcount[company_name],$B780)*AF255)</f>
        <v>0</v>
      </c>
      <c r="AG780" s="652">
        <f>IF($B780="",,SUMIFS(PerHeadcount[Month 22],PerHeadcount[exp_item],$H780,PerHeadcount[company_name],$B780)*AG255)</f>
        <v>0</v>
      </c>
      <c r="AH780" s="652">
        <f>IF($B780="",,SUMIFS(PerHeadcount[Month 23],PerHeadcount[exp_item],$H780,PerHeadcount[company_name],$B780)*AH255)</f>
        <v>0</v>
      </c>
      <c r="AI780" s="652">
        <f>IF($B780="",,SUMIFS(PerHeadcount[Month 24],PerHeadcount[exp_item],$H780,PerHeadcount[company_name],$B780)*AI255)</f>
        <v>0</v>
      </c>
      <c r="AJ780" s="652">
        <f>IF($B780="",,SUMIFS(PerHeadcount[Month 25],PerHeadcount[exp_item],$H780,PerHeadcount[company_name],$B780)*AJ255)</f>
        <v>0</v>
      </c>
      <c r="AK780" s="652">
        <f>IF($B780="",,SUMIFS(PerHeadcount[Month 26],PerHeadcount[exp_item],$H780,PerHeadcount[company_name],$B780)*AK255)</f>
        <v>0</v>
      </c>
      <c r="AL780" s="652">
        <f>IF($B780="",,SUMIFS(PerHeadcount[Month 27],PerHeadcount[exp_item],$H780,PerHeadcount[company_name],$B780)*AL255)</f>
        <v>0</v>
      </c>
      <c r="AM780" s="652">
        <f>IF($B780="",,SUMIFS(PerHeadcount[Month 28],PerHeadcount[exp_item],$H780,PerHeadcount[company_name],$B780)*AM255)</f>
        <v>0</v>
      </c>
      <c r="AN780" s="652">
        <f>IF($B780="",,SUMIFS(PerHeadcount[Month 29],PerHeadcount[exp_item],$H780,PerHeadcount[company_name],$B780)*AN255)</f>
        <v>0</v>
      </c>
      <c r="AO780" s="652">
        <f>IF($B780="",,SUMIFS(PerHeadcount[Month 30],PerHeadcount[exp_item],$H780,PerHeadcount[company_name],$B780)*AO255)</f>
        <v>0</v>
      </c>
      <c r="AP780" s="652">
        <f>IF($B780="",,SUMIFS(PerHeadcount[Month 31],PerHeadcount[exp_item],$H780,PerHeadcount[company_name],$B780)*AP255)</f>
        <v>0</v>
      </c>
      <c r="AQ780" s="652">
        <f>IF($B780="",,SUMIFS(PerHeadcount[Month 32],PerHeadcount[exp_item],$H780,PerHeadcount[company_name],$B780)*AQ255)</f>
        <v>0</v>
      </c>
      <c r="AR780" s="652">
        <f>IF($B780="",,SUMIFS(PerHeadcount[Month 33],PerHeadcount[exp_item],$H780,PerHeadcount[company_name],$B780)*AR255)</f>
        <v>0</v>
      </c>
      <c r="AS780" s="652">
        <f>IF($B780="",,SUMIFS(PerHeadcount[Month 34],PerHeadcount[exp_item],$H780,PerHeadcount[company_name],$B780)*AS255)</f>
        <v>0</v>
      </c>
      <c r="AT780" s="652">
        <f>IF($B780="",,SUMIFS(PerHeadcount[Month 35],PerHeadcount[exp_item],$H780,PerHeadcount[company_name],$B780)*AT255)</f>
        <v>0</v>
      </c>
      <c r="AU780" s="652">
        <f>IF($B780="",,SUMIFS(PerHeadcount[Month 36],PerHeadcount[exp_item],$H780,PerHeadcount[company_name],$B780)*AU255)</f>
        <v>0</v>
      </c>
    </row>
    <row r="781" spans="2:47" x14ac:dyDescent="0.35">
      <c r="B781" t="str">
        <f t="shared" ref="B781:G790" si="439">IF(B676="","",B676)</f>
        <v/>
      </c>
      <c r="C781" t="str">
        <f t="shared" si="439"/>
        <v/>
      </c>
      <c r="D781" t="str">
        <f t="shared" si="439"/>
        <v/>
      </c>
      <c r="E781" t="str">
        <f t="shared" si="439"/>
        <v/>
      </c>
      <c r="F781" t="str">
        <f t="shared" si="439"/>
        <v/>
      </c>
      <c r="G781" t="str">
        <f t="shared" si="439"/>
        <v/>
      </c>
      <c r="H781" t="str">
        <f t="shared" si="437"/>
        <v/>
      </c>
      <c r="J781" t="str">
        <f>IF($H781="","",IF(VLOOKUP(H781,ExpItems[],2,0),H781&amp;" - "&amp;INDEX(DivisionMapping[category_code],MATCH($D781&amp;$C781,DivisionMapping[dept_bu],0)),H781))</f>
        <v/>
      </c>
      <c r="K781" t="str">
        <f t="shared" si="438"/>
        <v/>
      </c>
      <c r="L781" s="652">
        <f>IF($B781="",,SUMIFS(PerHeadcount[Month 1],PerHeadcount[exp_item],$H781,PerHeadcount[company_name],$B781)*L256)</f>
        <v>0</v>
      </c>
      <c r="M781" s="652">
        <f>IF($B781="",,SUMIFS(PerHeadcount[Month 2],PerHeadcount[exp_item],$H781,PerHeadcount[company_name],$B781)*M256)</f>
        <v>0</v>
      </c>
      <c r="N781" s="652">
        <f>IF($B781="",,SUMIFS(PerHeadcount[Month 3],PerHeadcount[exp_item],$H781,PerHeadcount[company_name],$B781)*N256)</f>
        <v>0</v>
      </c>
      <c r="O781" s="652">
        <f>IF($B781="",,SUMIFS(PerHeadcount[Month 4],PerHeadcount[exp_item],$H781,PerHeadcount[company_name],$B781)*O256)</f>
        <v>0</v>
      </c>
      <c r="P781" s="652">
        <f>IF($B781="",,SUMIFS(PerHeadcount[Month 5],PerHeadcount[exp_item],$H781,PerHeadcount[company_name],$B781)*P256)</f>
        <v>0</v>
      </c>
      <c r="Q781" s="652">
        <f>IF($B781="",,SUMIFS(PerHeadcount[Month 6],PerHeadcount[exp_item],$H781,PerHeadcount[company_name],$B781)*Q256)</f>
        <v>0</v>
      </c>
      <c r="R781" s="652">
        <f>IF($B781="",,SUMIFS(PerHeadcount[Month 7],PerHeadcount[exp_item],$H781,PerHeadcount[company_name],$B781)*R256)</f>
        <v>0</v>
      </c>
      <c r="S781" s="652">
        <f>IF($B781="",,SUMIFS(PerHeadcount[Month 8],PerHeadcount[exp_item],$H781,PerHeadcount[company_name],$B781)*S256)</f>
        <v>0</v>
      </c>
      <c r="T781" s="652">
        <f>IF($B781="",,SUMIFS(PerHeadcount[Month 9],PerHeadcount[exp_item],$H781,PerHeadcount[company_name],$B781)*T256)</f>
        <v>0</v>
      </c>
      <c r="U781" s="652">
        <f>IF($B781="",,SUMIFS(PerHeadcount[Month 10],PerHeadcount[exp_item],$H781,PerHeadcount[company_name],$B781)*U256)</f>
        <v>0</v>
      </c>
      <c r="V781" s="652">
        <f>IF($B781="",,SUMIFS(PerHeadcount[Month 11],PerHeadcount[exp_item],$H781,PerHeadcount[company_name],$B781)*V256)</f>
        <v>0</v>
      </c>
      <c r="W781" s="652">
        <f>IF($B781="",,SUMIFS(PerHeadcount[Month 12],PerHeadcount[exp_item],$H781,PerHeadcount[company_name],$B781)*W256)</f>
        <v>0</v>
      </c>
      <c r="X781" s="652">
        <f>IF($B781="",,SUMIFS(PerHeadcount[Month 13],PerHeadcount[exp_item],$H781,PerHeadcount[company_name],$B781)*X256)</f>
        <v>0</v>
      </c>
      <c r="Y781" s="652">
        <f>IF($B781="",,SUMIFS(PerHeadcount[Month 14],PerHeadcount[exp_item],$H781,PerHeadcount[company_name],$B781)*Y256)</f>
        <v>0</v>
      </c>
      <c r="Z781" s="652">
        <f>IF($B781="",,SUMIFS(PerHeadcount[Month 15],PerHeadcount[exp_item],$H781,PerHeadcount[company_name],$B781)*Z256)</f>
        <v>0</v>
      </c>
      <c r="AA781" s="652">
        <f>IF($B781="",,SUMIFS(PerHeadcount[Month 16],PerHeadcount[exp_item],$H781,PerHeadcount[company_name],$B781)*AA256)</f>
        <v>0</v>
      </c>
      <c r="AB781" s="652">
        <f>IF($B781="",,SUMIFS(PerHeadcount[Month 17],PerHeadcount[exp_item],$H781,PerHeadcount[company_name],$B781)*AB256)</f>
        <v>0</v>
      </c>
      <c r="AC781" s="652">
        <f>IF($B781="",,SUMIFS(PerHeadcount[Month 18],PerHeadcount[exp_item],$H781,PerHeadcount[company_name],$B781)*AC256)</f>
        <v>0</v>
      </c>
      <c r="AD781" s="652">
        <f>IF($B781="",,SUMIFS(PerHeadcount[Month 19],PerHeadcount[exp_item],$H781,PerHeadcount[company_name],$B781)*AD256)</f>
        <v>0</v>
      </c>
      <c r="AE781" s="652">
        <f>IF($B781="",,SUMIFS(PerHeadcount[Month 20],PerHeadcount[exp_item],$H781,PerHeadcount[company_name],$B781)*AE256)</f>
        <v>0</v>
      </c>
      <c r="AF781" s="652">
        <f>IF($B781="",,SUMIFS(PerHeadcount[Month 21],PerHeadcount[exp_item],$H781,PerHeadcount[company_name],$B781)*AF256)</f>
        <v>0</v>
      </c>
      <c r="AG781" s="652">
        <f>IF($B781="",,SUMIFS(PerHeadcount[Month 22],PerHeadcount[exp_item],$H781,PerHeadcount[company_name],$B781)*AG256)</f>
        <v>0</v>
      </c>
      <c r="AH781" s="652">
        <f>IF($B781="",,SUMIFS(PerHeadcount[Month 23],PerHeadcount[exp_item],$H781,PerHeadcount[company_name],$B781)*AH256)</f>
        <v>0</v>
      </c>
      <c r="AI781" s="652">
        <f>IF($B781="",,SUMIFS(PerHeadcount[Month 24],PerHeadcount[exp_item],$H781,PerHeadcount[company_name],$B781)*AI256)</f>
        <v>0</v>
      </c>
      <c r="AJ781" s="652">
        <f>IF($B781="",,SUMIFS(PerHeadcount[Month 25],PerHeadcount[exp_item],$H781,PerHeadcount[company_name],$B781)*AJ256)</f>
        <v>0</v>
      </c>
      <c r="AK781" s="652">
        <f>IF($B781="",,SUMIFS(PerHeadcount[Month 26],PerHeadcount[exp_item],$H781,PerHeadcount[company_name],$B781)*AK256)</f>
        <v>0</v>
      </c>
      <c r="AL781" s="652">
        <f>IF($B781="",,SUMIFS(PerHeadcount[Month 27],PerHeadcount[exp_item],$H781,PerHeadcount[company_name],$B781)*AL256)</f>
        <v>0</v>
      </c>
      <c r="AM781" s="652">
        <f>IF($B781="",,SUMIFS(PerHeadcount[Month 28],PerHeadcount[exp_item],$H781,PerHeadcount[company_name],$B781)*AM256)</f>
        <v>0</v>
      </c>
      <c r="AN781" s="652">
        <f>IF($B781="",,SUMIFS(PerHeadcount[Month 29],PerHeadcount[exp_item],$H781,PerHeadcount[company_name],$B781)*AN256)</f>
        <v>0</v>
      </c>
      <c r="AO781" s="652">
        <f>IF($B781="",,SUMIFS(PerHeadcount[Month 30],PerHeadcount[exp_item],$H781,PerHeadcount[company_name],$B781)*AO256)</f>
        <v>0</v>
      </c>
      <c r="AP781" s="652">
        <f>IF($B781="",,SUMIFS(PerHeadcount[Month 31],PerHeadcount[exp_item],$H781,PerHeadcount[company_name],$B781)*AP256)</f>
        <v>0</v>
      </c>
      <c r="AQ781" s="652">
        <f>IF($B781="",,SUMIFS(PerHeadcount[Month 32],PerHeadcount[exp_item],$H781,PerHeadcount[company_name],$B781)*AQ256)</f>
        <v>0</v>
      </c>
      <c r="AR781" s="652">
        <f>IF($B781="",,SUMIFS(PerHeadcount[Month 33],PerHeadcount[exp_item],$H781,PerHeadcount[company_name],$B781)*AR256)</f>
        <v>0</v>
      </c>
      <c r="AS781" s="652">
        <f>IF($B781="",,SUMIFS(PerHeadcount[Month 34],PerHeadcount[exp_item],$H781,PerHeadcount[company_name],$B781)*AS256)</f>
        <v>0</v>
      </c>
      <c r="AT781" s="652">
        <f>IF($B781="",,SUMIFS(PerHeadcount[Month 35],PerHeadcount[exp_item],$H781,PerHeadcount[company_name],$B781)*AT256)</f>
        <v>0</v>
      </c>
      <c r="AU781" s="652">
        <f>IF($B781="",,SUMIFS(PerHeadcount[Month 36],PerHeadcount[exp_item],$H781,PerHeadcount[company_name],$B781)*AU256)</f>
        <v>0</v>
      </c>
    </row>
    <row r="782" spans="2:47" x14ac:dyDescent="0.35">
      <c r="B782" t="str">
        <f t="shared" si="439"/>
        <v/>
      </c>
      <c r="C782" t="str">
        <f t="shared" si="439"/>
        <v/>
      </c>
      <c r="D782" t="str">
        <f t="shared" si="439"/>
        <v/>
      </c>
      <c r="E782" t="str">
        <f t="shared" si="439"/>
        <v/>
      </c>
      <c r="F782" t="str">
        <f t="shared" si="439"/>
        <v/>
      </c>
      <c r="G782" t="str">
        <f t="shared" si="439"/>
        <v/>
      </c>
      <c r="H782" t="str">
        <f t="shared" si="437"/>
        <v/>
      </c>
      <c r="J782" t="str">
        <f>IF($H782="","",IF(VLOOKUP(H782,ExpItems[],2,0),H782&amp;" - "&amp;INDEX(DivisionMapping[category_code],MATCH($D782&amp;$C782,DivisionMapping[dept_bu],0)),H782))</f>
        <v/>
      </c>
      <c r="K782" t="str">
        <f t="shared" si="438"/>
        <v/>
      </c>
      <c r="L782" s="652">
        <f>IF($B782="",,SUMIFS(PerHeadcount[Month 1],PerHeadcount[exp_item],$H782,PerHeadcount[company_name],$B782)*L257)</f>
        <v>0</v>
      </c>
      <c r="M782" s="652">
        <f>IF($B782="",,SUMIFS(PerHeadcount[Month 2],PerHeadcount[exp_item],$H782,PerHeadcount[company_name],$B782)*M257)</f>
        <v>0</v>
      </c>
      <c r="N782" s="652">
        <f>IF($B782="",,SUMIFS(PerHeadcount[Month 3],PerHeadcount[exp_item],$H782,PerHeadcount[company_name],$B782)*N257)</f>
        <v>0</v>
      </c>
      <c r="O782" s="652">
        <f>IF($B782="",,SUMIFS(PerHeadcount[Month 4],PerHeadcount[exp_item],$H782,PerHeadcount[company_name],$B782)*O257)</f>
        <v>0</v>
      </c>
      <c r="P782" s="652">
        <f>IF($B782="",,SUMIFS(PerHeadcount[Month 5],PerHeadcount[exp_item],$H782,PerHeadcount[company_name],$B782)*P257)</f>
        <v>0</v>
      </c>
      <c r="Q782" s="652">
        <f>IF($B782="",,SUMIFS(PerHeadcount[Month 6],PerHeadcount[exp_item],$H782,PerHeadcount[company_name],$B782)*Q257)</f>
        <v>0</v>
      </c>
      <c r="R782" s="652">
        <f>IF($B782="",,SUMIFS(PerHeadcount[Month 7],PerHeadcount[exp_item],$H782,PerHeadcount[company_name],$B782)*R257)</f>
        <v>0</v>
      </c>
      <c r="S782" s="652">
        <f>IF($B782="",,SUMIFS(PerHeadcount[Month 8],PerHeadcount[exp_item],$H782,PerHeadcount[company_name],$B782)*S257)</f>
        <v>0</v>
      </c>
      <c r="T782" s="652">
        <f>IF($B782="",,SUMIFS(PerHeadcount[Month 9],PerHeadcount[exp_item],$H782,PerHeadcount[company_name],$B782)*T257)</f>
        <v>0</v>
      </c>
      <c r="U782" s="652">
        <f>IF($B782="",,SUMIFS(PerHeadcount[Month 10],PerHeadcount[exp_item],$H782,PerHeadcount[company_name],$B782)*U257)</f>
        <v>0</v>
      </c>
      <c r="V782" s="652">
        <f>IF($B782="",,SUMIFS(PerHeadcount[Month 11],PerHeadcount[exp_item],$H782,PerHeadcount[company_name],$B782)*V257)</f>
        <v>0</v>
      </c>
      <c r="W782" s="652">
        <f>IF($B782="",,SUMIFS(PerHeadcount[Month 12],PerHeadcount[exp_item],$H782,PerHeadcount[company_name],$B782)*W257)</f>
        <v>0</v>
      </c>
      <c r="X782" s="652">
        <f>IF($B782="",,SUMIFS(PerHeadcount[Month 13],PerHeadcount[exp_item],$H782,PerHeadcount[company_name],$B782)*X257)</f>
        <v>0</v>
      </c>
      <c r="Y782" s="652">
        <f>IF($B782="",,SUMIFS(PerHeadcount[Month 14],PerHeadcount[exp_item],$H782,PerHeadcount[company_name],$B782)*Y257)</f>
        <v>0</v>
      </c>
      <c r="Z782" s="652">
        <f>IF($B782="",,SUMIFS(PerHeadcount[Month 15],PerHeadcount[exp_item],$H782,PerHeadcount[company_name],$B782)*Z257)</f>
        <v>0</v>
      </c>
      <c r="AA782" s="652">
        <f>IF($B782="",,SUMIFS(PerHeadcount[Month 16],PerHeadcount[exp_item],$H782,PerHeadcount[company_name],$B782)*AA257)</f>
        <v>0</v>
      </c>
      <c r="AB782" s="652">
        <f>IF($B782="",,SUMIFS(PerHeadcount[Month 17],PerHeadcount[exp_item],$H782,PerHeadcount[company_name],$B782)*AB257)</f>
        <v>0</v>
      </c>
      <c r="AC782" s="652">
        <f>IF($B782="",,SUMIFS(PerHeadcount[Month 18],PerHeadcount[exp_item],$H782,PerHeadcount[company_name],$B782)*AC257)</f>
        <v>0</v>
      </c>
      <c r="AD782" s="652">
        <f>IF($B782="",,SUMIFS(PerHeadcount[Month 19],PerHeadcount[exp_item],$H782,PerHeadcount[company_name],$B782)*AD257)</f>
        <v>0</v>
      </c>
      <c r="AE782" s="652">
        <f>IF($B782="",,SUMIFS(PerHeadcount[Month 20],PerHeadcount[exp_item],$H782,PerHeadcount[company_name],$B782)*AE257)</f>
        <v>0</v>
      </c>
      <c r="AF782" s="652">
        <f>IF($B782="",,SUMIFS(PerHeadcount[Month 21],PerHeadcount[exp_item],$H782,PerHeadcount[company_name],$B782)*AF257)</f>
        <v>0</v>
      </c>
      <c r="AG782" s="652">
        <f>IF($B782="",,SUMIFS(PerHeadcount[Month 22],PerHeadcount[exp_item],$H782,PerHeadcount[company_name],$B782)*AG257)</f>
        <v>0</v>
      </c>
      <c r="AH782" s="652">
        <f>IF($B782="",,SUMIFS(PerHeadcount[Month 23],PerHeadcount[exp_item],$H782,PerHeadcount[company_name],$B782)*AH257)</f>
        <v>0</v>
      </c>
      <c r="AI782" s="652">
        <f>IF($B782="",,SUMIFS(PerHeadcount[Month 24],PerHeadcount[exp_item],$H782,PerHeadcount[company_name],$B782)*AI257)</f>
        <v>0</v>
      </c>
      <c r="AJ782" s="652">
        <f>IF($B782="",,SUMIFS(PerHeadcount[Month 25],PerHeadcount[exp_item],$H782,PerHeadcount[company_name],$B782)*AJ257)</f>
        <v>0</v>
      </c>
      <c r="AK782" s="652">
        <f>IF($B782="",,SUMIFS(PerHeadcount[Month 26],PerHeadcount[exp_item],$H782,PerHeadcount[company_name],$B782)*AK257)</f>
        <v>0</v>
      </c>
      <c r="AL782" s="652">
        <f>IF($B782="",,SUMIFS(PerHeadcount[Month 27],PerHeadcount[exp_item],$H782,PerHeadcount[company_name],$B782)*AL257)</f>
        <v>0</v>
      </c>
      <c r="AM782" s="652">
        <f>IF($B782="",,SUMIFS(PerHeadcount[Month 28],PerHeadcount[exp_item],$H782,PerHeadcount[company_name],$B782)*AM257)</f>
        <v>0</v>
      </c>
      <c r="AN782" s="652">
        <f>IF($B782="",,SUMIFS(PerHeadcount[Month 29],PerHeadcount[exp_item],$H782,PerHeadcount[company_name],$B782)*AN257)</f>
        <v>0</v>
      </c>
      <c r="AO782" s="652">
        <f>IF($B782="",,SUMIFS(PerHeadcount[Month 30],PerHeadcount[exp_item],$H782,PerHeadcount[company_name],$B782)*AO257)</f>
        <v>0</v>
      </c>
      <c r="AP782" s="652">
        <f>IF($B782="",,SUMIFS(PerHeadcount[Month 31],PerHeadcount[exp_item],$H782,PerHeadcount[company_name],$B782)*AP257)</f>
        <v>0</v>
      </c>
      <c r="AQ782" s="652">
        <f>IF($B782="",,SUMIFS(PerHeadcount[Month 32],PerHeadcount[exp_item],$H782,PerHeadcount[company_name],$B782)*AQ257)</f>
        <v>0</v>
      </c>
      <c r="AR782" s="652">
        <f>IF($B782="",,SUMIFS(PerHeadcount[Month 33],PerHeadcount[exp_item],$H782,PerHeadcount[company_name],$B782)*AR257)</f>
        <v>0</v>
      </c>
      <c r="AS782" s="652">
        <f>IF($B782="",,SUMIFS(PerHeadcount[Month 34],PerHeadcount[exp_item],$H782,PerHeadcount[company_name],$B782)*AS257)</f>
        <v>0</v>
      </c>
      <c r="AT782" s="652">
        <f>IF($B782="",,SUMIFS(PerHeadcount[Month 35],PerHeadcount[exp_item],$H782,PerHeadcount[company_name],$B782)*AT257)</f>
        <v>0</v>
      </c>
      <c r="AU782" s="652">
        <f>IF($B782="",,SUMIFS(PerHeadcount[Month 36],PerHeadcount[exp_item],$H782,PerHeadcount[company_name],$B782)*AU257)</f>
        <v>0</v>
      </c>
    </row>
    <row r="783" spans="2:47" x14ac:dyDescent="0.35">
      <c r="B783" t="str">
        <f t="shared" si="439"/>
        <v/>
      </c>
      <c r="C783" t="str">
        <f t="shared" si="439"/>
        <v/>
      </c>
      <c r="D783" t="str">
        <f t="shared" si="439"/>
        <v/>
      </c>
      <c r="E783" t="str">
        <f t="shared" si="439"/>
        <v/>
      </c>
      <c r="F783" t="str">
        <f t="shared" si="439"/>
        <v/>
      </c>
      <c r="G783" t="str">
        <f t="shared" si="439"/>
        <v/>
      </c>
      <c r="H783" t="str">
        <f t="shared" si="437"/>
        <v/>
      </c>
      <c r="J783" t="str">
        <f>IF($H783="","",IF(VLOOKUP(H783,ExpItems[],2,0),H783&amp;" - "&amp;INDEX(DivisionMapping[category_code],MATCH($D783&amp;$C783,DivisionMapping[dept_bu],0)),H783))</f>
        <v/>
      </c>
      <c r="K783" t="str">
        <f t="shared" si="438"/>
        <v/>
      </c>
      <c r="L783" s="652">
        <f>IF($B783="",,SUMIFS(PerHeadcount[Month 1],PerHeadcount[exp_item],$H783,PerHeadcount[company_name],$B783)*L258)</f>
        <v>0</v>
      </c>
      <c r="M783" s="652">
        <f>IF($B783="",,SUMIFS(PerHeadcount[Month 2],PerHeadcount[exp_item],$H783,PerHeadcount[company_name],$B783)*M258)</f>
        <v>0</v>
      </c>
      <c r="N783" s="652">
        <f>IF($B783="",,SUMIFS(PerHeadcount[Month 3],PerHeadcount[exp_item],$H783,PerHeadcount[company_name],$B783)*N258)</f>
        <v>0</v>
      </c>
      <c r="O783" s="652">
        <f>IF($B783="",,SUMIFS(PerHeadcount[Month 4],PerHeadcount[exp_item],$H783,PerHeadcount[company_name],$B783)*O258)</f>
        <v>0</v>
      </c>
      <c r="P783" s="652">
        <f>IF($B783="",,SUMIFS(PerHeadcount[Month 5],PerHeadcount[exp_item],$H783,PerHeadcount[company_name],$B783)*P258)</f>
        <v>0</v>
      </c>
      <c r="Q783" s="652">
        <f>IF($B783="",,SUMIFS(PerHeadcount[Month 6],PerHeadcount[exp_item],$H783,PerHeadcount[company_name],$B783)*Q258)</f>
        <v>0</v>
      </c>
      <c r="R783" s="652">
        <f>IF($B783="",,SUMIFS(PerHeadcount[Month 7],PerHeadcount[exp_item],$H783,PerHeadcount[company_name],$B783)*R258)</f>
        <v>0</v>
      </c>
      <c r="S783" s="652">
        <f>IF($B783="",,SUMIFS(PerHeadcount[Month 8],PerHeadcount[exp_item],$H783,PerHeadcount[company_name],$B783)*S258)</f>
        <v>0</v>
      </c>
      <c r="T783" s="652">
        <f>IF($B783="",,SUMIFS(PerHeadcount[Month 9],PerHeadcount[exp_item],$H783,PerHeadcount[company_name],$B783)*T258)</f>
        <v>0</v>
      </c>
      <c r="U783" s="652">
        <f>IF($B783="",,SUMIFS(PerHeadcount[Month 10],PerHeadcount[exp_item],$H783,PerHeadcount[company_name],$B783)*U258)</f>
        <v>0</v>
      </c>
      <c r="V783" s="652">
        <f>IF($B783="",,SUMIFS(PerHeadcount[Month 11],PerHeadcount[exp_item],$H783,PerHeadcount[company_name],$B783)*V258)</f>
        <v>0</v>
      </c>
      <c r="W783" s="652">
        <f>IF($B783="",,SUMIFS(PerHeadcount[Month 12],PerHeadcount[exp_item],$H783,PerHeadcount[company_name],$B783)*W258)</f>
        <v>0</v>
      </c>
      <c r="X783" s="652">
        <f>IF($B783="",,SUMIFS(PerHeadcount[Month 13],PerHeadcount[exp_item],$H783,PerHeadcount[company_name],$B783)*X258)</f>
        <v>0</v>
      </c>
      <c r="Y783" s="652">
        <f>IF($B783="",,SUMIFS(PerHeadcount[Month 14],PerHeadcount[exp_item],$H783,PerHeadcount[company_name],$B783)*Y258)</f>
        <v>0</v>
      </c>
      <c r="Z783" s="652">
        <f>IF($B783="",,SUMIFS(PerHeadcount[Month 15],PerHeadcount[exp_item],$H783,PerHeadcount[company_name],$B783)*Z258)</f>
        <v>0</v>
      </c>
      <c r="AA783" s="652">
        <f>IF($B783="",,SUMIFS(PerHeadcount[Month 16],PerHeadcount[exp_item],$H783,PerHeadcount[company_name],$B783)*AA258)</f>
        <v>0</v>
      </c>
      <c r="AB783" s="652">
        <f>IF($B783="",,SUMIFS(PerHeadcount[Month 17],PerHeadcount[exp_item],$H783,PerHeadcount[company_name],$B783)*AB258)</f>
        <v>0</v>
      </c>
      <c r="AC783" s="652">
        <f>IF($B783="",,SUMIFS(PerHeadcount[Month 18],PerHeadcount[exp_item],$H783,PerHeadcount[company_name],$B783)*AC258)</f>
        <v>0</v>
      </c>
      <c r="AD783" s="652">
        <f>IF($B783="",,SUMIFS(PerHeadcount[Month 19],PerHeadcount[exp_item],$H783,PerHeadcount[company_name],$B783)*AD258)</f>
        <v>0</v>
      </c>
      <c r="AE783" s="652">
        <f>IF($B783="",,SUMIFS(PerHeadcount[Month 20],PerHeadcount[exp_item],$H783,PerHeadcount[company_name],$B783)*AE258)</f>
        <v>0</v>
      </c>
      <c r="AF783" s="652">
        <f>IF($B783="",,SUMIFS(PerHeadcount[Month 21],PerHeadcount[exp_item],$H783,PerHeadcount[company_name],$B783)*AF258)</f>
        <v>0</v>
      </c>
      <c r="AG783" s="652">
        <f>IF($B783="",,SUMIFS(PerHeadcount[Month 22],PerHeadcount[exp_item],$H783,PerHeadcount[company_name],$B783)*AG258)</f>
        <v>0</v>
      </c>
      <c r="AH783" s="652">
        <f>IF($B783="",,SUMIFS(PerHeadcount[Month 23],PerHeadcount[exp_item],$H783,PerHeadcount[company_name],$B783)*AH258)</f>
        <v>0</v>
      </c>
      <c r="AI783" s="652">
        <f>IF($B783="",,SUMIFS(PerHeadcount[Month 24],PerHeadcount[exp_item],$H783,PerHeadcount[company_name],$B783)*AI258)</f>
        <v>0</v>
      </c>
      <c r="AJ783" s="652">
        <f>IF($B783="",,SUMIFS(PerHeadcount[Month 25],PerHeadcount[exp_item],$H783,PerHeadcount[company_name],$B783)*AJ258)</f>
        <v>0</v>
      </c>
      <c r="AK783" s="652">
        <f>IF($B783="",,SUMIFS(PerHeadcount[Month 26],PerHeadcount[exp_item],$H783,PerHeadcount[company_name],$B783)*AK258)</f>
        <v>0</v>
      </c>
      <c r="AL783" s="652">
        <f>IF($B783="",,SUMIFS(PerHeadcount[Month 27],PerHeadcount[exp_item],$H783,PerHeadcount[company_name],$B783)*AL258)</f>
        <v>0</v>
      </c>
      <c r="AM783" s="652">
        <f>IF($B783="",,SUMIFS(PerHeadcount[Month 28],PerHeadcount[exp_item],$H783,PerHeadcount[company_name],$B783)*AM258)</f>
        <v>0</v>
      </c>
      <c r="AN783" s="652">
        <f>IF($B783="",,SUMIFS(PerHeadcount[Month 29],PerHeadcount[exp_item],$H783,PerHeadcount[company_name],$B783)*AN258)</f>
        <v>0</v>
      </c>
      <c r="AO783" s="652">
        <f>IF($B783="",,SUMIFS(PerHeadcount[Month 30],PerHeadcount[exp_item],$H783,PerHeadcount[company_name],$B783)*AO258)</f>
        <v>0</v>
      </c>
      <c r="AP783" s="652">
        <f>IF($B783="",,SUMIFS(PerHeadcount[Month 31],PerHeadcount[exp_item],$H783,PerHeadcount[company_name],$B783)*AP258)</f>
        <v>0</v>
      </c>
      <c r="AQ783" s="652">
        <f>IF($B783="",,SUMIFS(PerHeadcount[Month 32],PerHeadcount[exp_item],$H783,PerHeadcount[company_name],$B783)*AQ258)</f>
        <v>0</v>
      </c>
      <c r="AR783" s="652">
        <f>IF($B783="",,SUMIFS(PerHeadcount[Month 33],PerHeadcount[exp_item],$H783,PerHeadcount[company_name],$B783)*AR258)</f>
        <v>0</v>
      </c>
      <c r="AS783" s="652">
        <f>IF($B783="",,SUMIFS(PerHeadcount[Month 34],PerHeadcount[exp_item],$H783,PerHeadcount[company_name],$B783)*AS258)</f>
        <v>0</v>
      </c>
      <c r="AT783" s="652">
        <f>IF($B783="",,SUMIFS(PerHeadcount[Month 35],PerHeadcount[exp_item],$H783,PerHeadcount[company_name],$B783)*AT258)</f>
        <v>0</v>
      </c>
      <c r="AU783" s="652">
        <f>IF($B783="",,SUMIFS(PerHeadcount[Month 36],PerHeadcount[exp_item],$H783,PerHeadcount[company_name],$B783)*AU258)</f>
        <v>0</v>
      </c>
    </row>
    <row r="784" spans="2:47" x14ac:dyDescent="0.35">
      <c r="B784" t="str">
        <f t="shared" si="439"/>
        <v/>
      </c>
      <c r="C784" t="str">
        <f t="shared" si="439"/>
        <v/>
      </c>
      <c r="D784" t="str">
        <f t="shared" si="439"/>
        <v/>
      </c>
      <c r="E784" t="str">
        <f t="shared" si="439"/>
        <v/>
      </c>
      <c r="F784" t="str">
        <f t="shared" si="439"/>
        <v/>
      </c>
      <c r="G784" t="str">
        <f t="shared" si="439"/>
        <v/>
      </c>
      <c r="H784" t="str">
        <f t="shared" si="437"/>
        <v/>
      </c>
      <c r="J784" t="str">
        <f>IF($H784="","",IF(VLOOKUP(H784,ExpItems[],2,0),H784&amp;" - "&amp;INDEX(DivisionMapping[category_code],MATCH($D784&amp;$C784,DivisionMapping[dept_bu],0)),H784))</f>
        <v/>
      </c>
      <c r="K784" t="str">
        <f t="shared" si="438"/>
        <v/>
      </c>
      <c r="L784" s="652">
        <f>IF($B784="",,SUMIFS(PerHeadcount[Month 1],PerHeadcount[exp_item],$H784,PerHeadcount[company_name],$B784)*L259)</f>
        <v>0</v>
      </c>
      <c r="M784" s="652">
        <f>IF($B784="",,SUMIFS(PerHeadcount[Month 2],PerHeadcount[exp_item],$H784,PerHeadcount[company_name],$B784)*M259)</f>
        <v>0</v>
      </c>
      <c r="N784" s="652">
        <f>IF($B784="",,SUMIFS(PerHeadcount[Month 3],PerHeadcount[exp_item],$H784,PerHeadcount[company_name],$B784)*N259)</f>
        <v>0</v>
      </c>
      <c r="O784" s="652">
        <f>IF($B784="",,SUMIFS(PerHeadcount[Month 4],PerHeadcount[exp_item],$H784,PerHeadcount[company_name],$B784)*O259)</f>
        <v>0</v>
      </c>
      <c r="P784" s="652">
        <f>IF($B784="",,SUMIFS(PerHeadcount[Month 5],PerHeadcount[exp_item],$H784,PerHeadcount[company_name],$B784)*P259)</f>
        <v>0</v>
      </c>
      <c r="Q784" s="652">
        <f>IF($B784="",,SUMIFS(PerHeadcount[Month 6],PerHeadcount[exp_item],$H784,PerHeadcount[company_name],$B784)*Q259)</f>
        <v>0</v>
      </c>
      <c r="R784" s="652">
        <f>IF($B784="",,SUMIFS(PerHeadcount[Month 7],PerHeadcount[exp_item],$H784,PerHeadcount[company_name],$B784)*R259)</f>
        <v>0</v>
      </c>
      <c r="S784" s="652">
        <f>IF($B784="",,SUMIFS(PerHeadcount[Month 8],PerHeadcount[exp_item],$H784,PerHeadcount[company_name],$B784)*S259)</f>
        <v>0</v>
      </c>
      <c r="T784" s="652">
        <f>IF($B784="",,SUMIFS(PerHeadcount[Month 9],PerHeadcount[exp_item],$H784,PerHeadcount[company_name],$B784)*T259)</f>
        <v>0</v>
      </c>
      <c r="U784" s="652">
        <f>IF($B784="",,SUMIFS(PerHeadcount[Month 10],PerHeadcount[exp_item],$H784,PerHeadcount[company_name],$B784)*U259)</f>
        <v>0</v>
      </c>
      <c r="V784" s="652">
        <f>IF($B784="",,SUMIFS(PerHeadcount[Month 11],PerHeadcount[exp_item],$H784,PerHeadcount[company_name],$B784)*V259)</f>
        <v>0</v>
      </c>
      <c r="W784" s="652">
        <f>IF($B784="",,SUMIFS(PerHeadcount[Month 12],PerHeadcount[exp_item],$H784,PerHeadcount[company_name],$B784)*W259)</f>
        <v>0</v>
      </c>
      <c r="X784" s="652">
        <f>IF($B784="",,SUMIFS(PerHeadcount[Month 13],PerHeadcount[exp_item],$H784,PerHeadcount[company_name],$B784)*X259)</f>
        <v>0</v>
      </c>
      <c r="Y784" s="652">
        <f>IF($B784="",,SUMIFS(PerHeadcount[Month 14],PerHeadcount[exp_item],$H784,PerHeadcount[company_name],$B784)*Y259)</f>
        <v>0</v>
      </c>
      <c r="Z784" s="652">
        <f>IF($B784="",,SUMIFS(PerHeadcount[Month 15],PerHeadcount[exp_item],$H784,PerHeadcount[company_name],$B784)*Z259)</f>
        <v>0</v>
      </c>
      <c r="AA784" s="652">
        <f>IF($B784="",,SUMIFS(PerHeadcount[Month 16],PerHeadcount[exp_item],$H784,PerHeadcount[company_name],$B784)*AA259)</f>
        <v>0</v>
      </c>
      <c r="AB784" s="652">
        <f>IF($B784="",,SUMIFS(PerHeadcount[Month 17],PerHeadcount[exp_item],$H784,PerHeadcount[company_name],$B784)*AB259)</f>
        <v>0</v>
      </c>
      <c r="AC784" s="652">
        <f>IF($B784="",,SUMIFS(PerHeadcount[Month 18],PerHeadcount[exp_item],$H784,PerHeadcount[company_name],$B784)*AC259)</f>
        <v>0</v>
      </c>
      <c r="AD784" s="652">
        <f>IF($B784="",,SUMIFS(PerHeadcount[Month 19],PerHeadcount[exp_item],$H784,PerHeadcount[company_name],$B784)*AD259)</f>
        <v>0</v>
      </c>
      <c r="AE784" s="652">
        <f>IF($B784="",,SUMIFS(PerHeadcount[Month 20],PerHeadcount[exp_item],$H784,PerHeadcount[company_name],$B784)*AE259)</f>
        <v>0</v>
      </c>
      <c r="AF784" s="652">
        <f>IF($B784="",,SUMIFS(PerHeadcount[Month 21],PerHeadcount[exp_item],$H784,PerHeadcount[company_name],$B784)*AF259)</f>
        <v>0</v>
      </c>
      <c r="AG784" s="652">
        <f>IF($B784="",,SUMIFS(PerHeadcount[Month 22],PerHeadcount[exp_item],$H784,PerHeadcount[company_name],$B784)*AG259)</f>
        <v>0</v>
      </c>
      <c r="AH784" s="652">
        <f>IF($B784="",,SUMIFS(PerHeadcount[Month 23],PerHeadcount[exp_item],$H784,PerHeadcount[company_name],$B784)*AH259)</f>
        <v>0</v>
      </c>
      <c r="AI784" s="652">
        <f>IF($B784="",,SUMIFS(PerHeadcount[Month 24],PerHeadcount[exp_item],$H784,PerHeadcount[company_name],$B784)*AI259)</f>
        <v>0</v>
      </c>
      <c r="AJ784" s="652">
        <f>IF($B784="",,SUMIFS(PerHeadcount[Month 25],PerHeadcount[exp_item],$H784,PerHeadcount[company_name],$B784)*AJ259)</f>
        <v>0</v>
      </c>
      <c r="AK784" s="652">
        <f>IF($B784="",,SUMIFS(PerHeadcount[Month 26],PerHeadcount[exp_item],$H784,PerHeadcount[company_name],$B784)*AK259)</f>
        <v>0</v>
      </c>
      <c r="AL784" s="652">
        <f>IF($B784="",,SUMIFS(PerHeadcount[Month 27],PerHeadcount[exp_item],$H784,PerHeadcount[company_name],$B784)*AL259)</f>
        <v>0</v>
      </c>
      <c r="AM784" s="652">
        <f>IF($B784="",,SUMIFS(PerHeadcount[Month 28],PerHeadcount[exp_item],$H784,PerHeadcount[company_name],$B784)*AM259)</f>
        <v>0</v>
      </c>
      <c r="AN784" s="652">
        <f>IF($B784="",,SUMIFS(PerHeadcount[Month 29],PerHeadcount[exp_item],$H784,PerHeadcount[company_name],$B784)*AN259)</f>
        <v>0</v>
      </c>
      <c r="AO784" s="652">
        <f>IF($B784="",,SUMIFS(PerHeadcount[Month 30],PerHeadcount[exp_item],$H784,PerHeadcount[company_name],$B784)*AO259)</f>
        <v>0</v>
      </c>
      <c r="AP784" s="652">
        <f>IF($B784="",,SUMIFS(PerHeadcount[Month 31],PerHeadcount[exp_item],$H784,PerHeadcount[company_name],$B784)*AP259)</f>
        <v>0</v>
      </c>
      <c r="AQ784" s="652">
        <f>IF($B784="",,SUMIFS(PerHeadcount[Month 32],PerHeadcount[exp_item],$H784,PerHeadcount[company_name],$B784)*AQ259)</f>
        <v>0</v>
      </c>
      <c r="AR784" s="652">
        <f>IF($B784="",,SUMIFS(PerHeadcount[Month 33],PerHeadcount[exp_item],$H784,PerHeadcount[company_name],$B784)*AR259)</f>
        <v>0</v>
      </c>
      <c r="AS784" s="652">
        <f>IF($B784="",,SUMIFS(PerHeadcount[Month 34],PerHeadcount[exp_item],$H784,PerHeadcount[company_name],$B784)*AS259)</f>
        <v>0</v>
      </c>
      <c r="AT784" s="652">
        <f>IF($B784="",,SUMIFS(PerHeadcount[Month 35],PerHeadcount[exp_item],$H784,PerHeadcount[company_name],$B784)*AT259)</f>
        <v>0</v>
      </c>
      <c r="AU784" s="652">
        <f>IF($B784="",,SUMIFS(PerHeadcount[Month 36],PerHeadcount[exp_item],$H784,PerHeadcount[company_name],$B784)*AU259)</f>
        <v>0</v>
      </c>
    </row>
    <row r="785" spans="2:47" x14ac:dyDescent="0.35">
      <c r="B785" t="str">
        <f t="shared" si="439"/>
        <v/>
      </c>
      <c r="C785" t="str">
        <f t="shared" si="439"/>
        <v/>
      </c>
      <c r="D785" t="str">
        <f t="shared" si="439"/>
        <v/>
      </c>
      <c r="E785" t="str">
        <f t="shared" si="439"/>
        <v/>
      </c>
      <c r="F785" t="str">
        <f t="shared" si="439"/>
        <v/>
      </c>
      <c r="G785" t="str">
        <f t="shared" si="439"/>
        <v/>
      </c>
      <c r="H785" t="str">
        <f t="shared" si="437"/>
        <v/>
      </c>
      <c r="J785" t="str">
        <f>IF($H785="","",IF(VLOOKUP(H785,ExpItems[],2,0),H785&amp;" - "&amp;INDEX(DivisionMapping[category_code],MATCH($D785&amp;$C785,DivisionMapping[dept_bu],0)),H785))</f>
        <v/>
      </c>
      <c r="K785" t="str">
        <f t="shared" si="438"/>
        <v/>
      </c>
      <c r="L785" s="652">
        <f>IF($B785="",,SUMIFS(PerHeadcount[Month 1],PerHeadcount[exp_item],$H785,PerHeadcount[company_name],$B785)*L260)</f>
        <v>0</v>
      </c>
      <c r="M785" s="652">
        <f>IF($B785="",,SUMIFS(PerHeadcount[Month 2],PerHeadcount[exp_item],$H785,PerHeadcount[company_name],$B785)*M260)</f>
        <v>0</v>
      </c>
      <c r="N785" s="652">
        <f>IF($B785="",,SUMIFS(PerHeadcount[Month 3],PerHeadcount[exp_item],$H785,PerHeadcount[company_name],$B785)*N260)</f>
        <v>0</v>
      </c>
      <c r="O785" s="652">
        <f>IF($B785="",,SUMIFS(PerHeadcount[Month 4],PerHeadcount[exp_item],$H785,PerHeadcount[company_name],$B785)*O260)</f>
        <v>0</v>
      </c>
      <c r="P785" s="652">
        <f>IF($B785="",,SUMIFS(PerHeadcount[Month 5],PerHeadcount[exp_item],$H785,PerHeadcount[company_name],$B785)*P260)</f>
        <v>0</v>
      </c>
      <c r="Q785" s="652">
        <f>IF($B785="",,SUMIFS(PerHeadcount[Month 6],PerHeadcount[exp_item],$H785,PerHeadcount[company_name],$B785)*Q260)</f>
        <v>0</v>
      </c>
      <c r="R785" s="652">
        <f>IF($B785="",,SUMIFS(PerHeadcount[Month 7],PerHeadcount[exp_item],$H785,PerHeadcount[company_name],$B785)*R260)</f>
        <v>0</v>
      </c>
      <c r="S785" s="652">
        <f>IF($B785="",,SUMIFS(PerHeadcount[Month 8],PerHeadcount[exp_item],$H785,PerHeadcount[company_name],$B785)*S260)</f>
        <v>0</v>
      </c>
      <c r="T785" s="652">
        <f>IF($B785="",,SUMIFS(PerHeadcount[Month 9],PerHeadcount[exp_item],$H785,PerHeadcount[company_name],$B785)*T260)</f>
        <v>0</v>
      </c>
      <c r="U785" s="652">
        <f>IF($B785="",,SUMIFS(PerHeadcount[Month 10],PerHeadcount[exp_item],$H785,PerHeadcount[company_name],$B785)*U260)</f>
        <v>0</v>
      </c>
      <c r="V785" s="652">
        <f>IF($B785="",,SUMIFS(PerHeadcount[Month 11],PerHeadcount[exp_item],$H785,PerHeadcount[company_name],$B785)*V260)</f>
        <v>0</v>
      </c>
      <c r="W785" s="652">
        <f>IF($B785="",,SUMIFS(PerHeadcount[Month 12],PerHeadcount[exp_item],$H785,PerHeadcount[company_name],$B785)*W260)</f>
        <v>0</v>
      </c>
      <c r="X785" s="652">
        <f>IF($B785="",,SUMIFS(PerHeadcount[Month 13],PerHeadcount[exp_item],$H785,PerHeadcount[company_name],$B785)*X260)</f>
        <v>0</v>
      </c>
      <c r="Y785" s="652">
        <f>IF($B785="",,SUMIFS(PerHeadcount[Month 14],PerHeadcount[exp_item],$H785,PerHeadcount[company_name],$B785)*Y260)</f>
        <v>0</v>
      </c>
      <c r="Z785" s="652">
        <f>IF($B785="",,SUMIFS(PerHeadcount[Month 15],PerHeadcount[exp_item],$H785,PerHeadcount[company_name],$B785)*Z260)</f>
        <v>0</v>
      </c>
      <c r="AA785" s="652">
        <f>IF($B785="",,SUMIFS(PerHeadcount[Month 16],PerHeadcount[exp_item],$H785,PerHeadcount[company_name],$B785)*AA260)</f>
        <v>0</v>
      </c>
      <c r="AB785" s="652">
        <f>IF($B785="",,SUMIFS(PerHeadcount[Month 17],PerHeadcount[exp_item],$H785,PerHeadcount[company_name],$B785)*AB260)</f>
        <v>0</v>
      </c>
      <c r="AC785" s="652">
        <f>IF($B785="",,SUMIFS(PerHeadcount[Month 18],PerHeadcount[exp_item],$H785,PerHeadcount[company_name],$B785)*AC260)</f>
        <v>0</v>
      </c>
      <c r="AD785" s="652">
        <f>IF($B785="",,SUMIFS(PerHeadcount[Month 19],PerHeadcount[exp_item],$H785,PerHeadcount[company_name],$B785)*AD260)</f>
        <v>0</v>
      </c>
      <c r="AE785" s="652">
        <f>IF($B785="",,SUMIFS(PerHeadcount[Month 20],PerHeadcount[exp_item],$H785,PerHeadcount[company_name],$B785)*AE260)</f>
        <v>0</v>
      </c>
      <c r="AF785" s="652">
        <f>IF($B785="",,SUMIFS(PerHeadcount[Month 21],PerHeadcount[exp_item],$H785,PerHeadcount[company_name],$B785)*AF260)</f>
        <v>0</v>
      </c>
      <c r="AG785" s="652">
        <f>IF($B785="",,SUMIFS(PerHeadcount[Month 22],PerHeadcount[exp_item],$H785,PerHeadcount[company_name],$B785)*AG260)</f>
        <v>0</v>
      </c>
      <c r="AH785" s="652">
        <f>IF($B785="",,SUMIFS(PerHeadcount[Month 23],PerHeadcount[exp_item],$H785,PerHeadcount[company_name],$B785)*AH260)</f>
        <v>0</v>
      </c>
      <c r="AI785" s="652">
        <f>IF($B785="",,SUMIFS(PerHeadcount[Month 24],PerHeadcount[exp_item],$H785,PerHeadcount[company_name],$B785)*AI260)</f>
        <v>0</v>
      </c>
      <c r="AJ785" s="652">
        <f>IF($B785="",,SUMIFS(PerHeadcount[Month 25],PerHeadcount[exp_item],$H785,PerHeadcount[company_name],$B785)*AJ260)</f>
        <v>0</v>
      </c>
      <c r="AK785" s="652">
        <f>IF($B785="",,SUMIFS(PerHeadcount[Month 26],PerHeadcount[exp_item],$H785,PerHeadcount[company_name],$B785)*AK260)</f>
        <v>0</v>
      </c>
      <c r="AL785" s="652">
        <f>IF($B785="",,SUMIFS(PerHeadcount[Month 27],PerHeadcount[exp_item],$H785,PerHeadcount[company_name],$B785)*AL260)</f>
        <v>0</v>
      </c>
      <c r="AM785" s="652">
        <f>IF($B785="",,SUMIFS(PerHeadcount[Month 28],PerHeadcount[exp_item],$H785,PerHeadcount[company_name],$B785)*AM260)</f>
        <v>0</v>
      </c>
      <c r="AN785" s="652">
        <f>IF($B785="",,SUMIFS(PerHeadcount[Month 29],PerHeadcount[exp_item],$H785,PerHeadcount[company_name],$B785)*AN260)</f>
        <v>0</v>
      </c>
      <c r="AO785" s="652">
        <f>IF($B785="",,SUMIFS(PerHeadcount[Month 30],PerHeadcount[exp_item],$H785,PerHeadcount[company_name],$B785)*AO260)</f>
        <v>0</v>
      </c>
      <c r="AP785" s="652">
        <f>IF($B785="",,SUMIFS(PerHeadcount[Month 31],PerHeadcount[exp_item],$H785,PerHeadcount[company_name],$B785)*AP260)</f>
        <v>0</v>
      </c>
      <c r="AQ785" s="652">
        <f>IF($B785="",,SUMIFS(PerHeadcount[Month 32],PerHeadcount[exp_item],$H785,PerHeadcount[company_name],$B785)*AQ260)</f>
        <v>0</v>
      </c>
      <c r="AR785" s="652">
        <f>IF($B785="",,SUMIFS(PerHeadcount[Month 33],PerHeadcount[exp_item],$H785,PerHeadcount[company_name],$B785)*AR260)</f>
        <v>0</v>
      </c>
      <c r="AS785" s="652">
        <f>IF($B785="",,SUMIFS(PerHeadcount[Month 34],PerHeadcount[exp_item],$H785,PerHeadcount[company_name],$B785)*AS260)</f>
        <v>0</v>
      </c>
      <c r="AT785" s="652">
        <f>IF($B785="",,SUMIFS(PerHeadcount[Month 35],PerHeadcount[exp_item],$H785,PerHeadcount[company_name],$B785)*AT260)</f>
        <v>0</v>
      </c>
      <c r="AU785" s="652">
        <f>IF($B785="",,SUMIFS(PerHeadcount[Month 36],PerHeadcount[exp_item],$H785,PerHeadcount[company_name],$B785)*AU260)</f>
        <v>0</v>
      </c>
    </row>
    <row r="786" spans="2:47" x14ac:dyDescent="0.35">
      <c r="B786" t="str">
        <f t="shared" si="439"/>
        <v/>
      </c>
      <c r="C786" t="str">
        <f t="shared" si="439"/>
        <v/>
      </c>
      <c r="D786" t="str">
        <f t="shared" si="439"/>
        <v/>
      </c>
      <c r="E786" t="str">
        <f t="shared" si="439"/>
        <v/>
      </c>
      <c r="F786" t="str">
        <f t="shared" si="439"/>
        <v/>
      </c>
      <c r="G786" t="str">
        <f t="shared" si="439"/>
        <v/>
      </c>
      <c r="H786" t="str">
        <f t="shared" si="437"/>
        <v/>
      </c>
      <c r="J786" t="str">
        <f>IF($H786="","",IF(VLOOKUP(H786,ExpItems[],2,0),H786&amp;" - "&amp;INDEX(DivisionMapping[category_code],MATCH($D786&amp;$C786,DivisionMapping[dept_bu],0)),H786))</f>
        <v/>
      </c>
      <c r="K786" t="str">
        <f t="shared" si="438"/>
        <v/>
      </c>
      <c r="L786" s="652">
        <f>IF($B786="",,SUMIFS(PerHeadcount[Month 1],PerHeadcount[exp_item],$H786,PerHeadcount[company_name],$B786)*L261)</f>
        <v>0</v>
      </c>
      <c r="M786" s="652">
        <f>IF($B786="",,SUMIFS(PerHeadcount[Month 2],PerHeadcount[exp_item],$H786,PerHeadcount[company_name],$B786)*M261)</f>
        <v>0</v>
      </c>
      <c r="N786" s="652">
        <f>IF($B786="",,SUMIFS(PerHeadcount[Month 3],PerHeadcount[exp_item],$H786,PerHeadcount[company_name],$B786)*N261)</f>
        <v>0</v>
      </c>
      <c r="O786" s="652">
        <f>IF($B786="",,SUMIFS(PerHeadcount[Month 4],PerHeadcount[exp_item],$H786,PerHeadcount[company_name],$B786)*O261)</f>
        <v>0</v>
      </c>
      <c r="P786" s="652">
        <f>IF($B786="",,SUMIFS(PerHeadcount[Month 5],PerHeadcount[exp_item],$H786,PerHeadcount[company_name],$B786)*P261)</f>
        <v>0</v>
      </c>
      <c r="Q786" s="652">
        <f>IF($B786="",,SUMIFS(PerHeadcount[Month 6],PerHeadcount[exp_item],$H786,PerHeadcount[company_name],$B786)*Q261)</f>
        <v>0</v>
      </c>
      <c r="R786" s="652">
        <f>IF($B786="",,SUMIFS(PerHeadcount[Month 7],PerHeadcount[exp_item],$H786,PerHeadcount[company_name],$B786)*R261)</f>
        <v>0</v>
      </c>
      <c r="S786" s="652">
        <f>IF($B786="",,SUMIFS(PerHeadcount[Month 8],PerHeadcount[exp_item],$H786,PerHeadcount[company_name],$B786)*S261)</f>
        <v>0</v>
      </c>
      <c r="T786" s="652">
        <f>IF($B786="",,SUMIFS(PerHeadcount[Month 9],PerHeadcount[exp_item],$H786,PerHeadcount[company_name],$B786)*T261)</f>
        <v>0</v>
      </c>
      <c r="U786" s="652">
        <f>IF($B786="",,SUMIFS(PerHeadcount[Month 10],PerHeadcount[exp_item],$H786,PerHeadcount[company_name],$B786)*U261)</f>
        <v>0</v>
      </c>
      <c r="V786" s="652">
        <f>IF($B786="",,SUMIFS(PerHeadcount[Month 11],PerHeadcount[exp_item],$H786,PerHeadcount[company_name],$B786)*V261)</f>
        <v>0</v>
      </c>
      <c r="W786" s="652">
        <f>IF($B786="",,SUMIFS(PerHeadcount[Month 12],PerHeadcount[exp_item],$H786,PerHeadcount[company_name],$B786)*W261)</f>
        <v>0</v>
      </c>
      <c r="X786" s="652">
        <f>IF($B786="",,SUMIFS(PerHeadcount[Month 13],PerHeadcount[exp_item],$H786,PerHeadcount[company_name],$B786)*X261)</f>
        <v>0</v>
      </c>
      <c r="Y786" s="652">
        <f>IF($B786="",,SUMIFS(PerHeadcount[Month 14],PerHeadcount[exp_item],$H786,PerHeadcount[company_name],$B786)*Y261)</f>
        <v>0</v>
      </c>
      <c r="Z786" s="652">
        <f>IF($B786="",,SUMIFS(PerHeadcount[Month 15],PerHeadcount[exp_item],$H786,PerHeadcount[company_name],$B786)*Z261)</f>
        <v>0</v>
      </c>
      <c r="AA786" s="652">
        <f>IF($B786="",,SUMIFS(PerHeadcount[Month 16],PerHeadcount[exp_item],$H786,PerHeadcount[company_name],$B786)*AA261)</f>
        <v>0</v>
      </c>
      <c r="AB786" s="652">
        <f>IF($B786="",,SUMIFS(PerHeadcount[Month 17],PerHeadcount[exp_item],$H786,PerHeadcount[company_name],$B786)*AB261)</f>
        <v>0</v>
      </c>
      <c r="AC786" s="652">
        <f>IF($B786="",,SUMIFS(PerHeadcount[Month 18],PerHeadcount[exp_item],$H786,PerHeadcount[company_name],$B786)*AC261)</f>
        <v>0</v>
      </c>
      <c r="AD786" s="652">
        <f>IF($B786="",,SUMIFS(PerHeadcount[Month 19],PerHeadcount[exp_item],$H786,PerHeadcount[company_name],$B786)*AD261)</f>
        <v>0</v>
      </c>
      <c r="AE786" s="652">
        <f>IF($B786="",,SUMIFS(PerHeadcount[Month 20],PerHeadcount[exp_item],$H786,PerHeadcount[company_name],$B786)*AE261)</f>
        <v>0</v>
      </c>
      <c r="AF786" s="652">
        <f>IF($B786="",,SUMIFS(PerHeadcount[Month 21],PerHeadcount[exp_item],$H786,PerHeadcount[company_name],$B786)*AF261)</f>
        <v>0</v>
      </c>
      <c r="AG786" s="652">
        <f>IF($B786="",,SUMIFS(PerHeadcount[Month 22],PerHeadcount[exp_item],$H786,PerHeadcount[company_name],$B786)*AG261)</f>
        <v>0</v>
      </c>
      <c r="AH786" s="652">
        <f>IF($B786="",,SUMIFS(PerHeadcount[Month 23],PerHeadcount[exp_item],$H786,PerHeadcount[company_name],$B786)*AH261)</f>
        <v>0</v>
      </c>
      <c r="AI786" s="652">
        <f>IF($B786="",,SUMIFS(PerHeadcount[Month 24],PerHeadcount[exp_item],$H786,PerHeadcount[company_name],$B786)*AI261)</f>
        <v>0</v>
      </c>
      <c r="AJ786" s="652">
        <f>IF($B786="",,SUMIFS(PerHeadcount[Month 25],PerHeadcount[exp_item],$H786,PerHeadcount[company_name],$B786)*AJ261)</f>
        <v>0</v>
      </c>
      <c r="AK786" s="652">
        <f>IF($B786="",,SUMIFS(PerHeadcount[Month 26],PerHeadcount[exp_item],$H786,PerHeadcount[company_name],$B786)*AK261)</f>
        <v>0</v>
      </c>
      <c r="AL786" s="652">
        <f>IF($B786="",,SUMIFS(PerHeadcount[Month 27],PerHeadcount[exp_item],$H786,PerHeadcount[company_name],$B786)*AL261)</f>
        <v>0</v>
      </c>
      <c r="AM786" s="652">
        <f>IF($B786="",,SUMIFS(PerHeadcount[Month 28],PerHeadcount[exp_item],$H786,PerHeadcount[company_name],$B786)*AM261)</f>
        <v>0</v>
      </c>
      <c r="AN786" s="652">
        <f>IF($B786="",,SUMIFS(PerHeadcount[Month 29],PerHeadcount[exp_item],$H786,PerHeadcount[company_name],$B786)*AN261)</f>
        <v>0</v>
      </c>
      <c r="AO786" s="652">
        <f>IF($B786="",,SUMIFS(PerHeadcount[Month 30],PerHeadcount[exp_item],$H786,PerHeadcount[company_name],$B786)*AO261)</f>
        <v>0</v>
      </c>
      <c r="AP786" s="652">
        <f>IF($B786="",,SUMIFS(PerHeadcount[Month 31],PerHeadcount[exp_item],$H786,PerHeadcount[company_name],$B786)*AP261)</f>
        <v>0</v>
      </c>
      <c r="AQ786" s="652">
        <f>IF($B786="",,SUMIFS(PerHeadcount[Month 32],PerHeadcount[exp_item],$H786,PerHeadcount[company_name],$B786)*AQ261)</f>
        <v>0</v>
      </c>
      <c r="AR786" s="652">
        <f>IF($B786="",,SUMIFS(PerHeadcount[Month 33],PerHeadcount[exp_item],$H786,PerHeadcount[company_name],$B786)*AR261)</f>
        <v>0</v>
      </c>
      <c r="AS786" s="652">
        <f>IF($B786="",,SUMIFS(PerHeadcount[Month 34],PerHeadcount[exp_item],$H786,PerHeadcount[company_name],$B786)*AS261)</f>
        <v>0</v>
      </c>
      <c r="AT786" s="652">
        <f>IF($B786="",,SUMIFS(PerHeadcount[Month 35],PerHeadcount[exp_item],$H786,PerHeadcount[company_name],$B786)*AT261)</f>
        <v>0</v>
      </c>
      <c r="AU786" s="652">
        <f>IF($B786="",,SUMIFS(PerHeadcount[Month 36],PerHeadcount[exp_item],$H786,PerHeadcount[company_name],$B786)*AU261)</f>
        <v>0</v>
      </c>
    </row>
    <row r="787" spans="2:47" x14ac:dyDescent="0.35">
      <c r="B787" t="str">
        <f t="shared" si="439"/>
        <v/>
      </c>
      <c r="C787" t="str">
        <f t="shared" si="439"/>
        <v/>
      </c>
      <c r="D787" t="str">
        <f t="shared" si="439"/>
        <v/>
      </c>
      <c r="E787" t="str">
        <f t="shared" si="439"/>
        <v/>
      </c>
      <c r="F787" t="str">
        <f t="shared" si="439"/>
        <v/>
      </c>
      <c r="G787" t="str">
        <f t="shared" si="439"/>
        <v/>
      </c>
      <c r="H787" t="str">
        <f t="shared" si="437"/>
        <v/>
      </c>
      <c r="J787" t="str">
        <f>IF($H787="","",IF(VLOOKUP(H787,ExpItems[],2,0),H787&amp;" - "&amp;INDEX(DivisionMapping[category_code],MATCH($D787&amp;$C787,DivisionMapping[dept_bu],0)),H787))</f>
        <v/>
      </c>
      <c r="K787" t="str">
        <f t="shared" si="438"/>
        <v/>
      </c>
      <c r="L787" s="652">
        <f>IF($B787="",,SUMIFS(PerHeadcount[Month 1],PerHeadcount[exp_item],$H787,PerHeadcount[company_name],$B787)*L262)</f>
        <v>0</v>
      </c>
      <c r="M787" s="652">
        <f>IF($B787="",,SUMIFS(PerHeadcount[Month 2],PerHeadcount[exp_item],$H787,PerHeadcount[company_name],$B787)*M262)</f>
        <v>0</v>
      </c>
      <c r="N787" s="652">
        <f>IF($B787="",,SUMIFS(PerHeadcount[Month 3],PerHeadcount[exp_item],$H787,PerHeadcount[company_name],$B787)*N262)</f>
        <v>0</v>
      </c>
      <c r="O787" s="652">
        <f>IF($B787="",,SUMIFS(PerHeadcount[Month 4],PerHeadcount[exp_item],$H787,PerHeadcount[company_name],$B787)*O262)</f>
        <v>0</v>
      </c>
      <c r="P787" s="652">
        <f>IF($B787="",,SUMIFS(PerHeadcount[Month 5],PerHeadcount[exp_item],$H787,PerHeadcount[company_name],$B787)*P262)</f>
        <v>0</v>
      </c>
      <c r="Q787" s="652">
        <f>IF($B787="",,SUMIFS(PerHeadcount[Month 6],PerHeadcount[exp_item],$H787,PerHeadcount[company_name],$B787)*Q262)</f>
        <v>0</v>
      </c>
      <c r="R787" s="652">
        <f>IF($B787="",,SUMIFS(PerHeadcount[Month 7],PerHeadcount[exp_item],$H787,PerHeadcount[company_name],$B787)*R262)</f>
        <v>0</v>
      </c>
      <c r="S787" s="652">
        <f>IF($B787="",,SUMIFS(PerHeadcount[Month 8],PerHeadcount[exp_item],$H787,PerHeadcount[company_name],$B787)*S262)</f>
        <v>0</v>
      </c>
      <c r="T787" s="652">
        <f>IF($B787="",,SUMIFS(PerHeadcount[Month 9],PerHeadcount[exp_item],$H787,PerHeadcount[company_name],$B787)*T262)</f>
        <v>0</v>
      </c>
      <c r="U787" s="652">
        <f>IF($B787="",,SUMIFS(PerHeadcount[Month 10],PerHeadcount[exp_item],$H787,PerHeadcount[company_name],$B787)*U262)</f>
        <v>0</v>
      </c>
      <c r="V787" s="652">
        <f>IF($B787="",,SUMIFS(PerHeadcount[Month 11],PerHeadcount[exp_item],$H787,PerHeadcount[company_name],$B787)*V262)</f>
        <v>0</v>
      </c>
      <c r="W787" s="652">
        <f>IF($B787="",,SUMIFS(PerHeadcount[Month 12],PerHeadcount[exp_item],$H787,PerHeadcount[company_name],$B787)*W262)</f>
        <v>0</v>
      </c>
      <c r="X787" s="652">
        <f>IF($B787="",,SUMIFS(PerHeadcount[Month 13],PerHeadcount[exp_item],$H787,PerHeadcount[company_name],$B787)*X262)</f>
        <v>0</v>
      </c>
      <c r="Y787" s="652">
        <f>IF($B787="",,SUMIFS(PerHeadcount[Month 14],PerHeadcount[exp_item],$H787,PerHeadcount[company_name],$B787)*Y262)</f>
        <v>0</v>
      </c>
      <c r="Z787" s="652">
        <f>IF($B787="",,SUMIFS(PerHeadcount[Month 15],PerHeadcount[exp_item],$H787,PerHeadcount[company_name],$B787)*Z262)</f>
        <v>0</v>
      </c>
      <c r="AA787" s="652">
        <f>IF($B787="",,SUMIFS(PerHeadcount[Month 16],PerHeadcount[exp_item],$H787,PerHeadcount[company_name],$B787)*AA262)</f>
        <v>0</v>
      </c>
      <c r="AB787" s="652">
        <f>IF($B787="",,SUMIFS(PerHeadcount[Month 17],PerHeadcount[exp_item],$H787,PerHeadcount[company_name],$B787)*AB262)</f>
        <v>0</v>
      </c>
      <c r="AC787" s="652">
        <f>IF($B787="",,SUMIFS(PerHeadcount[Month 18],PerHeadcount[exp_item],$H787,PerHeadcount[company_name],$B787)*AC262)</f>
        <v>0</v>
      </c>
      <c r="AD787" s="652">
        <f>IF($B787="",,SUMIFS(PerHeadcount[Month 19],PerHeadcount[exp_item],$H787,PerHeadcount[company_name],$B787)*AD262)</f>
        <v>0</v>
      </c>
      <c r="AE787" s="652">
        <f>IF($B787="",,SUMIFS(PerHeadcount[Month 20],PerHeadcount[exp_item],$H787,PerHeadcount[company_name],$B787)*AE262)</f>
        <v>0</v>
      </c>
      <c r="AF787" s="652">
        <f>IF($B787="",,SUMIFS(PerHeadcount[Month 21],PerHeadcount[exp_item],$H787,PerHeadcount[company_name],$B787)*AF262)</f>
        <v>0</v>
      </c>
      <c r="AG787" s="652">
        <f>IF($B787="",,SUMIFS(PerHeadcount[Month 22],PerHeadcount[exp_item],$H787,PerHeadcount[company_name],$B787)*AG262)</f>
        <v>0</v>
      </c>
      <c r="AH787" s="652">
        <f>IF($B787="",,SUMIFS(PerHeadcount[Month 23],PerHeadcount[exp_item],$H787,PerHeadcount[company_name],$B787)*AH262)</f>
        <v>0</v>
      </c>
      <c r="AI787" s="652">
        <f>IF($B787="",,SUMIFS(PerHeadcount[Month 24],PerHeadcount[exp_item],$H787,PerHeadcount[company_name],$B787)*AI262)</f>
        <v>0</v>
      </c>
      <c r="AJ787" s="652">
        <f>IF($B787="",,SUMIFS(PerHeadcount[Month 25],PerHeadcount[exp_item],$H787,PerHeadcount[company_name],$B787)*AJ262)</f>
        <v>0</v>
      </c>
      <c r="AK787" s="652">
        <f>IF($B787="",,SUMIFS(PerHeadcount[Month 26],PerHeadcount[exp_item],$H787,PerHeadcount[company_name],$B787)*AK262)</f>
        <v>0</v>
      </c>
      <c r="AL787" s="652">
        <f>IF($B787="",,SUMIFS(PerHeadcount[Month 27],PerHeadcount[exp_item],$H787,PerHeadcount[company_name],$B787)*AL262)</f>
        <v>0</v>
      </c>
      <c r="AM787" s="652">
        <f>IF($B787="",,SUMIFS(PerHeadcount[Month 28],PerHeadcount[exp_item],$H787,PerHeadcount[company_name],$B787)*AM262)</f>
        <v>0</v>
      </c>
      <c r="AN787" s="652">
        <f>IF($B787="",,SUMIFS(PerHeadcount[Month 29],PerHeadcount[exp_item],$H787,PerHeadcount[company_name],$B787)*AN262)</f>
        <v>0</v>
      </c>
      <c r="AO787" s="652">
        <f>IF($B787="",,SUMIFS(PerHeadcount[Month 30],PerHeadcount[exp_item],$H787,PerHeadcount[company_name],$B787)*AO262)</f>
        <v>0</v>
      </c>
      <c r="AP787" s="652">
        <f>IF($B787="",,SUMIFS(PerHeadcount[Month 31],PerHeadcount[exp_item],$H787,PerHeadcount[company_name],$B787)*AP262)</f>
        <v>0</v>
      </c>
      <c r="AQ787" s="652">
        <f>IF($B787="",,SUMIFS(PerHeadcount[Month 32],PerHeadcount[exp_item],$H787,PerHeadcount[company_name],$B787)*AQ262)</f>
        <v>0</v>
      </c>
      <c r="AR787" s="652">
        <f>IF($B787="",,SUMIFS(PerHeadcount[Month 33],PerHeadcount[exp_item],$H787,PerHeadcount[company_name],$B787)*AR262)</f>
        <v>0</v>
      </c>
      <c r="AS787" s="652">
        <f>IF($B787="",,SUMIFS(PerHeadcount[Month 34],PerHeadcount[exp_item],$H787,PerHeadcount[company_name],$B787)*AS262)</f>
        <v>0</v>
      </c>
      <c r="AT787" s="652">
        <f>IF($B787="",,SUMIFS(PerHeadcount[Month 35],PerHeadcount[exp_item],$H787,PerHeadcount[company_name],$B787)*AT262)</f>
        <v>0</v>
      </c>
      <c r="AU787" s="652">
        <f>IF($B787="",,SUMIFS(PerHeadcount[Month 36],PerHeadcount[exp_item],$H787,PerHeadcount[company_name],$B787)*AU262)</f>
        <v>0</v>
      </c>
    </row>
    <row r="788" spans="2:47" x14ac:dyDescent="0.35">
      <c r="B788" t="str">
        <f t="shared" si="439"/>
        <v/>
      </c>
      <c r="C788" t="str">
        <f t="shared" si="439"/>
        <v/>
      </c>
      <c r="D788" t="str">
        <f t="shared" si="439"/>
        <v/>
      </c>
      <c r="E788" t="str">
        <f t="shared" si="439"/>
        <v/>
      </c>
      <c r="F788" t="str">
        <f t="shared" si="439"/>
        <v/>
      </c>
      <c r="G788" t="str">
        <f t="shared" si="439"/>
        <v/>
      </c>
      <c r="H788" t="str">
        <f t="shared" si="437"/>
        <v/>
      </c>
      <c r="J788" t="str">
        <f>IF($H788="","",IF(VLOOKUP(H788,ExpItems[],2,0),H788&amp;" - "&amp;INDEX(DivisionMapping[category_code],MATCH($D788&amp;$C788,DivisionMapping[dept_bu],0)),H788))</f>
        <v/>
      </c>
      <c r="K788" t="str">
        <f t="shared" si="438"/>
        <v/>
      </c>
      <c r="L788" s="652">
        <f>IF($B788="",,SUMIFS(PerHeadcount[Month 1],PerHeadcount[exp_item],$H788,PerHeadcount[company_name],$B788)*L263)</f>
        <v>0</v>
      </c>
      <c r="M788" s="652">
        <f>IF($B788="",,SUMIFS(PerHeadcount[Month 2],PerHeadcount[exp_item],$H788,PerHeadcount[company_name],$B788)*M263)</f>
        <v>0</v>
      </c>
      <c r="N788" s="652">
        <f>IF($B788="",,SUMIFS(PerHeadcount[Month 3],PerHeadcount[exp_item],$H788,PerHeadcount[company_name],$B788)*N263)</f>
        <v>0</v>
      </c>
      <c r="O788" s="652">
        <f>IF($B788="",,SUMIFS(PerHeadcount[Month 4],PerHeadcount[exp_item],$H788,PerHeadcount[company_name],$B788)*O263)</f>
        <v>0</v>
      </c>
      <c r="P788" s="652">
        <f>IF($B788="",,SUMIFS(PerHeadcount[Month 5],PerHeadcount[exp_item],$H788,PerHeadcount[company_name],$B788)*P263)</f>
        <v>0</v>
      </c>
      <c r="Q788" s="652">
        <f>IF($B788="",,SUMIFS(PerHeadcount[Month 6],PerHeadcount[exp_item],$H788,PerHeadcount[company_name],$B788)*Q263)</f>
        <v>0</v>
      </c>
      <c r="R788" s="652">
        <f>IF($B788="",,SUMIFS(PerHeadcount[Month 7],PerHeadcount[exp_item],$H788,PerHeadcount[company_name],$B788)*R263)</f>
        <v>0</v>
      </c>
      <c r="S788" s="652">
        <f>IF($B788="",,SUMIFS(PerHeadcount[Month 8],PerHeadcount[exp_item],$H788,PerHeadcount[company_name],$B788)*S263)</f>
        <v>0</v>
      </c>
      <c r="T788" s="652">
        <f>IF($B788="",,SUMIFS(PerHeadcount[Month 9],PerHeadcount[exp_item],$H788,PerHeadcount[company_name],$B788)*T263)</f>
        <v>0</v>
      </c>
      <c r="U788" s="652">
        <f>IF($B788="",,SUMIFS(PerHeadcount[Month 10],PerHeadcount[exp_item],$H788,PerHeadcount[company_name],$B788)*U263)</f>
        <v>0</v>
      </c>
      <c r="V788" s="652">
        <f>IF($B788="",,SUMIFS(PerHeadcount[Month 11],PerHeadcount[exp_item],$H788,PerHeadcount[company_name],$B788)*V263)</f>
        <v>0</v>
      </c>
      <c r="W788" s="652">
        <f>IF($B788="",,SUMIFS(PerHeadcount[Month 12],PerHeadcount[exp_item],$H788,PerHeadcount[company_name],$B788)*W263)</f>
        <v>0</v>
      </c>
      <c r="X788" s="652">
        <f>IF($B788="",,SUMIFS(PerHeadcount[Month 13],PerHeadcount[exp_item],$H788,PerHeadcount[company_name],$B788)*X263)</f>
        <v>0</v>
      </c>
      <c r="Y788" s="652">
        <f>IF($B788="",,SUMIFS(PerHeadcount[Month 14],PerHeadcount[exp_item],$H788,PerHeadcount[company_name],$B788)*Y263)</f>
        <v>0</v>
      </c>
      <c r="Z788" s="652">
        <f>IF($B788="",,SUMIFS(PerHeadcount[Month 15],PerHeadcount[exp_item],$H788,PerHeadcount[company_name],$B788)*Z263)</f>
        <v>0</v>
      </c>
      <c r="AA788" s="652">
        <f>IF($B788="",,SUMIFS(PerHeadcount[Month 16],PerHeadcount[exp_item],$H788,PerHeadcount[company_name],$B788)*AA263)</f>
        <v>0</v>
      </c>
      <c r="AB788" s="652">
        <f>IF($B788="",,SUMIFS(PerHeadcount[Month 17],PerHeadcount[exp_item],$H788,PerHeadcount[company_name],$B788)*AB263)</f>
        <v>0</v>
      </c>
      <c r="AC788" s="652">
        <f>IF($B788="",,SUMIFS(PerHeadcount[Month 18],PerHeadcount[exp_item],$H788,PerHeadcount[company_name],$B788)*AC263)</f>
        <v>0</v>
      </c>
      <c r="AD788" s="652">
        <f>IF($B788="",,SUMIFS(PerHeadcount[Month 19],PerHeadcount[exp_item],$H788,PerHeadcount[company_name],$B788)*AD263)</f>
        <v>0</v>
      </c>
      <c r="AE788" s="652">
        <f>IF($B788="",,SUMIFS(PerHeadcount[Month 20],PerHeadcount[exp_item],$H788,PerHeadcount[company_name],$B788)*AE263)</f>
        <v>0</v>
      </c>
      <c r="AF788" s="652">
        <f>IF($B788="",,SUMIFS(PerHeadcount[Month 21],PerHeadcount[exp_item],$H788,PerHeadcount[company_name],$B788)*AF263)</f>
        <v>0</v>
      </c>
      <c r="AG788" s="652">
        <f>IF($B788="",,SUMIFS(PerHeadcount[Month 22],PerHeadcount[exp_item],$H788,PerHeadcount[company_name],$B788)*AG263)</f>
        <v>0</v>
      </c>
      <c r="AH788" s="652">
        <f>IF($B788="",,SUMIFS(PerHeadcount[Month 23],PerHeadcount[exp_item],$H788,PerHeadcount[company_name],$B788)*AH263)</f>
        <v>0</v>
      </c>
      <c r="AI788" s="652">
        <f>IF($B788="",,SUMIFS(PerHeadcount[Month 24],PerHeadcount[exp_item],$H788,PerHeadcount[company_name],$B788)*AI263)</f>
        <v>0</v>
      </c>
      <c r="AJ788" s="652">
        <f>IF($B788="",,SUMIFS(PerHeadcount[Month 25],PerHeadcount[exp_item],$H788,PerHeadcount[company_name],$B788)*AJ263)</f>
        <v>0</v>
      </c>
      <c r="AK788" s="652">
        <f>IF($B788="",,SUMIFS(PerHeadcount[Month 26],PerHeadcount[exp_item],$H788,PerHeadcount[company_name],$B788)*AK263)</f>
        <v>0</v>
      </c>
      <c r="AL788" s="652">
        <f>IF($B788="",,SUMIFS(PerHeadcount[Month 27],PerHeadcount[exp_item],$H788,PerHeadcount[company_name],$B788)*AL263)</f>
        <v>0</v>
      </c>
      <c r="AM788" s="652">
        <f>IF($B788="",,SUMIFS(PerHeadcount[Month 28],PerHeadcount[exp_item],$H788,PerHeadcount[company_name],$B788)*AM263)</f>
        <v>0</v>
      </c>
      <c r="AN788" s="652">
        <f>IF($B788="",,SUMIFS(PerHeadcount[Month 29],PerHeadcount[exp_item],$H788,PerHeadcount[company_name],$B788)*AN263)</f>
        <v>0</v>
      </c>
      <c r="AO788" s="652">
        <f>IF($B788="",,SUMIFS(PerHeadcount[Month 30],PerHeadcount[exp_item],$H788,PerHeadcount[company_name],$B788)*AO263)</f>
        <v>0</v>
      </c>
      <c r="AP788" s="652">
        <f>IF($B788="",,SUMIFS(PerHeadcount[Month 31],PerHeadcount[exp_item],$H788,PerHeadcount[company_name],$B788)*AP263)</f>
        <v>0</v>
      </c>
      <c r="AQ788" s="652">
        <f>IF($B788="",,SUMIFS(PerHeadcount[Month 32],PerHeadcount[exp_item],$H788,PerHeadcount[company_name],$B788)*AQ263)</f>
        <v>0</v>
      </c>
      <c r="AR788" s="652">
        <f>IF($B788="",,SUMIFS(PerHeadcount[Month 33],PerHeadcount[exp_item],$H788,PerHeadcount[company_name],$B788)*AR263)</f>
        <v>0</v>
      </c>
      <c r="AS788" s="652">
        <f>IF($B788="",,SUMIFS(PerHeadcount[Month 34],PerHeadcount[exp_item],$H788,PerHeadcount[company_name],$B788)*AS263)</f>
        <v>0</v>
      </c>
      <c r="AT788" s="652">
        <f>IF($B788="",,SUMIFS(PerHeadcount[Month 35],PerHeadcount[exp_item],$H788,PerHeadcount[company_name],$B788)*AT263)</f>
        <v>0</v>
      </c>
      <c r="AU788" s="652">
        <f>IF($B788="",,SUMIFS(PerHeadcount[Month 36],PerHeadcount[exp_item],$H788,PerHeadcount[company_name],$B788)*AU263)</f>
        <v>0</v>
      </c>
    </row>
    <row r="789" spans="2:47" x14ac:dyDescent="0.35">
      <c r="B789" t="str">
        <f t="shared" si="439"/>
        <v/>
      </c>
      <c r="C789" t="str">
        <f t="shared" si="439"/>
        <v/>
      </c>
      <c r="D789" t="str">
        <f t="shared" si="439"/>
        <v/>
      </c>
      <c r="E789" t="str">
        <f t="shared" si="439"/>
        <v/>
      </c>
      <c r="F789" t="str">
        <f t="shared" si="439"/>
        <v/>
      </c>
      <c r="G789" t="str">
        <f t="shared" si="439"/>
        <v/>
      </c>
      <c r="H789" t="str">
        <f t="shared" si="437"/>
        <v/>
      </c>
      <c r="J789" t="str">
        <f>IF($H789="","",IF(VLOOKUP(H789,ExpItems[],2,0),H789&amp;" - "&amp;INDEX(DivisionMapping[category_code],MATCH($D789&amp;$C789,DivisionMapping[dept_bu],0)),H789))</f>
        <v/>
      </c>
      <c r="K789" t="str">
        <f t="shared" si="438"/>
        <v/>
      </c>
      <c r="L789" s="652">
        <f>IF($B789="",,SUMIFS(PerHeadcount[Month 1],PerHeadcount[exp_item],$H789,PerHeadcount[company_name],$B789)*L264)</f>
        <v>0</v>
      </c>
      <c r="M789" s="652">
        <f>IF($B789="",,SUMIFS(PerHeadcount[Month 2],PerHeadcount[exp_item],$H789,PerHeadcount[company_name],$B789)*M264)</f>
        <v>0</v>
      </c>
      <c r="N789" s="652">
        <f>IF($B789="",,SUMIFS(PerHeadcount[Month 3],PerHeadcount[exp_item],$H789,PerHeadcount[company_name],$B789)*N264)</f>
        <v>0</v>
      </c>
      <c r="O789" s="652">
        <f>IF($B789="",,SUMIFS(PerHeadcount[Month 4],PerHeadcount[exp_item],$H789,PerHeadcount[company_name],$B789)*O264)</f>
        <v>0</v>
      </c>
      <c r="P789" s="652">
        <f>IF($B789="",,SUMIFS(PerHeadcount[Month 5],PerHeadcount[exp_item],$H789,PerHeadcount[company_name],$B789)*P264)</f>
        <v>0</v>
      </c>
      <c r="Q789" s="652">
        <f>IF($B789="",,SUMIFS(PerHeadcount[Month 6],PerHeadcount[exp_item],$H789,PerHeadcount[company_name],$B789)*Q264)</f>
        <v>0</v>
      </c>
      <c r="R789" s="652">
        <f>IF($B789="",,SUMIFS(PerHeadcount[Month 7],PerHeadcount[exp_item],$H789,PerHeadcount[company_name],$B789)*R264)</f>
        <v>0</v>
      </c>
      <c r="S789" s="652">
        <f>IF($B789="",,SUMIFS(PerHeadcount[Month 8],PerHeadcount[exp_item],$H789,PerHeadcount[company_name],$B789)*S264)</f>
        <v>0</v>
      </c>
      <c r="T789" s="652">
        <f>IF($B789="",,SUMIFS(PerHeadcount[Month 9],PerHeadcount[exp_item],$H789,PerHeadcount[company_name],$B789)*T264)</f>
        <v>0</v>
      </c>
      <c r="U789" s="652">
        <f>IF($B789="",,SUMIFS(PerHeadcount[Month 10],PerHeadcount[exp_item],$H789,PerHeadcount[company_name],$B789)*U264)</f>
        <v>0</v>
      </c>
      <c r="V789" s="652">
        <f>IF($B789="",,SUMIFS(PerHeadcount[Month 11],PerHeadcount[exp_item],$H789,PerHeadcount[company_name],$B789)*V264)</f>
        <v>0</v>
      </c>
      <c r="W789" s="652">
        <f>IF($B789="",,SUMIFS(PerHeadcount[Month 12],PerHeadcount[exp_item],$H789,PerHeadcount[company_name],$B789)*W264)</f>
        <v>0</v>
      </c>
      <c r="X789" s="652">
        <f>IF($B789="",,SUMIFS(PerHeadcount[Month 13],PerHeadcount[exp_item],$H789,PerHeadcount[company_name],$B789)*X264)</f>
        <v>0</v>
      </c>
      <c r="Y789" s="652">
        <f>IF($B789="",,SUMIFS(PerHeadcount[Month 14],PerHeadcount[exp_item],$H789,PerHeadcount[company_name],$B789)*Y264)</f>
        <v>0</v>
      </c>
      <c r="Z789" s="652">
        <f>IF($B789="",,SUMIFS(PerHeadcount[Month 15],PerHeadcount[exp_item],$H789,PerHeadcount[company_name],$B789)*Z264)</f>
        <v>0</v>
      </c>
      <c r="AA789" s="652">
        <f>IF($B789="",,SUMIFS(PerHeadcount[Month 16],PerHeadcount[exp_item],$H789,PerHeadcount[company_name],$B789)*AA264)</f>
        <v>0</v>
      </c>
      <c r="AB789" s="652">
        <f>IF($B789="",,SUMIFS(PerHeadcount[Month 17],PerHeadcount[exp_item],$H789,PerHeadcount[company_name],$B789)*AB264)</f>
        <v>0</v>
      </c>
      <c r="AC789" s="652">
        <f>IF($B789="",,SUMIFS(PerHeadcount[Month 18],PerHeadcount[exp_item],$H789,PerHeadcount[company_name],$B789)*AC264)</f>
        <v>0</v>
      </c>
      <c r="AD789" s="652">
        <f>IF($B789="",,SUMIFS(PerHeadcount[Month 19],PerHeadcount[exp_item],$H789,PerHeadcount[company_name],$B789)*AD264)</f>
        <v>0</v>
      </c>
      <c r="AE789" s="652">
        <f>IF($B789="",,SUMIFS(PerHeadcount[Month 20],PerHeadcount[exp_item],$H789,PerHeadcount[company_name],$B789)*AE264)</f>
        <v>0</v>
      </c>
      <c r="AF789" s="652">
        <f>IF($B789="",,SUMIFS(PerHeadcount[Month 21],PerHeadcount[exp_item],$H789,PerHeadcount[company_name],$B789)*AF264)</f>
        <v>0</v>
      </c>
      <c r="AG789" s="652">
        <f>IF($B789="",,SUMIFS(PerHeadcount[Month 22],PerHeadcount[exp_item],$H789,PerHeadcount[company_name],$B789)*AG264)</f>
        <v>0</v>
      </c>
      <c r="AH789" s="652">
        <f>IF($B789="",,SUMIFS(PerHeadcount[Month 23],PerHeadcount[exp_item],$H789,PerHeadcount[company_name],$B789)*AH264)</f>
        <v>0</v>
      </c>
      <c r="AI789" s="652">
        <f>IF($B789="",,SUMIFS(PerHeadcount[Month 24],PerHeadcount[exp_item],$H789,PerHeadcount[company_name],$B789)*AI264)</f>
        <v>0</v>
      </c>
      <c r="AJ789" s="652">
        <f>IF($B789="",,SUMIFS(PerHeadcount[Month 25],PerHeadcount[exp_item],$H789,PerHeadcount[company_name],$B789)*AJ264)</f>
        <v>0</v>
      </c>
      <c r="AK789" s="652">
        <f>IF($B789="",,SUMIFS(PerHeadcount[Month 26],PerHeadcount[exp_item],$H789,PerHeadcount[company_name],$B789)*AK264)</f>
        <v>0</v>
      </c>
      <c r="AL789" s="652">
        <f>IF($B789="",,SUMIFS(PerHeadcount[Month 27],PerHeadcount[exp_item],$H789,PerHeadcount[company_name],$B789)*AL264)</f>
        <v>0</v>
      </c>
      <c r="AM789" s="652">
        <f>IF($B789="",,SUMIFS(PerHeadcount[Month 28],PerHeadcount[exp_item],$H789,PerHeadcount[company_name],$B789)*AM264)</f>
        <v>0</v>
      </c>
      <c r="AN789" s="652">
        <f>IF($B789="",,SUMIFS(PerHeadcount[Month 29],PerHeadcount[exp_item],$H789,PerHeadcount[company_name],$B789)*AN264)</f>
        <v>0</v>
      </c>
      <c r="AO789" s="652">
        <f>IF($B789="",,SUMIFS(PerHeadcount[Month 30],PerHeadcount[exp_item],$H789,PerHeadcount[company_name],$B789)*AO264)</f>
        <v>0</v>
      </c>
      <c r="AP789" s="652">
        <f>IF($B789="",,SUMIFS(PerHeadcount[Month 31],PerHeadcount[exp_item],$H789,PerHeadcount[company_name],$B789)*AP264)</f>
        <v>0</v>
      </c>
      <c r="AQ789" s="652">
        <f>IF($B789="",,SUMIFS(PerHeadcount[Month 32],PerHeadcount[exp_item],$H789,PerHeadcount[company_name],$B789)*AQ264)</f>
        <v>0</v>
      </c>
      <c r="AR789" s="652">
        <f>IF($B789="",,SUMIFS(PerHeadcount[Month 33],PerHeadcount[exp_item],$H789,PerHeadcount[company_name],$B789)*AR264)</f>
        <v>0</v>
      </c>
      <c r="AS789" s="652">
        <f>IF($B789="",,SUMIFS(PerHeadcount[Month 34],PerHeadcount[exp_item],$H789,PerHeadcount[company_name],$B789)*AS264)</f>
        <v>0</v>
      </c>
      <c r="AT789" s="652">
        <f>IF($B789="",,SUMIFS(PerHeadcount[Month 35],PerHeadcount[exp_item],$H789,PerHeadcount[company_name],$B789)*AT264)</f>
        <v>0</v>
      </c>
      <c r="AU789" s="652">
        <f>IF($B789="",,SUMIFS(PerHeadcount[Month 36],PerHeadcount[exp_item],$H789,PerHeadcount[company_name],$B789)*AU264)</f>
        <v>0</v>
      </c>
    </row>
    <row r="790" spans="2:47" x14ac:dyDescent="0.35">
      <c r="B790" t="str">
        <f t="shared" si="439"/>
        <v/>
      </c>
      <c r="C790" t="str">
        <f t="shared" si="439"/>
        <v/>
      </c>
      <c r="D790" t="str">
        <f t="shared" si="439"/>
        <v/>
      </c>
      <c r="E790" t="str">
        <f t="shared" si="439"/>
        <v/>
      </c>
      <c r="F790" t="str">
        <f t="shared" si="439"/>
        <v/>
      </c>
      <c r="G790" t="str">
        <f t="shared" si="439"/>
        <v/>
      </c>
      <c r="H790" t="str">
        <f t="shared" si="437"/>
        <v/>
      </c>
      <c r="J790" t="str">
        <f>IF($H790="","",IF(VLOOKUP(H790,ExpItems[],2,0),H790&amp;" - "&amp;INDEX(DivisionMapping[category_code],MATCH($D790&amp;$C790,DivisionMapping[dept_bu],0)),H790))</f>
        <v/>
      </c>
      <c r="K790" t="str">
        <f t="shared" si="438"/>
        <v/>
      </c>
      <c r="L790" s="652">
        <f>IF($B790="",,SUMIFS(PerHeadcount[Month 1],PerHeadcount[exp_item],$H790,PerHeadcount[company_name],$B790)*L265)</f>
        <v>0</v>
      </c>
      <c r="M790" s="652">
        <f>IF($B790="",,SUMIFS(PerHeadcount[Month 2],PerHeadcount[exp_item],$H790,PerHeadcount[company_name],$B790)*M265)</f>
        <v>0</v>
      </c>
      <c r="N790" s="652">
        <f>IF($B790="",,SUMIFS(PerHeadcount[Month 3],PerHeadcount[exp_item],$H790,PerHeadcount[company_name],$B790)*N265)</f>
        <v>0</v>
      </c>
      <c r="O790" s="652">
        <f>IF($B790="",,SUMIFS(PerHeadcount[Month 4],PerHeadcount[exp_item],$H790,PerHeadcount[company_name],$B790)*O265)</f>
        <v>0</v>
      </c>
      <c r="P790" s="652">
        <f>IF($B790="",,SUMIFS(PerHeadcount[Month 5],PerHeadcount[exp_item],$H790,PerHeadcount[company_name],$B790)*P265)</f>
        <v>0</v>
      </c>
      <c r="Q790" s="652">
        <f>IF($B790="",,SUMIFS(PerHeadcount[Month 6],PerHeadcount[exp_item],$H790,PerHeadcount[company_name],$B790)*Q265)</f>
        <v>0</v>
      </c>
      <c r="R790" s="652">
        <f>IF($B790="",,SUMIFS(PerHeadcount[Month 7],PerHeadcount[exp_item],$H790,PerHeadcount[company_name],$B790)*R265)</f>
        <v>0</v>
      </c>
      <c r="S790" s="652">
        <f>IF($B790="",,SUMIFS(PerHeadcount[Month 8],PerHeadcount[exp_item],$H790,PerHeadcount[company_name],$B790)*S265)</f>
        <v>0</v>
      </c>
      <c r="T790" s="652">
        <f>IF($B790="",,SUMIFS(PerHeadcount[Month 9],PerHeadcount[exp_item],$H790,PerHeadcount[company_name],$B790)*T265)</f>
        <v>0</v>
      </c>
      <c r="U790" s="652">
        <f>IF($B790="",,SUMIFS(PerHeadcount[Month 10],PerHeadcount[exp_item],$H790,PerHeadcount[company_name],$B790)*U265)</f>
        <v>0</v>
      </c>
      <c r="V790" s="652">
        <f>IF($B790="",,SUMIFS(PerHeadcount[Month 11],PerHeadcount[exp_item],$H790,PerHeadcount[company_name],$B790)*V265)</f>
        <v>0</v>
      </c>
      <c r="W790" s="652">
        <f>IF($B790="",,SUMIFS(PerHeadcount[Month 12],PerHeadcount[exp_item],$H790,PerHeadcount[company_name],$B790)*W265)</f>
        <v>0</v>
      </c>
      <c r="X790" s="652">
        <f>IF($B790="",,SUMIFS(PerHeadcount[Month 13],PerHeadcount[exp_item],$H790,PerHeadcount[company_name],$B790)*X265)</f>
        <v>0</v>
      </c>
      <c r="Y790" s="652">
        <f>IF($B790="",,SUMIFS(PerHeadcount[Month 14],PerHeadcount[exp_item],$H790,PerHeadcount[company_name],$B790)*Y265)</f>
        <v>0</v>
      </c>
      <c r="Z790" s="652">
        <f>IF($B790="",,SUMIFS(PerHeadcount[Month 15],PerHeadcount[exp_item],$H790,PerHeadcount[company_name],$B790)*Z265)</f>
        <v>0</v>
      </c>
      <c r="AA790" s="652">
        <f>IF($B790="",,SUMIFS(PerHeadcount[Month 16],PerHeadcount[exp_item],$H790,PerHeadcount[company_name],$B790)*AA265)</f>
        <v>0</v>
      </c>
      <c r="AB790" s="652">
        <f>IF($B790="",,SUMIFS(PerHeadcount[Month 17],PerHeadcount[exp_item],$H790,PerHeadcount[company_name],$B790)*AB265)</f>
        <v>0</v>
      </c>
      <c r="AC790" s="652">
        <f>IF($B790="",,SUMIFS(PerHeadcount[Month 18],PerHeadcount[exp_item],$H790,PerHeadcount[company_name],$B790)*AC265)</f>
        <v>0</v>
      </c>
      <c r="AD790" s="652">
        <f>IF($B790="",,SUMIFS(PerHeadcount[Month 19],PerHeadcount[exp_item],$H790,PerHeadcount[company_name],$B790)*AD265)</f>
        <v>0</v>
      </c>
      <c r="AE790" s="652">
        <f>IF($B790="",,SUMIFS(PerHeadcount[Month 20],PerHeadcount[exp_item],$H790,PerHeadcount[company_name],$B790)*AE265)</f>
        <v>0</v>
      </c>
      <c r="AF790" s="652">
        <f>IF($B790="",,SUMIFS(PerHeadcount[Month 21],PerHeadcount[exp_item],$H790,PerHeadcount[company_name],$B790)*AF265)</f>
        <v>0</v>
      </c>
      <c r="AG790" s="652">
        <f>IF($B790="",,SUMIFS(PerHeadcount[Month 22],PerHeadcount[exp_item],$H790,PerHeadcount[company_name],$B790)*AG265)</f>
        <v>0</v>
      </c>
      <c r="AH790" s="652">
        <f>IF($B790="",,SUMIFS(PerHeadcount[Month 23],PerHeadcount[exp_item],$H790,PerHeadcount[company_name],$B790)*AH265)</f>
        <v>0</v>
      </c>
      <c r="AI790" s="652">
        <f>IF($B790="",,SUMIFS(PerHeadcount[Month 24],PerHeadcount[exp_item],$H790,PerHeadcount[company_name],$B790)*AI265)</f>
        <v>0</v>
      </c>
      <c r="AJ790" s="652">
        <f>IF($B790="",,SUMIFS(PerHeadcount[Month 25],PerHeadcount[exp_item],$H790,PerHeadcount[company_name],$B790)*AJ265)</f>
        <v>0</v>
      </c>
      <c r="AK790" s="652">
        <f>IF($B790="",,SUMIFS(PerHeadcount[Month 26],PerHeadcount[exp_item],$H790,PerHeadcount[company_name],$B790)*AK265)</f>
        <v>0</v>
      </c>
      <c r="AL790" s="652">
        <f>IF($B790="",,SUMIFS(PerHeadcount[Month 27],PerHeadcount[exp_item],$H790,PerHeadcount[company_name],$B790)*AL265)</f>
        <v>0</v>
      </c>
      <c r="AM790" s="652">
        <f>IF($B790="",,SUMIFS(PerHeadcount[Month 28],PerHeadcount[exp_item],$H790,PerHeadcount[company_name],$B790)*AM265)</f>
        <v>0</v>
      </c>
      <c r="AN790" s="652">
        <f>IF($B790="",,SUMIFS(PerHeadcount[Month 29],PerHeadcount[exp_item],$H790,PerHeadcount[company_name],$B790)*AN265)</f>
        <v>0</v>
      </c>
      <c r="AO790" s="652">
        <f>IF($B790="",,SUMIFS(PerHeadcount[Month 30],PerHeadcount[exp_item],$H790,PerHeadcount[company_name],$B790)*AO265)</f>
        <v>0</v>
      </c>
      <c r="AP790" s="652">
        <f>IF($B790="",,SUMIFS(PerHeadcount[Month 31],PerHeadcount[exp_item],$H790,PerHeadcount[company_name],$B790)*AP265)</f>
        <v>0</v>
      </c>
      <c r="AQ790" s="652">
        <f>IF($B790="",,SUMIFS(PerHeadcount[Month 32],PerHeadcount[exp_item],$H790,PerHeadcount[company_name],$B790)*AQ265)</f>
        <v>0</v>
      </c>
      <c r="AR790" s="652">
        <f>IF($B790="",,SUMIFS(PerHeadcount[Month 33],PerHeadcount[exp_item],$H790,PerHeadcount[company_name],$B790)*AR265)</f>
        <v>0</v>
      </c>
      <c r="AS790" s="652">
        <f>IF($B790="",,SUMIFS(PerHeadcount[Month 34],PerHeadcount[exp_item],$H790,PerHeadcount[company_name],$B790)*AS265)</f>
        <v>0</v>
      </c>
      <c r="AT790" s="652">
        <f>IF($B790="",,SUMIFS(PerHeadcount[Month 35],PerHeadcount[exp_item],$H790,PerHeadcount[company_name],$B790)*AT265)</f>
        <v>0</v>
      </c>
      <c r="AU790" s="652">
        <f>IF($B790="",,SUMIFS(PerHeadcount[Month 36],PerHeadcount[exp_item],$H790,PerHeadcount[company_name],$B790)*AU265)</f>
        <v>0</v>
      </c>
    </row>
    <row r="791" spans="2:47" x14ac:dyDescent="0.35">
      <c r="B791" t="str">
        <f t="shared" ref="B791:G800" si="440">IF(B686="","",B686)</f>
        <v/>
      </c>
      <c r="C791" t="str">
        <f t="shared" si="440"/>
        <v/>
      </c>
      <c r="D791" t="str">
        <f t="shared" si="440"/>
        <v/>
      </c>
      <c r="E791" t="str">
        <f t="shared" si="440"/>
        <v/>
      </c>
      <c r="F791" t="str">
        <f t="shared" si="440"/>
        <v/>
      </c>
      <c r="G791" t="str">
        <f t="shared" si="440"/>
        <v/>
      </c>
      <c r="H791" t="str">
        <f t="shared" si="437"/>
        <v/>
      </c>
      <c r="J791" t="str">
        <f>IF($H791="","",IF(VLOOKUP(H791,ExpItems[],2,0),H791&amp;" - "&amp;INDEX(DivisionMapping[category_code],MATCH($D791&amp;$C791,DivisionMapping[dept_bu],0)),H791))</f>
        <v/>
      </c>
      <c r="K791" t="str">
        <f t="shared" si="438"/>
        <v/>
      </c>
      <c r="L791" s="652">
        <f>IF($B791="",,SUMIFS(PerHeadcount[Month 1],PerHeadcount[exp_item],$H791,PerHeadcount[company_name],$B791)*L266)</f>
        <v>0</v>
      </c>
      <c r="M791" s="652">
        <f>IF($B791="",,SUMIFS(PerHeadcount[Month 2],PerHeadcount[exp_item],$H791,PerHeadcount[company_name],$B791)*M266)</f>
        <v>0</v>
      </c>
      <c r="N791" s="652">
        <f>IF($B791="",,SUMIFS(PerHeadcount[Month 3],PerHeadcount[exp_item],$H791,PerHeadcount[company_name],$B791)*N266)</f>
        <v>0</v>
      </c>
      <c r="O791" s="652">
        <f>IF($B791="",,SUMIFS(PerHeadcount[Month 4],PerHeadcount[exp_item],$H791,PerHeadcount[company_name],$B791)*O266)</f>
        <v>0</v>
      </c>
      <c r="P791" s="652">
        <f>IF($B791="",,SUMIFS(PerHeadcount[Month 5],PerHeadcount[exp_item],$H791,PerHeadcount[company_name],$B791)*P266)</f>
        <v>0</v>
      </c>
      <c r="Q791" s="652">
        <f>IF($B791="",,SUMIFS(PerHeadcount[Month 6],PerHeadcount[exp_item],$H791,PerHeadcount[company_name],$B791)*Q266)</f>
        <v>0</v>
      </c>
      <c r="R791" s="652">
        <f>IF($B791="",,SUMIFS(PerHeadcount[Month 7],PerHeadcount[exp_item],$H791,PerHeadcount[company_name],$B791)*R266)</f>
        <v>0</v>
      </c>
      <c r="S791" s="652">
        <f>IF($B791="",,SUMIFS(PerHeadcount[Month 8],PerHeadcount[exp_item],$H791,PerHeadcount[company_name],$B791)*S266)</f>
        <v>0</v>
      </c>
      <c r="T791" s="652">
        <f>IF($B791="",,SUMIFS(PerHeadcount[Month 9],PerHeadcount[exp_item],$H791,PerHeadcount[company_name],$B791)*T266)</f>
        <v>0</v>
      </c>
      <c r="U791" s="652">
        <f>IF($B791="",,SUMIFS(PerHeadcount[Month 10],PerHeadcount[exp_item],$H791,PerHeadcount[company_name],$B791)*U266)</f>
        <v>0</v>
      </c>
      <c r="V791" s="652">
        <f>IF($B791="",,SUMIFS(PerHeadcount[Month 11],PerHeadcount[exp_item],$H791,PerHeadcount[company_name],$B791)*V266)</f>
        <v>0</v>
      </c>
      <c r="W791" s="652">
        <f>IF($B791="",,SUMIFS(PerHeadcount[Month 12],PerHeadcount[exp_item],$H791,PerHeadcount[company_name],$B791)*W266)</f>
        <v>0</v>
      </c>
      <c r="X791" s="652">
        <f>IF($B791="",,SUMIFS(PerHeadcount[Month 13],PerHeadcount[exp_item],$H791,PerHeadcount[company_name],$B791)*X266)</f>
        <v>0</v>
      </c>
      <c r="Y791" s="652">
        <f>IF($B791="",,SUMIFS(PerHeadcount[Month 14],PerHeadcount[exp_item],$H791,PerHeadcount[company_name],$B791)*Y266)</f>
        <v>0</v>
      </c>
      <c r="Z791" s="652">
        <f>IF($B791="",,SUMIFS(PerHeadcount[Month 15],PerHeadcount[exp_item],$H791,PerHeadcount[company_name],$B791)*Z266)</f>
        <v>0</v>
      </c>
      <c r="AA791" s="652">
        <f>IF($B791="",,SUMIFS(PerHeadcount[Month 16],PerHeadcount[exp_item],$H791,PerHeadcount[company_name],$B791)*AA266)</f>
        <v>0</v>
      </c>
      <c r="AB791" s="652">
        <f>IF($B791="",,SUMIFS(PerHeadcount[Month 17],PerHeadcount[exp_item],$H791,PerHeadcount[company_name],$B791)*AB266)</f>
        <v>0</v>
      </c>
      <c r="AC791" s="652">
        <f>IF($B791="",,SUMIFS(PerHeadcount[Month 18],PerHeadcount[exp_item],$H791,PerHeadcount[company_name],$B791)*AC266)</f>
        <v>0</v>
      </c>
      <c r="AD791" s="652">
        <f>IF($B791="",,SUMIFS(PerHeadcount[Month 19],PerHeadcount[exp_item],$H791,PerHeadcount[company_name],$B791)*AD266)</f>
        <v>0</v>
      </c>
      <c r="AE791" s="652">
        <f>IF($B791="",,SUMIFS(PerHeadcount[Month 20],PerHeadcount[exp_item],$H791,PerHeadcount[company_name],$B791)*AE266)</f>
        <v>0</v>
      </c>
      <c r="AF791" s="652">
        <f>IF($B791="",,SUMIFS(PerHeadcount[Month 21],PerHeadcount[exp_item],$H791,PerHeadcount[company_name],$B791)*AF266)</f>
        <v>0</v>
      </c>
      <c r="AG791" s="652">
        <f>IF($B791="",,SUMIFS(PerHeadcount[Month 22],PerHeadcount[exp_item],$H791,PerHeadcount[company_name],$B791)*AG266)</f>
        <v>0</v>
      </c>
      <c r="AH791" s="652">
        <f>IF($B791="",,SUMIFS(PerHeadcount[Month 23],PerHeadcount[exp_item],$H791,PerHeadcount[company_name],$B791)*AH266)</f>
        <v>0</v>
      </c>
      <c r="AI791" s="652">
        <f>IF($B791="",,SUMIFS(PerHeadcount[Month 24],PerHeadcount[exp_item],$H791,PerHeadcount[company_name],$B791)*AI266)</f>
        <v>0</v>
      </c>
      <c r="AJ791" s="652">
        <f>IF($B791="",,SUMIFS(PerHeadcount[Month 25],PerHeadcount[exp_item],$H791,PerHeadcount[company_name],$B791)*AJ266)</f>
        <v>0</v>
      </c>
      <c r="AK791" s="652">
        <f>IF($B791="",,SUMIFS(PerHeadcount[Month 26],PerHeadcount[exp_item],$H791,PerHeadcount[company_name],$B791)*AK266)</f>
        <v>0</v>
      </c>
      <c r="AL791" s="652">
        <f>IF($B791="",,SUMIFS(PerHeadcount[Month 27],PerHeadcount[exp_item],$H791,PerHeadcount[company_name],$B791)*AL266)</f>
        <v>0</v>
      </c>
      <c r="AM791" s="652">
        <f>IF($B791="",,SUMIFS(PerHeadcount[Month 28],PerHeadcount[exp_item],$H791,PerHeadcount[company_name],$B791)*AM266)</f>
        <v>0</v>
      </c>
      <c r="AN791" s="652">
        <f>IF($B791="",,SUMIFS(PerHeadcount[Month 29],PerHeadcount[exp_item],$H791,PerHeadcount[company_name],$B791)*AN266)</f>
        <v>0</v>
      </c>
      <c r="AO791" s="652">
        <f>IF($B791="",,SUMIFS(PerHeadcount[Month 30],PerHeadcount[exp_item],$H791,PerHeadcount[company_name],$B791)*AO266)</f>
        <v>0</v>
      </c>
      <c r="AP791" s="652">
        <f>IF($B791="",,SUMIFS(PerHeadcount[Month 31],PerHeadcount[exp_item],$H791,PerHeadcount[company_name],$B791)*AP266)</f>
        <v>0</v>
      </c>
      <c r="AQ791" s="652">
        <f>IF($B791="",,SUMIFS(PerHeadcount[Month 32],PerHeadcount[exp_item],$H791,PerHeadcount[company_name],$B791)*AQ266)</f>
        <v>0</v>
      </c>
      <c r="AR791" s="652">
        <f>IF($B791="",,SUMIFS(PerHeadcount[Month 33],PerHeadcount[exp_item],$H791,PerHeadcount[company_name],$B791)*AR266)</f>
        <v>0</v>
      </c>
      <c r="AS791" s="652">
        <f>IF($B791="",,SUMIFS(PerHeadcount[Month 34],PerHeadcount[exp_item],$H791,PerHeadcount[company_name],$B791)*AS266)</f>
        <v>0</v>
      </c>
      <c r="AT791" s="652">
        <f>IF($B791="",,SUMIFS(PerHeadcount[Month 35],PerHeadcount[exp_item],$H791,PerHeadcount[company_name],$B791)*AT266)</f>
        <v>0</v>
      </c>
      <c r="AU791" s="652">
        <f>IF($B791="",,SUMIFS(PerHeadcount[Month 36],PerHeadcount[exp_item],$H791,PerHeadcount[company_name],$B791)*AU266)</f>
        <v>0</v>
      </c>
    </row>
    <row r="792" spans="2:47" x14ac:dyDescent="0.35">
      <c r="B792" t="str">
        <f t="shared" si="440"/>
        <v/>
      </c>
      <c r="C792" t="str">
        <f t="shared" si="440"/>
        <v/>
      </c>
      <c r="D792" t="str">
        <f t="shared" si="440"/>
        <v/>
      </c>
      <c r="E792" t="str">
        <f t="shared" si="440"/>
        <v/>
      </c>
      <c r="F792" t="str">
        <f t="shared" si="440"/>
        <v/>
      </c>
      <c r="G792" t="str">
        <f t="shared" si="440"/>
        <v/>
      </c>
      <c r="H792" t="str">
        <f t="shared" si="437"/>
        <v/>
      </c>
      <c r="J792" t="str">
        <f>IF($H792="","",IF(VLOOKUP(H792,ExpItems[],2,0),H792&amp;" - "&amp;INDEX(DivisionMapping[category_code],MATCH($D792&amp;$C792,DivisionMapping[dept_bu],0)),H792))</f>
        <v/>
      </c>
      <c r="K792" t="str">
        <f t="shared" si="438"/>
        <v/>
      </c>
      <c r="L792" s="652">
        <f>IF($B792="",,SUMIFS(PerHeadcount[Month 1],PerHeadcount[exp_item],$H792,PerHeadcount[company_name],$B792)*L267)</f>
        <v>0</v>
      </c>
      <c r="M792" s="652">
        <f>IF($B792="",,SUMIFS(PerHeadcount[Month 2],PerHeadcount[exp_item],$H792,PerHeadcount[company_name],$B792)*M267)</f>
        <v>0</v>
      </c>
      <c r="N792" s="652">
        <f>IF($B792="",,SUMIFS(PerHeadcount[Month 3],PerHeadcount[exp_item],$H792,PerHeadcount[company_name],$B792)*N267)</f>
        <v>0</v>
      </c>
      <c r="O792" s="652">
        <f>IF($B792="",,SUMIFS(PerHeadcount[Month 4],PerHeadcount[exp_item],$H792,PerHeadcount[company_name],$B792)*O267)</f>
        <v>0</v>
      </c>
      <c r="P792" s="652">
        <f>IF($B792="",,SUMIFS(PerHeadcount[Month 5],PerHeadcount[exp_item],$H792,PerHeadcount[company_name],$B792)*P267)</f>
        <v>0</v>
      </c>
      <c r="Q792" s="652">
        <f>IF($B792="",,SUMIFS(PerHeadcount[Month 6],PerHeadcount[exp_item],$H792,PerHeadcount[company_name],$B792)*Q267)</f>
        <v>0</v>
      </c>
      <c r="R792" s="652">
        <f>IF($B792="",,SUMIFS(PerHeadcount[Month 7],PerHeadcount[exp_item],$H792,PerHeadcount[company_name],$B792)*R267)</f>
        <v>0</v>
      </c>
      <c r="S792" s="652">
        <f>IF($B792="",,SUMIFS(PerHeadcount[Month 8],PerHeadcount[exp_item],$H792,PerHeadcount[company_name],$B792)*S267)</f>
        <v>0</v>
      </c>
      <c r="T792" s="652">
        <f>IF($B792="",,SUMIFS(PerHeadcount[Month 9],PerHeadcount[exp_item],$H792,PerHeadcount[company_name],$B792)*T267)</f>
        <v>0</v>
      </c>
      <c r="U792" s="652">
        <f>IF($B792="",,SUMIFS(PerHeadcount[Month 10],PerHeadcount[exp_item],$H792,PerHeadcount[company_name],$B792)*U267)</f>
        <v>0</v>
      </c>
      <c r="V792" s="652">
        <f>IF($B792="",,SUMIFS(PerHeadcount[Month 11],PerHeadcount[exp_item],$H792,PerHeadcount[company_name],$B792)*V267)</f>
        <v>0</v>
      </c>
      <c r="W792" s="652">
        <f>IF($B792="",,SUMIFS(PerHeadcount[Month 12],PerHeadcount[exp_item],$H792,PerHeadcount[company_name],$B792)*W267)</f>
        <v>0</v>
      </c>
      <c r="X792" s="652">
        <f>IF($B792="",,SUMIFS(PerHeadcount[Month 13],PerHeadcount[exp_item],$H792,PerHeadcount[company_name],$B792)*X267)</f>
        <v>0</v>
      </c>
      <c r="Y792" s="652">
        <f>IF($B792="",,SUMIFS(PerHeadcount[Month 14],PerHeadcount[exp_item],$H792,PerHeadcount[company_name],$B792)*Y267)</f>
        <v>0</v>
      </c>
      <c r="Z792" s="652">
        <f>IF($B792="",,SUMIFS(PerHeadcount[Month 15],PerHeadcount[exp_item],$H792,PerHeadcount[company_name],$B792)*Z267)</f>
        <v>0</v>
      </c>
      <c r="AA792" s="652">
        <f>IF($B792="",,SUMIFS(PerHeadcount[Month 16],PerHeadcount[exp_item],$H792,PerHeadcount[company_name],$B792)*AA267)</f>
        <v>0</v>
      </c>
      <c r="AB792" s="652">
        <f>IF($B792="",,SUMIFS(PerHeadcount[Month 17],PerHeadcount[exp_item],$H792,PerHeadcount[company_name],$B792)*AB267)</f>
        <v>0</v>
      </c>
      <c r="AC792" s="652">
        <f>IF($B792="",,SUMIFS(PerHeadcount[Month 18],PerHeadcount[exp_item],$H792,PerHeadcount[company_name],$B792)*AC267)</f>
        <v>0</v>
      </c>
      <c r="AD792" s="652">
        <f>IF($B792="",,SUMIFS(PerHeadcount[Month 19],PerHeadcount[exp_item],$H792,PerHeadcount[company_name],$B792)*AD267)</f>
        <v>0</v>
      </c>
      <c r="AE792" s="652">
        <f>IF($B792="",,SUMIFS(PerHeadcount[Month 20],PerHeadcount[exp_item],$H792,PerHeadcount[company_name],$B792)*AE267)</f>
        <v>0</v>
      </c>
      <c r="AF792" s="652">
        <f>IF($B792="",,SUMIFS(PerHeadcount[Month 21],PerHeadcount[exp_item],$H792,PerHeadcount[company_name],$B792)*AF267)</f>
        <v>0</v>
      </c>
      <c r="AG792" s="652">
        <f>IF($B792="",,SUMIFS(PerHeadcount[Month 22],PerHeadcount[exp_item],$H792,PerHeadcount[company_name],$B792)*AG267)</f>
        <v>0</v>
      </c>
      <c r="AH792" s="652">
        <f>IF($B792="",,SUMIFS(PerHeadcount[Month 23],PerHeadcount[exp_item],$H792,PerHeadcount[company_name],$B792)*AH267)</f>
        <v>0</v>
      </c>
      <c r="AI792" s="652">
        <f>IF($B792="",,SUMIFS(PerHeadcount[Month 24],PerHeadcount[exp_item],$H792,PerHeadcount[company_name],$B792)*AI267)</f>
        <v>0</v>
      </c>
      <c r="AJ792" s="652">
        <f>IF($B792="",,SUMIFS(PerHeadcount[Month 25],PerHeadcount[exp_item],$H792,PerHeadcount[company_name],$B792)*AJ267)</f>
        <v>0</v>
      </c>
      <c r="AK792" s="652">
        <f>IF($B792="",,SUMIFS(PerHeadcount[Month 26],PerHeadcount[exp_item],$H792,PerHeadcount[company_name],$B792)*AK267)</f>
        <v>0</v>
      </c>
      <c r="AL792" s="652">
        <f>IF($B792="",,SUMIFS(PerHeadcount[Month 27],PerHeadcount[exp_item],$H792,PerHeadcount[company_name],$B792)*AL267)</f>
        <v>0</v>
      </c>
      <c r="AM792" s="652">
        <f>IF($B792="",,SUMIFS(PerHeadcount[Month 28],PerHeadcount[exp_item],$H792,PerHeadcount[company_name],$B792)*AM267)</f>
        <v>0</v>
      </c>
      <c r="AN792" s="652">
        <f>IF($B792="",,SUMIFS(PerHeadcount[Month 29],PerHeadcount[exp_item],$H792,PerHeadcount[company_name],$B792)*AN267)</f>
        <v>0</v>
      </c>
      <c r="AO792" s="652">
        <f>IF($B792="",,SUMIFS(PerHeadcount[Month 30],PerHeadcount[exp_item],$H792,PerHeadcount[company_name],$B792)*AO267)</f>
        <v>0</v>
      </c>
      <c r="AP792" s="652">
        <f>IF($B792="",,SUMIFS(PerHeadcount[Month 31],PerHeadcount[exp_item],$H792,PerHeadcount[company_name],$B792)*AP267)</f>
        <v>0</v>
      </c>
      <c r="AQ792" s="652">
        <f>IF($B792="",,SUMIFS(PerHeadcount[Month 32],PerHeadcount[exp_item],$H792,PerHeadcount[company_name],$B792)*AQ267)</f>
        <v>0</v>
      </c>
      <c r="AR792" s="652">
        <f>IF($B792="",,SUMIFS(PerHeadcount[Month 33],PerHeadcount[exp_item],$H792,PerHeadcount[company_name],$B792)*AR267)</f>
        <v>0</v>
      </c>
      <c r="AS792" s="652">
        <f>IF($B792="",,SUMIFS(PerHeadcount[Month 34],PerHeadcount[exp_item],$H792,PerHeadcount[company_name],$B792)*AS267)</f>
        <v>0</v>
      </c>
      <c r="AT792" s="652">
        <f>IF($B792="",,SUMIFS(PerHeadcount[Month 35],PerHeadcount[exp_item],$H792,PerHeadcount[company_name],$B792)*AT267)</f>
        <v>0</v>
      </c>
      <c r="AU792" s="652">
        <f>IF($B792="",,SUMIFS(PerHeadcount[Month 36],PerHeadcount[exp_item],$H792,PerHeadcount[company_name],$B792)*AU267)</f>
        <v>0</v>
      </c>
    </row>
    <row r="793" spans="2:47" x14ac:dyDescent="0.35">
      <c r="B793" t="str">
        <f t="shared" si="440"/>
        <v/>
      </c>
      <c r="C793" t="str">
        <f t="shared" si="440"/>
        <v/>
      </c>
      <c r="D793" t="str">
        <f t="shared" si="440"/>
        <v/>
      </c>
      <c r="E793" t="str">
        <f t="shared" si="440"/>
        <v/>
      </c>
      <c r="F793" t="str">
        <f t="shared" si="440"/>
        <v/>
      </c>
      <c r="G793" t="str">
        <f t="shared" si="440"/>
        <v/>
      </c>
      <c r="H793" t="str">
        <f t="shared" si="437"/>
        <v/>
      </c>
      <c r="J793" t="str">
        <f>IF($H793="","",IF(VLOOKUP(H793,ExpItems[],2,0),H793&amp;" - "&amp;INDEX(DivisionMapping[category_code],MATCH($D793&amp;$C793,DivisionMapping[dept_bu],0)),H793))</f>
        <v/>
      </c>
      <c r="K793" t="str">
        <f t="shared" si="438"/>
        <v/>
      </c>
      <c r="L793" s="652">
        <f>IF($B793="",,SUMIFS(PerHeadcount[Month 1],PerHeadcount[exp_item],$H793,PerHeadcount[company_name],$B793)*L268)</f>
        <v>0</v>
      </c>
      <c r="M793" s="652">
        <f>IF($B793="",,SUMIFS(PerHeadcount[Month 2],PerHeadcount[exp_item],$H793,PerHeadcount[company_name],$B793)*M268)</f>
        <v>0</v>
      </c>
      <c r="N793" s="652">
        <f>IF($B793="",,SUMIFS(PerHeadcount[Month 3],PerHeadcount[exp_item],$H793,PerHeadcount[company_name],$B793)*N268)</f>
        <v>0</v>
      </c>
      <c r="O793" s="652">
        <f>IF($B793="",,SUMIFS(PerHeadcount[Month 4],PerHeadcount[exp_item],$H793,PerHeadcount[company_name],$B793)*O268)</f>
        <v>0</v>
      </c>
      <c r="P793" s="652">
        <f>IF($B793="",,SUMIFS(PerHeadcount[Month 5],PerHeadcount[exp_item],$H793,PerHeadcount[company_name],$B793)*P268)</f>
        <v>0</v>
      </c>
      <c r="Q793" s="652">
        <f>IF($B793="",,SUMIFS(PerHeadcount[Month 6],PerHeadcount[exp_item],$H793,PerHeadcount[company_name],$B793)*Q268)</f>
        <v>0</v>
      </c>
      <c r="R793" s="652">
        <f>IF($B793="",,SUMIFS(PerHeadcount[Month 7],PerHeadcount[exp_item],$H793,PerHeadcount[company_name],$B793)*R268)</f>
        <v>0</v>
      </c>
      <c r="S793" s="652">
        <f>IF($B793="",,SUMIFS(PerHeadcount[Month 8],PerHeadcount[exp_item],$H793,PerHeadcount[company_name],$B793)*S268)</f>
        <v>0</v>
      </c>
      <c r="T793" s="652">
        <f>IF($B793="",,SUMIFS(PerHeadcount[Month 9],PerHeadcount[exp_item],$H793,PerHeadcount[company_name],$B793)*T268)</f>
        <v>0</v>
      </c>
      <c r="U793" s="652">
        <f>IF($B793="",,SUMIFS(PerHeadcount[Month 10],PerHeadcount[exp_item],$H793,PerHeadcount[company_name],$B793)*U268)</f>
        <v>0</v>
      </c>
      <c r="V793" s="652">
        <f>IF($B793="",,SUMIFS(PerHeadcount[Month 11],PerHeadcount[exp_item],$H793,PerHeadcount[company_name],$B793)*V268)</f>
        <v>0</v>
      </c>
      <c r="W793" s="652">
        <f>IF($B793="",,SUMIFS(PerHeadcount[Month 12],PerHeadcount[exp_item],$H793,PerHeadcount[company_name],$B793)*W268)</f>
        <v>0</v>
      </c>
      <c r="X793" s="652">
        <f>IF($B793="",,SUMIFS(PerHeadcount[Month 13],PerHeadcount[exp_item],$H793,PerHeadcount[company_name],$B793)*X268)</f>
        <v>0</v>
      </c>
      <c r="Y793" s="652">
        <f>IF($B793="",,SUMIFS(PerHeadcount[Month 14],PerHeadcount[exp_item],$H793,PerHeadcount[company_name],$B793)*Y268)</f>
        <v>0</v>
      </c>
      <c r="Z793" s="652">
        <f>IF($B793="",,SUMIFS(PerHeadcount[Month 15],PerHeadcount[exp_item],$H793,PerHeadcount[company_name],$B793)*Z268)</f>
        <v>0</v>
      </c>
      <c r="AA793" s="652">
        <f>IF($B793="",,SUMIFS(PerHeadcount[Month 16],PerHeadcount[exp_item],$H793,PerHeadcount[company_name],$B793)*AA268)</f>
        <v>0</v>
      </c>
      <c r="AB793" s="652">
        <f>IF($B793="",,SUMIFS(PerHeadcount[Month 17],PerHeadcount[exp_item],$H793,PerHeadcount[company_name],$B793)*AB268)</f>
        <v>0</v>
      </c>
      <c r="AC793" s="652">
        <f>IF($B793="",,SUMIFS(PerHeadcount[Month 18],PerHeadcount[exp_item],$H793,PerHeadcount[company_name],$B793)*AC268)</f>
        <v>0</v>
      </c>
      <c r="AD793" s="652">
        <f>IF($B793="",,SUMIFS(PerHeadcount[Month 19],PerHeadcount[exp_item],$H793,PerHeadcount[company_name],$B793)*AD268)</f>
        <v>0</v>
      </c>
      <c r="AE793" s="652">
        <f>IF($B793="",,SUMIFS(PerHeadcount[Month 20],PerHeadcount[exp_item],$H793,PerHeadcount[company_name],$B793)*AE268)</f>
        <v>0</v>
      </c>
      <c r="AF793" s="652">
        <f>IF($B793="",,SUMIFS(PerHeadcount[Month 21],PerHeadcount[exp_item],$H793,PerHeadcount[company_name],$B793)*AF268)</f>
        <v>0</v>
      </c>
      <c r="AG793" s="652">
        <f>IF($B793="",,SUMIFS(PerHeadcount[Month 22],PerHeadcount[exp_item],$H793,PerHeadcount[company_name],$B793)*AG268)</f>
        <v>0</v>
      </c>
      <c r="AH793" s="652">
        <f>IF($B793="",,SUMIFS(PerHeadcount[Month 23],PerHeadcount[exp_item],$H793,PerHeadcount[company_name],$B793)*AH268)</f>
        <v>0</v>
      </c>
      <c r="AI793" s="652">
        <f>IF($B793="",,SUMIFS(PerHeadcount[Month 24],PerHeadcount[exp_item],$H793,PerHeadcount[company_name],$B793)*AI268)</f>
        <v>0</v>
      </c>
      <c r="AJ793" s="652">
        <f>IF($B793="",,SUMIFS(PerHeadcount[Month 25],PerHeadcount[exp_item],$H793,PerHeadcount[company_name],$B793)*AJ268)</f>
        <v>0</v>
      </c>
      <c r="AK793" s="652">
        <f>IF($B793="",,SUMIFS(PerHeadcount[Month 26],PerHeadcount[exp_item],$H793,PerHeadcount[company_name],$B793)*AK268)</f>
        <v>0</v>
      </c>
      <c r="AL793" s="652">
        <f>IF($B793="",,SUMIFS(PerHeadcount[Month 27],PerHeadcount[exp_item],$H793,PerHeadcount[company_name],$B793)*AL268)</f>
        <v>0</v>
      </c>
      <c r="AM793" s="652">
        <f>IF($B793="",,SUMIFS(PerHeadcount[Month 28],PerHeadcount[exp_item],$H793,PerHeadcount[company_name],$B793)*AM268)</f>
        <v>0</v>
      </c>
      <c r="AN793" s="652">
        <f>IF($B793="",,SUMIFS(PerHeadcount[Month 29],PerHeadcount[exp_item],$H793,PerHeadcount[company_name],$B793)*AN268)</f>
        <v>0</v>
      </c>
      <c r="AO793" s="652">
        <f>IF($B793="",,SUMIFS(PerHeadcount[Month 30],PerHeadcount[exp_item],$H793,PerHeadcount[company_name],$B793)*AO268)</f>
        <v>0</v>
      </c>
      <c r="AP793" s="652">
        <f>IF($B793="",,SUMIFS(PerHeadcount[Month 31],PerHeadcount[exp_item],$H793,PerHeadcount[company_name],$B793)*AP268)</f>
        <v>0</v>
      </c>
      <c r="AQ793" s="652">
        <f>IF($B793="",,SUMIFS(PerHeadcount[Month 32],PerHeadcount[exp_item],$H793,PerHeadcount[company_name],$B793)*AQ268)</f>
        <v>0</v>
      </c>
      <c r="AR793" s="652">
        <f>IF($B793="",,SUMIFS(PerHeadcount[Month 33],PerHeadcount[exp_item],$H793,PerHeadcount[company_name],$B793)*AR268)</f>
        <v>0</v>
      </c>
      <c r="AS793" s="652">
        <f>IF($B793="",,SUMIFS(PerHeadcount[Month 34],PerHeadcount[exp_item],$H793,PerHeadcount[company_name],$B793)*AS268)</f>
        <v>0</v>
      </c>
      <c r="AT793" s="652">
        <f>IF($B793="",,SUMIFS(PerHeadcount[Month 35],PerHeadcount[exp_item],$H793,PerHeadcount[company_name],$B793)*AT268)</f>
        <v>0</v>
      </c>
      <c r="AU793" s="652">
        <f>IF($B793="",,SUMIFS(PerHeadcount[Month 36],PerHeadcount[exp_item],$H793,PerHeadcount[company_name],$B793)*AU268)</f>
        <v>0</v>
      </c>
    </row>
    <row r="794" spans="2:47" x14ac:dyDescent="0.35">
      <c r="B794" t="str">
        <f t="shared" si="440"/>
        <v/>
      </c>
      <c r="C794" t="str">
        <f t="shared" si="440"/>
        <v/>
      </c>
      <c r="D794" t="str">
        <f t="shared" si="440"/>
        <v/>
      </c>
      <c r="E794" t="str">
        <f t="shared" si="440"/>
        <v/>
      </c>
      <c r="F794" t="str">
        <f t="shared" si="440"/>
        <v/>
      </c>
      <c r="G794" t="str">
        <f t="shared" si="440"/>
        <v/>
      </c>
      <c r="H794" t="str">
        <f t="shared" si="437"/>
        <v/>
      </c>
      <c r="J794" t="str">
        <f>IF($H794="","",IF(VLOOKUP(H794,ExpItems[],2,0),H794&amp;" - "&amp;INDEX(DivisionMapping[category_code],MATCH($D794&amp;$C794,DivisionMapping[dept_bu],0)),H794))</f>
        <v/>
      </c>
      <c r="K794" t="str">
        <f t="shared" si="438"/>
        <v/>
      </c>
      <c r="L794" s="652">
        <f>IF($B794="",,SUMIFS(PerHeadcount[Month 1],PerHeadcount[exp_item],$H794,PerHeadcount[company_name],$B794)*L269)</f>
        <v>0</v>
      </c>
      <c r="M794" s="652">
        <f>IF($B794="",,SUMIFS(PerHeadcount[Month 2],PerHeadcount[exp_item],$H794,PerHeadcount[company_name],$B794)*M269)</f>
        <v>0</v>
      </c>
      <c r="N794" s="652">
        <f>IF($B794="",,SUMIFS(PerHeadcount[Month 3],PerHeadcount[exp_item],$H794,PerHeadcount[company_name],$B794)*N269)</f>
        <v>0</v>
      </c>
      <c r="O794" s="652">
        <f>IF($B794="",,SUMIFS(PerHeadcount[Month 4],PerHeadcount[exp_item],$H794,PerHeadcount[company_name],$B794)*O269)</f>
        <v>0</v>
      </c>
      <c r="P794" s="652">
        <f>IF($B794="",,SUMIFS(PerHeadcount[Month 5],PerHeadcount[exp_item],$H794,PerHeadcount[company_name],$B794)*P269)</f>
        <v>0</v>
      </c>
      <c r="Q794" s="652">
        <f>IF($B794="",,SUMIFS(PerHeadcount[Month 6],PerHeadcount[exp_item],$H794,PerHeadcount[company_name],$B794)*Q269)</f>
        <v>0</v>
      </c>
      <c r="R794" s="652">
        <f>IF($B794="",,SUMIFS(PerHeadcount[Month 7],PerHeadcount[exp_item],$H794,PerHeadcount[company_name],$B794)*R269)</f>
        <v>0</v>
      </c>
      <c r="S794" s="652">
        <f>IF($B794="",,SUMIFS(PerHeadcount[Month 8],PerHeadcount[exp_item],$H794,PerHeadcount[company_name],$B794)*S269)</f>
        <v>0</v>
      </c>
      <c r="T794" s="652">
        <f>IF($B794="",,SUMIFS(PerHeadcount[Month 9],PerHeadcount[exp_item],$H794,PerHeadcount[company_name],$B794)*T269)</f>
        <v>0</v>
      </c>
      <c r="U794" s="652">
        <f>IF($B794="",,SUMIFS(PerHeadcount[Month 10],PerHeadcount[exp_item],$H794,PerHeadcount[company_name],$B794)*U269)</f>
        <v>0</v>
      </c>
      <c r="V794" s="652">
        <f>IF($B794="",,SUMIFS(PerHeadcount[Month 11],PerHeadcount[exp_item],$H794,PerHeadcount[company_name],$B794)*V269)</f>
        <v>0</v>
      </c>
      <c r="W794" s="652">
        <f>IF($B794="",,SUMIFS(PerHeadcount[Month 12],PerHeadcount[exp_item],$H794,PerHeadcount[company_name],$B794)*W269)</f>
        <v>0</v>
      </c>
      <c r="X794" s="652">
        <f>IF($B794="",,SUMIFS(PerHeadcount[Month 13],PerHeadcount[exp_item],$H794,PerHeadcount[company_name],$B794)*X269)</f>
        <v>0</v>
      </c>
      <c r="Y794" s="652">
        <f>IF($B794="",,SUMIFS(PerHeadcount[Month 14],PerHeadcount[exp_item],$H794,PerHeadcount[company_name],$B794)*Y269)</f>
        <v>0</v>
      </c>
      <c r="Z794" s="652">
        <f>IF($B794="",,SUMIFS(PerHeadcount[Month 15],PerHeadcount[exp_item],$H794,PerHeadcount[company_name],$B794)*Z269)</f>
        <v>0</v>
      </c>
      <c r="AA794" s="652">
        <f>IF($B794="",,SUMIFS(PerHeadcount[Month 16],PerHeadcount[exp_item],$H794,PerHeadcount[company_name],$B794)*AA269)</f>
        <v>0</v>
      </c>
      <c r="AB794" s="652">
        <f>IF($B794="",,SUMIFS(PerHeadcount[Month 17],PerHeadcount[exp_item],$H794,PerHeadcount[company_name],$B794)*AB269)</f>
        <v>0</v>
      </c>
      <c r="AC794" s="652">
        <f>IF($B794="",,SUMIFS(PerHeadcount[Month 18],PerHeadcount[exp_item],$H794,PerHeadcount[company_name],$B794)*AC269)</f>
        <v>0</v>
      </c>
      <c r="AD794" s="652">
        <f>IF($B794="",,SUMIFS(PerHeadcount[Month 19],PerHeadcount[exp_item],$H794,PerHeadcount[company_name],$B794)*AD269)</f>
        <v>0</v>
      </c>
      <c r="AE794" s="652">
        <f>IF($B794="",,SUMIFS(PerHeadcount[Month 20],PerHeadcount[exp_item],$H794,PerHeadcount[company_name],$B794)*AE269)</f>
        <v>0</v>
      </c>
      <c r="AF794" s="652">
        <f>IF($B794="",,SUMIFS(PerHeadcount[Month 21],PerHeadcount[exp_item],$H794,PerHeadcount[company_name],$B794)*AF269)</f>
        <v>0</v>
      </c>
      <c r="AG794" s="652">
        <f>IF($B794="",,SUMIFS(PerHeadcount[Month 22],PerHeadcount[exp_item],$H794,PerHeadcount[company_name],$B794)*AG269)</f>
        <v>0</v>
      </c>
      <c r="AH794" s="652">
        <f>IF($B794="",,SUMIFS(PerHeadcount[Month 23],PerHeadcount[exp_item],$H794,PerHeadcount[company_name],$B794)*AH269)</f>
        <v>0</v>
      </c>
      <c r="AI794" s="652">
        <f>IF($B794="",,SUMIFS(PerHeadcount[Month 24],PerHeadcount[exp_item],$H794,PerHeadcount[company_name],$B794)*AI269)</f>
        <v>0</v>
      </c>
      <c r="AJ794" s="652">
        <f>IF($B794="",,SUMIFS(PerHeadcount[Month 25],PerHeadcount[exp_item],$H794,PerHeadcount[company_name],$B794)*AJ269)</f>
        <v>0</v>
      </c>
      <c r="AK794" s="652">
        <f>IF($B794="",,SUMIFS(PerHeadcount[Month 26],PerHeadcount[exp_item],$H794,PerHeadcount[company_name],$B794)*AK269)</f>
        <v>0</v>
      </c>
      <c r="AL794" s="652">
        <f>IF($B794="",,SUMIFS(PerHeadcount[Month 27],PerHeadcount[exp_item],$H794,PerHeadcount[company_name],$B794)*AL269)</f>
        <v>0</v>
      </c>
      <c r="AM794" s="652">
        <f>IF($B794="",,SUMIFS(PerHeadcount[Month 28],PerHeadcount[exp_item],$H794,PerHeadcount[company_name],$B794)*AM269)</f>
        <v>0</v>
      </c>
      <c r="AN794" s="652">
        <f>IF($B794="",,SUMIFS(PerHeadcount[Month 29],PerHeadcount[exp_item],$H794,PerHeadcount[company_name],$B794)*AN269)</f>
        <v>0</v>
      </c>
      <c r="AO794" s="652">
        <f>IF($B794="",,SUMIFS(PerHeadcount[Month 30],PerHeadcount[exp_item],$H794,PerHeadcount[company_name],$B794)*AO269)</f>
        <v>0</v>
      </c>
      <c r="AP794" s="652">
        <f>IF($B794="",,SUMIFS(PerHeadcount[Month 31],PerHeadcount[exp_item],$H794,PerHeadcount[company_name],$B794)*AP269)</f>
        <v>0</v>
      </c>
      <c r="AQ794" s="652">
        <f>IF($B794="",,SUMIFS(PerHeadcount[Month 32],PerHeadcount[exp_item],$H794,PerHeadcount[company_name],$B794)*AQ269)</f>
        <v>0</v>
      </c>
      <c r="AR794" s="652">
        <f>IF($B794="",,SUMIFS(PerHeadcount[Month 33],PerHeadcount[exp_item],$H794,PerHeadcount[company_name],$B794)*AR269)</f>
        <v>0</v>
      </c>
      <c r="AS794" s="652">
        <f>IF($B794="",,SUMIFS(PerHeadcount[Month 34],PerHeadcount[exp_item],$H794,PerHeadcount[company_name],$B794)*AS269)</f>
        <v>0</v>
      </c>
      <c r="AT794" s="652">
        <f>IF($B794="",,SUMIFS(PerHeadcount[Month 35],PerHeadcount[exp_item],$H794,PerHeadcount[company_name],$B794)*AT269)</f>
        <v>0</v>
      </c>
      <c r="AU794" s="652">
        <f>IF($B794="",,SUMIFS(PerHeadcount[Month 36],PerHeadcount[exp_item],$H794,PerHeadcount[company_name],$B794)*AU269)</f>
        <v>0</v>
      </c>
    </row>
    <row r="795" spans="2:47" x14ac:dyDescent="0.35">
      <c r="B795" t="str">
        <f t="shared" si="440"/>
        <v/>
      </c>
      <c r="C795" t="str">
        <f t="shared" si="440"/>
        <v/>
      </c>
      <c r="D795" t="str">
        <f t="shared" si="440"/>
        <v/>
      </c>
      <c r="E795" t="str">
        <f t="shared" si="440"/>
        <v/>
      </c>
      <c r="F795" t="str">
        <f t="shared" si="440"/>
        <v/>
      </c>
      <c r="G795" t="str">
        <f t="shared" si="440"/>
        <v/>
      </c>
      <c r="H795" t="str">
        <f t="shared" si="437"/>
        <v/>
      </c>
      <c r="J795" t="str">
        <f>IF($H795="","",IF(VLOOKUP(H795,ExpItems[],2,0),H795&amp;" - "&amp;INDEX(DivisionMapping[category_code],MATCH($D795&amp;$C795,DivisionMapping[dept_bu],0)),H795))</f>
        <v/>
      </c>
      <c r="K795" t="str">
        <f t="shared" si="438"/>
        <v/>
      </c>
      <c r="L795" s="652">
        <f>IF($B795="",,SUMIFS(PerHeadcount[Month 1],PerHeadcount[exp_item],$H795,PerHeadcount[company_name],$B795)*L270)</f>
        <v>0</v>
      </c>
      <c r="M795" s="652">
        <f>IF($B795="",,SUMIFS(PerHeadcount[Month 2],PerHeadcount[exp_item],$H795,PerHeadcount[company_name],$B795)*M270)</f>
        <v>0</v>
      </c>
      <c r="N795" s="652">
        <f>IF($B795="",,SUMIFS(PerHeadcount[Month 3],PerHeadcount[exp_item],$H795,PerHeadcount[company_name],$B795)*N270)</f>
        <v>0</v>
      </c>
      <c r="O795" s="652">
        <f>IF($B795="",,SUMIFS(PerHeadcount[Month 4],PerHeadcount[exp_item],$H795,PerHeadcount[company_name],$B795)*O270)</f>
        <v>0</v>
      </c>
      <c r="P795" s="652">
        <f>IF($B795="",,SUMIFS(PerHeadcount[Month 5],PerHeadcount[exp_item],$H795,PerHeadcount[company_name],$B795)*P270)</f>
        <v>0</v>
      </c>
      <c r="Q795" s="652">
        <f>IF($B795="",,SUMIFS(PerHeadcount[Month 6],PerHeadcount[exp_item],$H795,PerHeadcount[company_name],$B795)*Q270)</f>
        <v>0</v>
      </c>
      <c r="R795" s="652">
        <f>IF($B795="",,SUMIFS(PerHeadcount[Month 7],PerHeadcount[exp_item],$H795,PerHeadcount[company_name],$B795)*R270)</f>
        <v>0</v>
      </c>
      <c r="S795" s="652">
        <f>IF($B795="",,SUMIFS(PerHeadcount[Month 8],PerHeadcount[exp_item],$H795,PerHeadcount[company_name],$B795)*S270)</f>
        <v>0</v>
      </c>
      <c r="T795" s="652">
        <f>IF($B795="",,SUMIFS(PerHeadcount[Month 9],PerHeadcount[exp_item],$H795,PerHeadcount[company_name],$B795)*T270)</f>
        <v>0</v>
      </c>
      <c r="U795" s="652">
        <f>IF($B795="",,SUMIFS(PerHeadcount[Month 10],PerHeadcount[exp_item],$H795,PerHeadcount[company_name],$B795)*U270)</f>
        <v>0</v>
      </c>
      <c r="V795" s="652">
        <f>IF($B795="",,SUMIFS(PerHeadcount[Month 11],PerHeadcount[exp_item],$H795,PerHeadcount[company_name],$B795)*V270)</f>
        <v>0</v>
      </c>
      <c r="W795" s="652">
        <f>IF($B795="",,SUMIFS(PerHeadcount[Month 12],PerHeadcount[exp_item],$H795,PerHeadcount[company_name],$B795)*W270)</f>
        <v>0</v>
      </c>
      <c r="X795" s="652">
        <f>IF($B795="",,SUMIFS(PerHeadcount[Month 13],PerHeadcount[exp_item],$H795,PerHeadcount[company_name],$B795)*X270)</f>
        <v>0</v>
      </c>
      <c r="Y795" s="652">
        <f>IF($B795="",,SUMIFS(PerHeadcount[Month 14],PerHeadcount[exp_item],$H795,PerHeadcount[company_name],$B795)*Y270)</f>
        <v>0</v>
      </c>
      <c r="Z795" s="652">
        <f>IF($B795="",,SUMIFS(PerHeadcount[Month 15],PerHeadcount[exp_item],$H795,PerHeadcount[company_name],$B795)*Z270)</f>
        <v>0</v>
      </c>
      <c r="AA795" s="652">
        <f>IF($B795="",,SUMIFS(PerHeadcount[Month 16],PerHeadcount[exp_item],$H795,PerHeadcount[company_name],$B795)*AA270)</f>
        <v>0</v>
      </c>
      <c r="AB795" s="652">
        <f>IF($B795="",,SUMIFS(PerHeadcount[Month 17],PerHeadcount[exp_item],$H795,PerHeadcount[company_name],$B795)*AB270)</f>
        <v>0</v>
      </c>
      <c r="AC795" s="652">
        <f>IF($B795="",,SUMIFS(PerHeadcount[Month 18],PerHeadcount[exp_item],$H795,PerHeadcount[company_name],$B795)*AC270)</f>
        <v>0</v>
      </c>
      <c r="AD795" s="652">
        <f>IF($B795="",,SUMIFS(PerHeadcount[Month 19],PerHeadcount[exp_item],$H795,PerHeadcount[company_name],$B795)*AD270)</f>
        <v>0</v>
      </c>
      <c r="AE795" s="652">
        <f>IF($B795="",,SUMIFS(PerHeadcount[Month 20],PerHeadcount[exp_item],$H795,PerHeadcount[company_name],$B795)*AE270)</f>
        <v>0</v>
      </c>
      <c r="AF795" s="652">
        <f>IF($B795="",,SUMIFS(PerHeadcount[Month 21],PerHeadcount[exp_item],$H795,PerHeadcount[company_name],$B795)*AF270)</f>
        <v>0</v>
      </c>
      <c r="AG795" s="652">
        <f>IF($B795="",,SUMIFS(PerHeadcount[Month 22],PerHeadcount[exp_item],$H795,PerHeadcount[company_name],$B795)*AG270)</f>
        <v>0</v>
      </c>
      <c r="AH795" s="652">
        <f>IF($B795="",,SUMIFS(PerHeadcount[Month 23],PerHeadcount[exp_item],$H795,PerHeadcount[company_name],$B795)*AH270)</f>
        <v>0</v>
      </c>
      <c r="AI795" s="652">
        <f>IF($B795="",,SUMIFS(PerHeadcount[Month 24],PerHeadcount[exp_item],$H795,PerHeadcount[company_name],$B795)*AI270)</f>
        <v>0</v>
      </c>
      <c r="AJ795" s="652">
        <f>IF($B795="",,SUMIFS(PerHeadcount[Month 25],PerHeadcount[exp_item],$H795,PerHeadcount[company_name],$B795)*AJ270)</f>
        <v>0</v>
      </c>
      <c r="AK795" s="652">
        <f>IF($B795="",,SUMIFS(PerHeadcount[Month 26],PerHeadcount[exp_item],$H795,PerHeadcount[company_name],$B795)*AK270)</f>
        <v>0</v>
      </c>
      <c r="AL795" s="652">
        <f>IF($B795="",,SUMIFS(PerHeadcount[Month 27],PerHeadcount[exp_item],$H795,PerHeadcount[company_name],$B795)*AL270)</f>
        <v>0</v>
      </c>
      <c r="AM795" s="652">
        <f>IF($B795="",,SUMIFS(PerHeadcount[Month 28],PerHeadcount[exp_item],$H795,PerHeadcount[company_name],$B795)*AM270)</f>
        <v>0</v>
      </c>
      <c r="AN795" s="652">
        <f>IF($B795="",,SUMIFS(PerHeadcount[Month 29],PerHeadcount[exp_item],$H795,PerHeadcount[company_name],$B795)*AN270)</f>
        <v>0</v>
      </c>
      <c r="AO795" s="652">
        <f>IF($B795="",,SUMIFS(PerHeadcount[Month 30],PerHeadcount[exp_item],$H795,PerHeadcount[company_name],$B795)*AO270)</f>
        <v>0</v>
      </c>
      <c r="AP795" s="652">
        <f>IF($B795="",,SUMIFS(PerHeadcount[Month 31],PerHeadcount[exp_item],$H795,PerHeadcount[company_name],$B795)*AP270)</f>
        <v>0</v>
      </c>
      <c r="AQ795" s="652">
        <f>IF($B795="",,SUMIFS(PerHeadcount[Month 32],PerHeadcount[exp_item],$H795,PerHeadcount[company_name],$B795)*AQ270)</f>
        <v>0</v>
      </c>
      <c r="AR795" s="652">
        <f>IF($B795="",,SUMIFS(PerHeadcount[Month 33],PerHeadcount[exp_item],$H795,PerHeadcount[company_name],$B795)*AR270)</f>
        <v>0</v>
      </c>
      <c r="AS795" s="652">
        <f>IF($B795="",,SUMIFS(PerHeadcount[Month 34],PerHeadcount[exp_item],$H795,PerHeadcount[company_name],$B795)*AS270)</f>
        <v>0</v>
      </c>
      <c r="AT795" s="652">
        <f>IF($B795="",,SUMIFS(PerHeadcount[Month 35],PerHeadcount[exp_item],$H795,PerHeadcount[company_name],$B795)*AT270)</f>
        <v>0</v>
      </c>
      <c r="AU795" s="652">
        <f>IF($B795="",,SUMIFS(PerHeadcount[Month 36],PerHeadcount[exp_item],$H795,PerHeadcount[company_name],$B795)*AU270)</f>
        <v>0</v>
      </c>
    </row>
    <row r="796" spans="2:47" x14ac:dyDescent="0.35">
      <c r="B796" t="str">
        <f t="shared" si="440"/>
        <v/>
      </c>
      <c r="C796" t="str">
        <f t="shared" si="440"/>
        <v/>
      </c>
      <c r="D796" t="str">
        <f t="shared" si="440"/>
        <v/>
      </c>
      <c r="E796" t="str">
        <f t="shared" si="440"/>
        <v/>
      </c>
      <c r="F796" t="str">
        <f t="shared" si="440"/>
        <v/>
      </c>
      <c r="G796" t="str">
        <f t="shared" si="440"/>
        <v/>
      </c>
      <c r="H796" t="str">
        <f t="shared" si="437"/>
        <v/>
      </c>
      <c r="J796" t="str">
        <f>IF($H796="","",IF(VLOOKUP(H796,ExpItems[],2,0),H796&amp;" - "&amp;INDEX(DivisionMapping[category_code],MATCH($D796&amp;$C796,DivisionMapping[dept_bu],0)),H796))</f>
        <v/>
      </c>
      <c r="K796" t="str">
        <f t="shared" si="438"/>
        <v/>
      </c>
      <c r="L796" s="652">
        <f>IF($B796="",,SUMIFS(PerHeadcount[Month 1],PerHeadcount[exp_item],$H796,PerHeadcount[company_name],$B796)*L271)</f>
        <v>0</v>
      </c>
      <c r="M796" s="652">
        <f>IF($B796="",,SUMIFS(PerHeadcount[Month 2],PerHeadcount[exp_item],$H796,PerHeadcount[company_name],$B796)*M271)</f>
        <v>0</v>
      </c>
      <c r="N796" s="652">
        <f>IF($B796="",,SUMIFS(PerHeadcount[Month 3],PerHeadcount[exp_item],$H796,PerHeadcount[company_name],$B796)*N271)</f>
        <v>0</v>
      </c>
      <c r="O796" s="652">
        <f>IF($B796="",,SUMIFS(PerHeadcount[Month 4],PerHeadcount[exp_item],$H796,PerHeadcount[company_name],$B796)*O271)</f>
        <v>0</v>
      </c>
      <c r="P796" s="652">
        <f>IF($B796="",,SUMIFS(PerHeadcount[Month 5],PerHeadcount[exp_item],$H796,PerHeadcount[company_name],$B796)*P271)</f>
        <v>0</v>
      </c>
      <c r="Q796" s="652">
        <f>IF($B796="",,SUMIFS(PerHeadcount[Month 6],PerHeadcount[exp_item],$H796,PerHeadcount[company_name],$B796)*Q271)</f>
        <v>0</v>
      </c>
      <c r="R796" s="652">
        <f>IF($B796="",,SUMIFS(PerHeadcount[Month 7],PerHeadcount[exp_item],$H796,PerHeadcount[company_name],$B796)*R271)</f>
        <v>0</v>
      </c>
      <c r="S796" s="652">
        <f>IF($B796="",,SUMIFS(PerHeadcount[Month 8],PerHeadcount[exp_item],$H796,PerHeadcount[company_name],$B796)*S271)</f>
        <v>0</v>
      </c>
      <c r="T796" s="652">
        <f>IF($B796="",,SUMIFS(PerHeadcount[Month 9],PerHeadcount[exp_item],$H796,PerHeadcount[company_name],$B796)*T271)</f>
        <v>0</v>
      </c>
      <c r="U796" s="652">
        <f>IF($B796="",,SUMIFS(PerHeadcount[Month 10],PerHeadcount[exp_item],$H796,PerHeadcount[company_name],$B796)*U271)</f>
        <v>0</v>
      </c>
      <c r="V796" s="652">
        <f>IF($B796="",,SUMIFS(PerHeadcount[Month 11],PerHeadcount[exp_item],$H796,PerHeadcount[company_name],$B796)*V271)</f>
        <v>0</v>
      </c>
      <c r="W796" s="652">
        <f>IF($B796="",,SUMIFS(PerHeadcount[Month 12],PerHeadcount[exp_item],$H796,PerHeadcount[company_name],$B796)*W271)</f>
        <v>0</v>
      </c>
      <c r="X796" s="652">
        <f>IF($B796="",,SUMIFS(PerHeadcount[Month 13],PerHeadcount[exp_item],$H796,PerHeadcount[company_name],$B796)*X271)</f>
        <v>0</v>
      </c>
      <c r="Y796" s="652">
        <f>IF($B796="",,SUMIFS(PerHeadcount[Month 14],PerHeadcount[exp_item],$H796,PerHeadcount[company_name],$B796)*Y271)</f>
        <v>0</v>
      </c>
      <c r="Z796" s="652">
        <f>IF($B796="",,SUMIFS(PerHeadcount[Month 15],PerHeadcount[exp_item],$H796,PerHeadcount[company_name],$B796)*Z271)</f>
        <v>0</v>
      </c>
      <c r="AA796" s="652">
        <f>IF($B796="",,SUMIFS(PerHeadcount[Month 16],PerHeadcount[exp_item],$H796,PerHeadcount[company_name],$B796)*AA271)</f>
        <v>0</v>
      </c>
      <c r="AB796" s="652">
        <f>IF($B796="",,SUMIFS(PerHeadcount[Month 17],PerHeadcount[exp_item],$H796,PerHeadcount[company_name],$B796)*AB271)</f>
        <v>0</v>
      </c>
      <c r="AC796" s="652">
        <f>IF($B796="",,SUMIFS(PerHeadcount[Month 18],PerHeadcount[exp_item],$H796,PerHeadcount[company_name],$B796)*AC271)</f>
        <v>0</v>
      </c>
      <c r="AD796" s="652">
        <f>IF($B796="",,SUMIFS(PerHeadcount[Month 19],PerHeadcount[exp_item],$H796,PerHeadcount[company_name],$B796)*AD271)</f>
        <v>0</v>
      </c>
      <c r="AE796" s="652">
        <f>IF($B796="",,SUMIFS(PerHeadcount[Month 20],PerHeadcount[exp_item],$H796,PerHeadcount[company_name],$B796)*AE271)</f>
        <v>0</v>
      </c>
      <c r="AF796" s="652">
        <f>IF($B796="",,SUMIFS(PerHeadcount[Month 21],PerHeadcount[exp_item],$H796,PerHeadcount[company_name],$B796)*AF271)</f>
        <v>0</v>
      </c>
      <c r="AG796" s="652">
        <f>IF($B796="",,SUMIFS(PerHeadcount[Month 22],PerHeadcount[exp_item],$H796,PerHeadcount[company_name],$B796)*AG271)</f>
        <v>0</v>
      </c>
      <c r="AH796" s="652">
        <f>IF($B796="",,SUMIFS(PerHeadcount[Month 23],PerHeadcount[exp_item],$H796,PerHeadcount[company_name],$B796)*AH271)</f>
        <v>0</v>
      </c>
      <c r="AI796" s="652">
        <f>IF($B796="",,SUMIFS(PerHeadcount[Month 24],PerHeadcount[exp_item],$H796,PerHeadcount[company_name],$B796)*AI271)</f>
        <v>0</v>
      </c>
      <c r="AJ796" s="652">
        <f>IF($B796="",,SUMIFS(PerHeadcount[Month 25],PerHeadcount[exp_item],$H796,PerHeadcount[company_name],$B796)*AJ271)</f>
        <v>0</v>
      </c>
      <c r="AK796" s="652">
        <f>IF($B796="",,SUMIFS(PerHeadcount[Month 26],PerHeadcount[exp_item],$H796,PerHeadcount[company_name],$B796)*AK271)</f>
        <v>0</v>
      </c>
      <c r="AL796" s="652">
        <f>IF($B796="",,SUMIFS(PerHeadcount[Month 27],PerHeadcount[exp_item],$H796,PerHeadcount[company_name],$B796)*AL271)</f>
        <v>0</v>
      </c>
      <c r="AM796" s="652">
        <f>IF($B796="",,SUMIFS(PerHeadcount[Month 28],PerHeadcount[exp_item],$H796,PerHeadcount[company_name],$B796)*AM271)</f>
        <v>0</v>
      </c>
      <c r="AN796" s="652">
        <f>IF($B796="",,SUMIFS(PerHeadcount[Month 29],PerHeadcount[exp_item],$H796,PerHeadcount[company_name],$B796)*AN271)</f>
        <v>0</v>
      </c>
      <c r="AO796" s="652">
        <f>IF($B796="",,SUMIFS(PerHeadcount[Month 30],PerHeadcount[exp_item],$H796,PerHeadcount[company_name],$B796)*AO271)</f>
        <v>0</v>
      </c>
      <c r="AP796" s="652">
        <f>IF($B796="",,SUMIFS(PerHeadcount[Month 31],PerHeadcount[exp_item],$H796,PerHeadcount[company_name],$B796)*AP271)</f>
        <v>0</v>
      </c>
      <c r="AQ796" s="652">
        <f>IF($B796="",,SUMIFS(PerHeadcount[Month 32],PerHeadcount[exp_item],$H796,PerHeadcount[company_name],$B796)*AQ271)</f>
        <v>0</v>
      </c>
      <c r="AR796" s="652">
        <f>IF($B796="",,SUMIFS(PerHeadcount[Month 33],PerHeadcount[exp_item],$H796,PerHeadcount[company_name],$B796)*AR271)</f>
        <v>0</v>
      </c>
      <c r="AS796" s="652">
        <f>IF($B796="",,SUMIFS(PerHeadcount[Month 34],PerHeadcount[exp_item],$H796,PerHeadcount[company_name],$B796)*AS271)</f>
        <v>0</v>
      </c>
      <c r="AT796" s="652">
        <f>IF($B796="",,SUMIFS(PerHeadcount[Month 35],PerHeadcount[exp_item],$H796,PerHeadcount[company_name],$B796)*AT271)</f>
        <v>0</v>
      </c>
      <c r="AU796" s="652">
        <f>IF($B796="",,SUMIFS(PerHeadcount[Month 36],PerHeadcount[exp_item],$H796,PerHeadcount[company_name],$B796)*AU271)</f>
        <v>0</v>
      </c>
    </row>
    <row r="797" spans="2:47" x14ac:dyDescent="0.35">
      <c r="B797" t="str">
        <f t="shared" si="440"/>
        <v/>
      </c>
      <c r="C797" t="str">
        <f t="shared" si="440"/>
        <v/>
      </c>
      <c r="D797" t="str">
        <f t="shared" si="440"/>
        <v/>
      </c>
      <c r="E797" t="str">
        <f t="shared" si="440"/>
        <v/>
      </c>
      <c r="F797" t="str">
        <f t="shared" si="440"/>
        <v/>
      </c>
      <c r="G797" t="str">
        <f t="shared" si="440"/>
        <v/>
      </c>
      <c r="H797" t="str">
        <f t="shared" si="437"/>
        <v/>
      </c>
      <c r="J797" t="str">
        <f>IF($H797="","",IF(VLOOKUP(H797,ExpItems[],2,0),H797&amp;" - "&amp;INDEX(DivisionMapping[category_code],MATCH($D797&amp;$C797,DivisionMapping[dept_bu],0)),H797))</f>
        <v/>
      </c>
      <c r="K797" t="str">
        <f t="shared" si="438"/>
        <v/>
      </c>
      <c r="L797" s="652">
        <f>IF($B797="",,SUMIFS(PerHeadcount[Month 1],PerHeadcount[exp_item],$H797,PerHeadcount[company_name],$B797)*L272)</f>
        <v>0</v>
      </c>
      <c r="M797" s="652">
        <f>IF($B797="",,SUMIFS(PerHeadcount[Month 2],PerHeadcount[exp_item],$H797,PerHeadcount[company_name],$B797)*M272)</f>
        <v>0</v>
      </c>
      <c r="N797" s="652">
        <f>IF($B797="",,SUMIFS(PerHeadcount[Month 3],PerHeadcount[exp_item],$H797,PerHeadcount[company_name],$B797)*N272)</f>
        <v>0</v>
      </c>
      <c r="O797" s="652">
        <f>IF($B797="",,SUMIFS(PerHeadcount[Month 4],PerHeadcount[exp_item],$H797,PerHeadcount[company_name],$B797)*O272)</f>
        <v>0</v>
      </c>
      <c r="P797" s="652">
        <f>IF($B797="",,SUMIFS(PerHeadcount[Month 5],PerHeadcount[exp_item],$H797,PerHeadcount[company_name],$B797)*P272)</f>
        <v>0</v>
      </c>
      <c r="Q797" s="652">
        <f>IF($B797="",,SUMIFS(PerHeadcount[Month 6],PerHeadcount[exp_item],$H797,PerHeadcount[company_name],$B797)*Q272)</f>
        <v>0</v>
      </c>
      <c r="R797" s="652">
        <f>IF($B797="",,SUMIFS(PerHeadcount[Month 7],PerHeadcount[exp_item],$H797,PerHeadcount[company_name],$B797)*R272)</f>
        <v>0</v>
      </c>
      <c r="S797" s="652">
        <f>IF($B797="",,SUMIFS(PerHeadcount[Month 8],PerHeadcount[exp_item],$H797,PerHeadcount[company_name],$B797)*S272)</f>
        <v>0</v>
      </c>
      <c r="T797" s="652">
        <f>IF($B797="",,SUMIFS(PerHeadcount[Month 9],PerHeadcount[exp_item],$H797,PerHeadcount[company_name],$B797)*T272)</f>
        <v>0</v>
      </c>
      <c r="U797" s="652">
        <f>IF($B797="",,SUMIFS(PerHeadcount[Month 10],PerHeadcount[exp_item],$H797,PerHeadcount[company_name],$B797)*U272)</f>
        <v>0</v>
      </c>
      <c r="V797" s="652">
        <f>IF($B797="",,SUMIFS(PerHeadcount[Month 11],PerHeadcount[exp_item],$H797,PerHeadcount[company_name],$B797)*V272)</f>
        <v>0</v>
      </c>
      <c r="W797" s="652">
        <f>IF($B797="",,SUMIFS(PerHeadcount[Month 12],PerHeadcount[exp_item],$H797,PerHeadcount[company_name],$B797)*W272)</f>
        <v>0</v>
      </c>
      <c r="X797" s="652">
        <f>IF($B797="",,SUMIFS(PerHeadcount[Month 13],PerHeadcount[exp_item],$H797,PerHeadcount[company_name],$B797)*X272)</f>
        <v>0</v>
      </c>
      <c r="Y797" s="652">
        <f>IF($B797="",,SUMIFS(PerHeadcount[Month 14],PerHeadcount[exp_item],$H797,PerHeadcount[company_name],$B797)*Y272)</f>
        <v>0</v>
      </c>
      <c r="Z797" s="652">
        <f>IF($B797="",,SUMIFS(PerHeadcount[Month 15],PerHeadcount[exp_item],$H797,PerHeadcount[company_name],$B797)*Z272)</f>
        <v>0</v>
      </c>
      <c r="AA797" s="652">
        <f>IF($B797="",,SUMIFS(PerHeadcount[Month 16],PerHeadcount[exp_item],$H797,PerHeadcount[company_name],$B797)*AA272)</f>
        <v>0</v>
      </c>
      <c r="AB797" s="652">
        <f>IF($B797="",,SUMIFS(PerHeadcount[Month 17],PerHeadcount[exp_item],$H797,PerHeadcount[company_name],$B797)*AB272)</f>
        <v>0</v>
      </c>
      <c r="AC797" s="652">
        <f>IF($B797="",,SUMIFS(PerHeadcount[Month 18],PerHeadcount[exp_item],$H797,PerHeadcount[company_name],$B797)*AC272)</f>
        <v>0</v>
      </c>
      <c r="AD797" s="652">
        <f>IF($B797="",,SUMIFS(PerHeadcount[Month 19],PerHeadcount[exp_item],$H797,PerHeadcount[company_name],$B797)*AD272)</f>
        <v>0</v>
      </c>
      <c r="AE797" s="652">
        <f>IF($B797="",,SUMIFS(PerHeadcount[Month 20],PerHeadcount[exp_item],$H797,PerHeadcount[company_name],$B797)*AE272)</f>
        <v>0</v>
      </c>
      <c r="AF797" s="652">
        <f>IF($B797="",,SUMIFS(PerHeadcount[Month 21],PerHeadcount[exp_item],$H797,PerHeadcount[company_name],$B797)*AF272)</f>
        <v>0</v>
      </c>
      <c r="AG797" s="652">
        <f>IF($B797="",,SUMIFS(PerHeadcount[Month 22],PerHeadcount[exp_item],$H797,PerHeadcount[company_name],$B797)*AG272)</f>
        <v>0</v>
      </c>
      <c r="AH797" s="652">
        <f>IF($B797="",,SUMIFS(PerHeadcount[Month 23],PerHeadcount[exp_item],$H797,PerHeadcount[company_name],$B797)*AH272)</f>
        <v>0</v>
      </c>
      <c r="AI797" s="652">
        <f>IF($B797="",,SUMIFS(PerHeadcount[Month 24],PerHeadcount[exp_item],$H797,PerHeadcount[company_name],$B797)*AI272)</f>
        <v>0</v>
      </c>
      <c r="AJ797" s="652">
        <f>IF($B797="",,SUMIFS(PerHeadcount[Month 25],PerHeadcount[exp_item],$H797,PerHeadcount[company_name],$B797)*AJ272)</f>
        <v>0</v>
      </c>
      <c r="AK797" s="652">
        <f>IF($B797="",,SUMIFS(PerHeadcount[Month 26],PerHeadcount[exp_item],$H797,PerHeadcount[company_name],$B797)*AK272)</f>
        <v>0</v>
      </c>
      <c r="AL797" s="652">
        <f>IF($B797="",,SUMIFS(PerHeadcount[Month 27],PerHeadcount[exp_item],$H797,PerHeadcount[company_name],$B797)*AL272)</f>
        <v>0</v>
      </c>
      <c r="AM797" s="652">
        <f>IF($B797="",,SUMIFS(PerHeadcount[Month 28],PerHeadcount[exp_item],$H797,PerHeadcount[company_name],$B797)*AM272)</f>
        <v>0</v>
      </c>
      <c r="AN797" s="652">
        <f>IF($B797="",,SUMIFS(PerHeadcount[Month 29],PerHeadcount[exp_item],$H797,PerHeadcount[company_name],$B797)*AN272)</f>
        <v>0</v>
      </c>
      <c r="AO797" s="652">
        <f>IF($B797="",,SUMIFS(PerHeadcount[Month 30],PerHeadcount[exp_item],$H797,PerHeadcount[company_name],$B797)*AO272)</f>
        <v>0</v>
      </c>
      <c r="AP797" s="652">
        <f>IF($B797="",,SUMIFS(PerHeadcount[Month 31],PerHeadcount[exp_item],$H797,PerHeadcount[company_name],$B797)*AP272)</f>
        <v>0</v>
      </c>
      <c r="AQ797" s="652">
        <f>IF($B797="",,SUMIFS(PerHeadcount[Month 32],PerHeadcount[exp_item],$H797,PerHeadcount[company_name],$B797)*AQ272)</f>
        <v>0</v>
      </c>
      <c r="AR797" s="652">
        <f>IF($B797="",,SUMIFS(PerHeadcount[Month 33],PerHeadcount[exp_item],$H797,PerHeadcount[company_name],$B797)*AR272)</f>
        <v>0</v>
      </c>
      <c r="AS797" s="652">
        <f>IF($B797="",,SUMIFS(PerHeadcount[Month 34],PerHeadcount[exp_item],$H797,PerHeadcount[company_name],$B797)*AS272)</f>
        <v>0</v>
      </c>
      <c r="AT797" s="652">
        <f>IF($B797="",,SUMIFS(PerHeadcount[Month 35],PerHeadcount[exp_item],$H797,PerHeadcount[company_name],$B797)*AT272)</f>
        <v>0</v>
      </c>
      <c r="AU797" s="652">
        <f>IF($B797="",,SUMIFS(PerHeadcount[Month 36],PerHeadcount[exp_item],$H797,PerHeadcount[company_name],$B797)*AU272)</f>
        <v>0</v>
      </c>
    </row>
    <row r="798" spans="2:47" x14ac:dyDescent="0.35">
      <c r="B798" t="str">
        <f t="shared" si="440"/>
        <v/>
      </c>
      <c r="C798" t="str">
        <f t="shared" si="440"/>
        <v/>
      </c>
      <c r="D798" t="str">
        <f t="shared" si="440"/>
        <v/>
      </c>
      <c r="E798" t="str">
        <f t="shared" si="440"/>
        <v/>
      </c>
      <c r="F798" t="str">
        <f t="shared" si="440"/>
        <v/>
      </c>
      <c r="G798" t="str">
        <f t="shared" si="440"/>
        <v/>
      </c>
      <c r="H798" t="str">
        <f t="shared" si="437"/>
        <v/>
      </c>
      <c r="J798" t="str">
        <f>IF($H798="","",IF(VLOOKUP(H798,ExpItems[],2,0),H798&amp;" - "&amp;INDEX(DivisionMapping[category_code],MATCH($D798&amp;$C798,DivisionMapping[dept_bu],0)),H798))</f>
        <v/>
      </c>
      <c r="K798" t="str">
        <f t="shared" si="438"/>
        <v/>
      </c>
      <c r="L798" s="652">
        <f>IF($B798="",,SUMIFS(PerHeadcount[Month 1],PerHeadcount[exp_item],$H798,PerHeadcount[company_name],$B798)*L273)</f>
        <v>0</v>
      </c>
      <c r="M798" s="652">
        <f>IF($B798="",,SUMIFS(PerHeadcount[Month 2],PerHeadcount[exp_item],$H798,PerHeadcount[company_name],$B798)*M273)</f>
        <v>0</v>
      </c>
      <c r="N798" s="652">
        <f>IF($B798="",,SUMIFS(PerHeadcount[Month 3],PerHeadcount[exp_item],$H798,PerHeadcount[company_name],$B798)*N273)</f>
        <v>0</v>
      </c>
      <c r="O798" s="652">
        <f>IF($B798="",,SUMIFS(PerHeadcount[Month 4],PerHeadcount[exp_item],$H798,PerHeadcount[company_name],$B798)*O273)</f>
        <v>0</v>
      </c>
      <c r="P798" s="652">
        <f>IF($B798="",,SUMIFS(PerHeadcount[Month 5],PerHeadcount[exp_item],$H798,PerHeadcount[company_name],$B798)*P273)</f>
        <v>0</v>
      </c>
      <c r="Q798" s="652">
        <f>IF($B798="",,SUMIFS(PerHeadcount[Month 6],PerHeadcount[exp_item],$H798,PerHeadcount[company_name],$B798)*Q273)</f>
        <v>0</v>
      </c>
      <c r="R798" s="652">
        <f>IF($B798="",,SUMIFS(PerHeadcount[Month 7],PerHeadcount[exp_item],$H798,PerHeadcount[company_name],$B798)*R273)</f>
        <v>0</v>
      </c>
      <c r="S798" s="652">
        <f>IF($B798="",,SUMIFS(PerHeadcount[Month 8],PerHeadcount[exp_item],$H798,PerHeadcount[company_name],$B798)*S273)</f>
        <v>0</v>
      </c>
      <c r="T798" s="652">
        <f>IF($B798="",,SUMIFS(PerHeadcount[Month 9],PerHeadcount[exp_item],$H798,PerHeadcount[company_name],$B798)*T273)</f>
        <v>0</v>
      </c>
      <c r="U798" s="652">
        <f>IF($B798="",,SUMIFS(PerHeadcount[Month 10],PerHeadcount[exp_item],$H798,PerHeadcount[company_name],$B798)*U273)</f>
        <v>0</v>
      </c>
      <c r="V798" s="652">
        <f>IF($B798="",,SUMIFS(PerHeadcount[Month 11],PerHeadcount[exp_item],$H798,PerHeadcount[company_name],$B798)*V273)</f>
        <v>0</v>
      </c>
      <c r="W798" s="652">
        <f>IF($B798="",,SUMIFS(PerHeadcount[Month 12],PerHeadcount[exp_item],$H798,PerHeadcount[company_name],$B798)*W273)</f>
        <v>0</v>
      </c>
      <c r="X798" s="652">
        <f>IF($B798="",,SUMIFS(PerHeadcount[Month 13],PerHeadcount[exp_item],$H798,PerHeadcount[company_name],$B798)*X273)</f>
        <v>0</v>
      </c>
      <c r="Y798" s="652">
        <f>IF($B798="",,SUMIFS(PerHeadcount[Month 14],PerHeadcount[exp_item],$H798,PerHeadcount[company_name],$B798)*Y273)</f>
        <v>0</v>
      </c>
      <c r="Z798" s="652">
        <f>IF($B798="",,SUMIFS(PerHeadcount[Month 15],PerHeadcount[exp_item],$H798,PerHeadcount[company_name],$B798)*Z273)</f>
        <v>0</v>
      </c>
      <c r="AA798" s="652">
        <f>IF($B798="",,SUMIFS(PerHeadcount[Month 16],PerHeadcount[exp_item],$H798,PerHeadcount[company_name],$B798)*AA273)</f>
        <v>0</v>
      </c>
      <c r="AB798" s="652">
        <f>IF($B798="",,SUMIFS(PerHeadcount[Month 17],PerHeadcount[exp_item],$H798,PerHeadcount[company_name],$B798)*AB273)</f>
        <v>0</v>
      </c>
      <c r="AC798" s="652">
        <f>IF($B798="",,SUMIFS(PerHeadcount[Month 18],PerHeadcount[exp_item],$H798,PerHeadcount[company_name],$B798)*AC273)</f>
        <v>0</v>
      </c>
      <c r="AD798" s="652">
        <f>IF($B798="",,SUMIFS(PerHeadcount[Month 19],PerHeadcount[exp_item],$H798,PerHeadcount[company_name],$B798)*AD273)</f>
        <v>0</v>
      </c>
      <c r="AE798" s="652">
        <f>IF($B798="",,SUMIFS(PerHeadcount[Month 20],PerHeadcount[exp_item],$H798,PerHeadcount[company_name],$B798)*AE273)</f>
        <v>0</v>
      </c>
      <c r="AF798" s="652">
        <f>IF($B798="",,SUMIFS(PerHeadcount[Month 21],PerHeadcount[exp_item],$H798,PerHeadcount[company_name],$B798)*AF273)</f>
        <v>0</v>
      </c>
      <c r="AG798" s="652">
        <f>IF($B798="",,SUMIFS(PerHeadcount[Month 22],PerHeadcount[exp_item],$H798,PerHeadcount[company_name],$B798)*AG273)</f>
        <v>0</v>
      </c>
      <c r="AH798" s="652">
        <f>IF($B798="",,SUMIFS(PerHeadcount[Month 23],PerHeadcount[exp_item],$H798,PerHeadcount[company_name],$B798)*AH273)</f>
        <v>0</v>
      </c>
      <c r="AI798" s="652">
        <f>IF($B798="",,SUMIFS(PerHeadcount[Month 24],PerHeadcount[exp_item],$H798,PerHeadcount[company_name],$B798)*AI273)</f>
        <v>0</v>
      </c>
      <c r="AJ798" s="652">
        <f>IF($B798="",,SUMIFS(PerHeadcount[Month 25],PerHeadcount[exp_item],$H798,PerHeadcount[company_name],$B798)*AJ273)</f>
        <v>0</v>
      </c>
      <c r="AK798" s="652">
        <f>IF($B798="",,SUMIFS(PerHeadcount[Month 26],PerHeadcount[exp_item],$H798,PerHeadcount[company_name],$B798)*AK273)</f>
        <v>0</v>
      </c>
      <c r="AL798" s="652">
        <f>IF($B798="",,SUMIFS(PerHeadcount[Month 27],PerHeadcount[exp_item],$H798,PerHeadcount[company_name],$B798)*AL273)</f>
        <v>0</v>
      </c>
      <c r="AM798" s="652">
        <f>IF($B798="",,SUMIFS(PerHeadcount[Month 28],PerHeadcount[exp_item],$H798,PerHeadcount[company_name],$B798)*AM273)</f>
        <v>0</v>
      </c>
      <c r="AN798" s="652">
        <f>IF($B798="",,SUMIFS(PerHeadcount[Month 29],PerHeadcount[exp_item],$H798,PerHeadcount[company_name],$B798)*AN273)</f>
        <v>0</v>
      </c>
      <c r="AO798" s="652">
        <f>IF($B798="",,SUMIFS(PerHeadcount[Month 30],PerHeadcount[exp_item],$H798,PerHeadcount[company_name],$B798)*AO273)</f>
        <v>0</v>
      </c>
      <c r="AP798" s="652">
        <f>IF($B798="",,SUMIFS(PerHeadcount[Month 31],PerHeadcount[exp_item],$H798,PerHeadcount[company_name],$B798)*AP273)</f>
        <v>0</v>
      </c>
      <c r="AQ798" s="652">
        <f>IF($B798="",,SUMIFS(PerHeadcount[Month 32],PerHeadcount[exp_item],$H798,PerHeadcount[company_name],$B798)*AQ273)</f>
        <v>0</v>
      </c>
      <c r="AR798" s="652">
        <f>IF($B798="",,SUMIFS(PerHeadcount[Month 33],PerHeadcount[exp_item],$H798,PerHeadcount[company_name],$B798)*AR273)</f>
        <v>0</v>
      </c>
      <c r="AS798" s="652">
        <f>IF($B798="",,SUMIFS(PerHeadcount[Month 34],PerHeadcount[exp_item],$H798,PerHeadcount[company_name],$B798)*AS273)</f>
        <v>0</v>
      </c>
      <c r="AT798" s="652">
        <f>IF($B798="",,SUMIFS(PerHeadcount[Month 35],PerHeadcount[exp_item],$H798,PerHeadcount[company_name],$B798)*AT273)</f>
        <v>0</v>
      </c>
      <c r="AU798" s="652">
        <f>IF($B798="",,SUMIFS(PerHeadcount[Month 36],PerHeadcount[exp_item],$H798,PerHeadcount[company_name],$B798)*AU273)</f>
        <v>0</v>
      </c>
    </row>
    <row r="799" spans="2:47" x14ac:dyDescent="0.35">
      <c r="B799" t="str">
        <f t="shared" si="440"/>
        <v/>
      </c>
      <c r="C799" t="str">
        <f t="shared" si="440"/>
        <v/>
      </c>
      <c r="D799" t="str">
        <f t="shared" si="440"/>
        <v/>
      </c>
      <c r="E799" t="str">
        <f t="shared" si="440"/>
        <v/>
      </c>
      <c r="F799" t="str">
        <f t="shared" si="440"/>
        <v/>
      </c>
      <c r="G799" t="str">
        <f t="shared" si="440"/>
        <v/>
      </c>
      <c r="H799" t="str">
        <f t="shared" si="437"/>
        <v/>
      </c>
      <c r="J799" t="str">
        <f>IF($H799="","",IF(VLOOKUP(H799,ExpItems[],2,0),H799&amp;" - "&amp;INDEX(DivisionMapping[category_code],MATCH($D799&amp;$C799,DivisionMapping[dept_bu],0)),H799))</f>
        <v/>
      </c>
      <c r="K799" t="str">
        <f t="shared" si="438"/>
        <v/>
      </c>
      <c r="L799" s="652">
        <f>IF($B799="",,SUMIFS(PerHeadcount[Month 1],PerHeadcount[exp_item],$H799,PerHeadcount[company_name],$B799)*L274)</f>
        <v>0</v>
      </c>
      <c r="M799" s="652">
        <f>IF($B799="",,SUMIFS(PerHeadcount[Month 2],PerHeadcount[exp_item],$H799,PerHeadcount[company_name],$B799)*M274)</f>
        <v>0</v>
      </c>
      <c r="N799" s="652">
        <f>IF($B799="",,SUMIFS(PerHeadcount[Month 3],PerHeadcount[exp_item],$H799,PerHeadcount[company_name],$B799)*N274)</f>
        <v>0</v>
      </c>
      <c r="O799" s="652">
        <f>IF($B799="",,SUMIFS(PerHeadcount[Month 4],PerHeadcount[exp_item],$H799,PerHeadcount[company_name],$B799)*O274)</f>
        <v>0</v>
      </c>
      <c r="P799" s="652">
        <f>IF($B799="",,SUMIFS(PerHeadcount[Month 5],PerHeadcount[exp_item],$H799,PerHeadcount[company_name],$B799)*P274)</f>
        <v>0</v>
      </c>
      <c r="Q799" s="652">
        <f>IF($B799="",,SUMIFS(PerHeadcount[Month 6],PerHeadcount[exp_item],$H799,PerHeadcount[company_name],$B799)*Q274)</f>
        <v>0</v>
      </c>
      <c r="R799" s="652">
        <f>IF($B799="",,SUMIFS(PerHeadcount[Month 7],PerHeadcount[exp_item],$H799,PerHeadcount[company_name],$B799)*R274)</f>
        <v>0</v>
      </c>
      <c r="S799" s="652">
        <f>IF($B799="",,SUMIFS(PerHeadcount[Month 8],PerHeadcount[exp_item],$H799,PerHeadcount[company_name],$B799)*S274)</f>
        <v>0</v>
      </c>
      <c r="T799" s="652">
        <f>IF($B799="",,SUMIFS(PerHeadcount[Month 9],PerHeadcount[exp_item],$H799,PerHeadcount[company_name],$B799)*T274)</f>
        <v>0</v>
      </c>
      <c r="U799" s="652">
        <f>IF($B799="",,SUMIFS(PerHeadcount[Month 10],PerHeadcount[exp_item],$H799,PerHeadcount[company_name],$B799)*U274)</f>
        <v>0</v>
      </c>
      <c r="V799" s="652">
        <f>IF($B799="",,SUMIFS(PerHeadcount[Month 11],PerHeadcount[exp_item],$H799,PerHeadcount[company_name],$B799)*V274)</f>
        <v>0</v>
      </c>
      <c r="W799" s="652">
        <f>IF($B799="",,SUMIFS(PerHeadcount[Month 12],PerHeadcount[exp_item],$H799,PerHeadcount[company_name],$B799)*W274)</f>
        <v>0</v>
      </c>
      <c r="X799" s="652">
        <f>IF($B799="",,SUMIFS(PerHeadcount[Month 13],PerHeadcount[exp_item],$H799,PerHeadcount[company_name],$B799)*X274)</f>
        <v>0</v>
      </c>
      <c r="Y799" s="652">
        <f>IF($B799="",,SUMIFS(PerHeadcount[Month 14],PerHeadcount[exp_item],$H799,PerHeadcount[company_name],$B799)*Y274)</f>
        <v>0</v>
      </c>
      <c r="Z799" s="652">
        <f>IF($B799="",,SUMIFS(PerHeadcount[Month 15],PerHeadcount[exp_item],$H799,PerHeadcount[company_name],$B799)*Z274)</f>
        <v>0</v>
      </c>
      <c r="AA799" s="652">
        <f>IF($B799="",,SUMIFS(PerHeadcount[Month 16],PerHeadcount[exp_item],$H799,PerHeadcount[company_name],$B799)*AA274)</f>
        <v>0</v>
      </c>
      <c r="AB799" s="652">
        <f>IF($B799="",,SUMIFS(PerHeadcount[Month 17],PerHeadcount[exp_item],$H799,PerHeadcount[company_name],$B799)*AB274)</f>
        <v>0</v>
      </c>
      <c r="AC799" s="652">
        <f>IF($B799="",,SUMIFS(PerHeadcount[Month 18],PerHeadcount[exp_item],$H799,PerHeadcount[company_name],$B799)*AC274)</f>
        <v>0</v>
      </c>
      <c r="AD799" s="652">
        <f>IF($B799="",,SUMIFS(PerHeadcount[Month 19],PerHeadcount[exp_item],$H799,PerHeadcount[company_name],$B799)*AD274)</f>
        <v>0</v>
      </c>
      <c r="AE799" s="652">
        <f>IF($B799="",,SUMIFS(PerHeadcount[Month 20],PerHeadcount[exp_item],$H799,PerHeadcount[company_name],$B799)*AE274)</f>
        <v>0</v>
      </c>
      <c r="AF799" s="652">
        <f>IF($B799="",,SUMIFS(PerHeadcount[Month 21],PerHeadcount[exp_item],$H799,PerHeadcount[company_name],$B799)*AF274)</f>
        <v>0</v>
      </c>
      <c r="AG799" s="652">
        <f>IF($B799="",,SUMIFS(PerHeadcount[Month 22],PerHeadcount[exp_item],$H799,PerHeadcount[company_name],$B799)*AG274)</f>
        <v>0</v>
      </c>
      <c r="AH799" s="652">
        <f>IF($B799="",,SUMIFS(PerHeadcount[Month 23],PerHeadcount[exp_item],$H799,PerHeadcount[company_name],$B799)*AH274)</f>
        <v>0</v>
      </c>
      <c r="AI799" s="652">
        <f>IF($B799="",,SUMIFS(PerHeadcount[Month 24],PerHeadcount[exp_item],$H799,PerHeadcount[company_name],$B799)*AI274)</f>
        <v>0</v>
      </c>
      <c r="AJ799" s="652">
        <f>IF($B799="",,SUMIFS(PerHeadcount[Month 25],PerHeadcount[exp_item],$H799,PerHeadcount[company_name],$B799)*AJ274)</f>
        <v>0</v>
      </c>
      <c r="AK799" s="652">
        <f>IF($B799="",,SUMIFS(PerHeadcount[Month 26],PerHeadcount[exp_item],$H799,PerHeadcount[company_name],$B799)*AK274)</f>
        <v>0</v>
      </c>
      <c r="AL799" s="652">
        <f>IF($B799="",,SUMIFS(PerHeadcount[Month 27],PerHeadcount[exp_item],$H799,PerHeadcount[company_name],$B799)*AL274)</f>
        <v>0</v>
      </c>
      <c r="AM799" s="652">
        <f>IF($B799="",,SUMIFS(PerHeadcount[Month 28],PerHeadcount[exp_item],$H799,PerHeadcount[company_name],$B799)*AM274)</f>
        <v>0</v>
      </c>
      <c r="AN799" s="652">
        <f>IF($B799="",,SUMIFS(PerHeadcount[Month 29],PerHeadcount[exp_item],$H799,PerHeadcount[company_name],$B799)*AN274)</f>
        <v>0</v>
      </c>
      <c r="AO799" s="652">
        <f>IF($B799="",,SUMIFS(PerHeadcount[Month 30],PerHeadcount[exp_item],$H799,PerHeadcount[company_name],$B799)*AO274)</f>
        <v>0</v>
      </c>
      <c r="AP799" s="652">
        <f>IF($B799="",,SUMIFS(PerHeadcount[Month 31],PerHeadcount[exp_item],$H799,PerHeadcount[company_name],$B799)*AP274)</f>
        <v>0</v>
      </c>
      <c r="AQ799" s="652">
        <f>IF($B799="",,SUMIFS(PerHeadcount[Month 32],PerHeadcount[exp_item],$H799,PerHeadcount[company_name],$B799)*AQ274)</f>
        <v>0</v>
      </c>
      <c r="AR799" s="652">
        <f>IF($B799="",,SUMIFS(PerHeadcount[Month 33],PerHeadcount[exp_item],$H799,PerHeadcount[company_name],$B799)*AR274)</f>
        <v>0</v>
      </c>
      <c r="AS799" s="652">
        <f>IF($B799="",,SUMIFS(PerHeadcount[Month 34],PerHeadcount[exp_item],$H799,PerHeadcount[company_name],$B799)*AS274)</f>
        <v>0</v>
      </c>
      <c r="AT799" s="652">
        <f>IF($B799="",,SUMIFS(PerHeadcount[Month 35],PerHeadcount[exp_item],$H799,PerHeadcount[company_name],$B799)*AT274)</f>
        <v>0</v>
      </c>
      <c r="AU799" s="652">
        <f>IF($B799="",,SUMIFS(PerHeadcount[Month 36],PerHeadcount[exp_item],$H799,PerHeadcount[company_name],$B799)*AU274)</f>
        <v>0</v>
      </c>
    </row>
    <row r="800" spans="2:47" x14ac:dyDescent="0.35">
      <c r="B800" t="str">
        <f t="shared" si="440"/>
        <v/>
      </c>
      <c r="C800" t="str">
        <f t="shared" si="440"/>
        <v/>
      </c>
      <c r="D800" t="str">
        <f t="shared" si="440"/>
        <v/>
      </c>
      <c r="E800" t="str">
        <f t="shared" si="440"/>
        <v/>
      </c>
      <c r="F800" t="str">
        <f t="shared" si="440"/>
        <v/>
      </c>
      <c r="G800" t="str">
        <f t="shared" si="440"/>
        <v/>
      </c>
      <c r="H800" t="str">
        <f t="shared" si="437"/>
        <v/>
      </c>
      <c r="J800" t="str">
        <f>IF($H800="","",IF(VLOOKUP(H800,ExpItems[],2,0),H800&amp;" - "&amp;INDEX(DivisionMapping[category_code],MATCH($D800&amp;$C800,DivisionMapping[dept_bu],0)),H800))</f>
        <v/>
      </c>
      <c r="K800" t="str">
        <f t="shared" si="438"/>
        <v/>
      </c>
      <c r="L800" s="652">
        <f>IF($B800="",,SUMIFS(PerHeadcount[Month 1],PerHeadcount[exp_item],$H800,PerHeadcount[company_name],$B800)*L275)</f>
        <v>0</v>
      </c>
      <c r="M800" s="652">
        <f>IF($B800="",,SUMIFS(PerHeadcount[Month 2],PerHeadcount[exp_item],$H800,PerHeadcount[company_name],$B800)*M275)</f>
        <v>0</v>
      </c>
      <c r="N800" s="652">
        <f>IF($B800="",,SUMIFS(PerHeadcount[Month 3],PerHeadcount[exp_item],$H800,PerHeadcount[company_name],$B800)*N275)</f>
        <v>0</v>
      </c>
      <c r="O800" s="652">
        <f>IF($B800="",,SUMIFS(PerHeadcount[Month 4],PerHeadcount[exp_item],$H800,PerHeadcount[company_name],$B800)*O275)</f>
        <v>0</v>
      </c>
      <c r="P800" s="652">
        <f>IF($B800="",,SUMIFS(PerHeadcount[Month 5],PerHeadcount[exp_item],$H800,PerHeadcount[company_name],$B800)*P275)</f>
        <v>0</v>
      </c>
      <c r="Q800" s="652">
        <f>IF($B800="",,SUMIFS(PerHeadcount[Month 6],PerHeadcount[exp_item],$H800,PerHeadcount[company_name],$B800)*Q275)</f>
        <v>0</v>
      </c>
      <c r="R800" s="652">
        <f>IF($B800="",,SUMIFS(PerHeadcount[Month 7],PerHeadcount[exp_item],$H800,PerHeadcount[company_name],$B800)*R275)</f>
        <v>0</v>
      </c>
      <c r="S800" s="652">
        <f>IF($B800="",,SUMIFS(PerHeadcount[Month 8],PerHeadcount[exp_item],$H800,PerHeadcount[company_name],$B800)*S275)</f>
        <v>0</v>
      </c>
      <c r="T800" s="652">
        <f>IF($B800="",,SUMIFS(PerHeadcount[Month 9],PerHeadcount[exp_item],$H800,PerHeadcount[company_name],$B800)*T275)</f>
        <v>0</v>
      </c>
      <c r="U800" s="652">
        <f>IF($B800="",,SUMIFS(PerHeadcount[Month 10],PerHeadcount[exp_item],$H800,PerHeadcount[company_name],$B800)*U275)</f>
        <v>0</v>
      </c>
      <c r="V800" s="652">
        <f>IF($B800="",,SUMIFS(PerHeadcount[Month 11],PerHeadcount[exp_item],$H800,PerHeadcount[company_name],$B800)*V275)</f>
        <v>0</v>
      </c>
      <c r="W800" s="652">
        <f>IF($B800="",,SUMIFS(PerHeadcount[Month 12],PerHeadcount[exp_item],$H800,PerHeadcount[company_name],$B800)*W275)</f>
        <v>0</v>
      </c>
      <c r="X800" s="652">
        <f>IF($B800="",,SUMIFS(PerHeadcount[Month 13],PerHeadcount[exp_item],$H800,PerHeadcount[company_name],$B800)*X275)</f>
        <v>0</v>
      </c>
      <c r="Y800" s="652">
        <f>IF($B800="",,SUMIFS(PerHeadcount[Month 14],PerHeadcount[exp_item],$H800,PerHeadcount[company_name],$B800)*Y275)</f>
        <v>0</v>
      </c>
      <c r="Z800" s="652">
        <f>IF($B800="",,SUMIFS(PerHeadcount[Month 15],PerHeadcount[exp_item],$H800,PerHeadcount[company_name],$B800)*Z275)</f>
        <v>0</v>
      </c>
      <c r="AA800" s="652">
        <f>IF($B800="",,SUMIFS(PerHeadcount[Month 16],PerHeadcount[exp_item],$H800,PerHeadcount[company_name],$B800)*AA275)</f>
        <v>0</v>
      </c>
      <c r="AB800" s="652">
        <f>IF($B800="",,SUMIFS(PerHeadcount[Month 17],PerHeadcount[exp_item],$H800,PerHeadcount[company_name],$B800)*AB275)</f>
        <v>0</v>
      </c>
      <c r="AC800" s="652">
        <f>IF($B800="",,SUMIFS(PerHeadcount[Month 18],PerHeadcount[exp_item],$H800,PerHeadcount[company_name],$B800)*AC275)</f>
        <v>0</v>
      </c>
      <c r="AD800" s="652">
        <f>IF($B800="",,SUMIFS(PerHeadcount[Month 19],PerHeadcount[exp_item],$H800,PerHeadcount[company_name],$B800)*AD275)</f>
        <v>0</v>
      </c>
      <c r="AE800" s="652">
        <f>IF($B800="",,SUMIFS(PerHeadcount[Month 20],PerHeadcount[exp_item],$H800,PerHeadcount[company_name],$B800)*AE275)</f>
        <v>0</v>
      </c>
      <c r="AF800" s="652">
        <f>IF($B800="",,SUMIFS(PerHeadcount[Month 21],PerHeadcount[exp_item],$H800,PerHeadcount[company_name],$B800)*AF275)</f>
        <v>0</v>
      </c>
      <c r="AG800" s="652">
        <f>IF($B800="",,SUMIFS(PerHeadcount[Month 22],PerHeadcount[exp_item],$H800,PerHeadcount[company_name],$B800)*AG275)</f>
        <v>0</v>
      </c>
      <c r="AH800" s="652">
        <f>IF($B800="",,SUMIFS(PerHeadcount[Month 23],PerHeadcount[exp_item],$H800,PerHeadcount[company_name],$B800)*AH275)</f>
        <v>0</v>
      </c>
      <c r="AI800" s="652">
        <f>IF($B800="",,SUMIFS(PerHeadcount[Month 24],PerHeadcount[exp_item],$H800,PerHeadcount[company_name],$B800)*AI275)</f>
        <v>0</v>
      </c>
      <c r="AJ800" s="652">
        <f>IF($B800="",,SUMIFS(PerHeadcount[Month 25],PerHeadcount[exp_item],$H800,PerHeadcount[company_name],$B800)*AJ275)</f>
        <v>0</v>
      </c>
      <c r="AK800" s="652">
        <f>IF($B800="",,SUMIFS(PerHeadcount[Month 26],PerHeadcount[exp_item],$H800,PerHeadcount[company_name],$B800)*AK275)</f>
        <v>0</v>
      </c>
      <c r="AL800" s="652">
        <f>IF($B800="",,SUMIFS(PerHeadcount[Month 27],PerHeadcount[exp_item],$H800,PerHeadcount[company_name],$B800)*AL275)</f>
        <v>0</v>
      </c>
      <c r="AM800" s="652">
        <f>IF($B800="",,SUMIFS(PerHeadcount[Month 28],PerHeadcount[exp_item],$H800,PerHeadcount[company_name],$B800)*AM275)</f>
        <v>0</v>
      </c>
      <c r="AN800" s="652">
        <f>IF($B800="",,SUMIFS(PerHeadcount[Month 29],PerHeadcount[exp_item],$H800,PerHeadcount[company_name],$B800)*AN275)</f>
        <v>0</v>
      </c>
      <c r="AO800" s="652">
        <f>IF($B800="",,SUMIFS(PerHeadcount[Month 30],PerHeadcount[exp_item],$H800,PerHeadcount[company_name],$B800)*AO275)</f>
        <v>0</v>
      </c>
      <c r="AP800" s="652">
        <f>IF($B800="",,SUMIFS(PerHeadcount[Month 31],PerHeadcount[exp_item],$H800,PerHeadcount[company_name],$B800)*AP275)</f>
        <v>0</v>
      </c>
      <c r="AQ800" s="652">
        <f>IF($B800="",,SUMIFS(PerHeadcount[Month 32],PerHeadcount[exp_item],$H800,PerHeadcount[company_name],$B800)*AQ275)</f>
        <v>0</v>
      </c>
      <c r="AR800" s="652">
        <f>IF($B800="",,SUMIFS(PerHeadcount[Month 33],PerHeadcount[exp_item],$H800,PerHeadcount[company_name],$B800)*AR275)</f>
        <v>0</v>
      </c>
      <c r="AS800" s="652">
        <f>IF($B800="",,SUMIFS(PerHeadcount[Month 34],PerHeadcount[exp_item],$H800,PerHeadcount[company_name],$B800)*AS275)</f>
        <v>0</v>
      </c>
      <c r="AT800" s="652">
        <f>IF($B800="",,SUMIFS(PerHeadcount[Month 35],PerHeadcount[exp_item],$H800,PerHeadcount[company_name],$B800)*AT275)</f>
        <v>0</v>
      </c>
      <c r="AU800" s="652">
        <f>IF($B800="",,SUMIFS(PerHeadcount[Month 36],PerHeadcount[exp_item],$H800,PerHeadcount[company_name],$B800)*AU275)</f>
        <v>0</v>
      </c>
    </row>
    <row r="801" spans="1:52" x14ac:dyDescent="0.35">
      <c r="B801" t="str">
        <f t="shared" ref="B801:G810" si="441">IF(B696="","",B696)</f>
        <v/>
      </c>
      <c r="C801" t="str">
        <f t="shared" si="441"/>
        <v/>
      </c>
      <c r="D801" t="str">
        <f t="shared" si="441"/>
        <v/>
      </c>
      <c r="E801" t="str">
        <f t="shared" si="441"/>
        <v/>
      </c>
      <c r="F801" t="str">
        <f t="shared" si="441"/>
        <v/>
      </c>
      <c r="G801" t="str">
        <f t="shared" si="441"/>
        <v/>
      </c>
      <c r="H801" t="str">
        <f t="shared" si="437"/>
        <v/>
      </c>
      <c r="J801" t="str">
        <f>IF($H801="","",IF(VLOOKUP(H801,ExpItems[],2,0),H801&amp;" - "&amp;INDEX(DivisionMapping[category_code],MATCH($D801&amp;$C801,DivisionMapping[dept_bu],0)),H801))</f>
        <v/>
      </c>
      <c r="K801" t="str">
        <f t="shared" si="438"/>
        <v/>
      </c>
      <c r="L801" s="652">
        <f>IF($B801="",,SUMIFS(PerHeadcount[Month 1],PerHeadcount[exp_item],$H801,PerHeadcount[company_name],$B801)*L276)</f>
        <v>0</v>
      </c>
      <c r="M801" s="652">
        <f>IF($B801="",,SUMIFS(PerHeadcount[Month 2],PerHeadcount[exp_item],$H801,PerHeadcount[company_name],$B801)*M276)</f>
        <v>0</v>
      </c>
      <c r="N801" s="652">
        <f>IF($B801="",,SUMIFS(PerHeadcount[Month 3],PerHeadcount[exp_item],$H801,PerHeadcount[company_name],$B801)*N276)</f>
        <v>0</v>
      </c>
      <c r="O801" s="652">
        <f>IF($B801="",,SUMIFS(PerHeadcount[Month 4],PerHeadcount[exp_item],$H801,PerHeadcount[company_name],$B801)*O276)</f>
        <v>0</v>
      </c>
      <c r="P801" s="652">
        <f>IF($B801="",,SUMIFS(PerHeadcount[Month 5],PerHeadcount[exp_item],$H801,PerHeadcount[company_name],$B801)*P276)</f>
        <v>0</v>
      </c>
      <c r="Q801" s="652">
        <f>IF($B801="",,SUMIFS(PerHeadcount[Month 6],PerHeadcount[exp_item],$H801,PerHeadcount[company_name],$B801)*Q276)</f>
        <v>0</v>
      </c>
      <c r="R801" s="652">
        <f>IF($B801="",,SUMIFS(PerHeadcount[Month 7],PerHeadcount[exp_item],$H801,PerHeadcount[company_name],$B801)*R276)</f>
        <v>0</v>
      </c>
      <c r="S801" s="652">
        <f>IF($B801="",,SUMIFS(PerHeadcount[Month 8],PerHeadcount[exp_item],$H801,PerHeadcount[company_name],$B801)*S276)</f>
        <v>0</v>
      </c>
      <c r="T801" s="652">
        <f>IF($B801="",,SUMIFS(PerHeadcount[Month 9],PerHeadcount[exp_item],$H801,PerHeadcount[company_name],$B801)*T276)</f>
        <v>0</v>
      </c>
      <c r="U801" s="652">
        <f>IF($B801="",,SUMIFS(PerHeadcount[Month 10],PerHeadcount[exp_item],$H801,PerHeadcount[company_name],$B801)*U276)</f>
        <v>0</v>
      </c>
      <c r="V801" s="652">
        <f>IF($B801="",,SUMIFS(PerHeadcount[Month 11],PerHeadcount[exp_item],$H801,PerHeadcount[company_name],$B801)*V276)</f>
        <v>0</v>
      </c>
      <c r="W801" s="652">
        <f>IF($B801="",,SUMIFS(PerHeadcount[Month 12],PerHeadcount[exp_item],$H801,PerHeadcount[company_name],$B801)*W276)</f>
        <v>0</v>
      </c>
      <c r="X801" s="652">
        <f>IF($B801="",,SUMIFS(PerHeadcount[Month 13],PerHeadcount[exp_item],$H801,PerHeadcount[company_name],$B801)*X276)</f>
        <v>0</v>
      </c>
      <c r="Y801" s="652">
        <f>IF($B801="",,SUMIFS(PerHeadcount[Month 14],PerHeadcount[exp_item],$H801,PerHeadcount[company_name],$B801)*Y276)</f>
        <v>0</v>
      </c>
      <c r="Z801" s="652">
        <f>IF($B801="",,SUMIFS(PerHeadcount[Month 15],PerHeadcount[exp_item],$H801,PerHeadcount[company_name],$B801)*Z276)</f>
        <v>0</v>
      </c>
      <c r="AA801" s="652">
        <f>IF($B801="",,SUMIFS(PerHeadcount[Month 16],PerHeadcount[exp_item],$H801,PerHeadcount[company_name],$B801)*AA276)</f>
        <v>0</v>
      </c>
      <c r="AB801" s="652">
        <f>IF($B801="",,SUMIFS(PerHeadcount[Month 17],PerHeadcount[exp_item],$H801,PerHeadcount[company_name],$B801)*AB276)</f>
        <v>0</v>
      </c>
      <c r="AC801" s="652">
        <f>IF($B801="",,SUMIFS(PerHeadcount[Month 18],PerHeadcount[exp_item],$H801,PerHeadcount[company_name],$B801)*AC276)</f>
        <v>0</v>
      </c>
      <c r="AD801" s="652">
        <f>IF($B801="",,SUMIFS(PerHeadcount[Month 19],PerHeadcount[exp_item],$H801,PerHeadcount[company_name],$B801)*AD276)</f>
        <v>0</v>
      </c>
      <c r="AE801" s="652">
        <f>IF($B801="",,SUMIFS(PerHeadcount[Month 20],PerHeadcount[exp_item],$H801,PerHeadcount[company_name],$B801)*AE276)</f>
        <v>0</v>
      </c>
      <c r="AF801" s="652">
        <f>IF($B801="",,SUMIFS(PerHeadcount[Month 21],PerHeadcount[exp_item],$H801,PerHeadcount[company_name],$B801)*AF276)</f>
        <v>0</v>
      </c>
      <c r="AG801" s="652">
        <f>IF($B801="",,SUMIFS(PerHeadcount[Month 22],PerHeadcount[exp_item],$H801,PerHeadcount[company_name],$B801)*AG276)</f>
        <v>0</v>
      </c>
      <c r="AH801" s="652">
        <f>IF($B801="",,SUMIFS(PerHeadcount[Month 23],PerHeadcount[exp_item],$H801,PerHeadcount[company_name],$B801)*AH276)</f>
        <v>0</v>
      </c>
      <c r="AI801" s="652">
        <f>IF($B801="",,SUMIFS(PerHeadcount[Month 24],PerHeadcount[exp_item],$H801,PerHeadcount[company_name],$B801)*AI276)</f>
        <v>0</v>
      </c>
      <c r="AJ801" s="652">
        <f>IF($B801="",,SUMIFS(PerHeadcount[Month 25],PerHeadcount[exp_item],$H801,PerHeadcount[company_name],$B801)*AJ276)</f>
        <v>0</v>
      </c>
      <c r="AK801" s="652">
        <f>IF($B801="",,SUMIFS(PerHeadcount[Month 26],PerHeadcount[exp_item],$H801,PerHeadcount[company_name],$B801)*AK276)</f>
        <v>0</v>
      </c>
      <c r="AL801" s="652">
        <f>IF($B801="",,SUMIFS(PerHeadcount[Month 27],PerHeadcount[exp_item],$H801,PerHeadcount[company_name],$B801)*AL276)</f>
        <v>0</v>
      </c>
      <c r="AM801" s="652">
        <f>IF($B801="",,SUMIFS(PerHeadcount[Month 28],PerHeadcount[exp_item],$H801,PerHeadcount[company_name],$B801)*AM276)</f>
        <v>0</v>
      </c>
      <c r="AN801" s="652">
        <f>IF($B801="",,SUMIFS(PerHeadcount[Month 29],PerHeadcount[exp_item],$H801,PerHeadcount[company_name],$B801)*AN276)</f>
        <v>0</v>
      </c>
      <c r="AO801" s="652">
        <f>IF($B801="",,SUMIFS(PerHeadcount[Month 30],PerHeadcount[exp_item],$H801,PerHeadcount[company_name],$B801)*AO276)</f>
        <v>0</v>
      </c>
      <c r="AP801" s="652">
        <f>IF($B801="",,SUMIFS(PerHeadcount[Month 31],PerHeadcount[exp_item],$H801,PerHeadcount[company_name],$B801)*AP276)</f>
        <v>0</v>
      </c>
      <c r="AQ801" s="652">
        <f>IF($B801="",,SUMIFS(PerHeadcount[Month 32],PerHeadcount[exp_item],$H801,PerHeadcount[company_name],$B801)*AQ276)</f>
        <v>0</v>
      </c>
      <c r="AR801" s="652">
        <f>IF($B801="",,SUMIFS(PerHeadcount[Month 33],PerHeadcount[exp_item],$H801,PerHeadcount[company_name],$B801)*AR276)</f>
        <v>0</v>
      </c>
      <c r="AS801" s="652">
        <f>IF($B801="",,SUMIFS(PerHeadcount[Month 34],PerHeadcount[exp_item],$H801,PerHeadcount[company_name],$B801)*AS276)</f>
        <v>0</v>
      </c>
      <c r="AT801" s="652">
        <f>IF($B801="",,SUMIFS(PerHeadcount[Month 35],PerHeadcount[exp_item],$H801,PerHeadcount[company_name],$B801)*AT276)</f>
        <v>0</v>
      </c>
      <c r="AU801" s="652">
        <f>IF($B801="",,SUMIFS(PerHeadcount[Month 36],PerHeadcount[exp_item],$H801,PerHeadcount[company_name],$B801)*AU276)</f>
        <v>0</v>
      </c>
    </row>
    <row r="802" spans="1:52" x14ac:dyDescent="0.35">
      <c r="B802" t="str">
        <f t="shared" si="441"/>
        <v/>
      </c>
      <c r="C802" t="str">
        <f t="shared" si="441"/>
        <v/>
      </c>
      <c r="D802" t="str">
        <f t="shared" si="441"/>
        <v/>
      </c>
      <c r="E802" t="str">
        <f t="shared" si="441"/>
        <v/>
      </c>
      <c r="F802" t="str">
        <f t="shared" si="441"/>
        <v/>
      </c>
      <c r="G802" t="str">
        <f t="shared" si="441"/>
        <v/>
      </c>
      <c r="H802" t="str">
        <f t="shared" si="437"/>
        <v/>
      </c>
      <c r="J802" t="str">
        <f>IF($H802="","",IF(VLOOKUP(H802,ExpItems[],2,0),H802&amp;" - "&amp;INDEX(DivisionMapping[category_code],MATCH($D802&amp;$C802,DivisionMapping[dept_bu],0)),H802))</f>
        <v/>
      </c>
      <c r="K802" t="str">
        <f t="shared" si="438"/>
        <v/>
      </c>
      <c r="L802" s="652">
        <f>IF($B802="",,SUMIFS(PerHeadcount[Month 1],PerHeadcount[exp_item],$H802,PerHeadcount[company_name],$B802)*L277)</f>
        <v>0</v>
      </c>
      <c r="M802" s="652">
        <f>IF($B802="",,SUMIFS(PerHeadcount[Month 2],PerHeadcount[exp_item],$H802,PerHeadcount[company_name],$B802)*M277)</f>
        <v>0</v>
      </c>
      <c r="N802" s="652">
        <f>IF($B802="",,SUMIFS(PerHeadcount[Month 3],PerHeadcount[exp_item],$H802,PerHeadcount[company_name],$B802)*N277)</f>
        <v>0</v>
      </c>
      <c r="O802" s="652">
        <f>IF($B802="",,SUMIFS(PerHeadcount[Month 4],PerHeadcount[exp_item],$H802,PerHeadcount[company_name],$B802)*O277)</f>
        <v>0</v>
      </c>
      <c r="P802" s="652">
        <f>IF($B802="",,SUMIFS(PerHeadcount[Month 5],PerHeadcount[exp_item],$H802,PerHeadcount[company_name],$B802)*P277)</f>
        <v>0</v>
      </c>
      <c r="Q802" s="652">
        <f>IF($B802="",,SUMIFS(PerHeadcount[Month 6],PerHeadcount[exp_item],$H802,PerHeadcount[company_name],$B802)*Q277)</f>
        <v>0</v>
      </c>
      <c r="R802" s="652">
        <f>IF($B802="",,SUMIFS(PerHeadcount[Month 7],PerHeadcount[exp_item],$H802,PerHeadcount[company_name],$B802)*R277)</f>
        <v>0</v>
      </c>
      <c r="S802" s="652">
        <f>IF($B802="",,SUMIFS(PerHeadcount[Month 8],PerHeadcount[exp_item],$H802,PerHeadcount[company_name],$B802)*S277)</f>
        <v>0</v>
      </c>
      <c r="T802" s="652">
        <f>IF($B802="",,SUMIFS(PerHeadcount[Month 9],PerHeadcount[exp_item],$H802,PerHeadcount[company_name],$B802)*T277)</f>
        <v>0</v>
      </c>
      <c r="U802" s="652">
        <f>IF($B802="",,SUMIFS(PerHeadcount[Month 10],PerHeadcount[exp_item],$H802,PerHeadcount[company_name],$B802)*U277)</f>
        <v>0</v>
      </c>
      <c r="V802" s="652">
        <f>IF($B802="",,SUMIFS(PerHeadcount[Month 11],PerHeadcount[exp_item],$H802,PerHeadcount[company_name],$B802)*V277)</f>
        <v>0</v>
      </c>
      <c r="W802" s="652">
        <f>IF($B802="",,SUMIFS(PerHeadcount[Month 12],PerHeadcount[exp_item],$H802,PerHeadcount[company_name],$B802)*W277)</f>
        <v>0</v>
      </c>
      <c r="X802" s="652">
        <f>IF($B802="",,SUMIFS(PerHeadcount[Month 13],PerHeadcount[exp_item],$H802,PerHeadcount[company_name],$B802)*X277)</f>
        <v>0</v>
      </c>
      <c r="Y802" s="652">
        <f>IF($B802="",,SUMIFS(PerHeadcount[Month 14],PerHeadcount[exp_item],$H802,PerHeadcount[company_name],$B802)*Y277)</f>
        <v>0</v>
      </c>
      <c r="Z802" s="652">
        <f>IF($B802="",,SUMIFS(PerHeadcount[Month 15],PerHeadcount[exp_item],$H802,PerHeadcount[company_name],$B802)*Z277)</f>
        <v>0</v>
      </c>
      <c r="AA802" s="652">
        <f>IF($B802="",,SUMIFS(PerHeadcount[Month 16],PerHeadcount[exp_item],$H802,PerHeadcount[company_name],$B802)*AA277)</f>
        <v>0</v>
      </c>
      <c r="AB802" s="652">
        <f>IF($B802="",,SUMIFS(PerHeadcount[Month 17],PerHeadcount[exp_item],$H802,PerHeadcount[company_name],$B802)*AB277)</f>
        <v>0</v>
      </c>
      <c r="AC802" s="652">
        <f>IF($B802="",,SUMIFS(PerHeadcount[Month 18],PerHeadcount[exp_item],$H802,PerHeadcount[company_name],$B802)*AC277)</f>
        <v>0</v>
      </c>
      <c r="AD802" s="652">
        <f>IF($B802="",,SUMIFS(PerHeadcount[Month 19],PerHeadcount[exp_item],$H802,PerHeadcount[company_name],$B802)*AD277)</f>
        <v>0</v>
      </c>
      <c r="AE802" s="652">
        <f>IF($B802="",,SUMIFS(PerHeadcount[Month 20],PerHeadcount[exp_item],$H802,PerHeadcount[company_name],$B802)*AE277)</f>
        <v>0</v>
      </c>
      <c r="AF802" s="652">
        <f>IF($B802="",,SUMIFS(PerHeadcount[Month 21],PerHeadcount[exp_item],$H802,PerHeadcount[company_name],$B802)*AF277)</f>
        <v>0</v>
      </c>
      <c r="AG802" s="652">
        <f>IF($B802="",,SUMIFS(PerHeadcount[Month 22],PerHeadcount[exp_item],$H802,PerHeadcount[company_name],$B802)*AG277)</f>
        <v>0</v>
      </c>
      <c r="AH802" s="652">
        <f>IF($B802="",,SUMIFS(PerHeadcount[Month 23],PerHeadcount[exp_item],$H802,PerHeadcount[company_name],$B802)*AH277)</f>
        <v>0</v>
      </c>
      <c r="AI802" s="652">
        <f>IF($B802="",,SUMIFS(PerHeadcount[Month 24],PerHeadcount[exp_item],$H802,PerHeadcount[company_name],$B802)*AI277)</f>
        <v>0</v>
      </c>
      <c r="AJ802" s="652">
        <f>IF($B802="",,SUMIFS(PerHeadcount[Month 25],PerHeadcount[exp_item],$H802,PerHeadcount[company_name],$B802)*AJ277)</f>
        <v>0</v>
      </c>
      <c r="AK802" s="652">
        <f>IF($B802="",,SUMIFS(PerHeadcount[Month 26],PerHeadcount[exp_item],$H802,PerHeadcount[company_name],$B802)*AK277)</f>
        <v>0</v>
      </c>
      <c r="AL802" s="652">
        <f>IF($B802="",,SUMIFS(PerHeadcount[Month 27],PerHeadcount[exp_item],$H802,PerHeadcount[company_name],$B802)*AL277)</f>
        <v>0</v>
      </c>
      <c r="AM802" s="652">
        <f>IF($B802="",,SUMIFS(PerHeadcount[Month 28],PerHeadcount[exp_item],$H802,PerHeadcount[company_name],$B802)*AM277)</f>
        <v>0</v>
      </c>
      <c r="AN802" s="652">
        <f>IF($B802="",,SUMIFS(PerHeadcount[Month 29],PerHeadcount[exp_item],$H802,PerHeadcount[company_name],$B802)*AN277)</f>
        <v>0</v>
      </c>
      <c r="AO802" s="652">
        <f>IF($B802="",,SUMIFS(PerHeadcount[Month 30],PerHeadcount[exp_item],$H802,PerHeadcount[company_name],$B802)*AO277)</f>
        <v>0</v>
      </c>
      <c r="AP802" s="652">
        <f>IF($B802="",,SUMIFS(PerHeadcount[Month 31],PerHeadcount[exp_item],$H802,PerHeadcount[company_name],$B802)*AP277)</f>
        <v>0</v>
      </c>
      <c r="AQ802" s="652">
        <f>IF($B802="",,SUMIFS(PerHeadcount[Month 32],PerHeadcount[exp_item],$H802,PerHeadcount[company_name],$B802)*AQ277)</f>
        <v>0</v>
      </c>
      <c r="AR802" s="652">
        <f>IF($B802="",,SUMIFS(PerHeadcount[Month 33],PerHeadcount[exp_item],$H802,PerHeadcount[company_name],$B802)*AR277)</f>
        <v>0</v>
      </c>
      <c r="AS802" s="652">
        <f>IF($B802="",,SUMIFS(PerHeadcount[Month 34],PerHeadcount[exp_item],$H802,PerHeadcount[company_name],$B802)*AS277)</f>
        <v>0</v>
      </c>
      <c r="AT802" s="652">
        <f>IF($B802="",,SUMIFS(PerHeadcount[Month 35],PerHeadcount[exp_item],$H802,PerHeadcount[company_name],$B802)*AT277)</f>
        <v>0</v>
      </c>
      <c r="AU802" s="652">
        <f>IF($B802="",,SUMIFS(PerHeadcount[Month 36],PerHeadcount[exp_item],$H802,PerHeadcount[company_name],$B802)*AU277)</f>
        <v>0</v>
      </c>
    </row>
    <row r="803" spans="1:52" x14ac:dyDescent="0.35">
      <c r="B803" t="str">
        <f t="shared" si="441"/>
        <v/>
      </c>
      <c r="C803" t="str">
        <f t="shared" si="441"/>
        <v/>
      </c>
      <c r="D803" t="str">
        <f t="shared" si="441"/>
        <v/>
      </c>
      <c r="E803" t="str">
        <f t="shared" si="441"/>
        <v/>
      </c>
      <c r="F803" t="str">
        <f t="shared" si="441"/>
        <v/>
      </c>
      <c r="G803" t="str">
        <f t="shared" si="441"/>
        <v/>
      </c>
      <c r="H803" t="str">
        <f t="shared" si="437"/>
        <v/>
      </c>
      <c r="J803" t="str">
        <f>IF($H803="","",IF(VLOOKUP(H803,ExpItems[],2,0),H803&amp;" - "&amp;INDEX(DivisionMapping[category_code],MATCH($D803&amp;$C803,DivisionMapping[dept_bu],0)),H803))</f>
        <v/>
      </c>
      <c r="K803" t="str">
        <f t="shared" si="438"/>
        <v/>
      </c>
      <c r="L803" s="652">
        <f>IF($B803="",,SUMIFS(PerHeadcount[Month 1],PerHeadcount[exp_item],$H803,PerHeadcount[company_name],$B803)*L278)</f>
        <v>0</v>
      </c>
      <c r="M803" s="652">
        <f>IF($B803="",,SUMIFS(PerHeadcount[Month 2],PerHeadcount[exp_item],$H803,PerHeadcount[company_name],$B803)*M278)</f>
        <v>0</v>
      </c>
      <c r="N803" s="652">
        <f>IF($B803="",,SUMIFS(PerHeadcount[Month 3],PerHeadcount[exp_item],$H803,PerHeadcount[company_name],$B803)*N278)</f>
        <v>0</v>
      </c>
      <c r="O803" s="652">
        <f>IF($B803="",,SUMIFS(PerHeadcount[Month 4],PerHeadcount[exp_item],$H803,PerHeadcount[company_name],$B803)*O278)</f>
        <v>0</v>
      </c>
      <c r="P803" s="652">
        <f>IF($B803="",,SUMIFS(PerHeadcount[Month 5],PerHeadcount[exp_item],$H803,PerHeadcount[company_name],$B803)*P278)</f>
        <v>0</v>
      </c>
      <c r="Q803" s="652">
        <f>IF($B803="",,SUMIFS(PerHeadcount[Month 6],PerHeadcount[exp_item],$H803,PerHeadcount[company_name],$B803)*Q278)</f>
        <v>0</v>
      </c>
      <c r="R803" s="652">
        <f>IF($B803="",,SUMIFS(PerHeadcount[Month 7],PerHeadcount[exp_item],$H803,PerHeadcount[company_name],$B803)*R278)</f>
        <v>0</v>
      </c>
      <c r="S803" s="652">
        <f>IF($B803="",,SUMIFS(PerHeadcount[Month 8],PerHeadcount[exp_item],$H803,PerHeadcount[company_name],$B803)*S278)</f>
        <v>0</v>
      </c>
      <c r="T803" s="652">
        <f>IF($B803="",,SUMIFS(PerHeadcount[Month 9],PerHeadcount[exp_item],$H803,PerHeadcount[company_name],$B803)*T278)</f>
        <v>0</v>
      </c>
      <c r="U803" s="652">
        <f>IF($B803="",,SUMIFS(PerHeadcount[Month 10],PerHeadcount[exp_item],$H803,PerHeadcount[company_name],$B803)*U278)</f>
        <v>0</v>
      </c>
      <c r="V803" s="652">
        <f>IF($B803="",,SUMIFS(PerHeadcount[Month 11],PerHeadcount[exp_item],$H803,PerHeadcount[company_name],$B803)*V278)</f>
        <v>0</v>
      </c>
      <c r="W803" s="652">
        <f>IF($B803="",,SUMIFS(PerHeadcount[Month 12],PerHeadcount[exp_item],$H803,PerHeadcount[company_name],$B803)*W278)</f>
        <v>0</v>
      </c>
      <c r="X803" s="652">
        <f>IF($B803="",,SUMIFS(PerHeadcount[Month 13],PerHeadcount[exp_item],$H803,PerHeadcount[company_name],$B803)*X278)</f>
        <v>0</v>
      </c>
      <c r="Y803" s="652">
        <f>IF($B803="",,SUMIFS(PerHeadcount[Month 14],PerHeadcount[exp_item],$H803,PerHeadcount[company_name],$B803)*Y278)</f>
        <v>0</v>
      </c>
      <c r="Z803" s="652">
        <f>IF($B803="",,SUMIFS(PerHeadcount[Month 15],PerHeadcount[exp_item],$H803,PerHeadcount[company_name],$B803)*Z278)</f>
        <v>0</v>
      </c>
      <c r="AA803" s="652">
        <f>IF($B803="",,SUMIFS(PerHeadcount[Month 16],PerHeadcount[exp_item],$H803,PerHeadcount[company_name],$B803)*AA278)</f>
        <v>0</v>
      </c>
      <c r="AB803" s="652">
        <f>IF($B803="",,SUMIFS(PerHeadcount[Month 17],PerHeadcount[exp_item],$H803,PerHeadcount[company_name],$B803)*AB278)</f>
        <v>0</v>
      </c>
      <c r="AC803" s="652">
        <f>IF($B803="",,SUMIFS(PerHeadcount[Month 18],PerHeadcount[exp_item],$H803,PerHeadcount[company_name],$B803)*AC278)</f>
        <v>0</v>
      </c>
      <c r="AD803" s="652">
        <f>IF($B803="",,SUMIFS(PerHeadcount[Month 19],PerHeadcount[exp_item],$H803,PerHeadcount[company_name],$B803)*AD278)</f>
        <v>0</v>
      </c>
      <c r="AE803" s="652">
        <f>IF($B803="",,SUMIFS(PerHeadcount[Month 20],PerHeadcount[exp_item],$H803,PerHeadcount[company_name],$B803)*AE278)</f>
        <v>0</v>
      </c>
      <c r="AF803" s="652">
        <f>IF($B803="",,SUMIFS(PerHeadcount[Month 21],PerHeadcount[exp_item],$H803,PerHeadcount[company_name],$B803)*AF278)</f>
        <v>0</v>
      </c>
      <c r="AG803" s="652">
        <f>IF($B803="",,SUMIFS(PerHeadcount[Month 22],PerHeadcount[exp_item],$H803,PerHeadcount[company_name],$B803)*AG278)</f>
        <v>0</v>
      </c>
      <c r="AH803" s="652">
        <f>IF($B803="",,SUMIFS(PerHeadcount[Month 23],PerHeadcount[exp_item],$H803,PerHeadcount[company_name],$B803)*AH278)</f>
        <v>0</v>
      </c>
      <c r="AI803" s="652">
        <f>IF($B803="",,SUMIFS(PerHeadcount[Month 24],PerHeadcount[exp_item],$H803,PerHeadcount[company_name],$B803)*AI278)</f>
        <v>0</v>
      </c>
      <c r="AJ803" s="652">
        <f>IF($B803="",,SUMIFS(PerHeadcount[Month 25],PerHeadcount[exp_item],$H803,PerHeadcount[company_name],$B803)*AJ278)</f>
        <v>0</v>
      </c>
      <c r="AK803" s="652">
        <f>IF($B803="",,SUMIFS(PerHeadcount[Month 26],PerHeadcount[exp_item],$H803,PerHeadcount[company_name],$B803)*AK278)</f>
        <v>0</v>
      </c>
      <c r="AL803" s="652">
        <f>IF($B803="",,SUMIFS(PerHeadcount[Month 27],PerHeadcount[exp_item],$H803,PerHeadcount[company_name],$B803)*AL278)</f>
        <v>0</v>
      </c>
      <c r="AM803" s="652">
        <f>IF($B803="",,SUMIFS(PerHeadcount[Month 28],PerHeadcount[exp_item],$H803,PerHeadcount[company_name],$B803)*AM278)</f>
        <v>0</v>
      </c>
      <c r="AN803" s="652">
        <f>IF($B803="",,SUMIFS(PerHeadcount[Month 29],PerHeadcount[exp_item],$H803,PerHeadcount[company_name],$B803)*AN278)</f>
        <v>0</v>
      </c>
      <c r="AO803" s="652">
        <f>IF($B803="",,SUMIFS(PerHeadcount[Month 30],PerHeadcount[exp_item],$H803,PerHeadcount[company_name],$B803)*AO278)</f>
        <v>0</v>
      </c>
      <c r="AP803" s="652">
        <f>IF($B803="",,SUMIFS(PerHeadcount[Month 31],PerHeadcount[exp_item],$H803,PerHeadcount[company_name],$B803)*AP278)</f>
        <v>0</v>
      </c>
      <c r="AQ803" s="652">
        <f>IF($B803="",,SUMIFS(PerHeadcount[Month 32],PerHeadcount[exp_item],$H803,PerHeadcount[company_name],$B803)*AQ278)</f>
        <v>0</v>
      </c>
      <c r="AR803" s="652">
        <f>IF($B803="",,SUMIFS(PerHeadcount[Month 33],PerHeadcount[exp_item],$H803,PerHeadcount[company_name],$B803)*AR278)</f>
        <v>0</v>
      </c>
      <c r="AS803" s="652">
        <f>IF($B803="",,SUMIFS(PerHeadcount[Month 34],PerHeadcount[exp_item],$H803,PerHeadcount[company_name],$B803)*AS278)</f>
        <v>0</v>
      </c>
      <c r="AT803" s="652">
        <f>IF($B803="",,SUMIFS(PerHeadcount[Month 35],PerHeadcount[exp_item],$H803,PerHeadcount[company_name],$B803)*AT278)</f>
        <v>0</v>
      </c>
      <c r="AU803" s="652">
        <f>IF($B803="",,SUMIFS(PerHeadcount[Month 36],PerHeadcount[exp_item],$H803,PerHeadcount[company_name],$B803)*AU278)</f>
        <v>0</v>
      </c>
    </row>
    <row r="804" spans="1:52" x14ac:dyDescent="0.35">
      <c r="B804" t="str">
        <f t="shared" si="441"/>
        <v/>
      </c>
      <c r="C804" t="str">
        <f t="shared" si="441"/>
        <v/>
      </c>
      <c r="D804" t="str">
        <f t="shared" si="441"/>
        <v/>
      </c>
      <c r="E804" t="str">
        <f t="shared" si="441"/>
        <v/>
      </c>
      <c r="F804" t="str">
        <f t="shared" si="441"/>
        <v/>
      </c>
      <c r="G804" t="str">
        <f t="shared" si="441"/>
        <v/>
      </c>
      <c r="H804" t="str">
        <f t="shared" si="437"/>
        <v/>
      </c>
      <c r="J804" t="str">
        <f>IF($H804="","",IF(VLOOKUP(H804,ExpItems[],2,0),H804&amp;" - "&amp;INDEX(DivisionMapping[category_code],MATCH($D804&amp;$C804,DivisionMapping[dept_bu],0)),H804))</f>
        <v/>
      </c>
      <c r="K804" t="str">
        <f t="shared" si="438"/>
        <v/>
      </c>
      <c r="L804" s="652">
        <f>IF($B804="",,SUMIFS(PerHeadcount[Month 1],PerHeadcount[exp_item],$H804,PerHeadcount[company_name],$B804)*L279)</f>
        <v>0</v>
      </c>
      <c r="M804" s="652">
        <f>IF($B804="",,SUMIFS(PerHeadcount[Month 2],PerHeadcount[exp_item],$H804,PerHeadcount[company_name],$B804)*M279)</f>
        <v>0</v>
      </c>
      <c r="N804" s="652">
        <f>IF($B804="",,SUMIFS(PerHeadcount[Month 3],PerHeadcount[exp_item],$H804,PerHeadcount[company_name],$B804)*N279)</f>
        <v>0</v>
      </c>
      <c r="O804" s="652">
        <f>IF($B804="",,SUMIFS(PerHeadcount[Month 4],PerHeadcount[exp_item],$H804,PerHeadcount[company_name],$B804)*O279)</f>
        <v>0</v>
      </c>
      <c r="P804" s="652">
        <f>IF($B804="",,SUMIFS(PerHeadcount[Month 5],PerHeadcount[exp_item],$H804,PerHeadcount[company_name],$B804)*P279)</f>
        <v>0</v>
      </c>
      <c r="Q804" s="652">
        <f>IF($B804="",,SUMIFS(PerHeadcount[Month 6],PerHeadcount[exp_item],$H804,PerHeadcount[company_name],$B804)*Q279)</f>
        <v>0</v>
      </c>
      <c r="R804" s="652">
        <f>IF($B804="",,SUMIFS(PerHeadcount[Month 7],PerHeadcount[exp_item],$H804,PerHeadcount[company_name],$B804)*R279)</f>
        <v>0</v>
      </c>
      <c r="S804" s="652">
        <f>IF($B804="",,SUMIFS(PerHeadcount[Month 8],PerHeadcount[exp_item],$H804,PerHeadcount[company_name],$B804)*S279)</f>
        <v>0</v>
      </c>
      <c r="T804" s="652">
        <f>IF($B804="",,SUMIFS(PerHeadcount[Month 9],PerHeadcount[exp_item],$H804,PerHeadcount[company_name],$B804)*T279)</f>
        <v>0</v>
      </c>
      <c r="U804" s="652">
        <f>IF($B804="",,SUMIFS(PerHeadcount[Month 10],PerHeadcount[exp_item],$H804,PerHeadcount[company_name],$B804)*U279)</f>
        <v>0</v>
      </c>
      <c r="V804" s="652">
        <f>IF($B804="",,SUMIFS(PerHeadcount[Month 11],PerHeadcount[exp_item],$H804,PerHeadcount[company_name],$B804)*V279)</f>
        <v>0</v>
      </c>
      <c r="W804" s="652">
        <f>IF($B804="",,SUMIFS(PerHeadcount[Month 12],PerHeadcount[exp_item],$H804,PerHeadcount[company_name],$B804)*W279)</f>
        <v>0</v>
      </c>
      <c r="X804" s="652">
        <f>IF($B804="",,SUMIFS(PerHeadcount[Month 13],PerHeadcount[exp_item],$H804,PerHeadcount[company_name],$B804)*X279)</f>
        <v>0</v>
      </c>
      <c r="Y804" s="652">
        <f>IF($B804="",,SUMIFS(PerHeadcount[Month 14],PerHeadcount[exp_item],$H804,PerHeadcount[company_name],$B804)*Y279)</f>
        <v>0</v>
      </c>
      <c r="Z804" s="652">
        <f>IF($B804="",,SUMIFS(PerHeadcount[Month 15],PerHeadcount[exp_item],$H804,PerHeadcount[company_name],$B804)*Z279)</f>
        <v>0</v>
      </c>
      <c r="AA804" s="652">
        <f>IF($B804="",,SUMIFS(PerHeadcount[Month 16],PerHeadcount[exp_item],$H804,PerHeadcount[company_name],$B804)*AA279)</f>
        <v>0</v>
      </c>
      <c r="AB804" s="652">
        <f>IF($B804="",,SUMIFS(PerHeadcount[Month 17],PerHeadcount[exp_item],$H804,PerHeadcount[company_name],$B804)*AB279)</f>
        <v>0</v>
      </c>
      <c r="AC804" s="652">
        <f>IF($B804="",,SUMIFS(PerHeadcount[Month 18],PerHeadcount[exp_item],$H804,PerHeadcount[company_name],$B804)*AC279)</f>
        <v>0</v>
      </c>
      <c r="AD804" s="652">
        <f>IF($B804="",,SUMIFS(PerHeadcount[Month 19],PerHeadcount[exp_item],$H804,PerHeadcount[company_name],$B804)*AD279)</f>
        <v>0</v>
      </c>
      <c r="AE804" s="652">
        <f>IF($B804="",,SUMIFS(PerHeadcount[Month 20],PerHeadcount[exp_item],$H804,PerHeadcount[company_name],$B804)*AE279)</f>
        <v>0</v>
      </c>
      <c r="AF804" s="652">
        <f>IF($B804="",,SUMIFS(PerHeadcount[Month 21],PerHeadcount[exp_item],$H804,PerHeadcount[company_name],$B804)*AF279)</f>
        <v>0</v>
      </c>
      <c r="AG804" s="652">
        <f>IF($B804="",,SUMIFS(PerHeadcount[Month 22],PerHeadcount[exp_item],$H804,PerHeadcount[company_name],$B804)*AG279)</f>
        <v>0</v>
      </c>
      <c r="AH804" s="652">
        <f>IF($B804="",,SUMIFS(PerHeadcount[Month 23],PerHeadcount[exp_item],$H804,PerHeadcount[company_name],$B804)*AH279)</f>
        <v>0</v>
      </c>
      <c r="AI804" s="652">
        <f>IF($B804="",,SUMIFS(PerHeadcount[Month 24],PerHeadcount[exp_item],$H804,PerHeadcount[company_name],$B804)*AI279)</f>
        <v>0</v>
      </c>
      <c r="AJ804" s="652">
        <f>IF($B804="",,SUMIFS(PerHeadcount[Month 25],PerHeadcount[exp_item],$H804,PerHeadcount[company_name],$B804)*AJ279)</f>
        <v>0</v>
      </c>
      <c r="AK804" s="652">
        <f>IF($B804="",,SUMIFS(PerHeadcount[Month 26],PerHeadcount[exp_item],$H804,PerHeadcount[company_name],$B804)*AK279)</f>
        <v>0</v>
      </c>
      <c r="AL804" s="652">
        <f>IF($B804="",,SUMIFS(PerHeadcount[Month 27],PerHeadcount[exp_item],$H804,PerHeadcount[company_name],$B804)*AL279)</f>
        <v>0</v>
      </c>
      <c r="AM804" s="652">
        <f>IF($B804="",,SUMIFS(PerHeadcount[Month 28],PerHeadcount[exp_item],$H804,PerHeadcount[company_name],$B804)*AM279)</f>
        <v>0</v>
      </c>
      <c r="AN804" s="652">
        <f>IF($B804="",,SUMIFS(PerHeadcount[Month 29],PerHeadcount[exp_item],$H804,PerHeadcount[company_name],$B804)*AN279)</f>
        <v>0</v>
      </c>
      <c r="AO804" s="652">
        <f>IF($B804="",,SUMIFS(PerHeadcount[Month 30],PerHeadcount[exp_item],$H804,PerHeadcount[company_name],$B804)*AO279)</f>
        <v>0</v>
      </c>
      <c r="AP804" s="652">
        <f>IF($B804="",,SUMIFS(PerHeadcount[Month 31],PerHeadcount[exp_item],$H804,PerHeadcount[company_name],$B804)*AP279)</f>
        <v>0</v>
      </c>
      <c r="AQ804" s="652">
        <f>IF($B804="",,SUMIFS(PerHeadcount[Month 32],PerHeadcount[exp_item],$H804,PerHeadcount[company_name],$B804)*AQ279)</f>
        <v>0</v>
      </c>
      <c r="AR804" s="652">
        <f>IF($B804="",,SUMIFS(PerHeadcount[Month 33],PerHeadcount[exp_item],$H804,PerHeadcount[company_name],$B804)*AR279)</f>
        <v>0</v>
      </c>
      <c r="AS804" s="652">
        <f>IF($B804="",,SUMIFS(PerHeadcount[Month 34],PerHeadcount[exp_item],$H804,PerHeadcount[company_name],$B804)*AS279)</f>
        <v>0</v>
      </c>
      <c r="AT804" s="652">
        <f>IF($B804="",,SUMIFS(PerHeadcount[Month 35],PerHeadcount[exp_item],$H804,PerHeadcount[company_name],$B804)*AT279)</f>
        <v>0</v>
      </c>
      <c r="AU804" s="652">
        <f>IF($B804="",,SUMIFS(PerHeadcount[Month 36],PerHeadcount[exp_item],$H804,PerHeadcount[company_name],$B804)*AU279)</f>
        <v>0</v>
      </c>
    </row>
    <row r="805" spans="1:52" x14ac:dyDescent="0.35">
      <c r="B805" t="str">
        <f t="shared" si="441"/>
        <v/>
      </c>
      <c r="C805" t="str">
        <f t="shared" si="441"/>
        <v/>
      </c>
      <c r="D805" t="str">
        <f t="shared" si="441"/>
        <v/>
      </c>
      <c r="E805" t="str">
        <f t="shared" si="441"/>
        <v/>
      </c>
      <c r="F805" t="str">
        <f t="shared" si="441"/>
        <v/>
      </c>
      <c r="G805" t="str">
        <f t="shared" si="441"/>
        <v/>
      </c>
      <c r="H805" t="str">
        <f t="shared" si="437"/>
        <v/>
      </c>
      <c r="J805" t="str">
        <f>IF($H805="","",IF(VLOOKUP(H805,ExpItems[],2,0),H805&amp;" - "&amp;INDEX(DivisionMapping[category_code],MATCH($D805&amp;$C805,DivisionMapping[dept_bu],0)),H805))</f>
        <v/>
      </c>
      <c r="K805" t="str">
        <f t="shared" si="438"/>
        <v/>
      </c>
      <c r="L805" s="652">
        <f>IF($B805="",,SUMIFS(PerHeadcount[Month 1],PerHeadcount[exp_item],$H805,PerHeadcount[company_name],$B805)*L280)</f>
        <v>0</v>
      </c>
      <c r="M805" s="652">
        <f>IF($B805="",,SUMIFS(PerHeadcount[Month 2],PerHeadcount[exp_item],$H805,PerHeadcount[company_name],$B805)*M280)</f>
        <v>0</v>
      </c>
      <c r="N805" s="652">
        <f>IF($B805="",,SUMIFS(PerHeadcount[Month 3],PerHeadcount[exp_item],$H805,PerHeadcount[company_name],$B805)*N280)</f>
        <v>0</v>
      </c>
      <c r="O805" s="652">
        <f>IF($B805="",,SUMIFS(PerHeadcount[Month 4],PerHeadcount[exp_item],$H805,PerHeadcount[company_name],$B805)*O280)</f>
        <v>0</v>
      </c>
      <c r="P805" s="652">
        <f>IF($B805="",,SUMIFS(PerHeadcount[Month 5],PerHeadcount[exp_item],$H805,PerHeadcount[company_name],$B805)*P280)</f>
        <v>0</v>
      </c>
      <c r="Q805" s="652">
        <f>IF($B805="",,SUMIFS(PerHeadcount[Month 6],PerHeadcount[exp_item],$H805,PerHeadcount[company_name],$B805)*Q280)</f>
        <v>0</v>
      </c>
      <c r="R805" s="652">
        <f>IF($B805="",,SUMIFS(PerHeadcount[Month 7],PerHeadcount[exp_item],$H805,PerHeadcount[company_name],$B805)*R280)</f>
        <v>0</v>
      </c>
      <c r="S805" s="652">
        <f>IF($B805="",,SUMIFS(PerHeadcount[Month 8],PerHeadcount[exp_item],$H805,PerHeadcount[company_name],$B805)*S280)</f>
        <v>0</v>
      </c>
      <c r="T805" s="652">
        <f>IF($B805="",,SUMIFS(PerHeadcount[Month 9],PerHeadcount[exp_item],$H805,PerHeadcount[company_name],$B805)*T280)</f>
        <v>0</v>
      </c>
      <c r="U805" s="652">
        <f>IF($B805="",,SUMIFS(PerHeadcount[Month 10],PerHeadcount[exp_item],$H805,PerHeadcount[company_name],$B805)*U280)</f>
        <v>0</v>
      </c>
      <c r="V805" s="652">
        <f>IF($B805="",,SUMIFS(PerHeadcount[Month 11],PerHeadcount[exp_item],$H805,PerHeadcount[company_name],$B805)*V280)</f>
        <v>0</v>
      </c>
      <c r="W805" s="652">
        <f>IF($B805="",,SUMIFS(PerHeadcount[Month 12],PerHeadcount[exp_item],$H805,PerHeadcount[company_name],$B805)*W280)</f>
        <v>0</v>
      </c>
      <c r="X805" s="652">
        <f>IF($B805="",,SUMIFS(PerHeadcount[Month 13],PerHeadcount[exp_item],$H805,PerHeadcount[company_name],$B805)*X280)</f>
        <v>0</v>
      </c>
      <c r="Y805" s="652">
        <f>IF($B805="",,SUMIFS(PerHeadcount[Month 14],PerHeadcount[exp_item],$H805,PerHeadcount[company_name],$B805)*Y280)</f>
        <v>0</v>
      </c>
      <c r="Z805" s="652">
        <f>IF($B805="",,SUMIFS(PerHeadcount[Month 15],PerHeadcount[exp_item],$H805,PerHeadcount[company_name],$B805)*Z280)</f>
        <v>0</v>
      </c>
      <c r="AA805" s="652">
        <f>IF($B805="",,SUMIFS(PerHeadcount[Month 16],PerHeadcount[exp_item],$H805,PerHeadcount[company_name],$B805)*AA280)</f>
        <v>0</v>
      </c>
      <c r="AB805" s="652">
        <f>IF($B805="",,SUMIFS(PerHeadcount[Month 17],PerHeadcount[exp_item],$H805,PerHeadcount[company_name],$B805)*AB280)</f>
        <v>0</v>
      </c>
      <c r="AC805" s="652">
        <f>IF($B805="",,SUMIFS(PerHeadcount[Month 18],PerHeadcount[exp_item],$H805,PerHeadcount[company_name],$B805)*AC280)</f>
        <v>0</v>
      </c>
      <c r="AD805" s="652">
        <f>IF($B805="",,SUMIFS(PerHeadcount[Month 19],PerHeadcount[exp_item],$H805,PerHeadcount[company_name],$B805)*AD280)</f>
        <v>0</v>
      </c>
      <c r="AE805" s="652">
        <f>IF($B805="",,SUMIFS(PerHeadcount[Month 20],PerHeadcount[exp_item],$H805,PerHeadcount[company_name],$B805)*AE280)</f>
        <v>0</v>
      </c>
      <c r="AF805" s="652">
        <f>IF($B805="",,SUMIFS(PerHeadcount[Month 21],PerHeadcount[exp_item],$H805,PerHeadcount[company_name],$B805)*AF280)</f>
        <v>0</v>
      </c>
      <c r="AG805" s="652">
        <f>IF($B805="",,SUMIFS(PerHeadcount[Month 22],PerHeadcount[exp_item],$H805,PerHeadcount[company_name],$B805)*AG280)</f>
        <v>0</v>
      </c>
      <c r="AH805" s="652">
        <f>IF($B805="",,SUMIFS(PerHeadcount[Month 23],PerHeadcount[exp_item],$H805,PerHeadcount[company_name],$B805)*AH280)</f>
        <v>0</v>
      </c>
      <c r="AI805" s="652">
        <f>IF($B805="",,SUMIFS(PerHeadcount[Month 24],PerHeadcount[exp_item],$H805,PerHeadcount[company_name],$B805)*AI280)</f>
        <v>0</v>
      </c>
      <c r="AJ805" s="652">
        <f>IF($B805="",,SUMIFS(PerHeadcount[Month 25],PerHeadcount[exp_item],$H805,PerHeadcount[company_name],$B805)*AJ280)</f>
        <v>0</v>
      </c>
      <c r="AK805" s="652">
        <f>IF($B805="",,SUMIFS(PerHeadcount[Month 26],PerHeadcount[exp_item],$H805,PerHeadcount[company_name],$B805)*AK280)</f>
        <v>0</v>
      </c>
      <c r="AL805" s="652">
        <f>IF($B805="",,SUMIFS(PerHeadcount[Month 27],PerHeadcount[exp_item],$H805,PerHeadcount[company_name],$B805)*AL280)</f>
        <v>0</v>
      </c>
      <c r="AM805" s="652">
        <f>IF($B805="",,SUMIFS(PerHeadcount[Month 28],PerHeadcount[exp_item],$H805,PerHeadcount[company_name],$B805)*AM280)</f>
        <v>0</v>
      </c>
      <c r="AN805" s="652">
        <f>IF($B805="",,SUMIFS(PerHeadcount[Month 29],PerHeadcount[exp_item],$H805,PerHeadcount[company_name],$B805)*AN280)</f>
        <v>0</v>
      </c>
      <c r="AO805" s="652">
        <f>IF($B805="",,SUMIFS(PerHeadcount[Month 30],PerHeadcount[exp_item],$H805,PerHeadcount[company_name],$B805)*AO280)</f>
        <v>0</v>
      </c>
      <c r="AP805" s="652">
        <f>IF($B805="",,SUMIFS(PerHeadcount[Month 31],PerHeadcount[exp_item],$H805,PerHeadcount[company_name],$B805)*AP280)</f>
        <v>0</v>
      </c>
      <c r="AQ805" s="652">
        <f>IF($B805="",,SUMIFS(PerHeadcount[Month 32],PerHeadcount[exp_item],$H805,PerHeadcount[company_name],$B805)*AQ280)</f>
        <v>0</v>
      </c>
      <c r="AR805" s="652">
        <f>IF($B805="",,SUMIFS(PerHeadcount[Month 33],PerHeadcount[exp_item],$H805,PerHeadcount[company_name],$B805)*AR280)</f>
        <v>0</v>
      </c>
      <c r="AS805" s="652">
        <f>IF($B805="",,SUMIFS(PerHeadcount[Month 34],PerHeadcount[exp_item],$H805,PerHeadcount[company_name],$B805)*AS280)</f>
        <v>0</v>
      </c>
      <c r="AT805" s="652">
        <f>IF($B805="",,SUMIFS(PerHeadcount[Month 35],PerHeadcount[exp_item],$H805,PerHeadcount[company_name],$B805)*AT280)</f>
        <v>0</v>
      </c>
      <c r="AU805" s="652">
        <f>IF($B805="",,SUMIFS(PerHeadcount[Month 36],PerHeadcount[exp_item],$H805,PerHeadcount[company_name],$B805)*AU280)</f>
        <v>0</v>
      </c>
    </row>
    <row r="806" spans="1:52" x14ac:dyDescent="0.35">
      <c r="B806" t="str">
        <f t="shared" si="441"/>
        <v/>
      </c>
      <c r="C806" t="str">
        <f t="shared" si="441"/>
        <v/>
      </c>
      <c r="D806" t="str">
        <f t="shared" si="441"/>
        <v/>
      </c>
      <c r="E806" t="str">
        <f t="shared" si="441"/>
        <v/>
      </c>
      <c r="F806" t="str">
        <f t="shared" si="441"/>
        <v/>
      </c>
      <c r="G806" t="str">
        <f t="shared" si="441"/>
        <v/>
      </c>
      <c r="H806" t="str">
        <f t="shared" si="437"/>
        <v/>
      </c>
      <c r="J806" t="str">
        <f>IF($H806="","",IF(VLOOKUP(H806,ExpItems[],2,0),H806&amp;" - "&amp;INDEX(DivisionMapping[category_code],MATCH($D806&amp;$C806,DivisionMapping[dept_bu],0)),H806))</f>
        <v/>
      </c>
      <c r="K806" t="str">
        <f t="shared" si="438"/>
        <v/>
      </c>
      <c r="L806" s="652">
        <f>IF($B806="",,SUMIFS(PerHeadcount[Month 1],PerHeadcount[exp_item],$H806,PerHeadcount[company_name],$B806)*L281)</f>
        <v>0</v>
      </c>
      <c r="M806" s="652">
        <f>IF($B806="",,SUMIFS(PerHeadcount[Month 2],PerHeadcount[exp_item],$H806,PerHeadcount[company_name],$B806)*M281)</f>
        <v>0</v>
      </c>
      <c r="N806" s="652">
        <f>IF($B806="",,SUMIFS(PerHeadcount[Month 3],PerHeadcount[exp_item],$H806,PerHeadcount[company_name],$B806)*N281)</f>
        <v>0</v>
      </c>
      <c r="O806" s="652">
        <f>IF($B806="",,SUMIFS(PerHeadcount[Month 4],PerHeadcount[exp_item],$H806,PerHeadcount[company_name],$B806)*O281)</f>
        <v>0</v>
      </c>
      <c r="P806" s="652">
        <f>IF($B806="",,SUMIFS(PerHeadcount[Month 5],PerHeadcount[exp_item],$H806,PerHeadcount[company_name],$B806)*P281)</f>
        <v>0</v>
      </c>
      <c r="Q806" s="652">
        <f>IF($B806="",,SUMIFS(PerHeadcount[Month 6],PerHeadcount[exp_item],$H806,PerHeadcount[company_name],$B806)*Q281)</f>
        <v>0</v>
      </c>
      <c r="R806" s="652">
        <f>IF($B806="",,SUMIFS(PerHeadcount[Month 7],PerHeadcount[exp_item],$H806,PerHeadcount[company_name],$B806)*R281)</f>
        <v>0</v>
      </c>
      <c r="S806" s="652">
        <f>IF($B806="",,SUMIFS(PerHeadcount[Month 8],PerHeadcount[exp_item],$H806,PerHeadcount[company_name],$B806)*S281)</f>
        <v>0</v>
      </c>
      <c r="T806" s="652">
        <f>IF($B806="",,SUMIFS(PerHeadcount[Month 9],PerHeadcount[exp_item],$H806,PerHeadcount[company_name],$B806)*T281)</f>
        <v>0</v>
      </c>
      <c r="U806" s="652">
        <f>IF($B806="",,SUMIFS(PerHeadcount[Month 10],PerHeadcount[exp_item],$H806,PerHeadcount[company_name],$B806)*U281)</f>
        <v>0</v>
      </c>
      <c r="V806" s="652">
        <f>IF($B806="",,SUMIFS(PerHeadcount[Month 11],PerHeadcount[exp_item],$H806,PerHeadcount[company_name],$B806)*V281)</f>
        <v>0</v>
      </c>
      <c r="W806" s="652">
        <f>IF($B806="",,SUMIFS(PerHeadcount[Month 12],PerHeadcount[exp_item],$H806,PerHeadcount[company_name],$B806)*W281)</f>
        <v>0</v>
      </c>
      <c r="X806" s="652">
        <f>IF($B806="",,SUMIFS(PerHeadcount[Month 13],PerHeadcount[exp_item],$H806,PerHeadcount[company_name],$B806)*X281)</f>
        <v>0</v>
      </c>
      <c r="Y806" s="652">
        <f>IF($B806="",,SUMIFS(PerHeadcount[Month 14],PerHeadcount[exp_item],$H806,PerHeadcount[company_name],$B806)*Y281)</f>
        <v>0</v>
      </c>
      <c r="Z806" s="652">
        <f>IF($B806="",,SUMIFS(PerHeadcount[Month 15],PerHeadcount[exp_item],$H806,PerHeadcount[company_name],$B806)*Z281)</f>
        <v>0</v>
      </c>
      <c r="AA806" s="652">
        <f>IF($B806="",,SUMIFS(PerHeadcount[Month 16],PerHeadcount[exp_item],$H806,PerHeadcount[company_name],$B806)*AA281)</f>
        <v>0</v>
      </c>
      <c r="AB806" s="652">
        <f>IF($B806="",,SUMIFS(PerHeadcount[Month 17],PerHeadcount[exp_item],$H806,PerHeadcount[company_name],$B806)*AB281)</f>
        <v>0</v>
      </c>
      <c r="AC806" s="652">
        <f>IF($B806="",,SUMIFS(PerHeadcount[Month 18],PerHeadcount[exp_item],$H806,PerHeadcount[company_name],$B806)*AC281)</f>
        <v>0</v>
      </c>
      <c r="AD806" s="652">
        <f>IF($B806="",,SUMIFS(PerHeadcount[Month 19],PerHeadcount[exp_item],$H806,PerHeadcount[company_name],$B806)*AD281)</f>
        <v>0</v>
      </c>
      <c r="AE806" s="652">
        <f>IF($B806="",,SUMIFS(PerHeadcount[Month 20],PerHeadcount[exp_item],$H806,PerHeadcount[company_name],$B806)*AE281)</f>
        <v>0</v>
      </c>
      <c r="AF806" s="652">
        <f>IF($B806="",,SUMIFS(PerHeadcount[Month 21],PerHeadcount[exp_item],$H806,PerHeadcount[company_name],$B806)*AF281)</f>
        <v>0</v>
      </c>
      <c r="AG806" s="652">
        <f>IF($B806="",,SUMIFS(PerHeadcount[Month 22],PerHeadcount[exp_item],$H806,PerHeadcount[company_name],$B806)*AG281)</f>
        <v>0</v>
      </c>
      <c r="AH806" s="652">
        <f>IF($B806="",,SUMIFS(PerHeadcount[Month 23],PerHeadcount[exp_item],$H806,PerHeadcount[company_name],$B806)*AH281)</f>
        <v>0</v>
      </c>
      <c r="AI806" s="652">
        <f>IF($B806="",,SUMIFS(PerHeadcount[Month 24],PerHeadcount[exp_item],$H806,PerHeadcount[company_name],$B806)*AI281)</f>
        <v>0</v>
      </c>
      <c r="AJ806" s="652">
        <f>IF($B806="",,SUMIFS(PerHeadcount[Month 25],PerHeadcount[exp_item],$H806,PerHeadcount[company_name],$B806)*AJ281)</f>
        <v>0</v>
      </c>
      <c r="AK806" s="652">
        <f>IF($B806="",,SUMIFS(PerHeadcount[Month 26],PerHeadcount[exp_item],$H806,PerHeadcount[company_name],$B806)*AK281)</f>
        <v>0</v>
      </c>
      <c r="AL806" s="652">
        <f>IF($B806="",,SUMIFS(PerHeadcount[Month 27],PerHeadcount[exp_item],$H806,PerHeadcount[company_name],$B806)*AL281)</f>
        <v>0</v>
      </c>
      <c r="AM806" s="652">
        <f>IF($B806="",,SUMIFS(PerHeadcount[Month 28],PerHeadcount[exp_item],$H806,PerHeadcount[company_name],$B806)*AM281)</f>
        <v>0</v>
      </c>
      <c r="AN806" s="652">
        <f>IF($B806="",,SUMIFS(PerHeadcount[Month 29],PerHeadcount[exp_item],$H806,PerHeadcount[company_name],$B806)*AN281)</f>
        <v>0</v>
      </c>
      <c r="AO806" s="652">
        <f>IF($B806="",,SUMIFS(PerHeadcount[Month 30],PerHeadcount[exp_item],$H806,PerHeadcount[company_name],$B806)*AO281)</f>
        <v>0</v>
      </c>
      <c r="AP806" s="652">
        <f>IF($B806="",,SUMIFS(PerHeadcount[Month 31],PerHeadcount[exp_item],$H806,PerHeadcount[company_name],$B806)*AP281)</f>
        <v>0</v>
      </c>
      <c r="AQ806" s="652">
        <f>IF($B806="",,SUMIFS(PerHeadcount[Month 32],PerHeadcount[exp_item],$H806,PerHeadcount[company_name],$B806)*AQ281)</f>
        <v>0</v>
      </c>
      <c r="AR806" s="652">
        <f>IF($B806="",,SUMIFS(PerHeadcount[Month 33],PerHeadcount[exp_item],$H806,PerHeadcount[company_name],$B806)*AR281)</f>
        <v>0</v>
      </c>
      <c r="AS806" s="652">
        <f>IF($B806="",,SUMIFS(PerHeadcount[Month 34],PerHeadcount[exp_item],$H806,PerHeadcount[company_name],$B806)*AS281)</f>
        <v>0</v>
      </c>
      <c r="AT806" s="652">
        <f>IF($B806="",,SUMIFS(PerHeadcount[Month 35],PerHeadcount[exp_item],$H806,PerHeadcount[company_name],$B806)*AT281)</f>
        <v>0</v>
      </c>
      <c r="AU806" s="652">
        <f>IF($B806="",,SUMIFS(PerHeadcount[Month 36],PerHeadcount[exp_item],$H806,PerHeadcount[company_name],$B806)*AU281)</f>
        <v>0</v>
      </c>
    </row>
    <row r="807" spans="1:52" x14ac:dyDescent="0.35">
      <c r="B807" t="str">
        <f t="shared" si="441"/>
        <v/>
      </c>
      <c r="C807" t="str">
        <f t="shared" si="441"/>
        <v/>
      </c>
      <c r="D807" t="str">
        <f t="shared" si="441"/>
        <v/>
      </c>
      <c r="E807" t="str">
        <f t="shared" si="441"/>
        <v/>
      </c>
      <c r="F807" t="str">
        <f t="shared" si="441"/>
        <v/>
      </c>
      <c r="G807" t="str">
        <f t="shared" si="441"/>
        <v/>
      </c>
      <c r="H807" t="str">
        <f t="shared" si="437"/>
        <v/>
      </c>
      <c r="J807" t="str">
        <f>IF($H807="","",IF(VLOOKUP(H807,ExpItems[],2,0),H807&amp;" - "&amp;INDEX(DivisionMapping[category_code],MATCH($D807&amp;$C807,DivisionMapping[dept_bu],0)),H807))</f>
        <v/>
      </c>
      <c r="K807" t="str">
        <f t="shared" si="438"/>
        <v/>
      </c>
      <c r="L807" s="652">
        <f>IF($B807="",,SUMIFS(PerHeadcount[Month 1],PerHeadcount[exp_item],$H807,PerHeadcount[company_name],$B807)*L282)</f>
        <v>0</v>
      </c>
      <c r="M807" s="652">
        <f>IF($B807="",,SUMIFS(PerHeadcount[Month 2],PerHeadcount[exp_item],$H807,PerHeadcount[company_name],$B807)*M282)</f>
        <v>0</v>
      </c>
      <c r="N807" s="652">
        <f>IF($B807="",,SUMIFS(PerHeadcount[Month 3],PerHeadcount[exp_item],$H807,PerHeadcount[company_name],$B807)*N282)</f>
        <v>0</v>
      </c>
      <c r="O807" s="652">
        <f>IF($B807="",,SUMIFS(PerHeadcount[Month 4],PerHeadcount[exp_item],$H807,PerHeadcount[company_name],$B807)*O282)</f>
        <v>0</v>
      </c>
      <c r="P807" s="652">
        <f>IF($B807="",,SUMIFS(PerHeadcount[Month 5],PerHeadcount[exp_item],$H807,PerHeadcount[company_name],$B807)*P282)</f>
        <v>0</v>
      </c>
      <c r="Q807" s="652">
        <f>IF($B807="",,SUMIFS(PerHeadcount[Month 6],PerHeadcount[exp_item],$H807,PerHeadcount[company_name],$B807)*Q282)</f>
        <v>0</v>
      </c>
      <c r="R807" s="652">
        <f>IF($B807="",,SUMIFS(PerHeadcount[Month 7],PerHeadcount[exp_item],$H807,PerHeadcount[company_name],$B807)*R282)</f>
        <v>0</v>
      </c>
      <c r="S807" s="652">
        <f>IF($B807="",,SUMIFS(PerHeadcount[Month 8],PerHeadcount[exp_item],$H807,PerHeadcount[company_name],$B807)*S282)</f>
        <v>0</v>
      </c>
      <c r="T807" s="652">
        <f>IF($B807="",,SUMIFS(PerHeadcount[Month 9],PerHeadcount[exp_item],$H807,PerHeadcount[company_name],$B807)*T282)</f>
        <v>0</v>
      </c>
      <c r="U807" s="652">
        <f>IF($B807="",,SUMIFS(PerHeadcount[Month 10],PerHeadcount[exp_item],$H807,PerHeadcount[company_name],$B807)*U282)</f>
        <v>0</v>
      </c>
      <c r="V807" s="652">
        <f>IF($B807="",,SUMIFS(PerHeadcount[Month 11],PerHeadcount[exp_item],$H807,PerHeadcount[company_name],$B807)*V282)</f>
        <v>0</v>
      </c>
      <c r="W807" s="652">
        <f>IF($B807="",,SUMIFS(PerHeadcount[Month 12],PerHeadcount[exp_item],$H807,PerHeadcount[company_name],$B807)*W282)</f>
        <v>0</v>
      </c>
      <c r="X807" s="652">
        <f>IF($B807="",,SUMIFS(PerHeadcount[Month 13],PerHeadcount[exp_item],$H807,PerHeadcount[company_name],$B807)*X282)</f>
        <v>0</v>
      </c>
      <c r="Y807" s="652">
        <f>IF($B807="",,SUMIFS(PerHeadcount[Month 14],PerHeadcount[exp_item],$H807,PerHeadcount[company_name],$B807)*Y282)</f>
        <v>0</v>
      </c>
      <c r="Z807" s="652">
        <f>IF($B807="",,SUMIFS(PerHeadcount[Month 15],PerHeadcount[exp_item],$H807,PerHeadcount[company_name],$B807)*Z282)</f>
        <v>0</v>
      </c>
      <c r="AA807" s="652">
        <f>IF($B807="",,SUMIFS(PerHeadcount[Month 16],PerHeadcount[exp_item],$H807,PerHeadcount[company_name],$B807)*AA282)</f>
        <v>0</v>
      </c>
      <c r="AB807" s="652">
        <f>IF($B807="",,SUMIFS(PerHeadcount[Month 17],PerHeadcount[exp_item],$H807,PerHeadcount[company_name],$B807)*AB282)</f>
        <v>0</v>
      </c>
      <c r="AC807" s="652">
        <f>IF($B807="",,SUMIFS(PerHeadcount[Month 18],PerHeadcount[exp_item],$H807,PerHeadcount[company_name],$B807)*AC282)</f>
        <v>0</v>
      </c>
      <c r="AD807" s="652">
        <f>IF($B807="",,SUMIFS(PerHeadcount[Month 19],PerHeadcount[exp_item],$H807,PerHeadcount[company_name],$B807)*AD282)</f>
        <v>0</v>
      </c>
      <c r="AE807" s="652">
        <f>IF($B807="",,SUMIFS(PerHeadcount[Month 20],PerHeadcount[exp_item],$H807,PerHeadcount[company_name],$B807)*AE282)</f>
        <v>0</v>
      </c>
      <c r="AF807" s="652">
        <f>IF($B807="",,SUMIFS(PerHeadcount[Month 21],PerHeadcount[exp_item],$H807,PerHeadcount[company_name],$B807)*AF282)</f>
        <v>0</v>
      </c>
      <c r="AG807" s="652">
        <f>IF($B807="",,SUMIFS(PerHeadcount[Month 22],PerHeadcount[exp_item],$H807,PerHeadcount[company_name],$B807)*AG282)</f>
        <v>0</v>
      </c>
      <c r="AH807" s="652">
        <f>IF($B807="",,SUMIFS(PerHeadcount[Month 23],PerHeadcount[exp_item],$H807,PerHeadcount[company_name],$B807)*AH282)</f>
        <v>0</v>
      </c>
      <c r="AI807" s="652">
        <f>IF($B807="",,SUMIFS(PerHeadcount[Month 24],PerHeadcount[exp_item],$H807,PerHeadcount[company_name],$B807)*AI282)</f>
        <v>0</v>
      </c>
      <c r="AJ807" s="652">
        <f>IF($B807="",,SUMIFS(PerHeadcount[Month 25],PerHeadcount[exp_item],$H807,PerHeadcount[company_name],$B807)*AJ282)</f>
        <v>0</v>
      </c>
      <c r="AK807" s="652">
        <f>IF($B807="",,SUMIFS(PerHeadcount[Month 26],PerHeadcount[exp_item],$H807,PerHeadcount[company_name],$B807)*AK282)</f>
        <v>0</v>
      </c>
      <c r="AL807" s="652">
        <f>IF($B807="",,SUMIFS(PerHeadcount[Month 27],PerHeadcount[exp_item],$H807,PerHeadcount[company_name],$B807)*AL282)</f>
        <v>0</v>
      </c>
      <c r="AM807" s="652">
        <f>IF($B807="",,SUMIFS(PerHeadcount[Month 28],PerHeadcount[exp_item],$H807,PerHeadcount[company_name],$B807)*AM282)</f>
        <v>0</v>
      </c>
      <c r="AN807" s="652">
        <f>IF($B807="",,SUMIFS(PerHeadcount[Month 29],PerHeadcount[exp_item],$H807,PerHeadcount[company_name],$B807)*AN282)</f>
        <v>0</v>
      </c>
      <c r="AO807" s="652">
        <f>IF($B807="",,SUMIFS(PerHeadcount[Month 30],PerHeadcount[exp_item],$H807,PerHeadcount[company_name],$B807)*AO282)</f>
        <v>0</v>
      </c>
      <c r="AP807" s="652">
        <f>IF($B807="",,SUMIFS(PerHeadcount[Month 31],PerHeadcount[exp_item],$H807,PerHeadcount[company_name],$B807)*AP282)</f>
        <v>0</v>
      </c>
      <c r="AQ807" s="652">
        <f>IF($B807="",,SUMIFS(PerHeadcount[Month 32],PerHeadcount[exp_item],$H807,PerHeadcount[company_name],$B807)*AQ282)</f>
        <v>0</v>
      </c>
      <c r="AR807" s="652">
        <f>IF($B807="",,SUMIFS(PerHeadcount[Month 33],PerHeadcount[exp_item],$H807,PerHeadcount[company_name],$B807)*AR282)</f>
        <v>0</v>
      </c>
      <c r="AS807" s="652">
        <f>IF($B807="",,SUMIFS(PerHeadcount[Month 34],PerHeadcount[exp_item],$H807,PerHeadcount[company_name],$B807)*AS282)</f>
        <v>0</v>
      </c>
      <c r="AT807" s="652">
        <f>IF($B807="",,SUMIFS(PerHeadcount[Month 35],PerHeadcount[exp_item],$H807,PerHeadcount[company_name],$B807)*AT282)</f>
        <v>0</v>
      </c>
      <c r="AU807" s="652">
        <f>IF($B807="",,SUMIFS(PerHeadcount[Month 36],PerHeadcount[exp_item],$H807,PerHeadcount[company_name],$B807)*AU282)</f>
        <v>0</v>
      </c>
    </row>
    <row r="808" spans="1:52" x14ac:dyDescent="0.35">
      <c r="B808" t="str">
        <f t="shared" si="441"/>
        <v/>
      </c>
      <c r="C808" t="str">
        <f t="shared" si="441"/>
        <v/>
      </c>
      <c r="D808" t="str">
        <f t="shared" si="441"/>
        <v/>
      </c>
      <c r="E808" t="str">
        <f t="shared" si="441"/>
        <v/>
      </c>
      <c r="F808" t="str">
        <f t="shared" si="441"/>
        <v/>
      </c>
      <c r="G808" t="str">
        <f t="shared" si="441"/>
        <v/>
      </c>
      <c r="H808" t="str">
        <f t="shared" si="437"/>
        <v/>
      </c>
      <c r="J808" t="str">
        <f>IF($H808="","",IF(VLOOKUP(H808,ExpItems[],2,0),H808&amp;" - "&amp;INDEX(DivisionMapping[category_code],MATCH($D808&amp;$C808,DivisionMapping[dept_bu],0)),H808))</f>
        <v/>
      </c>
      <c r="K808" t="str">
        <f t="shared" si="438"/>
        <v/>
      </c>
      <c r="L808" s="652">
        <f>IF($B808="",,SUMIFS(PerHeadcount[Month 1],PerHeadcount[exp_item],$H808,PerHeadcount[company_name],$B808)*L283)</f>
        <v>0</v>
      </c>
      <c r="M808" s="652">
        <f>IF($B808="",,SUMIFS(PerHeadcount[Month 2],PerHeadcount[exp_item],$H808,PerHeadcount[company_name],$B808)*M283)</f>
        <v>0</v>
      </c>
      <c r="N808" s="652">
        <f>IF($B808="",,SUMIFS(PerHeadcount[Month 3],PerHeadcount[exp_item],$H808,PerHeadcount[company_name],$B808)*N283)</f>
        <v>0</v>
      </c>
      <c r="O808" s="652">
        <f>IF($B808="",,SUMIFS(PerHeadcount[Month 4],PerHeadcount[exp_item],$H808,PerHeadcount[company_name],$B808)*O283)</f>
        <v>0</v>
      </c>
      <c r="P808" s="652">
        <f>IF($B808="",,SUMIFS(PerHeadcount[Month 5],PerHeadcount[exp_item],$H808,PerHeadcount[company_name],$B808)*P283)</f>
        <v>0</v>
      </c>
      <c r="Q808" s="652">
        <f>IF($B808="",,SUMIFS(PerHeadcount[Month 6],PerHeadcount[exp_item],$H808,PerHeadcount[company_name],$B808)*Q283)</f>
        <v>0</v>
      </c>
      <c r="R808" s="652">
        <f>IF($B808="",,SUMIFS(PerHeadcount[Month 7],PerHeadcount[exp_item],$H808,PerHeadcount[company_name],$B808)*R283)</f>
        <v>0</v>
      </c>
      <c r="S808" s="652">
        <f>IF($B808="",,SUMIFS(PerHeadcount[Month 8],PerHeadcount[exp_item],$H808,PerHeadcount[company_name],$B808)*S283)</f>
        <v>0</v>
      </c>
      <c r="T808" s="652">
        <f>IF($B808="",,SUMIFS(PerHeadcount[Month 9],PerHeadcount[exp_item],$H808,PerHeadcount[company_name],$B808)*T283)</f>
        <v>0</v>
      </c>
      <c r="U808" s="652">
        <f>IF($B808="",,SUMIFS(PerHeadcount[Month 10],PerHeadcount[exp_item],$H808,PerHeadcount[company_name],$B808)*U283)</f>
        <v>0</v>
      </c>
      <c r="V808" s="652">
        <f>IF($B808="",,SUMIFS(PerHeadcount[Month 11],PerHeadcount[exp_item],$H808,PerHeadcount[company_name],$B808)*V283)</f>
        <v>0</v>
      </c>
      <c r="W808" s="652">
        <f>IF($B808="",,SUMIFS(PerHeadcount[Month 12],PerHeadcount[exp_item],$H808,PerHeadcount[company_name],$B808)*W283)</f>
        <v>0</v>
      </c>
      <c r="X808" s="652">
        <f>IF($B808="",,SUMIFS(PerHeadcount[Month 13],PerHeadcount[exp_item],$H808,PerHeadcount[company_name],$B808)*X283)</f>
        <v>0</v>
      </c>
      <c r="Y808" s="652">
        <f>IF($B808="",,SUMIFS(PerHeadcount[Month 14],PerHeadcount[exp_item],$H808,PerHeadcount[company_name],$B808)*Y283)</f>
        <v>0</v>
      </c>
      <c r="Z808" s="652">
        <f>IF($B808="",,SUMIFS(PerHeadcount[Month 15],PerHeadcount[exp_item],$H808,PerHeadcount[company_name],$B808)*Z283)</f>
        <v>0</v>
      </c>
      <c r="AA808" s="652">
        <f>IF($B808="",,SUMIFS(PerHeadcount[Month 16],PerHeadcount[exp_item],$H808,PerHeadcount[company_name],$B808)*AA283)</f>
        <v>0</v>
      </c>
      <c r="AB808" s="652">
        <f>IF($B808="",,SUMIFS(PerHeadcount[Month 17],PerHeadcount[exp_item],$H808,PerHeadcount[company_name],$B808)*AB283)</f>
        <v>0</v>
      </c>
      <c r="AC808" s="652">
        <f>IF($B808="",,SUMIFS(PerHeadcount[Month 18],PerHeadcount[exp_item],$H808,PerHeadcount[company_name],$B808)*AC283)</f>
        <v>0</v>
      </c>
      <c r="AD808" s="652">
        <f>IF($B808="",,SUMIFS(PerHeadcount[Month 19],PerHeadcount[exp_item],$H808,PerHeadcount[company_name],$B808)*AD283)</f>
        <v>0</v>
      </c>
      <c r="AE808" s="652">
        <f>IF($B808="",,SUMIFS(PerHeadcount[Month 20],PerHeadcount[exp_item],$H808,PerHeadcount[company_name],$B808)*AE283)</f>
        <v>0</v>
      </c>
      <c r="AF808" s="652">
        <f>IF($B808="",,SUMIFS(PerHeadcount[Month 21],PerHeadcount[exp_item],$H808,PerHeadcount[company_name],$B808)*AF283)</f>
        <v>0</v>
      </c>
      <c r="AG808" s="652">
        <f>IF($B808="",,SUMIFS(PerHeadcount[Month 22],PerHeadcount[exp_item],$H808,PerHeadcount[company_name],$B808)*AG283)</f>
        <v>0</v>
      </c>
      <c r="AH808" s="652">
        <f>IF($B808="",,SUMIFS(PerHeadcount[Month 23],PerHeadcount[exp_item],$H808,PerHeadcount[company_name],$B808)*AH283)</f>
        <v>0</v>
      </c>
      <c r="AI808" s="652">
        <f>IF($B808="",,SUMIFS(PerHeadcount[Month 24],PerHeadcount[exp_item],$H808,PerHeadcount[company_name],$B808)*AI283)</f>
        <v>0</v>
      </c>
      <c r="AJ808" s="652">
        <f>IF($B808="",,SUMIFS(PerHeadcount[Month 25],PerHeadcount[exp_item],$H808,PerHeadcount[company_name],$B808)*AJ283)</f>
        <v>0</v>
      </c>
      <c r="AK808" s="652">
        <f>IF($B808="",,SUMIFS(PerHeadcount[Month 26],PerHeadcount[exp_item],$H808,PerHeadcount[company_name],$B808)*AK283)</f>
        <v>0</v>
      </c>
      <c r="AL808" s="652">
        <f>IF($B808="",,SUMIFS(PerHeadcount[Month 27],PerHeadcount[exp_item],$H808,PerHeadcount[company_name],$B808)*AL283)</f>
        <v>0</v>
      </c>
      <c r="AM808" s="652">
        <f>IF($B808="",,SUMIFS(PerHeadcount[Month 28],PerHeadcount[exp_item],$H808,PerHeadcount[company_name],$B808)*AM283)</f>
        <v>0</v>
      </c>
      <c r="AN808" s="652">
        <f>IF($B808="",,SUMIFS(PerHeadcount[Month 29],PerHeadcount[exp_item],$H808,PerHeadcount[company_name],$B808)*AN283)</f>
        <v>0</v>
      </c>
      <c r="AO808" s="652">
        <f>IF($B808="",,SUMIFS(PerHeadcount[Month 30],PerHeadcount[exp_item],$H808,PerHeadcount[company_name],$B808)*AO283)</f>
        <v>0</v>
      </c>
      <c r="AP808" s="652">
        <f>IF($B808="",,SUMIFS(PerHeadcount[Month 31],PerHeadcount[exp_item],$H808,PerHeadcount[company_name],$B808)*AP283)</f>
        <v>0</v>
      </c>
      <c r="AQ808" s="652">
        <f>IF($B808="",,SUMIFS(PerHeadcount[Month 32],PerHeadcount[exp_item],$H808,PerHeadcount[company_name],$B808)*AQ283)</f>
        <v>0</v>
      </c>
      <c r="AR808" s="652">
        <f>IF($B808="",,SUMIFS(PerHeadcount[Month 33],PerHeadcount[exp_item],$H808,PerHeadcount[company_name],$B808)*AR283)</f>
        <v>0</v>
      </c>
      <c r="AS808" s="652">
        <f>IF($B808="",,SUMIFS(PerHeadcount[Month 34],PerHeadcount[exp_item],$H808,PerHeadcount[company_name],$B808)*AS283)</f>
        <v>0</v>
      </c>
      <c r="AT808" s="652">
        <f>IF($B808="",,SUMIFS(PerHeadcount[Month 35],PerHeadcount[exp_item],$H808,PerHeadcount[company_name],$B808)*AT283)</f>
        <v>0</v>
      </c>
      <c r="AU808" s="652">
        <f>IF($B808="",,SUMIFS(PerHeadcount[Month 36],PerHeadcount[exp_item],$H808,PerHeadcount[company_name],$B808)*AU283)</f>
        <v>0</v>
      </c>
    </row>
    <row r="809" spans="1:52" x14ac:dyDescent="0.35">
      <c r="B809" t="str">
        <f t="shared" si="441"/>
        <v/>
      </c>
      <c r="C809" t="str">
        <f t="shared" si="441"/>
        <v/>
      </c>
      <c r="D809" t="str">
        <f t="shared" si="441"/>
        <v/>
      </c>
      <c r="E809" t="str">
        <f t="shared" si="441"/>
        <v/>
      </c>
      <c r="F809" t="str">
        <f t="shared" si="441"/>
        <v/>
      </c>
      <c r="G809" t="str">
        <f t="shared" si="441"/>
        <v/>
      </c>
      <c r="H809" t="str">
        <f t="shared" si="437"/>
        <v/>
      </c>
      <c r="J809" t="str">
        <f>IF($H809="","",IF(VLOOKUP(H809,ExpItems[],2,0),H809&amp;" - "&amp;INDEX(DivisionMapping[category_code],MATCH($D809&amp;$C809,DivisionMapping[dept_bu],0)),H809))</f>
        <v/>
      </c>
      <c r="K809" t="str">
        <f t="shared" si="438"/>
        <v/>
      </c>
      <c r="L809" s="652">
        <f>IF($B809="",,SUMIFS(PerHeadcount[Month 1],PerHeadcount[exp_item],$H809,PerHeadcount[company_name],$B809)*L284)</f>
        <v>0</v>
      </c>
      <c r="M809" s="652">
        <f>IF($B809="",,SUMIFS(PerHeadcount[Month 2],PerHeadcount[exp_item],$H809,PerHeadcount[company_name],$B809)*M284)</f>
        <v>0</v>
      </c>
      <c r="N809" s="652">
        <f>IF($B809="",,SUMIFS(PerHeadcount[Month 3],PerHeadcount[exp_item],$H809,PerHeadcount[company_name],$B809)*N284)</f>
        <v>0</v>
      </c>
      <c r="O809" s="652">
        <f>IF($B809="",,SUMIFS(PerHeadcount[Month 4],PerHeadcount[exp_item],$H809,PerHeadcount[company_name],$B809)*O284)</f>
        <v>0</v>
      </c>
      <c r="P809" s="652">
        <f>IF($B809="",,SUMIFS(PerHeadcount[Month 5],PerHeadcount[exp_item],$H809,PerHeadcount[company_name],$B809)*P284)</f>
        <v>0</v>
      </c>
      <c r="Q809" s="652">
        <f>IF($B809="",,SUMIFS(PerHeadcount[Month 6],PerHeadcount[exp_item],$H809,PerHeadcount[company_name],$B809)*Q284)</f>
        <v>0</v>
      </c>
      <c r="R809" s="652">
        <f>IF($B809="",,SUMIFS(PerHeadcount[Month 7],PerHeadcount[exp_item],$H809,PerHeadcount[company_name],$B809)*R284)</f>
        <v>0</v>
      </c>
      <c r="S809" s="652">
        <f>IF($B809="",,SUMIFS(PerHeadcount[Month 8],PerHeadcount[exp_item],$H809,PerHeadcount[company_name],$B809)*S284)</f>
        <v>0</v>
      </c>
      <c r="T809" s="652">
        <f>IF($B809="",,SUMIFS(PerHeadcount[Month 9],PerHeadcount[exp_item],$H809,PerHeadcount[company_name],$B809)*T284)</f>
        <v>0</v>
      </c>
      <c r="U809" s="652">
        <f>IF($B809="",,SUMIFS(PerHeadcount[Month 10],PerHeadcount[exp_item],$H809,PerHeadcount[company_name],$B809)*U284)</f>
        <v>0</v>
      </c>
      <c r="V809" s="652">
        <f>IF($B809="",,SUMIFS(PerHeadcount[Month 11],PerHeadcount[exp_item],$H809,PerHeadcount[company_name],$B809)*V284)</f>
        <v>0</v>
      </c>
      <c r="W809" s="652">
        <f>IF($B809="",,SUMIFS(PerHeadcount[Month 12],PerHeadcount[exp_item],$H809,PerHeadcount[company_name],$B809)*W284)</f>
        <v>0</v>
      </c>
      <c r="X809" s="652">
        <f>IF($B809="",,SUMIFS(PerHeadcount[Month 13],PerHeadcount[exp_item],$H809,PerHeadcount[company_name],$B809)*X284)</f>
        <v>0</v>
      </c>
      <c r="Y809" s="652">
        <f>IF($B809="",,SUMIFS(PerHeadcount[Month 14],PerHeadcount[exp_item],$H809,PerHeadcount[company_name],$B809)*Y284)</f>
        <v>0</v>
      </c>
      <c r="Z809" s="652">
        <f>IF($B809="",,SUMIFS(PerHeadcount[Month 15],PerHeadcount[exp_item],$H809,PerHeadcount[company_name],$B809)*Z284)</f>
        <v>0</v>
      </c>
      <c r="AA809" s="652">
        <f>IF($B809="",,SUMIFS(PerHeadcount[Month 16],PerHeadcount[exp_item],$H809,PerHeadcount[company_name],$B809)*AA284)</f>
        <v>0</v>
      </c>
      <c r="AB809" s="652">
        <f>IF($B809="",,SUMIFS(PerHeadcount[Month 17],PerHeadcount[exp_item],$H809,PerHeadcount[company_name],$B809)*AB284)</f>
        <v>0</v>
      </c>
      <c r="AC809" s="652">
        <f>IF($B809="",,SUMIFS(PerHeadcount[Month 18],PerHeadcount[exp_item],$H809,PerHeadcount[company_name],$B809)*AC284)</f>
        <v>0</v>
      </c>
      <c r="AD809" s="652">
        <f>IF($B809="",,SUMIFS(PerHeadcount[Month 19],PerHeadcount[exp_item],$H809,PerHeadcount[company_name],$B809)*AD284)</f>
        <v>0</v>
      </c>
      <c r="AE809" s="652">
        <f>IF($B809="",,SUMIFS(PerHeadcount[Month 20],PerHeadcount[exp_item],$H809,PerHeadcount[company_name],$B809)*AE284)</f>
        <v>0</v>
      </c>
      <c r="AF809" s="652">
        <f>IF($B809="",,SUMIFS(PerHeadcount[Month 21],PerHeadcount[exp_item],$H809,PerHeadcount[company_name],$B809)*AF284)</f>
        <v>0</v>
      </c>
      <c r="AG809" s="652">
        <f>IF($B809="",,SUMIFS(PerHeadcount[Month 22],PerHeadcount[exp_item],$H809,PerHeadcount[company_name],$B809)*AG284)</f>
        <v>0</v>
      </c>
      <c r="AH809" s="652">
        <f>IF($B809="",,SUMIFS(PerHeadcount[Month 23],PerHeadcount[exp_item],$H809,PerHeadcount[company_name],$B809)*AH284)</f>
        <v>0</v>
      </c>
      <c r="AI809" s="652">
        <f>IF($B809="",,SUMIFS(PerHeadcount[Month 24],PerHeadcount[exp_item],$H809,PerHeadcount[company_name],$B809)*AI284)</f>
        <v>0</v>
      </c>
      <c r="AJ809" s="652">
        <f>IF($B809="",,SUMIFS(PerHeadcount[Month 25],PerHeadcount[exp_item],$H809,PerHeadcount[company_name],$B809)*AJ284)</f>
        <v>0</v>
      </c>
      <c r="AK809" s="652">
        <f>IF($B809="",,SUMIFS(PerHeadcount[Month 26],PerHeadcount[exp_item],$H809,PerHeadcount[company_name],$B809)*AK284)</f>
        <v>0</v>
      </c>
      <c r="AL809" s="652">
        <f>IF($B809="",,SUMIFS(PerHeadcount[Month 27],PerHeadcount[exp_item],$H809,PerHeadcount[company_name],$B809)*AL284)</f>
        <v>0</v>
      </c>
      <c r="AM809" s="652">
        <f>IF($B809="",,SUMIFS(PerHeadcount[Month 28],PerHeadcount[exp_item],$H809,PerHeadcount[company_name],$B809)*AM284)</f>
        <v>0</v>
      </c>
      <c r="AN809" s="652">
        <f>IF($B809="",,SUMIFS(PerHeadcount[Month 29],PerHeadcount[exp_item],$H809,PerHeadcount[company_name],$B809)*AN284)</f>
        <v>0</v>
      </c>
      <c r="AO809" s="652">
        <f>IF($B809="",,SUMIFS(PerHeadcount[Month 30],PerHeadcount[exp_item],$H809,PerHeadcount[company_name],$B809)*AO284)</f>
        <v>0</v>
      </c>
      <c r="AP809" s="652">
        <f>IF($B809="",,SUMIFS(PerHeadcount[Month 31],PerHeadcount[exp_item],$H809,PerHeadcount[company_name],$B809)*AP284)</f>
        <v>0</v>
      </c>
      <c r="AQ809" s="652">
        <f>IF($B809="",,SUMIFS(PerHeadcount[Month 32],PerHeadcount[exp_item],$H809,PerHeadcount[company_name],$B809)*AQ284)</f>
        <v>0</v>
      </c>
      <c r="AR809" s="652">
        <f>IF($B809="",,SUMIFS(PerHeadcount[Month 33],PerHeadcount[exp_item],$H809,PerHeadcount[company_name],$B809)*AR284)</f>
        <v>0</v>
      </c>
      <c r="AS809" s="652">
        <f>IF($B809="",,SUMIFS(PerHeadcount[Month 34],PerHeadcount[exp_item],$H809,PerHeadcount[company_name],$B809)*AS284)</f>
        <v>0</v>
      </c>
      <c r="AT809" s="652">
        <f>IF($B809="",,SUMIFS(PerHeadcount[Month 35],PerHeadcount[exp_item],$H809,PerHeadcount[company_name],$B809)*AT284)</f>
        <v>0</v>
      </c>
      <c r="AU809" s="652">
        <f>IF($B809="",,SUMIFS(PerHeadcount[Month 36],PerHeadcount[exp_item],$H809,PerHeadcount[company_name],$B809)*AU284)</f>
        <v>0</v>
      </c>
    </row>
    <row r="810" spans="1:52" x14ac:dyDescent="0.35">
      <c r="B810" t="str">
        <f t="shared" si="441"/>
        <v/>
      </c>
      <c r="C810" t="str">
        <f t="shared" si="441"/>
        <v/>
      </c>
      <c r="D810" t="str">
        <f t="shared" si="441"/>
        <v/>
      </c>
      <c r="E810" t="str">
        <f t="shared" si="441"/>
        <v/>
      </c>
      <c r="F810" t="str">
        <f t="shared" si="441"/>
        <v/>
      </c>
      <c r="G810" t="str">
        <f t="shared" si="441"/>
        <v/>
      </c>
      <c r="H810" t="str">
        <f t="shared" si="437"/>
        <v/>
      </c>
      <c r="J810" t="str">
        <f>IF($H810="","",IF(VLOOKUP(H810,ExpItems[],2,0),H810&amp;" - "&amp;INDEX(DivisionMapping[category_code],MATCH($D810&amp;$C810,DivisionMapping[dept_bu],0)),H810))</f>
        <v/>
      </c>
      <c r="K810" t="str">
        <f t="shared" si="438"/>
        <v/>
      </c>
      <c r="L810" s="652">
        <f>IF($B810="",,SUMIFS(PerHeadcount[Month 1],PerHeadcount[exp_item],$H810,PerHeadcount[company_name],$B810)*L285)</f>
        <v>0</v>
      </c>
      <c r="M810" s="652">
        <f>IF($B810="",,SUMIFS(PerHeadcount[Month 2],PerHeadcount[exp_item],$H810,PerHeadcount[company_name],$B810)*M285)</f>
        <v>0</v>
      </c>
      <c r="N810" s="652">
        <f>IF($B810="",,SUMIFS(PerHeadcount[Month 3],PerHeadcount[exp_item],$H810,PerHeadcount[company_name],$B810)*N285)</f>
        <v>0</v>
      </c>
      <c r="O810" s="652">
        <f>IF($B810="",,SUMIFS(PerHeadcount[Month 4],PerHeadcount[exp_item],$H810,PerHeadcount[company_name],$B810)*O285)</f>
        <v>0</v>
      </c>
      <c r="P810" s="652">
        <f>IF($B810="",,SUMIFS(PerHeadcount[Month 5],PerHeadcount[exp_item],$H810,PerHeadcount[company_name],$B810)*P285)</f>
        <v>0</v>
      </c>
      <c r="Q810" s="652">
        <f>IF($B810="",,SUMIFS(PerHeadcount[Month 6],PerHeadcount[exp_item],$H810,PerHeadcount[company_name],$B810)*Q285)</f>
        <v>0</v>
      </c>
      <c r="R810" s="652">
        <f>IF($B810="",,SUMIFS(PerHeadcount[Month 7],PerHeadcount[exp_item],$H810,PerHeadcount[company_name],$B810)*R285)</f>
        <v>0</v>
      </c>
      <c r="S810" s="652">
        <f>IF($B810="",,SUMIFS(PerHeadcount[Month 8],PerHeadcount[exp_item],$H810,PerHeadcount[company_name],$B810)*S285)</f>
        <v>0</v>
      </c>
      <c r="T810" s="652">
        <f>IF($B810="",,SUMIFS(PerHeadcount[Month 9],PerHeadcount[exp_item],$H810,PerHeadcount[company_name],$B810)*T285)</f>
        <v>0</v>
      </c>
      <c r="U810" s="652">
        <f>IF($B810="",,SUMIFS(PerHeadcount[Month 10],PerHeadcount[exp_item],$H810,PerHeadcount[company_name],$B810)*U285)</f>
        <v>0</v>
      </c>
      <c r="V810" s="652">
        <f>IF($B810="",,SUMIFS(PerHeadcount[Month 11],PerHeadcount[exp_item],$H810,PerHeadcount[company_name],$B810)*V285)</f>
        <v>0</v>
      </c>
      <c r="W810" s="652">
        <f>IF($B810="",,SUMIFS(PerHeadcount[Month 12],PerHeadcount[exp_item],$H810,PerHeadcount[company_name],$B810)*W285)</f>
        <v>0</v>
      </c>
      <c r="X810" s="652">
        <f>IF($B810="",,SUMIFS(PerHeadcount[Month 13],PerHeadcount[exp_item],$H810,PerHeadcount[company_name],$B810)*X285)</f>
        <v>0</v>
      </c>
      <c r="Y810" s="652">
        <f>IF($B810="",,SUMIFS(PerHeadcount[Month 14],PerHeadcount[exp_item],$H810,PerHeadcount[company_name],$B810)*Y285)</f>
        <v>0</v>
      </c>
      <c r="Z810" s="652">
        <f>IF($B810="",,SUMIFS(PerHeadcount[Month 15],PerHeadcount[exp_item],$H810,PerHeadcount[company_name],$B810)*Z285)</f>
        <v>0</v>
      </c>
      <c r="AA810" s="652">
        <f>IF($B810="",,SUMIFS(PerHeadcount[Month 16],PerHeadcount[exp_item],$H810,PerHeadcount[company_name],$B810)*AA285)</f>
        <v>0</v>
      </c>
      <c r="AB810" s="652">
        <f>IF($B810="",,SUMIFS(PerHeadcount[Month 17],PerHeadcount[exp_item],$H810,PerHeadcount[company_name],$B810)*AB285)</f>
        <v>0</v>
      </c>
      <c r="AC810" s="652">
        <f>IF($B810="",,SUMIFS(PerHeadcount[Month 18],PerHeadcount[exp_item],$H810,PerHeadcount[company_name],$B810)*AC285)</f>
        <v>0</v>
      </c>
      <c r="AD810" s="652">
        <f>IF($B810="",,SUMIFS(PerHeadcount[Month 19],PerHeadcount[exp_item],$H810,PerHeadcount[company_name],$B810)*AD285)</f>
        <v>0</v>
      </c>
      <c r="AE810" s="652">
        <f>IF($B810="",,SUMIFS(PerHeadcount[Month 20],PerHeadcount[exp_item],$H810,PerHeadcount[company_name],$B810)*AE285)</f>
        <v>0</v>
      </c>
      <c r="AF810" s="652">
        <f>IF($B810="",,SUMIFS(PerHeadcount[Month 21],PerHeadcount[exp_item],$H810,PerHeadcount[company_name],$B810)*AF285)</f>
        <v>0</v>
      </c>
      <c r="AG810" s="652">
        <f>IF($B810="",,SUMIFS(PerHeadcount[Month 22],PerHeadcount[exp_item],$H810,PerHeadcount[company_name],$B810)*AG285)</f>
        <v>0</v>
      </c>
      <c r="AH810" s="652">
        <f>IF($B810="",,SUMIFS(PerHeadcount[Month 23],PerHeadcount[exp_item],$H810,PerHeadcount[company_name],$B810)*AH285)</f>
        <v>0</v>
      </c>
      <c r="AI810" s="652">
        <f>IF($B810="",,SUMIFS(PerHeadcount[Month 24],PerHeadcount[exp_item],$H810,PerHeadcount[company_name],$B810)*AI285)</f>
        <v>0</v>
      </c>
      <c r="AJ810" s="652">
        <f>IF($B810="",,SUMIFS(PerHeadcount[Month 25],PerHeadcount[exp_item],$H810,PerHeadcount[company_name],$B810)*AJ285)</f>
        <v>0</v>
      </c>
      <c r="AK810" s="652">
        <f>IF($B810="",,SUMIFS(PerHeadcount[Month 26],PerHeadcount[exp_item],$H810,PerHeadcount[company_name],$B810)*AK285)</f>
        <v>0</v>
      </c>
      <c r="AL810" s="652">
        <f>IF($B810="",,SUMIFS(PerHeadcount[Month 27],PerHeadcount[exp_item],$H810,PerHeadcount[company_name],$B810)*AL285)</f>
        <v>0</v>
      </c>
      <c r="AM810" s="652">
        <f>IF($B810="",,SUMIFS(PerHeadcount[Month 28],PerHeadcount[exp_item],$H810,PerHeadcount[company_name],$B810)*AM285)</f>
        <v>0</v>
      </c>
      <c r="AN810" s="652">
        <f>IF($B810="",,SUMIFS(PerHeadcount[Month 29],PerHeadcount[exp_item],$H810,PerHeadcount[company_name],$B810)*AN285)</f>
        <v>0</v>
      </c>
      <c r="AO810" s="652">
        <f>IF($B810="",,SUMIFS(PerHeadcount[Month 30],PerHeadcount[exp_item],$H810,PerHeadcount[company_name],$B810)*AO285)</f>
        <v>0</v>
      </c>
      <c r="AP810" s="652">
        <f>IF($B810="",,SUMIFS(PerHeadcount[Month 31],PerHeadcount[exp_item],$H810,PerHeadcount[company_name],$B810)*AP285)</f>
        <v>0</v>
      </c>
      <c r="AQ810" s="652">
        <f>IF($B810="",,SUMIFS(PerHeadcount[Month 32],PerHeadcount[exp_item],$H810,PerHeadcount[company_name],$B810)*AQ285)</f>
        <v>0</v>
      </c>
      <c r="AR810" s="652">
        <f>IF($B810="",,SUMIFS(PerHeadcount[Month 33],PerHeadcount[exp_item],$H810,PerHeadcount[company_name],$B810)*AR285)</f>
        <v>0</v>
      </c>
      <c r="AS810" s="652">
        <f>IF($B810="",,SUMIFS(PerHeadcount[Month 34],PerHeadcount[exp_item],$H810,PerHeadcount[company_name],$B810)*AS285)</f>
        <v>0</v>
      </c>
      <c r="AT810" s="652">
        <f>IF($B810="",,SUMIFS(PerHeadcount[Month 35],PerHeadcount[exp_item],$H810,PerHeadcount[company_name],$B810)*AT285)</f>
        <v>0</v>
      </c>
      <c r="AU810" s="652">
        <f>IF($B810="",,SUMIFS(PerHeadcount[Month 36],PerHeadcount[exp_item],$H810,PerHeadcount[company_name],$B810)*AU285)</f>
        <v>0</v>
      </c>
    </row>
    <row r="811" spans="1:52" x14ac:dyDescent="0.35">
      <c r="B811" t="str">
        <f t="shared" ref="B811:G811" si="442">IF(B706="","",B706)</f>
        <v/>
      </c>
      <c r="C811" t="str">
        <f t="shared" si="442"/>
        <v/>
      </c>
      <c r="D811" t="str">
        <f t="shared" si="442"/>
        <v/>
      </c>
      <c r="E811" t="str">
        <f t="shared" si="442"/>
        <v/>
      </c>
      <c r="F811" t="str">
        <f t="shared" si="442"/>
        <v/>
      </c>
      <c r="G811" t="str">
        <f t="shared" si="442"/>
        <v/>
      </c>
      <c r="H811" t="str">
        <f t="shared" si="437"/>
        <v/>
      </c>
      <c r="J811" t="str">
        <f>IF($H811="","",IF(VLOOKUP(H811,ExpItems[],2,0),H811&amp;" - "&amp;INDEX(DivisionMapping[category_code],MATCH($D811&amp;$C811,DivisionMapping[dept_bu],0)),H811))</f>
        <v/>
      </c>
      <c r="K811" t="str">
        <f t="shared" si="438"/>
        <v/>
      </c>
      <c r="L811" s="652">
        <f>IF($B811="",,SUMIFS(PerHeadcount[Month 1],PerHeadcount[exp_item],$H811,PerHeadcount[company_name],$B811)*L286)</f>
        <v>0</v>
      </c>
      <c r="M811" s="652">
        <f>IF($B811="",,SUMIFS(PerHeadcount[Month 2],PerHeadcount[exp_item],$H811,PerHeadcount[company_name],$B811)*M286)</f>
        <v>0</v>
      </c>
      <c r="N811" s="652">
        <f>IF($B811="",,SUMIFS(PerHeadcount[Month 3],PerHeadcount[exp_item],$H811,PerHeadcount[company_name],$B811)*N286)</f>
        <v>0</v>
      </c>
      <c r="O811" s="652">
        <f>IF($B811="",,SUMIFS(PerHeadcount[Month 4],PerHeadcount[exp_item],$H811,PerHeadcount[company_name],$B811)*O286)</f>
        <v>0</v>
      </c>
      <c r="P811" s="652">
        <f>IF($B811="",,SUMIFS(PerHeadcount[Month 5],PerHeadcount[exp_item],$H811,PerHeadcount[company_name],$B811)*P286)</f>
        <v>0</v>
      </c>
      <c r="Q811" s="652">
        <f>IF($B811="",,SUMIFS(PerHeadcount[Month 6],PerHeadcount[exp_item],$H811,PerHeadcount[company_name],$B811)*Q286)</f>
        <v>0</v>
      </c>
      <c r="R811" s="652">
        <f>IF($B811="",,SUMIFS(PerHeadcount[Month 7],PerHeadcount[exp_item],$H811,PerHeadcount[company_name],$B811)*R286)</f>
        <v>0</v>
      </c>
      <c r="S811" s="652">
        <f>IF($B811="",,SUMIFS(PerHeadcount[Month 8],PerHeadcount[exp_item],$H811,PerHeadcount[company_name],$B811)*S286)</f>
        <v>0</v>
      </c>
      <c r="T811" s="652">
        <f>IF($B811="",,SUMIFS(PerHeadcount[Month 9],PerHeadcount[exp_item],$H811,PerHeadcount[company_name],$B811)*T286)</f>
        <v>0</v>
      </c>
      <c r="U811" s="652">
        <f>IF($B811="",,SUMIFS(PerHeadcount[Month 10],PerHeadcount[exp_item],$H811,PerHeadcount[company_name],$B811)*U286)</f>
        <v>0</v>
      </c>
      <c r="V811" s="652">
        <f>IF($B811="",,SUMIFS(PerHeadcount[Month 11],PerHeadcount[exp_item],$H811,PerHeadcount[company_name],$B811)*V286)</f>
        <v>0</v>
      </c>
      <c r="W811" s="652">
        <f>IF($B811="",,SUMIFS(PerHeadcount[Month 12],PerHeadcount[exp_item],$H811,PerHeadcount[company_name],$B811)*W286)</f>
        <v>0</v>
      </c>
      <c r="X811" s="652">
        <f>IF($B811="",,SUMIFS(PerHeadcount[Month 13],PerHeadcount[exp_item],$H811,PerHeadcount[company_name],$B811)*X286)</f>
        <v>0</v>
      </c>
      <c r="Y811" s="652">
        <f>IF($B811="",,SUMIFS(PerHeadcount[Month 14],PerHeadcount[exp_item],$H811,PerHeadcount[company_name],$B811)*Y286)</f>
        <v>0</v>
      </c>
      <c r="Z811" s="652">
        <f>IF($B811="",,SUMIFS(PerHeadcount[Month 15],PerHeadcount[exp_item],$H811,PerHeadcount[company_name],$B811)*Z286)</f>
        <v>0</v>
      </c>
      <c r="AA811" s="652">
        <f>IF($B811="",,SUMIFS(PerHeadcount[Month 16],PerHeadcount[exp_item],$H811,PerHeadcount[company_name],$B811)*AA286)</f>
        <v>0</v>
      </c>
      <c r="AB811" s="652">
        <f>IF($B811="",,SUMIFS(PerHeadcount[Month 17],PerHeadcount[exp_item],$H811,PerHeadcount[company_name],$B811)*AB286)</f>
        <v>0</v>
      </c>
      <c r="AC811" s="652">
        <f>IF($B811="",,SUMIFS(PerHeadcount[Month 18],PerHeadcount[exp_item],$H811,PerHeadcount[company_name],$B811)*AC286)</f>
        <v>0</v>
      </c>
      <c r="AD811" s="652">
        <f>IF($B811="",,SUMIFS(PerHeadcount[Month 19],PerHeadcount[exp_item],$H811,PerHeadcount[company_name],$B811)*AD286)</f>
        <v>0</v>
      </c>
      <c r="AE811" s="652">
        <f>IF($B811="",,SUMIFS(PerHeadcount[Month 20],PerHeadcount[exp_item],$H811,PerHeadcount[company_name],$B811)*AE286)</f>
        <v>0</v>
      </c>
      <c r="AF811" s="652">
        <f>IF($B811="",,SUMIFS(PerHeadcount[Month 21],PerHeadcount[exp_item],$H811,PerHeadcount[company_name],$B811)*AF286)</f>
        <v>0</v>
      </c>
      <c r="AG811" s="652">
        <f>IF($B811="",,SUMIFS(PerHeadcount[Month 22],PerHeadcount[exp_item],$H811,PerHeadcount[company_name],$B811)*AG286)</f>
        <v>0</v>
      </c>
      <c r="AH811" s="652">
        <f>IF($B811="",,SUMIFS(PerHeadcount[Month 23],PerHeadcount[exp_item],$H811,PerHeadcount[company_name],$B811)*AH286)</f>
        <v>0</v>
      </c>
      <c r="AI811" s="652">
        <f>IF($B811="",,SUMIFS(PerHeadcount[Month 24],PerHeadcount[exp_item],$H811,PerHeadcount[company_name],$B811)*AI286)</f>
        <v>0</v>
      </c>
      <c r="AJ811" s="652">
        <f>IF($B811="",,SUMIFS(PerHeadcount[Month 25],PerHeadcount[exp_item],$H811,PerHeadcount[company_name],$B811)*AJ286)</f>
        <v>0</v>
      </c>
      <c r="AK811" s="652">
        <f>IF($B811="",,SUMIFS(PerHeadcount[Month 26],PerHeadcount[exp_item],$H811,PerHeadcount[company_name],$B811)*AK286)</f>
        <v>0</v>
      </c>
      <c r="AL811" s="652">
        <f>IF($B811="",,SUMIFS(PerHeadcount[Month 27],PerHeadcount[exp_item],$H811,PerHeadcount[company_name],$B811)*AL286)</f>
        <v>0</v>
      </c>
      <c r="AM811" s="652">
        <f>IF($B811="",,SUMIFS(PerHeadcount[Month 28],PerHeadcount[exp_item],$H811,PerHeadcount[company_name],$B811)*AM286)</f>
        <v>0</v>
      </c>
      <c r="AN811" s="652">
        <f>IF($B811="",,SUMIFS(PerHeadcount[Month 29],PerHeadcount[exp_item],$H811,PerHeadcount[company_name],$B811)*AN286)</f>
        <v>0</v>
      </c>
      <c r="AO811" s="652">
        <f>IF($B811="",,SUMIFS(PerHeadcount[Month 30],PerHeadcount[exp_item],$H811,PerHeadcount[company_name],$B811)*AO286)</f>
        <v>0</v>
      </c>
      <c r="AP811" s="652">
        <f>IF($B811="",,SUMIFS(PerHeadcount[Month 31],PerHeadcount[exp_item],$H811,PerHeadcount[company_name],$B811)*AP286)</f>
        <v>0</v>
      </c>
      <c r="AQ811" s="652">
        <f>IF($B811="",,SUMIFS(PerHeadcount[Month 32],PerHeadcount[exp_item],$H811,PerHeadcount[company_name],$B811)*AQ286)</f>
        <v>0</v>
      </c>
      <c r="AR811" s="652">
        <f>IF($B811="",,SUMIFS(PerHeadcount[Month 33],PerHeadcount[exp_item],$H811,PerHeadcount[company_name],$B811)*AR286)</f>
        <v>0</v>
      </c>
      <c r="AS811" s="652">
        <f>IF($B811="",,SUMIFS(PerHeadcount[Month 34],PerHeadcount[exp_item],$H811,PerHeadcount[company_name],$B811)*AS286)</f>
        <v>0</v>
      </c>
      <c r="AT811" s="652">
        <f>IF($B811="",,SUMIFS(PerHeadcount[Month 35],PerHeadcount[exp_item],$H811,PerHeadcount[company_name],$B811)*AT286)</f>
        <v>0</v>
      </c>
      <c r="AU811" s="652">
        <f>IF($B811="",,SUMIFS(PerHeadcount[Month 36],PerHeadcount[exp_item],$H811,PerHeadcount[company_name],$B811)*AU286)</f>
        <v>0</v>
      </c>
    </row>
    <row r="813" spans="1:52" x14ac:dyDescent="0.35">
      <c r="A813" s="285" t="s">
        <v>1157</v>
      </c>
      <c r="B813" s="285" t="s">
        <v>1157</v>
      </c>
      <c r="C813" s="285" t="s">
        <v>1157</v>
      </c>
      <c r="D813" s="285" t="s">
        <v>1157</v>
      </c>
      <c r="E813" s="285" t="s">
        <v>1157</v>
      </c>
      <c r="F813" s="285" t="s">
        <v>1157</v>
      </c>
      <c r="G813" s="285" t="s">
        <v>1157</v>
      </c>
      <c r="H813" s="285" t="s">
        <v>1157</v>
      </c>
      <c r="I813" s="285" t="s">
        <v>1157</v>
      </c>
      <c r="J813" s="285" t="s">
        <v>1157</v>
      </c>
      <c r="K813" s="285" t="s">
        <v>1157</v>
      </c>
      <c r="L813" s="285" t="s">
        <v>1157</v>
      </c>
      <c r="M813" s="285" t="s">
        <v>1157</v>
      </c>
      <c r="N813" s="285" t="s">
        <v>1157</v>
      </c>
      <c r="O813" s="285" t="s">
        <v>1157</v>
      </c>
      <c r="P813" s="285" t="s">
        <v>1157</v>
      </c>
      <c r="Q813" s="285" t="s">
        <v>1157</v>
      </c>
      <c r="R813" s="285" t="s">
        <v>1157</v>
      </c>
      <c r="S813" s="285" t="s">
        <v>1157</v>
      </c>
      <c r="T813" s="285" t="s">
        <v>1157</v>
      </c>
      <c r="U813" s="285" t="s">
        <v>1157</v>
      </c>
      <c r="V813" s="285" t="s">
        <v>1157</v>
      </c>
      <c r="W813" s="285" t="s">
        <v>1157</v>
      </c>
      <c r="X813" s="285" t="s">
        <v>1157</v>
      </c>
      <c r="Y813" s="285" t="s">
        <v>1157</v>
      </c>
      <c r="Z813" s="285" t="s">
        <v>1157</v>
      </c>
      <c r="AA813" s="285" t="s">
        <v>1157</v>
      </c>
      <c r="AB813" s="285" t="s">
        <v>1157</v>
      </c>
      <c r="AC813" s="285" t="s">
        <v>1157</v>
      </c>
      <c r="AD813" s="285" t="s">
        <v>1157</v>
      </c>
      <c r="AE813" s="285" t="s">
        <v>1157</v>
      </c>
      <c r="AF813" s="285" t="s">
        <v>1157</v>
      </c>
      <c r="AG813" s="285" t="s">
        <v>1157</v>
      </c>
      <c r="AH813" s="285" t="s">
        <v>1157</v>
      </c>
      <c r="AI813" s="285" t="s">
        <v>1157</v>
      </c>
      <c r="AJ813" s="285" t="s">
        <v>1157</v>
      </c>
      <c r="AK813" s="285" t="s">
        <v>1157</v>
      </c>
      <c r="AL813" s="285" t="s">
        <v>1157</v>
      </c>
      <c r="AM813" s="285" t="s">
        <v>1157</v>
      </c>
      <c r="AN813" s="285" t="s">
        <v>1157</v>
      </c>
      <c r="AO813" s="285" t="s">
        <v>1157</v>
      </c>
      <c r="AP813" s="285" t="s">
        <v>1157</v>
      </c>
      <c r="AQ813" s="285" t="s">
        <v>1157</v>
      </c>
      <c r="AR813" s="285" t="s">
        <v>1157</v>
      </c>
      <c r="AS813" s="285" t="s">
        <v>1157</v>
      </c>
      <c r="AT813" s="285" t="s">
        <v>1157</v>
      </c>
      <c r="AU813" s="285" t="s">
        <v>1157</v>
      </c>
      <c r="AV813" s="285" t="s">
        <v>1157</v>
      </c>
      <c r="AW813" s="285" t="s">
        <v>1157</v>
      </c>
      <c r="AX813" s="285" t="s">
        <v>1157</v>
      </c>
      <c r="AY813" s="285" t="s">
        <v>1157</v>
      </c>
      <c r="AZ813" s="285" t="s">
        <v>1157</v>
      </c>
    </row>
    <row r="815" spans="1:52" ht="23.5" x14ac:dyDescent="0.55000000000000004">
      <c r="B815" s="252" t="s">
        <v>32</v>
      </c>
    </row>
    <row r="816" spans="1:52" x14ac:dyDescent="0.35">
      <c r="B816" t="str">
        <f t="shared" ref="B816:G816" si="443">IF(B711="","",B711)</f>
        <v/>
      </c>
      <c r="C816" t="str">
        <f t="shared" si="443"/>
        <v/>
      </c>
      <c r="D816" t="str">
        <f t="shared" si="443"/>
        <v/>
      </c>
      <c r="E816" t="str">
        <f t="shared" si="443"/>
        <v/>
      </c>
      <c r="F816" t="str">
        <f t="shared" si="443"/>
        <v/>
      </c>
      <c r="G816" t="str">
        <f t="shared" si="443"/>
        <v/>
      </c>
      <c r="H816" t="str">
        <f t="shared" ref="H816:H847" si="444">IF(B816="","",$B$815)</f>
        <v/>
      </c>
      <c r="J816" t="str">
        <f>IF($H816="","",IF(VLOOKUP(H816,ExpItems[],2,0),H816&amp;" - "&amp;INDEX(DivisionMapping[category_code],MATCH($D816&amp;$C816,DivisionMapping[dept_bu],0)),H816))</f>
        <v/>
      </c>
      <c r="K816" t="str">
        <f>K711</f>
        <v/>
      </c>
      <c r="L816" s="652">
        <f>IF($B816="",,SUMIFS(PerBase[Month 1],PerBase[exp_item],$H816,PerBase[company_name],$B816)*L396)</f>
        <v>0</v>
      </c>
      <c r="M816" s="652">
        <f>IF($B816="",,SUMIFS(PerBase[Month 2],PerBase[exp_item],$H816,PerBase[company_name],$B816)*M396)</f>
        <v>0</v>
      </c>
      <c r="N816" s="652">
        <f>IF($B816="",,SUMIFS(PerBase[Month 3],PerBase[exp_item],$H816,PerBase[company_name],$B816)*N396)</f>
        <v>0</v>
      </c>
      <c r="O816" s="652">
        <f>IF($B816="",,SUMIFS(PerBase[Month 4],PerBase[exp_item],$H816,PerBase[company_name],$B816)*O396)</f>
        <v>0</v>
      </c>
      <c r="P816" s="652">
        <f>IF($B816="",,SUMIFS(PerBase[Month 5],PerBase[exp_item],$H816,PerBase[company_name],$B816)*P396)</f>
        <v>0</v>
      </c>
      <c r="Q816" s="652">
        <f>IF($B816="",,SUMIFS(PerBase[Month 6],PerBase[exp_item],$H816,PerBase[company_name],$B816)*Q396)</f>
        <v>0</v>
      </c>
      <c r="R816" s="652">
        <f>IF($B816="",,SUMIFS(PerBase[Month 7],PerBase[exp_item],$H816,PerBase[company_name],$B816)*R396)</f>
        <v>0</v>
      </c>
      <c r="S816" s="652">
        <f>IF($B816="",,SUMIFS(PerBase[Month 8],PerBase[exp_item],$H816,PerBase[company_name],$B816)*S396)</f>
        <v>0</v>
      </c>
      <c r="T816" s="652">
        <f>IF($B816="",,SUMIFS(PerBase[Month 9],PerBase[exp_item],$H816,PerBase[company_name],$B816)*T396)</f>
        <v>0</v>
      </c>
      <c r="U816" s="652">
        <f>IF($B816="",,SUMIFS(PerBase[Month 10],PerBase[exp_item],$H816,PerBase[company_name],$B816)*U396)</f>
        <v>0</v>
      </c>
      <c r="V816" s="652">
        <f>IF($B816="",,SUMIFS(PerBase[Month 11],PerBase[exp_item],$H816,PerBase[company_name],$B816)*V396)</f>
        <v>0</v>
      </c>
      <c r="W816" s="652">
        <f>IF($B816="",,SUMIFS(PerBase[Month 12],PerBase[exp_item],$H816,PerBase[company_name],$B816)*W396)</f>
        <v>0</v>
      </c>
      <c r="X816" s="652">
        <f>IF($B816="",,SUMIFS(PerBase[Month 13],PerBase[exp_item],$H816,PerBase[company_name],$B816)*X396)</f>
        <v>0</v>
      </c>
      <c r="Y816" s="652">
        <f>IF($B816="",,SUMIFS(PerBase[Month 14],PerBase[exp_item],$H816,PerBase[company_name],$B816)*Y396)</f>
        <v>0</v>
      </c>
      <c r="Z816" s="652">
        <f>IF($B816="",,SUMIFS(PerBase[Month 15],PerBase[exp_item],$H816,PerBase[company_name],$B816)*Z396)</f>
        <v>0</v>
      </c>
      <c r="AA816" s="652">
        <f>IF($B816="",,SUMIFS(PerBase[Month 16],PerBase[exp_item],$H816,PerBase[company_name],$B816)*AA396)</f>
        <v>0</v>
      </c>
      <c r="AB816" s="652">
        <f>IF($B816="",,SUMIFS(PerBase[Month 17],PerBase[exp_item],$H816,PerBase[company_name],$B816)*AB396)</f>
        <v>0</v>
      </c>
      <c r="AC816" s="652">
        <f>IF($B816="",,SUMIFS(PerBase[Month 18],PerBase[exp_item],$H816,PerBase[company_name],$B816)*AC396)</f>
        <v>0</v>
      </c>
      <c r="AD816" s="652">
        <f>IF($B816="",,SUMIFS(PerBase[Month 19],PerBase[exp_item],$H816,PerBase[company_name],$B816)*AD396)</f>
        <v>0</v>
      </c>
      <c r="AE816" s="652">
        <f>IF($B816="",,SUMIFS(PerBase[Month 20],PerBase[exp_item],$H816,PerBase[company_name],$B816)*AE396)</f>
        <v>0</v>
      </c>
      <c r="AF816" s="652">
        <f>IF($B816="",,SUMIFS(PerBase[Month 21],PerBase[exp_item],$H816,PerBase[company_name],$B816)*AF396)</f>
        <v>0</v>
      </c>
      <c r="AG816" s="652">
        <f>IF($B816="",,SUMIFS(PerBase[Month 22],PerBase[exp_item],$H816,PerBase[company_name],$B816)*AG396)</f>
        <v>0</v>
      </c>
      <c r="AH816" s="652">
        <f>IF($B816="",,SUMIFS(PerBase[Month 23],PerBase[exp_item],$H816,PerBase[company_name],$B816)*AH396)</f>
        <v>0</v>
      </c>
      <c r="AI816" s="652">
        <f>IF($B816="",,SUMIFS(PerBase[Month 24],PerBase[exp_item],$H816,PerBase[company_name],$B816)*AI396)</f>
        <v>0</v>
      </c>
      <c r="AJ816" s="652">
        <f>IF($B816="",,SUMIFS(PerBase[Month 25],PerBase[exp_item],$H816,PerBase[company_name],$B816)*AJ396)</f>
        <v>0</v>
      </c>
      <c r="AK816" s="652">
        <f>IF($B816="",,SUMIFS(PerBase[Month 26],PerBase[exp_item],$H816,PerBase[company_name],$B816)*AK396)</f>
        <v>0</v>
      </c>
      <c r="AL816" s="652">
        <f>IF($B816="",,SUMIFS(PerBase[Month 27],PerBase[exp_item],$H816,PerBase[company_name],$B816)*AL396)</f>
        <v>0</v>
      </c>
      <c r="AM816" s="652">
        <f>IF($B816="",,SUMIFS(PerBase[Month 28],PerBase[exp_item],$H816,PerBase[company_name],$B816)*AM396)</f>
        <v>0</v>
      </c>
      <c r="AN816" s="652">
        <f>IF($B816="",,SUMIFS(PerBase[Month 29],PerBase[exp_item],$H816,PerBase[company_name],$B816)*AN396)</f>
        <v>0</v>
      </c>
      <c r="AO816" s="652">
        <f>IF($B816="",,SUMIFS(PerBase[Month 30],PerBase[exp_item],$H816,PerBase[company_name],$B816)*AO396)</f>
        <v>0</v>
      </c>
      <c r="AP816" s="652">
        <f>IF($B816="",,SUMIFS(PerBase[Month 31],PerBase[exp_item],$H816,PerBase[company_name],$B816)*AP396)</f>
        <v>0</v>
      </c>
      <c r="AQ816" s="652">
        <f>IF($B816="",,SUMIFS(PerBase[Month 32],PerBase[exp_item],$H816,PerBase[company_name],$B816)*AQ396)</f>
        <v>0</v>
      </c>
      <c r="AR816" s="652">
        <f>IF($B816="",,SUMIFS(PerBase[Month 33],PerBase[exp_item],$H816,PerBase[company_name],$B816)*AR396)</f>
        <v>0</v>
      </c>
      <c r="AS816" s="652">
        <f>IF($B816="",,SUMIFS(PerBase[Month 34],PerBase[exp_item],$H816,PerBase[company_name],$B816)*AS396)</f>
        <v>0</v>
      </c>
      <c r="AT816" s="652">
        <f>IF($B816="",,SUMIFS(PerBase[Month 35],PerBase[exp_item],$H816,PerBase[company_name],$B816)*AT396)</f>
        <v>0</v>
      </c>
      <c r="AU816" s="652">
        <f>IF($B816="",,SUMIFS(PerBase[Month 36],PerBase[exp_item],$H816,PerBase[company_name],$B816)*AU396)</f>
        <v>0</v>
      </c>
    </row>
    <row r="817" spans="2:47" x14ac:dyDescent="0.35">
      <c r="B817" t="str">
        <f t="shared" ref="B817:B848" si="445">IF(B712="","",B712)</f>
        <v/>
      </c>
      <c r="C817" t="str">
        <f t="shared" ref="C817:G817" si="446">IF(C712="","",C712)</f>
        <v/>
      </c>
      <c r="D817" t="str">
        <f t="shared" si="446"/>
        <v/>
      </c>
      <c r="E817" t="str">
        <f t="shared" si="446"/>
        <v/>
      </c>
      <c r="F817" t="str">
        <f t="shared" si="446"/>
        <v/>
      </c>
      <c r="G817" t="str">
        <f t="shared" si="446"/>
        <v/>
      </c>
      <c r="H817" t="str">
        <f t="shared" si="444"/>
        <v/>
      </c>
      <c r="J817" t="str">
        <f>IF($H817="","",IF(VLOOKUP(H817,ExpItems[],2,0),H817&amp;" - "&amp;INDEX(DivisionMapping[category_code],MATCH($D817&amp;$C817,DivisionMapping[dept_bu],0)),H817))</f>
        <v/>
      </c>
      <c r="K817" t="str">
        <f t="shared" ref="K817:K880" si="447">K712</f>
        <v/>
      </c>
      <c r="L817" s="652">
        <f>IF($B817="",,SUMIFS(PerBase[Month 1],PerBase[exp_item],$H817,PerBase[company_name],$B817)*L397)</f>
        <v>0</v>
      </c>
      <c r="M817" s="652">
        <f>IF($B817="",,SUMIFS(PerBase[Month 2],PerBase[exp_item],$H817,PerBase[company_name],$B817)*M397)</f>
        <v>0</v>
      </c>
      <c r="N817" s="652">
        <f>IF($B817="",,SUMIFS(PerBase[Month 3],PerBase[exp_item],$H817,PerBase[company_name],$B817)*N397)</f>
        <v>0</v>
      </c>
      <c r="O817" s="652">
        <f>IF($B817="",,SUMIFS(PerBase[Month 4],PerBase[exp_item],$H817,PerBase[company_name],$B817)*O397)</f>
        <v>0</v>
      </c>
      <c r="P817" s="652">
        <f>IF($B817="",,SUMIFS(PerBase[Month 5],PerBase[exp_item],$H817,PerBase[company_name],$B817)*P397)</f>
        <v>0</v>
      </c>
      <c r="Q817" s="652">
        <f>IF($B817="",,SUMIFS(PerBase[Month 6],PerBase[exp_item],$H817,PerBase[company_name],$B817)*Q397)</f>
        <v>0</v>
      </c>
      <c r="R817" s="652">
        <f>IF($B817="",,SUMIFS(PerBase[Month 7],PerBase[exp_item],$H817,PerBase[company_name],$B817)*R397)</f>
        <v>0</v>
      </c>
      <c r="S817" s="652">
        <f>IF($B817="",,SUMIFS(PerBase[Month 8],PerBase[exp_item],$H817,PerBase[company_name],$B817)*S397)</f>
        <v>0</v>
      </c>
      <c r="T817" s="652">
        <f>IF($B817="",,SUMIFS(PerBase[Month 9],PerBase[exp_item],$H817,PerBase[company_name],$B817)*T397)</f>
        <v>0</v>
      </c>
      <c r="U817" s="652">
        <f>IF($B817="",,SUMIFS(PerBase[Month 10],PerBase[exp_item],$H817,PerBase[company_name],$B817)*U397)</f>
        <v>0</v>
      </c>
      <c r="V817" s="652">
        <f>IF($B817="",,SUMIFS(PerBase[Month 11],PerBase[exp_item],$H817,PerBase[company_name],$B817)*V397)</f>
        <v>0</v>
      </c>
      <c r="W817" s="652">
        <f>IF($B817="",,SUMIFS(PerBase[Month 12],PerBase[exp_item],$H817,PerBase[company_name],$B817)*W397)</f>
        <v>0</v>
      </c>
      <c r="X817" s="652">
        <f>IF($B817="",,SUMIFS(PerBase[Month 13],PerBase[exp_item],$H817,PerBase[company_name],$B817)*X397)</f>
        <v>0</v>
      </c>
      <c r="Y817" s="652">
        <f>IF($B817="",,SUMIFS(PerBase[Month 14],PerBase[exp_item],$H817,PerBase[company_name],$B817)*Y397)</f>
        <v>0</v>
      </c>
      <c r="Z817" s="652">
        <f>IF($B817="",,SUMIFS(PerBase[Month 15],PerBase[exp_item],$H817,PerBase[company_name],$B817)*Z397)</f>
        <v>0</v>
      </c>
      <c r="AA817" s="652">
        <f>IF($B817="",,SUMIFS(PerBase[Month 16],PerBase[exp_item],$H817,PerBase[company_name],$B817)*AA397)</f>
        <v>0</v>
      </c>
      <c r="AB817" s="652">
        <f>IF($B817="",,SUMIFS(PerBase[Month 17],PerBase[exp_item],$H817,PerBase[company_name],$B817)*AB397)</f>
        <v>0</v>
      </c>
      <c r="AC817" s="652">
        <f>IF($B817="",,SUMIFS(PerBase[Month 18],PerBase[exp_item],$H817,PerBase[company_name],$B817)*AC397)</f>
        <v>0</v>
      </c>
      <c r="AD817" s="652">
        <f>IF($B817="",,SUMIFS(PerBase[Month 19],PerBase[exp_item],$H817,PerBase[company_name],$B817)*AD397)</f>
        <v>0</v>
      </c>
      <c r="AE817" s="652">
        <f>IF($B817="",,SUMIFS(PerBase[Month 20],PerBase[exp_item],$H817,PerBase[company_name],$B817)*AE397)</f>
        <v>0</v>
      </c>
      <c r="AF817" s="652">
        <f>IF($B817="",,SUMIFS(PerBase[Month 21],PerBase[exp_item],$H817,PerBase[company_name],$B817)*AF397)</f>
        <v>0</v>
      </c>
      <c r="AG817" s="652">
        <f>IF($B817="",,SUMIFS(PerBase[Month 22],PerBase[exp_item],$H817,PerBase[company_name],$B817)*AG397)</f>
        <v>0</v>
      </c>
      <c r="AH817" s="652">
        <f>IF($B817="",,SUMIFS(PerBase[Month 23],PerBase[exp_item],$H817,PerBase[company_name],$B817)*AH397)</f>
        <v>0</v>
      </c>
      <c r="AI817" s="652">
        <f>IF($B817="",,SUMIFS(PerBase[Month 24],PerBase[exp_item],$H817,PerBase[company_name],$B817)*AI397)</f>
        <v>0</v>
      </c>
      <c r="AJ817" s="652">
        <f>IF($B817="",,SUMIFS(PerBase[Month 25],PerBase[exp_item],$H817,PerBase[company_name],$B817)*AJ397)</f>
        <v>0</v>
      </c>
      <c r="AK817" s="652">
        <f>IF($B817="",,SUMIFS(PerBase[Month 26],PerBase[exp_item],$H817,PerBase[company_name],$B817)*AK397)</f>
        <v>0</v>
      </c>
      <c r="AL817" s="652">
        <f>IF($B817="",,SUMIFS(PerBase[Month 27],PerBase[exp_item],$H817,PerBase[company_name],$B817)*AL397)</f>
        <v>0</v>
      </c>
      <c r="AM817" s="652">
        <f>IF($B817="",,SUMIFS(PerBase[Month 28],PerBase[exp_item],$H817,PerBase[company_name],$B817)*AM397)</f>
        <v>0</v>
      </c>
      <c r="AN817" s="652">
        <f>IF($B817="",,SUMIFS(PerBase[Month 29],PerBase[exp_item],$H817,PerBase[company_name],$B817)*AN397)</f>
        <v>0</v>
      </c>
      <c r="AO817" s="652">
        <f>IF($B817="",,SUMIFS(PerBase[Month 30],PerBase[exp_item],$H817,PerBase[company_name],$B817)*AO397)</f>
        <v>0</v>
      </c>
      <c r="AP817" s="652">
        <f>IF($B817="",,SUMIFS(PerBase[Month 31],PerBase[exp_item],$H817,PerBase[company_name],$B817)*AP397)</f>
        <v>0</v>
      </c>
      <c r="AQ817" s="652">
        <f>IF($B817="",,SUMIFS(PerBase[Month 32],PerBase[exp_item],$H817,PerBase[company_name],$B817)*AQ397)</f>
        <v>0</v>
      </c>
      <c r="AR817" s="652">
        <f>IF($B817="",,SUMIFS(PerBase[Month 33],PerBase[exp_item],$H817,PerBase[company_name],$B817)*AR397)</f>
        <v>0</v>
      </c>
      <c r="AS817" s="652">
        <f>IF($B817="",,SUMIFS(PerBase[Month 34],PerBase[exp_item],$H817,PerBase[company_name],$B817)*AS397)</f>
        <v>0</v>
      </c>
      <c r="AT817" s="652">
        <f>IF($B817="",,SUMIFS(PerBase[Month 35],PerBase[exp_item],$H817,PerBase[company_name],$B817)*AT397)</f>
        <v>0</v>
      </c>
      <c r="AU817" s="652">
        <f>IF($B817="",,SUMIFS(PerBase[Month 36],PerBase[exp_item],$H817,PerBase[company_name],$B817)*AU397)</f>
        <v>0</v>
      </c>
    </row>
    <row r="818" spans="2:47" x14ac:dyDescent="0.35">
      <c r="B818" t="str">
        <f t="shared" si="445"/>
        <v/>
      </c>
      <c r="C818" t="str">
        <f t="shared" ref="C818:G818" si="448">IF(C713="","",C713)</f>
        <v/>
      </c>
      <c r="D818" t="str">
        <f t="shared" si="448"/>
        <v/>
      </c>
      <c r="E818" t="str">
        <f t="shared" si="448"/>
        <v/>
      </c>
      <c r="F818" t="str">
        <f t="shared" si="448"/>
        <v/>
      </c>
      <c r="G818" t="str">
        <f t="shared" si="448"/>
        <v/>
      </c>
      <c r="H818" t="str">
        <f t="shared" si="444"/>
        <v/>
      </c>
      <c r="J818" t="str">
        <f>IF($H818="","",IF(VLOOKUP(H818,ExpItems[],2,0),H818&amp;" - "&amp;INDEX(DivisionMapping[category_code],MATCH($D818&amp;$C818,DivisionMapping[dept_bu],0)),H818))</f>
        <v/>
      </c>
      <c r="K818" t="str">
        <f t="shared" si="447"/>
        <v/>
      </c>
      <c r="L818" s="652">
        <f>IF($B818="",,SUMIFS(PerBase[Month 1],PerBase[exp_item],$H818,PerBase[company_name],$B818)*L398)</f>
        <v>0</v>
      </c>
      <c r="M818" s="652">
        <f>IF($B818="",,SUMIFS(PerBase[Month 2],PerBase[exp_item],$H818,PerBase[company_name],$B818)*M398)</f>
        <v>0</v>
      </c>
      <c r="N818" s="652">
        <f>IF($B818="",,SUMIFS(PerBase[Month 3],PerBase[exp_item],$H818,PerBase[company_name],$B818)*N398)</f>
        <v>0</v>
      </c>
      <c r="O818" s="652">
        <f>IF($B818="",,SUMIFS(PerBase[Month 4],PerBase[exp_item],$H818,PerBase[company_name],$B818)*O398)</f>
        <v>0</v>
      </c>
      <c r="P818" s="652">
        <f>IF($B818="",,SUMIFS(PerBase[Month 5],PerBase[exp_item],$H818,PerBase[company_name],$B818)*P398)</f>
        <v>0</v>
      </c>
      <c r="Q818" s="652">
        <f>IF($B818="",,SUMIFS(PerBase[Month 6],PerBase[exp_item],$H818,PerBase[company_name],$B818)*Q398)</f>
        <v>0</v>
      </c>
      <c r="R818" s="652">
        <f>IF($B818="",,SUMIFS(PerBase[Month 7],PerBase[exp_item],$H818,PerBase[company_name],$B818)*R398)</f>
        <v>0</v>
      </c>
      <c r="S818" s="652">
        <f>IF($B818="",,SUMIFS(PerBase[Month 8],PerBase[exp_item],$H818,PerBase[company_name],$B818)*S398)</f>
        <v>0</v>
      </c>
      <c r="T818" s="652">
        <f>IF($B818="",,SUMIFS(PerBase[Month 9],PerBase[exp_item],$H818,PerBase[company_name],$B818)*T398)</f>
        <v>0</v>
      </c>
      <c r="U818" s="652">
        <f>IF($B818="",,SUMIFS(PerBase[Month 10],PerBase[exp_item],$H818,PerBase[company_name],$B818)*U398)</f>
        <v>0</v>
      </c>
      <c r="V818" s="652">
        <f>IF($B818="",,SUMIFS(PerBase[Month 11],PerBase[exp_item],$H818,PerBase[company_name],$B818)*V398)</f>
        <v>0</v>
      </c>
      <c r="W818" s="652">
        <f>IF($B818="",,SUMIFS(PerBase[Month 12],PerBase[exp_item],$H818,PerBase[company_name],$B818)*W398)</f>
        <v>0</v>
      </c>
      <c r="X818" s="652">
        <f>IF($B818="",,SUMIFS(PerBase[Month 13],PerBase[exp_item],$H818,PerBase[company_name],$B818)*X398)</f>
        <v>0</v>
      </c>
      <c r="Y818" s="652">
        <f>IF($B818="",,SUMIFS(PerBase[Month 14],PerBase[exp_item],$H818,PerBase[company_name],$B818)*Y398)</f>
        <v>0</v>
      </c>
      <c r="Z818" s="652">
        <f>IF($B818="",,SUMIFS(PerBase[Month 15],PerBase[exp_item],$H818,PerBase[company_name],$B818)*Z398)</f>
        <v>0</v>
      </c>
      <c r="AA818" s="652">
        <f>IF($B818="",,SUMIFS(PerBase[Month 16],PerBase[exp_item],$H818,PerBase[company_name],$B818)*AA398)</f>
        <v>0</v>
      </c>
      <c r="AB818" s="652">
        <f>IF($B818="",,SUMIFS(PerBase[Month 17],PerBase[exp_item],$H818,PerBase[company_name],$B818)*AB398)</f>
        <v>0</v>
      </c>
      <c r="AC818" s="652">
        <f>IF($B818="",,SUMIFS(PerBase[Month 18],PerBase[exp_item],$H818,PerBase[company_name],$B818)*AC398)</f>
        <v>0</v>
      </c>
      <c r="AD818" s="652">
        <f>IF($B818="",,SUMIFS(PerBase[Month 19],PerBase[exp_item],$H818,PerBase[company_name],$B818)*AD398)</f>
        <v>0</v>
      </c>
      <c r="AE818" s="652">
        <f>IF($B818="",,SUMIFS(PerBase[Month 20],PerBase[exp_item],$H818,PerBase[company_name],$B818)*AE398)</f>
        <v>0</v>
      </c>
      <c r="AF818" s="652">
        <f>IF($B818="",,SUMIFS(PerBase[Month 21],PerBase[exp_item],$H818,PerBase[company_name],$B818)*AF398)</f>
        <v>0</v>
      </c>
      <c r="AG818" s="652">
        <f>IF($B818="",,SUMIFS(PerBase[Month 22],PerBase[exp_item],$H818,PerBase[company_name],$B818)*AG398)</f>
        <v>0</v>
      </c>
      <c r="AH818" s="652">
        <f>IF($B818="",,SUMIFS(PerBase[Month 23],PerBase[exp_item],$H818,PerBase[company_name],$B818)*AH398)</f>
        <v>0</v>
      </c>
      <c r="AI818" s="652">
        <f>IF($B818="",,SUMIFS(PerBase[Month 24],PerBase[exp_item],$H818,PerBase[company_name],$B818)*AI398)</f>
        <v>0</v>
      </c>
      <c r="AJ818" s="652">
        <f>IF($B818="",,SUMIFS(PerBase[Month 25],PerBase[exp_item],$H818,PerBase[company_name],$B818)*AJ398)</f>
        <v>0</v>
      </c>
      <c r="AK818" s="652">
        <f>IF($B818="",,SUMIFS(PerBase[Month 26],PerBase[exp_item],$H818,PerBase[company_name],$B818)*AK398)</f>
        <v>0</v>
      </c>
      <c r="AL818" s="652">
        <f>IF($B818="",,SUMIFS(PerBase[Month 27],PerBase[exp_item],$H818,PerBase[company_name],$B818)*AL398)</f>
        <v>0</v>
      </c>
      <c r="AM818" s="652">
        <f>IF($B818="",,SUMIFS(PerBase[Month 28],PerBase[exp_item],$H818,PerBase[company_name],$B818)*AM398)</f>
        <v>0</v>
      </c>
      <c r="AN818" s="652">
        <f>IF($B818="",,SUMIFS(PerBase[Month 29],PerBase[exp_item],$H818,PerBase[company_name],$B818)*AN398)</f>
        <v>0</v>
      </c>
      <c r="AO818" s="652">
        <f>IF($B818="",,SUMIFS(PerBase[Month 30],PerBase[exp_item],$H818,PerBase[company_name],$B818)*AO398)</f>
        <v>0</v>
      </c>
      <c r="AP818" s="652">
        <f>IF($B818="",,SUMIFS(PerBase[Month 31],PerBase[exp_item],$H818,PerBase[company_name],$B818)*AP398)</f>
        <v>0</v>
      </c>
      <c r="AQ818" s="652">
        <f>IF($B818="",,SUMIFS(PerBase[Month 32],PerBase[exp_item],$H818,PerBase[company_name],$B818)*AQ398)</f>
        <v>0</v>
      </c>
      <c r="AR818" s="652">
        <f>IF($B818="",,SUMIFS(PerBase[Month 33],PerBase[exp_item],$H818,PerBase[company_name],$B818)*AR398)</f>
        <v>0</v>
      </c>
      <c r="AS818" s="652">
        <f>IF($B818="",,SUMIFS(PerBase[Month 34],PerBase[exp_item],$H818,PerBase[company_name],$B818)*AS398)</f>
        <v>0</v>
      </c>
      <c r="AT818" s="652">
        <f>IF($B818="",,SUMIFS(PerBase[Month 35],PerBase[exp_item],$H818,PerBase[company_name],$B818)*AT398)</f>
        <v>0</v>
      </c>
      <c r="AU818" s="652">
        <f>IF($B818="",,SUMIFS(PerBase[Month 36],PerBase[exp_item],$H818,PerBase[company_name],$B818)*AU398)</f>
        <v>0</v>
      </c>
    </row>
    <row r="819" spans="2:47" x14ac:dyDescent="0.35">
      <c r="B819" t="str">
        <f t="shared" si="445"/>
        <v/>
      </c>
      <c r="C819" t="str">
        <f t="shared" ref="C819:G819" si="449">IF(C714="","",C714)</f>
        <v/>
      </c>
      <c r="D819" t="str">
        <f t="shared" si="449"/>
        <v/>
      </c>
      <c r="E819" t="str">
        <f t="shared" si="449"/>
        <v/>
      </c>
      <c r="F819" t="str">
        <f t="shared" si="449"/>
        <v/>
      </c>
      <c r="G819" t="str">
        <f t="shared" si="449"/>
        <v/>
      </c>
      <c r="H819" t="str">
        <f t="shared" si="444"/>
        <v/>
      </c>
      <c r="J819" t="str">
        <f>IF($H819="","",IF(VLOOKUP(H819,ExpItems[],2,0),H819&amp;" - "&amp;INDEX(DivisionMapping[category_code],MATCH($D819&amp;$C819,DivisionMapping[dept_bu],0)),H819))</f>
        <v/>
      </c>
      <c r="K819" t="str">
        <f t="shared" si="447"/>
        <v/>
      </c>
      <c r="L819" s="652">
        <f>IF($B819="",,SUMIFS(PerBase[Month 1],PerBase[exp_item],$H819,PerBase[company_name],$B819)*L399)</f>
        <v>0</v>
      </c>
      <c r="M819" s="652">
        <f>IF($B819="",,SUMIFS(PerBase[Month 2],PerBase[exp_item],$H819,PerBase[company_name],$B819)*M399)</f>
        <v>0</v>
      </c>
      <c r="N819" s="652">
        <f>IF($B819="",,SUMIFS(PerBase[Month 3],PerBase[exp_item],$H819,PerBase[company_name],$B819)*N399)</f>
        <v>0</v>
      </c>
      <c r="O819" s="652">
        <f>IF($B819="",,SUMIFS(PerBase[Month 4],PerBase[exp_item],$H819,PerBase[company_name],$B819)*O399)</f>
        <v>0</v>
      </c>
      <c r="P819" s="652">
        <f>IF($B819="",,SUMIFS(PerBase[Month 5],PerBase[exp_item],$H819,PerBase[company_name],$B819)*P399)</f>
        <v>0</v>
      </c>
      <c r="Q819" s="652">
        <f>IF($B819="",,SUMIFS(PerBase[Month 6],PerBase[exp_item],$H819,PerBase[company_name],$B819)*Q399)</f>
        <v>0</v>
      </c>
      <c r="R819" s="652">
        <f>IF($B819="",,SUMIFS(PerBase[Month 7],PerBase[exp_item],$H819,PerBase[company_name],$B819)*R399)</f>
        <v>0</v>
      </c>
      <c r="S819" s="652">
        <f>IF($B819="",,SUMIFS(PerBase[Month 8],PerBase[exp_item],$H819,PerBase[company_name],$B819)*S399)</f>
        <v>0</v>
      </c>
      <c r="T819" s="652">
        <f>IF($B819="",,SUMIFS(PerBase[Month 9],PerBase[exp_item],$H819,PerBase[company_name],$B819)*T399)</f>
        <v>0</v>
      </c>
      <c r="U819" s="652">
        <f>IF($B819="",,SUMIFS(PerBase[Month 10],PerBase[exp_item],$H819,PerBase[company_name],$B819)*U399)</f>
        <v>0</v>
      </c>
      <c r="V819" s="652">
        <f>IF($B819="",,SUMIFS(PerBase[Month 11],PerBase[exp_item],$H819,PerBase[company_name],$B819)*V399)</f>
        <v>0</v>
      </c>
      <c r="W819" s="652">
        <f>IF($B819="",,SUMIFS(PerBase[Month 12],PerBase[exp_item],$H819,PerBase[company_name],$B819)*W399)</f>
        <v>0</v>
      </c>
      <c r="X819" s="652">
        <f>IF($B819="",,SUMIFS(PerBase[Month 13],PerBase[exp_item],$H819,PerBase[company_name],$B819)*X399)</f>
        <v>0</v>
      </c>
      <c r="Y819" s="652">
        <f>IF($B819="",,SUMIFS(PerBase[Month 14],PerBase[exp_item],$H819,PerBase[company_name],$B819)*Y399)</f>
        <v>0</v>
      </c>
      <c r="Z819" s="652">
        <f>IF($B819="",,SUMIFS(PerBase[Month 15],PerBase[exp_item],$H819,PerBase[company_name],$B819)*Z399)</f>
        <v>0</v>
      </c>
      <c r="AA819" s="652">
        <f>IF($B819="",,SUMIFS(PerBase[Month 16],PerBase[exp_item],$H819,PerBase[company_name],$B819)*AA399)</f>
        <v>0</v>
      </c>
      <c r="AB819" s="652">
        <f>IF($B819="",,SUMIFS(PerBase[Month 17],PerBase[exp_item],$H819,PerBase[company_name],$B819)*AB399)</f>
        <v>0</v>
      </c>
      <c r="AC819" s="652">
        <f>IF($B819="",,SUMIFS(PerBase[Month 18],PerBase[exp_item],$H819,PerBase[company_name],$B819)*AC399)</f>
        <v>0</v>
      </c>
      <c r="AD819" s="652">
        <f>IF($B819="",,SUMIFS(PerBase[Month 19],PerBase[exp_item],$H819,PerBase[company_name],$B819)*AD399)</f>
        <v>0</v>
      </c>
      <c r="AE819" s="652">
        <f>IF($B819="",,SUMIFS(PerBase[Month 20],PerBase[exp_item],$H819,PerBase[company_name],$B819)*AE399)</f>
        <v>0</v>
      </c>
      <c r="AF819" s="652">
        <f>IF($B819="",,SUMIFS(PerBase[Month 21],PerBase[exp_item],$H819,PerBase[company_name],$B819)*AF399)</f>
        <v>0</v>
      </c>
      <c r="AG819" s="652">
        <f>IF($B819="",,SUMIFS(PerBase[Month 22],PerBase[exp_item],$H819,PerBase[company_name],$B819)*AG399)</f>
        <v>0</v>
      </c>
      <c r="AH819" s="652">
        <f>IF($B819="",,SUMIFS(PerBase[Month 23],PerBase[exp_item],$H819,PerBase[company_name],$B819)*AH399)</f>
        <v>0</v>
      </c>
      <c r="AI819" s="652">
        <f>IF($B819="",,SUMIFS(PerBase[Month 24],PerBase[exp_item],$H819,PerBase[company_name],$B819)*AI399)</f>
        <v>0</v>
      </c>
      <c r="AJ819" s="652">
        <f>IF($B819="",,SUMIFS(PerBase[Month 25],PerBase[exp_item],$H819,PerBase[company_name],$B819)*AJ399)</f>
        <v>0</v>
      </c>
      <c r="AK819" s="652">
        <f>IF($B819="",,SUMIFS(PerBase[Month 26],PerBase[exp_item],$H819,PerBase[company_name],$B819)*AK399)</f>
        <v>0</v>
      </c>
      <c r="AL819" s="652">
        <f>IF($B819="",,SUMIFS(PerBase[Month 27],PerBase[exp_item],$H819,PerBase[company_name],$B819)*AL399)</f>
        <v>0</v>
      </c>
      <c r="AM819" s="652">
        <f>IF($B819="",,SUMIFS(PerBase[Month 28],PerBase[exp_item],$H819,PerBase[company_name],$B819)*AM399)</f>
        <v>0</v>
      </c>
      <c r="AN819" s="652">
        <f>IF($B819="",,SUMIFS(PerBase[Month 29],PerBase[exp_item],$H819,PerBase[company_name],$B819)*AN399)</f>
        <v>0</v>
      </c>
      <c r="AO819" s="652">
        <f>IF($B819="",,SUMIFS(PerBase[Month 30],PerBase[exp_item],$H819,PerBase[company_name],$B819)*AO399)</f>
        <v>0</v>
      </c>
      <c r="AP819" s="652">
        <f>IF($B819="",,SUMIFS(PerBase[Month 31],PerBase[exp_item],$H819,PerBase[company_name],$B819)*AP399)</f>
        <v>0</v>
      </c>
      <c r="AQ819" s="652">
        <f>IF($B819="",,SUMIFS(PerBase[Month 32],PerBase[exp_item],$H819,PerBase[company_name],$B819)*AQ399)</f>
        <v>0</v>
      </c>
      <c r="AR819" s="652">
        <f>IF($B819="",,SUMIFS(PerBase[Month 33],PerBase[exp_item],$H819,PerBase[company_name],$B819)*AR399)</f>
        <v>0</v>
      </c>
      <c r="AS819" s="652">
        <f>IF($B819="",,SUMIFS(PerBase[Month 34],PerBase[exp_item],$H819,PerBase[company_name],$B819)*AS399)</f>
        <v>0</v>
      </c>
      <c r="AT819" s="652">
        <f>IF($B819="",,SUMIFS(PerBase[Month 35],PerBase[exp_item],$H819,PerBase[company_name],$B819)*AT399)</f>
        <v>0</v>
      </c>
      <c r="AU819" s="652">
        <f>IF($B819="",,SUMIFS(PerBase[Month 36],PerBase[exp_item],$H819,PerBase[company_name],$B819)*AU399)</f>
        <v>0</v>
      </c>
    </row>
    <row r="820" spans="2:47" x14ac:dyDescent="0.35">
      <c r="B820" t="str">
        <f t="shared" si="445"/>
        <v/>
      </c>
      <c r="C820" t="str">
        <f t="shared" ref="C820:G820" si="450">IF(C715="","",C715)</f>
        <v/>
      </c>
      <c r="D820" t="str">
        <f t="shared" si="450"/>
        <v/>
      </c>
      <c r="E820" t="str">
        <f t="shared" si="450"/>
        <v/>
      </c>
      <c r="F820" t="str">
        <f t="shared" si="450"/>
        <v/>
      </c>
      <c r="G820" t="str">
        <f t="shared" si="450"/>
        <v/>
      </c>
      <c r="H820" t="str">
        <f t="shared" si="444"/>
        <v/>
      </c>
      <c r="J820" t="str">
        <f>IF($H820="","",IF(VLOOKUP(H820,ExpItems[],2,0),H820&amp;" - "&amp;INDEX(DivisionMapping[category_code],MATCH($D820&amp;$C820,DivisionMapping[dept_bu],0)),H820))</f>
        <v/>
      </c>
      <c r="K820" t="str">
        <f t="shared" si="447"/>
        <v/>
      </c>
      <c r="L820" s="652">
        <f>IF($B820="",,SUMIFS(PerBase[Month 1],PerBase[exp_item],$H820,PerBase[company_name],$B820)*L400)</f>
        <v>0</v>
      </c>
      <c r="M820" s="652">
        <f>IF($B820="",,SUMIFS(PerBase[Month 2],PerBase[exp_item],$H820,PerBase[company_name],$B820)*M400)</f>
        <v>0</v>
      </c>
      <c r="N820" s="652">
        <f>IF($B820="",,SUMIFS(PerBase[Month 3],PerBase[exp_item],$H820,PerBase[company_name],$B820)*N400)</f>
        <v>0</v>
      </c>
      <c r="O820" s="652">
        <f>IF($B820="",,SUMIFS(PerBase[Month 4],PerBase[exp_item],$H820,PerBase[company_name],$B820)*O400)</f>
        <v>0</v>
      </c>
      <c r="P820" s="652">
        <f>IF($B820="",,SUMIFS(PerBase[Month 5],PerBase[exp_item],$H820,PerBase[company_name],$B820)*P400)</f>
        <v>0</v>
      </c>
      <c r="Q820" s="652">
        <f>IF($B820="",,SUMIFS(PerBase[Month 6],PerBase[exp_item],$H820,PerBase[company_name],$B820)*Q400)</f>
        <v>0</v>
      </c>
      <c r="R820" s="652">
        <f>IF($B820="",,SUMIFS(PerBase[Month 7],PerBase[exp_item],$H820,PerBase[company_name],$B820)*R400)</f>
        <v>0</v>
      </c>
      <c r="S820" s="652">
        <f>IF($B820="",,SUMIFS(PerBase[Month 8],PerBase[exp_item],$H820,PerBase[company_name],$B820)*S400)</f>
        <v>0</v>
      </c>
      <c r="T820" s="652">
        <f>IF($B820="",,SUMIFS(PerBase[Month 9],PerBase[exp_item],$H820,PerBase[company_name],$B820)*T400)</f>
        <v>0</v>
      </c>
      <c r="U820" s="652">
        <f>IF($B820="",,SUMIFS(PerBase[Month 10],PerBase[exp_item],$H820,PerBase[company_name],$B820)*U400)</f>
        <v>0</v>
      </c>
      <c r="V820" s="652">
        <f>IF($B820="",,SUMIFS(PerBase[Month 11],PerBase[exp_item],$H820,PerBase[company_name],$B820)*V400)</f>
        <v>0</v>
      </c>
      <c r="W820" s="652">
        <f>IF($B820="",,SUMIFS(PerBase[Month 12],PerBase[exp_item],$H820,PerBase[company_name],$B820)*W400)</f>
        <v>0</v>
      </c>
      <c r="X820" s="652">
        <f>IF($B820="",,SUMIFS(PerBase[Month 13],PerBase[exp_item],$H820,PerBase[company_name],$B820)*X400)</f>
        <v>0</v>
      </c>
      <c r="Y820" s="652">
        <f>IF($B820="",,SUMIFS(PerBase[Month 14],PerBase[exp_item],$H820,PerBase[company_name],$B820)*Y400)</f>
        <v>0</v>
      </c>
      <c r="Z820" s="652">
        <f>IF($B820="",,SUMIFS(PerBase[Month 15],PerBase[exp_item],$H820,PerBase[company_name],$B820)*Z400)</f>
        <v>0</v>
      </c>
      <c r="AA820" s="652">
        <f>IF($B820="",,SUMIFS(PerBase[Month 16],PerBase[exp_item],$H820,PerBase[company_name],$B820)*AA400)</f>
        <v>0</v>
      </c>
      <c r="AB820" s="652">
        <f>IF($B820="",,SUMIFS(PerBase[Month 17],PerBase[exp_item],$H820,PerBase[company_name],$B820)*AB400)</f>
        <v>0</v>
      </c>
      <c r="AC820" s="652">
        <f>IF($B820="",,SUMIFS(PerBase[Month 18],PerBase[exp_item],$H820,PerBase[company_name],$B820)*AC400)</f>
        <v>0</v>
      </c>
      <c r="AD820" s="652">
        <f>IF($B820="",,SUMIFS(PerBase[Month 19],PerBase[exp_item],$H820,PerBase[company_name],$B820)*AD400)</f>
        <v>0</v>
      </c>
      <c r="AE820" s="652">
        <f>IF($B820="",,SUMIFS(PerBase[Month 20],PerBase[exp_item],$H820,PerBase[company_name],$B820)*AE400)</f>
        <v>0</v>
      </c>
      <c r="AF820" s="652">
        <f>IF($B820="",,SUMIFS(PerBase[Month 21],PerBase[exp_item],$H820,PerBase[company_name],$B820)*AF400)</f>
        <v>0</v>
      </c>
      <c r="AG820" s="652">
        <f>IF($B820="",,SUMIFS(PerBase[Month 22],PerBase[exp_item],$H820,PerBase[company_name],$B820)*AG400)</f>
        <v>0</v>
      </c>
      <c r="AH820" s="652">
        <f>IF($B820="",,SUMIFS(PerBase[Month 23],PerBase[exp_item],$H820,PerBase[company_name],$B820)*AH400)</f>
        <v>0</v>
      </c>
      <c r="AI820" s="652">
        <f>IF($B820="",,SUMIFS(PerBase[Month 24],PerBase[exp_item],$H820,PerBase[company_name],$B820)*AI400)</f>
        <v>0</v>
      </c>
      <c r="AJ820" s="652">
        <f>IF($B820="",,SUMIFS(PerBase[Month 25],PerBase[exp_item],$H820,PerBase[company_name],$B820)*AJ400)</f>
        <v>0</v>
      </c>
      <c r="AK820" s="652">
        <f>IF($B820="",,SUMIFS(PerBase[Month 26],PerBase[exp_item],$H820,PerBase[company_name],$B820)*AK400)</f>
        <v>0</v>
      </c>
      <c r="AL820" s="652">
        <f>IF($B820="",,SUMIFS(PerBase[Month 27],PerBase[exp_item],$H820,PerBase[company_name],$B820)*AL400)</f>
        <v>0</v>
      </c>
      <c r="AM820" s="652">
        <f>IF($B820="",,SUMIFS(PerBase[Month 28],PerBase[exp_item],$H820,PerBase[company_name],$B820)*AM400)</f>
        <v>0</v>
      </c>
      <c r="AN820" s="652">
        <f>IF($B820="",,SUMIFS(PerBase[Month 29],PerBase[exp_item],$H820,PerBase[company_name],$B820)*AN400)</f>
        <v>0</v>
      </c>
      <c r="AO820" s="652">
        <f>IF($B820="",,SUMIFS(PerBase[Month 30],PerBase[exp_item],$H820,PerBase[company_name],$B820)*AO400)</f>
        <v>0</v>
      </c>
      <c r="AP820" s="652">
        <f>IF($B820="",,SUMIFS(PerBase[Month 31],PerBase[exp_item],$H820,PerBase[company_name],$B820)*AP400)</f>
        <v>0</v>
      </c>
      <c r="AQ820" s="652">
        <f>IF($B820="",,SUMIFS(PerBase[Month 32],PerBase[exp_item],$H820,PerBase[company_name],$B820)*AQ400)</f>
        <v>0</v>
      </c>
      <c r="AR820" s="652">
        <f>IF($B820="",,SUMIFS(PerBase[Month 33],PerBase[exp_item],$H820,PerBase[company_name],$B820)*AR400)</f>
        <v>0</v>
      </c>
      <c r="AS820" s="652">
        <f>IF($B820="",,SUMIFS(PerBase[Month 34],PerBase[exp_item],$H820,PerBase[company_name],$B820)*AS400)</f>
        <v>0</v>
      </c>
      <c r="AT820" s="652">
        <f>IF($B820="",,SUMIFS(PerBase[Month 35],PerBase[exp_item],$H820,PerBase[company_name],$B820)*AT400)</f>
        <v>0</v>
      </c>
      <c r="AU820" s="652">
        <f>IF($B820="",,SUMIFS(PerBase[Month 36],PerBase[exp_item],$H820,PerBase[company_name],$B820)*AU400)</f>
        <v>0</v>
      </c>
    </row>
    <row r="821" spans="2:47" x14ac:dyDescent="0.35">
      <c r="B821" t="str">
        <f t="shared" si="445"/>
        <v/>
      </c>
      <c r="C821" t="str">
        <f t="shared" ref="C821:G821" si="451">IF(C716="","",C716)</f>
        <v/>
      </c>
      <c r="D821" t="str">
        <f t="shared" si="451"/>
        <v/>
      </c>
      <c r="E821" t="str">
        <f t="shared" si="451"/>
        <v/>
      </c>
      <c r="F821" t="str">
        <f t="shared" si="451"/>
        <v/>
      </c>
      <c r="G821" t="str">
        <f t="shared" si="451"/>
        <v/>
      </c>
      <c r="H821" t="str">
        <f t="shared" si="444"/>
        <v/>
      </c>
      <c r="J821" t="str">
        <f>IF($H821="","",IF(VLOOKUP(H821,ExpItems[],2,0),H821&amp;" - "&amp;INDEX(DivisionMapping[category_code],MATCH($D821&amp;$C821,DivisionMapping[dept_bu],0)),H821))</f>
        <v/>
      </c>
      <c r="K821" t="str">
        <f t="shared" si="447"/>
        <v/>
      </c>
      <c r="L821" s="652">
        <f>IF($B821="",,SUMIFS(PerBase[Month 1],PerBase[exp_item],$H821,PerBase[company_name],$B821)*L401)</f>
        <v>0</v>
      </c>
      <c r="M821" s="652">
        <f>IF($B821="",,SUMIFS(PerBase[Month 2],PerBase[exp_item],$H821,PerBase[company_name],$B821)*M401)</f>
        <v>0</v>
      </c>
      <c r="N821" s="652">
        <f>IF($B821="",,SUMIFS(PerBase[Month 3],PerBase[exp_item],$H821,PerBase[company_name],$B821)*N401)</f>
        <v>0</v>
      </c>
      <c r="O821" s="652">
        <f>IF($B821="",,SUMIFS(PerBase[Month 4],PerBase[exp_item],$H821,PerBase[company_name],$B821)*O401)</f>
        <v>0</v>
      </c>
      <c r="P821" s="652">
        <f>IF($B821="",,SUMIFS(PerBase[Month 5],PerBase[exp_item],$H821,PerBase[company_name],$B821)*P401)</f>
        <v>0</v>
      </c>
      <c r="Q821" s="652">
        <f>IF($B821="",,SUMIFS(PerBase[Month 6],PerBase[exp_item],$H821,PerBase[company_name],$B821)*Q401)</f>
        <v>0</v>
      </c>
      <c r="R821" s="652">
        <f>IF($B821="",,SUMIFS(PerBase[Month 7],PerBase[exp_item],$H821,PerBase[company_name],$B821)*R401)</f>
        <v>0</v>
      </c>
      <c r="S821" s="652">
        <f>IF($B821="",,SUMIFS(PerBase[Month 8],PerBase[exp_item],$H821,PerBase[company_name],$B821)*S401)</f>
        <v>0</v>
      </c>
      <c r="T821" s="652">
        <f>IF($B821="",,SUMIFS(PerBase[Month 9],PerBase[exp_item],$H821,PerBase[company_name],$B821)*T401)</f>
        <v>0</v>
      </c>
      <c r="U821" s="652">
        <f>IF($B821="",,SUMIFS(PerBase[Month 10],PerBase[exp_item],$H821,PerBase[company_name],$B821)*U401)</f>
        <v>0</v>
      </c>
      <c r="V821" s="652">
        <f>IF($B821="",,SUMIFS(PerBase[Month 11],PerBase[exp_item],$H821,PerBase[company_name],$B821)*V401)</f>
        <v>0</v>
      </c>
      <c r="W821" s="652">
        <f>IF($B821="",,SUMIFS(PerBase[Month 12],PerBase[exp_item],$H821,PerBase[company_name],$B821)*W401)</f>
        <v>0</v>
      </c>
      <c r="X821" s="652">
        <f>IF($B821="",,SUMIFS(PerBase[Month 13],PerBase[exp_item],$H821,PerBase[company_name],$B821)*X401)</f>
        <v>0</v>
      </c>
      <c r="Y821" s="652">
        <f>IF($B821="",,SUMIFS(PerBase[Month 14],PerBase[exp_item],$H821,PerBase[company_name],$B821)*Y401)</f>
        <v>0</v>
      </c>
      <c r="Z821" s="652">
        <f>IF($B821="",,SUMIFS(PerBase[Month 15],PerBase[exp_item],$H821,PerBase[company_name],$B821)*Z401)</f>
        <v>0</v>
      </c>
      <c r="AA821" s="652">
        <f>IF($B821="",,SUMIFS(PerBase[Month 16],PerBase[exp_item],$H821,PerBase[company_name],$B821)*AA401)</f>
        <v>0</v>
      </c>
      <c r="AB821" s="652">
        <f>IF($B821="",,SUMIFS(PerBase[Month 17],PerBase[exp_item],$H821,PerBase[company_name],$B821)*AB401)</f>
        <v>0</v>
      </c>
      <c r="AC821" s="652">
        <f>IF($B821="",,SUMIFS(PerBase[Month 18],PerBase[exp_item],$H821,PerBase[company_name],$B821)*AC401)</f>
        <v>0</v>
      </c>
      <c r="AD821" s="652">
        <f>IF($B821="",,SUMIFS(PerBase[Month 19],PerBase[exp_item],$H821,PerBase[company_name],$B821)*AD401)</f>
        <v>0</v>
      </c>
      <c r="AE821" s="652">
        <f>IF($B821="",,SUMIFS(PerBase[Month 20],PerBase[exp_item],$H821,PerBase[company_name],$B821)*AE401)</f>
        <v>0</v>
      </c>
      <c r="AF821" s="652">
        <f>IF($B821="",,SUMIFS(PerBase[Month 21],PerBase[exp_item],$H821,PerBase[company_name],$B821)*AF401)</f>
        <v>0</v>
      </c>
      <c r="AG821" s="652">
        <f>IF($B821="",,SUMIFS(PerBase[Month 22],PerBase[exp_item],$H821,PerBase[company_name],$B821)*AG401)</f>
        <v>0</v>
      </c>
      <c r="AH821" s="652">
        <f>IF($B821="",,SUMIFS(PerBase[Month 23],PerBase[exp_item],$H821,PerBase[company_name],$B821)*AH401)</f>
        <v>0</v>
      </c>
      <c r="AI821" s="652">
        <f>IF($B821="",,SUMIFS(PerBase[Month 24],PerBase[exp_item],$H821,PerBase[company_name],$B821)*AI401)</f>
        <v>0</v>
      </c>
      <c r="AJ821" s="652">
        <f>IF($B821="",,SUMIFS(PerBase[Month 25],PerBase[exp_item],$H821,PerBase[company_name],$B821)*AJ401)</f>
        <v>0</v>
      </c>
      <c r="AK821" s="652">
        <f>IF($B821="",,SUMIFS(PerBase[Month 26],PerBase[exp_item],$H821,PerBase[company_name],$B821)*AK401)</f>
        <v>0</v>
      </c>
      <c r="AL821" s="652">
        <f>IF($B821="",,SUMIFS(PerBase[Month 27],PerBase[exp_item],$H821,PerBase[company_name],$B821)*AL401)</f>
        <v>0</v>
      </c>
      <c r="AM821" s="652">
        <f>IF($B821="",,SUMIFS(PerBase[Month 28],PerBase[exp_item],$H821,PerBase[company_name],$B821)*AM401)</f>
        <v>0</v>
      </c>
      <c r="AN821" s="652">
        <f>IF($B821="",,SUMIFS(PerBase[Month 29],PerBase[exp_item],$H821,PerBase[company_name],$B821)*AN401)</f>
        <v>0</v>
      </c>
      <c r="AO821" s="652">
        <f>IF($B821="",,SUMIFS(PerBase[Month 30],PerBase[exp_item],$H821,PerBase[company_name],$B821)*AO401)</f>
        <v>0</v>
      </c>
      <c r="AP821" s="652">
        <f>IF($B821="",,SUMIFS(PerBase[Month 31],PerBase[exp_item],$H821,PerBase[company_name],$B821)*AP401)</f>
        <v>0</v>
      </c>
      <c r="AQ821" s="652">
        <f>IF($B821="",,SUMIFS(PerBase[Month 32],PerBase[exp_item],$H821,PerBase[company_name],$B821)*AQ401)</f>
        <v>0</v>
      </c>
      <c r="AR821" s="652">
        <f>IF($B821="",,SUMIFS(PerBase[Month 33],PerBase[exp_item],$H821,PerBase[company_name],$B821)*AR401)</f>
        <v>0</v>
      </c>
      <c r="AS821" s="652">
        <f>IF($B821="",,SUMIFS(PerBase[Month 34],PerBase[exp_item],$H821,PerBase[company_name],$B821)*AS401)</f>
        <v>0</v>
      </c>
      <c r="AT821" s="652">
        <f>IF($B821="",,SUMIFS(PerBase[Month 35],PerBase[exp_item],$H821,PerBase[company_name],$B821)*AT401)</f>
        <v>0</v>
      </c>
      <c r="AU821" s="652">
        <f>IF($B821="",,SUMIFS(PerBase[Month 36],PerBase[exp_item],$H821,PerBase[company_name],$B821)*AU401)</f>
        <v>0</v>
      </c>
    </row>
    <row r="822" spans="2:47" x14ac:dyDescent="0.35">
      <c r="B822" t="str">
        <f t="shared" si="445"/>
        <v/>
      </c>
      <c r="C822" t="str">
        <f t="shared" ref="C822:G822" si="452">IF(C717="","",C717)</f>
        <v/>
      </c>
      <c r="D822" t="str">
        <f t="shared" si="452"/>
        <v/>
      </c>
      <c r="E822" t="str">
        <f t="shared" si="452"/>
        <v/>
      </c>
      <c r="F822" t="str">
        <f t="shared" si="452"/>
        <v/>
      </c>
      <c r="G822" t="str">
        <f t="shared" si="452"/>
        <v/>
      </c>
      <c r="H822" t="str">
        <f t="shared" si="444"/>
        <v/>
      </c>
      <c r="J822" t="str">
        <f>IF($H822="","",IF(VLOOKUP(H822,ExpItems[],2,0),H822&amp;" - "&amp;INDEX(DivisionMapping[category_code],MATCH($D822&amp;$C822,DivisionMapping[dept_bu],0)),H822))</f>
        <v/>
      </c>
      <c r="K822" t="str">
        <f t="shared" si="447"/>
        <v/>
      </c>
      <c r="L822" s="652">
        <f>IF($B822="",,SUMIFS(PerBase[Month 1],PerBase[exp_item],$H822,PerBase[company_name],$B822)*L402)</f>
        <v>0</v>
      </c>
      <c r="M822" s="652">
        <f>IF($B822="",,SUMIFS(PerBase[Month 2],PerBase[exp_item],$H822,PerBase[company_name],$B822)*M402)</f>
        <v>0</v>
      </c>
      <c r="N822" s="652">
        <f>IF($B822="",,SUMIFS(PerBase[Month 3],PerBase[exp_item],$H822,PerBase[company_name],$B822)*N402)</f>
        <v>0</v>
      </c>
      <c r="O822" s="652">
        <f>IF($B822="",,SUMIFS(PerBase[Month 4],PerBase[exp_item],$H822,PerBase[company_name],$B822)*O402)</f>
        <v>0</v>
      </c>
      <c r="P822" s="652">
        <f>IF($B822="",,SUMIFS(PerBase[Month 5],PerBase[exp_item],$H822,PerBase[company_name],$B822)*P402)</f>
        <v>0</v>
      </c>
      <c r="Q822" s="652">
        <f>IF($B822="",,SUMIFS(PerBase[Month 6],PerBase[exp_item],$H822,PerBase[company_name],$B822)*Q402)</f>
        <v>0</v>
      </c>
      <c r="R822" s="652">
        <f>IF($B822="",,SUMIFS(PerBase[Month 7],PerBase[exp_item],$H822,PerBase[company_name],$B822)*R402)</f>
        <v>0</v>
      </c>
      <c r="S822" s="652">
        <f>IF($B822="",,SUMIFS(PerBase[Month 8],PerBase[exp_item],$H822,PerBase[company_name],$B822)*S402)</f>
        <v>0</v>
      </c>
      <c r="T822" s="652">
        <f>IF($B822="",,SUMIFS(PerBase[Month 9],PerBase[exp_item],$H822,PerBase[company_name],$B822)*T402)</f>
        <v>0</v>
      </c>
      <c r="U822" s="652">
        <f>IF($B822="",,SUMIFS(PerBase[Month 10],PerBase[exp_item],$H822,PerBase[company_name],$B822)*U402)</f>
        <v>0</v>
      </c>
      <c r="V822" s="652">
        <f>IF($B822="",,SUMIFS(PerBase[Month 11],PerBase[exp_item],$H822,PerBase[company_name],$B822)*V402)</f>
        <v>0</v>
      </c>
      <c r="W822" s="652">
        <f>IF($B822="",,SUMIFS(PerBase[Month 12],PerBase[exp_item],$H822,PerBase[company_name],$B822)*W402)</f>
        <v>0</v>
      </c>
      <c r="X822" s="652">
        <f>IF($B822="",,SUMIFS(PerBase[Month 13],PerBase[exp_item],$H822,PerBase[company_name],$B822)*X402)</f>
        <v>0</v>
      </c>
      <c r="Y822" s="652">
        <f>IF($B822="",,SUMIFS(PerBase[Month 14],PerBase[exp_item],$H822,PerBase[company_name],$B822)*Y402)</f>
        <v>0</v>
      </c>
      <c r="Z822" s="652">
        <f>IF($B822="",,SUMIFS(PerBase[Month 15],PerBase[exp_item],$H822,PerBase[company_name],$B822)*Z402)</f>
        <v>0</v>
      </c>
      <c r="AA822" s="652">
        <f>IF($B822="",,SUMIFS(PerBase[Month 16],PerBase[exp_item],$H822,PerBase[company_name],$B822)*AA402)</f>
        <v>0</v>
      </c>
      <c r="AB822" s="652">
        <f>IF($B822="",,SUMIFS(PerBase[Month 17],PerBase[exp_item],$H822,PerBase[company_name],$B822)*AB402)</f>
        <v>0</v>
      </c>
      <c r="AC822" s="652">
        <f>IF($B822="",,SUMIFS(PerBase[Month 18],PerBase[exp_item],$H822,PerBase[company_name],$B822)*AC402)</f>
        <v>0</v>
      </c>
      <c r="AD822" s="652">
        <f>IF($B822="",,SUMIFS(PerBase[Month 19],PerBase[exp_item],$H822,PerBase[company_name],$B822)*AD402)</f>
        <v>0</v>
      </c>
      <c r="AE822" s="652">
        <f>IF($B822="",,SUMIFS(PerBase[Month 20],PerBase[exp_item],$H822,PerBase[company_name],$B822)*AE402)</f>
        <v>0</v>
      </c>
      <c r="AF822" s="652">
        <f>IF($B822="",,SUMIFS(PerBase[Month 21],PerBase[exp_item],$H822,PerBase[company_name],$B822)*AF402)</f>
        <v>0</v>
      </c>
      <c r="AG822" s="652">
        <f>IF($B822="",,SUMIFS(PerBase[Month 22],PerBase[exp_item],$H822,PerBase[company_name],$B822)*AG402)</f>
        <v>0</v>
      </c>
      <c r="AH822" s="652">
        <f>IF($B822="",,SUMIFS(PerBase[Month 23],PerBase[exp_item],$H822,PerBase[company_name],$B822)*AH402)</f>
        <v>0</v>
      </c>
      <c r="AI822" s="652">
        <f>IF($B822="",,SUMIFS(PerBase[Month 24],PerBase[exp_item],$H822,PerBase[company_name],$B822)*AI402)</f>
        <v>0</v>
      </c>
      <c r="AJ822" s="652">
        <f>IF($B822="",,SUMIFS(PerBase[Month 25],PerBase[exp_item],$H822,PerBase[company_name],$B822)*AJ402)</f>
        <v>0</v>
      </c>
      <c r="AK822" s="652">
        <f>IF($B822="",,SUMIFS(PerBase[Month 26],PerBase[exp_item],$H822,PerBase[company_name],$B822)*AK402)</f>
        <v>0</v>
      </c>
      <c r="AL822" s="652">
        <f>IF($B822="",,SUMIFS(PerBase[Month 27],PerBase[exp_item],$H822,PerBase[company_name],$B822)*AL402)</f>
        <v>0</v>
      </c>
      <c r="AM822" s="652">
        <f>IF($B822="",,SUMIFS(PerBase[Month 28],PerBase[exp_item],$H822,PerBase[company_name],$B822)*AM402)</f>
        <v>0</v>
      </c>
      <c r="AN822" s="652">
        <f>IF($B822="",,SUMIFS(PerBase[Month 29],PerBase[exp_item],$H822,PerBase[company_name],$B822)*AN402)</f>
        <v>0</v>
      </c>
      <c r="AO822" s="652">
        <f>IF($B822="",,SUMIFS(PerBase[Month 30],PerBase[exp_item],$H822,PerBase[company_name],$B822)*AO402)</f>
        <v>0</v>
      </c>
      <c r="AP822" s="652">
        <f>IF($B822="",,SUMIFS(PerBase[Month 31],PerBase[exp_item],$H822,PerBase[company_name],$B822)*AP402)</f>
        <v>0</v>
      </c>
      <c r="AQ822" s="652">
        <f>IF($B822="",,SUMIFS(PerBase[Month 32],PerBase[exp_item],$H822,PerBase[company_name],$B822)*AQ402)</f>
        <v>0</v>
      </c>
      <c r="AR822" s="652">
        <f>IF($B822="",,SUMIFS(PerBase[Month 33],PerBase[exp_item],$H822,PerBase[company_name],$B822)*AR402)</f>
        <v>0</v>
      </c>
      <c r="AS822" s="652">
        <f>IF($B822="",,SUMIFS(PerBase[Month 34],PerBase[exp_item],$H822,PerBase[company_name],$B822)*AS402)</f>
        <v>0</v>
      </c>
      <c r="AT822" s="652">
        <f>IF($B822="",,SUMIFS(PerBase[Month 35],PerBase[exp_item],$H822,PerBase[company_name],$B822)*AT402)</f>
        <v>0</v>
      </c>
      <c r="AU822" s="652">
        <f>IF($B822="",,SUMIFS(PerBase[Month 36],PerBase[exp_item],$H822,PerBase[company_name],$B822)*AU402)</f>
        <v>0</v>
      </c>
    </row>
    <row r="823" spans="2:47" x14ac:dyDescent="0.35">
      <c r="B823" t="str">
        <f t="shared" si="445"/>
        <v/>
      </c>
      <c r="C823" t="str">
        <f t="shared" ref="C823:G823" si="453">IF(C718="","",C718)</f>
        <v/>
      </c>
      <c r="D823" t="str">
        <f t="shared" si="453"/>
        <v/>
      </c>
      <c r="E823" t="str">
        <f t="shared" si="453"/>
        <v/>
      </c>
      <c r="F823" t="str">
        <f t="shared" si="453"/>
        <v/>
      </c>
      <c r="G823" t="str">
        <f t="shared" si="453"/>
        <v/>
      </c>
      <c r="H823" t="str">
        <f t="shared" si="444"/>
        <v/>
      </c>
      <c r="J823" t="str">
        <f>IF($H823="","",IF(VLOOKUP(H823,ExpItems[],2,0),H823&amp;" - "&amp;INDEX(DivisionMapping[category_code],MATCH($D823&amp;$C823,DivisionMapping[dept_bu],0)),H823))</f>
        <v/>
      </c>
      <c r="K823" t="str">
        <f t="shared" si="447"/>
        <v/>
      </c>
      <c r="L823" s="652">
        <f>IF($B823="",,SUMIFS(PerBase[Month 1],PerBase[exp_item],$H823,PerBase[company_name],$B823)*L403)</f>
        <v>0</v>
      </c>
      <c r="M823" s="652">
        <f>IF($B823="",,SUMIFS(PerBase[Month 2],PerBase[exp_item],$H823,PerBase[company_name],$B823)*M403)</f>
        <v>0</v>
      </c>
      <c r="N823" s="652">
        <f>IF($B823="",,SUMIFS(PerBase[Month 3],PerBase[exp_item],$H823,PerBase[company_name],$B823)*N403)</f>
        <v>0</v>
      </c>
      <c r="O823" s="652">
        <f>IF($B823="",,SUMIFS(PerBase[Month 4],PerBase[exp_item],$H823,PerBase[company_name],$B823)*O403)</f>
        <v>0</v>
      </c>
      <c r="P823" s="652">
        <f>IF($B823="",,SUMIFS(PerBase[Month 5],PerBase[exp_item],$H823,PerBase[company_name],$B823)*P403)</f>
        <v>0</v>
      </c>
      <c r="Q823" s="652">
        <f>IF($B823="",,SUMIFS(PerBase[Month 6],PerBase[exp_item],$H823,PerBase[company_name],$B823)*Q403)</f>
        <v>0</v>
      </c>
      <c r="R823" s="652">
        <f>IF($B823="",,SUMIFS(PerBase[Month 7],PerBase[exp_item],$H823,PerBase[company_name],$B823)*R403)</f>
        <v>0</v>
      </c>
      <c r="S823" s="652">
        <f>IF($B823="",,SUMIFS(PerBase[Month 8],PerBase[exp_item],$H823,PerBase[company_name],$B823)*S403)</f>
        <v>0</v>
      </c>
      <c r="T823" s="652">
        <f>IF($B823="",,SUMIFS(PerBase[Month 9],PerBase[exp_item],$H823,PerBase[company_name],$B823)*T403)</f>
        <v>0</v>
      </c>
      <c r="U823" s="652">
        <f>IF($B823="",,SUMIFS(PerBase[Month 10],PerBase[exp_item],$H823,PerBase[company_name],$B823)*U403)</f>
        <v>0</v>
      </c>
      <c r="V823" s="652">
        <f>IF($B823="",,SUMIFS(PerBase[Month 11],PerBase[exp_item],$H823,PerBase[company_name],$B823)*V403)</f>
        <v>0</v>
      </c>
      <c r="W823" s="652">
        <f>IF($B823="",,SUMIFS(PerBase[Month 12],PerBase[exp_item],$H823,PerBase[company_name],$B823)*W403)</f>
        <v>0</v>
      </c>
      <c r="X823" s="652">
        <f>IF($B823="",,SUMIFS(PerBase[Month 13],PerBase[exp_item],$H823,PerBase[company_name],$B823)*X403)</f>
        <v>0</v>
      </c>
      <c r="Y823" s="652">
        <f>IF($B823="",,SUMIFS(PerBase[Month 14],PerBase[exp_item],$H823,PerBase[company_name],$B823)*Y403)</f>
        <v>0</v>
      </c>
      <c r="Z823" s="652">
        <f>IF($B823="",,SUMIFS(PerBase[Month 15],PerBase[exp_item],$H823,PerBase[company_name],$B823)*Z403)</f>
        <v>0</v>
      </c>
      <c r="AA823" s="652">
        <f>IF($B823="",,SUMIFS(PerBase[Month 16],PerBase[exp_item],$H823,PerBase[company_name],$B823)*AA403)</f>
        <v>0</v>
      </c>
      <c r="AB823" s="652">
        <f>IF($B823="",,SUMIFS(PerBase[Month 17],PerBase[exp_item],$H823,PerBase[company_name],$B823)*AB403)</f>
        <v>0</v>
      </c>
      <c r="AC823" s="652">
        <f>IF($B823="",,SUMIFS(PerBase[Month 18],PerBase[exp_item],$H823,PerBase[company_name],$B823)*AC403)</f>
        <v>0</v>
      </c>
      <c r="AD823" s="652">
        <f>IF($B823="",,SUMIFS(PerBase[Month 19],PerBase[exp_item],$H823,PerBase[company_name],$B823)*AD403)</f>
        <v>0</v>
      </c>
      <c r="AE823" s="652">
        <f>IF($B823="",,SUMIFS(PerBase[Month 20],PerBase[exp_item],$H823,PerBase[company_name],$B823)*AE403)</f>
        <v>0</v>
      </c>
      <c r="AF823" s="652">
        <f>IF($B823="",,SUMIFS(PerBase[Month 21],PerBase[exp_item],$H823,PerBase[company_name],$B823)*AF403)</f>
        <v>0</v>
      </c>
      <c r="AG823" s="652">
        <f>IF($B823="",,SUMIFS(PerBase[Month 22],PerBase[exp_item],$H823,PerBase[company_name],$B823)*AG403)</f>
        <v>0</v>
      </c>
      <c r="AH823" s="652">
        <f>IF($B823="",,SUMIFS(PerBase[Month 23],PerBase[exp_item],$H823,PerBase[company_name],$B823)*AH403)</f>
        <v>0</v>
      </c>
      <c r="AI823" s="652">
        <f>IF($B823="",,SUMIFS(PerBase[Month 24],PerBase[exp_item],$H823,PerBase[company_name],$B823)*AI403)</f>
        <v>0</v>
      </c>
      <c r="AJ823" s="652">
        <f>IF($B823="",,SUMIFS(PerBase[Month 25],PerBase[exp_item],$H823,PerBase[company_name],$B823)*AJ403)</f>
        <v>0</v>
      </c>
      <c r="AK823" s="652">
        <f>IF($B823="",,SUMIFS(PerBase[Month 26],PerBase[exp_item],$H823,PerBase[company_name],$B823)*AK403)</f>
        <v>0</v>
      </c>
      <c r="AL823" s="652">
        <f>IF($B823="",,SUMIFS(PerBase[Month 27],PerBase[exp_item],$H823,PerBase[company_name],$B823)*AL403)</f>
        <v>0</v>
      </c>
      <c r="AM823" s="652">
        <f>IF($B823="",,SUMIFS(PerBase[Month 28],PerBase[exp_item],$H823,PerBase[company_name],$B823)*AM403)</f>
        <v>0</v>
      </c>
      <c r="AN823" s="652">
        <f>IF($B823="",,SUMIFS(PerBase[Month 29],PerBase[exp_item],$H823,PerBase[company_name],$B823)*AN403)</f>
        <v>0</v>
      </c>
      <c r="AO823" s="652">
        <f>IF($B823="",,SUMIFS(PerBase[Month 30],PerBase[exp_item],$H823,PerBase[company_name],$B823)*AO403)</f>
        <v>0</v>
      </c>
      <c r="AP823" s="652">
        <f>IF($B823="",,SUMIFS(PerBase[Month 31],PerBase[exp_item],$H823,PerBase[company_name],$B823)*AP403)</f>
        <v>0</v>
      </c>
      <c r="AQ823" s="652">
        <f>IF($B823="",,SUMIFS(PerBase[Month 32],PerBase[exp_item],$H823,PerBase[company_name],$B823)*AQ403)</f>
        <v>0</v>
      </c>
      <c r="AR823" s="652">
        <f>IF($B823="",,SUMIFS(PerBase[Month 33],PerBase[exp_item],$H823,PerBase[company_name],$B823)*AR403)</f>
        <v>0</v>
      </c>
      <c r="AS823" s="652">
        <f>IF($B823="",,SUMIFS(PerBase[Month 34],PerBase[exp_item],$H823,PerBase[company_name],$B823)*AS403)</f>
        <v>0</v>
      </c>
      <c r="AT823" s="652">
        <f>IF($B823="",,SUMIFS(PerBase[Month 35],PerBase[exp_item],$H823,PerBase[company_name],$B823)*AT403)</f>
        <v>0</v>
      </c>
      <c r="AU823" s="652">
        <f>IF($B823="",,SUMIFS(PerBase[Month 36],PerBase[exp_item],$H823,PerBase[company_name],$B823)*AU403)</f>
        <v>0</v>
      </c>
    </row>
    <row r="824" spans="2:47" x14ac:dyDescent="0.35">
      <c r="B824" t="str">
        <f t="shared" si="445"/>
        <v/>
      </c>
      <c r="C824" t="str">
        <f t="shared" ref="C824:G824" si="454">IF(C719="","",C719)</f>
        <v/>
      </c>
      <c r="D824" t="str">
        <f t="shared" si="454"/>
        <v/>
      </c>
      <c r="E824" t="str">
        <f t="shared" si="454"/>
        <v/>
      </c>
      <c r="F824" t="str">
        <f t="shared" si="454"/>
        <v/>
      </c>
      <c r="G824" t="str">
        <f t="shared" si="454"/>
        <v/>
      </c>
      <c r="H824" t="str">
        <f t="shared" si="444"/>
        <v/>
      </c>
      <c r="J824" t="str">
        <f>IF($H824="","",IF(VLOOKUP(H824,ExpItems[],2,0),H824&amp;" - "&amp;INDEX(DivisionMapping[category_code],MATCH($D824&amp;$C824,DivisionMapping[dept_bu],0)),H824))</f>
        <v/>
      </c>
      <c r="K824" t="str">
        <f t="shared" si="447"/>
        <v/>
      </c>
      <c r="L824" s="652">
        <f>IF($B824="",,SUMIFS(PerBase[Month 1],PerBase[exp_item],$H824,PerBase[company_name],$B824)*L404)</f>
        <v>0</v>
      </c>
      <c r="M824" s="652">
        <f>IF($B824="",,SUMIFS(PerBase[Month 2],PerBase[exp_item],$H824,PerBase[company_name],$B824)*M404)</f>
        <v>0</v>
      </c>
      <c r="N824" s="652">
        <f>IF($B824="",,SUMIFS(PerBase[Month 3],PerBase[exp_item],$H824,PerBase[company_name],$B824)*N404)</f>
        <v>0</v>
      </c>
      <c r="O824" s="652">
        <f>IF($B824="",,SUMIFS(PerBase[Month 4],PerBase[exp_item],$H824,PerBase[company_name],$B824)*O404)</f>
        <v>0</v>
      </c>
      <c r="P824" s="652">
        <f>IF($B824="",,SUMIFS(PerBase[Month 5],PerBase[exp_item],$H824,PerBase[company_name],$B824)*P404)</f>
        <v>0</v>
      </c>
      <c r="Q824" s="652">
        <f>IF($B824="",,SUMIFS(PerBase[Month 6],PerBase[exp_item],$H824,PerBase[company_name],$B824)*Q404)</f>
        <v>0</v>
      </c>
      <c r="R824" s="652">
        <f>IF($B824="",,SUMIFS(PerBase[Month 7],PerBase[exp_item],$H824,PerBase[company_name],$B824)*R404)</f>
        <v>0</v>
      </c>
      <c r="S824" s="652">
        <f>IF($B824="",,SUMIFS(PerBase[Month 8],PerBase[exp_item],$H824,PerBase[company_name],$B824)*S404)</f>
        <v>0</v>
      </c>
      <c r="T824" s="652">
        <f>IF($B824="",,SUMIFS(PerBase[Month 9],PerBase[exp_item],$H824,PerBase[company_name],$B824)*T404)</f>
        <v>0</v>
      </c>
      <c r="U824" s="652">
        <f>IF($B824="",,SUMIFS(PerBase[Month 10],PerBase[exp_item],$H824,PerBase[company_name],$B824)*U404)</f>
        <v>0</v>
      </c>
      <c r="V824" s="652">
        <f>IF($B824="",,SUMIFS(PerBase[Month 11],PerBase[exp_item],$H824,PerBase[company_name],$B824)*V404)</f>
        <v>0</v>
      </c>
      <c r="W824" s="652">
        <f>IF($B824="",,SUMIFS(PerBase[Month 12],PerBase[exp_item],$H824,PerBase[company_name],$B824)*W404)</f>
        <v>0</v>
      </c>
      <c r="X824" s="652">
        <f>IF($B824="",,SUMIFS(PerBase[Month 13],PerBase[exp_item],$H824,PerBase[company_name],$B824)*X404)</f>
        <v>0</v>
      </c>
      <c r="Y824" s="652">
        <f>IF($B824="",,SUMIFS(PerBase[Month 14],PerBase[exp_item],$H824,PerBase[company_name],$B824)*Y404)</f>
        <v>0</v>
      </c>
      <c r="Z824" s="652">
        <f>IF($B824="",,SUMIFS(PerBase[Month 15],PerBase[exp_item],$H824,PerBase[company_name],$B824)*Z404)</f>
        <v>0</v>
      </c>
      <c r="AA824" s="652">
        <f>IF($B824="",,SUMIFS(PerBase[Month 16],PerBase[exp_item],$H824,PerBase[company_name],$B824)*AA404)</f>
        <v>0</v>
      </c>
      <c r="AB824" s="652">
        <f>IF($B824="",,SUMIFS(PerBase[Month 17],PerBase[exp_item],$H824,PerBase[company_name],$B824)*AB404)</f>
        <v>0</v>
      </c>
      <c r="AC824" s="652">
        <f>IF($B824="",,SUMIFS(PerBase[Month 18],PerBase[exp_item],$H824,PerBase[company_name],$B824)*AC404)</f>
        <v>0</v>
      </c>
      <c r="AD824" s="652">
        <f>IF($B824="",,SUMIFS(PerBase[Month 19],PerBase[exp_item],$H824,PerBase[company_name],$B824)*AD404)</f>
        <v>0</v>
      </c>
      <c r="AE824" s="652">
        <f>IF($B824="",,SUMIFS(PerBase[Month 20],PerBase[exp_item],$H824,PerBase[company_name],$B824)*AE404)</f>
        <v>0</v>
      </c>
      <c r="AF824" s="652">
        <f>IF($B824="",,SUMIFS(PerBase[Month 21],PerBase[exp_item],$H824,PerBase[company_name],$B824)*AF404)</f>
        <v>0</v>
      </c>
      <c r="AG824" s="652">
        <f>IF($B824="",,SUMIFS(PerBase[Month 22],PerBase[exp_item],$H824,PerBase[company_name],$B824)*AG404)</f>
        <v>0</v>
      </c>
      <c r="AH824" s="652">
        <f>IF($B824="",,SUMIFS(PerBase[Month 23],PerBase[exp_item],$H824,PerBase[company_name],$B824)*AH404)</f>
        <v>0</v>
      </c>
      <c r="AI824" s="652">
        <f>IF($B824="",,SUMIFS(PerBase[Month 24],PerBase[exp_item],$H824,PerBase[company_name],$B824)*AI404)</f>
        <v>0</v>
      </c>
      <c r="AJ824" s="652">
        <f>IF($B824="",,SUMIFS(PerBase[Month 25],PerBase[exp_item],$H824,PerBase[company_name],$B824)*AJ404)</f>
        <v>0</v>
      </c>
      <c r="AK824" s="652">
        <f>IF($B824="",,SUMIFS(PerBase[Month 26],PerBase[exp_item],$H824,PerBase[company_name],$B824)*AK404)</f>
        <v>0</v>
      </c>
      <c r="AL824" s="652">
        <f>IF($B824="",,SUMIFS(PerBase[Month 27],PerBase[exp_item],$H824,PerBase[company_name],$B824)*AL404)</f>
        <v>0</v>
      </c>
      <c r="AM824" s="652">
        <f>IF($B824="",,SUMIFS(PerBase[Month 28],PerBase[exp_item],$H824,PerBase[company_name],$B824)*AM404)</f>
        <v>0</v>
      </c>
      <c r="AN824" s="652">
        <f>IF($B824="",,SUMIFS(PerBase[Month 29],PerBase[exp_item],$H824,PerBase[company_name],$B824)*AN404)</f>
        <v>0</v>
      </c>
      <c r="AO824" s="652">
        <f>IF($B824="",,SUMIFS(PerBase[Month 30],PerBase[exp_item],$H824,PerBase[company_name],$B824)*AO404)</f>
        <v>0</v>
      </c>
      <c r="AP824" s="652">
        <f>IF($B824="",,SUMIFS(PerBase[Month 31],PerBase[exp_item],$H824,PerBase[company_name],$B824)*AP404)</f>
        <v>0</v>
      </c>
      <c r="AQ824" s="652">
        <f>IF($B824="",,SUMIFS(PerBase[Month 32],PerBase[exp_item],$H824,PerBase[company_name],$B824)*AQ404)</f>
        <v>0</v>
      </c>
      <c r="AR824" s="652">
        <f>IF($B824="",,SUMIFS(PerBase[Month 33],PerBase[exp_item],$H824,PerBase[company_name],$B824)*AR404)</f>
        <v>0</v>
      </c>
      <c r="AS824" s="652">
        <f>IF($B824="",,SUMIFS(PerBase[Month 34],PerBase[exp_item],$H824,PerBase[company_name],$B824)*AS404)</f>
        <v>0</v>
      </c>
      <c r="AT824" s="652">
        <f>IF($B824="",,SUMIFS(PerBase[Month 35],PerBase[exp_item],$H824,PerBase[company_name],$B824)*AT404)</f>
        <v>0</v>
      </c>
      <c r="AU824" s="652">
        <f>IF($B824="",,SUMIFS(PerBase[Month 36],PerBase[exp_item],$H824,PerBase[company_name],$B824)*AU404)</f>
        <v>0</v>
      </c>
    </row>
    <row r="825" spans="2:47" x14ac:dyDescent="0.35">
      <c r="B825" t="str">
        <f t="shared" si="445"/>
        <v/>
      </c>
      <c r="C825" t="str">
        <f t="shared" ref="C825:G825" si="455">IF(C720="","",C720)</f>
        <v/>
      </c>
      <c r="D825" t="str">
        <f t="shared" si="455"/>
        <v/>
      </c>
      <c r="E825" t="str">
        <f t="shared" si="455"/>
        <v/>
      </c>
      <c r="F825" t="str">
        <f t="shared" si="455"/>
        <v/>
      </c>
      <c r="G825" t="str">
        <f t="shared" si="455"/>
        <v/>
      </c>
      <c r="H825" t="str">
        <f t="shared" si="444"/>
        <v/>
      </c>
      <c r="J825" t="str">
        <f>IF($H825="","",IF(VLOOKUP(H825,ExpItems[],2,0),H825&amp;" - "&amp;INDEX(DivisionMapping[category_code],MATCH($D825&amp;$C825,DivisionMapping[dept_bu],0)),H825))</f>
        <v/>
      </c>
      <c r="K825" t="str">
        <f t="shared" si="447"/>
        <v/>
      </c>
      <c r="L825" s="652">
        <f>IF($B825="",,SUMIFS(PerBase[Month 1],PerBase[exp_item],$H825,PerBase[company_name],$B825)*L405)</f>
        <v>0</v>
      </c>
      <c r="M825" s="652">
        <f>IF($B825="",,SUMIFS(PerBase[Month 2],PerBase[exp_item],$H825,PerBase[company_name],$B825)*M405)</f>
        <v>0</v>
      </c>
      <c r="N825" s="652">
        <f>IF($B825="",,SUMIFS(PerBase[Month 3],PerBase[exp_item],$H825,PerBase[company_name],$B825)*N405)</f>
        <v>0</v>
      </c>
      <c r="O825" s="652">
        <f>IF($B825="",,SUMIFS(PerBase[Month 4],PerBase[exp_item],$H825,PerBase[company_name],$B825)*O405)</f>
        <v>0</v>
      </c>
      <c r="P825" s="652">
        <f>IF($B825="",,SUMIFS(PerBase[Month 5],PerBase[exp_item],$H825,PerBase[company_name],$B825)*P405)</f>
        <v>0</v>
      </c>
      <c r="Q825" s="652">
        <f>IF($B825="",,SUMIFS(PerBase[Month 6],PerBase[exp_item],$H825,PerBase[company_name],$B825)*Q405)</f>
        <v>0</v>
      </c>
      <c r="R825" s="652">
        <f>IF($B825="",,SUMIFS(PerBase[Month 7],PerBase[exp_item],$H825,PerBase[company_name],$B825)*R405)</f>
        <v>0</v>
      </c>
      <c r="S825" s="652">
        <f>IF($B825="",,SUMIFS(PerBase[Month 8],PerBase[exp_item],$H825,PerBase[company_name],$B825)*S405)</f>
        <v>0</v>
      </c>
      <c r="T825" s="652">
        <f>IF($B825="",,SUMIFS(PerBase[Month 9],PerBase[exp_item],$H825,PerBase[company_name],$B825)*T405)</f>
        <v>0</v>
      </c>
      <c r="U825" s="652">
        <f>IF($B825="",,SUMIFS(PerBase[Month 10],PerBase[exp_item],$H825,PerBase[company_name],$B825)*U405)</f>
        <v>0</v>
      </c>
      <c r="V825" s="652">
        <f>IF($B825="",,SUMIFS(PerBase[Month 11],PerBase[exp_item],$H825,PerBase[company_name],$B825)*V405)</f>
        <v>0</v>
      </c>
      <c r="W825" s="652">
        <f>IF($B825="",,SUMIFS(PerBase[Month 12],PerBase[exp_item],$H825,PerBase[company_name],$B825)*W405)</f>
        <v>0</v>
      </c>
      <c r="X825" s="652">
        <f>IF($B825="",,SUMIFS(PerBase[Month 13],PerBase[exp_item],$H825,PerBase[company_name],$B825)*X405)</f>
        <v>0</v>
      </c>
      <c r="Y825" s="652">
        <f>IF($B825="",,SUMIFS(PerBase[Month 14],PerBase[exp_item],$H825,PerBase[company_name],$B825)*Y405)</f>
        <v>0</v>
      </c>
      <c r="Z825" s="652">
        <f>IF($B825="",,SUMIFS(PerBase[Month 15],PerBase[exp_item],$H825,PerBase[company_name],$B825)*Z405)</f>
        <v>0</v>
      </c>
      <c r="AA825" s="652">
        <f>IF($B825="",,SUMIFS(PerBase[Month 16],PerBase[exp_item],$H825,PerBase[company_name],$B825)*AA405)</f>
        <v>0</v>
      </c>
      <c r="AB825" s="652">
        <f>IF($B825="",,SUMIFS(PerBase[Month 17],PerBase[exp_item],$H825,PerBase[company_name],$B825)*AB405)</f>
        <v>0</v>
      </c>
      <c r="AC825" s="652">
        <f>IF($B825="",,SUMIFS(PerBase[Month 18],PerBase[exp_item],$H825,PerBase[company_name],$B825)*AC405)</f>
        <v>0</v>
      </c>
      <c r="AD825" s="652">
        <f>IF($B825="",,SUMIFS(PerBase[Month 19],PerBase[exp_item],$H825,PerBase[company_name],$B825)*AD405)</f>
        <v>0</v>
      </c>
      <c r="AE825" s="652">
        <f>IF($B825="",,SUMIFS(PerBase[Month 20],PerBase[exp_item],$H825,PerBase[company_name],$B825)*AE405)</f>
        <v>0</v>
      </c>
      <c r="AF825" s="652">
        <f>IF($B825="",,SUMIFS(PerBase[Month 21],PerBase[exp_item],$H825,PerBase[company_name],$B825)*AF405)</f>
        <v>0</v>
      </c>
      <c r="AG825" s="652">
        <f>IF($B825="",,SUMIFS(PerBase[Month 22],PerBase[exp_item],$H825,PerBase[company_name],$B825)*AG405)</f>
        <v>0</v>
      </c>
      <c r="AH825" s="652">
        <f>IF($B825="",,SUMIFS(PerBase[Month 23],PerBase[exp_item],$H825,PerBase[company_name],$B825)*AH405)</f>
        <v>0</v>
      </c>
      <c r="AI825" s="652">
        <f>IF($B825="",,SUMIFS(PerBase[Month 24],PerBase[exp_item],$H825,PerBase[company_name],$B825)*AI405)</f>
        <v>0</v>
      </c>
      <c r="AJ825" s="652">
        <f>IF($B825="",,SUMIFS(PerBase[Month 25],PerBase[exp_item],$H825,PerBase[company_name],$B825)*AJ405)</f>
        <v>0</v>
      </c>
      <c r="AK825" s="652">
        <f>IF($B825="",,SUMIFS(PerBase[Month 26],PerBase[exp_item],$H825,PerBase[company_name],$B825)*AK405)</f>
        <v>0</v>
      </c>
      <c r="AL825" s="652">
        <f>IF($B825="",,SUMIFS(PerBase[Month 27],PerBase[exp_item],$H825,PerBase[company_name],$B825)*AL405)</f>
        <v>0</v>
      </c>
      <c r="AM825" s="652">
        <f>IF($B825="",,SUMIFS(PerBase[Month 28],PerBase[exp_item],$H825,PerBase[company_name],$B825)*AM405)</f>
        <v>0</v>
      </c>
      <c r="AN825" s="652">
        <f>IF($B825="",,SUMIFS(PerBase[Month 29],PerBase[exp_item],$H825,PerBase[company_name],$B825)*AN405)</f>
        <v>0</v>
      </c>
      <c r="AO825" s="652">
        <f>IF($B825="",,SUMIFS(PerBase[Month 30],PerBase[exp_item],$H825,PerBase[company_name],$B825)*AO405)</f>
        <v>0</v>
      </c>
      <c r="AP825" s="652">
        <f>IF($B825="",,SUMIFS(PerBase[Month 31],PerBase[exp_item],$H825,PerBase[company_name],$B825)*AP405)</f>
        <v>0</v>
      </c>
      <c r="AQ825" s="652">
        <f>IF($B825="",,SUMIFS(PerBase[Month 32],PerBase[exp_item],$H825,PerBase[company_name],$B825)*AQ405)</f>
        <v>0</v>
      </c>
      <c r="AR825" s="652">
        <f>IF($B825="",,SUMIFS(PerBase[Month 33],PerBase[exp_item],$H825,PerBase[company_name],$B825)*AR405)</f>
        <v>0</v>
      </c>
      <c r="AS825" s="652">
        <f>IF($B825="",,SUMIFS(PerBase[Month 34],PerBase[exp_item],$H825,PerBase[company_name],$B825)*AS405)</f>
        <v>0</v>
      </c>
      <c r="AT825" s="652">
        <f>IF($B825="",,SUMIFS(PerBase[Month 35],PerBase[exp_item],$H825,PerBase[company_name],$B825)*AT405)</f>
        <v>0</v>
      </c>
      <c r="AU825" s="652">
        <f>IF($B825="",,SUMIFS(PerBase[Month 36],PerBase[exp_item],$H825,PerBase[company_name],$B825)*AU405)</f>
        <v>0</v>
      </c>
    </row>
    <row r="826" spans="2:47" x14ac:dyDescent="0.35">
      <c r="B826" t="str">
        <f t="shared" si="445"/>
        <v/>
      </c>
      <c r="C826" t="str">
        <f t="shared" ref="C826:G826" si="456">IF(C721="","",C721)</f>
        <v/>
      </c>
      <c r="D826" t="str">
        <f t="shared" si="456"/>
        <v/>
      </c>
      <c r="E826" t="str">
        <f t="shared" si="456"/>
        <v/>
      </c>
      <c r="F826" t="str">
        <f t="shared" si="456"/>
        <v/>
      </c>
      <c r="G826" t="str">
        <f t="shared" si="456"/>
        <v/>
      </c>
      <c r="H826" t="str">
        <f t="shared" si="444"/>
        <v/>
      </c>
      <c r="J826" t="str">
        <f>IF($H826="","",IF(VLOOKUP(H826,ExpItems[],2,0),H826&amp;" - "&amp;INDEX(DivisionMapping[category_code],MATCH($D826&amp;$C826,DivisionMapping[dept_bu],0)),H826))</f>
        <v/>
      </c>
      <c r="K826" t="str">
        <f t="shared" si="447"/>
        <v/>
      </c>
      <c r="L826" s="652">
        <f>IF($B826="",,SUMIFS(PerBase[Month 1],PerBase[exp_item],$H826,PerBase[company_name],$B826)*L406)</f>
        <v>0</v>
      </c>
      <c r="M826" s="652">
        <f>IF($B826="",,SUMIFS(PerBase[Month 2],PerBase[exp_item],$H826,PerBase[company_name],$B826)*M406)</f>
        <v>0</v>
      </c>
      <c r="N826" s="652">
        <f>IF($B826="",,SUMIFS(PerBase[Month 3],PerBase[exp_item],$H826,PerBase[company_name],$B826)*N406)</f>
        <v>0</v>
      </c>
      <c r="O826" s="652">
        <f>IF($B826="",,SUMIFS(PerBase[Month 4],PerBase[exp_item],$H826,PerBase[company_name],$B826)*O406)</f>
        <v>0</v>
      </c>
      <c r="P826" s="652">
        <f>IF($B826="",,SUMIFS(PerBase[Month 5],PerBase[exp_item],$H826,PerBase[company_name],$B826)*P406)</f>
        <v>0</v>
      </c>
      <c r="Q826" s="652">
        <f>IF($B826="",,SUMIFS(PerBase[Month 6],PerBase[exp_item],$H826,PerBase[company_name],$B826)*Q406)</f>
        <v>0</v>
      </c>
      <c r="R826" s="652">
        <f>IF($B826="",,SUMIFS(PerBase[Month 7],PerBase[exp_item],$H826,PerBase[company_name],$B826)*R406)</f>
        <v>0</v>
      </c>
      <c r="S826" s="652">
        <f>IF($B826="",,SUMIFS(PerBase[Month 8],PerBase[exp_item],$H826,PerBase[company_name],$B826)*S406)</f>
        <v>0</v>
      </c>
      <c r="T826" s="652">
        <f>IF($B826="",,SUMIFS(PerBase[Month 9],PerBase[exp_item],$H826,PerBase[company_name],$B826)*T406)</f>
        <v>0</v>
      </c>
      <c r="U826" s="652">
        <f>IF($B826="",,SUMIFS(PerBase[Month 10],PerBase[exp_item],$H826,PerBase[company_name],$B826)*U406)</f>
        <v>0</v>
      </c>
      <c r="V826" s="652">
        <f>IF($B826="",,SUMIFS(PerBase[Month 11],PerBase[exp_item],$H826,PerBase[company_name],$B826)*V406)</f>
        <v>0</v>
      </c>
      <c r="W826" s="652">
        <f>IF($B826="",,SUMIFS(PerBase[Month 12],PerBase[exp_item],$H826,PerBase[company_name],$B826)*W406)</f>
        <v>0</v>
      </c>
      <c r="X826" s="652">
        <f>IF($B826="",,SUMIFS(PerBase[Month 13],PerBase[exp_item],$H826,PerBase[company_name],$B826)*X406)</f>
        <v>0</v>
      </c>
      <c r="Y826" s="652">
        <f>IF($B826="",,SUMIFS(PerBase[Month 14],PerBase[exp_item],$H826,PerBase[company_name],$B826)*Y406)</f>
        <v>0</v>
      </c>
      <c r="Z826" s="652">
        <f>IF($B826="",,SUMIFS(PerBase[Month 15],PerBase[exp_item],$H826,PerBase[company_name],$B826)*Z406)</f>
        <v>0</v>
      </c>
      <c r="AA826" s="652">
        <f>IF($B826="",,SUMIFS(PerBase[Month 16],PerBase[exp_item],$H826,PerBase[company_name],$B826)*AA406)</f>
        <v>0</v>
      </c>
      <c r="AB826" s="652">
        <f>IF($B826="",,SUMIFS(PerBase[Month 17],PerBase[exp_item],$H826,PerBase[company_name],$B826)*AB406)</f>
        <v>0</v>
      </c>
      <c r="AC826" s="652">
        <f>IF($B826="",,SUMIFS(PerBase[Month 18],PerBase[exp_item],$H826,PerBase[company_name],$B826)*AC406)</f>
        <v>0</v>
      </c>
      <c r="AD826" s="652">
        <f>IF($B826="",,SUMIFS(PerBase[Month 19],PerBase[exp_item],$H826,PerBase[company_name],$B826)*AD406)</f>
        <v>0</v>
      </c>
      <c r="AE826" s="652">
        <f>IF($B826="",,SUMIFS(PerBase[Month 20],PerBase[exp_item],$H826,PerBase[company_name],$B826)*AE406)</f>
        <v>0</v>
      </c>
      <c r="AF826" s="652">
        <f>IF($B826="",,SUMIFS(PerBase[Month 21],PerBase[exp_item],$H826,PerBase[company_name],$B826)*AF406)</f>
        <v>0</v>
      </c>
      <c r="AG826" s="652">
        <f>IF($B826="",,SUMIFS(PerBase[Month 22],PerBase[exp_item],$H826,PerBase[company_name],$B826)*AG406)</f>
        <v>0</v>
      </c>
      <c r="AH826" s="652">
        <f>IF($B826="",,SUMIFS(PerBase[Month 23],PerBase[exp_item],$H826,PerBase[company_name],$B826)*AH406)</f>
        <v>0</v>
      </c>
      <c r="AI826" s="652">
        <f>IF($B826="",,SUMIFS(PerBase[Month 24],PerBase[exp_item],$H826,PerBase[company_name],$B826)*AI406)</f>
        <v>0</v>
      </c>
      <c r="AJ826" s="652">
        <f>IF($B826="",,SUMIFS(PerBase[Month 25],PerBase[exp_item],$H826,PerBase[company_name],$B826)*AJ406)</f>
        <v>0</v>
      </c>
      <c r="AK826" s="652">
        <f>IF($B826="",,SUMIFS(PerBase[Month 26],PerBase[exp_item],$H826,PerBase[company_name],$B826)*AK406)</f>
        <v>0</v>
      </c>
      <c r="AL826" s="652">
        <f>IF($B826="",,SUMIFS(PerBase[Month 27],PerBase[exp_item],$H826,PerBase[company_name],$B826)*AL406)</f>
        <v>0</v>
      </c>
      <c r="AM826" s="652">
        <f>IF($B826="",,SUMIFS(PerBase[Month 28],PerBase[exp_item],$H826,PerBase[company_name],$B826)*AM406)</f>
        <v>0</v>
      </c>
      <c r="AN826" s="652">
        <f>IF($B826="",,SUMIFS(PerBase[Month 29],PerBase[exp_item],$H826,PerBase[company_name],$B826)*AN406)</f>
        <v>0</v>
      </c>
      <c r="AO826" s="652">
        <f>IF($B826="",,SUMIFS(PerBase[Month 30],PerBase[exp_item],$H826,PerBase[company_name],$B826)*AO406)</f>
        <v>0</v>
      </c>
      <c r="AP826" s="652">
        <f>IF($B826="",,SUMIFS(PerBase[Month 31],PerBase[exp_item],$H826,PerBase[company_name],$B826)*AP406)</f>
        <v>0</v>
      </c>
      <c r="AQ826" s="652">
        <f>IF($B826="",,SUMIFS(PerBase[Month 32],PerBase[exp_item],$H826,PerBase[company_name],$B826)*AQ406)</f>
        <v>0</v>
      </c>
      <c r="AR826" s="652">
        <f>IF($B826="",,SUMIFS(PerBase[Month 33],PerBase[exp_item],$H826,PerBase[company_name],$B826)*AR406)</f>
        <v>0</v>
      </c>
      <c r="AS826" s="652">
        <f>IF($B826="",,SUMIFS(PerBase[Month 34],PerBase[exp_item],$H826,PerBase[company_name],$B826)*AS406)</f>
        <v>0</v>
      </c>
      <c r="AT826" s="652">
        <f>IF($B826="",,SUMIFS(PerBase[Month 35],PerBase[exp_item],$H826,PerBase[company_name],$B826)*AT406)</f>
        <v>0</v>
      </c>
      <c r="AU826" s="652">
        <f>IF($B826="",,SUMIFS(PerBase[Month 36],PerBase[exp_item],$H826,PerBase[company_name],$B826)*AU406)</f>
        <v>0</v>
      </c>
    </row>
    <row r="827" spans="2:47" x14ac:dyDescent="0.35">
      <c r="B827" t="str">
        <f t="shared" si="445"/>
        <v/>
      </c>
      <c r="C827" t="str">
        <f t="shared" ref="C827:G827" si="457">IF(C722="","",C722)</f>
        <v/>
      </c>
      <c r="D827" t="str">
        <f t="shared" si="457"/>
        <v/>
      </c>
      <c r="E827" t="str">
        <f t="shared" si="457"/>
        <v/>
      </c>
      <c r="F827" t="str">
        <f t="shared" si="457"/>
        <v/>
      </c>
      <c r="G827" t="str">
        <f t="shared" si="457"/>
        <v/>
      </c>
      <c r="H827" t="str">
        <f t="shared" si="444"/>
        <v/>
      </c>
      <c r="J827" t="str">
        <f>IF($H827="","",IF(VLOOKUP(H827,ExpItems[],2,0),H827&amp;" - "&amp;INDEX(DivisionMapping[category_code],MATCH($D827&amp;$C827,DivisionMapping[dept_bu],0)),H827))</f>
        <v/>
      </c>
      <c r="K827" t="str">
        <f t="shared" si="447"/>
        <v/>
      </c>
      <c r="L827" s="652">
        <f>IF($B827="",,SUMIFS(PerBase[Month 1],PerBase[exp_item],$H827,PerBase[company_name],$B827)*L407)</f>
        <v>0</v>
      </c>
      <c r="M827" s="652">
        <f>IF($B827="",,SUMIFS(PerBase[Month 2],PerBase[exp_item],$H827,PerBase[company_name],$B827)*M407)</f>
        <v>0</v>
      </c>
      <c r="N827" s="652">
        <f>IF($B827="",,SUMIFS(PerBase[Month 3],PerBase[exp_item],$H827,PerBase[company_name],$B827)*N407)</f>
        <v>0</v>
      </c>
      <c r="O827" s="652">
        <f>IF($B827="",,SUMIFS(PerBase[Month 4],PerBase[exp_item],$H827,PerBase[company_name],$B827)*O407)</f>
        <v>0</v>
      </c>
      <c r="P827" s="652">
        <f>IF($B827="",,SUMIFS(PerBase[Month 5],PerBase[exp_item],$H827,PerBase[company_name],$B827)*P407)</f>
        <v>0</v>
      </c>
      <c r="Q827" s="652">
        <f>IF($B827="",,SUMIFS(PerBase[Month 6],PerBase[exp_item],$H827,PerBase[company_name],$B827)*Q407)</f>
        <v>0</v>
      </c>
      <c r="R827" s="652">
        <f>IF($B827="",,SUMIFS(PerBase[Month 7],PerBase[exp_item],$H827,PerBase[company_name],$B827)*R407)</f>
        <v>0</v>
      </c>
      <c r="S827" s="652">
        <f>IF($B827="",,SUMIFS(PerBase[Month 8],PerBase[exp_item],$H827,PerBase[company_name],$B827)*S407)</f>
        <v>0</v>
      </c>
      <c r="T827" s="652">
        <f>IF($B827="",,SUMIFS(PerBase[Month 9],PerBase[exp_item],$H827,PerBase[company_name],$B827)*T407)</f>
        <v>0</v>
      </c>
      <c r="U827" s="652">
        <f>IF($B827="",,SUMIFS(PerBase[Month 10],PerBase[exp_item],$H827,PerBase[company_name],$B827)*U407)</f>
        <v>0</v>
      </c>
      <c r="V827" s="652">
        <f>IF($B827="",,SUMIFS(PerBase[Month 11],PerBase[exp_item],$H827,PerBase[company_name],$B827)*V407)</f>
        <v>0</v>
      </c>
      <c r="W827" s="652">
        <f>IF($B827="",,SUMIFS(PerBase[Month 12],PerBase[exp_item],$H827,PerBase[company_name],$B827)*W407)</f>
        <v>0</v>
      </c>
      <c r="X827" s="652">
        <f>IF($B827="",,SUMIFS(PerBase[Month 13],PerBase[exp_item],$H827,PerBase[company_name],$B827)*X407)</f>
        <v>0</v>
      </c>
      <c r="Y827" s="652">
        <f>IF($B827="",,SUMIFS(PerBase[Month 14],PerBase[exp_item],$H827,PerBase[company_name],$B827)*Y407)</f>
        <v>0</v>
      </c>
      <c r="Z827" s="652">
        <f>IF($B827="",,SUMIFS(PerBase[Month 15],PerBase[exp_item],$H827,PerBase[company_name],$B827)*Z407)</f>
        <v>0</v>
      </c>
      <c r="AA827" s="652">
        <f>IF($B827="",,SUMIFS(PerBase[Month 16],PerBase[exp_item],$H827,PerBase[company_name],$B827)*AA407)</f>
        <v>0</v>
      </c>
      <c r="AB827" s="652">
        <f>IF($B827="",,SUMIFS(PerBase[Month 17],PerBase[exp_item],$H827,PerBase[company_name],$B827)*AB407)</f>
        <v>0</v>
      </c>
      <c r="AC827" s="652">
        <f>IF($B827="",,SUMIFS(PerBase[Month 18],PerBase[exp_item],$H827,PerBase[company_name],$B827)*AC407)</f>
        <v>0</v>
      </c>
      <c r="AD827" s="652">
        <f>IF($B827="",,SUMIFS(PerBase[Month 19],PerBase[exp_item],$H827,PerBase[company_name],$B827)*AD407)</f>
        <v>0</v>
      </c>
      <c r="AE827" s="652">
        <f>IF($B827="",,SUMIFS(PerBase[Month 20],PerBase[exp_item],$H827,PerBase[company_name],$B827)*AE407)</f>
        <v>0</v>
      </c>
      <c r="AF827" s="652">
        <f>IF($B827="",,SUMIFS(PerBase[Month 21],PerBase[exp_item],$H827,PerBase[company_name],$B827)*AF407)</f>
        <v>0</v>
      </c>
      <c r="AG827" s="652">
        <f>IF($B827="",,SUMIFS(PerBase[Month 22],PerBase[exp_item],$H827,PerBase[company_name],$B827)*AG407)</f>
        <v>0</v>
      </c>
      <c r="AH827" s="652">
        <f>IF($B827="",,SUMIFS(PerBase[Month 23],PerBase[exp_item],$H827,PerBase[company_name],$B827)*AH407)</f>
        <v>0</v>
      </c>
      <c r="AI827" s="652">
        <f>IF($B827="",,SUMIFS(PerBase[Month 24],PerBase[exp_item],$H827,PerBase[company_name],$B827)*AI407)</f>
        <v>0</v>
      </c>
      <c r="AJ827" s="652">
        <f>IF($B827="",,SUMIFS(PerBase[Month 25],PerBase[exp_item],$H827,PerBase[company_name],$B827)*AJ407)</f>
        <v>0</v>
      </c>
      <c r="AK827" s="652">
        <f>IF($B827="",,SUMIFS(PerBase[Month 26],PerBase[exp_item],$H827,PerBase[company_name],$B827)*AK407)</f>
        <v>0</v>
      </c>
      <c r="AL827" s="652">
        <f>IF($B827="",,SUMIFS(PerBase[Month 27],PerBase[exp_item],$H827,PerBase[company_name],$B827)*AL407)</f>
        <v>0</v>
      </c>
      <c r="AM827" s="652">
        <f>IF($B827="",,SUMIFS(PerBase[Month 28],PerBase[exp_item],$H827,PerBase[company_name],$B827)*AM407)</f>
        <v>0</v>
      </c>
      <c r="AN827" s="652">
        <f>IF($B827="",,SUMIFS(PerBase[Month 29],PerBase[exp_item],$H827,PerBase[company_name],$B827)*AN407)</f>
        <v>0</v>
      </c>
      <c r="AO827" s="652">
        <f>IF($B827="",,SUMIFS(PerBase[Month 30],PerBase[exp_item],$H827,PerBase[company_name],$B827)*AO407)</f>
        <v>0</v>
      </c>
      <c r="AP827" s="652">
        <f>IF($B827="",,SUMIFS(PerBase[Month 31],PerBase[exp_item],$H827,PerBase[company_name],$B827)*AP407)</f>
        <v>0</v>
      </c>
      <c r="AQ827" s="652">
        <f>IF($B827="",,SUMIFS(PerBase[Month 32],PerBase[exp_item],$H827,PerBase[company_name],$B827)*AQ407)</f>
        <v>0</v>
      </c>
      <c r="AR827" s="652">
        <f>IF($B827="",,SUMIFS(PerBase[Month 33],PerBase[exp_item],$H827,PerBase[company_name],$B827)*AR407)</f>
        <v>0</v>
      </c>
      <c r="AS827" s="652">
        <f>IF($B827="",,SUMIFS(PerBase[Month 34],PerBase[exp_item],$H827,PerBase[company_name],$B827)*AS407)</f>
        <v>0</v>
      </c>
      <c r="AT827" s="652">
        <f>IF($B827="",,SUMIFS(PerBase[Month 35],PerBase[exp_item],$H827,PerBase[company_name],$B827)*AT407)</f>
        <v>0</v>
      </c>
      <c r="AU827" s="652">
        <f>IF($B827="",,SUMIFS(PerBase[Month 36],PerBase[exp_item],$H827,PerBase[company_name],$B827)*AU407)</f>
        <v>0</v>
      </c>
    </row>
    <row r="828" spans="2:47" x14ac:dyDescent="0.35">
      <c r="B828" t="str">
        <f t="shared" si="445"/>
        <v/>
      </c>
      <c r="C828" t="str">
        <f t="shared" ref="C828:G828" si="458">IF(C723="","",C723)</f>
        <v/>
      </c>
      <c r="D828" t="str">
        <f t="shared" si="458"/>
        <v/>
      </c>
      <c r="E828" t="str">
        <f t="shared" si="458"/>
        <v/>
      </c>
      <c r="F828" t="str">
        <f t="shared" si="458"/>
        <v/>
      </c>
      <c r="G828" t="str">
        <f t="shared" si="458"/>
        <v/>
      </c>
      <c r="H828" t="str">
        <f t="shared" si="444"/>
        <v/>
      </c>
      <c r="J828" t="str">
        <f>IF($H828="","",IF(VLOOKUP(H828,ExpItems[],2,0),H828&amp;" - "&amp;INDEX(DivisionMapping[category_code],MATCH($D828&amp;$C828,DivisionMapping[dept_bu],0)),H828))</f>
        <v/>
      </c>
      <c r="K828" t="str">
        <f t="shared" si="447"/>
        <v/>
      </c>
      <c r="L828" s="652">
        <f>IF($B828="",,SUMIFS(PerBase[Month 1],PerBase[exp_item],$H828,PerBase[company_name],$B828)*L408)</f>
        <v>0</v>
      </c>
      <c r="M828" s="652">
        <f>IF($B828="",,SUMIFS(PerBase[Month 2],PerBase[exp_item],$H828,PerBase[company_name],$B828)*M408)</f>
        <v>0</v>
      </c>
      <c r="N828" s="652">
        <f>IF($B828="",,SUMIFS(PerBase[Month 3],PerBase[exp_item],$H828,PerBase[company_name],$B828)*N408)</f>
        <v>0</v>
      </c>
      <c r="O828" s="652">
        <f>IF($B828="",,SUMIFS(PerBase[Month 4],PerBase[exp_item],$H828,PerBase[company_name],$B828)*O408)</f>
        <v>0</v>
      </c>
      <c r="P828" s="652">
        <f>IF($B828="",,SUMIFS(PerBase[Month 5],PerBase[exp_item],$H828,PerBase[company_name],$B828)*P408)</f>
        <v>0</v>
      </c>
      <c r="Q828" s="652">
        <f>IF($B828="",,SUMIFS(PerBase[Month 6],PerBase[exp_item],$H828,PerBase[company_name],$B828)*Q408)</f>
        <v>0</v>
      </c>
      <c r="R828" s="652">
        <f>IF($B828="",,SUMIFS(PerBase[Month 7],PerBase[exp_item],$H828,PerBase[company_name],$B828)*R408)</f>
        <v>0</v>
      </c>
      <c r="S828" s="652">
        <f>IF($B828="",,SUMIFS(PerBase[Month 8],PerBase[exp_item],$H828,PerBase[company_name],$B828)*S408)</f>
        <v>0</v>
      </c>
      <c r="T828" s="652">
        <f>IF($B828="",,SUMIFS(PerBase[Month 9],PerBase[exp_item],$H828,PerBase[company_name],$B828)*T408)</f>
        <v>0</v>
      </c>
      <c r="U828" s="652">
        <f>IF($B828="",,SUMIFS(PerBase[Month 10],PerBase[exp_item],$H828,PerBase[company_name],$B828)*U408)</f>
        <v>0</v>
      </c>
      <c r="V828" s="652">
        <f>IF($B828="",,SUMIFS(PerBase[Month 11],PerBase[exp_item],$H828,PerBase[company_name],$B828)*V408)</f>
        <v>0</v>
      </c>
      <c r="W828" s="652">
        <f>IF($B828="",,SUMIFS(PerBase[Month 12],PerBase[exp_item],$H828,PerBase[company_name],$B828)*W408)</f>
        <v>0</v>
      </c>
      <c r="X828" s="652">
        <f>IF($B828="",,SUMIFS(PerBase[Month 13],PerBase[exp_item],$H828,PerBase[company_name],$B828)*X408)</f>
        <v>0</v>
      </c>
      <c r="Y828" s="652">
        <f>IF($B828="",,SUMIFS(PerBase[Month 14],PerBase[exp_item],$H828,PerBase[company_name],$B828)*Y408)</f>
        <v>0</v>
      </c>
      <c r="Z828" s="652">
        <f>IF($B828="",,SUMIFS(PerBase[Month 15],PerBase[exp_item],$H828,PerBase[company_name],$B828)*Z408)</f>
        <v>0</v>
      </c>
      <c r="AA828" s="652">
        <f>IF($B828="",,SUMIFS(PerBase[Month 16],PerBase[exp_item],$H828,PerBase[company_name],$B828)*AA408)</f>
        <v>0</v>
      </c>
      <c r="AB828" s="652">
        <f>IF($B828="",,SUMIFS(PerBase[Month 17],PerBase[exp_item],$H828,PerBase[company_name],$B828)*AB408)</f>
        <v>0</v>
      </c>
      <c r="AC828" s="652">
        <f>IF($B828="",,SUMIFS(PerBase[Month 18],PerBase[exp_item],$H828,PerBase[company_name],$B828)*AC408)</f>
        <v>0</v>
      </c>
      <c r="AD828" s="652">
        <f>IF($B828="",,SUMIFS(PerBase[Month 19],PerBase[exp_item],$H828,PerBase[company_name],$B828)*AD408)</f>
        <v>0</v>
      </c>
      <c r="AE828" s="652">
        <f>IF($B828="",,SUMIFS(PerBase[Month 20],PerBase[exp_item],$H828,PerBase[company_name],$B828)*AE408)</f>
        <v>0</v>
      </c>
      <c r="AF828" s="652">
        <f>IF($B828="",,SUMIFS(PerBase[Month 21],PerBase[exp_item],$H828,PerBase[company_name],$B828)*AF408)</f>
        <v>0</v>
      </c>
      <c r="AG828" s="652">
        <f>IF($B828="",,SUMIFS(PerBase[Month 22],PerBase[exp_item],$H828,PerBase[company_name],$B828)*AG408)</f>
        <v>0</v>
      </c>
      <c r="AH828" s="652">
        <f>IF($B828="",,SUMIFS(PerBase[Month 23],PerBase[exp_item],$H828,PerBase[company_name],$B828)*AH408)</f>
        <v>0</v>
      </c>
      <c r="AI828" s="652">
        <f>IF($B828="",,SUMIFS(PerBase[Month 24],PerBase[exp_item],$H828,PerBase[company_name],$B828)*AI408)</f>
        <v>0</v>
      </c>
      <c r="AJ828" s="652">
        <f>IF($B828="",,SUMIFS(PerBase[Month 25],PerBase[exp_item],$H828,PerBase[company_name],$B828)*AJ408)</f>
        <v>0</v>
      </c>
      <c r="AK828" s="652">
        <f>IF($B828="",,SUMIFS(PerBase[Month 26],PerBase[exp_item],$H828,PerBase[company_name],$B828)*AK408)</f>
        <v>0</v>
      </c>
      <c r="AL828" s="652">
        <f>IF($B828="",,SUMIFS(PerBase[Month 27],PerBase[exp_item],$H828,PerBase[company_name],$B828)*AL408)</f>
        <v>0</v>
      </c>
      <c r="AM828" s="652">
        <f>IF($B828="",,SUMIFS(PerBase[Month 28],PerBase[exp_item],$H828,PerBase[company_name],$B828)*AM408)</f>
        <v>0</v>
      </c>
      <c r="AN828" s="652">
        <f>IF($B828="",,SUMIFS(PerBase[Month 29],PerBase[exp_item],$H828,PerBase[company_name],$B828)*AN408)</f>
        <v>0</v>
      </c>
      <c r="AO828" s="652">
        <f>IF($B828="",,SUMIFS(PerBase[Month 30],PerBase[exp_item],$H828,PerBase[company_name],$B828)*AO408)</f>
        <v>0</v>
      </c>
      <c r="AP828" s="652">
        <f>IF($B828="",,SUMIFS(PerBase[Month 31],PerBase[exp_item],$H828,PerBase[company_name],$B828)*AP408)</f>
        <v>0</v>
      </c>
      <c r="AQ828" s="652">
        <f>IF($B828="",,SUMIFS(PerBase[Month 32],PerBase[exp_item],$H828,PerBase[company_name],$B828)*AQ408)</f>
        <v>0</v>
      </c>
      <c r="AR828" s="652">
        <f>IF($B828="",,SUMIFS(PerBase[Month 33],PerBase[exp_item],$H828,PerBase[company_name],$B828)*AR408)</f>
        <v>0</v>
      </c>
      <c r="AS828" s="652">
        <f>IF($B828="",,SUMIFS(PerBase[Month 34],PerBase[exp_item],$H828,PerBase[company_name],$B828)*AS408)</f>
        <v>0</v>
      </c>
      <c r="AT828" s="652">
        <f>IF($B828="",,SUMIFS(PerBase[Month 35],PerBase[exp_item],$H828,PerBase[company_name],$B828)*AT408)</f>
        <v>0</v>
      </c>
      <c r="AU828" s="652">
        <f>IF($B828="",,SUMIFS(PerBase[Month 36],PerBase[exp_item],$H828,PerBase[company_name],$B828)*AU408)</f>
        <v>0</v>
      </c>
    </row>
    <row r="829" spans="2:47" x14ac:dyDescent="0.35">
      <c r="B829" t="str">
        <f t="shared" si="445"/>
        <v/>
      </c>
      <c r="C829" t="str">
        <f t="shared" ref="C829:G829" si="459">IF(C724="","",C724)</f>
        <v/>
      </c>
      <c r="D829" t="str">
        <f t="shared" si="459"/>
        <v/>
      </c>
      <c r="E829" t="str">
        <f t="shared" si="459"/>
        <v/>
      </c>
      <c r="F829" t="str">
        <f t="shared" si="459"/>
        <v/>
      </c>
      <c r="G829" t="str">
        <f t="shared" si="459"/>
        <v/>
      </c>
      <c r="H829" t="str">
        <f t="shared" si="444"/>
        <v/>
      </c>
      <c r="J829" t="str">
        <f>IF($H829="","",IF(VLOOKUP(H829,ExpItems[],2,0),H829&amp;" - "&amp;INDEX(DivisionMapping[category_code],MATCH($D829&amp;$C829,DivisionMapping[dept_bu],0)),H829))</f>
        <v/>
      </c>
      <c r="K829" t="str">
        <f t="shared" si="447"/>
        <v/>
      </c>
      <c r="L829" s="652">
        <f>IF($B829="",,SUMIFS(PerBase[Month 1],PerBase[exp_item],$H829,PerBase[company_name],$B829)*L409)</f>
        <v>0</v>
      </c>
      <c r="M829" s="652">
        <f>IF($B829="",,SUMIFS(PerBase[Month 2],PerBase[exp_item],$H829,PerBase[company_name],$B829)*M409)</f>
        <v>0</v>
      </c>
      <c r="N829" s="652">
        <f>IF($B829="",,SUMIFS(PerBase[Month 3],PerBase[exp_item],$H829,PerBase[company_name],$B829)*N409)</f>
        <v>0</v>
      </c>
      <c r="O829" s="652">
        <f>IF($B829="",,SUMIFS(PerBase[Month 4],PerBase[exp_item],$H829,PerBase[company_name],$B829)*O409)</f>
        <v>0</v>
      </c>
      <c r="P829" s="652">
        <f>IF($B829="",,SUMIFS(PerBase[Month 5],PerBase[exp_item],$H829,PerBase[company_name],$B829)*P409)</f>
        <v>0</v>
      </c>
      <c r="Q829" s="652">
        <f>IF($B829="",,SUMIFS(PerBase[Month 6],PerBase[exp_item],$H829,PerBase[company_name],$B829)*Q409)</f>
        <v>0</v>
      </c>
      <c r="R829" s="652">
        <f>IF($B829="",,SUMIFS(PerBase[Month 7],PerBase[exp_item],$H829,PerBase[company_name],$B829)*R409)</f>
        <v>0</v>
      </c>
      <c r="S829" s="652">
        <f>IF($B829="",,SUMIFS(PerBase[Month 8],PerBase[exp_item],$H829,PerBase[company_name],$B829)*S409)</f>
        <v>0</v>
      </c>
      <c r="T829" s="652">
        <f>IF($B829="",,SUMIFS(PerBase[Month 9],PerBase[exp_item],$H829,PerBase[company_name],$B829)*T409)</f>
        <v>0</v>
      </c>
      <c r="U829" s="652">
        <f>IF($B829="",,SUMIFS(PerBase[Month 10],PerBase[exp_item],$H829,PerBase[company_name],$B829)*U409)</f>
        <v>0</v>
      </c>
      <c r="V829" s="652">
        <f>IF($B829="",,SUMIFS(PerBase[Month 11],PerBase[exp_item],$H829,PerBase[company_name],$B829)*V409)</f>
        <v>0</v>
      </c>
      <c r="W829" s="652">
        <f>IF($B829="",,SUMIFS(PerBase[Month 12],PerBase[exp_item],$H829,PerBase[company_name],$B829)*W409)</f>
        <v>0</v>
      </c>
      <c r="X829" s="652">
        <f>IF($B829="",,SUMIFS(PerBase[Month 13],PerBase[exp_item],$H829,PerBase[company_name],$B829)*X409)</f>
        <v>0</v>
      </c>
      <c r="Y829" s="652">
        <f>IF($B829="",,SUMIFS(PerBase[Month 14],PerBase[exp_item],$H829,PerBase[company_name],$B829)*Y409)</f>
        <v>0</v>
      </c>
      <c r="Z829" s="652">
        <f>IF($B829="",,SUMIFS(PerBase[Month 15],PerBase[exp_item],$H829,PerBase[company_name],$B829)*Z409)</f>
        <v>0</v>
      </c>
      <c r="AA829" s="652">
        <f>IF($B829="",,SUMIFS(PerBase[Month 16],PerBase[exp_item],$H829,PerBase[company_name],$B829)*AA409)</f>
        <v>0</v>
      </c>
      <c r="AB829" s="652">
        <f>IF($B829="",,SUMIFS(PerBase[Month 17],PerBase[exp_item],$H829,PerBase[company_name],$B829)*AB409)</f>
        <v>0</v>
      </c>
      <c r="AC829" s="652">
        <f>IF($B829="",,SUMIFS(PerBase[Month 18],PerBase[exp_item],$H829,PerBase[company_name],$B829)*AC409)</f>
        <v>0</v>
      </c>
      <c r="AD829" s="652">
        <f>IF($B829="",,SUMIFS(PerBase[Month 19],PerBase[exp_item],$H829,PerBase[company_name],$B829)*AD409)</f>
        <v>0</v>
      </c>
      <c r="AE829" s="652">
        <f>IF($B829="",,SUMIFS(PerBase[Month 20],PerBase[exp_item],$H829,PerBase[company_name],$B829)*AE409)</f>
        <v>0</v>
      </c>
      <c r="AF829" s="652">
        <f>IF($B829="",,SUMIFS(PerBase[Month 21],PerBase[exp_item],$H829,PerBase[company_name],$B829)*AF409)</f>
        <v>0</v>
      </c>
      <c r="AG829" s="652">
        <f>IF($B829="",,SUMIFS(PerBase[Month 22],PerBase[exp_item],$H829,PerBase[company_name],$B829)*AG409)</f>
        <v>0</v>
      </c>
      <c r="AH829" s="652">
        <f>IF($B829="",,SUMIFS(PerBase[Month 23],PerBase[exp_item],$H829,PerBase[company_name],$B829)*AH409)</f>
        <v>0</v>
      </c>
      <c r="AI829" s="652">
        <f>IF($B829="",,SUMIFS(PerBase[Month 24],PerBase[exp_item],$H829,PerBase[company_name],$B829)*AI409)</f>
        <v>0</v>
      </c>
      <c r="AJ829" s="652">
        <f>IF($B829="",,SUMIFS(PerBase[Month 25],PerBase[exp_item],$H829,PerBase[company_name],$B829)*AJ409)</f>
        <v>0</v>
      </c>
      <c r="AK829" s="652">
        <f>IF($B829="",,SUMIFS(PerBase[Month 26],PerBase[exp_item],$H829,PerBase[company_name],$B829)*AK409)</f>
        <v>0</v>
      </c>
      <c r="AL829" s="652">
        <f>IF($B829="",,SUMIFS(PerBase[Month 27],PerBase[exp_item],$H829,PerBase[company_name],$B829)*AL409)</f>
        <v>0</v>
      </c>
      <c r="AM829" s="652">
        <f>IF($B829="",,SUMIFS(PerBase[Month 28],PerBase[exp_item],$H829,PerBase[company_name],$B829)*AM409)</f>
        <v>0</v>
      </c>
      <c r="AN829" s="652">
        <f>IF($B829="",,SUMIFS(PerBase[Month 29],PerBase[exp_item],$H829,PerBase[company_name],$B829)*AN409)</f>
        <v>0</v>
      </c>
      <c r="AO829" s="652">
        <f>IF($B829="",,SUMIFS(PerBase[Month 30],PerBase[exp_item],$H829,PerBase[company_name],$B829)*AO409)</f>
        <v>0</v>
      </c>
      <c r="AP829" s="652">
        <f>IF($B829="",,SUMIFS(PerBase[Month 31],PerBase[exp_item],$H829,PerBase[company_name],$B829)*AP409)</f>
        <v>0</v>
      </c>
      <c r="AQ829" s="652">
        <f>IF($B829="",,SUMIFS(PerBase[Month 32],PerBase[exp_item],$H829,PerBase[company_name],$B829)*AQ409)</f>
        <v>0</v>
      </c>
      <c r="AR829" s="652">
        <f>IF($B829="",,SUMIFS(PerBase[Month 33],PerBase[exp_item],$H829,PerBase[company_name],$B829)*AR409)</f>
        <v>0</v>
      </c>
      <c r="AS829" s="652">
        <f>IF($B829="",,SUMIFS(PerBase[Month 34],PerBase[exp_item],$H829,PerBase[company_name],$B829)*AS409)</f>
        <v>0</v>
      </c>
      <c r="AT829" s="652">
        <f>IF($B829="",,SUMIFS(PerBase[Month 35],PerBase[exp_item],$H829,PerBase[company_name],$B829)*AT409)</f>
        <v>0</v>
      </c>
      <c r="AU829" s="652">
        <f>IF($B829="",,SUMIFS(PerBase[Month 36],PerBase[exp_item],$H829,PerBase[company_name],$B829)*AU409)</f>
        <v>0</v>
      </c>
    </row>
    <row r="830" spans="2:47" x14ac:dyDescent="0.35">
      <c r="B830" t="str">
        <f t="shared" si="445"/>
        <v/>
      </c>
      <c r="C830" t="str">
        <f t="shared" ref="C830:G830" si="460">IF(C725="","",C725)</f>
        <v/>
      </c>
      <c r="D830" t="str">
        <f t="shared" si="460"/>
        <v/>
      </c>
      <c r="E830" t="str">
        <f t="shared" si="460"/>
        <v/>
      </c>
      <c r="F830" t="str">
        <f t="shared" si="460"/>
        <v/>
      </c>
      <c r="G830" t="str">
        <f t="shared" si="460"/>
        <v/>
      </c>
      <c r="H830" t="str">
        <f t="shared" si="444"/>
        <v/>
      </c>
      <c r="J830" t="str">
        <f>IF($H830="","",IF(VLOOKUP(H830,ExpItems[],2,0),H830&amp;" - "&amp;INDEX(DivisionMapping[category_code],MATCH($D830&amp;$C830,DivisionMapping[dept_bu],0)),H830))</f>
        <v/>
      </c>
      <c r="K830" t="str">
        <f t="shared" si="447"/>
        <v/>
      </c>
      <c r="L830" s="652">
        <f>IF($B830="",,SUMIFS(PerBase[Month 1],PerBase[exp_item],$H830,PerBase[company_name],$B830)*L410)</f>
        <v>0</v>
      </c>
      <c r="M830" s="652">
        <f>IF($B830="",,SUMIFS(PerBase[Month 2],PerBase[exp_item],$H830,PerBase[company_name],$B830)*M410)</f>
        <v>0</v>
      </c>
      <c r="N830" s="652">
        <f>IF($B830="",,SUMIFS(PerBase[Month 3],PerBase[exp_item],$H830,PerBase[company_name],$B830)*N410)</f>
        <v>0</v>
      </c>
      <c r="O830" s="652">
        <f>IF($B830="",,SUMIFS(PerBase[Month 4],PerBase[exp_item],$H830,PerBase[company_name],$B830)*O410)</f>
        <v>0</v>
      </c>
      <c r="P830" s="652">
        <f>IF($B830="",,SUMIFS(PerBase[Month 5],PerBase[exp_item],$H830,PerBase[company_name],$B830)*P410)</f>
        <v>0</v>
      </c>
      <c r="Q830" s="652">
        <f>IF($B830="",,SUMIFS(PerBase[Month 6],PerBase[exp_item],$H830,PerBase[company_name],$B830)*Q410)</f>
        <v>0</v>
      </c>
      <c r="R830" s="652">
        <f>IF($B830="",,SUMIFS(PerBase[Month 7],PerBase[exp_item],$H830,PerBase[company_name],$B830)*R410)</f>
        <v>0</v>
      </c>
      <c r="S830" s="652">
        <f>IF($B830="",,SUMIFS(PerBase[Month 8],PerBase[exp_item],$H830,PerBase[company_name],$B830)*S410)</f>
        <v>0</v>
      </c>
      <c r="T830" s="652">
        <f>IF($B830="",,SUMIFS(PerBase[Month 9],PerBase[exp_item],$H830,PerBase[company_name],$B830)*T410)</f>
        <v>0</v>
      </c>
      <c r="U830" s="652">
        <f>IF($B830="",,SUMIFS(PerBase[Month 10],PerBase[exp_item],$H830,PerBase[company_name],$B830)*U410)</f>
        <v>0</v>
      </c>
      <c r="V830" s="652">
        <f>IF($B830="",,SUMIFS(PerBase[Month 11],PerBase[exp_item],$H830,PerBase[company_name],$B830)*V410)</f>
        <v>0</v>
      </c>
      <c r="W830" s="652">
        <f>IF($B830="",,SUMIFS(PerBase[Month 12],PerBase[exp_item],$H830,PerBase[company_name],$B830)*W410)</f>
        <v>0</v>
      </c>
      <c r="X830" s="652">
        <f>IF($B830="",,SUMIFS(PerBase[Month 13],PerBase[exp_item],$H830,PerBase[company_name],$B830)*X410)</f>
        <v>0</v>
      </c>
      <c r="Y830" s="652">
        <f>IF($B830="",,SUMIFS(PerBase[Month 14],PerBase[exp_item],$H830,PerBase[company_name],$B830)*Y410)</f>
        <v>0</v>
      </c>
      <c r="Z830" s="652">
        <f>IF($B830="",,SUMIFS(PerBase[Month 15],PerBase[exp_item],$H830,PerBase[company_name],$B830)*Z410)</f>
        <v>0</v>
      </c>
      <c r="AA830" s="652">
        <f>IF($B830="",,SUMIFS(PerBase[Month 16],PerBase[exp_item],$H830,PerBase[company_name],$B830)*AA410)</f>
        <v>0</v>
      </c>
      <c r="AB830" s="652">
        <f>IF($B830="",,SUMIFS(PerBase[Month 17],PerBase[exp_item],$H830,PerBase[company_name],$B830)*AB410)</f>
        <v>0</v>
      </c>
      <c r="AC830" s="652">
        <f>IF($B830="",,SUMIFS(PerBase[Month 18],PerBase[exp_item],$H830,PerBase[company_name],$B830)*AC410)</f>
        <v>0</v>
      </c>
      <c r="AD830" s="652">
        <f>IF($B830="",,SUMIFS(PerBase[Month 19],PerBase[exp_item],$H830,PerBase[company_name],$B830)*AD410)</f>
        <v>0</v>
      </c>
      <c r="AE830" s="652">
        <f>IF($B830="",,SUMIFS(PerBase[Month 20],PerBase[exp_item],$H830,PerBase[company_name],$B830)*AE410)</f>
        <v>0</v>
      </c>
      <c r="AF830" s="652">
        <f>IF($B830="",,SUMIFS(PerBase[Month 21],PerBase[exp_item],$H830,PerBase[company_name],$B830)*AF410)</f>
        <v>0</v>
      </c>
      <c r="AG830" s="652">
        <f>IF($B830="",,SUMIFS(PerBase[Month 22],PerBase[exp_item],$H830,PerBase[company_name],$B830)*AG410)</f>
        <v>0</v>
      </c>
      <c r="AH830" s="652">
        <f>IF($B830="",,SUMIFS(PerBase[Month 23],PerBase[exp_item],$H830,PerBase[company_name],$B830)*AH410)</f>
        <v>0</v>
      </c>
      <c r="AI830" s="652">
        <f>IF($B830="",,SUMIFS(PerBase[Month 24],PerBase[exp_item],$H830,PerBase[company_name],$B830)*AI410)</f>
        <v>0</v>
      </c>
      <c r="AJ830" s="652">
        <f>IF($B830="",,SUMIFS(PerBase[Month 25],PerBase[exp_item],$H830,PerBase[company_name],$B830)*AJ410)</f>
        <v>0</v>
      </c>
      <c r="AK830" s="652">
        <f>IF($B830="",,SUMIFS(PerBase[Month 26],PerBase[exp_item],$H830,PerBase[company_name],$B830)*AK410)</f>
        <v>0</v>
      </c>
      <c r="AL830" s="652">
        <f>IF($B830="",,SUMIFS(PerBase[Month 27],PerBase[exp_item],$H830,PerBase[company_name],$B830)*AL410)</f>
        <v>0</v>
      </c>
      <c r="AM830" s="652">
        <f>IF($B830="",,SUMIFS(PerBase[Month 28],PerBase[exp_item],$H830,PerBase[company_name],$B830)*AM410)</f>
        <v>0</v>
      </c>
      <c r="AN830" s="652">
        <f>IF($B830="",,SUMIFS(PerBase[Month 29],PerBase[exp_item],$H830,PerBase[company_name],$B830)*AN410)</f>
        <v>0</v>
      </c>
      <c r="AO830" s="652">
        <f>IF($B830="",,SUMIFS(PerBase[Month 30],PerBase[exp_item],$H830,PerBase[company_name],$B830)*AO410)</f>
        <v>0</v>
      </c>
      <c r="AP830" s="652">
        <f>IF($B830="",,SUMIFS(PerBase[Month 31],PerBase[exp_item],$H830,PerBase[company_name],$B830)*AP410)</f>
        <v>0</v>
      </c>
      <c r="AQ830" s="652">
        <f>IF($B830="",,SUMIFS(PerBase[Month 32],PerBase[exp_item],$H830,PerBase[company_name],$B830)*AQ410)</f>
        <v>0</v>
      </c>
      <c r="AR830" s="652">
        <f>IF($B830="",,SUMIFS(PerBase[Month 33],PerBase[exp_item],$H830,PerBase[company_name],$B830)*AR410)</f>
        <v>0</v>
      </c>
      <c r="AS830" s="652">
        <f>IF($B830="",,SUMIFS(PerBase[Month 34],PerBase[exp_item],$H830,PerBase[company_name],$B830)*AS410)</f>
        <v>0</v>
      </c>
      <c r="AT830" s="652">
        <f>IF($B830="",,SUMIFS(PerBase[Month 35],PerBase[exp_item],$H830,PerBase[company_name],$B830)*AT410)</f>
        <v>0</v>
      </c>
      <c r="AU830" s="652">
        <f>IF($B830="",,SUMIFS(PerBase[Month 36],PerBase[exp_item],$H830,PerBase[company_name],$B830)*AU410)</f>
        <v>0</v>
      </c>
    </row>
    <row r="831" spans="2:47" x14ac:dyDescent="0.35">
      <c r="B831" t="str">
        <f t="shared" si="445"/>
        <v/>
      </c>
      <c r="C831" t="str">
        <f t="shared" ref="C831:G831" si="461">IF(C726="","",C726)</f>
        <v/>
      </c>
      <c r="D831" t="str">
        <f t="shared" si="461"/>
        <v/>
      </c>
      <c r="E831" t="str">
        <f t="shared" si="461"/>
        <v/>
      </c>
      <c r="F831" t="str">
        <f t="shared" si="461"/>
        <v/>
      </c>
      <c r="G831" t="str">
        <f t="shared" si="461"/>
        <v/>
      </c>
      <c r="H831" t="str">
        <f t="shared" si="444"/>
        <v/>
      </c>
      <c r="J831" t="str">
        <f>IF($H831="","",IF(VLOOKUP(H831,ExpItems[],2,0),H831&amp;" - "&amp;INDEX(DivisionMapping[category_code],MATCH($D831&amp;$C831,DivisionMapping[dept_bu],0)),H831))</f>
        <v/>
      </c>
      <c r="K831" t="str">
        <f t="shared" si="447"/>
        <v/>
      </c>
      <c r="L831" s="652">
        <f>IF($B831="",,SUMIFS(PerBase[Month 1],PerBase[exp_item],$H831,PerBase[company_name],$B831)*L411)</f>
        <v>0</v>
      </c>
      <c r="M831" s="652">
        <f>IF($B831="",,SUMIFS(PerBase[Month 2],PerBase[exp_item],$H831,PerBase[company_name],$B831)*M411)</f>
        <v>0</v>
      </c>
      <c r="N831" s="652">
        <f>IF($B831="",,SUMIFS(PerBase[Month 3],PerBase[exp_item],$H831,PerBase[company_name],$B831)*N411)</f>
        <v>0</v>
      </c>
      <c r="O831" s="652">
        <f>IF($B831="",,SUMIFS(PerBase[Month 4],PerBase[exp_item],$H831,PerBase[company_name],$B831)*O411)</f>
        <v>0</v>
      </c>
      <c r="P831" s="652">
        <f>IF($B831="",,SUMIFS(PerBase[Month 5],PerBase[exp_item],$H831,PerBase[company_name],$B831)*P411)</f>
        <v>0</v>
      </c>
      <c r="Q831" s="652">
        <f>IF($B831="",,SUMIFS(PerBase[Month 6],PerBase[exp_item],$H831,PerBase[company_name],$B831)*Q411)</f>
        <v>0</v>
      </c>
      <c r="R831" s="652">
        <f>IF($B831="",,SUMIFS(PerBase[Month 7],PerBase[exp_item],$H831,PerBase[company_name],$B831)*R411)</f>
        <v>0</v>
      </c>
      <c r="S831" s="652">
        <f>IF($B831="",,SUMIFS(PerBase[Month 8],PerBase[exp_item],$H831,PerBase[company_name],$B831)*S411)</f>
        <v>0</v>
      </c>
      <c r="T831" s="652">
        <f>IF($B831="",,SUMIFS(PerBase[Month 9],PerBase[exp_item],$H831,PerBase[company_name],$B831)*T411)</f>
        <v>0</v>
      </c>
      <c r="U831" s="652">
        <f>IF($B831="",,SUMIFS(PerBase[Month 10],PerBase[exp_item],$H831,PerBase[company_name],$B831)*U411)</f>
        <v>0</v>
      </c>
      <c r="V831" s="652">
        <f>IF($B831="",,SUMIFS(PerBase[Month 11],PerBase[exp_item],$H831,PerBase[company_name],$B831)*V411)</f>
        <v>0</v>
      </c>
      <c r="W831" s="652">
        <f>IF($B831="",,SUMIFS(PerBase[Month 12],PerBase[exp_item],$H831,PerBase[company_name],$B831)*W411)</f>
        <v>0</v>
      </c>
      <c r="X831" s="652">
        <f>IF($B831="",,SUMIFS(PerBase[Month 13],PerBase[exp_item],$H831,PerBase[company_name],$B831)*X411)</f>
        <v>0</v>
      </c>
      <c r="Y831" s="652">
        <f>IF($B831="",,SUMIFS(PerBase[Month 14],PerBase[exp_item],$H831,PerBase[company_name],$B831)*Y411)</f>
        <v>0</v>
      </c>
      <c r="Z831" s="652">
        <f>IF($B831="",,SUMIFS(PerBase[Month 15],PerBase[exp_item],$H831,PerBase[company_name],$B831)*Z411)</f>
        <v>0</v>
      </c>
      <c r="AA831" s="652">
        <f>IF($B831="",,SUMIFS(PerBase[Month 16],PerBase[exp_item],$H831,PerBase[company_name],$B831)*AA411)</f>
        <v>0</v>
      </c>
      <c r="AB831" s="652">
        <f>IF($B831="",,SUMIFS(PerBase[Month 17],PerBase[exp_item],$H831,PerBase[company_name],$B831)*AB411)</f>
        <v>0</v>
      </c>
      <c r="AC831" s="652">
        <f>IF($B831="",,SUMIFS(PerBase[Month 18],PerBase[exp_item],$H831,PerBase[company_name],$B831)*AC411)</f>
        <v>0</v>
      </c>
      <c r="AD831" s="652">
        <f>IF($B831="",,SUMIFS(PerBase[Month 19],PerBase[exp_item],$H831,PerBase[company_name],$B831)*AD411)</f>
        <v>0</v>
      </c>
      <c r="AE831" s="652">
        <f>IF($B831="",,SUMIFS(PerBase[Month 20],PerBase[exp_item],$H831,PerBase[company_name],$B831)*AE411)</f>
        <v>0</v>
      </c>
      <c r="AF831" s="652">
        <f>IF($B831="",,SUMIFS(PerBase[Month 21],PerBase[exp_item],$H831,PerBase[company_name],$B831)*AF411)</f>
        <v>0</v>
      </c>
      <c r="AG831" s="652">
        <f>IF($B831="",,SUMIFS(PerBase[Month 22],PerBase[exp_item],$H831,PerBase[company_name],$B831)*AG411)</f>
        <v>0</v>
      </c>
      <c r="AH831" s="652">
        <f>IF($B831="",,SUMIFS(PerBase[Month 23],PerBase[exp_item],$H831,PerBase[company_name],$B831)*AH411)</f>
        <v>0</v>
      </c>
      <c r="AI831" s="652">
        <f>IF($B831="",,SUMIFS(PerBase[Month 24],PerBase[exp_item],$H831,PerBase[company_name],$B831)*AI411)</f>
        <v>0</v>
      </c>
      <c r="AJ831" s="652">
        <f>IF($B831="",,SUMIFS(PerBase[Month 25],PerBase[exp_item],$H831,PerBase[company_name],$B831)*AJ411)</f>
        <v>0</v>
      </c>
      <c r="AK831" s="652">
        <f>IF($B831="",,SUMIFS(PerBase[Month 26],PerBase[exp_item],$H831,PerBase[company_name],$B831)*AK411)</f>
        <v>0</v>
      </c>
      <c r="AL831" s="652">
        <f>IF($B831="",,SUMIFS(PerBase[Month 27],PerBase[exp_item],$H831,PerBase[company_name],$B831)*AL411)</f>
        <v>0</v>
      </c>
      <c r="AM831" s="652">
        <f>IF($B831="",,SUMIFS(PerBase[Month 28],PerBase[exp_item],$H831,PerBase[company_name],$B831)*AM411)</f>
        <v>0</v>
      </c>
      <c r="AN831" s="652">
        <f>IF($B831="",,SUMIFS(PerBase[Month 29],PerBase[exp_item],$H831,PerBase[company_name],$B831)*AN411)</f>
        <v>0</v>
      </c>
      <c r="AO831" s="652">
        <f>IF($B831="",,SUMIFS(PerBase[Month 30],PerBase[exp_item],$H831,PerBase[company_name],$B831)*AO411)</f>
        <v>0</v>
      </c>
      <c r="AP831" s="652">
        <f>IF($B831="",,SUMIFS(PerBase[Month 31],PerBase[exp_item],$H831,PerBase[company_name],$B831)*AP411)</f>
        <v>0</v>
      </c>
      <c r="AQ831" s="652">
        <f>IF($B831="",,SUMIFS(PerBase[Month 32],PerBase[exp_item],$H831,PerBase[company_name],$B831)*AQ411)</f>
        <v>0</v>
      </c>
      <c r="AR831" s="652">
        <f>IF($B831="",,SUMIFS(PerBase[Month 33],PerBase[exp_item],$H831,PerBase[company_name],$B831)*AR411)</f>
        <v>0</v>
      </c>
      <c r="AS831" s="652">
        <f>IF($B831="",,SUMIFS(PerBase[Month 34],PerBase[exp_item],$H831,PerBase[company_name],$B831)*AS411)</f>
        <v>0</v>
      </c>
      <c r="AT831" s="652">
        <f>IF($B831="",,SUMIFS(PerBase[Month 35],PerBase[exp_item],$H831,PerBase[company_name],$B831)*AT411)</f>
        <v>0</v>
      </c>
      <c r="AU831" s="652">
        <f>IF($B831="",,SUMIFS(PerBase[Month 36],PerBase[exp_item],$H831,PerBase[company_name],$B831)*AU411)</f>
        <v>0</v>
      </c>
    </row>
    <row r="832" spans="2:47" x14ac:dyDescent="0.35">
      <c r="B832" t="str">
        <f t="shared" si="445"/>
        <v/>
      </c>
      <c r="C832" t="str">
        <f t="shared" ref="C832:G832" si="462">IF(C727="","",C727)</f>
        <v/>
      </c>
      <c r="D832" t="str">
        <f t="shared" si="462"/>
        <v/>
      </c>
      <c r="E832" t="str">
        <f t="shared" si="462"/>
        <v/>
      </c>
      <c r="F832" t="str">
        <f t="shared" si="462"/>
        <v/>
      </c>
      <c r="G832" t="str">
        <f t="shared" si="462"/>
        <v/>
      </c>
      <c r="H832" t="str">
        <f t="shared" si="444"/>
        <v/>
      </c>
      <c r="J832" t="str">
        <f>IF($H832="","",IF(VLOOKUP(H832,ExpItems[],2,0),H832&amp;" - "&amp;INDEX(DivisionMapping[category_code],MATCH($D832&amp;$C832,DivisionMapping[dept_bu],0)),H832))</f>
        <v/>
      </c>
      <c r="K832" t="str">
        <f t="shared" si="447"/>
        <v/>
      </c>
      <c r="L832" s="652">
        <f>IF($B832="",,SUMIFS(PerBase[Month 1],PerBase[exp_item],$H832,PerBase[company_name],$B832)*L412)</f>
        <v>0</v>
      </c>
      <c r="M832" s="652">
        <f>IF($B832="",,SUMIFS(PerBase[Month 2],PerBase[exp_item],$H832,PerBase[company_name],$B832)*M412)</f>
        <v>0</v>
      </c>
      <c r="N832" s="652">
        <f>IF($B832="",,SUMIFS(PerBase[Month 3],PerBase[exp_item],$H832,PerBase[company_name],$B832)*N412)</f>
        <v>0</v>
      </c>
      <c r="O832" s="652">
        <f>IF($B832="",,SUMIFS(PerBase[Month 4],PerBase[exp_item],$H832,PerBase[company_name],$B832)*O412)</f>
        <v>0</v>
      </c>
      <c r="P832" s="652">
        <f>IF($B832="",,SUMIFS(PerBase[Month 5],PerBase[exp_item],$H832,PerBase[company_name],$B832)*P412)</f>
        <v>0</v>
      </c>
      <c r="Q832" s="652">
        <f>IF($B832="",,SUMIFS(PerBase[Month 6],PerBase[exp_item],$H832,PerBase[company_name],$B832)*Q412)</f>
        <v>0</v>
      </c>
      <c r="R832" s="652">
        <f>IF($B832="",,SUMIFS(PerBase[Month 7],PerBase[exp_item],$H832,PerBase[company_name],$B832)*R412)</f>
        <v>0</v>
      </c>
      <c r="S832" s="652">
        <f>IF($B832="",,SUMIFS(PerBase[Month 8],PerBase[exp_item],$H832,PerBase[company_name],$B832)*S412)</f>
        <v>0</v>
      </c>
      <c r="T832" s="652">
        <f>IF($B832="",,SUMIFS(PerBase[Month 9],PerBase[exp_item],$H832,PerBase[company_name],$B832)*T412)</f>
        <v>0</v>
      </c>
      <c r="U832" s="652">
        <f>IF($B832="",,SUMIFS(PerBase[Month 10],PerBase[exp_item],$H832,PerBase[company_name],$B832)*U412)</f>
        <v>0</v>
      </c>
      <c r="V832" s="652">
        <f>IF($B832="",,SUMIFS(PerBase[Month 11],PerBase[exp_item],$H832,PerBase[company_name],$B832)*V412)</f>
        <v>0</v>
      </c>
      <c r="W832" s="652">
        <f>IF($B832="",,SUMIFS(PerBase[Month 12],PerBase[exp_item],$H832,PerBase[company_name],$B832)*W412)</f>
        <v>0</v>
      </c>
      <c r="X832" s="652">
        <f>IF($B832="",,SUMIFS(PerBase[Month 13],PerBase[exp_item],$H832,PerBase[company_name],$B832)*X412)</f>
        <v>0</v>
      </c>
      <c r="Y832" s="652">
        <f>IF($B832="",,SUMIFS(PerBase[Month 14],PerBase[exp_item],$H832,PerBase[company_name],$B832)*Y412)</f>
        <v>0</v>
      </c>
      <c r="Z832" s="652">
        <f>IF($B832="",,SUMIFS(PerBase[Month 15],PerBase[exp_item],$H832,PerBase[company_name],$B832)*Z412)</f>
        <v>0</v>
      </c>
      <c r="AA832" s="652">
        <f>IF($B832="",,SUMIFS(PerBase[Month 16],PerBase[exp_item],$H832,PerBase[company_name],$B832)*AA412)</f>
        <v>0</v>
      </c>
      <c r="AB832" s="652">
        <f>IF($B832="",,SUMIFS(PerBase[Month 17],PerBase[exp_item],$H832,PerBase[company_name],$B832)*AB412)</f>
        <v>0</v>
      </c>
      <c r="AC832" s="652">
        <f>IF($B832="",,SUMIFS(PerBase[Month 18],PerBase[exp_item],$H832,PerBase[company_name],$B832)*AC412)</f>
        <v>0</v>
      </c>
      <c r="AD832" s="652">
        <f>IF($B832="",,SUMIFS(PerBase[Month 19],PerBase[exp_item],$H832,PerBase[company_name],$B832)*AD412)</f>
        <v>0</v>
      </c>
      <c r="AE832" s="652">
        <f>IF($B832="",,SUMIFS(PerBase[Month 20],PerBase[exp_item],$H832,PerBase[company_name],$B832)*AE412)</f>
        <v>0</v>
      </c>
      <c r="AF832" s="652">
        <f>IF($B832="",,SUMIFS(PerBase[Month 21],PerBase[exp_item],$H832,PerBase[company_name],$B832)*AF412)</f>
        <v>0</v>
      </c>
      <c r="AG832" s="652">
        <f>IF($B832="",,SUMIFS(PerBase[Month 22],PerBase[exp_item],$H832,PerBase[company_name],$B832)*AG412)</f>
        <v>0</v>
      </c>
      <c r="AH832" s="652">
        <f>IF($B832="",,SUMIFS(PerBase[Month 23],PerBase[exp_item],$H832,PerBase[company_name],$B832)*AH412)</f>
        <v>0</v>
      </c>
      <c r="AI832" s="652">
        <f>IF($B832="",,SUMIFS(PerBase[Month 24],PerBase[exp_item],$H832,PerBase[company_name],$B832)*AI412)</f>
        <v>0</v>
      </c>
      <c r="AJ832" s="652">
        <f>IF($B832="",,SUMIFS(PerBase[Month 25],PerBase[exp_item],$H832,PerBase[company_name],$B832)*AJ412)</f>
        <v>0</v>
      </c>
      <c r="AK832" s="652">
        <f>IF($B832="",,SUMIFS(PerBase[Month 26],PerBase[exp_item],$H832,PerBase[company_name],$B832)*AK412)</f>
        <v>0</v>
      </c>
      <c r="AL832" s="652">
        <f>IF($B832="",,SUMIFS(PerBase[Month 27],PerBase[exp_item],$H832,PerBase[company_name],$B832)*AL412)</f>
        <v>0</v>
      </c>
      <c r="AM832" s="652">
        <f>IF($B832="",,SUMIFS(PerBase[Month 28],PerBase[exp_item],$H832,PerBase[company_name],$B832)*AM412)</f>
        <v>0</v>
      </c>
      <c r="AN832" s="652">
        <f>IF($B832="",,SUMIFS(PerBase[Month 29],PerBase[exp_item],$H832,PerBase[company_name],$B832)*AN412)</f>
        <v>0</v>
      </c>
      <c r="AO832" s="652">
        <f>IF($B832="",,SUMIFS(PerBase[Month 30],PerBase[exp_item],$H832,PerBase[company_name],$B832)*AO412)</f>
        <v>0</v>
      </c>
      <c r="AP832" s="652">
        <f>IF($B832="",,SUMIFS(PerBase[Month 31],PerBase[exp_item],$H832,PerBase[company_name],$B832)*AP412)</f>
        <v>0</v>
      </c>
      <c r="AQ832" s="652">
        <f>IF($B832="",,SUMIFS(PerBase[Month 32],PerBase[exp_item],$H832,PerBase[company_name],$B832)*AQ412)</f>
        <v>0</v>
      </c>
      <c r="AR832" s="652">
        <f>IF($B832="",,SUMIFS(PerBase[Month 33],PerBase[exp_item],$H832,PerBase[company_name],$B832)*AR412)</f>
        <v>0</v>
      </c>
      <c r="AS832" s="652">
        <f>IF($B832="",,SUMIFS(PerBase[Month 34],PerBase[exp_item],$H832,PerBase[company_name],$B832)*AS412)</f>
        <v>0</v>
      </c>
      <c r="AT832" s="652">
        <f>IF($B832="",,SUMIFS(PerBase[Month 35],PerBase[exp_item],$H832,PerBase[company_name],$B832)*AT412)</f>
        <v>0</v>
      </c>
      <c r="AU832" s="652">
        <f>IF($B832="",,SUMIFS(PerBase[Month 36],PerBase[exp_item],$H832,PerBase[company_name],$B832)*AU412)</f>
        <v>0</v>
      </c>
    </row>
    <row r="833" spans="2:47" x14ac:dyDescent="0.35">
      <c r="B833" t="str">
        <f t="shared" si="445"/>
        <v/>
      </c>
      <c r="C833" t="str">
        <f t="shared" ref="C833:G833" si="463">IF(C728="","",C728)</f>
        <v/>
      </c>
      <c r="D833" t="str">
        <f t="shared" si="463"/>
        <v/>
      </c>
      <c r="E833" t="str">
        <f t="shared" si="463"/>
        <v/>
      </c>
      <c r="F833" t="str">
        <f t="shared" si="463"/>
        <v/>
      </c>
      <c r="G833" t="str">
        <f t="shared" si="463"/>
        <v/>
      </c>
      <c r="H833" t="str">
        <f t="shared" si="444"/>
        <v/>
      </c>
      <c r="J833" t="str">
        <f>IF($H833="","",IF(VLOOKUP(H833,ExpItems[],2,0),H833&amp;" - "&amp;INDEX(DivisionMapping[category_code],MATCH($D833&amp;$C833,DivisionMapping[dept_bu],0)),H833))</f>
        <v/>
      </c>
      <c r="K833" t="str">
        <f t="shared" si="447"/>
        <v/>
      </c>
      <c r="L833" s="652">
        <f>IF($B833="",,SUMIFS(PerBase[Month 1],PerBase[exp_item],$H833,PerBase[company_name],$B833)*L413)</f>
        <v>0</v>
      </c>
      <c r="M833" s="652">
        <f>IF($B833="",,SUMIFS(PerBase[Month 2],PerBase[exp_item],$H833,PerBase[company_name],$B833)*M413)</f>
        <v>0</v>
      </c>
      <c r="N833" s="652">
        <f>IF($B833="",,SUMIFS(PerBase[Month 3],PerBase[exp_item],$H833,PerBase[company_name],$B833)*N413)</f>
        <v>0</v>
      </c>
      <c r="O833" s="652">
        <f>IF($B833="",,SUMIFS(PerBase[Month 4],PerBase[exp_item],$H833,PerBase[company_name],$B833)*O413)</f>
        <v>0</v>
      </c>
      <c r="P833" s="652">
        <f>IF($B833="",,SUMIFS(PerBase[Month 5],PerBase[exp_item],$H833,PerBase[company_name],$B833)*P413)</f>
        <v>0</v>
      </c>
      <c r="Q833" s="652">
        <f>IF($B833="",,SUMIFS(PerBase[Month 6],PerBase[exp_item],$H833,PerBase[company_name],$B833)*Q413)</f>
        <v>0</v>
      </c>
      <c r="R833" s="652">
        <f>IF($B833="",,SUMIFS(PerBase[Month 7],PerBase[exp_item],$H833,PerBase[company_name],$B833)*R413)</f>
        <v>0</v>
      </c>
      <c r="S833" s="652">
        <f>IF($B833="",,SUMIFS(PerBase[Month 8],PerBase[exp_item],$H833,PerBase[company_name],$B833)*S413)</f>
        <v>0</v>
      </c>
      <c r="T833" s="652">
        <f>IF($B833="",,SUMIFS(PerBase[Month 9],PerBase[exp_item],$H833,PerBase[company_name],$B833)*T413)</f>
        <v>0</v>
      </c>
      <c r="U833" s="652">
        <f>IF($B833="",,SUMIFS(PerBase[Month 10],PerBase[exp_item],$H833,PerBase[company_name],$B833)*U413)</f>
        <v>0</v>
      </c>
      <c r="V833" s="652">
        <f>IF($B833="",,SUMIFS(PerBase[Month 11],PerBase[exp_item],$H833,PerBase[company_name],$B833)*V413)</f>
        <v>0</v>
      </c>
      <c r="W833" s="652">
        <f>IF($B833="",,SUMIFS(PerBase[Month 12],PerBase[exp_item],$H833,PerBase[company_name],$B833)*W413)</f>
        <v>0</v>
      </c>
      <c r="X833" s="652">
        <f>IF($B833="",,SUMIFS(PerBase[Month 13],PerBase[exp_item],$H833,PerBase[company_name],$B833)*X413)</f>
        <v>0</v>
      </c>
      <c r="Y833" s="652">
        <f>IF($B833="",,SUMIFS(PerBase[Month 14],PerBase[exp_item],$H833,PerBase[company_name],$B833)*Y413)</f>
        <v>0</v>
      </c>
      <c r="Z833" s="652">
        <f>IF($B833="",,SUMIFS(PerBase[Month 15],PerBase[exp_item],$H833,PerBase[company_name],$B833)*Z413)</f>
        <v>0</v>
      </c>
      <c r="AA833" s="652">
        <f>IF($B833="",,SUMIFS(PerBase[Month 16],PerBase[exp_item],$H833,PerBase[company_name],$B833)*AA413)</f>
        <v>0</v>
      </c>
      <c r="AB833" s="652">
        <f>IF($B833="",,SUMIFS(PerBase[Month 17],PerBase[exp_item],$H833,PerBase[company_name],$B833)*AB413)</f>
        <v>0</v>
      </c>
      <c r="AC833" s="652">
        <f>IF($B833="",,SUMIFS(PerBase[Month 18],PerBase[exp_item],$H833,PerBase[company_name],$B833)*AC413)</f>
        <v>0</v>
      </c>
      <c r="AD833" s="652">
        <f>IF($B833="",,SUMIFS(PerBase[Month 19],PerBase[exp_item],$H833,PerBase[company_name],$B833)*AD413)</f>
        <v>0</v>
      </c>
      <c r="AE833" s="652">
        <f>IF($B833="",,SUMIFS(PerBase[Month 20],PerBase[exp_item],$H833,PerBase[company_name],$B833)*AE413)</f>
        <v>0</v>
      </c>
      <c r="AF833" s="652">
        <f>IF($B833="",,SUMIFS(PerBase[Month 21],PerBase[exp_item],$H833,PerBase[company_name],$B833)*AF413)</f>
        <v>0</v>
      </c>
      <c r="AG833" s="652">
        <f>IF($B833="",,SUMIFS(PerBase[Month 22],PerBase[exp_item],$H833,PerBase[company_name],$B833)*AG413)</f>
        <v>0</v>
      </c>
      <c r="AH833" s="652">
        <f>IF($B833="",,SUMIFS(PerBase[Month 23],PerBase[exp_item],$H833,PerBase[company_name],$B833)*AH413)</f>
        <v>0</v>
      </c>
      <c r="AI833" s="652">
        <f>IF($B833="",,SUMIFS(PerBase[Month 24],PerBase[exp_item],$H833,PerBase[company_name],$B833)*AI413)</f>
        <v>0</v>
      </c>
      <c r="AJ833" s="652">
        <f>IF($B833="",,SUMIFS(PerBase[Month 25],PerBase[exp_item],$H833,PerBase[company_name],$B833)*AJ413)</f>
        <v>0</v>
      </c>
      <c r="AK833" s="652">
        <f>IF($B833="",,SUMIFS(PerBase[Month 26],PerBase[exp_item],$H833,PerBase[company_name],$B833)*AK413)</f>
        <v>0</v>
      </c>
      <c r="AL833" s="652">
        <f>IF($B833="",,SUMIFS(PerBase[Month 27],PerBase[exp_item],$H833,PerBase[company_name],$B833)*AL413)</f>
        <v>0</v>
      </c>
      <c r="AM833" s="652">
        <f>IF($B833="",,SUMIFS(PerBase[Month 28],PerBase[exp_item],$H833,PerBase[company_name],$B833)*AM413)</f>
        <v>0</v>
      </c>
      <c r="AN833" s="652">
        <f>IF($B833="",,SUMIFS(PerBase[Month 29],PerBase[exp_item],$H833,PerBase[company_name],$B833)*AN413)</f>
        <v>0</v>
      </c>
      <c r="AO833" s="652">
        <f>IF($B833="",,SUMIFS(PerBase[Month 30],PerBase[exp_item],$H833,PerBase[company_name],$B833)*AO413)</f>
        <v>0</v>
      </c>
      <c r="AP833" s="652">
        <f>IF($B833="",,SUMIFS(PerBase[Month 31],PerBase[exp_item],$H833,PerBase[company_name],$B833)*AP413)</f>
        <v>0</v>
      </c>
      <c r="AQ833" s="652">
        <f>IF($B833="",,SUMIFS(PerBase[Month 32],PerBase[exp_item],$H833,PerBase[company_name],$B833)*AQ413)</f>
        <v>0</v>
      </c>
      <c r="AR833" s="652">
        <f>IF($B833="",,SUMIFS(PerBase[Month 33],PerBase[exp_item],$H833,PerBase[company_name],$B833)*AR413)</f>
        <v>0</v>
      </c>
      <c r="AS833" s="652">
        <f>IF($B833="",,SUMIFS(PerBase[Month 34],PerBase[exp_item],$H833,PerBase[company_name],$B833)*AS413)</f>
        <v>0</v>
      </c>
      <c r="AT833" s="652">
        <f>IF($B833="",,SUMIFS(PerBase[Month 35],PerBase[exp_item],$H833,PerBase[company_name],$B833)*AT413)</f>
        <v>0</v>
      </c>
      <c r="AU833" s="652">
        <f>IF($B833="",,SUMIFS(PerBase[Month 36],PerBase[exp_item],$H833,PerBase[company_name],$B833)*AU413)</f>
        <v>0</v>
      </c>
    </row>
    <row r="834" spans="2:47" x14ac:dyDescent="0.35">
      <c r="B834" t="str">
        <f t="shared" si="445"/>
        <v/>
      </c>
      <c r="C834" t="str">
        <f t="shared" ref="C834:G834" si="464">IF(C729="","",C729)</f>
        <v/>
      </c>
      <c r="D834" t="str">
        <f t="shared" si="464"/>
        <v/>
      </c>
      <c r="E834" t="str">
        <f t="shared" si="464"/>
        <v/>
      </c>
      <c r="F834" t="str">
        <f t="shared" si="464"/>
        <v/>
      </c>
      <c r="G834" t="str">
        <f t="shared" si="464"/>
        <v/>
      </c>
      <c r="H834" t="str">
        <f t="shared" si="444"/>
        <v/>
      </c>
      <c r="J834" t="str">
        <f>IF($H834="","",IF(VLOOKUP(H834,ExpItems[],2,0),H834&amp;" - "&amp;INDEX(DivisionMapping[category_code],MATCH($D834&amp;$C834,DivisionMapping[dept_bu],0)),H834))</f>
        <v/>
      </c>
      <c r="K834" t="str">
        <f t="shared" si="447"/>
        <v/>
      </c>
      <c r="L834" s="652">
        <f>IF($B834="",,SUMIFS(PerBase[Month 1],PerBase[exp_item],$H834,PerBase[company_name],$B834)*L414)</f>
        <v>0</v>
      </c>
      <c r="M834" s="652">
        <f>IF($B834="",,SUMIFS(PerBase[Month 2],PerBase[exp_item],$H834,PerBase[company_name],$B834)*M414)</f>
        <v>0</v>
      </c>
      <c r="N834" s="652">
        <f>IF($B834="",,SUMIFS(PerBase[Month 3],PerBase[exp_item],$H834,PerBase[company_name],$B834)*N414)</f>
        <v>0</v>
      </c>
      <c r="O834" s="652">
        <f>IF($B834="",,SUMIFS(PerBase[Month 4],PerBase[exp_item],$H834,PerBase[company_name],$B834)*O414)</f>
        <v>0</v>
      </c>
      <c r="P834" s="652">
        <f>IF($B834="",,SUMIFS(PerBase[Month 5],PerBase[exp_item],$H834,PerBase[company_name],$B834)*P414)</f>
        <v>0</v>
      </c>
      <c r="Q834" s="652">
        <f>IF($B834="",,SUMIFS(PerBase[Month 6],PerBase[exp_item],$H834,PerBase[company_name],$B834)*Q414)</f>
        <v>0</v>
      </c>
      <c r="R834" s="652">
        <f>IF($B834="",,SUMIFS(PerBase[Month 7],PerBase[exp_item],$H834,PerBase[company_name],$B834)*R414)</f>
        <v>0</v>
      </c>
      <c r="S834" s="652">
        <f>IF($B834="",,SUMIFS(PerBase[Month 8],PerBase[exp_item],$H834,PerBase[company_name],$B834)*S414)</f>
        <v>0</v>
      </c>
      <c r="T834" s="652">
        <f>IF($B834="",,SUMIFS(PerBase[Month 9],PerBase[exp_item],$H834,PerBase[company_name],$B834)*T414)</f>
        <v>0</v>
      </c>
      <c r="U834" s="652">
        <f>IF($B834="",,SUMIFS(PerBase[Month 10],PerBase[exp_item],$H834,PerBase[company_name],$B834)*U414)</f>
        <v>0</v>
      </c>
      <c r="V834" s="652">
        <f>IF($B834="",,SUMIFS(PerBase[Month 11],PerBase[exp_item],$H834,PerBase[company_name],$B834)*V414)</f>
        <v>0</v>
      </c>
      <c r="W834" s="652">
        <f>IF($B834="",,SUMIFS(PerBase[Month 12],PerBase[exp_item],$H834,PerBase[company_name],$B834)*W414)</f>
        <v>0</v>
      </c>
      <c r="X834" s="652">
        <f>IF($B834="",,SUMIFS(PerBase[Month 13],PerBase[exp_item],$H834,PerBase[company_name],$B834)*X414)</f>
        <v>0</v>
      </c>
      <c r="Y834" s="652">
        <f>IF($B834="",,SUMIFS(PerBase[Month 14],PerBase[exp_item],$H834,PerBase[company_name],$B834)*Y414)</f>
        <v>0</v>
      </c>
      <c r="Z834" s="652">
        <f>IF($B834="",,SUMIFS(PerBase[Month 15],PerBase[exp_item],$H834,PerBase[company_name],$B834)*Z414)</f>
        <v>0</v>
      </c>
      <c r="AA834" s="652">
        <f>IF($B834="",,SUMIFS(PerBase[Month 16],PerBase[exp_item],$H834,PerBase[company_name],$B834)*AA414)</f>
        <v>0</v>
      </c>
      <c r="AB834" s="652">
        <f>IF($B834="",,SUMIFS(PerBase[Month 17],PerBase[exp_item],$H834,PerBase[company_name],$B834)*AB414)</f>
        <v>0</v>
      </c>
      <c r="AC834" s="652">
        <f>IF($B834="",,SUMIFS(PerBase[Month 18],PerBase[exp_item],$H834,PerBase[company_name],$B834)*AC414)</f>
        <v>0</v>
      </c>
      <c r="AD834" s="652">
        <f>IF($B834="",,SUMIFS(PerBase[Month 19],PerBase[exp_item],$H834,PerBase[company_name],$B834)*AD414)</f>
        <v>0</v>
      </c>
      <c r="AE834" s="652">
        <f>IF($B834="",,SUMIFS(PerBase[Month 20],PerBase[exp_item],$H834,PerBase[company_name],$B834)*AE414)</f>
        <v>0</v>
      </c>
      <c r="AF834" s="652">
        <f>IF($B834="",,SUMIFS(PerBase[Month 21],PerBase[exp_item],$H834,PerBase[company_name],$B834)*AF414)</f>
        <v>0</v>
      </c>
      <c r="AG834" s="652">
        <f>IF($B834="",,SUMIFS(PerBase[Month 22],PerBase[exp_item],$H834,PerBase[company_name],$B834)*AG414)</f>
        <v>0</v>
      </c>
      <c r="AH834" s="652">
        <f>IF($B834="",,SUMIFS(PerBase[Month 23],PerBase[exp_item],$H834,PerBase[company_name],$B834)*AH414)</f>
        <v>0</v>
      </c>
      <c r="AI834" s="652">
        <f>IF($B834="",,SUMIFS(PerBase[Month 24],PerBase[exp_item],$H834,PerBase[company_name],$B834)*AI414)</f>
        <v>0</v>
      </c>
      <c r="AJ834" s="652">
        <f>IF($B834="",,SUMIFS(PerBase[Month 25],PerBase[exp_item],$H834,PerBase[company_name],$B834)*AJ414)</f>
        <v>0</v>
      </c>
      <c r="AK834" s="652">
        <f>IF($B834="",,SUMIFS(PerBase[Month 26],PerBase[exp_item],$H834,PerBase[company_name],$B834)*AK414)</f>
        <v>0</v>
      </c>
      <c r="AL834" s="652">
        <f>IF($B834="",,SUMIFS(PerBase[Month 27],PerBase[exp_item],$H834,PerBase[company_name],$B834)*AL414)</f>
        <v>0</v>
      </c>
      <c r="AM834" s="652">
        <f>IF($B834="",,SUMIFS(PerBase[Month 28],PerBase[exp_item],$H834,PerBase[company_name],$B834)*AM414)</f>
        <v>0</v>
      </c>
      <c r="AN834" s="652">
        <f>IF($B834="",,SUMIFS(PerBase[Month 29],PerBase[exp_item],$H834,PerBase[company_name],$B834)*AN414)</f>
        <v>0</v>
      </c>
      <c r="AO834" s="652">
        <f>IF($B834="",,SUMIFS(PerBase[Month 30],PerBase[exp_item],$H834,PerBase[company_name],$B834)*AO414)</f>
        <v>0</v>
      </c>
      <c r="AP834" s="652">
        <f>IF($B834="",,SUMIFS(PerBase[Month 31],PerBase[exp_item],$H834,PerBase[company_name],$B834)*AP414)</f>
        <v>0</v>
      </c>
      <c r="AQ834" s="652">
        <f>IF($B834="",,SUMIFS(PerBase[Month 32],PerBase[exp_item],$H834,PerBase[company_name],$B834)*AQ414)</f>
        <v>0</v>
      </c>
      <c r="AR834" s="652">
        <f>IF($B834="",,SUMIFS(PerBase[Month 33],PerBase[exp_item],$H834,PerBase[company_name],$B834)*AR414)</f>
        <v>0</v>
      </c>
      <c r="AS834" s="652">
        <f>IF($B834="",,SUMIFS(PerBase[Month 34],PerBase[exp_item],$H834,PerBase[company_name],$B834)*AS414)</f>
        <v>0</v>
      </c>
      <c r="AT834" s="652">
        <f>IF($B834="",,SUMIFS(PerBase[Month 35],PerBase[exp_item],$H834,PerBase[company_name],$B834)*AT414)</f>
        <v>0</v>
      </c>
      <c r="AU834" s="652">
        <f>IF($B834="",,SUMIFS(PerBase[Month 36],PerBase[exp_item],$H834,PerBase[company_name],$B834)*AU414)</f>
        <v>0</v>
      </c>
    </row>
    <row r="835" spans="2:47" x14ac:dyDescent="0.35">
      <c r="B835" t="str">
        <f t="shared" si="445"/>
        <v/>
      </c>
      <c r="C835" t="str">
        <f t="shared" ref="C835:G835" si="465">IF(C730="","",C730)</f>
        <v/>
      </c>
      <c r="D835" t="str">
        <f t="shared" si="465"/>
        <v/>
      </c>
      <c r="E835" t="str">
        <f t="shared" si="465"/>
        <v/>
      </c>
      <c r="F835" t="str">
        <f t="shared" si="465"/>
        <v/>
      </c>
      <c r="G835" t="str">
        <f t="shared" si="465"/>
        <v/>
      </c>
      <c r="H835" t="str">
        <f t="shared" si="444"/>
        <v/>
      </c>
      <c r="J835" t="str">
        <f>IF($H835="","",IF(VLOOKUP(H835,ExpItems[],2,0),H835&amp;" - "&amp;INDEX(DivisionMapping[category_code],MATCH($D835&amp;$C835,DivisionMapping[dept_bu],0)),H835))</f>
        <v/>
      </c>
      <c r="K835" t="str">
        <f t="shared" si="447"/>
        <v/>
      </c>
      <c r="L835" s="652">
        <f>IF($B835="",,SUMIFS(PerBase[Month 1],PerBase[exp_item],$H835,PerBase[company_name],$B835)*L415)</f>
        <v>0</v>
      </c>
      <c r="M835" s="652">
        <f>IF($B835="",,SUMIFS(PerBase[Month 2],PerBase[exp_item],$H835,PerBase[company_name],$B835)*M415)</f>
        <v>0</v>
      </c>
      <c r="N835" s="652">
        <f>IF($B835="",,SUMIFS(PerBase[Month 3],PerBase[exp_item],$H835,PerBase[company_name],$B835)*N415)</f>
        <v>0</v>
      </c>
      <c r="O835" s="652">
        <f>IF($B835="",,SUMIFS(PerBase[Month 4],PerBase[exp_item],$H835,PerBase[company_name],$B835)*O415)</f>
        <v>0</v>
      </c>
      <c r="P835" s="652">
        <f>IF($B835="",,SUMIFS(PerBase[Month 5],PerBase[exp_item],$H835,PerBase[company_name],$B835)*P415)</f>
        <v>0</v>
      </c>
      <c r="Q835" s="652">
        <f>IF($B835="",,SUMIFS(PerBase[Month 6],PerBase[exp_item],$H835,PerBase[company_name],$B835)*Q415)</f>
        <v>0</v>
      </c>
      <c r="R835" s="652">
        <f>IF($B835="",,SUMIFS(PerBase[Month 7],PerBase[exp_item],$H835,PerBase[company_name],$B835)*R415)</f>
        <v>0</v>
      </c>
      <c r="S835" s="652">
        <f>IF($B835="",,SUMIFS(PerBase[Month 8],PerBase[exp_item],$H835,PerBase[company_name],$B835)*S415)</f>
        <v>0</v>
      </c>
      <c r="T835" s="652">
        <f>IF($B835="",,SUMIFS(PerBase[Month 9],PerBase[exp_item],$H835,PerBase[company_name],$B835)*T415)</f>
        <v>0</v>
      </c>
      <c r="U835" s="652">
        <f>IF($B835="",,SUMIFS(PerBase[Month 10],PerBase[exp_item],$H835,PerBase[company_name],$B835)*U415)</f>
        <v>0</v>
      </c>
      <c r="V835" s="652">
        <f>IF($B835="",,SUMIFS(PerBase[Month 11],PerBase[exp_item],$H835,PerBase[company_name],$B835)*V415)</f>
        <v>0</v>
      </c>
      <c r="W835" s="652">
        <f>IF($B835="",,SUMIFS(PerBase[Month 12],PerBase[exp_item],$H835,PerBase[company_name],$B835)*W415)</f>
        <v>0</v>
      </c>
      <c r="X835" s="652">
        <f>IF($B835="",,SUMIFS(PerBase[Month 13],PerBase[exp_item],$H835,PerBase[company_name],$B835)*X415)</f>
        <v>0</v>
      </c>
      <c r="Y835" s="652">
        <f>IF($B835="",,SUMIFS(PerBase[Month 14],PerBase[exp_item],$H835,PerBase[company_name],$B835)*Y415)</f>
        <v>0</v>
      </c>
      <c r="Z835" s="652">
        <f>IF($B835="",,SUMIFS(PerBase[Month 15],PerBase[exp_item],$H835,PerBase[company_name],$B835)*Z415)</f>
        <v>0</v>
      </c>
      <c r="AA835" s="652">
        <f>IF($B835="",,SUMIFS(PerBase[Month 16],PerBase[exp_item],$H835,PerBase[company_name],$B835)*AA415)</f>
        <v>0</v>
      </c>
      <c r="AB835" s="652">
        <f>IF($B835="",,SUMIFS(PerBase[Month 17],PerBase[exp_item],$H835,PerBase[company_name],$B835)*AB415)</f>
        <v>0</v>
      </c>
      <c r="AC835" s="652">
        <f>IF($B835="",,SUMIFS(PerBase[Month 18],PerBase[exp_item],$H835,PerBase[company_name],$B835)*AC415)</f>
        <v>0</v>
      </c>
      <c r="AD835" s="652">
        <f>IF($B835="",,SUMIFS(PerBase[Month 19],PerBase[exp_item],$H835,PerBase[company_name],$B835)*AD415)</f>
        <v>0</v>
      </c>
      <c r="AE835" s="652">
        <f>IF($B835="",,SUMIFS(PerBase[Month 20],PerBase[exp_item],$H835,PerBase[company_name],$B835)*AE415)</f>
        <v>0</v>
      </c>
      <c r="AF835" s="652">
        <f>IF($B835="",,SUMIFS(PerBase[Month 21],PerBase[exp_item],$H835,PerBase[company_name],$B835)*AF415)</f>
        <v>0</v>
      </c>
      <c r="AG835" s="652">
        <f>IF($B835="",,SUMIFS(PerBase[Month 22],PerBase[exp_item],$H835,PerBase[company_name],$B835)*AG415)</f>
        <v>0</v>
      </c>
      <c r="AH835" s="652">
        <f>IF($B835="",,SUMIFS(PerBase[Month 23],PerBase[exp_item],$H835,PerBase[company_name],$B835)*AH415)</f>
        <v>0</v>
      </c>
      <c r="AI835" s="652">
        <f>IF($B835="",,SUMIFS(PerBase[Month 24],PerBase[exp_item],$H835,PerBase[company_name],$B835)*AI415)</f>
        <v>0</v>
      </c>
      <c r="AJ835" s="652">
        <f>IF($B835="",,SUMIFS(PerBase[Month 25],PerBase[exp_item],$H835,PerBase[company_name],$B835)*AJ415)</f>
        <v>0</v>
      </c>
      <c r="AK835" s="652">
        <f>IF($B835="",,SUMIFS(PerBase[Month 26],PerBase[exp_item],$H835,PerBase[company_name],$B835)*AK415)</f>
        <v>0</v>
      </c>
      <c r="AL835" s="652">
        <f>IF($B835="",,SUMIFS(PerBase[Month 27],PerBase[exp_item],$H835,PerBase[company_name],$B835)*AL415)</f>
        <v>0</v>
      </c>
      <c r="AM835" s="652">
        <f>IF($B835="",,SUMIFS(PerBase[Month 28],PerBase[exp_item],$H835,PerBase[company_name],$B835)*AM415)</f>
        <v>0</v>
      </c>
      <c r="AN835" s="652">
        <f>IF($B835="",,SUMIFS(PerBase[Month 29],PerBase[exp_item],$H835,PerBase[company_name],$B835)*AN415)</f>
        <v>0</v>
      </c>
      <c r="AO835" s="652">
        <f>IF($B835="",,SUMIFS(PerBase[Month 30],PerBase[exp_item],$H835,PerBase[company_name],$B835)*AO415)</f>
        <v>0</v>
      </c>
      <c r="AP835" s="652">
        <f>IF($B835="",,SUMIFS(PerBase[Month 31],PerBase[exp_item],$H835,PerBase[company_name],$B835)*AP415)</f>
        <v>0</v>
      </c>
      <c r="AQ835" s="652">
        <f>IF($B835="",,SUMIFS(PerBase[Month 32],PerBase[exp_item],$H835,PerBase[company_name],$B835)*AQ415)</f>
        <v>0</v>
      </c>
      <c r="AR835" s="652">
        <f>IF($B835="",,SUMIFS(PerBase[Month 33],PerBase[exp_item],$H835,PerBase[company_name],$B835)*AR415)</f>
        <v>0</v>
      </c>
      <c r="AS835" s="652">
        <f>IF($B835="",,SUMIFS(PerBase[Month 34],PerBase[exp_item],$H835,PerBase[company_name],$B835)*AS415)</f>
        <v>0</v>
      </c>
      <c r="AT835" s="652">
        <f>IF($B835="",,SUMIFS(PerBase[Month 35],PerBase[exp_item],$H835,PerBase[company_name],$B835)*AT415)</f>
        <v>0</v>
      </c>
      <c r="AU835" s="652">
        <f>IF($B835="",,SUMIFS(PerBase[Month 36],PerBase[exp_item],$H835,PerBase[company_name],$B835)*AU415)</f>
        <v>0</v>
      </c>
    </row>
    <row r="836" spans="2:47" x14ac:dyDescent="0.35">
      <c r="B836" t="str">
        <f t="shared" si="445"/>
        <v/>
      </c>
      <c r="C836" t="str">
        <f t="shared" ref="C836:G836" si="466">IF(C731="","",C731)</f>
        <v/>
      </c>
      <c r="D836" t="str">
        <f t="shared" si="466"/>
        <v/>
      </c>
      <c r="E836" t="str">
        <f t="shared" si="466"/>
        <v/>
      </c>
      <c r="F836" t="str">
        <f t="shared" si="466"/>
        <v/>
      </c>
      <c r="G836" t="str">
        <f t="shared" si="466"/>
        <v/>
      </c>
      <c r="H836" t="str">
        <f t="shared" si="444"/>
        <v/>
      </c>
      <c r="J836" t="str">
        <f>IF($H836="","",IF(VLOOKUP(H836,ExpItems[],2,0),H836&amp;" - "&amp;INDEX(DivisionMapping[category_code],MATCH($D836&amp;$C836,DivisionMapping[dept_bu],0)),H836))</f>
        <v/>
      </c>
      <c r="K836" t="str">
        <f t="shared" si="447"/>
        <v/>
      </c>
      <c r="L836" s="652">
        <f>IF($B836="",,SUMIFS(PerBase[Month 1],PerBase[exp_item],$H836,PerBase[company_name],$B836)*L416)</f>
        <v>0</v>
      </c>
      <c r="M836" s="652">
        <f>IF($B836="",,SUMIFS(PerBase[Month 2],PerBase[exp_item],$H836,PerBase[company_name],$B836)*M416)</f>
        <v>0</v>
      </c>
      <c r="N836" s="652">
        <f>IF($B836="",,SUMIFS(PerBase[Month 3],PerBase[exp_item],$H836,PerBase[company_name],$B836)*N416)</f>
        <v>0</v>
      </c>
      <c r="O836" s="652">
        <f>IF($B836="",,SUMIFS(PerBase[Month 4],PerBase[exp_item],$H836,PerBase[company_name],$B836)*O416)</f>
        <v>0</v>
      </c>
      <c r="P836" s="652">
        <f>IF($B836="",,SUMIFS(PerBase[Month 5],PerBase[exp_item],$H836,PerBase[company_name],$B836)*P416)</f>
        <v>0</v>
      </c>
      <c r="Q836" s="652">
        <f>IF($B836="",,SUMIFS(PerBase[Month 6],PerBase[exp_item],$H836,PerBase[company_name],$B836)*Q416)</f>
        <v>0</v>
      </c>
      <c r="R836" s="652">
        <f>IF($B836="",,SUMIFS(PerBase[Month 7],PerBase[exp_item],$H836,PerBase[company_name],$B836)*R416)</f>
        <v>0</v>
      </c>
      <c r="S836" s="652">
        <f>IF($B836="",,SUMIFS(PerBase[Month 8],PerBase[exp_item],$H836,PerBase[company_name],$B836)*S416)</f>
        <v>0</v>
      </c>
      <c r="T836" s="652">
        <f>IF($B836="",,SUMIFS(PerBase[Month 9],PerBase[exp_item],$H836,PerBase[company_name],$B836)*T416)</f>
        <v>0</v>
      </c>
      <c r="U836" s="652">
        <f>IF($B836="",,SUMIFS(PerBase[Month 10],PerBase[exp_item],$H836,PerBase[company_name],$B836)*U416)</f>
        <v>0</v>
      </c>
      <c r="V836" s="652">
        <f>IF($B836="",,SUMIFS(PerBase[Month 11],PerBase[exp_item],$H836,PerBase[company_name],$B836)*V416)</f>
        <v>0</v>
      </c>
      <c r="W836" s="652">
        <f>IF($B836="",,SUMIFS(PerBase[Month 12],PerBase[exp_item],$H836,PerBase[company_name],$B836)*W416)</f>
        <v>0</v>
      </c>
      <c r="X836" s="652">
        <f>IF($B836="",,SUMIFS(PerBase[Month 13],PerBase[exp_item],$H836,PerBase[company_name],$B836)*X416)</f>
        <v>0</v>
      </c>
      <c r="Y836" s="652">
        <f>IF($B836="",,SUMIFS(PerBase[Month 14],PerBase[exp_item],$H836,PerBase[company_name],$B836)*Y416)</f>
        <v>0</v>
      </c>
      <c r="Z836" s="652">
        <f>IF($B836="",,SUMIFS(PerBase[Month 15],PerBase[exp_item],$H836,PerBase[company_name],$B836)*Z416)</f>
        <v>0</v>
      </c>
      <c r="AA836" s="652">
        <f>IF($B836="",,SUMIFS(PerBase[Month 16],PerBase[exp_item],$H836,PerBase[company_name],$B836)*AA416)</f>
        <v>0</v>
      </c>
      <c r="AB836" s="652">
        <f>IF($B836="",,SUMIFS(PerBase[Month 17],PerBase[exp_item],$H836,PerBase[company_name],$B836)*AB416)</f>
        <v>0</v>
      </c>
      <c r="AC836" s="652">
        <f>IF($B836="",,SUMIFS(PerBase[Month 18],PerBase[exp_item],$H836,PerBase[company_name],$B836)*AC416)</f>
        <v>0</v>
      </c>
      <c r="AD836" s="652">
        <f>IF($B836="",,SUMIFS(PerBase[Month 19],PerBase[exp_item],$H836,PerBase[company_name],$B836)*AD416)</f>
        <v>0</v>
      </c>
      <c r="AE836" s="652">
        <f>IF($B836="",,SUMIFS(PerBase[Month 20],PerBase[exp_item],$H836,PerBase[company_name],$B836)*AE416)</f>
        <v>0</v>
      </c>
      <c r="AF836" s="652">
        <f>IF($B836="",,SUMIFS(PerBase[Month 21],PerBase[exp_item],$H836,PerBase[company_name],$B836)*AF416)</f>
        <v>0</v>
      </c>
      <c r="AG836" s="652">
        <f>IF($B836="",,SUMIFS(PerBase[Month 22],PerBase[exp_item],$H836,PerBase[company_name],$B836)*AG416)</f>
        <v>0</v>
      </c>
      <c r="AH836" s="652">
        <f>IF($B836="",,SUMIFS(PerBase[Month 23],PerBase[exp_item],$H836,PerBase[company_name],$B836)*AH416)</f>
        <v>0</v>
      </c>
      <c r="AI836" s="652">
        <f>IF($B836="",,SUMIFS(PerBase[Month 24],PerBase[exp_item],$H836,PerBase[company_name],$B836)*AI416)</f>
        <v>0</v>
      </c>
      <c r="AJ836" s="652">
        <f>IF($B836="",,SUMIFS(PerBase[Month 25],PerBase[exp_item],$H836,PerBase[company_name],$B836)*AJ416)</f>
        <v>0</v>
      </c>
      <c r="AK836" s="652">
        <f>IF($B836="",,SUMIFS(PerBase[Month 26],PerBase[exp_item],$H836,PerBase[company_name],$B836)*AK416)</f>
        <v>0</v>
      </c>
      <c r="AL836" s="652">
        <f>IF($B836="",,SUMIFS(PerBase[Month 27],PerBase[exp_item],$H836,PerBase[company_name],$B836)*AL416)</f>
        <v>0</v>
      </c>
      <c r="AM836" s="652">
        <f>IF($B836="",,SUMIFS(PerBase[Month 28],PerBase[exp_item],$H836,PerBase[company_name],$B836)*AM416)</f>
        <v>0</v>
      </c>
      <c r="AN836" s="652">
        <f>IF($B836="",,SUMIFS(PerBase[Month 29],PerBase[exp_item],$H836,PerBase[company_name],$B836)*AN416)</f>
        <v>0</v>
      </c>
      <c r="AO836" s="652">
        <f>IF($B836="",,SUMIFS(PerBase[Month 30],PerBase[exp_item],$H836,PerBase[company_name],$B836)*AO416)</f>
        <v>0</v>
      </c>
      <c r="AP836" s="652">
        <f>IF($B836="",,SUMIFS(PerBase[Month 31],PerBase[exp_item],$H836,PerBase[company_name],$B836)*AP416)</f>
        <v>0</v>
      </c>
      <c r="AQ836" s="652">
        <f>IF($B836="",,SUMIFS(PerBase[Month 32],PerBase[exp_item],$H836,PerBase[company_name],$B836)*AQ416)</f>
        <v>0</v>
      </c>
      <c r="AR836" s="652">
        <f>IF($B836="",,SUMIFS(PerBase[Month 33],PerBase[exp_item],$H836,PerBase[company_name],$B836)*AR416)</f>
        <v>0</v>
      </c>
      <c r="AS836" s="652">
        <f>IF($B836="",,SUMIFS(PerBase[Month 34],PerBase[exp_item],$H836,PerBase[company_name],$B836)*AS416)</f>
        <v>0</v>
      </c>
      <c r="AT836" s="652">
        <f>IF($B836="",,SUMIFS(PerBase[Month 35],PerBase[exp_item],$H836,PerBase[company_name],$B836)*AT416)</f>
        <v>0</v>
      </c>
      <c r="AU836" s="652">
        <f>IF($B836="",,SUMIFS(PerBase[Month 36],PerBase[exp_item],$H836,PerBase[company_name],$B836)*AU416)</f>
        <v>0</v>
      </c>
    </row>
    <row r="837" spans="2:47" x14ac:dyDescent="0.35">
      <c r="B837" t="str">
        <f t="shared" si="445"/>
        <v/>
      </c>
      <c r="C837" t="str">
        <f t="shared" ref="C837:G837" si="467">IF(C732="","",C732)</f>
        <v/>
      </c>
      <c r="D837" t="str">
        <f t="shared" si="467"/>
        <v/>
      </c>
      <c r="E837" t="str">
        <f t="shared" si="467"/>
        <v/>
      </c>
      <c r="F837" t="str">
        <f t="shared" si="467"/>
        <v/>
      </c>
      <c r="G837" t="str">
        <f t="shared" si="467"/>
        <v/>
      </c>
      <c r="H837" t="str">
        <f t="shared" si="444"/>
        <v/>
      </c>
      <c r="J837" t="str">
        <f>IF($H837="","",IF(VLOOKUP(H837,ExpItems[],2,0),H837&amp;" - "&amp;INDEX(DivisionMapping[category_code],MATCH($D837&amp;$C837,DivisionMapping[dept_bu],0)),H837))</f>
        <v/>
      </c>
      <c r="K837" t="str">
        <f t="shared" si="447"/>
        <v/>
      </c>
      <c r="L837" s="652">
        <f>IF($B837="",,SUMIFS(PerBase[Month 1],PerBase[exp_item],$H837,PerBase[company_name],$B837)*L417)</f>
        <v>0</v>
      </c>
      <c r="M837" s="652">
        <f>IF($B837="",,SUMIFS(PerBase[Month 2],PerBase[exp_item],$H837,PerBase[company_name],$B837)*M417)</f>
        <v>0</v>
      </c>
      <c r="N837" s="652">
        <f>IF($B837="",,SUMIFS(PerBase[Month 3],PerBase[exp_item],$H837,PerBase[company_name],$B837)*N417)</f>
        <v>0</v>
      </c>
      <c r="O837" s="652">
        <f>IF($B837="",,SUMIFS(PerBase[Month 4],PerBase[exp_item],$H837,PerBase[company_name],$B837)*O417)</f>
        <v>0</v>
      </c>
      <c r="P837" s="652">
        <f>IF($B837="",,SUMIFS(PerBase[Month 5],PerBase[exp_item],$H837,PerBase[company_name],$B837)*P417)</f>
        <v>0</v>
      </c>
      <c r="Q837" s="652">
        <f>IF($B837="",,SUMIFS(PerBase[Month 6],PerBase[exp_item],$H837,PerBase[company_name],$B837)*Q417)</f>
        <v>0</v>
      </c>
      <c r="R837" s="652">
        <f>IF($B837="",,SUMIFS(PerBase[Month 7],PerBase[exp_item],$H837,PerBase[company_name],$B837)*R417)</f>
        <v>0</v>
      </c>
      <c r="S837" s="652">
        <f>IF($B837="",,SUMIFS(PerBase[Month 8],PerBase[exp_item],$H837,PerBase[company_name],$B837)*S417)</f>
        <v>0</v>
      </c>
      <c r="T837" s="652">
        <f>IF($B837="",,SUMIFS(PerBase[Month 9],PerBase[exp_item],$H837,PerBase[company_name],$B837)*T417)</f>
        <v>0</v>
      </c>
      <c r="U837" s="652">
        <f>IF($B837="",,SUMIFS(PerBase[Month 10],PerBase[exp_item],$H837,PerBase[company_name],$B837)*U417)</f>
        <v>0</v>
      </c>
      <c r="V837" s="652">
        <f>IF($B837="",,SUMIFS(PerBase[Month 11],PerBase[exp_item],$H837,PerBase[company_name],$B837)*V417)</f>
        <v>0</v>
      </c>
      <c r="W837" s="652">
        <f>IF($B837="",,SUMIFS(PerBase[Month 12],PerBase[exp_item],$H837,PerBase[company_name],$B837)*W417)</f>
        <v>0</v>
      </c>
      <c r="X837" s="652">
        <f>IF($B837="",,SUMIFS(PerBase[Month 13],PerBase[exp_item],$H837,PerBase[company_name],$B837)*X417)</f>
        <v>0</v>
      </c>
      <c r="Y837" s="652">
        <f>IF($B837="",,SUMIFS(PerBase[Month 14],PerBase[exp_item],$H837,PerBase[company_name],$B837)*Y417)</f>
        <v>0</v>
      </c>
      <c r="Z837" s="652">
        <f>IF($B837="",,SUMIFS(PerBase[Month 15],PerBase[exp_item],$H837,PerBase[company_name],$B837)*Z417)</f>
        <v>0</v>
      </c>
      <c r="AA837" s="652">
        <f>IF($B837="",,SUMIFS(PerBase[Month 16],PerBase[exp_item],$H837,PerBase[company_name],$B837)*AA417)</f>
        <v>0</v>
      </c>
      <c r="AB837" s="652">
        <f>IF($B837="",,SUMIFS(PerBase[Month 17],PerBase[exp_item],$H837,PerBase[company_name],$B837)*AB417)</f>
        <v>0</v>
      </c>
      <c r="AC837" s="652">
        <f>IF($B837="",,SUMIFS(PerBase[Month 18],PerBase[exp_item],$H837,PerBase[company_name],$B837)*AC417)</f>
        <v>0</v>
      </c>
      <c r="AD837" s="652">
        <f>IF($B837="",,SUMIFS(PerBase[Month 19],PerBase[exp_item],$H837,PerBase[company_name],$B837)*AD417)</f>
        <v>0</v>
      </c>
      <c r="AE837" s="652">
        <f>IF($B837="",,SUMIFS(PerBase[Month 20],PerBase[exp_item],$H837,PerBase[company_name],$B837)*AE417)</f>
        <v>0</v>
      </c>
      <c r="AF837" s="652">
        <f>IF($B837="",,SUMIFS(PerBase[Month 21],PerBase[exp_item],$H837,PerBase[company_name],$B837)*AF417)</f>
        <v>0</v>
      </c>
      <c r="AG837" s="652">
        <f>IF($B837="",,SUMIFS(PerBase[Month 22],PerBase[exp_item],$H837,PerBase[company_name],$B837)*AG417)</f>
        <v>0</v>
      </c>
      <c r="AH837" s="652">
        <f>IF($B837="",,SUMIFS(PerBase[Month 23],PerBase[exp_item],$H837,PerBase[company_name],$B837)*AH417)</f>
        <v>0</v>
      </c>
      <c r="AI837" s="652">
        <f>IF($B837="",,SUMIFS(PerBase[Month 24],PerBase[exp_item],$H837,PerBase[company_name],$B837)*AI417)</f>
        <v>0</v>
      </c>
      <c r="AJ837" s="652">
        <f>IF($B837="",,SUMIFS(PerBase[Month 25],PerBase[exp_item],$H837,PerBase[company_name],$B837)*AJ417)</f>
        <v>0</v>
      </c>
      <c r="AK837" s="652">
        <f>IF($B837="",,SUMIFS(PerBase[Month 26],PerBase[exp_item],$H837,PerBase[company_name],$B837)*AK417)</f>
        <v>0</v>
      </c>
      <c r="AL837" s="652">
        <f>IF($B837="",,SUMIFS(PerBase[Month 27],PerBase[exp_item],$H837,PerBase[company_name],$B837)*AL417)</f>
        <v>0</v>
      </c>
      <c r="AM837" s="652">
        <f>IF($B837="",,SUMIFS(PerBase[Month 28],PerBase[exp_item],$H837,PerBase[company_name],$B837)*AM417)</f>
        <v>0</v>
      </c>
      <c r="AN837" s="652">
        <f>IF($B837="",,SUMIFS(PerBase[Month 29],PerBase[exp_item],$H837,PerBase[company_name],$B837)*AN417)</f>
        <v>0</v>
      </c>
      <c r="AO837" s="652">
        <f>IF($B837="",,SUMIFS(PerBase[Month 30],PerBase[exp_item],$H837,PerBase[company_name],$B837)*AO417)</f>
        <v>0</v>
      </c>
      <c r="AP837" s="652">
        <f>IF($B837="",,SUMIFS(PerBase[Month 31],PerBase[exp_item],$H837,PerBase[company_name],$B837)*AP417)</f>
        <v>0</v>
      </c>
      <c r="AQ837" s="652">
        <f>IF($B837="",,SUMIFS(PerBase[Month 32],PerBase[exp_item],$H837,PerBase[company_name],$B837)*AQ417)</f>
        <v>0</v>
      </c>
      <c r="AR837" s="652">
        <f>IF($B837="",,SUMIFS(PerBase[Month 33],PerBase[exp_item],$H837,PerBase[company_name],$B837)*AR417)</f>
        <v>0</v>
      </c>
      <c r="AS837" s="652">
        <f>IF($B837="",,SUMIFS(PerBase[Month 34],PerBase[exp_item],$H837,PerBase[company_name],$B837)*AS417)</f>
        <v>0</v>
      </c>
      <c r="AT837" s="652">
        <f>IF($B837="",,SUMIFS(PerBase[Month 35],PerBase[exp_item],$H837,PerBase[company_name],$B837)*AT417)</f>
        <v>0</v>
      </c>
      <c r="AU837" s="652">
        <f>IF($B837="",,SUMIFS(PerBase[Month 36],PerBase[exp_item],$H837,PerBase[company_name],$B837)*AU417)</f>
        <v>0</v>
      </c>
    </row>
    <row r="838" spans="2:47" x14ac:dyDescent="0.35">
      <c r="B838" t="str">
        <f t="shared" si="445"/>
        <v/>
      </c>
      <c r="C838" t="str">
        <f t="shared" ref="C838:G838" si="468">IF(C733="","",C733)</f>
        <v/>
      </c>
      <c r="D838" t="str">
        <f t="shared" si="468"/>
        <v/>
      </c>
      <c r="E838" t="str">
        <f t="shared" si="468"/>
        <v/>
      </c>
      <c r="F838" t="str">
        <f t="shared" si="468"/>
        <v/>
      </c>
      <c r="G838" t="str">
        <f t="shared" si="468"/>
        <v/>
      </c>
      <c r="H838" t="str">
        <f t="shared" si="444"/>
        <v/>
      </c>
      <c r="J838" t="str">
        <f>IF($H838="","",IF(VLOOKUP(H838,ExpItems[],2,0),H838&amp;" - "&amp;INDEX(DivisionMapping[category_code],MATCH($D838&amp;$C838,DivisionMapping[dept_bu],0)),H838))</f>
        <v/>
      </c>
      <c r="K838" t="str">
        <f t="shared" si="447"/>
        <v/>
      </c>
      <c r="L838" s="652">
        <f>IF($B838="",,SUMIFS(PerBase[Month 1],PerBase[exp_item],$H838,PerBase[company_name],$B838)*L418)</f>
        <v>0</v>
      </c>
      <c r="M838" s="652">
        <f>IF($B838="",,SUMIFS(PerBase[Month 2],PerBase[exp_item],$H838,PerBase[company_name],$B838)*M418)</f>
        <v>0</v>
      </c>
      <c r="N838" s="652">
        <f>IF($B838="",,SUMIFS(PerBase[Month 3],PerBase[exp_item],$H838,PerBase[company_name],$B838)*N418)</f>
        <v>0</v>
      </c>
      <c r="O838" s="652">
        <f>IF($B838="",,SUMIFS(PerBase[Month 4],PerBase[exp_item],$H838,PerBase[company_name],$B838)*O418)</f>
        <v>0</v>
      </c>
      <c r="P838" s="652">
        <f>IF($B838="",,SUMIFS(PerBase[Month 5],PerBase[exp_item],$H838,PerBase[company_name],$B838)*P418)</f>
        <v>0</v>
      </c>
      <c r="Q838" s="652">
        <f>IF($B838="",,SUMIFS(PerBase[Month 6],PerBase[exp_item],$H838,PerBase[company_name],$B838)*Q418)</f>
        <v>0</v>
      </c>
      <c r="R838" s="652">
        <f>IF($B838="",,SUMIFS(PerBase[Month 7],PerBase[exp_item],$H838,PerBase[company_name],$B838)*R418)</f>
        <v>0</v>
      </c>
      <c r="S838" s="652">
        <f>IF($B838="",,SUMIFS(PerBase[Month 8],PerBase[exp_item],$H838,PerBase[company_name],$B838)*S418)</f>
        <v>0</v>
      </c>
      <c r="T838" s="652">
        <f>IF($B838="",,SUMIFS(PerBase[Month 9],PerBase[exp_item],$H838,PerBase[company_name],$B838)*T418)</f>
        <v>0</v>
      </c>
      <c r="U838" s="652">
        <f>IF($B838="",,SUMIFS(PerBase[Month 10],PerBase[exp_item],$H838,PerBase[company_name],$B838)*U418)</f>
        <v>0</v>
      </c>
      <c r="V838" s="652">
        <f>IF($B838="",,SUMIFS(PerBase[Month 11],PerBase[exp_item],$H838,PerBase[company_name],$B838)*V418)</f>
        <v>0</v>
      </c>
      <c r="W838" s="652">
        <f>IF($B838="",,SUMIFS(PerBase[Month 12],PerBase[exp_item],$H838,PerBase[company_name],$B838)*W418)</f>
        <v>0</v>
      </c>
      <c r="X838" s="652">
        <f>IF($B838="",,SUMIFS(PerBase[Month 13],PerBase[exp_item],$H838,PerBase[company_name],$B838)*X418)</f>
        <v>0</v>
      </c>
      <c r="Y838" s="652">
        <f>IF($B838="",,SUMIFS(PerBase[Month 14],PerBase[exp_item],$H838,PerBase[company_name],$B838)*Y418)</f>
        <v>0</v>
      </c>
      <c r="Z838" s="652">
        <f>IF($B838="",,SUMIFS(PerBase[Month 15],PerBase[exp_item],$H838,PerBase[company_name],$B838)*Z418)</f>
        <v>0</v>
      </c>
      <c r="AA838" s="652">
        <f>IF($B838="",,SUMIFS(PerBase[Month 16],PerBase[exp_item],$H838,PerBase[company_name],$B838)*AA418)</f>
        <v>0</v>
      </c>
      <c r="AB838" s="652">
        <f>IF($B838="",,SUMIFS(PerBase[Month 17],PerBase[exp_item],$H838,PerBase[company_name],$B838)*AB418)</f>
        <v>0</v>
      </c>
      <c r="AC838" s="652">
        <f>IF($B838="",,SUMIFS(PerBase[Month 18],PerBase[exp_item],$H838,PerBase[company_name],$B838)*AC418)</f>
        <v>0</v>
      </c>
      <c r="AD838" s="652">
        <f>IF($B838="",,SUMIFS(PerBase[Month 19],PerBase[exp_item],$H838,PerBase[company_name],$B838)*AD418)</f>
        <v>0</v>
      </c>
      <c r="AE838" s="652">
        <f>IF($B838="",,SUMIFS(PerBase[Month 20],PerBase[exp_item],$H838,PerBase[company_name],$B838)*AE418)</f>
        <v>0</v>
      </c>
      <c r="AF838" s="652">
        <f>IF($B838="",,SUMIFS(PerBase[Month 21],PerBase[exp_item],$H838,PerBase[company_name],$B838)*AF418)</f>
        <v>0</v>
      </c>
      <c r="AG838" s="652">
        <f>IF($B838="",,SUMIFS(PerBase[Month 22],PerBase[exp_item],$H838,PerBase[company_name],$B838)*AG418)</f>
        <v>0</v>
      </c>
      <c r="AH838" s="652">
        <f>IF($B838="",,SUMIFS(PerBase[Month 23],PerBase[exp_item],$H838,PerBase[company_name],$B838)*AH418)</f>
        <v>0</v>
      </c>
      <c r="AI838" s="652">
        <f>IF($B838="",,SUMIFS(PerBase[Month 24],PerBase[exp_item],$H838,PerBase[company_name],$B838)*AI418)</f>
        <v>0</v>
      </c>
      <c r="AJ838" s="652">
        <f>IF($B838="",,SUMIFS(PerBase[Month 25],PerBase[exp_item],$H838,PerBase[company_name],$B838)*AJ418)</f>
        <v>0</v>
      </c>
      <c r="AK838" s="652">
        <f>IF($B838="",,SUMIFS(PerBase[Month 26],PerBase[exp_item],$H838,PerBase[company_name],$B838)*AK418)</f>
        <v>0</v>
      </c>
      <c r="AL838" s="652">
        <f>IF($B838="",,SUMIFS(PerBase[Month 27],PerBase[exp_item],$H838,PerBase[company_name],$B838)*AL418)</f>
        <v>0</v>
      </c>
      <c r="AM838" s="652">
        <f>IF($B838="",,SUMIFS(PerBase[Month 28],PerBase[exp_item],$H838,PerBase[company_name],$B838)*AM418)</f>
        <v>0</v>
      </c>
      <c r="AN838" s="652">
        <f>IF($B838="",,SUMIFS(PerBase[Month 29],PerBase[exp_item],$H838,PerBase[company_name],$B838)*AN418)</f>
        <v>0</v>
      </c>
      <c r="AO838" s="652">
        <f>IF($B838="",,SUMIFS(PerBase[Month 30],PerBase[exp_item],$H838,PerBase[company_name],$B838)*AO418)</f>
        <v>0</v>
      </c>
      <c r="AP838" s="652">
        <f>IF($B838="",,SUMIFS(PerBase[Month 31],PerBase[exp_item],$H838,PerBase[company_name],$B838)*AP418)</f>
        <v>0</v>
      </c>
      <c r="AQ838" s="652">
        <f>IF($B838="",,SUMIFS(PerBase[Month 32],PerBase[exp_item],$H838,PerBase[company_name],$B838)*AQ418)</f>
        <v>0</v>
      </c>
      <c r="AR838" s="652">
        <f>IF($B838="",,SUMIFS(PerBase[Month 33],PerBase[exp_item],$H838,PerBase[company_name],$B838)*AR418)</f>
        <v>0</v>
      </c>
      <c r="AS838" s="652">
        <f>IF($B838="",,SUMIFS(PerBase[Month 34],PerBase[exp_item],$H838,PerBase[company_name],$B838)*AS418)</f>
        <v>0</v>
      </c>
      <c r="AT838" s="652">
        <f>IF($B838="",,SUMIFS(PerBase[Month 35],PerBase[exp_item],$H838,PerBase[company_name],$B838)*AT418)</f>
        <v>0</v>
      </c>
      <c r="AU838" s="652">
        <f>IF($B838="",,SUMIFS(PerBase[Month 36],PerBase[exp_item],$H838,PerBase[company_name],$B838)*AU418)</f>
        <v>0</v>
      </c>
    </row>
    <row r="839" spans="2:47" x14ac:dyDescent="0.35">
      <c r="B839" t="str">
        <f t="shared" si="445"/>
        <v/>
      </c>
      <c r="C839" t="str">
        <f t="shared" ref="C839:G839" si="469">IF(C734="","",C734)</f>
        <v/>
      </c>
      <c r="D839" t="str">
        <f t="shared" si="469"/>
        <v/>
      </c>
      <c r="E839" t="str">
        <f t="shared" si="469"/>
        <v/>
      </c>
      <c r="F839" t="str">
        <f t="shared" si="469"/>
        <v/>
      </c>
      <c r="G839" t="str">
        <f t="shared" si="469"/>
        <v/>
      </c>
      <c r="H839" t="str">
        <f t="shared" si="444"/>
        <v/>
      </c>
      <c r="J839" t="str">
        <f>IF($H839="","",IF(VLOOKUP(H839,ExpItems[],2,0),H839&amp;" - "&amp;INDEX(DivisionMapping[category_code],MATCH($D839&amp;$C839,DivisionMapping[dept_bu],0)),H839))</f>
        <v/>
      </c>
      <c r="K839" t="str">
        <f t="shared" si="447"/>
        <v/>
      </c>
      <c r="L839" s="652">
        <f>IF($B839="",,SUMIFS(PerBase[Month 1],PerBase[exp_item],$H839,PerBase[company_name],$B839)*L419)</f>
        <v>0</v>
      </c>
      <c r="M839" s="652">
        <f>IF($B839="",,SUMIFS(PerBase[Month 2],PerBase[exp_item],$H839,PerBase[company_name],$B839)*M419)</f>
        <v>0</v>
      </c>
      <c r="N839" s="652">
        <f>IF($B839="",,SUMIFS(PerBase[Month 3],PerBase[exp_item],$H839,PerBase[company_name],$B839)*N419)</f>
        <v>0</v>
      </c>
      <c r="O839" s="652">
        <f>IF($B839="",,SUMIFS(PerBase[Month 4],PerBase[exp_item],$H839,PerBase[company_name],$B839)*O419)</f>
        <v>0</v>
      </c>
      <c r="P839" s="652">
        <f>IF($B839="",,SUMIFS(PerBase[Month 5],PerBase[exp_item],$H839,PerBase[company_name],$B839)*P419)</f>
        <v>0</v>
      </c>
      <c r="Q839" s="652">
        <f>IF($B839="",,SUMIFS(PerBase[Month 6],PerBase[exp_item],$H839,PerBase[company_name],$B839)*Q419)</f>
        <v>0</v>
      </c>
      <c r="R839" s="652">
        <f>IF($B839="",,SUMIFS(PerBase[Month 7],PerBase[exp_item],$H839,PerBase[company_name],$B839)*R419)</f>
        <v>0</v>
      </c>
      <c r="S839" s="652">
        <f>IF($B839="",,SUMIFS(PerBase[Month 8],PerBase[exp_item],$H839,PerBase[company_name],$B839)*S419)</f>
        <v>0</v>
      </c>
      <c r="T839" s="652">
        <f>IF($B839="",,SUMIFS(PerBase[Month 9],PerBase[exp_item],$H839,PerBase[company_name],$B839)*T419)</f>
        <v>0</v>
      </c>
      <c r="U839" s="652">
        <f>IF($B839="",,SUMIFS(PerBase[Month 10],PerBase[exp_item],$H839,PerBase[company_name],$B839)*U419)</f>
        <v>0</v>
      </c>
      <c r="V839" s="652">
        <f>IF($B839="",,SUMIFS(PerBase[Month 11],PerBase[exp_item],$H839,PerBase[company_name],$B839)*V419)</f>
        <v>0</v>
      </c>
      <c r="W839" s="652">
        <f>IF($B839="",,SUMIFS(PerBase[Month 12],PerBase[exp_item],$H839,PerBase[company_name],$B839)*W419)</f>
        <v>0</v>
      </c>
      <c r="X839" s="652">
        <f>IF($B839="",,SUMIFS(PerBase[Month 13],PerBase[exp_item],$H839,PerBase[company_name],$B839)*X419)</f>
        <v>0</v>
      </c>
      <c r="Y839" s="652">
        <f>IF($B839="",,SUMIFS(PerBase[Month 14],PerBase[exp_item],$H839,PerBase[company_name],$B839)*Y419)</f>
        <v>0</v>
      </c>
      <c r="Z839" s="652">
        <f>IF($B839="",,SUMIFS(PerBase[Month 15],PerBase[exp_item],$H839,PerBase[company_name],$B839)*Z419)</f>
        <v>0</v>
      </c>
      <c r="AA839" s="652">
        <f>IF($B839="",,SUMIFS(PerBase[Month 16],PerBase[exp_item],$H839,PerBase[company_name],$B839)*AA419)</f>
        <v>0</v>
      </c>
      <c r="AB839" s="652">
        <f>IF($B839="",,SUMIFS(PerBase[Month 17],PerBase[exp_item],$H839,PerBase[company_name],$B839)*AB419)</f>
        <v>0</v>
      </c>
      <c r="AC839" s="652">
        <f>IF($B839="",,SUMIFS(PerBase[Month 18],PerBase[exp_item],$H839,PerBase[company_name],$B839)*AC419)</f>
        <v>0</v>
      </c>
      <c r="AD839" s="652">
        <f>IF($B839="",,SUMIFS(PerBase[Month 19],PerBase[exp_item],$H839,PerBase[company_name],$B839)*AD419)</f>
        <v>0</v>
      </c>
      <c r="AE839" s="652">
        <f>IF($B839="",,SUMIFS(PerBase[Month 20],PerBase[exp_item],$H839,PerBase[company_name],$B839)*AE419)</f>
        <v>0</v>
      </c>
      <c r="AF839" s="652">
        <f>IF($B839="",,SUMIFS(PerBase[Month 21],PerBase[exp_item],$H839,PerBase[company_name],$B839)*AF419)</f>
        <v>0</v>
      </c>
      <c r="AG839" s="652">
        <f>IF($B839="",,SUMIFS(PerBase[Month 22],PerBase[exp_item],$H839,PerBase[company_name],$B839)*AG419)</f>
        <v>0</v>
      </c>
      <c r="AH839" s="652">
        <f>IF($B839="",,SUMIFS(PerBase[Month 23],PerBase[exp_item],$H839,PerBase[company_name],$B839)*AH419)</f>
        <v>0</v>
      </c>
      <c r="AI839" s="652">
        <f>IF($B839="",,SUMIFS(PerBase[Month 24],PerBase[exp_item],$H839,PerBase[company_name],$B839)*AI419)</f>
        <v>0</v>
      </c>
      <c r="AJ839" s="652">
        <f>IF($B839="",,SUMIFS(PerBase[Month 25],PerBase[exp_item],$H839,PerBase[company_name],$B839)*AJ419)</f>
        <v>0</v>
      </c>
      <c r="AK839" s="652">
        <f>IF($B839="",,SUMIFS(PerBase[Month 26],PerBase[exp_item],$H839,PerBase[company_name],$B839)*AK419)</f>
        <v>0</v>
      </c>
      <c r="AL839" s="652">
        <f>IF($B839="",,SUMIFS(PerBase[Month 27],PerBase[exp_item],$H839,PerBase[company_name],$B839)*AL419)</f>
        <v>0</v>
      </c>
      <c r="AM839" s="652">
        <f>IF($B839="",,SUMIFS(PerBase[Month 28],PerBase[exp_item],$H839,PerBase[company_name],$B839)*AM419)</f>
        <v>0</v>
      </c>
      <c r="AN839" s="652">
        <f>IF($B839="",,SUMIFS(PerBase[Month 29],PerBase[exp_item],$H839,PerBase[company_name],$B839)*AN419)</f>
        <v>0</v>
      </c>
      <c r="AO839" s="652">
        <f>IF($B839="",,SUMIFS(PerBase[Month 30],PerBase[exp_item],$H839,PerBase[company_name],$B839)*AO419)</f>
        <v>0</v>
      </c>
      <c r="AP839" s="652">
        <f>IF($B839="",,SUMIFS(PerBase[Month 31],PerBase[exp_item],$H839,PerBase[company_name],$B839)*AP419)</f>
        <v>0</v>
      </c>
      <c r="AQ839" s="652">
        <f>IF($B839="",,SUMIFS(PerBase[Month 32],PerBase[exp_item],$H839,PerBase[company_name],$B839)*AQ419)</f>
        <v>0</v>
      </c>
      <c r="AR839" s="652">
        <f>IF($B839="",,SUMIFS(PerBase[Month 33],PerBase[exp_item],$H839,PerBase[company_name],$B839)*AR419)</f>
        <v>0</v>
      </c>
      <c r="AS839" s="652">
        <f>IF($B839="",,SUMIFS(PerBase[Month 34],PerBase[exp_item],$H839,PerBase[company_name],$B839)*AS419)</f>
        <v>0</v>
      </c>
      <c r="AT839" s="652">
        <f>IF($B839="",,SUMIFS(PerBase[Month 35],PerBase[exp_item],$H839,PerBase[company_name],$B839)*AT419)</f>
        <v>0</v>
      </c>
      <c r="AU839" s="652">
        <f>IF($B839="",,SUMIFS(PerBase[Month 36],PerBase[exp_item],$H839,PerBase[company_name],$B839)*AU419)</f>
        <v>0</v>
      </c>
    </row>
    <row r="840" spans="2:47" x14ac:dyDescent="0.35">
      <c r="B840" t="str">
        <f t="shared" si="445"/>
        <v/>
      </c>
      <c r="C840" t="str">
        <f t="shared" ref="C840:G840" si="470">IF(C735="","",C735)</f>
        <v/>
      </c>
      <c r="D840" t="str">
        <f t="shared" si="470"/>
        <v/>
      </c>
      <c r="E840" t="str">
        <f t="shared" si="470"/>
        <v/>
      </c>
      <c r="F840" t="str">
        <f t="shared" si="470"/>
        <v/>
      </c>
      <c r="G840" t="str">
        <f t="shared" si="470"/>
        <v/>
      </c>
      <c r="H840" t="str">
        <f t="shared" si="444"/>
        <v/>
      </c>
      <c r="J840" t="str">
        <f>IF($H840="","",IF(VLOOKUP(H840,ExpItems[],2,0),H840&amp;" - "&amp;INDEX(DivisionMapping[category_code],MATCH($D840&amp;$C840,DivisionMapping[dept_bu],0)),H840))</f>
        <v/>
      </c>
      <c r="K840" t="str">
        <f t="shared" si="447"/>
        <v/>
      </c>
      <c r="L840" s="652">
        <f>IF($B840="",,SUMIFS(PerBase[Month 1],PerBase[exp_item],$H840,PerBase[company_name],$B840)*L420)</f>
        <v>0</v>
      </c>
      <c r="M840" s="652">
        <f>IF($B840="",,SUMIFS(PerBase[Month 2],PerBase[exp_item],$H840,PerBase[company_name],$B840)*M420)</f>
        <v>0</v>
      </c>
      <c r="N840" s="652">
        <f>IF($B840="",,SUMIFS(PerBase[Month 3],PerBase[exp_item],$H840,PerBase[company_name],$B840)*N420)</f>
        <v>0</v>
      </c>
      <c r="O840" s="652">
        <f>IF($B840="",,SUMIFS(PerBase[Month 4],PerBase[exp_item],$H840,PerBase[company_name],$B840)*O420)</f>
        <v>0</v>
      </c>
      <c r="P840" s="652">
        <f>IF($B840="",,SUMIFS(PerBase[Month 5],PerBase[exp_item],$H840,PerBase[company_name],$B840)*P420)</f>
        <v>0</v>
      </c>
      <c r="Q840" s="652">
        <f>IF($B840="",,SUMIFS(PerBase[Month 6],PerBase[exp_item],$H840,PerBase[company_name],$B840)*Q420)</f>
        <v>0</v>
      </c>
      <c r="R840" s="652">
        <f>IF($B840="",,SUMIFS(PerBase[Month 7],PerBase[exp_item],$H840,PerBase[company_name],$B840)*R420)</f>
        <v>0</v>
      </c>
      <c r="S840" s="652">
        <f>IF($B840="",,SUMIFS(PerBase[Month 8],PerBase[exp_item],$H840,PerBase[company_name],$B840)*S420)</f>
        <v>0</v>
      </c>
      <c r="T840" s="652">
        <f>IF($B840="",,SUMIFS(PerBase[Month 9],PerBase[exp_item],$H840,PerBase[company_name],$B840)*T420)</f>
        <v>0</v>
      </c>
      <c r="U840" s="652">
        <f>IF($B840="",,SUMIFS(PerBase[Month 10],PerBase[exp_item],$H840,PerBase[company_name],$B840)*U420)</f>
        <v>0</v>
      </c>
      <c r="V840" s="652">
        <f>IF($B840="",,SUMIFS(PerBase[Month 11],PerBase[exp_item],$H840,PerBase[company_name],$B840)*V420)</f>
        <v>0</v>
      </c>
      <c r="W840" s="652">
        <f>IF($B840="",,SUMIFS(PerBase[Month 12],PerBase[exp_item],$H840,PerBase[company_name],$B840)*W420)</f>
        <v>0</v>
      </c>
      <c r="X840" s="652">
        <f>IF($B840="",,SUMIFS(PerBase[Month 13],PerBase[exp_item],$H840,PerBase[company_name],$B840)*X420)</f>
        <v>0</v>
      </c>
      <c r="Y840" s="652">
        <f>IF($B840="",,SUMIFS(PerBase[Month 14],PerBase[exp_item],$H840,PerBase[company_name],$B840)*Y420)</f>
        <v>0</v>
      </c>
      <c r="Z840" s="652">
        <f>IF($B840="",,SUMIFS(PerBase[Month 15],PerBase[exp_item],$H840,PerBase[company_name],$B840)*Z420)</f>
        <v>0</v>
      </c>
      <c r="AA840" s="652">
        <f>IF($B840="",,SUMIFS(PerBase[Month 16],PerBase[exp_item],$H840,PerBase[company_name],$B840)*AA420)</f>
        <v>0</v>
      </c>
      <c r="AB840" s="652">
        <f>IF($B840="",,SUMIFS(PerBase[Month 17],PerBase[exp_item],$H840,PerBase[company_name],$B840)*AB420)</f>
        <v>0</v>
      </c>
      <c r="AC840" s="652">
        <f>IF($B840="",,SUMIFS(PerBase[Month 18],PerBase[exp_item],$H840,PerBase[company_name],$B840)*AC420)</f>
        <v>0</v>
      </c>
      <c r="AD840" s="652">
        <f>IF($B840="",,SUMIFS(PerBase[Month 19],PerBase[exp_item],$H840,PerBase[company_name],$B840)*AD420)</f>
        <v>0</v>
      </c>
      <c r="AE840" s="652">
        <f>IF($B840="",,SUMIFS(PerBase[Month 20],PerBase[exp_item],$H840,PerBase[company_name],$B840)*AE420)</f>
        <v>0</v>
      </c>
      <c r="AF840" s="652">
        <f>IF($B840="",,SUMIFS(PerBase[Month 21],PerBase[exp_item],$H840,PerBase[company_name],$B840)*AF420)</f>
        <v>0</v>
      </c>
      <c r="AG840" s="652">
        <f>IF($B840="",,SUMIFS(PerBase[Month 22],PerBase[exp_item],$H840,PerBase[company_name],$B840)*AG420)</f>
        <v>0</v>
      </c>
      <c r="AH840" s="652">
        <f>IF($B840="",,SUMIFS(PerBase[Month 23],PerBase[exp_item],$H840,PerBase[company_name],$B840)*AH420)</f>
        <v>0</v>
      </c>
      <c r="AI840" s="652">
        <f>IF($B840="",,SUMIFS(PerBase[Month 24],PerBase[exp_item],$H840,PerBase[company_name],$B840)*AI420)</f>
        <v>0</v>
      </c>
      <c r="AJ840" s="652">
        <f>IF($B840="",,SUMIFS(PerBase[Month 25],PerBase[exp_item],$H840,PerBase[company_name],$B840)*AJ420)</f>
        <v>0</v>
      </c>
      <c r="AK840" s="652">
        <f>IF($B840="",,SUMIFS(PerBase[Month 26],PerBase[exp_item],$H840,PerBase[company_name],$B840)*AK420)</f>
        <v>0</v>
      </c>
      <c r="AL840" s="652">
        <f>IF($B840="",,SUMIFS(PerBase[Month 27],PerBase[exp_item],$H840,PerBase[company_name],$B840)*AL420)</f>
        <v>0</v>
      </c>
      <c r="AM840" s="652">
        <f>IF($B840="",,SUMIFS(PerBase[Month 28],PerBase[exp_item],$H840,PerBase[company_name],$B840)*AM420)</f>
        <v>0</v>
      </c>
      <c r="AN840" s="652">
        <f>IF($B840="",,SUMIFS(PerBase[Month 29],PerBase[exp_item],$H840,PerBase[company_name],$B840)*AN420)</f>
        <v>0</v>
      </c>
      <c r="AO840" s="652">
        <f>IF($B840="",,SUMIFS(PerBase[Month 30],PerBase[exp_item],$H840,PerBase[company_name],$B840)*AO420)</f>
        <v>0</v>
      </c>
      <c r="AP840" s="652">
        <f>IF($B840="",,SUMIFS(PerBase[Month 31],PerBase[exp_item],$H840,PerBase[company_name],$B840)*AP420)</f>
        <v>0</v>
      </c>
      <c r="AQ840" s="652">
        <f>IF($B840="",,SUMIFS(PerBase[Month 32],PerBase[exp_item],$H840,PerBase[company_name],$B840)*AQ420)</f>
        <v>0</v>
      </c>
      <c r="AR840" s="652">
        <f>IF($B840="",,SUMIFS(PerBase[Month 33],PerBase[exp_item],$H840,PerBase[company_name],$B840)*AR420)</f>
        <v>0</v>
      </c>
      <c r="AS840" s="652">
        <f>IF($B840="",,SUMIFS(PerBase[Month 34],PerBase[exp_item],$H840,PerBase[company_name],$B840)*AS420)</f>
        <v>0</v>
      </c>
      <c r="AT840" s="652">
        <f>IF($B840="",,SUMIFS(PerBase[Month 35],PerBase[exp_item],$H840,PerBase[company_name],$B840)*AT420)</f>
        <v>0</v>
      </c>
      <c r="AU840" s="652">
        <f>IF($B840="",,SUMIFS(PerBase[Month 36],PerBase[exp_item],$H840,PerBase[company_name],$B840)*AU420)</f>
        <v>0</v>
      </c>
    </row>
    <row r="841" spans="2:47" x14ac:dyDescent="0.35">
      <c r="B841" t="str">
        <f t="shared" si="445"/>
        <v/>
      </c>
      <c r="C841" t="str">
        <f t="shared" ref="C841:G841" si="471">IF(C736="","",C736)</f>
        <v/>
      </c>
      <c r="D841" t="str">
        <f t="shared" si="471"/>
        <v/>
      </c>
      <c r="E841" t="str">
        <f t="shared" si="471"/>
        <v/>
      </c>
      <c r="F841" t="str">
        <f t="shared" si="471"/>
        <v/>
      </c>
      <c r="G841" t="str">
        <f t="shared" si="471"/>
        <v/>
      </c>
      <c r="H841" t="str">
        <f t="shared" si="444"/>
        <v/>
      </c>
      <c r="J841" t="str">
        <f>IF($H841="","",IF(VLOOKUP(H841,ExpItems[],2,0),H841&amp;" - "&amp;INDEX(DivisionMapping[category_code],MATCH($D841&amp;$C841,DivisionMapping[dept_bu],0)),H841))</f>
        <v/>
      </c>
      <c r="K841" t="str">
        <f t="shared" si="447"/>
        <v/>
      </c>
      <c r="L841" s="652">
        <f>IF($B841="",,SUMIFS(PerBase[Month 1],PerBase[exp_item],$H841,PerBase[company_name],$B841)*L421)</f>
        <v>0</v>
      </c>
      <c r="M841" s="652">
        <f>IF($B841="",,SUMIFS(PerBase[Month 2],PerBase[exp_item],$H841,PerBase[company_name],$B841)*M421)</f>
        <v>0</v>
      </c>
      <c r="N841" s="652">
        <f>IF($B841="",,SUMIFS(PerBase[Month 3],PerBase[exp_item],$H841,PerBase[company_name],$B841)*N421)</f>
        <v>0</v>
      </c>
      <c r="O841" s="652">
        <f>IF($B841="",,SUMIFS(PerBase[Month 4],PerBase[exp_item],$H841,PerBase[company_name],$B841)*O421)</f>
        <v>0</v>
      </c>
      <c r="P841" s="652">
        <f>IF($B841="",,SUMIFS(PerBase[Month 5],PerBase[exp_item],$H841,PerBase[company_name],$B841)*P421)</f>
        <v>0</v>
      </c>
      <c r="Q841" s="652">
        <f>IF($B841="",,SUMIFS(PerBase[Month 6],PerBase[exp_item],$H841,PerBase[company_name],$B841)*Q421)</f>
        <v>0</v>
      </c>
      <c r="R841" s="652">
        <f>IF($B841="",,SUMIFS(PerBase[Month 7],PerBase[exp_item],$H841,PerBase[company_name],$B841)*R421)</f>
        <v>0</v>
      </c>
      <c r="S841" s="652">
        <f>IF($B841="",,SUMIFS(PerBase[Month 8],PerBase[exp_item],$H841,PerBase[company_name],$B841)*S421)</f>
        <v>0</v>
      </c>
      <c r="T841" s="652">
        <f>IF($B841="",,SUMIFS(PerBase[Month 9],PerBase[exp_item],$H841,PerBase[company_name],$B841)*T421)</f>
        <v>0</v>
      </c>
      <c r="U841" s="652">
        <f>IF($B841="",,SUMIFS(PerBase[Month 10],PerBase[exp_item],$H841,PerBase[company_name],$B841)*U421)</f>
        <v>0</v>
      </c>
      <c r="V841" s="652">
        <f>IF($B841="",,SUMIFS(PerBase[Month 11],PerBase[exp_item],$H841,PerBase[company_name],$B841)*V421)</f>
        <v>0</v>
      </c>
      <c r="W841" s="652">
        <f>IF($B841="",,SUMIFS(PerBase[Month 12],PerBase[exp_item],$H841,PerBase[company_name],$B841)*W421)</f>
        <v>0</v>
      </c>
      <c r="X841" s="652">
        <f>IF($B841="",,SUMIFS(PerBase[Month 13],PerBase[exp_item],$H841,PerBase[company_name],$B841)*X421)</f>
        <v>0</v>
      </c>
      <c r="Y841" s="652">
        <f>IF($B841="",,SUMIFS(PerBase[Month 14],PerBase[exp_item],$H841,PerBase[company_name],$B841)*Y421)</f>
        <v>0</v>
      </c>
      <c r="Z841" s="652">
        <f>IF($B841="",,SUMIFS(PerBase[Month 15],PerBase[exp_item],$H841,PerBase[company_name],$B841)*Z421)</f>
        <v>0</v>
      </c>
      <c r="AA841" s="652">
        <f>IF($B841="",,SUMIFS(PerBase[Month 16],PerBase[exp_item],$H841,PerBase[company_name],$B841)*AA421)</f>
        <v>0</v>
      </c>
      <c r="AB841" s="652">
        <f>IF($B841="",,SUMIFS(PerBase[Month 17],PerBase[exp_item],$H841,PerBase[company_name],$B841)*AB421)</f>
        <v>0</v>
      </c>
      <c r="AC841" s="652">
        <f>IF($B841="",,SUMIFS(PerBase[Month 18],PerBase[exp_item],$H841,PerBase[company_name],$B841)*AC421)</f>
        <v>0</v>
      </c>
      <c r="AD841" s="652">
        <f>IF($B841="",,SUMIFS(PerBase[Month 19],PerBase[exp_item],$H841,PerBase[company_name],$B841)*AD421)</f>
        <v>0</v>
      </c>
      <c r="AE841" s="652">
        <f>IF($B841="",,SUMIFS(PerBase[Month 20],PerBase[exp_item],$H841,PerBase[company_name],$B841)*AE421)</f>
        <v>0</v>
      </c>
      <c r="AF841" s="652">
        <f>IF($B841="",,SUMIFS(PerBase[Month 21],PerBase[exp_item],$H841,PerBase[company_name],$B841)*AF421)</f>
        <v>0</v>
      </c>
      <c r="AG841" s="652">
        <f>IF($B841="",,SUMIFS(PerBase[Month 22],PerBase[exp_item],$H841,PerBase[company_name],$B841)*AG421)</f>
        <v>0</v>
      </c>
      <c r="AH841" s="652">
        <f>IF($B841="",,SUMIFS(PerBase[Month 23],PerBase[exp_item],$H841,PerBase[company_name],$B841)*AH421)</f>
        <v>0</v>
      </c>
      <c r="AI841" s="652">
        <f>IF($B841="",,SUMIFS(PerBase[Month 24],PerBase[exp_item],$H841,PerBase[company_name],$B841)*AI421)</f>
        <v>0</v>
      </c>
      <c r="AJ841" s="652">
        <f>IF($B841="",,SUMIFS(PerBase[Month 25],PerBase[exp_item],$H841,PerBase[company_name],$B841)*AJ421)</f>
        <v>0</v>
      </c>
      <c r="AK841" s="652">
        <f>IF($B841="",,SUMIFS(PerBase[Month 26],PerBase[exp_item],$H841,PerBase[company_name],$B841)*AK421)</f>
        <v>0</v>
      </c>
      <c r="AL841" s="652">
        <f>IF($B841="",,SUMIFS(PerBase[Month 27],PerBase[exp_item],$H841,PerBase[company_name],$B841)*AL421)</f>
        <v>0</v>
      </c>
      <c r="AM841" s="652">
        <f>IF($B841="",,SUMIFS(PerBase[Month 28],PerBase[exp_item],$H841,PerBase[company_name],$B841)*AM421)</f>
        <v>0</v>
      </c>
      <c r="AN841" s="652">
        <f>IF($B841="",,SUMIFS(PerBase[Month 29],PerBase[exp_item],$H841,PerBase[company_name],$B841)*AN421)</f>
        <v>0</v>
      </c>
      <c r="AO841" s="652">
        <f>IF($B841="",,SUMIFS(PerBase[Month 30],PerBase[exp_item],$H841,PerBase[company_name],$B841)*AO421)</f>
        <v>0</v>
      </c>
      <c r="AP841" s="652">
        <f>IF($B841="",,SUMIFS(PerBase[Month 31],PerBase[exp_item],$H841,PerBase[company_name],$B841)*AP421)</f>
        <v>0</v>
      </c>
      <c r="AQ841" s="652">
        <f>IF($B841="",,SUMIFS(PerBase[Month 32],PerBase[exp_item],$H841,PerBase[company_name],$B841)*AQ421)</f>
        <v>0</v>
      </c>
      <c r="AR841" s="652">
        <f>IF($B841="",,SUMIFS(PerBase[Month 33],PerBase[exp_item],$H841,PerBase[company_name],$B841)*AR421)</f>
        <v>0</v>
      </c>
      <c r="AS841" s="652">
        <f>IF($B841="",,SUMIFS(PerBase[Month 34],PerBase[exp_item],$H841,PerBase[company_name],$B841)*AS421)</f>
        <v>0</v>
      </c>
      <c r="AT841" s="652">
        <f>IF($B841="",,SUMIFS(PerBase[Month 35],PerBase[exp_item],$H841,PerBase[company_name],$B841)*AT421)</f>
        <v>0</v>
      </c>
      <c r="AU841" s="652">
        <f>IF($B841="",,SUMIFS(PerBase[Month 36],PerBase[exp_item],$H841,PerBase[company_name],$B841)*AU421)</f>
        <v>0</v>
      </c>
    </row>
    <row r="842" spans="2:47" x14ac:dyDescent="0.35">
      <c r="B842" t="str">
        <f t="shared" si="445"/>
        <v/>
      </c>
      <c r="C842" t="str">
        <f t="shared" ref="C842:G842" si="472">IF(C737="","",C737)</f>
        <v/>
      </c>
      <c r="D842" t="str">
        <f t="shared" si="472"/>
        <v/>
      </c>
      <c r="E842" t="str">
        <f t="shared" si="472"/>
        <v/>
      </c>
      <c r="F842" t="str">
        <f t="shared" si="472"/>
        <v/>
      </c>
      <c r="G842" t="str">
        <f t="shared" si="472"/>
        <v/>
      </c>
      <c r="H842" t="str">
        <f t="shared" si="444"/>
        <v/>
      </c>
      <c r="J842" t="str">
        <f>IF($H842="","",IF(VLOOKUP(H842,ExpItems[],2,0),H842&amp;" - "&amp;INDEX(DivisionMapping[category_code],MATCH($D842&amp;$C842,DivisionMapping[dept_bu],0)),H842))</f>
        <v/>
      </c>
      <c r="K842" t="str">
        <f t="shared" si="447"/>
        <v/>
      </c>
      <c r="L842" s="652">
        <f>IF($B842="",,SUMIFS(PerBase[Month 1],PerBase[exp_item],$H842,PerBase[company_name],$B842)*L422)</f>
        <v>0</v>
      </c>
      <c r="M842" s="652">
        <f>IF($B842="",,SUMIFS(PerBase[Month 2],PerBase[exp_item],$H842,PerBase[company_name],$B842)*M422)</f>
        <v>0</v>
      </c>
      <c r="N842" s="652">
        <f>IF($B842="",,SUMIFS(PerBase[Month 3],PerBase[exp_item],$H842,PerBase[company_name],$B842)*N422)</f>
        <v>0</v>
      </c>
      <c r="O842" s="652">
        <f>IF($B842="",,SUMIFS(PerBase[Month 4],PerBase[exp_item],$H842,PerBase[company_name],$B842)*O422)</f>
        <v>0</v>
      </c>
      <c r="P842" s="652">
        <f>IF($B842="",,SUMIFS(PerBase[Month 5],PerBase[exp_item],$H842,PerBase[company_name],$B842)*P422)</f>
        <v>0</v>
      </c>
      <c r="Q842" s="652">
        <f>IF($B842="",,SUMIFS(PerBase[Month 6],PerBase[exp_item],$H842,PerBase[company_name],$B842)*Q422)</f>
        <v>0</v>
      </c>
      <c r="R842" s="652">
        <f>IF($B842="",,SUMIFS(PerBase[Month 7],PerBase[exp_item],$H842,PerBase[company_name],$B842)*R422)</f>
        <v>0</v>
      </c>
      <c r="S842" s="652">
        <f>IF($B842="",,SUMIFS(PerBase[Month 8],PerBase[exp_item],$H842,PerBase[company_name],$B842)*S422)</f>
        <v>0</v>
      </c>
      <c r="T842" s="652">
        <f>IF($B842="",,SUMIFS(PerBase[Month 9],PerBase[exp_item],$H842,PerBase[company_name],$B842)*T422)</f>
        <v>0</v>
      </c>
      <c r="U842" s="652">
        <f>IF($B842="",,SUMIFS(PerBase[Month 10],PerBase[exp_item],$H842,PerBase[company_name],$B842)*U422)</f>
        <v>0</v>
      </c>
      <c r="V842" s="652">
        <f>IF($B842="",,SUMIFS(PerBase[Month 11],PerBase[exp_item],$H842,PerBase[company_name],$B842)*V422)</f>
        <v>0</v>
      </c>
      <c r="W842" s="652">
        <f>IF($B842="",,SUMIFS(PerBase[Month 12],PerBase[exp_item],$H842,PerBase[company_name],$B842)*W422)</f>
        <v>0</v>
      </c>
      <c r="X842" s="652">
        <f>IF($B842="",,SUMIFS(PerBase[Month 13],PerBase[exp_item],$H842,PerBase[company_name],$B842)*X422)</f>
        <v>0</v>
      </c>
      <c r="Y842" s="652">
        <f>IF($B842="",,SUMIFS(PerBase[Month 14],PerBase[exp_item],$H842,PerBase[company_name],$B842)*Y422)</f>
        <v>0</v>
      </c>
      <c r="Z842" s="652">
        <f>IF($B842="",,SUMIFS(PerBase[Month 15],PerBase[exp_item],$H842,PerBase[company_name],$B842)*Z422)</f>
        <v>0</v>
      </c>
      <c r="AA842" s="652">
        <f>IF($B842="",,SUMIFS(PerBase[Month 16],PerBase[exp_item],$H842,PerBase[company_name],$B842)*AA422)</f>
        <v>0</v>
      </c>
      <c r="AB842" s="652">
        <f>IF($B842="",,SUMIFS(PerBase[Month 17],PerBase[exp_item],$H842,PerBase[company_name],$B842)*AB422)</f>
        <v>0</v>
      </c>
      <c r="AC842" s="652">
        <f>IF($B842="",,SUMIFS(PerBase[Month 18],PerBase[exp_item],$H842,PerBase[company_name],$B842)*AC422)</f>
        <v>0</v>
      </c>
      <c r="AD842" s="652">
        <f>IF($B842="",,SUMIFS(PerBase[Month 19],PerBase[exp_item],$H842,PerBase[company_name],$B842)*AD422)</f>
        <v>0</v>
      </c>
      <c r="AE842" s="652">
        <f>IF($B842="",,SUMIFS(PerBase[Month 20],PerBase[exp_item],$H842,PerBase[company_name],$B842)*AE422)</f>
        <v>0</v>
      </c>
      <c r="AF842" s="652">
        <f>IF($B842="",,SUMIFS(PerBase[Month 21],PerBase[exp_item],$H842,PerBase[company_name],$B842)*AF422)</f>
        <v>0</v>
      </c>
      <c r="AG842" s="652">
        <f>IF($B842="",,SUMIFS(PerBase[Month 22],PerBase[exp_item],$H842,PerBase[company_name],$B842)*AG422)</f>
        <v>0</v>
      </c>
      <c r="AH842" s="652">
        <f>IF($B842="",,SUMIFS(PerBase[Month 23],PerBase[exp_item],$H842,PerBase[company_name],$B842)*AH422)</f>
        <v>0</v>
      </c>
      <c r="AI842" s="652">
        <f>IF($B842="",,SUMIFS(PerBase[Month 24],PerBase[exp_item],$H842,PerBase[company_name],$B842)*AI422)</f>
        <v>0</v>
      </c>
      <c r="AJ842" s="652">
        <f>IF($B842="",,SUMIFS(PerBase[Month 25],PerBase[exp_item],$H842,PerBase[company_name],$B842)*AJ422)</f>
        <v>0</v>
      </c>
      <c r="AK842" s="652">
        <f>IF($B842="",,SUMIFS(PerBase[Month 26],PerBase[exp_item],$H842,PerBase[company_name],$B842)*AK422)</f>
        <v>0</v>
      </c>
      <c r="AL842" s="652">
        <f>IF($B842="",,SUMIFS(PerBase[Month 27],PerBase[exp_item],$H842,PerBase[company_name],$B842)*AL422)</f>
        <v>0</v>
      </c>
      <c r="AM842" s="652">
        <f>IF($B842="",,SUMIFS(PerBase[Month 28],PerBase[exp_item],$H842,PerBase[company_name],$B842)*AM422)</f>
        <v>0</v>
      </c>
      <c r="AN842" s="652">
        <f>IF($B842="",,SUMIFS(PerBase[Month 29],PerBase[exp_item],$H842,PerBase[company_name],$B842)*AN422)</f>
        <v>0</v>
      </c>
      <c r="AO842" s="652">
        <f>IF($B842="",,SUMIFS(PerBase[Month 30],PerBase[exp_item],$H842,PerBase[company_name],$B842)*AO422)</f>
        <v>0</v>
      </c>
      <c r="AP842" s="652">
        <f>IF($B842="",,SUMIFS(PerBase[Month 31],PerBase[exp_item],$H842,PerBase[company_name],$B842)*AP422)</f>
        <v>0</v>
      </c>
      <c r="AQ842" s="652">
        <f>IF($B842="",,SUMIFS(PerBase[Month 32],PerBase[exp_item],$H842,PerBase[company_name],$B842)*AQ422)</f>
        <v>0</v>
      </c>
      <c r="AR842" s="652">
        <f>IF($B842="",,SUMIFS(PerBase[Month 33],PerBase[exp_item],$H842,PerBase[company_name],$B842)*AR422)</f>
        <v>0</v>
      </c>
      <c r="AS842" s="652">
        <f>IF($B842="",,SUMIFS(PerBase[Month 34],PerBase[exp_item],$H842,PerBase[company_name],$B842)*AS422)</f>
        <v>0</v>
      </c>
      <c r="AT842" s="652">
        <f>IF($B842="",,SUMIFS(PerBase[Month 35],PerBase[exp_item],$H842,PerBase[company_name],$B842)*AT422)</f>
        <v>0</v>
      </c>
      <c r="AU842" s="652">
        <f>IF($B842="",,SUMIFS(PerBase[Month 36],PerBase[exp_item],$H842,PerBase[company_name],$B842)*AU422)</f>
        <v>0</v>
      </c>
    </row>
    <row r="843" spans="2:47" x14ac:dyDescent="0.35">
      <c r="B843" t="str">
        <f t="shared" si="445"/>
        <v/>
      </c>
      <c r="C843" t="str">
        <f t="shared" ref="C843:G843" si="473">IF(C738="","",C738)</f>
        <v/>
      </c>
      <c r="D843" t="str">
        <f t="shared" si="473"/>
        <v/>
      </c>
      <c r="E843" t="str">
        <f t="shared" si="473"/>
        <v/>
      </c>
      <c r="F843" t="str">
        <f t="shared" si="473"/>
        <v/>
      </c>
      <c r="G843" t="str">
        <f t="shared" si="473"/>
        <v/>
      </c>
      <c r="H843" t="str">
        <f t="shared" si="444"/>
        <v/>
      </c>
      <c r="J843" t="str">
        <f>IF($H843="","",IF(VLOOKUP(H843,ExpItems[],2,0),H843&amp;" - "&amp;INDEX(DivisionMapping[category_code],MATCH($D843&amp;$C843,DivisionMapping[dept_bu],0)),H843))</f>
        <v/>
      </c>
      <c r="K843" t="str">
        <f t="shared" si="447"/>
        <v/>
      </c>
      <c r="L843" s="652">
        <f>IF($B843="",,SUMIFS(PerBase[Month 1],PerBase[exp_item],$H843,PerBase[company_name],$B843)*L423)</f>
        <v>0</v>
      </c>
      <c r="M843" s="652">
        <f>IF($B843="",,SUMIFS(PerBase[Month 2],PerBase[exp_item],$H843,PerBase[company_name],$B843)*M423)</f>
        <v>0</v>
      </c>
      <c r="N843" s="652">
        <f>IF($B843="",,SUMIFS(PerBase[Month 3],PerBase[exp_item],$H843,PerBase[company_name],$B843)*N423)</f>
        <v>0</v>
      </c>
      <c r="O843" s="652">
        <f>IF($B843="",,SUMIFS(PerBase[Month 4],PerBase[exp_item],$H843,PerBase[company_name],$B843)*O423)</f>
        <v>0</v>
      </c>
      <c r="P843" s="652">
        <f>IF($B843="",,SUMIFS(PerBase[Month 5],PerBase[exp_item],$H843,PerBase[company_name],$B843)*P423)</f>
        <v>0</v>
      </c>
      <c r="Q843" s="652">
        <f>IF($B843="",,SUMIFS(PerBase[Month 6],PerBase[exp_item],$H843,PerBase[company_name],$B843)*Q423)</f>
        <v>0</v>
      </c>
      <c r="R843" s="652">
        <f>IF($B843="",,SUMIFS(PerBase[Month 7],PerBase[exp_item],$H843,PerBase[company_name],$B843)*R423)</f>
        <v>0</v>
      </c>
      <c r="S843" s="652">
        <f>IF($B843="",,SUMIFS(PerBase[Month 8],PerBase[exp_item],$H843,PerBase[company_name],$B843)*S423)</f>
        <v>0</v>
      </c>
      <c r="T843" s="652">
        <f>IF($B843="",,SUMIFS(PerBase[Month 9],PerBase[exp_item],$H843,PerBase[company_name],$B843)*T423)</f>
        <v>0</v>
      </c>
      <c r="U843" s="652">
        <f>IF($B843="",,SUMIFS(PerBase[Month 10],PerBase[exp_item],$H843,PerBase[company_name],$B843)*U423)</f>
        <v>0</v>
      </c>
      <c r="V843" s="652">
        <f>IF($B843="",,SUMIFS(PerBase[Month 11],PerBase[exp_item],$H843,PerBase[company_name],$B843)*V423)</f>
        <v>0</v>
      </c>
      <c r="W843" s="652">
        <f>IF($B843="",,SUMIFS(PerBase[Month 12],PerBase[exp_item],$H843,PerBase[company_name],$B843)*W423)</f>
        <v>0</v>
      </c>
      <c r="X843" s="652">
        <f>IF($B843="",,SUMIFS(PerBase[Month 13],PerBase[exp_item],$H843,PerBase[company_name],$B843)*X423)</f>
        <v>0</v>
      </c>
      <c r="Y843" s="652">
        <f>IF($B843="",,SUMIFS(PerBase[Month 14],PerBase[exp_item],$H843,PerBase[company_name],$B843)*Y423)</f>
        <v>0</v>
      </c>
      <c r="Z843" s="652">
        <f>IF($B843="",,SUMIFS(PerBase[Month 15],PerBase[exp_item],$H843,PerBase[company_name],$B843)*Z423)</f>
        <v>0</v>
      </c>
      <c r="AA843" s="652">
        <f>IF($B843="",,SUMIFS(PerBase[Month 16],PerBase[exp_item],$H843,PerBase[company_name],$B843)*AA423)</f>
        <v>0</v>
      </c>
      <c r="AB843" s="652">
        <f>IF($B843="",,SUMIFS(PerBase[Month 17],PerBase[exp_item],$H843,PerBase[company_name],$B843)*AB423)</f>
        <v>0</v>
      </c>
      <c r="AC843" s="652">
        <f>IF($B843="",,SUMIFS(PerBase[Month 18],PerBase[exp_item],$H843,PerBase[company_name],$B843)*AC423)</f>
        <v>0</v>
      </c>
      <c r="AD843" s="652">
        <f>IF($B843="",,SUMIFS(PerBase[Month 19],PerBase[exp_item],$H843,PerBase[company_name],$B843)*AD423)</f>
        <v>0</v>
      </c>
      <c r="AE843" s="652">
        <f>IF($B843="",,SUMIFS(PerBase[Month 20],PerBase[exp_item],$H843,PerBase[company_name],$B843)*AE423)</f>
        <v>0</v>
      </c>
      <c r="AF843" s="652">
        <f>IF($B843="",,SUMIFS(PerBase[Month 21],PerBase[exp_item],$H843,PerBase[company_name],$B843)*AF423)</f>
        <v>0</v>
      </c>
      <c r="AG843" s="652">
        <f>IF($B843="",,SUMIFS(PerBase[Month 22],PerBase[exp_item],$H843,PerBase[company_name],$B843)*AG423)</f>
        <v>0</v>
      </c>
      <c r="AH843" s="652">
        <f>IF($B843="",,SUMIFS(PerBase[Month 23],PerBase[exp_item],$H843,PerBase[company_name],$B843)*AH423)</f>
        <v>0</v>
      </c>
      <c r="AI843" s="652">
        <f>IF($B843="",,SUMIFS(PerBase[Month 24],PerBase[exp_item],$H843,PerBase[company_name],$B843)*AI423)</f>
        <v>0</v>
      </c>
      <c r="AJ843" s="652">
        <f>IF($B843="",,SUMIFS(PerBase[Month 25],PerBase[exp_item],$H843,PerBase[company_name],$B843)*AJ423)</f>
        <v>0</v>
      </c>
      <c r="AK843" s="652">
        <f>IF($B843="",,SUMIFS(PerBase[Month 26],PerBase[exp_item],$H843,PerBase[company_name],$B843)*AK423)</f>
        <v>0</v>
      </c>
      <c r="AL843" s="652">
        <f>IF($B843="",,SUMIFS(PerBase[Month 27],PerBase[exp_item],$H843,PerBase[company_name],$B843)*AL423)</f>
        <v>0</v>
      </c>
      <c r="AM843" s="652">
        <f>IF($B843="",,SUMIFS(PerBase[Month 28],PerBase[exp_item],$H843,PerBase[company_name],$B843)*AM423)</f>
        <v>0</v>
      </c>
      <c r="AN843" s="652">
        <f>IF($B843="",,SUMIFS(PerBase[Month 29],PerBase[exp_item],$H843,PerBase[company_name],$B843)*AN423)</f>
        <v>0</v>
      </c>
      <c r="AO843" s="652">
        <f>IF($B843="",,SUMIFS(PerBase[Month 30],PerBase[exp_item],$H843,PerBase[company_name],$B843)*AO423)</f>
        <v>0</v>
      </c>
      <c r="AP843" s="652">
        <f>IF($B843="",,SUMIFS(PerBase[Month 31],PerBase[exp_item],$H843,PerBase[company_name],$B843)*AP423)</f>
        <v>0</v>
      </c>
      <c r="AQ843" s="652">
        <f>IF($B843="",,SUMIFS(PerBase[Month 32],PerBase[exp_item],$H843,PerBase[company_name],$B843)*AQ423)</f>
        <v>0</v>
      </c>
      <c r="AR843" s="652">
        <f>IF($B843="",,SUMIFS(PerBase[Month 33],PerBase[exp_item],$H843,PerBase[company_name],$B843)*AR423)</f>
        <v>0</v>
      </c>
      <c r="AS843" s="652">
        <f>IF($B843="",,SUMIFS(PerBase[Month 34],PerBase[exp_item],$H843,PerBase[company_name],$B843)*AS423)</f>
        <v>0</v>
      </c>
      <c r="AT843" s="652">
        <f>IF($B843="",,SUMIFS(PerBase[Month 35],PerBase[exp_item],$H843,PerBase[company_name],$B843)*AT423)</f>
        <v>0</v>
      </c>
      <c r="AU843" s="652">
        <f>IF($B843="",,SUMIFS(PerBase[Month 36],PerBase[exp_item],$H843,PerBase[company_name],$B843)*AU423)</f>
        <v>0</v>
      </c>
    </row>
    <row r="844" spans="2:47" x14ac:dyDescent="0.35">
      <c r="B844" t="str">
        <f t="shared" si="445"/>
        <v/>
      </c>
      <c r="C844" t="str">
        <f t="shared" ref="C844:G844" si="474">IF(C739="","",C739)</f>
        <v/>
      </c>
      <c r="D844" t="str">
        <f t="shared" si="474"/>
        <v/>
      </c>
      <c r="E844" t="str">
        <f t="shared" si="474"/>
        <v/>
      </c>
      <c r="F844" t="str">
        <f t="shared" si="474"/>
        <v/>
      </c>
      <c r="G844" t="str">
        <f t="shared" si="474"/>
        <v/>
      </c>
      <c r="H844" t="str">
        <f t="shared" si="444"/>
        <v/>
      </c>
      <c r="J844" t="str">
        <f>IF($H844="","",IF(VLOOKUP(H844,ExpItems[],2,0),H844&amp;" - "&amp;INDEX(DivisionMapping[category_code],MATCH($D844&amp;$C844,DivisionMapping[dept_bu],0)),H844))</f>
        <v/>
      </c>
      <c r="K844" t="str">
        <f t="shared" si="447"/>
        <v/>
      </c>
      <c r="L844" s="652">
        <f>IF($B844="",,SUMIFS(PerBase[Month 1],PerBase[exp_item],$H844,PerBase[company_name],$B844)*L424)</f>
        <v>0</v>
      </c>
      <c r="M844" s="652">
        <f>IF($B844="",,SUMIFS(PerBase[Month 2],PerBase[exp_item],$H844,PerBase[company_name],$B844)*M424)</f>
        <v>0</v>
      </c>
      <c r="N844" s="652">
        <f>IF($B844="",,SUMIFS(PerBase[Month 3],PerBase[exp_item],$H844,PerBase[company_name],$B844)*N424)</f>
        <v>0</v>
      </c>
      <c r="O844" s="652">
        <f>IF($B844="",,SUMIFS(PerBase[Month 4],PerBase[exp_item],$H844,PerBase[company_name],$B844)*O424)</f>
        <v>0</v>
      </c>
      <c r="P844" s="652">
        <f>IF($B844="",,SUMIFS(PerBase[Month 5],PerBase[exp_item],$H844,PerBase[company_name],$B844)*P424)</f>
        <v>0</v>
      </c>
      <c r="Q844" s="652">
        <f>IF($B844="",,SUMIFS(PerBase[Month 6],PerBase[exp_item],$H844,PerBase[company_name],$B844)*Q424)</f>
        <v>0</v>
      </c>
      <c r="R844" s="652">
        <f>IF($B844="",,SUMIFS(PerBase[Month 7],PerBase[exp_item],$H844,PerBase[company_name],$B844)*R424)</f>
        <v>0</v>
      </c>
      <c r="S844" s="652">
        <f>IF($B844="",,SUMIFS(PerBase[Month 8],PerBase[exp_item],$H844,PerBase[company_name],$B844)*S424)</f>
        <v>0</v>
      </c>
      <c r="T844" s="652">
        <f>IF($B844="",,SUMIFS(PerBase[Month 9],PerBase[exp_item],$H844,PerBase[company_name],$B844)*T424)</f>
        <v>0</v>
      </c>
      <c r="U844" s="652">
        <f>IF($B844="",,SUMIFS(PerBase[Month 10],PerBase[exp_item],$H844,PerBase[company_name],$B844)*U424)</f>
        <v>0</v>
      </c>
      <c r="V844" s="652">
        <f>IF($B844="",,SUMIFS(PerBase[Month 11],PerBase[exp_item],$H844,PerBase[company_name],$B844)*V424)</f>
        <v>0</v>
      </c>
      <c r="W844" s="652">
        <f>IF($B844="",,SUMIFS(PerBase[Month 12],PerBase[exp_item],$H844,PerBase[company_name],$B844)*W424)</f>
        <v>0</v>
      </c>
      <c r="X844" s="652">
        <f>IF($B844="",,SUMIFS(PerBase[Month 13],PerBase[exp_item],$H844,PerBase[company_name],$B844)*X424)</f>
        <v>0</v>
      </c>
      <c r="Y844" s="652">
        <f>IF($B844="",,SUMIFS(PerBase[Month 14],PerBase[exp_item],$H844,PerBase[company_name],$B844)*Y424)</f>
        <v>0</v>
      </c>
      <c r="Z844" s="652">
        <f>IF($B844="",,SUMIFS(PerBase[Month 15],PerBase[exp_item],$H844,PerBase[company_name],$B844)*Z424)</f>
        <v>0</v>
      </c>
      <c r="AA844" s="652">
        <f>IF($B844="",,SUMIFS(PerBase[Month 16],PerBase[exp_item],$H844,PerBase[company_name],$B844)*AA424)</f>
        <v>0</v>
      </c>
      <c r="AB844" s="652">
        <f>IF($B844="",,SUMIFS(PerBase[Month 17],PerBase[exp_item],$H844,PerBase[company_name],$B844)*AB424)</f>
        <v>0</v>
      </c>
      <c r="AC844" s="652">
        <f>IF($B844="",,SUMIFS(PerBase[Month 18],PerBase[exp_item],$H844,PerBase[company_name],$B844)*AC424)</f>
        <v>0</v>
      </c>
      <c r="AD844" s="652">
        <f>IF($B844="",,SUMIFS(PerBase[Month 19],PerBase[exp_item],$H844,PerBase[company_name],$B844)*AD424)</f>
        <v>0</v>
      </c>
      <c r="AE844" s="652">
        <f>IF($B844="",,SUMIFS(PerBase[Month 20],PerBase[exp_item],$H844,PerBase[company_name],$B844)*AE424)</f>
        <v>0</v>
      </c>
      <c r="AF844" s="652">
        <f>IF($B844="",,SUMIFS(PerBase[Month 21],PerBase[exp_item],$H844,PerBase[company_name],$B844)*AF424)</f>
        <v>0</v>
      </c>
      <c r="AG844" s="652">
        <f>IF($B844="",,SUMIFS(PerBase[Month 22],PerBase[exp_item],$H844,PerBase[company_name],$B844)*AG424)</f>
        <v>0</v>
      </c>
      <c r="AH844" s="652">
        <f>IF($B844="",,SUMIFS(PerBase[Month 23],PerBase[exp_item],$H844,PerBase[company_name],$B844)*AH424)</f>
        <v>0</v>
      </c>
      <c r="AI844" s="652">
        <f>IF($B844="",,SUMIFS(PerBase[Month 24],PerBase[exp_item],$H844,PerBase[company_name],$B844)*AI424)</f>
        <v>0</v>
      </c>
      <c r="AJ844" s="652">
        <f>IF($B844="",,SUMIFS(PerBase[Month 25],PerBase[exp_item],$H844,PerBase[company_name],$B844)*AJ424)</f>
        <v>0</v>
      </c>
      <c r="AK844" s="652">
        <f>IF($B844="",,SUMIFS(PerBase[Month 26],PerBase[exp_item],$H844,PerBase[company_name],$B844)*AK424)</f>
        <v>0</v>
      </c>
      <c r="AL844" s="652">
        <f>IF($B844="",,SUMIFS(PerBase[Month 27],PerBase[exp_item],$H844,PerBase[company_name],$B844)*AL424)</f>
        <v>0</v>
      </c>
      <c r="AM844" s="652">
        <f>IF($B844="",,SUMIFS(PerBase[Month 28],PerBase[exp_item],$H844,PerBase[company_name],$B844)*AM424)</f>
        <v>0</v>
      </c>
      <c r="AN844" s="652">
        <f>IF($B844="",,SUMIFS(PerBase[Month 29],PerBase[exp_item],$H844,PerBase[company_name],$B844)*AN424)</f>
        <v>0</v>
      </c>
      <c r="AO844" s="652">
        <f>IF($B844="",,SUMIFS(PerBase[Month 30],PerBase[exp_item],$H844,PerBase[company_name],$B844)*AO424)</f>
        <v>0</v>
      </c>
      <c r="AP844" s="652">
        <f>IF($B844="",,SUMIFS(PerBase[Month 31],PerBase[exp_item],$H844,PerBase[company_name],$B844)*AP424)</f>
        <v>0</v>
      </c>
      <c r="AQ844" s="652">
        <f>IF($B844="",,SUMIFS(PerBase[Month 32],PerBase[exp_item],$H844,PerBase[company_name],$B844)*AQ424)</f>
        <v>0</v>
      </c>
      <c r="AR844" s="652">
        <f>IF($B844="",,SUMIFS(PerBase[Month 33],PerBase[exp_item],$H844,PerBase[company_name],$B844)*AR424)</f>
        <v>0</v>
      </c>
      <c r="AS844" s="652">
        <f>IF($B844="",,SUMIFS(PerBase[Month 34],PerBase[exp_item],$H844,PerBase[company_name],$B844)*AS424)</f>
        <v>0</v>
      </c>
      <c r="AT844" s="652">
        <f>IF($B844="",,SUMIFS(PerBase[Month 35],PerBase[exp_item],$H844,PerBase[company_name],$B844)*AT424)</f>
        <v>0</v>
      </c>
      <c r="AU844" s="652">
        <f>IF($B844="",,SUMIFS(PerBase[Month 36],PerBase[exp_item],$H844,PerBase[company_name],$B844)*AU424)</f>
        <v>0</v>
      </c>
    </row>
    <row r="845" spans="2:47" x14ac:dyDescent="0.35">
      <c r="B845" t="str">
        <f t="shared" si="445"/>
        <v/>
      </c>
      <c r="C845" t="str">
        <f t="shared" ref="C845:G845" si="475">IF(C740="","",C740)</f>
        <v/>
      </c>
      <c r="D845" t="str">
        <f t="shared" si="475"/>
        <v/>
      </c>
      <c r="E845" t="str">
        <f t="shared" si="475"/>
        <v/>
      </c>
      <c r="F845" t="str">
        <f t="shared" si="475"/>
        <v/>
      </c>
      <c r="G845" t="str">
        <f t="shared" si="475"/>
        <v/>
      </c>
      <c r="H845" t="str">
        <f t="shared" si="444"/>
        <v/>
      </c>
      <c r="J845" t="str">
        <f>IF($H845="","",IF(VLOOKUP(H845,ExpItems[],2,0),H845&amp;" - "&amp;INDEX(DivisionMapping[category_code],MATCH($D845&amp;$C845,DivisionMapping[dept_bu],0)),H845))</f>
        <v/>
      </c>
      <c r="K845" t="str">
        <f t="shared" si="447"/>
        <v/>
      </c>
      <c r="L845" s="652">
        <f>IF($B845="",,SUMIFS(PerBase[Month 1],PerBase[exp_item],$H845,PerBase[company_name],$B845)*L425)</f>
        <v>0</v>
      </c>
      <c r="M845" s="652">
        <f>IF($B845="",,SUMIFS(PerBase[Month 2],PerBase[exp_item],$H845,PerBase[company_name],$B845)*M425)</f>
        <v>0</v>
      </c>
      <c r="N845" s="652">
        <f>IF($B845="",,SUMIFS(PerBase[Month 3],PerBase[exp_item],$H845,PerBase[company_name],$B845)*N425)</f>
        <v>0</v>
      </c>
      <c r="O845" s="652">
        <f>IF($B845="",,SUMIFS(PerBase[Month 4],PerBase[exp_item],$H845,PerBase[company_name],$B845)*O425)</f>
        <v>0</v>
      </c>
      <c r="P845" s="652">
        <f>IF($B845="",,SUMIFS(PerBase[Month 5],PerBase[exp_item],$H845,PerBase[company_name],$B845)*P425)</f>
        <v>0</v>
      </c>
      <c r="Q845" s="652">
        <f>IF($B845="",,SUMIFS(PerBase[Month 6],PerBase[exp_item],$H845,PerBase[company_name],$B845)*Q425)</f>
        <v>0</v>
      </c>
      <c r="R845" s="652">
        <f>IF($B845="",,SUMIFS(PerBase[Month 7],PerBase[exp_item],$H845,PerBase[company_name],$B845)*R425)</f>
        <v>0</v>
      </c>
      <c r="S845" s="652">
        <f>IF($B845="",,SUMIFS(PerBase[Month 8],PerBase[exp_item],$H845,PerBase[company_name],$B845)*S425)</f>
        <v>0</v>
      </c>
      <c r="T845" s="652">
        <f>IF($B845="",,SUMIFS(PerBase[Month 9],PerBase[exp_item],$H845,PerBase[company_name],$B845)*T425)</f>
        <v>0</v>
      </c>
      <c r="U845" s="652">
        <f>IF($B845="",,SUMIFS(PerBase[Month 10],PerBase[exp_item],$H845,PerBase[company_name],$B845)*U425)</f>
        <v>0</v>
      </c>
      <c r="V845" s="652">
        <f>IF($B845="",,SUMIFS(PerBase[Month 11],PerBase[exp_item],$H845,PerBase[company_name],$B845)*V425)</f>
        <v>0</v>
      </c>
      <c r="W845" s="652">
        <f>IF($B845="",,SUMIFS(PerBase[Month 12],PerBase[exp_item],$H845,PerBase[company_name],$B845)*W425)</f>
        <v>0</v>
      </c>
      <c r="X845" s="652">
        <f>IF($B845="",,SUMIFS(PerBase[Month 13],PerBase[exp_item],$H845,PerBase[company_name],$B845)*X425)</f>
        <v>0</v>
      </c>
      <c r="Y845" s="652">
        <f>IF($B845="",,SUMIFS(PerBase[Month 14],PerBase[exp_item],$H845,PerBase[company_name],$B845)*Y425)</f>
        <v>0</v>
      </c>
      <c r="Z845" s="652">
        <f>IF($B845="",,SUMIFS(PerBase[Month 15],PerBase[exp_item],$H845,PerBase[company_name],$B845)*Z425)</f>
        <v>0</v>
      </c>
      <c r="AA845" s="652">
        <f>IF($B845="",,SUMIFS(PerBase[Month 16],PerBase[exp_item],$H845,PerBase[company_name],$B845)*AA425)</f>
        <v>0</v>
      </c>
      <c r="AB845" s="652">
        <f>IF($B845="",,SUMIFS(PerBase[Month 17],PerBase[exp_item],$H845,PerBase[company_name],$B845)*AB425)</f>
        <v>0</v>
      </c>
      <c r="AC845" s="652">
        <f>IF($B845="",,SUMIFS(PerBase[Month 18],PerBase[exp_item],$H845,PerBase[company_name],$B845)*AC425)</f>
        <v>0</v>
      </c>
      <c r="AD845" s="652">
        <f>IF($B845="",,SUMIFS(PerBase[Month 19],PerBase[exp_item],$H845,PerBase[company_name],$B845)*AD425)</f>
        <v>0</v>
      </c>
      <c r="AE845" s="652">
        <f>IF($B845="",,SUMIFS(PerBase[Month 20],PerBase[exp_item],$H845,PerBase[company_name],$B845)*AE425)</f>
        <v>0</v>
      </c>
      <c r="AF845" s="652">
        <f>IF($B845="",,SUMIFS(PerBase[Month 21],PerBase[exp_item],$H845,PerBase[company_name],$B845)*AF425)</f>
        <v>0</v>
      </c>
      <c r="AG845" s="652">
        <f>IF($B845="",,SUMIFS(PerBase[Month 22],PerBase[exp_item],$H845,PerBase[company_name],$B845)*AG425)</f>
        <v>0</v>
      </c>
      <c r="AH845" s="652">
        <f>IF($B845="",,SUMIFS(PerBase[Month 23],PerBase[exp_item],$H845,PerBase[company_name],$B845)*AH425)</f>
        <v>0</v>
      </c>
      <c r="AI845" s="652">
        <f>IF($B845="",,SUMIFS(PerBase[Month 24],PerBase[exp_item],$H845,PerBase[company_name],$B845)*AI425)</f>
        <v>0</v>
      </c>
      <c r="AJ845" s="652">
        <f>IF($B845="",,SUMIFS(PerBase[Month 25],PerBase[exp_item],$H845,PerBase[company_name],$B845)*AJ425)</f>
        <v>0</v>
      </c>
      <c r="AK845" s="652">
        <f>IF($B845="",,SUMIFS(PerBase[Month 26],PerBase[exp_item],$H845,PerBase[company_name],$B845)*AK425)</f>
        <v>0</v>
      </c>
      <c r="AL845" s="652">
        <f>IF($B845="",,SUMIFS(PerBase[Month 27],PerBase[exp_item],$H845,PerBase[company_name],$B845)*AL425)</f>
        <v>0</v>
      </c>
      <c r="AM845" s="652">
        <f>IF($B845="",,SUMIFS(PerBase[Month 28],PerBase[exp_item],$H845,PerBase[company_name],$B845)*AM425)</f>
        <v>0</v>
      </c>
      <c r="AN845" s="652">
        <f>IF($B845="",,SUMIFS(PerBase[Month 29],PerBase[exp_item],$H845,PerBase[company_name],$B845)*AN425)</f>
        <v>0</v>
      </c>
      <c r="AO845" s="652">
        <f>IF($B845="",,SUMIFS(PerBase[Month 30],PerBase[exp_item],$H845,PerBase[company_name],$B845)*AO425)</f>
        <v>0</v>
      </c>
      <c r="AP845" s="652">
        <f>IF($B845="",,SUMIFS(PerBase[Month 31],PerBase[exp_item],$H845,PerBase[company_name],$B845)*AP425)</f>
        <v>0</v>
      </c>
      <c r="AQ845" s="652">
        <f>IF($B845="",,SUMIFS(PerBase[Month 32],PerBase[exp_item],$H845,PerBase[company_name],$B845)*AQ425)</f>
        <v>0</v>
      </c>
      <c r="AR845" s="652">
        <f>IF($B845="",,SUMIFS(PerBase[Month 33],PerBase[exp_item],$H845,PerBase[company_name],$B845)*AR425)</f>
        <v>0</v>
      </c>
      <c r="AS845" s="652">
        <f>IF($B845="",,SUMIFS(PerBase[Month 34],PerBase[exp_item],$H845,PerBase[company_name],$B845)*AS425)</f>
        <v>0</v>
      </c>
      <c r="AT845" s="652">
        <f>IF($B845="",,SUMIFS(PerBase[Month 35],PerBase[exp_item],$H845,PerBase[company_name],$B845)*AT425)</f>
        <v>0</v>
      </c>
      <c r="AU845" s="652">
        <f>IF($B845="",,SUMIFS(PerBase[Month 36],PerBase[exp_item],$H845,PerBase[company_name],$B845)*AU425)</f>
        <v>0</v>
      </c>
    </row>
    <row r="846" spans="2:47" x14ac:dyDescent="0.35">
      <c r="B846" t="str">
        <f t="shared" si="445"/>
        <v/>
      </c>
      <c r="C846" t="str">
        <f t="shared" ref="C846:G846" si="476">IF(C741="","",C741)</f>
        <v/>
      </c>
      <c r="D846" t="str">
        <f t="shared" si="476"/>
        <v/>
      </c>
      <c r="E846" t="str">
        <f t="shared" si="476"/>
        <v/>
      </c>
      <c r="F846" t="str">
        <f t="shared" si="476"/>
        <v/>
      </c>
      <c r="G846" t="str">
        <f t="shared" si="476"/>
        <v/>
      </c>
      <c r="H846" t="str">
        <f t="shared" si="444"/>
        <v/>
      </c>
      <c r="J846" t="str">
        <f>IF($H846="","",IF(VLOOKUP(H846,ExpItems[],2,0),H846&amp;" - "&amp;INDEX(DivisionMapping[category_code],MATCH($D846&amp;$C846,DivisionMapping[dept_bu],0)),H846))</f>
        <v/>
      </c>
      <c r="K846" t="str">
        <f t="shared" si="447"/>
        <v/>
      </c>
      <c r="L846" s="652">
        <f>IF($B846="",,SUMIFS(PerBase[Month 1],PerBase[exp_item],$H846,PerBase[company_name],$B846)*L426)</f>
        <v>0</v>
      </c>
      <c r="M846" s="652">
        <f>IF($B846="",,SUMIFS(PerBase[Month 2],PerBase[exp_item],$H846,PerBase[company_name],$B846)*M426)</f>
        <v>0</v>
      </c>
      <c r="N846" s="652">
        <f>IF($B846="",,SUMIFS(PerBase[Month 3],PerBase[exp_item],$H846,PerBase[company_name],$B846)*N426)</f>
        <v>0</v>
      </c>
      <c r="O846" s="652">
        <f>IF($B846="",,SUMIFS(PerBase[Month 4],PerBase[exp_item],$H846,PerBase[company_name],$B846)*O426)</f>
        <v>0</v>
      </c>
      <c r="P846" s="652">
        <f>IF($B846="",,SUMIFS(PerBase[Month 5],PerBase[exp_item],$H846,PerBase[company_name],$B846)*P426)</f>
        <v>0</v>
      </c>
      <c r="Q846" s="652">
        <f>IF($B846="",,SUMIFS(PerBase[Month 6],PerBase[exp_item],$H846,PerBase[company_name],$B846)*Q426)</f>
        <v>0</v>
      </c>
      <c r="R846" s="652">
        <f>IF($B846="",,SUMIFS(PerBase[Month 7],PerBase[exp_item],$H846,PerBase[company_name],$B846)*R426)</f>
        <v>0</v>
      </c>
      <c r="S846" s="652">
        <f>IF($B846="",,SUMIFS(PerBase[Month 8],PerBase[exp_item],$H846,PerBase[company_name],$B846)*S426)</f>
        <v>0</v>
      </c>
      <c r="T846" s="652">
        <f>IF($B846="",,SUMIFS(PerBase[Month 9],PerBase[exp_item],$H846,PerBase[company_name],$B846)*T426)</f>
        <v>0</v>
      </c>
      <c r="U846" s="652">
        <f>IF($B846="",,SUMIFS(PerBase[Month 10],PerBase[exp_item],$H846,PerBase[company_name],$B846)*U426)</f>
        <v>0</v>
      </c>
      <c r="V846" s="652">
        <f>IF($B846="",,SUMIFS(PerBase[Month 11],PerBase[exp_item],$H846,PerBase[company_name],$B846)*V426)</f>
        <v>0</v>
      </c>
      <c r="W846" s="652">
        <f>IF($B846="",,SUMIFS(PerBase[Month 12],PerBase[exp_item],$H846,PerBase[company_name],$B846)*W426)</f>
        <v>0</v>
      </c>
      <c r="X846" s="652">
        <f>IF($B846="",,SUMIFS(PerBase[Month 13],PerBase[exp_item],$H846,PerBase[company_name],$B846)*X426)</f>
        <v>0</v>
      </c>
      <c r="Y846" s="652">
        <f>IF($B846="",,SUMIFS(PerBase[Month 14],PerBase[exp_item],$H846,PerBase[company_name],$B846)*Y426)</f>
        <v>0</v>
      </c>
      <c r="Z846" s="652">
        <f>IF($B846="",,SUMIFS(PerBase[Month 15],PerBase[exp_item],$H846,PerBase[company_name],$B846)*Z426)</f>
        <v>0</v>
      </c>
      <c r="AA846" s="652">
        <f>IF($B846="",,SUMIFS(PerBase[Month 16],PerBase[exp_item],$H846,PerBase[company_name],$B846)*AA426)</f>
        <v>0</v>
      </c>
      <c r="AB846" s="652">
        <f>IF($B846="",,SUMIFS(PerBase[Month 17],PerBase[exp_item],$H846,PerBase[company_name],$B846)*AB426)</f>
        <v>0</v>
      </c>
      <c r="AC846" s="652">
        <f>IF($B846="",,SUMIFS(PerBase[Month 18],PerBase[exp_item],$H846,PerBase[company_name],$B846)*AC426)</f>
        <v>0</v>
      </c>
      <c r="AD846" s="652">
        <f>IF($B846="",,SUMIFS(PerBase[Month 19],PerBase[exp_item],$H846,PerBase[company_name],$B846)*AD426)</f>
        <v>0</v>
      </c>
      <c r="AE846" s="652">
        <f>IF($B846="",,SUMIFS(PerBase[Month 20],PerBase[exp_item],$H846,PerBase[company_name],$B846)*AE426)</f>
        <v>0</v>
      </c>
      <c r="AF846" s="652">
        <f>IF($B846="",,SUMIFS(PerBase[Month 21],PerBase[exp_item],$H846,PerBase[company_name],$B846)*AF426)</f>
        <v>0</v>
      </c>
      <c r="AG846" s="652">
        <f>IF($B846="",,SUMIFS(PerBase[Month 22],PerBase[exp_item],$H846,PerBase[company_name],$B846)*AG426)</f>
        <v>0</v>
      </c>
      <c r="AH846" s="652">
        <f>IF($B846="",,SUMIFS(PerBase[Month 23],PerBase[exp_item],$H846,PerBase[company_name],$B846)*AH426)</f>
        <v>0</v>
      </c>
      <c r="AI846" s="652">
        <f>IF($B846="",,SUMIFS(PerBase[Month 24],PerBase[exp_item],$H846,PerBase[company_name],$B846)*AI426)</f>
        <v>0</v>
      </c>
      <c r="AJ846" s="652">
        <f>IF($B846="",,SUMIFS(PerBase[Month 25],PerBase[exp_item],$H846,PerBase[company_name],$B846)*AJ426)</f>
        <v>0</v>
      </c>
      <c r="AK846" s="652">
        <f>IF($B846="",,SUMIFS(PerBase[Month 26],PerBase[exp_item],$H846,PerBase[company_name],$B846)*AK426)</f>
        <v>0</v>
      </c>
      <c r="AL846" s="652">
        <f>IF($B846="",,SUMIFS(PerBase[Month 27],PerBase[exp_item],$H846,PerBase[company_name],$B846)*AL426)</f>
        <v>0</v>
      </c>
      <c r="AM846" s="652">
        <f>IF($B846="",,SUMIFS(PerBase[Month 28],PerBase[exp_item],$H846,PerBase[company_name],$B846)*AM426)</f>
        <v>0</v>
      </c>
      <c r="AN846" s="652">
        <f>IF($B846="",,SUMIFS(PerBase[Month 29],PerBase[exp_item],$H846,PerBase[company_name],$B846)*AN426)</f>
        <v>0</v>
      </c>
      <c r="AO846" s="652">
        <f>IF($B846="",,SUMIFS(PerBase[Month 30],PerBase[exp_item],$H846,PerBase[company_name],$B846)*AO426)</f>
        <v>0</v>
      </c>
      <c r="AP846" s="652">
        <f>IF($B846="",,SUMIFS(PerBase[Month 31],PerBase[exp_item],$H846,PerBase[company_name],$B846)*AP426)</f>
        <v>0</v>
      </c>
      <c r="AQ846" s="652">
        <f>IF($B846="",,SUMIFS(PerBase[Month 32],PerBase[exp_item],$H846,PerBase[company_name],$B846)*AQ426)</f>
        <v>0</v>
      </c>
      <c r="AR846" s="652">
        <f>IF($B846="",,SUMIFS(PerBase[Month 33],PerBase[exp_item],$H846,PerBase[company_name],$B846)*AR426)</f>
        <v>0</v>
      </c>
      <c r="AS846" s="652">
        <f>IF($B846="",,SUMIFS(PerBase[Month 34],PerBase[exp_item],$H846,PerBase[company_name],$B846)*AS426)</f>
        <v>0</v>
      </c>
      <c r="AT846" s="652">
        <f>IF($B846="",,SUMIFS(PerBase[Month 35],PerBase[exp_item],$H846,PerBase[company_name],$B846)*AT426)</f>
        <v>0</v>
      </c>
      <c r="AU846" s="652">
        <f>IF($B846="",,SUMIFS(PerBase[Month 36],PerBase[exp_item],$H846,PerBase[company_name],$B846)*AU426)</f>
        <v>0</v>
      </c>
    </row>
    <row r="847" spans="2:47" x14ac:dyDescent="0.35">
      <c r="B847" t="str">
        <f t="shared" si="445"/>
        <v/>
      </c>
      <c r="C847" t="str">
        <f t="shared" ref="C847:G847" si="477">IF(C742="","",C742)</f>
        <v/>
      </c>
      <c r="D847" t="str">
        <f t="shared" si="477"/>
        <v/>
      </c>
      <c r="E847" t="str">
        <f t="shared" si="477"/>
        <v/>
      </c>
      <c r="F847" t="str">
        <f t="shared" si="477"/>
        <v/>
      </c>
      <c r="G847" t="str">
        <f t="shared" si="477"/>
        <v/>
      </c>
      <c r="H847" t="str">
        <f t="shared" si="444"/>
        <v/>
      </c>
      <c r="J847" t="str">
        <f>IF($H847="","",IF(VLOOKUP(H847,ExpItems[],2,0),H847&amp;" - "&amp;INDEX(DivisionMapping[category_code],MATCH($D847&amp;$C847,DivisionMapping[dept_bu],0)),H847))</f>
        <v/>
      </c>
      <c r="K847" t="str">
        <f t="shared" si="447"/>
        <v/>
      </c>
      <c r="L847" s="652">
        <f>IF($B847="",,SUMIFS(PerBase[Month 1],PerBase[exp_item],$H847,PerBase[company_name],$B847)*L427)</f>
        <v>0</v>
      </c>
      <c r="M847" s="652">
        <f>IF($B847="",,SUMIFS(PerBase[Month 2],PerBase[exp_item],$H847,PerBase[company_name],$B847)*M427)</f>
        <v>0</v>
      </c>
      <c r="N847" s="652">
        <f>IF($B847="",,SUMIFS(PerBase[Month 3],PerBase[exp_item],$H847,PerBase[company_name],$B847)*N427)</f>
        <v>0</v>
      </c>
      <c r="O847" s="652">
        <f>IF($B847="",,SUMIFS(PerBase[Month 4],PerBase[exp_item],$H847,PerBase[company_name],$B847)*O427)</f>
        <v>0</v>
      </c>
      <c r="P847" s="652">
        <f>IF($B847="",,SUMIFS(PerBase[Month 5],PerBase[exp_item],$H847,PerBase[company_name],$B847)*P427)</f>
        <v>0</v>
      </c>
      <c r="Q847" s="652">
        <f>IF($B847="",,SUMIFS(PerBase[Month 6],PerBase[exp_item],$H847,PerBase[company_name],$B847)*Q427)</f>
        <v>0</v>
      </c>
      <c r="R847" s="652">
        <f>IF($B847="",,SUMIFS(PerBase[Month 7],PerBase[exp_item],$H847,PerBase[company_name],$B847)*R427)</f>
        <v>0</v>
      </c>
      <c r="S847" s="652">
        <f>IF($B847="",,SUMIFS(PerBase[Month 8],PerBase[exp_item],$H847,PerBase[company_name],$B847)*S427)</f>
        <v>0</v>
      </c>
      <c r="T847" s="652">
        <f>IF($B847="",,SUMIFS(PerBase[Month 9],PerBase[exp_item],$H847,PerBase[company_name],$B847)*T427)</f>
        <v>0</v>
      </c>
      <c r="U847" s="652">
        <f>IF($B847="",,SUMIFS(PerBase[Month 10],PerBase[exp_item],$H847,PerBase[company_name],$B847)*U427)</f>
        <v>0</v>
      </c>
      <c r="V847" s="652">
        <f>IF($B847="",,SUMIFS(PerBase[Month 11],PerBase[exp_item],$H847,PerBase[company_name],$B847)*V427)</f>
        <v>0</v>
      </c>
      <c r="W847" s="652">
        <f>IF($B847="",,SUMIFS(PerBase[Month 12],PerBase[exp_item],$H847,PerBase[company_name],$B847)*W427)</f>
        <v>0</v>
      </c>
      <c r="X847" s="652">
        <f>IF($B847="",,SUMIFS(PerBase[Month 13],PerBase[exp_item],$H847,PerBase[company_name],$B847)*X427)</f>
        <v>0</v>
      </c>
      <c r="Y847" s="652">
        <f>IF($B847="",,SUMIFS(PerBase[Month 14],PerBase[exp_item],$H847,PerBase[company_name],$B847)*Y427)</f>
        <v>0</v>
      </c>
      <c r="Z847" s="652">
        <f>IF($B847="",,SUMIFS(PerBase[Month 15],PerBase[exp_item],$H847,PerBase[company_name],$B847)*Z427)</f>
        <v>0</v>
      </c>
      <c r="AA847" s="652">
        <f>IF($B847="",,SUMIFS(PerBase[Month 16],PerBase[exp_item],$H847,PerBase[company_name],$B847)*AA427)</f>
        <v>0</v>
      </c>
      <c r="AB847" s="652">
        <f>IF($B847="",,SUMIFS(PerBase[Month 17],PerBase[exp_item],$H847,PerBase[company_name],$B847)*AB427)</f>
        <v>0</v>
      </c>
      <c r="AC847" s="652">
        <f>IF($B847="",,SUMIFS(PerBase[Month 18],PerBase[exp_item],$H847,PerBase[company_name],$B847)*AC427)</f>
        <v>0</v>
      </c>
      <c r="AD847" s="652">
        <f>IF($B847="",,SUMIFS(PerBase[Month 19],PerBase[exp_item],$H847,PerBase[company_name],$B847)*AD427)</f>
        <v>0</v>
      </c>
      <c r="AE847" s="652">
        <f>IF($B847="",,SUMIFS(PerBase[Month 20],PerBase[exp_item],$H847,PerBase[company_name],$B847)*AE427)</f>
        <v>0</v>
      </c>
      <c r="AF847" s="652">
        <f>IF($B847="",,SUMIFS(PerBase[Month 21],PerBase[exp_item],$H847,PerBase[company_name],$B847)*AF427)</f>
        <v>0</v>
      </c>
      <c r="AG847" s="652">
        <f>IF($B847="",,SUMIFS(PerBase[Month 22],PerBase[exp_item],$H847,PerBase[company_name],$B847)*AG427)</f>
        <v>0</v>
      </c>
      <c r="AH847" s="652">
        <f>IF($B847="",,SUMIFS(PerBase[Month 23],PerBase[exp_item],$H847,PerBase[company_name],$B847)*AH427)</f>
        <v>0</v>
      </c>
      <c r="AI847" s="652">
        <f>IF($B847="",,SUMIFS(PerBase[Month 24],PerBase[exp_item],$H847,PerBase[company_name],$B847)*AI427)</f>
        <v>0</v>
      </c>
      <c r="AJ847" s="652">
        <f>IF($B847="",,SUMIFS(PerBase[Month 25],PerBase[exp_item],$H847,PerBase[company_name],$B847)*AJ427)</f>
        <v>0</v>
      </c>
      <c r="AK847" s="652">
        <f>IF($B847="",,SUMIFS(PerBase[Month 26],PerBase[exp_item],$H847,PerBase[company_name],$B847)*AK427)</f>
        <v>0</v>
      </c>
      <c r="AL847" s="652">
        <f>IF($B847="",,SUMIFS(PerBase[Month 27],PerBase[exp_item],$H847,PerBase[company_name],$B847)*AL427)</f>
        <v>0</v>
      </c>
      <c r="AM847" s="652">
        <f>IF($B847="",,SUMIFS(PerBase[Month 28],PerBase[exp_item],$H847,PerBase[company_name],$B847)*AM427)</f>
        <v>0</v>
      </c>
      <c r="AN847" s="652">
        <f>IF($B847="",,SUMIFS(PerBase[Month 29],PerBase[exp_item],$H847,PerBase[company_name],$B847)*AN427)</f>
        <v>0</v>
      </c>
      <c r="AO847" s="652">
        <f>IF($B847="",,SUMIFS(PerBase[Month 30],PerBase[exp_item],$H847,PerBase[company_name],$B847)*AO427)</f>
        <v>0</v>
      </c>
      <c r="AP847" s="652">
        <f>IF($B847="",,SUMIFS(PerBase[Month 31],PerBase[exp_item],$H847,PerBase[company_name],$B847)*AP427)</f>
        <v>0</v>
      </c>
      <c r="AQ847" s="652">
        <f>IF($B847="",,SUMIFS(PerBase[Month 32],PerBase[exp_item],$H847,PerBase[company_name],$B847)*AQ427)</f>
        <v>0</v>
      </c>
      <c r="AR847" s="652">
        <f>IF($B847="",,SUMIFS(PerBase[Month 33],PerBase[exp_item],$H847,PerBase[company_name],$B847)*AR427)</f>
        <v>0</v>
      </c>
      <c r="AS847" s="652">
        <f>IF($B847="",,SUMIFS(PerBase[Month 34],PerBase[exp_item],$H847,PerBase[company_name],$B847)*AS427)</f>
        <v>0</v>
      </c>
      <c r="AT847" s="652">
        <f>IF($B847="",,SUMIFS(PerBase[Month 35],PerBase[exp_item],$H847,PerBase[company_name],$B847)*AT427)</f>
        <v>0</v>
      </c>
      <c r="AU847" s="652">
        <f>IF($B847="",,SUMIFS(PerBase[Month 36],PerBase[exp_item],$H847,PerBase[company_name],$B847)*AU427)</f>
        <v>0</v>
      </c>
    </row>
    <row r="848" spans="2:47" x14ac:dyDescent="0.35">
      <c r="B848" t="str">
        <f t="shared" si="445"/>
        <v/>
      </c>
      <c r="C848" t="str">
        <f t="shared" ref="C848:G848" si="478">IF(C743="","",C743)</f>
        <v/>
      </c>
      <c r="D848" t="str">
        <f t="shared" si="478"/>
        <v/>
      </c>
      <c r="E848" t="str">
        <f t="shared" si="478"/>
        <v/>
      </c>
      <c r="F848" t="str">
        <f t="shared" si="478"/>
        <v/>
      </c>
      <c r="G848" t="str">
        <f t="shared" si="478"/>
        <v/>
      </c>
      <c r="H848" t="str">
        <f t="shared" ref="H848:H879" si="479">IF(B848="","",$B$815)</f>
        <v/>
      </c>
      <c r="J848" t="str">
        <f>IF($H848="","",IF(VLOOKUP(H848,ExpItems[],2,0),H848&amp;" - "&amp;INDEX(DivisionMapping[category_code],MATCH($D848&amp;$C848,DivisionMapping[dept_bu],0)),H848))</f>
        <v/>
      </c>
      <c r="K848" t="str">
        <f t="shared" si="447"/>
        <v/>
      </c>
      <c r="L848" s="652">
        <f>IF($B848="",,SUMIFS(PerBase[Month 1],PerBase[exp_item],$H848,PerBase[company_name],$B848)*L428)</f>
        <v>0</v>
      </c>
      <c r="M848" s="652">
        <f>IF($B848="",,SUMIFS(PerBase[Month 2],PerBase[exp_item],$H848,PerBase[company_name],$B848)*M428)</f>
        <v>0</v>
      </c>
      <c r="N848" s="652">
        <f>IF($B848="",,SUMIFS(PerBase[Month 3],PerBase[exp_item],$H848,PerBase[company_name],$B848)*N428)</f>
        <v>0</v>
      </c>
      <c r="O848" s="652">
        <f>IF($B848="",,SUMIFS(PerBase[Month 4],PerBase[exp_item],$H848,PerBase[company_name],$B848)*O428)</f>
        <v>0</v>
      </c>
      <c r="P848" s="652">
        <f>IF($B848="",,SUMIFS(PerBase[Month 5],PerBase[exp_item],$H848,PerBase[company_name],$B848)*P428)</f>
        <v>0</v>
      </c>
      <c r="Q848" s="652">
        <f>IF($B848="",,SUMIFS(PerBase[Month 6],PerBase[exp_item],$H848,PerBase[company_name],$B848)*Q428)</f>
        <v>0</v>
      </c>
      <c r="R848" s="652">
        <f>IF($B848="",,SUMIFS(PerBase[Month 7],PerBase[exp_item],$H848,PerBase[company_name],$B848)*R428)</f>
        <v>0</v>
      </c>
      <c r="S848" s="652">
        <f>IF($B848="",,SUMIFS(PerBase[Month 8],PerBase[exp_item],$H848,PerBase[company_name],$B848)*S428)</f>
        <v>0</v>
      </c>
      <c r="T848" s="652">
        <f>IF($B848="",,SUMIFS(PerBase[Month 9],PerBase[exp_item],$H848,PerBase[company_name],$B848)*T428)</f>
        <v>0</v>
      </c>
      <c r="U848" s="652">
        <f>IF($B848="",,SUMIFS(PerBase[Month 10],PerBase[exp_item],$H848,PerBase[company_name],$B848)*U428)</f>
        <v>0</v>
      </c>
      <c r="V848" s="652">
        <f>IF($B848="",,SUMIFS(PerBase[Month 11],PerBase[exp_item],$H848,PerBase[company_name],$B848)*V428)</f>
        <v>0</v>
      </c>
      <c r="W848" s="652">
        <f>IF($B848="",,SUMIFS(PerBase[Month 12],PerBase[exp_item],$H848,PerBase[company_name],$B848)*W428)</f>
        <v>0</v>
      </c>
      <c r="X848" s="652">
        <f>IF($B848="",,SUMIFS(PerBase[Month 13],PerBase[exp_item],$H848,PerBase[company_name],$B848)*X428)</f>
        <v>0</v>
      </c>
      <c r="Y848" s="652">
        <f>IF($B848="",,SUMIFS(PerBase[Month 14],PerBase[exp_item],$H848,PerBase[company_name],$B848)*Y428)</f>
        <v>0</v>
      </c>
      <c r="Z848" s="652">
        <f>IF($B848="",,SUMIFS(PerBase[Month 15],PerBase[exp_item],$H848,PerBase[company_name],$B848)*Z428)</f>
        <v>0</v>
      </c>
      <c r="AA848" s="652">
        <f>IF($B848="",,SUMIFS(PerBase[Month 16],PerBase[exp_item],$H848,PerBase[company_name],$B848)*AA428)</f>
        <v>0</v>
      </c>
      <c r="AB848" s="652">
        <f>IF($B848="",,SUMIFS(PerBase[Month 17],PerBase[exp_item],$H848,PerBase[company_name],$B848)*AB428)</f>
        <v>0</v>
      </c>
      <c r="AC848" s="652">
        <f>IF($B848="",,SUMIFS(PerBase[Month 18],PerBase[exp_item],$H848,PerBase[company_name],$B848)*AC428)</f>
        <v>0</v>
      </c>
      <c r="AD848" s="652">
        <f>IF($B848="",,SUMIFS(PerBase[Month 19],PerBase[exp_item],$H848,PerBase[company_name],$B848)*AD428)</f>
        <v>0</v>
      </c>
      <c r="AE848" s="652">
        <f>IF($B848="",,SUMIFS(PerBase[Month 20],PerBase[exp_item],$H848,PerBase[company_name],$B848)*AE428)</f>
        <v>0</v>
      </c>
      <c r="AF848" s="652">
        <f>IF($B848="",,SUMIFS(PerBase[Month 21],PerBase[exp_item],$H848,PerBase[company_name],$B848)*AF428)</f>
        <v>0</v>
      </c>
      <c r="AG848" s="652">
        <f>IF($B848="",,SUMIFS(PerBase[Month 22],PerBase[exp_item],$H848,PerBase[company_name],$B848)*AG428)</f>
        <v>0</v>
      </c>
      <c r="AH848" s="652">
        <f>IF($B848="",,SUMIFS(PerBase[Month 23],PerBase[exp_item],$H848,PerBase[company_name],$B848)*AH428)</f>
        <v>0</v>
      </c>
      <c r="AI848" s="652">
        <f>IF($B848="",,SUMIFS(PerBase[Month 24],PerBase[exp_item],$H848,PerBase[company_name],$B848)*AI428)</f>
        <v>0</v>
      </c>
      <c r="AJ848" s="652">
        <f>IF($B848="",,SUMIFS(PerBase[Month 25],PerBase[exp_item],$H848,PerBase[company_name],$B848)*AJ428)</f>
        <v>0</v>
      </c>
      <c r="AK848" s="652">
        <f>IF($B848="",,SUMIFS(PerBase[Month 26],PerBase[exp_item],$H848,PerBase[company_name],$B848)*AK428)</f>
        <v>0</v>
      </c>
      <c r="AL848" s="652">
        <f>IF($B848="",,SUMIFS(PerBase[Month 27],PerBase[exp_item],$H848,PerBase[company_name],$B848)*AL428)</f>
        <v>0</v>
      </c>
      <c r="AM848" s="652">
        <f>IF($B848="",,SUMIFS(PerBase[Month 28],PerBase[exp_item],$H848,PerBase[company_name],$B848)*AM428)</f>
        <v>0</v>
      </c>
      <c r="AN848" s="652">
        <f>IF($B848="",,SUMIFS(PerBase[Month 29],PerBase[exp_item],$H848,PerBase[company_name],$B848)*AN428)</f>
        <v>0</v>
      </c>
      <c r="AO848" s="652">
        <f>IF($B848="",,SUMIFS(PerBase[Month 30],PerBase[exp_item],$H848,PerBase[company_name],$B848)*AO428)</f>
        <v>0</v>
      </c>
      <c r="AP848" s="652">
        <f>IF($B848="",,SUMIFS(PerBase[Month 31],PerBase[exp_item],$H848,PerBase[company_name],$B848)*AP428)</f>
        <v>0</v>
      </c>
      <c r="AQ848" s="652">
        <f>IF($B848="",,SUMIFS(PerBase[Month 32],PerBase[exp_item],$H848,PerBase[company_name],$B848)*AQ428)</f>
        <v>0</v>
      </c>
      <c r="AR848" s="652">
        <f>IF($B848="",,SUMIFS(PerBase[Month 33],PerBase[exp_item],$H848,PerBase[company_name],$B848)*AR428)</f>
        <v>0</v>
      </c>
      <c r="AS848" s="652">
        <f>IF($B848="",,SUMIFS(PerBase[Month 34],PerBase[exp_item],$H848,PerBase[company_name],$B848)*AS428)</f>
        <v>0</v>
      </c>
      <c r="AT848" s="652">
        <f>IF($B848="",,SUMIFS(PerBase[Month 35],PerBase[exp_item],$H848,PerBase[company_name],$B848)*AT428)</f>
        <v>0</v>
      </c>
      <c r="AU848" s="652">
        <f>IF($B848="",,SUMIFS(PerBase[Month 36],PerBase[exp_item],$H848,PerBase[company_name],$B848)*AU428)</f>
        <v>0</v>
      </c>
    </row>
    <row r="849" spans="2:47" x14ac:dyDescent="0.35">
      <c r="B849" t="str">
        <f t="shared" ref="B849:B880" si="480">IF(B744="","",B744)</f>
        <v/>
      </c>
      <c r="C849" t="str">
        <f t="shared" ref="C849:G849" si="481">IF(C744="","",C744)</f>
        <v/>
      </c>
      <c r="D849" t="str">
        <f t="shared" si="481"/>
        <v/>
      </c>
      <c r="E849" t="str">
        <f t="shared" si="481"/>
        <v/>
      </c>
      <c r="F849" t="str">
        <f t="shared" si="481"/>
        <v/>
      </c>
      <c r="G849" t="str">
        <f t="shared" si="481"/>
        <v/>
      </c>
      <c r="H849" t="str">
        <f t="shared" si="479"/>
        <v/>
      </c>
      <c r="J849" t="str">
        <f>IF($H849="","",IF(VLOOKUP(H849,ExpItems[],2,0),H849&amp;" - "&amp;INDEX(DivisionMapping[category_code],MATCH($D849&amp;$C849,DivisionMapping[dept_bu],0)),H849))</f>
        <v/>
      </c>
      <c r="K849" t="str">
        <f t="shared" si="447"/>
        <v/>
      </c>
      <c r="L849" s="652">
        <f>IF($B849="",,SUMIFS(PerBase[Month 1],PerBase[exp_item],$H849,PerBase[company_name],$B849)*L429)</f>
        <v>0</v>
      </c>
      <c r="M849" s="652">
        <f>IF($B849="",,SUMIFS(PerBase[Month 2],PerBase[exp_item],$H849,PerBase[company_name],$B849)*M429)</f>
        <v>0</v>
      </c>
      <c r="N849" s="652">
        <f>IF($B849="",,SUMIFS(PerBase[Month 3],PerBase[exp_item],$H849,PerBase[company_name],$B849)*N429)</f>
        <v>0</v>
      </c>
      <c r="O849" s="652">
        <f>IF($B849="",,SUMIFS(PerBase[Month 4],PerBase[exp_item],$H849,PerBase[company_name],$B849)*O429)</f>
        <v>0</v>
      </c>
      <c r="P849" s="652">
        <f>IF($B849="",,SUMIFS(PerBase[Month 5],PerBase[exp_item],$H849,PerBase[company_name],$B849)*P429)</f>
        <v>0</v>
      </c>
      <c r="Q849" s="652">
        <f>IF($B849="",,SUMIFS(PerBase[Month 6],PerBase[exp_item],$H849,PerBase[company_name],$B849)*Q429)</f>
        <v>0</v>
      </c>
      <c r="R849" s="652">
        <f>IF($B849="",,SUMIFS(PerBase[Month 7],PerBase[exp_item],$H849,PerBase[company_name],$B849)*R429)</f>
        <v>0</v>
      </c>
      <c r="S849" s="652">
        <f>IF($B849="",,SUMIFS(PerBase[Month 8],PerBase[exp_item],$H849,PerBase[company_name],$B849)*S429)</f>
        <v>0</v>
      </c>
      <c r="T849" s="652">
        <f>IF($B849="",,SUMIFS(PerBase[Month 9],PerBase[exp_item],$H849,PerBase[company_name],$B849)*T429)</f>
        <v>0</v>
      </c>
      <c r="U849" s="652">
        <f>IF($B849="",,SUMIFS(PerBase[Month 10],PerBase[exp_item],$H849,PerBase[company_name],$B849)*U429)</f>
        <v>0</v>
      </c>
      <c r="V849" s="652">
        <f>IF($B849="",,SUMIFS(PerBase[Month 11],PerBase[exp_item],$H849,PerBase[company_name],$B849)*V429)</f>
        <v>0</v>
      </c>
      <c r="W849" s="652">
        <f>IF($B849="",,SUMIFS(PerBase[Month 12],PerBase[exp_item],$H849,PerBase[company_name],$B849)*W429)</f>
        <v>0</v>
      </c>
      <c r="X849" s="652">
        <f>IF($B849="",,SUMIFS(PerBase[Month 13],PerBase[exp_item],$H849,PerBase[company_name],$B849)*X429)</f>
        <v>0</v>
      </c>
      <c r="Y849" s="652">
        <f>IF($B849="",,SUMIFS(PerBase[Month 14],PerBase[exp_item],$H849,PerBase[company_name],$B849)*Y429)</f>
        <v>0</v>
      </c>
      <c r="Z849" s="652">
        <f>IF($B849="",,SUMIFS(PerBase[Month 15],PerBase[exp_item],$H849,PerBase[company_name],$B849)*Z429)</f>
        <v>0</v>
      </c>
      <c r="AA849" s="652">
        <f>IF($B849="",,SUMIFS(PerBase[Month 16],PerBase[exp_item],$H849,PerBase[company_name],$B849)*AA429)</f>
        <v>0</v>
      </c>
      <c r="AB849" s="652">
        <f>IF($B849="",,SUMIFS(PerBase[Month 17],PerBase[exp_item],$H849,PerBase[company_name],$B849)*AB429)</f>
        <v>0</v>
      </c>
      <c r="AC849" s="652">
        <f>IF($B849="",,SUMIFS(PerBase[Month 18],PerBase[exp_item],$H849,PerBase[company_name],$B849)*AC429)</f>
        <v>0</v>
      </c>
      <c r="AD849" s="652">
        <f>IF($B849="",,SUMIFS(PerBase[Month 19],PerBase[exp_item],$H849,PerBase[company_name],$B849)*AD429)</f>
        <v>0</v>
      </c>
      <c r="AE849" s="652">
        <f>IF($B849="",,SUMIFS(PerBase[Month 20],PerBase[exp_item],$H849,PerBase[company_name],$B849)*AE429)</f>
        <v>0</v>
      </c>
      <c r="AF849" s="652">
        <f>IF($B849="",,SUMIFS(PerBase[Month 21],PerBase[exp_item],$H849,PerBase[company_name],$B849)*AF429)</f>
        <v>0</v>
      </c>
      <c r="AG849" s="652">
        <f>IF($B849="",,SUMIFS(PerBase[Month 22],PerBase[exp_item],$H849,PerBase[company_name],$B849)*AG429)</f>
        <v>0</v>
      </c>
      <c r="AH849" s="652">
        <f>IF($B849="",,SUMIFS(PerBase[Month 23],PerBase[exp_item],$H849,PerBase[company_name],$B849)*AH429)</f>
        <v>0</v>
      </c>
      <c r="AI849" s="652">
        <f>IF($B849="",,SUMIFS(PerBase[Month 24],PerBase[exp_item],$H849,PerBase[company_name],$B849)*AI429)</f>
        <v>0</v>
      </c>
      <c r="AJ849" s="652">
        <f>IF($B849="",,SUMIFS(PerBase[Month 25],PerBase[exp_item],$H849,PerBase[company_name],$B849)*AJ429)</f>
        <v>0</v>
      </c>
      <c r="AK849" s="652">
        <f>IF($B849="",,SUMIFS(PerBase[Month 26],PerBase[exp_item],$H849,PerBase[company_name],$B849)*AK429)</f>
        <v>0</v>
      </c>
      <c r="AL849" s="652">
        <f>IF($B849="",,SUMIFS(PerBase[Month 27],PerBase[exp_item],$H849,PerBase[company_name],$B849)*AL429)</f>
        <v>0</v>
      </c>
      <c r="AM849" s="652">
        <f>IF($B849="",,SUMIFS(PerBase[Month 28],PerBase[exp_item],$H849,PerBase[company_name],$B849)*AM429)</f>
        <v>0</v>
      </c>
      <c r="AN849" s="652">
        <f>IF($B849="",,SUMIFS(PerBase[Month 29],PerBase[exp_item],$H849,PerBase[company_name],$B849)*AN429)</f>
        <v>0</v>
      </c>
      <c r="AO849" s="652">
        <f>IF($B849="",,SUMIFS(PerBase[Month 30],PerBase[exp_item],$H849,PerBase[company_name],$B849)*AO429)</f>
        <v>0</v>
      </c>
      <c r="AP849" s="652">
        <f>IF($B849="",,SUMIFS(PerBase[Month 31],PerBase[exp_item],$H849,PerBase[company_name],$B849)*AP429)</f>
        <v>0</v>
      </c>
      <c r="AQ849" s="652">
        <f>IF($B849="",,SUMIFS(PerBase[Month 32],PerBase[exp_item],$H849,PerBase[company_name],$B849)*AQ429)</f>
        <v>0</v>
      </c>
      <c r="AR849" s="652">
        <f>IF($B849="",,SUMIFS(PerBase[Month 33],PerBase[exp_item],$H849,PerBase[company_name],$B849)*AR429)</f>
        <v>0</v>
      </c>
      <c r="AS849" s="652">
        <f>IF($B849="",,SUMIFS(PerBase[Month 34],PerBase[exp_item],$H849,PerBase[company_name],$B849)*AS429)</f>
        <v>0</v>
      </c>
      <c r="AT849" s="652">
        <f>IF($B849="",,SUMIFS(PerBase[Month 35],PerBase[exp_item],$H849,PerBase[company_name],$B849)*AT429)</f>
        <v>0</v>
      </c>
      <c r="AU849" s="652">
        <f>IF($B849="",,SUMIFS(PerBase[Month 36],PerBase[exp_item],$H849,PerBase[company_name],$B849)*AU429)</f>
        <v>0</v>
      </c>
    </row>
    <row r="850" spans="2:47" x14ac:dyDescent="0.35">
      <c r="B850" t="str">
        <f t="shared" si="480"/>
        <v/>
      </c>
      <c r="C850" t="str">
        <f t="shared" ref="C850:G850" si="482">IF(C745="","",C745)</f>
        <v/>
      </c>
      <c r="D850" t="str">
        <f t="shared" si="482"/>
        <v/>
      </c>
      <c r="E850" t="str">
        <f t="shared" si="482"/>
        <v/>
      </c>
      <c r="F850" t="str">
        <f t="shared" si="482"/>
        <v/>
      </c>
      <c r="G850" t="str">
        <f t="shared" si="482"/>
        <v/>
      </c>
      <c r="H850" t="str">
        <f t="shared" si="479"/>
        <v/>
      </c>
      <c r="J850" t="str">
        <f>IF($H850="","",IF(VLOOKUP(H850,ExpItems[],2,0),H850&amp;" - "&amp;INDEX(DivisionMapping[category_code],MATCH($D850&amp;$C850,DivisionMapping[dept_bu],0)),H850))</f>
        <v/>
      </c>
      <c r="K850" t="str">
        <f t="shared" si="447"/>
        <v/>
      </c>
      <c r="L850" s="652">
        <f>IF($B850="",,SUMIFS(PerBase[Month 1],PerBase[exp_item],$H850,PerBase[company_name],$B850)*L430)</f>
        <v>0</v>
      </c>
      <c r="M850" s="652">
        <f>IF($B850="",,SUMIFS(PerBase[Month 2],PerBase[exp_item],$H850,PerBase[company_name],$B850)*M430)</f>
        <v>0</v>
      </c>
      <c r="N850" s="652">
        <f>IF($B850="",,SUMIFS(PerBase[Month 3],PerBase[exp_item],$H850,PerBase[company_name],$B850)*N430)</f>
        <v>0</v>
      </c>
      <c r="O850" s="652">
        <f>IF($B850="",,SUMIFS(PerBase[Month 4],PerBase[exp_item],$H850,PerBase[company_name],$B850)*O430)</f>
        <v>0</v>
      </c>
      <c r="P850" s="652">
        <f>IF($B850="",,SUMIFS(PerBase[Month 5],PerBase[exp_item],$H850,PerBase[company_name],$B850)*P430)</f>
        <v>0</v>
      </c>
      <c r="Q850" s="652">
        <f>IF($B850="",,SUMIFS(PerBase[Month 6],PerBase[exp_item],$H850,PerBase[company_name],$B850)*Q430)</f>
        <v>0</v>
      </c>
      <c r="R850" s="652">
        <f>IF($B850="",,SUMIFS(PerBase[Month 7],PerBase[exp_item],$H850,PerBase[company_name],$B850)*R430)</f>
        <v>0</v>
      </c>
      <c r="S850" s="652">
        <f>IF($B850="",,SUMIFS(PerBase[Month 8],PerBase[exp_item],$H850,PerBase[company_name],$B850)*S430)</f>
        <v>0</v>
      </c>
      <c r="T850" s="652">
        <f>IF($B850="",,SUMIFS(PerBase[Month 9],PerBase[exp_item],$H850,PerBase[company_name],$B850)*T430)</f>
        <v>0</v>
      </c>
      <c r="U850" s="652">
        <f>IF($B850="",,SUMIFS(PerBase[Month 10],PerBase[exp_item],$H850,PerBase[company_name],$B850)*U430)</f>
        <v>0</v>
      </c>
      <c r="V850" s="652">
        <f>IF($B850="",,SUMIFS(PerBase[Month 11],PerBase[exp_item],$H850,PerBase[company_name],$B850)*V430)</f>
        <v>0</v>
      </c>
      <c r="W850" s="652">
        <f>IF($B850="",,SUMIFS(PerBase[Month 12],PerBase[exp_item],$H850,PerBase[company_name],$B850)*W430)</f>
        <v>0</v>
      </c>
      <c r="X850" s="652">
        <f>IF($B850="",,SUMIFS(PerBase[Month 13],PerBase[exp_item],$H850,PerBase[company_name],$B850)*X430)</f>
        <v>0</v>
      </c>
      <c r="Y850" s="652">
        <f>IF($B850="",,SUMIFS(PerBase[Month 14],PerBase[exp_item],$H850,PerBase[company_name],$B850)*Y430)</f>
        <v>0</v>
      </c>
      <c r="Z850" s="652">
        <f>IF($B850="",,SUMIFS(PerBase[Month 15],PerBase[exp_item],$H850,PerBase[company_name],$B850)*Z430)</f>
        <v>0</v>
      </c>
      <c r="AA850" s="652">
        <f>IF($B850="",,SUMIFS(PerBase[Month 16],PerBase[exp_item],$H850,PerBase[company_name],$B850)*AA430)</f>
        <v>0</v>
      </c>
      <c r="AB850" s="652">
        <f>IF($B850="",,SUMIFS(PerBase[Month 17],PerBase[exp_item],$H850,PerBase[company_name],$B850)*AB430)</f>
        <v>0</v>
      </c>
      <c r="AC850" s="652">
        <f>IF($B850="",,SUMIFS(PerBase[Month 18],PerBase[exp_item],$H850,PerBase[company_name],$B850)*AC430)</f>
        <v>0</v>
      </c>
      <c r="AD850" s="652">
        <f>IF($B850="",,SUMIFS(PerBase[Month 19],PerBase[exp_item],$H850,PerBase[company_name],$B850)*AD430)</f>
        <v>0</v>
      </c>
      <c r="AE850" s="652">
        <f>IF($B850="",,SUMIFS(PerBase[Month 20],PerBase[exp_item],$H850,PerBase[company_name],$B850)*AE430)</f>
        <v>0</v>
      </c>
      <c r="AF850" s="652">
        <f>IF($B850="",,SUMIFS(PerBase[Month 21],PerBase[exp_item],$H850,PerBase[company_name],$B850)*AF430)</f>
        <v>0</v>
      </c>
      <c r="AG850" s="652">
        <f>IF($B850="",,SUMIFS(PerBase[Month 22],PerBase[exp_item],$H850,PerBase[company_name],$B850)*AG430)</f>
        <v>0</v>
      </c>
      <c r="AH850" s="652">
        <f>IF($B850="",,SUMIFS(PerBase[Month 23],PerBase[exp_item],$H850,PerBase[company_name],$B850)*AH430)</f>
        <v>0</v>
      </c>
      <c r="AI850" s="652">
        <f>IF($B850="",,SUMIFS(PerBase[Month 24],PerBase[exp_item],$H850,PerBase[company_name],$B850)*AI430)</f>
        <v>0</v>
      </c>
      <c r="AJ850" s="652">
        <f>IF($B850="",,SUMIFS(PerBase[Month 25],PerBase[exp_item],$H850,PerBase[company_name],$B850)*AJ430)</f>
        <v>0</v>
      </c>
      <c r="AK850" s="652">
        <f>IF($B850="",,SUMIFS(PerBase[Month 26],PerBase[exp_item],$H850,PerBase[company_name],$B850)*AK430)</f>
        <v>0</v>
      </c>
      <c r="AL850" s="652">
        <f>IF($B850="",,SUMIFS(PerBase[Month 27],PerBase[exp_item],$H850,PerBase[company_name],$B850)*AL430)</f>
        <v>0</v>
      </c>
      <c r="AM850" s="652">
        <f>IF($B850="",,SUMIFS(PerBase[Month 28],PerBase[exp_item],$H850,PerBase[company_name],$B850)*AM430)</f>
        <v>0</v>
      </c>
      <c r="AN850" s="652">
        <f>IF($B850="",,SUMIFS(PerBase[Month 29],PerBase[exp_item],$H850,PerBase[company_name],$B850)*AN430)</f>
        <v>0</v>
      </c>
      <c r="AO850" s="652">
        <f>IF($B850="",,SUMIFS(PerBase[Month 30],PerBase[exp_item],$H850,PerBase[company_name],$B850)*AO430)</f>
        <v>0</v>
      </c>
      <c r="AP850" s="652">
        <f>IF($B850="",,SUMIFS(PerBase[Month 31],PerBase[exp_item],$H850,PerBase[company_name],$B850)*AP430)</f>
        <v>0</v>
      </c>
      <c r="AQ850" s="652">
        <f>IF($B850="",,SUMIFS(PerBase[Month 32],PerBase[exp_item],$H850,PerBase[company_name],$B850)*AQ430)</f>
        <v>0</v>
      </c>
      <c r="AR850" s="652">
        <f>IF($B850="",,SUMIFS(PerBase[Month 33],PerBase[exp_item],$H850,PerBase[company_name],$B850)*AR430)</f>
        <v>0</v>
      </c>
      <c r="AS850" s="652">
        <f>IF($B850="",,SUMIFS(PerBase[Month 34],PerBase[exp_item],$H850,PerBase[company_name],$B850)*AS430)</f>
        <v>0</v>
      </c>
      <c r="AT850" s="652">
        <f>IF($B850="",,SUMIFS(PerBase[Month 35],PerBase[exp_item],$H850,PerBase[company_name],$B850)*AT430)</f>
        <v>0</v>
      </c>
      <c r="AU850" s="652">
        <f>IF($B850="",,SUMIFS(PerBase[Month 36],PerBase[exp_item],$H850,PerBase[company_name],$B850)*AU430)</f>
        <v>0</v>
      </c>
    </row>
    <row r="851" spans="2:47" x14ac:dyDescent="0.35">
      <c r="B851" t="str">
        <f t="shared" si="480"/>
        <v/>
      </c>
      <c r="C851" t="str">
        <f t="shared" ref="C851:G851" si="483">IF(C746="","",C746)</f>
        <v/>
      </c>
      <c r="D851" t="str">
        <f t="shared" si="483"/>
        <v/>
      </c>
      <c r="E851" t="str">
        <f t="shared" si="483"/>
        <v/>
      </c>
      <c r="F851" t="str">
        <f t="shared" si="483"/>
        <v/>
      </c>
      <c r="G851" t="str">
        <f t="shared" si="483"/>
        <v/>
      </c>
      <c r="H851" t="str">
        <f t="shared" si="479"/>
        <v/>
      </c>
      <c r="J851" t="str">
        <f>IF($H851="","",IF(VLOOKUP(H851,ExpItems[],2,0),H851&amp;" - "&amp;INDEX(DivisionMapping[category_code],MATCH($D851&amp;$C851,DivisionMapping[dept_bu],0)),H851))</f>
        <v/>
      </c>
      <c r="K851" t="str">
        <f t="shared" si="447"/>
        <v/>
      </c>
      <c r="L851" s="652">
        <f>IF($B851="",,SUMIFS(PerBase[Month 1],PerBase[exp_item],$H851,PerBase[company_name],$B851)*L431)</f>
        <v>0</v>
      </c>
      <c r="M851" s="652">
        <f>IF($B851="",,SUMIFS(PerBase[Month 2],PerBase[exp_item],$H851,PerBase[company_name],$B851)*M431)</f>
        <v>0</v>
      </c>
      <c r="N851" s="652">
        <f>IF($B851="",,SUMIFS(PerBase[Month 3],PerBase[exp_item],$H851,PerBase[company_name],$B851)*N431)</f>
        <v>0</v>
      </c>
      <c r="O851" s="652">
        <f>IF($B851="",,SUMIFS(PerBase[Month 4],PerBase[exp_item],$H851,PerBase[company_name],$B851)*O431)</f>
        <v>0</v>
      </c>
      <c r="P851" s="652">
        <f>IF($B851="",,SUMIFS(PerBase[Month 5],PerBase[exp_item],$H851,PerBase[company_name],$B851)*P431)</f>
        <v>0</v>
      </c>
      <c r="Q851" s="652">
        <f>IF($B851="",,SUMIFS(PerBase[Month 6],PerBase[exp_item],$H851,PerBase[company_name],$B851)*Q431)</f>
        <v>0</v>
      </c>
      <c r="R851" s="652">
        <f>IF($B851="",,SUMIFS(PerBase[Month 7],PerBase[exp_item],$H851,PerBase[company_name],$B851)*R431)</f>
        <v>0</v>
      </c>
      <c r="S851" s="652">
        <f>IF($B851="",,SUMIFS(PerBase[Month 8],PerBase[exp_item],$H851,PerBase[company_name],$B851)*S431)</f>
        <v>0</v>
      </c>
      <c r="T851" s="652">
        <f>IF($B851="",,SUMIFS(PerBase[Month 9],PerBase[exp_item],$H851,PerBase[company_name],$B851)*T431)</f>
        <v>0</v>
      </c>
      <c r="U851" s="652">
        <f>IF($B851="",,SUMIFS(PerBase[Month 10],PerBase[exp_item],$H851,PerBase[company_name],$B851)*U431)</f>
        <v>0</v>
      </c>
      <c r="V851" s="652">
        <f>IF($B851="",,SUMIFS(PerBase[Month 11],PerBase[exp_item],$H851,PerBase[company_name],$B851)*V431)</f>
        <v>0</v>
      </c>
      <c r="W851" s="652">
        <f>IF($B851="",,SUMIFS(PerBase[Month 12],PerBase[exp_item],$H851,PerBase[company_name],$B851)*W431)</f>
        <v>0</v>
      </c>
      <c r="X851" s="652">
        <f>IF($B851="",,SUMIFS(PerBase[Month 13],PerBase[exp_item],$H851,PerBase[company_name],$B851)*X431)</f>
        <v>0</v>
      </c>
      <c r="Y851" s="652">
        <f>IF($B851="",,SUMIFS(PerBase[Month 14],PerBase[exp_item],$H851,PerBase[company_name],$B851)*Y431)</f>
        <v>0</v>
      </c>
      <c r="Z851" s="652">
        <f>IF($B851="",,SUMIFS(PerBase[Month 15],PerBase[exp_item],$H851,PerBase[company_name],$B851)*Z431)</f>
        <v>0</v>
      </c>
      <c r="AA851" s="652">
        <f>IF($B851="",,SUMIFS(PerBase[Month 16],PerBase[exp_item],$H851,PerBase[company_name],$B851)*AA431)</f>
        <v>0</v>
      </c>
      <c r="AB851" s="652">
        <f>IF($B851="",,SUMIFS(PerBase[Month 17],PerBase[exp_item],$H851,PerBase[company_name],$B851)*AB431)</f>
        <v>0</v>
      </c>
      <c r="AC851" s="652">
        <f>IF($B851="",,SUMIFS(PerBase[Month 18],PerBase[exp_item],$H851,PerBase[company_name],$B851)*AC431)</f>
        <v>0</v>
      </c>
      <c r="AD851" s="652">
        <f>IF($B851="",,SUMIFS(PerBase[Month 19],PerBase[exp_item],$H851,PerBase[company_name],$B851)*AD431)</f>
        <v>0</v>
      </c>
      <c r="AE851" s="652">
        <f>IF($B851="",,SUMIFS(PerBase[Month 20],PerBase[exp_item],$H851,PerBase[company_name],$B851)*AE431)</f>
        <v>0</v>
      </c>
      <c r="AF851" s="652">
        <f>IF($B851="",,SUMIFS(PerBase[Month 21],PerBase[exp_item],$H851,PerBase[company_name],$B851)*AF431)</f>
        <v>0</v>
      </c>
      <c r="AG851" s="652">
        <f>IF($B851="",,SUMIFS(PerBase[Month 22],PerBase[exp_item],$H851,PerBase[company_name],$B851)*AG431)</f>
        <v>0</v>
      </c>
      <c r="AH851" s="652">
        <f>IF($B851="",,SUMIFS(PerBase[Month 23],PerBase[exp_item],$H851,PerBase[company_name],$B851)*AH431)</f>
        <v>0</v>
      </c>
      <c r="AI851" s="652">
        <f>IF($B851="",,SUMIFS(PerBase[Month 24],PerBase[exp_item],$H851,PerBase[company_name],$B851)*AI431)</f>
        <v>0</v>
      </c>
      <c r="AJ851" s="652">
        <f>IF($B851="",,SUMIFS(PerBase[Month 25],PerBase[exp_item],$H851,PerBase[company_name],$B851)*AJ431)</f>
        <v>0</v>
      </c>
      <c r="AK851" s="652">
        <f>IF($B851="",,SUMIFS(PerBase[Month 26],PerBase[exp_item],$H851,PerBase[company_name],$B851)*AK431)</f>
        <v>0</v>
      </c>
      <c r="AL851" s="652">
        <f>IF($B851="",,SUMIFS(PerBase[Month 27],PerBase[exp_item],$H851,PerBase[company_name],$B851)*AL431)</f>
        <v>0</v>
      </c>
      <c r="AM851" s="652">
        <f>IF($B851="",,SUMIFS(PerBase[Month 28],PerBase[exp_item],$H851,PerBase[company_name],$B851)*AM431)</f>
        <v>0</v>
      </c>
      <c r="AN851" s="652">
        <f>IF($B851="",,SUMIFS(PerBase[Month 29],PerBase[exp_item],$H851,PerBase[company_name],$B851)*AN431)</f>
        <v>0</v>
      </c>
      <c r="AO851" s="652">
        <f>IF($B851="",,SUMIFS(PerBase[Month 30],PerBase[exp_item],$H851,PerBase[company_name],$B851)*AO431)</f>
        <v>0</v>
      </c>
      <c r="AP851" s="652">
        <f>IF($B851="",,SUMIFS(PerBase[Month 31],PerBase[exp_item],$H851,PerBase[company_name],$B851)*AP431)</f>
        <v>0</v>
      </c>
      <c r="AQ851" s="652">
        <f>IF($B851="",,SUMIFS(PerBase[Month 32],PerBase[exp_item],$H851,PerBase[company_name],$B851)*AQ431)</f>
        <v>0</v>
      </c>
      <c r="AR851" s="652">
        <f>IF($B851="",,SUMIFS(PerBase[Month 33],PerBase[exp_item],$H851,PerBase[company_name],$B851)*AR431)</f>
        <v>0</v>
      </c>
      <c r="AS851" s="652">
        <f>IF($B851="",,SUMIFS(PerBase[Month 34],PerBase[exp_item],$H851,PerBase[company_name],$B851)*AS431)</f>
        <v>0</v>
      </c>
      <c r="AT851" s="652">
        <f>IF($B851="",,SUMIFS(PerBase[Month 35],PerBase[exp_item],$H851,PerBase[company_name],$B851)*AT431)</f>
        <v>0</v>
      </c>
      <c r="AU851" s="652">
        <f>IF($B851="",,SUMIFS(PerBase[Month 36],PerBase[exp_item],$H851,PerBase[company_name],$B851)*AU431)</f>
        <v>0</v>
      </c>
    </row>
    <row r="852" spans="2:47" x14ac:dyDescent="0.35">
      <c r="B852" t="str">
        <f t="shared" si="480"/>
        <v/>
      </c>
      <c r="C852" t="str">
        <f t="shared" ref="C852:G852" si="484">IF(C747="","",C747)</f>
        <v/>
      </c>
      <c r="D852" t="str">
        <f t="shared" si="484"/>
        <v/>
      </c>
      <c r="E852" t="str">
        <f t="shared" si="484"/>
        <v/>
      </c>
      <c r="F852" t="str">
        <f t="shared" si="484"/>
        <v/>
      </c>
      <c r="G852" t="str">
        <f t="shared" si="484"/>
        <v/>
      </c>
      <c r="H852" t="str">
        <f t="shared" si="479"/>
        <v/>
      </c>
      <c r="J852" t="str">
        <f>IF($H852="","",IF(VLOOKUP(H852,ExpItems[],2,0),H852&amp;" - "&amp;INDEX(DivisionMapping[category_code],MATCH($D852&amp;$C852,DivisionMapping[dept_bu],0)),H852))</f>
        <v/>
      </c>
      <c r="K852" t="str">
        <f t="shared" si="447"/>
        <v/>
      </c>
      <c r="L852" s="652">
        <f>IF($B852="",,SUMIFS(PerBase[Month 1],PerBase[exp_item],$H852,PerBase[company_name],$B852)*L432)</f>
        <v>0</v>
      </c>
      <c r="M852" s="652">
        <f>IF($B852="",,SUMIFS(PerBase[Month 2],PerBase[exp_item],$H852,PerBase[company_name],$B852)*M432)</f>
        <v>0</v>
      </c>
      <c r="N852" s="652">
        <f>IF($B852="",,SUMIFS(PerBase[Month 3],PerBase[exp_item],$H852,PerBase[company_name],$B852)*N432)</f>
        <v>0</v>
      </c>
      <c r="O852" s="652">
        <f>IF($B852="",,SUMIFS(PerBase[Month 4],PerBase[exp_item],$H852,PerBase[company_name],$B852)*O432)</f>
        <v>0</v>
      </c>
      <c r="P852" s="652">
        <f>IF($B852="",,SUMIFS(PerBase[Month 5],PerBase[exp_item],$H852,PerBase[company_name],$B852)*P432)</f>
        <v>0</v>
      </c>
      <c r="Q852" s="652">
        <f>IF($B852="",,SUMIFS(PerBase[Month 6],PerBase[exp_item],$H852,PerBase[company_name],$B852)*Q432)</f>
        <v>0</v>
      </c>
      <c r="R852" s="652">
        <f>IF($B852="",,SUMIFS(PerBase[Month 7],PerBase[exp_item],$H852,PerBase[company_name],$B852)*R432)</f>
        <v>0</v>
      </c>
      <c r="S852" s="652">
        <f>IF($B852="",,SUMIFS(PerBase[Month 8],PerBase[exp_item],$H852,PerBase[company_name],$B852)*S432)</f>
        <v>0</v>
      </c>
      <c r="T852" s="652">
        <f>IF($B852="",,SUMIFS(PerBase[Month 9],PerBase[exp_item],$H852,PerBase[company_name],$B852)*T432)</f>
        <v>0</v>
      </c>
      <c r="U852" s="652">
        <f>IF($B852="",,SUMIFS(PerBase[Month 10],PerBase[exp_item],$H852,PerBase[company_name],$B852)*U432)</f>
        <v>0</v>
      </c>
      <c r="V852" s="652">
        <f>IF($B852="",,SUMIFS(PerBase[Month 11],PerBase[exp_item],$H852,PerBase[company_name],$B852)*V432)</f>
        <v>0</v>
      </c>
      <c r="W852" s="652">
        <f>IF($B852="",,SUMIFS(PerBase[Month 12],PerBase[exp_item],$H852,PerBase[company_name],$B852)*W432)</f>
        <v>0</v>
      </c>
      <c r="X852" s="652">
        <f>IF($B852="",,SUMIFS(PerBase[Month 13],PerBase[exp_item],$H852,PerBase[company_name],$B852)*X432)</f>
        <v>0</v>
      </c>
      <c r="Y852" s="652">
        <f>IF($B852="",,SUMIFS(PerBase[Month 14],PerBase[exp_item],$H852,PerBase[company_name],$B852)*Y432)</f>
        <v>0</v>
      </c>
      <c r="Z852" s="652">
        <f>IF($B852="",,SUMIFS(PerBase[Month 15],PerBase[exp_item],$H852,PerBase[company_name],$B852)*Z432)</f>
        <v>0</v>
      </c>
      <c r="AA852" s="652">
        <f>IF($B852="",,SUMIFS(PerBase[Month 16],PerBase[exp_item],$H852,PerBase[company_name],$B852)*AA432)</f>
        <v>0</v>
      </c>
      <c r="AB852" s="652">
        <f>IF($B852="",,SUMIFS(PerBase[Month 17],PerBase[exp_item],$H852,PerBase[company_name],$B852)*AB432)</f>
        <v>0</v>
      </c>
      <c r="AC852" s="652">
        <f>IF($B852="",,SUMIFS(PerBase[Month 18],PerBase[exp_item],$H852,PerBase[company_name],$B852)*AC432)</f>
        <v>0</v>
      </c>
      <c r="AD852" s="652">
        <f>IF($B852="",,SUMIFS(PerBase[Month 19],PerBase[exp_item],$H852,PerBase[company_name],$B852)*AD432)</f>
        <v>0</v>
      </c>
      <c r="AE852" s="652">
        <f>IF($B852="",,SUMIFS(PerBase[Month 20],PerBase[exp_item],$H852,PerBase[company_name],$B852)*AE432)</f>
        <v>0</v>
      </c>
      <c r="AF852" s="652">
        <f>IF($B852="",,SUMIFS(PerBase[Month 21],PerBase[exp_item],$H852,PerBase[company_name],$B852)*AF432)</f>
        <v>0</v>
      </c>
      <c r="AG852" s="652">
        <f>IF($B852="",,SUMIFS(PerBase[Month 22],PerBase[exp_item],$H852,PerBase[company_name],$B852)*AG432)</f>
        <v>0</v>
      </c>
      <c r="AH852" s="652">
        <f>IF($B852="",,SUMIFS(PerBase[Month 23],PerBase[exp_item],$H852,PerBase[company_name],$B852)*AH432)</f>
        <v>0</v>
      </c>
      <c r="AI852" s="652">
        <f>IF($B852="",,SUMIFS(PerBase[Month 24],PerBase[exp_item],$H852,PerBase[company_name],$B852)*AI432)</f>
        <v>0</v>
      </c>
      <c r="AJ852" s="652">
        <f>IF($B852="",,SUMIFS(PerBase[Month 25],PerBase[exp_item],$H852,PerBase[company_name],$B852)*AJ432)</f>
        <v>0</v>
      </c>
      <c r="AK852" s="652">
        <f>IF($B852="",,SUMIFS(PerBase[Month 26],PerBase[exp_item],$H852,PerBase[company_name],$B852)*AK432)</f>
        <v>0</v>
      </c>
      <c r="AL852" s="652">
        <f>IF($B852="",,SUMIFS(PerBase[Month 27],PerBase[exp_item],$H852,PerBase[company_name],$B852)*AL432)</f>
        <v>0</v>
      </c>
      <c r="AM852" s="652">
        <f>IF($B852="",,SUMIFS(PerBase[Month 28],PerBase[exp_item],$H852,PerBase[company_name],$B852)*AM432)</f>
        <v>0</v>
      </c>
      <c r="AN852" s="652">
        <f>IF($B852="",,SUMIFS(PerBase[Month 29],PerBase[exp_item],$H852,PerBase[company_name],$B852)*AN432)</f>
        <v>0</v>
      </c>
      <c r="AO852" s="652">
        <f>IF($B852="",,SUMIFS(PerBase[Month 30],PerBase[exp_item],$H852,PerBase[company_name],$B852)*AO432)</f>
        <v>0</v>
      </c>
      <c r="AP852" s="652">
        <f>IF($B852="",,SUMIFS(PerBase[Month 31],PerBase[exp_item],$H852,PerBase[company_name],$B852)*AP432)</f>
        <v>0</v>
      </c>
      <c r="AQ852" s="652">
        <f>IF($B852="",,SUMIFS(PerBase[Month 32],PerBase[exp_item],$H852,PerBase[company_name],$B852)*AQ432)</f>
        <v>0</v>
      </c>
      <c r="AR852" s="652">
        <f>IF($B852="",,SUMIFS(PerBase[Month 33],PerBase[exp_item],$H852,PerBase[company_name],$B852)*AR432)</f>
        <v>0</v>
      </c>
      <c r="AS852" s="652">
        <f>IF($B852="",,SUMIFS(PerBase[Month 34],PerBase[exp_item],$H852,PerBase[company_name],$B852)*AS432)</f>
        <v>0</v>
      </c>
      <c r="AT852" s="652">
        <f>IF($B852="",,SUMIFS(PerBase[Month 35],PerBase[exp_item],$H852,PerBase[company_name],$B852)*AT432)</f>
        <v>0</v>
      </c>
      <c r="AU852" s="652">
        <f>IF($B852="",,SUMIFS(PerBase[Month 36],PerBase[exp_item],$H852,PerBase[company_name],$B852)*AU432)</f>
        <v>0</v>
      </c>
    </row>
    <row r="853" spans="2:47" x14ac:dyDescent="0.35">
      <c r="B853" t="str">
        <f t="shared" si="480"/>
        <v/>
      </c>
      <c r="C853" t="str">
        <f t="shared" ref="C853:G853" si="485">IF(C748="","",C748)</f>
        <v/>
      </c>
      <c r="D853" t="str">
        <f t="shared" si="485"/>
        <v/>
      </c>
      <c r="E853" t="str">
        <f t="shared" si="485"/>
        <v/>
      </c>
      <c r="F853" t="str">
        <f t="shared" si="485"/>
        <v/>
      </c>
      <c r="G853" t="str">
        <f t="shared" si="485"/>
        <v/>
      </c>
      <c r="H853" t="str">
        <f t="shared" si="479"/>
        <v/>
      </c>
      <c r="J853" t="str">
        <f>IF($H853="","",IF(VLOOKUP(H853,ExpItems[],2,0),H853&amp;" - "&amp;INDEX(DivisionMapping[category_code],MATCH($D853&amp;$C853,DivisionMapping[dept_bu],0)),H853))</f>
        <v/>
      </c>
      <c r="K853" t="str">
        <f t="shared" si="447"/>
        <v/>
      </c>
      <c r="L853" s="652">
        <f>IF($B853="",,SUMIFS(PerBase[Month 1],PerBase[exp_item],$H853,PerBase[company_name],$B853)*L433)</f>
        <v>0</v>
      </c>
      <c r="M853" s="652">
        <f>IF($B853="",,SUMIFS(PerBase[Month 2],PerBase[exp_item],$H853,PerBase[company_name],$B853)*M433)</f>
        <v>0</v>
      </c>
      <c r="N853" s="652">
        <f>IF($B853="",,SUMIFS(PerBase[Month 3],PerBase[exp_item],$H853,PerBase[company_name],$B853)*N433)</f>
        <v>0</v>
      </c>
      <c r="O853" s="652">
        <f>IF($B853="",,SUMIFS(PerBase[Month 4],PerBase[exp_item],$H853,PerBase[company_name],$B853)*O433)</f>
        <v>0</v>
      </c>
      <c r="P853" s="652">
        <f>IF($B853="",,SUMIFS(PerBase[Month 5],PerBase[exp_item],$H853,PerBase[company_name],$B853)*P433)</f>
        <v>0</v>
      </c>
      <c r="Q853" s="652">
        <f>IF($B853="",,SUMIFS(PerBase[Month 6],PerBase[exp_item],$H853,PerBase[company_name],$B853)*Q433)</f>
        <v>0</v>
      </c>
      <c r="R853" s="652">
        <f>IF($B853="",,SUMIFS(PerBase[Month 7],PerBase[exp_item],$H853,PerBase[company_name],$B853)*R433)</f>
        <v>0</v>
      </c>
      <c r="S853" s="652">
        <f>IF($B853="",,SUMIFS(PerBase[Month 8],PerBase[exp_item],$H853,PerBase[company_name],$B853)*S433)</f>
        <v>0</v>
      </c>
      <c r="T853" s="652">
        <f>IF($B853="",,SUMIFS(PerBase[Month 9],PerBase[exp_item],$H853,PerBase[company_name],$B853)*T433)</f>
        <v>0</v>
      </c>
      <c r="U853" s="652">
        <f>IF($B853="",,SUMIFS(PerBase[Month 10],PerBase[exp_item],$H853,PerBase[company_name],$B853)*U433)</f>
        <v>0</v>
      </c>
      <c r="V853" s="652">
        <f>IF($B853="",,SUMIFS(PerBase[Month 11],PerBase[exp_item],$H853,PerBase[company_name],$B853)*V433)</f>
        <v>0</v>
      </c>
      <c r="W853" s="652">
        <f>IF($B853="",,SUMIFS(PerBase[Month 12],PerBase[exp_item],$H853,PerBase[company_name],$B853)*W433)</f>
        <v>0</v>
      </c>
      <c r="X853" s="652">
        <f>IF($B853="",,SUMIFS(PerBase[Month 13],PerBase[exp_item],$H853,PerBase[company_name],$B853)*X433)</f>
        <v>0</v>
      </c>
      <c r="Y853" s="652">
        <f>IF($B853="",,SUMIFS(PerBase[Month 14],PerBase[exp_item],$H853,PerBase[company_name],$B853)*Y433)</f>
        <v>0</v>
      </c>
      <c r="Z853" s="652">
        <f>IF($B853="",,SUMIFS(PerBase[Month 15],PerBase[exp_item],$H853,PerBase[company_name],$B853)*Z433)</f>
        <v>0</v>
      </c>
      <c r="AA853" s="652">
        <f>IF($B853="",,SUMIFS(PerBase[Month 16],PerBase[exp_item],$H853,PerBase[company_name],$B853)*AA433)</f>
        <v>0</v>
      </c>
      <c r="AB853" s="652">
        <f>IF($B853="",,SUMIFS(PerBase[Month 17],PerBase[exp_item],$H853,PerBase[company_name],$B853)*AB433)</f>
        <v>0</v>
      </c>
      <c r="AC853" s="652">
        <f>IF($B853="",,SUMIFS(PerBase[Month 18],PerBase[exp_item],$H853,PerBase[company_name],$B853)*AC433)</f>
        <v>0</v>
      </c>
      <c r="AD853" s="652">
        <f>IF($B853="",,SUMIFS(PerBase[Month 19],PerBase[exp_item],$H853,PerBase[company_name],$B853)*AD433)</f>
        <v>0</v>
      </c>
      <c r="AE853" s="652">
        <f>IF($B853="",,SUMIFS(PerBase[Month 20],PerBase[exp_item],$H853,PerBase[company_name],$B853)*AE433)</f>
        <v>0</v>
      </c>
      <c r="AF853" s="652">
        <f>IF($B853="",,SUMIFS(PerBase[Month 21],PerBase[exp_item],$H853,PerBase[company_name],$B853)*AF433)</f>
        <v>0</v>
      </c>
      <c r="AG853" s="652">
        <f>IF($B853="",,SUMIFS(PerBase[Month 22],PerBase[exp_item],$H853,PerBase[company_name],$B853)*AG433)</f>
        <v>0</v>
      </c>
      <c r="AH853" s="652">
        <f>IF($B853="",,SUMIFS(PerBase[Month 23],PerBase[exp_item],$H853,PerBase[company_name],$B853)*AH433)</f>
        <v>0</v>
      </c>
      <c r="AI853" s="652">
        <f>IF($B853="",,SUMIFS(PerBase[Month 24],PerBase[exp_item],$H853,PerBase[company_name],$B853)*AI433)</f>
        <v>0</v>
      </c>
      <c r="AJ853" s="652">
        <f>IF($B853="",,SUMIFS(PerBase[Month 25],PerBase[exp_item],$H853,PerBase[company_name],$B853)*AJ433)</f>
        <v>0</v>
      </c>
      <c r="AK853" s="652">
        <f>IF($B853="",,SUMIFS(PerBase[Month 26],PerBase[exp_item],$H853,PerBase[company_name],$B853)*AK433)</f>
        <v>0</v>
      </c>
      <c r="AL853" s="652">
        <f>IF($B853="",,SUMIFS(PerBase[Month 27],PerBase[exp_item],$H853,PerBase[company_name],$B853)*AL433)</f>
        <v>0</v>
      </c>
      <c r="AM853" s="652">
        <f>IF($B853="",,SUMIFS(PerBase[Month 28],PerBase[exp_item],$H853,PerBase[company_name],$B853)*AM433)</f>
        <v>0</v>
      </c>
      <c r="AN853" s="652">
        <f>IF($B853="",,SUMIFS(PerBase[Month 29],PerBase[exp_item],$H853,PerBase[company_name],$B853)*AN433)</f>
        <v>0</v>
      </c>
      <c r="AO853" s="652">
        <f>IF($B853="",,SUMIFS(PerBase[Month 30],PerBase[exp_item],$H853,PerBase[company_name],$B853)*AO433)</f>
        <v>0</v>
      </c>
      <c r="AP853" s="652">
        <f>IF($B853="",,SUMIFS(PerBase[Month 31],PerBase[exp_item],$H853,PerBase[company_name],$B853)*AP433)</f>
        <v>0</v>
      </c>
      <c r="AQ853" s="652">
        <f>IF($B853="",,SUMIFS(PerBase[Month 32],PerBase[exp_item],$H853,PerBase[company_name],$B853)*AQ433)</f>
        <v>0</v>
      </c>
      <c r="AR853" s="652">
        <f>IF($B853="",,SUMIFS(PerBase[Month 33],PerBase[exp_item],$H853,PerBase[company_name],$B853)*AR433)</f>
        <v>0</v>
      </c>
      <c r="AS853" s="652">
        <f>IF($B853="",,SUMIFS(PerBase[Month 34],PerBase[exp_item],$H853,PerBase[company_name],$B853)*AS433)</f>
        <v>0</v>
      </c>
      <c r="AT853" s="652">
        <f>IF($B853="",,SUMIFS(PerBase[Month 35],PerBase[exp_item],$H853,PerBase[company_name],$B853)*AT433)</f>
        <v>0</v>
      </c>
      <c r="AU853" s="652">
        <f>IF($B853="",,SUMIFS(PerBase[Month 36],PerBase[exp_item],$H853,PerBase[company_name],$B853)*AU433)</f>
        <v>0</v>
      </c>
    </row>
    <row r="854" spans="2:47" x14ac:dyDescent="0.35">
      <c r="B854" t="str">
        <f t="shared" si="480"/>
        <v/>
      </c>
      <c r="C854" t="str">
        <f t="shared" ref="C854:G854" si="486">IF(C749="","",C749)</f>
        <v/>
      </c>
      <c r="D854" t="str">
        <f t="shared" si="486"/>
        <v/>
      </c>
      <c r="E854" t="str">
        <f t="shared" si="486"/>
        <v/>
      </c>
      <c r="F854" t="str">
        <f t="shared" si="486"/>
        <v/>
      </c>
      <c r="G854" t="str">
        <f t="shared" si="486"/>
        <v/>
      </c>
      <c r="H854" t="str">
        <f t="shared" si="479"/>
        <v/>
      </c>
      <c r="J854" t="str">
        <f>IF($H854="","",IF(VLOOKUP(H854,ExpItems[],2,0),H854&amp;" - "&amp;INDEX(DivisionMapping[category_code],MATCH($D854&amp;$C854,DivisionMapping[dept_bu],0)),H854))</f>
        <v/>
      </c>
      <c r="K854" t="str">
        <f t="shared" si="447"/>
        <v/>
      </c>
      <c r="L854" s="652">
        <f>IF($B854="",,SUMIFS(PerBase[Month 1],PerBase[exp_item],$H854,PerBase[company_name],$B854)*L434)</f>
        <v>0</v>
      </c>
      <c r="M854" s="652">
        <f>IF($B854="",,SUMIFS(PerBase[Month 2],PerBase[exp_item],$H854,PerBase[company_name],$B854)*M434)</f>
        <v>0</v>
      </c>
      <c r="N854" s="652">
        <f>IF($B854="",,SUMIFS(PerBase[Month 3],PerBase[exp_item],$H854,PerBase[company_name],$B854)*N434)</f>
        <v>0</v>
      </c>
      <c r="O854" s="652">
        <f>IF($B854="",,SUMIFS(PerBase[Month 4],PerBase[exp_item],$H854,PerBase[company_name],$B854)*O434)</f>
        <v>0</v>
      </c>
      <c r="P854" s="652">
        <f>IF($B854="",,SUMIFS(PerBase[Month 5],PerBase[exp_item],$H854,PerBase[company_name],$B854)*P434)</f>
        <v>0</v>
      </c>
      <c r="Q854" s="652">
        <f>IF($B854="",,SUMIFS(PerBase[Month 6],PerBase[exp_item],$H854,PerBase[company_name],$B854)*Q434)</f>
        <v>0</v>
      </c>
      <c r="R854" s="652">
        <f>IF($B854="",,SUMIFS(PerBase[Month 7],PerBase[exp_item],$H854,PerBase[company_name],$B854)*R434)</f>
        <v>0</v>
      </c>
      <c r="S854" s="652">
        <f>IF($B854="",,SUMIFS(PerBase[Month 8],PerBase[exp_item],$H854,PerBase[company_name],$B854)*S434)</f>
        <v>0</v>
      </c>
      <c r="T854" s="652">
        <f>IF($B854="",,SUMIFS(PerBase[Month 9],PerBase[exp_item],$H854,PerBase[company_name],$B854)*T434)</f>
        <v>0</v>
      </c>
      <c r="U854" s="652">
        <f>IF($B854="",,SUMIFS(PerBase[Month 10],PerBase[exp_item],$H854,PerBase[company_name],$B854)*U434)</f>
        <v>0</v>
      </c>
      <c r="V854" s="652">
        <f>IF($B854="",,SUMIFS(PerBase[Month 11],PerBase[exp_item],$H854,PerBase[company_name],$B854)*V434)</f>
        <v>0</v>
      </c>
      <c r="W854" s="652">
        <f>IF($B854="",,SUMIFS(PerBase[Month 12],PerBase[exp_item],$H854,PerBase[company_name],$B854)*W434)</f>
        <v>0</v>
      </c>
      <c r="X854" s="652">
        <f>IF($B854="",,SUMIFS(PerBase[Month 13],PerBase[exp_item],$H854,PerBase[company_name],$B854)*X434)</f>
        <v>0</v>
      </c>
      <c r="Y854" s="652">
        <f>IF($B854="",,SUMIFS(PerBase[Month 14],PerBase[exp_item],$H854,PerBase[company_name],$B854)*Y434)</f>
        <v>0</v>
      </c>
      <c r="Z854" s="652">
        <f>IF($B854="",,SUMIFS(PerBase[Month 15],PerBase[exp_item],$H854,PerBase[company_name],$B854)*Z434)</f>
        <v>0</v>
      </c>
      <c r="AA854" s="652">
        <f>IF($B854="",,SUMIFS(PerBase[Month 16],PerBase[exp_item],$H854,PerBase[company_name],$B854)*AA434)</f>
        <v>0</v>
      </c>
      <c r="AB854" s="652">
        <f>IF($B854="",,SUMIFS(PerBase[Month 17],PerBase[exp_item],$H854,PerBase[company_name],$B854)*AB434)</f>
        <v>0</v>
      </c>
      <c r="AC854" s="652">
        <f>IF($B854="",,SUMIFS(PerBase[Month 18],PerBase[exp_item],$H854,PerBase[company_name],$B854)*AC434)</f>
        <v>0</v>
      </c>
      <c r="AD854" s="652">
        <f>IF($B854="",,SUMIFS(PerBase[Month 19],PerBase[exp_item],$H854,PerBase[company_name],$B854)*AD434)</f>
        <v>0</v>
      </c>
      <c r="AE854" s="652">
        <f>IF($B854="",,SUMIFS(PerBase[Month 20],PerBase[exp_item],$H854,PerBase[company_name],$B854)*AE434)</f>
        <v>0</v>
      </c>
      <c r="AF854" s="652">
        <f>IF($B854="",,SUMIFS(PerBase[Month 21],PerBase[exp_item],$H854,PerBase[company_name],$B854)*AF434)</f>
        <v>0</v>
      </c>
      <c r="AG854" s="652">
        <f>IF($B854="",,SUMIFS(PerBase[Month 22],PerBase[exp_item],$H854,PerBase[company_name],$B854)*AG434)</f>
        <v>0</v>
      </c>
      <c r="AH854" s="652">
        <f>IF($B854="",,SUMIFS(PerBase[Month 23],PerBase[exp_item],$H854,PerBase[company_name],$B854)*AH434)</f>
        <v>0</v>
      </c>
      <c r="AI854" s="652">
        <f>IF($B854="",,SUMIFS(PerBase[Month 24],PerBase[exp_item],$H854,PerBase[company_name],$B854)*AI434)</f>
        <v>0</v>
      </c>
      <c r="AJ854" s="652">
        <f>IF($B854="",,SUMIFS(PerBase[Month 25],PerBase[exp_item],$H854,PerBase[company_name],$B854)*AJ434)</f>
        <v>0</v>
      </c>
      <c r="AK854" s="652">
        <f>IF($B854="",,SUMIFS(PerBase[Month 26],PerBase[exp_item],$H854,PerBase[company_name],$B854)*AK434)</f>
        <v>0</v>
      </c>
      <c r="AL854" s="652">
        <f>IF($B854="",,SUMIFS(PerBase[Month 27],PerBase[exp_item],$H854,PerBase[company_name],$B854)*AL434)</f>
        <v>0</v>
      </c>
      <c r="AM854" s="652">
        <f>IF($B854="",,SUMIFS(PerBase[Month 28],PerBase[exp_item],$H854,PerBase[company_name],$B854)*AM434)</f>
        <v>0</v>
      </c>
      <c r="AN854" s="652">
        <f>IF($B854="",,SUMIFS(PerBase[Month 29],PerBase[exp_item],$H854,PerBase[company_name],$B854)*AN434)</f>
        <v>0</v>
      </c>
      <c r="AO854" s="652">
        <f>IF($B854="",,SUMIFS(PerBase[Month 30],PerBase[exp_item],$H854,PerBase[company_name],$B854)*AO434)</f>
        <v>0</v>
      </c>
      <c r="AP854" s="652">
        <f>IF($B854="",,SUMIFS(PerBase[Month 31],PerBase[exp_item],$H854,PerBase[company_name],$B854)*AP434)</f>
        <v>0</v>
      </c>
      <c r="AQ854" s="652">
        <f>IF($B854="",,SUMIFS(PerBase[Month 32],PerBase[exp_item],$H854,PerBase[company_name],$B854)*AQ434)</f>
        <v>0</v>
      </c>
      <c r="AR854" s="652">
        <f>IF($B854="",,SUMIFS(PerBase[Month 33],PerBase[exp_item],$H854,PerBase[company_name],$B854)*AR434)</f>
        <v>0</v>
      </c>
      <c r="AS854" s="652">
        <f>IF($B854="",,SUMIFS(PerBase[Month 34],PerBase[exp_item],$H854,PerBase[company_name],$B854)*AS434)</f>
        <v>0</v>
      </c>
      <c r="AT854" s="652">
        <f>IF($B854="",,SUMIFS(PerBase[Month 35],PerBase[exp_item],$H854,PerBase[company_name],$B854)*AT434)</f>
        <v>0</v>
      </c>
      <c r="AU854" s="652">
        <f>IF($B854="",,SUMIFS(PerBase[Month 36],PerBase[exp_item],$H854,PerBase[company_name],$B854)*AU434)</f>
        <v>0</v>
      </c>
    </row>
    <row r="855" spans="2:47" x14ac:dyDescent="0.35">
      <c r="B855" t="str">
        <f t="shared" si="480"/>
        <v/>
      </c>
      <c r="C855" t="str">
        <f t="shared" ref="C855:G855" si="487">IF(C750="","",C750)</f>
        <v/>
      </c>
      <c r="D855" t="str">
        <f t="shared" si="487"/>
        <v/>
      </c>
      <c r="E855" t="str">
        <f t="shared" si="487"/>
        <v/>
      </c>
      <c r="F855" t="str">
        <f t="shared" si="487"/>
        <v/>
      </c>
      <c r="G855" t="str">
        <f t="shared" si="487"/>
        <v/>
      </c>
      <c r="H855" t="str">
        <f t="shared" si="479"/>
        <v/>
      </c>
      <c r="J855" t="str">
        <f>IF($H855="","",IF(VLOOKUP(H855,ExpItems[],2,0),H855&amp;" - "&amp;INDEX(DivisionMapping[category_code],MATCH($D855&amp;$C855,DivisionMapping[dept_bu],0)),H855))</f>
        <v/>
      </c>
      <c r="K855" t="str">
        <f t="shared" si="447"/>
        <v/>
      </c>
      <c r="L855" s="652">
        <f>IF($B855="",,SUMIFS(PerBase[Month 1],PerBase[exp_item],$H855,PerBase[company_name],$B855)*L435)</f>
        <v>0</v>
      </c>
      <c r="M855" s="652">
        <f>IF($B855="",,SUMIFS(PerBase[Month 2],PerBase[exp_item],$H855,PerBase[company_name],$B855)*M435)</f>
        <v>0</v>
      </c>
      <c r="N855" s="652">
        <f>IF($B855="",,SUMIFS(PerBase[Month 3],PerBase[exp_item],$H855,PerBase[company_name],$B855)*N435)</f>
        <v>0</v>
      </c>
      <c r="O855" s="652">
        <f>IF($B855="",,SUMIFS(PerBase[Month 4],PerBase[exp_item],$H855,PerBase[company_name],$B855)*O435)</f>
        <v>0</v>
      </c>
      <c r="P855" s="652">
        <f>IF($B855="",,SUMIFS(PerBase[Month 5],PerBase[exp_item],$H855,PerBase[company_name],$B855)*P435)</f>
        <v>0</v>
      </c>
      <c r="Q855" s="652">
        <f>IF($B855="",,SUMIFS(PerBase[Month 6],PerBase[exp_item],$H855,PerBase[company_name],$B855)*Q435)</f>
        <v>0</v>
      </c>
      <c r="R855" s="652">
        <f>IF($B855="",,SUMIFS(PerBase[Month 7],PerBase[exp_item],$H855,PerBase[company_name],$B855)*R435)</f>
        <v>0</v>
      </c>
      <c r="S855" s="652">
        <f>IF($B855="",,SUMIFS(PerBase[Month 8],PerBase[exp_item],$H855,PerBase[company_name],$B855)*S435)</f>
        <v>0</v>
      </c>
      <c r="T855" s="652">
        <f>IF($B855="",,SUMIFS(PerBase[Month 9],PerBase[exp_item],$H855,PerBase[company_name],$B855)*T435)</f>
        <v>0</v>
      </c>
      <c r="U855" s="652">
        <f>IF($B855="",,SUMIFS(PerBase[Month 10],PerBase[exp_item],$H855,PerBase[company_name],$B855)*U435)</f>
        <v>0</v>
      </c>
      <c r="V855" s="652">
        <f>IF($B855="",,SUMIFS(PerBase[Month 11],PerBase[exp_item],$H855,PerBase[company_name],$B855)*V435)</f>
        <v>0</v>
      </c>
      <c r="W855" s="652">
        <f>IF($B855="",,SUMIFS(PerBase[Month 12],PerBase[exp_item],$H855,PerBase[company_name],$B855)*W435)</f>
        <v>0</v>
      </c>
      <c r="X855" s="652">
        <f>IF($B855="",,SUMIFS(PerBase[Month 13],PerBase[exp_item],$H855,PerBase[company_name],$B855)*X435)</f>
        <v>0</v>
      </c>
      <c r="Y855" s="652">
        <f>IF($B855="",,SUMIFS(PerBase[Month 14],PerBase[exp_item],$H855,PerBase[company_name],$B855)*Y435)</f>
        <v>0</v>
      </c>
      <c r="Z855" s="652">
        <f>IF($B855="",,SUMIFS(PerBase[Month 15],PerBase[exp_item],$H855,PerBase[company_name],$B855)*Z435)</f>
        <v>0</v>
      </c>
      <c r="AA855" s="652">
        <f>IF($B855="",,SUMIFS(PerBase[Month 16],PerBase[exp_item],$H855,PerBase[company_name],$B855)*AA435)</f>
        <v>0</v>
      </c>
      <c r="AB855" s="652">
        <f>IF($B855="",,SUMIFS(PerBase[Month 17],PerBase[exp_item],$H855,PerBase[company_name],$B855)*AB435)</f>
        <v>0</v>
      </c>
      <c r="AC855" s="652">
        <f>IF($B855="",,SUMIFS(PerBase[Month 18],PerBase[exp_item],$H855,PerBase[company_name],$B855)*AC435)</f>
        <v>0</v>
      </c>
      <c r="AD855" s="652">
        <f>IF($B855="",,SUMIFS(PerBase[Month 19],PerBase[exp_item],$H855,PerBase[company_name],$B855)*AD435)</f>
        <v>0</v>
      </c>
      <c r="AE855" s="652">
        <f>IF($B855="",,SUMIFS(PerBase[Month 20],PerBase[exp_item],$H855,PerBase[company_name],$B855)*AE435)</f>
        <v>0</v>
      </c>
      <c r="AF855" s="652">
        <f>IF($B855="",,SUMIFS(PerBase[Month 21],PerBase[exp_item],$H855,PerBase[company_name],$B855)*AF435)</f>
        <v>0</v>
      </c>
      <c r="AG855" s="652">
        <f>IF($B855="",,SUMIFS(PerBase[Month 22],PerBase[exp_item],$H855,PerBase[company_name],$B855)*AG435)</f>
        <v>0</v>
      </c>
      <c r="AH855" s="652">
        <f>IF($B855="",,SUMIFS(PerBase[Month 23],PerBase[exp_item],$H855,PerBase[company_name],$B855)*AH435)</f>
        <v>0</v>
      </c>
      <c r="AI855" s="652">
        <f>IF($B855="",,SUMIFS(PerBase[Month 24],PerBase[exp_item],$H855,PerBase[company_name],$B855)*AI435)</f>
        <v>0</v>
      </c>
      <c r="AJ855" s="652">
        <f>IF($B855="",,SUMIFS(PerBase[Month 25],PerBase[exp_item],$H855,PerBase[company_name],$B855)*AJ435)</f>
        <v>0</v>
      </c>
      <c r="AK855" s="652">
        <f>IF($B855="",,SUMIFS(PerBase[Month 26],PerBase[exp_item],$H855,PerBase[company_name],$B855)*AK435)</f>
        <v>0</v>
      </c>
      <c r="AL855" s="652">
        <f>IF($B855="",,SUMIFS(PerBase[Month 27],PerBase[exp_item],$H855,PerBase[company_name],$B855)*AL435)</f>
        <v>0</v>
      </c>
      <c r="AM855" s="652">
        <f>IF($B855="",,SUMIFS(PerBase[Month 28],PerBase[exp_item],$H855,PerBase[company_name],$B855)*AM435)</f>
        <v>0</v>
      </c>
      <c r="AN855" s="652">
        <f>IF($B855="",,SUMIFS(PerBase[Month 29],PerBase[exp_item],$H855,PerBase[company_name],$B855)*AN435)</f>
        <v>0</v>
      </c>
      <c r="AO855" s="652">
        <f>IF($B855="",,SUMIFS(PerBase[Month 30],PerBase[exp_item],$H855,PerBase[company_name],$B855)*AO435)</f>
        <v>0</v>
      </c>
      <c r="AP855" s="652">
        <f>IF($B855="",,SUMIFS(PerBase[Month 31],PerBase[exp_item],$H855,PerBase[company_name],$B855)*AP435)</f>
        <v>0</v>
      </c>
      <c r="AQ855" s="652">
        <f>IF($B855="",,SUMIFS(PerBase[Month 32],PerBase[exp_item],$H855,PerBase[company_name],$B855)*AQ435)</f>
        <v>0</v>
      </c>
      <c r="AR855" s="652">
        <f>IF($B855="",,SUMIFS(PerBase[Month 33],PerBase[exp_item],$H855,PerBase[company_name],$B855)*AR435)</f>
        <v>0</v>
      </c>
      <c r="AS855" s="652">
        <f>IF($B855="",,SUMIFS(PerBase[Month 34],PerBase[exp_item],$H855,PerBase[company_name],$B855)*AS435)</f>
        <v>0</v>
      </c>
      <c r="AT855" s="652">
        <f>IF($B855="",,SUMIFS(PerBase[Month 35],PerBase[exp_item],$H855,PerBase[company_name],$B855)*AT435)</f>
        <v>0</v>
      </c>
      <c r="AU855" s="652">
        <f>IF($B855="",,SUMIFS(PerBase[Month 36],PerBase[exp_item],$H855,PerBase[company_name],$B855)*AU435)</f>
        <v>0</v>
      </c>
    </row>
    <row r="856" spans="2:47" x14ac:dyDescent="0.35">
      <c r="B856" t="str">
        <f t="shared" si="480"/>
        <v/>
      </c>
      <c r="C856" t="str">
        <f t="shared" ref="C856:G856" si="488">IF(C751="","",C751)</f>
        <v/>
      </c>
      <c r="D856" t="str">
        <f t="shared" si="488"/>
        <v/>
      </c>
      <c r="E856" t="str">
        <f t="shared" si="488"/>
        <v/>
      </c>
      <c r="F856" t="str">
        <f t="shared" si="488"/>
        <v/>
      </c>
      <c r="G856" t="str">
        <f t="shared" si="488"/>
        <v/>
      </c>
      <c r="H856" t="str">
        <f t="shared" si="479"/>
        <v/>
      </c>
      <c r="J856" t="str">
        <f>IF($H856="","",IF(VLOOKUP(H856,ExpItems[],2,0),H856&amp;" - "&amp;INDEX(DivisionMapping[category_code],MATCH($D856&amp;$C856,DivisionMapping[dept_bu],0)),H856))</f>
        <v/>
      </c>
      <c r="K856" t="str">
        <f t="shared" si="447"/>
        <v/>
      </c>
      <c r="L856" s="652">
        <f>IF($B856="",,SUMIFS(PerBase[Month 1],PerBase[exp_item],$H856,PerBase[company_name],$B856)*L436)</f>
        <v>0</v>
      </c>
      <c r="M856" s="652">
        <f>IF($B856="",,SUMIFS(PerBase[Month 2],PerBase[exp_item],$H856,PerBase[company_name],$B856)*M436)</f>
        <v>0</v>
      </c>
      <c r="N856" s="652">
        <f>IF($B856="",,SUMIFS(PerBase[Month 3],PerBase[exp_item],$H856,PerBase[company_name],$B856)*N436)</f>
        <v>0</v>
      </c>
      <c r="O856" s="652">
        <f>IF($B856="",,SUMIFS(PerBase[Month 4],PerBase[exp_item],$H856,PerBase[company_name],$B856)*O436)</f>
        <v>0</v>
      </c>
      <c r="P856" s="652">
        <f>IF($B856="",,SUMIFS(PerBase[Month 5],PerBase[exp_item],$H856,PerBase[company_name],$B856)*P436)</f>
        <v>0</v>
      </c>
      <c r="Q856" s="652">
        <f>IF($B856="",,SUMIFS(PerBase[Month 6],PerBase[exp_item],$H856,PerBase[company_name],$B856)*Q436)</f>
        <v>0</v>
      </c>
      <c r="R856" s="652">
        <f>IF($B856="",,SUMIFS(PerBase[Month 7],PerBase[exp_item],$H856,PerBase[company_name],$B856)*R436)</f>
        <v>0</v>
      </c>
      <c r="S856" s="652">
        <f>IF($B856="",,SUMIFS(PerBase[Month 8],PerBase[exp_item],$H856,PerBase[company_name],$B856)*S436)</f>
        <v>0</v>
      </c>
      <c r="T856" s="652">
        <f>IF($B856="",,SUMIFS(PerBase[Month 9],PerBase[exp_item],$H856,PerBase[company_name],$B856)*T436)</f>
        <v>0</v>
      </c>
      <c r="U856" s="652">
        <f>IF($B856="",,SUMIFS(PerBase[Month 10],PerBase[exp_item],$H856,PerBase[company_name],$B856)*U436)</f>
        <v>0</v>
      </c>
      <c r="V856" s="652">
        <f>IF($B856="",,SUMIFS(PerBase[Month 11],PerBase[exp_item],$H856,PerBase[company_name],$B856)*V436)</f>
        <v>0</v>
      </c>
      <c r="W856" s="652">
        <f>IF($B856="",,SUMIFS(PerBase[Month 12],PerBase[exp_item],$H856,PerBase[company_name],$B856)*W436)</f>
        <v>0</v>
      </c>
      <c r="X856" s="652">
        <f>IF($B856="",,SUMIFS(PerBase[Month 13],PerBase[exp_item],$H856,PerBase[company_name],$B856)*X436)</f>
        <v>0</v>
      </c>
      <c r="Y856" s="652">
        <f>IF($B856="",,SUMIFS(PerBase[Month 14],PerBase[exp_item],$H856,PerBase[company_name],$B856)*Y436)</f>
        <v>0</v>
      </c>
      <c r="Z856" s="652">
        <f>IF($B856="",,SUMIFS(PerBase[Month 15],PerBase[exp_item],$H856,PerBase[company_name],$B856)*Z436)</f>
        <v>0</v>
      </c>
      <c r="AA856" s="652">
        <f>IF($B856="",,SUMIFS(PerBase[Month 16],PerBase[exp_item],$H856,PerBase[company_name],$B856)*AA436)</f>
        <v>0</v>
      </c>
      <c r="AB856" s="652">
        <f>IF($B856="",,SUMIFS(PerBase[Month 17],PerBase[exp_item],$H856,PerBase[company_name],$B856)*AB436)</f>
        <v>0</v>
      </c>
      <c r="AC856" s="652">
        <f>IF($B856="",,SUMIFS(PerBase[Month 18],PerBase[exp_item],$H856,PerBase[company_name],$B856)*AC436)</f>
        <v>0</v>
      </c>
      <c r="AD856" s="652">
        <f>IF($B856="",,SUMIFS(PerBase[Month 19],PerBase[exp_item],$H856,PerBase[company_name],$B856)*AD436)</f>
        <v>0</v>
      </c>
      <c r="AE856" s="652">
        <f>IF($B856="",,SUMIFS(PerBase[Month 20],PerBase[exp_item],$H856,PerBase[company_name],$B856)*AE436)</f>
        <v>0</v>
      </c>
      <c r="AF856" s="652">
        <f>IF($B856="",,SUMIFS(PerBase[Month 21],PerBase[exp_item],$H856,PerBase[company_name],$B856)*AF436)</f>
        <v>0</v>
      </c>
      <c r="AG856" s="652">
        <f>IF($B856="",,SUMIFS(PerBase[Month 22],PerBase[exp_item],$H856,PerBase[company_name],$B856)*AG436)</f>
        <v>0</v>
      </c>
      <c r="AH856" s="652">
        <f>IF($B856="",,SUMIFS(PerBase[Month 23],PerBase[exp_item],$H856,PerBase[company_name],$B856)*AH436)</f>
        <v>0</v>
      </c>
      <c r="AI856" s="652">
        <f>IF($B856="",,SUMIFS(PerBase[Month 24],PerBase[exp_item],$H856,PerBase[company_name],$B856)*AI436)</f>
        <v>0</v>
      </c>
      <c r="AJ856" s="652">
        <f>IF($B856="",,SUMIFS(PerBase[Month 25],PerBase[exp_item],$H856,PerBase[company_name],$B856)*AJ436)</f>
        <v>0</v>
      </c>
      <c r="AK856" s="652">
        <f>IF($B856="",,SUMIFS(PerBase[Month 26],PerBase[exp_item],$H856,PerBase[company_name],$B856)*AK436)</f>
        <v>0</v>
      </c>
      <c r="AL856" s="652">
        <f>IF($B856="",,SUMIFS(PerBase[Month 27],PerBase[exp_item],$H856,PerBase[company_name],$B856)*AL436)</f>
        <v>0</v>
      </c>
      <c r="AM856" s="652">
        <f>IF($B856="",,SUMIFS(PerBase[Month 28],PerBase[exp_item],$H856,PerBase[company_name],$B856)*AM436)</f>
        <v>0</v>
      </c>
      <c r="AN856" s="652">
        <f>IF($B856="",,SUMIFS(PerBase[Month 29],PerBase[exp_item],$H856,PerBase[company_name],$B856)*AN436)</f>
        <v>0</v>
      </c>
      <c r="AO856" s="652">
        <f>IF($B856="",,SUMIFS(PerBase[Month 30],PerBase[exp_item],$H856,PerBase[company_name],$B856)*AO436)</f>
        <v>0</v>
      </c>
      <c r="AP856" s="652">
        <f>IF($B856="",,SUMIFS(PerBase[Month 31],PerBase[exp_item],$H856,PerBase[company_name],$B856)*AP436)</f>
        <v>0</v>
      </c>
      <c r="AQ856" s="652">
        <f>IF($B856="",,SUMIFS(PerBase[Month 32],PerBase[exp_item],$H856,PerBase[company_name],$B856)*AQ436)</f>
        <v>0</v>
      </c>
      <c r="AR856" s="652">
        <f>IF($B856="",,SUMIFS(PerBase[Month 33],PerBase[exp_item],$H856,PerBase[company_name],$B856)*AR436)</f>
        <v>0</v>
      </c>
      <c r="AS856" s="652">
        <f>IF($B856="",,SUMIFS(PerBase[Month 34],PerBase[exp_item],$H856,PerBase[company_name],$B856)*AS436)</f>
        <v>0</v>
      </c>
      <c r="AT856" s="652">
        <f>IF($B856="",,SUMIFS(PerBase[Month 35],PerBase[exp_item],$H856,PerBase[company_name],$B856)*AT436)</f>
        <v>0</v>
      </c>
      <c r="AU856" s="652">
        <f>IF($B856="",,SUMIFS(PerBase[Month 36],PerBase[exp_item],$H856,PerBase[company_name],$B856)*AU436)</f>
        <v>0</v>
      </c>
    </row>
    <row r="857" spans="2:47" x14ac:dyDescent="0.35">
      <c r="B857" t="str">
        <f t="shared" si="480"/>
        <v/>
      </c>
      <c r="C857" t="str">
        <f t="shared" ref="C857:G857" si="489">IF(C752="","",C752)</f>
        <v/>
      </c>
      <c r="D857" t="str">
        <f t="shared" si="489"/>
        <v/>
      </c>
      <c r="E857" t="str">
        <f t="shared" si="489"/>
        <v/>
      </c>
      <c r="F857" t="str">
        <f t="shared" si="489"/>
        <v/>
      </c>
      <c r="G857" t="str">
        <f t="shared" si="489"/>
        <v/>
      </c>
      <c r="H857" t="str">
        <f t="shared" si="479"/>
        <v/>
      </c>
      <c r="J857" t="str">
        <f>IF($H857="","",IF(VLOOKUP(H857,ExpItems[],2,0),H857&amp;" - "&amp;INDEX(DivisionMapping[category_code],MATCH($D857&amp;$C857,DivisionMapping[dept_bu],0)),H857))</f>
        <v/>
      </c>
      <c r="K857" t="str">
        <f t="shared" si="447"/>
        <v/>
      </c>
      <c r="L857" s="652">
        <f>IF($B857="",,SUMIFS(PerBase[Month 1],PerBase[exp_item],$H857,PerBase[company_name],$B857)*L437)</f>
        <v>0</v>
      </c>
      <c r="M857" s="652">
        <f>IF($B857="",,SUMIFS(PerBase[Month 2],PerBase[exp_item],$H857,PerBase[company_name],$B857)*M437)</f>
        <v>0</v>
      </c>
      <c r="N857" s="652">
        <f>IF($B857="",,SUMIFS(PerBase[Month 3],PerBase[exp_item],$H857,PerBase[company_name],$B857)*N437)</f>
        <v>0</v>
      </c>
      <c r="O857" s="652">
        <f>IF($B857="",,SUMIFS(PerBase[Month 4],PerBase[exp_item],$H857,PerBase[company_name],$B857)*O437)</f>
        <v>0</v>
      </c>
      <c r="P857" s="652">
        <f>IF($B857="",,SUMIFS(PerBase[Month 5],PerBase[exp_item],$H857,PerBase[company_name],$B857)*P437)</f>
        <v>0</v>
      </c>
      <c r="Q857" s="652">
        <f>IF($B857="",,SUMIFS(PerBase[Month 6],PerBase[exp_item],$H857,PerBase[company_name],$B857)*Q437)</f>
        <v>0</v>
      </c>
      <c r="R857" s="652">
        <f>IF($B857="",,SUMIFS(PerBase[Month 7],PerBase[exp_item],$H857,PerBase[company_name],$B857)*R437)</f>
        <v>0</v>
      </c>
      <c r="S857" s="652">
        <f>IF($B857="",,SUMIFS(PerBase[Month 8],PerBase[exp_item],$H857,PerBase[company_name],$B857)*S437)</f>
        <v>0</v>
      </c>
      <c r="T857" s="652">
        <f>IF($B857="",,SUMIFS(PerBase[Month 9],PerBase[exp_item],$H857,PerBase[company_name],$B857)*T437)</f>
        <v>0</v>
      </c>
      <c r="U857" s="652">
        <f>IF($B857="",,SUMIFS(PerBase[Month 10],PerBase[exp_item],$H857,PerBase[company_name],$B857)*U437)</f>
        <v>0</v>
      </c>
      <c r="V857" s="652">
        <f>IF($B857="",,SUMIFS(PerBase[Month 11],PerBase[exp_item],$H857,PerBase[company_name],$B857)*V437)</f>
        <v>0</v>
      </c>
      <c r="W857" s="652">
        <f>IF($B857="",,SUMIFS(PerBase[Month 12],PerBase[exp_item],$H857,PerBase[company_name],$B857)*W437)</f>
        <v>0</v>
      </c>
      <c r="X857" s="652">
        <f>IF($B857="",,SUMIFS(PerBase[Month 13],PerBase[exp_item],$H857,PerBase[company_name],$B857)*X437)</f>
        <v>0</v>
      </c>
      <c r="Y857" s="652">
        <f>IF($B857="",,SUMIFS(PerBase[Month 14],PerBase[exp_item],$H857,PerBase[company_name],$B857)*Y437)</f>
        <v>0</v>
      </c>
      <c r="Z857" s="652">
        <f>IF($B857="",,SUMIFS(PerBase[Month 15],PerBase[exp_item],$H857,PerBase[company_name],$B857)*Z437)</f>
        <v>0</v>
      </c>
      <c r="AA857" s="652">
        <f>IF($B857="",,SUMIFS(PerBase[Month 16],PerBase[exp_item],$H857,PerBase[company_name],$B857)*AA437)</f>
        <v>0</v>
      </c>
      <c r="AB857" s="652">
        <f>IF($B857="",,SUMIFS(PerBase[Month 17],PerBase[exp_item],$H857,PerBase[company_name],$B857)*AB437)</f>
        <v>0</v>
      </c>
      <c r="AC857" s="652">
        <f>IF($B857="",,SUMIFS(PerBase[Month 18],PerBase[exp_item],$H857,PerBase[company_name],$B857)*AC437)</f>
        <v>0</v>
      </c>
      <c r="AD857" s="652">
        <f>IF($B857="",,SUMIFS(PerBase[Month 19],PerBase[exp_item],$H857,PerBase[company_name],$B857)*AD437)</f>
        <v>0</v>
      </c>
      <c r="AE857" s="652">
        <f>IF($B857="",,SUMIFS(PerBase[Month 20],PerBase[exp_item],$H857,PerBase[company_name],$B857)*AE437)</f>
        <v>0</v>
      </c>
      <c r="AF857" s="652">
        <f>IF($B857="",,SUMIFS(PerBase[Month 21],PerBase[exp_item],$H857,PerBase[company_name],$B857)*AF437)</f>
        <v>0</v>
      </c>
      <c r="AG857" s="652">
        <f>IF($B857="",,SUMIFS(PerBase[Month 22],PerBase[exp_item],$H857,PerBase[company_name],$B857)*AG437)</f>
        <v>0</v>
      </c>
      <c r="AH857" s="652">
        <f>IF($B857="",,SUMIFS(PerBase[Month 23],PerBase[exp_item],$H857,PerBase[company_name],$B857)*AH437)</f>
        <v>0</v>
      </c>
      <c r="AI857" s="652">
        <f>IF($B857="",,SUMIFS(PerBase[Month 24],PerBase[exp_item],$H857,PerBase[company_name],$B857)*AI437)</f>
        <v>0</v>
      </c>
      <c r="AJ857" s="652">
        <f>IF($B857="",,SUMIFS(PerBase[Month 25],PerBase[exp_item],$H857,PerBase[company_name],$B857)*AJ437)</f>
        <v>0</v>
      </c>
      <c r="AK857" s="652">
        <f>IF($B857="",,SUMIFS(PerBase[Month 26],PerBase[exp_item],$H857,PerBase[company_name],$B857)*AK437)</f>
        <v>0</v>
      </c>
      <c r="AL857" s="652">
        <f>IF($B857="",,SUMIFS(PerBase[Month 27],PerBase[exp_item],$H857,PerBase[company_name],$B857)*AL437)</f>
        <v>0</v>
      </c>
      <c r="AM857" s="652">
        <f>IF($B857="",,SUMIFS(PerBase[Month 28],PerBase[exp_item],$H857,PerBase[company_name],$B857)*AM437)</f>
        <v>0</v>
      </c>
      <c r="AN857" s="652">
        <f>IF($B857="",,SUMIFS(PerBase[Month 29],PerBase[exp_item],$H857,PerBase[company_name],$B857)*AN437)</f>
        <v>0</v>
      </c>
      <c r="AO857" s="652">
        <f>IF($B857="",,SUMIFS(PerBase[Month 30],PerBase[exp_item],$H857,PerBase[company_name],$B857)*AO437)</f>
        <v>0</v>
      </c>
      <c r="AP857" s="652">
        <f>IF($B857="",,SUMIFS(PerBase[Month 31],PerBase[exp_item],$H857,PerBase[company_name],$B857)*AP437)</f>
        <v>0</v>
      </c>
      <c r="AQ857" s="652">
        <f>IF($B857="",,SUMIFS(PerBase[Month 32],PerBase[exp_item],$H857,PerBase[company_name],$B857)*AQ437)</f>
        <v>0</v>
      </c>
      <c r="AR857" s="652">
        <f>IF($B857="",,SUMIFS(PerBase[Month 33],PerBase[exp_item],$H857,PerBase[company_name],$B857)*AR437)</f>
        <v>0</v>
      </c>
      <c r="AS857" s="652">
        <f>IF($B857="",,SUMIFS(PerBase[Month 34],PerBase[exp_item],$H857,PerBase[company_name],$B857)*AS437)</f>
        <v>0</v>
      </c>
      <c r="AT857" s="652">
        <f>IF($B857="",,SUMIFS(PerBase[Month 35],PerBase[exp_item],$H857,PerBase[company_name],$B857)*AT437)</f>
        <v>0</v>
      </c>
      <c r="AU857" s="652">
        <f>IF($B857="",,SUMIFS(PerBase[Month 36],PerBase[exp_item],$H857,PerBase[company_name],$B857)*AU437)</f>
        <v>0</v>
      </c>
    </row>
    <row r="858" spans="2:47" x14ac:dyDescent="0.35">
      <c r="B858" t="str">
        <f t="shared" si="480"/>
        <v/>
      </c>
      <c r="C858" t="str">
        <f t="shared" ref="C858:G858" si="490">IF(C753="","",C753)</f>
        <v/>
      </c>
      <c r="D858" t="str">
        <f t="shared" si="490"/>
        <v/>
      </c>
      <c r="E858" t="str">
        <f t="shared" si="490"/>
        <v/>
      </c>
      <c r="F858" t="str">
        <f t="shared" si="490"/>
        <v/>
      </c>
      <c r="G858" t="str">
        <f t="shared" si="490"/>
        <v/>
      </c>
      <c r="H858" t="str">
        <f t="shared" si="479"/>
        <v/>
      </c>
      <c r="J858" t="str">
        <f>IF($H858="","",IF(VLOOKUP(H858,ExpItems[],2,0),H858&amp;" - "&amp;INDEX(DivisionMapping[category_code],MATCH($D858&amp;$C858,DivisionMapping[dept_bu],0)),H858))</f>
        <v/>
      </c>
      <c r="K858" t="str">
        <f t="shared" si="447"/>
        <v/>
      </c>
      <c r="L858" s="652">
        <f>IF($B858="",,SUMIFS(PerBase[Month 1],PerBase[exp_item],$H858,PerBase[company_name],$B858)*L438)</f>
        <v>0</v>
      </c>
      <c r="M858" s="652">
        <f>IF($B858="",,SUMIFS(PerBase[Month 2],PerBase[exp_item],$H858,PerBase[company_name],$B858)*M438)</f>
        <v>0</v>
      </c>
      <c r="N858" s="652">
        <f>IF($B858="",,SUMIFS(PerBase[Month 3],PerBase[exp_item],$H858,PerBase[company_name],$B858)*N438)</f>
        <v>0</v>
      </c>
      <c r="O858" s="652">
        <f>IF($B858="",,SUMIFS(PerBase[Month 4],PerBase[exp_item],$H858,PerBase[company_name],$B858)*O438)</f>
        <v>0</v>
      </c>
      <c r="P858" s="652">
        <f>IF($B858="",,SUMIFS(PerBase[Month 5],PerBase[exp_item],$H858,PerBase[company_name],$B858)*P438)</f>
        <v>0</v>
      </c>
      <c r="Q858" s="652">
        <f>IF($B858="",,SUMIFS(PerBase[Month 6],PerBase[exp_item],$H858,PerBase[company_name],$B858)*Q438)</f>
        <v>0</v>
      </c>
      <c r="R858" s="652">
        <f>IF($B858="",,SUMIFS(PerBase[Month 7],PerBase[exp_item],$H858,PerBase[company_name],$B858)*R438)</f>
        <v>0</v>
      </c>
      <c r="S858" s="652">
        <f>IF($B858="",,SUMIFS(PerBase[Month 8],PerBase[exp_item],$H858,PerBase[company_name],$B858)*S438)</f>
        <v>0</v>
      </c>
      <c r="T858" s="652">
        <f>IF($B858="",,SUMIFS(PerBase[Month 9],PerBase[exp_item],$H858,PerBase[company_name],$B858)*T438)</f>
        <v>0</v>
      </c>
      <c r="U858" s="652">
        <f>IF($B858="",,SUMIFS(PerBase[Month 10],PerBase[exp_item],$H858,PerBase[company_name],$B858)*U438)</f>
        <v>0</v>
      </c>
      <c r="V858" s="652">
        <f>IF($B858="",,SUMIFS(PerBase[Month 11],PerBase[exp_item],$H858,PerBase[company_name],$B858)*V438)</f>
        <v>0</v>
      </c>
      <c r="W858" s="652">
        <f>IF($B858="",,SUMIFS(PerBase[Month 12],PerBase[exp_item],$H858,PerBase[company_name],$B858)*W438)</f>
        <v>0</v>
      </c>
      <c r="X858" s="652">
        <f>IF($B858="",,SUMIFS(PerBase[Month 13],PerBase[exp_item],$H858,PerBase[company_name],$B858)*X438)</f>
        <v>0</v>
      </c>
      <c r="Y858" s="652">
        <f>IF($B858="",,SUMIFS(PerBase[Month 14],PerBase[exp_item],$H858,PerBase[company_name],$B858)*Y438)</f>
        <v>0</v>
      </c>
      <c r="Z858" s="652">
        <f>IF($B858="",,SUMIFS(PerBase[Month 15],PerBase[exp_item],$H858,PerBase[company_name],$B858)*Z438)</f>
        <v>0</v>
      </c>
      <c r="AA858" s="652">
        <f>IF($B858="",,SUMIFS(PerBase[Month 16],PerBase[exp_item],$H858,PerBase[company_name],$B858)*AA438)</f>
        <v>0</v>
      </c>
      <c r="AB858" s="652">
        <f>IF($B858="",,SUMIFS(PerBase[Month 17],PerBase[exp_item],$H858,PerBase[company_name],$B858)*AB438)</f>
        <v>0</v>
      </c>
      <c r="AC858" s="652">
        <f>IF($B858="",,SUMIFS(PerBase[Month 18],PerBase[exp_item],$H858,PerBase[company_name],$B858)*AC438)</f>
        <v>0</v>
      </c>
      <c r="AD858" s="652">
        <f>IF($B858="",,SUMIFS(PerBase[Month 19],PerBase[exp_item],$H858,PerBase[company_name],$B858)*AD438)</f>
        <v>0</v>
      </c>
      <c r="AE858" s="652">
        <f>IF($B858="",,SUMIFS(PerBase[Month 20],PerBase[exp_item],$H858,PerBase[company_name],$B858)*AE438)</f>
        <v>0</v>
      </c>
      <c r="AF858" s="652">
        <f>IF($B858="",,SUMIFS(PerBase[Month 21],PerBase[exp_item],$H858,PerBase[company_name],$B858)*AF438)</f>
        <v>0</v>
      </c>
      <c r="AG858" s="652">
        <f>IF($B858="",,SUMIFS(PerBase[Month 22],PerBase[exp_item],$H858,PerBase[company_name],$B858)*AG438)</f>
        <v>0</v>
      </c>
      <c r="AH858" s="652">
        <f>IF($B858="",,SUMIFS(PerBase[Month 23],PerBase[exp_item],$H858,PerBase[company_name],$B858)*AH438)</f>
        <v>0</v>
      </c>
      <c r="AI858" s="652">
        <f>IF($B858="",,SUMIFS(PerBase[Month 24],PerBase[exp_item],$H858,PerBase[company_name],$B858)*AI438)</f>
        <v>0</v>
      </c>
      <c r="AJ858" s="652">
        <f>IF($B858="",,SUMIFS(PerBase[Month 25],PerBase[exp_item],$H858,PerBase[company_name],$B858)*AJ438)</f>
        <v>0</v>
      </c>
      <c r="AK858" s="652">
        <f>IF($B858="",,SUMIFS(PerBase[Month 26],PerBase[exp_item],$H858,PerBase[company_name],$B858)*AK438)</f>
        <v>0</v>
      </c>
      <c r="AL858" s="652">
        <f>IF($B858="",,SUMIFS(PerBase[Month 27],PerBase[exp_item],$H858,PerBase[company_name],$B858)*AL438)</f>
        <v>0</v>
      </c>
      <c r="AM858" s="652">
        <f>IF($B858="",,SUMIFS(PerBase[Month 28],PerBase[exp_item],$H858,PerBase[company_name],$B858)*AM438)</f>
        <v>0</v>
      </c>
      <c r="AN858" s="652">
        <f>IF($B858="",,SUMIFS(PerBase[Month 29],PerBase[exp_item],$H858,PerBase[company_name],$B858)*AN438)</f>
        <v>0</v>
      </c>
      <c r="AO858" s="652">
        <f>IF($B858="",,SUMIFS(PerBase[Month 30],PerBase[exp_item],$H858,PerBase[company_name],$B858)*AO438)</f>
        <v>0</v>
      </c>
      <c r="AP858" s="652">
        <f>IF($B858="",,SUMIFS(PerBase[Month 31],PerBase[exp_item],$H858,PerBase[company_name],$B858)*AP438)</f>
        <v>0</v>
      </c>
      <c r="AQ858" s="652">
        <f>IF($B858="",,SUMIFS(PerBase[Month 32],PerBase[exp_item],$H858,PerBase[company_name],$B858)*AQ438)</f>
        <v>0</v>
      </c>
      <c r="AR858" s="652">
        <f>IF($B858="",,SUMIFS(PerBase[Month 33],PerBase[exp_item],$H858,PerBase[company_name],$B858)*AR438)</f>
        <v>0</v>
      </c>
      <c r="AS858" s="652">
        <f>IF($B858="",,SUMIFS(PerBase[Month 34],PerBase[exp_item],$H858,PerBase[company_name],$B858)*AS438)</f>
        <v>0</v>
      </c>
      <c r="AT858" s="652">
        <f>IF($B858="",,SUMIFS(PerBase[Month 35],PerBase[exp_item],$H858,PerBase[company_name],$B858)*AT438)</f>
        <v>0</v>
      </c>
      <c r="AU858" s="652">
        <f>IF($B858="",,SUMIFS(PerBase[Month 36],PerBase[exp_item],$H858,PerBase[company_name],$B858)*AU438)</f>
        <v>0</v>
      </c>
    </row>
    <row r="859" spans="2:47" x14ac:dyDescent="0.35">
      <c r="B859" t="str">
        <f t="shared" si="480"/>
        <v/>
      </c>
      <c r="C859" t="str">
        <f t="shared" ref="C859:G859" si="491">IF(C754="","",C754)</f>
        <v/>
      </c>
      <c r="D859" t="str">
        <f t="shared" si="491"/>
        <v/>
      </c>
      <c r="E859" t="str">
        <f t="shared" si="491"/>
        <v/>
      </c>
      <c r="F859" t="str">
        <f t="shared" si="491"/>
        <v/>
      </c>
      <c r="G859" t="str">
        <f t="shared" si="491"/>
        <v/>
      </c>
      <c r="H859" t="str">
        <f t="shared" si="479"/>
        <v/>
      </c>
      <c r="J859" t="str">
        <f>IF($H859="","",IF(VLOOKUP(H859,ExpItems[],2,0),H859&amp;" - "&amp;INDEX(DivisionMapping[category_code],MATCH($D859&amp;$C859,DivisionMapping[dept_bu],0)),H859))</f>
        <v/>
      </c>
      <c r="K859" t="str">
        <f t="shared" si="447"/>
        <v/>
      </c>
      <c r="L859" s="652">
        <f>IF($B859="",,SUMIFS(PerBase[Month 1],PerBase[exp_item],$H859,PerBase[company_name],$B859)*L439)</f>
        <v>0</v>
      </c>
      <c r="M859" s="652">
        <f>IF($B859="",,SUMIFS(PerBase[Month 2],PerBase[exp_item],$H859,PerBase[company_name],$B859)*M439)</f>
        <v>0</v>
      </c>
      <c r="N859" s="652">
        <f>IF($B859="",,SUMIFS(PerBase[Month 3],PerBase[exp_item],$H859,PerBase[company_name],$B859)*N439)</f>
        <v>0</v>
      </c>
      <c r="O859" s="652">
        <f>IF($B859="",,SUMIFS(PerBase[Month 4],PerBase[exp_item],$H859,PerBase[company_name],$B859)*O439)</f>
        <v>0</v>
      </c>
      <c r="P859" s="652">
        <f>IF($B859="",,SUMIFS(PerBase[Month 5],PerBase[exp_item],$H859,PerBase[company_name],$B859)*P439)</f>
        <v>0</v>
      </c>
      <c r="Q859" s="652">
        <f>IF($B859="",,SUMIFS(PerBase[Month 6],PerBase[exp_item],$H859,PerBase[company_name],$B859)*Q439)</f>
        <v>0</v>
      </c>
      <c r="R859" s="652">
        <f>IF($B859="",,SUMIFS(PerBase[Month 7],PerBase[exp_item],$H859,PerBase[company_name],$B859)*R439)</f>
        <v>0</v>
      </c>
      <c r="S859" s="652">
        <f>IF($B859="",,SUMIFS(PerBase[Month 8],PerBase[exp_item],$H859,PerBase[company_name],$B859)*S439)</f>
        <v>0</v>
      </c>
      <c r="T859" s="652">
        <f>IF($B859="",,SUMIFS(PerBase[Month 9],PerBase[exp_item],$H859,PerBase[company_name],$B859)*T439)</f>
        <v>0</v>
      </c>
      <c r="U859" s="652">
        <f>IF($B859="",,SUMIFS(PerBase[Month 10],PerBase[exp_item],$H859,PerBase[company_name],$B859)*U439)</f>
        <v>0</v>
      </c>
      <c r="V859" s="652">
        <f>IF($B859="",,SUMIFS(PerBase[Month 11],PerBase[exp_item],$H859,PerBase[company_name],$B859)*V439)</f>
        <v>0</v>
      </c>
      <c r="W859" s="652">
        <f>IF($B859="",,SUMIFS(PerBase[Month 12],PerBase[exp_item],$H859,PerBase[company_name],$B859)*W439)</f>
        <v>0</v>
      </c>
      <c r="X859" s="652">
        <f>IF($B859="",,SUMIFS(PerBase[Month 13],PerBase[exp_item],$H859,PerBase[company_name],$B859)*X439)</f>
        <v>0</v>
      </c>
      <c r="Y859" s="652">
        <f>IF($B859="",,SUMIFS(PerBase[Month 14],PerBase[exp_item],$H859,PerBase[company_name],$B859)*Y439)</f>
        <v>0</v>
      </c>
      <c r="Z859" s="652">
        <f>IF($B859="",,SUMIFS(PerBase[Month 15],PerBase[exp_item],$H859,PerBase[company_name],$B859)*Z439)</f>
        <v>0</v>
      </c>
      <c r="AA859" s="652">
        <f>IF($B859="",,SUMIFS(PerBase[Month 16],PerBase[exp_item],$H859,PerBase[company_name],$B859)*AA439)</f>
        <v>0</v>
      </c>
      <c r="AB859" s="652">
        <f>IF($B859="",,SUMIFS(PerBase[Month 17],PerBase[exp_item],$H859,PerBase[company_name],$B859)*AB439)</f>
        <v>0</v>
      </c>
      <c r="AC859" s="652">
        <f>IF($B859="",,SUMIFS(PerBase[Month 18],PerBase[exp_item],$H859,PerBase[company_name],$B859)*AC439)</f>
        <v>0</v>
      </c>
      <c r="AD859" s="652">
        <f>IF($B859="",,SUMIFS(PerBase[Month 19],PerBase[exp_item],$H859,PerBase[company_name],$B859)*AD439)</f>
        <v>0</v>
      </c>
      <c r="AE859" s="652">
        <f>IF($B859="",,SUMIFS(PerBase[Month 20],PerBase[exp_item],$H859,PerBase[company_name],$B859)*AE439)</f>
        <v>0</v>
      </c>
      <c r="AF859" s="652">
        <f>IF($B859="",,SUMIFS(PerBase[Month 21],PerBase[exp_item],$H859,PerBase[company_name],$B859)*AF439)</f>
        <v>0</v>
      </c>
      <c r="AG859" s="652">
        <f>IF($B859="",,SUMIFS(PerBase[Month 22],PerBase[exp_item],$H859,PerBase[company_name],$B859)*AG439)</f>
        <v>0</v>
      </c>
      <c r="AH859" s="652">
        <f>IF($B859="",,SUMIFS(PerBase[Month 23],PerBase[exp_item],$H859,PerBase[company_name],$B859)*AH439)</f>
        <v>0</v>
      </c>
      <c r="AI859" s="652">
        <f>IF($B859="",,SUMIFS(PerBase[Month 24],PerBase[exp_item],$H859,PerBase[company_name],$B859)*AI439)</f>
        <v>0</v>
      </c>
      <c r="AJ859" s="652">
        <f>IF($B859="",,SUMIFS(PerBase[Month 25],PerBase[exp_item],$H859,PerBase[company_name],$B859)*AJ439)</f>
        <v>0</v>
      </c>
      <c r="AK859" s="652">
        <f>IF($B859="",,SUMIFS(PerBase[Month 26],PerBase[exp_item],$H859,PerBase[company_name],$B859)*AK439)</f>
        <v>0</v>
      </c>
      <c r="AL859" s="652">
        <f>IF($B859="",,SUMIFS(PerBase[Month 27],PerBase[exp_item],$H859,PerBase[company_name],$B859)*AL439)</f>
        <v>0</v>
      </c>
      <c r="AM859" s="652">
        <f>IF($B859="",,SUMIFS(PerBase[Month 28],PerBase[exp_item],$H859,PerBase[company_name],$B859)*AM439)</f>
        <v>0</v>
      </c>
      <c r="AN859" s="652">
        <f>IF($B859="",,SUMIFS(PerBase[Month 29],PerBase[exp_item],$H859,PerBase[company_name],$B859)*AN439)</f>
        <v>0</v>
      </c>
      <c r="AO859" s="652">
        <f>IF($B859="",,SUMIFS(PerBase[Month 30],PerBase[exp_item],$H859,PerBase[company_name],$B859)*AO439)</f>
        <v>0</v>
      </c>
      <c r="AP859" s="652">
        <f>IF($B859="",,SUMIFS(PerBase[Month 31],PerBase[exp_item],$H859,PerBase[company_name],$B859)*AP439)</f>
        <v>0</v>
      </c>
      <c r="AQ859" s="652">
        <f>IF($B859="",,SUMIFS(PerBase[Month 32],PerBase[exp_item],$H859,PerBase[company_name],$B859)*AQ439)</f>
        <v>0</v>
      </c>
      <c r="AR859" s="652">
        <f>IF($B859="",,SUMIFS(PerBase[Month 33],PerBase[exp_item],$H859,PerBase[company_name],$B859)*AR439)</f>
        <v>0</v>
      </c>
      <c r="AS859" s="652">
        <f>IF($B859="",,SUMIFS(PerBase[Month 34],PerBase[exp_item],$H859,PerBase[company_name],$B859)*AS439)</f>
        <v>0</v>
      </c>
      <c r="AT859" s="652">
        <f>IF($B859="",,SUMIFS(PerBase[Month 35],PerBase[exp_item],$H859,PerBase[company_name],$B859)*AT439)</f>
        <v>0</v>
      </c>
      <c r="AU859" s="652">
        <f>IF($B859="",,SUMIFS(PerBase[Month 36],PerBase[exp_item],$H859,PerBase[company_name],$B859)*AU439)</f>
        <v>0</v>
      </c>
    </row>
    <row r="860" spans="2:47" x14ac:dyDescent="0.35">
      <c r="B860" t="str">
        <f t="shared" si="480"/>
        <v/>
      </c>
      <c r="C860" t="str">
        <f t="shared" ref="C860:G860" si="492">IF(C755="","",C755)</f>
        <v/>
      </c>
      <c r="D860" t="str">
        <f t="shared" si="492"/>
        <v/>
      </c>
      <c r="E860" t="str">
        <f t="shared" si="492"/>
        <v/>
      </c>
      <c r="F860" t="str">
        <f t="shared" si="492"/>
        <v/>
      </c>
      <c r="G860" t="str">
        <f t="shared" si="492"/>
        <v/>
      </c>
      <c r="H860" t="str">
        <f t="shared" si="479"/>
        <v/>
      </c>
      <c r="J860" t="str">
        <f>IF($H860="","",IF(VLOOKUP(H860,ExpItems[],2,0),H860&amp;" - "&amp;INDEX(DivisionMapping[category_code],MATCH($D860&amp;$C860,DivisionMapping[dept_bu],0)),H860))</f>
        <v/>
      </c>
      <c r="K860" t="str">
        <f t="shared" si="447"/>
        <v/>
      </c>
      <c r="L860" s="652">
        <f>IF($B860="",,SUMIFS(PerBase[Month 1],PerBase[exp_item],$H860,PerBase[company_name],$B860)*L440)</f>
        <v>0</v>
      </c>
      <c r="M860" s="652">
        <f>IF($B860="",,SUMIFS(PerBase[Month 2],PerBase[exp_item],$H860,PerBase[company_name],$B860)*M440)</f>
        <v>0</v>
      </c>
      <c r="N860" s="652">
        <f>IF($B860="",,SUMIFS(PerBase[Month 3],PerBase[exp_item],$H860,PerBase[company_name],$B860)*N440)</f>
        <v>0</v>
      </c>
      <c r="O860" s="652">
        <f>IF($B860="",,SUMIFS(PerBase[Month 4],PerBase[exp_item],$H860,PerBase[company_name],$B860)*O440)</f>
        <v>0</v>
      </c>
      <c r="P860" s="652">
        <f>IF($B860="",,SUMIFS(PerBase[Month 5],PerBase[exp_item],$H860,PerBase[company_name],$B860)*P440)</f>
        <v>0</v>
      </c>
      <c r="Q860" s="652">
        <f>IF($B860="",,SUMIFS(PerBase[Month 6],PerBase[exp_item],$H860,PerBase[company_name],$B860)*Q440)</f>
        <v>0</v>
      </c>
      <c r="R860" s="652">
        <f>IF($B860="",,SUMIFS(PerBase[Month 7],PerBase[exp_item],$H860,PerBase[company_name],$B860)*R440)</f>
        <v>0</v>
      </c>
      <c r="S860" s="652">
        <f>IF($B860="",,SUMIFS(PerBase[Month 8],PerBase[exp_item],$H860,PerBase[company_name],$B860)*S440)</f>
        <v>0</v>
      </c>
      <c r="T860" s="652">
        <f>IF($B860="",,SUMIFS(PerBase[Month 9],PerBase[exp_item],$H860,PerBase[company_name],$B860)*T440)</f>
        <v>0</v>
      </c>
      <c r="U860" s="652">
        <f>IF($B860="",,SUMIFS(PerBase[Month 10],PerBase[exp_item],$H860,PerBase[company_name],$B860)*U440)</f>
        <v>0</v>
      </c>
      <c r="V860" s="652">
        <f>IF($B860="",,SUMIFS(PerBase[Month 11],PerBase[exp_item],$H860,PerBase[company_name],$B860)*V440)</f>
        <v>0</v>
      </c>
      <c r="W860" s="652">
        <f>IF($B860="",,SUMIFS(PerBase[Month 12],PerBase[exp_item],$H860,PerBase[company_name],$B860)*W440)</f>
        <v>0</v>
      </c>
      <c r="X860" s="652">
        <f>IF($B860="",,SUMIFS(PerBase[Month 13],PerBase[exp_item],$H860,PerBase[company_name],$B860)*X440)</f>
        <v>0</v>
      </c>
      <c r="Y860" s="652">
        <f>IF($B860="",,SUMIFS(PerBase[Month 14],PerBase[exp_item],$H860,PerBase[company_name],$B860)*Y440)</f>
        <v>0</v>
      </c>
      <c r="Z860" s="652">
        <f>IF($B860="",,SUMIFS(PerBase[Month 15],PerBase[exp_item],$H860,PerBase[company_name],$B860)*Z440)</f>
        <v>0</v>
      </c>
      <c r="AA860" s="652">
        <f>IF($B860="",,SUMIFS(PerBase[Month 16],PerBase[exp_item],$H860,PerBase[company_name],$B860)*AA440)</f>
        <v>0</v>
      </c>
      <c r="AB860" s="652">
        <f>IF($B860="",,SUMIFS(PerBase[Month 17],PerBase[exp_item],$H860,PerBase[company_name],$B860)*AB440)</f>
        <v>0</v>
      </c>
      <c r="AC860" s="652">
        <f>IF($B860="",,SUMIFS(PerBase[Month 18],PerBase[exp_item],$H860,PerBase[company_name],$B860)*AC440)</f>
        <v>0</v>
      </c>
      <c r="AD860" s="652">
        <f>IF($B860="",,SUMIFS(PerBase[Month 19],PerBase[exp_item],$H860,PerBase[company_name],$B860)*AD440)</f>
        <v>0</v>
      </c>
      <c r="AE860" s="652">
        <f>IF($B860="",,SUMIFS(PerBase[Month 20],PerBase[exp_item],$H860,PerBase[company_name],$B860)*AE440)</f>
        <v>0</v>
      </c>
      <c r="AF860" s="652">
        <f>IF($B860="",,SUMIFS(PerBase[Month 21],PerBase[exp_item],$H860,PerBase[company_name],$B860)*AF440)</f>
        <v>0</v>
      </c>
      <c r="AG860" s="652">
        <f>IF($B860="",,SUMIFS(PerBase[Month 22],PerBase[exp_item],$H860,PerBase[company_name],$B860)*AG440)</f>
        <v>0</v>
      </c>
      <c r="AH860" s="652">
        <f>IF($B860="",,SUMIFS(PerBase[Month 23],PerBase[exp_item],$H860,PerBase[company_name],$B860)*AH440)</f>
        <v>0</v>
      </c>
      <c r="AI860" s="652">
        <f>IF($B860="",,SUMIFS(PerBase[Month 24],PerBase[exp_item],$H860,PerBase[company_name],$B860)*AI440)</f>
        <v>0</v>
      </c>
      <c r="AJ860" s="652">
        <f>IF($B860="",,SUMIFS(PerBase[Month 25],PerBase[exp_item],$H860,PerBase[company_name],$B860)*AJ440)</f>
        <v>0</v>
      </c>
      <c r="AK860" s="652">
        <f>IF($B860="",,SUMIFS(PerBase[Month 26],PerBase[exp_item],$H860,PerBase[company_name],$B860)*AK440)</f>
        <v>0</v>
      </c>
      <c r="AL860" s="652">
        <f>IF($B860="",,SUMIFS(PerBase[Month 27],PerBase[exp_item],$H860,PerBase[company_name],$B860)*AL440)</f>
        <v>0</v>
      </c>
      <c r="AM860" s="652">
        <f>IF($B860="",,SUMIFS(PerBase[Month 28],PerBase[exp_item],$H860,PerBase[company_name],$B860)*AM440)</f>
        <v>0</v>
      </c>
      <c r="AN860" s="652">
        <f>IF($B860="",,SUMIFS(PerBase[Month 29],PerBase[exp_item],$H860,PerBase[company_name],$B860)*AN440)</f>
        <v>0</v>
      </c>
      <c r="AO860" s="652">
        <f>IF($B860="",,SUMIFS(PerBase[Month 30],PerBase[exp_item],$H860,PerBase[company_name],$B860)*AO440)</f>
        <v>0</v>
      </c>
      <c r="AP860" s="652">
        <f>IF($B860="",,SUMIFS(PerBase[Month 31],PerBase[exp_item],$H860,PerBase[company_name],$B860)*AP440)</f>
        <v>0</v>
      </c>
      <c r="AQ860" s="652">
        <f>IF($B860="",,SUMIFS(PerBase[Month 32],PerBase[exp_item],$H860,PerBase[company_name],$B860)*AQ440)</f>
        <v>0</v>
      </c>
      <c r="AR860" s="652">
        <f>IF($B860="",,SUMIFS(PerBase[Month 33],PerBase[exp_item],$H860,PerBase[company_name],$B860)*AR440)</f>
        <v>0</v>
      </c>
      <c r="AS860" s="652">
        <f>IF($B860="",,SUMIFS(PerBase[Month 34],PerBase[exp_item],$H860,PerBase[company_name],$B860)*AS440)</f>
        <v>0</v>
      </c>
      <c r="AT860" s="652">
        <f>IF($B860="",,SUMIFS(PerBase[Month 35],PerBase[exp_item],$H860,PerBase[company_name],$B860)*AT440)</f>
        <v>0</v>
      </c>
      <c r="AU860" s="652">
        <f>IF($B860="",,SUMIFS(PerBase[Month 36],PerBase[exp_item],$H860,PerBase[company_name],$B860)*AU440)</f>
        <v>0</v>
      </c>
    </row>
    <row r="861" spans="2:47" x14ac:dyDescent="0.35">
      <c r="B861" t="str">
        <f t="shared" si="480"/>
        <v/>
      </c>
      <c r="C861" t="str">
        <f t="shared" ref="C861:G861" si="493">IF(C756="","",C756)</f>
        <v/>
      </c>
      <c r="D861" t="str">
        <f t="shared" si="493"/>
        <v/>
      </c>
      <c r="E861" t="str">
        <f t="shared" si="493"/>
        <v/>
      </c>
      <c r="F861" t="str">
        <f t="shared" si="493"/>
        <v/>
      </c>
      <c r="G861" t="str">
        <f t="shared" si="493"/>
        <v/>
      </c>
      <c r="H861" t="str">
        <f t="shared" si="479"/>
        <v/>
      </c>
      <c r="J861" t="str">
        <f>IF($H861="","",IF(VLOOKUP(H861,ExpItems[],2,0),H861&amp;" - "&amp;INDEX(DivisionMapping[category_code],MATCH($D861&amp;$C861,DivisionMapping[dept_bu],0)),H861))</f>
        <v/>
      </c>
      <c r="K861" t="str">
        <f t="shared" si="447"/>
        <v/>
      </c>
      <c r="L861" s="652">
        <f>IF($B861="",,SUMIFS(PerBase[Month 1],PerBase[exp_item],$H861,PerBase[company_name],$B861)*L441)</f>
        <v>0</v>
      </c>
      <c r="M861" s="652">
        <f>IF($B861="",,SUMIFS(PerBase[Month 2],PerBase[exp_item],$H861,PerBase[company_name],$B861)*M441)</f>
        <v>0</v>
      </c>
      <c r="N861" s="652">
        <f>IF($B861="",,SUMIFS(PerBase[Month 3],PerBase[exp_item],$H861,PerBase[company_name],$B861)*N441)</f>
        <v>0</v>
      </c>
      <c r="O861" s="652">
        <f>IF($B861="",,SUMIFS(PerBase[Month 4],PerBase[exp_item],$H861,PerBase[company_name],$B861)*O441)</f>
        <v>0</v>
      </c>
      <c r="P861" s="652">
        <f>IF($B861="",,SUMIFS(PerBase[Month 5],PerBase[exp_item],$H861,PerBase[company_name],$B861)*P441)</f>
        <v>0</v>
      </c>
      <c r="Q861" s="652">
        <f>IF($B861="",,SUMIFS(PerBase[Month 6],PerBase[exp_item],$H861,PerBase[company_name],$B861)*Q441)</f>
        <v>0</v>
      </c>
      <c r="R861" s="652">
        <f>IF($B861="",,SUMIFS(PerBase[Month 7],PerBase[exp_item],$H861,PerBase[company_name],$B861)*R441)</f>
        <v>0</v>
      </c>
      <c r="S861" s="652">
        <f>IF($B861="",,SUMIFS(PerBase[Month 8],PerBase[exp_item],$H861,PerBase[company_name],$B861)*S441)</f>
        <v>0</v>
      </c>
      <c r="T861" s="652">
        <f>IF($B861="",,SUMIFS(PerBase[Month 9],PerBase[exp_item],$H861,PerBase[company_name],$B861)*T441)</f>
        <v>0</v>
      </c>
      <c r="U861" s="652">
        <f>IF($B861="",,SUMIFS(PerBase[Month 10],PerBase[exp_item],$H861,PerBase[company_name],$B861)*U441)</f>
        <v>0</v>
      </c>
      <c r="V861" s="652">
        <f>IF($B861="",,SUMIFS(PerBase[Month 11],PerBase[exp_item],$H861,PerBase[company_name],$B861)*V441)</f>
        <v>0</v>
      </c>
      <c r="W861" s="652">
        <f>IF($B861="",,SUMIFS(PerBase[Month 12],PerBase[exp_item],$H861,PerBase[company_name],$B861)*W441)</f>
        <v>0</v>
      </c>
      <c r="X861" s="652">
        <f>IF($B861="",,SUMIFS(PerBase[Month 13],PerBase[exp_item],$H861,PerBase[company_name],$B861)*X441)</f>
        <v>0</v>
      </c>
      <c r="Y861" s="652">
        <f>IF($B861="",,SUMIFS(PerBase[Month 14],PerBase[exp_item],$H861,PerBase[company_name],$B861)*Y441)</f>
        <v>0</v>
      </c>
      <c r="Z861" s="652">
        <f>IF($B861="",,SUMIFS(PerBase[Month 15],PerBase[exp_item],$H861,PerBase[company_name],$B861)*Z441)</f>
        <v>0</v>
      </c>
      <c r="AA861" s="652">
        <f>IF($B861="",,SUMIFS(PerBase[Month 16],PerBase[exp_item],$H861,PerBase[company_name],$B861)*AA441)</f>
        <v>0</v>
      </c>
      <c r="AB861" s="652">
        <f>IF($B861="",,SUMIFS(PerBase[Month 17],PerBase[exp_item],$H861,PerBase[company_name],$B861)*AB441)</f>
        <v>0</v>
      </c>
      <c r="AC861" s="652">
        <f>IF($B861="",,SUMIFS(PerBase[Month 18],PerBase[exp_item],$H861,PerBase[company_name],$B861)*AC441)</f>
        <v>0</v>
      </c>
      <c r="AD861" s="652">
        <f>IF($B861="",,SUMIFS(PerBase[Month 19],PerBase[exp_item],$H861,PerBase[company_name],$B861)*AD441)</f>
        <v>0</v>
      </c>
      <c r="AE861" s="652">
        <f>IF($B861="",,SUMIFS(PerBase[Month 20],PerBase[exp_item],$H861,PerBase[company_name],$B861)*AE441)</f>
        <v>0</v>
      </c>
      <c r="AF861" s="652">
        <f>IF($B861="",,SUMIFS(PerBase[Month 21],PerBase[exp_item],$H861,PerBase[company_name],$B861)*AF441)</f>
        <v>0</v>
      </c>
      <c r="AG861" s="652">
        <f>IF($B861="",,SUMIFS(PerBase[Month 22],PerBase[exp_item],$H861,PerBase[company_name],$B861)*AG441)</f>
        <v>0</v>
      </c>
      <c r="AH861" s="652">
        <f>IF($B861="",,SUMIFS(PerBase[Month 23],PerBase[exp_item],$H861,PerBase[company_name],$B861)*AH441)</f>
        <v>0</v>
      </c>
      <c r="AI861" s="652">
        <f>IF($B861="",,SUMIFS(PerBase[Month 24],PerBase[exp_item],$H861,PerBase[company_name],$B861)*AI441)</f>
        <v>0</v>
      </c>
      <c r="AJ861" s="652">
        <f>IF($B861="",,SUMIFS(PerBase[Month 25],PerBase[exp_item],$H861,PerBase[company_name],$B861)*AJ441)</f>
        <v>0</v>
      </c>
      <c r="AK861" s="652">
        <f>IF($B861="",,SUMIFS(PerBase[Month 26],PerBase[exp_item],$H861,PerBase[company_name],$B861)*AK441)</f>
        <v>0</v>
      </c>
      <c r="AL861" s="652">
        <f>IF($B861="",,SUMIFS(PerBase[Month 27],PerBase[exp_item],$H861,PerBase[company_name],$B861)*AL441)</f>
        <v>0</v>
      </c>
      <c r="AM861" s="652">
        <f>IF($B861="",,SUMIFS(PerBase[Month 28],PerBase[exp_item],$H861,PerBase[company_name],$B861)*AM441)</f>
        <v>0</v>
      </c>
      <c r="AN861" s="652">
        <f>IF($B861="",,SUMIFS(PerBase[Month 29],PerBase[exp_item],$H861,PerBase[company_name],$B861)*AN441)</f>
        <v>0</v>
      </c>
      <c r="AO861" s="652">
        <f>IF($B861="",,SUMIFS(PerBase[Month 30],PerBase[exp_item],$H861,PerBase[company_name],$B861)*AO441)</f>
        <v>0</v>
      </c>
      <c r="AP861" s="652">
        <f>IF($B861="",,SUMIFS(PerBase[Month 31],PerBase[exp_item],$H861,PerBase[company_name],$B861)*AP441)</f>
        <v>0</v>
      </c>
      <c r="AQ861" s="652">
        <f>IF($B861="",,SUMIFS(PerBase[Month 32],PerBase[exp_item],$H861,PerBase[company_name],$B861)*AQ441)</f>
        <v>0</v>
      </c>
      <c r="AR861" s="652">
        <f>IF($B861="",,SUMIFS(PerBase[Month 33],PerBase[exp_item],$H861,PerBase[company_name],$B861)*AR441)</f>
        <v>0</v>
      </c>
      <c r="AS861" s="652">
        <f>IF($B861="",,SUMIFS(PerBase[Month 34],PerBase[exp_item],$H861,PerBase[company_name],$B861)*AS441)</f>
        <v>0</v>
      </c>
      <c r="AT861" s="652">
        <f>IF($B861="",,SUMIFS(PerBase[Month 35],PerBase[exp_item],$H861,PerBase[company_name],$B861)*AT441)</f>
        <v>0</v>
      </c>
      <c r="AU861" s="652">
        <f>IF($B861="",,SUMIFS(PerBase[Month 36],PerBase[exp_item],$H861,PerBase[company_name],$B861)*AU441)</f>
        <v>0</v>
      </c>
    </row>
    <row r="862" spans="2:47" x14ac:dyDescent="0.35">
      <c r="B862" t="str">
        <f t="shared" si="480"/>
        <v/>
      </c>
      <c r="C862" t="str">
        <f t="shared" ref="C862:G862" si="494">IF(C757="","",C757)</f>
        <v/>
      </c>
      <c r="D862" t="str">
        <f t="shared" si="494"/>
        <v/>
      </c>
      <c r="E862" t="str">
        <f t="shared" si="494"/>
        <v/>
      </c>
      <c r="F862" t="str">
        <f t="shared" si="494"/>
        <v/>
      </c>
      <c r="G862" t="str">
        <f t="shared" si="494"/>
        <v/>
      </c>
      <c r="H862" t="str">
        <f t="shared" si="479"/>
        <v/>
      </c>
      <c r="J862" t="str">
        <f>IF($H862="","",IF(VLOOKUP(H862,ExpItems[],2,0),H862&amp;" - "&amp;INDEX(DivisionMapping[category_code],MATCH($D862&amp;$C862,DivisionMapping[dept_bu],0)),H862))</f>
        <v/>
      </c>
      <c r="K862" t="str">
        <f t="shared" si="447"/>
        <v/>
      </c>
      <c r="L862" s="652">
        <f>IF($B862="",,SUMIFS(PerBase[Month 1],PerBase[exp_item],$H862,PerBase[company_name],$B862)*L442)</f>
        <v>0</v>
      </c>
      <c r="M862" s="652">
        <f>IF($B862="",,SUMIFS(PerBase[Month 2],PerBase[exp_item],$H862,PerBase[company_name],$B862)*M442)</f>
        <v>0</v>
      </c>
      <c r="N862" s="652">
        <f>IF($B862="",,SUMIFS(PerBase[Month 3],PerBase[exp_item],$H862,PerBase[company_name],$B862)*N442)</f>
        <v>0</v>
      </c>
      <c r="O862" s="652">
        <f>IF($B862="",,SUMIFS(PerBase[Month 4],PerBase[exp_item],$H862,PerBase[company_name],$B862)*O442)</f>
        <v>0</v>
      </c>
      <c r="P862" s="652">
        <f>IF($B862="",,SUMIFS(PerBase[Month 5],PerBase[exp_item],$H862,PerBase[company_name],$B862)*P442)</f>
        <v>0</v>
      </c>
      <c r="Q862" s="652">
        <f>IF($B862="",,SUMIFS(PerBase[Month 6],PerBase[exp_item],$H862,PerBase[company_name],$B862)*Q442)</f>
        <v>0</v>
      </c>
      <c r="R862" s="652">
        <f>IF($B862="",,SUMIFS(PerBase[Month 7],PerBase[exp_item],$H862,PerBase[company_name],$B862)*R442)</f>
        <v>0</v>
      </c>
      <c r="S862" s="652">
        <f>IF($B862="",,SUMIFS(PerBase[Month 8],PerBase[exp_item],$H862,PerBase[company_name],$B862)*S442)</f>
        <v>0</v>
      </c>
      <c r="T862" s="652">
        <f>IF($B862="",,SUMIFS(PerBase[Month 9],PerBase[exp_item],$H862,PerBase[company_name],$B862)*T442)</f>
        <v>0</v>
      </c>
      <c r="U862" s="652">
        <f>IF($B862="",,SUMIFS(PerBase[Month 10],PerBase[exp_item],$H862,PerBase[company_name],$B862)*U442)</f>
        <v>0</v>
      </c>
      <c r="V862" s="652">
        <f>IF($B862="",,SUMIFS(PerBase[Month 11],PerBase[exp_item],$H862,PerBase[company_name],$B862)*V442)</f>
        <v>0</v>
      </c>
      <c r="W862" s="652">
        <f>IF($B862="",,SUMIFS(PerBase[Month 12],PerBase[exp_item],$H862,PerBase[company_name],$B862)*W442)</f>
        <v>0</v>
      </c>
      <c r="X862" s="652">
        <f>IF($B862="",,SUMIFS(PerBase[Month 13],PerBase[exp_item],$H862,PerBase[company_name],$B862)*X442)</f>
        <v>0</v>
      </c>
      <c r="Y862" s="652">
        <f>IF($B862="",,SUMIFS(PerBase[Month 14],PerBase[exp_item],$H862,PerBase[company_name],$B862)*Y442)</f>
        <v>0</v>
      </c>
      <c r="Z862" s="652">
        <f>IF($B862="",,SUMIFS(PerBase[Month 15],PerBase[exp_item],$H862,PerBase[company_name],$B862)*Z442)</f>
        <v>0</v>
      </c>
      <c r="AA862" s="652">
        <f>IF($B862="",,SUMIFS(PerBase[Month 16],PerBase[exp_item],$H862,PerBase[company_name],$B862)*AA442)</f>
        <v>0</v>
      </c>
      <c r="AB862" s="652">
        <f>IF($B862="",,SUMIFS(PerBase[Month 17],PerBase[exp_item],$H862,PerBase[company_name],$B862)*AB442)</f>
        <v>0</v>
      </c>
      <c r="AC862" s="652">
        <f>IF($B862="",,SUMIFS(PerBase[Month 18],PerBase[exp_item],$H862,PerBase[company_name],$B862)*AC442)</f>
        <v>0</v>
      </c>
      <c r="AD862" s="652">
        <f>IF($B862="",,SUMIFS(PerBase[Month 19],PerBase[exp_item],$H862,PerBase[company_name],$B862)*AD442)</f>
        <v>0</v>
      </c>
      <c r="AE862" s="652">
        <f>IF($B862="",,SUMIFS(PerBase[Month 20],PerBase[exp_item],$H862,PerBase[company_name],$B862)*AE442)</f>
        <v>0</v>
      </c>
      <c r="AF862" s="652">
        <f>IF($B862="",,SUMIFS(PerBase[Month 21],PerBase[exp_item],$H862,PerBase[company_name],$B862)*AF442)</f>
        <v>0</v>
      </c>
      <c r="AG862" s="652">
        <f>IF($B862="",,SUMIFS(PerBase[Month 22],PerBase[exp_item],$H862,PerBase[company_name],$B862)*AG442)</f>
        <v>0</v>
      </c>
      <c r="AH862" s="652">
        <f>IF($B862="",,SUMIFS(PerBase[Month 23],PerBase[exp_item],$H862,PerBase[company_name],$B862)*AH442)</f>
        <v>0</v>
      </c>
      <c r="AI862" s="652">
        <f>IF($B862="",,SUMIFS(PerBase[Month 24],PerBase[exp_item],$H862,PerBase[company_name],$B862)*AI442)</f>
        <v>0</v>
      </c>
      <c r="AJ862" s="652">
        <f>IF($B862="",,SUMIFS(PerBase[Month 25],PerBase[exp_item],$H862,PerBase[company_name],$B862)*AJ442)</f>
        <v>0</v>
      </c>
      <c r="AK862" s="652">
        <f>IF($B862="",,SUMIFS(PerBase[Month 26],PerBase[exp_item],$H862,PerBase[company_name],$B862)*AK442)</f>
        <v>0</v>
      </c>
      <c r="AL862" s="652">
        <f>IF($B862="",,SUMIFS(PerBase[Month 27],PerBase[exp_item],$H862,PerBase[company_name],$B862)*AL442)</f>
        <v>0</v>
      </c>
      <c r="AM862" s="652">
        <f>IF($B862="",,SUMIFS(PerBase[Month 28],PerBase[exp_item],$H862,PerBase[company_name],$B862)*AM442)</f>
        <v>0</v>
      </c>
      <c r="AN862" s="652">
        <f>IF($B862="",,SUMIFS(PerBase[Month 29],PerBase[exp_item],$H862,PerBase[company_name],$B862)*AN442)</f>
        <v>0</v>
      </c>
      <c r="AO862" s="652">
        <f>IF($B862="",,SUMIFS(PerBase[Month 30],PerBase[exp_item],$H862,PerBase[company_name],$B862)*AO442)</f>
        <v>0</v>
      </c>
      <c r="AP862" s="652">
        <f>IF($B862="",,SUMIFS(PerBase[Month 31],PerBase[exp_item],$H862,PerBase[company_name],$B862)*AP442)</f>
        <v>0</v>
      </c>
      <c r="AQ862" s="652">
        <f>IF($B862="",,SUMIFS(PerBase[Month 32],PerBase[exp_item],$H862,PerBase[company_name],$B862)*AQ442)</f>
        <v>0</v>
      </c>
      <c r="AR862" s="652">
        <f>IF($B862="",,SUMIFS(PerBase[Month 33],PerBase[exp_item],$H862,PerBase[company_name],$B862)*AR442)</f>
        <v>0</v>
      </c>
      <c r="AS862" s="652">
        <f>IF($B862="",,SUMIFS(PerBase[Month 34],PerBase[exp_item],$H862,PerBase[company_name],$B862)*AS442)</f>
        <v>0</v>
      </c>
      <c r="AT862" s="652">
        <f>IF($B862="",,SUMIFS(PerBase[Month 35],PerBase[exp_item],$H862,PerBase[company_name],$B862)*AT442)</f>
        <v>0</v>
      </c>
      <c r="AU862" s="652">
        <f>IF($B862="",,SUMIFS(PerBase[Month 36],PerBase[exp_item],$H862,PerBase[company_name],$B862)*AU442)</f>
        <v>0</v>
      </c>
    </row>
    <row r="863" spans="2:47" x14ac:dyDescent="0.35">
      <c r="B863" t="str">
        <f t="shared" si="480"/>
        <v/>
      </c>
      <c r="C863" t="str">
        <f t="shared" ref="C863:G863" si="495">IF(C758="","",C758)</f>
        <v/>
      </c>
      <c r="D863" t="str">
        <f t="shared" si="495"/>
        <v/>
      </c>
      <c r="E863" t="str">
        <f t="shared" si="495"/>
        <v/>
      </c>
      <c r="F863" t="str">
        <f t="shared" si="495"/>
        <v/>
      </c>
      <c r="G863" t="str">
        <f t="shared" si="495"/>
        <v/>
      </c>
      <c r="H863" t="str">
        <f t="shared" si="479"/>
        <v/>
      </c>
      <c r="J863" t="str">
        <f>IF($H863="","",IF(VLOOKUP(H863,ExpItems[],2,0),H863&amp;" - "&amp;INDEX(DivisionMapping[category_code],MATCH($D863&amp;$C863,DivisionMapping[dept_bu],0)),H863))</f>
        <v/>
      </c>
      <c r="K863" t="str">
        <f t="shared" si="447"/>
        <v/>
      </c>
      <c r="L863" s="652">
        <f>IF($B863="",,SUMIFS(PerBase[Month 1],PerBase[exp_item],$H863,PerBase[company_name],$B863)*L443)</f>
        <v>0</v>
      </c>
      <c r="M863" s="652">
        <f>IF($B863="",,SUMIFS(PerBase[Month 2],PerBase[exp_item],$H863,PerBase[company_name],$B863)*M443)</f>
        <v>0</v>
      </c>
      <c r="N863" s="652">
        <f>IF($B863="",,SUMIFS(PerBase[Month 3],PerBase[exp_item],$H863,PerBase[company_name],$B863)*N443)</f>
        <v>0</v>
      </c>
      <c r="O863" s="652">
        <f>IF($B863="",,SUMIFS(PerBase[Month 4],PerBase[exp_item],$H863,PerBase[company_name],$B863)*O443)</f>
        <v>0</v>
      </c>
      <c r="P863" s="652">
        <f>IF($B863="",,SUMIFS(PerBase[Month 5],PerBase[exp_item],$H863,PerBase[company_name],$B863)*P443)</f>
        <v>0</v>
      </c>
      <c r="Q863" s="652">
        <f>IF($B863="",,SUMIFS(PerBase[Month 6],PerBase[exp_item],$H863,PerBase[company_name],$B863)*Q443)</f>
        <v>0</v>
      </c>
      <c r="R863" s="652">
        <f>IF($B863="",,SUMIFS(PerBase[Month 7],PerBase[exp_item],$H863,PerBase[company_name],$B863)*R443)</f>
        <v>0</v>
      </c>
      <c r="S863" s="652">
        <f>IF($B863="",,SUMIFS(PerBase[Month 8],PerBase[exp_item],$H863,PerBase[company_name],$B863)*S443)</f>
        <v>0</v>
      </c>
      <c r="T863" s="652">
        <f>IF($B863="",,SUMIFS(PerBase[Month 9],PerBase[exp_item],$H863,PerBase[company_name],$B863)*T443)</f>
        <v>0</v>
      </c>
      <c r="U863" s="652">
        <f>IF($B863="",,SUMIFS(PerBase[Month 10],PerBase[exp_item],$H863,PerBase[company_name],$B863)*U443)</f>
        <v>0</v>
      </c>
      <c r="V863" s="652">
        <f>IF($B863="",,SUMIFS(PerBase[Month 11],PerBase[exp_item],$H863,PerBase[company_name],$B863)*V443)</f>
        <v>0</v>
      </c>
      <c r="W863" s="652">
        <f>IF($B863="",,SUMIFS(PerBase[Month 12],PerBase[exp_item],$H863,PerBase[company_name],$B863)*W443)</f>
        <v>0</v>
      </c>
      <c r="X863" s="652">
        <f>IF($B863="",,SUMIFS(PerBase[Month 13],PerBase[exp_item],$H863,PerBase[company_name],$B863)*X443)</f>
        <v>0</v>
      </c>
      <c r="Y863" s="652">
        <f>IF($B863="",,SUMIFS(PerBase[Month 14],PerBase[exp_item],$H863,PerBase[company_name],$B863)*Y443)</f>
        <v>0</v>
      </c>
      <c r="Z863" s="652">
        <f>IF($B863="",,SUMIFS(PerBase[Month 15],PerBase[exp_item],$H863,PerBase[company_name],$B863)*Z443)</f>
        <v>0</v>
      </c>
      <c r="AA863" s="652">
        <f>IF($B863="",,SUMIFS(PerBase[Month 16],PerBase[exp_item],$H863,PerBase[company_name],$B863)*AA443)</f>
        <v>0</v>
      </c>
      <c r="AB863" s="652">
        <f>IF($B863="",,SUMIFS(PerBase[Month 17],PerBase[exp_item],$H863,PerBase[company_name],$B863)*AB443)</f>
        <v>0</v>
      </c>
      <c r="AC863" s="652">
        <f>IF($B863="",,SUMIFS(PerBase[Month 18],PerBase[exp_item],$H863,PerBase[company_name],$B863)*AC443)</f>
        <v>0</v>
      </c>
      <c r="AD863" s="652">
        <f>IF($B863="",,SUMIFS(PerBase[Month 19],PerBase[exp_item],$H863,PerBase[company_name],$B863)*AD443)</f>
        <v>0</v>
      </c>
      <c r="AE863" s="652">
        <f>IF($B863="",,SUMIFS(PerBase[Month 20],PerBase[exp_item],$H863,PerBase[company_name],$B863)*AE443)</f>
        <v>0</v>
      </c>
      <c r="AF863" s="652">
        <f>IF($B863="",,SUMIFS(PerBase[Month 21],PerBase[exp_item],$H863,PerBase[company_name],$B863)*AF443)</f>
        <v>0</v>
      </c>
      <c r="AG863" s="652">
        <f>IF($B863="",,SUMIFS(PerBase[Month 22],PerBase[exp_item],$H863,PerBase[company_name],$B863)*AG443)</f>
        <v>0</v>
      </c>
      <c r="AH863" s="652">
        <f>IF($B863="",,SUMIFS(PerBase[Month 23],PerBase[exp_item],$H863,PerBase[company_name],$B863)*AH443)</f>
        <v>0</v>
      </c>
      <c r="AI863" s="652">
        <f>IF($B863="",,SUMIFS(PerBase[Month 24],PerBase[exp_item],$H863,PerBase[company_name],$B863)*AI443)</f>
        <v>0</v>
      </c>
      <c r="AJ863" s="652">
        <f>IF($B863="",,SUMIFS(PerBase[Month 25],PerBase[exp_item],$H863,PerBase[company_name],$B863)*AJ443)</f>
        <v>0</v>
      </c>
      <c r="AK863" s="652">
        <f>IF($B863="",,SUMIFS(PerBase[Month 26],PerBase[exp_item],$H863,PerBase[company_name],$B863)*AK443)</f>
        <v>0</v>
      </c>
      <c r="AL863" s="652">
        <f>IF($B863="",,SUMIFS(PerBase[Month 27],PerBase[exp_item],$H863,PerBase[company_name],$B863)*AL443)</f>
        <v>0</v>
      </c>
      <c r="AM863" s="652">
        <f>IF($B863="",,SUMIFS(PerBase[Month 28],PerBase[exp_item],$H863,PerBase[company_name],$B863)*AM443)</f>
        <v>0</v>
      </c>
      <c r="AN863" s="652">
        <f>IF($B863="",,SUMIFS(PerBase[Month 29],PerBase[exp_item],$H863,PerBase[company_name],$B863)*AN443)</f>
        <v>0</v>
      </c>
      <c r="AO863" s="652">
        <f>IF($B863="",,SUMIFS(PerBase[Month 30],PerBase[exp_item],$H863,PerBase[company_name],$B863)*AO443)</f>
        <v>0</v>
      </c>
      <c r="AP863" s="652">
        <f>IF($B863="",,SUMIFS(PerBase[Month 31],PerBase[exp_item],$H863,PerBase[company_name],$B863)*AP443)</f>
        <v>0</v>
      </c>
      <c r="AQ863" s="652">
        <f>IF($B863="",,SUMIFS(PerBase[Month 32],PerBase[exp_item],$H863,PerBase[company_name],$B863)*AQ443)</f>
        <v>0</v>
      </c>
      <c r="AR863" s="652">
        <f>IF($B863="",,SUMIFS(PerBase[Month 33],PerBase[exp_item],$H863,PerBase[company_name],$B863)*AR443)</f>
        <v>0</v>
      </c>
      <c r="AS863" s="652">
        <f>IF($B863="",,SUMIFS(PerBase[Month 34],PerBase[exp_item],$H863,PerBase[company_name],$B863)*AS443)</f>
        <v>0</v>
      </c>
      <c r="AT863" s="652">
        <f>IF($B863="",,SUMIFS(PerBase[Month 35],PerBase[exp_item],$H863,PerBase[company_name],$B863)*AT443)</f>
        <v>0</v>
      </c>
      <c r="AU863" s="652">
        <f>IF($B863="",,SUMIFS(PerBase[Month 36],PerBase[exp_item],$H863,PerBase[company_name],$B863)*AU443)</f>
        <v>0</v>
      </c>
    </row>
    <row r="864" spans="2:47" x14ac:dyDescent="0.35">
      <c r="B864" t="str">
        <f t="shared" si="480"/>
        <v/>
      </c>
      <c r="C864" t="str">
        <f t="shared" ref="C864:G864" si="496">IF(C759="","",C759)</f>
        <v/>
      </c>
      <c r="D864" t="str">
        <f t="shared" si="496"/>
        <v/>
      </c>
      <c r="E864" t="str">
        <f t="shared" si="496"/>
        <v/>
      </c>
      <c r="F864" t="str">
        <f t="shared" si="496"/>
        <v/>
      </c>
      <c r="G864" t="str">
        <f t="shared" si="496"/>
        <v/>
      </c>
      <c r="H864" t="str">
        <f t="shared" si="479"/>
        <v/>
      </c>
      <c r="J864" t="str">
        <f>IF($H864="","",IF(VLOOKUP(H864,ExpItems[],2,0),H864&amp;" - "&amp;INDEX(DivisionMapping[category_code],MATCH($D864&amp;$C864,DivisionMapping[dept_bu],0)),H864))</f>
        <v/>
      </c>
      <c r="K864" t="str">
        <f t="shared" si="447"/>
        <v/>
      </c>
      <c r="L864" s="652">
        <f>IF($B864="",,SUMIFS(PerBase[Month 1],PerBase[exp_item],$H864,PerBase[company_name],$B864)*L444)</f>
        <v>0</v>
      </c>
      <c r="M864" s="652">
        <f>IF($B864="",,SUMIFS(PerBase[Month 2],PerBase[exp_item],$H864,PerBase[company_name],$B864)*M444)</f>
        <v>0</v>
      </c>
      <c r="N864" s="652">
        <f>IF($B864="",,SUMIFS(PerBase[Month 3],PerBase[exp_item],$H864,PerBase[company_name],$B864)*N444)</f>
        <v>0</v>
      </c>
      <c r="O864" s="652">
        <f>IF($B864="",,SUMIFS(PerBase[Month 4],PerBase[exp_item],$H864,PerBase[company_name],$B864)*O444)</f>
        <v>0</v>
      </c>
      <c r="P864" s="652">
        <f>IF($B864="",,SUMIFS(PerBase[Month 5],PerBase[exp_item],$H864,PerBase[company_name],$B864)*P444)</f>
        <v>0</v>
      </c>
      <c r="Q864" s="652">
        <f>IF($B864="",,SUMIFS(PerBase[Month 6],PerBase[exp_item],$H864,PerBase[company_name],$B864)*Q444)</f>
        <v>0</v>
      </c>
      <c r="R864" s="652">
        <f>IF($B864="",,SUMIFS(PerBase[Month 7],PerBase[exp_item],$H864,PerBase[company_name],$B864)*R444)</f>
        <v>0</v>
      </c>
      <c r="S864" s="652">
        <f>IF($B864="",,SUMIFS(PerBase[Month 8],PerBase[exp_item],$H864,PerBase[company_name],$B864)*S444)</f>
        <v>0</v>
      </c>
      <c r="T864" s="652">
        <f>IF($B864="",,SUMIFS(PerBase[Month 9],PerBase[exp_item],$H864,PerBase[company_name],$B864)*T444)</f>
        <v>0</v>
      </c>
      <c r="U864" s="652">
        <f>IF($B864="",,SUMIFS(PerBase[Month 10],PerBase[exp_item],$H864,PerBase[company_name],$B864)*U444)</f>
        <v>0</v>
      </c>
      <c r="V864" s="652">
        <f>IF($B864="",,SUMIFS(PerBase[Month 11],PerBase[exp_item],$H864,PerBase[company_name],$B864)*V444)</f>
        <v>0</v>
      </c>
      <c r="W864" s="652">
        <f>IF($B864="",,SUMIFS(PerBase[Month 12],PerBase[exp_item],$H864,PerBase[company_name],$B864)*W444)</f>
        <v>0</v>
      </c>
      <c r="X864" s="652">
        <f>IF($B864="",,SUMIFS(PerBase[Month 13],PerBase[exp_item],$H864,PerBase[company_name],$B864)*X444)</f>
        <v>0</v>
      </c>
      <c r="Y864" s="652">
        <f>IF($B864="",,SUMIFS(PerBase[Month 14],PerBase[exp_item],$H864,PerBase[company_name],$B864)*Y444)</f>
        <v>0</v>
      </c>
      <c r="Z864" s="652">
        <f>IF($B864="",,SUMIFS(PerBase[Month 15],PerBase[exp_item],$H864,PerBase[company_name],$B864)*Z444)</f>
        <v>0</v>
      </c>
      <c r="AA864" s="652">
        <f>IF($B864="",,SUMIFS(PerBase[Month 16],PerBase[exp_item],$H864,PerBase[company_name],$B864)*AA444)</f>
        <v>0</v>
      </c>
      <c r="AB864" s="652">
        <f>IF($B864="",,SUMIFS(PerBase[Month 17],PerBase[exp_item],$H864,PerBase[company_name],$B864)*AB444)</f>
        <v>0</v>
      </c>
      <c r="AC864" s="652">
        <f>IF($B864="",,SUMIFS(PerBase[Month 18],PerBase[exp_item],$H864,PerBase[company_name],$B864)*AC444)</f>
        <v>0</v>
      </c>
      <c r="AD864" s="652">
        <f>IF($B864="",,SUMIFS(PerBase[Month 19],PerBase[exp_item],$H864,PerBase[company_name],$B864)*AD444)</f>
        <v>0</v>
      </c>
      <c r="AE864" s="652">
        <f>IF($B864="",,SUMIFS(PerBase[Month 20],PerBase[exp_item],$H864,PerBase[company_name],$B864)*AE444)</f>
        <v>0</v>
      </c>
      <c r="AF864" s="652">
        <f>IF($B864="",,SUMIFS(PerBase[Month 21],PerBase[exp_item],$H864,PerBase[company_name],$B864)*AF444)</f>
        <v>0</v>
      </c>
      <c r="AG864" s="652">
        <f>IF($B864="",,SUMIFS(PerBase[Month 22],PerBase[exp_item],$H864,PerBase[company_name],$B864)*AG444)</f>
        <v>0</v>
      </c>
      <c r="AH864" s="652">
        <f>IF($B864="",,SUMIFS(PerBase[Month 23],PerBase[exp_item],$H864,PerBase[company_name],$B864)*AH444)</f>
        <v>0</v>
      </c>
      <c r="AI864" s="652">
        <f>IF($B864="",,SUMIFS(PerBase[Month 24],PerBase[exp_item],$H864,PerBase[company_name],$B864)*AI444)</f>
        <v>0</v>
      </c>
      <c r="AJ864" s="652">
        <f>IF($B864="",,SUMIFS(PerBase[Month 25],PerBase[exp_item],$H864,PerBase[company_name],$B864)*AJ444)</f>
        <v>0</v>
      </c>
      <c r="AK864" s="652">
        <f>IF($B864="",,SUMIFS(PerBase[Month 26],PerBase[exp_item],$H864,PerBase[company_name],$B864)*AK444)</f>
        <v>0</v>
      </c>
      <c r="AL864" s="652">
        <f>IF($B864="",,SUMIFS(PerBase[Month 27],PerBase[exp_item],$H864,PerBase[company_name],$B864)*AL444)</f>
        <v>0</v>
      </c>
      <c r="AM864" s="652">
        <f>IF($B864="",,SUMIFS(PerBase[Month 28],PerBase[exp_item],$H864,PerBase[company_name],$B864)*AM444)</f>
        <v>0</v>
      </c>
      <c r="AN864" s="652">
        <f>IF($B864="",,SUMIFS(PerBase[Month 29],PerBase[exp_item],$H864,PerBase[company_name],$B864)*AN444)</f>
        <v>0</v>
      </c>
      <c r="AO864" s="652">
        <f>IF($B864="",,SUMIFS(PerBase[Month 30],PerBase[exp_item],$H864,PerBase[company_name],$B864)*AO444)</f>
        <v>0</v>
      </c>
      <c r="AP864" s="652">
        <f>IF($B864="",,SUMIFS(PerBase[Month 31],PerBase[exp_item],$H864,PerBase[company_name],$B864)*AP444)</f>
        <v>0</v>
      </c>
      <c r="AQ864" s="652">
        <f>IF($B864="",,SUMIFS(PerBase[Month 32],PerBase[exp_item],$H864,PerBase[company_name],$B864)*AQ444)</f>
        <v>0</v>
      </c>
      <c r="AR864" s="652">
        <f>IF($B864="",,SUMIFS(PerBase[Month 33],PerBase[exp_item],$H864,PerBase[company_name],$B864)*AR444)</f>
        <v>0</v>
      </c>
      <c r="AS864" s="652">
        <f>IF($B864="",,SUMIFS(PerBase[Month 34],PerBase[exp_item],$H864,PerBase[company_name],$B864)*AS444)</f>
        <v>0</v>
      </c>
      <c r="AT864" s="652">
        <f>IF($B864="",,SUMIFS(PerBase[Month 35],PerBase[exp_item],$H864,PerBase[company_name],$B864)*AT444)</f>
        <v>0</v>
      </c>
      <c r="AU864" s="652">
        <f>IF($B864="",,SUMIFS(PerBase[Month 36],PerBase[exp_item],$H864,PerBase[company_name],$B864)*AU444)</f>
        <v>0</v>
      </c>
    </row>
    <row r="865" spans="2:47" x14ac:dyDescent="0.35">
      <c r="B865" t="str">
        <f t="shared" si="480"/>
        <v/>
      </c>
      <c r="C865" t="str">
        <f t="shared" ref="C865:G865" si="497">IF(C760="","",C760)</f>
        <v/>
      </c>
      <c r="D865" t="str">
        <f t="shared" si="497"/>
        <v/>
      </c>
      <c r="E865" t="str">
        <f t="shared" si="497"/>
        <v/>
      </c>
      <c r="F865" t="str">
        <f t="shared" si="497"/>
        <v/>
      </c>
      <c r="G865" t="str">
        <f t="shared" si="497"/>
        <v/>
      </c>
      <c r="H865" t="str">
        <f t="shared" si="479"/>
        <v/>
      </c>
      <c r="J865" t="str">
        <f>IF($H865="","",IF(VLOOKUP(H865,ExpItems[],2,0),H865&amp;" - "&amp;INDEX(DivisionMapping[category_code],MATCH($D865&amp;$C865,DivisionMapping[dept_bu],0)),H865))</f>
        <v/>
      </c>
      <c r="K865" t="str">
        <f t="shared" si="447"/>
        <v/>
      </c>
      <c r="L865" s="652">
        <f>IF($B865="",,SUMIFS(PerBase[Month 1],PerBase[exp_item],$H865,PerBase[company_name],$B865)*L445)</f>
        <v>0</v>
      </c>
      <c r="M865" s="652">
        <f>IF($B865="",,SUMIFS(PerBase[Month 2],PerBase[exp_item],$H865,PerBase[company_name],$B865)*M445)</f>
        <v>0</v>
      </c>
      <c r="N865" s="652">
        <f>IF($B865="",,SUMIFS(PerBase[Month 3],PerBase[exp_item],$H865,PerBase[company_name],$B865)*N445)</f>
        <v>0</v>
      </c>
      <c r="O865" s="652">
        <f>IF($B865="",,SUMIFS(PerBase[Month 4],PerBase[exp_item],$H865,PerBase[company_name],$B865)*O445)</f>
        <v>0</v>
      </c>
      <c r="P865" s="652">
        <f>IF($B865="",,SUMIFS(PerBase[Month 5],PerBase[exp_item],$H865,PerBase[company_name],$B865)*P445)</f>
        <v>0</v>
      </c>
      <c r="Q865" s="652">
        <f>IF($B865="",,SUMIFS(PerBase[Month 6],PerBase[exp_item],$H865,PerBase[company_name],$B865)*Q445)</f>
        <v>0</v>
      </c>
      <c r="R865" s="652">
        <f>IF($B865="",,SUMIFS(PerBase[Month 7],PerBase[exp_item],$H865,PerBase[company_name],$B865)*R445)</f>
        <v>0</v>
      </c>
      <c r="S865" s="652">
        <f>IF($B865="",,SUMIFS(PerBase[Month 8],PerBase[exp_item],$H865,PerBase[company_name],$B865)*S445)</f>
        <v>0</v>
      </c>
      <c r="T865" s="652">
        <f>IF($B865="",,SUMIFS(PerBase[Month 9],PerBase[exp_item],$H865,PerBase[company_name],$B865)*T445)</f>
        <v>0</v>
      </c>
      <c r="U865" s="652">
        <f>IF($B865="",,SUMIFS(PerBase[Month 10],PerBase[exp_item],$H865,PerBase[company_name],$B865)*U445)</f>
        <v>0</v>
      </c>
      <c r="V865" s="652">
        <f>IF($B865="",,SUMIFS(PerBase[Month 11],PerBase[exp_item],$H865,PerBase[company_name],$B865)*V445)</f>
        <v>0</v>
      </c>
      <c r="W865" s="652">
        <f>IF($B865="",,SUMIFS(PerBase[Month 12],PerBase[exp_item],$H865,PerBase[company_name],$B865)*W445)</f>
        <v>0</v>
      </c>
      <c r="X865" s="652">
        <f>IF($B865="",,SUMIFS(PerBase[Month 13],PerBase[exp_item],$H865,PerBase[company_name],$B865)*X445)</f>
        <v>0</v>
      </c>
      <c r="Y865" s="652">
        <f>IF($B865="",,SUMIFS(PerBase[Month 14],PerBase[exp_item],$H865,PerBase[company_name],$B865)*Y445)</f>
        <v>0</v>
      </c>
      <c r="Z865" s="652">
        <f>IF($B865="",,SUMIFS(PerBase[Month 15],PerBase[exp_item],$H865,PerBase[company_name],$B865)*Z445)</f>
        <v>0</v>
      </c>
      <c r="AA865" s="652">
        <f>IF($B865="",,SUMIFS(PerBase[Month 16],PerBase[exp_item],$H865,PerBase[company_name],$B865)*AA445)</f>
        <v>0</v>
      </c>
      <c r="AB865" s="652">
        <f>IF($B865="",,SUMIFS(PerBase[Month 17],PerBase[exp_item],$H865,PerBase[company_name],$B865)*AB445)</f>
        <v>0</v>
      </c>
      <c r="AC865" s="652">
        <f>IF($B865="",,SUMIFS(PerBase[Month 18],PerBase[exp_item],$H865,PerBase[company_name],$B865)*AC445)</f>
        <v>0</v>
      </c>
      <c r="AD865" s="652">
        <f>IF($B865="",,SUMIFS(PerBase[Month 19],PerBase[exp_item],$H865,PerBase[company_name],$B865)*AD445)</f>
        <v>0</v>
      </c>
      <c r="AE865" s="652">
        <f>IF($B865="",,SUMIFS(PerBase[Month 20],PerBase[exp_item],$H865,PerBase[company_name],$B865)*AE445)</f>
        <v>0</v>
      </c>
      <c r="AF865" s="652">
        <f>IF($B865="",,SUMIFS(PerBase[Month 21],PerBase[exp_item],$H865,PerBase[company_name],$B865)*AF445)</f>
        <v>0</v>
      </c>
      <c r="AG865" s="652">
        <f>IF($B865="",,SUMIFS(PerBase[Month 22],PerBase[exp_item],$H865,PerBase[company_name],$B865)*AG445)</f>
        <v>0</v>
      </c>
      <c r="AH865" s="652">
        <f>IF($B865="",,SUMIFS(PerBase[Month 23],PerBase[exp_item],$H865,PerBase[company_name],$B865)*AH445)</f>
        <v>0</v>
      </c>
      <c r="AI865" s="652">
        <f>IF($B865="",,SUMIFS(PerBase[Month 24],PerBase[exp_item],$H865,PerBase[company_name],$B865)*AI445)</f>
        <v>0</v>
      </c>
      <c r="AJ865" s="652">
        <f>IF($B865="",,SUMIFS(PerBase[Month 25],PerBase[exp_item],$H865,PerBase[company_name],$B865)*AJ445)</f>
        <v>0</v>
      </c>
      <c r="AK865" s="652">
        <f>IF($B865="",,SUMIFS(PerBase[Month 26],PerBase[exp_item],$H865,PerBase[company_name],$B865)*AK445)</f>
        <v>0</v>
      </c>
      <c r="AL865" s="652">
        <f>IF($B865="",,SUMIFS(PerBase[Month 27],PerBase[exp_item],$H865,PerBase[company_name],$B865)*AL445)</f>
        <v>0</v>
      </c>
      <c r="AM865" s="652">
        <f>IF($B865="",,SUMIFS(PerBase[Month 28],PerBase[exp_item],$H865,PerBase[company_name],$B865)*AM445)</f>
        <v>0</v>
      </c>
      <c r="AN865" s="652">
        <f>IF($B865="",,SUMIFS(PerBase[Month 29],PerBase[exp_item],$H865,PerBase[company_name],$B865)*AN445)</f>
        <v>0</v>
      </c>
      <c r="AO865" s="652">
        <f>IF($B865="",,SUMIFS(PerBase[Month 30],PerBase[exp_item],$H865,PerBase[company_name],$B865)*AO445)</f>
        <v>0</v>
      </c>
      <c r="AP865" s="652">
        <f>IF($B865="",,SUMIFS(PerBase[Month 31],PerBase[exp_item],$H865,PerBase[company_name],$B865)*AP445)</f>
        <v>0</v>
      </c>
      <c r="AQ865" s="652">
        <f>IF($B865="",,SUMIFS(PerBase[Month 32],PerBase[exp_item],$H865,PerBase[company_name],$B865)*AQ445)</f>
        <v>0</v>
      </c>
      <c r="AR865" s="652">
        <f>IF($B865="",,SUMIFS(PerBase[Month 33],PerBase[exp_item],$H865,PerBase[company_name],$B865)*AR445)</f>
        <v>0</v>
      </c>
      <c r="AS865" s="652">
        <f>IF($B865="",,SUMIFS(PerBase[Month 34],PerBase[exp_item],$H865,PerBase[company_name],$B865)*AS445)</f>
        <v>0</v>
      </c>
      <c r="AT865" s="652">
        <f>IF($B865="",,SUMIFS(PerBase[Month 35],PerBase[exp_item],$H865,PerBase[company_name],$B865)*AT445)</f>
        <v>0</v>
      </c>
      <c r="AU865" s="652">
        <f>IF($B865="",,SUMIFS(PerBase[Month 36],PerBase[exp_item],$H865,PerBase[company_name],$B865)*AU445)</f>
        <v>0</v>
      </c>
    </row>
    <row r="866" spans="2:47" x14ac:dyDescent="0.35">
      <c r="B866" t="str">
        <f t="shared" si="480"/>
        <v/>
      </c>
      <c r="C866" t="str">
        <f t="shared" ref="C866:G866" si="498">IF(C761="","",C761)</f>
        <v/>
      </c>
      <c r="D866" t="str">
        <f t="shared" si="498"/>
        <v/>
      </c>
      <c r="E866" t="str">
        <f t="shared" si="498"/>
        <v/>
      </c>
      <c r="F866" t="str">
        <f t="shared" si="498"/>
        <v/>
      </c>
      <c r="G866" t="str">
        <f t="shared" si="498"/>
        <v/>
      </c>
      <c r="H866" t="str">
        <f t="shared" si="479"/>
        <v/>
      </c>
      <c r="J866" t="str">
        <f>IF($H866="","",IF(VLOOKUP(H866,ExpItems[],2,0),H866&amp;" - "&amp;INDEX(DivisionMapping[category_code],MATCH($D866&amp;$C866,DivisionMapping[dept_bu],0)),H866))</f>
        <v/>
      </c>
      <c r="K866" t="str">
        <f t="shared" si="447"/>
        <v/>
      </c>
      <c r="L866" s="652">
        <f>IF($B866="",,SUMIFS(PerBase[Month 1],PerBase[exp_item],$H866,PerBase[company_name],$B866)*L446)</f>
        <v>0</v>
      </c>
      <c r="M866" s="652">
        <f>IF($B866="",,SUMIFS(PerBase[Month 2],PerBase[exp_item],$H866,PerBase[company_name],$B866)*M446)</f>
        <v>0</v>
      </c>
      <c r="N866" s="652">
        <f>IF($B866="",,SUMIFS(PerBase[Month 3],PerBase[exp_item],$H866,PerBase[company_name],$B866)*N446)</f>
        <v>0</v>
      </c>
      <c r="O866" s="652">
        <f>IF($B866="",,SUMIFS(PerBase[Month 4],PerBase[exp_item],$H866,PerBase[company_name],$B866)*O446)</f>
        <v>0</v>
      </c>
      <c r="P866" s="652">
        <f>IF($B866="",,SUMIFS(PerBase[Month 5],PerBase[exp_item],$H866,PerBase[company_name],$B866)*P446)</f>
        <v>0</v>
      </c>
      <c r="Q866" s="652">
        <f>IF($B866="",,SUMIFS(PerBase[Month 6],PerBase[exp_item],$H866,PerBase[company_name],$B866)*Q446)</f>
        <v>0</v>
      </c>
      <c r="R866" s="652">
        <f>IF($B866="",,SUMIFS(PerBase[Month 7],PerBase[exp_item],$H866,PerBase[company_name],$B866)*R446)</f>
        <v>0</v>
      </c>
      <c r="S866" s="652">
        <f>IF($B866="",,SUMIFS(PerBase[Month 8],PerBase[exp_item],$H866,PerBase[company_name],$B866)*S446)</f>
        <v>0</v>
      </c>
      <c r="T866" s="652">
        <f>IF($B866="",,SUMIFS(PerBase[Month 9],PerBase[exp_item],$H866,PerBase[company_name],$B866)*T446)</f>
        <v>0</v>
      </c>
      <c r="U866" s="652">
        <f>IF($B866="",,SUMIFS(PerBase[Month 10],PerBase[exp_item],$H866,PerBase[company_name],$B866)*U446)</f>
        <v>0</v>
      </c>
      <c r="V866" s="652">
        <f>IF($B866="",,SUMIFS(PerBase[Month 11],PerBase[exp_item],$H866,PerBase[company_name],$B866)*V446)</f>
        <v>0</v>
      </c>
      <c r="W866" s="652">
        <f>IF($B866="",,SUMIFS(PerBase[Month 12],PerBase[exp_item],$H866,PerBase[company_name],$B866)*W446)</f>
        <v>0</v>
      </c>
      <c r="X866" s="652">
        <f>IF($B866="",,SUMIFS(PerBase[Month 13],PerBase[exp_item],$H866,PerBase[company_name],$B866)*X446)</f>
        <v>0</v>
      </c>
      <c r="Y866" s="652">
        <f>IF($B866="",,SUMIFS(PerBase[Month 14],PerBase[exp_item],$H866,PerBase[company_name],$B866)*Y446)</f>
        <v>0</v>
      </c>
      <c r="Z866" s="652">
        <f>IF($B866="",,SUMIFS(PerBase[Month 15],PerBase[exp_item],$H866,PerBase[company_name],$B866)*Z446)</f>
        <v>0</v>
      </c>
      <c r="AA866" s="652">
        <f>IF($B866="",,SUMIFS(PerBase[Month 16],PerBase[exp_item],$H866,PerBase[company_name],$B866)*AA446)</f>
        <v>0</v>
      </c>
      <c r="AB866" s="652">
        <f>IF($B866="",,SUMIFS(PerBase[Month 17],PerBase[exp_item],$H866,PerBase[company_name],$B866)*AB446)</f>
        <v>0</v>
      </c>
      <c r="AC866" s="652">
        <f>IF($B866="",,SUMIFS(PerBase[Month 18],PerBase[exp_item],$H866,PerBase[company_name],$B866)*AC446)</f>
        <v>0</v>
      </c>
      <c r="AD866" s="652">
        <f>IF($B866="",,SUMIFS(PerBase[Month 19],PerBase[exp_item],$H866,PerBase[company_name],$B866)*AD446)</f>
        <v>0</v>
      </c>
      <c r="AE866" s="652">
        <f>IF($B866="",,SUMIFS(PerBase[Month 20],PerBase[exp_item],$H866,PerBase[company_name],$B866)*AE446)</f>
        <v>0</v>
      </c>
      <c r="AF866" s="652">
        <f>IF($B866="",,SUMIFS(PerBase[Month 21],PerBase[exp_item],$H866,PerBase[company_name],$B866)*AF446)</f>
        <v>0</v>
      </c>
      <c r="AG866" s="652">
        <f>IF($B866="",,SUMIFS(PerBase[Month 22],PerBase[exp_item],$H866,PerBase[company_name],$B866)*AG446)</f>
        <v>0</v>
      </c>
      <c r="AH866" s="652">
        <f>IF($B866="",,SUMIFS(PerBase[Month 23],PerBase[exp_item],$H866,PerBase[company_name],$B866)*AH446)</f>
        <v>0</v>
      </c>
      <c r="AI866" s="652">
        <f>IF($B866="",,SUMIFS(PerBase[Month 24],PerBase[exp_item],$H866,PerBase[company_name],$B866)*AI446)</f>
        <v>0</v>
      </c>
      <c r="AJ866" s="652">
        <f>IF($B866="",,SUMIFS(PerBase[Month 25],PerBase[exp_item],$H866,PerBase[company_name],$B866)*AJ446)</f>
        <v>0</v>
      </c>
      <c r="AK866" s="652">
        <f>IF($B866="",,SUMIFS(PerBase[Month 26],PerBase[exp_item],$H866,PerBase[company_name],$B866)*AK446)</f>
        <v>0</v>
      </c>
      <c r="AL866" s="652">
        <f>IF($B866="",,SUMIFS(PerBase[Month 27],PerBase[exp_item],$H866,PerBase[company_name],$B866)*AL446)</f>
        <v>0</v>
      </c>
      <c r="AM866" s="652">
        <f>IF($B866="",,SUMIFS(PerBase[Month 28],PerBase[exp_item],$H866,PerBase[company_name],$B866)*AM446)</f>
        <v>0</v>
      </c>
      <c r="AN866" s="652">
        <f>IF($B866="",,SUMIFS(PerBase[Month 29],PerBase[exp_item],$H866,PerBase[company_name],$B866)*AN446)</f>
        <v>0</v>
      </c>
      <c r="AO866" s="652">
        <f>IF($B866="",,SUMIFS(PerBase[Month 30],PerBase[exp_item],$H866,PerBase[company_name],$B866)*AO446)</f>
        <v>0</v>
      </c>
      <c r="AP866" s="652">
        <f>IF($B866="",,SUMIFS(PerBase[Month 31],PerBase[exp_item],$H866,PerBase[company_name],$B866)*AP446)</f>
        <v>0</v>
      </c>
      <c r="AQ866" s="652">
        <f>IF($B866="",,SUMIFS(PerBase[Month 32],PerBase[exp_item],$H866,PerBase[company_name],$B866)*AQ446)</f>
        <v>0</v>
      </c>
      <c r="AR866" s="652">
        <f>IF($B866="",,SUMIFS(PerBase[Month 33],PerBase[exp_item],$H866,PerBase[company_name],$B866)*AR446)</f>
        <v>0</v>
      </c>
      <c r="AS866" s="652">
        <f>IF($B866="",,SUMIFS(PerBase[Month 34],PerBase[exp_item],$H866,PerBase[company_name],$B866)*AS446)</f>
        <v>0</v>
      </c>
      <c r="AT866" s="652">
        <f>IF($B866="",,SUMIFS(PerBase[Month 35],PerBase[exp_item],$H866,PerBase[company_name],$B866)*AT446)</f>
        <v>0</v>
      </c>
      <c r="AU866" s="652">
        <f>IF($B866="",,SUMIFS(PerBase[Month 36],PerBase[exp_item],$H866,PerBase[company_name],$B866)*AU446)</f>
        <v>0</v>
      </c>
    </row>
    <row r="867" spans="2:47" x14ac:dyDescent="0.35">
      <c r="B867" t="str">
        <f t="shared" si="480"/>
        <v/>
      </c>
      <c r="C867" t="str">
        <f t="shared" ref="C867:G867" si="499">IF(C762="","",C762)</f>
        <v/>
      </c>
      <c r="D867" t="str">
        <f t="shared" si="499"/>
        <v/>
      </c>
      <c r="E867" t="str">
        <f t="shared" si="499"/>
        <v/>
      </c>
      <c r="F867" t="str">
        <f t="shared" si="499"/>
        <v/>
      </c>
      <c r="G867" t="str">
        <f t="shared" si="499"/>
        <v/>
      </c>
      <c r="H867" t="str">
        <f t="shared" si="479"/>
        <v/>
      </c>
      <c r="J867" t="str">
        <f>IF($H867="","",IF(VLOOKUP(H867,ExpItems[],2,0),H867&amp;" - "&amp;INDEX(DivisionMapping[category_code],MATCH($D867&amp;$C867,DivisionMapping[dept_bu],0)),H867))</f>
        <v/>
      </c>
      <c r="K867" t="str">
        <f t="shared" si="447"/>
        <v/>
      </c>
      <c r="L867" s="652">
        <f>IF($B867="",,SUMIFS(PerBase[Month 1],PerBase[exp_item],$H867,PerBase[company_name],$B867)*L447)</f>
        <v>0</v>
      </c>
      <c r="M867" s="652">
        <f>IF($B867="",,SUMIFS(PerBase[Month 2],PerBase[exp_item],$H867,PerBase[company_name],$B867)*M447)</f>
        <v>0</v>
      </c>
      <c r="N867" s="652">
        <f>IF($B867="",,SUMIFS(PerBase[Month 3],PerBase[exp_item],$H867,PerBase[company_name],$B867)*N447)</f>
        <v>0</v>
      </c>
      <c r="O867" s="652">
        <f>IF($B867="",,SUMIFS(PerBase[Month 4],PerBase[exp_item],$H867,PerBase[company_name],$B867)*O447)</f>
        <v>0</v>
      </c>
      <c r="P867" s="652">
        <f>IF($B867="",,SUMIFS(PerBase[Month 5],PerBase[exp_item],$H867,PerBase[company_name],$B867)*P447)</f>
        <v>0</v>
      </c>
      <c r="Q867" s="652">
        <f>IF($B867="",,SUMIFS(PerBase[Month 6],PerBase[exp_item],$H867,PerBase[company_name],$B867)*Q447)</f>
        <v>0</v>
      </c>
      <c r="R867" s="652">
        <f>IF($B867="",,SUMIFS(PerBase[Month 7],PerBase[exp_item],$H867,PerBase[company_name],$B867)*R447)</f>
        <v>0</v>
      </c>
      <c r="S867" s="652">
        <f>IF($B867="",,SUMIFS(PerBase[Month 8],PerBase[exp_item],$H867,PerBase[company_name],$B867)*S447)</f>
        <v>0</v>
      </c>
      <c r="T867" s="652">
        <f>IF($B867="",,SUMIFS(PerBase[Month 9],PerBase[exp_item],$H867,PerBase[company_name],$B867)*T447)</f>
        <v>0</v>
      </c>
      <c r="U867" s="652">
        <f>IF($B867="",,SUMIFS(PerBase[Month 10],PerBase[exp_item],$H867,PerBase[company_name],$B867)*U447)</f>
        <v>0</v>
      </c>
      <c r="V867" s="652">
        <f>IF($B867="",,SUMIFS(PerBase[Month 11],PerBase[exp_item],$H867,PerBase[company_name],$B867)*V447)</f>
        <v>0</v>
      </c>
      <c r="W867" s="652">
        <f>IF($B867="",,SUMIFS(PerBase[Month 12],PerBase[exp_item],$H867,PerBase[company_name],$B867)*W447)</f>
        <v>0</v>
      </c>
      <c r="X867" s="652">
        <f>IF($B867="",,SUMIFS(PerBase[Month 13],PerBase[exp_item],$H867,PerBase[company_name],$B867)*X447)</f>
        <v>0</v>
      </c>
      <c r="Y867" s="652">
        <f>IF($B867="",,SUMIFS(PerBase[Month 14],PerBase[exp_item],$H867,PerBase[company_name],$B867)*Y447)</f>
        <v>0</v>
      </c>
      <c r="Z867" s="652">
        <f>IF($B867="",,SUMIFS(PerBase[Month 15],PerBase[exp_item],$H867,PerBase[company_name],$B867)*Z447)</f>
        <v>0</v>
      </c>
      <c r="AA867" s="652">
        <f>IF($B867="",,SUMIFS(PerBase[Month 16],PerBase[exp_item],$H867,PerBase[company_name],$B867)*AA447)</f>
        <v>0</v>
      </c>
      <c r="AB867" s="652">
        <f>IF($B867="",,SUMIFS(PerBase[Month 17],PerBase[exp_item],$H867,PerBase[company_name],$B867)*AB447)</f>
        <v>0</v>
      </c>
      <c r="AC867" s="652">
        <f>IF($B867="",,SUMIFS(PerBase[Month 18],PerBase[exp_item],$H867,PerBase[company_name],$B867)*AC447)</f>
        <v>0</v>
      </c>
      <c r="AD867" s="652">
        <f>IF($B867="",,SUMIFS(PerBase[Month 19],PerBase[exp_item],$H867,PerBase[company_name],$B867)*AD447)</f>
        <v>0</v>
      </c>
      <c r="AE867" s="652">
        <f>IF($B867="",,SUMIFS(PerBase[Month 20],PerBase[exp_item],$H867,PerBase[company_name],$B867)*AE447)</f>
        <v>0</v>
      </c>
      <c r="AF867" s="652">
        <f>IF($B867="",,SUMIFS(PerBase[Month 21],PerBase[exp_item],$H867,PerBase[company_name],$B867)*AF447)</f>
        <v>0</v>
      </c>
      <c r="AG867" s="652">
        <f>IF($B867="",,SUMIFS(PerBase[Month 22],PerBase[exp_item],$H867,PerBase[company_name],$B867)*AG447)</f>
        <v>0</v>
      </c>
      <c r="AH867" s="652">
        <f>IF($B867="",,SUMIFS(PerBase[Month 23],PerBase[exp_item],$H867,PerBase[company_name],$B867)*AH447)</f>
        <v>0</v>
      </c>
      <c r="AI867" s="652">
        <f>IF($B867="",,SUMIFS(PerBase[Month 24],PerBase[exp_item],$H867,PerBase[company_name],$B867)*AI447)</f>
        <v>0</v>
      </c>
      <c r="AJ867" s="652">
        <f>IF($B867="",,SUMIFS(PerBase[Month 25],PerBase[exp_item],$H867,PerBase[company_name],$B867)*AJ447)</f>
        <v>0</v>
      </c>
      <c r="AK867" s="652">
        <f>IF($B867="",,SUMIFS(PerBase[Month 26],PerBase[exp_item],$H867,PerBase[company_name],$B867)*AK447)</f>
        <v>0</v>
      </c>
      <c r="AL867" s="652">
        <f>IF($B867="",,SUMIFS(PerBase[Month 27],PerBase[exp_item],$H867,PerBase[company_name],$B867)*AL447)</f>
        <v>0</v>
      </c>
      <c r="AM867" s="652">
        <f>IF($B867="",,SUMIFS(PerBase[Month 28],PerBase[exp_item],$H867,PerBase[company_name],$B867)*AM447)</f>
        <v>0</v>
      </c>
      <c r="AN867" s="652">
        <f>IF($B867="",,SUMIFS(PerBase[Month 29],PerBase[exp_item],$H867,PerBase[company_name],$B867)*AN447)</f>
        <v>0</v>
      </c>
      <c r="AO867" s="652">
        <f>IF($B867="",,SUMIFS(PerBase[Month 30],PerBase[exp_item],$H867,PerBase[company_name],$B867)*AO447)</f>
        <v>0</v>
      </c>
      <c r="AP867" s="652">
        <f>IF($B867="",,SUMIFS(PerBase[Month 31],PerBase[exp_item],$H867,PerBase[company_name],$B867)*AP447)</f>
        <v>0</v>
      </c>
      <c r="AQ867" s="652">
        <f>IF($B867="",,SUMIFS(PerBase[Month 32],PerBase[exp_item],$H867,PerBase[company_name],$B867)*AQ447)</f>
        <v>0</v>
      </c>
      <c r="AR867" s="652">
        <f>IF($B867="",,SUMIFS(PerBase[Month 33],PerBase[exp_item],$H867,PerBase[company_name],$B867)*AR447)</f>
        <v>0</v>
      </c>
      <c r="AS867" s="652">
        <f>IF($B867="",,SUMIFS(PerBase[Month 34],PerBase[exp_item],$H867,PerBase[company_name],$B867)*AS447)</f>
        <v>0</v>
      </c>
      <c r="AT867" s="652">
        <f>IF($B867="",,SUMIFS(PerBase[Month 35],PerBase[exp_item],$H867,PerBase[company_name],$B867)*AT447)</f>
        <v>0</v>
      </c>
      <c r="AU867" s="652">
        <f>IF($B867="",,SUMIFS(PerBase[Month 36],PerBase[exp_item],$H867,PerBase[company_name],$B867)*AU447)</f>
        <v>0</v>
      </c>
    </row>
    <row r="868" spans="2:47" x14ac:dyDescent="0.35">
      <c r="B868" t="str">
        <f t="shared" si="480"/>
        <v/>
      </c>
      <c r="C868" t="str">
        <f t="shared" ref="C868:G868" si="500">IF(C763="","",C763)</f>
        <v/>
      </c>
      <c r="D868" t="str">
        <f t="shared" si="500"/>
        <v/>
      </c>
      <c r="E868" t="str">
        <f t="shared" si="500"/>
        <v/>
      </c>
      <c r="F868" t="str">
        <f t="shared" si="500"/>
        <v/>
      </c>
      <c r="G868" t="str">
        <f t="shared" si="500"/>
        <v/>
      </c>
      <c r="H868" t="str">
        <f t="shared" si="479"/>
        <v/>
      </c>
      <c r="J868" t="str">
        <f>IF($H868="","",IF(VLOOKUP(H868,ExpItems[],2,0),H868&amp;" - "&amp;INDEX(DivisionMapping[category_code],MATCH($D868&amp;$C868,DivisionMapping[dept_bu],0)),H868))</f>
        <v/>
      </c>
      <c r="K868" t="str">
        <f t="shared" si="447"/>
        <v/>
      </c>
      <c r="L868" s="652">
        <f>IF($B868="",,SUMIFS(PerBase[Month 1],PerBase[exp_item],$H868,PerBase[company_name],$B868)*L448)</f>
        <v>0</v>
      </c>
      <c r="M868" s="652">
        <f>IF($B868="",,SUMIFS(PerBase[Month 2],PerBase[exp_item],$H868,PerBase[company_name],$B868)*M448)</f>
        <v>0</v>
      </c>
      <c r="N868" s="652">
        <f>IF($B868="",,SUMIFS(PerBase[Month 3],PerBase[exp_item],$H868,PerBase[company_name],$B868)*N448)</f>
        <v>0</v>
      </c>
      <c r="O868" s="652">
        <f>IF($B868="",,SUMIFS(PerBase[Month 4],PerBase[exp_item],$H868,PerBase[company_name],$B868)*O448)</f>
        <v>0</v>
      </c>
      <c r="P868" s="652">
        <f>IF($B868="",,SUMIFS(PerBase[Month 5],PerBase[exp_item],$H868,PerBase[company_name],$B868)*P448)</f>
        <v>0</v>
      </c>
      <c r="Q868" s="652">
        <f>IF($B868="",,SUMIFS(PerBase[Month 6],PerBase[exp_item],$H868,PerBase[company_name],$B868)*Q448)</f>
        <v>0</v>
      </c>
      <c r="R868" s="652">
        <f>IF($B868="",,SUMIFS(PerBase[Month 7],PerBase[exp_item],$H868,PerBase[company_name],$B868)*R448)</f>
        <v>0</v>
      </c>
      <c r="S868" s="652">
        <f>IF($B868="",,SUMIFS(PerBase[Month 8],PerBase[exp_item],$H868,PerBase[company_name],$B868)*S448)</f>
        <v>0</v>
      </c>
      <c r="T868" s="652">
        <f>IF($B868="",,SUMIFS(PerBase[Month 9],PerBase[exp_item],$H868,PerBase[company_name],$B868)*T448)</f>
        <v>0</v>
      </c>
      <c r="U868" s="652">
        <f>IF($B868="",,SUMIFS(PerBase[Month 10],PerBase[exp_item],$H868,PerBase[company_name],$B868)*U448)</f>
        <v>0</v>
      </c>
      <c r="V868" s="652">
        <f>IF($B868="",,SUMIFS(PerBase[Month 11],PerBase[exp_item],$H868,PerBase[company_name],$B868)*V448)</f>
        <v>0</v>
      </c>
      <c r="W868" s="652">
        <f>IF($B868="",,SUMIFS(PerBase[Month 12],PerBase[exp_item],$H868,PerBase[company_name],$B868)*W448)</f>
        <v>0</v>
      </c>
      <c r="X868" s="652">
        <f>IF($B868="",,SUMIFS(PerBase[Month 13],PerBase[exp_item],$H868,PerBase[company_name],$B868)*X448)</f>
        <v>0</v>
      </c>
      <c r="Y868" s="652">
        <f>IF($B868="",,SUMIFS(PerBase[Month 14],PerBase[exp_item],$H868,PerBase[company_name],$B868)*Y448)</f>
        <v>0</v>
      </c>
      <c r="Z868" s="652">
        <f>IF($B868="",,SUMIFS(PerBase[Month 15],PerBase[exp_item],$H868,PerBase[company_name],$B868)*Z448)</f>
        <v>0</v>
      </c>
      <c r="AA868" s="652">
        <f>IF($B868="",,SUMIFS(PerBase[Month 16],PerBase[exp_item],$H868,PerBase[company_name],$B868)*AA448)</f>
        <v>0</v>
      </c>
      <c r="AB868" s="652">
        <f>IF($B868="",,SUMIFS(PerBase[Month 17],PerBase[exp_item],$H868,PerBase[company_name],$B868)*AB448)</f>
        <v>0</v>
      </c>
      <c r="AC868" s="652">
        <f>IF($B868="",,SUMIFS(PerBase[Month 18],PerBase[exp_item],$H868,PerBase[company_name],$B868)*AC448)</f>
        <v>0</v>
      </c>
      <c r="AD868" s="652">
        <f>IF($B868="",,SUMIFS(PerBase[Month 19],PerBase[exp_item],$H868,PerBase[company_name],$B868)*AD448)</f>
        <v>0</v>
      </c>
      <c r="AE868" s="652">
        <f>IF($B868="",,SUMIFS(PerBase[Month 20],PerBase[exp_item],$H868,PerBase[company_name],$B868)*AE448)</f>
        <v>0</v>
      </c>
      <c r="AF868" s="652">
        <f>IF($B868="",,SUMIFS(PerBase[Month 21],PerBase[exp_item],$H868,PerBase[company_name],$B868)*AF448)</f>
        <v>0</v>
      </c>
      <c r="AG868" s="652">
        <f>IF($B868="",,SUMIFS(PerBase[Month 22],PerBase[exp_item],$H868,PerBase[company_name],$B868)*AG448)</f>
        <v>0</v>
      </c>
      <c r="AH868" s="652">
        <f>IF($B868="",,SUMIFS(PerBase[Month 23],PerBase[exp_item],$H868,PerBase[company_name],$B868)*AH448)</f>
        <v>0</v>
      </c>
      <c r="AI868" s="652">
        <f>IF($B868="",,SUMIFS(PerBase[Month 24],PerBase[exp_item],$H868,PerBase[company_name],$B868)*AI448)</f>
        <v>0</v>
      </c>
      <c r="AJ868" s="652">
        <f>IF($B868="",,SUMIFS(PerBase[Month 25],PerBase[exp_item],$H868,PerBase[company_name],$B868)*AJ448)</f>
        <v>0</v>
      </c>
      <c r="AK868" s="652">
        <f>IF($B868="",,SUMIFS(PerBase[Month 26],PerBase[exp_item],$H868,PerBase[company_name],$B868)*AK448)</f>
        <v>0</v>
      </c>
      <c r="AL868" s="652">
        <f>IF($B868="",,SUMIFS(PerBase[Month 27],PerBase[exp_item],$H868,PerBase[company_name],$B868)*AL448)</f>
        <v>0</v>
      </c>
      <c r="AM868" s="652">
        <f>IF($B868="",,SUMIFS(PerBase[Month 28],PerBase[exp_item],$H868,PerBase[company_name],$B868)*AM448)</f>
        <v>0</v>
      </c>
      <c r="AN868" s="652">
        <f>IF($B868="",,SUMIFS(PerBase[Month 29],PerBase[exp_item],$H868,PerBase[company_name],$B868)*AN448)</f>
        <v>0</v>
      </c>
      <c r="AO868" s="652">
        <f>IF($B868="",,SUMIFS(PerBase[Month 30],PerBase[exp_item],$H868,PerBase[company_name],$B868)*AO448)</f>
        <v>0</v>
      </c>
      <c r="AP868" s="652">
        <f>IF($B868="",,SUMIFS(PerBase[Month 31],PerBase[exp_item],$H868,PerBase[company_name],$B868)*AP448)</f>
        <v>0</v>
      </c>
      <c r="AQ868" s="652">
        <f>IF($B868="",,SUMIFS(PerBase[Month 32],PerBase[exp_item],$H868,PerBase[company_name],$B868)*AQ448)</f>
        <v>0</v>
      </c>
      <c r="AR868" s="652">
        <f>IF($B868="",,SUMIFS(PerBase[Month 33],PerBase[exp_item],$H868,PerBase[company_name],$B868)*AR448)</f>
        <v>0</v>
      </c>
      <c r="AS868" s="652">
        <f>IF($B868="",,SUMIFS(PerBase[Month 34],PerBase[exp_item],$H868,PerBase[company_name],$B868)*AS448)</f>
        <v>0</v>
      </c>
      <c r="AT868" s="652">
        <f>IF($B868="",,SUMIFS(PerBase[Month 35],PerBase[exp_item],$H868,PerBase[company_name],$B868)*AT448)</f>
        <v>0</v>
      </c>
      <c r="AU868" s="652">
        <f>IF($B868="",,SUMIFS(PerBase[Month 36],PerBase[exp_item],$H868,PerBase[company_name],$B868)*AU448)</f>
        <v>0</v>
      </c>
    </row>
    <row r="869" spans="2:47" x14ac:dyDescent="0.35">
      <c r="B869" t="str">
        <f t="shared" si="480"/>
        <v/>
      </c>
      <c r="C869" t="str">
        <f t="shared" ref="C869:G869" si="501">IF(C764="","",C764)</f>
        <v/>
      </c>
      <c r="D869" t="str">
        <f t="shared" si="501"/>
        <v/>
      </c>
      <c r="E869" t="str">
        <f t="shared" si="501"/>
        <v/>
      </c>
      <c r="F869" t="str">
        <f t="shared" si="501"/>
        <v/>
      </c>
      <c r="G869" t="str">
        <f t="shared" si="501"/>
        <v/>
      </c>
      <c r="H869" t="str">
        <f t="shared" si="479"/>
        <v/>
      </c>
      <c r="J869" t="str">
        <f>IF($H869="","",IF(VLOOKUP(H869,ExpItems[],2,0),H869&amp;" - "&amp;INDEX(DivisionMapping[category_code],MATCH($D869&amp;$C869,DivisionMapping[dept_bu],0)),H869))</f>
        <v/>
      </c>
      <c r="K869" t="str">
        <f t="shared" si="447"/>
        <v/>
      </c>
      <c r="L869" s="652">
        <f>IF($B869="",,SUMIFS(PerBase[Month 1],PerBase[exp_item],$H869,PerBase[company_name],$B869)*L449)</f>
        <v>0</v>
      </c>
      <c r="M869" s="652">
        <f>IF($B869="",,SUMIFS(PerBase[Month 2],PerBase[exp_item],$H869,PerBase[company_name],$B869)*M449)</f>
        <v>0</v>
      </c>
      <c r="N869" s="652">
        <f>IF($B869="",,SUMIFS(PerBase[Month 3],PerBase[exp_item],$H869,PerBase[company_name],$B869)*N449)</f>
        <v>0</v>
      </c>
      <c r="O869" s="652">
        <f>IF($B869="",,SUMIFS(PerBase[Month 4],PerBase[exp_item],$H869,PerBase[company_name],$B869)*O449)</f>
        <v>0</v>
      </c>
      <c r="P869" s="652">
        <f>IF($B869="",,SUMIFS(PerBase[Month 5],PerBase[exp_item],$H869,PerBase[company_name],$B869)*P449)</f>
        <v>0</v>
      </c>
      <c r="Q869" s="652">
        <f>IF($B869="",,SUMIFS(PerBase[Month 6],PerBase[exp_item],$H869,PerBase[company_name],$B869)*Q449)</f>
        <v>0</v>
      </c>
      <c r="R869" s="652">
        <f>IF($B869="",,SUMIFS(PerBase[Month 7],PerBase[exp_item],$H869,PerBase[company_name],$B869)*R449)</f>
        <v>0</v>
      </c>
      <c r="S869" s="652">
        <f>IF($B869="",,SUMIFS(PerBase[Month 8],PerBase[exp_item],$H869,PerBase[company_name],$B869)*S449)</f>
        <v>0</v>
      </c>
      <c r="T869" s="652">
        <f>IF($B869="",,SUMIFS(PerBase[Month 9],PerBase[exp_item],$H869,PerBase[company_name],$B869)*T449)</f>
        <v>0</v>
      </c>
      <c r="U869" s="652">
        <f>IF($B869="",,SUMIFS(PerBase[Month 10],PerBase[exp_item],$H869,PerBase[company_name],$B869)*U449)</f>
        <v>0</v>
      </c>
      <c r="V869" s="652">
        <f>IF($B869="",,SUMIFS(PerBase[Month 11],PerBase[exp_item],$H869,PerBase[company_name],$B869)*V449)</f>
        <v>0</v>
      </c>
      <c r="W869" s="652">
        <f>IF($B869="",,SUMIFS(PerBase[Month 12],PerBase[exp_item],$H869,PerBase[company_name],$B869)*W449)</f>
        <v>0</v>
      </c>
      <c r="X869" s="652">
        <f>IF($B869="",,SUMIFS(PerBase[Month 13],PerBase[exp_item],$H869,PerBase[company_name],$B869)*X449)</f>
        <v>0</v>
      </c>
      <c r="Y869" s="652">
        <f>IF($B869="",,SUMIFS(PerBase[Month 14],PerBase[exp_item],$H869,PerBase[company_name],$B869)*Y449)</f>
        <v>0</v>
      </c>
      <c r="Z869" s="652">
        <f>IF($B869="",,SUMIFS(PerBase[Month 15],PerBase[exp_item],$H869,PerBase[company_name],$B869)*Z449)</f>
        <v>0</v>
      </c>
      <c r="AA869" s="652">
        <f>IF($B869="",,SUMIFS(PerBase[Month 16],PerBase[exp_item],$H869,PerBase[company_name],$B869)*AA449)</f>
        <v>0</v>
      </c>
      <c r="AB869" s="652">
        <f>IF($B869="",,SUMIFS(PerBase[Month 17],PerBase[exp_item],$H869,PerBase[company_name],$B869)*AB449)</f>
        <v>0</v>
      </c>
      <c r="AC869" s="652">
        <f>IF($B869="",,SUMIFS(PerBase[Month 18],PerBase[exp_item],$H869,PerBase[company_name],$B869)*AC449)</f>
        <v>0</v>
      </c>
      <c r="AD869" s="652">
        <f>IF($B869="",,SUMIFS(PerBase[Month 19],PerBase[exp_item],$H869,PerBase[company_name],$B869)*AD449)</f>
        <v>0</v>
      </c>
      <c r="AE869" s="652">
        <f>IF($B869="",,SUMIFS(PerBase[Month 20],PerBase[exp_item],$H869,PerBase[company_name],$B869)*AE449)</f>
        <v>0</v>
      </c>
      <c r="AF869" s="652">
        <f>IF($B869="",,SUMIFS(PerBase[Month 21],PerBase[exp_item],$H869,PerBase[company_name],$B869)*AF449)</f>
        <v>0</v>
      </c>
      <c r="AG869" s="652">
        <f>IF($B869="",,SUMIFS(PerBase[Month 22],PerBase[exp_item],$H869,PerBase[company_name],$B869)*AG449)</f>
        <v>0</v>
      </c>
      <c r="AH869" s="652">
        <f>IF($B869="",,SUMIFS(PerBase[Month 23],PerBase[exp_item],$H869,PerBase[company_name],$B869)*AH449)</f>
        <v>0</v>
      </c>
      <c r="AI869" s="652">
        <f>IF($B869="",,SUMIFS(PerBase[Month 24],PerBase[exp_item],$H869,PerBase[company_name],$B869)*AI449)</f>
        <v>0</v>
      </c>
      <c r="AJ869" s="652">
        <f>IF($B869="",,SUMIFS(PerBase[Month 25],PerBase[exp_item],$H869,PerBase[company_name],$B869)*AJ449)</f>
        <v>0</v>
      </c>
      <c r="AK869" s="652">
        <f>IF($B869="",,SUMIFS(PerBase[Month 26],PerBase[exp_item],$H869,PerBase[company_name],$B869)*AK449)</f>
        <v>0</v>
      </c>
      <c r="AL869" s="652">
        <f>IF($B869="",,SUMIFS(PerBase[Month 27],PerBase[exp_item],$H869,PerBase[company_name],$B869)*AL449)</f>
        <v>0</v>
      </c>
      <c r="AM869" s="652">
        <f>IF($B869="",,SUMIFS(PerBase[Month 28],PerBase[exp_item],$H869,PerBase[company_name],$B869)*AM449)</f>
        <v>0</v>
      </c>
      <c r="AN869" s="652">
        <f>IF($B869="",,SUMIFS(PerBase[Month 29],PerBase[exp_item],$H869,PerBase[company_name],$B869)*AN449)</f>
        <v>0</v>
      </c>
      <c r="AO869" s="652">
        <f>IF($B869="",,SUMIFS(PerBase[Month 30],PerBase[exp_item],$H869,PerBase[company_name],$B869)*AO449)</f>
        <v>0</v>
      </c>
      <c r="AP869" s="652">
        <f>IF($B869="",,SUMIFS(PerBase[Month 31],PerBase[exp_item],$H869,PerBase[company_name],$B869)*AP449)</f>
        <v>0</v>
      </c>
      <c r="AQ869" s="652">
        <f>IF($B869="",,SUMIFS(PerBase[Month 32],PerBase[exp_item],$H869,PerBase[company_name],$B869)*AQ449)</f>
        <v>0</v>
      </c>
      <c r="AR869" s="652">
        <f>IF($B869="",,SUMIFS(PerBase[Month 33],PerBase[exp_item],$H869,PerBase[company_name],$B869)*AR449)</f>
        <v>0</v>
      </c>
      <c r="AS869" s="652">
        <f>IF($B869="",,SUMIFS(PerBase[Month 34],PerBase[exp_item],$H869,PerBase[company_name],$B869)*AS449)</f>
        <v>0</v>
      </c>
      <c r="AT869" s="652">
        <f>IF($B869="",,SUMIFS(PerBase[Month 35],PerBase[exp_item],$H869,PerBase[company_name],$B869)*AT449)</f>
        <v>0</v>
      </c>
      <c r="AU869" s="652">
        <f>IF($B869="",,SUMIFS(PerBase[Month 36],PerBase[exp_item],$H869,PerBase[company_name],$B869)*AU449)</f>
        <v>0</v>
      </c>
    </row>
    <row r="870" spans="2:47" x14ac:dyDescent="0.35">
      <c r="B870" t="str">
        <f t="shared" si="480"/>
        <v/>
      </c>
      <c r="C870" t="str">
        <f t="shared" ref="C870:G870" si="502">IF(C765="","",C765)</f>
        <v/>
      </c>
      <c r="D870" t="str">
        <f t="shared" si="502"/>
        <v/>
      </c>
      <c r="E870" t="str">
        <f t="shared" si="502"/>
        <v/>
      </c>
      <c r="F870" t="str">
        <f t="shared" si="502"/>
        <v/>
      </c>
      <c r="G870" t="str">
        <f t="shared" si="502"/>
        <v/>
      </c>
      <c r="H870" t="str">
        <f t="shared" si="479"/>
        <v/>
      </c>
      <c r="J870" t="str">
        <f>IF($H870="","",IF(VLOOKUP(H870,ExpItems[],2,0),H870&amp;" - "&amp;INDEX(DivisionMapping[category_code],MATCH($D870&amp;$C870,DivisionMapping[dept_bu],0)),H870))</f>
        <v/>
      </c>
      <c r="K870" t="str">
        <f t="shared" si="447"/>
        <v/>
      </c>
      <c r="L870" s="652">
        <f>IF($B870="",,SUMIFS(PerBase[Month 1],PerBase[exp_item],$H870,PerBase[company_name],$B870)*L450)</f>
        <v>0</v>
      </c>
      <c r="M870" s="652">
        <f>IF($B870="",,SUMIFS(PerBase[Month 2],PerBase[exp_item],$H870,PerBase[company_name],$B870)*M450)</f>
        <v>0</v>
      </c>
      <c r="N870" s="652">
        <f>IF($B870="",,SUMIFS(PerBase[Month 3],PerBase[exp_item],$H870,PerBase[company_name],$B870)*N450)</f>
        <v>0</v>
      </c>
      <c r="O870" s="652">
        <f>IF($B870="",,SUMIFS(PerBase[Month 4],PerBase[exp_item],$H870,PerBase[company_name],$B870)*O450)</f>
        <v>0</v>
      </c>
      <c r="P870" s="652">
        <f>IF($B870="",,SUMIFS(PerBase[Month 5],PerBase[exp_item],$H870,PerBase[company_name],$B870)*P450)</f>
        <v>0</v>
      </c>
      <c r="Q870" s="652">
        <f>IF($B870="",,SUMIFS(PerBase[Month 6],PerBase[exp_item],$H870,PerBase[company_name],$B870)*Q450)</f>
        <v>0</v>
      </c>
      <c r="R870" s="652">
        <f>IF($B870="",,SUMIFS(PerBase[Month 7],PerBase[exp_item],$H870,PerBase[company_name],$B870)*R450)</f>
        <v>0</v>
      </c>
      <c r="S870" s="652">
        <f>IF($B870="",,SUMIFS(PerBase[Month 8],PerBase[exp_item],$H870,PerBase[company_name],$B870)*S450)</f>
        <v>0</v>
      </c>
      <c r="T870" s="652">
        <f>IF($B870="",,SUMIFS(PerBase[Month 9],PerBase[exp_item],$H870,PerBase[company_name],$B870)*T450)</f>
        <v>0</v>
      </c>
      <c r="U870" s="652">
        <f>IF($B870="",,SUMIFS(PerBase[Month 10],PerBase[exp_item],$H870,PerBase[company_name],$B870)*U450)</f>
        <v>0</v>
      </c>
      <c r="V870" s="652">
        <f>IF($B870="",,SUMIFS(PerBase[Month 11],PerBase[exp_item],$H870,PerBase[company_name],$B870)*V450)</f>
        <v>0</v>
      </c>
      <c r="W870" s="652">
        <f>IF($B870="",,SUMIFS(PerBase[Month 12],PerBase[exp_item],$H870,PerBase[company_name],$B870)*W450)</f>
        <v>0</v>
      </c>
      <c r="X870" s="652">
        <f>IF($B870="",,SUMIFS(PerBase[Month 13],PerBase[exp_item],$H870,PerBase[company_name],$B870)*X450)</f>
        <v>0</v>
      </c>
      <c r="Y870" s="652">
        <f>IF($B870="",,SUMIFS(PerBase[Month 14],PerBase[exp_item],$H870,PerBase[company_name],$B870)*Y450)</f>
        <v>0</v>
      </c>
      <c r="Z870" s="652">
        <f>IF($B870="",,SUMIFS(PerBase[Month 15],PerBase[exp_item],$H870,PerBase[company_name],$B870)*Z450)</f>
        <v>0</v>
      </c>
      <c r="AA870" s="652">
        <f>IF($B870="",,SUMIFS(PerBase[Month 16],PerBase[exp_item],$H870,PerBase[company_name],$B870)*AA450)</f>
        <v>0</v>
      </c>
      <c r="AB870" s="652">
        <f>IF($B870="",,SUMIFS(PerBase[Month 17],PerBase[exp_item],$H870,PerBase[company_name],$B870)*AB450)</f>
        <v>0</v>
      </c>
      <c r="AC870" s="652">
        <f>IF($B870="",,SUMIFS(PerBase[Month 18],PerBase[exp_item],$H870,PerBase[company_name],$B870)*AC450)</f>
        <v>0</v>
      </c>
      <c r="AD870" s="652">
        <f>IF($B870="",,SUMIFS(PerBase[Month 19],PerBase[exp_item],$H870,PerBase[company_name],$B870)*AD450)</f>
        <v>0</v>
      </c>
      <c r="AE870" s="652">
        <f>IF($B870="",,SUMIFS(PerBase[Month 20],PerBase[exp_item],$H870,PerBase[company_name],$B870)*AE450)</f>
        <v>0</v>
      </c>
      <c r="AF870" s="652">
        <f>IF($B870="",,SUMIFS(PerBase[Month 21],PerBase[exp_item],$H870,PerBase[company_name],$B870)*AF450)</f>
        <v>0</v>
      </c>
      <c r="AG870" s="652">
        <f>IF($B870="",,SUMIFS(PerBase[Month 22],PerBase[exp_item],$H870,PerBase[company_name],$B870)*AG450)</f>
        <v>0</v>
      </c>
      <c r="AH870" s="652">
        <f>IF($B870="",,SUMIFS(PerBase[Month 23],PerBase[exp_item],$H870,PerBase[company_name],$B870)*AH450)</f>
        <v>0</v>
      </c>
      <c r="AI870" s="652">
        <f>IF($B870="",,SUMIFS(PerBase[Month 24],PerBase[exp_item],$H870,PerBase[company_name],$B870)*AI450)</f>
        <v>0</v>
      </c>
      <c r="AJ870" s="652">
        <f>IF($B870="",,SUMIFS(PerBase[Month 25],PerBase[exp_item],$H870,PerBase[company_name],$B870)*AJ450)</f>
        <v>0</v>
      </c>
      <c r="AK870" s="652">
        <f>IF($B870="",,SUMIFS(PerBase[Month 26],PerBase[exp_item],$H870,PerBase[company_name],$B870)*AK450)</f>
        <v>0</v>
      </c>
      <c r="AL870" s="652">
        <f>IF($B870="",,SUMIFS(PerBase[Month 27],PerBase[exp_item],$H870,PerBase[company_name],$B870)*AL450)</f>
        <v>0</v>
      </c>
      <c r="AM870" s="652">
        <f>IF($B870="",,SUMIFS(PerBase[Month 28],PerBase[exp_item],$H870,PerBase[company_name],$B870)*AM450)</f>
        <v>0</v>
      </c>
      <c r="AN870" s="652">
        <f>IF($B870="",,SUMIFS(PerBase[Month 29],PerBase[exp_item],$H870,PerBase[company_name],$B870)*AN450)</f>
        <v>0</v>
      </c>
      <c r="AO870" s="652">
        <f>IF($B870="",,SUMIFS(PerBase[Month 30],PerBase[exp_item],$H870,PerBase[company_name],$B870)*AO450)</f>
        <v>0</v>
      </c>
      <c r="AP870" s="652">
        <f>IF($B870="",,SUMIFS(PerBase[Month 31],PerBase[exp_item],$H870,PerBase[company_name],$B870)*AP450)</f>
        <v>0</v>
      </c>
      <c r="AQ870" s="652">
        <f>IF($B870="",,SUMIFS(PerBase[Month 32],PerBase[exp_item],$H870,PerBase[company_name],$B870)*AQ450)</f>
        <v>0</v>
      </c>
      <c r="AR870" s="652">
        <f>IF($B870="",,SUMIFS(PerBase[Month 33],PerBase[exp_item],$H870,PerBase[company_name],$B870)*AR450)</f>
        <v>0</v>
      </c>
      <c r="AS870" s="652">
        <f>IF($B870="",,SUMIFS(PerBase[Month 34],PerBase[exp_item],$H870,PerBase[company_name],$B870)*AS450)</f>
        <v>0</v>
      </c>
      <c r="AT870" s="652">
        <f>IF($B870="",,SUMIFS(PerBase[Month 35],PerBase[exp_item],$H870,PerBase[company_name],$B870)*AT450)</f>
        <v>0</v>
      </c>
      <c r="AU870" s="652">
        <f>IF($B870="",,SUMIFS(PerBase[Month 36],PerBase[exp_item],$H870,PerBase[company_name],$B870)*AU450)</f>
        <v>0</v>
      </c>
    </row>
    <row r="871" spans="2:47" x14ac:dyDescent="0.35">
      <c r="B871" t="str">
        <f t="shared" si="480"/>
        <v/>
      </c>
      <c r="C871" t="str">
        <f t="shared" ref="C871:G871" si="503">IF(C766="","",C766)</f>
        <v/>
      </c>
      <c r="D871" t="str">
        <f t="shared" si="503"/>
        <v/>
      </c>
      <c r="E871" t="str">
        <f t="shared" si="503"/>
        <v/>
      </c>
      <c r="F871" t="str">
        <f t="shared" si="503"/>
        <v/>
      </c>
      <c r="G871" t="str">
        <f t="shared" si="503"/>
        <v/>
      </c>
      <c r="H871" t="str">
        <f t="shared" si="479"/>
        <v/>
      </c>
      <c r="J871" t="str">
        <f>IF($H871="","",IF(VLOOKUP(H871,ExpItems[],2,0),H871&amp;" - "&amp;INDEX(DivisionMapping[category_code],MATCH($D871&amp;$C871,DivisionMapping[dept_bu],0)),H871))</f>
        <v/>
      </c>
      <c r="K871" t="str">
        <f t="shared" si="447"/>
        <v/>
      </c>
      <c r="L871" s="652">
        <f>IF($B871="",,SUMIFS(PerBase[Month 1],PerBase[exp_item],$H871,PerBase[company_name],$B871)*L451)</f>
        <v>0</v>
      </c>
      <c r="M871" s="652">
        <f>IF($B871="",,SUMIFS(PerBase[Month 2],PerBase[exp_item],$H871,PerBase[company_name],$B871)*M451)</f>
        <v>0</v>
      </c>
      <c r="N871" s="652">
        <f>IF($B871="",,SUMIFS(PerBase[Month 3],PerBase[exp_item],$H871,PerBase[company_name],$B871)*N451)</f>
        <v>0</v>
      </c>
      <c r="O871" s="652">
        <f>IF($B871="",,SUMIFS(PerBase[Month 4],PerBase[exp_item],$H871,PerBase[company_name],$B871)*O451)</f>
        <v>0</v>
      </c>
      <c r="P871" s="652">
        <f>IF($B871="",,SUMIFS(PerBase[Month 5],PerBase[exp_item],$H871,PerBase[company_name],$B871)*P451)</f>
        <v>0</v>
      </c>
      <c r="Q871" s="652">
        <f>IF($B871="",,SUMIFS(PerBase[Month 6],PerBase[exp_item],$H871,PerBase[company_name],$B871)*Q451)</f>
        <v>0</v>
      </c>
      <c r="R871" s="652">
        <f>IF($B871="",,SUMIFS(PerBase[Month 7],PerBase[exp_item],$H871,PerBase[company_name],$B871)*R451)</f>
        <v>0</v>
      </c>
      <c r="S871" s="652">
        <f>IF($B871="",,SUMIFS(PerBase[Month 8],PerBase[exp_item],$H871,PerBase[company_name],$B871)*S451)</f>
        <v>0</v>
      </c>
      <c r="T871" s="652">
        <f>IF($B871="",,SUMIFS(PerBase[Month 9],PerBase[exp_item],$H871,PerBase[company_name],$B871)*T451)</f>
        <v>0</v>
      </c>
      <c r="U871" s="652">
        <f>IF($B871="",,SUMIFS(PerBase[Month 10],PerBase[exp_item],$H871,PerBase[company_name],$B871)*U451)</f>
        <v>0</v>
      </c>
      <c r="V871" s="652">
        <f>IF($B871="",,SUMIFS(PerBase[Month 11],PerBase[exp_item],$H871,PerBase[company_name],$B871)*V451)</f>
        <v>0</v>
      </c>
      <c r="W871" s="652">
        <f>IF($B871="",,SUMIFS(PerBase[Month 12],PerBase[exp_item],$H871,PerBase[company_name],$B871)*W451)</f>
        <v>0</v>
      </c>
      <c r="X871" s="652">
        <f>IF($B871="",,SUMIFS(PerBase[Month 13],PerBase[exp_item],$H871,PerBase[company_name],$B871)*X451)</f>
        <v>0</v>
      </c>
      <c r="Y871" s="652">
        <f>IF($B871="",,SUMIFS(PerBase[Month 14],PerBase[exp_item],$H871,PerBase[company_name],$B871)*Y451)</f>
        <v>0</v>
      </c>
      <c r="Z871" s="652">
        <f>IF($B871="",,SUMIFS(PerBase[Month 15],PerBase[exp_item],$H871,PerBase[company_name],$B871)*Z451)</f>
        <v>0</v>
      </c>
      <c r="AA871" s="652">
        <f>IF($B871="",,SUMIFS(PerBase[Month 16],PerBase[exp_item],$H871,PerBase[company_name],$B871)*AA451)</f>
        <v>0</v>
      </c>
      <c r="AB871" s="652">
        <f>IF($B871="",,SUMIFS(PerBase[Month 17],PerBase[exp_item],$H871,PerBase[company_name],$B871)*AB451)</f>
        <v>0</v>
      </c>
      <c r="AC871" s="652">
        <f>IF($B871="",,SUMIFS(PerBase[Month 18],PerBase[exp_item],$H871,PerBase[company_name],$B871)*AC451)</f>
        <v>0</v>
      </c>
      <c r="AD871" s="652">
        <f>IF($B871="",,SUMIFS(PerBase[Month 19],PerBase[exp_item],$H871,PerBase[company_name],$B871)*AD451)</f>
        <v>0</v>
      </c>
      <c r="AE871" s="652">
        <f>IF($B871="",,SUMIFS(PerBase[Month 20],PerBase[exp_item],$H871,PerBase[company_name],$B871)*AE451)</f>
        <v>0</v>
      </c>
      <c r="AF871" s="652">
        <f>IF($B871="",,SUMIFS(PerBase[Month 21],PerBase[exp_item],$H871,PerBase[company_name],$B871)*AF451)</f>
        <v>0</v>
      </c>
      <c r="AG871" s="652">
        <f>IF($B871="",,SUMIFS(PerBase[Month 22],PerBase[exp_item],$H871,PerBase[company_name],$B871)*AG451)</f>
        <v>0</v>
      </c>
      <c r="AH871" s="652">
        <f>IF($B871="",,SUMIFS(PerBase[Month 23],PerBase[exp_item],$H871,PerBase[company_name],$B871)*AH451)</f>
        <v>0</v>
      </c>
      <c r="AI871" s="652">
        <f>IF($B871="",,SUMIFS(PerBase[Month 24],PerBase[exp_item],$H871,PerBase[company_name],$B871)*AI451)</f>
        <v>0</v>
      </c>
      <c r="AJ871" s="652">
        <f>IF($B871="",,SUMIFS(PerBase[Month 25],PerBase[exp_item],$H871,PerBase[company_name],$B871)*AJ451)</f>
        <v>0</v>
      </c>
      <c r="AK871" s="652">
        <f>IF($B871="",,SUMIFS(PerBase[Month 26],PerBase[exp_item],$H871,PerBase[company_name],$B871)*AK451)</f>
        <v>0</v>
      </c>
      <c r="AL871" s="652">
        <f>IF($B871="",,SUMIFS(PerBase[Month 27],PerBase[exp_item],$H871,PerBase[company_name],$B871)*AL451)</f>
        <v>0</v>
      </c>
      <c r="AM871" s="652">
        <f>IF($B871="",,SUMIFS(PerBase[Month 28],PerBase[exp_item],$H871,PerBase[company_name],$B871)*AM451)</f>
        <v>0</v>
      </c>
      <c r="AN871" s="652">
        <f>IF($B871="",,SUMIFS(PerBase[Month 29],PerBase[exp_item],$H871,PerBase[company_name],$B871)*AN451)</f>
        <v>0</v>
      </c>
      <c r="AO871" s="652">
        <f>IF($B871="",,SUMIFS(PerBase[Month 30],PerBase[exp_item],$H871,PerBase[company_name],$B871)*AO451)</f>
        <v>0</v>
      </c>
      <c r="AP871" s="652">
        <f>IF($B871="",,SUMIFS(PerBase[Month 31],PerBase[exp_item],$H871,PerBase[company_name],$B871)*AP451)</f>
        <v>0</v>
      </c>
      <c r="AQ871" s="652">
        <f>IF($B871="",,SUMIFS(PerBase[Month 32],PerBase[exp_item],$H871,PerBase[company_name],$B871)*AQ451)</f>
        <v>0</v>
      </c>
      <c r="AR871" s="652">
        <f>IF($B871="",,SUMIFS(PerBase[Month 33],PerBase[exp_item],$H871,PerBase[company_name],$B871)*AR451)</f>
        <v>0</v>
      </c>
      <c r="AS871" s="652">
        <f>IF($B871="",,SUMIFS(PerBase[Month 34],PerBase[exp_item],$H871,PerBase[company_name],$B871)*AS451)</f>
        <v>0</v>
      </c>
      <c r="AT871" s="652">
        <f>IF($B871="",,SUMIFS(PerBase[Month 35],PerBase[exp_item],$H871,PerBase[company_name],$B871)*AT451)</f>
        <v>0</v>
      </c>
      <c r="AU871" s="652">
        <f>IF($B871="",,SUMIFS(PerBase[Month 36],PerBase[exp_item],$H871,PerBase[company_name],$B871)*AU451)</f>
        <v>0</v>
      </c>
    </row>
    <row r="872" spans="2:47" x14ac:dyDescent="0.35">
      <c r="B872" t="str">
        <f t="shared" si="480"/>
        <v/>
      </c>
      <c r="C872" t="str">
        <f t="shared" ref="C872:G872" si="504">IF(C767="","",C767)</f>
        <v/>
      </c>
      <c r="D872" t="str">
        <f t="shared" si="504"/>
        <v/>
      </c>
      <c r="E872" t="str">
        <f t="shared" si="504"/>
        <v/>
      </c>
      <c r="F872" t="str">
        <f t="shared" si="504"/>
        <v/>
      </c>
      <c r="G872" t="str">
        <f t="shared" si="504"/>
        <v/>
      </c>
      <c r="H872" t="str">
        <f t="shared" si="479"/>
        <v/>
      </c>
      <c r="J872" t="str">
        <f>IF($H872="","",IF(VLOOKUP(H872,ExpItems[],2,0),H872&amp;" - "&amp;INDEX(DivisionMapping[category_code],MATCH($D872&amp;$C872,DivisionMapping[dept_bu],0)),H872))</f>
        <v/>
      </c>
      <c r="K872" t="str">
        <f t="shared" si="447"/>
        <v/>
      </c>
      <c r="L872" s="652">
        <f>IF($B872="",,SUMIFS(PerBase[Month 1],PerBase[exp_item],$H872,PerBase[company_name],$B872)*L452)</f>
        <v>0</v>
      </c>
      <c r="M872" s="652">
        <f>IF($B872="",,SUMIFS(PerBase[Month 2],PerBase[exp_item],$H872,PerBase[company_name],$B872)*M452)</f>
        <v>0</v>
      </c>
      <c r="N872" s="652">
        <f>IF($B872="",,SUMIFS(PerBase[Month 3],PerBase[exp_item],$H872,PerBase[company_name],$B872)*N452)</f>
        <v>0</v>
      </c>
      <c r="O872" s="652">
        <f>IF($B872="",,SUMIFS(PerBase[Month 4],PerBase[exp_item],$H872,PerBase[company_name],$B872)*O452)</f>
        <v>0</v>
      </c>
      <c r="P872" s="652">
        <f>IF($B872="",,SUMIFS(PerBase[Month 5],PerBase[exp_item],$H872,PerBase[company_name],$B872)*P452)</f>
        <v>0</v>
      </c>
      <c r="Q872" s="652">
        <f>IF($B872="",,SUMIFS(PerBase[Month 6],PerBase[exp_item],$H872,PerBase[company_name],$B872)*Q452)</f>
        <v>0</v>
      </c>
      <c r="R872" s="652">
        <f>IF($B872="",,SUMIFS(PerBase[Month 7],PerBase[exp_item],$H872,PerBase[company_name],$B872)*R452)</f>
        <v>0</v>
      </c>
      <c r="S872" s="652">
        <f>IF($B872="",,SUMIFS(PerBase[Month 8],PerBase[exp_item],$H872,PerBase[company_name],$B872)*S452)</f>
        <v>0</v>
      </c>
      <c r="T872" s="652">
        <f>IF($B872="",,SUMIFS(PerBase[Month 9],PerBase[exp_item],$H872,PerBase[company_name],$B872)*T452)</f>
        <v>0</v>
      </c>
      <c r="U872" s="652">
        <f>IF($B872="",,SUMIFS(PerBase[Month 10],PerBase[exp_item],$H872,PerBase[company_name],$B872)*U452)</f>
        <v>0</v>
      </c>
      <c r="V872" s="652">
        <f>IF($B872="",,SUMIFS(PerBase[Month 11],PerBase[exp_item],$H872,PerBase[company_name],$B872)*V452)</f>
        <v>0</v>
      </c>
      <c r="W872" s="652">
        <f>IF($B872="",,SUMIFS(PerBase[Month 12],PerBase[exp_item],$H872,PerBase[company_name],$B872)*W452)</f>
        <v>0</v>
      </c>
      <c r="X872" s="652">
        <f>IF($B872="",,SUMIFS(PerBase[Month 13],PerBase[exp_item],$H872,PerBase[company_name],$B872)*X452)</f>
        <v>0</v>
      </c>
      <c r="Y872" s="652">
        <f>IF($B872="",,SUMIFS(PerBase[Month 14],PerBase[exp_item],$H872,PerBase[company_name],$B872)*Y452)</f>
        <v>0</v>
      </c>
      <c r="Z872" s="652">
        <f>IF($B872="",,SUMIFS(PerBase[Month 15],PerBase[exp_item],$H872,PerBase[company_name],$B872)*Z452)</f>
        <v>0</v>
      </c>
      <c r="AA872" s="652">
        <f>IF($B872="",,SUMIFS(PerBase[Month 16],PerBase[exp_item],$H872,PerBase[company_name],$B872)*AA452)</f>
        <v>0</v>
      </c>
      <c r="AB872" s="652">
        <f>IF($B872="",,SUMIFS(PerBase[Month 17],PerBase[exp_item],$H872,PerBase[company_name],$B872)*AB452)</f>
        <v>0</v>
      </c>
      <c r="AC872" s="652">
        <f>IF($B872="",,SUMIFS(PerBase[Month 18],PerBase[exp_item],$H872,PerBase[company_name],$B872)*AC452)</f>
        <v>0</v>
      </c>
      <c r="AD872" s="652">
        <f>IF($B872="",,SUMIFS(PerBase[Month 19],PerBase[exp_item],$H872,PerBase[company_name],$B872)*AD452)</f>
        <v>0</v>
      </c>
      <c r="AE872" s="652">
        <f>IF($B872="",,SUMIFS(PerBase[Month 20],PerBase[exp_item],$H872,PerBase[company_name],$B872)*AE452)</f>
        <v>0</v>
      </c>
      <c r="AF872" s="652">
        <f>IF($B872="",,SUMIFS(PerBase[Month 21],PerBase[exp_item],$H872,PerBase[company_name],$B872)*AF452)</f>
        <v>0</v>
      </c>
      <c r="AG872" s="652">
        <f>IF($B872="",,SUMIFS(PerBase[Month 22],PerBase[exp_item],$H872,PerBase[company_name],$B872)*AG452)</f>
        <v>0</v>
      </c>
      <c r="AH872" s="652">
        <f>IF($B872="",,SUMIFS(PerBase[Month 23],PerBase[exp_item],$H872,PerBase[company_name],$B872)*AH452)</f>
        <v>0</v>
      </c>
      <c r="AI872" s="652">
        <f>IF($B872="",,SUMIFS(PerBase[Month 24],PerBase[exp_item],$H872,PerBase[company_name],$B872)*AI452)</f>
        <v>0</v>
      </c>
      <c r="AJ872" s="652">
        <f>IF($B872="",,SUMIFS(PerBase[Month 25],PerBase[exp_item],$H872,PerBase[company_name],$B872)*AJ452)</f>
        <v>0</v>
      </c>
      <c r="AK872" s="652">
        <f>IF($B872="",,SUMIFS(PerBase[Month 26],PerBase[exp_item],$H872,PerBase[company_name],$B872)*AK452)</f>
        <v>0</v>
      </c>
      <c r="AL872" s="652">
        <f>IF($B872="",,SUMIFS(PerBase[Month 27],PerBase[exp_item],$H872,PerBase[company_name],$B872)*AL452)</f>
        <v>0</v>
      </c>
      <c r="AM872" s="652">
        <f>IF($B872="",,SUMIFS(PerBase[Month 28],PerBase[exp_item],$H872,PerBase[company_name],$B872)*AM452)</f>
        <v>0</v>
      </c>
      <c r="AN872" s="652">
        <f>IF($B872="",,SUMIFS(PerBase[Month 29],PerBase[exp_item],$H872,PerBase[company_name],$B872)*AN452)</f>
        <v>0</v>
      </c>
      <c r="AO872" s="652">
        <f>IF($B872="",,SUMIFS(PerBase[Month 30],PerBase[exp_item],$H872,PerBase[company_name],$B872)*AO452)</f>
        <v>0</v>
      </c>
      <c r="AP872" s="652">
        <f>IF($B872="",,SUMIFS(PerBase[Month 31],PerBase[exp_item],$H872,PerBase[company_name],$B872)*AP452)</f>
        <v>0</v>
      </c>
      <c r="AQ872" s="652">
        <f>IF($B872="",,SUMIFS(PerBase[Month 32],PerBase[exp_item],$H872,PerBase[company_name],$B872)*AQ452)</f>
        <v>0</v>
      </c>
      <c r="AR872" s="652">
        <f>IF($B872="",,SUMIFS(PerBase[Month 33],PerBase[exp_item],$H872,PerBase[company_name],$B872)*AR452)</f>
        <v>0</v>
      </c>
      <c r="AS872" s="652">
        <f>IF($B872="",,SUMIFS(PerBase[Month 34],PerBase[exp_item],$H872,PerBase[company_name],$B872)*AS452)</f>
        <v>0</v>
      </c>
      <c r="AT872" s="652">
        <f>IF($B872="",,SUMIFS(PerBase[Month 35],PerBase[exp_item],$H872,PerBase[company_name],$B872)*AT452)</f>
        <v>0</v>
      </c>
      <c r="AU872" s="652">
        <f>IF($B872="",,SUMIFS(PerBase[Month 36],PerBase[exp_item],$H872,PerBase[company_name],$B872)*AU452)</f>
        <v>0</v>
      </c>
    </row>
    <row r="873" spans="2:47" x14ac:dyDescent="0.35">
      <c r="B873" t="str">
        <f t="shared" si="480"/>
        <v/>
      </c>
      <c r="C873" t="str">
        <f t="shared" ref="C873:G873" si="505">IF(C768="","",C768)</f>
        <v/>
      </c>
      <c r="D873" t="str">
        <f t="shared" si="505"/>
        <v/>
      </c>
      <c r="E873" t="str">
        <f t="shared" si="505"/>
        <v/>
      </c>
      <c r="F873" t="str">
        <f t="shared" si="505"/>
        <v/>
      </c>
      <c r="G873" t="str">
        <f t="shared" si="505"/>
        <v/>
      </c>
      <c r="H873" t="str">
        <f t="shared" si="479"/>
        <v/>
      </c>
      <c r="J873" t="str">
        <f>IF($H873="","",IF(VLOOKUP(H873,ExpItems[],2,0),H873&amp;" - "&amp;INDEX(DivisionMapping[category_code],MATCH($D873&amp;$C873,DivisionMapping[dept_bu],0)),H873))</f>
        <v/>
      </c>
      <c r="K873" t="str">
        <f t="shared" si="447"/>
        <v/>
      </c>
      <c r="L873" s="652">
        <f>IF($B873="",,SUMIFS(PerBase[Month 1],PerBase[exp_item],$H873,PerBase[company_name],$B873)*L453)</f>
        <v>0</v>
      </c>
      <c r="M873" s="652">
        <f>IF($B873="",,SUMIFS(PerBase[Month 2],PerBase[exp_item],$H873,PerBase[company_name],$B873)*M453)</f>
        <v>0</v>
      </c>
      <c r="N873" s="652">
        <f>IF($B873="",,SUMIFS(PerBase[Month 3],PerBase[exp_item],$H873,PerBase[company_name],$B873)*N453)</f>
        <v>0</v>
      </c>
      <c r="O873" s="652">
        <f>IF($B873="",,SUMIFS(PerBase[Month 4],PerBase[exp_item],$H873,PerBase[company_name],$B873)*O453)</f>
        <v>0</v>
      </c>
      <c r="P873" s="652">
        <f>IF($B873="",,SUMIFS(PerBase[Month 5],PerBase[exp_item],$H873,PerBase[company_name],$B873)*P453)</f>
        <v>0</v>
      </c>
      <c r="Q873" s="652">
        <f>IF($B873="",,SUMIFS(PerBase[Month 6],PerBase[exp_item],$H873,PerBase[company_name],$B873)*Q453)</f>
        <v>0</v>
      </c>
      <c r="R873" s="652">
        <f>IF($B873="",,SUMIFS(PerBase[Month 7],PerBase[exp_item],$H873,PerBase[company_name],$B873)*R453)</f>
        <v>0</v>
      </c>
      <c r="S873" s="652">
        <f>IF($B873="",,SUMIFS(PerBase[Month 8],PerBase[exp_item],$H873,PerBase[company_name],$B873)*S453)</f>
        <v>0</v>
      </c>
      <c r="T873" s="652">
        <f>IF($B873="",,SUMIFS(PerBase[Month 9],PerBase[exp_item],$H873,PerBase[company_name],$B873)*T453)</f>
        <v>0</v>
      </c>
      <c r="U873" s="652">
        <f>IF($B873="",,SUMIFS(PerBase[Month 10],PerBase[exp_item],$H873,PerBase[company_name],$B873)*U453)</f>
        <v>0</v>
      </c>
      <c r="V873" s="652">
        <f>IF($B873="",,SUMIFS(PerBase[Month 11],PerBase[exp_item],$H873,PerBase[company_name],$B873)*V453)</f>
        <v>0</v>
      </c>
      <c r="W873" s="652">
        <f>IF($B873="",,SUMIFS(PerBase[Month 12],PerBase[exp_item],$H873,PerBase[company_name],$B873)*W453)</f>
        <v>0</v>
      </c>
      <c r="X873" s="652">
        <f>IF($B873="",,SUMIFS(PerBase[Month 13],PerBase[exp_item],$H873,PerBase[company_name],$B873)*X453)</f>
        <v>0</v>
      </c>
      <c r="Y873" s="652">
        <f>IF($B873="",,SUMIFS(PerBase[Month 14],PerBase[exp_item],$H873,PerBase[company_name],$B873)*Y453)</f>
        <v>0</v>
      </c>
      <c r="Z873" s="652">
        <f>IF($B873="",,SUMIFS(PerBase[Month 15],PerBase[exp_item],$H873,PerBase[company_name],$B873)*Z453)</f>
        <v>0</v>
      </c>
      <c r="AA873" s="652">
        <f>IF($B873="",,SUMIFS(PerBase[Month 16],PerBase[exp_item],$H873,PerBase[company_name],$B873)*AA453)</f>
        <v>0</v>
      </c>
      <c r="AB873" s="652">
        <f>IF($B873="",,SUMIFS(PerBase[Month 17],PerBase[exp_item],$H873,PerBase[company_name],$B873)*AB453)</f>
        <v>0</v>
      </c>
      <c r="AC873" s="652">
        <f>IF($B873="",,SUMIFS(PerBase[Month 18],PerBase[exp_item],$H873,PerBase[company_name],$B873)*AC453)</f>
        <v>0</v>
      </c>
      <c r="AD873" s="652">
        <f>IF($B873="",,SUMIFS(PerBase[Month 19],PerBase[exp_item],$H873,PerBase[company_name],$B873)*AD453)</f>
        <v>0</v>
      </c>
      <c r="AE873" s="652">
        <f>IF($B873="",,SUMIFS(PerBase[Month 20],PerBase[exp_item],$H873,PerBase[company_name],$B873)*AE453)</f>
        <v>0</v>
      </c>
      <c r="AF873" s="652">
        <f>IF($B873="",,SUMIFS(PerBase[Month 21],PerBase[exp_item],$H873,PerBase[company_name],$B873)*AF453)</f>
        <v>0</v>
      </c>
      <c r="AG873" s="652">
        <f>IF($B873="",,SUMIFS(PerBase[Month 22],PerBase[exp_item],$H873,PerBase[company_name],$B873)*AG453)</f>
        <v>0</v>
      </c>
      <c r="AH873" s="652">
        <f>IF($B873="",,SUMIFS(PerBase[Month 23],PerBase[exp_item],$H873,PerBase[company_name],$B873)*AH453)</f>
        <v>0</v>
      </c>
      <c r="AI873" s="652">
        <f>IF($B873="",,SUMIFS(PerBase[Month 24],PerBase[exp_item],$H873,PerBase[company_name],$B873)*AI453)</f>
        <v>0</v>
      </c>
      <c r="AJ873" s="652">
        <f>IF($B873="",,SUMIFS(PerBase[Month 25],PerBase[exp_item],$H873,PerBase[company_name],$B873)*AJ453)</f>
        <v>0</v>
      </c>
      <c r="AK873" s="652">
        <f>IF($B873="",,SUMIFS(PerBase[Month 26],PerBase[exp_item],$H873,PerBase[company_name],$B873)*AK453)</f>
        <v>0</v>
      </c>
      <c r="AL873" s="652">
        <f>IF($B873="",,SUMIFS(PerBase[Month 27],PerBase[exp_item],$H873,PerBase[company_name],$B873)*AL453)</f>
        <v>0</v>
      </c>
      <c r="AM873" s="652">
        <f>IF($B873="",,SUMIFS(PerBase[Month 28],PerBase[exp_item],$H873,PerBase[company_name],$B873)*AM453)</f>
        <v>0</v>
      </c>
      <c r="AN873" s="652">
        <f>IF($B873="",,SUMIFS(PerBase[Month 29],PerBase[exp_item],$H873,PerBase[company_name],$B873)*AN453)</f>
        <v>0</v>
      </c>
      <c r="AO873" s="652">
        <f>IF($B873="",,SUMIFS(PerBase[Month 30],PerBase[exp_item],$H873,PerBase[company_name],$B873)*AO453)</f>
        <v>0</v>
      </c>
      <c r="AP873" s="652">
        <f>IF($B873="",,SUMIFS(PerBase[Month 31],PerBase[exp_item],$H873,PerBase[company_name],$B873)*AP453)</f>
        <v>0</v>
      </c>
      <c r="AQ873" s="652">
        <f>IF($B873="",,SUMIFS(PerBase[Month 32],PerBase[exp_item],$H873,PerBase[company_name],$B873)*AQ453)</f>
        <v>0</v>
      </c>
      <c r="AR873" s="652">
        <f>IF($B873="",,SUMIFS(PerBase[Month 33],PerBase[exp_item],$H873,PerBase[company_name],$B873)*AR453)</f>
        <v>0</v>
      </c>
      <c r="AS873" s="652">
        <f>IF($B873="",,SUMIFS(PerBase[Month 34],PerBase[exp_item],$H873,PerBase[company_name],$B873)*AS453)</f>
        <v>0</v>
      </c>
      <c r="AT873" s="652">
        <f>IF($B873="",,SUMIFS(PerBase[Month 35],PerBase[exp_item],$H873,PerBase[company_name],$B873)*AT453)</f>
        <v>0</v>
      </c>
      <c r="AU873" s="652">
        <f>IF($B873="",,SUMIFS(PerBase[Month 36],PerBase[exp_item],$H873,PerBase[company_name],$B873)*AU453)</f>
        <v>0</v>
      </c>
    </row>
    <row r="874" spans="2:47" x14ac:dyDescent="0.35">
      <c r="B874" t="str">
        <f t="shared" si="480"/>
        <v/>
      </c>
      <c r="C874" t="str">
        <f t="shared" ref="C874:G874" si="506">IF(C769="","",C769)</f>
        <v/>
      </c>
      <c r="D874" t="str">
        <f t="shared" si="506"/>
        <v/>
      </c>
      <c r="E874" t="str">
        <f t="shared" si="506"/>
        <v/>
      </c>
      <c r="F874" t="str">
        <f t="shared" si="506"/>
        <v/>
      </c>
      <c r="G874" t="str">
        <f t="shared" si="506"/>
        <v/>
      </c>
      <c r="H874" t="str">
        <f t="shared" si="479"/>
        <v/>
      </c>
      <c r="J874" t="str">
        <f>IF($H874="","",IF(VLOOKUP(H874,ExpItems[],2,0),H874&amp;" - "&amp;INDEX(DivisionMapping[category_code],MATCH($D874&amp;$C874,DivisionMapping[dept_bu],0)),H874))</f>
        <v/>
      </c>
      <c r="K874" t="str">
        <f t="shared" si="447"/>
        <v/>
      </c>
      <c r="L874" s="652">
        <f>IF($B874="",,SUMIFS(PerBase[Month 1],PerBase[exp_item],$H874,PerBase[company_name],$B874)*L454)</f>
        <v>0</v>
      </c>
      <c r="M874" s="652">
        <f>IF($B874="",,SUMIFS(PerBase[Month 2],PerBase[exp_item],$H874,PerBase[company_name],$B874)*M454)</f>
        <v>0</v>
      </c>
      <c r="N874" s="652">
        <f>IF($B874="",,SUMIFS(PerBase[Month 3],PerBase[exp_item],$H874,PerBase[company_name],$B874)*N454)</f>
        <v>0</v>
      </c>
      <c r="O874" s="652">
        <f>IF($B874="",,SUMIFS(PerBase[Month 4],PerBase[exp_item],$H874,PerBase[company_name],$B874)*O454)</f>
        <v>0</v>
      </c>
      <c r="P874" s="652">
        <f>IF($B874="",,SUMIFS(PerBase[Month 5],PerBase[exp_item],$H874,PerBase[company_name],$B874)*P454)</f>
        <v>0</v>
      </c>
      <c r="Q874" s="652">
        <f>IF($B874="",,SUMIFS(PerBase[Month 6],PerBase[exp_item],$H874,PerBase[company_name],$B874)*Q454)</f>
        <v>0</v>
      </c>
      <c r="R874" s="652">
        <f>IF($B874="",,SUMIFS(PerBase[Month 7],PerBase[exp_item],$H874,PerBase[company_name],$B874)*R454)</f>
        <v>0</v>
      </c>
      <c r="S874" s="652">
        <f>IF($B874="",,SUMIFS(PerBase[Month 8],PerBase[exp_item],$H874,PerBase[company_name],$B874)*S454)</f>
        <v>0</v>
      </c>
      <c r="T874" s="652">
        <f>IF($B874="",,SUMIFS(PerBase[Month 9],PerBase[exp_item],$H874,PerBase[company_name],$B874)*T454)</f>
        <v>0</v>
      </c>
      <c r="U874" s="652">
        <f>IF($B874="",,SUMIFS(PerBase[Month 10],PerBase[exp_item],$H874,PerBase[company_name],$B874)*U454)</f>
        <v>0</v>
      </c>
      <c r="V874" s="652">
        <f>IF($B874="",,SUMIFS(PerBase[Month 11],PerBase[exp_item],$H874,PerBase[company_name],$B874)*V454)</f>
        <v>0</v>
      </c>
      <c r="W874" s="652">
        <f>IF($B874="",,SUMIFS(PerBase[Month 12],PerBase[exp_item],$H874,PerBase[company_name],$B874)*W454)</f>
        <v>0</v>
      </c>
      <c r="X874" s="652">
        <f>IF($B874="",,SUMIFS(PerBase[Month 13],PerBase[exp_item],$H874,PerBase[company_name],$B874)*X454)</f>
        <v>0</v>
      </c>
      <c r="Y874" s="652">
        <f>IF($B874="",,SUMIFS(PerBase[Month 14],PerBase[exp_item],$H874,PerBase[company_name],$B874)*Y454)</f>
        <v>0</v>
      </c>
      <c r="Z874" s="652">
        <f>IF($B874="",,SUMIFS(PerBase[Month 15],PerBase[exp_item],$H874,PerBase[company_name],$B874)*Z454)</f>
        <v>0</v>
      </c>
      <c r="AA874" s="652">
        <f>IF($B874="",,SUMIFS(PerBase[Month 16],PerBase[exp_item],$H874,PerBase[company_name],$B874)*AA454)</f>
        <v>0</v>
      </c>
      <c r="AB874" s="652">
        <f>IF($B874="",,SUMIFS(PerBase[Month 17],PerBase[exp_item],$H874,PerBase[company_name],$B874)*AB454)</f>
        <v>0</v>
      </c>
      <c r="AC874" s="652">
        <f>IF($B874="",,SUMIFS(PerBase[Month 18],PerBase[exp_item],$H874,PerBase[company_name],$B874)*AC454)</f>
        <v>0</v>
      </c>
      <c r="AD874" s="652">
        <f>IF($B874="",,SUMIFS(PerBase[Month 19],PerBase[exp_item],$H874,PerBase[company_name],$B874)*AD454)</f>
        <v>0</v>
      </c>
      <c r="AE874" s="652">
        <f>IF($B874="",,SUMIFS(PerBase[Month 20],PerBase[exp_item],$H874,PerBase[company_name],$B874)*AE454)</f>
        <v>0</v>
      </c>
      <c r="AF874" s="652">
        <f>IF($B874="",,SUMIFS(PerBase[Month 21],PerBase[exp_item],$H874,PerBase[company_name],$B874)*AF454)</f>
        <v>0</v>
      </c>
      <c r="AG874" s="652">
        <f>IF($B874="",,SUMIFS(PerBase[Month 22],PerBase[exp_item],$H874,PerBase[company_name],$B874)*AG454)</f>
        <v>0</v>
      </c>
      <c r="AH874" s="652">
        <f>IF($B874="",,SUMIFS(PerBase[Month 23],PerBase[exp_item],$H874,PerBase[company_name],$B874)*AH454)</f>
        <v>0</v>
      </c>
      <c r="AI874" s="652">
        <f>IF($B874="",,SUMIFS(PerBase[Month 24],PerBase[exp_item],$H874,PerBase[company_name],$B874)*AI454)</f>
        <v>0</v>
      </c>
      <c r="AJ874" s="652">
        <f>IF($B874="",,SUMIFS(PerBase[Month 25],PerBase[exp_item],$H874,PerBase[company_name],$B874)*AJ454)</f>
        <v>0</v>
      </c>
      <c r="AK874" s="652">
        <f>IF($B874="",,SUMIFS(PerBase[Month 26],PerBase[exp_item],$H874,PerBase[company_name],$B874)*AK454)</f>
        <v>0</v>
      </c>
      <c r="AL874" s="652">
        <f>IF($B874="",,SUMIFS(PerBase[Month 27],PerBase[exp_item],$H874,PerBase[company_name],$B874)*AL454)</f>
        <v>0</v>
      </c>
      <c r="AM874" s="652">
        <f>IF($B874="",,SUMIFS(PerBase[Month 28],PerBase[exp_item],$H874,PerBase[company_name],$B874)*AM454)</f>
        <v>0</v>
      </c>
      <c r="AN874" s="652">
        <f>IF($B874="",,SUMIFS(PerBase[Month 29],PerBase[exp_item],$H874,PerBase[company_name],$B874)*AN454)</f>
        <v>0</v>
      </c>
      <c r="AO874" s="652">
        <f>IF($B874="",,SUMIFS(PerBase[Month 30],PerBase[exp_item],$H874,PerBase[company_name],$B874)*AO454)</f>
        <v>0</v>
      </c>
      <c r="AP874" s="652">
        <f>IF($B874="",,SUMIFS(PerBase[Month 31],PerBase[exp_item],$H874,PerBase[company_name],$B874)*AP454)</f>
        <v>0</v>
      </c>
      <c r="AQ874" s="652">
        <f>IF($B874="",,SUMIFS(PerBase[Month 32],PerBase[exp_item],$H874,PerBase[company_name],$B874)*AQ454)</f>
        <v>0</v>
      </c>
      <c r="AR874" s="652">
        <f>IF($B874="",,SUMIFS(PerBase[Month 33],PerBase[exp_item],$H874,PerBase[company_name],$B874)*AR454)</f>
        <v>0</v>
      </c>
      <c r="AS874" s="652">
        <f>IF($B874="",,SUMIFS(PerBase[Month 34],PerBase[exp_item],$H874,PerBase[company_name],$B874)*AS454)</f>
        <v>0</v>
      </c>
      <c r="AT874" s="652">
        <f>IF($B874="",,SUMIFS(PerBase[Month 35],PerBase[exp_item],$H874,PerBase[company_name],$B874)*AT454)</f>
        <v>0</v>
      </c>
      <c r="AU874" s="652">
        <f>IF($B874="",,SUMIFS(PerBase[Month 36],PerBase[exp_item],$H874,PerBase[company_name],$B874)*AU454)</f>
        <v>0</v>
      </c>
    </row>
    <row r="875" spans="2:47" x14ac:dyDescent="0.35">
      <c r="B875" t="str">
        <f t="shared" si="480"/>
        <v/>
      </c>
      <c r="C875" t="str">
        <f t="shared" ref="C875:G875" si="507">IF(C770="","",C770)</f>
        <v/>
      </c>
      <c r="D875" t="str">
        <f t="shared" si="507"/>
        <v/>
      </c>
      <c r="E875" t="str">
        <f t="shared" si="507"/>
        <v/>
      </c>
      <c r="F875" t="str">
        <f t="shared" si="507"/>
        <v/>
      </c>
      <c r="G875" t="str">
        <f t="shared" si="507"/>
        <v/>
      </c>
      <c r="H875" t="str">
        <f t="shared" si="479"/>
        <v/>
      </c>
      <c r="J875" t="str">
        <f>IF($H875="","",IF(VLOOKUP(H875,ExpItems[],2,0),H875&amp;" - "&amp;INDEX(DivisionMapping[category_code],MATCH($D875&amp;$C875,DivisionMapping[dept_bu],0)),H875))</f>
        <v/>
      </c>
      <c r="K875" t="str">
        <f t="shared" si="447"/>
        <v/>
      </c>
      <c r="L875" s="652">
        <f>IF($B875="",,SUMIFS(PerBase[Month 1],PerBase[exp_item],$H875,PerBase[company_name],$B875)*L455)</f>
        <v>0</v>
      </c>
      <c r="M875" s="652">
        <f>IF($B875="",,SUMIFS(PerBase[Month 2],PerBase[exp_item],$H875,PerBase[company_name],$B875)*M455)</f>
        <v>0</v>
      </c>
      <c r="N875" s="652">
        <f>IF($B875="",,SUMIFS(PerBase[Month 3],PerBase[exp_item],$H875,PerBase[company_name],$B875)*N455)</f>
        <v>0</v>
      </c>
      <c r="O875" s="652">
        <f>IF($B875="",,SUMIFS(PerBase[Month 4],PerBase[exp_item],$H875,PerBase[company_name],$B875)*O455)</f>
        <v>0</v>
      </c>
      <c r="P875" s="652">
        <f>IF($B875="",,SUMIFS(PerBase[Month 5],PerBase[exp_item],$H875,PerBase[company_name],$B875)*P455)</f>
        <v>0</v>
      </c>
      <c r="Q875" s="652">
        <f>IF($B875="",,SUMIFS(PerBase[Month 6],PerBase[exp_item],$H875,PerBase[company_name],$B875)*Q455)</f>
        <v>0</v>
      </c>
      <c r="R875" s="652">
        <f>IF($B875="",,SUMIFS(PerBase[Month 7],PerBase[exp_item],$H875,PerBase[company_name],$B875)*R455)</f>
        <v>0</v>
      </c>
      <c r="S875" s="652">
        <f>IF($B875="",,SUMIFS(PerBase[Month 8],PerBase[exp_item],$H875,PerBase[company_name],$B875)*S455)</f>
        <v>0</v>
      </c>
      <c r="T875" s="652">
        <f>IF($B875="",,SUMIFS(PerBase[Month 9],PerBase[exp_item],$H875,PerBase[company_name],$B875)*T455)</f>
        <v>0</v>
      </c>
      <c r="U875" s="652">
        <f>IF($B875="",,SUMIFS(PerBase[Month 10],PerBase[exp_item],$H875,PerBase[company_name],$B875)*U455)</f>
        <v>0</v>
      </c>
      <c r="V875" s="652">
        <f>IF($B875="",,SUMIFS(PerBase[Month 11],PerBase[exp_item],$H875,PerBase[company_name],$B875)*V455)</f>
        <v>0</v>
      </c>
      <c r="W875" s="652">
        <f>IF($B875="",,SUMIFS(PerBase[Month 12],PerBase[exp_item],$H875,PerBase[company_name],$B875)*W455)</f>
        <v>0</v>
      </c>
      <c r="X875" s="652">
        <f>IF($B875="",,SUMIFS(PerBase[Month 13],PerBase[exp_item],$H875,PerBase[company_name],$B875)*X455)</f>
        <v>0</v>
      </c>
      <c r="Y875" s="652">
        <f>IF($B875="",,SUMIFS(PerBase[Month 14],PerBase[exp_item],$H875,PerBase[company_name],$B875)*Y455)</f>
        <v>0</v>
      </c>
      <c r="Z875" s="652">
        <f>IF($B875="",,SUMIFS(PerBase[Month 15],PerBase[exp_item],$H875,PerBase[company_name],$B875)*Z455)</f>
        <v>0</v>
      </c>
      <c r="AA875" s="652">
        <f>IF($B875="",,SUMIFS(PerBase[Month 16],PerBase[exp_item],$H875,PerBase[company_name],$B875)*AA455)</f>
        <v>0</v>
      </c>
      <c r="AB875" s="652">
        <f>IF($B875="",,SUMIFS(PerBase[Month 17],PerBase[exp_item],$H875,PerBase[company_name],$B875)*AB455)</f>
        <v>0</v>
      </c>
      <c r="AC875" s="652">
        <f>IF($B875="",,SUMIFS(PerBase[Month 18],PerBase[exp_item],$H875,PerBase[company_name],$B875)*AC455)</f>
        <v>0</v>
      </c>
      <c r="AD875" s="652">
        <f>IF($B875="",,SUMIFS(PerBase[Month 19],PerBase[exp_item],$H875,PerBase[company_name],$B875)*AD455)</f>
        <v>0</v>
      </c>
      <c r="AE875" s="652">
        <f>IF($B875="",,SUMIFS(PerBase[Month 20],PerBase[exp_item],$H875,PerBase[company_name],$B875)*AE455)</f>
        <v>0</v>
      </c>
      <c r="AF875" s="652">
        <f>IF($B875="",,SUMIFS(PerBase[Month 21],PerBase[exp_item],$H875,PerBase[company_name],$B875)*AF455)</f>
        <v>0</v>
      </c>
      <c r="AG875" s="652">
        <f>IF($B875="",,SUMIFS(PerBase[Month 22],PerBase[exp_item],$H875,PerBase[company_name],$B875)*AG455)</f>
        <v>0</v>
      </c>
      <c r="AH875" s="652">
        <f>IF($B875="",,SUMIFS(PerBase[Month 23],PerBase[exp_item],$H875,PerBase[company_name],$B875)*AH455)</f>
        <v>0</v>
      </c>
      <c r="AI875" s="652">
        <f>IF($B875="",,SUMIFS(PerBase[Month 24],PerBase[exp_item],$H875,PerBase[company_name],$B875)*AI455)</f>
        <v>0</v>
      </c>
      <c r="AJ875" s="652">
        <f>IF($B875="",,SUMIFS(PerBase[Month 25],PerBase[exp_item],$H875,PerBase[company_name],$B875)*AJ455)</f>
        <v>0</v>
      </c>
      <c r="AK875" s="652">
        <f>IF($B875="",,SUMIFS(PerBase[Month 26],PerBase[exp_item],$H875,PerBase[company_name],$B875)*AK455)</f>
        <v>0</v>
      </c>
      <c r="AL875" s="652">
        <f>IF($B875="",,SUMIFS(PerBase[Month 27],PerBase[exp_item],$H875,PerBase[company_name],$B875)*AL455)</f>
        <v>0</v>
      </c>
      <c r="AM875" s="652">
        <f>IF($B875="",,SUMIFS(PerBase[Month 28],PerBase[exp_item],$H875,PerBase[company_name],$B875)*AM455)</f>
        <v>0</v>
      </c>
      <c r="AN875" s="652">
        <f>IF($B875="",,SUMIFS(PerBase[Month 29],PerBase[exp_item],$H875,PerBase[company_name],$B875)*AN455)</f>
        <v>0</v>
      </c>
      <c r="AO875" s="652">
        <f>IF($B875="",,SUMIFS(PerBase[Month 30],PerBase[exp_item],$H875,PerBase[company_name],$B875)*AO455)</f>
        <v>0</v>
      </c>
      <c r="AP875" s="652">
        <f>IF($B875="",,SUMIFS(PerBase[Month 31],PerBase[exp_item],$H875,PerBase[company_name],$B875)*AP455)</f>
        <v>0</v>
      </c>
      <c r="AQ875" s="652">
        <f>IF($B875="",,SUMIFS(PerBase[Month 32],PerBase[exp_item],$H875,PerBase[company_name],$B875)*AQ455)</f>
        <v>0</v>
      </c>
      <c r="AR875" s="652">
        <f>IF($B875="",,SUMIFS(PerBase[Month 33],PerBase[exp_item],$H875,PerBase[company_name],$B875)*AR455)</f>
        <v>0</v>
      </c>
      <c r="AS875" s="652">
        <f>IF($B875="",,SUMIFS(PerBase[Month 34],PerBase[exp_item],$H875,PerBase[company_name],$B875)*AS455)</f>
        <v>0</v>
      </c>
      <c r="AT875" s="652">
        <f>IF($B875="",,SUMIFS(PerBase[Month 35],PerBase[exp_item],$H875,PerBase[company_name],$B875)*AT455)</f>
        <v>0</v>
      </c>
      <c r="AU875" s="652">
        <f>IF($B875="",,SUMIFS(PerBase[Month 36],PerBase[exp_item],$H875,PerBase[company_name],$B875)*AU455)</f>
        <v>0</v>
      </c>
    </row>
    <row r="876" spans="2:47" x14ac:dyDescent="0.35">
      <c r="B876" t="str">
        <f t="shared" si="480"/>
        <v/>
      </c>
      <c r="C876" t="str">
        <f t="shared" ref="C876:G876" si="508">IF(C771="","",C771)</f>
        <v/>
      </c>
      <c r="D876" t="str">
        <f t="shared" si="508"/>
        <v/>
      </c>
      <c r="E876" t="str">
        <f t="shared" si="508"/>
        <v/>
      </c>
      <c r="F876" t="str">
        <f t="shared" si="508"/>
        <v/>
      </c>
      <c r="G876" t="str">
        <f t="shared" si="508"/>
        <v/>
      </c>
      <c r="H876" t="str">
        <f t="shared" si="479"/>
        <v/>
      </c>
      <c r="J876" t="str">
        <f>IF($H876="","",IF(VLOOKUP(H876,ExpItems[],2,0),H876&amp;" - "&amp;INDEX(DivisionMapping[category_code],MATCH($D876&amp;$C876,DivisionMapping[dept_bu],0)),H876))</f>
        <v/>
      </c>
      <c r="K876" t="str">
        <f t="shared" si="447"/>
        <v/>
      </c>
      <c r="L876" s="652">
        <f>IF($B876="",,SUMIFS(PerBase[Month 1],PerBase[exp_item],$H876,PerBase[company_name],$B876)*L456)</f>
        <v>0</v>
      </c>
      <c r="M876" s="652">
        <f>IF($B876="",,SUMIFS(PerBase[Month 2],PerBase[exp_item],$H876,PerBase[company_name],$B876)*M456)</f>
        <v>0</v>
      </c>
      <c r="N876" s="652">
        <f>IF($B876="",,SUMIFS(PerBase[Month 3],PerBase[exp_item],$H876,PerBase[company_name],$B876)*N456)</f>
        <v>0</v>
      </c>
      <c r="O876" s="652">
        <f>IF($B876="",,SUMIFS(PerBase[Month 4],PerBase[exp_item],$H876,PerBase[company_name],$B876)*O456)</f>
        <v>0</v>
      </c>
      <c r="P876" s="652">
        <f>IF($B876="",,SUMIFS(PerBase[Month 5],PerBase[exp_item],$H876,PerBase[company_name],$B876)*P456)</f>
        <v>0</v>
      </c>
      <c r="Q876" s="652">
        <f>IF($B876="",,SUMIFS(PerBase[Month 6],PerBase[exp_item],$H876,PerBase[company_name],$B876)*Q456)</f>
        <v>0</v>
      </c>
      <c r="R876" s="652">
        <f>IF($B876="",,SUMIFS(PerBase[Month 7],PerBase[exp_item],$H876,PerBase[company_name],$B876)*R456)</f>
        <v>0</v>
      </c>
      <c r="S876" s="652">
        <f>IF($B876="",,SUMIFS(PerBase[Month 8],PerBase[exp_item],$H876,PerBase[company_name],$B876)*S456)</f>
        <v>0</v>
      </c>
      <c r="T876" s="652">
        <f>IF($B876="",,SUMIFS(PerBase[Month 9],PerBase[exp_item],$H876,PerBase[company_name],$B876)*T456)</f>
        <v>0</v>
      </c>
      <c r="U876" s="652">
        <f>IF($B876="",,SUMIFS(PerBase[Month 10],PerBase[exp_item],$H876,PerBase[company_name],$B876)*U456)</f>
        <v>0</v>
      </c>
      <c r="V876" s="652">
        <f>IF($B876="",,SUMIFS(PerBase[Month 11],PerBase[exp_item],$H876,PerBase[company_name],$B876)*V456)</f>
        <v>0</v>
      </c>
      <c r="W876" s="652">
        <f>IF($B876="",,SUMIFS(PerBase[Month 12],PerBase[exp_item],$H876,PerBase[company_name],$B876)*W456)</f>
        <v>0</v>
      </c>
      <c r="X876" s="652">
        <f>IF($B876="",,SUMIFS(PerBase[Month 13],PerBase[exp_item],$H876,PerBase[company_name],$B876)*X456)</f>
        <v>0</v>
      </c>
      <c r="Y876" s="652">
        <f>IF($B876="",,SUMIFS(PerBase[Month 14],PerBase[exp_item],$H876,PerBase[company_name],$B876)*Y456)</f>
        <v>0</v>
      </c>
      <c r="Z876" s="652">
        <f>IF($B876="",,SUMIFS(PerBase[Month 15],PerBase[exp_item],$H876,PerBase[company_name],$B876)*Z456)</f>
        <v>0</v>
      </c>
      <c r="AA876" s="652">
        <f>IF($B876="",,SUMIFS(PerBase[Month 16],PerBase[exp_item],$H876,PerBase[company_name],$B876)*AA456)</f>
        <v>0</v>
      </c>
      <c r="AB876" s="652">
        <f>IF($B876="",,SUMIFS(PerBase[Month 17],PerBase[exp_item],$H876,PerBase[company_name],$B876)*AB456)</f>
        <v>0</v>
      </c>
      <c r="AC876" s="652">
        <f>IF($B876="",,SUMIFS(PerBase[Month 18],PerBase[exp_item],$H876,PerBase[company_name],$B876)*AC456)</f>
        <v>0</v>
      </c>
      <c r="AD876" s="652">
        <f>IF($B876="",,SUMIFS(PerBase[Month 19],PerBase[exp_item],$H876,PerBase[company_name],$B876)*AD456)</f>
        <v>0</v>
      </c>
      <c r="AE876" s="652">
        <f>IF($B876="",,SUMIFS(PerBase[Month 20],PerBase[exp_item],$H876,PerBase[company_name],$B876)*AE456)</f>
        <v>0</v>
      </c>
      <c r="AF876" s="652">
        <f>IF($B876="",,SUMIFS(PerBase[Month 21],PerBase[exp_item],$H876,PerBase[company_name],$B876)*AF456)</f>
        <v>0</v>
      </c>
      <c r="AG876" s="652">
        <f>IF($B876="",,SUMIFS(PerBase[Month 22],PerBase[exp_item],$H876,PerBase[company_name],$B876)*AG456)</f>
        <v>0</v>
      </c>
      <c r="AH876" s="652">
        <f>IF($B876="",,SUMIFS(PerBase[Month 23],PerBase[exp_item],$H876,PerBase[company_name],$B876)*AH456)</f>
        <v>0</v>
      </c>
      <c r="AI876" s="652">
        <f>IF($B876="",,SUMIFS(PerBase[Month 24],PerBase[exp_item],$H876,PerBase[company_name],$B876)*AI456)</f>
        <v>0</v>
      </c>
      <c r="AJ876" s="652">
        <f>IF($B876="",,SUMIFS(PerBase[Month 25],PerBase[exp_item],$H876,PerBase[company_name],$B876)*AJ456)</f>
        <v>0</v>
      </c>
      <c r="AK876" s="652">
        <f>IF($B876="",,SUMIFS(PerBase[Month 26],PerBase[exp_item],$H876,PerBase[company_name],$B876)*AK456)</f>
        <v>0</v>
      </c>
      <c r="AL876" s="652">
        <f>IF($B876="",,SUMIFS(PerBase[Month 27],PerBase[exp_item],$H876,PerBase[company_name],$B876)*AL456)</f>
        <v>0</v>
      </c>
      <c r="AM876" s="652">
        <f>IF($B876="",,SUMIFS(PerBase[Month 28],PerBase[exp_item],$H876,PerBase[company_name],$B876)*AM456)</f>
        <v>0</v>
      </c>
      <c r="AN876" s="652">
        <f>IF($B876="",,SUMIFS(PerBase[Month 29],PerBase[exp_item],$H876,PerBase[company_name],$B876)*AN456)</f>
        <v>0</v>
      </c>
      <c r="AO876" s="652">
        <f>IF($B876="",,SUMIFS(PerBase[Month 30],PerBase[exp_item],$H876,PerBase[company_name],$B876)*AO456)</f>
        <v>0</v>
      </c>
      <c r="AP876" s="652">
        <f>IF($B876="",,SUMIFS(PerBase[Month 31],PerBase[exp_item],$H876,PerBase[company_name],$B876)*AP456)</f>
        <v>0</v>
      </c>
      <c r="AQ876" s="652">
        <f>IF($B876="",,SUMIFS(PerBase[Month 32],PerBase[exp_item],$H876,PerBase[company_name],$B876)*AQ456)</f>
        <v>0</v>
      </c>
      <c r="AR876" s="652">
        <f>IF($B876="",,SUMIFS(PerBase[Month 33],PerBase[exp_item],$H876,PerBase[company_name],$B876)*AR456)</f>
        <v>0</v>
      </c>
      <c r="AS876" s="652">
        <f>IF($B876="",,SUMIFS(PerBase[Month 34],PerBase[exp_item],$H876,PerBase[company_name],$B876)*AS456)</f>
        <v>0</v>
      </c>
      <c r="AT876" s="652">
        <f>IF($B876="",,SUMIFS(PerBase[Month 35],PerBase[exp_item],$H876,PerBase[company_name],$B876)*AT456)</f>
        <v>0</v>
      </c>
      <c r="AU876" s="652">
        <f>IF($B876="",,SUMIFS(PerBase[Month 36],PerBase[exp_item],$H876,PerBase[company_name],$B876)*AU456)</f>
        <v>0</v>
      </c>
    </row>
    <row r="877" spans="2:47" x14ac:dyDescent="0.35">
      <c r="B877" t="str">
        <f t="shared" si="480"/>
        <v/>
      </c>
      <c r="C877" t="str">
        <f t="shared" ref="C877:G877" si="509">IF(C772="","",C772)</f>
        <v/>
      </c>
      <c r="D877" t="str">
        <f t="shared" si="509"/>
        <v/>
      </c>
      <c r="E877" t="str">
        <f t="shared" si="509"/>
        <v/>
      </c>
      <c r="F877" t="str">
        <f t="shared" si="509"/>
        <v/>
      </c>
      <c r="G877" t="str">
        <f t="shared" si="509"/>
        <v/>
      </c>
      <c r="H877" t="str">
        <f t="shared" si="479"/>
        <v/>
      </c>
      <c r="J877" t="str">
        <f>IF($H877="","",IF(VLOOKUP(H877,ExpItems[],2,0),H877&amp;" - "&amp;INDEX(DivisionMapping[category_code],MATCH($D877&amp;$C877,DivisionMapping[dept_bu],0)),H877))</f>
        <v/>
      </c>
      <c r="K877" t="str">
        <f t="shared" si="447"/>
        <v/>
      </c>
      <c r="L877" s="652">
        <f>IF($B877="",,SUMIFS(PerBase[Month 1],PerBase[exp_item],$H877,PerBase[company_name],$B877)*L457)</f>
        <v>0</v>
      </c>
      <c r="M877" s="652">
        <f>IF($B877="",,SUMIFS(PerBase[Month 2],PerBase[exp_item],$H877,PerBase[company_name],$B877)*M457)</f>
        <v>0</v>
      </c>
      <c r="N877" s="652">
        <f>IF($B877="",,SUMIFS(PerBase[Month 3],PerBase[exp_item],$H877,PerBase[company_name],$B877)*N457)</f>
        <v>0</v>
      </c>
      <c r="O877" s="652">
        <f>IF($B877="",,SUMIFS(PerBase[Month 4],PerBase[exp_item],$H877,PerBase[company_name],$B877)*O457)</f>
        <v>0</v>
      </c>
      <c r="P877" s="652">
        <f>IF($B877="",,SUMIFS(PerBase[Month 5],PerBase[exp_item],$H877,PerBase[company_name],$B877)*P457)</f>
        <v>0</v>
      </c>
      <c r="Q877" s="652">
        <f>IF($B877="",,SUMIFS(PerBase[Month 6],PerBase[exp_item],$H877,PerBase[company_name],$B877)*Q457)</f>
        <v>0</v>
      </c>
      <c r="R877" s="652">
        <f>IF($B877="",,SUMIFS(PerBase[Month 7],PerBase[exp_item],$H877,PerBase[company_name],$B877)*R457)</f>
        <v>0</v>
      </c>
      <c r="S877" s="652">
        <f>IF($B877="",,SUMIFS(PerBase[Month 8],PerBase[exp_item],$H877,PerBase[company_name],$B877)*S457)</f>
        <v>0</v>
      </c>
      <c r="T877" s="652">
        <f>IF($B877="",,SUMIFS(PerBase[Month 9],PerBase[exp_item],$H877,PerBase[company_name],$B877)*T457)</f>
        <v>0</v>
      </c>
      <c r="U877" s="652">
        <f>IF($B877="",,SUMIFS(PerBase[Month 10],PerBase[exp_item],$H877,PerBase[company_name],$B877)*U457)</f>
        <v>0</v>
      </c>
      <c r="V877" s="652">
        <f>IF($B877="",,SUMIFS(PerBase[Month 11],PerBase[exp_item],$H877,PerBase[company_name],$B877)*V457)</f>
        <v>0</v>
      </c>
      <c r="W877" s="652">
        <f>IF($B877="",,SUMIFS(PerBase[Month 12],PerBase[exp_item],$H877,PerBase[company_name],$B877)*W457)</f>
        <v>0</v>
      </c>
      <c r="X877" s="652">
        <f>IF($B877="",,SUMIFS(PerBase[Month 13],PerBase[exp_item],$H877,PerBase[company_name],$B877)*X457)</f>
        <v>0</v>
      </c>
      <c r="Y877" s="652">
        <f>IF($B877="",,SUMIFS(PerBase[Month 14],PerBase[exp_item],$H877,PerBase[company_name],$B877)*Y457)</f>
        <v>0</v>
      </c>
      <c r="Z877" s="652">
        <f>IF($B877="",,SUMIFS(PerBase[Month 15],PerBase[exp_item],$H877,PerBase[company_name],$B877)*Z457)</f>
        <v>0</v>
      </c>
      <c r="AA877" s="652">
        <f>IF($B877="",,SUMIFS(PerBase[Month 16],PerBase[exp_item],$H877,PerBase[company_name],$B877)*AA457)</f>
        <v>0</v>
      </c>
      <c r="AB877" s="652">
        <f>IF($B877="",,SUMIFS(PerBase[Month 17],PerBase[exp_item],$H877,PerBase[company_name],$B877)*AB457)</f>
        <v>0</v>
      </c>
      <c r="AC877" s="652">
        <f>IF($B877="",,SUMIFS(PerBase[Month 18],PerBase[exp_item],$H877,PerBase[company_name],$B877)*AC457)</f>
        <v>0</v>
      </c>
      <c r="AD877" s="652">
        <f>IF($B877="",,SUMIFS(PerBase[Month 19],PerBase[exp_item],$H877,PerBase[company_name],$B877)*AD457)</f>
        <v>0</v>
      </c>
      <c r="AE877" s="652">
        <f>IF($B877="",,SUMIFS(PerBase[Month 20],PerBase[exp_item],$H877,PerBase[company_name],$B877)*AE457)</f>
        <v>0</v>
      </c>
      <c r="AF877" s="652">
        <f>IF($B877="",,SUMIFS(PerBase[Month 21],PerBase[exp_item],$H877,PerBase[company_name],$B877)*AF457)</f>
        <v>0</v>
      </c>
      <c r="AG877" s="652">
        <f>IF($B877="",,SUMIFS(PerBase[Month 22],PerBase[exp_item],$H877,PerBase[company_name],$B877)*AG457)</f>
        <v>0</v>
      </c>
      <c r="AH877" s="652">
        <f>IF($B877="",,SUMIFS(PerBase[Month 23],PerBase[exp_item],$H877,PerBase[company_name],$B877)*AH457)</f>
        <v>0</v>
      </c>
      <c r="AI877" s="652">
        <f>IF($B877="",,SUMIFS(PerBase[Month 24],PerBase[exp_item],$H877,PerBase[company_name],$B877)*AI457)</f>
        <v>0</v>
      </c>
      <c r="AJ877" s="652">
        <f>IF($B877="",,SUMIFS(PerBase[Month 25],PerBase[exp_item],$H877,PerBase[company_name],$B877)*AJ457)</f>
        <v>0</v>
      </c>
      <c r="AK877" s="652">
        <f>IF($B877="",,SUMIFS(PerBase[Month 26],PerBase[exp_item],$H877,PerBase[company_name],$B877)*AK457)</f>
        <v>0</v>
      </c>
      <c r="AL877" s="652">
        <f>IF($B877="",,SUMIFS(PerBase[Month 27],PerBase[exp_item],$H877,PerBase[company_name],$B877)*AL457)</f>
        <v>0</v>
      </c>
      <c r="AM877" s="652">
        <f>IF($B877="",,SUMIFS(PerBase[Month 28],PerBase[exp_item],$H877,PerBase[company_name],$B877)*AM457)</f>
        <v>0</v>
      </c>
      <c r="AN877" s="652">
        <f>IF($B877="",,SUMIFS(PerBase[Month 29],PerBase[exp_item],$H877,PerBase[company_name],$B877)*AN457)</f>
        <v>0</v>
      </c>
      <c r="AO877" s="652">
        <f>IF($B877="",,SUMIFS(PerBase[Month 30],PerBase[exp_item],$H877,PerBase[company_name],$B877)*AO457)</f>
        <v>0</v>
      </c>
      <c r="AP877" s="652">
        <f>IF($B877="",,SUMIFS(PerBase[Month 31],PerBase[exp_item],$H877,PerBase[company_name],$B877)*AP457)</f>
        <v>0</v>
      </c>
      <c r="AQ877" s="652">
        <f>IF($B877="",,SUMIFS(PerBase[Month 32],PerBase[exp_item],$H877,PerBase[company_name],$B877)*AQ457)</f>
        <v>0</v>
      </c>
      <c r="AR877" s="652">
        <f>IF($B877="",,SUMIFS(PerBase[Month 33],PerBase[exp_item],$H877,PerBase[company_name],$B877)*AR457)</f>
        <v>0</v>
      </c>
      <c r="AS877" s="652">
        <f>IF($B877="",,SUMIFS(PerBase[Month 34],PerBase[exp_item],$H877,PerBase[company_name],$B877)*AS457)</f>
        <v>0</v>
      </c>
      <c r="AT877" s="652">
        <f>IF($B877="",,SUMIFS(PerBase[Month 35],PerBase[exp_item],$H877,PerBase[company_name],$B877)*AT457)</f>
        <v>0</v>
      </c>
      <c r="AU877" s="652">
        <f>IF($B877="",,SUMIFS(PerBase[Month 36],PerBase[exp_item],$H877,PerBase[company_name],$B877)*AU457)</f>
        <v>0</v>
      </c>
    </row>
    <row r="878" spans="2:47" x14ac:dyDescent="0.35">
      <c r="B878" t="str">
        <f t="shared" si="480"/>
        <v/>
      </c>
      <c r="C878" t="str">
        <f t="shared" ref="C878:G878" si="510">IF(C773="","",C773)</f>
        <v/>
      </c>
      <c r="D878" t="str">
        <f t="shared" si="510"/>
        <v/>
      </c>
      <c r="E878" t="str">
        <f t="shared" si="510"/>
        <v/>
      </c>
      <c r="F878" t="str">
        <f t="shared" si="510"/>
        <v/>
      </c>
      <c r="G878" t="str">
        <f t="shared" si="510"/>
        <v/>
      </c>
      <c r="H878" t="str">
        <f t="shared" si="479"/>
        <v/>
      </c>
      <c r="J878" t="str">
        <f>IF($H878="","",IF(VLOOKUP(H878,ExpItems[],2,0),H878&amp;" - "&amp;INDEX(DivisionMapping[category_code],MATCH($D878&amp;$C878,DivisionMapping[dept_bu],0)),H878))</f>
        <v/>
      </c>
      <c r="K878" t="str">
        <f t="shared" si="447"/>
        <v/>
      </c>
      <c r="L878" s="652">
        <f>IF($B878="",,SUMIFS(PerBase[Month 1],PerBase[exp_item],$H878,PerBase[company_name],$B878)*L458)</f>
        <v>0</v>
      </c>
      <c r="M878" s="652">
        <f>IF($B878="",,SUMIFS(PerBase[Month 2],PerBase[exp_item],$H878,PerBase[company_name],$B878)*M458)</f>
        <v>0</v>
      </c>
      <c r="N878" s="652">
        <f>IF($B878="",,SUMIFS(PerBase[Month 3],PerBase[exp_item],$H878,PerBase[company_name],$B878)*N458)</f>
        <v>0</v>
      </c>
      <c r="O878" s="652">
        <f>IF($B878="",,SUMIFS(PerBase[Month 4],PerBase[exp_item],$H878,PerBase[company_name],$B878)*O458)</f>
        <v>0</v>
      </c>
      <c r="P878" s="652">
        <f>IF($B878="",,SUMIFS(PerBase[Month 5],PerBase[exp_item],$H878,PerBase[company_name],$B878)*P458)</f>
        <v>0</v>
      </c>
      <c r="Q878" s="652">
        <f>IF($B878="",,SUMIFS(PerBase[Month 6],PerBase[exp_item],$H878,PerBase[company_name],$B878)*Q458)</f>
        <v>0</v>
      </c>
      <c r="R878" s="652">
        <f>IF($B878="",,SUMIFS(PerBase[Month 7],PerBase[exp_item],$H878,PerBase[company_name],$B878)*R458)</f>
        <v>0</v>
      </c>
      <c r="S878" s="652">
        <f>IF($B878="",,SUMIFS(PerBase[Month 8],PerBase[exp_item],$H878,PerBase[company_name],$B878)*S458)</f>
        <v>0</v>
      </c>
      <c r="T878" s="652">
        <f>IF($B878="",,SUMIFS(PerBase[Month 9],PerBase[exp_item],$H878,PerBase[company_name],$B878)*T458)</f>
        <v>0</v>
      </c>
      <c r="U878" s="652">
        <f>IF($B878="",,SUMIFS(PerBase[Month 10],PerBase[exp_item],$H878,PerBase[company_name],$B878)*U458)</f>
        <v>0</v>
      </c>
      <c r="V878" s="652">
        <f>IF($B878="",,SUMIFS(PerBase[Month 11],PerBase[exp_item],$H878,PerBase[company_name],$B878)*V458)</f>
        <v>0</v>
      </c>
      <c r="W878" s="652">
        <f>IF($B878="",,SUMIFS(PerBase[Month 12],PerBase[exp_item],$H878,PerBase[company_name],$B878)*W458)</f>
        <v>0</v>
      </c>
      <c r="X878" s="652">
        <f>IF($B878="",,SUMIFS(PerBase[Month 13],PerBase[exp_item],$H878,PerBase[company_name],$B878)*X458)</f>
        <v>0</v>
      </c>
      <c r="Y878" s="652">
        <f>IF($B878="",,SUMIFS(PerBase[Month 14],PerBase[exp_item],$H878,PerBase[company_name],$B878)*Y458)</f>
        <v>0</v>
      </c>
      <c r="Z878" s="652">
        <f>IF($B878="",,SUMIFS(PerBase[Month 15],PerBase[exp_item],$H878,PerBase[company_name],$B878)*Z458)</f>
        <v>0</v>
      </c>
      <c r="AA878" s="652">
        <f>IF($B878="",,SUMIFS(PerBase[Month 16],PerBase[exp_item],$H878,PerBase[company_name],$B878)*AA458)</f>
        <v>0</v>
      </c>
      <c r="AB878" s="652">
        <f>IF($B878="",,SUMIFS(PerBase[Month 17],PerBase[exp_item],$H878,PerBase[company_name],$B878)*AB458)</f>
        <v>0</v>
      </c>
      <c r="AC878" s="652">
        <f>IF($B878="",,SUMIFS(PerBase[Month 18],PerBase[exp_item],$H878,PerBase[company_name],$B878)*AC458)</f>
        <v>0</v>
      </c>
      <c r="AD878" s="652">
        <f>IF($B878="",,SUMIFS(PerBase[Month 19],PerBase[exp_item],$H878,PerBase[company_name],$B878)*AD458)</f>
        <v>0</v>
      </c>
      <c r="AE878" s="652">
        <f>IF($B878="",,SUMIFS(PerBase[Month 20],PerBase[exp_item],$H878,PerBase[company_name],$B878)*AE458)</f>
        <v>0</v>
      </c>
      <c r="AF878" s="652">
        <f>IF($B878="",,SUMIFS(PerBase[Month 21],PerBase[exp_item],$H878,PerBase[company_name],$B878)*AF458)</f>
        <v>0</v>
      </c>
      <c r="AG878" s="652">
        <f>IF($B878="",,SUMIFS(PerBase[Month 22],PerBase[exp_item],$H878,PerBase[company_name],$B878)*AG458)</f>
        <v>0</v>
      </c>
      <c r="AH878" s="652">
        <f>IF($B878="",,SUMIFS(PerBase[Month 23],PerBase[exp_item],$H878,PerBase[company_name],$B878)*AH458)</f>
        <v>0</v>
      </c>
      <c r="AI878" s="652">
        <f>IF($B878="",,SUMIFS(PerBase[Month 24],PerBase[exp_item],$H878,PerBase[company_name],$B878)*AI458)</f>
        <v>0</v>
      </c>
      <c r="AJ878" s="652">
        <f>IF($B878="",,SUMIFS(PerBase[Month 25],PerBase[exp_item],$H878,PerBase[company_name],$B878)*AJ458)</f>
        <v>0</v>
      </c>
      <c r="AK878" s="652">
        <f>IF($B878="",,SUMIFS(PerBase[Month 26],PerBase[exp_item],$H878,PerBase[company_name],$B878)*AK458)</f>
        <v>0</v>
      </c>
      <c r="AL878" s="652">
        <f>IF($B878="",,SUMIFS(PerBase[Month 27],PerBase[exp_item],$H878,PerBase[company_name],$B878)*AL458)</f>
        <v>0</v>
      </c>
      <c r="AM878" s="652">
        <f>IF($B878="",,SUMIFS(PerBase[Month 28],PerBase[exp_item],$H878,PerBase[company_name],$B878)*AM458)</f>
        <v>0</v>
      </c>
      <c r="AN878" s="652">
        <f>IF($B878="",,SUMIFS(PerBase[Month 29],PerBase[exp_item],$H878,PerBase[company_name],$B878)*AN458)</f>
        <v>0</v>
      </c>
      <c r="AO878" s="652">
        <f>IF($B878="",,SUMIFS(PerBase[Month 30],PerBase[exp_item],$H878,PerBase[company_name],$B878)*AO458)</f>
        <v>0</v>
      </c>
      <c r="AP878" s="652">
        <f>IF($B878="",,SUMIFS(PerBase[Month 31],PerBase[exp_item],$H878,PerBase[company_name],$B878)*AP458)</f>
        <v>0</v>
      </c>
      <c r="AQ878" s="652">
        <f>IF($B878="",,SUMIFS(PerBase[Month 32],PerBase[exp_item],$H878,PerBase[company_name],$B878)*AQ458)</f>
        <v>0</v>
      </c>
      <c r="AR878" s="652">
        <f>IF($B878="",,SUMIFS(PerBase[Month 33],PerBase[exp_item],$H878,PerBase[company_name],$B878)*AR458)</f>
        <v>0</v>
      </c>
      <c r="AS878" s="652">
        <f>IF($B878="",,SUMIFS(PerBase[Month 34],PerBase[exp_item],$H878,PerBase[company_name],$B878)*AS458)</f>
        <v>0</v>
      </c>
      <c r="AT878" s="652">
        <f>IF($B878="",,SUMIFS(PerBase[Month 35],PerBase[exp_item],$H878,PerBase[company_name],$B878)*AT458)</f>
        <v>0</v>
      </c>
      <c r="AU878" s="652">
        <f>IF($B878="",,SUMIFS(PerBase[Month 36],PerBase[exp_item],$H878,PerBase[company_name],$B878)*AU458)</f>
        <v>0</v>
      </c>
    </row>
    <row r="879" spans="2:47" x14ac:dyDescent="0.35">
      <c r="B879" t="str">
        <f t="shared" si="480"/>
        <v/>
      </c>
      <c r="C879" t="str">
        <f t="shared" ref="C879:G879" si="511">IF(C774="","",C774)</f>
        <v/>
      </c>
      <c r="D879" t="str">
        <f t="shared" si="511"/>
        <v/>
      </c>
      <c r="E879" t="str">
        <f t="shared" si="511"/>
        <v/>
      </c>
      <c r="F879" t="str">
        <f t="shared" si="511"/>
        <v/>
      </c>
      <c r="G879" t="str">
        <f t="shared" si="511"/>
        <v/>
      </c>
      <c r="H879" t="str">
        <f t="shared" si="479"/>
        <v/>
      </c>
      <c r="J879" t="str">
        <f>IF($H879="","",IF(VLOOKUP(H879,ExpItems[],2,0),H879&amp;" - "&amp;INDEX(DivisionMapping[category_code],MATCH($D879&amp;$C879,DivisionMapping[dept_bu],0)),H879))</f>
        <v/>
      </c>
      <c r="K879" t="str">
        <f t="shared" si="447"/>
        <v/>
      </c>
      <c r="L879" s="652">
        <f>IF($B879="",,SUMIFS(PerBase[Month 1],PerBase[exp_item],$H879,PerBase[company_name],$B879)*L459)</f>
        <v>0</v>
      </c>
      <c r="M879" s="652">
        <f>IF($B879="",,SUMIFS(PerBase[Month 2],PerBase[exp_item],$H879,PerBase[company_name],$B879)*M459)</f>
        <v>0</v>
      </c>
      <c r="N879" s="652">
        <f>IF($B879="",,SUMIFS(PerBase[Month 3],PerBase[exp_item],$H879,PerBase[company_name],$B879)*N459)</f>
        <v>0</v>
      </c>
      <c r="O879" s="652">
        <f>IF($B879="",,SUMIFS(PerBase[Month 4],PerBase[exp_item],$H879,PerBase[company_name],$B879)*O459)</f>
        <v>0</v>
      </c>
      <c r="P879" s="652">
        <f>IF($B879="",,SUMIFS(PerBase[Month 5],PerBase[exp_item],$H879,PerBase[company_name],$B879)*P459)</f>
        <v>0</v>
      </c>
      <c r="Q879" s="652">
        <f>IF($B879="",,SUMIFS(PerBase[Month 6],PerBase[exp_item],$H879,PerBase[company_name],$B879)*Q459)</f>
        <v>0</v>
      </c>
      <c r="R879" s="652">
        <f>IF($B879="",,SUMIFS(PerBase[Month 7],PerBase[exp_item],$H879,PerBase[company_name],$B879)*R459)</f>
        <v>0</v>
      </c>
      <c r="S879" s="652">
        <f>IF($B879="",,SUMIFS(PerBase[Month 8],PerBase[exp_item],$H879,PerBase[company_name],$B879)*S459)</f>
        <v>0</v>
      </c>
      <c r="T879" s="652">
        <f>IF($B879="",,SUMIFS(PerBase[Month 9],PerBase[exp_item],$H879,PerBase[company_name],$B879)*T459)</f>
        <v>0</v>
      </c>
      <c r="U879" s="652">
        <f>IF($B879="",,SUMIFS(PerBase[Month 10],PerBase[exp_item],$H879,PerBase[company_name],$B879)*U459)</f>
        <v>0</v>
      </c>
      <c r="V879" s="652">
        <f>IF($B879="",,SUMIFS(PerBase[Month 11],PerBase[exp_item],$H879,PerBase[company_name],$B879)*V459)</f>
        <v>0</v>
      </c>
      <c r="W879" s="652">
        <f>IF($B879="",,SUMIFS(PerBase[Month 12],PerBase[exp_item],$H879,PerBase[company_name],$B879)*W459)</f>
        <v>0</v>
      </c>
      <c r="X879" s="652">
        <f>IF($B879="",,SUMIFS(PerBase[Month 13],PerBase[exp_item],$H879,PerBase[company_name],$B879)*X459)</f>
        <v>0</v>
      </c>
      <c r="Y879" s="652">
        <f>IF($B879="",,SUMIFS(PerBase[Month 14],PerBase[exp_item],$H879,PerBase[company_name],$B879)*Y459)</f>
        <v>0</v>
      </c>
      <c r="Z879" s="652">
        <f>IF($B879="",,SUMIFS(PerBase[Month 15],PerBase[exp_item],$H879,PerBase[company_name],$B879)*Z459)</f>
        <v>0</v>
      </c>
      <c r="AA879" s="652">
        <f>IF($B879="",,SUMIFS(PerBase[Month 16],PerBase[exp_item],$H879,PerBase[company_name],$B879)*AA459)</f>
        <v>0</v>
      </c>
      <c r="AB879" s="652">
        <f>IF($B879="",,SUMIFS(PerBase[Month 17],PerBase[exp_item],$H879,PerBase[company_name],$B879)*AB459)</f>
        <v>0</v>
      </c>
      <c r="AC879" s="652">
        <f>IF($B879="",,SUMIFS(PerBase[Month 18],PerBase[exp_item],$H879,PerBase[company_name],$B879)*AC459)</f>
        <v>0</v>
      </c>
      <c r="AD879" s="652">
        <f>IF($B879="",,SUMIFS(PerBase[Month 19],PerBase[exp_item],$H879,PerBase[company_name],$B879)*AD459)</f>
        <v>0</v>
      </c>
      <c r="AE879" s="652">
        <f>IF($B879="",,SUMIFS(PerBase[Month 20],PerBase[exp_item],$H879,PerBase[company_name],$B879)*AE459)</f>
        <v>0</v>
      </c>
      <c r="AF879" s="652">
        <f>IF($B879="",,SUMIFS(PerBase[Month 21],PerBase[exp_item],$H879,PerBase[company_name],$B879)*AF459)</f>
        <v>0</v>
      </c>
      <c r="AG879" s="652">
        <f>IF($B879="",,SUMIFS(PerBase[Month 22],PerBase[exp_item],$H879,PerBase[company_name],$B879)*AG459)</f>
        <v>0</v>
      </c>
      <c r="AH879" s="652">
        <f>IF($B879="",,SUMIFS(PerBase[Month 23],PerBase[exp_item],$H879,PerBase[company_name],$B879)*AH459)</f>
        <v>0</v>
      </c>
      <c r="AI879" s="652">
        <f>IF($B879="",,SUMIFS(PerBase[Month 24],PerBase[exp_item],$H879,PerBase[company_name],$B879)*AI459)</f>
        <v>0</v>
      </c>
      <c r="AJ879" s="652">
        <f>IF($B879="",,SUMIFS(PerBase[Month 25],PerBase[exp_item],$H879,PerBase[company_name],$B879)*AJ459)</f>
        <v>0</v>
      </c>
      <c r="AK879" s="652">
        <f>IF($B879="",,SUMIFS(PerBase[Month 26],PerBase[exp_item],$H879,PerBase[company_name],$B879)*AK459)</f>
        <v>0</v>
      </c>
      <c r="AL879" s="652">
        <f>IF($B879="",,SUMIFS(PerBase[Month 27],PerBase[exp_item],$H879,PerBase[company_name],$B879)*AL459)</f>
        <v>0</v>
      </c>
      <c r="AM879" s="652">
        <f>IF($B879="",,SUMIFS(PerBase[Month 28],PerBase[exp_item],$H879,PerBase[company_name],$B879)*AM459)</f>
        <v>0</v>
      </c>
      <c r="AN879" s="652">
        <f>IF($B879="",,SUMIFS(PerBase[Month 29],PerBase[exp_item],$H879,PerBase[company_name],$B879)*AN459)</f>
        <v>0</v>
      </c>
      <c r="AO879" s="652">
        <f>IF($B879="",,SUMIFS(PerBase[Month 30],PerBase[exp_item],$H879,PerBase[company_name],$B879)*AO459)</f>
        <v>0</v>
      </c>
      <c r="AP879" s="652">
        <f>IF($B879="",,SUMIFS(PerBase[Month 31],PerBase[exp_item],$H879,PerBase[company_name],$B879)*AP459)</f>
        <v>0</v>
      </c>
      <c r="AQ879" s="652">
        <f>IF($B879="",,SUMIFS(PerBase[Month 32],PerBase[exp_item],$H879,PerBase[company_name],$B879)*AQ459)</f>
        <v>0</v>
      </c>
      <c r="AR879" s="652">
        <f>IF($B879="",,SUMIFS(PerBase[Month 33],PerBase[exp_item],$H879,PerBase[company_name],$B879)*AR459)</f>
        <v>0</v>
      </c>
      <c r="AS879" s="652">
        <f>IF($B879="",,SUMIFS(PerBase[Month 34],PerBase[exp_item],$H879,PerBase[company_name],$B879)*AS459)</f>
        <v>0</v>
      </c>
      <c r="AT879" s="652">
        <f>IF($B879="",,SUMIFS(PerBase[Month 35],PerBase[exp_item],$H879,PerBase[company_name],$B879)*AT459)</f>
        <v>0</v>
      </c>
      <c r="AU879" s="652">
        <f>IF($B879="",,SUMIFS(PerBase[Month 36],PerBase[exp_item],$H879,PerBase[company_name],$B879)*AU459)</f>
        <v>0</v>
      </c>
    </row>
    <row r="880" spans="2:47" x14ac:dyDescent="0.35">
      <c r="B880" t="str">
        <f t="shared" si="480"/>
        <v/>
      </c>
      <c r="C880" t="str">
        <f t="shared" ref="C880:G880" si="512">IF(C775="","",C775)</f>
        <v/>
      </c>
      <c r="D880" t="str">
        <f t="shared" si="512"/>
        <v/>
      </c>
      <c r="E880" t="str">
        <f t="shared" si="512"/>
        <v/>
      </c>
      <c r="F880" t="str">
        <f t="shared" si="512"/>
        <v/>
      </c>
      <c r="G880" t="str">
        <f t="shared" si="512"/>
        <v/>
      </c>
      <c r="H880" t="str">
        <f t="shared" ref="H880:H916" si="513">IF(B880="","",$B$815)</f>
        <v/>
      </c>
      <c r="J880" t="str">
        <f>IF($H880="","",IF(VLOOKUP(H880,ExpItems[],2,0),H880&amp;" - "&amp;INDEX(DivisionMapping[category_code],MATCH($D880&amp;$C880,DivisionMapping[dept_bu],0)),H880))</f>
        <v/>
      </c>
      <c r="K880" t="str">
        <f t="shared" si="447"/>
        <v/>
      </c>
      <c r="L880" s="652">
        <f>IF($B880="",,SUMIFS(PerBase[Month 1],PerBase[exp_item],$H880,PerBase[company_name],$B880)*L460)</f>
        <v>0</v>
      </c>
      <c r="M880" s="652">
        <f>IF($B880="",,SUMIFS(PerBase[Month 2],PerBase[exp_item],$H880,PerBase[company_name],$B880)*M460)</f>
        <v>0</v>
      </c>
      <c r="N880" s="652">
        <f>IF($B880="",,SUMIFS(PerBase[Month 3],PerBase[exp_item],$H880,PerBase[company_name],$B880)*N460)</f>
        <v>0</v>
      </c>
      <c r="O880" s="652">
        <f>IF($B880="",,SUMIFS(PerBase[Month 4],PerBase[exp_item],$H880,PerBase[company_name],$B880)*O460)</f>
        <v>0</v>
      </c>
      <c r="P880" s="652">
        <f>IF($B880="",,SUMIFS(PerBase[Month 5],PerBase[exp_item],$H880,PerBase[company_name],$B880)*P460)</f>
        <v>0</v>
      </c>
      <c r="Q880" s="652">
        <f>IF($B880="",,SUMIFS(PerBase[Month 6],PerBase[exp_item],$H880,PerBase[company_name],$B880)*Q460)</f>
        <v>0</v>
      </c>
      <c r="R880" s="652">
        <f>IF($B880="",,SUMIFS(PerBase[Month 7],PerBase[exp_item],$H880,PerBase[company_name],$B880)*R460)</f>
        <v>0</v>
      </c>
      <c r="S880" s="652">
        <f>IF($B880="",,SUMIFS(PerBase[Month 8],PerBase[exp_item],$H880,PerBase[company_name],$B880)*S460)</f>
        <v>0</v>
      </c>
      <c r="T880" s="652">
        <f>IF($B880="",,SUMIFS(PerBase[Month 9],PerBase[exp_item],$H880,PerBase[company_name],$B880)*T460)</f>
        <v>0</v>
      </c>
      <c r="U880" s="652">
        <f>IF($B880="",,SUMIFS(PerBase[Month 10],PerBase[exp_item],$H880,PerBase[company_name],$B880)*U460)</f>
        <v>0</v>
      </c>
      <c r="V880" s="652">
        <f>IF($B880="",,SUMIFS(PerBase[Month 11],PerBase[exp_item],$H880,PerBase[company_name],$B880)*V460)</f>
        <v>0</v>
      </c>
      <c r="W880" s="652">
        <f>IF($B880="",,SUMIFS(PerBase[Month 12],PerBase[exp_item],$H880,PerBase[company_name],$B880)*W460)</f>
        <v>0</v>
      </c>
      <c r="X880" s="652">
        <f>IF($B880="",,SUMIFS(PerBase[Month 13],PerBase[exp_item],$H880,PerBase[company_name],$B880)*X460)</f>
        <v>0</v>
      </c>
      <c r="Y880" s="652">
        <f>IF($B880="",,SUMIFS(PerBase[Month 14],PerBase[exp_item],$H880,PerBase[company_name],$B880)*Y460)</f>
        <v>0</v>
      </c>
      <c r="Z880" s="652">
        <f>IF($B880="",,SUMIFS(PerBase[Month 15],PerBase[exp_item],$H880,PerBase[company_name],$B880)*Z460)</f>
        <v>0</v>
      </c>
      <c r="AA880" s="652">
        <f>IF($B880="",,SUMIFS(PerBase[Month 16],PerBase[exp_item],$H880,PerBase[company_name],$B880)*AA460)</f>
        <v>0</v>
      </c>
      <c r="AB880" s="652">
        <f>IF($B880="",,SUMIFS(PerBase[Month 17],PerBase[exp_item],$H880,PerBase[company_name],$B880)*AB460)</f>
        <v>0</v>
      </c>
      <c r="AC880" s="652">
        <f>IF($B880="",,SUMIFS(PerBase[Month 18],PerBase[exp_item],$H880,PerBase[company_name],$B880)*AC460)</f>
        <v>0</v>
      </c>
      <c r="AD880" s="652">
        <f>IF($B880="",,SUMIFS(PerBase[Month 19],PerBase[exp_item],$H880,PerBase[company_name],$B880)*AD460)</f>
        <v>0</v>
      </c>
      <c r="AE880" s="652">
        <f>IF($B880="",,SUMIFS(PerBase[Month 20],PerBase[exp_item],$H880,PerBase[company_name],$B880)*AE460)</f>
        <v>0</v>
      </c>
      <c r="AF880" s="652">
        <f>IF($B880="",,SUMIFS(PerBase[Month 21],PerBase[exp_item],$H880,PerBase[company_name],$B880)*AF460)</f>
        <v>0</v>
      </c>
      <c r="AG880" s="652">
        <f>IF($B880="",,SUMIFS(PerBase[Month 22],PerBase[exp_item],$H880,PerBase[company_name],$B880)*AG460)</f>
        <v>0</v>
      </c>
      <c r="AH880" s="652">
        <f>IF($B880="",,SUMIFS(PerBase[Month 23],PerBase[exp_item],$H880,PerBase[company_name],$B880)*AH460)</f>
        <v>0</v>
      </c>
      <c r="AI880" s="652">
        <f>IF($B880="",,SUMIFS(PerBase[Month 24],PerBase[exp_item],$H880,PerBase[company_name],$B880)*AI460)</f>
        <v>0</v>
      </c>
      <c r="AJ880" s="652">
        <f>IF($B880="",,SUMIFS(PerBase[Month 25],PerBase[exp_item],$H880,PerBase[company_name],$B880)*AJ460)</f>
        <v>0</v>
      </c>
      <c r="AK880" s="652">
        <f>IF($B880="",,SUMIFS(PerBase[Month 26],PerBase[exp_item],$H880,PerBase[company_name],$B880)*AK460)</f>
        <v>0</v>
      </c>
      <c r="AL880" s="652">
        <f>IF($B880="",,SUMIFS(PerBase[Month 27],PerBase[exp_item],$H880,PerBase[company_name],$B880)*AL460)</f>
        <v>0</v>
      </c>
      <c r="AM880" s="652">
        <f>IF($B880="",,SUMIFS(PerBase[Month 28],PerBase[exp_item],$H880,PerBase[company_name],$B880)*AM460)</f>
        <v>0</v>
      </c>
      <c r="AN880" s="652">
        <f>IF($B880="",,SUMIFS(PerBase[Month 29],PerBase[exp_item],$H880,PerBase[company_name],$B880)*AN460)</f>
        <v>0</v>
      </c>
      <c r="AO880" s="652">
        <f>IF($B880="",,SUMIFS(PerBase[Month 30],PerBase[exp_item],$H880,PerBase[company_name],$B880)*AO460)</f>
        <v>0</v>
      </c>
      <c r="AP880" s="652">
        <f>IF($B880="",,SUMIFS(PerBase[Month 31],PerBase[exp_item],$H880,PerBase[company_name],$B880)*AP460)</f>
        <v>0</v>
      </c>
      <c r="AQ880" s="652">
        <f>IF($B880="",,SUMIFS(PerBase[Month 32],PerBase[exp_item],$H880,PerBase[company_name],$B880)*AQ460)</f>
        <v>0</v>
      </c>
      <c r="AR880" s="652">
        <f>IF($B880="",,SUMIFS(PerBase[Month 33],PerBase[exp_item],$H880,PerBase[company_name],$B880)*AR460)</f>
        <v>0</v>
      </c>
      <c r="AS880" s="652">
        <f>IF($B880="",,SUMIFS(PerBase[Month 34],PerBase[exp_item],$H880,PerBase[company_name],$B880)*AS460)</f>
        <v>0</v>
      </c>
      <c r="AT880" s="652">
        <f>IF($B880="",,SUMIFS(PerBase[Month 35],PerBase[exp_item],$H880,PerBase[company_name],$B880)*AT460)</f>
        <v>0</v>
      </c>
      <c r="AU880" s="652">
        <f>IF($B880="",,SUMIFS(PerBase[Month 36],PerBase[exp_item],$H880,PerBase[company_name],$B880)*AU460)</f>
        <v>0</v>
      </c>
    </row>
    <row r="881" spans="2:47" x14ac:dyDescent="0.35">
      <c r="B881" t="str">
        <f t="shared" ref="B881:B900" si="514">IF(B776="","",B776)</f>
        <v/>
      </c>
      <c r="C881" t="str">
        <f t="shared" ref="C881:G881" si="515">IF(C776="","",C776)</f>
        <v/>
      </c>
      <c r="D881" t="str">
        <f t="shared" si="515"/>
        <v/>
      </c>
      <c r="E881" t="str">
        <f t="shared" si="515"/>
        <v/>
      </c>
      <c r="F881" t="str">
        <f t="shared" si="515"/>
        <v/>
      </c>
      <c r="G881" t="str">
        <f t="shared" si="515"/>
        <v/>
      </c>
      <c r="H881" t="str">
        <f t="shared" si="513"/>
        <v/>
      </c>
      <c r="J881" t="str">
        <f>IF($H881="","",IF(VLOOKUP(H881,ExpItems[],2,0),H881&amp;" - "&amp;INDEX(DivisionMapping[category_code],MATCH($D881&amp;$C881,DivisionMapping[dept_bu],0)),H881))</f>
        <v/>
      </c>
      <c r="K881" t="str">
        <f t="shared" ref="K881:K916" si="516">K776</f>
        <v/>
      </c>
      <c r="L881" s="652">
        <f>IF($B881="",,SUMIFS(PerBase[Month 1],PerBase[exp_item],$H881,PerBase[company_name],$B881)*L461)</f>
        <v>0</v>
      </c>
      <c r="M881" s="652">
        <f>IF($B881="",,SUMIFS(PerBase[Month 2],PerBase[exp_item],$H881,PerBase[company_name],$B881)*M461)</f>
        <v>0</v>
      </c>
      <c r="N881" s="652">
        <f>IF($B881="",,SUMIFS(PerBase[Month 3],PerBase[exp_item],$H881,PerBase[company_name],$B881)*N461)</f>
        <v>0</v>
      </c>
      <c r="O881" s="652">
        <f>IF($B881="",,SUMIFS(PerBase[Month 4],PerBase[exp_item],$H881,PerBase[company_name],$B881)*O461)</f>
        <v>0</v>
      </c>
      <c r="P881" s="652">
        <f>IF($B881="",,SUMIFS(PerBase[Month 5],PerBase[exp_item],$H881,PerBase[company_name],$B881)*P461)</f>
        <v>0</v>
      </c>
      <c r="Q881" s="652">
        <f>IF($B881="",,SUMIFS(PerBase[Month 6],PerBase[exp_item],$H881,PerBase[company_name],$B881)*Q461)</f>
        <v>0</v>
      </c>
      <c r="R881" s="652">
        <f>IF($B881="",,SUMIFS(PerBase[Month 7],PerBase[exp_item],$H881,PerBase[company_name],$B881)*R461)</f>
        <v>0</v>
      </c>
      <c r="S881" s="652">
        <f>IF($B881="",,SUMIFS(PerBase[Month 8],PerBase[exp_item],$H881,PerBase[company_name],$B881)*S461)</f>
        <v>0</v>
      </c>
      <c r="T881" s="652">
        <f>IF($B881="",,SUMIFS(PerBase[Month 9],PerBase[exp_item],$H881,PerBase[company_name],$B881)*T461)</f>
        <v>0</v>
      </c>
      <c r="U881" s="652">
        <f>IF($B881="",,SUMIFS(PerBase[Month 10],PerBase[exp_item],$H881,PerBase[company_name],$B881)*U461)</f>
        <v>0</v>
      </c>
      <c r="V881" s="652">
        <f>IF($B881="",,SUMIFS(PerBase[Month 11],PerBase[exp_item],$H881,PerBase[company_name],$B881)*V461)</f>
        <v>0</v>
      </c>
      <c r="W881" s="652">
        <f>IF($B881="",,SUMIFS(PerBase[Month 12],PerBase[exp_item],$H881,PerBase[company_name],$B881)*W461)</f>
        <v>0</v>
      </c>
      <c r="X881" s="652">
        <f>IF($B881="",,SUMIFS(PerBase[Month 13],PerBase[exp_item],$H881,PerBase[company_name],$B881)*X461)</f>
        <v>0</v>
      </c>
      <c r="Y881" s="652">
        <f>IF($B881="",,SUMIFS(PerBase[Month 14],PerBase[exp_item],$H881,PerBase[company_name],$B881)*Y461)</f>
        <v>0</v>
      </c>
      <c r="Z881" s="652">
        <f>IF($B881="",,SUMIFS(PerBase[Month 15],PerBase[exp_item],$H881,PerBase[company_name],$B881)*Z461)</f>
        <v>0</v>
      </c>
      <c r="AA881" s="652">
        <f>IF($B881="",,SUMIFS(PerBase[Month 16],PerBase[exp_item],$H881,PerBase[company_name],$B881)*AA461)</f>
        <v>0</v>
      </c>
      <c r="AB881" s="652">
        <f>IF($B881="",,SUMIFS(PerBase[Month 17],PerBase[exp_item],$H881,PerBase[company_name],$B881)*AB461)</f>
        <v>0</v>
      </c>
      <c r="AC881" s="652">
        <f>IF($B881="",,SUMIFS(PerBase[Month 18],PerBase[exp_item],$H881,PerBase[company_name],$B881)*AC461)</f>
        <v>0</v>
      </c>
      <c r="AD881" s="652">
        <f>IF($B881="",,SUMIFS(PerBase[Month 19],PerBase[exp_item],$H881,PerBase[company_name],$B881)*AD461)</f>
        <v>0</v>
      </c>
      <c r="AE881" s="652">
        <f>IF($B881="",,SUMIFS(PerBase[Month 20],PerBase[exp_item],$H881,PerBase[company_name],$B881)*AE461)</f>
        <v>0</v>
      </c>
      <c r="AF881" s="652">
        <f>IF($B881="",,SUMIFS(PerBase[Month 21],PerBase[exp_item],$H881,PerBase[company_name],$B881)*AF461)</f>
        <v>0</v>
      </c>
      <c r="AG881" s="652">
        <f>IF($B881="",,SUMIFS(PerBase[Month 22],PerBase[exp_item],$H881,PerBase[company_name],$B881)*AG461)</f>
        <v>0</v>
      </c>
      <c r="AH881" s="652">
        <f>IF($B881="",,SUMIFS(PerBase[Month 23],PerBase[exp_item],$H881,PerBase[company_name],$B881)*AH461)</f>
        <v>0</v>
      </c>
      <c r="AI881" s="652">
        <f>IF($B881="",,SUMIFS(PerBase[Month 24],PerBase[exp_item],$H881,PerBase[company_name],$B881)*AI461)</f>
        <v>0</v>
      </c>
      <c r="AJ881" s="652">
        <f>IF($B881="",,SUMIFS(PerBase[Month 25],PerBase[exp_item],$H881,PerBase[company_name],$B881)*AJ461)</f>
        <v>0</v>
      </c>
      <c r="AK881" s="652">
        <f>IF($B881="",,SUMIFS(PerBase[Month 26],PerBase[exp_item],$H881,PerBase[company_name],$B881)*AK461)</f>
        <v>0</v>
      </c>
      <c r="AL881" s="652">
        <f>IF($B881="",,SUMIFS(PerBase[Month 27],PerBase[exp_item],$H881,PerBase[company_name],$B881)*AL461)</f>
        <v>0</v>
      </c>
      <c r="AM881" s="652">
        <f>IF($B881="",,SUMIFS(PerBase[Month 28],PerBase[exp_item],$H881,PerBase[company_name],$B881)*AM461)</f>
        <v>0</v>
      </c>
      <c r="AN881" s="652">
        <f>IF($B881="",,SUMIFS(PerBase[Month 29],PerBase[exp_item],$H881,PerBase[company_name],$B881)*AN461)</f>
        <v>0</v>
      </c>
      <c r="AO881" s="652">
        <f>IF($B881="",,SUMIFS(PerBase[Month 30],PerBase[exp_item],$H881,PerBase[company_name],$B881)*AO461)</f>
        <v>0</v>
      </c>
      <c r="AP881" s="652">
        <f>IF($B881="",,SUMIFS(PerBase[Month 31],PerBase[exp_item],$H881,PerBase[company_name],$B881)*AP461)</f>
        <v>0</v>
      </c>
      <c r="AQ881" s="652">
        <f>IF($B881="",,SUMIFS(PerBase[Month 32],PerBase[exp_item],$H881,PerBase[company_name],$B881)*AQ461)</f>
        <v>0</v>
      </c>
      <c r="AR881" s="652">
        <f>IF($B881="",,SUMIFS(PerBase[Month 33],PerBase[exp_item],$H881,PerBase[company_name],$B881)*AR461)</f>
        <v>0</v>
      </c>
      <c r="AS881" s="652">
        <f>IF($B881="",,SUMIFS(PerBase[Month 34],PerBase[exp_item],$H881,PerBase[company_name],$B881)*AS461)</f>
        <v>0</v>
      </c>
      <c r="AT881" s="652">
        <f>IF($B881="",,SUMIFS(PerBase[Month 35],PerBase[exp_item],$H881,PerBase[company_name],$B881)*AT461)</f>
        <v>0</v>
      </c>
      <c r="AU881" s="652">
        <f>IF($B881="",,SUMIFS(PerBase[Month 36],PerBase[exp_item],$H881,PerBase[company_name],$B881)*AU461)</f>
        <v>0</v>
      </c>
    </row>
    <row r="882" spans="2:47" x14ac:dyDescent="0.35">
      <c r="B882" t="str">
        <f t="shared" si="514"/>
        <v/>
      </c>
      <c r="C882" t="str">
        <f t="shared" ref="C882:G882" si="517">IF(C777="","",C777)</f>
        <v/>
      </c>
      <c r="D882" t="str">
        <f t="shared" si="517"/>
        <v/>
      </c>
      <c r="E882" t="str">
        <f t="shared" si="517"/>
        <v/>
      </c>
      <c r="F882" t="str">
        <f t="shared" si="517"/>
        <v/>
      </c>
      <c r="G882" t="str">
        <f t="shared" si="517"/>
        <v/>
      </c>
      <c r="H882" t="str">
        <f t="shared" si="513"/>
        <v/>
      </c>
      <c r="J882" t="str">
        <f>IF($H882="","",IF(VLOOKUP(H882,ExpItems[],2,0),H882&amp;" - "&amp;INDEX(DivisionMapping[category_code],MATCH($D882&amp;$C882,DivisionMapping[dept_bu],0)),H882))</f>
        <v/>
      </c>
      <c r="K882" t="str">
        <f t="shared" si="516"/>
        <v/>
      </c>
      <c r="L882" s="652">
        <f>IF($B882="",,SUMIFS(PerBase[Month 1],PerBase[exp_item],$H882,PerBase[company_name],$B882)*L462)</f>
        <v>0</v>
      </c>
      <c r="M882" s="652">
        <f>IF($B882="",,SUMIFS(PerBase[Month 2],PerBase[exp_item],$H882,PerBase[company_name],$B882)*M462)</f>
        <v>0</v>
      </c>
      <c r="N882" s="652">
        <f>IF($B882="",,SUMIFS(PerBase[Month 3],PerBase[exp_item],$H882,PerBase[company_name],$B882)*N462)</f>
        <v>0</v>
      </c>
      <c r="O882" s="652">
        <f>IF($B882="",,SUMIFS(PerBase[Month 4],PerBase[exp_item],$H882,PerBase[company_name],$B882)*O462)</f>
        <v>0</v>
      </c>
      <c r="P882" s="652">
        <f>IF($B882="",,SUMIFS(PerBase[Month 5],PerBase[exp_item],$H882,PerBase[company_name],$B882)*P462)</f>
        <v>0</v>
      </c>
      <c r="Q882" s="652">
        <f>IF($B882="",,SUMIFS(PerBase[Month 6],PerBase[exp_item],$H882,PerBase[company_name],$B882)*Q462)</f>
        <v>0</v>
      </c>
      <c r="R882" s="652">
        <f>IF($B882="",,SUMIFS(PerBase[Month 7],PerBase[exp_item],$H882,PerBase[company_name],$B882)*R462)</f>
        <v>0</v>
      </c>
      <c r="S882" s="652">
        <f>IF($B882="",,SUMIFS(PerBase[Month 8],PerBase[exp_item],$H882,PerBase[company_name],$B882)*S462)</f>
        <v>0</v>
      </c>
      <c r="T882" s="652">
        <f>IF($B882="",,SUMIFS(PerBase[Month 9],PerBase[exp_item],$H882,PerBase[company_name],$B882)*T462)</f>
        <v>0</v>
      </c>
      <c r="U882" s="652">
        <f>IF($B882="",,SUMIFS(PerBase[Month 10],PerBase[exp_item],$H882,PerBase[company_name],$B882)*U462)</f>
        <v>0</v>
      </c>
      <c r="V882" s="652">
        <f>IF($B882="",,SUMIFS(PerBase[Month 11],PerBase[exp_item],$H882,PerBase[company_name],$B882)*V462)</f>
        <v>0</v>
      </c>
      <c r="W882" s="652">
        <f>IF($B882="",,SUMIFS(PerBase[Month 12],PerBase[exp_item],$H882,PerBase[company_name],$B882)*W462)</f>
        <v>0</v>
      </c>
      <c r="X882" s="652">
        <f>IF($B882="",,SUMIFS(PerBase[Month 13],PerBase[exp_item],$H882,PerBase[company_name],$B882)*X462)</f>
        <v>0</v>
      </c>
      <c r="Y882" s="652">
        <f>IF($B882="",,SUMIFS(PerBase[Month 14],PerBase[exp_item],$H882,PerBase[company_name],$B882)*Y462)</f>
        <v>0</v>
      </c>
      <c r="Z882" s="652">
        <f>IF($B882="",,SUMIFS(PerBase[Month 15],PerBase[exp_item],$H882,PerBase[company_name],$B882)*Z462)</f>
        <v>0</v>
      </c>
      <c r="AA882" s="652">
        <f>IF($B882="",,SUMIFS(PerBase[Month 16],PerBase[exp_item],$H882,PerBase[company_name],$B882)*AA462)</f>
        <v>0</v>
      </c>
      <c r="AB882" s="652">
        <f>IF($B882="",,SUMIFS(PerBase[Month 17],PerBase[exp_item],$H882,PerBase[company_name],$B882)*AB462)</f>
        <v>0</v>
      </c>
      <c r="AC882" s="652">
        <f>IF($B882="",,SUMIFS(PerBase[Month 18],PerBase[exp_item],$H882,PerBase[company_name],$B882)*AC462)</f>
        <v>0</v>
      </c>
      <c r="AD882" s="652">
        <f>IF($B882="",,SUMIFS(PerBase[Month 19],PerBase[exp_item],$H882,PerBase[company_name],$B882)*AD462)</f>
        <v>0</v>
      </c>
      <c r="AE882" s="652">
        <f>IF($B882="",,SUMIFS(PerBase[Month 20],PerBase[exp_item],$H882,PerBase[company_name],$B882)*AE462)</f>
        <v>0</v>
      </c>
      <c r="AF882" s="652">
        <f>IF($B882="",,SUMIFS(PerBase[Month 21],PerBase[exp_item],$H882,PerBase[company_name],$B882)*AF462)</f>
        <v>0</v>
      </c>
      <c r="AG882" s="652">
        <f>IF($B882="",,SUMIFS(PerBase[Month 22],PerBase[exp_item],$H882,PerBase[company_name],$B882)*AG462)</f>
        <v>0</v>
      </c>
      <c r="AH882" s="652">
        <f>IF($B882="",,SUMIFS(PerBase[Month 23],PerBase[exp_item],$H882,PerBase[company_name],$B882)*AH462)</f>
        <v>0</v>
      </c>
      <c r="AI882" s="652">
        <f>IF($B882="",,SUMIFS(PerBase[Month 24],PerBase[exp_item],$H882,PerBase[company_name],$B882)*AI462)</f>
        <v>0</v>
      </c>
      <c r="AJ882" s="652">
        <f>IF($B882="",,SUMIFS(PerBase[Month 25],PerBase[exp_item],$H882,PerBase[company_name],$B882)*AJ462)</f>
        <v>0</v>
      </c>
      <c r="AK882" s="652">
        <f>IF($B882="",,SUMIFS(PerBase[Month 26],PerBase[exp_item],$H882,PerBase[company_name],$B882)*AK462)</f>
        <v>0</v>
      </c>
      <c r="AL882" s="652">
        <f>IF($B882="",,SUMIFS(PerBase[Month 27],PerBase[exp_item],$H882,PerBase[company_name],$B882)*AL462)</f>
        <v>0</v>
      </c>
      <c r="AM882" s="652">
        <f>IF($B882="",,SUMIFS(PerBase[Month 28],PerBase[exp_item],$H882,PerBase[company_name],$B882)*AM462)</f>
        <v>0</v>
      </c>
      <c r="AN882" s="652">
        <f>IF($B882="",,SUMIFS(PerBase[Month 29],PerBase[exp_item],$H882,PerBase[company_name],$B882)*AN462)</f>
        <v>0</v>
      </c>
      <c r="AO882" s="652">
        <f>IF($B882="",,SUMIFS(PerBase[Month 30],PerBase[exp_item],$H882,PerBase[company_name],$B882)*AO462)</f>
        <v>0</v>
      </c>
      <c r="AP882" s="652">
        <f>IF($B882="",,SUMIFS(PerBase[Month 31],PerBase[exp_item],$H882,PerBase[company_name],$B882)*AP462)</f>
        <v>0</v>
      </c>
      <c r="AQ882" s="652">
        <f>IF($B882="",,SUMIFS(PerBase[Month 32],PerBase[exp_item],$H882,PerBase[company_name],$B882)*AQ462)</f>
        <v>0</v>
      </c>
      <c r="AR882" s="652">
        <f>IF($B882="",,SUMIFS(PerBase[Month 33],PerBase[exp_item],$H882,PerBase[company_name],$B882)*AR462)</f>
        <v>0</v>
      </c>
      <c r="AS882" s="652">
        <f>IF($B882="",,SUMIFS(PerBase[Month 34],PerBase[exp_item],$H882,PerBase[company_name],$B882)*AS462)</f>
        <v>0</v>
      </c>
      <c r="AT882" s="652">
        <f>IF($B882="",,SUMIFS(PerBase[Month 35],PerBase[exp_item],$H882,PerBase[company_name],$B882)*AT462)</f>
        <v>0</v>
      </c>
      <c r="AU882" s="652">
        <f>IF($B882="",,SUMIFS(PerBase[Month 36],PerBase[exp_item],$H882,PerBase[company_name],$B882)*AU462)</f>
        <v>0</v>
      </c>
    </row>
    <row r="883" spans="2:47" x14ac:dyDescent="0.35">
      <c r="B883" t="str">
        <f t="shared" si="514"/>
        <v/>
      </c>
      <c r="C883" t="str">
        <f t="shared" ref="C883:G883" si="518">IF(C778="","",C778)</f>
        <v/>
      </c>
      <c r="D883" t="str">
        <f t="shared" si="518"/>
        <v/>
      </c>
      <c r="E883" t="str">
        <f t="shared" si="518"/>
        <v/>
      </c>
      <c r="F883" t="str">
        <f t="shared" si="518"/>
        <v/>
      </c>
      <c r="G883" t="str">
        <f t="shared" si="518"/>
        <v/>
      </c>
      <c r="H883" t="str">
        <f t="shared" si="513"/>
        <v/>
      </c>
      <c r="J883" t="str">
        <f>IF($H883="","",IF(VLOOKUP(H883,ExpItems[],2,0),H883&amp;" - "&amp;INDEX(DivisionMapping[category_code],MATCH($D883&amp;$C883,DivisionMapping[dept_bu],0)),H883))</f>
        <v/>
      </c>
      <c r="K883" t="str">
        <f t="shared" si="516"/>
        <v/>
      </c>
      <c r="L883" s="652">
        <f>IF($B883="",,SUMIFS(PerBase[Month 1],PerBase[exp_item],$H883,PerBase[company_name],$B883)*L463)</f>
        <v>0</v>
      </c>
      <c r="M883" s="652">
        <f>IF($B883="",,SUMIFS(PerBase[Month 2],PerBase[exp_item],$H883,PerBase[company_name],$B883)*M463)</f>
        <v>0</v>
      </c>
      <c r="N883" s="652">
        <f>IF($B883="",,SUMIFS(PerBase[Month 3],PerBase[exp_item],$H883,PerBase[company_name],$B883)*N463)</f>
        <v>0</v>
      </c>
      <c r="O883" s="652">
        <f>IF($B883="",,SUMIFS(PerBase[Month 4],PerBase[exp_item],$H883,PerBase[company_name],$B883)*O463)</f>
        <v>0</v>
      </c>
      <c r="P883" s="652">
        <f>IF($B883="",,SUMIFS(PerBase[Month 5],PerBase[exp_item],$H883,PerBase[company_name],$B883)*P463)</f>
        <v>0</v>
      </c>
      <c r="Q883" s="652">
        <f>IF($B883="",,SUMIFS(PerBase[Month 6],PerBase[exp_item],$H883,PerBase[company_name],$B883)*Q463)</f>
        <v>0</v>
      </c>
      <c r="R883" s="652">
        <f>IF($B883="",,SUMIFS(PerBase[Month 7],PerBase[exp_item],$H883,PerBase[company_name],$B883)*R463)</f>
        <v>0</v>
      </c>
      <c r="S883" s="652">
        <f>IF($B883="",,SUMIFS(PerBase[Month 8],PerBase[exp_item],$H883,PerBase[company_name],$B883)*S463)</f>
        <v>0</v>
      </c>
      <c r="T883" s="652">
        <f>IF($B883="",,SUMIFS(PerBase[Month 9],PerBase[exp_item],$H883,PerBase[company_name],$B883)*T463)</f>
        <v>0</v>
      </c>
      <c r="U883" s="652">
        <f>IF($B883="",,SUMIFS(PerBase[Month 10],PerBase[exp_item],$H883,PerBase[company_name],$B883)*U463)</f>
        <v>0</v>
      </c>
      <c r="V883" s="652">
        <f>IF($B883="",,SUMIFS(PerBase[Month 11],PerBase[exp_item],$H883,PerBase[company_name],$B883)*V463)</f>
        <v>0</v>
      </c>
      <c r="W883" s="652">
        <f>IF($B883="",,SUMIFS(PerBase[Month 12],PerBase[exp_item],$H883,PerBase[company_name],$B883)*W463)</f>
        <v>0</v>
      </c>
      <c r="X883" s="652">
        <f>IF($B883="",,SUMIFS(PerBase[Month 13],PerBase[exp_item],$H883,PerBase[company_name],$B883)*X463)</f>
        <v>0</v>
      </c>
      <c r="Y883" s="652">
        <f>IF($B883="",,SUMIFS(PerBase[Month 14],PerBase[exp_item],$H883,PerBase[company_name],$B883)*Y463)</f>
        <v>0</v>
      </c>
      <c r="Z883" s="652">
        <f>IF($B883="",,SUMIFS(PerBase[Month 15],PerBase[exp_item],$H883,PerBase[company_name],$B883)*Z463)</f>
        <v>0</v>
      </c>
      <c r="AA883" s="652">
        <f>IF($B883="",,SUMIFS(PerBase[Month 16],PerBase[exp_item],$H883,PerBase[company_name],$B883)*AA463)</f>
        <v>0</v>
      </c>
      <c r="AB883" s="652">
        <f>IF($B883="",,SUMIFS(PerBase[Month 17],PerBase[exp_item],$H883,PerBase[company_name],$B883)*AB463)</f>
        <v>0</v>
      </c>
      <c r="AC883" s="652">
        <f>IF($B883="",,SUMIFS(PerBase[Month 18],PerBase[exp_item],$H883,PerBase[company_name],$B883)*AC463)</f>
        <v>0</v>
      </c>
      <c r="AD883" s="652">
        <f>IF($B883="",,SUMIFS(PerBase[Month 19],PerBase[exp_item],$H883,PerBase[company_name],$B883)*AD463)</f>
        <v>0</v>
      </c>
      <c r="AE883" s="652">
        <f>IF($B883="",,SUMIFS(PerBase[Month 20],PerBase[exp_item],$H883,PerBase[company_name],$B883)*AE463)</f>
        <v>0</v>
      </c>
      <c r="AF883" s="652">
        <f>IF($B883="",,SUMIFS(PerBase[Month 21],PerBase[exp_item],$H883,PerBase[company_name],$B883)*AF463)</f>
        <v>0</v>
      </c>
      <c r="AG883" s="652">
        <f>IF($B883="",,SUMIFS(PerBase[Month 22],PerBase[exp_item],$H883,PerBase[company_name],$B883)*AG463)</f>
        <v>0</v>
      </c>
      <c r="AH883" s="652">
        <f>IF($B883="",,SUMIFS(PerBase[Month 23],PerBase[exp_item],$H883,PerBase[company_name],$B883)*AH463)</f>
        <v>0</v>
      </c>
      <c r="AI883" s="652">
        <f>IF($B883="",,SUMIFS(PerBase[Month 24],PerBase[exp_item],$H883,PerBase[company_name],$B883)*AI463)</f>
        <v>0</v>
      </c>
      <c r="AJ883" s="652">
        <f>IF($B883="",,SUMIFS(PerBase[Month 25],PerBase[exp_item],$H883,PerBase[company_name],$B883)*AJ463)</f>
        <v>0</v>
      </c>
      <c r="AK883" s="652">
        <f>IF($B883="",,SUMIFS(PerBase[Month 26],PerBase[exp_item],$H883,PerBase[company_name],$B883)*AK463)</f>
        <v>0</v>
      </c>
      <c r="AL883" s="652">
        <f>IF($B883="",,SUMIFS(PerBase[Month 27],PerBase[exp_item],$H883,PerBase[company_name],$B883)*AL463)</f>
        <v>0</v>
      </c>
      <c r="AM883" s="652">
        <f>IF($B883="",,SUMIFS(PerBase[Month 28],PerBase[exp_item],$H883,PerBase[company_name],$B883)*AM463)</f>
        <v>0</v>
      </c>
      <c r="AN883" s="652">
        <f>IF($B883="",,SUMIFS(PerBase[Month 29],PerBase[exp_item],$H883,PerBase[company_name],$B883)*AN463)</f>
        <v>0</v>
      </c>
      <c r="AO883" s="652">
        <f>IF($B883="",,SUMIFS(PerBase[Month 30],PerBase[exp_item],$H883,PerBase[company_name],$B883)*AO463)</f>
        <v>0</v>
      </c>
      <c r="AP883" s="652">
        <f>IF($B883="",,SUMIFS(PerBase[Month 31],PerBase[exp_item],$H883,PerBase[company_name],$B883)*AP463)</f>
        <v>0</v>
      </c>
      <c r="AQ883" s="652">
        <f>IF($B883="",,SUMIFS(PerBase[Month 32],PerBase[exp_item],$H883,PerBase[company_name],$B883)*AQ463)</f>
        <v>0</v>
      </c>
      <c r="AR883" s="652">
        <f>IF($B883="",,SUMIFS(PerBase[Month 33],PerBase[exp_item],$H883,PerBase[company_name],$B883)*AR463)</f>
        <v>0</v>
      </c>
      <c r="AS883" s="652">
        <f>IF($B883="",,SUMIFS(PerBase[Month 34],PerBase[exp_item],$H883,PerBase[company_name],$B883)*AS463)</f>
        <v>0</v>
      </c>
      <c r="AT883" s="652">
        <f>IF($B883="",,SUMIFS(PerBase[Month 35],PerBase[exp_item],$H883,PerBase[company_name],$B883)*AT463)</f>
        <v>0</v>
      </c>
      <c r="AU883" s="652">
        <f>IF($B883="",,SUMIFS(PerBase[Month 36],PerBase[exp_item],$H883,PerBase[company_name],$B883)*AU463)</f>
        <v>0</v>
      </c>
    </row>
    <row r="884" spans="2:47" x14ac:dyDescent="0.35">
      <c r="B884" t="str">
        <f t="shared" si="514"/>
        <v/>
      </c>
      <c r="C884" t="str">
        <f t="shared" ref="C884:G884" si="519">IF(C779="","",C779)</f>
        <v/>
      </c>
      <c r="D884" t="str">
        <f t="shared" si="519"/>
        <v/>
      </c>
      <c r="E884" t="str">
        <f t="shared" si="519"/>
        <v/>
      </c>
      <c r="F884" t="str">
        <f t="shared" si="519"/>
        <v/>
      </c>
      <c r="G884" t="str">
        <f t="shared" si="519"/>
        <v/>
      </c>
      <c r="H884" t="str">
        <f t="shared" si="513"/>
        <v/>
      </c>
      <c r="J884" t="str">
        <f>IF($H884="","",IF(VLOOKUP(H884,ExpItems[],2,0),H884&amp;" - "&amp;INDEX(DivisionMapping[category_code],MATCH($D884&amp;$C884,DivisionMapping[dept_bu],0)),H884))</f>
        <v/>
      </c>
      <c r="K884" t="str">
        <f t="shared" si="516"/>
        <v/>
      </c>
      <c r="L884" s="652">
        <f>IF($B884="",,SUMIFS(PerBase[Month 1],PerBase[exp_item],$H884,PerBase[company_name],$B884)*L464)</f>
        <v>0</v>
      </c>
      <c r="M884" s="652">
        <f>IF($B884="",,SUMIFS(PerBase[Month 2],PerBase[exp_item],$H884,PerBase[company_name],$B884)*M464)</f>
        <v>0</v>
      </c>
      <c r="N884" s="652">
        <f>IF($B884="",,SUMIFS(PerBase[Month 3],PerBase[exp_item],$H884,PerBase[company_name],$B884)*N464)</f>
        <v>0</v>
      </c>
      <c r="O884" s="652">
        <f>IF($B884="",,SUMIFS(PerBase[Month 4],PerBase[exp_item],$H884,PerBase[company_name],$B884)*O464)</f>
        <v>0</v>
      </c>
      <c r="P884" s="652">
        <f>IF($B884="",,SUMIFS(PerBase[Month 5],PerBase[exp_item],$H884,PerBase[company_name],$B884)*P464)</f>
        <v>0</v>
      </c>
      <c r="Q884" s="652">
        <f>IF($B884="",,SUMIFS(PerBase[Month 6],PerBase[exp_item],$H884,PerBase[company_name],$B884)*Q464)</f>
        <v>0</v>
      </c>
      <c r="R884" s="652">
        <f>IF($B884="",,SUMIFS(PerBase[Month 7],PerBase[exp_item],$H884,PerBase[company_name],$B884)*R464)</f>
        <v>0</v>
      </c>
      <c r="S884" s="652">
        <f>IF($B884="",,SUMIFS(PerBase[Month 8],PerBase[exp_item],$H884,PerBase[company_name],$B884)*S464)</f>
        <v>0</v>
      </c>
      <c r="T884" s="652">
        <f>IF($B884="",,SUMIFS(PerBase[Month 9],PerBase[exp_item],$H884,PerBase[company_name],$B884)*T464)</f>
        <v>0</v>
      </c>
      <c r="U884" s="652">
        <f>IF($B884="",,SUMIFS(PerBase[Month 10],PerBase[exp_item],$H884,PerBase[company_name],$B884)*U464)</f>
        <v>0</v>
      </c>
      <c r="V884" s="652">
        <f>IF($B884="",,SUMIFS(PerBase[Month 11],PerBase[exp_item],$H884,PerBase[company_name],$B884)*V464)</f>
        <v>0</v>
      </c>
      <c r="W884" s="652">
        <f>IF($B884="",,SUMIFS(PerBase[Month 12],PerBase[exp_item],$H884,PerBase[company_name],$B884)*W464)</f>
        <v>0</v>
      </c>
      <c r="X884" s="652">
        <f>IF($B884="",,SUMIFS(PerBase[Month 13],PerBase[exp_item],$H884,PerBase[company_name],$B884)*X464)</f>
        <v>0</v>
      </c>
      <c r="Y884" s="652">
        <f>IF($B884="",,SUMIFS(PerBase[Month 14],PerBase[exp_item],$H884,PerBase[company_name],$B884)*Y464)</f>
        <v>0</v>
      </c>
      <c r="Z884" s="652">
        <f>IF($B884="",,SUMIFS(PerBase[Month 15],PerBase[exp_item],$H884,PerBase[company_name],$B884)*Z464)</f>
        <v>0</v>
      </c>
      <c r="AA884" s="652">
        <f>IF($B884="",,SUMIFS(PerBase[Month 16],PerBase[exp_item],$H884,PerBase[company_name],$B884)*AA464)</f>
        <v>0</v>
      </c>
      <c r="AB884" s="652">
        <f>IF($B884="",,SUMIFS(PerBase[Month 17],PerBase[exp_item],$H884,PerBase[company_name],$B884)*AB464)</f>
        <v>0</v>
      </c>
      <c r="AC884" s="652">
        <f>IF($B884="",,SUMIFS(PerBase[Month 18],PerBase[exp_item],$H884,PerBase[company_name],$B884)*AC464)</f>
        <v>0</v>
      </c>
      <c r="AD884" s="652">
        <f>IF($B884="",,SUMIFS(PerBase[Month 19],PerBase[exp_item],$H884,PerBase[company_name],$B884)*AD464)</f>
        <v>0</v>
      </c>
      <c r="AE884" s="652">
        <f>IF($B884="",,SUMIFS(PerBase[Month 20],PerBase[exp_item],$H884,PerBase[company_name],$B884)*AE464)</f>
        <v>0</v>
      </c>
      <c r="AF884" s="652">
        <f>IF($B884="",,SUMIFS(PerBase[Month 21],PerBase[exp_item],$H884,PerBase[company_name],$B884)*AF464)</f>
        <v>0</v>
      </c>
      <c r="AG884" s="652">
        <f>IF($B884="",,SUMIFS(PerBase[Month 22],PerBase[exp_item],$H884,PerBase[company_name],$B884)*AG464)</f>
        <v>0</v>
      </c>
      <c r="AH884" s="652">
        <f>IF($B884="",,SUMIFS(PerBase[Month 23],PerBase[exp_item],$H884,PerBase[company_name],$B884)*AH464)</f>
        <v>0</v>
      </c>
      <c r="AI884" s="652">
        <f>IF($B884="",,SUMIFS(PerBase[Month 24],PerBase[exp_item],$H884,PerBase[company_name],$B884)*AI464)</f>
        <v>0</v>
      </c>
      <c r="AJ884" s="652">
        <f>IF($B884="",,SUMIFS(PerBase[Month 25],PerBase[exp_item],$H884,PerBase[company_name],$B884)*AJ464)</f>
        <v>0</v>
      </c>
      <c r="AK884" s="652">
        <f>IF($B884="",,SUMIFS(PerBase[Month 26],PerBase[exp_item],$H884,PerBase[company_name],$B884)*AK464)</f>
        <v>0</v>
      </c>
      <c r="AL884" s="652">
        <f>IF($B884="",,SUMIFS(PerBase[Month 27],PerBase[exp_item],$H884,PerBase[company_name],$B884)*AL464)</f>
        <v>0</v>
      </c>
      <c r="AM884" s="652">
        <f>IF($B884="",,SUMIFS(PerBase[Month 28],PerBase[exp_item],$H884,PerBase[company_name],$B884)*AM464)</f>
        <v>0</v>
      </c>
      <c r="AN884" s="652">
        <f>IF($B884="",,SUMIFS(PerBase[Month 29],PerBase[exp_item],$H884,PerBase[company_name],$B884)*AN464)</f>
        <v>0</v>
      </c>
      <c r="AO884" s="652">
        <f>IF($B884="",,SUMIFS(PerBase[Month 30],PerBase[exp_item],$H884,PerBase[company_name],$B884)*AO464)</f>
        <v>0</v>
      </c>
      <c r="AP884" s="652">
        <f>IF($B884="",,SUMIFS(PerBase[Month 31],PerBase[exp_item],$H884,PerBase[company_name],$B884)*AP464)</f>
        <v>0</v>
      </c>
      <c r="AQ884" s="652">
        <f>IF($B884="",,SUMIFS(PerBase[Month 32],PerBase[exp_item],$H884,PerBase[company_name],$B884)*AQ464)</f>
        <v>0</v>
      </c>
      <c r="AR884" s="652">
        <f>IF($B884="",,SUMIFS(PerBase[Month 33],PerBase[exp_item],$H884,PerBase[company_name],$B884)*AR464)</f>
        <v>0</v>
      </c>
      <c r="AS884" s="652">
        <f>IF($B884="",,SUMIFS(PerBase[Month 34],PerBase[exp_item],$H884,PerBase[company_name],$B884)*AS464)</f>
        <v>0</v>
      </c>
      <c r="AT884" s="652">
        <f>IF($B884="",,SUMIFS(PerBase[Month 35],PerBase[exp_item],$H884,PerBase[company_name],$B884)*AT464)</f>
        <v>0</v>
      </c>
      <c r="AU884" s="652">
        <f>IF($B884="",,SUMIFS(PerBase[Month 36],PerBase[exp_item],$H884,PerBase[company_name],$B884)*AU464)</f>
        <v>0</v>
      </c>
    </row>
    <row r="885" spans="2:47" x14ac:dyDescent="0.35">
      <c r="B885" t="str">
        <f t="shared" si="514"/>
        <v/>
      </c>
      <c r="C885" t="str">
        <f t="shared" ref="C885:G885" si="520">IF(C780="","",C780)</f>
        <v/>
      </c>
      <c r="D885" t="str">
        <f t="shared" si="520"/>
        <v/>
      </c>
      <c r="E885" t="str">
        <f t="shared" si="520"/>
        <v/>
      </c>
      <c r="F885" t="str">
        <f t="shared" si="520"/>
        <v/>
      </c>
      <c r="G885" t="str">
        <f t="shared" si="520"/>
        <v/>
      </c>
      <c r="H885" t="str">
        <f t="shared" si="513"/>
        <v/>
      </c>
      <c r="J885" t="str">
        <f>IF($H885="","",IF(VLOOKUP(H885,ExpItems[],2,0),H885&amp;" - "&amp;INDEX(DivisionMapping[category_code],MATCH($D885&amp;$C885,DivisionMapping[dept_bu],0)),H885))</f>
        <v/>
      </c>
      <c r="K885" t="str">
        <f t="shared" si="516"/>
        <v/>
      </c>
      <c r="L885" s="652">
        <f>IF($B885="",,SUMIFS(PerBase[Month 1],PerBase[exp_item],$H885,PerBase[company_name],$B885)*L465)</f>
        <v>0</v>
      </c>
      <c r="M885" s="652">
        <f>IF($B885="",,SUMIFS(PerBase[Month 2],PerBase[exp_item],$H885,PerBase[company_name],$B885)*M465)</f>
        <v>0</v>
      </c>
      <c r="N885" s="652">
        <f>IF($B885="",,SUMIFS(PerBase[Month 3],PerBase[exp_item],$H885,PerBase[company_name],$B885)*N465)</f>
        <v>0</v>
      </c>
      <c r="O885" s="652">
        <f>IF($B885="",,SUMIFS(PerBase[Month 4],PerBase[exp_item],$H885,PerBase[company_name],$B885)*O465)</f>
        <v>0</v>
      </c>
      <c r="P885" s="652">
        <f>IF($B885="",,SUMIFS(PerBase[Month 5],PerBase[exp_item],$H885,PerBase[company_name],$B885)*P465)</f>
        <v>0</v>
      </c>
      <c r="Q885" s="652">
        <f>IF($B885="",,SUMIFS(PerBase[Month 6],PerBase[exp_item],$H885,PerBase[company_name],$B885)*Q465)</f>
        <v>0</v>
      </c>
      <c r="R885" s="652">
        <f>IF($B885="",,SUMIFS(PerBase[Month 7],PerBase[exp_item],$H885,PerBase[company_name],$B885)*R465)</f>
        <v>0</v>
      </c>
      <c r="S885" s="652">
        <f>IF($B885="",,SUMIFS(PerBase[Month 8],PerBase[exp_item],$H885,PerBase[company_name],$B885)*S465)</f>
        <v>0</v>
      </c>
      <c r="T885" s="652">
        <f>IF($B885="",,SUMIFS(PerBase[Month 9],PerBase[exp_item],$H885,PerBase[company_name],$B885)*T465)</f>
        <v>0</v>
      </c>
      <c r="U885" s="652">
        <f>IF($B885="",,SUMIFS(PerBase[Month 10],PerBase[exp_item],$H885,PerBase[company_name],$B885)*U465)</f>
        <v>0</v>
      </c>
      <c r="V885" s="652">
        <f>IF($B885="",,SUMIFS(PerBase[Month 11],PerBase[exp_item],$H885,PerBase[company_name],$B885)*V465)</f>
        <v>0</v>
      </c>
      <c r="W885" s="652">
        <f>IF($B885="",,SUMIFS(PerBase[Month 12],PerBase[exp_item],$H885,PerBase[company_name],$B885)*W465)</f>
        <v>0</v>
      </c>
      <c r="X885" s="652">
        <f>IF($B885="",,SUMIFS(PerBase[Month 13],PerBase[exp_item],$H885,PerBase[company_name],$B885)*X465)</f>
        <v>0</v>
      </c>
      <c r="Y885" s="652">
        <f>IF($B885="",,SUMIFS(PerBase[Month 14],PerBase[exp_item],$H885,PerBase[company_name],$B885)*Y465)</f>
        <v>0</v>
      </c>
      <c r="Z885" s="652">
        <f>IF($B885="",,SUMIFS(PerBase[Month 15],PerBase[exp_item],$H885,PerBase[company_name],$B885)*Z465)</f>
        <v>0</v>
      </c>
      <c r="AA885" s="652">
        <f>IF($B885="",,SUMIFS(PerBase[Month 16],PerBase[exp_item],$H885,PerBase[company_name],$B885)*AA465)</f>
        <v>0</v>
      </c>
      <c r="AB885" s="652">
        <f>IF($B885="",,SUMIFS(PerBase[Month 17],PerBase[exp_item],$H885,PerBase[company_name],$B885)*AB465)</f>
        <v>0</v>
      </c>
      <c r="AC885" s="652">
        <f>IF($B885="",,SUMIFS(PerBase[Month 18],PerBase[exp_item],$H885,PerBase[company_name],$B885)*AC465)</f>
        <v>0</v>
      </c>
      <c r="AD885" s="652">
        <f>IF($B885="",,SUMIFS(PerBase[Month 19],PerBase[exp_item],$H885,PerBase[company_name],$B885)*AD465)</f>
        <v>0</v>
      </c>
      <c r="AE885" s="652">
        <f>IF($B885="",,SUMIFS(PerBase[Month 20],PerBase[exp_item],$H885,PerBase[company_name],$B885)*AE465)</f>
        <v>0</v>
      </c>
      <c r="AF885" s="652">
        <f>IF($B885="",,SUMIFS(PerBase[Month 21],PerBase[exp_item],$H885,PerBase[company_name],$B885)*AF465)</f>
        <v>0</v>
      </c>
      <c r="AG885" s="652">
        <f>IF($B885="",,SUMIFS(PerBase[Month 22],PerBase[exp_item],$H885,PerBase[company_name],$B885)*AG465)</f>
        <v>0</v>
      </c>
      <c r="AH885" s="652">
        <f>IF($B885="",,SUMIFS(PerBase[Month 23],PerBase[exp_item],$H885,PerBase[company_name],$B885)*AH465)</f>
        <v>0</v>
      </c>
      <c r="AI885" s="652">
        <f>IF($B885="",,SUMIFS(PerBase[Month 24],PerBase[exp_item],$H885,PerBase[company_name],$B885)*AI465)</f>
        <v>0</v>
      </c>
      <c r="AJ885" s="652">
        <f>IF($B885="",,SUMIFS(PerBase[Month 25],PerBase[exp_item],$H885,PerBase[company_name],$B885)*AJ465)</f>
        <v>0</v>
      </c>
      <c r="AK885" s="652">
        <f>IF($B885="",,SUMIFS(PerBase[Month 26],PerBase[exp_item],$H885,PerBase[company_name],$B885)*AK465)</f>
        <v>0</v>
      </c>
      <c r="AL885" s="652">
        <f>IF($B885="",,SUMIFS(PerBase[Month 27],PerBase[exp_item],$H885,PerBase[company_name],$B885)*AL465)</f>
        <v>0</v>
      </c>
      <c r="AM885" s="652">
        <f>IF($B885="",,SUMIFS(PerBase[Month 28],PerBase[exp_item],$H885,PerBase[company_name],$B885)*AM465)</f>
        <v>0</v>
      </c>
      <c r="AN885" s="652">
        <f>IF($B885="",,SUMIFS(PerBase[Month 29],PerBase[exp_item],$H885,PerBase[company_name],$B885)*AN465)</f>
        <v>0</v>
      </c>
      <c r="AO885" s="652">
        <f>IF($B885="",,SUMIFS(PerBase[Month 30],PerBase[exp_item],$H885,PerBase[company_name],$B885)*AO465)</f>
        <v>0</v>
      </c>
      <c r="AP885" s="652">
        <f>IF($B885="",,SUMIFS(PerBase[Month 31],PerBase[exp_item],$H885,PerBase[company_name],$B885)*AP465)</f>
        <v>0</v>
      </c>
      <c r="AQ885" s="652">
        <f>IF($B885="",,SUMIFS(PerBase[Month 32],PerBase[exp_item],$H885,PerBase[company_name],$B885)*AQ465)</f>
        <v>0</v>
      </c>
      <c r="AR885" s="652">
        <f>IF($B885="",,SUMIFS(PerBase[Month 33],PerBase[exp_item],$H885,PerBase[company_name],$B885)*AR465)</f>
        <v>0</v>
      </c>
      <c r="AS885" s="652">
        <f>IF($B885="",,SUMIFS(PerBase[Month 34],PerBase[exp_item],$H885,PerBase[company_name],$B885)*AS465)</f>
        <v>0</v>
      </c>
      <c r="AT885" s="652">
        <f>IF($B885="",,SUMIFS(PerBase[Month 35],PerBase[exp_item],$H885,PerBase[company_name],$B885)*AT465)</f>
        <v>0</v>
      </c>
      <c r="AU885" s="652">
        <f>IF($B885="",,SUMIFS(PerBase[Month 36],PerBase[exp_item],$H885,PerBase[company_name],$B885)*AU465)</f>
        <v>0</v>
      </c>
    </row>
    <row r="886" spans="2:47" x14ac:dyDescent="0.35">
      <c r="B886" t="str">
        <f t="shared" si="514"/>
        <v/>
      </c>
      <c r="C886" t="str">
        <f t="shared" ref="C886:G886" si="521">IF(C781="","",C781)</f>
        <v/>
      </c>
      <c r="D886" t="str">
        <f t="shared" si="521"/>
        <v/>
      </c>
      <c r="E886" t="str">
        <f t="shared" si="521"/>
        <v/>
      </c>
      <c r="F886" t="str">
        <f t="shared" si="521"/>
        <v/>
      </c>
      <c r="G886" t="str">
        <f t="shared" si="521"/>
        <v/>
      </c>
      <c r="H886" t="str">
        <f t="shared" si="513"/>
        <v/>
      </c>
      <c r="J886" t="str">
        <f>IF($H886="","",IF(VLOOKUP(H886,ExpItems[],2,0),H886&amp;" - "&amp;INDEX(DivisionMapping[category_code],MATCH($D886&amp;$C886,DivisionMapping[dept_bu],0)),H886))</f>
        <v/>
      </c>
      <c r="K886" t="str">
        <f t="shared" si="516"/>
        <v/>
      </c>
      <c r="L886" s="652">
        <f>IF($B886="",,SUMIFS(PerBase[Month 1],PerBase[exp_item],$H886,PerBase[company_name],$B886)*L466)</f>
        <v>0</v>
      </c>
      <c r="M886" s="652">
        <f>IF($B886="",,SUMIFS(PerBase[Month 2],PerBase[exp_item],$H886,PerBase[company_name],$B886)*M466)</f>
        <v>0</v>
      </c>
      <c r="N886" s="652">
        <f>IF($B886="",,SUMIFS(PerBase[Month 3],PerBase[exp_item],$H886,PerBase[company_name],$B886)*N466)</f>
        <v>0</v>
      </c>
      <c r="O886" s="652">
        <f>IF($B886="",,SUMIFS(PerBase[Month 4],PerBase[exp_item],$H886,PerBase[company_name],$B886)*O466)</f>
        <v>0</v>
      </c>
      <c r="P886" s="652">
        <f>IF($B886="",,SUMIFS(PerBase[Month 5],PerBase[exp_item],$H886,PerBase[company_name],$B886)*P466)</f>
        <v>0</v>
      </c>
      <c r="Q886" s="652">
        <f>IF($B886="",,SUMIFS(PerBase[Month 6],PerBase[exp_item],$H886,PerBase[company_name],$B886)*Q466)</f>
        <v>0</v>
      </c>
      <c r="R886" s="652">
        <f>IF($B886="",,SUMIFS(PerBase[Month 7],PerBase[exp_item],$H886,PerBase[company_name],$B886)*R466)</f>
        <v>0</v>
      </c>
      <c r="S886" s="652">
        <f>IF($B886="",,SUMIFS(PerBase[Month 8],PerBase[exp_item],$H886,PerBase[company_name],$B886)*S466)</f>
        <v>0</v>
      </c>
      <c r="T886" s="652">
        <f>IF($B886="",,SUMIFS(PerBase[Month 9],PerBase[exp_item],$H886,PerBase[company_name],$B886)*T466)</f>
        <v>0</v>
      </c>
      <c r="U886" s="652">
        <f>IF($B886="",,SUMIFS(PerBase[Month 10],PerBase[exp_item],$H886,PerBase[company_name],$B886)*U466)</f>
        <v>0</v>
      </c>
      <c r="V886" s="652">
        <f>IF($B886="",,SUMIFS(PerBase[Month 11],PerBase[exp_item],$H886,PerBase[company_name],$B886)*V466)</f>
        <v>0</v>
      </c>
      <c r="W886" s="652">
        <f>IF($B886="",,SUMIFS(PerBase[Month 12],PerBase[exp_item],$H886,PerBase[company_name],$B886)*W466)</f>
        <v>0</v>
      </c>
      <c r="X886" s="652">
        <f>IF($B886="",,SUMIFS(PerBase[Month 13],PerBase[exp_item],$H886,PerBase[company_name],$B886)*X466)</f>
        <v>0</v>
      </c>
      <c r="Y886" s="652">
        <f>IF($B886="",,SUMIFS(PerBase[Month 14],PerBase[exp_item],$H886,PerBase[company_name],$B886)*Y466)</f>
        <v>0</v>
      </c>
      <c r="Z886" s="652">
        <f>IF($B886="",,SUMIFS(PerBase[Month 15],PerBase[exp_item],$H886,PerBase[company_name],$B886)*Z466)</f>
        <v>0</v>
      </c>
      <c r="AA886" s="652">
        <f>IF($B886="",,SUMIFS(PerBase[Month 16],PerBase[exp_item],$H886,PerBase[company_name],$B886)*AA466)</f>
        <v>0</v>
      </c>
      <c r="AB886" s="652">
        <f>IF($B886="",,SUMIFS(PerBase[Month 17],PerBase[exp_item],$H886,PerBase[company_name],$B886)*AB466)</f>
        <v>0</v>
      </c>
      <c r="AC886" s="652">
        <f>IF($B886="",,SUMIFS(PerBase[Month 18],PerBase[exp_item],$H886,PerBase[company_name],$B886)*AC466)</f>
        <v>0</v>
      </c>
      <c r="AD886" s="652">
        <f>IF($B886="",,SUMIFS(PerBase[Month 19],PerBase[exp_item],$H886,PerBase[company_name],$B886)*AD466)</f>
        <v>0</v>
      </c>
      <c r="AE886" s="652">
        <f>IF($B886="",,SUMIFS(PerBase[Month 20],PerBase[exp_item],$H886,PerBase[company_name],$B886)*AE466)</f>
        <v>0</v>
      </c>
      <c r="AF886" s="652">
        <f>IF($B886="",,SUMIFS(PerBase[Month 21],PerBase[exp_item],$H886,PerBase[company_name],$B886)*AF466)</f>
        <v>0</v>
      </c>
      <c r="AG886" s="652">
        <f>IF($B886="",,SUMIFS(PerBase[Month 22],PerBase[exp_item],$H886,PerBase[company_name],$B886)*AG466)</f>
        <v>0</v>
      </c>
      <c r="AH886" s="652">
        <f>IF($B886="",,SUMIFS(PerBase[Month 23],PerBase[exp_item],$H886,PerBase[company_name],$B886)*AH466)</f>
        <v>0</v>
      </c>
      <c r="AI886" s="652">
        <f>IF($B886="",,SUMIFS(PerBase[Month 24],PerBase[exp_item],$H886,PerBase[company_name],$B886)*AI466)</f>
        <v>0</v>
      </c>
      <c r="AJ886" s="652">
        <f>IF($B886="",,SUMIFS(PerBase[Month 25],PerBase[exp_item],$H886,PerBase[company_name],$B886)*AJ466)</f>
        <v>0</v>
      </c>
      <c r="AK886" s="652">
        <f>IF($B886="",,SUMIFS(PerBase[Month 26],PerBase[exp_item],$H886,PerBase[company_name],$B886)*AK466)</f>
        <v>0</v>
      </c>
      <c r="AL886" s="652">
        <f>IF($B886="",,SUMIFS(PerBase[Month 27],PerBase[exp_item],$H886,PerBase[company_name],$B886)*AL466)</f>
        <v>0</v>
      </c>
      <c r="AM886" s="652">
        <f>IF($B886="",,SUMIFS(PerBase[Month 28],PerBase[exp_item],$H886,PerBase[company_name],$B886)*AM466)</f>
        <v>0</v>
      </c>
      <c r="AN886" s="652">
        <f>IF($B886="",,SUMIFS(PerBase[Month 29],PerBase[exp_item],$H886,PerBase[company_name],$B886)*AN466)</f>
        <v>0</v>
      </c>
      <c r="AO886" s="652">
        <f>IF($B886="",,SUMIFS(PerBase[Month 30],PerBase[exp_item],$H886,PerBase[company_name],$B886)*AO466)</f>
        <v>0</v>
      </c>
      <c r="AP886" s="652">
        <f>IF($B886="",,SUMIFS(PerBase[Month 31],PerBase[exp_item],$H886,PerBase[company_name],$B886)*AP466)</f>
        <v>0</v>
      </c>
      <c r="AQ886" s="652">
        <f>IF($B886="",,SUMIFS(PerBase[Month 32],PerBase[exp_item],$H886,PerBase[company_name],$B886)*AQ466)</f>
        <v>0</v>
      </c>
      <c r="AR886" s="652">
        <f>IF($B886="",,SUMIFS(PerBase[Month 33],PerBase[exp_item],$H886,PerBase[company_name],$B886)*AR466)</f>
        <v>0</v>
      </c>
      <c r="AS886" s="652">
        <f>IF($B886="",,SUMIFS(PerBase[Month 34],PerBase[exp_item],$H886,PerBase[company_name],$B886)*AS466)</f>
        <v>0</v>
      </c>
      <c r="AT886" s="652">
        <f>IF($B886="",,SUMIFS(PerBase[Month 35],PerBase[exp_item],$H886,PerBase[company_name],$B886)*AT466)</f>
        <v>0</v>
      </c>
      <c r="AU886" s="652">
        <f>IF($B886="",,SUMIFS(PerBase[Month 36],PerBase[exp_item],$H886,PerBase[company_name],$B886)*AU466)</f>
        <v>0</v>
      </c>
    </row>
    <row r="887" spans="2:47" x14ac:dyDescent="0.35">
      <c r="B887" t="str">
        <f t="shared" si="514"/>
        <v/>
      </c>
      <c r="C887" t="str">
        <f t="shared" ref="C887:G887" si="522">IF(C782="","",C782)</f>
        <v/>
      </c>
      <c r="D887" t="str">
        <f t="shared" si="522"/>
        <v/>
      </c>
      <c r="E887" t="str">
        <f t="shared" si="522"/>
        <v/>
      </c>
      <c r="F887" t="str">
        <f t="shared" si="522"/>
        <v/>
      </c>
      <c r="G887" t="str">
        <f t="shared" si="522"/>
        <v/>
      </c>
      <c r="H887" t="str">
        <f t="shared" si="513"/>
        <v/>
      </c>
      <c r="J887" t="str">
        <f>IF($H887="","",IF(VLOOKUP(H887,ExpItems[],2,0),H887&amp;" - "&amp;INDEX(DivisionMapping[category_code],MATCH($D887&amp;$C887,DivisionMapping[dept_bu],0)),H887))</f>
        <v/>
      </c>
      <c r="K887" t="str">
        <f t="shared" si="516"/>
        <v/>
      </c>
      <c r="L887" s="652">
        <f>IF($B887="",,SUMIFS(PerBase[Month 1],PerBase[exp_item],$H887,PerBase[company_name],$B887)*L467)</f>
        <v>0</v>
      </c>
      <c r="M887" s="652">
        <f>IF($B887="",,SUMIFS(PerBase[Month 2],PerBase[exp_item],$H887,PerBase[company_name],$B887)*M467)</f>
        <v>0</v>
      </c>
      <c r="N887" s="652">
        <f>IF($B887="",,SUMIFS(PerBase[Month 3],PerBase[exp_item],$H887,PerBase[company_name],$B887)*N467)</f>
        <v>0</v>
      </c>
      <c r="O887" s="652">
        <f>IF($B887="",,SUMIFS(PerBase[Month 4],PerBase[exp_item],$H887,PerBase[company_name],$B887)*O467)</f>
        <v>0</v>
      </c>
      <c r="P887" s="652">
        <f>IF($B887="",,SUMIFS(PerBase[Month 5],PerBase[exp_item],$H887,PerBase[company_name],$B887)*P467)</f>
        <v>0</v>
      </c>
      <c r="Q887" s="652">
        <f>IF($B887="",,SUMIFS(PerBase[Month 6],PerBase[exp_item],$H887,PerBase[company_name],$B887)*Q467)</f>
        <v>0</v>
      </c>
      <c r="R887" s="652">
        <f>IF($B887="",,SUMIFS(PerBase[Month 7],PerBase[exp_item],$H887,PerBase[company_name],$B887)*R467)</f>
        <v>0</v>
      </c>
      <c r="S887" s="652">
        <f>IF($B887="",,SUMIFS(PerBase[Month 8],PerBase[exp_item],$H887,PerBase[company_name],$B887)*S467)</f>
        <v>0</v>
      </c>
      <c r="T887" s="652">
        <f>IF($B887="",,SUMIFS(PerBase[Month 9],PerBase[exp_item],$H887,PerBase[company_name],$B887)*T467)</f>
        <v>0</v>
      </c>
      <c r="U887" s="652">
        <f>IF($B887="",,SUMIFS(PerBase[Month 10],PerBase[exp_item],$H887,PerBase[company_name],$B887)*U467)</f>
        <v>0</v>
      </c>
      <c r="V887" s="652">
        <f>IF($B887="",,SUMIFS(PerBase[Month 11],PerBase[exp_item],$H887,PerBase[company_name],$B887)*V467)</f>
        <v>0</v>
      </c>
      <c r="W887" s="652">
        <f>IF($B887="",,SUMIFS(PerBase[Month 12],PerBase[exp_item],$H887,PerBase[company_name],$B887)*W467)</f>
        <v>0</v>
      </c>
      <c r="X887" s="652">
        <f>IF($B887="",,SUMIFS(PerBase[Month 13],PerBase[exp_item],$H887,PerBase[company_name],$B887)*X467)</f>
        <v>0</v>
      </c>
      <c r="Y887" s="652">
        <f>IF($B887="",,SUMIFS(PerBase[Month 14],PerBase[exp_item],$H887,PerBase[company_name],$B887)*Y467)</f>
        <v>0</v>
      </c>
      <c r="Z887" s="652">
        <f>IF($B887="",,SUMIFS(PerBase[Month 15],PerBase[exp_item],$H887,PerBase[company_name],$B887)*Z467)</f>
        <v>0</v>
      </c>
      <c r="AA887" s="652">
        <f>IF($B887="",,SUMIFS(PerBase[Month 16],PerBase[exp_item],$H887,PerBase[company_name],$B887)*AA467)</f>
        <v>0</v>
      </c>
      <c r="AB887" s="652">
        <f>IF($B887="",,SUMIFS(PerBase[Month 17],PerBase[exp_item],$H887,PerBase[company_name],$B887)*AB467)</f>
        <v>0</v>
      </c>
      <c r="AC887" s="652">
        <f>IF($B887="",,SUMIFS(PerBase[Month 18],PerBase[exp_item],$H887,PerBase[company_name],$B887)*AC467)</f>
        <v>0</v>
      </c>
      <c r="AD887" s="652">
        <f>IF($B887="",,SUMIFS(PerBase[Month 19],PerBase[exp_item],$H887,PerBase[company_name],$B887)*AD467)</f>
        <v>0</v>
      </c>
      <c r="AE887" s="652">
        <f>IF($B887="",,SUMIFS(PerBase[Month 20],PerBase[exp_item],$H887,PerBase[company_name],$B887)*AE467)</f>
        <v>0</v>
      </c>
      <c r="AF887" s="652">
        <f>IF($B887="",,SUMIFS(PerBase[Month 21],PerBase[exp_item],$H887,PerBase[company_name],$B887)*AF467)</f>
        <v>0</v>
      </c>
      <c r="AG887" s="652">
        <f>IF($B887="",,SUMIFS(PerBase[Month 22],PerBase[exp_item],$H887,PerBase[company_name],$B887)*AG467)</f>
        <v>0</v>
      </c>
      <c r="AH887" s="652">
        <f>IF($B887="",,SUMIFS(PerBase[Month 23],PerBase[exp_item],$H887,PerBase[company_name],$B887)*AH467)</f>
        <v>0</v>
      </c>
      <c r="AI887" s="652">
        <f>IF($B887="",,SUMIFS(PerBase[Month 24],PerBase[exp_item],$H887,PerBase[company_name],$B887)*AI467)</f>
        <v>0</v>
      </c>
      <c r="AJ887" s="652">
        <f>IF($B887="",,SUMIFS(PerBase[Month 25],PerBase[exp_item],$H887,PerBase[company_name],$B887)*AJ467)</f>
        <v>0</v>
      </c>
      <c r="AK887" s="652">
        <f>IF($B887="",,SUMIFS(PerBase[Month 26],PerBase[exp_item],$H887,PerBase[company_name],$B887)*AK467)</f>
        <v>0</v>
      </c>
      <c r="AL887" s="652">
        <f>IF($B887="",,SUMIFS(PerBase[Month 27],PerBase[exp_item],$H887,PerBase[company_name],$B887)*AL467)</f>
        <v>0</v>
      </c>
      <c r="AM887" s="652">
        <f>IF($B887="",,SUMIFS(PerBase[Month 28],PerBase[exp_item],$H887,PerBase[company_name],$B887)*AM467)</f>
        <v>0</v>
      </c>
      <c r="AN887" s="652">
        <f>IF($B887="",,SUMIFS(PerBase[Month 29],PerBase[exp_item],$H887,PerBase[company_name],$B887)*AN467)</f>
        <v>0</v>
      </c>
      <c r="AO887" s="652">
        <f>IF($B887="",,SUMIFS(PerBase[Month 30],PerBase[exp_item],$H887,PerBase[company_name],$B887)*AO467)</f>
        <v>0</v>
      </c>
      <c r="AP887" s="652">
        <f>IF($B887="",,SUMIFS(PerBase[Month 31],PerBase[exp_item],$H887,PerBase[company_name],$B887)*AP467)</f>
        <v>0</v>
      </c>
      <c r="AQ887" s="652">
        <f>IF($B887="",,SUMIFS(PerBase[Month 32],PerBase[exp_item],$H887,PerBase[company_name],$B887)*AQ467)</f>
        <v>0</v>
      </c>
      <c r="AR887" s="652">
        <f>IF($B887="",,SUMIFS(PerBase[Month 33],PerBase[exp_item],$H887,PerBase[company_name],$B887)*AR467)</f>
        <v>0</v>
      </c>
      <c r="AS887" s="652">
        <f>IF($B887="",,SUMIFS(PerBase[Month 34],PerBase[exp_item],$H887,PerBase[company_name],$B887)*AS467)</f>
        <v>0</v>
      </c>
      <c r="AT887" s="652">
        <f>IF($B887="",,SUMIFS(PerBase[Month 35],PerBase[exp_item],$H887,PerBase[company_name],$B887)*AT467)</f>
        <v>0</v>
      </c>
      <c r="AU887" s="652">
        <f>IF($B887="",,SUMIFS(PerBase[Month 36],PerBase[exp_item],$H887,PerBase[company_name],$B887)*AU467)</f>
        <v>0</v>
      </c>
    </row>
    <row r="888" spans="2:47" x14ac:dyDescent="0.35">
      <c r="B888" t="str">
        <f t="shared" si="514"/>
        <v/>
      </c>
      <c r="C888" t="str">
        <f t="shared" ref="C888:G888" si="523">IF(C783="","",C783)</f>
        <v/>
      </c>
      <c r="D888" t="str">
        <f t="shared" si="523"/>
        <v/>
      </c>
      <c r="E888" t="str">
        <f t="shared" si="523"/>
        <v/>
      </c>
      <c r="F888" t="str">
        <f t="shared" si="523"/>
        <v/>
      </c>
      <c r="G888" t="str">
        <f t="shared" si="523"/>
        <v/>
      </c>
      <c r="H888" t="str">
        <f t="shared" si="513"/>
        <v/>
      </c>
      <c r="J888" t="str">
        <f>IF($H888="","",IF(VLOOKUP(H888,ExpItems[],2,0),H888&amp;" - "&amp;INDEX(DivisionMapping[category_code],MATCH($D888&amp;$C888,DivisionMapping[dept_bu],0)),H888))</f>
        <v/>
      </c>
      <c r="K888" t="str">
        <f t="shared" si="516"/>
        <v/>
      </c>
      <c r="L888" s="652">
        <f>IF($B888="",,SUMIFS(PerBase[Month 1],PerBase[exp_item],$H888,PerBase[company_name],$B888)*L468)</f>
        <v>0</v>
      </c>
      <c r="M888" s="652">
        <f>IF($B888="",,SUMIFS(PerBase[Month 2],PerBase[exp_item],$H888,PerBase[company_name],$B888)*M468)</f>
        <v>0</v>
      </c>
      <c r="N888" s="652">
        <f>IF($B888="",,SUMIFS(PerBase[Month 3],PerBase[exp_item],$H888,PerBase[company_name],$B888)*N468)</f>
        <v>0</v>
      </c>
      <c r="O888" s="652">
        <f>IF($B888="",,SUMIFS(PerBase[Month 4],PerBase[exp_item],$H888,PerBase[company_name],$B888)*O468)</f>
        <v>0</v>
      </c>
      <c r="P888" s="652">
        <f>IF($B888="",,SUMIFS(PerBase[Month 5],PerBase[exp_item],$H888,PerBase[company_name],$B888)*P468)</f>
        <v>0</v>
      </c>
      <c r="Q888" s="652">
        <f>IF($B888="",,SUMIFS(PerBase[Month 6],PerBase[exp_item],$H888,PerBase[company_name],$B888)*Q468)</f>
        <v>0</v>
      </c>
      <c r="R888" s="652">
        <f>IF($B888="",,SUMIFS(PerBase[Month 7],PerBase[exp_item],$H888,PerBase[company_name],$B888)*R468)</f>
        <v>0</v>
      </c>
      <c r="S888" s="652">
        <f>IF($B888="",,SUMIFS(PerBase[Month 8],PerBase[exp_item],$H888,PerBase[company_name],$B888)*S468)</f>
        <v>0</v>
      </c>
      <c r="T888" s="652">
        <f>IF($B888="",,SUMIFS(PerBase[Month 9],PerBase[exp_item],$H888,PerBase[company_name],$B888)*T468)</f>
        <v>0</v>
      </c>
      <c r="U888" s="652">
        <f>IF($B888="",,SUMIFS(PerBase[Month 10],PerBase[exp_item],$H888,PerBase[company_name],$B888)*U468)</f>
        <v>0</v>
      </c>
      <c r="V888" s="652">
        <f>IF($B888="",,SUMIFS(PerBase[Month 11],PerBase[exp_item],$H888,PerBase[company_name],$B888)*V468)</f>
        <v>0</v>
      </c>
      <c r="W888" s="652">
        <f>IF($B888="",,SUMIFS(PerBase[Month 12],PerBase[exp_item],$H888,PerBase[company_name],$B888)*W468)</f>
        <v>0</v>
      </c>
      <c r="X888" s="652">
        <f>IF($B888="",,SUMIFS(PerBase[Month 13],PerBase[exp_item],$H888,PerBase[company_name],$B888)*X468)</f>
        <v>0</v>
      </c>
      <c r="Y888" s="652">
        <f>IF($B888="",,SUMIFS(PerBase[Month 14],PerBase[exp_item],$H888,PerBase[company_name],$B888)*Y468)</f>
        <v>0</v>
      </c>
      <c r="Z888" s="652">
        <f>IF($B888="",,SUMIFS(PerBase[Month 15],PerBase[exp_item],$H888,PerBase[company_name],$B888)*Z468)</f>
        <v>0</v>
      </c>
      <c r="AA888" s="652">
        <f>IF($B888="",,SUMIFS(PerBase[Month 16],PerBase[exp_item],$H888,PerBase[company_name],$B888)*AA468)</f>
        <v>0</v>
      </c>
      <c r="AB888" s="652">
        <f>IF($B888="",,SUMIFS(PerBase[Month 17],PerBase[exp_item],$H888,PerBase[company_name],$B888)*AB468)</f>
        <v>0</v>
      </c>
      <c r="AC888" s="652">
        <f>IF($B888="",,SUMIFS(PerBase[Month 18],PerBase[exp_item],$H888,PerBase[company_name],$B888)*AC468)</f>
        <v>0</v>
      </c>
      <c r="AD888" s="652">
        <f>IF($B888="",,SUMIFS(PerBase[Month 19],PerBase[exp_item],$H888,PerBase[company_name],$B888)*AD468)</f>
        <v>0</v>
      </c>
      <c r="AE888" s="652">
        <f>IF($B888="",,SUMIFS(PerBase[Month 20],PerBase[exp_item],$H888,PerBase[company_name],$B888)*AE468)</f>
        <v>0</v>
      </c>
      <c r="AF888" s="652">
        <f>IF($B888="",,SUMIFS(PerBase[Month 21],PerBase[exp_item],$H888,PerBase[company_name],$B888)*AF468)</f>
        <v>0</v>
      </c>
      <c r="AG888" s="652">
        <f>IF($B888="",,SUMIFS(PerBase[Month 22],PerBase[exp_item],$H888,PerBase[company_name],$B888)*AG468)</f>
        <v>0</v>
      </c>
      <c r="AH888" s="652">
        <f>IF($B888="",,SUMIFS(PerBase[Month 23],PerBase[exp_item],$H888,PerBase[company_name],$B888)*AH468)</f>
        <v>0</v>
      </c>
      <c r="AI888" s="652">
        <f>IF($B888="",,SUMIFS(PerBase[Month 24],PerBase[exp_item],$H888,PerBase[company_name],$B888)*AI468)</f>
        <v>0</v>
      </c>
      <c r="AJ888" s="652">
        <f>IF($B888="",,SUMIFS(PerBase[Month 25],PerBase[exp_item],$H888,PerBase[company_name],$B888)*AJ468)</f>
        <v>0</v>
      </c>
      <c r="AK888" s="652">
        <f>IF($B888="",,SUMIFS(PerBase[Month 26],PerBase[exp_item],$H888,PerBase[company_name],$B888)*AK468)</f>
        <v>0</v>
      </c>
      <c r="AL888" s="652">
        <f>IF($B888="",,SUMIFS(PerBase[Month 27],PerBase[exp_item],$H888,PerBase[company_name],$B888)*AL468)</f>
        <v>0</v>
      </c>
      <c r="AM888" s="652">
        <f>IF($B888="",,SUMIFS(PerBase[Month 28],PerBase[exp_item],$H888,PerBase[company_name],$B888)*AM468)</f>
        <v>0</v>
      </c>
      <c r="AN888" s="652">
        <f>IF($B888="",,SUMIFS(PerBase[Month 29],PerBase[exp_item],$H888,PerBase[company_name],$B888)*AN468)</f>
        <v>0</v>
      </c>
      <c r="AO888" s="652">
        <f>IF($B888="",,SUMIFS(PerBase[Month 30],PerBase[exp_item],$H888,PerBase[company_name],$B888)*AO468)</f>
        <v>0</v>
      </c>
      <c r="AP888" s="652">
        <f>IF($B888="",,SUMIFS(PerBase[Month 31],PerBase[exp_item],$H888,PerBase[company_name],$B888)*AP468)</f>
        <v>0</v>
      </c>
      <c r="AQ888" s="652">
        <f>IF($B888="",,SUMIFS(PerBase[Month 32],PerBase[exp_item],$H888,PerBase[company_name],$B888)*AQ468)</f>
        <v>0</v>
      </c>
      <c r="AR888" s="652">
        <f>IF($B888="",,SUMIFS(PerBase[Month 33],PerBase[exp_item],$H888,PerBase[company_name],$B888)*AR468)</f>
        <v>0</v>
      </c>
      <c r="AS888" s="652">
        <f>IF($B888="",,SUMIFS(PerBase[Month 34],PerBase[exp_item],$H888,PerBase[company_name],$B888)*AS468)</f>
        <v>0</v>
      </c>
      <c r="AT888" s="652">
        <f>IF($B888="",,SUMIFS(PerBase[Month 35],PerBase[exp_item],$H888,PerBase[company_name],$B888)*AT468)</f>
        <v>0</v>
      </c>
      <c r="AU888" s="652">
        <f>IF($B888="",,SUMIFS(PerBase[Month 36],PerBase[exp_item],$H888,PerBase[company_name],$B888)*AU468)</f>
        <v>0</v>
      </c>
    </row>
    <row r="889" spans="2:47" x14ac:dyDescent="0.35">
      <c r="B889" t="str">
        <f t="shared" si="514"/>
        <v/>
      </c>
      <c r="C889" t="str">
        <f t="shared" ref="C889:G889" si="524">IF(C784="","",C784)</f>
        <v/>
      </c>
      <c r="D889" t="str">
        <f t="shared" si="524"/>
        <v/>
      </c>
      <c r="E889" t="str">
        <f t="shared" si="524"/>
        <v/>
      </c>
      <c r="F889" t="str">
        <f t="shared" si="524"/>
        <v/>
      </c>
      <c r="G889" t="str">
        <f t="shared" si="524"/>
        <v/>
      </c>
      <c r="H889" t="str">
        <f t="shared" si="513"/>
        <v/>
      </c>
      <c r="J889" t="str">
        <f>IF($H889="","",IF(VLOOKUP(H889,ExpItems[],2,0),H889&amp;" - "&amp;INDEX(DivisionMapping[category_code],MATCH($D889&amp;$C889,DivisionMapping[dept_bu],0)),H889))</f>
        <v/>
      </c>
      <c r="K889" t="str">
        <f t="shared" si="516"/>
        <v/>
      </c>
      <c r="L889" s="652">
        <f>IF($B889="",,SUMIFS(PerBase[Month 1],PerBase[exp_item],$H889,PerBase[company_name],$B889)*L469)</f>
        <v>0</v>
      </c>
      <c r="M889" s="652">
        <f>IF($B889="",,SUMIFS(PerBase[Month 2],PerBase[exp_item],$H889,PerBase[company_name],$B889)*M469)</f>
        <v>0</v>
      </c>
      <c r="N889" s="652">
        <f>IF($B889="",,SUMIFS(PerBase[Month 3],PerBase[exp_item],$H889,PerBase[company_name],$B889)*N469)</f>
        <v>0</v>
      </c>
      <c r="O889" s="652">
        <f>IF($B889="",,SUMIFS(PerBase[Month 4],PerBase[exp_item],$H889,PerBase[company_name],$B889)*O469)</f>
        <v>0</v>
      </c>
      <c r="P889" s="652">
        <f>IF($B889="",,SUMIFS(PerBase[Month 5],PerBase[exp_item],$H889,PerBase[company_name],$B889)*P469)</f>
        <v>0</v>
      </c>
      <c r="Q889" s="652">
        <f>IF($B889="",,SUMIFS(PerBase[Month 6],PerBase[exp_item],$H889,PerBase[company_name],$B889)*Q469)</f>
        <v>0</v>
      </c>
      <c r="R889" s="652">
        <f>IF($B889="",,SUMIFS(PerBase[Month 7],PerBase[exp_item],$H889,PerBase[company_name],$B889)*R469)</f>
        <v>0</v>
      </c>
      <c r="S889" s="652">
        <f>IF($B889="",,SUMIFS(PerBase[Month 8],PerBase[exp_item],$H889,PerBase[company_name],$B889)*S469)</f>
        <v>0</v>
      </c>
      <c r="T889" s="652">
        <f>IF($B889="",,SUMIFS(PerBase[Month 9],PerBase[exp_item],$H889,PerBase[company_name],$B889)*T469)</f>
        <v>0</v>
      </c>
      <c r="U889" s="652">
        <f>IF($B889="",,SUMIFS(PerBase[Month 10],PerBase[exp_item],$H889,PerBase[company_name],$B889)*U469)</f>
        <v>0</v>
      </c>
      <c r="V889" s="652">
        <f>IF($B889="",,SUMIFS(PerBase[Month 11],PerBase[exp_item],$H889,PerBase[company_name],$B889)*V469)</f>
        <v>0</v>
      </c>
      <c r="W889" s="652">
        <f>IF($B889="",,SUMIFS(PerBase[Month 12],PerBase[exp_item],$H889,PerBase[company_name],$B889)*W469)</f>
        <v>0</v>
      </c>
      <c r="X889" s="652">
        <f>IF($B889="",,SUMIFS(PerBase[Month 13],PerBase[exp_item],$H889,PerBase[company_name],$B889)*X469)</f>
        <v>0</v>
      </c>
      <c r="Y889" s="652">
        <f>IF($B889="",,SUMIFS(PerBase[Month 14],PerBase[exp_item],$H889,PerBase[company_name],$B889)*Y469)</f>
        <v>0</v>
      </c>
      <c r="Z889" s="652">
        <f>IF($B889="",,SUMIFS(PerBase[Month 15],PerBase[exp_item],$H889,PerBase[company_name],$B889)*Z469)</f>
        <v>0</v>
      </c>
      <c r="AA889" s="652">
        <f>IF($B889="",,SUMIFS(PerBase[Month 16],PerBase[exp_item],$H889,PerBase[company_name],$B889)*AA469)</f>
        <v>0</v>
      </c>
      <c r="AB889" s="652">
        <f>IF($B889="",,SUMIFS(PerBase[Month 17],PerBase[exp_item],$H889,PerBase[company_name],$B889)*AB469)</f>
        <v>0</v>
      </c>
      <c r="AC889" s="652">
        <f>IF($B889="",,SUMIFS(PerBase[Month 18],PerBase[exp_item],$H889,PerBase[company_name],$B889)*AC469)</f>
        <v>0</v>
      </c>
      <c r="AD889" s="652">
        <f>IF($B889="",,SUMIFS(PerBase[Month 19],PerBase[exp_item],$H889,PerBase[company_name],$B889)*AD469)</f>
        <v>0</v>
      </c>
      <c r="AE889" s="652">
        <f>IF($B889="",,SUMIFS(PerBase[Month 20],PerBase[exp_item],$H889,PerBase[company_name],$B889)*AE469)</f>
        <v>0</v>
      </c>
      <c r="AF889" s="652">
        <f>IF($B889="",,SUMIFS(PerBase[Month 21],PerBase[exp_item],$H889,PerBase[company_name],$B889)*AF469)</f>
        <v>0</v>
      </c>
      <c r="AG889" s="652">
        <f>IF($B889="",,SUMIFS(PerBase[Month 22],PerBase[exp_item],$H889,PerBase[company_name],$B889)*AG469)</f>
        <v>0</v>
      </c>
      <c r="AH889" s="652">
        <f>IF($B889="",,SUMIFS(PerBase[Month 23],PerBase[exp_item],$H889,PerBase[company_name],$B889)*AH469)</f>
        <v>0</v>
      </c>
      <c r="AI889" s="652">
        <f>IF($B889="",,SUMIFS(PerBase[Month 24],PerBase[exp_item],$H889,PerBase[company_name],$B889)*AI469)</f>
        <v>0</v>
      </c>
      <c r="AJ889" s="652">
        <f>IF($B889="",,SUMIFS(PerBase[Month 25],PerBase[exp_item],$H889,PerBase[company_name],$B889)*AJ469)</f>
        <v>0</v>
      </c>
      <c r="AK889" s="652">
        <f>IF($B889="",,SUMIFS(PerBase[Month 26],PerBase[exp_item],$H889,PerBase[company_name],$B889)*AK469)</f>
        <v>0</v>
      </c>
      <c r="AL889" s="652">
        <f>IF($B889="",,SUMIFS(PerBase[Month 27],PerBase[exp_item],$H889,PerBase[company_name],$B889)*AL469)</f>
        <v>0</v>
      </c>
      <c r="AM889" s="652">
        <f>IF($B889="",,SUMIFS(PerBase[Month 28],PerBase[exp_item],$H889,PerBase[company_name],$B889)*AM469)</f>
        <v>0</v>
      </c>
      <c r="AN889" s="652">
        <f>IF($B889="",,SUMIFS(PerBase[Month 29],PerBase[exp_item],$H889,PerBase[company_name],$B889)*AN469)</f>
        <v>0</v>
      </c>
      <c r="AO889" s="652">
        <f>IF($B889="",,SUMIFS(PerBase[Month 30],PerBase[exp_item],$H889,PerBase[company_name],$B889)*AO469)</f>
        <v>0</v>
      </c>
      <c r="AP889" s="652">
        <f>IF($B889="",,SUMIFS(PerBase[Month 31],PerBase[exp_item],$H889,PerBase[company_name],$B889)*AP469)</f>
        <v>0</v>
      </c>
      <c r="AQ889" s="652">
        <f>IF($B889="",,SUMIFS(PerBase[Month 32],PerBase[exp_item],$H889,PerBase[company_name],$B889)*AQ469)</f>
        <v>0</v>
      </c>
      <c r="AR889" s="652">
        <f>IF($B889="",,SUMIFS(PerBase[Month 33],PerBase[exp_item],$H889,PerBase[company_name],$B889)*AR469)</f>
        <v>0</v>
      </c>
      <c r="AS889" s="652">
        <f>IF($B889="",,SUMIFS(PerBase[Month 34],PerBase[exp_item],$H889,PerBase[company_name],$B889)*AS469)</f>
        <v>0</v>
      </c>
      <c r="AT889" s="652">
        <f>IF($B889="",,SUMIFS(PerBase[Month 35],PerBase[exp_item],$H889,PerBase[company_name],$B889)*AT469)</f>
        <v>0</v>
      </c>
      <c r="AU889" s="652">
        <f>IF($B889="",,SUMIFS(PerBase[Month 36],PerBase[exp_item],$H889,PerBase[company_name],$B889)*AU469)</f>
        <v>0</v>
      </c>
    </row>
    <row r="890" spans="2:47" x14ac:dyDescent="0.35">
      <c r="B890" t="str">
        <f t="shared" si="514"/>
        <v/>
      </c>
      <c r="C890" t="str">
        <f t="shared" ref="C890:G890" si="525">IF(C785="","",C785)</f>
        <v/>
      </c>
      <c r="D890" t="str">
        <f t="shared" si="525"/>
        <v/>
      </c>
      <c r="E890" t="str">
        <f t="shared" si="525"/>
        <v/>
      </c>
      <c r="F890" t="str">
        <f t="shared" si="525"/>
        <v/>
      </c>
      <c r="G890" t="str">
        <f t="shared" si="525"/>
        <v/>
      </c>
      <c r="H890" t="str">
        <f t="shared" si="513"/>
        <v/>
      </c>
      <c r="J890" t="str">
        <f>IF($H890="","",IF(VLOOKUP(H890,ExpItems[],2,0),H890&amp;" - "&amp;INDEX(DivisionMapping[category_code],MATCH($D890&amp;$C890,DivisionMapping[dept_bu],0)),H890))</f>
        <v/>
      </c>
      <c r="K890" t="str">
        <f t="shared" si="516"/>
        <v/>
      </c>
      <c r="L890" s="652">
        <f>IF($B890="",,SUMIFS(PerBase[Month 1],PerBase[exp_item],$H890,PerBase[company_name],$B890)*L470)</f>
        <v>0</v>
      </c>
      <c r="M890" s="652">
        <f>IF($B890="",,SUMIFS(PerBase[Month 2],PerBase[exp_item],$H890,PerBase[company_name],$B890)*M470)</f>
        <v>0</v>
      </c>
      <c r="N890" s="652">
        <f>IF($B890="",,SUMIFS(PerBase[Month 3],PerBase[exp_item],$H890,PerBase[company_name],$B890)*N470)</f>
        <v>0</v>
      </c>
      <c r="O890" s="652">
        <f>IF($B890="",,SUMIFS(PerBase[Month 4],PerBase[exp_item],$H890,PerBase[company_name],$B890)*O470)</f>
        <v>0</v>
      </c>
      <c r="P890" s="652">
        <f>IF($B890="",,SUMIFS(PerBase[Month 5],PerBase[exp_item],$H890,PerBase[company_name],$B890)*P470)</f>
        <v>0</v>
      </c>
      <c r="Q890" s="652">
        <f>IF($B890="",,SUMIFS(PerBase[Month 6],PerBase[exp_item],$H890,PerBase[company_name],$B890)*Q470)</f>
        <v>0</v>
      </c>
      <c r="R890" s="652">
        <f>IF($B890="",,SUMIFS(PerBase[Month 7],PerBase[exp_item],$H890,PerBase[company_name],$B890)*R470)</f>
        <v>0</v>
      </c>
      <c r="S890" s="652">
        <f>IF($B890="",,SUMIFS(PerBase[Month 8],PerBase[exp_item],$H890,PerBase[company_name],$B890)*S470)</f>
        <v>0</v>
      </c>
      <c r="T890" s="652">
        <f>IF($B890="",,SUMIFS(PerBase[Month 9],PerBase[exp_item],$H890,PerBase[company_name],$B890)*T470)</f>
        <v>0</v>
      </c>
      <c r="U890" s="652">
        <f>IF($B890="",,SUMIFS(PerBase[Month 10],PerBase[exp_item],$H890,PerBase[company_name],$B890)*U470)</f>
        <v>0</v>
      </c>
      <c r="V890" s="652">
        <f>IF($B890="",,SUMIFS(PerBase[Month 11],PerBase[exp_item],$H890,PerBase[company_name],$B890)*V470)</f>
        <v>0</v>
      </c>
      <c r="W890" s="652">
        <f>IF($B890="",,SUMIFS(PerBase[Month 12],PerBase[exp_item],$H890,PerBase[company_name],$B890)*W470)</f>
        <v>0</v>
      </c>
      <c r="X890" s="652">
        <f>IF($B890="",,SUMIFS(PerBase[Month 13],PerBase[exp_item],$H890,PerBase[company_name],$B890)*X470)</f>
        <v>0</v>
      </c>
      <c r="Y890" s="652">
        <f>IF($B890="",,SUMIFS(PerBase[Month 14],PerBase[exp_item],$H890,PerBase[company_name],$B890)*Y470)</f>
        <v>0</v>
      </c>
      <c r="Z890" s="652">
        <f>IF($B890="",,SUMIFS(PerBase[Month 15],PerBase[exp_item],$H890,PerBase[company_name],$B890)*Z470)</f>
        <v>0</v>
      </c>
      <c r="AA890" s="652">
        <f>IF($B890="",,SUMIFS(PerBase[Month 16],PerBase[exp_item],$H890,PerBase[company_name],$B890)*AA470)</f>
        <v>0</v>
      </c>
      <c r="AB890" s="652">
        <f>IF($B890="",,SUMIFS(PerBase[Month 17],PerBase[exp_item],$H890,PerBase[company_name],$B890)*AB470)</f>
        <v>0</v>
      </c>
      <c r="AC890" s="652">
        <f>IF($B890="",,SUMIFS(PerBase[Month 18],PerBase[exp_item],$H890,PerBase[company_name],$B890)*AC470)</f>
        <v>0</v>
      </c>
      <c r="AD890" s="652">
        <f>IF($B890="",,SUMIFS(PerBase[Month 19],PerBase[exp_item],$H890,PerBase[company_name],$B890)*AD470)</f>
        <v>0</v>
      </c>
      <c r="AE890" s="652">
        <f>IF($B890="",,SUMIFS(PerBase[Month 20],PerBase[exp_item],$H890,PerBase[company_name],$B890)*AE470)</f>
        <v>0</v>
      </c>
      <c r="AF890" s="652">
        <f>IF($B890="",,SUMIFS(PerBase[Month 21],PerBase[exp_item],$H890,PerBase[company_name],$B890)*AF470)</f>
        <v>0</v>
      </c>
      <c r="AG890" s="652">
        <f>IF($B890="",,SUMIFS(PerBase[Month 22],PerBase[exp_item],$H890,PerBase[company_name],$B890)*AG470)</f>
        <v>0</v>
      </c>
      <c r="AH890" s="652">
        <f>IF($B890="",,SUMIFS(PerBase[Month 23],PerBase[exp_item],$H890,PerBase[company_name],$B890)*AH470)</f>
        <v>0</v>
      </c>
      <c r="AI890" s="652">
        <f>IF($B890="",,SUMIFS(PerBase[Month 24],PerBase[exp_item],$H890,PerBase[company_name],$B890)*AI470)</f>
        <v>0</v>
      </c>
      <c r="AJ890" s="652">
        <f>IF($B890="",,SUMIFS(PerBase[Month 25],PerBase[exp_item],$H890,PerBase[company_name],$B890)*AJ470)</f>
        <v>0</v>
      </c>
      <c r="AK890" s="652">
        <f>IF($B890="",,SUMIFS(PerBase[Month 26],PerBase[exp_item],$H890,PerBase[company_name],$B890)*AK470)</f>
        <v>0</v>
      </c>
      <c r="AL890" s="652">
        <f>IF($B890="",,SUMIFS(PerBase[Month 27],PerBase[exp_item],$H890,PerBase[company_name],$B890)*AL470)</f>
        <v>0</v>
      </c>
      <c r="AM890" s="652">
        <f>IF($B890="",,SUMIFS(PerBase[Month 28],PerBase[exp_item],$H890,PerBase[company_name],$B890)*AM470)</f>
        <v>0</v>
      </c>
      <c r="AN890" s="652">
        <f>IF($B890="",,SUMIFS(PerBase[Month 29],PerBase[exp_item],$H890,PerBase[company_name],$B890)*AN470)</f>
        <v>0</v>
      </c>
      <c r="AO890" s="652">
        <f>IF($B890="",,SUMIFS(PerBase[Month 30],PerBase[exp_item],$H890,PerBase[company_name],$B890)*AO470)</f>
        <v>0</v>
      </c>
      <c r="AP890" s="652">
        <f>IF($B890="",,SUMIFS(PerBase[Month 31],PerBase[exp_item],$H890,PerBase[company_name],$B890)*AP470)</f>
        <v>0</v>
      </c>
      <c r="AQ890" s="652">
        <f>IF($B890="",,SUMIFS(PerBase[Month 32],PerBase[exp_item],$H890,PerBase[company_name],$B890)*AQ470)</f>
        <v>0</v>
      </c>
      <c r="AR890" s="652">
        <f>IF($B890="",,SUMIFS(PerBase[Month 33],PerBase[exp_item],$H890,PerBase[company_name],$B890)*AR470)</f>
        <v>0</v>
      </c>
      <c r="AS890" s="652">
        <f>IF($B890="",,SUMIFS(PerBase[Month 34],PerBase[exp_item],$H890,PerBase[company_name],$B890)*AS470)</f>
        <v>0</v>
      </c>
      <c r="AT890" s="652">
        <f>IF($B890="",,SUMIFS(PerBase[Month 35],PerBase[exp_item],$H890,PerBase[company_name],$B890)*AT470)</f>
        <v>0</v>
      </c>
      <c r="AU890" s="652">
        <f>IF($B890="",,SUMIFS(PerBase[Month 36],PerBase[exp_item],$H890,PerBase[company_name],$B890)*AU470)</f>
        <v>0</v>
      </c>
    </row>
    <row r="891" spans="2:47" x14ac:dyDescent="0.35">
      <c r="B891" t="str">
        <f t="shared" si="514"/>
        <v/>
      </c>
      <c r="C891" t="str">
        <f t="shared" ref="C891:G891" si="526">IF(C786="","",C786)</f>
        <v/>
      </c>
      <c r="D891" t="str">
        <f t="shared" si="526"/>
        <v/>
      </c>
      <c r="E891" t="str">
        <f t="shared" si="526"/>
        <v/>
      </c>
      <c r="F891" t="str">
        <f t="shared" si="526"/>
        <v/>
      </c>
      <c r="G891" t="str">
        <f t="shared" si="526"/>
        <v/>
      </c>
      <c r="H891" t="str">
        <f t="shared" si="513"/>
        <v/>
      </c>
      <c r="J891" t="str">
        <f>IF($H891="","",IF(VLOOKUP(H891,ExpItems[],2,0),H891&amp;" - "&amp;INDEX(DivisionMapping[category_code],MATCH($D891&amp;$C891,DivisionMapping[dept_bu],0)),H891))</f>
        <v/>
      </c>
      <c r="K891" t="str">
        <f t="shared" si="516"/>
        <v/>
      </c>
      <c r="L891" s="652">
        <f>IF($B891="",,SUMIFS(PerBase[Month 1],PerBase[exp_item],$H891,PerBase[company_name],$B891)*L471)</f>
        <v>0</v>
      </c>
      <c r="M891" s="652">
        <f>IF($B891="",,SUMIFS(PerBase[Month 2],PerBase[exp_item],$H891,PerBase[company_name],$B891)*M471)</f>
        <v>0</v>
      </c>
      <c r="N891" s="652">
        <f>IF($B891="",,SUMIFS(PerBase[Month 3],PerBase[exp_item],$H891,PerBase[company_name],$B891)*N471)</f>
        <v>0</v>
      </c>
      <c r="O891" s="652">
        <f>IF($B891="",,SUMIFS(PerBase[Month 4],PerBase[exp_item],$H891,PerBase[company_name],$B891)*O471)</f>
        <v>0</v>
      </c>
      <c r="P891" s="652">
        <f>IF($B891="",,SUMIFS(PerBase[Month 5],PerBase[exp_item],$H891,PerBase[company_name],$B891)*P471)</f>
        <v>0</v>
      </c>
      <c r="Q891" s="652">
        <f>IF($B891="",,SUMIFS(PerBase[Month 6],PerBase[exp_item],$H891,PerBase[company_name],$B891)*Q471)</f>
        <v>0</v>
      </c>
      <c r="R891" s="652">
        <f>IF($B891="",,SUMIFS(PerBase[Month 7],PerBase[exp_item],$H891,PerBase[company_name],$B891)*R471)</f>
        <v>0</v>
      </c>
      <c r="S891" s="652">
        <f>IF($B891="",,SUMIFS(PerBase[Month 8],PerBase[exp_item],$H891,PerBase[company_name],$B891)*S471)</f>
        <v>0</v>
      </c>
      <c r="T891" s="652">
        <f>IF($B891="",,SUMIFS(PerBase[Month 9],PerBase[exp_item],$H891,PerBase[company_name],$B891)*T471)</f>
        <v>0</v>
      </c>
      <c r="U891" s="652">
        <f>IF($B891="",,SUMIFS(PerBase[Month 10],PerBase[exp_item],$H891,PerBase[company_name],$B891)*U471)</f>
        <v>0</v>
      </c>
      <c r="V891" s="652">
        <f>IF($B891="",,SUMIFS(PerBase[Month 11],PerBase[exp_item],$H891,PerBase[company_name],$B891)*V471)</f>
        <v>0</v>
      </c>
      <c r="W891" s="652">
        <f>IF($B891="",,SUMIFS(PerBase[Month 12],PerBase[exp_item],$H891,PerBase[company_name],$B891)*W471)</f>
        <v>0</v>
      </c>
      <c r="X891" s="652">
        <f>IF($B891="",,SUMIFS(PerBase[Month 13],PerBase[exp_item],$H891,PerBase[company_name],$B891)*X471)</f>
        <v>0</v>
      </c>
      <c r="Y891" s="652">
        <f>IF($B891="",,SUMIFS(PerBase[Month 14],PerBase[exp_item],$H891,PerBase[company_name],$B891)*Y471)</f>
        <v>0</v>
      </c>
      <c r="Z891" s="652">
        <f>IF($B891="",,SUMIFS(PerBase[Month 15],PerBase[exp_item],$H891,PerBase[company_name],$B891)*Z471)</f>
        <v>0</v>
      </c>
      <c r="AA891" s="652">
        <f>IF($B891="",,SUMIFS(PerBase[Month 16],PerBase[exp_item],$H891,PerBase[company_name],$B891)*AA471)</f>
        <v>0</v>
      </c>
      <c r="AB891" s="652">
        <f>IF($B891="",,SUMIFS(PerBase[Month 17],PerBase[exp_item],$H891,PerBase[company_name],$B891)*AB471)</f>
        <v>0</v>
      </c>
      <c r="AC891" s="652">
        <f>IF($B891="",,SUMIFS(PerBase[Month 18],PerBase[exp_item],$H891,PerBase[company_name],$B891)*AC471)</f>
        <v>0</v>
      </c>
      <c r="AD891" s="652">
        <f>IF($B891="",,SUMIFS(PerBase[Month 19],PerBase[exp_item],$H891,PerBase[company_name],$B891)*AD471)</f>
        <v>0</v>
      </c>
      <c r="AE891" s="652">
        <f>IF($B891="",,SUMIFS(PerBase[Month 20],PerBase[exp_item],$H891,PerBase[company_name],$B891)*AE471)</f>
        <v>0</v>
      </c>
      <c r="AF891" s="652">
        <f>IF($B891="",,SUMIFS(PerBase[Month 21],PerBase[exp_item],$H891,PerBase[company_name],$B891)*AF471)</f>
        <v>0</v>
      </c>
      <c r="AG891" s="652">
        <f>IF($B891="",,SUMIFS(PerBase[Month 22],PerBase[exp_item],$H891,PerBase[company_name],$B891)*AG471)</f>
        <v>0</v>
      </c>
      <c r="AH891" s="652">
        <f>IF($B891="",,SUMIFS(PerBase[Month 23],PerBase[exp_item],$H891,PerBase[company_name],$B891)*AH471)</f>
        <v>0</v>
      </c>
      <c r="AI891" s="652">
        <f>IF($B891="",,SUMIFS(PerBase[Month 24],PerBase[exp_item],$H891,PerBase[company_name],$B891)*AI471)</f>
        <v>0</v>
      </c>
      <c r="AJ891" s="652">
        <f>IF($B891="",,SUMIFS(PerBase[Month 25],PerBase[exp_item],$H891,PerBase[company_name],$B891)*AJ471)</f>
        <v>0</v>
      </c>
      <c r="AK891" s="652">
        <f>IF($B891="",,SUMIFS(PerBase[Month 26],PerBase[exp_item],$H891,PerBase[company_name],$B891)*AK471)</f>
        <v>0</v>
      </c>
      <c r="AL891" s="652">
        <f>IF($B891="",,SUMIFS(PerBase[Month 27],PerBase[exp_item],$H891,PerBase[company_name],$B891)*AL471)</f>
        <v>0</v>
      </c>
      <c r="AM891" s="652">
        <f>IF($B891="",,SUMIFS(PerBase[Month 28],PerBase[exp_item],$H891,PerBase[company_name],$B891)*AM471)</f>
        <v>0</v>
      </c>
      <c r="AN891" s="652">
        <f>IF($B891="",,SUMIFS(PerBase[Month 29],PerBase[exp_item],$H891,PerBase[company_name],$B891)*AN471)</f>
        <v>0</v>
      </c>
      <c r="AO891" s="652">
        <f>IF($B891="",,SUMIFS(PerBase[Month 30],PerBase[exp_item],$H891,PerBase[company_name],$B891)*AO471)</f>
        <v>0</v>
      </c>
      <c r="AP891" s="652">
        <f>IF($B891="",,SUMIFS(PerBase[Month 31],PerBase[exp_item],$H891,PerBase[company_name],$B891)*AP471)</f>
        <v>0</v>
      </c>
      <c r="AQ891" s="652">
        <f>IF($B891="",,SUMIFS(PerBase[Month 32],PerBase[exp_item],$H891,PerBase[company_name],$B891)*AQ471)</f>
        <v>0</v>
      </c>
      <c r="AR891" s="652">
        <f>IF($B891="",,SUMIFS(PerBase[Month 33],PerBase[exp_item],$H891,PerBase[company_name],$B891)*AR471)</f>
        <v>0</v>
      </c>
      <c r="AS891" s="652">
        <f>IF($B891="",,SUMIFS(PerBase[Month 34],PerBase[exp_item],$H891,PerBase[company_name],$B891)*AS471)</f>
        <v>0</v>
      </c>
      <c r="AT891" s="652">
        <f>IF($B891="",,SUMIFS(PerBase[Month 35],PerBase[exp_item],$H891,PerBase[company_name],$B891)*AT471)</f>
        <v>0</v>
      </c>
      <c r="AU891" s="652">
        <f>IF($B891="",,SUMIFS(PerBase[Month 36],PerBase[exp_item],$H891,PerBase[company_name],$B891)*AU471)</f>
        <v>0</v>
      </c>
    </row>
    <row r="892" spans="2:47" x14ac:dyDescent="0.35">
      <c r="B892" t="str">
        <f t="shared" si="514"/>
        <v/>
      </c>
      <c r="C892" t="str">
        <f t="shared" ref="C892:G892" si="527">IF(C787="","",C787)</f>
        <v/>
      </c>
      <c r="D892" t="str">
        <f t="shared" si="527"/>
        <v/>
      </c>
      <c r="E892" t="str">
        <f t="shared" si="527"/>
        <v/>
      </c>
      <c r="F892" t="str">
        <f t="shared" si="527"/>
        <v/>
      </c>
      <c r="G892" t="str">
        <f t="shared" si="527"/>
        <v/>
      </c>
      <c r="H892" t="str">
        <f t="shared" si="513"/>
        <v/>
      </c>
      <c r="J892" t="str">
        <f>IF($H892="","",IF(VLOOKUP(H892,ExpItems[],2,0),H892&amp;" - "&amp;INDEX(DivisionMapping[category_code],MATCH($D892&amp;$C892,DivisionMapping[dept_bu],0)),H892))</f>
        <v/>
      </c>
      <c r="K892" t="str">
        <f t="shared" si="516"/>
        <v/>
      </c>
      <c r="L892" s="652">
        <f>IF($B892="",,SUMIFS(PerBase[Month 1],PerBase[exp_item],$H892,PerBase[company_name],$B892)*L472)</f>
        <v>0</v>
      </c>
      <c r="M892" s="652">
        <f>IF($B892="",,SUMIFS(PerBase[Month 2],PerBase[exp_item],$H892,PerBase[company_name],$B892)*M472)</f>
        <v>0</v>
      </c>
      <c r="N892" s="652">
        <f>IF($B892="",,SUMIFS(PerBase[Month 3],PerBase[exp_item],$H892,PerBase[company_name],$B892)*N472)</f>
        <v>0</v>
      </c>
      <c r="O892" s="652">
        <f>IF($B892="",,SUMIFS(PerBase[Month 4],PerBase[exp_item],$H892,PerBase[company_name],$B892)*O472)</f>
        <v>0</v>
      </c>
      <c r="P892" s="652">
        <f>IF($B892="",,SUMIFS(PerBase[Month 5],PerBase[exp_item],$H892,PerBase[company_name],$B892)*P472)</f>
        <v>0</v>
      </c>
      <c r="Q892" s="652">
        <f>IF($B892="",,SUMIFS(PerBase[Month 6],PerBase[exp_item],$H892,PerBase[company_name],$B892)*Q472)</f>
        <v>0</v>
      </c>
      <c r="R892" s="652">
        <f>IF($B892="",,SUMIFS(PerBase[Month 7],PerBase[exp_item],$H892,PerBase[company_name],$B892)*R472)</f>
        <v>0</v>
      </c>
      <c r="S892" s="652">
        <f>IF($B892="",,SUMIFS(PerBase[Month 8],PerBase[exp_item],$H892,PerBase[company_name],$B892)*S472)</f>
        <v>0</v>
      </c>
      <c r="T892" s="652">
        <f>IF($B892="",,SUMIFS(PerBase[Month 9],PerBase[exp_item],$H892,PerBase[company_name],$B892)*T472)</f>
        <v>0</v>
      </c>
      <c r="U892" s="652">
        <f>IF($B892="",,SUMIFS(PerBase[Month 10],PerBase[exp_item],$H892,PerBase[company_name],$B892)*U472)</f>
        <v>0</v>
      </c>
      <c r="V892" s="652">
        <f>IF($B892="",,SUMIFS(PerBase[Month 11],PerBase[exp_item],$H892,PerBase[company_name],$B892)*V472)</f>
        <v>0</v>
      </c>
      <c r="W892" s="652">
        <f>IF($B892="",,SUMIFS(PerBase[Month 12],PerBase[exp_item],$H892,PerBase[company_name],$B892)*W472)</f>
        <v>0</v>
      </c>
      <c r="X892" s="652">
        <f>IF($B892="",,SUMIFS(PerBase[Month 13],PerBase[exp_item],$H892,PerBase[company_name],$B892)*X472)</f>
        <v>0</v>
      </c>
      <c r="Y892" s="652">
        <f>IF($B892="",,SUMIFS(PerBase[Month 14],PerBase[exp_item],$H892,PerBase[company_name],$B892)*Y472)</f>
        <v>0</v>
      </c>
      <c r="Z892" s="652">
        <f>IF($B892="",,SUMIFS(PerBase[Month 15],PerBase[exp_item],$H892,PerBase[company_name],$B892)*Z472)</f>
        <v>0</v>
      </c>
      <c r="AA892" s="652">
        <f>IF($B892="",,SUMIFS(PerBase[Month 16],PerBase[exp_item],$H892,PerBase[company_name],$B892)*AA472)</f>
        <v>0</v>
      </c>
      <c r="AB892" s="652">
        <f>IF($B892="",,SUMIFS(PerBase[Month 17],PerBase[exp_item],$H892,PerBase[company_name],$B892)*AB472)</f>
        <v>0</v>
      </c>
      <c r="AC892" s="652">
        <f>IF($B892="",,SUMIFS(PerBase[Month 18],PerBase[exp_item],$H892,PerBase[company_name],$B892)*AC472)</f>
        <v>0</v>
      </c>
      <c r="AD892" s="652">
        <f>IF($B892="",,SUMIFS(PerBase[Month 19],PerBase[exp_item],$H892,PerBase[company_name],$B892)*AD472)</f>
        <v>0</v>
      </c>
      <c r="AE892" s="652">
        <f>IF($B892="",,SUMIFS(PerBase[Month 20],PerBase[exp_item],$H892,PerBase[company_name],$B892)*AE472)</f>
        <v>0</v>
      </c>
      <c r="AF892" s="652">
        <f>IF($B892="",,SUMIFS(PerBase[Month 21],PerBase[exp_item],$H892,PerBase[company_name],$B892)*AF472)</f>
        <v>0</v>
      </c>
      <c r="AG892" s="652">
        <f>IF($B892="",,SUMIFS(PerBase[Month 22],PerBase[exp_item],$H892,PerBase[company_name],$B892)*AG472)</f>
        <v>0</v>
      </c>
      <c r="AH892" s="652">
        <f>IF($B892="",,SUMIFS(PerBase[Month 23],PerBase[exp_item],$H892,PerBase[company_name],$B892)*AH472)</f>
        <v>0</v>
      </c>
      <c r="AI892" s="652">
        <f>IF($B892="",,SUMIFS(PerBase[Month 24],PerBase[exp_item],$H892,PerBase[company_name],$B892)*AI472)</f>
        <v>0</v>
      </c>
      <c r="AJ892" s="652">
        <f>IF($B892="",,SUMIFS(PerBase[Month 25],PerBase[exp_item],$H892,PerBase[company_name],$B892)*AJ472)</f>
        <v>0</v>
      </c>
      <c r="AK892" s="652">
        <f>IF($B892="",,SUMIFS(PerBase[Month 26],PerBase[exp_item],$H892,PerBase[company_name],$B892)*AK472)</f>
        <v>0</v>
      </c>
      <c r="AL892" s="652">
        <f>IF($B892="",,SUMIFS(PerBase[Month 27],PerBase[exp_item],$H892,PerBase[company_name],$B892)*AL472)</f>
        <v>0</v>
      </c>
      <c r="AM892" s="652">
        <f>IF($B892="",,SUMIFS(PerBase[Month 28],PerBase[exp_item],$H892,PerBase[company_name],$B892)*AM472)</f>
        <v>0</v>
      </c>
      <c r="AN892" s="652">
        <f>IF($B892="",,SUMIFS(PerBase[Month 29],PerBase[exp_item],$H892,PerBase[company_name],$B892)*AN472)</f>
        <v>0</v>
      </c>
      <c r="AO892" s="652">
        <f>IF($B892="",,SUMIFS(PerBase[Month 30],PerBase[exp_item],$H892,PerBase[company_name],$B892)*AO472)</f>
        <v>0</v>
      </c>
      <c r="AP892" s="652">
        <f>IF($B892="",,SUMIFS(PerBase[Month 31],PerBase[exp_item],$H892,PerBase[company_name],$B892)*AP472)</f>
        <v>0</v>
      </c>
      <c r="AQ892" s="652">
        <f>IF($B892="",,SUMIFS(PerBase[Month 32],PerBase[exp_item],$H892,PerBase[company_name],$B892)*AQ472)</f>
        <v>0</v>
      </c>
      <c r="AR892" s="652">
        <f>IF($B892="",,SUMIFS(PerBase[Month 33],PerBase[exp_item],$H892,PerBase[company_name],$B892)*AR472)</f>
        <v>0</v>
      </c>
      <c r="AS892" s="652">
        <f>IF($B892="",,SUMIFS(PerBase[Month 34],PerBase[exp_item],$H892,PerBase[company_name],$B892)*AS472)</f>
        <v>0</v>
      </c>
      <c r="AT892" s="652">
        <f>IF($B892="",,SUMIFS(PerBase[Month 35],PerBase[exp_item],$H892,PerBase[company_name],$B892)*AT472)</f>
        <v>0</v>
      </c>
      <c r="AU892" s="652">
        <f>IF($B892="",,SUMIFS(PerBase[Month 36],PerBase[exp_item],$H892,PerBase[company_name],$B892)*AU472)</f>
        <v>0</v>
      </c>
    </row>
    <row r="893" spans="2:47" x14ac:dyDescent="0.35">
      <c r="B893" t="str">
        <f t="shared" si="514"/>
        <v/>
      </c>
      <c r="C893" t="str">
        <f t="shared" ref="C893:G893" si="528">IF(C788="","",C788)</f>
        <v/>
      </c>
      <c r="D893" t="str">
        <f t="shared" si="528"/>
        <v/>
      </c>
      <c r="E893" t="str">
        <f t="shared" si="528"/>
        <v/>
      </c>
      <c r="F893" t="str">
        <f t="shared" si="528"/>
        <v/>
      </c>
      <c r="G893" t="str">
        <f t="shared" si="528"/>
        <v/>
      </c>
      <c r="H893" t="str">
        <f t="shared" si="513"/>
        <v/>
      </c>
      <c r="J893" t="str">
        <f>IF($H893="","",IF(VLOOKUP(H893,ExpItems[],2,0),H893&amp;" - "&amp;INDEX(DivisionMapping[category_code],MATCH($D893&amp;$C893,DivisionMapping[dept_bu],0)),H893))</f>
        <v/>
      </c>
      <c r="K893" t="str">
        <f t="shared" si="516"/>
        <v/>
      </c>
      <c r="L893" s="652">
        <f>IF($B893="",,SUMIFS(PerBase[Month 1],PerBase[exp_item],$H893,PerBase[company_name],$B893)*L473)</f>
        <v>0</v>
      </c>
      <c r="M893" s="652">
        <f>IF($B893="",,SUMIFS(PerBase[Month 2],PerBase[exp_item],$H893,PerBase[company_name],$B893)*M473)</f>
        <v>0</v>
      </c>
      <c r="N893" s="652">
        <f>IF($B893="",,SUMIFS(PerBase[Month 3],PerBase[exp_item],$H893,PerBase[company_name],$B893)*N473)</f>
        <v>0</v>
      </c>
      <c r="O893" s="652">
        <f>IF($B893="",,SUMIFS(PerBase[Month 4],PerBase[exp_item],$H893,PerBase[company_name],$B893)*O473)</f>
        <v>0</v>
      </c>
      <c r="P893" s="652">
        <f>IF($B893="",,SUMIFS(PerBase[Month 5],PerBase[exp_item],$H893,PerBase[company_name],$B893)*P473)</f>
        <v>0</v>
      </c>
      <c r="Q893" s="652">
        <f>IF($B893="",,SUMIFS(PerBase[Month 6],PerBase[exp_item],$H893,PerBase[company_name],$B893)*Q473)</f>
        <v>0</v>
      </c>
      <c r="R893" s="652">
        <f>IF($B893="",,SUMIFS(PerBase[Month 7],PerBase[exp_item],$H893,PerBase[company_name],$B893)*R473)</f>
        <v>0</v>
      </c>
      <c r="S893" s="652">
        <f>IF($B893="",,SUMIFS(PerBase[Month 8],PerBase[exp_item],$H893,PerBase[company_name],$B893)*S473)</f>
        <v>0</v>
      </c>
      <c r="T893" s="652">
        <f>IF($B893="",,SUMIFS(PerBase[Month 9],PerBase[exp_item],$H893,PerBase[company_name],$B893)*T473)</f>
        <v>0</v>
      </c>
      <c r="U893" s="652">
        <f>IF($B893="",,SUMIFS(PerBase[Month 10],PerBase[exp_item],$H893,PerBase[company_name],$B893)*U473)</f>
        <v>0</v>
      </c>
      <c r="V893" s="652">
        <f>IF($B893="",,SUMIFS(PerBase[Month 11],PerBase[exp_item],$H893,PerBase[company_name],$B893)*V473)</f>
        <v>0</v>
      </c>
      <c r="W893" s="652">
        <f>IF($B893="",,SUMIFS(PerBase[Month 12],PerBase[exp_item],$H893,PerBase[company_name],$B893)*W473)</f>
        <v>0</v>
      </c>
      <c r="X893" s="652">
        <f>IF($B893="",,SUMIFS(PerBase[Month 13],PerBase[exp_item],$H893,PerBase[company_name],$B893)*X473)</f>
        <v>0</v>
      </c>
      <c r="Y893" s="652">
        <f>IF($B893="",,SUMIFS(PerBase[Month 14],PerBase[exp_item],$H893,PerBase[company_name],$B893)*Y473)</f>
        <v>0</v>
      </c>
      <c r="Z893" s="652">
        <f>IF($B893="",,SUMIFS(PerBase[Month 15],PerBase[exp_item],$H893,PerBase[company_name],$B893)*Z473)</f>
        <v>0</v>
      </c>
      <c r="AA893" s="652">
        <f>IF($B893="",,SUMIFS(PerBase[Month 16],PerBase[exp_item],$H893,PerBase[company_name],$B893)*AA473)</f>
        <v>0</v>
      </c>
      <c r="AB893" s="652">
        <f>IF($B893="",,SUMIFS(PerBase[Month 17],PerBase[exp_item],$H893,PerBase[company_name],$B893)*AB473)</f>
        <v>0</v>
      </c>
      <c r="AC893" s="652">
        <f>IF($B893="",,SUMIFS(PerBase[Month 18],PerBase[exp_item],$H893,PerBase[company_name],$B893)*AC473)</f>
        <v>0</v>
      </c>
      <c r="AD893" s="652">
        <f>IF($B893="",,SUMIFS(PerBase[Month 19],PerBase[exp_item],$H893,PerBase[company_name],$B893)*AD473)</f>
        <v>0</v>
      </c>
      <c r="AE893" s="652">
        <f>IF($B893="",,SUMIFS(PerBase[Month 20],PerBase[exp_item],$H893,PerBase[company_name],$B893)*AE473)</f>
        <v>0</v>
      </c>
      <c r="AF893" s="652">
        <f>IF($B893="",,SUMIFS(PerBase[Month 21],PerBase[exp_item],$H893,PerBase[company_name],$B893)*AF473)</f>
        <v>0</v>
      </c>
      <c r="AG893" s="652">
        <f>IF($B893="",,SUMIFS(PerBase[Month 22],PerBase[exp_item],$H893,PerBase[company_name],$B893)*AG473)</f>
        <v>0</v>
      </c>
      <c r="AH893" s="652">
        <f>IF($B893="",,SUMIFS(PerBase[Month 23],PerBase[exp_item],$H893,PerBase[company_name],$B893)*AH473)</f>
        <v>0</v>
      </c>
      <c r="AI893" s="652">
        <f>IF($B893="",,SUMIFS(PerBase[Month 24],PerBase[exp_item],$H893,PerBase[company_name],$B893)*AI473)</f>
        <v>0</v>
      </c>
      <c r="AJ893" s="652">
        <f>IF($B893="",,SUMIFS(PerBase[Month 25],PerBase[exp_item],$H893,PerBase[company_name],$B893)*AJ473)</f>
        <v>0</v>
      </c>
      <c r="AK893" s="652">
        <f>IF($B893="",,SUMIFS(PerBase[Month 26],PerBase[exp_item],$H893,PerBase[company_name],$B893)*AK473)</f>
        <v>0</v>
      </c>
      <c r="AL893" s="652">
        <f>IF($B893="",,SUMIFS(PerBase[Month 27],PerBase[exp_item],$H893,PerBase[company_name],$B893)*AL473)</f>
        <v>0</v>
      </c>
      <c r="AM893" s="652">
        <f>IF($B893="",,SUMIFS(PerBase[Month 28],PerBase[exp_item],$H893,PerBase[company_name],$B893)*AM473)</f>
        <v>0</v>
      </c>
      <c r="AN893" s="652">
        <f>IF($B893="",,SUMIFS(PerBase[Month 29],PerBase[exp_item],$H893,PerBase[company_name],$B893)*AN473)</f>
        <v>0</v>
      </c>
      <c r="AO893" s="652">
        <f>IF($B893="",,SUMIFS(PerBase[Month 30],PerBase[exp_item],$H893,PerBase[company_name],$B893)*AO473)</f>
        <v>0</v>
      </c>
      <c r="AP893" s="652">
        <f>IF($B893="",,SUMIFS(PerBase[Month 31],PerBase[exp_item],$H893,PerBase[company_name],$B893)*AP473)</f>
        <v>0</v>
      </c>
      <c r="AQ893" s="652">
        <f>IF($B893="",,SUMIFS(PerBase[Month 32],PerBase[exp_item],$H893,PerBase[company_name],$B893)*AQ473)</f>
        <v>0</v>
      </c>
      <c r="AR893" s="652">
        <f>IF($B893="",,SUMIFS(PerBase[Month 33],PerBase[exp_item],$H893,PerBase[company_name],$B893)*AR473)</f>
        <v>0</v>
      </c>
      <c r="AS893" s="652">
        <f>IF($B893="",,SUMIFS(PerBase[Month 34],PerBase[exp_item],$H893,PerBase[company_name],$B893)*AS473)</f>
        <v>0</v>
      </c>
      <c r="AT893" s="652">
        <f>IF($B893="",,SUMIFS(PerBase[Month 35],PerBase[exp_item],$H893,PerBase[company_name],$B893)*AT473)</f>
        <v>0</v>
      </c>
      <c r="AU893" s="652">
        <f>IF($B893="",,SUMIFS(PerBase[Month 36],PerBase[exp_item],$H893,PerBase[company_name],$B893)*AU473)</f>
        <v>0</v>
      </c>
    </row>
    <row r="894" spans="2:47" x14ac:dyDescent="0.35">
      <c r="B894" t="str">
        <f t="shared" si="514"/>
        <v/>
      </c>
      <c r="C894" t="str">
        <f t="shared" ref="C894:G894" si="529">IF(C789="","",C789)</f>
        <v/>
      </c>
      <c r="D894" t="str">
        <f t="shared" si="529"/>
        <v/>
      </c>
      <c r="E894" t="str">
        <f t="shared" si="529"/>
        <v/>
      </c>
      <c r="F894" t="str">
        <f t="shared" si="529"/>
        <v/>
      </c>
      <c r="G894" t="str">
        <f t="shared" si="529"/>
        <v/>
      </c>
      <c r="H894" t="str">
        <f t="shared" si="513"/>
        <v/>
      </c>
      <c r="J894" t="str">
        <f>IF($H894="","",IF(VLOOKUP(H894,ExpItems[],2,0),H894&amp;" - "&amp;INDEX(DivisionMapping[category_code],MATCH($D894&amp;$C894,DivisionMapping[dept_bu],0)),H894))</f>
        <v/>
      </c>
      <c r="K894" t="str">
        <f t="shared" si="516"/>
        <v/>
      </c>
      <c r="L894" s="652">
        <f>IF($B894="",,SUMIFS(PerBase[Month 1],PerBase[exp_item],$H894,PerBase[company_name],$B894)*L474)</f>
        <v>0</v>
      </c>
      <c r="M894" s="652">
        <f>IF($B894="",,SUMIFS(PerBase[Month 2],PerBase[exp_item],$H894,PerBase[company_name],$B894)*M474)</f>
        <v>0</v>
      </c>
      <c r="N894" s="652">
        <f>IF($B894="",,SUMIFS(PerBase[Month 3],PerBase[exp_item],$H894,PerBase[company_name],$B894)*N474)</f>
        <v>0</v>
      </c>
      <c r="O894" s="652">
        <f>IF($B894="",,SUMIFS(PerBase[Month 4],PerBase[exp_item],$H894,PerBase[company_name],$B894)*O474)</f>
        <v>0</v>
      </c>
      <c r="P894" s="652">
        <f>IF($B894="",,SUMIFS(PerBase[Month 5],PerBase[exp_item],$H894,PerBase[company_name],$B894)*P474)</f>
        <v>0</v>
      </c>
      <c r="Q894" s="652">
        <f>IF($B894="",,SUMIFS(PerBase[Month 6],PerBase[exp_item],$H894,PerBase[company_name],$B894)*Q474)</f>
        <v>0</v>
      </c>
      <c r="R894" s="652">
        <f>IF($B894="",,SUMIFS(PerBase[Month 7],PerBase[exp_item],$H894,PerBase[company_name],$B894)*R474)</f>
        <v>0</v>
      </c>
      <c r="S894" s="652">
        <f>IF($B894="",,SUMIFS(PerBase[Month 8],PerBase[exp_item],$H894,PerBase[company_name],$B894)*S474)</f>
        <v>0</v>
      </c>
      <c r="T894" s="652">
        <f>IF($B894="",,SUMIFS(PerBase[Month 9],PerBase[exp_item],$H894,PerBase[company_name],$B894)*T474)</f>
        <v>0</v>
      </c>
      <c r="U894" s="652">
        <f>IF($B894="",,SUMIFS(PerBase[Month 10],PerBase[exp_item],$H894,PerBase[company_name],$B894)*U474)</f>
        <v>0</v>
      </c>
      <c r="V894" s="652">
        <f>IF($B894="",,SUMIFS(PerBase[Month 11],PerBase[exp_item],$H894,PerBase[company_name],$B894)*V474)</f>
        <v>0</v>
      </c>
      <c r="W894" s="652">
        <f>IF($B894="",,SUMIFS(PerBase[Month 12],PerBase[exp_item],$H894,PerBase[company_name],$B894)*W474)</f>
        <v>0</v>
      </c>
      <c r="X894" s="652">
        <f>IF($B894="",,SUMIFS(PerBase[Month 13],PerBase[exp_item],$H894,PerBase[company_name],$B894)*X474)</f>
        <v>0</v>
      </c>
      <c r="Y894" s="652">
        <f>IF($B894="",,SUMIFS(PerBase[Month 14],PerBase[exp_item],$H894,PerBase[company_name],$B894)*Y474)</f>
        <v>0</v>
      </c>
      <c r="Z894" s="652">
        <f>IF($B894="",,SUMIFS(PerBase[Month 15],PerBase[exp_item],$H894,PerBase[company_name],$B894)*Z474)</f>
        <v>0</v>
      </c>
      <c r="AA894" s="652">
        <f>IF($B894="",,SUMIFS(PerBase[Month 16],PerBase[exp_item],$H894,PerBase[company_name],$B894)*AA474)</f>
        <v>0</v>
      </c>
      <c r="AB894" s="652">
        <f>IF($B894="",,SUMIFS(PerBase[Month 17],PerBase[exp_item],$H894,PerBase[company_name],$B894)*AB474)</f>
        <v>0</v>
      </c>
      <c r="AC894" s="652">
        <f>IF($B894="",,SUMIFS(PerBase[Month 18],PerBase[exp_item],$H894,PerBase[company_name],$B894)*AC474)</f>
        <v>0</v>
      </c>
      <c r="AD894" s="652">
        <f>IF($B894="",,SUMIFS(PerBase[Month 19],PerBase[exp_item],$H894,PerBase[company_name],$B894)*AD474)</f>
        <v>0</v>
      </c>
      <c r="AE894" s="652">
        <f>IF($B894="",,SUMIFS(PerBase[Month 20],PerBase[exp_item],$H894,PerBase[company_name],$B894)*AE474)</f>
        <v>0</v>
      </c>
      <c r="AF894" s="652">
        <f>IF($B894="",,SUMIFS(PerBase[Month 21],PerBase[exp_item],$H894,PerBase[company_name],$B894)*AF474)</f>
        <v>0</v>
      </c>
      <c r="AG894" s="652">
        <f>IF($B894="",,SUMIFS(PerBase[Month 22],PerBase[exp_item],$H894,PerBase[company_name],$B894)*AG474)</f>
        <v>0</v>
      </c>
      <c r="AH894" s="652">
        <f>IF($B894="",,SUMIFS(PerBase[Month 23],PerBase[exp_item],$H894,PerBase[company_name],$B894)*AH474)</f>
        <v>0</v>
      </c>
      <c r="AI894" s="652">
        <f>IF($B894="",,SUMIFS(PerBase[Month 24],PerBase[exp_item],$H894,PerBase[company_name],$B894)*AI474)</f>
        <v>0</v>
      </c>
      <c r="AJ894" s="652">
        <f>IF($B894="",,SUMIFS(PerBase[Month 25],PerBase[exp_item],$H894,PerBase[company_name],$B894)*AJ474)</f>
        <v>0</v>
      </c>
      <c r="AK894" s="652">
        <f>IF($B894="",,SUMIFS(PerBase[Month 26],PerBase[exp_item],$H894,PerBase[company_name],$B894)*AK474)</f>
        <v>0</v>
      </c>
      <c r="AL894" s="652">
        <f>IF($B894="",,SUMIFS(PerBase[Month 27],PerBase[exp_item],$H894,PerBase[company_name],$B894)*AL474)</f>
        <v>0</v>
      </c>
      <c r="AM894" s="652">
        <f>IF($B894="",,SUMIFS(PerBase[Month 28],PerBase[exp_item],$H894,PerBase[company_name],$B894)*AM474)</f>
        <v>0</v>
      </c>
      <c r="AN894" s="652">
        <f>IF($B894="",,SUMIFS(PerBase[Month 29],PerBase[exp_item],$H894,PerBase[company_name],$B894)*AN474)</f>
        <v>0</v>
      </c>
      <c r="AO894" s="652">
        <f>IF($B894="",,SUMIFS(PerBase[Month 30],PerBase[exp_item],$H894,PerBase[company_name],$B894)*AO474)</f>
        <v>0</v>
      </c>
      <c r="AP894" s="652">
        <f>IF($B894="",,SUMIFS(PerBase[Month 31],PerBase[exp_item],$H894,PerBase[company_name],$B894)*AP474)</f>
        <v>0</v>
      </c>
      <c r="AQ894" s="652">
        <f>IF($B894="",,SUMIFS(PerBase[Month 32],PerBase[exp_item],$H894,PerBase[company_name],$B894)*AQ474)</f>
        <v>0</v>
      </c>
      <c r="AR894" s="652">
        <f>IF($B894="",,SUMIFS(PerBase[Month 33],PerBase[exp_item],$H894,PerBase[company_name],$B894)*AR474)</f>
        <v>0</v>
      </c>
      <c r="AS894" s="652">
        <f>IF($B894="",,SUMIFS(PerBase[Month 34],PerBase[exp_item],$H894,PerBase[company_name],$B894)*AS474)</f>
        <v>0</v>
      </c>
      <c r="AT894" s="652">
        <f>IF($B894="",,SUMIFS(PerBase[Month 35],PerBase[exp_item],$H894,PerBase[company_name],$B894)*AT474)</f>
        <v>0</v>
      </c>
      <c r="AU894" s="652">
        <f>IF($B894="",,SUMIFS(PerBase[Month 36],PerBase[exp_item],$H894,PerBase[company_name],$B894)*AU474)</f>
        <v>0</v>
      </c>
    </row>
    <row r="895" spans="2:47" x14ac:dyDescent="0.35">
      <c r="B895" t="str">
        <f t="shared" si="514"/>
        <v/>
      </c>
      <c r="C895" t="str">
        <f t="shared" ref="C895:G895" si="530">IF(C790="","",C790)</f>
        <v/>
      </c>
      <c r="D895" t="str">
        <f t="shared" si="530"/>
        <v/>
      </c>
      <c r="E895" t="str">
        <f t="shared" si="530"/>
        <v/>
      </c>
      <c r="F895" t="str">
        <f t="shared" si="530"/>
        <v/>
      </c>
      <c r="G895" t="str">
        <f t="shared" si="530"/>
        <v/>
      </c>
      <c r="H895" t="str">
        <f t="shared" si="513"/>
        <v/>
      </c>
      <c r="J895" t="str">
        <f>IF($H895="","",IF(VLOOKUP(H895,ExpItems[],2,0),H895&amp;" - "&amp;INDEX(DivisionMapping[category_code],MATCH($D895&amp;$C895,DivisionMapping[dept_bu],0)),H895))</f>
        <v/>
      </c>
      <c r="K895" t="str">
        <f t="shared" si="516"/>
        <v/>
      </c>
      <c r="L895" s="652">
        <f>IF($B895="",,SUMIFS(PerBase[Month 1],PerBase[exp_item],$H895,PerBase[company_name],$B895)*L475)</f>
        <v>0</v>
      </c>
      <c r="M895" s="652">
        <f>IF($B895="",,SUMIFS(PerBase[Month 2],PerBase[exp_item],$H895,PerBase[company_name],$B895)*M475)</f>
        <v>0</v>
      </c>
      <c r="N895" s="652">
        <f>IF($B895="",,SUMIFS(PerBase[Month 3],PerBase[exp_item],$H895,PerBase[company_name],$B895)*N475)</f>
        <v>0</v>
      </c>
      <c r="O895" s="652">
        <f>IF($B895="",,SUMIFS(PerBase[Month 4],PerBase[exp_item],$H895,PerBase[company_name],$B895)*O475)</f>
        <v>0</v>
      </c>
      <c r="P895" s="652">
        <f>IF($B895="",,SUMIFS(PerBase[Month 5],PerBase[exp_item],$H895,PerBase[company_name],$B895)*P475)</f>
        <v>0</v>
      </c>
      <c r="Q895" s="652">
        <f>IF($B895="",,SUMIFS(PerBase[Month 6],PerBase[exp_item],$H895,PerBase[company_name],$B895)*Q475)</f>
        <v>0</v>
      </c>
      <c r="R895" s="652">
        <f>IF($B895="",,SUMIFS(PerBase[Month 7],PerBase[exp_item],$H895,PerBase[company_name],$B895)*R475)</f>
        <v>0</v>
      </c>
      <c r="S895" s="652">
        <f>IF($B895="",,SUMIFS(PerBase[Month 8],PerBase[exp_item],$H895,PerBase[company_name],$B895)*S475)</f>
        <v>0</v>
      </c>
      <c r="T895" s="652">
        <f>IF($B895="",,SUMIFS(PerBase[Month 9],PerBase[exp_item],$H895,PerBase[company_name],$B895)*T475)</f>
        <v>0</v>
      </c>
      <c r="U895" s="652">
        <f>IF($B895="",,SUMIFS(PerBase[Month 10],PerBase[exp_item],$H895,PerBase[company_name],$B895)*U475)</f>
        <v>0</v>
      </c>
      <c r="V895" s="652">
        <f>IF($B895="",,SUMIFS(PerBase[Month 11],PerBase[exp_item],$H895,PerBase[company_name],$B895)*V475)</f>
        <v>0</v>
      </c>
      <c r="W895" s="652">
        <f>IF($B895="",,SUMIFS(PerBase[Month 12],PerBase[exp_item],$H895,PerBase[company_name],$B895)*W475)</f>
        <v>0</v>
      </c>
      <c r="X895" s="652">
        <f>IF($B895="",,SUMIFS(PerBase[Month 13],PerBase[exp_item],$H895,PerBase[company_name],$B895)*X475)</f>
        <v>0</v>
      </c>
      <c r="Y895" s="652">
        <f>IF($B895="",,SUMIFS(PerBase[Month 14],PerBase[exp_item],$H895,PerBase[company_name],$B895)*Y475)</f>
        <v>0</v>
      </c>
      <c r="Z895" s="652">
        <f>IF($B895="",,SUMIFS(PerBase[Month 15],PerBase[exp_item],$H895,PerBase[company_name],$B895)*Z475)</f>
        <v>0</v>
      </c>
      <c r="AA895" s="652">
        <f>IF($B895="",,SUMIFS(PerBase[Month 16],PerBase[exp_item],$H895,PerBase[company_name],$B895)*AA475)</f>
        <v>0</v>
      </c>
      <c r="AB895" s="652">
        <f>IF($B895="",,SUMIFS(PerBase[Month 17],PerBase[exp_item],$H895,PerBase[company_name],$B895)*AB475)</f>
        <v>0</v>
      </c>
      <c r="AC895" s="652">
        <f>IF($B895="",,SUMIFS(PerBase[Month 18],PerBase[exp_item],$H895,PerBase[company_name],$B895)*AC475)</f>
        <v>0</v>
      </c>
      <c r="AD895" s="652">
        <f>IF($B895="",,SUMIFS(PerBase[Month 19],PerBase[exp_item],$H895,PerBase[company_name],$B895)*AD475)</f>
        <v>0</v>
      </c>
      <c r="AE895" s="652">
        <f>IF($B895="",,SUMIFS(PerBase[Month 20],PerBase[exp_item],$H895,PerBase[company_name],$B895)*AE475)</f>
        <v>0</v>
      </c>
      <c r="AF895" s="652">
        <f>IF($B895="",,SUMIFS(PerBase[Month 21],PerBase[exp_item],$H895,PerBase[company_name],$B895)*AF475)</f>
        <v>0</v>
      </c>
      <c r="AG895" s="652">
        <f>IF($B895="",,SUMIFS(PerBase[Month 22],PerBase[exp_item],$H895,PerBase[company_name],$B895)*AG475)</f>
        <v>0</v>
      </c>
      <c r="AH895" s="652">
        <f>IF($B895="",,SUMIFS(PerBase[Month 23],PerBase[exp_item],$H895,PerBase[company_name],$B895)*AH475)</f>
        <v>0</v>
      </c>
      <c r="AI895" s="652">
        <f>IF($B895="",,SUMIFS(PerBase[Month 24],PerBase[exp_item],$H895,PerBase[company_name],$B895)*AI475)</f>
        <v>0</v>
      </c>
      <c r="AJ895" s="652">
        <f>IF($B895="",,SUMIFS(PerBase[Month 25],PerBase[exp_item],$H895,PerBase[company_name],$B895)*AJ475)</f>
        <v>0</v>
      </c>
      <c r="AK895" s="652">
        <f>IF($B895="",,SUMIFS(PerBase[Month 26],PerBase[exp_item],$H895,PerBase[company_name],$B895)*AK475)</f>
        <v>0</v>
      </c>
      <c r="AL895" s="652">
        <f>IF($B895="",,SUMIFS(PerBase[Month 27],PerBase[exp_item],$H895,PerBase[company_name],$B895)*AL475)</f>
        <v>0</v>
      </c>
      <c r="AM895" s="652">
        <f>IF($B895="",,SUMIFS(PerBase[Month 28],PerBase[exp_item],$H895,PerBase[company_name],$B895)*AM475)</f>
        <v>0</v>
      </c>
      <c r="AN895" s="652">
        <f>IF($B895="",,SUMIFS(PerBase[Month 29],PerBase[exp_item],$H895,PerBase[company_name],$B895)*AN475)</f>
        <v>0</v>
      </c>
      <c r="AO895" s="652">
        <f>IF($B895="",,SUMIFS(PerBase[Month 30],PerBase[exp_item],$H895,PerBase[company_name],$B895)*AO475)</f>
        <v>0</v>
      </c>
      <c r="AP895" s="652">
        <f>IF($B895="",,SUMIFS(PerBase[Month 31],PerBase[exp_item],$H895,PerBase[company_name],$B895)*AP475)</f>
        <v>0</v>
      </c>
      <c r="AQ895" s="652">
        <f>IF($B895="",,SUMIFS(PerBase[Month 32],PerBase[exp_item],$H895,PerBase[company_name],$B895)*AQ475)</f>
        <v>0</v>
      </c>
      <c r="AR895" s="652">
        <f>IF($B895="",,SUMIFS(PerBase[Month 33],PerBase[exp_item],$H895,PerBase[company_name],$B895)*AR475)</f>
        <v>0</v>
      </c>
      <c r="AS895" s="652">
        <f>IF($B895="",,SUMIFS(PerBase[Month 34],PerBase[exp_item],$H895,PerBase[company_name],$B895)*AS475)</f>
        <v>0</v>
      </c>
      <c r="AT895" s="652">
        <f>IF($B895="",,SUMIFS(PerBase[Month 35],PerBase[exp_item],$H895,PerBase[company_name],$B895)*AT475)</f>
        <v>0</v>
      </c>
      <c r="AU895" s="652">
        <f>IF($B895="",,SUMIFS(PerBase[Month 36],PerBase[exp_item],$H895,PerBase[company_name],$B895)*AU475)</f>
        <v>0</v>
      </c>
    </row>
    <row r="896" spans="2:47" x14ac:dyDescent="0.35">
      <c r="B896" t="str">
        <f t="shared" si="514"/>
        <v/>
      </c>
      <c r="C896" t="str">
        <f t="shared" ref="C896:G896" si="531">IF(C791="","",C791)</f>
        <v/>
      </c>
      <c r="D896" t="str">
        <f t="shared" si="531"/>
        <v/>
      </c>
      <c r="E896" t="str">
        <f t="shared" si="531"/>
        <v/>
      </c>
      <c r="F896" t="str">
        <f t="shared" si="531"/>
        <v/>
      </c>
      <c r="G896" t="str">
        <f t="shared" si="531"/>
        <v/>
      </c>
      <c r="H896" t="str">
        <f t="shared" si="513"/>
        <v/>
      </c>
      <c r="J896" t="str">
        <f>IF($H896="","",IF(VLOOKUP(H896,ExpItems[],2,0),H896&amp;" - "&amp;INDEX(DivisionMapping[category_code],MATCH($D896&amp;$C896,DivisionMapping[dept_bu],0)),H896))</f>
        <v/>
      </c>
      <c r="K896" t="str">
        <f t="shared" si="516"/>
        <v/>
      </c>
      <c r="L896" s="652">
        <f>IF($B896="",,SUMIFS(PerBase[Month 1],PerBase[exp_item],$H896,PerBase[company_name],$B896)*L476)</f>
        <v>0</v>
      </c>
      <c r="M896" s="652">
        <f>IF($B896="",,SUMIFS(PerBase[Month 2],PerBase[exp_item],$H896,PerBase[company_name],$B896)*M476)</f>
        <v>0</v>
      </c>
      <c r="N896" s="652">
        <f>IF($B896="",,SUMIFS(PerBase[Month 3],PerBase[exp_item],$H896,PerBase[company_name],$B896)*N476)</f>
        <v>0</v>
      </c>
      <c r="O896" s="652">
        <f>IF($B896="",,SUMIFS(PerBase[Month 4],PerBase[exp_item],$H896,PerBase[company_name],$B896)*O476)</f>
        <v>0</v>
      </c>
      <c r="P896" s="652">
        <f>IF($B896="",,SUMIFS(PerBase[Month 5],PerBase[exp_item],$H896,PerBase[company_name],$B896)*P476)</f>
        <v>0</v>
      </c>
      <c r="Q896" s="652">
        <f>IF($B896="",,SUMIFS(PerBase[Month 6],PerBase[exp_item],$H896,PerBase[company_name],$B896)*Q476)</f>
        <v>0</v>
      </c>
      <c r="R896" s="652">
        <f>IF($B896="",,SUMIFS(PerBase[Month 7],PerBase[exp_item],$H896,PerBase[company_name],$B896)*R476)</f>
        <v>0</v>
      </c>
      <c r="S896" s="652">
        <f>IF($B896="",,SUMIFS(PerBase[Month 8],PerBase[exp_item],$H896,PerBase[company_name],$B896)*S476)</f>
        <v>0</v>
      </c>
      <c r="T896" s="652">
        <f>IF($B896="",,SUMIFS(PerBase[Month 9],PerBase[exp_item],$H896,PerBase[company_name],$B896)*T476)</f>
        <v>0</v>
      </c>
      <c r="U896" s="652">
        <f>IF($B896="",,SUMIFS(PerBase[Month 10],PerBase[exp_item],$H896,PerBase[company_name],$B896)*U476)</f>
        <v>0</v>
      </c>
      <c r="V896" s="652">
        <f>IF($B896="",,SUMIFS(PerBase[Month 11],PerBase[exp_item],$H896,PerBase[company_name],$B896)*V476)</f>
        <v>0</v>
      </c>
      <c r="W896" s="652">
        <f>IF($B896="",,SUMIFS(PerBase[Month 12],PerBase[exp_item],$H896,PerBase[company_name],$B896)*W476)</f>
        <v>0</v>
      </c>
      <c r="X896" s="652">
        <f>IF($B896="",,SUMIFS(PerBase[Month 13],PerBase[exp_item],$H896,PerBase[company_name],$B896)*X476)</f>
        <v>0</v>
      </c>
      <c r="Y896" s="652">
        <f>IF($B896="",,SUMIFS(PerBase[Month 14],PerBase[exp_item],$H896,PerBase[company_name],$B896)*Y476)</f>
        <v>0</v>
      </c>
      <c r="Z896" s="652">
        <f>IF($B896="",,SUMIFS(PerBase[Month 15],PerBase[exp_item],$H896,PerBase[company_name],$B896)*Z476)</f>
        <v>0</v>
      </c>
      <c r="AA896" s="652">
        <f>IF($B896="",,SUMIFS(PerBase[Month 16],PerBase[exp_item],$H896,PerBase[company_name],$B896)*AA476)</f>
        <v>0</v>
      </c>
      <c r="AB896" s="652">
        <f>IF($B896="",,SUMIFS(PerBase[Month 17],PerBase[exp_item],$H896,PerBase[company_name],$B896)*AB476)</f>
        <v>0</v>
      </c>
      <c r="AC896" s="652">
        <f>IF($B896="",,SUMIFS(PerBase[Month 18],PerBase[exp_item],$H896,PerBase[company_name],$B896)*AC476)</f>
        <v>0</v>
      </c>
      <c r="AD896" s="652">
        <f>IF($B896="",,SUMIFS(PerBase[Month 19],PerBase[exp_item],$H896,PerBase[company_name],$B896)*AD476)</f>
        <v>0</v>
      </c>
      <c r="AE896" s="652">
        <f>IF($B896="",,SUMIFS(PerBase[Month 20],PerBase[exp_item],$H896,PerBase[company_name],$B896)*AE476)</f>
        <v>0</v>
      </c>
      <c r="AF896" s="652">
        <f>IF($B896="",,SUMIFS(PerBase[Month 21],PerBase[exp_item],$H896,PerBase[company_name],$B896)*AF476)</f>
        <v>0</v>
      </c>
      <c r="AG896" s="652">
        <f>IF($B896="",,SUMIFS(PerBase[Month 22],PerBase[exp_item],$H896,PerBase[company_name],$B896)*AG476)</f>
        <v>0</v>
      </c>
      <c r="AH896" s="652">
        <f>IF($B896="",,SUMIFS(PerBase[Month 23],PerBase[exp_item],$H896,PerBase[company_name],$B896)*AH476)</f>
        <v>0</v>
      </c>
      <c r="AI896" s="652">
        <f>IF($B896="",,SUMIFS(PerBase[Month 24],PerBase[exp_item],$H896,PerBase[company_name],$B896)*AI476)</f>
        <v>0</v>
      </c>
      <c r="AJ896" s="652">
        <f>IF($B896="",,SUMIFS(PerBase[Month 25],PerBase[exp_item],$H896,PerBase[company_name],$B896)*AJ476)</f>
        <v>0</v>
      </c>
      <c r="AK896" s="652">
        <f>IF($B896="",,SUMIFS(PerBase[Month 26],PerBase[exp_item],$H896,PerBase[company_name],$B896)*AK476)</f>
        <v>0</v>
      </c>
      <c r="AL896" s="652">
        <f>IF($B896="",,SUMIFS(PerBase[Month 27],PerBase[exp_item],$H896,PerBase[company_name],$B896)*AL476)</f>
        <v>0</v>
      </c>
      <c r="AM896" s="652">
        <f>IF($B896="",,SUMIFS(PerBase[Month 28],PerBase[exp_item],$H896,PerBase[company_name],$B896)*AM476)</f>
        <v>0</v>
      </c>
      <c r="AN896" s="652">
        <f>IF($B896="",,SUMIFS(PerBase[Month 29],PerBase[exp_item],$H896,PerBase[company_name],$B896)*AN476)</f>
        <v>0</v>
      </c>
      <c r="AO896" s="652">
        <f>IF($B896="",,SUMIFS(PerBase[Month 30],PerBase[exp_item],$H896,PerBase[company_name],$B896)*AO476)</f>
        <v>0</v>
      </c>
      <c r="AP896" s="652">
        <f>IF($B896="",,SUMIFS(PerBase[Month 31],PerBase[exp_item],$H896,PerBase[company_name],$B896)*AP476)</f>
        <v>0</v>
      </c>
      <c r="AQ896" s="652">
        <f>IF($B896="",,SUMIFS(PerBase[Month 32],PerBase[exp_item],$H896,PerBase[company_name],$B896)*AQ476)</f>
        <v>0</v>
      </c>
      <c r="AR896" s="652">
        <f>IF($B896="",,SUMIFS(PerBase[Month 33],PerBase[exp_item],$H896,PerBase[company_name],$B896)*AR476)</f>
        <v>0</v>
      </c>
      <c r="AS896" s="652">
        <f>IF($B896="",,SUMIFS(PerBase[Month 34],PerBase[exp_item],$H896,PerBase[company_name],$B896)*AS476)</f>
        <v>0</v>
      </c>
      <c r="AT896" s="652">
        <f>IF($B896="",,SUMIFS(PerBase[Month 35],PerBase[exp_item],$H896,PerBase[company_name],$B896)*AT476)</f>
        <v>0</v>
      </c>
      <c r="AU896" s="652">
        <f>IF($B896="",,SUMIFS(PerBase[Month 36],PerBase[exp_item],$H896,PerBase[company_name],$B896)*AU476)</f>
        <v>0</v>
      </c>
    </row>
    <row r="897" spans="2:47" x14ac:dyDescent="0.35">
      <c r="B897" t="str">
        <f t="shared" si="514"/>
        <v/>
      </c>
      <c r="C897" t="str">
        <f t="shared" ref="C897:G897" si="532">IF(C792="","",C792)</f>
        <v/>
      </c>
      <c r="D897" t="str">
        <f t="shared" si="532"/>
        <v/>
      </c>
      <c r="E897" t="str">
        <f t="shared" si="532"/>
        <v/>
      </c>
      <c r="F897" t="str">
        <f t="shared" si="532"/>
        <v/>
      </c>
      <c r="G897" t="str">
        <f t="shared" si="532"/>
        <v/>
      </c>
      <c r="H897" t="str">
        <f t="shared" si="513"/>
        <v/>
      </c>
      <c r="J897" t="str">
        <f>IF($H897="","",IF(VLOOKUP(H897,ExpItems[],2,0),H897&amp;" - "&amp;INDEX(DivisionMapping[category_code],MATCH($D897&amp;$C897,DivisionMapping[dept_bu],0)),H897))</f>
        <v/>
      </c>
      <c r="K897" t="str">
        <f t="shared" si="516"/>
        <v/>
      </c>
      <c r="L897" s="652">
        <f>IF($B897="",,SUMIFS(PerBase[Month 1],PerBase[exp_item],$H897,PerBase[company_name],$B897)*L477)</f>
        <v>0</v>
      </c>
      <c r="M897" s="652">
        <f>IF($B897="",,SUMIFS(PerBase[Month 2],PerBase[exp_item],$H897,PerBase[company_name],$B897)*M477)</f>
        <v>0</v>
      </c>
      <c r="N897" s="652">
        <f>IF($B897="",,SUMIFS(PerBase[Month 3],PerBase[exp_item],$H897,PerBase[company_name],$B897)*N477)</f>
        <v>0</v>
      </c>
      <c r="O897" s="652">
        <f>IF($B897="",,SUMIFS(PerBase[Month 4],PerBase[exp_item],$H897,PerBase[company_name],$B897)*O477)</f>
        <v>0</v>
      </c>
      <c r="P897" s="652">
        <f>IF($B897="",,SUMIFS(PerBase[Month 5],PerBase[exp_item],$H897,PerBase[company_name],$B897)*P477)</f>
        <v>0</v>
      </c>
      <c r="Q897" s="652">
        <f>IF($B897="",,SUMIFS(PerBase[Month 6],PerBase[exp_item],$H897,PerBase[company_name],$B897)*Q477)</f>
        <v>0</v>
      </c>
      <c r="R897" s="652">
        <f>IF($B897="",,SUMIFS(PerBase[Month 7],PerBase[exp_item],$H897,PerBase[company_name],$B897)*R477)</f>
        <v>0</v>
      </c>
      <c r="S897" s="652">
        <f>IF($B897="",,SUMIFS(PerBase[Month 8],PerBase[exp_item],$H897,PerBase[company_name],$B897)*S477)</f>
        <v>0</v>
      </c>
      <c r="T897" s="652">
        <f>IF($B897="",,SUMIFS(PerBase[Month 9],PerBase[exp_item],$H897,PerBase[company_name],$B897)*T477)</f>
        <v>0</v>
      </c>
      <c r="U897" s="652">
        <f>IF($B897="",,SUMIFS(PerBase[Month 10],PerBase[exp_item],$H897,PerBase[company_name],$B897)*U477)</f>
        <v>0</v>
      </c>
      <c r="V897" s="652">
        <f>IF($B897="",,SUMIFS(PerBase[Month 11],PerBase[exp_item],$H897,PerBase[company_name],$B897)*V477)</f>
        <v>0</v>
      </c>
      <c r="W897" s="652">
        <f>IF($B897="",,SUMIFS(PerBase[Month 12],PerBase[exp_item],$H897,PerBase[company_name],$B897)*W477)</f>
        <v>0</v>
      </c>
      <c r="X897" s="652">
        <f>IF($B897="",,SUMIFS(PerBase[Month 13],PerBase[exp_item],$H897,PerBase[company_name],$B897)*X477)</f>
        <v>0</v>
      </c>
      <c r="Y897" s="652">
        <f>IF($B897="",,SUMIFS(PerBase[Month 14],PerBase[exp_item],$H897,PerBase[company_name],$B897)*Y477)</f>
        <v>0</v>
      </c>
      <c r="Z897" s="652">
        <f>IF($B897="",,SUMIFS(PerBase[Month 15],PerBase[exp_item],$H897,PerBase[company_name],$B897)*Z477)</f>
        <v>0</v>
      </c>
      <c r="AA897" s="652">
        <f>IF($B897="",,SUMIFS(PerBase[Month 16],PerBase[exp_item],$H897,PerBase[company_name],$B897)*AA477)</f>
        <v>0</v>
      </c>
      <c r="AB897" s="652">
        <f>IF($B897="",,SUMIFS(PerBase[Month 17],PerBase[exp_item],$H897,PerBase[company_name],$B897)*AB477)</f>
        <v>0</v>
      </c>
      <c r="AC897" s="652">
        <f>IF($B897="",,SUMIFS(PerBase[Month 18],PerBase[exp_item],$H897,PerBase[company_name],$B897)*AC477)</f>
        <v>0</v>
      </c>
      <c r="AD897" s="652">
        <f>IF($B897="",,SUMIFS(PerBase[Month 19],PerBase[exp_item],$H897,PerBase[company_name],$B897)*AD477)</f>
        <v>0</v>
      </c>
      <c r="AE897" s="652">
        <f>IF($B897="",,SUMIFS(PerBase[Month 20],PerBase[exp_item],$H897,PerBase[company_name],$B897)*AE477)</f>
        <v>0</v>
      </c>
      <c r="AF897" s="652">
        <f>IF($B897="",,SUMIFS(PerBase[Month 21],PerBase[exp_item],$H897,PerBase[company_name],$B897)*AF477)</f>
        <v>0</v>
      </c>
      <c r="AG897" s="652">
        <f>IF($B897="",,SUMIFS(PerBase[Month 22],PerBase[exp_item],$H897,PerBase[company_name],$B897)*AG477)</f>
        <v>0</v>
      </c>
      <c r="AH897" s="652">
        <f>IF($B897="",,SUMIFS(PerBase[Month 23],PerBase[exp_item],$H897,PerBase[company_name],$B897)*AH477)</f>
        <v>0</v>
      </c>
      <c r="AI897" s="652">
        <f>IF($B897="",,SUMIFS(PerBase[Month 24],PerBase[exp_item],$H897,PerBase[company_name],$B897)*AI477)</f>
        <v>0</v>
      </c>
      <c r="AJ897" s="652">
        <f>IF($B897="",,SUMIFS(PerBase[Month 25],PerBase[exp_item],$H897,PerBase[company_name],$B897)*AJ477)</f>
        <v>0</v>
      </c>
      <c r="AK897" s="652">
        <f>IF($B897="",,SUMIFS(PerBase[Month 26],PerBase[exp_item],$H897,PerBase[company_name],$B897)*AK477)</f>
        <v>0</v>
      </c>
      <c r="AL897" s="652">
        <f>IF($B897="",,SUMIFS(PerBase[Month 27],PerBase[exp_item],$H897,PerBase[company_name],$B897)*AL477)</f>
        <v>0</v>
      </c>
      <c r="AM897" s="652">
        <f>IF($B897="",,SUMIFS(PerBase[Month 28],PerBase[exp_item],$H897,PerBase[company_name],$B897)*AM477)</f>
        <v>0</v>
      </c>
      <c r="AN897" s="652">
        <f>IF($B897="",,SUMIFS(PerBase[Month 29],PerBase[exp_item],$H897,PerBase[company_name],$B897)*AN477)</f>
        <v>0</v>
      </c>
      <c r="AO897" s="652">
        <f>IF($B897="",,SUMIFS(PerBase[Month 30],PerBase[exp_item],$H897,PerBase[company_name],$B897)*AO477)</f>
        <v>0</v>
      </c>
      <c r="AP897" s="652">
        <f>IF($B897="",,SUMIFS(PerBase[Month 31],PerBase[exp_item],$H897,PerBase[company_name],$B897)*AP477)</f>
        <v>0</v>
      </c>
      <c r="AQ897" s="652">
        <f>IF($B897="",,SUMIFS(PerBase[Month 32],PerBase[exp_item],$H897,PerBase[company_name],$B897)*AQ477)</f>
        <v>0</v>
      </c>
      <c r="AR897" s="652">
        <f>IF($B897="",,SUMIFS(PerBase[Month 33],PerBase[exp_item],$H897,PerBase[company_name],$B897)*AR477)</f>
        <v>0</v>
      </c>
      <c r="AS897" s="652">
        <f>IF($B897="",,SUMIFS(PerBase[Month 34],PerBase[exp_item],$H897,PerBase[company_name],$B897)*AS477)</f>
        <v>0</v>
      </c>
      <c r="AT897" s="652">
        <f>IF($B897="",,SUMIFS(PerBase[Month 35],PerBase[exp_item],$H897,PerBase[company_name],$B897)*AT477)</f>
        <v>0</v>
      </c>
      <c r="AU897" s="652">
        <f>IF($B897="",,SUMIFS(PerBase[Month 36],PerBase[exp_item],$H897,PerBase[company_name],$B897)*AU477)</f>
        <v>0</v>
      </c>
    </row>
    <row r="898" spans="2:47" x14ac:dyDescent="0.35">
      <c r="B898" t="str">
        <f t="shared" si="514"/>
        <v/>
      </c>
      <c r="C898" t="str">
        <f t="shared" ref="C898:G898" si="533">IF(C793="","",C793)</f>
        <v/>
      </c>
      <c r="D898" t="str">
        <f t="shared" si="533"/>
        <v/>
      </c>
      <c r="E898" t="str">
        <f t="shared" si="533"/>
        <v/>
      </c>
      <c r="F898" t="str">
        <f t="shared" si="533"/>
        <v/>
      </c>
      <c r="G898" t="str">
        <f t="shared" si="533"/>
        <v/>
      </c>
      <c r="H898" t="str">
        <f t="shared" si="513"/>
        <v/>
      </c>
      <c r="J898" t="str">
        <f>IF($H898="","",IF(VLOOKUP(H898,ExpItems[],2,0),H898&amp;" - "&amp;INDEX(DivisionMapping[category_code],MATCH($D898&amp;$C898,DivisionMapping[dept_bu],0)),H898))</f>
        <v/>
      </c>
      <c r="K898" t="str">
        <f t="shared" si="516"/>
        <v/>
      </c>
      <c r="L898" s="652">
        <f>IF($B898="",,SUMIFS(PerBase[Month 1],PerBase[exp_item],$H898,PerBase[company_name],$B898)*L478)</f>
        <v>0</v>
      </c>
      <c r="M898" s="652">
        <f>IF($B898="",,SUMIFS(PerBase[Month 2],PerBase[exp_item],$H898,PerBase[company_name],$B898)*M478)</f>
        <v>0</v>
      </c>
      <c r="N898" s="652">
        <f>IF($B898="",,SUMIFS(PerBase[Month 3],PerBase[exp_item],$H898,PerBase[company_name],$B898)*N478)</f>
        <v>0</v>
      </c>
      <c r="O898" s="652">
        <f>IF($B898="",,SUMIFS(PerBase[Month 4],PerBase[exp_item],$H898,PerBase[company_name],$B898)*O478)</f>
        <v>0</v>
      </c>
      <c r="P898" s="652">
        <f>IF($B898="",,SUMIFS(PerBase[Month 5],PerBase[exp_item],$H898,PerBase[company_name],$B898)*P478)</f>
        <v>0</v>
      </c>
      <c r="Q898" s="652">
        <f>IF($B898="",,SUMIFS(PerBase[Month 6],PerBase[exp_item],$H898,PerBase[company_name],$B898)*Q478)</f>
        <v>0</v>
      </c>
      <c r="R898" s="652">
        <f>IF($B898="",,SUMIFS(PerBase[Month 7],PerBase[exp_item],$H898,PerBase[company_name],$B898)*R478)</f>
        <v>0</v>
      </c>
      <c r="S898" s="652">
        <f>IF($B898="",,SUMIFS(PerBase[Month 8],PerBase[exp_item],$H898,PerBase[company_name],$B898)*S478)</f>
        <v>0</v>
      </c>
      <c r="T898" s="652">
        <f>IF($B898="",,SUMIFS(PerBase[Month 9],PerBase[exp_item],$H898,PerBase[company_name],$B898)*T478)</f>
        <v>0</v>
      </c>
      <c r="U898" s="652">
        <f>IF($B898="",,SUMIFS(PerBase[Month 10],PerBase[exp_item],$H898,PerBase[company_name],$B898)*U478)</f>
        <v>0</v>
      </c>
      <c r="V898" s="652">
        <f>IF($B898="",,SUMIFS(PerBase[Month 11],PerBase[exp_item],$H898,PerBase[company_name],$B898)*V478)</f>
        <v>0</v>
      </c>
      <c r="W898" s="652">
        <f>IF($B898="",,SUMIFS(PerBase[Month 12],PerBase[exp_item],$H898,PerBase[company_name],$B898)*W478)</f>
        <v>0</v>
      </c>
      <c r="X898" s="652">
        <f>IF($B898="",,SUMIFS(PerBase[Month 13],PerBase[exp_item],$H898,PerBase[company_name],$B898)*X478)</f>
        <v>0</v>
      </c>
      <c r="Y898" s="652">
        <f>IF($B898="",,SUMIFS(PerBase[Month 14],PerBase[exp_item],$H898,PerBase[company_name],$B898)*Y478)</f>
        <v>0</v>
      </c>
      <c r="Z898" s="652">
        <f>IF($B898="",,SUMIFS(PerBase[Month 15],PerBase[exp_item],$H898,PerBase[company_name],$B898)*Z478)</f>
        <v>0</v>
      </c>
      <c r="AA898" s="652">
        <f>IF($B898="",,SUMIFS(PerBase[Month 16],PerBase[exp_item],$H898,PerBase[company_name],$B898)*AA478)</f>
        <v>0</v>
      </c>
      <c r="AB898" s="652">
        <f>IF($B898="",,SUMIFS(PerBase[Month 17],PerBase[exp_item],$H898,PerBase[company_name],$B898)*AB478)</f>
        <v>0</v>
      </c>
      <c r="AC898" s="652">
        <f>IF($B898="",,SUMIFS(PerBase[Month 18],PerBase[exp_item],$H898,PerBase[company_name],$B898)*AC478)</f>
        <v>0</v>
      </c>
      <c r="AD898" s="652">
        <f>IF($B898="",,SUMIFS(PerBase[Month 19],PerBase[exp_item],$H898,PerBase[company_name],$B898)*AD478)</f>
        <v>0</v>
      </c>
      <c r="AE898" s="652">
        <f>IF($B898="",,SUMIFS(PerBase[Month 20],PerBase[exp_item],$H898,PerBase[company_name],$B898)*AE478)</f>
        <v>0</v>
      </c>
      <c r="AF898" s="652">
        <f>IF($B898="",,SUMIFS(PerBase[Month 21],PerBase[exp_item],$H898,PerBase[company_name],$B898)*AF478)</f>
        <v>0</v>
      </c>
      <c r="AG898" s="652">
        <f>IF($B898="",,SUMIFS(PerBase[Month 22],PerBase[exp_item],$H898,PerBase[company_name],$B898)*AG478)</f>
        <v>0</v>
      </c>
      <c r="AH898" s="652">
        <f>IF($B898="",,SUMIFS(PerBase[Month 23],PerBase[exp_item],$H898,PerBase[company_name],$B898)*AH478)</f>
        <v>0</v>
      </c>
      <c r="AI898" s="652">
        <f>IF($B898="",,SUMIFS(PerBase[Month 24],PerBase[exp_item],$H898,PerBase[company_name],$B898)*AI478)</f>
        <v>0</v>
      </c>
      <c r="AJ898" s="652">
        <f>IF($B898="",,SUMIFS(PerBase[Month 25],PerBase[exp_item],$H898,PerBase[company_name],$B898)*AJ478)</f>
        <v>0</v>
      </c>
      <c r="AK898" s="652">
        <f>IF($B898="",,SUMIFS(PerBase[Month 26],PerBase[exp_item],$H898,PerBase[company_name],$B898)*AK478)</f>
        <v>0</v>
      </c>
      <c r="AL898" s="652">
        <f>IF($B898="",,SUMIFS(PerBase[Month 27],PerBase[exp_item],$H898,PerBase[company_name],$B898)*AL478)</f>
        <v>0</v>
      </c>
      <c r="AM898" s="652">
        <f>IF($B898="",,SUMIFS(PerBase[Month 28],PerBase[exp_item],$H898,PerBase[company_name],$B898)*AM478)</f>
        <v>0</v>
      </c>
      <c r="AN898" s="652">
        <f>IF($B898="",,SUMIFS(PerBase[Month 29],PerBase[exp_item],$H898,PerBase[company_name],$B898)*AN478)</f>
        <v>0</v>
      </c>
      <c r="AO898" s="652">
        <f>IF($B898="",,SUMIFS(PerBase[Month 30],PerBase[exp_item],$H898,PerBase[company_name],$B898)*AO478)</f>
        <v>0</v>
      </c>
      <c r="AP898" s="652">
        <f>IF($B898="",,SUMIFS(PerBase[Month 31],PerBase[exp_item],$H898,PerBase[company_name],$B898)*AP478)</f>
        <v>0</v>
      </c>
      <c r="AQ898" s="652">
        <f>IF($B898="",,SUMIFS(PerBase[Month 32],PerBase[exp_item],$H898,PerBase[company_name],$B898)*AQ478)</f>
        <v>0</v>
      </c>
      <c r="AR898" s="652">
        <f>IF($B898="",,SUMIFS(PerBase[Month 33],PerBase[exp_item],$H898,PerBase[company_name],$B898)*AR478)</f>
        <v>0</v>
      </c>
      <c r="AS898" s="652">
        <f>IF($B898="",,SUMIFS(PerBase[Month 34],PerBase[exp_item],$H898,PerBase[company_name],$B898)*AS478)</f>
        <v>0</v>
      </c>
      <c r="AT898" s="652">
        <f>IF($B898="",,SUMIFS(PerBase[Month 35],PerBase[exp_item],$H898,PerBase[company_name],$B898)*AT478)</f>
        <v>0</v>
      </c>
      <c r="AU898" s="652">
        <f>IF($B898="",,SUMIFS(PerBase[Month 36],PerBase[exp_item],$H898,PerBase[company_name],$B898)*AU478)</f>
        <v>0</v>
      </c>
    </row>
    <row r="899" spans="2:47" x14ac:dyDescent="0.35">
      <c r="B899" t="str">
        <f t="shared" si="514"/>
        <v/>
      </c>
      <c r="C899" t="str">
        <f t="shared" ref="C899:G899" si="534">IF(C794="","",C794)</f>
        <v/>
      </c>
      <c r="D899" t="str">
        <f t="shared" si="534"/>
        <v/>
      </c>
      <c r="E899" t="str">
        <f t="shared" si="534"/>
        <v/>
      </c>
      <c r="F899" t="str">
        <f t="shared" si="534"/>
        <v/>
      </c>
      <c r="G899" t="str">
        <f t="shared" si="534"/>
        <v/>
      </c>
      <c r="H899" t="str">
        <f t="shared" si="513"/>
        <v/>
      </c>
      <c r="J899" t="str">
        <f>IF($H899="","",IF(VLOOKUP(H899,ExpItems[],2,0),H899&amp;" - "&amp;INDEX(DivisionMapping[category_code],MATCH($D899&amp;$C899,DivisionMapping[dept_bu],0)),H899))</f>
        <v/>
      </c>
      <c r="K899" t="str">
        <f t="shared" si="516"/>
        <v/>
      </c>
      <c r="L899" s="652">
        <f>IF($B899="",,SUMIFS(PerBase[Month 1],PerBase[exp_item],$H899,PerBase[company_name],$B899)*L479)</f>
        <v>0</v>
      </c>
      <c r="M899" s="652">
        <f>IF($B899="",,SUMIFS(PerBase[Month 2],PerBase[exp_item],$H899,PerBase[company_name],$B899)*M479)</f>
        <v>0</v>
      </c>
      <c r="N899" s="652">
        <f>IF($B899="",,SUMIFS(PerBase[Month 3],PerBase[exp_item],$H899,PerBase[company_name],$B899)*N479)</f>
        <v>0</v>
      </c>
      <c r="O899" s="652">
        <f>IF($B899="",,SUMIFS(PerBase[Month 4],PerBase[exp_item],$H899,PerBase[company_name],$B899)*O479)</f>
        <v>0</v>
      </c>
      <c r="P899" s="652">
        <f>IF($B899="",,SUMIFS(PerBase[Month 5],PerBase[exp_item],$H899,PerBase[company_name],$B899)*P479)</f>
        <v>0</v>
      </c>
      <c r="Q899" s="652">
        <f>IF($B899="",,SUMIFS(PerBase[Month 6],PerBase[exp_item],$H899,PerBase[company_name],$B899)*Q479)</f>
        <v>0</v>
      </c>
      <c r="R899" s="652">
        <f>IF($B899="",,SUMIFS(PerBase[Month 7],PerBase[exp_item],$H899,PerBase[company_name],$B899)*R479)</f>
        <v>0</v>
      </c>
      <c r="S899" s="652">
        <f>IF($B899="",,SUMIFS(PerBase[Month 8],PerBase[exp_item],$H899,PerBase[company_name],$B899)*S479)</f>
        <v>0</v>
      </c>
      <c r="T899" s="652">
        <f>IF($B899="",,SUMIFS(PerBase[Month 9],PerBase[exp_item],$H899,PerBase[company_name],$B899)*T479)</f>
        <v>0</v>
      </c>
      <c r="U899" s="652">
        <f>IF($B899="",,SUMIFS(PerBase[Month 10],PerBase[exp_item],$H899,PerBase[company_name],$B899)*U479)</f>
        <v>0</v>
      </c>
      <c r="V899" s="652">
        <f>IF($B899="",,SUMIFS(PerBase[Month 11],PerBase[exp_item],$H899,PerBase[company_name],$B899)*V479)</f>
        <v>0</v>
      </c>
      <c r="W899" s="652">
        <f>IF($B899="",,SUMIFS(PerBase[Month 12],PerBase[exp_item],$H899,PerBase[company_name],$B899)*W479)</f>
        <v>0</v>
      </c>
      <c r="X899" s="652">
        <f>IF($B899="",,SUMIFS(PerBase[Month 13],PerBase[exp_item],$H899,PerBase[company_name],$B899)*X479)</f>
        <v>0</v>
      </c>
      <c r="Y899" s="652">
        <f>IF($B899="",,SUMIFS(PerBase[Month 14],PerBase[exp_item],$H899,PerBase[company_name],$B899)*Y479)</f>
        <v>0</v>
      </c>
      <c r="Z899" s="652">
        <f>IF($B899="",,SUMIFS(PerBase[Month 15],PerBase[exp_item],$H899,PerBase[company_name],$B899)*Z479)</f>
        <v>0</v>
      </c>
      <c r="AA899" s="652">
        <f>IF($B899="",,SUMIFS(PerBase[Month 16],PerBase[exp_item],$H899,PerBase[company_name],$B899)*AA479)</f>
        <v>0</v>
      </c>
      <c r="AB899" s="652">
        <f>IF($B899="",,SUMIFS(PerBase[Month 17],PerBase[exp_item],$H899,PerBase[company_name],$B899)*AB479)</f>
        <v>0</v>
      </c>
      <c r="AC899" s="652">
        <f>IF($B899="",,SUMIFS(PerBase[Month 18],PerBase[exp_item],$H899,PerBase[company_name],$B899)*AC479)</f>
        <v>0</v>
      </c>
      <c r="AD899" s="652">
        <f>IF($B899="",,SUMIFS(PerBase[Month 19],PerBase[exp_item],$H899,PerBase[company_name],$B899)*AD479)</f>
        <v>0</v>
      </c>
      <c r="AE899" s="652">
        <f>IF($B899="",,SUMIFS(PerBase[Month 20],PerBase[exp_item],$H899,PerBase[company_name],$B899)*AE479)</f>
        <v>0</v>
      </c>
      <c r="AF899" s="652">
        <f>IF($B899="",,SUMIFS(PerBase[Month 21],PerBase[exp_item],$H899,PerBase[company_name],$B899)*AF479)</f>
        <v>0</v>
      </c>
      <c r="AG899" s="652">
        <f>IF($B899="",,SUMIFS(PerBase[Month 22],PerBase[exp_item],$H899,PerBase[company_name],$B899)*AG479)</f>
        <v>0</v>
      </c>
      <c r="AH899" s="652">
        <f>IF($B899="",,SUMIFS(PerBase[Month 23],PerBase[exp_item],$H899,PerBase[company_name],$B899)*AH479)</f>
        <v>0</v>
      </c>
      <c r="AI899" s="652">
        <f>IF($B899="",,SUMIFS(PerBase[Month 24],PerBase[exp_item],$H899,PerBase[company_name],$B899)*AI479)</f>
        <v>0</v>
      </c>
      <c r="AJ899" s="652">
        <f>IF($B899="",,SUMIFS(PerBase[Month 25],PerBase[exp_item],$H899,PerBase[company_name],$B899)*AJ479)</f>
        <v>0</v>
      </c>
      <c r="AK899" s="652">
        <f>IF($B899="",,SUMIFS(PerBase[Month 26],PerBase[exp_item],$H899,PerBase[company_name],$B899)*AK479)</f>
        <v>0</v>
      </c>
      <c r="AL899" s="652">
        <f>IF($B899="",,SUMIFS(PerBase[Month 27],PerBase[exp_item],$H899,PerBase[company_name],$B899)*AL479)</f>
        <v>0</v>
      </c>
      <c r="AM899" s="652">
        <f>IF($B899="",,SUMIFS(PerBase[Month 28],PerBase[exp_item],$H899,PerBase[company_name],$B899)*AM479)</f>
        <v>0</v>
      </c>
      <c r="AN899" s="652">
        <f>IF($B899="",,SUMIFS(PerBase[Month 29],PerBase[exp_item],$H899,PerBase[company_name],$B899)*AN479)</f>
        <v>0</v>
      </c>
      <c r="AO899" s="652">
        <f>IF($B899="",,SUMIFS(PerBase[Month 30],PerBase[exp_item],$H899,PerBase[company_name],$B899)*AO479)</f>
        <v>0</v>
      </c>
      <c r="AP899" s="652">
        <f>IF($B899="",,SUMIFS(PerBase[Month 31],PerBase[exp_item],$H899,PerBase[company_name],$B899)*AP479)</f>
        <v>0</v>
      </c>
      <c r="AQ899" s="652">
        <f>IF($B899="",,SUMIFS(PerBase[Month 32],PerBase[exp_item],$H899,PerBase[company_name],$B899)*AQ479)</f>
        <v>0</v>
      </c>
      <c r="AR899" s="652">
        <f>IF($B899="",,SUMIFS(PerBase[Month 33],PerBase[exp_item],$H899,PerBase[company_name],$B899)*AR479)</f>
        <v>0</v>
      </c>
      <c r="AS899" s="652">
        <f>IF($B899="",,SUMIFS(PerBase[Month 34],PerBase[exp_item],$H899,PerBase[company_name],$B899)*AS479)</f>
        <v>0</v>
      </c>
      <c r="AT899" s="652">
        <f>IF($B899="",,SUMIFS(PerBase[Month 35],PerBase[exp_item],$H899,PerBase[company_name],$B899)*AT479)</f>
        <v>0</v>
      </c>
      <c r="AU899" s="652">
        <f>IF($B899="",,SUMIFS(PerBase[Month 36],PerBase[exp_item],$H899,PerBase[company_name],$B899)*AU479)</f>
        <v>0</v>
      </c>
    </row>
    <row r="900" spans="2:47" x14ac:dyDescent="0.35">
      <c r="B900" t="str">
        <f t="shared" si="514"/>
        <v/>
      </c>
      <c r="C900" t="str">
        <f t="shared" ref="C900:G900" si="535">IF(C795="","",C795)</f>
        <v/>
      </c>
      <c r="D900" t="str">
        <f t="shared" si="535"/>
        <v/>
      </c>
      <c r="E900" t="str">
        <f t="shared" si="535"/>
        <v/>
      </c>
      <c r="F900" t="str">
        <f t="shared" si="535"/>
        <v/>
      </c>
      <c r="G900" t="str">
        <f t="shared" si="535"/>
        <v/>
      </c>
      <c r="H900" t="str">
        <f t="shared" si="513"/>
        <v/>
      </c>
      <c r="J900" t="str">
        <f>IF($H900="","",IF(VLOOKUP(H900,ExpItems[],2,0),H900&amp;" - "&amp;INDEX(DivisionMapping[category_code],MATCH($D900&amp;$C900,DivisionMapping[dept_bu],0)),H900))</f>
        <v/>
      </c>
      <c r="K900" t="str">
        <f t="shared" si="516"/>
        <v/>
      </c>
      <c r="L900" s="652">
        <f>IF($B900="",,SUMIFS(PerBase[Month 1],PerBase[exp_item],$H900,PerBase[company_name],$B900)*L480)</f>
        <v>0</v>
      </c>
      <c r="M900" s="652">
        <f>IF($B900="",,SUMIFS(PerBase[Month 2],PerBase[exp_item],$H900,PerBase[company_name],$B900)*M480)</f>
        <v>0</v>
      </c>
      <c r="N900" s="652">
        <f>IF($B900="",,SUMIFS(PerBase[Month 3],PerBase[exp_item],$H900,PerBase[company_name],$B900)*N480)</f>
        <v>0</v>
      </c>
      <c r="O900" s="652">
        <f>IF($B900="",,SUMIFS(PerBase[Month 4],PerBase[exp_item],$H900,PerBase[company_name],$B900)*O480)</f>
        <v>0</v>
      </c>
      <c r="P900" s="652">
        <f>IF($B900="",,SUMIFS(PerBase[Month 5],PerBase[exp_item],$H900,PerBase[company_name],$B900)*P480)</f>
        <v>0</v>
      </c>
      <c r="Q900" s="652">
        <f>IF($B900="",,SUMIFS(PerBase[Month 6],PerBase[exp_item],$H900,PerBase[company_name],$B900)*Q480)</f>
        <v>0</v>
      </c>
      <c r="R900" s="652">
        <f>IF($B900="",,SUMIFS(PerBase[Month 7],PerBase[exp_item],$H900,PerBase[company_name],$B900)*R480)</f>
        <v>0</v>
      </c>
      <c r="S900" s="652">
        <f>IF($B900="",,SUMIFS(PerBase[Month 8],PerBase[exp_item],$H900,PerBase[company_name],$B900)*S480)</f>
        <v>0</v>
      </c>
      <c r="T900" s="652">
        <f>IF($B900="",,SUMIFS(PerBase[Month 9],PerBase[exp_item],$H900,PerBase[company_name],$B900)*T480)</f>
        <v>0</v>
      </c>
      <c r="U900" s="652">
        <f>IF($B900="",,SUMIFS(PerBase[Month 10],PerBase[exp_item],$H900,PerBase[company_name],$B900)*U480)</f>
        <v>0</v>
      </c>
      <c r="V900" s="652">
        <f>IF($B900="",,SUMIFS(PerBase[Month 11],PerBase[exp_item],$H900,PerBase[company_name],$B900)*V480)</f>
        <v>0</v>
      </c>
      <c r="W900" s="652">
        <f>IF($B900="",,SUMIFS(PerBase[Month 12],PerBase[exp_item],$H900,PerBase[company_name],$B900)*W480)</f>
        <v>0</v>
      </c>
      <c r="X900" s="652">
        <f>IF($B900="",,SUMIFS(PerBase[Month 13],PerBase[exp_item],$H900,PerBase[company_name],$B900)*X480)</f>
        <v>0</v>
      </c>
      <c r="Y900" s="652">
        <f>IF($B900="",,SUMIFS(PerBase[Month 14],PerBase[exp_item],$H900,PerBase[company_name],$B900)*Y480)</f>
        <v>0</v>
      </c>
      <c r="Z900" s="652">
        <f>IF($B900="",,SUMIFS(PerBase[Month 15],PerBase[exp_item],$H900,PerBase[company_name],$B900)*Z480)</f>
        <v>0</v>
      </c>
      <c r="AA900" s="652">
        <f>IF($B900="",,SUMIFS(PerBase[Month 16],PerBase[exp_item],$H900,PerBase[company_name],$B900)*AA480)</f>
        <v>0</v>
      </c>
      <c r="AB900" s="652">
        <f>IF($B900="",,SUMIFS(PerBase[Month 17],PerBase[exp_item],$H900,PerBase[company_name],$B900)*AB480)</f>
        <v>0</v>
      </c>
      <c r="AC900" s="652">
        <f>IF($B900="",,SUMIFS(PerBase[Month 18],PerBase[exp_item],$H900,PerBase[company_name],$B900)*AC480)</f>
        <v>0</v>
      </c>
      <c r="AD900" s="652">
        <f>IF($B900="",,SUMIFS(PerBase[Month 19],PerBase[exp_item],$H900,PerBase[company_name],$B900)*AD480)</f>
        <v>0</v>
      </c>
      <c r="AE900" s="652">
        <f>IF($B900="",,SUMIFS(PerBase[Month 20],PerBase[exp_item],$H900,PerBase[company_name],$B900)*AE480)</f>
        <v>0</v>
      </c>
      <c r="AF900" s="652">
        <f>IF($B900="",,SUMIFS(PerBase[Month 21],PerBase[exp_item],$H900,PerBase[company_name],$B900)*AF480)</f>
        <v>0</v>
      </c>
      <c r="AG900" s="652">
        <f>IF($B900="",,SUMIFS(PerBase[Month 22],PerBase[exp_item],$H900,PerBase[company_name],$B900)*AG480)</f>
        <v>0</v>
      </c>
      <c r="AH900" s="652">
        <f>IF($B900="",,SUMIFS(PerBase[Month 23],PerBase[exp_item],$H900,PerBase[company_name],$B900)*AH480)</f>
        <v>0</v>
      </c>
      <c r="AI900" s="652">
        <f>IF($B900="",,SUMIFS(PerBase[Month 24],PerBase[exp_item],$H900,PerBase[company_name],$B900)*AI480)</f>
        <v>0</v>
      </c>
      <c r="AJ900" s="652">
        <f>IF($B900="",,SUMIFS(PerBase[Month 25],PerBase[exp_item],$H900,PerBase[company_name],$B900)*AJ480)</f>
        <v>0</v>
      </c>
      <c r="AK900" s="652">
        <f>IF($B900="",,SUMIFS(PerBase[Month 26],PerBase[exp_item],$H900,PerBase[company_name],$B900)*AK480)</f>
        <v>0</v>
      </c>
      <c r="AL900" s="652">
        <f>IF($B900="",,SUMIFS(PerBase[Month 27],PerBase[exp_item],$H900,PerBase[company_name],$B900)*AL480)</f>
        <v>0</v>
      </c>
      <c r="AM900" s="652">
        <f>IF($B900="",,SUMIFS(PerBase[Month 28],PerBase[exp_item],$H900,PerBase[company_name],$B900)*AM480)</f>
        <v>0</v>
      </c>
      <c r="AN900" s="652">
        <f>IF($B900="",,SUMIFS(PerBase[Month 29],PerBase[exp_item],$H900,PerBase[company_name],$B900)*AN480)</f>
        <v>0</v>
      </c>
      <c r="AO900" s="652">
        <f>IF($B900="",,SUMIFS(PerBase[Month 30],PerBase[exp_item],$H900,PerBase[company_name],$B900)*AO480)</f>
        <v>0</v>
      </c>
      <c r="AP900" s="652">
        <f>IF($B900="",,SUMIFS(PerBase[Month 31],PerBase[exp_item],$H900,PerBase[company_name],$B900)*AP480)</f>
        <v>0</v>
      </c>
      <c r="AQ900" s="652">
        <f>IF($B900="",,SUMIFS(PerBase[Month 32],PerBase[exp_item],$H900,PerBase[company_name],$B900)*AQ480)</f>
        <v>0</v>
      </c>
      <c r="AR900" s="652">
        <f>IF($B900="",,SUMIFS(PerBase[Month 33],PerBase[exp_item],$H900,PerBase[company_name],$B900)*AR480)</f>
        <v>0</v>
      </c>
      <c r="AS900" s="652">
        <f>IF($B900="",,SUMIFS(PerBase[Month 34],PerBase[exp_item],$H900,PerBase[company_name],$B900)*AS480)</f>
        <v>0</v>
      </c>
      <c r="AT900" s="652">
        <f>IF($B900="",,SUMIFS(PerBase[Month 35],PerBase[exp_item],$H900,PerBase[company_name],$B900)*AT480)</f>
        <v>0</v>
      </c>
      <c r="AU900" s="652">
        <f>IF($B900="",,SUMIFS(PerBase[Month 36],PerBase[exp_item],$H900,PerBase[company_name],$B900)*AU480)</f>
        <v>0</v>
      </c>
    </row>
    <row r="901" spans="2:47" x14ac:dyDescent="0.35">
      <c r="B901" t="str">
        <f t="shared" ref="B901:G901" si="536">IF(B796="","",B796)</f>
        <v/>
      </c>
      <c r="C901" t="str">
        <f t="shared" si="536"/>
        <v/>
      </c>
      <c r="D901" t="str">
        <f t="shared" si="536"/>
        <v/>
      </c>
      <c r="E901" t="str">
        <f t="shared" si="536"/>
        <v/>
      </c>
      <c r="F901" t="str">
        <f t="shared" si="536"/>
        <v/>
      </c>
      <c r="G901" t="str">
        <f t="shared" si="536"/>
        <v/>
      </c>
      <c r="H901" t="str">
        <f t="shared" si="513"/>
        <v/>
      </c>
      <c r="J901" t="str">
        <f>IF($H901="","",IF(VLOOKUP(H901,ExpItems[],2,0),H901&amp;" - "&amp;INDEX(DivisionMapping[category_code],MATCH($D901&amp;$C901,DivisionMapping[dept_bu],0)),H901))</f>
        <v/>
      </c>
      <c r="K901" t="str">
        <f t="shared" si="516"/>
        <v/>
      </c>
      <c r="L901" s="652">
        <f>IF($B901="",,SUMIFS(PerBase[Month 1],PerBase[exp_item],$H901,PerBase[company_name],$B901)*L481)</f>
        <v>0</v>
      </c>
      <c r="M901" s="652">
        <f>IF($B901="",,SUMIFS(PerBase[Month 2],PerBase[exp_item],$H901,PerBase[company_name],$B901)*M481)</f>
        <v>0</v>
      </c>
      <c r="N901" s="652">
        <f>IF($B901="",,SUMIFS(PerBase[Month 3],PerBase[exp_item],$H901,PerBase[company_name],$B901)*N481)</f>
        <v>0</v>
      </c>
      <c r="O901" s="652">
        <f>IF($B901="",,SUMIFS(PerBase[Month 4],PerBase[exp_item],$H901,PerBase[company_name],$B901)*O481)</f>
        <v>0</v>
      </c>
      <c r="P901" s="652">
        <f>IF($B901="",,SUMIFS(PerBase[Month 5],PerBase[exp_item],$H901,PerBase[company_name],$B901)*P481)</f>
        <v>0</v>
      </c>
      <c r="Q901" s="652">
        <f>IF($B901="",,SUMIFS(PerBase[Month 6],PerBase[exp_item],$H901,PerBase[company_name],$B901)*Q481)</f>
        <v>0</v>
      </c>
      <c r="R901" s="652">
        <f>IF($B901="",,SUMIFS(PerBase[Month 7],PerBase[exp_item],$H901,PerBase[company_name],$B901)*R481)</f>
        <v>0</v>
      </c>
      <c r="S901" s="652">
        <f>IF($B901="",,SUMIFS(PerBase[Month 8],PerBase[exp_item],$H901,PerBase[company_name],$B901)*S481)</f>
        <v>0</v>
      </c>
      <c r="T901" s="652">
        <f>IF($B901="",,SUMIFS(PerBase[Month 9],PerBase[exp_item],$H901,PerBase[company_name],$B901)*T481)</f>
        <v>0</v>
      </c>
      <c r="U901" s="652">
        <f>IF($B901="",,SUMIFS(PerBase[Month 10],PerBase[exp_item],$H901,PerBase[company_name],$B901)*U481)</f>
        <v>0</v>
      </c>
      <c r="V901" s="652">
        <f>IF($B901="",,SUMIFS(PerBase[Month 11],PerBase[exp_item],$H901,PerBase[company_name],$B901)*V481)</f>
        <v>0</v>
      </c>
      <c r="W901" s="652">
        <f>IF($B901="",,SUMIFS(PerBase[Month 12],PerBase[exp_item],$H901,PerBase[company_name],$B901)*W481)</f>
        <v>0</v>
      </c>
      <c r="X901" s="652">
        <f>IF($B901="",,SUMIFS(PerBase[Month 13],PerBase[exp_item],$H901,PerBase[company_name],$B901)*X481)</f>
        <v>0</v>
      </c>
      <c r="Y901" s="652">
        <f>IF($B901="",,SUMIFS(PerBase[Month 14],PerBase[exp_item],$H901,PerBase[company_name],$B901)*Y481)</f>
        <v>0</v>
      </c>
      <c r="Z901" s="652">
        <f>IF($B901="",,SUMIFS(PerBase[Month 15],PerBase[exp_item],$H901,PerBase[company_name],$B901)*Z481)</f>
        <v>0</v>
      </c>
      <c r="AA901" s="652">
        <f>IF($B901="",,SUMIFS(PerBase[Month 16],PerBase[exp_item],$H901,PerBase[company_name],$B901)*AA481)</f>
        <v>0</v>
      </c>
      <c r="AB901" s="652">
        <f>IF($B901="",,SUMIFS(PerBase[Month 17],PerBase[exp_item],$H901,PerBase[company_name],$B901)*AB481)</f>
        <v>0</v>
      </c>
      <c r="AC901" s="652">
        <f>IF($B901="",,SUMIFS(PerBase[Month 18],PerBase[exp_item],$H901,PerBase[company_name],$B901)*AC481)</f>
        <v>0</v>
      </c>
      <c r="AD901" s="652">
        <f>IF($B901="",,SUMIFS(PerBase[Month 19],PerBase[exp_item],$H901,PerBase[company_name],$B901)*AD481)</f>
        <v>0</v>
      </c>
      <c r="AE901" s="652">
        <f>IF($B901="",,SUMIFS(PerBase[Month 20],PerBase[exp_item],$H901,PerBase[company_name],$B901)*AE481)</f>
        <v>0</v>
      </c>
      <c r="AF901" s="652">
        <f>IF($B901="",,SUMIFS(PerBase[Month 21],PerBase[exp_item],$H901,PerBase[company_name],$B901)*AF481)</f>
        <v>0</v>
      </c>
      <c r="AG901" s="652">
        <f>IF($B901="",,SUMIFS(PerBase[Month 22],PerBase[exp_item],$H901,PerBase[company_name],$B901)*AG481)</f>
        <v>0</v>
      </c>
      <c r="AH901" s="652">
        <f>IF($B901="",,SUMIFS(PerBase[Month 23],PerBase[exp_item],$H901,PerBase[company_name],$B901)*AH481)</f>
        <v>0</v>
      </c>
      <c r="AI901" s="652">
        <f>IF($B901="",,SUMIFS(PerBase[Month 24],PerBase[exp_item],$H901,PerBase[company_name],$B901)*AI481)</f>
        <v>0</v>
      </c>
      <c r="AJ901" s="652">
        <f>IF($B901="",,SUMIFS(PerBase[Month 25],PerBase[exp_item],$H901,PerBase[company_name],$B901)*AJ481)</f>
        <v>0</v>
      </c>
      <c r="AK901" s="652">
        <f>IF($B901="",,SUMIFS(PerBase[Month 26],PerBase[exp_item],$H901,PerBase[company_name],$B901)*AK481)</f>
        <v>0</v>
      </c>
      <c r="AL901" s="652">
        <f>IF($B901="",,SUMIFS(PerBase[Month 27],PerBase[exp_item],$H901,PerBase[company_name],$B901)*AL481)</f>
        <v>0</v>
      </c>
      <c r="AM901" s="652">
        <f>IF($B901="",,SUMIFS(PerBase[Month 28],PerBase[exp_item],$H901,PerBase[company_name],$B901)*AM481)</f>
        <v>0</v>
      </c>
      <c r="AN901" s="652">
        <f>IF($B901="",,SUMIFS(PerBase[Month 29],PerBase[exp_item],$H901,PerBase[company_name],$B901)*AN481)</f>
        <v>0</v>
      </c>
      <c r="AO901" s="652">
        <f>IF($B901="",,SUMIFS(PerBase[Month 30],PerBase[exp_item],$H901,PerBase[company_name],$B901)*AO481)</f>
        <v>0</v>
      </c>
      <c r="AP901" s="652">
        <f>IF($B901="",,SUMIFS(PerBase[Month 31],PerBase[exp_item],$H901,PerBase[company_name],$B901)*AP481)</f>
        <v>0</v>
      </c>
      <c r="AQ901" s="652">
        <f>IF($B901="",,SUMIFS(PerBase[Month 32],PerBase[exp_item],$H901,PerBase[company_name],$B901)*AQ481)</f>
        <v>0</v>
      </c>
      <c r="AR901" s="652">
        <f>IF($B901="",,SUMIFS(PerBase[Month 33],PerBase[exp_item],$H901,PerBase[company_name],$B901)*AR481)</f>
        <v>0</v>
      </c>
      <c r="AS901" s="652">
        <f>IF($B901="",,SUMIFS(PerBase[Month 34],PerBase[exp_item],$H901,PerBase[company_name],$B901)*AS481)</f>
        <v>0</v>
      </c>
      <c r="AT901" s="652">
        <f>IF($B901="",,SUMIFS(PerBase[Month 35],PerBase[exp_item],$H901,PerBase[company_name],$B901)*AT481)</f>
        <v>0</v>
      </c>
      <c r="AU901" s="652">
        <f>IF($B901="",,SUMIFS(PerBase[Month 36],PerBase[exp_item],$H901,PerBase[company_name],$B901)*AU481)</f>
        <v>0</v>
      </c>
    </row>
    <row r="902" spans="2:47" x14ac:dyDescent="0.35">
      <c r="B902" t="str">
        <f t="shared" ref="B902:G902" si="537">IF(B797="","",B797)</f>
        <v/>
      </c>
      <c r="C902" t="str">
        <f t="shared" si="537"/>
        <v/>
      </c>
      <c r="D902" t="str">
        <f t="shared" si="537"/>
        <v/>
      </c>
      <c r="E902" t="str">
        <f t="shared" si="537"/>
        <v/>
      </c>
      <c r="F902" t="str">
        <f t="shared" si="537"/>
        <v/>
      </c>
      <c r="G902" t="str">
        <f t="shared" si="537"/>
        <v/>
      </c>
      <c r="H902" t="str">
        <f t="shared" si="513"/>
        <v/>
      </c>
      <c r="J902" t="str">
        <f>IF($H902="","",IF(VLOOKUP(H902,ExpItems[],2,0),H902&amp;" - "&amp;INDEX(DivisionMapping[category_code],MATCH($D902&amp;$C902,DivisionMapping[dept_bu],0)),H902))</f>
        <v/>
      </c>
      <c r="K902" t="str">
        <f t="shared" si="516"/>
        <v/>
      </c>
      <c r="L902" s="652">
        <f>IF($B902="",,SUMIFS(PerBase[Month 1],PerBase[exp_item],$H902,PerBase[company_name],$B902)*L482)</f>
        <v>0</v>
      </c>
      <c r="M902" s="652">
        <f>IF($B902="",,SUMIFS(PerBase[Month 2],PerBase[exp_item],$H902,PerBase[company_name],$B902)*M482)</f>
        <v>0</v>
      </c>
      <c r="N902" s="652">
        <f>IF($B902="",,SUMIFS(PerBase[Month 3],PerBase[exp_item],$H902,PerBase[company_name],$B902)*N482)</f>
        <v>0</v>
      </c>
      <c r="O902" s="652">
        <f>IF($B902="",,SUMIFS(PerBase[Month 4],PerBase[exp_item],$H902,PerBase[company_name],$B902)*O482)</f>
        <v>0</v>
      </c>
      <c r="P902" s="652">
        <f>IF($B902="",,SUMIFS(PerBase[Month 5],PerBase[exp_item],$H902,PerBase[company_name],$B902)*P482)</f>
        <v>0</v>
      </c>
      <c r="Q902" s="652">
        <f>IF($B902="",,SUMIFS(PerBase[Month 6],PerBase[exp_item],$H902,PerBase[company_name],$B902)*Q482)</f>
        <v>0</v>
      </c>
      <c r="R902" s="652">
        <f>IF($B902="",,SUMIFS(PerBase[Month 7],PerBase[exp_item],$H902,PerBase[company_name],$B902)*R482)</f>
        <v>0</v>
      </c>
      <c r="S902" s="652">
        <f>IF($B902="",,SUMIFS(PerBase[Month 8],PerBase[exp_item],$H902,PerBase[company_name],$B902)*S482)</f>
        <v>0</v>
      </c>
      <c r="T902" s="652">
        <f>IF($B902="",,SUMIFS(PerBase[Month 9],PerBase[exp_item],$H902,PerBase[company_name],$B902)*T482)</f>
        <v>0</v>
      </c>
      <c r="U902" s="652">
        <f>IF($B902="",,SUMIFS(PerBase[Month 10],PerBase[exp_item],$H902,PerBase[company_name],$B902)*U482)</f>
        <v>0</v>
      </c>
      <c r="V902" s="652">
        <f>IF($B902="",,SUMIFS(PerBase[Month 11],PerBase[exp_item],$H902,PerBase[company_name],$B902)*V482)</f>
        <v>0</v>
      </c>
      <c r="W902" s="652">
        <f>IF($B902="",,SUMIFS(PerBase[Month 12],PerBase[exp_item],$H902,PerBase[company_name],$B902)*W482)</f>
        <v>0</v>
      </c>
      <c r="X902" s="652">
        <f>IF($B902="",,SUMIFS(PerBase[Month 13],PerBase[exp_item],$H902,PerBase[company_name],$B902)*X482)</f>
        <v>0</v>
      </c>
      <c r="Y902" s="652">
        <f>IF($B902="",,SUMIFS(PerBase[Month 14],PerBase[exp_item],$H902,PerBase[company_name],$B902)*Y482)</f>
        <v>0</v>
      </c>
      <c r="Z902" s="652">
        <f>IF($B902="",,SUMIFS(PerBase[Month 15],PerBase[exp_item],$H902,PerBase[company_name],$B902)*Z482)</f>
        <v>0</v>
      </c>
      <c r="AA902" s="652">
        <f>IF($B902="",,SUMIFS(PerBase[Month 16],PerBase[exp_item],$H902,PerBase[company_name],$B902)*AA482)</f>
        <v>0</v>
      </c>
      <c r="AB902" s="652">
        <f>IF($B902="",,SUMIFS(PerBase[Month 17],PerBase[exp_item],$H902,PerBase[company_name],$B902)*AB482)</f>
        <v>0</v>
      </c>
      <c r="AC902" s="652">
        <f>IF($B902="",,SUMIFS(PerBase[Month 18],PerBase[exp_item],$H902,PerBase[company_name],$B902)*AC482)</f>
        <v>0</v>
      </c>
      <c r="AD902" s="652">
        <f>IF($B902="",,SUMIFS(PerBase[Month 19],PerBase[exp_item],$H902,PerBase[company_name],$B902)*AD482)</f>
        <v>0</v>
      </c>
      <c r="AE902" s="652">
        <f>IF($B902="",,SUMIFS(PerBase[Month 20],PerBase[exp_item],$H902,PerBase[company_name],$B902)*AE482)</f>
        <v>0</v>
      </c>
      <c r="AF902" s="652">
        <f>IF($B902="",,SUMIFS(PerBase[Month 21],PerBase[exp_item],$H902,PerBase[company_name],$B902)*AF482)</f>
        <v>0</v>
      </c>
      <c r="AG902" s="652">
        <f>IF($B902="",,SUMIFS(PerBase[Month 22],PerBase[exp_item],$H902,PerBase[company_name],$B902)*AG482)</f>
        <v>0</v>
      </c>
      <c r="AH902" s="652">
        <f>IF($B902="",,SUMIFS(PerBase[Month 23],PerBase[exp_item],$H902,PerBase[company_name],$B902)*AH482)</f>
        <v>0</v>
      </c>
      <c r="AI902" s="652">
        <f>IF($B902="",,SUMIFS(PerBase[Month 24],PerBase[exp_item],$H902,PerBase[company_name],$B902)*AI482)</f>
        <v>0</v>
      </c>
      <c r="AJ902" s="652">
        <f>IF($B902="",,SUMIFS(PerBase[Month 25],PerBase[exp_item],$H902,PerBase[company_name],$B902)*AJ482)</f>
        <v>0</v>
      </c>
      <c r="AK902" s="652">
        <f>IF($B902="",,SUMIFS(PerBase[Month 26],PerBase[exp_item],$H902,PerBase[company_name],$B902)*AK482)</f>
        <v>0</v>
      </c>
      <c r="AL902" s="652">
        <f>IF($B902="",,SUMIFS(PerBase[Month 27],PerBase[exp_item],$H902,PerBase[company_name],$B902)*AL482)</f>
        <v>0</v>
      </c>
      <c r="AM902" s="652">
        <f>IF($B902="",,SUMIFS(PerBase[Month 28],PerBase[exp_item],$H902,PerBase[company_name],$B902)*AM482)</f>
        <v>0</v>
      </c>
      <c r="AN902" s="652">
        <f>IF($B902="",,SUMIFS(PerBase[Month 29],PerBase[exp_item],$H902,PerBase[company_name],$B902)*AN482)</f>
        <v>0</v>
      </c>
      <c r="AO902" s="652">
        <f>IF($B902="",,SUMIFS(PerBase[Month 30],PerBase[exp_item],$H902,PerBase[company_name],$B902)*AO482)</f>
        <v>0</v>
      </c>
      <c r="AP902" s="652">
        <f>IF($B902="",,SUMIFS(PerBase[Month 31],PerBase[exp_item],$H902,PerBase[company_name],$B902)*AP482)</f>
        <v>0</v>
      </c>
      <c r="AQ902" s="652">
        <f>IF($B902="",,SUMIFS(PerBase[Month 32],PerBase[exp_item],$H902,PerBase[company_name],$B902)*AQ482)</f>
        <v>0</v>
      </c>
      <c r="AR902" s="652">
        <f>IF($B902="",,SUMIFS(PerBase[Month 33],PerBase[exp_item],$H902,PerBase[company_name],$B902)*AR482)</f>
        <v>0</v>
      </c>
      <c r="AS902" s="652">
        <f>IF($B902="",,SUMIFS(PerBase[Month 34],PerBase[exp_item],$H902,PerBase[company_name],$B902)*AS482)</f>
        <v>0</v>
      </c>
      <c r="AT902" s="652">
        <f>IF($B902="",,SUMIFS(PerBase[Month 35],PerBase[exp_item],$H902,PerBase[company_name],$B902)*AT482)</f>
        <v>0</v>
      </c>
      <c r="AU902" s="652">
        <f>IF($B902="",,SUMIFS(PerBase[Month 36],PerBase[exp_item],$H902,PerBase[company_name],$B902)*AU482)</f>
        <v>0</v>
      </c>
    </row>
    <row r="903" spans="2:47" x14ac:dyDescent="0.35">
      <c r="B903" t="str">
        <f t="shared" ref="B903:G903" si="538">IF(B798="","",B798)</f>
        <v/>
      </c>
      <c r="C903" t="str">
        <f t="shared" si="538"/>
        <v/>
      </c>
      <c r="D903" t="str">
        <f t="shared" si="538"/>
        <v/>
      </c>
      <c r="E903" t="str">
        <f t="shared" si="538"/>
        <v/>
      </c>
      <c r="F903" t="str">
        <f t="shared" si="538"/>
        <v/>
      </c>
      <c r="G903" t="str">
        <f t="shared" si="538"/>
        <v/>
      </c>
      <c r="H903" t="str">
        <f t="shared" si="513"/>
        <v/>
      </c>
      <c r="J903" t="str">
        <f>IF($H903="","",IF(VLOOKUP(H903,ExpItems[],2,0),H903&amp;" - "&amp;INDEX(DivisionMapping[category_code],MATCH($D903&amp;$C903,DivisionMapping[dept_bu],0)),H903))</f>
        <v/>
      </c>
      <c r="K903" t="str">
        <f t="shared" si="516"/>
        <v/>
      </c>
      <c r="L903" s="652">
        <f>IF($B903="",,SUMIFS(PerBase[Month 1],PerBase[exp_item],$H903,PerBase[company_name],$B903)*L483)</f>
        <v>0</v>
      </c>
      <c r="M903" s="652">
        <f>IF($B903="",,SUMIFS(PerBase[Month 2],PerBase[exp_item],$H903,PerBase[company_name],$B903)*M483)</f>
        <v>0</v>
      </c>
      <c r="N903" s="652">
        <f>IF($B903="",,SUMIFS(PerBase[Month 3],PerBase[exp_item],$H903,PerBase[company_name],$B903)*N483)</f>
        <v>0</v>
      </c>
      <c r="O903" s="652">
        <f>IF($B903="",,SUMIFS(PerBase[Month 4],PerBase[exp_item],$H903,PerBase[company_name],$B903)*O483)</f>
        <v>0</v>
      </c>
      <c r="P903" s="652">
        <f>IF($B903="",,SUMIFS(PerBase[Month 5],PerBase[exp_item],$H903,PerBase[company_name],$B903)*P483)</f>
        <v>0</v>
      </c>
      <c r="Q903" s="652">
        <f>IF($B903="",,SUMIFS(PerBase[Month 6],PerBase[exp_item],$H903,PerBase[company_name],$B903)*Q483)</f>
        <v>0</v>
      </c>
      <c r="R903" s="652">
        <f>IF($B903="",,SUMIFS(PerBase[Month 7],PerBase[exp_item],$H903,PerBase[company_name],$B903)*R483)</f>
        <v>0</v>
      </c>
      <c r="S903" s="652">
        <f>IF($B903="",,SUMIFS(PerBase[Month 8],PerBase[exp_item],$H903,PerBase[company_name],$B903)*S483)</f>
        <v>0</v>
      </c>
      <c r="T903" s="652">
        <f>IF($B903="",,SUMIFS(PerBase[Month 9],PerBase[exp_item],$H903,PerBase[company_name],$B903)*T483)</f>
        <v>0</v>
      </c>
      <c r="U903" s="652">
        <f>IF($B903="",,SUMIFS(PerBase[Month 10],PerBase[exp_item],$H903,PerBase[company_name],$B903)*U483)</f>
        <v>0</v>
      </c>
      <c r="V903" s="652">
        <f>IF($B903="",,SUMIFS(PerBase[Month 11],PerBase[exp_item],$H903,PerBase[company_name],$B903)*V483)</f>
        <v>0</v>
      </c>
      <c r="W903" s="652">
        <f>IF($B903="",,SUMIFS(PerBase[Month 12],PerBase[exp_item],$H903,PerBase[company_name],$B903)*W483)</f>
        <v>0</v>
      </c>
      <c r="X903" s="652">
        <f>IF($B903="",,SUMIFS(PerBase[Month 13],PerBase[exp_item],$H903,PerBase[company_name],$B903)*X483)</f>
        <v>0</v>
      </c>
      <c r="Y903" s="652">
        <f>IF($B903="",,SUMIFS(PerBase[Month 14],PerBase[exp_item],$H903,PerBase[company_name],$B903)*Y483)</f>
        <v>0</v>
      </c>
      <c r="Z903" s="652">
        <f>IF($B903="",,SUMIFS(PerBase[Month 15],PerBase[exp_item],$H903,PerBase[company_name],$B903)*Z483)</f>
        <v>0</v>
      </c>
      <c r="AA903" s="652">
        <f>IF($B903="",,SUMIFS(PerBase[Month 16],PerBase[exp_item],$H903,PerBase[company_name],$B903)*AA483)</f>
        <v>0</v>
      </c>
      <c r="AB903" s="652">
        <f>IF($B903="",,SUMIFS(PerBase[Month 17],PerBase[exp_item],$H903,PerBase[company_name],$B903)*AB483)</f>
        <v>0</v>
      </c>
      <c r="AC903" s="652">
        <f>IF($B903="",,SUMIFS(PerBase[Month 18],PerBase[exp_item],$H903,PerBase[company_name],$B903)*AC483)</f>
        <v>0</v>
      </c>
      <c r="AD903" s="652">
        <f>IF($B903="",,SUMIFS(PerBase[Month 19],PerBase[exp_item],$H903,PerBase[company_name],$B903)*AD483)</f>
        <v>0</v>
      </c>
      <c r="AE903" s="652">
        <f>IF($B903="",,SUMIFS(PerBase[Month 20],PerBase[exp_item],$H903,PerBase[company_name],$B903)*AE483)</f>
        <v>0</v>
      </c>
      <c r="AF903" s="652">
        <f>IF($B903="",,SUMIFS(PerBase[Month 21],PerBase[exp_item],$H903,PerBase[company_name],$B903)*AF483)</f>
        <v>0</v>
      </c>
      <c r="AG903" s="652">
        <f>IF($B903="",,SUMIFS(PerBase[Month 22],PerBase[exp_item],$H903,PerBase[company_name],$B903)*AG483)</f>
        <v>0</v>
      </c>
      <c r="AH903" s="652">
        <f>IF($B903="",,SUMIFS(PerBase[Month 23],PerBase[exp_item],$H903,PerBase[company_name],$B903)*AH483)</f>
        <v>0</v>
      </c>
      <c r="AI903" s="652">
        <f>IF($B903="",,SUMIFS(PerBase[Month 24],PerBase[exp_item],$H903,PerBase[company_name],$B903)*AI483)</f>
        <v>0</v>
      </c>
      <c r="AJ903" s="652">
        <f>IF($B903="",,SUMIFS(PerBase[Month 25],PerBase[exp_item],$H903,PerBase[company_name],$B903)*AJ483)</f>
        <v>0</v>
      </c>
      <c r="AK903" s="652">
        <f>IF($B903="",,SUMIFS(PerBase[Month 26],PerBase[exp_item],$H903,PerBase[company_name],$B903)*AK483)</f>
        <v>0</v>
      </c>
      <c r="AL903" s="652">
        <f>IF($B903="",,SUMIFS(PerBase[Month 27],PerBase[exp_item],$H903,PerBase[company_name],$B903)*AL483)</f>
        <v>0</v>
      </c>
      <c r="AM903" s="652">
        <f>IF($B903="",,SUMIFS(PerBase[Month 28],PerBase[exp_item],$H903,PerBase[company_name],$B903)*AM483)</f>
        <v>0</v>
      </c>
      <c r="AN903" s="652">
        <f>IF($B903="",,SUMIFS(PerBase[Month 29],PerBase[exp_item],$H903,PerBase[company_name],$B903)*AN483)</f>
        <v>0</v>
      </c>
      <c r="AO903" s="652">
        <f>IF($B903="",,SUMIFS(PerBase[Month 30],PerBase[exp_item],$H903,PerBase[company_name],$B903)*AO483)</f>
        <v>0</v>
      </c>
      <c r="AP903" s="652">
        <f>IF($B903="",,SUMIFS(PerBase[Month 31],PerBase[exp_item],$H903,PerBase[company_name],$B903)*AP483)</f>
        <v>0</v>
      </c>
      <c r="AQ903" s="652">
        <f>IF($B903="",,SUMIFS(PerBase[Month 32],PerBase[exp_item],$H903,PerBase[company_name],$B903)*AQ483)</f>
        <v>0</v>
      </c>
      <c r="AR903" s="652">
        <f>IF($B903="",,SUMIFS(PerBase[Month 33],PerBase[exp_item],$H903,PerBase[company_name],$B903)*AR483)</f>
        <v>0</v>
      </c>
      <c r="AS903" s="652">
        <f>IF($B903="",,SUMIFS(PerBase[Month 34],PerBase[exp_item],$H903,PerBase[company_name],$B903)*AS483)</f>
        <v>0</v>
      </c>
      <c r="AT903" s="652">
        <f>IF($B903="",,SUMIFS(PerBase[Month 35],PerBase[exp_item],$H903,PerBase[company_name],$B903)*AT483)</f>
        <v>0</v>
      </c>
      <c r="AU903" s="652">
        <f>IF($B903="",,SUMIFS(PerBase[Month 36],PerBase[exp_item],$H903,PerBase[company_name],$B903)*AU483)</f>
        <v>0</v>
      </c>
    </row>
    <row r="904" spans="2:47" x14ac:dyDescent="0.35">
      <c r="B904" t="str">
        <f t="shared" ref="B904:G904" si="539">IF(B799="","",B799)</f>
        <v/>
      </c>
      <c r="C904" t="str">
        <f t="shared" si="539"/>
        <v/>
      </c>
      <c r="D904" t="str">
        <f t="shared" si="539"/>
        <v/>
      </c>
      <c r="E904" t="str">
        <f t="shared" si="539"/>
        <v/>
      </c>
      <c r="F904" t="str">
        <f t="shared" si="539"/>
        <v/>
      </c>
      <c r="G904" t="str">
        <f t="shared" si="539"/>
        <v/>
      </c>
      <c r="H904" t="str">
        <f t="shared" si="513"/>
        <v/>
      </c>
      <c r="J904" t="str">
        <f>IF($H904="","",IF(VLOOKUP(H904,ExpItems[],2,0),H904&amp;" - "&amp;INDEX(DivisionMapping[category_code],MATCH($D904&amp;$C904,DivisionMapping[dept_bu],0)),H904))</f>
        <v/>
      </c>
      <c r="K904" t="str">
        <f t="shared" si="516"/>
        <v/>
      </c>
      <c r="L904" s="652">
        <f>IF($B904="",,SUMIFS(PerBase[Month 1],PerBase[exp_item],$H904,PerBase[company_name],$B904)*L484)</f>
        <v>0</v>
      </c>
      <c r="M904" s="652">
        <f>IF($B904="",,SUMIFS(PerBase[Month 2],PerBase[exp_item],$H904,PerBase[company_name],$B904)*M484)</f>
        <v>0</v>
      </c>
      <c r="N904" s="652">
        <f>IF($B904="",,SUMIFS(PerBase[Month 3],PerBase[exp_item],$H904,PerBase[company_name],$B904)*N484)</f>
        <v>0</v>
      </c>
      <c r="O904" s="652">
        <f>IF($B904="",,SUMIFS(PerBase[Month 4],PerBase[exp_item],$H904,PerBase[company_name],$B904)*O484)</f>
        <v>0</v>
      </c>
      <c r="P904" s="652">
        <f>IF($B904="",,SUMIFS(PerBase[Month 5],PerBase[exp_item],$H904,PerBase[company_name],$B904)*P484)</f>
        <v>0</v>
      </c>
      <c r="Q904" s="652">
        <f>IF($B904="",,SUMIFS(PerBase[Month 6],PerBase[exp_item],$H904,PerBase[company_name],$B904)*Q484)</f>
        <v>0</v>
      </c>
      <c r="R904" s="652">
        <f>IF($B904="",,SUMIFS(PerBase[Month 7],PerBase[exp_item],$H904,PerBase[company_name],$B904)*R484)</f>
        <v>0</v>
      </c>
      <c r="S904" s="652">
        <f>IF($B904="",,SUMIFS(PerBase[Month 8],PerBase[exp_item],$H904,PerBase[company_name],$B904)*S484)</f>
        <v>0</v>
      </c>
      <c r="T904" s="652">
        <f>IF($B904="",,SUMIFS(PerBase[Month 9],PerBase[exp_item],$H904,PerBase[company_name],$B904)*T484)</f>
        <v>0</v>
      </c>
      <c r="U904" s="652">
        <f>IF($B904="",,SUMIFS(PerBase[Month 10],PerBase[exp_item],$H904,PerBase[company_name],$B904)*U484)</f>
        <v>0</v>
      </c>
      <c r="V904" s="652">
        <f>IF($B904="",,SUMIFS(PerBase[Month 11],PerBase[exp_item],$H904,PerBase[company_name],$B904)*V484)</f>
        <v>0</v>
      </c>
      <c r="W904" s="652">
        <f>IF($B904="",,SUMIFS(PerBase[Month 12],PerBase[exp_item],$H904,PerBase[company_name],$B904)*W484)</f>
        <v>0</v>
      </c>
      <c r="X904" s="652">
        <f>IF($B904="",,SUMIFS(PerBase[Month 13],PerBase[exp_item],$H904,PerBase[company_name],$B904)*X484)</f>
        <v>0</v>
      </c>
      <c r="Y904" s="652">
        <f>IF($B904="",,SUMIFS(PerBase[Month 14],PerBase[exp_item],$H904,PerBase[company_name],$B904)*Y484)</f>
        <v>0</v>
      </c>
      <c r="Z904" s="652">
        <f>IF($B904="",,SUMIFS(PerBase[Month 15],PerBase[exp_item],$H904,PerBase[company_name],$B904)*Z484)</f>
        <v>0</v>
      </c>
      <c r="AA904" s="652">
        <f>IF($B904="",,SUMIFS(PerBase[Month 16],PerBase[exp_item],$H904,PerBase[company_name],$B904)*AA484)</f>
        <v>0</v>
      </c>
      <c r="AB904" s="652">
        <f>IF($B904="",,SUMIFS(PerBase[Month 17],PerBase[exp_item],$H904,PerBase[company_name],$B904)*AB484)</f>
        <v>0</v>
      </c>
      <c r="AC904" s="652">
        <f>IF($B904="",,SUMIFS(PerBase[Month 18],PerBase[exp_item],$H904,PerBase[company_name],$B904)*AC484)</f>
        <v>0</v>
      </c>
      <c r="AD904" s="652">
        <f>IF($B904="",,SUMIFS(PerBase[Month 19],PerBase[exp_item],$H904,PerBase[company_name],$B904)*AD484)</f>
        <v>0</v>
      </c>
      <c r="AE904" s="652">
        <f>IF($B904="",,SUMIFS(PerBase[Month 20],PerBase[exp_item],$H904,PerBase[company_name],$B904)*AE484)</f>
        <v>0</v>
      </c>
      <c r="AF904" s="652">
        <f>IF($B904="",,SUMIFS(PerBase[Month 21],PerBase[exp_item],$H904,PerBase[company_name],$B904)*AF484)</f>
        <v>0</v>
      </c>
      <c r="AG904" s="652">
        <f>IF($B904="",,SUMIFS(PerBase[Month 22],PerBase[exp_item],$H904,PerBase[company_name],$B904)*AG484)</f>
        <v>0</v>
      </c>
      <c r="AH904" s="652">
        <f>IF($B904="",,SUMIFS(PerBase[Month 23],PerBase[exp_item],$H904,PerBase[company_name],$B904)*AH484)</f>
        <v>0</v>
      </c>
      <c r="AI904" s="652">
        <f>IF($B904="",,SUMIFS(PerBase[Month 24],PerBase[exp_item],$H904,PerBase[company_name],$B904)*AI484)</f>
        <v>0</v>
      </c>
      <c r="AJ904" s="652">
        <f>IF($B904="",,SUMIFS(PerBase[Month 25],PerBase[exp_item],$H904,PerBase[company_name],$B904)*AJ484)</f>
        <v>0</v>
      </c>
      <c r="AK904" s="652">
        <f>IF($B904="",,SUMIFS(PerBase[Month 26],PerBase[exp_item],$H904,PerBase[company_name],$B904)*AK484)</f>
        <v>0</v>
      </c>
      <c r="AL904" s="652">
        <f>IF($B904="",,SUMIFS(PerBase[Month 27],PerBase[exp_item],$H904,PerBase[company_name],$B904)*AL484)</f>
        <v>0</v>
      </c>
      <c r="AM904" s="652">
        <f>IF($B904="",,SUMIFS(PerBase[Month 28],PerBase[exp_item],$H904,PerBase[company_name],$B904)*AM484)</f>
        <v>0</v>
      </c>
      <c r="AN904" s="652">
        <f>IF($B904="",,SUMIFS(PerBase[Month 29],PerBase[exp_item],$H904,PerBase[company_name],$B904)*AN484)</f>
        <v>0</v>
      </c>
      <c r="AO904" s="652">
        <f>IF($B904="",,SUMIFS(PerBase[Month 30],PerBase[exp_item],$H904,PerBase[company_name],$B904)*AO484)</f>
        <v>0</v>
      </c>
      <c r="AP904" s="652">
        <f>IF($B904="",,SUMIFS(PerBase[Month 31],PerBase[exp_item],$H904,PerBase[company_name],$B904)*AP484)</f>
        <v>0</v>
      </c>
      <c r="AQ904" s="652">
        <f>IF($B904="",,SUMIFS(PerBase[Month 32],PerBase[exp_item],$H904,PerBase[company_name],$B904)*AQ484)</f>
        <v>0</v>
      </c>
      <c r="AR904" s="652">
        <f>IF($B904="",,SUMIFS(PerBase[Month 33],PerBase[exp_item],$H904,PerBase[company_name],$B904)*AR484)</f>
        <v>0</v>
      </c>
      <c r="AS904" s="652">
        <f>IF($B904="",,SUMIFS(PerBase[Month 34],PerBase[exp_item],$H904,PerBase[company_name],$B904)*AS484)</f>
        <v>0</v>
      </c>
      <c r="AT904" s="652">
        <f>IF($B904="",,SUMIFS(PerBase[Month 35],PerBase[exp_item],$H904,PerBase[company_name],$B904)*AT484)</f>
        <v>0</v>
      </c>
      <c r="AU904" s="652">
        <f>IF($B904="",,SUMIFS(PerBase[Month 36],PerBase[exp_item],$H904,PerBase[company_name],$B904)*AU484)</f>
        <v>0</v>
      </c>
    </row>
    <row r="905" spans="2:47" x14ac:dyDescent="0.35">
      <c r="B905" t="str">
        <f t="shared" ref="B905:G905" si="540">IF(B800="","",B800)</f>
        <v/>
      </c>
      <c r="C905" t="str">
        <f t="shared" si="540"/>
        <v/>
      </c>
      <c r="D905" t="str">
        <f t="shared" si="540"/>
        <v/>
      </c>
      <c r="E905" t="str">
        <f t="shared" si="540"/>
        <v/>
      </c>
      <c r="F905" t="str">
        <f t="shared" si="540"/>
        <v/>
      </c>
      <c r="G905" t="str">
        <f t="shared" si="540"/>
        <v/>
      </c>
      <c r="H905" t="str">
        <f t="shared" si="513"/>
        <v/>
      </c>
      <c r="J905" t="str">
        <f>IF($H905="","",IF(VLOOKUP(H905,ExpItems[],2,0),H905&amp;" - "&amp;INDEX(DivisionMapping[category_code],MATCH($D905&amp;$C905,DivisionMapping[dept_bu],0)),H905))</f>
        <v/>
      </c>
      <c r="K905" t="str">
        <f t="shared" si="516"/>
        <v/>
      </c>
      <c r="L905" s="652">
        <f>IF($B905="",,SUMIFS(PerBase[Month 1],PerBase[exp_item],$H905,PerBase[company_name],$B905)*L485)</f>
        <v>0</v>
      </c>
      <c r="M905" s="652">
        <f>IF($B905="",,SUMIFS(PerBase[Month 2],PerBase[exp_item],$H905,PerBase[company_name],$B905)*M485)</f>
        <v>0</v>
      </c>
      <c r="N905" s="652">
        <f>IF($B905="",,SUMIFS(PerBase[Month 3],PerBase[exp_item],$H905,PerBase[company_name],$B905)*N485)</f>
        <v>0</v>
      </c>
      <c r="O905" s="652">
        <f>IF($B905="",,SUMIFS(PerBase[Month 4],PerBase[exp_item],$H905,PerBase[company_name],$B905)*O485)</f>
        <v>0</v>
      </c>
      <c r="P905" s="652">
        <f>IF($B905="",,SUMIFS(PerBase[Month 5],PerBase[exp_item],$H905,PerBase[company_name],$B905)*P485)</f>
        <v>0</v>
      </c>
      <c r="Q905" s="652">
        <f>IF($B905="",,SUMIFS(PerBase[Month 6],PerBase[exp_item],$H905,PerBase[company_name],$B905)*Q485)</f>
        <v>0</v>
      </c>
      <c r="R905" s="652">
        <f>IF($B905="",,SUMIFS(PerBase[Month 7],PerBase[exp_item],$H905,PerBase[company_name],$B905)*R485)</f>
        <v>0</v>
      </c>
      <c r="S905" s="652">
        <f>IF($B905="",,SUMIFS(PerBase[Month 8],PerBase[exp_item],$H905,PerBase[company_name],$B905)*S485)</f>
        <v>0</v>
      </c>
      <c r="T905" s="652">
        <f>IF($B905="",,SUMIFS(PerBase[Month 9],PerBase[exp_item],$H905,PerBase[company_name],$B905)*T485)</f>
        <v>0</v>
      </c>
      <c r="U905" s="652">
        <f>IF($B905="",,SUMIFS(PerBase[Month 10],PerBase[exp_item],$H905,PerBase[company_name],$B905)*U485)</f>
        <v>0</v>
      </c>
      <c r="V905" s="652">
        <f>IF($B905="",,SUMIFS(PerBase[Month 11],PerBase[exp_item],$H905,PerBase[company_name],$B905)*V485)</f>
        <v>0</v>
      </c>
      <c r="W905" s="652">
        <f>IF($B905="",,SUMIFS(PerBase[Month 12],PerBase[exp_item],$H905,PerBase[company_name],$B905)*W485)</f>
        <v>0</v>
      </c>
      <c r="X905" s="652">
        <f>IF($B905="",,SUMIFS(PerBase[Month 13],PerBase[exp_item],$H905,PerBase[company_name],$B905)*X485)</f>
        <v>0</v>
      </c>
      <c r="Y905" s="652">
        <f>IF($B905="",,SUMIFS(PerBase[Month 14],PerBase[exp_item],$H905,PerBase[company_name],$B905)*Y485)</f>
        <v>0</v>
      </c>
      <c r="Z905" s="652">
        <f>IF($B905="",,SUMIFS(PerBase[Month 15],PerBase[exp_item],$H905,PerBase[company_name],$B905)*Z485)</f>
        <v>0</v>
      </c>
      <c r="AA905" s="652">
        <f>IF($B905="",,SUMIFS(PerBase[Month 16],PerBase[exp_item],$H905,PerBase[company_name],$B905)*AA485)</f>
        <v>0</v>
      </c>
      <c r="AB905" s="652">
        <f>IF($B905="",,SUMIFS(PerBase[Month 17],PerBase[exp_item],$H905,PerBase[company_name],$B905)*AB485)</f>
        <v>0</v>
      </c>
      <c r="AC905" s="652">
        <f>IF($B905="",,SUMIFS(PerBase[Month 18],PerBase[exp_item],$H905,PerBase[company_name],$B905)*AC485)</f>
        <v>0</v>
      </c>
      <c r="AD905" s="652">
        <f>IF($B905="",,SUMIFS(PerBase[Month 19],PerBase[exp_item],$H905,PerBase[company_name],$B905)*AD485)</f>
        <v>0</v>
      </c>
      <c r="AE905" s="652">
        <f>IF($B905="",,SUMIFS(PerBase[Month 20],PerBase[exp_item],$H905,PerBase[company_name],$B905)*AE485)</f>
        <v>0</v>
      </c>
      <c r="AF905" s="652">
        <f>IF($B905="",,SUMIFS(PerBase[Month 21],PerBase[exp_item],$H905,PerBase[company_name],$B905)*AF485)</f>
        <v>0</v>
      </c>
      <c r="AG905" s="652">
        <f>IF($B905="",,SUMIFS(PerBase[Month 22],PerBase[exp_item],$H905,PerBase[company_name],$B905)*AG485)</f>
        <v>0</v>
      </c>
      <c r="AH905" s="652">
        <f>IF($B905="",,SUMIFS(PerBase[Month 23],PerBase[exp_item],$H905,PerBase[company_name],$B905)*AH485)</f>
        <v>0</v>
      </c>
      <c r="AI905" s="652">
        <f>IF($B905="",,SUMIFS(PerBase[Month 24],PerBase[exp_item],$H905,PerBase[company_name],$B905)*AI485)</f>
        <v>0</v>
      </c>
      <c r="AJ905" s="652">
        <f>IF($B905="",,SUMIFS(PerBase[Month 25],PerBase[exp_item],$H905,PerBase[company_name],$B905)*AJ485)</f>
        <v>0</v>
      </c>
      <c r="AK905" s="652">
        <f>IF($B905="",,SUMIFS(PerBase[Month 26],PerBase[exp_item],$H905,PerBase[company_name],$B905)*AK485)</f>
        <v>0</v>
      </c>
      <c r="AL905" s="652">
        <f>IF($B905="",,SUMIFS(PerBase[Month 27],PerBase[exp_item],$H905,PerBase[company_name],$B905)*AL485)</f>
        <v>0</v>
      </c>
      <c r="AM905" s="652">
        <f>IF($B905="",,SUMIFS(PerBase[Month 28],PerBase[exp_item],$H905,PerBase[company_name],$B905)*AM485)</f>
        <v>0</v>
      </c>
      <c r="AN905" s="652">
        <f>IF($B905="",,SUMIFS(PerBase[Month 29],PerBase[exp_item],$H905,PerBase[company_name],$B905)*AN485)</f>
        <v>0</v>
      </c>
      <c r="AO905" s="652">
        <f>IF($B905="",,SUMIFS(PerBase[Month 30],PerBase[exp_item],$H905,PerBase[company_name],$B905)*AO485)</f>
        <v>0</v>
      </c>
      <c r="AP905" s="652">
        <f>IF($B905="",,SUMIFS(PerBase[Month 31],PerBase[exp_item],$H905,PerBase[company_name],$B905)*AP485)</f>
        <v>0</v>
      </c>
      <c r="AQ905" s="652">
        <f>IF($B905="",,SUMIFS(PerBase[Month 32],PerBase[exp_item],$H905,PerBase[company_name],$B905)*AQ485)</f>
        <v>0</v>
      </c>
      <c r="AR905" s="652">
        <f>IF($B905="",,SUMIFS(PerBase[Month 33],PerBase[exp_item],$H905,PerBase[company_name],$B905)*AR485)</f>
        <v>0</v>
      </c>
      <c r="AS905" s="652">
        <f>IF($B905="",,SUMIFS(PerBase[Month 34],PerBase[exp_item],$H905,PerBase[company_name],$B905)*AS485)</f>
        <v>0</v>
      </c>
      <c r="AT905" s="652">
        <f>IF($B905="",,SUMIFS(PerBase[Month 35],PerBase[exp_item],$H905,PerBase[company_name],$B905)*AT485)</f>
        <v>0</v>
      </c>
      <c r="AU905" s="652">
        <f>IF($B905="",,SUMIFS(PerBase[Month 36],PerBase[exp_item],$H905,PerBase[company_name],$B905)*AU485)</f>
        <v>0</v>
      </c>
    </row>
    <row r="906" spans="2:47" x14ac:dyDescent="0.35">
      <c r="B906" t="str">
        <f t="shared" ref="B906:G906" si="541">IF(B801="","",B801)</f>
        <v/>
      </c>
      <c r="C906" t="str">
        <f t="shared" si="541"/>
        <v/>
      </c>
      <c r="D906" t="str">
        <f t="shared" si="541"/>
        <v/>
      </c>
      <c r="E906" t="str">
        <f t="shared" si="541"/>
        <v/>
      </c>
      <c r="F906" t="str">
        <f t="shared" si="541"/>
        <v/>
      </c>
      <c r="G906" t="str">
        <f t="shared" si="541"/>
        <v/>
      </c>
      <c r="H906" t="str">
        <f t="shared" si="513"/>
        <v/>
      </c>
      <c r="J906" t="str">
        <f>IF($H906="","",IF(VLOOKUP(H906,ExpItems[],2,0),H906&amp;" - "&amp;INDEX(DivisionMapping[category_code],MATCH($D906&amp;$C906,DivisionMapping[dept_bu],0)),H906))</f>
        <v/>
      </c>
      <c r="K906" t="str">
        <f t="shared" si="516"/>
        <v/>
      </c>
      <c r="L906" s="652">
        <f>IF($B906="",,SUMIFS(PerBase[Month 1],PerBase[exp_item],$H906,PerBase[company_name],$B906)*L486)</f>
        <v>0</v>
      </c>
      <c r="M906" s="652">
        <f>IF($B906="",,SUMIFS(PerBase[Month 2],PerBase[exp_item],$H906,PerBase[company_name],$B906)*M486)</f>
        <v>0</v>
      </c>
      <c r="N906" s="652">
        <f>IF($B906="",,SUMIFS(PerBase[Month 3],PerBase[exp_item],$H906,PerBase[company_name],$B906)*N486)</f>
        <v>0</v>
      </c>
      <c r="O906" s="652">
        <f>IF($B906="",,SUMIFS(PerBase[Month 4],PerBase[exp_item],$H906,PerBase[company_name],$B906)*O486)</f>
        <v>0</v>
      </c>
      <c r="P906" s="652">
        <f>IF($B906="",,SUMIFS(PerBase[Month 5],PerBase[exp_item],$H906,PerBase[company_name],$B906)*P486)</f>
        <v>0</v>
      </c>
      <c r="Q906" s="652">
        <f>IF($B906="",,SUMIFS(PerBase[Month 6],PerBase[exp_item],$H906,PerBase[company_name],$B906)*Q486)</f>
        <v>0</v>
      </c>
      <c r="R906" s="652">
        <f>IF($B906="",,SUMIFS(PerBase[Month 7],PerBase[exp_item],$H906,PerBase[company_name],$B906)*R486)</f>
        <v>0</v>
      </c>
      <c r="S906" s="652">
        <f>IF($B906="",,SUMIFS(PerBase[Month 8],PerBase[exp_item],$H906,PerBase[company_name],$B906)*S486)</f>
        <v>0</v>
      </c>
      <c r="T906" s="652">
        <f>IF($B906="",,SUMIFS(PerBase[Month 9],PerBase[exp_item],$H906,PerBase[company_name],$B906)*T486)</f>
        <v>0</v>
      </c>
      <c r="U906" s="652">
        <f>IF($B906="",,SUMIFS(PerBase[Month 10],PerBase[exp_item],$H906,PerBase[company_name],$B906)*U486)</f>
        <v>0</v>
      </c>
      <c r="V906" s="652">
        <f>IF($B906="",,SUMIFS(PerBase[Month 11],PerBase[exp_item],$H906,PerBase[company_name],$B906)*V486)</f>
        <v>0</v>
      </c>
      <c r="W906" s="652">
        <f>IF($B906="",,SUMIFS(PerBase[Month 12],PerBase[exp_item],$H906,PerBase[company_name],$B906)*W486)</f>
        <v>0</v>
      </c>
      <c r="X906" s="652">
        <f>IF($B906="",,SUMIFS(PerBase[Month 13],PerBase[exp_item],$H906,PerBase[company_name],$B906)*X486)</f>
        <v>0</v>
      </c>
      <c r="Y906" s="652">
        <f>IF($B906="",,SUMIFS(PerBase[Month 14],PerBase[exp_item],$H906,PerBase[company_name],$B906)*Y486)</f>
        <v>0</v>
      </c>
      <c r="Z906" s="652">
        <f>IF($B906="",,SUMIFS(PerBase[Month 15],PerBase[exp_item],$H906,PerBase[company_name],$B906)*Z486)</f>
        <v>0</v>
      </c>
      <c r="AA906" s="652">
        <f>IF($B906="",,SUMIFS(PerBase[Month 16],PerBase[exp_item],$H906,PerBase[company_name],$B906)*AA486)</f>
        <v>0</v>
      </c>
      <c r="AB906" s="652">
        <f>IF($B906="",,SUMIFS(PerBase[Month 17],PerBase[exp_item],$H906,PerBase[company_name],$B906)*AB486)</f>
        <v>0</v>
      </c>
      <c r="AC906" s="652">
        <f>IF($B906="",,SUMIFS(PerBase[Month 18],PerBase[exp_item],$H906,PerBase[company_name],$B906)*AC486)</f>
        <v>0</v>
      </c>
      <c r="AD906" s="652">
        <f>IF($B906="",,SUMIFS(PerBase[Month 19],PerBase[exp_item],$H906,PerBase[company_name],$B906)*AD486)</f>
        <v>0</v>
      </c>
      <c r="AE906" s="652">
        <f>IF($B906="",,SUMIFS(PerBase[Month 20],PerBase[exp_item],$H906,PerBase[company_name],$B906)*AE486)</f>
        <v>0</v>
      </c>
      <c r="AF906" s="652">
        <f>IF($B906="",,SUMIFS(PerBase[Month 21],PerBase[exp_item],$H906,PerBase[company_name],$B906)*AF486)</f>
        <v>0</v>
      </c>
      <c r="AG906" s="652">
        <f>IF($B906="",,SUMIFS(PerBase[Month 22],PerBase[exp_item],$H906,PerBase[company_name],$B906)*AG486)</f>
        <v>0</v>
      </c>
      <c r="AH906" s="652">
        <f>IF($B906="",,SUMIFS(PerBase[Month 23],PerBase[exp_item],$H906,PerBase[company_name],$B906)*AH486)</f>
        <v>0</v>
      </c>
      <c r="AI906" s="652">
        <f>IF($B906="",,SUMIFS(PerBase[Month 24],PerBase[exp_item],$H906,PerBase[company_name],$B906)*AI486)</f>
        <v>0</v>
      </c>
      <c r="AJ906" s="652">
        <f>IF($B906="",,SUMIFS(PerBase[Month 25],PerBase[exp_item],$H906,PerBase[company_name],$B906)*AJ486)</f>
        <v>0</v>
      </c>
      <c r="AK906" s="652">
        <f>IF($B906="",,SUMIFS(PerBase[Month 26],PerBase[exp_item],$H906,PerBase[company_name],$B906)*AK486)</f>
        <v>0</v>
      </c>
      <c r="AL906" s="652">
        <f>IF($B906="",,SUMIFS(PerBase[Month 27],PerBase[exp_item],$H906,PerBase[company_name],$B906)*AL486)</f>
        <v>0</v>
      </c>
      <c r="AM906" s="652">
        <f>IF($B906="",,SUMIFS(PerBase[Month 28],PerBase[exp_item],$H906,PerBase[company_name],$B906)*AM486)</f>
        <v>0</v>
      </c>
      <c r="AN906" s="652">
        <f>IF($B906="",,SUMIFS(PerBase[Month 29],PerBase[exp_item],$H906,PerBase[company_name],$B906)*AN486)</f>
        <v>0</v>
      </c>
      <c r="AO906" s="652">
        <f>IF($B906="",,SUMIFS(PerBase[Month 30],PerBase[exp_item],$H906,PerBase[company_name],$B906)*AO486)</f>
        <v>0</v>
      </c>
      <c r="AP906" s="652">
        <f>IF($B906="",,SUMIFS(PerBase[Month 31],PerBase[exp_item],$H906,PerBase[company_name],$B906)*AP486)</f>
        <v>0</v>
      </c>
      <c r="AQ906" s="652">
        <f>IF($B906="",,SUMIFS(PerBase[Month 32],PerBase[exp_item],$H906,PerBase[company_name],$B906)*AQ486)</f>
        <v>0</v>
      </c>
      <c r="AR906" s="652">
        <f>IF($B906="",,SUMIFS(PerBase[Month 33],PerBase[exp_item],$H906,PerBase[company_name],$B906)*AR486)</f>
        <v>0</v>
      </c>
      <c r="AS906" s="652">
        <f>IF($B906="",,SUMIFS(PerBase[Month 34],PerBase[exp_item],$H906,PerBase[company_name],$B906)*AS486)</f>
        <v>0</v>
      </c>
      <c r="AT906" s="652">
        <f>IF($B906="",,SUMIFS(PerBase[Month 35],PerBase[exp_item],$H906,PerBase[company_name],$B906)*AT486)</f>
        <v>0</v>
      </c>
      <c r="AU906" s="652">
        <f>IF($B906="",,SUMIFS(PerBase[Month 36],PerBase[exp_item],$H906,PerBase[company_name],$B906)*AU486)</f>
        <v>0</v>
      </c>
    </row>
    <row r="907" spans="2:47" x14ac:dyDescent="0.35">
      <c r="B907" t="str">
        <f t="shared" ref="B907:G907" si="542">IF(B802="","",B802)</f>
        <v/>
      </c>
      <c r="C907" t="str">
        <f t="shared" si="542"/>
        <v/>
      </c>
      <c r="D907" t="str">
        <f t="shared" si="542"/>
        <v/>
      </c>
      <c r="E907" t="str">
        <f t="shared" si="542"/>
        <v/>
      </c>
      <c r="F907" t="str">
        <f t="shared" si="542"/>
        <v/>
      </c>
      <c r="G907" t="str">
        <f t="shared" si="542"/>
        <v/>
      </c>
      <c r="H907" t="str">
        <f t="shared" si="513"/>
        <v/>
      </c>
      <c r="J907" t="str">
        <f>IF($H907="","",IF(VLOOKUP(H907,ExpItems[],2,0),H907&amp;" - "&amp;INDEX(DivisionMapping[category_code],MATCH($D907&amp;$C907,DivisionMapping[dept_bu],0)),H907))</f>
        <v/>
      </c>
      <c r="K907" t="str">
        <f t="shared" si="516"/>
        <v/>
      </c>
      <c r="L907" s="652">
        <f>IF($B907="",,SUMIFS(PerBase[Month 1],PerBase[exp_item],$H907,PerBase[company_name],$B907)*L487)</f>
        <v>0</v>
      </c>
      <c r="M907" s="652">
        <f>IF($B907="",,SUMIFS(PerBase[Month 2],PerBase[exp_item],$H907,PerBase[company_name],$B907)*M487)</f>
        <v>0</v>
      </c>
      <c r="N907" s="652">
        <f>IF($B907="",,SUMIFS(PerBase[Month 3],PerBase[exp_item],$H907,PerBase[company_name],$B907)*N487)</f>
        <v>0</v>
      </c>
      <c r="O907" s="652">
        <f>IF($B907="",,SUMIFS(PerBase[Month 4],PerBase[exp_item],$H907,PerBase[company_name],$B907)*O487)</f>
        <v>0</v>
      </c>
      <c r="P907" s="652">
        <f>IF($B907="",,SUMIFS(PerBase[Month 5],PerBase[exp_item],$H907,PerBase[company_name],$B907)*P487)</f>
        <v>0</v>
      </c>
      <c r="Q907" s="652">
        <f>IF($B907="",,SUMIFS(PerBase[Month 6],PerBase[exp_item],$H907,PerBase[company_name],$B907)*Q487)</f>
        <v>0</v>
      </c>
      <c r="R907" s="652">
        <f>IF($B907="",,SUMIFS(PerBase[Month 7],PerBase[exp_item],$H907,PerBase[company_name],$B907)*R487)</f>
        <v>0</v>
      </c>
      <c r="S907" s="652">
        <f>IF($B907="",,SUMIFS(PerBase[Month 8],PerBase[exp_item],$H907,PerBase[company_name],$B907)*S487)</f>
        <v>0</v>
      </c>
      <c r="T907" s="652">
        <f>IF($B907="",,SUMIFS(PerBase[Month 9],PerBase[exp_item],$H907,PerBase[company_name],$B907)*T487)</f>
        <v>0</v>
      </c>
      <c r="U907" s="652">
        <f>IF($B907="",,SUMIFS(PerBase[Month 10],PerBase[exp_item],$H907,PerBase[company_name],$B907)*U487)</f>
        <v>0</v>
      </c>
      <c r="V907" s="652">
        <f>IF($B907="",,SUMIFS(PerBase[Month 11],PerBase[exp_item],$H907,PerBase[company_name],$B907)*V487)</f>
        <v>0</v>
      </c>
      <c r="W907" s="652">
        <f>IF($B907="",,SUMIFS(PerBase[Month 12],PerBase[exp_item],$H907,PerBase[company_name],$B907)*W487)</f>
        <v>0</v>
      </c>
      <c r="X907" s="652">
        <f>IF($B907="",,SUMIFS(PerBase[Month 13],PerBase[exp_item],$H907,PerBase[company_name],$B907)*X487)</f>
        <v>0</v>
      </c>
      <c r="Y907" s="652">
        <f>IF($B907="",,SUMIFS(PerBase[Month 14],PerBase[exp_item],$H907,PerBase[company_name],$B907)*Y487)</f>
        <v>0</v>
      </c>
      <c r="Z907" s="652">
        <f>IF($B907="",,SUMIFS(PerBase[Month 15],PerBase[exp_item],$H907,PerBase[company_name],$B907)*Z487)</f>
        <v>0</v>
      </c>
      <c r="AA907" s="652">
        <f>IF($B907="",,SUMIFS(PerBase[Month 16],PerBase[exp_item],$H907,PerBase[company_name],$B907)*AA487)</f>
        <v>0</v>
      </c>
      <c r="AB907" s="652">
        <f>IF($B907="",,SUMIFS(PerBase[Month 17],PerBase[exp_item],$H907,PerBase[company_name],$B907)*AB487)</f>
        <v>0</v>
      </c>
      <c r="AC907" s="652">
        <f>IF($B907="",,SUMIFS(PerBase[Month 18],PerBase[exp_item],$H907,PerBase[company_name],$B907)*AC487)</f>
        <v>0</v>
      </c>
      <c r="AD907" s="652">
        <f>IF($B907="",,SUMIFS(PerBase[Month 19],PerBase[exp_item],$H907,PerBase[company_name],$B907)*AD487)</f>
        <v>0</v>
      </c>
      <c r="AE907" s="652">
        <f>IF($B907="",,SUMIFS(PerBase[Month 20],PerBase[exp_item],$H907,PerBase[company_name],$B907)*AE487)</f>
        <v>0</v>
      </c>
      <c r="AF907" s="652">
        <f>IF($B907="",,SUMIFS(PerBase[Month 21],PerBase[exp_item],$H907,PerBase[company_name],$B907)*AF487)</f>
        <v>0</v>
      </c>
      <c r="AG907" s="652">
        <f>IF($B907="",,SUMIFS(PerBase[Month 22],PerBase[exp_item],$H907,PerBase[company_name],$B907)*AG487)</f>
        <v>0</v>
      </c>
      <c r="AH907" s="652">
        <f>IF($B907="",,SUMIFS(PerBase[Month 23],PerBase[exp_item],$H907,PerBase[company_name],$B907)*AH487)</f>
        <v>0</v>
      </c>
      <c r="AI907" s="652">
        <f>IF($B907="",,SUMIFS(PerBase[Month 24],PerBase[exp_item],$H907,PerBase[company_name],$B907)*AI487)</f>
        <v>0</v>
      </c>
      <c r="AJ907" s="652">
        <f>IF($B907="",,SUMIFS(PerBase[Month 25],PerBase[exp_item],$H907,PerBase[company_name],$B907)*AJ487)</f>
        <v>0</v>
      </c>
      <c r="AK907" s="652">
        <f>IF($B907="",,SUMIFS(PerBase[Month 26],PerBase[exp_item],$H907,PerBase[company_name],$B907)*AK487)</f>
        <v>0</v>
      </c>
      <c r="AL907" s="652">
        <f>IF($B907="",,SUMIFS(PerBase[Month 27],PerBase[exp_item],$H907,PerBase[company_name],$B907)*AL487)</f>
        <v>0</v>
      </c>
      <c r="AM907" s="652">
        <f>IF($B907="",,SUMIFS(PerBase[Month 28],PerBase[exp_item],$H907,PerBase[company_name],$B907)*AM487)</f>
        <v>0</v>
      </c>
      <c r="AN907" s="652">
        <f>IF($B907="",,SUMIFS(PerBase[Month 29],PerBase[exp_item],$H907,PerBase[company_name],$B907)*AN487)</f>
        <v>0</v>
      </c>
      <c r="AO907" s="652">
        <f>IF($B907="",,SUMIFS(PerBase[Month 30],PerBase[exp_item],$H907,PerBase[company_name],$B907)*AO487)</f>
        <v>0</v>
      </c>
      <c r="AP907" s="652">
        <f>IF($B907="",,SUMIFS(PerBase[Month 31],PerBase[exp_item],$H907,PerBase[company_name],$B907)*AP487)</f>
        <v>0</v>
      </c>
      <c r="AQ907" s="652">
        <f>IF($B907="",,SUMIFS(PerBase[Month 32],PerBase[exp_item],$H907,PerBase[company_name],$B907)*AQ487)</f>
        <v>0</v>
      </c>
      <c r="AR907" s="652">
        <f>IF($B907="",,SUMIFS(PerBase[Month 33],PerBase[exp_item],$H907,PerBase[company_name],$B907)*AR487)</f>
        <v>0</v>
      </c>
      <c r="AS907" s="652">
        <f>IF($B907="",,SUMIFS(PerBase[Month 34],PerBase[exp_item],$H907,PerBase[company_name],$B907)*AS487)</f>
        <v>0</v>
      </c>
      <c r="AT907" s="652">
        <f>IF($B907="",,SUMIFS(PerBase[Month 35],PerBase[exp_item],$H907,PerBase[company_name],$B907)*AT487)</f>
        <v>0</v>
      </c>
      <c r="AU907" s="652">
        <f>IF($B907="",,SUMIFS(PerBase[Month 36],PerBase[exp_item],$H907,PerBase[company_name],$B907)*AU487)</f>
        <v>0</v>
      </c>
    </row>
    <row r="908" spans="2:47" x14ac:dyDescent="0.35">
      <c r="B908" t="str">
        <f t="shared" ref="B908:G908" si="543">IF(B803="","",B803)</f>
        <v/>
      </c>
      <c r="C908" t="str">
        <f t="shared" si="543"/>
        <v/>
      </c>
      <c r="D908" t="str">
        <f t="shared" si="543"/>
        <v/>
      </c>
      <c r="E908" t="str">
        <f t="shared" si="543"/>
        <v/>
      </c>
      <c r="F908" t="str">
        <f t="shared" si="543"/>
        <v/>
      </c>
      <c r="G908" t="str">
        <f t="shared" si="543"/>
        <v/>
      </c>
      <c r="H908" t="str">
        <f t="shared" si="513"/>
        <v/>
      </c>
      <c r="J908" t="str">
        <f>IF($H908="","",IF(VLOOKUP(H908,ExpItems[],2,0),H908&amp;" - "&amp;INDEX(DivisionMapping[category_code],MATCH($D908&amp;$C908,DivisionMapping[dept_bu],0)),H908))</f>
        <v/>
      </c>
      <c r="K908" t="str">
        <f t="shared" si="516"/>
        <v/>
      </c>
      <c r="L908" s="652">
        <f>IF($B908="",,SUMIFS(PerBase[Month 1],PerBase[exp_item],$H908,PerBase[company_name],$B908)*L488)</f>
        <v>0</v>
      </c>
      <c r="M908" s="652">
        <f>IF($B908="",,SUMIFS(PerBase[Month 2],PerBase[exp_item],$H908,PerBase[company_name],$B908)*M488)</f>
        <v>0</v>
      </c>
      <c r="N908" s="652">
        <f>IF($B908="",,SUMIFS(PerBase[Month 3],PerBase[exp_item],$H908,PerBase[company_name],$B908)*N488)</f>
        <v>0</v>
      </c>
      <c r="O908" s="652">
        <f>IF($B908="",,SUMIFS(PerBase[Month 4],PerBase[exp_item],$H908,PerBase[company_name],$B908)*O488)</f>
        <v>0</v>
      </c>
      <c r="P908" s="652">
        <f>IF($B908="",,SUMIFS(PerBase[Month 5],PerBase[exp_item],$H908,PerBase[company_name],$B908)*P488)</f>
        <v>0</v>
      </c>
      <c r="Q908" s="652">
        <f>IF($B908="",,SUMIFS(PerBase[Month 6],PerBase[exp_item],$H908,PerBase[company_name],$B908)*Q488)</f>
        <v>0</v>
      </c>
      <c r="R908" s="652">
        <f>IF($B908="",,SUMIFS(PerBase[Month 7],PerBase[exp_item],$H908,PerBase[company_name],$B908)*R488)</f>
        <v>0</v>
      </c>
      <c r="S908" s="652">
        <f>IF($B908="",,SUMIFS(PerBase[Month 8],PerBase[exp_item],$H908,PerBase[company_name],$B908)*S488)</f>
        <v>0</v>
      </c>
      <c r="T908" s="652">
        <f>IF($B908="",,SUMIFS(PerBase[Month 9],PerBase[exp_item],$H908,PerBase[company_name],$B908)*T488)</f>
        <v>0</v>
      </c>
      <c r="U908" s="652">
        <f>IF($B908="",,SUMIFS(PerBase[Month 10],PerBase[exp_item],$H908,PerBase[company_name],$B908)*U488)</f>
        <v>0</v>
      </c>
      <c r="V908" s="652">
        <f>IF($B908="",,SUMIFS(PerBase[Month 11],PerBase[exp_item],$H908,PerBase[company_name],$B908)*V488)</f>
        <v>0</v>
      </c>
      <c r="W908" s="652">
        <f>IF($B908="",,SUMIFS(PerBase[Month 12],PerBase[exp_item],$H908,PerBase[company_name],$B908)*W488)</f>
        <v>0</v>
      </c>
      <c r="X908" s="652">
        <f>IF($B908="",,SUMIFS(PerBase[Month 13],PerBase[exp_item],$H908,PerBase[company_name],$B908)*X488)</f>
        <v>0</v>
      </c>
      <c r="Y908" s="652">
        <f>IF($B908="",,SUMIFS(PerBase[Month 14],PerBase[exp_item],$H908,PerBase[company_name],$B908)*Y488)</f>
        <v>0</v>
      </c>
      <c r="Z908" s="652">
        <f>IF($B908="",,SUMIFS(PerBase[Month 15],PerBase[exp_item],$H908,PerBase[company_name],$B908)*Z488)</f>
        <v>0</v>
      </c>
      <c r="AA908" s="652">
        <f>IF($B908="",,SUMIFS(PerBase[Month 16],PerBase[exp_item],$H908,PerBase[company_name],$B908)*AA488)</f>
        <v>0</v>
      </c>
      <c r="AB908" s="652">
        <f>IF($B908="",,SUMIFS(PerBase[Month 17],PerBase[exp_item],$H908,PerBase[company_name],$B908)*AB488)</f>
        <v>0</v>
      </c>
      <c r="AC908" s="652">
        <f>IF($B908="",,SUMIFS(PerBase[Month 18],PerBase[exp_item],$H908,PerBase[company_name],$B908)*AC488)</f>
        <v>0</v>
      </c>
      <c r="AD908" s="652">
        <f>IF($B908="",,SUMIFS(PerBase[Month 19],PerBase[exp_item],$H908,PerBase[company_name],$B908)*AD488)</f>
        <v>0</v>
      </c>
      <c r="AE908" s="652">
        <f>IF($B908="",,SUMIFS(PerBase[Month 20],PerBase[exp_item],$H908,PerBase[company_name],$B908)*AE488)</f>
        <v>0</v>
      </c>
      <c r="AF908" s="652">
        <f>IF($B908="",,SUMIFS(PerBase[Month 21],PerBase[exp_item],$H908,PerBase[company_name],$B908)*AF488)</f>
        <v>0</v>
      </c>
      <c r="AG908" s="652">
        <f>IF($B908="",,SUMIFS(PerBase[Month 22],PerBase[exp_item],$H908,PerBase[company_name],$B908)*AG488)</f>
        <v>0</v>
      </c>
      <c r="AH908" s="652">
        <f>IF($B908="",,SUMIFS(PerBase[Month 23],PerBase[exp_item],$H908,PerBase[company_name],$B908)*AH488)</f>
        <v>0</v>
      </c>
      <c r="AI908" s="652">
        <f>IF($B908="",,SUMIFS(PerBase[Month 24],PerBase[exp_item],$H908,PerBase[company_name],$B908)*AI488)</f>
        <v>0</v>
      </c>
      <c r="AJ908" s="652">
        <f>IF($B908="",,SUMIFS(PerBase[Month 25],PerBase[exp_item],$H908,PerBase[company_name],$B908)*AJ488)</f>
        <v>0</v>
      </c>
      <c r="AK908" s="652">
        <f>IF($B908="",,SUMIFS(PerBase[Month 26],PerBase[exp_item],$H908,PerBase[company_name],$B908)*AK488)</f>
        <v>0</v>
      </c>
      <c r="AL908" s="652">
        <f>IF($B908="",,SUMIFS(PerBase[Month 27],PerBase[exp_item],$H908,PerBase[company_name],$B908)*AL488)</f>
        <v>0</v>
      </c>
      <c r="AM908" s="652">
        <f>IF($B908="",,SUMIFS(PerBase[Month 28],PerBase[exp_item],$H908,PerBase[company_name],$B908)*AM488)</f>
        <v>0</v>
      </c>
      <c r="AN908" s="652">
        <f>IF($B908="",,SUMIFS(PerBase[Month 29],PerBase[exp_item],$H908,PerBase[company_name],$B908)*AN488)</f>
        <v>0</v>
      </c>
      <c r="AO908" s="652">
        <f>IF($B908="",,SUMIFS(PerBase[Month 30],PerBase[exp_item],$H908,PerBase[company_name],$B908)*AO488)</f>
        <v>0</v>
      </c>
      <c r="AP908" s="652">
        <f>IF($B908="",,SUMIFS(PerBase[Month 31],PerBase[exp_item],$H908,PerBase[company_name],$B908)*AP488)</f>
        <v>0</v>
      </c>
      <c r="AQ908" s="652">
        <f>IF($B908="",,SUMIFS(PerBase[Month 32],PerBase[exp_item],$H908,PerBase[company_name],$B908)*AQ488)</f>
        <v>0</v>
      </c>
      <c r="AR908" s="652">
        <f>IF($B908="",,SUMIFS(PerBase[Month 33],PerBase[exp_item],$H908,PerBase[company_name],$B908)*AR488)</f>
        <v>0</v>
      </c>
      <c r="AS908" s="652">
        <f>IF($B908="",,SUMIFS(PerBase[Month 34],PerBase[exp_item],$H908,PerBase[company_name],$B908)*AS488)</f>
        <v>0</v>
      </c>
      <c r="AT908" s="652">
        <f>IF($B908="",,SUMIFS(PerBase[Month 35],PerBase[exp_item],$H908,PerBase[company_name],$B908)*AT488)</f>
        <v>0</v>
      </c>
      <c r="AU908" s="652">
        <f>IF($B908="",,SUMIFS(PerBase[Month 36],PerBase[exp_item],$H908,PerBase[company_name],$B908)*AU488)</f>
        <v>0</v>
      </c>
    </row>
    <row r="909" spans="2:47" x14ac:dyDescent="0.35">
      <c r="B909" t="str">
        <f t="shared" ref="B909:G909" si="544">IF(B804="","",B804)</f>
        <v/>
      </c>
      <c r="C909" t="str">
        <f t="shared" si="544"/>
        <v/>
      </c>
      <c r="D909" t="str">
        <f t="shared" si="544"/>
        <v/>
      </c>
      <c r="E909" t="str">
        <f t="shared" si="544"/>
        <v/>
      </c>
      <c r="F909" t="str">
        <f t="shared" si="544"/>
        <v/>
      </c>
      <c r="G909" t="str">
        <f t="shared" si="544"/>
        <v/>
      </c>
      <c r="H909" t="str">
        <f t="shared" si="513"/>
        <v/>
      </c>
      <c r="J909" t="str">
        <f>IF($H909="","",IF(VLOOKUP(H909,ExpItems[],2,0),H909&amp;" - "&amp;INDEX(DivisionMapping[category_code],MATCH($D909&amp;$C909,DivisionMapping[dept_bu],0)),H909))</f>
        <v/>
      </c>
      <c r="K909" t="str">
        <f t="shared" si="516"/>
        <v/>
      </c>
      <c r="L909" s="652">
        <f>IF($B909="",,SUMIFS(PerBase[Month 1],PerBase[exp_item],$H909,PerBase[company_name],$B909)*L489)</f>
        <v>0</v>
      </c>
      <c r="M909" s="652">
        <f>IF($B909="",,SUMIFS(PerBase[Month 2],PerBase[exp_item],$H909,PerBase[company_name],$B909)*M489)</f>
        <v>0</v>
      </c>
      <c r="N909" s="652">
        <f>IF($B909="",,SUMIFS(PerBase[Month 3],PerBase[exp_item],$H909,PerBase[company_name],$B909)*N489)</f>
        <v>0</v>
      </c>
      <c r="O909" s="652">
        <f>IF($B909="",,SUMIFS(PerBase[Month 4],PerBase[exp_item],$H909,PerBase[company_name],$B909)*O489)</f>
        <v>0</v>
      </c>
      <c r="P909" s="652">
        <f>IF($B909="",,SUMIFS(PerBase[Month 5],PerBase[exp_item],$H909,PerBase[company_name],$B909)*P489)</f>
        <v>0</v>
      </c>
      <c r="Q909" s="652">
        <f>IF($B909="",,SUMIFS(PerBase[Month 6],PerBase[exp_item],$H909,PerBase[company_name],$B909)*Q489)</f>
        <v>0</v>
      </c>
      <c r="R909" s="652">
        <f>IF($B909="",,SUMIFS(PerBase[Month 7],PerBase[exp_item],$H909,PerBase[company_name],$B909)*R489)</f>
        <v>0</v>
      </c>
      <c r="S909" s="652">
        <f>IF($B909="",,SUMIFS(PerBase[Month 8],PerBase[exp_item],$H909,PerBase[company_name],$B909)*S489)</f>
        <v>0</v>
      </c>
      <c r="T909" s="652">
        <f>IF($B909="",,SUMIFS(PerBase[Month 9],PerBase[exp_item],$H909,PerBase[company_name],$B909)*T489)</f>
        <v>0</v>
      </c>
      <c r="U909" s="652">
        <f>IF($B909="",,SUMIFS(PerBase[Month 10],PerBase[exp_item],$H909,PerBase[company_name],$B909)*U489)</f>
        <v>0</v>
      </c>
      <c r="V909" s="652">
        <f>IF($B909="",,SUMIFS(PerBase[Month 11],PerBase[exp_item],$H909,PerBase[company_name],$B909)*V489)</f>
        <v>0</v>
      </c>
      <c r="W909" s="652">
        <f>IF($B909="",,SUMIFS(PerBase[Month 12],PerBase[exp_item],$H909,PerBase[company_name],$B909)*W489)</f>
        <v>0</v>
      </c>
      <c r="X909" s="652">
        <f>IF($B909="",,SUMIFS(PerBase[Month 13],PerBase[exp_item],$H909,PerBase[company_name],$B909)*X489)</f>
        <v>0</v>
      </c>
      <c r="Y909" s="652">
        <f>IF($B909="",,SUMIFS(PerBase[Month 14],PerBase[exp_item],$H909,PerBase[company_name],$B909)*Y489)</f>
        <v>0</v>
      </c>
      <c r="Z909" s="652">
        <f>IF($B909="",,SUMIFS(PerBase[Month 15],PerBase[exp_item],$H909,PerBase[company_name],$B909)*Z489)</f>
        <v>0</v>
      </c>
      <c r="AA909" s="652">
        <f>IF($B909="",,SUMIFS(PerBase[Month 16],PerBase[exp_item],$H909,PerBase[company_name],$B909)*AA489)</f>
        <v>0</v>
      </c>
      <c r="AB909" s="652">
        <f>IF($B909="",,SUMIFS(PerBase[Month 17],PerBase[exp_item],$H909,PerBase[company_name],$B909)*AB489)</f>
        <v>0</v>
      </c>
      <c r="AC909" s="652">
        <f>IF($B909="",,SUMIFS(PerBase[Month 18],PerBase[exp_item],$H909,PerBase[company_name],$B909)*AC489)</f>
        <v>0</v>
      </c>
      <c r="AD909" s="652">
        <f>IF($B909="",,SUMIFS(PerBase[Month 19],PerBase[exp_item],$H909,PerBase[company_name],$B909)*AD489)</f>
        <v>0</v>
      </c>
      <c r="AE909" s="652">
        <f>IF($B909="",,SUMIFS(PerBase[Month 20],PerBase[exp_item],$H909,PerBase[company_name],$B909)*AE489)</f>
        <v>0</v>
      </c>
      <c r="AF909" s="652">
        <f>IF($B909="",,SUMIFS(PerBase[Month 21],PerBase[exp_item],$H909,PerBase[company_name],$B909)*AF489)</f>
        <v>0</v>
      </c>
      <c r="AG909" s="652">
        <f>IF($B909="",,SUMIFS(PerBase[Month 22],PerBase[exp_item],$H909,PerBase[company_name],$B909)*AG489)</f>
        <v>0</v>
      </c>
      <c r="AH909" s="652">
        <f>IF($B909="",,SUMIFS(PerBase[Month 23],PerBase[exp_item],$H909,PerBase[company_name],$B909)*AH489)</f>
        <v>0</v>
      </c>
      <c r="AI909" s="652">
        <f>IF($B909="",,SUMIFS(PerBase[Month 24],PerBase[exp_item],$H909,PerBase[company_name],$B909)*AI489)</f>
        <v>0</v>
      </c>
      <c r="AJ909" s="652">
        <f>IF($B909="",,SUMIFS(PerBase[Month 25],PerBase[exp_item],$H909,PerBase[company_name],$B909)*AJ489)</f>
        <v>0</v>
      </c>
      <c r="AK909" s="652">
        <f>IF($B909="",,SUMIFS(PerBase[Month 26],PerBase[exp_item],$H909,PerBase[company_name],$B909)*AK489)</f>
        <v>0</v>
      </c>
      <c r="AL909" s="652">
        <f>IF($B909="",,SUMIFS(PerBase[Month 27],PerBase[exp_item],$H909,PerBase[company_name],$B909)*AL489)</f>
        <v>0</v>
      </c>
      <c r="AM909" s="652">
        <f>IF($B909="",,SUMIFS(PerBase[Month 28],PerBase[exp_item],$H909,PerBase[company_name],$B909)*AM489)</f>
        <v>0</v>
      </c>
      <c r="AN909" s="652">
        <f>IF($B909="",,SUMIFS(PerBase[Month 29],PerBase[exp_item],$H909,PerBase[company_name],$B909)*AN489)</f>
        <v>0</v>
      </c>
      <c r="AO909" s="652">
        <f>IF($B909="",,SUMIFS(PerBase[Month 30],PerBase[exp_item],$H909,PerBase[company_name],$B909)*AO489)</f>
        <v>0</v>
      </c>
      <c r="AP909" s="652">
        <f>IF($B909="",,SUMIFS(PerBase[Month 31],PerBase[exp_item],$H909,PerBase[company_name],$B909)*AP489)</f>
        <v>0</v>
      </c>
      <c r="AQ909" s="652">
        <f>IF($B909="",,SUMIFS(PerBase[Month 32],PerBase[exp_item],$H909,PerBase[company_name],$B909)*AQ489)</f>
        <v>0</v>
      </c>
      <c r="AR909" s="652">
        <f>IF($B909="",,SUMIFS(PerBase[Month 33],PerBase[exp_item],$H909,PerBase[company_name],$B909)*AR489)</f>
        <v>0</v>
      </c>
      <c r="AS909" s="652">
        <f>IF($B909="",,SUMIFS(PerBase[Month 34],PerBase[exp_item],$H909,PerBase[company_name],$B909)*AS489)</f>
        <v>0</v>
      </c>
      <c r="AT909" s="652">
        <f>IF($B909="",,SUMIFS(PerBase[Month 35],PerBase[exp_item],$H909,PerBase[company_name],$B909)*AT489)</f>
        <v>0</v>
      </c>
      <c r="AU909" s="652">
        <f>IF($B909="",,SUMIFS(PerBase[Month 36],PerBase[exp_item],$H909,PerBase[company_name],$B909)*AU489)</f>
        <v>0</v>
      </c>
    </row>
    <row r="910" spans="2:47" x14ac:dyDescent="0.35">
      <c r="B910" t="str">
        <f t="shared" ref="B910:G910" si="545">IF(B805="","",B805)</f>
        <v/>
      </c>
      <c r="C910" t="str">
        <f t="shared" si="545"/>
        <v/>
      </c>
      <c r="D910" t="str">
        <f t="shared" si="545"/>
        <v/>
      </c>
      <c r="E910" t="str">
        <f t="shared" si="545"/>
        <v/>
      </c>
      <c r="F910" t="str">
        <f t="shared" si="545"/>
        <v/>
      </c>
      <c r="G910" t="str">
        <f t="shared" si="545"/>
        <v/>
      </c>
      <c r="H910" t="str">
        <f t="shared" si="513"/>
        <v/>
      </c>
      <c r="J910" t="str">
        <f>IF($H910="","",IF(VLOOKUP(H910,ExpItems[],2,0),H910&amp;" - "&amp;INDEX(DivisionMapping[category_code],MATCH($D910&amp;$C910,DivisionMapping[dept_bu],0)),H910))</f>
        <v/>
      </c>
      <c r="K910" t="str">
        <f t="shared" si="516"/>
        <v/>
      </c>
      <c r="L910" s="652">
        <f>IF($B910="",,SUMIFS(PerBase[Month 1],PerBase[exp_item],$H910,PerBase[company_name],$B910)*L490)</f>
        <v>0</v>
      </c>
      <c r="M910" s="652">
        <f>IF($B910="",,SUMIFS(PerBase[Month 2],PerBase[exp_item],$H910,PerBase[company_name],$B910)*M490)</f>
        <v>0</v>
      </c>
      <c r="N910" s="652">
        <f>IF($B910="",,SUMIFS(PerBase[Month 3],PerBase[exp_item],$H910,PerBase[company_name],$B910)*N490)</f>
        <v>0</v>
      </c>
      <c r="O910" s="652">
        <f>IF($B910="",,SUMIFS(PerBase[Month 4],PerBase[exp_item],$H910,PerBase[company_name],$B910)*O490)</f>
        <v>0</v>
      </c>
      <c r="P910" s="652">
        <f>IF($B910="",,SUMIFS(PerBase[Month 5],PerBase[exp_item],$H910,PerBase[company_name],$B910)*P490)</f>
        <v>0</v>
      </c>
      <c r="Q910" s="652">
        <f>IF($B910="",,SUMIFS(PerBase[Month 6],PerBase[exp_item],$H910,PerBase[company_name],$B910)*Q490)</f>
        <v>0</v>
      </c>
      <c r="R910" s="652">
        <f>IF($B910="",,SUMIFS(PerBase[Month 7],PerBase[exp_item],$H910,PerBase[company_name],$B910)*R490)</f>
        <v>0</v>
      </c>
      <c r="S910" s="652">
        <f>IF($B910="",,SUMIFS(PerBase[Month 8],PerBase[exp_item],$H910,PerBase[company_name],$B910)*S490)</f>
        <v>0</v>
      </c>
      <c r="T910" s="652">
        <f>IF($B910="",,SUMIFS(PerBase[Month 9],PerBase[exp_item],$H910,PerBase[company_name],$B910)*T490)</f>
        <v>0</v>
      </c>
      <c r="U910" s="652">
        <f>IF($B910="",,SUMIFS(PerBase[Month 10],PerBase[exp_item],$H910,PerBase[company_name],$B910)*U490)</f>
        <v>0</v>
      </c>
      <c r="V910" s="652">
        <f>IF($B910="",,SUMIFS(PerBase[Month 11],PerBase[exp_item],$H910,PerBase[company_name],$B910)*V490)</f>
        <v>0</v>
      </c>
      <c r="W910" s="652">
        <f>IF($B910="",,SUMIFS(PerBase[Month 12],PerBase[exp_item],$H910,PerBase[company_name],$B910)*W490)</f>
        <v>0</v>
      </c>
      <c r="X910" s="652">
        <f>IF($B910="",,SUMIFS(PerBase[Month 13],PerBase[exp_item],$H910,PerBase[company_name],$B910)*X490)</f>
        <v>0</v>
      </c>
      <c r="Y910" s="652">
        <f>IF($B910="",,SUMIFS(PerBase[Month 14],PerBase[exp_item],$H910,PerBase[company_name],$B910)*Y490)</f>
        <v>0</v>
      </c>
      <c r="Z910" s="652">
        <f>IF($B910="",,SUMIFS(PerBase[Month 15],PerBase[exp_item],$H910,PerBase[company_name],$B910)*Z490)</f>
        <v>0</v>
      </c>
      <c r="AA910" s="652">
        <f>IF($B910="",,SUMIFS(PerBase[Month 16],PerBase[exp_item],$H910,PerBase[company_name],$B910)*AA490)</f>
        <v>0</v>
      </c>
      <c r="AB910" s="652">
        <f>IF($B910="",,SUMIFS(PerBase[Month 17],PerBase[exp_item],$H910,PerBase[company_name],$B910)*AB490)</f>
        <v>0</v>
      </c>
      <c r="AC910" s="652">
        <f>IF($B910="",,SUMIFS(PerBase[Month 18],PerBase[exp_item],$H910,PerBase[company_name],$B910)*AC490)</f>
        <v>0</v>
      </c>
      <c r="AD910" s="652">
        <f>IF($B910="",,SUMIFS(PerBase[Month 19],PerBase[exp_item],$H910,PerBase[company_name],$B910)*AD490)</f>
        <v>0</v>
      </c>
      <c r="AE910" s="652">
        <f>IF($B910="",,SUMIFS(PerBase[Month 20],PerBase[exp_item],$H910,PerBase[company_name],$B910)*AE490)</f>
        <v>0</v>
      </c>
      <c r="AF910" s="652">
        <f>IF($B910="",,SUMIFS(PerBase[Month 21],PerBase[exp_item],$H910,PerBase[company_name],$B910)*AF490)</f>
        <v>0</v>
      </c>
      <c r="AG910" s="652">
        <f>IF($B910="",,SUMIFS(PerBase[Month 22],PerBase[exp_item],$H910,PerBase[company_name],$B910)*AG490)</f>
        <v>0</v>
      </c>
      <c r="AH910" s="652">
        <f>IF($B910="",,SUMIFS(PerBase[Month 23],PerBase[exp_item],$H910,PerBase[company_name],$B910)*AH490)</f>
        <v>0</v>
      </c>
      <c r="AI910" s="652">
        <f>IF($B910="",,SUMIFS(PerBase[Month 24],PerBase[exp_item],$H910,PerBase[company_name],$B910)*AI490)</f>
        <v>0</v>
      </c>
      <c r="AJ910" s="652">
        <f>IF($B910="",,SUMIFS(PerBase[Month 25],PerBase[exp_item],$H910,PerBase[company_name],$B910)*AJ490)</f>
        <v>0</v>
      </c>
      <c r="AK910" s="652">
        <f>IF($B910="",,SUMIFS(PerBase[Month 26],PerBase[exp_item],$H910,PerBase[company_name],$B910)*AK490)</f>
        <v>0</v>
      </c>
      <c r="AL910" s="652">
        <f>IF($B910="",,SUMIFS(PerBase[Month 27],PerBase[exp_item],$H910,PerBase[company_name],$B910)*AL490)</f>
        <v>0</v>
      </c>
      <c r="AM910" s="652">
        <f>IF($B910="",,SUMIFS(PerBase[Month 28],PerBase[exp_item],$H910,PerBase[company_name],$B910)*AM490)</f>
        <v>0</v>
      </c>
      <c r="AN910" s="652">
        <f>IF($B910="",,SUMIFS(PerBase[Month 29],PerBase[exp_item],$H910,PerBase[company_name],$B910)*AN490)</f>
        <v>0</v>
      </c>
      <c r="AO910" s="652">
        <f>IF($B910="",,SUMIFS(PerBase[Month 30],PerBase[exp_item],$H910,PerBase[company_name],$B910)*AO490)</f>
        <v>0</v>
      </c>
      <c r="AP910" s="652">
        <f>IF($B910="",,SUMIFS(PerBase[Month 31],PerBase[exp_item],$H910,PerBase[company_name],$B910)*AP490)</f>
        <v>0</v>
      </c>
      <c r="AQ910" s="652">
        <f>IF($B910="",,SUMIFS(PerBase[Month 32],PerBase[exp_item],$H910,PerBase[company_name],$B910)*AQ490)</f>
        <v>0</v>
      </c>
      <c r="AR910" s="652">
        <f>IF($B910="",,SUMIFS(PerBase[Month 33],PerBase[exp_item],$H910,PerBase[company_name],$B910)*AR490)</f>
        <v>0</v>
      </c>
      <c r="AS910" s="652">
        <f>IF($B910="",,SUMIFS(PerBase[Month 34],PerBase[exp_item],$H910,PerBase[company_name],$B910)*AS490)</f>
        <v>0</v>
      </c>
      <c r="AT910" s="652">
        <f>IF($B910="",,SUMIFS(PerBase[Month 35],PerBase[exp_item],$H910,PerBase[company_name],$B910)*AT490)</f>
        <v>0</v>
      </c>
      <c r="AU910" s="652">
        <f>IF($B910="",,SUMIFS(PerBase[Month 36],PerBase[exp_item],$H910,PerBase[company_name],$B910)*AU490)</f>
        <v>0</v>
      </c>
    </row>
    <row r="911" spans="2:47" x14ac:dyDescent="0.35">
      <c r="B911" t="str">
        <f t="shared" ref="B911:G911" si="546">IF(B806="","",B806)</f>
        <v/>
      </c>
      <c r="C911" t="str">
        <f t="shared" si="546"/>
        <v/>
      </c>
      <c r="D911" t="str">
        <f t="shared" si="546"/>
        <v/>
      </c>
      <c r="E911" t="str">
        <f t="shared" si="546"/>
        <v/>
      </c>
      <c r="F911" t="str">
        <f t="shared" si="546"/>
        <v/>
      </c>
      <c r="G911" t="str">
        <f t="shared" si="546"/>
        <v/>
      </c>
      <c r="H911" t="str">
        <f t="shared" si="513"/>
        <v/>
      </c>
      <c r="J911" t="str">
        <f>IF($H911="","",IF(VLOOKUP(H911,ExpItems[],2,0),H911&amp;" - "&amp;INDEX(DivisionMapping[category_code],MATCH($D911&amp;$C911,DivisionMapping[dept_bu],0)),H911))</f>
        <v/>
      </c>
      <c r="K911" t="str">
        <f t="shared" si="516"/>
        <v/>
      </c>
      <c r="L911" s="652">
        <f>IF($B911="",,SUMIFS(PerBase[Month 1],PerBase[exp_item],$H911,PerBase[company_name],$B911)*L491)</f>
        <v>0</v>
      </c>
      <c r="M911" s="652">
        <f>IF($B911="",,SUMIFS(PerBase[Month 2],PerBase[exp_item],$H911,PerBase[company_name],$B911)*M491)</f>
        <v>0</v>
      </c>
      <c r="N911" s="652">
        <f>IF($B911="",,SUMIFS(PerBase[Month 3],PerBase[exp_item],$H911,PerBase[company_name],$B911)*N491)</f>
        <v>0</v>
      </c>
      <c r="O911" s="652">
        <f>IF($B911="",,SUMIFS(PerBase[Month 4],PerBase[exp_item],$H911,PerBase[company_name],$B911)*O491)</f>
        <v>0</v>
      </c>
      <c r="P911" s="652">
        <f>IF($B911="",,SUMIFS(PerBase[Month 5],PerBase[exp_item],$H911,PerBase[company_name],$B911)*P491)</f>
        <v>0</v>
      </c>
      <c r="Q911" s="652">
        <f>IF($B911="",,SUMIFS(PerBase[Month 6],PerBase[exp_item],$H911,PerBase[company_name],$B911)*Q491)</f>
        <v>0</v>
      </c>
      <c r="R911" s="652">
        <f>IF($B911="",,SUMIFS(PerBase[Month 7],PerBase[exp_item],$H911,PerBase[company_name],$B911)*R491)</f>
        <v>0</v>
      </c>
      <c r="S911" s="652">
        <f>IF($B911="",,SUMIFS(PerBase[Month 8],PerBase[exp_item],$H911,PerBase[company_name],$B911)*S491)</f>
        <v>0</v>
      </c>
      <c r="T911" s="652">
        <f>IF($B911="",,SUMIFS(PerBase[Month 9],PerBase[exp_item],$H911,PerBase[company_name],$B911)*T491)</f>
        <v>0</v>
      </c>
      <c r="U911" s="652">
        <f>IF($B911="",,SUMIFS(PerBase[Month 10],PerBase[exp_item],$H911,PerBase[company_name],$B911)*U491)</f>
        <v>0</v>
      </c>
      <c r="V911" s="652">
        <f>IF($B911="",,SUMIFS(PerBase[Month 11],PerBase[exp_item],$H911,PerBase[company_name],$B911)*V491)</f>
        <v>0</v>
      </c>
      <c r="W911" s="652">
        <f>IF($B911="",,SUMIFS(PerBase[Month 12],PerBase[exp_item],$H911,PerBase[company_name],$B911)*W491)</f>
        <v>0</v>
      </c>
      <c r="X911" s="652">
        <f>IF($B911="",,SUMIFS(PerBase[Month 13],PerBase[exp_item],$H911,PerBase[company_name],$B911)*X491)</f>
        <v>0</v>
      </c>
      <c r="Y911" s="652">
        <f>IF($B911="",,SUMIFS(PerBase[Month 14],PerBase[exp_item],$H911,PerBase[company_name],$B911)*Y491)</f>
        <v>0</v>
      </c>
      <c r="Z911" s="652">
        <f>IF($B911="",,SUMIFS(PerBase[Month 15],PerBase[exp_item],$H911,PerBase[company_name],$B911)*Z491)</f>
        <v>0</v>
      </c>
      <c r="AA911" s="652">
        <f>IF($B911="",,SUMIFS(PerBase[Month 16],PerBase[exp_item],$H911,PerBase[company_name],$B911)*AA491)</f>
        <v>0</v>
      </c>
      <c r="AB911" s="652">
        <f>IF($B911="",,SUMIFS(PerBase[Month 17],PerBase[exp_item],$H911,PerBase[company_name],$B911)*AB491)</f>
        <v>0</v>
      </c>
      <c r="AC911" s="652">
        <f>IF($B911="",,SUMIFS(PerBase[Month 18],PerBase[exp_item],$H911,PerBase[company_name],$B911)*AC491)</f>
        <v>0</v>
      </c>
      <c r="AD911" s="652">
        <f>IF($B911="",,SUMIFS(PerBase[Month 19],PerBase[exp_item],$H911,PerBase[company_name],$B911)*AD491)</f>
        <v>0</v>
      </c>
      <c r="AE911" s="652">
        <f>IF($B911="",,SUMIFS(PerBase[Month 20],PerBase[exp_item],$H911,PerBase[company_name],$B911)*AE491)</f>
        <v>0</v>
      </c>
      <c r="AF911" s="652">
        <f>IF($B911="",,SUMIFS(PerBase[Month 21],PerBase[exp_item],$H911,PerBase[company_name],$B911)*AF491)</f>
        <v>0</v>
      </c>
      <c r="AG911" s="652">
        <f>IF($B911="",,SUMIFS(PerBase[Month 22],PerBase[exp_item],$H911,PerBase[company_name],$B911)*AG491)</f>
        <v>0</v>
      </c>
      <c r="AH911" s="652">
        <f>IF($B911="",,SUMIFS(PerBase[Month 23],PerBase[exp_item],$H911,PerBase[company_name],$B911)*AH491)</f>
        <v>0</v>
      </c>
      <c r="AI911" s="652">
        <f>IF($B911="",,SUMIFS(PerBase[Month 24],PerBase[exp_item],$H911,PerBase[company_name],$B911)*AI491)</f>
        <v>0</v>
      </c>
      <c r="AJ911" s="652">
        <f>IF($B911="",,SUMIFS(PerBase[Month 25],PerBase[exp_item],$H911,PerBase[company_name],$B911)*AJ491)</f>
        <v>0</v>
      </c>
      <c r="AK911" s="652">
        <f>IF($B911="",,SUMIFS(PerBase[Month 26],PerBase[exp_item],$H911,PerBase[company_name],$B911)*AK491)</f>
        <v>0</v>
      </c>
      <c r="AL911" s="652">
        <f>IF($B911="",,SUMIFS(PerBase[Month 27],PerBase[exp_item],$H911,PerBase[company_name],$B911)*AL491)</f>
        <v>0</v>
      </c>
      <c r="AM911" s="652">
        <f>IF($B911="",,SUMIFS(PerBase[Month 28],PerBase[exp_item],$H911,PerBase[company_name],$B911)*AM491)</f>
        <v>0</v>
      </c>
      <c r="AN911" s="652">
        <f>IF($B911="",,SUMIFS(PerBase[Month 29],PerBase[exp_item],$H911,PerBase[company_name],$B911)*AN491)</f>
        <v>0</v>
      </c>
      <c r="AO911" s="652">
        <f>IF($B911="",,SUMIFS(PerBase[Month 30],PerBase[exp_item],$H911,PerBase[company_name],$B911)*AO491)</f>
        <v>0</v>
      </c>
      <c r="AP911" s="652">
        <f>IF($B911="",,SUMIFS(PerBase[Month 31],PerBase[exp_item],$H911,PerBase[company_name],$B911)*AP491)</f>
        <v>0</v>
      </c>
      <c r="AQ911" s="652">
        <f>IF($B911="",,SUMIFS(PerBase[Month 32],PerBase[exp_item],$H911,PerBase[company_name],$B911)*AQ491)</f>
        <v>0</v>
      </c>
      <c r="AR911" s="652">
        <f>IF($B911="",,SUMIFS(PerBase[Month 33],PerBase[exp_item],$H911,PerBase[company_name],$B911)*AR491)</f>
        <v>0</v>
      </c>
      <c r="AS911" s="652">
        <f>IF($B911="",,SUMIFS(PerBase[Month 34],PerBase[exp_item],$H911,PerBase[company_name],$B911)*AS491)</f>
        <v>0</v>
      </c>
      <c r="AT911" s="652">
        <f>IF($B911="",,SUMIFS(PerBase[Month 35],PerBase[exp_item],$H911,PerBase[company_name],$B911)*AT491)</f>
        <v>0</v>
      </c>
      <c r="AU911" s="652">
        <f>IF($B911="",,SUMIFS(PerBase[Month 36],PerBase[exp_item],$H911,PerBase[company_name],$B911)*AU491)</f>
        <v>0</v>
      </c>
    </row>
    <row r="912" spans="2:47" x14ac:dyDescent="0.35">
      <c r="B912" t="str">
        <f t="shared" ref="B912:G912" si="547">IF(B807="","",B807)</f>
        <v/>
      </c>
      <c r="C912" t="str">
        <f t="shared" si="547"/>
        <v/>
      </c>
      <c r="D912" t="str">
        <f t="shared" si="547"/>
        <v/>
      </c>
      <c r="E912" t="str">
        <f t="shared" si="547"/>
        <v/>
      </c>
      <c r="F912" t="str">
        <f t="shared" si="547"/>
        <v/>
      </c>
      <c r="G912" t="str">
        <f t="shared" si="547"/>
        <v/>
      </c>
      <c r="H912" t="str">
        <f t="shared" si="513"/>
        <v/>
      </c>
      <c r="J912" t="str">
        <f>IF($H912="","",IF(VLOOKUP(H912,ExpItems[],2,0),H912&amp;" - "&amp;INDEX(DivisionMapping[category_code],MATCH($D912&amp;$C912,DivisionMapping[dept_bu],0)),H912))</f>
        <v/>
      </c>
      <c r="K912" t="str">
        <f t="shared" si="516"/>
        <v/>
      </c>
      <c r="L912" s="652">
        <f>IF($B912="",,SUMIFS(PerBase[Month 1],PerBase[exp_item],$H912,PerBase[company_name],$B912)*L492)</f>
        <v>0</v>
      </c>
      <c r="M912" s="652">
        <f>IF($B912="",,SUMIFS(PerBase[Month 2],PerBase[exp_item],$H912,PerBase[company_name],$B912)*M492)</f>
        <v>0</v>
      </c>
      <c r="N912" s="652">
        <f>IF($B912="",,SUMIFS(PerBase[Month 3],PerBase[exp_item],$H912,PerBase[company_name],$B912)*N492)</f>
        <v>0</v>
      </c>
      <c r="O912" s="652">
        <f>IF($B912="",,SUMIFS(PerBase[Month 4],PerBase[exp_item],$H912,PerBase[company_name],$B912)*O492)</f>
        <v>0</v>
      </c>
      <c r="P912" s="652">
        <f>IF($B912="",,SUMIFS(PerBase[Month 5],PerBase[exp_item],$H912,PerBase[company_name],$B912)*P492)</f>
        <v>0</v>
      </c>
      <c r="Q912" s="652">
        <f>IF($B912="",,SUMIFS(PerBase[Month 6],PerBase[exp_item],$H912,PerBase[company_name],$B912)*Q492)</f>
        <v>0</v>
      </c>
      <c r="R912" s="652">
        <f>IF($B912="",,SUMIFS(PerBase[Month 7],PerBase[exp_item],$H912,PerBase[company_name],$B912)*R492)</f>
        <v>0</v>
      </c>
      <c r="S912" s="652">
        <f>IF($B912="",,SUMIFS(PerBase[Month 8],PerBase[exp_item],$H912,PerBase[company_name],$B912)*S492)</f>
        <v>0</v>
      </c>
      <c r="T912" s="652">
        <f>IF($B912="",,SUMIFS(PerBase[Month 9],PerBase[exp_item],$H912,PerBase[company_name],$B912)*T492)</f>
        <v>0</v>
      </c>
      <c r="U912" s="652">
        <f>IF($B912="",,SUMIFS(PerBase[Month 10],PerBase[exp_item],$H912,PerBase[company_name],$B912)*U492)</f>
        <v>0</v>
      </c>
      <c r="V912" s="652">
        <f>IF($B912="",,SUMIFS(PerBase[Month 11],PerBase[exp_item],$H912,PerBase[company_name],$B912)*V492)</f>
        <v>0</v>
      </c>
      <c r="W912" s="652">
        <f>IF($B912="",,SUMIFS(PerBase[Month 12],PerBase[exp_item],$H912,PerBase[company_name],$B912)*W492)</f>
        <v>0</v>
      </c>
      <c r="X912" s="652">
        <f>IF($B912="",,SUMIFS(PerBase[Month 13],PerBase[exp_item],$H912,PerBase[company_name],$B912)*X492)</f>
        <v>0</v>
      </c>
      <c r="Y912" s="652">
        <f>IF($B912="",,SUMIFS(PerBase[Month 14],PerBase[exp_item],$H912,PerBase[company_name],$B912)*Y492)</f>
        <v>0</v>
      </c>
      <c r="Z912" s="652">
        <f>IF($B912="",,SUMIFS(PerBase[Month 15],PerBase[exp_item],$H912,PerBase[company_name],$B912)*Z492)</f>
        <v>0</v>
      </c>
      <c r="AA912" s="652">
        <f>IF($B912="",,SUMIFS(PerBase[Month 16],PerBase[exp_item],$H912,PerBase[company_name],$B912)*AA492)</f>
        <v>0</v>
      </c>
      <c r="AB912" s="652">
        <f>IF($B912="",,SUMIFS(PerBase[Month 17],PerBase[exp_item],$H912,PerBase[company_name],$B912)*AB492)</f>
        <v>0</v>
      </c>
      <c r="AC912" s="652">
        <f>IF($B912="",,SUMIFS(PerBase[Month 18],PerBase[exp_item],$H912,PerBase[company_name],$B912)*AC492)</f>
        <v>0</v>
      </c>
      <c r="AD912" s="652">
        <f>IF($B912="",,SUMIFS(PerBase[Month 19],PerBase[exp_item],$H912,PerBase[company_name],$B912)*AD492)</f>
        <v>0</v>
      </c>
      <c r="AE912" s="652">
        <f>IF($B912="",,SUMIFS(PerBase[Month 20],PerBase[exp_item],$H912,PerBase[company_name],$B912)*AE492)</f>
        <v>0</v>
      </c>
      <c r="AF912" s="652">
        <f>IF($B912="",,SUMIFS(PerBase[Month 21],PerBase[exp_item],$H912,PerBase[company_name],$B912)*AF492)</f>
        <v>0</v>
      </c>
      <c r="AG912" s="652">
        <f>IF($B912="",,SUMIFS(PerBase[Month 22],PerBase[exp_item],$H912,PerBase[company_name],$B912)*AG492)</f>
        <v>0</v>
      </c>
      <c r="AH912" s="652">
        <f>IF($B912="",,SUMIFS(PerBase[Month 23],PerBase[exp_item],$H912,PerBase[company_name],$B912)*AH492)</f>
        <v>0</v>
      </c>
      <c r="AI912" s="652">
        <f>IF($B912="",,SUMIFS(PerBase[Month 24],PerBase[exp_item],$H912,PerBase[company_name],$B912)*AI492)</f>
        <v>0</v>
      </c>
      <c r="AJ912" s="652">
        <f>IF($B912="",,SUMIFS(PerBase[Month 25],PerBase[exp_item],$H912,PerBase[company_name],$B912)*AJ492)</f>
        <v>0</v>
      </c>
      <c r="AK912" s="652">
        <f>IF($B912="",,SUMIFS(PerBase[Month 26],PerBase[exp_item],$H912,PerBase[company_name],$B912)*AK492)</f>
        <v>0</v>
      </c>
      <c r="AL912" s="652">
        <f>IF($B912="",,SUMIFS(PerBase[Month 27],PerBase[exp_item],$H912,PerBase[company_name],$B912)*AL492)</f>
        <v>0</v>
      </c>
      <c r="AM912" s="652">
        <f>IF($B912="",,SUMIFS(PerBase[Month 28],PerBase[exp_item],$H912,PerBase[company_name],$B912)*AM492)</f>
        <v>0</v>
      </c>
      <c r="AN912" s="652">
        <f>IF($B912="",,SUMIFS(PerBase[Month 29],PerBase[exp_item],$H912,PerBase[company_name],$B912)*AN492)</f>
        <v>0</v>
      </c>
      <c r="AO912" s="652">
        <f>IF($B912="",,SUMIFS(PerBase[Month 30],PerBase[exp_item],$H912,PerBase[company_name],$B912)*AO492)</f>
        <v>0</v>
      </c>
      <c r="AP912" s="652">
        <f>IF($B912="",,SUMIFS(PerBase[Month 31],PerBase[exp_item],$H912,PerBase[company_name],$B912)*AP492)</f>
        <v>0</v>
      </c>
      <c r="AQ912" s="652">
        <f>IF($B912="",,SUMIFS(PerBase[Month 32],PerBase[exp_item],$H912,PerBase[company_name],$B912)*AQ492)</f>
        <v>0</v>
      </c>
      <c r="AR912" s="652">
        <f>IF($B912="",,SUMIFS(PerBase[Month 33],PerBase[exp_item],$H912,PerBase[company_name],$B912)*AR492)</f>
        <v>0</v>
      </c>
      <c r="AS912" s="652">
        <f>IF($B912="",,SUMIFS(PerBase[Month 34],PerBase[exp_item],$H912,PerBase[company_name],$B912)*AS492)</f>
        <v>0</v>
      </c>
      <c r="AT912" s="652">
        <f>IF($B912="",,SUMIFS(PerBase[Month 35],PerBase[exp_item],$H912,PerBase[company_name],$B912)*AT492)</f>
        <v>0</v>
      </c>
      <c r="AU912" s="652">
        <f>IF($B912="",,SUMIFS(PerBase[Month 36],PerBase[exp_item],$H912,PerBase[company_name],$B912)*AU492)</f>
        <v>0</v>
      </c>
    </row>
    <row r="913" spans="1:52" x14ac:dyDescent="0.35">
      <c r="B913" t="str">
        <f t="shared" ref="B913:G913" si="548">IF(B808="","",B808)</f>
        <v/>
      </c>
      <c r="C913" t="str">
        <f t="shared" si="548"/>
        <v/>
      </c>
      <c r="D913" t="str">
        <f t="shared" si="548"/>
        <v/>
      </c>
      <c r="E913" t="str">
        <f t="shared" si="548"/>
        <v/>
      </c>
      <c r="F913" t="str">
        <f t="shared" si="548"/>
        <v/>
      </c>
      <c r="G913" t="str">
        <f t="shared" si="548"/>
        <v/>
      </c>
      <c r="H913" t="str">
        <f t="shared" si="513"/>
        <v/>
      </c>
      <c r="J913" t="str">
        <f>IF($H913="","",IF(VLOOKUP(H913,ExpItems[],2,0),H913&amp;" - "&amp;INDEX(DivisionMapping[category_code],MATCH($D913&amp;$C913,DivisionMapping[dept_bu],0)),H913))</f>
        <v/>
      </c>
      <c r="K913" t="str">
        <f t="shared" si="516"/>
        <v/>
      </c>
      <c r="L913" s="652">
        <f>IF($B913="",,SUMIFS(PerBase[Month 1],PerBase[exp_item],$H913,PerBase[company_name],$B913)*L493)</f>
        <v>0</v>
      </c>
      <c r="M913" s="652">
        <f>IF($B913="",,SUMIFS(PerBase[Month 2],PerBase[exp_item],$H913,PerBase[company_name],$B913)*M493)</f>
        <v>0</v>
      </c>
      <c r="N913" s="652">
        <f>IF($B913="",,SUMIFS(PerBase[Month 3],PerBase[exp_item],$H913,PerBase[company_name],$B913)*N493)</f>
        <v>0</v>
      </c>
      <c r="O913" s="652">
        <f>IF($B913="",,SUMIFS(PerBase[Month 4],PerBase[exp_item],$H913,PerBase[company_name],$B913)*O493)</f>
        <v>0</v>
      </c>
      <c r="P913" s="652">
        <f>IF($B913="",,SUMIFS(PerBase[Month 5],PerBase[exp_item],$H913,PerBase[company_name],$B913)*P493)</f>
        <v>0</v>
      </c>
      <c r="Q913" s="652">
        <f>IF($B913="",,SUMIFS(PerBase[Month 6],PerBase[exp_item],$H913,PerBase[company_name],$B913)*Q493)</f>
        <v>0</v>
      </c>
      <c r="R913" s="652">
        <f>IF($B913="",,SUMIFS(PerBase[Month 7],PerBase[exp_item],$H913,PerBase[company_name],$B913)*R493)</f>
        <v>0</v>
      </c>
      <c r="S913" s="652">
        <f>IF($B913="",,SUMIFS(PerBase[Month 8],PerBase[exp_item],$H913,PerBase[company_name],$B913)*S493)</f>
        <v>0</v>
      </c>
      <c r="T913" s="652">
        <f>IF($B913="",,SUMIFS(PerBase[Month 9],PerBase[exp_item],$H913,PerBase[company_name],$B913)*T493)</f>
        <v>0</v>
      </c>
      <c r="U913" s="652">
        <f>IF($B913="",,SUMIFS(PerBase[Month 10],PerBase[exp_item],$H913,PerBase[company_name],$B913)*U493)</f>
        <v>0</v>
      </c>
      <c r="V913" s="652">
        <f>IF($B913="",,SUMIFS(PerBase[Month 11],PerBase[exp_item],$H913,PerBase[company_name],$B913)*V493)</f>
        <v>0</v>
      </c>
      <c r="W913" s="652">
        <f>IF($B913="",,SUMIFS(PerBase[Month 12],PerBase[exp_item],$H913,PerBase[company_name],$B913)*W493)</f>
        <v>0</v>
      </c>
      <c r="X913" s="652">
        <f>IF($B913="",,SUMIFS(PerBase[Month 13],PerBase[exp_item],$H913,PerBase[company_name],$B913)*X493)</f>
        <v>0</v>
      </c>
      <c r="Y913" s="652">
        <f>IF($B913="",,SUMIFS(PerBase[Month 14],PerBase[exp_item],$H913,PerBase[company_name],$B913)*Y493)</f>
        <v>0</v>
      </c>
      <c r="Z913" s="652">
        <f>IF($B913="",,SUMIFS(PerBase[Month 15],PerBase[exp_item],$H913,PerBase[company_name],$B913)*Z493)</f>
        <v>0</v>
      </c>
      <c r="AA913" s="652">
        <f>IF($B913="",,SUMIFS(PerBase[Month 16],PerBase[exp_item],$H913,PerBase[company_name],$B913)*AA493)</f>
        <v>0</v>
      </c>
      <c r="AB913" s="652">
        <f>IF($B913="",,SUMIFS(PerBase[Month 17],PerBase[exp_item],$H913,PerBase[company_name],$B913)*AB493)</f>
        <v>0</v>
      </c>
      <c r="AC913" s="652">
        <f>IF($B913="",,SUMIFS(PerBase[Month 18],PerBase[exp_item],$H913,PerBase[company_name],$B913)*AC493)</f>
        <v>0</v>
      </c>
      <c r="AD913" s="652">
        <f>IF($B913="",,SUMIFS(PerBase[Month 19],PerBase[exp_item],$H913,PerBase[company_name],$B913)*AD493)</f>
        <v>0</v>
      </c>
      <c r="AE913" s="652">
        <f>IF($B913="",,SUMIFS(PerBase[Month 20],PerBase[exp_item],$H913,PerBase[company_name],$B913)*AE493)</f>
        <v>0</v>
      </c>
      <c r="AF913" s="652">
        <f>IF($B913="",,SUMIFS(PerBase[Month 21],PerBase[exp_item],$H913,PerBase[company_name],$B913)*AF493)</f>
        <v>0</v>
      </c>
      <c r="AG913" s="652">
        <f>IF($B913="",,SUMIFS(PerBase[Month 22],PerBase[exp_item],$H913,PerBase[company_name],$B913)*AG493)</f>
        <v>0</v>
      </c>
      <c r="AH913" s="652">
        <f>IF($B913="",,SUMIFS(PerBase[Month 23],PerBase[exp_item],$H913,PerBase[company_name],$B913)*AH493)</f>
        <v>0</v>
      </c>
      <c r="AI913" s="652">
        <f>IF($B913="",,SUMIFS(PerBase[Month 24],PerBase[exp_item],$H913,PerBase[company_name],$B913)*AI493)</f>
        <v>0</v>
      </c>
      <c r="AJ913" s="652">
        <f>IF($B913="",,SUMIFS(PerBase[Month 25],PerBase[exp_item],$H913,PerBase[company_name],$B913)*AJ493)</f>
        <v>0</v>
      </c>
      <c r="AK913" s="652">
        <f>IF($B913="",,SUMIFS(PerBase[Month 26],PerBase[exp_item],$H913,PerBase[company_name],$B913)*AK493)</f>
        <v>0</v>
      </c>
      <c r="AL913" s="652">
        <f>IF($B913="",,SUMIFS(PerBase[Month 27],PerBase[exp_item],$H913,PerBase[company_name],$B913)*AL493)</f>
        <v>0</v>
      </c>
      <c r="AM913" s="652">
        <f>IF($B913="",,SUMIFS(PerBase[Month 28],PerBase[exp_item],$H913,PerBase[company_name],$B913)*AM493)</f>
        <v>0</v>
      </c>
      <c r="AN913" s="652">
        <f>IF($B913="",,SUMIFS(PerBase[Month 29],PerBase[exp_item],$H913,PerBase[company_name],$B913)*AN493)</f>
        <v>0</v>
      </c>
      <c r="AO913" s="652">
        <f>IF($B913="",,SUMIFS(PerBase[Month 30],PerBase[exp_item],$H913,PerBase[company_name],$B913)*AO493)</f>
        <v>0</v>
      </c>
      <c r="AP913" s="652">
        <f>IF($B913="",,SUMIFS(PerBase[Month 31],PerBase[exp_item],$H913,PerBase[company_name],$B913)*AP493)</f>
        <v>0</v>
      </c>
      <c r="AQ913" s="652">
        <f>IF($B913="",,SUMIFS(PerBase[Month 32],PerBase[exp_item],$H913,PerBase[company_name],$B913)*AQ493)</f>
        <v>0</v>
      </c>
      <c r="AR913" s="652">
        <f>IF($B913="",,SUMIFS(PerBase[Month 33],PerBase[exp_item],$H913,PerBase[company_name],$B913)*AR493)</f>
        <v>0</v>
      </c>
      <c r="AS913" s="652">
        <f>IF($B913="",,SUMIFS(PerBase[Month 34],PerBase[exp_item],$H913,PerBase[company_name],$B913)*AS493)</f>
        <v>0</v>
      </c>
      <c r="AT913" s="652">
        <f>IF($B913="",,SUMIFS(PerBase[Month 35],PerBase[exp_item],$H913,PerBase[company_name],$B913)*AT493)</f>
        <v>0</v>
      </c>
      <c r="AU913" s="652">
        <f>IF($B913="",,SUMIFS(PerBase[Month 36],PerBase[exp_item],$H913,PerBase[company_name],$B913)*AU493)</f>
        <v>0</v>
      </c>
    </row>
    <row r="914" spans="1:52" x14ac:dyDescent="0.35">
      <c r="B914" t="str">
        <f t="shared" ref="B914:G914" si="549">IF(B809="","",B809)</f>
        <v/>
      </c>
      <c r="C914" t="str">
        <f t="shared" si="549"/>
        <v/>
      </c>
      <c r="D914" t="str">
        <f t="shared" si="549"/>
        <v/>
      </c>
      <c r="E914" t="str">
        <f t="shared" si="549"/>
        <v/>
      </c>
      <c r="F914" t="str">
        <f t="shared" si="549"/>
        <v/>
      </c>
      <c r="G914" t="str">
        <f t="shared" si="549"/>
        <v/>
      </c>
      <c r="H914" t="str">
        <f t="shared" si="513"/>
        <v/>
      </c>
      <c r="J914" t="str">
        <f>IF($H914="","",IF(VLOOKUP(H914,ExpItems[],2,0),H914&amp;" - "&amp;INDEX(DivisionMapping[category_code],MATCH($D914&amp;$C914,DivisionMapping[dept_bu],0)),H914))</f>
        <v/>
      </c>
      <c r="K914" t="str">
        <f t="shared" si="516"/>
        <v/>
      </c>
      <c r="L914" s="652">
        <f>IF($B914="",,SUMIFS(PerBase[Month 1],PerBase[exp_item],$H914,PerBase[company_name],$B914)*L494)</f>
        <v>0</v>
      </c>
      <c r="M914" s="652">
        <f>IF($B914="",,SUMIFS(PerBase[Month 2],PerBase[exp_item],$H914,PerBase[company_name],$B914)*M494)</f>
        <v>0</v>
      </c>
      <c r="N914" s="652">
        <f>IF($B914="",,SUMIFS(PerBase[Month 3],PerBase[exp_item],$H914,PerBase[company_name],$B914)*N494)</f>
        <v>0</v>
      </c>
      <c r="O914" s="652">
        <f>IF($B914="",,SUMIFS(PerBase[Month 4],PerBase[exp_item],$H914,PerBase[company_name],$B914)*O494)</f>
        <v>0</v>
      </c>
      <c r="P914" s="652">
        <f>IF($B914="",,SUMIFS(PerBase[Month 5],PerBase[exp_item],$H914,PerBase[company_name],$B914)*P494)</f>
        <v>0</v>
      </c>
      <c r="Q914" s="652">
        <f>IF($B914="",,SUMIFS(PerBase[Month 6],PerBase[exp_item],$H914,PerBase[company_name],$B914)*Q494)</f>
        <v>0</v>
      </c>
      <c r="R914" s="652">
        <f>IF($B914="",,SUMIFS(PerBase[Month 7],PerBase[exp_item],$H914,PerBase[company_name],$B914)*R494)</f>
        <v>0</v>
      </c>
      <c r="S914" s="652">
        <f>IF($B914="",,SUMIFS(PerBase[Month 8],PerBase[exp_item],$H914,PerBase[company_name],$B914)*S494)</f>
        <v>0</v>
      </c>
      <c r="T914" s="652">
        <f>IF($B914="",,SUMIFS(PerBase[Month 9],PerBase[exp_item],$H914,PerBase[company_name],$B914)*T494)</f>
        <v>0</v>
      </c>
      <c r="U914" s="652">
        <f>IF($B914="",,SUMIFS(PerBase[Month 10],PerBase[exp_item],$H914,PerBase[company_name],$B914)*U494)</f>
        <v>0</v>
      </c>
      <c r="V914" s="652">
        <f>IF($B914="",,SUMIFS(PerBase[Month 11],PerBase[exp_item],$H914,PerBase[company_name],$B914)*V494)</f>
        <v>0</v>
      </c>
      <c r="W914" s="652">
        <f>IF($B914="",,SUMIFS(PerBase[Month 12],PerBase[exp_item],$H914,PerBase[company_name],$B914)*W494)</f>
        <v>0</v>
      </c>
      <c r="X914" s="652">
        <f>IF($B914="",,SUMIFS(PerBase[Month 13],PerBase[exp_item],$H914,PerBase[company_name],$B914)*X494)</f>
        <v>0</v>
      </c>
      <c r="Y914" s="652">
        <f>IF($B914="",,SUMIFS(PerBase[Month 14],PerBase[exp_item],$H914,PerBase[company_name],$B914)*Y494)</f>
        <v>0</v>
      </c>
      <c r="Z914" s="652">
        <f>IF($B914="",,SUMIFS(PerBase[Month 15],PerBase[exp_item],$H914,PerBase[company_name],$B914)*Z494)</f>
        <v>0</v>
      </c>
      <c r="AA914" s="652">
        <f>IF($B914="",,SUMIFS(PerBase[Month 16],PerBase[exp_item],$H914,PerBase[company_name],$B914)*AA494)</f>
        <v>0</v>
      </c>
      <c r="AB914" s="652">
        <f>IF($B914="",,SUMIFS(PerBase[Month 17],PerBase[exp_item],$H914,PerBase[company_name],$B914)*AB494)</f>
        <v>0</v>
      </c>
      <c r="AC914" s="652">
        <f>IF($B914="",,SUMIFS(PerBase[Month 18],PerBase[exp_item],$H914,PerBase[company_name],$B914)*AC494)</f>
        <v>0</v>
      </c>
      <c r="AD914" s="652">
        <f>IF($B914="",,SUMIFS(PerBase[Month 19],PerBase[exp_item],$H914,PerBase[company_name],$B914)*AD494)</f>
        <v>0</v>
      </c>
      <c r="AE914" s="652">
        <f>IF($B914="",,SUMIFS(PerBase[Month 20],PerBase[exp_item],$H914,PerBase[company_name],$B914)*AE494)</f>
        <v>0</v>
      </c>
      <c r="AF914" s="652">
        <f>IF($B914="",,SUMIFS(PerBase[Month 21],PerBase[exp_item],$H914,PerBase[company_name],$B914)*AF494)</f>
        <v>0</v>
      </c>
      <c r="AG914" s="652">
        <f>IF($B914="",,SUMIFS(PerBase[Month 22],PerBase[exp_item],$H914,PerBase[company_name],$B914)*AG494)</f>
        <v>0</v>
      </c>
      <c r="AH914" s="652">
        <f>IF($B914="",,SUMIFS(PerBase[Month 23],PerBase[exp_item],$H914,PerBase[company_name],$B914)*AH494)</f>
        <v>0</v>
      </c>
      <c r="AI914" s="652">
        <f>IF($B914="",,SUMIFS(PerBase[Month 24],PerBase[exp_item],$H914,PerBase[company_name],$B914)*AI494)</f>
        <v>0</v>
      </c>
      <c r="AJ914" s="652">
        <f>IF($B914="",,SUMIFS(PerBase[Month 25],PerBase[exp_item],$H914,PerBase[company_name],$B914)*AJ494)</f>
        <v>0</v>
      </c>
      <c r="AK914" s="652">
        <f>IF($B914="",,SUMIFS(PerBase[Month 26],PerBase[exp_item],$H914,PerBase[company_name],$B914)*AK494)</f>
        <v>0</v>
      </c>
      <c r="AL914" s="652">
        <f>IF($B914="",,SUMIFS(PerBase[Month 27],PerBase[exp_item],$H914,PerBase[company_name],$B914)*AL494)</f>
        <v>0</v>
      </c>
      <c r="AM914" s="652">
        <f>IF($B914="",,SUMIFS(PerBase[Month 28],PerBase[exp_item],$H914,PerBase[company_name],$B914)*AM494)</f>
        <v>0</v>
      </c>
      <c r="AN914" s="652">
        <f>IF($B914="",,SUMIFS(PerBase[Month 29],PerBase[exp_item],$H914,PerBase[company_name],$B914)*AN494)</f>
        <v>0</v>
      </c>
      <c r="AO914" s="652">
        <f>IF($B914="",,SUMIFS(PerBase[Month 30],PerBase[exp_item],$H914,PerBase[company_name],$B914)*AO494)</f>
        <v>0</v>
      </c>
      <c r="AP914" s="652">
        <f>IF($B914="",,SUMIFS(PerBase[Month 31],PerBase[exp_item],$H914,PerBase[company_name],$B914)*AP494)</f>
        <v>0</v>
      </c>
      <c r="AQ914" s="652">
        <f>IF($B914="",,SUMIFS(PerBase[Month 32],PerBase[exp_item],$H914,PerBase[company_name],$B914)*AQ494)</f>
        <v>0</v>
      </c>
      <c r="AR914" s="652">
        <f>IF($B914="",,SUMIFS(PerBase[Month 33],PerBase[exp_item],$H914,PerBase[company_name],$B914)*AR494)</f>
        <v>0</v>
      </c>
      <c r="AS914" s="652">
        <f>IF($B914="",,SUMIFS(PerBase[Month 34],PerBase[exp_item],$H914,PerBase[company_name],$B914)*AS494)</f>
        <v>0</v>
      </c>
      <c r="AT914" s="652">
        <f>IF($B914="",,SUMIFS(PerBase[Month 35],PerBase[exp_item],$H914,PerBase[company_name],$B914)*AT494)</f>
        <v>0</v>
      </c>
      <c r="AU914" s="652">
        <f>IF($B914="",,SUMIFS(PerBase[Month 36],PerBase[exp_item],$H914,PerBase[company_name],$B914)*AU494)</f>
        <v>0</v>
      </c>
    </row>
    <row r="915" spans="1:52" x14ac:dyDescent="0.35">
      <c r="B915" t="str">
        <f t="shared" ref="B915:G915" si="550">IF(B810="","",B810)</f>
        <v/>
      </c>
      <c r="C915" t="str">
        <f t="shared" si="550"/>
        <v/>
      </c>
      <c r="D915" t="str">
        <f t="shared" si="550"/>
        <v/>
      </c>
      <c r="E915" t="str">
        <f t="shared" si="550"/>
        <v/>
      </c>
      <c r="F915" t="str">
        <f t="shared" si="550"/>
        <v/>
      </c>
      <c r="G915" t="str">
        <f t="shared" si="550"/>
        <v/>
      </c>
      <c r="H915" t="str">
        <f t="shared" si="513"/>
        <v/>
      </c>
      <c r="J915" t="str">
        <f>IF($H915="","",IF(VLOOKUP(H915,ExpItems[],2,0),H915&amp;" - "&amp;INDEX(DivisionMapping[category_code],MATCH($D915&amp;$C915,DivisionMapping[dept_bu],0)),H915))</f>
        <v/>
      </c>
      <c r="K915" t="str">
        <f t="shared" si="516"/>
        <v/>
      </c>
      <c r="L915" s="652">
        <f>IF($B915="",,SUMIFS(PerBase[Month 1],PerBase[exp_item],$H915,PerBase[company_name],$B915)*L495)</f>
        <v>0</v>
      </c>
      <c r="M915" s="652">
        <f>IF($B915="",,SUMIFS(PerBase[Month 2],PerBase[exp_item],$H915,PerBase[company_name],$B915)*M495)</f>
        <v>0</v>
      </c>
      <c r="N915" s="652">
        <f>IF($B915="",,SUMIFS(PerBase[Month 3],PerBase[exp_item],$H915,PerBase[company_name],$B915)*N495)</f>
        <v>0</v>
      </c>
      <c r="O915" s="652">
        <f>IF($B915="",,SUMIFS(PerBase[Month 4],PerBase[exp_item],$H915,PerBase[company_name],$B915)*O495)</f>
        <v>0</v>
      </c>
      <c r="P915" s="652">
        <f>IF($B915="",,SUMIFS(PerBase[Month 5],PerBase[exp_item],$H915,PerBase[company_name],$B915)*P495)</f>
        <v>0</v>
      </c>
      <c r="Q915" s="652">
        <f>IF($B915="",,SUMIFS(PerBase[Month 6],PerBase[exp_item],$H915,PerBase[company_name],$B915)*Q495)</f>
        <v>0</v>
      </c>
      <c r="R915" s="652">
        <f>IF($B915="",,SUMIFS(PerBase[Month 7],PerBase[exp_item],$H915,PerBase[company_name],$B915)*R495)</f>
        <v>0</v>
      </c>
      <c r="S915" s="652">
        <f>IF($B915="",,SUMIFS(PerBase[Month 8],PerBase[exp_item],$H915,PerBase[company_name],$B915)*S495)</f>
        <v>0</v>
      </c>
      <c r="T915" s="652">
        <f>IF($B915="",,SUMIFS(PerBase[Month 9],PerBase[exp_item],$H915,PerBase[company_name],$B915)*T495)</f>
        <v>0</v>
      </c>
      <c r="U915" s="652">
        <f>IF($B915="",,SUMIFS(PerBase[Month 10],PerBase[exp_item],$H915,PerBase[company_name],$B915)*U495)</f>
        <v>0</v>
      </c>
      <c r="V915" s="652">
        <f>IF($B915="",,SUMIFS(PerBase[Month 11],PerBase[exp_item],$H915,PerBase[company_name],$B915)*V495)</f>
        <v>0</v>
      </c>
      <c r="W915" s="652">
        <f>IF($B915="",,SUMIFS(PerBase[Month 12],PerBase[exp_item],$H915,PerBase[company_name],$B915)*W495)</f>
        <v>0</v>
      </c>
      <c r="X915" s="652">
        <f>IF($B915="",,SUMIFS(PerBase[Month 13],PerBase[exp_item],$H915,PerBase[company_name],$B915)*X495)</f>
        <v>0</v>
      </c>
      <c r="Y915" s="652">
        <f>IF($B915="",,SUMIFS(PerBase[Month 14],PerBase[exp_item],$H915,PerBase[company_name],$B915)*Y495)</f>
        <v>0</v>
      </c>
      <c r="Z915" s="652">
        <f>IF($B915="",,SUMIFS(PerBase[Month 15],PerBase[exp_item],$H915,PerBase[company_name],$B915)*Z495)</f>
        <v>0</v>
      </c>
      <c r="AA915" s="652">
        <f>IF($B915="",,SUMIFS(PerBase[Month 16],PerBase[exp_item],$H915,PerBase[company_name],$B915)*AA495)</f>
        <v>0</v>
      </c>
      <c r="AB915" s="652">
        <f>IF($B915="",,SUMIFS(PerBase[Month 17],PerBase[exp_item],$H915,PerBase[company_name],$B915)*AB495)</f>
        <v>0</v>
      </c>
      <c r="AC915" s="652">
        <f>IF($B915="",,SUMIFS(PerBase[Month 18],PerBase[exp_item],$H915,PerBase[company_name],$B915)*AC495)</f>
        <v>0</v>
      </c>
      <c r="AD915" s="652">
        <f>IF($B915="",,SUMIFS(PerBase[Month 19],PerBase[exp_item],$H915,PerBase[company_name],$B915)*AD495)</f>
        <v>0</v>
      </c>
      <c r="AE915" s="652">
        <f>IF($B915="",,SUMIFS(PerBase[Month 20],PerBase[exp_item],$H915,PerBase[company_name],$B915)*AE495)</f>
        <v>0</v>
      </c>
      <c r="AF915" s="652">
        <f>IF($B915="",,SUMIFS(PerBase[Month 21],PerBase[exp_item],$H915,PerBase[company_name],$B915)*AF495)</f>
        <v>0</v>
      </c>
      <c r="AG915" s="652">
        <f>IF($B915="",,SUMIFS(PerBase[Month 22],PerBase[exp_item],$H915,PerBase[company_name],$B915)*AG495)</f>
        <v>0</v>
      </c>
      <c r="AH915" s="652">
        <f>IF($B915="",,SUMIFS(PerBase[Month 23],PerBase[exp_item],$H915,PerBase[company_name],$B915)*AH495)</f>
        <v>0</v>
      </c>
      <c r="AI915" s="652">
        <f>IF($B915="",,SUMIFS(PerBase[Month 24],PerBase[exp_item],$H915,PerBase[company_name],$B915)*AI495)</f>
        <v>0</v>
      </c>
      <c r="AJ915" s="652">
        <f>IF($B915="",,SUMIFS(PerBase[Month 25],PerBase[exp_item],$H915,PerBase[company_name],$B915)*AJ495)</f>
        <v>0</v>
      </c>
      <c r="AK915" s="652">
        <f>IF($B915="",,SUMIFS(PerBase[Month 26],PerBase[exp_item],$H915,PerBase[company_name],$B915)*AK495)</f>
        <v>0</v>
      </c>
      <c r="AL915" s="652">
        <f>IF($B915="",,SUMIFS(PerBase[Month 27],PerBase[exp_item],$H915,PerBase[company_name],$B915)*AL495)</f>
        <v>0</v>
      </c>
      <c r="AM915" s="652">
        <f>IF($B915="",,SUMIFS(PerBase[Month 28],PerBase[exp_item],$H915,PerBase[company_name],$B915)*AM495)</f>
        <v>0</v>
      </c>
      <c r="AN915" s="652">
        <f>IF($B915="",,SUMIFS(PerBase[Month 29],PerBase[exp_item],$H915,PerBase[company_name],$B915)*AN495)</f>
        <v>0</v>
      </c>
      <c r="AO915" s="652">
        <f>IF($B915="",,SUMIFS(PerBase[Month 30],PerBase[exp_item],$H915,PerBase[company_name],$B915)*AO495)</f>
        <v>0</v>
      </c>
      <c r="AP915" s="652">
        <f>IF($B915="",,SUMIFS(PerBase[Month 31],PerBase[exp_item],$H915,PerBase[company_name],$B915)*AP495)</f>
        <v>0</v>
      </c>
      <c r="AQ915" s="652">
        <f>IF($B915="",,SUMIFS(PerBase[Month 32],PerBase[exp_item],$H915,PerBase[company_name],$B915)*AQ495)</f>
        <v>0</v>
      </c>
      <c r="AR915" s="652">
        <f>IF($B915="",,SUMIFS(PerBase[Month 33],PerBase[exp_item],$H915,PerBase[company_name],$B915)*AR495)</f>
        <v>0</v>
      </c>
      <c r="AS915" s="652">
        <f>IF($B915="",,SUMIFS(PerBase[Month 34],PerBase[exp_item],$H915,PerBase[company_name],$B915)*AS495)</f>
        <v>0</v>
      </c>
      <c r="AT915" s="652">
        <f>IF($B915="",,SUMIFS(PerBase[Month 35],PerBase[exp_item],$H915,PerBase[company_name],$B915)*AT495)</f>
        <v>0</v>
      </c>
      <c r="AU915" s="652">
        <f>IF($B915="",,SUMIFS(PerBase[Month 36],PerBase[exp_item],$H915,PerBase[company_name],$B915)*AU495)</f>
        <v>0</v>
      </c>
    </row>
    <row r="916" spans="1:52" x14ac:dyDescent="0.35">
      <c r="B916" t="str">
        <f t="shared" ref="B916:G916" si="551">IF(B811="","",B811)</f>
        <v/>
      </c>
      <c r="C916" t="str">
        <f t="shared" si="551"/>
        <v/>
      </c>
      <c r="D916" t="str">
        <f t="shared" si="551"/>
        <v/>
      </c>
      <c r="E916" t="str">
        <f t="shared" si="551"/>
        <v/>
      </c>
      <c r="F916" t="str">
        <f t="shared" si="551"/>
        <v/>
      </c>
      <c r="G916" t="str">
        <f t="shared" si="551"/>
        <v/>
      </c>
      <c r="H916" t="str">
        <f t="shared" si="513"/>
        <v/>
      </c>
      <c r="J916" t="str">
        <f>IF($H916="","",IF(VLOOKUP(H916,ExpItems[],2,0),H916&amp;" - "&amp;INDEX(DivisionMapping[category_code],MATCH($D916&amp;$C916,DivisionMapping[dept_bu],0)),H916))</f>
        <v/>
      </c>
      <c r="K916" t="str">
        <f t="shared" si="516"/>
        <v/>
      </c>
      <c r="L916" s="652">
        <f>IF($B916="",,SUMIFS(PerBase[Month 1],PerBase[exp_item],$H916,PerBase[company_name],$B916)*L496)</f>
        <v>0</v>
      </c>
      <c r="M916" s="652">
        <f>IF($B916="",,SUMIFS(PerBase[Month 2],PerBase[exp_item],$H916,PerBase[company_name],$B916)*M496)</f>
        <v>0</v>
      </c>
      <c r="N916" s="652">
        <f>IF($B916="",,SUMIFS(PerBase[Month 3],PerBase[exp_item],$H916,PerBase[company_name],$B916)*N496)</f>
        <v>0</v>
      </c>
      <c r="O916" s="652">
        <f>IF($B916="",,SUMIFS(PerBase[Month 4],PerBase[exp_item],$H916,PerBase[company_name],$B916)*O496)</f>
        <v>0</v>
      </c>
      <c r="P916" s="652">
        <f>IF($B916="",,SUMIFS(PerBase[Month 5],PerBase[exp_item],$H916,PerBase[company_name],$B916)*P496)</f>
        <v>0</v>
      </c>
      <c r="Q916" s="652">
        <f>IF($B916="",,SUMIFS(PerBase[Month 6],PerBase[exp_item],$H916,PerBase[company_name],$B916)*Q496)</f>
        <v>0</v>
      </c>
      <c r="R916" s="652">
        <f>IF($B916="",,SUMIFS(PerBase[Month 7],PerBase[exp_item],$H916,PerBase[company_name],$B916)*R496)</f>
        <v>0</v>
      </c>
      <c r="S916" s="652">
        <f>IF($B916="",,SUMIFS(PerBase[Month 8],PerBase[exp_item],$H916,PerBase[company_name],$B916)*S496)</f>
        <v>0</v>
      </c>
      <c r="T916" s="652">
        <f>IF($B916="",,SUMIFS(PerBase[Month 9],PerBase[exp_item],$H916,PerBase[company_name],$B916)*T496)</f>
        <v>0</v>
      </c>
      <c r="U916" s="652">
        <f>IF($B916="",,SUMIFS(PerBase[Month 10],PerBase[exp_item],$H916,PerBase[company_name],$B916)*U496)</f>
        <v>0</v>
      </c>
      <c r="V916" s="652">
        <f>IF($B916="",,SUMIFS(PerBase[Month 11],PerBase[exp_item],$H916,PerBase[company_name],$B916)*V496)</f>
        <v>0</v>
      </c>
      <c r="W916" s="652">
        <f>IF($B916="",,SUMIFS(PerBase[Month 12],PerBase[exp_item],$H916,PerBase[company_name],$B916)*W496)</f>
        <v>0</v>
      </c>
      <c r="X916" s="652">
        <f>IF($B916="",,SUMIFS(PerBase[Month 13],PerBase[exp_item],$H916,PerBase[company_name],$B916)*X496)</f>
        <v>0</v>
      </c>
      <c r="Y916" s="652">
        <f>IF($B916="",,SUMIFS(PerBase[Month 14],PerBase[exp_item],$H916,PerBase[company_name],$B916)*Y496)</f>
        <v>0</v>
      </c>
      <c r="Z916" s="652">
        <f>IF($B916="",,SUMIFS(PerBase[Month 15],PerBase[exp_item],$H916,PerBase[company_name],$B916)*Z496)</f>
        <v>0</v>
      </c>
      <c r="AA916" s="652">
        <f>IF($B916="",,SUMIFS(PerBase[Month 16],PerBase[exp_item],$H916,PerBase[company_name],$B916)*AA496)</f>
        <v>0</v>
      </c>
      <c r="AB916" s="652">
        <f>IF($B916="",,SUMIFS(PerBase[Month 17],PerBase[exp_item],$H916,PerBase[company_name],$B916)*AB496)</f>
        <v>0</v>
      </c>
      <c r="AC916" s="652">
        <f>IF($B916="",,SUMIFS(PerBase[Month 18],PerBase[exp_item],$H916,PerBase[company_name],$B916)*AC496)</f>
        <v>0</v>
      </c>
      <c r="AD916" s="652">
        <f>IF($B916="",,SUMIFS(PerBase[Month 19],PerBase[exp_item],$H916,PerBase[company_name],$B916)*AD496)</f>
        <v>0</v>
      </c>
      <c r="AE916" s="652">
        <f>IF($B916="",,SUMIFS(PerBase[Month 20],PerBase[exp_item],$H916,PerBase[company_name],$B916)*AE496)</f>
        <v>0</v>
      </c>
      <c r="AF916" s="652">
        <f>IF($B916="",,SUMIFS(PerBase[Month 21],PerBase[exp_item],$H916,PerBase[company_name],$B916)*AF496)</f>
        <v>0</v>
      </c>
      <c r="AG916" s="652">
        <f>IF($B916="",,SUMIFS(PerBase[Month 22],PerBase[exp_item],$H916,PerBase[company_name],$B916)*AG496)</f>
        <v>0</v>
      </c>
      <c r="AH916" s="652">
        <f>IF($B916="",,SUMIFS(PerBase[Month 23],PerBase[exp_item],$H916,PerBase[company_name],$B916)*AH496)</f>
        <v>0</v>
      </c>
      <c r="AI916" s="652">
        <f>IF($B916="",,SUMIFS(PerBase[Month 24],PerBase[exp_item],$H916,PerBase[company_name],$B916)*AI496)</f>
        <v>0</v>
      </c>
      <c r="AJ916" s="652">
        <f>IF($B916="",,SUMIFS(PerBase[Month 25],PerBase[exp_item],$H916,PerBase[company_name],$B916)*AJ496)</f>
        <v>0</v>
      </c>
      <c r="AK916" s="652">
        <f>IF($B916="",,SUMIFS(PerBase[Month 26],PerBase[exp_item],$H916,PerBase[company_name],$B916)*AK496)</f>
        <v>0</v>
      </c>
      <c r="AL916" s="652">
        <f>IF($B916="",,SUMIFS(PerBase[Month 27],PerBase[exp_item],$H916,PerBase[company_name],$B916)*AL496)</f>
        <v>0</v>
      </c>
      <c r="AM916" s="652">
        <f>IF($B916="",,SUMIFS(PerBase[Month 28],PerBase[exp_item],$H916,PerBase[company_name],$B916)*AM496)</f>
        <v>0</v>
      </c>
      <c r="AN916" s="652">
        <f>IF($B916="",,SUMIFS(PerBase[Month 29],PerBase[exp_item],$H916,PerBase[company_name],$B916)*AN496)</f>
        <v>0</v>
      </c>
      <c r="AO916" s="652">
        <f>IF($B916="",,SUMIFS(PerBase[Month 30],PerBase[exp_item],$H916,PerBase[company_name],$B916)*AO496)</f>
        <v>0</v>
      </c>
      <c r="AP916" s="652">
        <f>IF($B916="",,SUMIFS(PerBase[Month 31],PerBase[exp_item],$H916,PerBase[company_name],$B916)*AP496)</f>
        <v>0</v>
      </c>
      <c r="AQ916" s="652">
        <f>IF($B916="",,SUMIFS(PerBase[Month 32],PerBase[exp_item],$H916,PerBase[company_name],$B916)*AQ496)</f>
        <v>0</v>
      </c>
      <c r="AR916" s="652">
        <f>IF($B916="",,SUMIFS(PerBase[Month 33],PerBase[exp_item],$H916,PerBase[company_name],$B916)*AR496)</f>
        <v>0</v>
      </c>
      <c r="AS916" s="652">
        <f>IF($B916="",,SUMIFS(PerBase[Month 34],PerBase[exp_item],$H916,PerBase[company_name],$B916)*AS496)</f>
        <v>0</v>
      </c>
      <c r="AT916" s="652">
        <f>IF($B916="",,SUMIFS(PerBase[Month 35],PerBase[exp_item],$H916,PerBase[company_name],$B916)*AT496)</f>
        <v>0</v>
      </c>
      <c r="AU916" s="652">
        <f>IF($B916="",,SUMIFS(PerBase[Month 36],PerBase[exp_item],$H916,PerBase[company_name],$B916)*AU496)</f>
        <v>0</v>
      </c>
    </row>
    <row r="918" spans="1:52" x14ac:dyDescent="0.35">
      <c r="A918" s="285" t="s">
        <v>1157</v>
      </c>
      <c r="B918" s="285" t="s">
        <v>1157</v>
      </c>
      <c r="C918" s="285" t="s">
        <v>1157</v>
      </c>
      <c r="D918" s="285" t="s">
        <v>1157</v>
      </c>
      <c r="E918" s="285" t="s">
        <v>1157</v>
      </c>
      <c r="F918" s="285" t="s">
        <v>1157</v>
      </c>
      <c r="G918" s="285" t="s">
        <v>1157</v>
      </c>
      <c r="H918" s="285" t="s">
        <v>1157</v>
      </c>
      <c r="I918" s="285" t="s">
        <v>1157</v>
      </c>
      <c r="J918" s="285" t="s">
        <v>1157</v>
      </c>
      <c r="K918" s="285" t="s">
        <v>1157</v>
      </c>
      <c r="L918" s="285" t="s">
        <v>1157</v>
      </c>
      <c r="M918" s="285" t="s">
        <v>1157</v>
      </c>
      <c r="N918" s="285" t="s">
        <v>1157</v>
      </c>
      <c r="O918" s="285" t="s">
        <v>1157</v>
      </c>
      <c r="P918" s="285" t="s">
        <v>1157</v>
      </c>
      <c r="Q918" s="285" t="s">
        <v>1157</v>
      </c>
      <c r="R918" s="285" t="s">
        <v>1157</v>
      </c>
      <c r="S918" s="285" t="s">
        <v>1157</v>
      </c>
      <c r="T918" s="285" t="s">
        <v>1157</v>
      </c>
      <c r="U918" s="285" t="s">
        <v>1157</v>
      </c>
      <c r="V918" s="285" t="s">
        <v>1157</v>
      </c>
      <c r="W918" s="285" t="s">
        <v>1157</v>
      </c>
      <c r="X918" s="285" t="s">
        <v>1157</v>
      </c>
      <c r="Y918" s="285" t="s">
        <v>1157</v>
      </c>
      <c r="Z918" s="285" t="s">
        <v>1157</v>
      </c>
      <c r="AA918" s="285" t="s">
        <v>1157</v>
      </c>
      <c r="AB918" s="285" t="s">
        <v>1157</v>
      </c>
      <c r="AC918" s="285" t="s">
        <v>1157</v>
      </c>
      <c r="AD918" s="285" t="s">
        <v>1157</v>
      </c>
      <c r="AE918" s="285" t="s">
        <v>1157</v>
      </c>
      <c r="AF918" s="285" t="s">
        <v>1157</v>
      </c>
      <c r="AG918" s="285" t="s">
        <v>1157</v>
      </c>
      <c r="AH918" s="285" t="s">
        <v>1157</v>
      </c>
      <c r="AI918" s="285" t="s">
        <v>1157</v>
      </c>
      <c r="AJ918" s="285" t="s">
        <v>1157</v>
      </c>
      <c r="AK918" s="285" t="s">
        <v>1157</v>
      </c>
      <c r="AL918" s="285" t="s">
        <v>1157</v>
      </c>
      <c r="AM918" s="285" t="s">
        <v>1157</v>
      </c>
      <c r="AN918" s="285" t="s">
        <v>1157</v>
      </c>
      <c r="AO918" s="285" t="s">
        <v>1157</v>
      </c>
      <c r="AP918" s="285" t="s">
        <v>1157</v>
      </c>
      <c r="AQ918" s="285" t="s">
        <v>1157</v>
      </c>
      <c r="AR918" s="285" t="s">
        <v>1157</v>
      </c>
      <c r="AS918" s="285" t="s">
        <v>1157</v>
      </c>
      <c r="AT918" s="285" t="s">
        <v>1157</v>
      </c>
      <c r="AU918" s="285" t="s">
        <v>1157</v>
      </c>
      <c r="AV918" s="285" t="s">
        <v>1157</v>
      </c>
      <c r="AW918" s="285" t="s">
        <v>1157</v>
      </c>
      <c r="AX918" s="285" t="s">
        <v>1157</v>
      </c>
      <c r="AY918" s="285" t="s">
        <v>1157</v>
      </c>
      <c r="AZ918" s="285" t="s">
        <v>1157</v>
      </c>
    </row>
    <row r="920" spans="1:52" ht="23.5" x14ac:dyDescent="0.55000000000000004">
      <c r="B920" s="252" t="s">
        <v>33</v>
      </c>
    </row>
    <row r="921" spans="1:52" x14ac:dyDescent="0.35">
      <c r="B921" t="str">
        <f t="shared" ref="B921:G921" si="552">IF(B816="","",B816)</f>
        <v/>
      </c>
      <c r="C921" t="str">
        <f t="shared" si="552"/>
        <v/>
      </c>
      <c r="D921" t="str">
        <f t="shared" si="552"/>
        <v/>
      </c>
      <c r="E921" t="str">
        <f t="shared" si="552"/>
        <v/>
      </c>
      <c r="F921" t="str">
        <f t="shared" si="552"/>
        <v/>
      </c>
      <c r="G921" t="str">
        <f t="shared" si="552"/>
        <v/>
      </c>
      <c r="H921" t="str">
        <f t="shared" ref="H921:H952" si="553">IF(B921="","",$B$920)</f>
        <v/>
      </c>
      <c r="J921" t="str">
        <f>IF($H921="","",IF(VLOOKUP(H921,ExpItems[],2,0),H921&amp;" - "&amp;INDEX(DivisionMapping[category_code],MATCH($D921&amp;$C921,DivisionMapping[dept_bu],0)),H921))</f>
        <v/>
      </c>
      <c r="K921" t="str">
        <f>K816</f>
        <v/>
      </c>
      <c r="L921" s="652">
        <f>IF($B921="",,SUMIFS(PerBase[Month 1],PerBase[exp_item],$H921,PerBase[company_name],$B921)*L396)</f>
        <v>0</v>
      </c>
      <c r="M921" s="652">
        <f>IF($B921="",,SUMIFS(PerBase[Month 2],PerBase[exp_item],$H921,PerBase[company_name],$B921)*M396)</f>
        <v>0</v>
      </c>
      <c r="N921" s="652">
        <f>IF($B921="",,SUMIFS(PerBase[Month 3],PerBase[exp_item],$H921,PerBase[company_name],$B921)*N396)</f>
        <v>0</v>
      </c>
      <c r="O921" s="652">
        <f>IF($B921="",,SUMIFS(PerBase[Month 4],PerBase[exp_item],$H921,PerBase[company_name],$B921)*O396)</f>
        <v>0</v>
      </c>
      <c r="P921" s="652">
        <f>IF($B921="",,SUMIFS(PerBase[Month 5],PerBase[exp_item],$H921,PerBase[company_name],$B921)*P396)</f>
        <v>0</v>
      </c>
      <c r="Q921" s="652">
        <f>IF($B921="",,SUMIFS(PerBase[Month 6],PerBase[exp_item],$H921,PerBase[company_name],$B921)*Q396)</f>
        <v>0</v>
      </c>
      <c r="R921" s="652">
        <f>IF($B921="",,SUMIFS(PerBase[Month 7],PerBase[exp_item],$H921,PerBase[company_name],$B921)*R396)</f>
        <v>0</v>
      </c>
      <c r="S921" s="652">
        <f>IF($B921="",,SUMIFS(PerBase[Month 8],PerBase[exp_item],$H921,PerBase[company_name],$B921)*S396)</f>
        <v>0</v>
      </c>
      <c r="T921" s="652">
        <f>IF($B921="",,SUMIFS(PerBase[Month 9],PerBase[exp_item],$H921,PerBase[company_name],$B921)*T396)</f>
        <v>0</v>
      </c>
      <c r="U921" s="652">
        <f>IF($B921="",,SUMIFS(PerBase[Month 10],PerBase[exp_item],$H921,PerBase[company_name],$B921)*U396)</f>
        <v>0</v>
      </c>
      <c r="V921" s="652">
        <f>IF($B921="",,SUMIFS(PerBase[Month 11],PerBase[exp_item],$H921,PerBase[company_name],$B921)*V396)</f>
        <v>0</v>
      </c>
      <c r="W921" s="652">
        <f>IF($B921="",,SUMIFS(PerBase[Month 12],PerBase[exp_item],$H921,PerBase[company_name],$B921)*W396)</f>
        <v>0</v>
      </c>
      <c r="X921" s="652">
        <f>IF($B921="",,SUMIFS(PerBase[Month 13],PerBase[exp_item],$H921,PerBase[company_name],$B921)*X396)</f>
        <v>0</v>
      </c>
      <c r="Y921" s="652">
        <f>IF($B921="",,SUMIFS(PerBase[Month 14],PerBase[exp_item],$H921,PerBase[company_name],$B921)*Y396)</f>
        <v>0</v>
      </c>
      <c r="Z921" s="652">
        <f>IF($B921="",,SUMIFS(PerBase[Month 15],PerBase[exp_item],$H921,PerBase[company_name],$B921)*Z396)</f>
        <v>0</v>
      </c>
      <c r="AA921" s="652">
        <f>IF($B921="",,SUMIFS(PerBase[Month 16],PerBase[exp_item],$H921,PerBase[company_name],$B921)*AA396)</f>
        <v>0</v>
      </c>
      <c r="AB921" s="652">
        <f>IF($B921="",,SUMIFS(PerBase[Month 17],PerBase[exp_item],$H921,PerBase[company_name],$B921)*AB396)</f>
        <v>0</v>
      </c>
      <c r="AC921" s="652">
        <f>IF($B921="",,SUMIFS(PerBase[Month 18],PerBase[exp_item],$H921,PerBase[company_name],$B921)*AC396)</f>
        <v>0</v>
      </c>
      <c r="AD921" s="652">
        <f>IF($B921="",,SUMIFS(PerBase[Month 19],PerBase[exp_item],$H921,PerBase[company_name],$B921)*AD396)</f>
        <v>0</v>
      </c>
      <c r="AE921" s="652">
        <f>IF($B921="",,SUMIFS(PerBase[Month 20],PerBase[exp_item],$H921,PerBase[company_name],$B921)*AE396)</f>
        <v>0</v>
      </c>
      <c r="AF921" s="652">
        <f>IF($B921="",,SUMIFS(PerBase[Month 21],PerBase[exp_item],$H921,PerBase[company_name],$B921)*AF396)</f>
        <v>0</v>
      </c>
      <c r="AG921" s="652">
        <f>IF($B921="",,SUMIFS(PerBase[Month 22],PerBase[exp_item],$H921,PerBase[company_name],$B921)*AG396)</f>
        <v>0</v>
      </c>
      <c r="AH921" s="652">
        <f>IF($B921="",,SUMIFS(PerBase[Month 23],PerBase[exp_item],$H921,PerBase[company_name],$B921)*AH396)</f>
        <v>0</v>
      </c>
      <c r="AI921" s="652">
        <f>IF($B921="",,SUMIFS(PerBase[Month 24],PerBase[exp_item],$H921,PerBase[company_name],$B921)*AI396)</f>
        <v>0</v>
      </c>
      <c r="AJ921" s="652">
        <f>IF($B921="",,SUMIFS(PerBase[Month 25],PerBase[exp_item],$H921,PerBase[company_name],$B921)*AJ396)</f>
        <v>0</v>
      </c>
      <c r="AK921" s="652">
        <f>IF($B921="",,SUMIFS(PerBase[Month 26],PerBase[exp_item],$H921,PerBase[company_name],$B921)*AK396)</f>
        <v>0</v>
      </c>
      <c r="AL921" s="652">
        <f>IF($B921="",,SUMIFS(PerBase[Month 27],PerBase[exp_item],$H921,PerBase[company_name],$B921)*AL396)</f>
        <v>0</v>
      </c>
      <c r="AM921" s="652">
        <f>IF($B921="",,SUMIFS(PerBase[Month 28],PerBase[exp_item],$H921,PerBase[company_name],$B921)*AM396)</f>
        <v>0</v>
      </c>
      <c r="AN921" s="652">
        <f>IF($B921="",,SUMIFS(PerBase[Month 29],PerBase[exp_item],$H921,PerBase[company_name],$B921)*AN396)</f>
        <v>0</v>
      </c>
      <c r="AO921" s="652">
        <f>IF($B921="",,SUMIFS(PerBase[Month 30],PerBase[exp_item],$H921,PerBase[company_name],$B921)*AO396)</f>
        <v>0</v>
      </c>
      <c r="AP921" s="652">
        <f>IF($B921="",,SUMIFS(PerBase[Month 31],PerBase[exp_item],$H921,PerBase[company_name],$B921)*AP396)</f>
        <v>0</v>
      </c>
      <c r="AQ921" s="652">
        <f>IF($B921="",,SUMIFS(PerBase[Month 32],PerBase[exp_item],$H921,PerBase[company_name],$B921)*AQ396)</f>
        <v>0</v>
      </c>
      <c r="AR921" s="652">
        <f>IF($B921="",,SUMIFS(PerBase[Month 33],PerBase[exp_item],$H921,PerBase[company_name],$B921)*AR396)</f>
        <v>0</v>
      </c>
      <c r="AS921" s="652">
        <f>IF($B921="",,SUMIFS(PerBase[Month 34],PerBase[exp_item],$H921,PerBase[company_name],$B921)*AS396)</f>
        <v>0</v>
      </c>
      <c r="AT921" s="652">
        <f>IF($B921="",,SUMIFS(PerBase[Month 35],PerBase[exp_item],$H921,PerBase[company_name],$B921)*AT396)</f>
        <v>0</v>
      </c>
      <c r="AU921" s="652">
        <f>IF($B921="",,SUMIFS(PerBase[Month 36],PerBase[exp_item],$H921,PerBase[company_name],$B921)*AU396)</f>
        <v>0</v>
      </c>
    </row>
    <row r="922" spans="1:52" x14ac:dyDescent="0.35">
      <c r="B922" t="str">
        <f t="shared" ref="B922:B953" si="554">IF(B817="","",B817)</f>
        <v/>
      </c>
      <c r="C922" t="str">
        <f t="shared" ref="C922:G922" si="555">IF(C817="","",C817)</f>
        <v/>
      </c>
      <c r="D922" t="str">
        <f t="shared" si="555"/>
        <v/>
      </c>
      <c r="E922" t="str">
        <f t="shared" si="555"/>
        <v/>
      </c>
      <c r="F922" t="str">
        <f t="shared" si="555"/>
        <v/>
      </c>
      <c r="G922" t="str">
        <f t="shared" si="555"/>
        <v/>
      </c>
      <c r="H922" t="str">
        <f t="shared" si="553"/>
        <v/>
      </c>
      <c r="J922" t="str">
        <f>IF($H922="","",IF(VLOOKUP(H922,ExpItems[],2,0),H922&amp;" - "&amp;INDEX(DivisionMapping[category_code],MATCH($D922&amp;$C922,DivisionMapping[dept_bu],0)),H922))</f>
        <v/>
      </c>
      <c r="K922" t="str">
        <f t="shared" ref="K922:K985" si="556">K817</f>
        <v/>
      </c>
      <c r="L922" s="652">
        <f>IF($B922="",,SUMIFS(PerBase[Month 1],PerBase[exp_item],$H922,PerBase[company_name],$B922)*L397)</f>
        <v>0</v>
      </c>
      <c r="M922" s="652">
        <f>IF($B922="",,SUMIFS(PerBase[Month 2],PerBase[exp_item],$H922,PerBase[company_name],$B922)*M397)</f>
        <v>0</v>
      </c>
      <c r="N922" s="652">
        <f>IF($B922="",,SUMIFS(PerBase[Month 3],PerBase[exp_item],$H922,PerBase[company_name],$B922)*N397)</f>
        <v>0</v>
      </c>
      <c r="O922" s="652">
        <f>IF($B922="",,SUMIFS(PerBase[Month 4],PerBase[exp_item],$H922,PerBase[company_name],$B922)*O397)</f>
        <v>0</v>
      </c>
      <c r="P922" s="652">
        <f>IF($B922="",,SUMIFS(PerBase[Month 5],PerBase[exp_item],$H922,PerBase[company_name],$B922)*P397)</f>
        <v>0</v>
      </c>
      <c r="Q922" s="652">
        <f>IF($B922="",,SUMIFS(PerBase[Month 6],PerBase[exp_item],$H922,PerBase[company_name],$B922)*Q397)</f>
        <v>0</v>
      </c>
      <c r="R922" s="652">
        <f>IF($B922="",,SUMIFS(PerBase[Month 7],PerBase[exp_item],$H922,PerBase[company_name],$B922)*R397)</f>
        <v>0</v>
      </c>
      <c r="S922" s="652">
        <f>IF($B922="",,SUMIFS(PerBase[Month 8],PerBase[exp_item],$H922,PerBase[company_name],$B922)*S397)</f>
        <v>0</v>
      </c>
      <c r="T922" s="652">
        <f>IF($B922="",,SUMIFS(PerBase[Month 9],PerBase[exp_item],$H922,PerBase[company_name],$B922)*T397)</f>
        <v>0</v>
      </c>
      <c r="U922" s="652">
        <f>IF($B922="",,SUMIFS(PerBase[Month 10],PerBase[exp_item],$H922,PerBase[company_name],$B922)*U397)</f>
        <v>0</v>
      </c>
      <c r="V922" s="652">
        <f>IF($B922="",,SUMIFS(PerBase[Month 11],PerBase[exp_item],$H922,PerBase[company_name],$B922)*V397)</f>
        <v>0</v>
      </c>
      <c r="W922" s="652">
        <f>IF($B922="",,SUMIFS(PerBase[Month 12],PerBase[exp_item],$H922,PerBase[company_name],$B922)*W397)</f>
        <v>0</v>
      </c>
      <c r="X922" s="652">
        <f>IF($B922="",,SUMIFS(PerBase[Month 13],PerBase[exp_item],$H922,PerBase[company_name],$B922)*X397)</f>
        <v>0</v>
      </c>
      <c r="Y922" s="652">
        <f>IF($B922="",,SUMIFS(PerBase[Month 14],PerBase[exp_item],$H922,PerBase[company_name],$B922)*Y397)</f>
        <v>0</v>
      </c>
      <c r="Z922" s="652">
        <f>IF($B922="",,SUMIFS(PerBase[Month 15],PerBase[exp_item],$H922,PerBase[company_name],$B922)*Z397)</f>
        <v>0</v>
      </c>
      <c r="AA922" s="652">
        <f>IF($B922="",,SUMIFS(PerBase[Month 16],PerBase[exp_item],$H922,PerBase[company_name],$B922)*AA397)</f>
        <v>0</v>
      </c>
      <c r="AB922" s="652">
        <f>IF($B922="",,SUMIFS(PerBase[Month 17],PerBase[exp_item],$H922,PerBase[company_name],$B922)*AB397)</f>
        <v>0</v>
      </c>
      <c r="AC922" s="652">
        <f>IF($B922="",,SUMIFS(PerBase[Month 18],PerBase[exp_item],$H922,PerBase[company_name],$B922)*AC397)</f>
        <v>0</v>
      </c>
      <c r="AD922" s="652">
        <f>IF($B922="",,SUMIFS(PerBase[Month 19],PerBase[exp_item],$H922,PerBase[company_name],$B922)*AD397)</f>
        <v>0</v>
      </c>
      <c r="AE922" s="652">
        <f>IF($B922="",,SUMIFS(PerBase[Month 20],PerBase[exp_item],$H922,PerBase[company_name],$B922)*AE397)</f>
        <v>0</v>
      </c>
      <c r="AF922" s="652">
        <f>IF($B922="",,SUMIFS(PerBase[Month 21],PerBase[exp_item],$H922,PerBase[company_name],$B922)*AF397)</f>
        <v>0</v>
      </c>
      <c r="AG922" s="652">
        <f>IF($B922="",,SUMIFS(PerBase[Month 22],PerBase[exp_item],$H922,PerBase[company_name],$B922)*AG397)</f>
        <v>0</v>
      </c>
      <c r="AH922" s="652">
        <f>IF($B922="",,SUMIFS(PerBase[Month 23],PerBase[exp_item],$H922,PerBase[company_name],$B922)*AH397)</f>
        <v>0</v>
      </c>
      <c r="AI922" s="652">
        <f>IF($B922="",,SUMIFS(PerBase[Month 24],PerBase[exp_item],$H922,PerBase[company_name],$B922)*AI397)</f>
        <v>0</v>
      </c>
      <c r="AJ922" s="652">
        <f>IF($B922="",,SUMIFS(PerBase[Month 25],PerBase[exp_item],$H922,PerBase[company_name],$B922)*AJ397)</f>
        <v>0</v>
      </c>
      <c r="AK922" s="652">
        <f>IF($B922="",,SUMIFS(PerBase[Month 26],PerBase[exp_item],$H922,PerBase[company_name],$B922)*AK397)</f>
        <v>0</v>
      </c>
      <c r="AL922" s="652">
        <f>IF($B922="",,SUMIFS(PerBase[Month 27],PerBase[exp_item],$H922,PerBase[company_name],$B922)*AL397)</f>
        <v>0</v>
      </c>
      <c r="AM922" s="652">
        <f>IF($B922="",,SUMIFS(PerBase[Month 28],PerBase[exp_item],$H922,PerBase[company_name],$B922)*AM397)</f>
        <v>0</v>
      </c>
      <c r="AN922" s="652">
        <f>IF($B922="",,SUMIFS(PerBase[Month 29],PerBase[exp_item],$H922,PerBase[company_name],$B922)*AN397)</f>
        <v>0</v>
      </c>
      <c r="AO922" s="652">
        <f>IF($B922="",,SUMIFS(PerBase[Month 30],PerBase[exp_item],$H922,PerBase[company_name],$B922)*AO397)</f>
        <v>0</v>
      </c>
      <c r="AP922" s="652">
        <f>IF($B922="",,SUMIFS(PerBase[Month 31],PerBase[exp_item],$H922,PerBase[company_name],$B922)*AP397)</f>
        <v>0</v>
      </c>
      <c r="AQ922" s="652">
        <f>IF($B922="",,SUMIFS(PerBase[Month 32],PerBase[exp_item],$H922,PerBase[company_name],$B922)*AQ397)</f>
        <v>0</v>
      </c>
      <c r="AR922" s="652">
        <f>IF($B922="",,SUMIFS(PerBase[Month 33],PerBase[exp_item],$H922,PerBase[company_name],$B922)*AR397)</f>
        <v>0</v>
      </c>
      <c r="AS922" s="652">
        <f>IF($B922="",,SUMIFS(PerBase[Month 34],PerBase[exp_item],$H922,PerBase[company_name],$B922)*AS397)</f>
        <v>0</v>
      </c>
      <c r="AT922" s="652">
        <f>IF($B922="",,SUMIFS(PerBase[Month 35],PerBase[exp_item],$H922,PerBase[company_name],$B922)*AT397)</f>
        <v>0</v>
      </c>
      <c r="AU922" s="652">
        <f>IF($B922="",,SUMIFS(PerBase[Month 36],PerBase[exp_item],$H922,PerBase[company_name],$B922)*AU397)</f>
        <v>0</v>
      </c>
    </row>
    <row r="923" spans="1:52" x14ac:dyDescent="0.35">
      <c r="B923" t="str">
        <f t="shared" si="554"/>
        <v/>
      </c>
      <c r="C923" t="str">
        <f t="shared" ref="C923:G923" si="557">IF(C818="","",C818)</f>
        <v/>
      </c>
      <c r="D923" t="str">
        <f t="shared" si="557"/>
        <v/>
      </c>
      <c r="E923" t="str">
        <f t="shared" si="557"/>
        <v/>
      </c>
      <c r="F923" t="str">
        <f t="shared" si="557"/>
        <v/>
      </c>
      <c r="G923" t="str">
        <f t="shared" si="557"/>
        <v/>
      </c>
      <c r="H923" t="str">
        <f t="shared" si="553"/>
        <v/>
      </c>
      <c r="J923" t="str">
        <f>IF($H923="","",IF(VLOOKUP(H923,ExpItems[],2,0),H923&amp;" - "&amp;INDEX(DivisionMapping[category_code],MATCH($D923&amp;$C923,DivisionMapping[dept_bu],0)),H923))</f>
        <v/>
      </c>
      <c r="K923" t="str">
        <f t="shared" si="556"/>
        <v/>
      </c>
      <c r="L923" s="652">
        <f>IF($B923="",,SUMIFS(PerBase[Month 1],PerBase[exp_item],$H923,PerBase[company_name],$B923)*L398)</f>
        <v>0</v>
      </c>
      <c r="M923" s="652">
        <f>IF($B923="",,SUMIFS(PerBase[Month 2],PerBase[exp_item],$H923,PerBase[company_name],$B923)*M398)</f>
        <v>0</v>
      </c>
      <c r="N923" s="652">
        <f>IF($B923="",,SUMIFS(PerBase[Month 3],PerBase[exp_item],$H923,PerBase[company_name],$B923)*N398)</f>
        <v>0</v>
      </c>
      <c r="O923" s="652">
        <f>IF($B923="",,SUMIFS(PerBase[Month 4],PerBase[exp_item],$H923,PerBase[company_name],$B923)*O398)</f>
        <v>0</v>
      </c>
      <c r="P923" s="652">
        <f>IF($B923="",,SUMIFS(PerBase[Month 5],PerBase[exp_item],$H923,PerBase[company_name],$B923)*P398)</f>
        <v>0</v>
      </c>
      <c r="Q923" s="652">
        <f>IF($B923="",,SUMIFS(PerBase[Month 6],PerBase[exp_item],$H923,PerBase[company_name],$B923)*Q398)</f>
        <v>0</v>
      </c>
      <c r="R923" s="652">
        <f>IF($B923="",,SUMIFS(PerBase[Month 7],PerBase[exp_item],$H923,PerBase[company_name],$B923)*R398)</f>
        <v>0</v>
      </c>
      <c r="S923" s="652">
        <f>IF($B923="",,SUMIFS(PerBase[Month 8],PerBase[exp_item],$H923,PerBase[company_name],$B923)*S398)</f>
        <v>0</v>
      </c>
      <c r="T923" s="652">
        <f>IF($B923="",,SUMIFS(PerBase[Month 9],PerBase[exp_item],$H923,PerBase[company_name],$B923)*T398)</f>
        <v>0</v>
      </c>
      <c r="U923" s="652">
        <f>IF($B923="",,SUMIFS(PerBase[Month 10],PerBase[exp_item],$H923,PerBase[company_name],$B923)*U398)</f>
        <v>0</v>
      </c>
      <c r="V923" s="652">
        <f>IF($B923="",,SUMIFS(PerBase[Month 11],PerBase[exp_item],$H923,PerBase[company_name],$B923)*V398)</f>
        <v>0</v>
      </c>
      <c r="W923" s="652">
        <f>IF($B923="",,SUMIFS(PerBase[Month 12],PerBase[exp_item],$H923,PerBase[company_name],$B923)*W398)</f>
        <v>0</v>
      </c>
      <c r="X923" s="652">
        <f>IF($B923="",,SUMIFS(PerBase[Month 13],PerBase[exp_item],$H923,PerBase[company_name],$B923)*X398)</f>
        <v>0</v>
      </c>
      <c r="Y923" s="652">
        <f>IF($B923="",,SUMIFS(PerBase[Month 14],PerBase[exp_item],$H923,PerBase[company_name],$B923)*Y398)</f>
        <v>0</v>
      </c>
      <c r="Z923" s="652">
        <f>IF($B923="",,SUMIFS(PerBase[Month 15],PerBase[exp_item],$H923,PerBase[company_name],$B923)*Z398)</f>
        <v>0</v>
      </c>
      <c r="AA923" s="652">
        <f>IF($B923="",,SUMIFS(PerBase[Month 16],PerBase[exp_item],$H923,PerBase[company_name],$B923)*AA398)</f>
        <v>0</v>
      </c>
      <c r="AB923" s="652">
        <f>IF($B923="",,SUMIFS(PerBase[Month 17],PerBase[exp_item],$H923,PerBase[company_name],$B923)*AB398)</f>
        <v>0</v>
      </c>
      <c r="AC923" s="652">
        <f>IF($B923="",,SUMIFS(PerBase[Month 18],PerBase[exp_item],$H923,PerBase[company_name],$B923)*AC398)</f>
        <v>0</v>
      </c>
      <c r="AD923" s="652">
        <f>IF($B923="",,SUMIFS(PerBase[Month 19],PerBase[exp_item],$H923,PerBase[company_name],$B923)*AD398)</f>
        <v>0</v>
      </c>
      <c r="AE923" s="652">
        <f>IF($B923="",,SUMIFS(PerBase[Month 20],PerBase[exp_item],$H923,PerBase[company_name],$B923)*AE398)</f>
        <v>0</v>
      </c>
      <c r="AF923" s="652">
        <f>IF($B923="",,SUMIFS(PerBase[Month 21],PerBase[exp_item],$H923,PerBase[company_name],$B923)*AF398)</f>
        <v>0</v>
      </c>
      <c r="AG923" s="652">
        <f>IF($B923="",,SUMIFS(PerBase[Month 22],PerBase[exp_item],$H923,PerBase[company_name],$B923)*AG398)</f>
        <v>0</v>
      </c>
      <c r="AH923" s="652">
        <f>IF($B923="",,SUMIFS(PerBase[Month 23],PerBase[exp_item],$H923,PerBase[company_name],$B923)*AH398)</f>
        <v>0</v>
      </c>
      <c r="AI923" s="652">
        <f>IF($B923="",,SUMIFS(PerBase[Month 24],PerBase[exp_item],$H923,PerBase[company_name],$B923)*AI398)</f>
        <v>0</v>
      </c>
      <c r="AJ923" s="652">
        <f>IF($B923="",,SUMIFS(PerBase[Month 25],PerBase[exp_item],$H923,PerBase[company_name],$B923)*AJ398)</f>
        <v>0</v>
      </c>
      <c r="AK923" s="652">
        <f>IF($B923="",,SUMIFS(PerBase[Month 26],PerBase[exp_item],$H923,PerBase[company_name],$B923)*AK398)</f>
        <v>0</v>
      </c>
      <c r="AL923" s="652">
        <f>IF($B923="",,SUMIFS(PerBase[Month 27],PerBase[exp_item],$H923,PerBase[company_name],$B923)*AL398)</f>
        <v>0</v>
      </c>
      <c r="AM923" s="652">
        <f>IF($B923="",,SUMIFS(PerBase[Month 28],PerBase[exp_item],$H923,PerBase[company_name],$B923)*AM398)</f>
        <v>0</v>
      </c>
      <c r="AN923" s="652">
        <f>IF($B923="",,SUMIFS(PerBase[Month 29],PerBase[exp_item],$H923,PerBase[company_name],$B923)*AN398)</f>
        <v>0</v>
      </c>
      <c r="AO923" s="652">
        <f>IF($B923="",,SUMIFS(PerBase[Month 30],PerBase[exp_item],$H923,PerBase[company_name],$B923)*AO398)</f>
        <v>0</v>
      </c>
      <c r="AP923" s="652">
        <f>IF($B923="",,SUMIFS(PerBase[Month 31],PerBase[exp_item],$H923,PerBase[company_name],$B923)*AP398)</f>
        <v>0</v>
      </c>
      <c r="AQ923" s="652">
        <f>IF($B923="",,SUMIFS(PerBase[Month 32],PerBase[exp_item],$H923,PerBase[company_name],$B923)*AQ398)</f>
        <v>0</v>
      </c>
      <c r="AR923" s="652">
        <f>IF($B923="",,SUMIFS(PerBase[Month 33],PerBase[exp_item],$H923,PerBase[company_name],$B923)*AR398)</f>
        <v>0</v>
      </c>
      <c r="AS923" s="652">
        <f>IF($B923="",,SUMIFS(PerBase[Month 34],PerBase[exp_item],$H923,PerBase[company_name],$B923)*AS398)</f>
        <v>0</v>
      </c>
      <c r="AT923" s="652">
        <f>IF($B923="",,SUMIFS(PerBase[Month 35],PerBase[exp_item],$H923,PerBase[company_name],$B923)*AT398)</f>
        <v>0</v>
      </c>
      <c r="AU923" s="652">
        <f>IF($B923="",,SUMIFS(PerBase[Month 36],PerBase[exp_item],$H923,PerBase[company_name],$B923)*AU398)</f>
        <v>0</v>
      </c>
    </row>
    <row r="924" spans="1:52" x14ac:dyDescent="0.35">
      <c r="B924" t="str">
        <f t="shared" si="554"/>
        <v/>
      </c>
      <c r="C924" t="str">
        <f t="shared" ref="C924:G924" si="558">IF(C819="","",C819)</f>
        <v/>
      </c>
      <c r="D924" t="str">
        <f t="shared" si="558"/>
        <v/>
      </c>
      <c r="E924" t="str">
        <f t="shared" si="558"/>
        <v/>
      </c>
      <c r="F924" t="str">
        <f t="shared" si="558"/>
        <v/>
      </c>
      <c r="G924" t="str">
        <f t="shared" si="558"/>
        <v/>
      </c>
      <c r="H924" t="str">
        <f t="shared" si="553"/>
        <v/>
      </c>
      <c r="J924" t="str">
        <f>IF($H924="","",IF(VLOOKUP(H924,ExpItems[],2,0),H924&amp;" - "&amp;INDEX(DivisionMapping[category_code],MATCH($D924&amp;$C924,DivisionMapping[dept_bu],0)),H924))</f>
        <v/>
      </c>
      <c r="K924" t="str">
        <f t="shared" si="556"/>
        <v/>
      </c>
      <c r="L924" s="652">
        <f>IF($B924="",,SUMIFS(PerBase[Month 1],PerBase[exp_item],$H924,PerBase[company_name],$B924)*L399)</f>
        <v>0</v>
      </c>
      <c r="M924" s="652">
        <f>IF($B924="",,SUMIFS(PerBase[Month 2],PerBase[exp_item],$H924,PerBase[company_name],$B924)*M399)</f>
        <v>0</v>
      </c>
      <c r="N924" s="652">
        <f>IF($B924="",,SUMIFS(PerBase[Month 3],PerBase[exp_item],$H924,PerBase[company_name],$B924)*N399)</f>
        <v>0</v>
      </c>
      <c r="O924" s="652">
        <f>IF($B924="",,SUMIFS(PerBase[Month 4],PerBase[exp_item],$H924,PerBase[company_name],$B924)*O399)</f>
        <v>0</v>
      </c>
      <c r="P924" s="652">
        <f>IF($B924="",,SUMIFS(PerBase[Month 5],PerBase[exp_item],$H924,PerBase[company_name],$B924)*P399)</f>
        <v>0</v>
      </c>
      <c r="Q924" s="652">
        <f>IF($B924="",,SUMIFS(PerBase[Month 6],PerBase[exp_item],$H924,PerBase[company_name],$B924)*Q399)</f>
        <v>0</v>
      </c>
      <c r="R924" s="652">
        <f>IF($B924="",,SUMIFS(PerBase[Month 7],PerBase[exp_item],$H924,PerBase[company_name],$B924)*R399)</f>
        <v>0</v>
      </c>
      <c r="S924" s="652">
        <f>IF($B924="",,SUMIFS(PerBase[Month 8],PerBase[exp_item],$H924,PerBase[company_name],$B924)*S399)</f>
        <v>0</v>
      </c>
      <c r="T924" s="652">
        <f>IF($B924="",,SUMIFS(PerBase[Month 9],PerBase[exp_item],$H924,PerBase[company_name],$B924)*T399)</f>
        <v>0</v>
      </c>
      <c r="U924" s="652">
        <f>IF($B924="",,SUMIFS(PerBase[Month 10],PerBase[exp_item],$H924,PerBase[company_name],$B924)*U399)</f>
        <v>0</v>
      </c>
      <c r="V924" s="652">
        <f>IF($B924="",,SUMIFS(PerBase[Month 11],PerBase[exp_item],$H924,PerBase[company_name],$B924)*V399)</f>
        <v>0</v>
      </c>
      <c r="W924" s="652">
        <f>IF($B924="",,SUMIFS(PerBase[Month 12],PerBase[exp_item],$H924,PerBase[company_name],$B924)*W399)</f>
        <v>0</v>
      </c>
      <c r="X924" s="652">
        <f>IF($B924="",,SUMIFS(PerBase[Month 13],PerBase[exp_item],$H924,PerBase[company_name],$B924)*X399)</f>
        <v>0</v>
      </c>
      <c r="Y924" s="652">
        <f>IF($B924="",,SUMIFS(PerBase[Month 14],PerBase[exp_item],$H924,PerBase[company_name],$B924)*Y399)</f>
        <v>0</v>
      </c>
      <c r="Z924" s="652">
        <f>IF($B924="",,SUMIFS(PerBase[Month 15],PerBase[exp_item],$H924,PerBase[company_name],$B924)*Z399)</f>
        <v>0</v>
      </c>
      <c r="AA924" s="652">
        <f>IF($B924="",,SUMIFS(PerBase[Month 16],PerBase[exp_item],$H924,PerBase[company_name],$B924)*AA399)</f>
        <v>0</v>
      </c>
      <c r="AB924" s="652">
        <f>IF($B924="",,SUMIFS(PerBase[Month 17],PerBase[exp_item],$H924,PerBase[company_name],$B924)*AB399)</f>
        <v>0</v>
      </c>
      <c r="AC924" s="652">
        <f>IF($B924="",,SUMIFS(PerBase[Month 18],PerBase[exp_item],$H924,PerBase[company_name],$B924)*AC399)</f>
        <v>0</v>
      </c>
      <c r="AD924" s="652">
        <f>IF($B924="",,SUMIFS(PerBase[Month 19],PerBase[exp_item],$H924,PerBase[company_name],$B924)*AD399)</f>
        <v>0</v>
      </c>
      <c r="AE924" s="652">
        <f>IF($B924="",,SUMIFS(PerBase[Month 20],PerBase[exp_item],$H924,PerBase[company_name],$B924)*AE399)</f>
        <v>0</v>
      </c>
      <c r="AF924" s="652">
        <f>IF($B924="",,SUMIFS(PerBase[Month 21],PerBase[exp_item],$H924,PerBase[company_name],$B924)*AF399)</f>
        <v>0</v>
      </c>
      <c r="AG924" s="652">
        <f>IF($B924="",,SUMIFS(PerBase[Month 22],PerBase[exp_item],$H924,PerBase[company_name],$B924)*AG399)</f>
        <v>0</v>
      </c>
      <c r="AH924" s="652">
        <f>IF($B924="",,SUMIFS(PerBase[Month 23],PerBase[exp_item],$H924,PerBase[company_name],$B924)*AH399)</f>
        <v>0</v>
      </c>
      <c r="AI924" s="652">
        <f>IF($B924="",,SUMIFS(PerBase[Month 24],PerBase[exp_item],$H924,PerBase[company_name],$B924)*AI399)</f>
        <v>0</v>
      </c>
      <c r="AJ924" s="652">
        <f>IF($B924="",,SUMIFS(PerBase[Month 25],PerBase[exp_item],$H924,PerBase[company_name],$B924)*AJ399)</f>
        <v>0</v>
      </c>
      <c r="AK924" s="652">
        <f>IF($B924="",,SUMIFS(PerBase[Month 26],PerBase[exp_item],$H924,PerBase[company_name],$B924)*AK399)</f>
        <v>0</v>
      </c>
      <c r="AL924" s="652">
        <f>IF($B924="",,SUMIFS(PerBase[Month 27],PerBase[exp_item],$H924,PerBase[company_name],$B924)*AL399)</f>
        <v>0</v>
      </c>
      <c r="AM924" s="652">
        <f>IF($B924="",,SUMIFS(PerBase[Month 28],PerBase[exp_item],$H924,PerBase[company_name],$B924)*AM399)</f>
        <v>0</v>
      </c>
      <c r="AN924" s="652">
        <f>IF($B924="",,SUMIFS(PerBase[Month 29],PerBase[exp_item],$H924,PerBase[company_name],$B924)*AN399)</f>
        <v>0</v>
      </c>
      <c r="AO924" s="652">
        <f>IF($B924="",,SUMIFS(PerBase[Month 30],PerBase[exp_item],$H924,PerBase[company_name],$B924)*AO399)</f>
        <v>0</v>
      </c>
      <c r="AP924" s="652">
        <f>IF($B924="",,SUMIFS(PerBase[Month 31],PerBase[exp_item],$H924,PerBase[company_name],$B924)*AP399)</f>
        <v>0</v>
      </c>
      <c r="AQ924" s="652">
        <f>IF($B924="",,SUMIFS(PerBase[Month 32],PerBase[exp_item],$H924,PerBase[company_name],$B924)*AQ399)</f>
        <v>0</v>
      </c>
      <c r="AR924" s="652">
        <f>IF($B924="",,SUMIFS(PerBase[Month 33],PerBase[exp_item],$H924,PerBase[company_name],$B924)*AR399)</f>
        <v>0</v>
      </c>
      <c r="AS924" s="652">
        <f>IF($B924="",,SUMIFS(PerBase[Month 34],PerBase[exp_item],$H924,PerBase[company_name],$B924)*AS399)</f>
        <v>0</v>
      </c>
      <c r="AT924" s="652">
        <f>IF($B924="",,SUMIFS(PerBase[Month 35],PerBase[exp_item],$H924,PerBase[company_name],$B924)*AT399)</f>
        <v>0</v>
      </c>
      <c r="AU924" s="652">
        <f>IF($B924="",,SUMIFS(PerBase[Month 36],PerBase[exp_item],$H924,PerBase[company_name],$B924)*AU399)</f>
        <v>0</v>
      </c>
    </row>
    <row r="925" spans="1:52" x14ac:dyDescent="0.35">
      <c r="B925" t="str">
        <f t="shared" si="554"/>
        <v/>
      </c>
      <c r="C925" t="str">
        <f t="shared" ref="C925:G925" si="559">IF(C820="","",C820)</f>
        <v/>
      </c>
      <c r="D925" t="str">
        <f t="shared" si="559"/>
        <v/>
      </c>
      <c r="E925" t="str">
        <f t="shared" si="559"/>
        <v/>
      </c>
      <c r="F925" t="str">
        <f t="shared" si="559"/>
        <v/>
      </c>
      <c r="G925" t="str">
        <f t="shared" si="559"/>
        <v/>
      </c>
      <c r="H925" t="str">
        <f t="shared" si="553"/>
        <v/>
      </c>
      <c r="J925" t="str">
        <f>IF($H925="","",IF(VLOOKUP(H925,ExpItems[],2,0),H925&amp;" - "&amp;INDEX(DivisionMapping[category_code],MATCH($D925&amp;$C925,DivisionMapping[dept_bu],0)),H925))</f>
        <v/>
      </c>
      <c r="K925" t="str">
        <f t="shared" si="556"/>
        <v/>
      </c>
      <c r="L925" s="652">
        <f>IF($B925="",,SUMIFS(PerBase[Month 1],PerBase[exp_item],$H925,PerBase[company_name],$B925)*L400)</f>
        <v>0</v>
      </c>
      <c r="M925" s="652">
        <f>IF($B925="",,SUMIFS(PerBase[Month 2],PerBase[exp_item],$H925,PerBase[company_name],$B925)*M400)</f>
        <v>0</v>
      </c>
      <c r="N925" s="652">
        <f>IF($B925="",,SUMIFS(PerBase[Month 3],PerBase[exp_item],$H925,PerBase[company_name],$B925)*N400)</f>
        <v>0</v>
      </c>
      <c r="O925" s="652">
        <f>IF($B925="",,SUMIFS(PerBase[Month 4],PerBase[exp_item],$H925,PerBase[company_name],$B925)*O400)</f>
        <v>0</v>
      </c>
      <c r="P925" s="652">
        <f>IF($B925="",,SUMIFS(PerBase[Month 5],PerBase[exp_item],$H925,PerBase[company_name],$B925)*P400)</f>
        <v>0</v>
      </c>
      <c r="Q925" s="652">
        <f>IF($B925="",,SUMIFS(PerBase[Month 6],PerBase[exp_item],$H925,PerBase[company_name],$B925)*Q400)</f>
        <v>0</v>
      </c>
      <c r="R925" s="652">
        <f>IF($B925="",,SUMIFS(PerBase[Month 7],PerBase[exp_item],$H925,PerBase[company_name],$B925)*R400)</f>
        <v>0</v>
      </c>
      <c r="S925" s="652">
        <f>IF($B925="",,SUMIFS(PerBase[Month 8],PerBase[exp_item],$H925,PerBase[company_name],$B925)*S400)</f>
        <v>0</v>
      </c>
      <c r="T925" s="652">
        <f>IF($B925="",,SUMIFS(PerBase[Month 9],PerBase[exp_item],$H925,PerBase[company_name],$B925)*T400)</f>
        <v>0</v>
      </c>
      <c r="U925" s="652">
        <f>IF($B925="",,SUMIFS(PerBase[Month 10],PerBase[exp_item],$H925,PerBase[company_name],$B925)*U400)</f>
        <v>0</v>
      </c>
      <c r="V925" s="652">
        <f>IF($B925="",,SUMIFS(PerBase[Month 11],PerBase[exp_item],$H925,PerBase[company_name],$B925)*V400)</f>
        <v>0</v>
      </c>
      <c r="W925" s="652">
        <f>IF($B925="",,SUMIFS(PerBase[Month 12],PerBase[exp_item],$H925,PerBase[company_name],$B925)*W400)</f>
        <v>0</v>
      </c>
      <c r="X925" s="652">
        <f>IF($B925="",,SUMIFS(PerBase[Month 13],PerBase[exp_item],$H925,PerBase[company_name],$B925)*X400)</f>
        <v>0</v>
      </c>
      <c r="Y925" s="652">
        <f>IF($B925="",,SUMIFS(PerBase[Month 14],PerBase[exp_item],$H925,PerBase[company_name],$B925)*Y400)</f>
        <v>0</v>
      </c>
      <c r="Z925" s="652">
        <f>IF($B925="",,SUMIFS(PerBase[Month 15],PerBase[exp_item],$H925,PerBase[company_name],$B925)*Z400)</f>
        <v>0</v>
      </c>
      <c r="AA925" s="652">
        <f>IF($B925="",,SUMIFS(PerBase[Month 16],PerBase[exp_item],$H925,PerBase[company_name],$B925)*AA400)</f>
        <v>0</v>
      </c>
      <c r="AB925" s="652">
        <f>IF($B925="",,SUMIFS(PerBase[Month 17],PerBase[exp_item],$H925,PerBase[company_name],$B925)*AB400)</f>
        <v>0</v>
      </c>
      <c r="AC925" s="652">
        <f>IF($B925="",,SUMIFS(PerBase[Month 18],PerBase[exp_item],$H925,PerBase[company_name],$B925)*AC400)</f>
        <v>0</v>
      </c>
      <c r="AD925" s="652">
        <f>IF($B925="",,SUMIFS(PerBase[Month 19],PerBase[exp_item],$H925,PerBase[company_name],$B925)*AD400)</f>
        <v>0</v>
      </c>
      <c r="AE925" s="652">
        <f>IF($B925="",,SUMIFS(PerBase[Month 20],PerBase[exp_item],$H925,PerBase[company_name],$B925)*AE400)</f>
        <v>0</v>
      </c>
      <c r="AF925" s="652">
        <f>IF($B925="",,SUMIFS(PerBase[Month 21],PerBase[exp_item],$H925,PerBase[company_name],$B925)*AF400)</f>
        <v>0</v>
      </c>
      <c r="AG925" s="652">
        <f>IF($B925="",,SUMIFS(PerBase[Month 22],PerBase[exp_item],$H925,PerBase[company_name],$B925)*AG400)</f>
        <v>0</v>
      </c>
      <c r="AH925" s="652">
        <f>IF($B925="",,SUMIFS(PerBase[Month 23],PerBase[exp_item],$H925,PerBase[company_name],$B925)*AH400)</f>
        <v>0</v>
      </c>
      <c r="AI925" s="652">
        <f>IF($B925="",,SUMIFS(PerBase[Month 24],PerBase[exp_item],$H925,PerBase[company_name],$B925)*AI400)</f>
        <v>0</v>
      </c>
      <c r="AJ925" s="652">
        <f>IF($B925="",,SUMIFS(PerBase[Month 25],PerBase[exp_item],$H925,PerBase[company_name],$B925)*AJ400)</f>
        <v>0</v>
      </c>
      <c r="AK925" s="652">
        <f>IF($B925="",,SUMIFS(PerBase[Month 26],PerBase[exp_item],$H925,PerBase[company_name],$B925)*AK400)</f>
        <v>0</v>
      </c>
      <c r="AL925" s="652">
        <f>IF($B925="",,SUMIFS(PerBase[Month 27],PerBase[exp_item],$H925,PerBase[company_name],$B925)*AL400)</f>
        <v>0</v>
      </c>
      <c r="AM925" s="652">
        <f>IF($B925="",,SUMIFS(PerBase[Month 28],PerBase[exp_item],$H925,PerBase[company_name],$B925)*AM400)</f>
        <v>0</v>
      </c>
      <c r="AN925" s="652">
        <f>IF($B925="",,SUMIFS(PerBase[Month 29],PerBase[exp_item],$H925,PerBase[company_name],$B925)*AN400)</f>
        <v>0</v>
      </c>
      <c r="AO925" s="652">
        <f>IF($B925="",,SUMIFS(PerBase[Month 30],PerBase[exp_item],$H925,PerBase[company_name],$B925)*AO400)</f>
        <v>0</v>
      </c>
      <c r="AP925" s="652">
        <f>IF($B925="",,SUMIFS(PerBase[Month 31],PerBase[exp_item],$H925,PerBase[company_name],$B925)*AP400)</f>
        <v>0</v>
      </c>
      <c r="AQ925" s="652">
        <f>IF($B925="",,SUMIFS(PerBase[Month 32],PerBase[exp_item],$H925,PerBase[company_name],$B925)*AQ400)</f>
        <v>0</v>
      </c>
      <c r="AR925" s="652">
        <f>IF($B925="",,SUMIFS(PerBase[Month 33],PerBase[exp_item],$H925,PerBase[company_name],$B925)*AR400)</f>
        <v>0</v>
      </c>
      <c r="AS925" s="652">
        <f>IF($B925="",,SUMIFS(PerBase[Month 34],PerBase[exp_item],$H925,PerBase[company_name],$B925)*AS400)</f>
        <v>0</v>
      </c>
      <c r="AT925" s="652">
        <f>IF($B925="",,SUMIFS(PerBase[Month 35],PerBase[exp_item],$H925,PerBase[company_name],$B925)*AT400)</f>
        <v>0</v>
      </c>
      <c r="AU925" s="652">
        <f>IF($B925="",,SUMIFS(PerBase[Month 36],PerBase[exp_item],$H925,PerBase[company_name],$B925)*AU400)</f>
        <v>0</v>
      </c>
    </row>
    <row r="926" spans="1:52" x14ac:dyDescent="0.35">
      <c r="B926" t="str">
        <f t="shared" si="554"/>
        <v/>
      </c>
      <c r="C926" t="str">
        <f t="shared" ref="C926:G926" si="560">IF(C821="","",C821)</f>
        <v/>
      </c>
      <c r="D926" t="str">
        <f t="shared" si="560"/>
        <v/>
      </c>
      <c r="E926" t="str">
        <f t="shared" si="560"/>
        <v/>
      </c>
      <c r="F926" t="str">
        <f t="shared" si="560"/>
        <v/>
      </c>
      <c r="G926" t="str">
        <f t="shared" si="560"/>
        <v/>
      </c>
      <c r="H926" t="str">
        <f t="shared" si="553"/>
        <v/>
      </c>
      <c r="J926" t="str">
        <f>IF($H926="","",IF(VLOOKUP(H926,ExpItems[],2,0),H926&amp;" - "&amp;INDEX(DivisionMapping[category_code],MATCH($D926&amp;$C926,DivisionMapping[dept_bu],0)),H926))</f>
        <v/>
      </c>
      <c r="K926" t="str">
        <f t="shared" si="556"/>
        <v/>
      </c>
      <c r="L926" s="652">
        <f>IF($B926="",,SUMIFS(PerBase[Month 1],PerBase[exp_item],$H926,PerBase[company_name],$B926)*L401)</f>
        <v>0</v>
      </c>
      <c r="M926" s="652">
        <f>IF($B926="",,SUMIFS(PerBase[Month 2],PerBase[exp_item],$H926,PerBase[company_name],$B926)*M401)</f>
        <v>0</v>
      </c>
      <c r="N926" s="652">
        <f>IF($B926="",,SUMIFS(PerBase[Month 3],PerBase[exp_item],$H926,PerBase[company_name],$B926)*N401)</f>
        <v>0</v>
      </c>
      <c r="O926" s="652">
        <f>IF($B926="",,SUMIFS(PerBase[Month 4],PerBase[exp_item],$H926,PerBase[company_name],$B926)*O401)</f>
        <v>0</v>
      </c>
      <c r="P926" s="652">
        <f>IF($B926="",,SUMIFS(PerBase[Month 5],PerBase[exp_item],$H926,PerBase[company_name],$B926)*P401)</f>
        <v>0</v>
      </c>
      <c r="Q926" s="652">
        <f>IF($B926="",,SUMIFS(PerBase[Month 6],PerBase[exp_item],$H926,PerBase[company_name],$B926)*Q401)</f>
        <v>0</v>
      </c>
      <c r="R926" s="652">
        <f>IF($B926="",,SUMIFS(PerBase[Month 7],PerBase[exp_item],$H926,PerBase[company_name],$B926)*R401)</f>
        <v>0</v>
      </c>
      <c r="S926" s="652">
        <f>IF($B926="",,SUMIFS(PerBase[Month 8],PerBase[exp_item],$H926,PerBase[company_name],$B926)*S401)</f>
        <v>0</v>
      </c>
      <c r="T926" s="652">
        <f>IF($B926="",,SUMIFS(PerBase[Month 9],PerBase[exp_item],$H926,PerBase[company_name],$B926)*T401)</f>
        <v>0</v>
      </c>
      <c r="U926" s="652">
        <f>IF($B926="",,SUMIFS(PerBase[Month 10],PerBase[exp_item],$H926,PerBase[company_name],$B926)*U401)</f>
        <v>0</v>
      </c>
      <c r="V926" s="652">
        <f>IF($B926="",,SUMIFS(PerBase[Month 11],PerBase[exp_item],$H926,PerBase[company_name],$B926)*V401)</f>
        <v>0</v>
      </c>
      <c r="W926" s="652">
        <f>IF($B926="",,SUMIFS(PerBase[Month 12],PerBase[exp_item],$H926,PerBase[company_name],$B926)*W401)</f>
        <v>0</v>
      </c>
      <c r="X926" s="652">
        <f>IF($B926="",,SUMIFS(PerBase[Month 13],PerBase[exp_item],$H926,PerBase[company_name],$B926)*X401)</f>
        <v>0</v>
      </c>
      <c r="Y926" s="652">
        <f>IF($B926="",,SUMIFS(PerBase[Month 14],PerBase[exp_item],$H926,PerBase[company_name],$B926)*Y401)</f>
        <v>0</v>
      </c>
      <c r="Z926" s="652">
        <f>IF($B926="",,SUMIFS(PerBase[Month 15],PerBase[exp_item],$H926,PerBase[company_name],$B926)*Z401)</f>
        <v>0</v>
      </c>
      <c r="AA926" s="652">
        <f>IF($B926="",,SUMIFS(PerBase[Month 16],PerBase[exp_item],$H926,PerBase[company_name],$B926)*AA401)</f>
        <v>0</v>
      </c>
      <c r="AB926" s="652">
        <f>IF($B926="",,SUMIFS(PerBase[Month 17],PerBase[exp_item],$H926,PerBase[company_name],$B926)*AB401)</f>
        <v>0</v>
      </c>
      <c r="AC926" s="652">
        <f>IF($B926="",,SUMIFS(PerBase[Month 18],PerBase[exp_item],$H926,PerBase[company_name],$B926)*AC401)</f>
        <v>0</v>
      </c>
      <c r="AD926" s="652">
        <f>IF($B926="",,SUMIFS(PerBase[Month 19],PerBase[exp_item],$H926,PerBase[company_name],$B926)*AD401)</f>
        <v>0</v>
      </c>
      <c r="AE926" s="652">
        <f>IF($B926="",,SUMIFS(PerBase[Month 20],PerBase[exp_item],$H926,PerBase[company_name],$B926)*AE401)</f>
        <v>0</v>
      </c>
      <c r="AF926" s="652">
        <f>IF($B926="",,SUMIFS(PerBase[Month 21],PerBase[exp_item],$H926,PerBase[company_name],$B926)*AF401)</f>
        <v>0</v>
      </c>
      <c r="AG926" s="652">
        <f>IF($B926="",,SUMIFS(PerBase[Month 22],PerBase[exp_item],$H926,PerBase[company_name],$B926)*AG401)</f>
        <v>0</v>
      </c>
      <c r="AH926" s="652">
        <f>IF($B926="",,SUMIFS(PerBase[Month 23],PerBase[exp_item],$H926,PerBase[company_name],$B926)*AH401)</f>
        <v>0</v>
      </c>
      <c r="AI926" s="652">
        <f>IF($B926="",,SUMIFS(PerBase[Month 24],PerBase[exp_item],$H926,PerBase[company_name],$B926)*AI401)</f>
        <v>0</v>
      </c>
      <c r="AJ926" s="652">
        <f>IF($B926="",,SUMIFS(PerBase[Month 25],PerBase[exp_item],$H926,PerBase[company_name],$B926)*AJ401)</f>
        <v>0</v>
      </c>
      <c r="AK926" s="652">
        <f>IF($B926="",,SUMIFS(PerBase[Month 26],PerBase[exp_item],$H926,PerBase[company_name],$B926)*AK401)</f>
        <v>0</v>
      </c>
      <c r="AL926" s="652">
        <f>IF($B926="",,SUMIFS(PerBase[Month 27],PerBase[exp_item],$H926,PerBase[company_name],$B926)*AL401)</f>
        <v>0</v>
      </c>
      <c r="AM926" s="652">
        <f>IF($B926="",,SUMIFS(PerBase[Month 28],PerBase[exp_item],$H926,PerBase[company_name],$B926)*AM401)</f>
        <v>0</v>
      </c>
      <c r="AN926" s="652">
        <f>IF($B926="",,SUMIFS(PerBase[Month 29],PerBase[exp_item],$H926,PerBase[company_name],$B926)*AN401)</f>
        <v>0</v>
      </c>
      <c r="AO926" s="652">
        <f>IF($B926="",,SUMIFS(PerBase[Month 30],PerBase[exp_item],$H926,PerBase[company_name],$B926)*AO401)</f>
        <v>0</v>
      </c>
      <c r="AP926" s="652">
        <f>IF($B926="",,SUMIFS(PerBase[Month 31],PerBase[exp_item],$H926,PerBase[company_name],$B926)*AP401)</f>
        <v>0</v>
      </c>
      <c r="AQ926" s="652">
        <f>IF($B926="",,SUMIFS(PerBase[Month 32],PerBase[exp_item],$H926,PerBase[company_name],$B926)*AQ401)</f>
        <v>0</v>
      </c>
      <c r="AR926" s="652">
        <f>IF($B926="",,SUMIFS(PerBase[Month 33],PerBase[exp_item],$H926,PerBase[company_name],$B926)*AR401)</f>
        <v>0</v>
      </c>
      <c r="AS926" s="652">
        <f>IF($B926="",,SUMIFS(PerBase[Month 34],PerBase[exp_item],$H926,PerBase[company_name],$B926)*AS401)</f>
        <v>0</v>
      </c>
      <c r="AT926" s="652">
        <f>IF($B926="",,SUMIFS(PerBase[Month 35],PerBase[exp_item],$H926,PerBase[company_name],$B926)*AT401)</f>
        <v>0</v>
      </c>
      <c r="AU926" s="652">
        <f>IF($B926="",,SUMIFS(PerBase[Month 36],PerBase[exp_item],$H926,PerBase[company_name],$B926)*AU401)</f>
        <v>0</v>
      </c>
    </row>
    <row r="927" spans="1:52" x14ac:dyDescent="0.35">
      <c r="B927" t="str">
        <f t="shared" si="554"/>
        <v/>
      </c>
      <c r="C927" t="str">
        <f t="shared" ref="C927:G927" si="561">IF(C822="","",C822)</f>
        <v/>
      </c>
      <c r="D927" t="str">
        <f t="shared" si="561"/>
        <v/>
      </c>
      <c r="E927" t="str">
        <f t="shared" si="561"/>
        <v/>
      </c>
      <c r="F927" t="str">
        <f t="shared" si="561"/>
        <v/>
      </c>
      <c r="G927" t="str">
        <f t="shared" si="561"/>
        <v/>
      </c>
      <c r="H927" t="str">
        <f t="shared" si="553"/>
        <v/>
      </c>
      <c r="J927" t="str">
        <f>IF($H927="","",IF(VLOOKUP(H927,ExpItems[],2,0),H927&amp;" - "&amp;INDEX(DivisionMapping[category_code],MATCH($D927&amp;$C927,DivisionMapping[dept_bu],0)),H927))</f>
        <v/>
      </c>
      <c r="K927" t="str">
        <f t="shared" si="556"/>
        <v/>
      </c>
      <c r="L927" s="652">
        <f>IF($B927="",,SUMIFS(PerBase[Month 1],PerBase[exp_item],$H927,PerBase[company_name],$B927)*L402)</f>
        <v>0</v>
      </c>
      <c r="M927" s="652">
        <f>IF($B927="",,SUMIFS(PerBase[Month 2],PerBase[exp_item],$H927,PerBase[company_name],$B927)*M402)</f>
        <v>0</v>
      </c>
      <c r="N927" s="652">
        <f>IF($B927="",,SUMIFS(PerBase[Month 3],PerBase[exp_item],$H927,PerBase[company_name],$B927)*N402)</f>
        <v>0</v>
      </c>
      <c r="O927" s="652">
        <f>IF($B927="",,SUMIFS(PerBase[Month 4],PerBase[exp_item],$H927,PerBase[company_name],$B927)*O402)</f>
        <v>0</v>
      </c>
      <c r="P927" s="652">
        <f>IF($B927="",,SUMIFS(PerBase[Month 5],PerBase[exp_item],$H927,PerBase[company_name],$B927)*P402)</f>
        <v>0</v>
      </c>
      <c r="Q927" s="652">
        <f>IF($B927="",,SUMIFS(PerBase[Month 6],PerBase[exp_item],$H927,PerBase[company_name],$B927)*Q402)</f>
        <v>0</v>
      </c>
      <c r="R927" s="652">
        <f>IF($B927="",,SUMIFS(PerBase[Month 7],PerBase[exp_item],$H927,PerBase[company_name],$B927)*R402)</f>
        <v>0</v>
      </c>
      <c r="S927" s="652">
        <f>IF($B927="",,SUMIFS(PerBase[Month 8],PerBase[exp_item],$H927,PerBase[company_name],$B927)*S402)</f>
        <v>0</v>
      </c>
      <c r="T927" s="652">
        <f>IF($B927="",,SUMIFS(PerBase[Month 9],PerBase[exp_item],$H927,PerBase[company_name],$B927)*T402)</f>
        <v>0</v>
      </c>
      <c r="U927" s="652">
        <f>IF($B927="",,SUMIFS(PerBase[Month 10],PerBase[exp_item],$H927,PerBase[company_name],$B927)*U402)</f>
        <v>0</v>
      </c>
      <c r="V927" s="652">
        <f>IF($B927="",,SUMIFS(PerBase[Month 11],PerBase[exp_item],$H927,PerBase[company_name],$B927)*V402)</f>
        <v>0</v>
      </c>
      <c r="W927" s="652">
        <f>IF($B927="",,SUMIFS(PerBase[Month 12],PerBase[exp_item],$H927,PerBase[company_name],$B927)*W402)</f>
        <v>0</v>
      </c>
      <c r="X927" s="652">
        <f>IF($B927="",,SUMIFS(PerBase[Month 13],PerBase[exp_item],$H927,PerBase[company_name],$B927)*X402)</f>
        <v>0</v>
      </c>
      <c r="Y927" s="652">
        <f>IF($B927="",,SUMIFS(PerBase[Month 14],PerBase[exp_item],$H927,PerBase[company_name],$B927)*Y402)</f>
        <v>0</v>
      </c>
      <c r="Z927" s="652">
        <f>IF($B927="",,SUMIFS(PerBase[Month 15],PerBase[exp_item],$H927,PerBase[company_name],$B927)*Z402)</f>
        <v>0</v>
      </c>
      <c r="AA927" s="652">
        <f>IF($B927="",,SUMIFS(PerBase[Month 16],PerBase[exp_item],$H927,PerBase[company_name],$B927)*AA402)</f>
        <v>0</v>
      </c>
      <c r="AB927" s="652">
        <f>IF($B927="",,SUMIFS(PerBase[Month 17],PerBase[exp_item],$H927,PerBase[company_name],$B927)*AB402)</f>
        <v>0</v>
      </c>
      <c r="AC927" s="652">
        <f>IF($B927="",,SUMIFS(PerBase[Month 18],PerBase[exp_item],$H927,PerBase[company_name],$B927)*AC402)</f>
        <v>0</v>
      </c>
      <c r="AD927" s="652">
        <f>IF($B927="",,SUMIFS(PerBase[Month 19],PerBase[exp_item],$H927,PerBase[company_name],$B927)*AD402)</f>
        <v>0</v>
      </c>
      <c r="AE927" s="652">
        <f>IF($B927="",,SUMIFS(PerBase[Month 20],PerBase[exp_item],$H927,PerBase[company_name],$B927)*AE402)</f>
        <v>0</v>
      </c>
      <c r="AF927" s="652">
        <f>IF($B927="",,SUMIFS(PerBase[Month 21],PerBase[exp_item],$H927,PerBase[company_name],$B927)*AF402)</f>
        <v>0</v>
      </c>
      <c r="AG927" s="652">
        <f>IF($B927="",,SUMIFS(PerBase[Month 22],PerBase[exp_item],$H927,PerBase[company_name],$B927)*AG402)</f>
        <v>0</v>
      </c>
      <c r="AH927" s="652">
        <f>IF($B927="",,SUMIFS(PerBase[Month 23],PerBase[exp_item],$H927,PerBase[company_name],$B927)*AH402)</f>
        <v>0</v>
      </c>
      <c r="AI927" s="652">
        <f>IF($B927="",,SUMIFS(PerBase[Month 24],PerBase[exp_item],$H927,PerBase[company_name],$B927)*AI402)</f>
        <v>0</v>
      </c>
      <c r="AJ927" s="652">
        <f>IF($B927="",,SUMIFS(PerBase[Month 25],PerBase[exp_item],$H927,PerBase[company_name],$B927)*AJ402)</f>
        <v>0</v>
      </c>
      <c r="AK927" s="652">
        <f>IF($B927="",,SUMIFS(PerBase[Month 26],PerBase[exp_item],$H927,PerBase[company_name],$B927)*AK402)</f>
        <v>0</v>
      </c>
      <c r="AL927" s="652">
        <f>IF($B927="",,SUMIFS(PerBase[Month 27],PerBase[exp_item],$H927,PerBase[company_name],$B927)*AL402)</f>
        <v>0</v>
      </c>
      <c r="AM927" s="652">
        <f>IF($B927="",,SUMIFS(PerBase[Month 28],PerBase[exp_item],$H927,PerBase[company_name],$B927)*AM402)</f>
        <v>0</v>
      </c>
      <c r="AN927" s="652">
        <f>IF($B927="",,SUMIFS(PerBase[Month 29],PerBase[exp_item],$H927,PerBase[company_name],$B927)*AN402)</f>
        <v>0</v>
      </c>
      <c r="AO927" s="652">
        <f>IF($B927="",,SUMIFS(PerBase[Month 30],PerBase[exp_item],$H927,PerBase[company_name],$B927)*AO402)</f>
        <v>0</v>
      </c>
      <c r="AP927" s="652">
        <f>IF($B927="",,SUMIFS(PerBase[Month 31],PerBase[exp_item],$H927,PerBase[company_name],$B927)*AP402)</f>
        <v>0</v>
      </c>
      <c r="AQ927" s="652">
        <f>IF($B927="",,SUMIFS(PerBase[Month 32],PerBase[exp_item],$H927,PerBase[company_name],$B927)*AQ402)</f>
        <v>0</v>
      </c>
      <c r="AR927" s="652">
        <f>IF($B927="",,SUMIFS(PerBase[Month 33],PerBase[exp_item],$H927,PerBase[company_name],$B927)*AR402)</f>
        <v>0</v>
      </c>
      <c r="AS927" s="652">
        <f>IF($B927="",,SUMIFS(PerBase[Month 34],PerBase[exp_item],$H927,PerBase[company_name],$B927)*AS402)</f>
        <v>0</v>
      </c>
      <c r="AT927" s="652">
        <f>IF($B927="",,SUMIFS(PerBase[Month 35],PerBase[exp_item],$H927,PerBase[company_name],$B927)*AT402)</f>
        <v>0</v>
      </c>
      <c r="AU927" s="652">
        <f>IF($B927="",,SUMIFS(PerBase[Month 36],PerBase[exp_item],$H927,PerBase[company_name],$B927)*AU402)</f>
        <v>0</v>
      </c>
    </row>
    <row r="928" spans="1:52" x14ac:dyDescent="0.35">
      <c r="B928" t="str">
        <f t="shared" si="554"/>
        <v/>
      </c>
      <c r="C928" t="str">
        <f t="shared" ref="C928:G928" si="562">IF(C823="","",C823)</f>
        <v/>
      </c>
      <c r="D928" t="str">
        <f t="shared" si="562"/>
        <v/>
      </c>
      <c r="E928" t="str">
        <f t="shared" si="562"/>
        <v/>
      </c>
      <c r="F928" t="str">
        <f t="shared" si="562"/>
        <v/>
      </c>
      <c r="G928" t="str">
        <f t="shared" si="562"/>
        <v/>
      </c>
      <c r="H928" t="str">
        <f t="shared" si="553"/>
        <v/>
      </c>
      <c r="J928" t="str">
        <f>IF($H928="","",IF(VLOOKUP(H928,ExpItems[],2,0),H928&amp;" - "&amp;INDEX(DivisionMapping[category_code],MATCH($D928&amp;$C928,DivisionMapping[dept_bu],0)),H928))</f>
        <v/>
      </c>
      <c r="K928" t="str">
        <f t="shared" si="556"/>
        <v/>
      </c>
      <c r="L928" s="652">
        <f>IF($B928="",,SUMIFS(PerBase[Month 1],PerBase[exp_item],$H928,PerBase[company_name],$B928)*L403)</f>
        <v>0</v>
      </c>
      <c r="M928" s="652">
        <f>IF($B928="",,SUMIFS(PerBase[Month 2],PerBase[exp_item],$H928,PerBase[company_name],$B928)*M403)</f>
        <v>0</v>
      </c>
      <c r="N928" s="652">
        <f>IF($B928="",,SUMIFS(PerBase[Month 3],PerBase[exp_item],$H928,PerBase[company_name],$B928)*N403)</f>
        <v>0</v>
      </c>
      <c r="O928" s="652">
        <f>IF($B928="",,SUMIFS(PerBase[Month 4],PerBase[exp_item],$H928,PerBase[company_name],$B928)*O403)</f>
        <v>0</v>
      </c>
      <c r="P928" s="652">
        <f>IF($B928="",,SUMIFS(PerBase[Month 5],PerBase[exp_item],$H928,PerBase[company_name],$B928)*P403)</f>
        <v>0</v>
      </c>
      <c r="Q928" s="652">
        <f>IF($B928="",,SUMIFS(PerBase[Month 6],PerBase[exp_item],$H928,PerBase[company_name],$B928)*Q403)</f>
        <v>0</v>
      </c>
      <c r="R928" s="652">
        <f>IF($B928="",,SUMIFS(PerBase[Month 7],PerBase[exp_item],$H928,PerBase[company_name],$B928)*R403)</f>
        <v>0</v>
      </c>
      <c r="S928" s="652">
        <f>IF($B928="",,SUMIFS(PerBase[Month 8],PerBase[exp_item],$H928,PerBase[company_name],$B928)*S403)</f>
        <v>0</v>
      </c>
      <c r="T928" s="652">
        <f>IF($B928="",,SUMIFS(PerBase[Month 9],PerBase[exp_item],$H928,PerBase[company_name],$B928)*T403)</f>
        <v>0</v>
      </c>
      <c r="U928" s="652">
        <f>IF($B928="",,SUMIFS(PerBase[Month 10],PerBase[exp_item],$H928,PerBase[company_name],$B928)*U403)</f>
        <v>0</v>
      </c>
      <c r="V928" s="652">
        <f>IF($B928="",,SUMIFS(PerBase[Month 11],PerBase[exp_item],$H928,PerBase[company_name],$B928)*V403)</f>
        <v>0</v>
      </c>
      <c r="W928" s="652">
        <f>IF($B928="",,SUMIFS(PerBase[Month 12],PerBase[exp_item],$H928,PerBase[company_name],$B928)*W403)</f>
        <v>0</v>
      </c>
      <c r="X928" s="652">
        <f>IF($B928="",,SUMIFS(PerBase[Month 13],PerBase[exp_item],$H928,PerBase[company_name],$B928)*X403)</f>
        <v>0</v>
      </c>
      <c r="Y928" s="652">
        <f>IF($B928="",,SUMIFS(PerBase[Month 14],PerBase[exp_item],$H928,PerBase[company_name],$B928)*Y403)</f>
        <v>0</v>
      </c>
      <c r="Z928" s="652">
        <f>IF($B928="",,SUMIFS(PerBase[Month 15],PerBase[exp_item],$H928,PerBase[company_name],$B928)*Z403)</f>
        <v>0</v>
      </c>
      <c r="AA928" s="652">
        <f>IF($B928="",,SUMIFS(PerBase[Month 16],PerBase[exp_item],$H928,PerBase[company_name],$B928)*AA403)</f>
        <v>0</v>
      </c>
      <c r="AB928" s="652">
        <f>IF($B928="",,SUMIFS(PerBase[Month 17],PerBase[exp_item],$H928,PerBase[company_name],$B928)*AB403)</f>
        <v>0</v>
      </c>
      <c r="AC928" s="652">
        <f>IF($B928="",,SUMIFS(PerBase[Month 18],PerBase[exp_item],$H928,PerBase[company_name],$B928)*AC403)</f>
        <v>0</v>
      </c>
      <c r="AD928" s="652">
        <f>IF($B928="",,SUMIFS(PerBase[Month 19],PerBase[exp_item],$H928,PerBase[company_name],$B928)*AD403)</f>
        <v>0</v>
      </c>
      <c r="AE928" s="652">
        <f>IF($B928="",,SUMIFS(PerBase[Month 20],PerBase[exp_item],$H928,PerBase[company_name],$B928)*AE403)</f>
        <v>0</v>
      </c>
      <c r="AF928" s="652">
        <f>IF($B928="",,SUMIFS(PerBase[Month 21],PerBase[exp_item],$H928,PerBase[company_name],$B928)*AF403)</f>
        <v>0</v>
      </c>
      <c r="AG928" s="652">
        <f>IF($B928="",,SUMIFS(PerBase[Month 22],PerBase[exp_item],$H928,PerBase[company_name],$B928)*AG403)</f>
        <v>0</v>
      </c>
      <c r="AH928" s="652">
        <f>IF($B928="",,SUMIFS(PerBase[Month 23],PerBase[exp_item],$H928,PerBase[company_name],$B928)*AH403)</f>
        <v>0</v>
      </c>
      <c r="AI928" s="652">
        <f>IF($B928="",,SUMIFS(PerBase[Month 24],PerBase[exp_item],$H928,PerBase[company_name],$B928)*AI403)</f>
        <v>0</v>
      </c>
      <c r="AJ928" s="652">
        <f>IF($B928="",,SUMIFS(PerBase[Month 25],PerBase[exp_item],$H928,PerBase[company_name],$B928)*AJ403)</f>
        <v>0</v>
      </c>
      <c r="AK928" s="652">
        <f>IF($B928="",,SUMIFS(PerBase[Month 26],PerBase[exp_item],$H928,PerBase[company_name],$B928)*AK403)</f>
        <v>0</v>
      </c>
      <c r="AL928" s="652">
        <f>IF($B928="",,SUMIFS(PerBase[Month 27],PerBase[exp_item],$H928,PerBase[company_name],$B928)*AL403)</f>
        <v>0</v>
      </c>
      <c r="AM928" s="652">
        <f>IF($B928="",,SUMIFS(PerBase[Month 28],PerBase[exp_item],$H928,PerBase[company_name],$B928)*AM403)</f>
        <v>0</v>
      </c>
      <c r="AN928" s="652">
        <f>IF($B928="",,SUMIFS(PerBase[Month 29],PerBase[exp_item],$H928,PerBase[company_name],$B928)*AN403)</f>
        <v>0</v>
      </c>
      <c r="AO928" s="652">
        <f>IF($B928="",,SUMIFS(PerBase[Month 30],PerBase[exp_item],$H928,PerBase[company_name],$B928)*AO403)</f>
        <v>0</v>
      </c>
      <c r="AP928" s="652">
        <f>IF($B928="",,SUMIFS(PerBase[Month 31],PerBase[exp_item],$H928,PerBase[company_name],$B928)*AP403)</f>
        <v>0</v>
      </c>
      <c r="AQ928" s="652">
        <f>IF($B928="",,SUMIFS(PerBase[Month 32],PerBase[exp_item],$H928,PerBase[company_name],$B928)*AQ403)</f>
        <v>0</v>
      </c>
      <c r="AR928" s="652">
        <f>IF($B928="",,SUMIFS(PerBase[Month 33],PerBase[exp_item],$H928,PerBase[company_name],$B928)*AR403)</f>
        <v>0</v>
      </c>
      <c r="AS928" s="652">
        <f>IF($B928="",,SUMIFS(PerBase[Month 34],PerBase[exp_item],$H928,PerBase[company_name],$B928)*AS403)</f>
        <v>0</v>
      </c>
      <c r="AT928" s="652">
        <f>IF($B928="",,SUMIFS(PerBase[Month 35],PerBase[exp_item],$H928,PerBase[company_name],$B928)*AT403)</f>
        <v>0</v>
      </c>
      <c r="AU928" s="652">
        <f>IF($B928="",,SUMIFS(PerBase[Month 36],PerBase[exp_item],$H928,PerBase[company_name],$B928)*AU403)</f>
        <v>0</v>
      </c>
    </row>
    <row r="929" spans="2:47" x14ac:dyDescent="0.35">
      <c r="B929" t="str">
        <f t="shared" si="554"/>
        <v/>
      </c>
      <c r="C929" t="str">
        <f t="shared" ref="C929:G929" si="563">IF(C824="","",C824)</f>
        <v/>
      </c>
      <c r="D929" t="str">
        <f t="shared" si="563"/>
        <v/>
      </c>
      <c r="E929" t="str">
        <f t="shared" si="563"/>
        <v/>
      </c>
      <c r="F929" t="str">
        <f t="shared" si="563"/>
        <v/>
      </c>
      <c r="G929" t="str">
        <f t="shared" si="563"/>
        <v/>
      </c>
      <c r="H929" t="str">
        <f t="shared" si="553"/>
        <v/>
      </c>
      <c r="J929" t="str">
        <f>IF($H929="","",IF(VLOOKUP(H929,ExpItems[],2,0),H929&amp;" - "&amp;INDEX(DivisionMapping[category_code],MATCH($D929&amp;$C929,DivisionMapping[dept_bu],0)),H929))</f>
        <v/>
      </c>
      <c r="K929" t="str">
        <f t="shared" si="556"/>
        <v/>
      </c>
      <c r="L929" s="652">
        <f>IF($B929="",,SUMIFS(PerBase[Month 1],PerBase[exp_item],$H929,PerBase[company_name],$B929)*L404)</f>
        <v>0</v>
      </c>
      <c r="M929" s="652">
        <f>IF($B929="",,SUMIFS(PerBase[Month 2],PerBase[exp_item],$H929,PerBase[company_name],$B929)*M404)</f>
        <v>0</v>
      </c>
      <c r="N929" s="652">
        <f>IF($B929="",,SUMIFS(PerBase[Month 3],PerBase[exp_item],$H929,PerBase[company_name],$B929)*N404)</f>
        <v>0</v>
      </c>
      <c r="O929" s="652">
        <f>IF($B929="",,SUMIFS(PerBase[Month 4],PerBase[exp_item],$H929,PerBase[company_name],$B929)*O404)</f>
        <v>0</v>
      </c>
      <c r="P929" s="652">
        <f>IF($B929="",,SUMIFS(PerBase[Month 5],PerBase[exp_item],$H929,PerBase[company_name],$B929)*P404)</f>
        <v>0</v>
      </c>
      <c r="Q929" s="652">
        <f>IF($B929="",,SUMIFS(PerBase[Month 6],PerBase[exp_item],$H929,PerBase[company_name],$B929)*Q404)</f>
        <v>0</v>
      </c>
      <c r="R929" s="652">
        <f>IF($B929="",,SUMIFS(PerBase[Month 7],PerBase[exp_item],$H929,PerBase[company_name],$B929)*R404)</f>
        <v>0</v>
      </c>
      <c r="S929" s="652">
        <f>IF($B929="",,SUMIFS(PerBase[Month 8],PerBase[exp_item],$H929,PerBase[company_name],$B929)*S404)</f>
        <v>0</v>
      </c>
      <c r="T929" s="652">
        <f>IF($B929="",,SUMIFS(PerBase[Month 9],PerBase[exp_item],$H929,PerBase[company_name],$B929)*T404)</f>
        <v>0</v>
      </c>
      <c r="U929" s="652">
        <f>IF($B929="",,SUMIFS(PerBase[Month 10],PerBase[exp_item],$H929,PerBase[company_name],$B929)*U404)</f>
        <v>0</v>
      </c>
      <c r="V929" s="652">
        <f>IF($B929="",,SUMIFS(PerBase[Month 11],PerBase[exp_item],$H929,PerBase[company_name],$B929)*V404)</f>
        <v>0</v>
      </c>
      <c r="W929" s="652">
        <f>IF($B929="",,SUMIFS(PerBase[Month 12],PerBase[exp_item],$H929,PerBase[company_name],$B929)*W404)</f>
        <v>0</v>
      </c>
      <c r="X929" s="652">
        <f>IF($B929="",,SUMIFS(PerBase[Month 13],PerBase[exp_item],$H929,PerBase[company_name],$B929)*X404)</f>
        <v>0</v>
      </c>
      <c r="Y929" s="652">
        <f>IF($B929="",,SUMIFS(PerBase[Month 14],PerBase[exp_item],$H929,PerBase[company_name],$B929)*Y404)</f>
        <v>0</v>
      </c>
      <c r="Z929" s="652">
        <f>IF($B929="",,SUMIFS(PerBase[Month 15],PerBase[exp_item],$H929,PerBase[company_name],$B929)*Z404)</f>
        <v>0</v>
      </c>
      <c r="AA929" s="652">
        <f>IF($B929="",,SUMIFS(PerBase[Month 16],PerBase[exp_item],$H929,PerBase[company_name],$B929)*AA404)</f>
        <v>0</v>
      </c>
      <c r="AB929" s="652">
        <f>IF($B929="",,SUMIFS(PerBase[Month 17],PerBase[exp_item],$H929,PerBase[company_name],$B929)*AB404)</f>
        <v>0</v>
      </c>
      <c r="AC929" s="652">
        <f>IF($B929="",,SUMIFS(PerBase[Month 18],PerBase[exp_item],$H929,PerBase[company_name],$B929)*AC404)</f>
        <v>0</v>
      </c>
      <c r="AD929" s="652">
        <f>IF($B929="",,SUMIFS(PerBase[Month 19],PerBase[exp_item],$H929,PerBase[company_name],$B929)*AD404)</f>
        <v>0</v>
      </c>
      <c r="AE929" s="652">
        <f>IF($B929="",,SUMIFS(PerBase[Month 20],PerBase[exp_item],$H929,PerBase[company_name],$B929)*AE404)</f>
        <v>0</v>
      </c>
      <c r="AF929" s="652">
        <f>IF($B929="",,SUMIFS(PerBase[Month 21],PerBase[exp_item],$H929,PerBase[company_name],$B929)*AF404)</f>
        <v>0</v>
      </c>
      <c r="AG929" s="652">
        <f>IF($B929="",,SUMIFS(PerBase[Month 22],PerBase[exp_item],$H929,PerBase[company_name],$B929)*AG404)</f>
        <v>0</v>
      </c>
      <c r="AH929" s="652">
        <f>IF($B929="",,SUMIFS(PerBase[Month 23],PerBase[exp_item],$H929,PerBase[company_name],$B929)*AH404)</f>
        <v>0</v>
      </c>
      <c r="AI929" s="652">
        <f>IF($B929="",,SUMIFS(PerBase[Month 24],PerBase[exp_item],$H929,PerBase[company_name],$B929)*AI404)</f>
        <v>0</v>
      </c>
      <c r="AJ929" s="652">
        <f>IF($B929="",,SUMIFS(PerBase[Month 25],PerBase[exp_item],$H929,PerBase[company_name],$B929)*AJ404)</f>
        <v>0</v>
      </c>
      <c r="AK929" s="652">
        <f>IF($B929="",,SUMIFS(PerBase[Month 26],PerBase[exp_item],$H929,PerBase[company_name],$B929)*AK404)</f>
        <v>0</v>
      </c>
      <c r="AL929" s="652">
        <f>IF($B929="",,SUMIFS(PerBase[Month 27],PerBase[exp_item],$H929,PerBase[company_name],$B929)*AL404)</f>
        <v>0</v>
      </c>
      <c r="AM929" s="652">
        <f>IF($B929="",,SUMIFS(PerBase[Month 28],PerBase[exp_item],$H929,PerBase[company_name],$B929)*AM404)</f>
        <v>0</v>
      </c>
      <c r="AN929" s="652">
        <f>IF($B929="",,SUMIFS(PerBase[Month 29],PerBase[exp_item],$H929,PerBase[company_name],$B929)*AN404)</f>
        <v>0</v>
      </c>
      <c r="AO929" s="652">
        <f>IF($B929="",,SUMIFS(PerBase[Month 30],PerBase[exp_item],$H929,PerBase[company_name],$B929)*AO404)</f>
        <v>0</v>
      </c>
      <c r="AP929" s="652">
        <f>IF($B929="",,SUMIFS(PerBase[Month 31],PerBase[exp_item],$H929,PerBase[company_name],$B929)*AP404)</f>
        <v>0</v>
      </c>
      <c r="AQ929" s="652">
        <f>IF($B929="",,SUMIFS(PerBase[Month 32],PerBase[exp_item],$H929,PerBase[company_name],$B929)*AQ404)</f>
        <v>0</v>
      </c>
      <c r="AR929" s="652">
        <f>IF($B929="",,SUMIFS(PerBase[Month 33],PerBase[exp_item],$H929,PerBase[company_name],$B929)*AR404)</f>
        <v>0</v>
      </c>
      <c r="AS929" s="652">
        <f>IF($B929="",,SUMIFS(PerBase[Month 34],PerBase[exp_item],$H929,PerBase[company_name],$B929)*AS404)</f>
        <v>0</v>
      </c>
      <c r="AT929" s="652">
        <f>IF($B929="",,SUMIFS(PerBase[Month 35],PerBase[exp_item],$H929,PerBase[company_name],$B929)*AT404)</f>
        <v>0</v>
      </c>
      <c r="AU929" s="652">
        <f>IF($B929="",,SUMIFS(PerBase[Month 36],PerBase[exp_item],$H929,PerBase[company_name],$B929)*AU404)</f>
        <v>0</v>
      </c>
    </row>
    <row r="930" spans="2:47" x14ac:dyDescent="0.35">
      <c r="B930" t="str">
        <f t="shared" si="554"/>
        <v/>
      </c>
      <c r="C930" t="str">
        <f t="shared" ref="C930:G930" si="564">IF(C825="","",C825)</f>
        <v/>
      </c>
      <c r="D930" t="str">
        <f t="shared" si="564"/>
        <v/>
      </c>
      <c r="E930" t="str">
        <f t="shared" si="564"/>
        <v/>
      </c>
      <c r="F930" t="str">
        <f t="shared" si="564"/>
        <v/>
      </c>
      <c r="G930" t="str">
        <f t="shared" si="564"/>
        <v/>
      </c>
      <c r="H930" t="str">
        <f t="shared" si="553"/>
        <v/>
      </c>
      <c r="J930" t="str">
        <f>IF($H930="","",IF(VLOOKUP(H930,ExpItems[],2,0),H930&amp;" - "&amp;INDEX(DivisionMapping[category_code],MATCH($D930&amp;$C930,DivisionMapping[dept_bu],0)),H930))</f>
        <v/>
      </c>
      <c r="K930" t="str">
        <f t="shared" si="556"/>
        <v/>
      </c>
      <c r="L930" s="652">
        <f>IF($B930="",,SUMIFS(PerBase[Month 1],PerBase[exp_item],$H930,PerBase[company_name],$B930)*L405)</f>
        <v>0</v>
      </c>
      <c r="M930" s="652">
        <f>IF($B930="",,SUMIFS(PerBase[Month 2],PerBase[exp_item],$H930,PerBase[company_name],$B930)*M405)</f>
        <v>0</v>
      </c>
      <c r="N930" s="652">
        <f>IF($B930="",,SUMIFS(PerBase[Month 3],PerBase[exp_item],$H930,PerBase[company_name],$B930)*N405)</f>
        <v>0</v>
      </c>
      <c r="O930" s="652">
        <f>IF($B930="",,SUMIFS(PerBase[Month 4],PerBase[exp_item],$H930,PerBase[company_name],$B930)*O405)</f>
        <v>0</v>
      </c>
      <c r="P930" s="652">
        <f>IF($B930="",,SUMIFS(PerBase[Month 5],PerBase[exp_item],$H930,PerBase[company_name],$B930)*P405)</f>
        <v>0</v>
      </c>
      <c r="Q930" s="652">
        <f>IF($B930="",,SUMIFS(PerBase[Month 6],PerBase[exp_item],$H930,PerBase[company_name],$B930)*Q405)</f>
        <v>0</v>
      </c>
      <c r="R930" s="652">
        <f>IF($B930="",,SUMIFS(PerBase[Month 7],PerBase[exp_item],$H930,PerBase[company_name],$B930)*R405)</f>
        <v>0</v>
      </c>
      <c r="S930" s="652">
        <f>IF($B930="",,SUMIFS(PerBase[Month 8],PerBase[exp_item],$H930,PerBase[company_name],$B930)*S405)</f>
        <v>0</v>
      </c>
      <c r="T930" s="652">
        <f>IF($B930="",,SUMIFS(PerBase[Month 9],PerBase[exp_item],$H930,PerBase[company_name],$B930)*T405)</f>
        <v>0</v>
      </c>
      <c r="U930" s="652">
        <f>IF($B930="",,SUMIFS(PerBase[Month 10],PerBase[exp_item],$H930,PerBase[company_name],$B930)*U405)</f>
        <v>0</v>
      </c>
      <c r="V930" s="652">
        <f>IF($B930="",,SUMIFS(PerBase[Month 11],PerBase[exp_item],$H930,PerBase[company_name],$B930)*V405)</f>
        <v>0</v>
      </c>
      <c r="W930" s="652">
        <f>IF($B930="",,SUMIFS(PerBase[Month 12],PerBase[exp_item],$H930,PerBase[company_name],$B930)*W405)</f>
        <v>0</v>
      </c>
      <c r="X930" s="652">
        <f>IF($B930="",,SUMIFS(PerBase[Month 13],PerBase[exp_item],$H930,PerBase[company_name],$B930)*X405)</f>
        <v>0</v>
      </c>
      <c r="Y930" s="652">
        <f>IF($B930="",,SUMIFS(PerBase[Month 14],PerBase[exp_item],$H930,PerBase[company_name],$B930)*Y405)</f>
        <v>0</v>
      </c>
      <c r="Z930" s="652">
        <f>IF($B930="",,SUMIFS(PerBase[Month 15],PerBase[exp_item],$H930,PerBase[company_name],$B930)*Z405)</f>
        <v>0</v>
      </c>
      <c r="AA930" s="652">
        <f>IF($B930="",,SUMIFS(PerBase[Month 16],PerBase[exp_item],$H930,PerBase[company_name],$B930)*AA405)</f>
        <v>0</v>
      </c>
      <c r="AB930" s="652">
        <f>IF($B930="",,SUMIFS(PerBase[Month 17],PerBase[exp_item],$H930,PerBase[company_name],$B930)*AB405)</f>
        <v>0</v>
      </c>
      <c r="AC930" s="652">
        <f>IF($B930="",,SUMIFS(PerBase[Month 18],PerBase[exp_item],$H930,PerBase[company_name],$B930)*AC405)</f>
        <v>0</v>
      </c>
      <c r="AD930" s="652">
        <f>IF($B930="",,SUMIFS(PerBase[Month 19],PerBase[exp_item],$H930,PerBase[company_name],$B930)*AD405)</f>
        <v>0</v>
      </c>
      <c r="AE930" s="652">
        <f>IF($B930="",,SUMIFS(PerBase[Month 20],PerBase[exp_item],$H930,PerBase[company_name],$B930)*AE405)</f>
        <v>0</v>
      </c>
      <c r="AF930" s="652">
        <f>IF($B930="",,SUMIFS(PerBase[Month 21],PerBase[exp_item],$H930,PerBase[company_name],$B930)*AF405)</f>
        <v>0</v>
      </c>
      <c r="AG930" s="652">
        <f>IF($B930="",,SUMIFS(PerBase[Month 22],PerBase[exp_item],$H930,PerBase[company_name],$B930)*AG405)</f>
        <v>0</v>
      </c>
      <c r="AH930" s="652">
        <f>IF($B930="",,SUMIFS(PerBase[Month 23],PerBase[exp_item],$H930,PerBase[company_name],$B930)*AH405)</f>
        <v>0</v>
      </c>
      <c r="AI930" s="652">
        <f>IF($B930="",,SUMIFS(PerBase[Month 24],PerBase[exp_item],$H930,PerBase[company_name],$B930)*AI405)</f>
        <v>0</v>
      </c>
      <c r="AJ930" s="652">
        <f>IF($B930="",,SUMIFS(PerBase[Month 25],PerBase[exp_item],$H930,PerBase[company_name],$B930)*AJ405)</f>
        <v>0</v>
      </c>
      <c r="AK930" s="652">
        <f>IF($B930="",,SUMIFS(PerBase[Month 26],PerBase[exp_item],$H930,PerBase[company_name],$B930)*AK405)</f>
        <v>0</v>
      </c>
      <c r="AL930" s="652">
        <f>IF($B930="",,SUMIFS(PerBase[Month 27],PerBase[exp_item],$H930,PerBase[company_name],$B930)*AL405)</f>
        <v>0</v>
      </c>
      <c r="AM930" s="652">
        <f>IF($B930="",,SUMIFS(PerBase[Month 28],PerBase[exp_item],$H930,PerBase[company_name],$B930)*AM405)</f>
        <v>0</v>
      </c>
      <c r="AN930" s="652">
        <f>IF($B930="",,SUMIFS(PerBase[Month 29],PerBase[exp_item],$H930,PerBase[company_name],$B930)*AN405)</f>
        <v>0</v>
      </c>
      <c r="AO930" s="652">
        <f>IF($B930="",,SUMIFS(PerBase[Month 30],PerBase[exp_item],$H930,PerBase[company_name],$B930)*AO405)</f>
        <v>0</v>
      </c>
      <c r="AP930" s="652">
        <f>IF($B930="",,SUMIFS(PerBase[Month 31],PerBase[exp_item],$H930,PerBase[company_name],$B930)*AP405)</f>
        <v>0</v>
      </c>
      <c r="AQ930" s="652">
        <f>IF($B930="",,SUMIFS(PerBase[Month 32],PerBase[exp_item],$H930,PerBase[company_name],$B930)*AQ405)</f>
        <v>0</v>
      </c>
      <c r="AR930" s="652">
        <f>IF($B930="",,SUMIFS(PerBase[Month 33],PerBase[exp_item],$H930,PerBase[company_name],$B930)*AR405)</f>
        <v>0</v>
      </c>
      <c r="AS930" s="652">
        <f>IF($B930="",,SUMIFS(PerBase[Month 34],PerBase[exp_item],$H930,PerBase[company_name],$B930)*AS405)</f>
        <v>0</v>
      </c>
      <c r="AT930" s="652">
        <f>IF($B930="",,SUMIFS(PerBase[Month 35],PerBase[exp_item],$H930,PerBase[company_name],$B930)*AT405)</f>
        <v>0</v>
      </c>
      <c r="AU930" s="652">
        <f>IF($B930="",,SUMIFS(PerBase[Month 36],PerBase[exp_item],$H930,PerBase[company_name],$B930)*AU405)</f>
        <v>0</v>
      </c>
    </row>
    <row r="931" spans="2:47" x14ac:dyDescent="0.35">
      <c r="B931" t="str">
        <f t="shared" si="554"/>
        <v/>
      </c>
      <c r="C931" t="str">
        <f t="shared" ref="C931:G931" si="565">IF(C826="","",C826)</f>
        <v/>
      </c>
      <c r="D931" t="str">
        <f t="shared" si="565"/>
        <v/>
      </c>
      <c r="E931" t="str">
        <f t="shared" si="565"/>
        <v/>
      </c>
      <c r="F931" t="str">
        <f t="shared" si="565"/>
        <v/>
      </c>
      <c r="G931" t="str">
        <f t="shared" si="565"/>
        <v/>
      </c>
      <c r="H931" t="str">
        <f t="shared" si="553"/>
        <v/>
      </c>
      <c r="J931" t="str">
        <f>IF($H931="","",IF(VLOOKUP(H931,ExpItems[],2,0),H931&amp;" - "&amp;INDEX(DivisionMapping[category_code],MATCH($D931&amp;$C931,DivisionMapping[dept_bu],0)),H931))</f>
        <v/>
      </c>
      <c r="K931" t="str">
        <f t="shared" si="556"/>
        <v/>
      </c>
      <c r="L931" s="652">
        <f>IF($B931="",,SUMIFS(PerBase[Month 1],PerBase[exp_item],$H931,PerBase[company_name],$B931)*L406)</f>
        <v>0</v>
      </c>
      <c r="M931" s="652">
        <f>IF($B931="",,SUMIFS(PerBase[Month 2],PerBase[exp_item],$H931,PerBase[company_name],$B931)*M406)</f>
        <v>0</v>
      </c>
      <c r="N931" s="652">
        <f>IF($B931="",,SUMIFS(PerBase[Month 3],PerBase[exp_item],$H931,PerBase[company_name],$B931)*N406)</f>
        <v>0</v>
      </c>
      <c r="O931" s="652">
        <f>IF($B931="",,SUMIFS(PerBase[Month 4],PerBase[exp_item],$H931,PerBase[company_name],$B931)*O406)</f>
        <v>0</v>
      </c>
      <c r="P931" s="652">
        <f>IF($B931="",,SUMIFS(PerBase[Month 5],PerBase[exp_item],$H931,PerBase[company_name],$B931)*P406)</f>
        <v>0</v>
      </c>
      <c r="Q931" s="652">
        <f>IF($B931="",,SUMIFS(PerBase[Month 6],PerBase[exp_item],$H931,PerBase[company_name],$B931)*Q406)</f>
        <v>0</v>
      </c>
      <c r="R931" s="652">
        <f>IF($B931="",,SUMIFS(PerBase[Month 7],PerBase[exp_item],$H931,PerBase[company_name],$B931)*R406)</f>
        <v>0</v>
      </c>
      <c r="S931" s="652">
        <f>IF($B931="",,SUMIFS(PerBase[Month 8],PerBase[exp_item],$H931,PerBase[company_name],$B931)*S406)</f>
        <v>0</v>
      </c>
      <c r="T931" s="652">
        <f>IF($B931="",,SUMIFS(PerBase[Month 9],PerBase[exp_item],$H931,PerBase[company_name],$B931)*T406)</f>
        <v>0</v>
      </c>
      <c r="U931" s="652">
        <f>IF($B931="",,SUMIFS(PerBase[Month 10],PerBase[exp_item],$H931,PerBase[company_name],$B931)*U406)</f>
        <v>0</v>
      </c>
      <c r="V931" s="652">
        <f>IF($B931="",,SUMIFS(PerBase[Month 11],PerBase[exp_item],$H931,PerBase[company_name],$B931)*V406)</f>
        <v>0</v>
      </c>
      <c r="W931" s="652">
        <f>IF($B931="",,SUMIFS(PerBase[Month 12],PerBase[exp_item],$H931,PerBase[company_name],$B931)*W406)</f>
        <v>0</v>
      </c>
      <c r="X931" s="652">
        <f>IF($B931="",,SUMIFS(PerBase[Month 13],PerBase[exp_item],$H931,PerBase[company_name],$B931)*X406)</f>
        <v>0</v>
      </c>
      <c r="Y931" s="652">
        <f>IF($B931="",,SUMIFS(PerBase[Month 14],PerBase[exp_item],$H931,PerBase[company_name],$B931)*Y406)</f>
        <v>0</v>
      </c>
      <c r="Z931" s="652">
        <f>IF($B931="",,SUMIFS(PerBase[Month 15],PerBase[exp_item],$H931,PerBase[company_name],$B931)*Z406)</f>
        <v>0</v>
      </c>
      <c r="AA931" s="652">
        <f>IF($B931="",,SUMIFS(PerBase[Month 16],PerBase[exp_item],$H931,PerBase[company_name],$B931)*AA406)</f>
        <v>0</v>
      </c>
      <c r="AB931" s="652">
        <f>IF($B931="",,SUMIFS(PerBase[Month 17],PerBase[exp_item],$H931,PerBase[company_name],$B931)*AB406)</f>
        <v>0</v>
      </c>
      <c r="AC931" s="652">
        <f>IF($B931="",,SUMIFS(PerBase[Month 18],PerBase[exp_item],$H931,PerBase[company_name],$B931)*AC406)</f>
        <v>0</v>
      </c>
      <c r="AD931" s="652">
        <f>IF($B931="",,SUMIFS(PerBase[Month 19],PerBase[exp_item],$H931,PerBase[company_name],$B931)*AD406)</f>
        <v>0</v>
      </c>
      <c r="AE931" s="652">
        <f>IF($B931="",,SUMIFS(PerBase[Month 20],PerBase[exp_item],$H931,PerBase[company_name],$B931)*AE406)</f>
        <v>0</v>
      </c>
      <c r="AF931" s="652">
        <f>IF($B931="",,SUMIFS(PerBase[Month 21],PerBase[exp_item],$H931,PerBase[company_name],$B931)*AF406)</f>
        <v>0</v>
      </c>
      <c r="AG931" s="652">
        <f>IF($B931="",,SUMIFS(PerBase[Month 22],PerBase[exp_item],$H931,PerBase[company_name],$B931)*AG406)</f>
        <v>0</v>
      </c>
      <c r="AH931" s="652">
        <f>IF($B931="",,SUMIFS(PerBase[Month 23],PerBase[exp_item],$H931,PerBase[company_name],$B931)*AH406)</f>
        <v>0</v>
      </c>
      <c r="AI931" s="652">
        <f>IF($B931="",,SUMIFS(PerBase[Month 24],PerBase[exp_item],$H931,PerBase[company_name],$B931)*AI406)</f>
        <v>0</v>
      </c>
      <c r="AJ931" s="652">
        <f>IF($B931="",,SUMIFS(PerBase[Month 25],PerBase[exp_item],$H931,PerBase[company_name],$B931)*AJ406)</f>
        <v>0</v>
      </c>
      <c r="AK931" s="652">
        <f>IF($B931="",,SUMIFS(PerBase[Month 26],PerBase[exp_item],$H931,PerBase[company_name],$B931)*AK406)</f>
        <v>0</v>
      </c>
      <c r="AL931" s="652">
        <f>IF($B931="",,SUMIFS(PerBase[Month 27],PerBase[exp_item],$H931,PerBase[company_name],$B931)*AL406)</f>
        <v>0</v>
      </c>
      <c r="AM931" s="652">
        <f>IF($B931="",,SUMIFS(PerBase[Month 28],PerBase[exp_item],$H931,PerBase[company_name],$B931)*AM406)</f>
        <v>0</v>
      </c>
      <c r="AN931" s="652">
        <f>IF($B931="",,SUMIFS(PerBase[Month 29],PerBase[exp_item],$H931,PerBase[company_name],$B931)*AN406)</f>
        <v>0</v>
      </c>
      <c r="AO931" s="652">
        <f>IF($B931="",,SUMIFS(PerBase[Month 30],PerBase[exp_item],$H931,PerBase[company_name],$B931)*AO406)</f>
        <v>0</v>
      </c>
      <c r="AP931" s="652">
        <f>IF($B931="",,SUMIFS(PerBase[Month 31],PerBase[exp_item],$H931,PerBase[company_name],$B931)*AP406)</f>
        <v>0</v>
      </c>
      <c r="AQ931" s="652">
        <f>IF($B931="",,SUMIFS(PerBase[Month 32],PerBase[exp_item],$H931,PerBase[company_name],$B931)*AQ406)</f>
        <v>0</v>
      </c>
      <c r="AR931" s="652">
        <f>IF($B931="",,SUMIFS(PerBase[Month 33],PerBase[exp_item],$H931,PerBase[company_name],$B931)*AR406)</f>
        <v>0</v>
      </c>
      <c r="AS931" s="652">
        <f>IF($B931="",,SUMIFS(PerBase[Month 34],PerBase[exp_item],$H931,PerBase[company_name],$B931)*AS406)</f>
        <v>0</v>
      </c>
      <c r="AT931" s="652">
        <f>IF($B931="",,SUMIFS(PerBase[Month 35],PerBase[exp_item],$H931,PerBase[company_name],$B931)*AT406)</f>
        <v>0</v>
      </c>
      <c r="AU931" s="652">
        <f>IF($B931="",,SUMIFS(PerBase[Month 36],PerBase[exp_item],$H931,PerBase[company_name],$B931)*AU406)</f>
        <v>0</v>
      </c>
    </row>
    <row r="932" spans="2:47" x14ac:dyDescent="0.35">
      <c r="B932" t="str">
        <f t="shared" si="554"/>
        <v/>
      </c>
      <c r="C932" t="str">
        <f t="shared" ref="C932:G932" si="566">IF(C827="","",C827)</f>
        <v/>
      </c>
      <c r="D932" t="str">
        <f t="shared" si="566"/>
        <v/>
      </c>
      <c r="E932" t="str">
        <f t="shared" si="566"/>
        <v/>
      </c>
      <c r="F932" t="str">
        <f t="shared" si="566"/>
        <v/>
      </c>
      <c r="G932" t="str">
        <f t="shared" si="566"/>
        <v/>
      </c>
      <c r="H932" t="str">
        <f t="shared" si="553"/>
        <v/>
      </c>
      <c r="J932" t="str">
        <f>IF($H932="","",IF(VLOOKUP(H932,ExpItems[],2,0),H932&amp;" - "&amp;INDEX(DivisionMapping[category_code],MATCH($D932&amp;$C932,DivisionMapping[dept_bu],0)),H932))</f>
        <v/>
      </c>
      <c r="K932" t="str">
        <f t="shared" si="556"/>
        <v/>
      </c>
      <c r="L932" s="652">
        <f>IF($B932="",,SUMIFS(PerBase[Month 1],PerBase[exp_item],$H932,PerBase[company_name],$B932)*L407)</f>
        <v>0</v>
      </c>
      <c r="M932" s="652">
        <f>IF($B932="",,SUMIFS(PerBase[Month 2],PerBase[exp_item],$H932,PerBase[company_name],$B932)*M407)</f>
        <v>0</v>
      </c>
      <c r="N932" s="652">
        <f>IF($B932="",,SUMIFS(PerBase[Month 3],PerBase[exp_item],$H932,PerBase[company_name],$B932)*N407)</f>
        <v>0</v>
      </c>
      <c r="O932" s="652">
        <f>IF($B932="",,SUMIFS(PerBase[Month 4],PerBase[exp_item],$H932,PerBase[company_name],$B932)*O407)</f>
        <v>0</v>
      </c>
      <c r="P932" s="652">
        <f>IF($B932="",,SUMIFS(PerBase[Month 5],PerBase[exp_item],$H932,PerBase[company_name],$B932)*P407)</f>
        <v>0</v>
      </c>
      <c r="Q932" s="652">
        <f>IF($B932="",,SUMIFS(PerBase[Month 6],PerBase[exp_item],$H932,PerBase[company_name],$B932)*Q407)</f>
        <v>0</v>
      </c>
      <c r="R932" s="652">
        <f>IF($B932="",,SUMIFS(PerBase[Month 7],PerBase[exp_item],$H932,PerBase[company_name],$B932)*R407)</f>
        <v>0</v>
      </c>
      <c r="S932" s="652">
        <f>IF($B932="",,SUMIFS(PerBase[Month 8],PerBase[exp_item],$H932,PerBase[company_name],$B932)*S407)</f>
        <v>0</v>
      </c>
      <c r="T932" s="652">
        <f>IF($B932="",,SUMIFS(PerBase[Month 9],PerBase[exp_item],$H932,PerBase[company_name],$B932)*T407)</f>
        <v>0</v>
      </c>
      <c r="U932" s="652">
        <f>IF($B932="",,SUMIFS(PerBase[Month 10],PerBase[exp_item],$H932,PerBase[company_name],$B932)*U407)</f>
        <v>0</v>
      </c>
      <c r="V932" s="652">
        <f>IF($B932="",,SUMIFS(PerBase[Month 11],PerBase[exp_item],$H932,PerBase[company_name],$B932)*V407)</f>
        <v>0</v>
      </c>
      <c r="W932" s="652">
        <f>IF($B932="",,SUMIFS(PerBase[Month 12],PerBase[exp_item],$H932,PerBase[company_name],$B932)*W407)</f>
        <v>0</v>
      </c>
      <c r="X932" s="652">
        <f>IF($B932="",,SUMIFS(PerBase[Month 13],PerBase[exp_item],$H932,PerBase[company_name],$B932)*X407)</f>
        <v>0</v>
      </c>
      <c r="Y932" s="652">
        <f>IF($B932="",,SUMIFS(PerBase[Month 14],PerBase[exp_item],$H932,PerBase[company_name],$B932)*Y407)</f>
        <v>0</v>
      </c>
      <c r="Z932" s="652">
        <f>IF($B932="",,SUMIFS(PerBase[Month 15],PerBase[exp_item],$H932,PerBase[company_name],$B932)*Z407)</f>
        <v>0</v>
      </c>
      <c r="AA932" s="652">
        <f>IF($B932="",,SUMIFS(PerBase[Month 16],PerBase[exp_item],$H932,PerBase[company_name],$B932)*AA407)</f>
        <v>0</v>
      </c>
      <c r="AB932" s="652">
        <f>IF($B932="",,SUMIFS(PerBase[Month 17],PerBase[exp_item],$H932,PerBase[company_name],$B932)*AB407)</f>
        <v>0</v>
      </c>
      <c r="AC932" s="652">
        <f>IF($B932="",,SUMIFS(PerBase[Month 18],PerBase[exp_item],$H932,PerBase[company_name],$B932)*AC407)</f>
        <v>0</v>
      </c>
      <c r="AD932" s="652">
        <f>IF($B932="",,SUMIFS(PerBase[Month 19],PerBase[exp_item],$H932,PerBase[company_name],$B932)*AD407)</f>
        <v>0</v>
      </c>
      <c r="AE932" s="652">
        <f>IF($B932="",,SUMIFS(PerBase[Month 20],PerBase[exp_item],$H932,PerBase[company_name],$B932)*AE407)</f>
        <v>0</v>
      </c>
      <c r="AF932" s="652">
        <f>IF($B932="",,SUMIFS(PerBase[Month 21],PerBase[exp_item],$H932,PerBase[company_name],$B932)*AF407)</f>
        <v>0</v>
      </c>
      <c r="AG932" s="652">
        <f>IF($B932="",,SUMIFS(PerBase[Month 22],PerBase[exp_item],$H932,PerBase[company_name],$B932)*AG407)</f>
        <v>0</v>
      </c>
      <c r="AH932" s="652">
        <f>IF($B932="",,SUMIFS(PerBase[Month 23],PerBase[exp_item],$H932,PerBase[company_name],$B932)*AH407)</f>
        <v>0</v>
      </c>
      <c r="AI932" s="652">
        <f>IF($B932="",,SUMIFS(PerBase[Month 24],PerBase[exp_item],$H932,PerBase[company_name],$B932)*AI407)</f>
        <v>0</v>
      </c>
      <c r="AJ932" s="652">
        <f>IF($B932="",,SUMIFS(PerBase[Month 25],PerBase[exp_item],$H932,PerBase[company_name],$B932)*AJ407)</f>
        <v>0</v>
      </c>
      <c r="AK932" s="652">
        <f>IF($B932="",,SUMIFS(PerBase[Month 26],PerBase[exp_item],$H932,PerBase[company_name],$B932)*AK407)</f>
        <v>0</v>
      </c>
      <c r="AL932" s="652">
        <f>IF($B932="",,SUMIFS(PerBase[Month 27],PerBase[exp_item],$H932,PerBase[company_name],$B932)*AL407)</f>
        <v>0</v>
      </c>
      <c r="AM932" s="652">
        <f>IF($B932="",,SUMIFS(PerBase[Month 28],PerBase[exp_item],$H932,PerBase[company_name],$B932)*AM407)</f>
        <v>0</v>
      </c>
      <c r="AN932" s="652">
        <f>IF($B932="",,SUMIFS(PerBase[Month 29],PerBase[exp_item],$H932,PerBase[company_name],$B932)*AN407)</f>
        <v>0</v>
      </c>
      <c r="AO932" s="652">
        <f>IF($B932="",,SUMIFS(PerBase[Month 30],PerBase[exp_item],$H932,PerBase[company_name],$B932)*AO407)</f>
        <v>0</v>
      </c>
      <c r="AP932" s="652">
        <f>IF($B932="",,SUMIFS(PerBase[Month 31],PerBase[exp_item],$H932,PerBase[company_name],$B932)*AP407)</f>
        <v>0</v>
      </c>
      <c r="AQ932" s="652">
        <f>IF($B932="",,SUMIFS(PerBase[Month 32],PerBase[exp_item],$H932,PerBase[company_name],$B932)*AQ407)</f>
        <v>0</v>
      </c>
      <c r="AR932" s="652">
        <f>IF($B932="",,SUMIFS(PerBase[Month 33],PerBase[exp_item],$H932,PerBase[company_name],$B932)*AR407)</f>
        <v>0</v>
      </c>
      <c r="AS932" s="652">
        <f>IF($B932="",,SUMIFS(PerBase[Month 34],PerBase[exp_item],$H932,PerBase[company_name],$B932)*AS407)</f>
        <v>0</v>
      </c>
      <c r="AT932" s="652">
        <f>IF($B932="",,SUMIFS(PerBase[Month 35],PerBase[exp_item],$H932,PerBase[company_name],$B932)*AT407)</f>
        <v>0</v>
      </c>
      <c r="AU932" s="652">
        <f>IF($B932="",,SUMIFS(PerBase[Month 36],PerBase[exp_item],$H932,PerBase[company_name],$B932)*AU407)</f>
        <v>0</v>
      </c>
    </row>
    <row r="933" spans="2:47" x14ac:dyDescent="0.35">
      <c r="B933" t="str">
        <f t="shared" si="554"/>
        <v/>
      </c>
      <c r="C933" t="str">
        <f t="shared" ref="C933:G933" si="567">IF(C828="","",C828)</f>
        <v/>
      </c>
      <c r="D933" t="str">
        <f t="shared" si="567"/>
        <v/>
      </c>
      <c r="E933" t="str">
        <f t="shared" si="567"/>
        <v/>
      </c>
      <c r="F933" t="str">
        <f t="shared" si="567"/>
        <v/>
      </c>
      <c r="G933" t="str">
        <f t="shared" si="567"/>
        <v/>
      </c>
      <c r="H933" t="str">
        <f t="shared" si="553"/>
        <v/>
      </c>
      <c r="J933" t="str">
        <f>IF($H933="","",IF(VLOOKUP(H933,ExpItems[],2,0),H933&amp;" - "&amp;INDEX(DivisionMapping[category_code],MATCH($D933&amp;$C933,DivisionMapping[dept_bu],0)),H933))</f>
        <v/>
      </c>
      <c r="K933" t="str">
        <f t="shared" si="556"/>
        <v/>
      </c>
      <c r="L933" s="652">
        <f>IF($B933="",,SUMIFS(PerBase[Month 1],PerBase[exp_item],$H933,PerBase[company_name],$B933)*L408)</f>
        <v>0</v>
      </c>
      <c r="M933" s="652">
        <f>IF($B933="",,SUMIFS(PerBase[Month 2],PerBase[exp_item],$H933,PerBase[company_name],$B933)*M408)</f>
        <v>0</v>
      </c>
      <c r="N933" s="652">
        <f>IF($B933="",,SUMIFS(PerBase[Month 3],PerBase[exp_item],$H933,PerBase[company_name],$B933)*N408)</f>
        <v>0</v>
      </c>
      <c r="O933" s="652">
        <f>IF($B933="",,SUMIFS(PerBase[Month 4],PerBase[exp_item],$H933,PerBase[company_name],$B933)*O408)</f>
        <v>0</v>
      </c>
      <c r="P933" s="652">
        <f>IF($B933="",,SUMIFS(PerBase[Month 5],PerBase[exp_item],$H933,PerBase[company_name],$B933)*P408)</f>
        <v>0</v>
      </c>
      <c r="Q933" s="652">
        <f>IF($B933="",,SUMIFS(PerBase[Month 6],PerBase[exp_item],$H933,PerBase[company_name],$B933)*Q408)</f>
        <v>0</v>
      </c>
      <c r="R933" s="652">
        <f>IF($B933="",,SUMIFS(PerBase[Month 7],PerBase[exp_item],$H933,PerBase[company_name],$B933)*R408)</f>
        <v>0</v>
      </c>
      <c r="S933" s="652">
        <f>IF($B933="",,SUMIFS(PerBase[Month 8],PerBase[exp_item],$H933,PerBase[company_name],$B933)*S408)</f>
        <v>0</v>
      </c>
      <c r="T933" s="652">
        <f>IF($B933="",,SUMIFS(PerBase[Month 9],PerBase[exp_item],$H933,PerBase[company_name],$B933)*T408)</f>
        <v>0</v>
      </c>
      <c r="U933" s="652">
        <f>IF($B933="",,SUMIFS(PerBase[Month 10],PerBase[exp_item],$H933,PerBase[company_name],$B933)*U408)</f>
        <v>0</v>
      </c>
      <c r="V933" s="652">
        <f>IF($B933="",,SUMIFS(PerBase[Month 11],PerBase[exp_item],$H933,PerBase[company_name],$B933)*V408)</f>
        <v>0</v>
      </c>
      <c r="W933" s="652">
        <f>IF($B933="",,SUMIFS(PerBase[Month 12],PerBase[exp_item],$H933,PerBase[company_name],$B933)*W408)</f>
        <v>0</v>
      </c>
      <c r="X933" s="652">
        <f>IF($B933="",,SUMIFS(PerBase[Month 13],PerBase[exp_item],$H933,PerBase[company_name],$B933)*X408)</f>
        <v>0</v>
      </c>
      <c r="Y933" s="652">
        <f>IF($B933="",,SUMIFS(PerBase[Month 14],PerBase[exp_item],$H933,PerBase[company_name],$B933)*Y408)</f>
        <v>0</v>
      </c>
      <c r="Z933" s="652">
        <f>IF($B933="",,SUMIFS(PerBase[Month 15],PerBase[exp_item],$H933,PerBase[company_name],$B933)*Z408)</f>
        <v>0</v>
      </c>
      <c r="AA933" s="652">
        <f>IF($B933="",,SUMIFS(PerBase[Month 16],PerBase[exp_item],$H933,PerBase[company_name],$B933)*AA408)</f>
        <v>0</v>
      </c>
      <c r="AB933" s="652">
        <f>IF($B933="",,SUMIFS(PerBase[Month 17],PerBase[exp_item],$H933,PerBase[company_name],$B933)*AB408)</f>
        <v>0</v>
      </c>
      <c r="AC933" s="652">
        <f>IF($B933="",,SUMIFS(PerBase[Month 18],PerBase[exp_item],$H933,PerBase[company_name],$B933)*AC408)</f>
        <v>0</v>
      </c>
      <c r="AD933" s="652">
        <f>IF($B933="",,SUMIFS(PerBase[Month 19],PerBase[exp_item],$H933,PerBase[company_name],$B933)*AD408)</f>
        <v>0</v>
      </c>
      <c r="AE933" s="652">
        <f>IF($B933="",,SUMIFS(PerBase[Month 20],PerBase[exp_item],$H933,PerBase[company_name],$B933)*AE408)</f>
        <v>0</v>
      </c>
      <c r="AF933" s="652">
        <f>IF($B933="",,SUMIFS(PerBase[Month 21],PerBase[exp_item],$H933,PerBase[company_name],$B933)*AF408)</f>
        <v>0</v>
      </c>
      <c r="AG933" s="652">
        <f>IF($B933="",,SUMIFS(PerBase[Month 22],PerBase[exp_item],$H933,PerBase[company_name],$B933)*AG408)</f>
        <v>0</v>
      </c>
      <c r="AH933" s="652">
        <f>IF($B933="",,SUMIFS(PerBase[Month 23],PerBase[exp_item],$H933,PerBase[company_name],$B933)*AH408)</f>
        <v>0</v>
      </c>
      <c r="AI933" s="652">
        <f>IF($B933="",,SUMIFS(PerBase[Month 24],PerBase[exp_item],$H933,PerBase[company_name],$B933)*AI408)</f>
        <v>0</v>
      </c>
      <c r="AJ933" s="652">
        <f>IF($B933="",,SUMIFS(PerBase[Month 25],PerBase[exp_item],$H933,PerBase[company_name],$B933)*AJ408)</f>
        <v>0</v>
      </c>
      <c r="AK933" s="652">
        <f>IF($B933="",,SUMIFS(PerBase[Month 26],PerBase[exp_item],$H933,PerBase[company_name],$B933)*AK408)</f>
        <v>0</v>
      </c>
      <c r="AL933" s="652">
        <f>IF($B933="",,SUMIFS(PerBase[Month 27],PerBase[exp_item],$H933,PerBase[company_name],$B933)*AL408)</f>
        <v>0</v>
      </c>
      <c r="AM933" s="652">
        <f>IF($B933="",,SUMIFS(PerBase[Month 28],PerBase[exp_item],$H933,PerBase[company_name],$B933)*AM408)</f>
        <v>0</v>
      </c>
      <c r="AN933" s="652">
        <f>IF($B933="",,SUMIFS(PerBase[Month 29],PerBase[exp_item],$H933,PerBase[company_name],$B933)*AN408)</f>
        <v>0</v>
      </c>
      <c r="AO933" s="652">
        <f>IF($B933="",,SUMIFS(PerBase[Month 30],PerBase[exp_item],$H933,PerBase[company_name],$B933)*AO408)</f>
        <v>0</v>
      </c>
      <c r="AP933" s="652">
        <f>IF($B933="",,SUMIFS(PerBase[Month 31],PerBase[exp_item],$H933,PerBase[company_name],$B933)*AP408)</f>
        <v>0</v>
      </c>
      <c r="AQ933" s="652">
        <f>IF($B933="",,SUMIFS(PerBase[Month 32],PerBase[exp_item],$H933,PerBase[company_name],$B933)*AQ408)</f>
        <v>0</v>
      </c>
      <c r="AR933" s="652">
        <f>IF($B933="",,SUMIFS(PerBase[Month 33],PerBase[exp_item],$H933,PerBase[company_name],$B933)*AR408)</f>
        <v>0</v>
      </c>
      <c r="AS933" s="652">
        <f>IF($B933="",,SUMIFS(PerBase[Month 34],PerBase[exp_item],$H933,PerBase[company_name],$B933)*AS408)</f>
        <v>0</v>
      </c>
      <c r="AT933" s="652">
        <f>IF($B933="",,SUMIFS(PerBase[Month 35],PerBase[exp_item],$H933,PerBase[company_name],$B933)*AT408)</f>
        <v>0</v>
      </c>
      <c r="AU933" s="652">
        <f>IF($B933="",,SUMIFS(PerBase[Month 36],PerBase[exp_item],$H933,PerBase[company_name],$B933)*AU408)</f>
        <v>0</v>
      </c>
    </row>
    <row r="934" spans="2:47" x14ac:dyDescent="0.35">
      <c r="B934" t="str">
        <f t="shared" si="554"/>
        <v/>
      </c>
      <c r="C934" t="str">
        <f t="shared" ref="C934:G934" si="568">IF(C829="","",C829)</f>
        <v/>
      </c>
      <c r="D934" t="str">
        <f t="shared" si="568"/>
        <v/>
      </c>
      <c r="E934" t="str">
        <f t="shared" si="568"/>
        <v/>
      </c>
      <c r="F934" t="str">
        <f t="shared" si="568"/>
        <v/>
      </c>
      <c r="G934" t="str">
        <f t="shared" si="568"/>
        <v/>
      </c>
      <c r="H934" t="str">
        <f t="shared" si="553"/>
        <v/>
      </c>
      <c r="J934" t="str">
        <f>IF($H934="","",IF(VLOOKUP(H934,ExpItems[],2,0),H934&amp;" - "&amp;INDEX(DivisionMapping[category_code],MATCH($D934&amp;$C934,DivisionMapping[dept_bu],0)),H934))</f>
        <v/>
      </c>
      <c r="K934" t="str">
        <f t="shared" si="556"/>
        <v/>
      </c>
      <c r="L934" s="652">
        <f>IF($B934="",,SUMIFS(PerBase[Month 1],PerBase[exp_item],$H934,PerBase[company_name],$B934)*L409)</f>
        <v>0</v>
      </c>
      <c r="M934" s="652">
        <f>IF($B934="",,SUMIFS(PerBase[Month 2],PerBase[exp_item],$H934,PerBase[company_name],$B934)*M409)</f>
        <v>0</v>
      </c>
      <c r="N934" s="652">
        <f>IF($B934="",,SUMIFS(PerBase[Month 3],PerBase[exp_item],$H934,PerBase[company_name],$B934)*N409)</f>
        <v>0</v>
      </c>
      <c r="O934" s="652">
        <f>IF($B934="",,SUMIFS(PerBase[Month 4],PerBase[exp_item],$H934,PerBase[company_name],$B934)*O409)</f>
        <v>0</v>
      </c>
      <c r="P934" s="652">
        <f>IF($B934="",,SUMIFS(PerBase[Month 5],PerBase[exp_item],$H934,PerBase[company_name],$B934)*P409)</f>
        <v>0</v>
      </c>
      <c r="Q934" s="652">
        <f>IF($B934="",,SUMIFS(PerBase[Month 6],PerBase[exp_item],$H934,PerBase[company_name],$B934)*Q409)</f>
        <v>0</v>
      </c>
      <c r="R934" s="652">
        <f>IF($B934="",,SUMIFS(PerBase[Month 7],PerBase[exp_item],$H934,PerBase[company_name],$B934)*R409)</f>
        <v>0</v>
      </c>
      <c r="S934" s="652">
        <f>IF($B934="",,SUMIFS(PerBase[Month 8],PerBase[exp_item],$H934,PerBase[company_name],$B934)*S409)</f>
        <v>0</v>
      </c>
      <c r="T934" s="652">
        <f>IF($B934="",,SUMIFS(PerBase[Month 9],PerBase[exp_item],$H934,PerBase[company_name],$B934)*T409)</f>
        <v>0</v>
      </c>
      <c r="U934" s="652">
        <f>IF($B934="",,SUMIFS(PerBase[Month 10],PerBase[exp_item],$H934,PerBase[company_name],$B934)*U409)</f>
        <v>0</v>
      </c>
      <c r="V934" s="652">
        <f>IF($B934="",,SUMIFS(PerBase[Month 11],PerBase[exp_item],$H934,PerBase[company_name],$B934)*V409)</f>
        <v>0</v>
      </c>
      <c r="W934" s="652">
        <f>IF($B934="",,SUMIFS(PerBase[Month 12],PerBase[exp_item],$H934,PerBase[company_name],$B934)*W409)</f>
        <v>0</v>
      </c>
      <c r="X934" s="652">
        <f>IF($B934="",,SUMIFS(PerBase[Month 13],PerBase[exp_item],$H934,PerBase[company_name],$B934)*X409)</f>
        <v>0</v>
      </c>
      <c r="Y934" s="652">
        <f>IF($B934="",,SUMIFS(PerBase[Month 14],PerBase[exp_item],$H934,PerBase[company_name],$B934)*Y409)</f>
        <v>0</v>
      </c>
      <c r="Z934" s="652">
        <f>IF($B934="",,SUMIFS(PerBase[Month 15],PerBase[exp_item],$H934,PerBase[company_name],$B934)*Z409)</f>
        <v>0</v>
      </c>
      <c r="AA934" s="652">
        <f>IF($B934="",,SUMIFS(PerBase[Month 16],PerBase[exp_item],$H934,PerBase[company_name],$B934)*AA409)</f>
        <v>0</v>
      </c>
      <c r="AB934" s="652">
        <f>IF($B934="",,SUMIFS(PerBase[Month 17],PerBase[exp_item],$H934,PerBase[company_name],$B934)*AB409)</f>
        <v>0</v>
      </c>
      <c r="AC934" s="652">
        <f>IF($B934="",,SUMIFS(PerBase[Month 18],PerBase[exp_item],$H934,PerBase[company_name],$B934)*AC409)</f>
        <v>0</v>
      </c>
      <c r="AD934" s="652">
        <f>IF($B934="",,SUMIFS(PerBase[Month 19],PerBase[exp_item],$H934,PerBase[company_name],$B934)*AD409)</f>
        <v>0</v>
      </c>
      <c r="AE934" s="652">
        <f>IF($B934="",,SUMIFS(PerBase[Month 20],PerBase[exp_item],$H934,PerBase[company_name],$B934)*AE409)</f>
        <v>0</v>
      </c>
      <c r="AF934" s="652">
        <f>IF($B934="",,SUMIFS(PerBase[Month 21],PerBase[exp_item],$H934,PerBase[company_name],$B934)*AF409)</f>
        <v>0</v>
      </c>
      <c r="AG934" s="652">
        <f>IF($B934="",,SUMIFS(PerBase[Month 22],PerBase[exp_item],$H934,PerBase[company_name],$B934)*AG409)</f>
        <v>0</v>
      </c>
      <c r="AH934" s="652">
        <f>IF($B934="",,SUMIFS(PerBase[Month 23],PerBase[exp_item],$H934,PerBase[company_name],$B934)*AH409)</f>
        <v>0</v>
      </c>
      <c r="AI934" s="652">
        <f>IF($B934="",,SUMIFS(PerBase[Month 24],PerBase[exp_item],$H934,PerBase[company_name],$B934)*AI409)</f>
        <v>0</v>
      </c>
      <c r="AJ934" s="652">
        <f>IF($B934="",,SUMIFS(PerBase[Month 25],PerBase[exp_item],$H934,PerBase[company_name],$B934)*AJ409)</f>
        <v>0</v>
      </c>
      <c r="AK934" s="652">
        <f>IF($B934="",,SUMIFS(PerBase[Month 26],PerBase[exp_item],$H934,PerBase[company_name],$B934)*AK409)</f>
        <v>0</v>
      </c>
      <c r="AL934" s="652">
        <f>IF($B934="",,SUMIFS(PerBase[Month 27],PerBase[exp_item],$H934,PerBase[company_name],$B934)*AL409)</f>
        <v>0</v>
      </c>
      <c r="AM934" s="652">
        <f>IF($B934="",,SUMIFS(PerBase[Month 28],PerBase[exp_item],$H934,PerBase[company_name],$B934)*AM409)</f>
        <v>0</v>
      </c>
      <c r="AN934" s="652">
        <f>IF($B934="",,SUMIFS(PerBase[Month 29],PerBase[exp_item],$H934,PerBase[company_name],$B934)*AN409)</f>
        <v>0</v>
      </c>
      <c r="AO934" s="652">
        <f>IF($B934="",,SUMIFS(PerBase[Month 30],PerBase[exp_item],$H934,PerBase[company_name],$B934)*AO409)</f>
        <v>0</v>
      </c>
      <c r="AP934" s="652">
        <f>IF($B934="",,SUMIFS(PerBase[Month 31],PerBase[exp_item],$H934,PerBase[company_name],$B934)*AP409)</f>
        <v>0</v>
      </c>
      <c r="AQ934" s="652">
        <f>IF($B934="",,SUMIFS(PerBase[Month 32],PerBase[exp_item],$H934,PerBase[company_name],$B934)*AQ409)</f>
        <v>0</v>
      </c>
      <c r="AR934" s="652">
        <f>IF($B934="",,SUMIFS(PerBase[Month 33],PerBase[exp_item],$H934,PerBase[company_name],$B934)*AR409)</f>
        <v>0</v>
      </c>
      <c r="AS934" s="652">
        <f>IF($B934="",,SUMIFS(PerBase[Month 34],PerBase[exp_item],$H934,PerBase[company_name],$B934)*AS409)</f>
        <v>0</v>
      </c>
      <c r="AT934" s="652">
        <f>IF($B934="",,SUMIFS(PerBase[Month 35],PerBase[exp_item],$H934,PerBase[company_name],$B934)*AT409)</f>
        <v>0</v>
      </c>
      <c r="AU934" s="652">
        <f>IF($B934="",,SUMIFS(PerBase[Month 36],PerBase[exp_item],$H934,PerBase[company_name],$B934)*AU409)</f>
        <v>0</v>
      </c>
    </row>
    <row r="935" spans="2:47" x14ac:dyDescent="0.35">
      <c r="B935" t="str">
        <f t="shared" si="554"/>
        <v/>
      </c>
      <c r="C935" t="str">
        <f t="shared" ref="C935:G935" si="569">IF(C830="","",C830)</f>
        <v/>
      </c>
      <c r="D935" t="str">
        <f t="shared" si="569"/>
        <v/>
      </c>
      <c r="E935" t="str">
        <f t="shared" si="569"/>
        <v/>
      </c>
      <c r="F935" t="str">
        <f t="shared" si="569"/>
        <v/>
      </c>
      <c r="G935" t="str">
        <f t="shared" si="569"/>
        <v/>
      </c>
      <c r="H935" t="str">
        <f t="shared" si="553"/>
        <v/>
      </c>
      <c r="J935" t="str">
        <f>IF($H935="","",IF(VLOOKUP(H935,ExpItems[],2,0),H935&amp;" - "&amp;INDEX(DivisionMapping[category_code],MATCH($D935&amp;$C935,DivisionMapping[dept_bu],0)),H935))</f>
        <v/>
      </c>
      <c r="K935" t="str">
        <f t="shared" si="556"/>
        <v/>
      </c>
      <c r="L935" s="652">
        <f>IF($B935="",,SUMIFS(PerBase[Month 1],PerBase[exp_item],$H935,PerBase[company_name],$B935)*L410)</f>
        <v>0</v>
      </c>
      <c r="M935" s="652">
        <f>IF($B935="",,SUMIFS(PerBase[Month 2],PerBase[exp_item],$H935,PerBase[company_name],$B935)*M410)</f>
        <v>0</v>
      </c>
      <c r="N935" s="652">
        <f>IF($B935="",,SUMIFS(PerBase[Month 3],PerBase[exp_item],$H935,PerBase[company_name],$B935)*N410)</f>
        <v>0</v>
      </c>
      <c r="O935" s="652">
        <f>IF($B935="",,SUMIFS(PerBase[Month 4],PerBase[exp_item],$H935,PerBase[company_name],$B935)*O410)</f>
        <v>0</v>
      </c>
      <c r="P935" s="652">
        <f>IF($B935="",,SUMIFS(PerBase[Month 5],PerBase[exp_item],$H935,PerBase[company_name],$B935)*P410)</f>
        <v>0</v>
      </c>
      <c r="Q935" s="652">
        <f>IF($B935="",,SUMIFS(PerBase[Month 6],PerBase[exp_item],$H935,PerBase[company_name],$B935)*Q410)</f>
        <v>0</v>
      </c>
      <c r="R935" s="652">
        <f>IF($B935="",,SUMIFS(PerBase[Month 7],PerBase[exp_item],$H935,PerBase[company_name],$B935)*R410)</f>
        <v>0</v>
      </c>
      <c r="S935" s="652">
        <f>IF($B935="",,SUMIFS(PerBase[Month 8],PerBase[exp_item],$H935,PerBase[company_name],$B935)*S410)</f>
        <v>0</v>
      </c>
      <c r="T935" s="652">
        <f>IF($B935="",,SUMIFS(PerBase[Month 9],PerBase[exp_item],$H935,PerBase[company_name],$B935)*T410)</f>
        <v>0</v>
      </c>
      <c r="U935" s="652">
        <f>IF($B935="",,SUMIFS(PerBase[Month 10],PerBase[exp_item],$H935,PerBase[company_name],$B935)*U410)</f>
        <v>0</v>
      </c>
      <c r="V935" s="652">
        <f>IF($B935="",,SUMIFS(PerBase[Month 11],PerBase[exp_item],$H935,PerBase[company_name],$B935)*V410)</f>
        <v>0</v>
      </c>
      <c r="W935" s="652">
        <f>IF($B935="",,SUMIFS(PerBase[Month 12],PerBase[exp_item],$H935,PerBase[company_name],$B935)*W410)</f>
        <v>0</v>
      </c>
      <c r="X935" s="652">
        <f>IF($B935="",,SUMIFS(PerBase[Month 13],PerBase[exp_item],$H935,PerBase[company_name],$B935)*X410)</f>
        <v>0</v>
      </c>
      <c r="Y935" s="652">
        <f>IF($B935="",,SUMIFS(PerBase[Month 14],PerBase[exp_item],$H935,PerBase[company_name],$B935)*Y410)</f>
        <v>0</v>
      </c>
      <c r="Z935" s="652">
        <f>IF($B935="",,SUMIFS(PerBase[Month 15],PerBase[exp_item],$H935,PerBase[company_name],$B935)*Z410)</f>
        <v>0</v>
      </c>
      <c r="AA935" s="652">
        <f>IF($B935="",,SUMIFS(PerBase[Month 16],PerBase[exp_item],$H935,PerBase[company_name],$B935)*AA410)</f>
        <v>0</v>
      </c>
      <c r="AB935" s="652">
        <f>IF($B935="",,SUMIFS(PerBase[Month 17],PerBase[exp_item],$H935,PerBase[company_name],$B935)*AB410)</f>
        <v>0</v>
      </c>
      <c r="AC935" s="652">
        <f>IF($B935="",,SUMIFS(PerBase[Month 18],PerBase[exp_item],$H935,PerBase[company_name],$B935)*AC410)</f>
        <v>0</v>
      </c>
      <c r="AD935" s="652">
        <f>IF($B935="",,SUMIFS(PerBase[Month 19],PerBase[exp_item],$H935,PerBase[company_name],$B935)*AD410)</f>
        <v>0</v>
      </c>
      <c r="AE935" s="652">
        <f>IF($B935="",,SUMIFS(PerBase[Month 20],PerBase[exp_item],$H935,PerBase[company_name],$B935)*AE410)</f>
        <v>0</v>
      </c>
      <c r="AF935" s="652">
        <f>IF($B935="",,SUMIFS(PerBase[Month 21],PerBase[exp_item],$H935,PerBase[company_name],$B935)*AF410)</f>
        <v>0</v>
      </c>
      <c r="AG935" s="652">
        <f>IF($B935="",,SUMIFS(PerBase[Month 22],PerBase[exp_item],$H935,PerBase[company_name],$B935)*AG410)</f>
        <v>0</v>
      </c>
      <c r="AH935" s="652">
        <f>IF($B935="",,SUMIFS(PerBase[Month 23],PerBase[exp_item],$H935,PerBase[company_name],$B935)*AH410)</f>
        <v>0</v>
      </c>
      <c r="AI935" s="652">
        <f>IF($B935="",,SUMIFS(PerBase[Month 24],PerBase[exp_item],$H935,PerBase[company_name],$B935)*AI410)</f>
        <v>0</v>
      </c>
      <c r="AJ935" s="652">
        <f>IF($B935="",,SUMIFS(PerBase[Month 25],PerBase[exp_item],$H935,PerBase[company_name],$B935)*AJ410)</f>
        <v>0</v>
      </c>
      <c r="AK935" s="652">
        <f>IF($B935="",,SUMIFS(PerBase[Month 26],PerBase[exp_item],$H935,PerBase[company_name],$B935)*AK410)</f>
        <v>0</v>
      </c>
      <c r="AL935" s="652">
        <f>IF($B935="",,SUMIFS(PerBase[Month 27],PerBase[exp_item],$H935,PerBase[company_name],$B935)*AL410)</f>
        <v>0</v>
      </c>
      <c r="AM935" s="652">
        <f>IF($B935="",,SUMIFS(PerBase[Month 28],PerBase[exp_item],$H935,PerBase[company_name],$B935)*AM410)</f>
        <v>0</v>
      </c>
      <c r="AN935" s="652">
        <f>IF($B935="",,SUMIFS(PerBase[Month 29],PerBase[exp_item],$H935,PerBase[company_name],$B935)*AN410)</f>
        <v>0</v>
      </c>
      <c r="AO935" s="652">
        <f>IF($B935="",,SUMIFS(PerBase[Month 30],PerBase[exp_item],$H935,PerBase[company_name],$B935)*AO410)</f>
        <v>0</v>
      </c>
      <c r="AP935" s="652">
        <f>IF($B935="",,SUMIFS(PerBase[Month 31],PerBase[exp_item],$H935,PerBase[company_name],$B935)*AP410)</f>
        <v>0</v>
      </c>
      <c r="AQ935" s="652">
        <f>IF($B935="",,SUMIFS(PerBase[Month 32],PerBase[exp_item],$H935,PerBase[company_name],$B935)*AQ410)</f>
        <v>0</v>
      </c>
      <c r="AR935" s="652">
        <f>IF($B935="",,SUMIFS(PerBase[Month 33],PerBase[exp_item],$H935,PerBase[company_name],$B935)*AR410)</f>
        <v>0</v>
      </c>
      <c r="AS935" s="652">
        <f>IF($B935="",,SUMIFS(PerBase[Month 34],PerBase[exp_item],$H935,PerBase[company_name],$B935)*AS410)</f>
        <v>0</v>
      </c>
      <c r="AT935" s="652">
        <f>IF($B935="",,SUMIFS(PerBase[Month 35],PerBase[exp_item],$H935,PerBase[company_name],$B935)*AT410)</f>
        <v>0</v>
      </c>
      <c r="AU935" s="652">
        <f>IF($B935="",,SUMIFS(PerBase[Month 36],PerBase[exp_item],$H935,PerBase[company_name],$B935)*AU410)</f>
        <v>0</v>
      </c>
    </row>
    <row r="936" spans="2:47" x14ac:dyDescent="0.35">
      <c r="B936" t="str">
        <f t="shared" si="554"/>
        <v/>
      </c>
      <c r="C936" t="str">
        <f t="shared" ref="C936:G936" si="570">IF(C831="","",C831)</f>
        <v/>
      </c>
      <c r="D936" t="str">
        <f t="shared" si="570"/>
        <v/>
      </c>
      <c r="E936" t="str">
        <f t="shared" si="570"/>
        <v/>
      </c>
      <c r="F936" t="str">
        <f t="shared" si="570"/>
        <v/>
      </c>
      <c r="G936" t="str">
        <f t="shared" si="570"/>
        <v/>
      </c>
      <c r="H936" t="str">
        <f t="shared" si="553"/>
        <v/>
      </c>
      <c r="J936" t="str">
        <f>IF($H936="","",IF(VLOOKUP(H936,ExpItems[],2,0),H936&amp;" - "&amp;INDEX(DivisionMapping[category_code],MATCH($D936&amp;$C936,DivisionMapping[dept_bu],0)),H936))</f>
        <v/>
      </c>
      <c r="K936" t="str">
        <f t="shared" si="556"/>
        <v/>
      </c>
      <c r="L936" s="652">
        <f>IF($B936="",,SUMIFS(PerBase[Month 1],PerBase[exp_item],$H936,PerBase[company_name],$B936)*L411)</f>
        <v>0</v>
      </c>
      <c r="M936" s="652">
        <f>IF($B936="",,SUMIFS(PerBase[Month 2],PerBase[exp_item],$H936,PerBase[company_name],$B936)*M411)</f>
        <v>0</v>
      </c>
      <c r="N936" s="652">
        <f>IF($B936="",,SUMIFS(PerBase[Month 3],PerBase[exp_item],$H936,PerBase[company_name],$B936)*N411)</f>
        <v>0</v>
      </c>
      <c r="O936" s="652">
        <f>IF($B936="",,SUMIFS(PerBase[Month 4],PerBase[exp_item],$H936,PerBase[company_name],$B936)*O411)</f>
        <v>0</v>
      </c>
      <c r="P936" s="652">
        <f>IF($B936="",,SUMIFS(PerBase[Month 5],PerBase[exp_item],$H936,PerBase[company_name],$B936)*P411)</f>
        <v>0</v>
      </c>
      <c r="Q936" s="652">
        <f>IF($B936="",,SUMIFS(PerBase[Month 6],PerBase[exp_item],$H936,PerBase[company_name],$B936)*Q411)</f>
        <v>0</v>
      </c>
      <c r="R936" s="652">
        <f>IF($B936="",,SUMIFS(PerBase[Month 7],PerBase[exp_item],$H936,PerBase[company_name],$B936)*R411)</f>
        <v>0</v>
      </c>
      <c r="S936" s="652">
        <f>IF($B936="",,SUMIFS(PerBase[Month 8],PerBase[exp_item],$H936,PerBase[company_name],$B936)*S411)</f>
        <v>0</v>
      </c>
      <c r="T936" s="652">
        <f>IF($B936="",,SUMIFS(PerBase[Month 9],PerBase[exp_item],$H936,PerBase[company_name],$B936)*T411)</f>
        <v>0</v>
      </c>
      <c r="U936" s="652">
        <f>IF($B936="",,SUMIFS(PerBase[Month 10],PerBase[exp_item],$H936,PerBase[company_name],$B936)*U411)</f>
        <v>0</v>
      </c>
      <c r="V936" s="652">
        <f>IF($B936="",,SUMIFS(PerBase[Month 11],PerBase[exp_item],$H936,PerBase[company_name],$B936)*V411)</f>
        <v>0</v>
      </c>
      <c r="W936" s="652">
        <f>IF($B936="",,SUMIFS(PerBase[Month 12],PerBase[exp_item],$H936,PerBase[company_name],$B936)*W411)</f>
        <v>0</v>
      </c>
      <c r="X936" s="652">
        <f>IF($B936="",,SUMIFS(PerBase[Month 13],PerBase[exp_item],$H936,PerBase[company_name],$B936)*X411)</f>
        <v>0</v>
      </c>
      <c r="Y936" s="652">
        <f>IF($B936="",,SUMIFS(PerBase[Month 14],PerBase[exp_item],$H936,PerBase[company_name],$B936)*Y411)</f>
        <v>0</v>
      </c>
      <c r="Z936" s="652">
        <f>IF($B936="",,SUMIFS(PerBase[Month 15],PerBase[exp_item],$H936,PerBase[company_name],$B936)*Z411)</f>
        <v>0</v>
      </c>
      <c r="AA936" s="652">
        <f>IF($B936="",,SUMIFS(PerBase[Month 16],PerBase[exp_item],$H936,PerBase[company_name],$B936)*AA411)</f>
        <v>0</v>
      </c>
      <c r="AB936" s="652">
        <f>IF($B936="",,SUMIFS(PerBase[Month 17],PerBase[exp_item],$H936,PerBase[company_name],$B936)*AB411)</f>
        <v>0</v>
      </c>
      <c r="AC936" s="652">
        <f>IF($B936="",,SUMIFS(PerBase[Month 18],PerBase[exp_item],$H936,PerBase[company_name],$B936)*AC411)</f>
        <v>0</v>
      </c>
      <c r="AD936" s="652">
        <f>IF($B936="",,SUMIFS(PerBase[Month 19],PerBase[exp_item],$H936,PerBase[company_name],$B936)*AD411)</f>
        <v>0</v>
      </c>
      <c r="AE936" s="652">
        <f>IF($B936="",,SUMIFS(PerBase[Month 20],PerBase[exp_item],$H936,PerBase[company_name],$B936)*AE411)</f>
        <v>0</v>
      </c>
      <c r="AF936" s="652">
        <f>IF($B936="",,SUMIFS(PerBase[Month 21],PerBase[exp_item],$H936,PerBase[company_name],$B936)*AF411)</f>
        <v>0</v>
      </c>
      <c r="AG936" s="652">
        <f>IF($B936="",,SUMIFS(PerBase[Month 22],PerBase[exp_item],$H936,PerBase[company_name],$B936)*AG411)</f>
        <v>0</v>
      </c>
      <c r="AH936" s="652">
        <f>IF($B936="",,SUMIFS(PerBase[Month 23],PerBase[exp_item],$H936,PerBase[company_name],$B936)*AH411)</f>
        <v>0</v>
      </c>
      <c r="AI936" s="652">
        <f>IF($B936="",,SUMIFS(PerBase[Month 24],PerBase[exp_item],$H936,PerBase[company_name],$B936)*AI411)</f>
        <v>0</v>
      </c>
      <c r="AJ936" s="652">
        <f>IF($B936="",,SUMIFS(PerBase[Month 25],PerBase[exp_item],$H936,PerBase[company_name],$B936)*AJ411)</f>
        <v>0</v>
      </c>
      <c r="AK936" s="652">
        <f>IF($B936="",,SUMIFS(PerBase[Month 26],PerBase[exp_item],$H936,PerBase[company_name],$B936)*AK411)</f>
        <v>0</v>
      </c>
      <c r="AL936" s="652">
        <f>IF($B936="",,SUMIFS(PerBase[Month 27],PerBase[exp_item],$H936,PerBase[company_name],$B936)*AL411)</f>
        <v>0</v>
      </c>
      <c r="AM936" s="652">
        <f>IF($B936="",,SUMIFS(PerBase[Month 28],PerBase[exp_item],$H936,PerBase[company_name],$B936)*AM411)</f>
        <v>0</v>
      </c>
      <c r="AN936" s="652">
        <f>IF($B936="",,SUMIFS(PerBase[Month 29],PerBase[exp_item],$H936,PerBase[company_name],$B936)*AN411)</f>
        <v>0</v>
      </c>
      <c r="AO936" s="652">
        <f>IF($B936="",,SUMIFS(PerBase[Month 30],PerBase[exp_item],$H936,PerBase[company_name],$B936)*AO411)</f>
        <v>0</v>
      </c>
      <c r="AP936" s="652">
        <f>IF($B936="",,SUMIFS(PerBase[Month 31],PerBase[exp_item],$H936,PerBase[company_name],$B936)*AP411)</f>
        <v>0</v>
      </c>
      <c r="AQ936" s="652">
        <f>IF($B936="",,SUMIFS(PerBase[Month 32],PerBase[exp_item],$H936,PerBase[company_name],$B936)*AQ411)</f>
        <v>0</v>
      </c>
      <c r="AR936" s="652">
        <f>IF($B936="",,SUMIFS(PerBase[Month 33],PerBase[exp_item],$H936,PerBase[company_name],$B936)*AR411)</f>
        <v>0</v>
      </c>
      <c r="AS936" s="652">
        <f>IF($B936="",,SUMIFS(PerBase[Month 34],PerBase[exp_item],$H936,PerBase[company_name],$B936)*AS411)</f>
        <v>0</v>
      </c>
      <c r="AT936" s="652">
        <f>IF($B936="",,SUMIFS(PerBase[Month 35],PerBase[exp_item],$H936,PerBase[company_name],$B936)*AT411)</f>
        <v>0</v>
      </c>
      <c r="AU936" s="652">
        <f>IF($B936="",,SUMIFS(PerBase[Month 36],PerBase[exp_item],$H936,PerBase[company_name],$B936)*AU411)</f>
        <v>0</v>
      </c>
    </row>
    <row r="937" spans="2:47" x14ac:dyDescent="0.35">
      <c r="B937" t="str">
        <f t="shared" si="554"/>
        <v/>
      </c>
      <c r="C937" t="str">
        <f t="shared" ref="C937:G937" si="571">IF(C832="","",C832)</f>
        <v/>
      </c>
      <c r="D937" t="str">
        <f t="shared" si="571"/>
        <v/>
      </c>
      <c r="E937" t="str">
        <f t="shared" si="571"/>
        <v/>
      </c>
      <c r="F937" t="str">
        <f t="shared" si="571"/>
        <v/>
      </c>
      <c r="G937" t="str">
        <f t="shared" si="571"/>
        <v/>
      </c>
      <c r="H937" t="str">
        <f t="shared" si="553"/>
        <v/>
      </c>
      <c r="J937" t="str">
        <f>IF($H937="","",IF(VLOOKUP(H937,ExpItems[],2,0),H937&amp;" - "&amp;INDEX(DivisionMapping[category_code],MATCH($D937&amp;$C937,DivisionMapping[dept_bu],0)),H937))</f>
        <v/>
      </c>
      <c r="K937" t="str">
        <f t="shared" si="556"/>
        <v/>
      </c>
      <c r="L937" s="652">
        <f>IF($B937="",,SUMIFS(PerBase[Month 1],PerBase[exp_item],$H937,PerBase[company_name],$B937)*L412)</f>
        <v>0</v>
      </c>
      <c r="M937" s="652">
        <f>IF($B937="",,SUMIFS(PerBase[Month 2],PerBase[exp_item],$H937,PerBase[company_name],$B937)*M412)</f>
        <v>0</v>
      </c>
      <c r="N937" s="652">
        <f>IF($B937="",,SUMIFS(PerBase[Month 3],PerBase[exp_item],$H937,PerBase[company_name],$B937)*N412)</f>
        <v>0</v>
      </c>
      <c r="O937" s="652">
        <f>IF($B937="",,SUMIFS(PerBase[Month 4],PerBase[exp_item],$H937,PerBase[company_name],$B937)*O412)</f>
        <v>0</v>
      </c>
      <c r="P937" s="652">
        <f>IF($B937="",,SUMIFS(PerBase[Month 5],PerBase[exp_item],$H937,PerBase[company_name],$B937)*P412)</f>
        <v>0</v>
      </c>
      <c r="Q937" s="652">
        <f>IF($B937="",,SUMIFS(PerBase[Month 6],PerBase[exp_item],$H937,PerBase[company_name],$B937)*Q412)</f>
        <v>0</v>
      </c>
      <c r="R937" s="652">
        <f>IF($B937="",,SUMIFS(PerBase[Month 7],PerBase[exp_item],$H937,PerBase[company_name],$B937)*R412)</f>
        <v>0</v>
      </c>
      <c r="S937" s="652">
        <f>IF($B937="",,SUMIFS(PerBase[Month 8],PerBase[exp_item],$H937,PerBase[company_name],$B937)*S412)</f>
        <v>0</v>
      </c>
      <c r="T937" s="652">
        <f>IF($B937="",,SUMIFS(PerBase[Month 9],PerBase[exp_item],$H937,PerBase[company_name],$B937)*T412)</f>
        <v>0</v>
      </c>
      <c r="U937" s="652">
        <f>IF($B937="",,SUMIFS(PerBase[Month 10],PerBase[exp_item],$H937,PerBase[company_name],$B937)*U412)</f>
        <v>0</v>
      </c>
      <c r="V937" s="652">
        <f>IF($B937="",,SUMIFS(PerBase[Month 11],PerBase[exp_item],$H937,PerBase[company_name],$B937)*V412)</f>
        <v>0</v>
      </c>
      <c r="W937" s="652">
        <f>IF($B937="",,SUMIFS(PerBase[Month 12],PerBase[exp_item],$H937,PerBase[company_name],$B937)*W412)</f>
        <v>0</v>
      </c>
      <c r="X937" s="652">
        <f>IF($B937="",,SUMIFS(PerBase[Month 13],PerBase[exp_item],$H937,PerBase[company_name],$B937)*X412)</f>
        <v>0</v>
      </c>
      <c r="Y937" s="652">
        <f>IF($B937="",,SUMIFS(PerBase[Month 14],PerBase[exp_item],$H937,PerBase[company_name],$B937)*Y412)</f>
        <v>0</v>
      </c>
      <c r="Z937" s="652">
        <f>IF($B937="",,SUMIFS(PerBase[Month 15],PerBase[exp_item],$H937,PerBase[company_name],$B937)*Z412)</f>
        <v>0</v>
      </c>
      <c r="AA937" s="652">
        <f>IF($B937="",,SUMIFS(PerBase[Month 16],PerBase[exp_item],$H937,PerBase[company_name],$B937)*AA412)</f>
        <v>0</v>
      </c>
      <c r="AB937" s="652">
        <f>IF($B937="",,SUMIFS(PerBase[Month 17],PerBase[exp_item],$H937,PerBase[company_name],$B937)*AB412)</f>
        <v>0</v>
      </c>
      <c r="AC937" s="652">
        <f>IF($B937="",,SUMIFS(PerBase[Month 18],PerBase[exp_item],$H937,PerBase[company_name],$B937)*AC412)</f>
        <v>0</v>
      </c>
      <c r="AD937" s="652">
        <f>IF($B937="",,SUMIFS(PerBase[Month 19],PerBase[exp_item],$H937,PerBase[company_name],$B937)*AD412)</f>
        <v>0</v>
      </c>
      <c r="AE937" s="652">
        <f>IF($B937="",,SUMIFS(PerBase[Month 20],PerBase[exp_item],$H937,PerBase[company_name],$B937)*AE412)</f>
        <v>0</v>
      </c>
      <c r="AF937" s="652">
        <f>IF($B937="",,SUMIFS(PerBase[Month 21],PerBase[exp_item],$H937,PerBase[company_name],$B937)*AF412)</f>
        <v>0</v>
      </c>
      <c r="AG937" s="652">
        <f>IF($B937="",,SUMIFS(PerBase[Month 22],PerBase[exp_item],$H937,PerBase[company_name],$B937)*AG412)</f>
        <v>0</v>
      </c>
      <c r="AH937" s="652">
        <f>IF($B937="",,SUMIFS(PerBase[Month 23],PerBase[exp_item],$H937,PerBase[company_name],$B937)*AH412)</f>
        <v>0</v>
      </c>
      <c r="AI937" s="652">
        <f>IF($B937="",,SUMIFS(PerBase[Month 24],PerBase[exp_item],$H937,PerBase[company_name],$B937)*AI412)</f>
        <v>0</v>
      </c>
      <c r="AJ937" s="652">
        <f>IF($B937="",,SUMIFS(PerBase[Month 25],PerBase[exp_item],$H937,PerBase[company_name],$B937)*AJ412)</f>
        <v>0</v>
      </c>
      <c r="AK937" s="652">
        <f>IF($B937="",,SUMIFS(PerBase[Month 26],PerBase[exp_item],$H937,PerBase[company_name],$B937)*AK412)</f>
        <v>0</v>
      </c>
      <c r="AL937" s="652">
        <f>IF($B937="",,SUMIFS(PerBase[Month 27],PerBase[exp_item],$H937,PerBase[company_name],$B937)*AL412)</f>
        <v>0</v>
      </c>
      <c r="AM937" s="652">
        <f>IF($B937="",,SUMIFS(PerBase[Month 28],PerBase[exp_item],$H937,PerBase[company_name],$B937)*AM412)</f>
        <v>0</v>
      </c>
      <c r="AN937" s="652">
        <f>IF($B937="",,SUMIFS(PerBase[Month 29],PerBase[exp_item],$H937,PerBase[company_name],$B937)*AN412)</f>
        <v>0</v>
      </c>
      <c r="AO937" s="652">
        <f>IF($B937="",,SUMIFS(PerBase[Month 30],PerBase[exp_item],$H937,PerBase[company_name],$B937)*AO412)</f>
        <v>0</v>
      </c>
      <c r="AP937" s="652">
        <f>IF($B937="",,SUMIFS(PerBase[Month 31],PerBase[exp_item],$H937,PerBase[company_name],$B937)*AP412)</f>
        <v>0</v>
      </c>
      <c r="AQ937" s="652">
        <f>IF($B937="",,SUMIFS(PerBase[Month 32],PerBase[exp_item],$H937,PerBase[company_name],$B937)*AQ412)</f>
        <v>0</v>
      </c>
      <c r="AR937" s="652">
        <f>IF($B937="",,SUMIFS(PerBase[Month 33],PerBase[exp_item],$H937,PerBase[company_name],$B937)*AR412)</f>
        <v>0</v>
      </c>
      <c r="AS937" s="652">
        <f>IF($B937="",,SUMIFS(PerBase[Month 34],PerBase[exp_item],$H937,PerBase[company_name],$B937)*AS412)</f>
        <v>0</v>
      </c>
      <c r="AT937" s="652">
        <f>IF($B937="",,SUMIFS(PerBase[Month 35],PerBase[exp_item],$H937,PerBase[company_name],$B937)*AT412)</f>
        <v>0</v>
      </c>
      <c r="AU937" s="652">
        <f>IF($B937="",,SUMIFS(PerBase[Month 36],PerBase[exp_item],$H937,PerBase[company_name],$B937)*AU412)</f>
        <v>0</v>
      </c>
    </row>
    <row r="938" spans="2:47" x14ac:dyDescent="0.35">
      <c r="B938" t="str">
        <f t="shared" si="554"/>
        <v/>
      </c>
      <c r="C938" t="str">
        <f t="shared" ref="C938:G938" si="572">IF(C833="","",C833)</f>
        <v/>
      </c>
      <c r="D938" t="str">
        <f t="shared" si="572"/>
        <v/>
      </c>
      <c r="E938" t="str">
        <f t="shared" si="572"/>
        <v/>
      </c>
      <c r="F938" t="str">
        <f t="shared" si="572"/>
        <v/>
      </c>
      <c r="G938" t="str">
        <f t="shared" si="572"/>
        <v/>
      </c>
      <c r="H938" t="str">
        <f t="shared" si="553"/>
        <v/>
      </c>
      <c r="J938" t="str">
        <f>IF($H938="","",IF(VLOOKUP(H938,ExpItems[],2,0),H938&amp;" - "&amp;INDEX(DivisionMapping[category_code],MATCH($D938&amp;$C938,DivisionMapping[dept_bu],0)),H938))</f>
        <v/>
      </c>
      <c r="K938" t="str">
        <f t="shared" si="556"/>
        <v/>
      </c>
      <c r="L938" s="652">
        <f>IF($B938="",,SUMIFS(PerBase[Month 1],PerBase[exp_item],$H938,PerBase[company_name],$B938)*L413)</f>
        <v>0</v>
      </c>
      <c r="M938" s="652">
        <f>IF($B938="",,SUMIFS(PerBase[Month 2],PerBase[exp_item],$H938,PerBase[company_name],$B938)*M413)</f>
        <v>0</v>
      </c>
      <c r="N938" s="652">
        <f>IF($B938="",,SUMIFS(PerBase[Month 3],PerBase[exp_item],$H938,PerBase[company_name],$B938)*N413)</f>
        <v>0</v>
      </c>
      <c r="O938" s="652">
        <f>IF($B938="",,SUMIFS(PerBase[Month 4],PerBase[exp_item],$H938,PerBase[company_name],$B938)*O413)</f>
        <v>0</v>
      </c>
      <c r="P938" s="652">
        <f>IF($B938="",,SUMIFS(PerBase[Month 5],PerBase[exp_item],$H938,PerBase[company_name],$B938)*P413)</f>
        <v>0</v>
      </c>
      <c r="Q938" s="652">
        <f>IF($B938="",,SUMIFS(PerBase[Month 6],PerBase[exp_item],$H938,PerBase[company_name],$B938)*Q413)</f>
        <v>0</v>
      </c>
      <c r="R938" s="652">
        <f>IF($B938="",,SUMIFS(PerBase[Month 7],PerBase[exp_item],$H938,PerBase[company_name],$B938)*R413)</f>
        <v>0</v>
      </c>
      <c r="S938" s="652">
        <f>IF($B938="",,SUMIFS(PerBase[Month 8],PerBase[exp_item],$H938,PerBase[company_name],$B938)*S413)</f>
        <v>0</v>
      </c>
      <c r="T938" s="652">
        <f>IF($B938="",,SUMIFS(PerBase[Month 9],PerBase[exp_item],$H938,PerBase[company_name],$B938)*T413)</f>
        <v>0</v>
      </c>
      <c r="U938" s="652">
        <f>IF($B938="",,SUMIFS(PerBase[Month 10],PerBase[exp_item],$H938,PerBase[company_name],$B938)*U413)</f>
        <v>0</v>
      </c>
      <c r="V938" s="652">
        <f>IF($B938="",,SUMIFS(PerBase[Month 11],PerBase[exp_item],$H938,PerBase[company_name],$B938)*V413)</f>
        <v>0</v>
      </c>
      <c r="W938" s="652">
        <f>IF($B938="",,SUMIFS(PerBase[Month 12],PerBase[exp_item],$H938,PerBase[company_name],$B938)*W413)</f>
        <v>0</v>
      </c>
      <c r="X938" s="652">
        <f>IF($B938="",,SUMIFS(PerBase[Month 13],PerBase[exp_item],$H938,PerBase[company_name],$B938)*X413)</f>
        <v>0</v>
      </c>
      <c r="Y938" s="652">
        <f>IF($B938="",,SUMIFS(PerBase[Month 14],PerBase[exp_item],$H938,PerBase[company_name],$B938)*Y413)</f>
        <v>0</v>
      </c>
      <c r="Z938" s="652">
        <f>IF($B938="",,SUMIFS(PerBase[Month 15],PerBase[exp_item],$H938,PerBase[company_name],$B938)*Z413)</f>
        <v>0</v>
      </c>
      <c r="AA938" s="652">
        <f>IF($B938="",,SUMIFS(PerBase[Month 16],PerBase[exp_item],$H938,PerBase[company_name],$B938)*AA413)</f>
        <v>0</v>
      </c>
      <c r="AB938" s="652">
        <f>IF($B938="",,SUMIFS(PerBase[Month 17],PerBase[exp_item],$H938,PerBase[company_name],$B938)*AB413)</f>
        <v>0</v>
      </c>
      <c r="AC938" s="652">
        <f>IF($B938="",,SUMIFS(PerBase[Month 18],PerBase[exp_item],$H938,PerBase[company_name],$B938)*AC413)</f>
        <v>0</v>
      </c>
      <c r="AD938" s="652">
        <f>IF($B938="",,SUMIFS(PerBase[Month 19],PerBase[exp_item],$H938,PerBase[company_name],$B938)*AD413)</f>
        <v>0</v>
      </c>
      <c r="AE938" s="652">
        <f>IF($B938="",,SUMIFS(PerBase[Month 20],PerBase[exp_item],$H938,PerBase[company_name],$B938)*AE413)</f>
        <v>0</v>
      </c>
      <c r="AF938" s="652">
        <f>IF($B938="",,SUMIFS(PerBase[Month 21],PerBase[exp_item],$H938,PerBase[company_name],$B938)*AF413)</f>
        <v>0</v>
      </c>
      <c r="AG938" s="652">
        <f>IF($B938="",,SUMIFS(PerBase[Month 22],PerBase[exp_item],$H938,PerBase[company_name],$B938)*AG413)</f>
        <v>0</v>
      </c>
      <c r="AH938" s="652">
        <f>IF($B938="",,SUMIFS(PerBase[Month 23],PerBase[exp_item],$H938,PerBase[company_name],$B938)*AH413)</f>
        <v>0</v>
      </c>
      <c r="AI938" s="652">
        <f>IF($B938="",,SUMIFS(PerBase[Month 24],PerBase[exp_item],$H938,PerBase[company_name],$B938)*AI413)</f>
        <v>0</v>
      </c>
      <c r="AJ938" s="652">
        <f>IF($B938="",,SUMIFS(PerBase[Month 25],PerBase[exp_item],$H938,PerBase[company_name],$B938)*AJ413)</f>
        <v>0</v>
      </c>
      <c r="AK938" s="652">
        <f>IF($B938="",,SUMIFS(PerBase[Month 26],PerBase[exp_item],$H938,PerBase[company_name],$B938)*AK413)</f>
        <v>0</v>
      </c>
      <c r="AL938" s="652">
        <f>IF($B938="",,SUMIFS(PerBase[Month 27],PerBase[exp_item],$H938,PerBase[company_name],$B938)*AL413)</f>
        <v>0</v>
      </c>
      <c r="AM938" s="652">
        <f>IF($B938="",,SUMIFS(PerBase[Month 28],PerBase[exp_item],$H938,PerBase[company_name],$B938)*AM413)</f>
        <v>0</v>
      </c>
      <c r="AN938" s="652">
        <f>IF($B938="",,SUMIFS(PerBase[Month 29],PerBase[exp_item],$H938,PerBase[company_name],$B938)*AN413)</f>
        <v>0</v>
      </c>
      <c r="AO938" s="652">
        <f>IF($B938="",,SUMIFS(PerBase[Month 30],PerBase[exp_item],$H938,PerBase[company_name],$B938)*AO413)</f>
        <v>0</v>
      </c>
      <c r="AP938" s="652">
        <f>IF($B938="",,SUMIFS(PerBase[Month 31],PerBase[exp_item],$H938,PerBase[company_name],$B938)*AP413)</f>
        <v>0</v>
      </c>
      <c r="AQ938" s="652">
        <f>IF($B938="",,SUMIFS(PerBase[Month 32],PerBase[exp_item],$H938,PerBase[company_name],$B938)*AQ413)</f>
        <v>0</v>
      </c>
      <c r="AR938" s="652">
        <f>IF($B938="",,SUMIFS(PerBase[Month 33],PerBase[exp_item],$H938,PerBase[company_name],$B938)*AR413)</f>
        <v>0</v>
      </c>
      <c r="AS938" s="652">
        <f>IF($B938="",,SUMIFS(PerBase[Month 34],PerBase[exp_item],$H938,PerBase[company_name],$B938)*AS413)</f>
        <v>0</v>
      </c>
      <c r="AT938" s="652">
        <f>IF($B938="",,SUMIFS(PerBase[Month 35],PerBase[exp_item],$H938,PerBase[company_name],$B938)*AT413)</f>
        <v>0</v>
      </c>
      <c r="AU938" s="652">
        <f>IF($B938="",,SUMIFS(PerBase[Month 36],PerBase[exp_item],$H938,PerBase[company_name],$B938)*AU413)</f>
        <v>0</v>
      </c>
    </row>
    <row r="939" spans="2:47" x14ac:dyDescent="0.35">
      <c r="B939" t="str">
        <f t="shared" si="554"/>
        <v/>
      </c>
      <c r="C939" t="str">
        <f t="shared" ref="C939:G939" si="573">IF(C834="","",C834)</f>
        <v/>
      </c>
      <c r="D939" t="str">
        <f t="shared" si="573"/>
        <v/>
      </c>
      <c r="E939" t="str">
        <f t="shared" si="573"/>
        <v/>
      </c>
      <c r="F939" t="str">
        <f t="shared" si="573"/>
        <v/>
      </c>
      <c r="G939" t="str">
        <f t="shared" si="573"/>
        <v/>
      </c>
      <c r="H939" t="str">
        <f t="shared" si="553"/>
        <v/>
      </c>
      <c r="J939" t="str">
        <f>IF($H939="","",IF(VLOOKUP(H939,ExpItems[],2,0),H939&amp;" - "&amp;INDEX(DivisionMapping[category_code],MATCH($D939&amp;$C939,DivisionMapping[dept_bu],0)),H939))</f>
        <v/>
      </c>
      <c r="K939" t="str">
        <f t="shared" si="556"/>
        <v/>
      </c>
      <c r="L939" s="652">
        <f>IF($B939="",,SUMIFS(PerBase[Month 1],PerBase[exp_item],$H939,PerBase[company_name],$B939)*L414)</f>
        <v>0</v>
      </c>
      <c r="M939" s="652">
        <f>IF($B939="",,SUMIFS(PerBase[Month 2],PerBase[exp_item],$H939,PerBase[company_name],$B939)*M414)</f>
        <v>0</v>
      </c>
      <c r="N939" s="652">
        <f>IF($B939="",,SUMIFS(PerBase[Month 3],PerBase[exp_item],$H939,PerBase[company_name],$B939)*N414)</f>
        <v>0</v>
      </c>
      <c r="O939" s="652">
        <f>IF($B939="",,SUMIFS(PerBase[Month 4],PerBase[exp_item],$H939,PerBase[company_name],$B939)*O414)</f>
        <v>0</v>
      </c>
      <c r="P939" s="652">
        <f>IF($B939="",,SUMIFS(PerBase[Month 5],PerBase[exp_item],$H939,PerBase[company_name],$B939)*P414)</f>
        <v>0</v>
      </c>
      <c r="Q939" s="652">
        <f>IF($B939="",,SUMIFS(PerBase[Month 6],PerBase[exp_item],$H939,PerBase[company_name],$B939)*Q414)</f>
        <v>0</v>
      </c>
      <c r="R939" s="652">
        <f>IF($B939="",,SUMIFS(PerBase[Month 7],PerBase[exp_item],$H939,PerBase[company_name],$B939)*R414)</f>
        <v>0</v>
      </c>
      <c r="S939" s="652">
        <f>IF($B939="",,SUMIFS(PerBase[Month 8],PerBase[exp_item],$H939,PerBase[company_name],$B939)*S414)</f>
        <v>0</v>
      </c>
      <c r="T939" s="652">
        <f>IF($B939="",,SUMIFS(PerBase[Month 9],PerBase[exp_item],$H939,PerBase[company_name],$B939)*T414)</f>
        <v>0</v>
      </c>
      <c r="U939" s="652">
        <f>IF($B939="",,SUMIFS(PerBase[Month 10],PerBase[exp_item],$H939,PerBase[company_name],$B939)*U414)</f>
        <v>0</v>
      </c>
      <c r="V939" s="652">
        <f>IF($B939="",,SUMIFS(PerBase[Month 11],PerBase[exp_item],$H939,PerBase[company_name],$B939)*V414)</f>
        <v>0</v>
      </c>
      <c r="W939" s="652">
        <f>IF($B939="",,SUMIFS(PerBase[Month 12],PerBase[exp_item],$H939,PerBase[company_name],$B939)*W414)</f>
        <v>0</v>
      </c>
      <c r="X939" s="652">
        <f>IF($B939="",,SUMIFS(PerBase[Month 13],PerBase[exp_item],$H939,PerBase[company_name],$B939)*X414)</f>
        <v>0</v>
      </c>
      <c r="Y939" s="652">
        <f>IF($B939="",,SUMIFS(PerBase[Month 14],PerBase[exp_item],$H939,PerBase[company_name],$B939)*Y414)</f>
        <v>0</v>
      </c>
      <c r="Z939" s="652">
        <f>IF($B939="",,SUMIFS(PerBase[Month 15],PerBase[exp_item],$H939,PerBase[company_name],$B939)*Z414)</f>
        <v>0</v>
      </c>
      <c r="AA939" s="652">
        <f>IF($B939="",,SUMIFS(PerBase[Month 16],PerBase[exp_item],$H939,PerBase[company_name],$B939)*AA414)</f>
        <v>0</v>
      </c>
      <c r="AB939" s="652">
        <f>IF($B939="",,SUMIFS(PerBase[Month 17],PerBase[exp_item],$H939,PerBase[company_name],$B939)*AB414)</f>
        <v>0</v>
      </c>
      <c r="AC939" s="652">
        <f>IF($B939="",,SUMIFS(PerBase[Month 18],PerBase[exp_item],$H939,PerBase[company_name],$B939)*AC414)</f>
        <v>0</v>
      </c>
      <c r="AD939" s="652">
        <f>IF($B939="",,SUMIFS(PerBase[Month 19],PerBase[exp_item],$H939,PerBase[company_name],$B939)*AD414)</f>
        <v>0</v>
      </c>
      <c r="AE939" s="652">
        <f>IF($B939="",,SUMIFS(PerBase[Month 20],PerBase[exp_item],$H939,PerBase[company_name],$B939)*AE414)</f>
        <v>0</v>
      </c>
      <c r="AF939" s="652">
        <f>IF($B939="",,SUMIFS(PerBase[Month 21],PerBase[exp_item],$H939,PerBase[company_name],$B939)*AF414)</f>
        <v>0</v>
      </c>
      <c r="AG939" s="652">
        <f>IF($B939="",,SUMIFS(PerBase[Month 22],PerBase[exp_item],$H939,PerBase[company_name],$B939)*AG414)</f>
        <v>0</v>
      </c>
      <c r="AH939" s="652">
        <f>IF($B939="",,SUMIFS(PerBase[Month 23],PerBase[exp_item],$H939,PerBase[company_name],$B939)*AH414)</f>
        <v>0</v>
      </c>
      <c r="AI939" s="652">
        <f>IF($B939="",,SUMIFS(PerBase[Month 24],PerBase[exp_item],$H939,PerBase[company_name],$B939)*AI414)</f>
        <v>0</v>
      </c>
      <c r="AJ939" s="652">
        <f>IF($B939="",,SUMIFS(PerBase[Month 25],PerBase[exp_item],$H939,PerBase[company_name],$B939)*AJ414)</f>
        <v>0</v>
      </c>
      <c r="AK939" s="652">
        <f>IF($B939="",,SUMIFS(PerBase[Month 26],PerBase[exp_item],$H939,PerBase[company_name],$B939)*AK414)</f>
        <v>0</v>
      </c>
      <c r="AL939" s="652">
        <f>IF($B939="",,SUMIFS(PerBase[Month 27],PerBase[exp_item],$H939,PerBase[company_name],$B939)*AL414)</f>
        <v>0</v>
      </c>
      <c r="AM939" s="652">
        <f>IF($B939="",,SUMIFS(PerBase[Month 28],PerBase[exp_item],$H939,PerBase[company_name],$B939)*AM414)</f>
        <v>0</v>
      </c>
      <c r="AN939" s="652">
        <f>IF($B939="",,SUMIFS(PerBase[Month 29],PerBase[exp_item],$H939,PerBase[company_name],$B939)*AN414)</f>
        <v>0</v>
      </c>
      <c r="AO939" s="652">
        <f>IF($B939="",,SUMIFS(PerBase[Month 30],PerBase[exp_item],$H939,PerBase[company_name],$B939)*AO414)</f>
        <v>0</v>
      </c>
      <c r="AP939" s="652">
        <f>IF($B939="",,SUMIFS(PerBase[Month 31],PerBase[exp_item],$H939,PerBase[company_name],$B939)*AP414)</f>
        <v>0</v>
      </c>
      <c r="AQ939" s="652">
        <f>IF($B939="",,SUMIFS(PerBase[Month 32],PerBase[exp_item],$H939,PerBase[company_name],$B939)*AQ414)</f>
        <v>0</v>
      </c>
      <c r="AR939" s="652">
        <f>IF($B939="",,SUMIFS(PerBase[Month 33],PerBase[exp_item],$H939,PerBase[company_name],$B939)*AR414)</f>
        <v>0</v>
      </c>
      <c r="AS939" s="652">
        <f>IF($B939="",,SUMIFS(PerBase[Month 34],PerBase[exp_item],$H939,PerBase[company_name],$B939)*AS414)</f>
        <v>0</v>
      </c>
      <c r="AT939" s="652">
        <f>IF($B939="",,SUMIFS(PerBase[Month 35],PerBase[exp_item],$H939,PerBase[company_name],$B939)*AT414)</f>
        <v>0</v>
      </c>
      <c r="AU939" s="652">
        <f>IF($B939="",,SUMIFS(PerBase[Month 36],PerBase[exp_item],$H939,PerBase[company_name],$B939)*AU414)</f>
        <v>0</v>
      </c>
    </row>
    <row r="940" spans="2:47" x14ac:dyDescent="0.35">
      <c r="B940" t="str">
        <f t="shared" si="554"/>
        <v/>
      </c>
      <c r="C940" t="str">
        <f t="shared" ref="C940:G940" si="574">IF(C835="","",C835)</f>
        <v/>
      </c>
      <c r="D940" t="str">
        <f t="shared" si="574"/>
        <v/>
      </c>
      <c r="E940" t="str">
        <f t="shared" si="574"/>
        <v/>
      </c>
      <c r="F940" t="str">
        <f t="shared" si="574"/>
        <v/>
      </c>
      <c r="G940" t="str">
        <f t="shared" si="574"/>
        <v/>
      </c>
      <c r="H940" t="str">
        <f t="shared" si="553"/>
        <v/>
      </c>
      <c r="J940" t="str">
        <f>IF($H940="","",IF(VLOOKUP(H940,ExpItems[],2,0),H940&amp;" - "&amp;INDEX(DivisionMapping[category_code],MATCH($D940&amp;$C940,DivisionMapping[dept_bu],0)),H940))</f>
        <v/>
      </c>
      <c r="K940" t="str">
        <f t="shared" si="556"/>
        <v/>
      </c>
      <c r="L940" s="652">
        <f>IF($B940="",,SUMIFS(PerBase[Month 1],PerBase[exp_item],$H940,PerBase[company_name],$B940)*L415)</f>
        <v>0</v>
      </c>
      <c r="M940" s="652">
        <f>IF($B940="",,SUMIFS(PerBase[Month 2],PerBase[exp_item],$H940,PerBase[company_name],$B940)*M415)</f>
        <v>0</v>
      </c>
      <c r="N940" s="652">
        <f>IF($B940="",,SUMIFS(PerBase[Month 3],PerBase[exp_item],$H940,PerBase[company_name],$B940)*N415)</f>
        <v>0</v>
      </c>
      <c r="O940" s="652">
        <f>IF($B940="",,SUMIFS(PerBase[Month 4],PerBase[exp_item],$H940,PerBase[company_name],$B940)*O415)</f>
        <v>0</v>
      </c>
      <c r="P940" s="652">
        <f>IF($B940="",,SUMIFS(PerBase[Month 5],PerBase[exp_item],$H940,PerBase[company_name],$B940)*P415)</f>
        <v>0</v>
      </c>
      <c r="Q940" s="652">
        <f>IF($B940="",,SUMIFS(PerBase[Month 6],PerBase[exp_item],$H940,PerBase[company_name],$B940)*Q415)</f>
        <v>0</v>
      </c>
      <c r="R940" s="652">
        <f>IF($B940="",,SUMIFS(PerBase[Month 7],PerBase[exp_item],$H940,PerBase[company_name],$B940)*R415)</f>
        <v>0</v>
      </c>
      <c r="S940" s="652">
        <f>IF($B940="",,SUMIFS(PerBase[Month 8],PerBase[exp_item],$H940,PerBase[company_name],$B940)*S415)</f>
        <v>0</v>
      </c>
      <c r="T940" s="652">
        <f>IF($B940="",,SUMIFS(PerBase[Month 9],PerBase[exp_item],$H940,PerBase[company_name],$B940)*T415)</f>
        <v>0</v>
      </c>
      <c r="U940" s="652">
        <f>IF($B940="",,SUMIFS(PerBase[Month 10],PerBase[exp_item],$H940,PerBase[company_name],$B940)*U415)</f>
        <v>0</v>
      </c>
      <c r="V940" s="652">
        <f>IF($B940="",,SUMIFS(PerBase[Month 11],PerBase[exp_item],$H940,PerBase[company_name],$B940)*V415)</f>
        <v>0</v>
      </c>
      <c r="W940" s="652">
        <f>IF($B940="",,SUMIFS(PerBase[Month 12],PerBase[exp_item],$H940,PerBase[company_name],$B940)*W415)</f>
        <v>0</v>
      </c>
      <c r="X940" s="652">
        <f>IF($B940="",,SUMIFS(PerBase[Month 13],PerBase[exp_item],$H940,PerBase[company_name],$B940)*X415)</f>
        <v>0</v>
      </c>
      <c r="Y940" s="652">
        <f>IF($B940="",,SUMIFS(PerBase[Month 14],PerBase[exp_item],$H940,PerBase[company_name],$B940)*Y415)</f>
        <v>0</v>
      </c>
      <c r="Z940" s="652">
        <f>IF($B940="",,SUMIFS(PerBase[Month 15],PerBase[exp_item],$H940,PerBase[company_name],$B940)*Z415)</f>
        <v>0</v>
      </c>
      <c r="AA940" s="652">
        <f>IF($B940="",,SUMIFS(PerBase[Month 16],PerBase[exp_item],$H940,PerBase[company_name],$B940)*AA415)</f>
        <v>0</v>
      </c>
      <c r="AB940" s="652">
        <f>IF($B940="",,SUMIFS(PerBase[Month 17],PerBase[exp_item],$H940,PerBase[company_name],$B940)*AB415)</f>
        <v>0</v>
      </c>
      <c r="AC940" s="652">
        <f>IF($B940="",,SUMIFS(PerBase[Month 18],PerBase[exp_item],$H940,PerBase[company_name],$B940)*AC415)</f>
        <v>0</v>
      </c>
      <c r="AD940" s="652">
        <f>IF($B940="",,SUMIFS(PerBase[Month 19],PerBase[exp_item],$H940,PerBase[company_name],$B940)*AD415)</f>
        <v>0</v>
      </c>
      <c r="AE940" s="652">
        <f>IF($B940="",,SUMIFS(PerBase[Month 20],PerBase[exp_item],$H940,PerBase[company_name],$B940)*AE415)</f>
        <v>0</v>
      </c>
      <c r="AF940" s="652">
        <f>IF($B940="",,SUMIFS(PerBase[Month 21],PerBase[exp_item],$H940,PerBase[company_name],$B940)*AF415)</f>
        <v>0</v>
      </c>
      <c r="AG940" s="652">
        <f>IF($B940="",,SUMIFS(PerBase[Month 22],PerBase[exp_item],$H940,PerBase[company_name],$B940)*AG415)</f>
        <v>0</v>
      </c>
      <c r="AH940" s="652">
        <f>IF($B940="",,SUMIFS(PerBase[Month 23],PerBase[exp_item],$H940,PerBase[company_name],$B940)*AH415)</f>
        <v>0</v>
      </c>
      <c r="AI940" s="652">
        <f>IF($B940="",,SUMIFS(PerBase[Month 24],PerBase[exp_item],$H940,PerBase[company_name],$B940)*AI415)</f>
        <v>0</v>
      </c>
      <c r="AJ940" s="652">
        <f>IF($B940="",,SUMIFS(PerBase[Month 25],PerBase[exp_item],$H940,PerBase[company_name],$B940)*AJ415)</f>
        <v>0</v>
      </c>
      <c r="AK940" s="652">
        <f>IF($B940="",,SUMIFS(PerBase[Month 26],PerBase[exp_item],$H940,PerBase[company_name],$B940)*AK415)</f>
        <v>0</v>
      </c>
      <c r="AL940" s="652">
        <f>IF($B940="",,SUMIFS(PerBase[Month 27],PerBase[exp_item],$H940,PerBase[company_name],$B940)*AL415)</f>
        <v>0</v>
      </c>
      <c r="AM940" s="652">
        <f>IF($B940="",,SUMIFS(PerBase[Month 28],PerBase[exp_item],$H940,PerBase[company_name],$B940)*AM415)</f>
        <v>0</v>
      </c>
      <c r="AN940" s="652">
        <f>IF($B940="",,SUMIFS(PerBase[Month 29],PerBase[exp_item],$H940,PerBase[company_name],$B940)*AN415)</f>
        <v>0</v>
      </c>
      <c r="AO940" s="652">
        <f>IF($B940="",,SUMIFS(PerBase[Month 30],PerBase[exp_item],$H940,PerBase[company_name],$B940)*AO415)</f>
        <v>0</v>
      </c>
      <c r="AP940" s="652">
        <f>IF($B940="",,SUMIFS(PerBase[Month 31],PerBase[exp_item],$H940,PerBase[company_name],$B940)*AP415)</f>
        <v>0</v>
      </c>
      <c r="AQ940" s="652">
        <f>IF($B940="",,SUMIFS(PerBase[Month 32],PerBase[exp_item],$H940,PerBase[company_name],$B940)*AQ415)</f>
        <v>0</v>
      </c>
      <c r="AR940" s="652">
        <f>IF($B940="",,SUMIFS(PerBase[Month 33],PerBase[exp_item],$H940,PerBase[company_name],$B940)*AR415)</f>
        <v>0</v>
      </c>
      <c r="AS940" s="652">
        <f>IF($B940="",,SUMIFS(PerBase[Month 34],PerBase[exp_item],$H940,PerBase[company_name],$B940)*AS415)</f>
        <v>0</v>
      </c>
      <c r="AT940" s="652">
        <f>IF($B940="",,SUMIFS(PerBase[Month 35],PerBase[exp_item],$H940,PerBase[company_name],$B940)*AT415)</f>
        <v>0</v>
      </c>
      <c r="AU940" s="652">
        <f>IF($B940="",,SUMIFS(PerBase[Month 36],PerBase[exp_item],$H940,PerBase[company_name],$B940)*AU415)</f>
        <v>0</v>
      </c>
    </row>
    <row r="941" spans="2:47" x14ac:dyDescent="0.35">
      <c r="B941" t="str">
        <f t="shared" si="554"/>
        <v/>
      </c>
      <c r="C941" t="str">
        <f t="shared" ref="C941:G941" si="575">IF(C836="","",C836)</f>
        <v/>
      </c>
      <c r="D941" t="str">
        <f t="shared" si="575"/>
        <v/>
      </c>
      <c r="E941" t="str">
        <f t="shared" si="575"/>
        <v/>
      </c>
      <c r="F941" t="str">
        <f t="shared" si="575"/>
        <v/>
      </c>
      <c r="G941" t="str">
        <f t="shared" si="575"/>
        <v/>
      </c>
      <c r="H941" t="str">
        <f t="shared" si="553"/>
        <v/>
      </c>
      <c r="J941" t="str">
        <f>IF($H941="","",IF(VLOOKUP(H941,ExpItems[],2,0),H941&amp;" - "&amp;INDEX(DivisionMapping[category_code],MATCH($D941&amp;$C941,DivisionMapping[dept_bu],0)),H941))</f>
        <v/>
      </c>
      <c r="K941" t="str">
        <f t="shared" si="556"/>
        <v/>
      </c>
      <c r="L941" s="652">
        <f>IF($B941="",,SUMIFS(PerBase[Month 1],PerBase[exp_item],$H941,PerBase[company_name],$B941)*L416)</f>
        <v>0</v>
      </c>
      <c r="M941" s="652">
        <f>IF($B941="",,SUMIFS(PerBase[Month 2],PerBase[exp_item],$H941,PerBase[company_name],$B941)*M416)</f>
        <v>0</v>
      </c>
      <c r="N941" s="652">
        <f>IF($B941="",,SUMIFS(PerBase[Month 3],PerBase[exp_item],$H941,PerBase[company_name],$B941)*N416)</f>
        <v>0</v>
      </c>
      <c r="O941" s="652">
        <f>IF($B941="",,SUMIFS(PerBase[Month 4],PerBase[exp_item],$H941,PerBase[company_name],$B941)*O416)</f>
        <v>0</v>
      </c>
      <c r="P941" s="652">
        <f>IF($B941="",,SUMIFS(PerBase[Month 5],PerBase[exp_item],$H941,PerBase[company_name],$B941)*P416)</f>
        <v>0</v>
      </c>
      <c r="Q941" s="652">
        <f>IF($B941="",,SUMIFS(PerBase[Month 6],PerBase[exp_item],$H941,PerBase[company_name],$B941)*Q416)</f>
        <v>0</v>
      </c>
      <c r="R941" s="652">
        <f>IF($B941="",,SUMIFS(PerBase[Month 7],PerBase[exp_item],$H941,PerBase[company_name],$B941)*R416)</f>
        <v>0</v>
      </c>
      <c r="S941" s="652">
        <f>IF($B941="",,SUMIFS(PerBase[Month 8],PerBase[exp_item],$H941,PerBase[company_name],$B941)*S416)</f>
        <v>0</v>
      </c>
      <c r="T941" s="652">
        <f>IF($B941="",,SUMIFS(PerBase[Month 9],PerBase[exp_item],$H941,PerBase[company_name],$B941)*T416)</f>
        <v>0</v>
      </c>
      <c r="U941" s="652">
        <f>IF($B941="",,SUMIFS(PerBase[Month 10],PerBase[exp_item],$H941,PerBase[company_name],$B941)*U416)</f>
        <v>0</v>
      </c>
      <c r="V941" s="652">
        <f>IF($B941="",,SUMIFS(PerBase[Month 11],PerBase[exp_item],$H941,PerBase[company_name],$B941)*V416)</f>
        <v>0</v>
      </c>
      <c r="W941" s="652">
        <f>IF($B941="",,SUMIFS(PerBase[Month 12],PerBase[exp_item],$H941,PerBase[company_name],$B941)*W416)</f>
        <v>0</v>
      </c>
      <c r="X941" s="652">
        <f>IF($B941="",,SUMIFS(PerBase[Month 13],PerBase[exp_item],$H941,PerBase[company_name],$B941)*X416)</f>
        <v>0</v>
      </c>
      <c r="Y941" s="652">
        <f>IF($B941="",,SUMIFS(PerBase[Month 14],PerBase[exp_item],$H941,PerBase[company_name],$B941)*Y416)</f>
        <v>0</v>
      </c>
      <c r="Z941" s="652">
        <f>IF($B941="",,SUMIFS(PerBase[Month 15],PerBase[exp_item],$H941,PerBase[company_name],$B941)*Z416)</f>
        <v>0</v>
      </c>
      <c r="AA941" s="652">
        <f>IF($B941="",,SUMIFS(PerBase[Month 16],PerBase[exp_item],$H941,PerBase[company_name],$B941)*AA416)</f>
        <v>0</v>
      </c>
      <c r="AB941" s="652">
        <f>IF($B941="",,SUMIFS(PerBase[Month 17],PerBase[exp_item],$H941,PerBase[company_name],$B941)*AB416)</f>
        <v>0</v>
      </c>
      <c r="AC941" s="652">
        <f>IF($B941="",,SUMIFS(PerBase[Month 18],PerBase[exp_item],$H941,PerBase[company_name],$B941)*AC416)</f>
        <v>0</v>
      </c>
      <c r="AD941" s="652">
        <f>IF($B941="",,SUMIFS(PerBase[Month 19],PerBase[exp_item],$H941,PerBase[company_name],$B941)*AD416)</f>
        <v>0</v>
      </c>
      <c r="AE941" s="652">
        <f>IF($B941="",,SUMIFS(PerBase[Month 20],PerBase[exp_item],$H941,PerBase[company_name],$B941)*AE416)</f>
        <v>0</v>
      </c>
      <c r="AF941" s="652">
        <f>IF($B941="",,SUMIFS(PerBase[Month 21],PerBase[exp_item],$H941,PerBase[company_name],$B941)*AF416)</f>
        <v>0</v>
      </c>
      <c r="AG941" s="652">
        <f>IF($B941="",,SUMIFS(PerBase[Month 22],PerBase[exp_item],$H941,PerBase[company_name],$B941)*AG416)</f>
        <v>0</v>
      </c>
      <c r="AH941" s="652">
        <f>IF($B941="",,SUMIFS(PerBase[Month 23],PerBase[exp_item],$H941,PerBase[company_name],$B941)*AH416)</f>
        <v>0</v>
      </c>
      <c r="AI941" s="652">
        <f>IF($B941="",,SUMIFS(PerBase[Month 24],PerBase[exp_item],$H941,PerBase[company_name],$B941)*AI416)</f>
        <v>0</v>
      </c>
      <c r="AJ941" s="652">
        <f>IF($B941="",,SUMIFS(PerBase[Month 25],PerBase[exp_item],$H941,PerBase[company_name],$B941)*AJ416)</f>
        <v>0</v>
      </c>
      <c r="AK941" s="652">
        <f>IF($B941="",,SUMIFS(PerBase[Month 26],PerBase[exp_item],$H941,PerBase[company_name],$B941)*AK416)</f>
        <v>0</v>
      </c>
      <c r="AL941" s="652">
        <f>IF($B941="",,SUMIFS(PerBase[Month 27],PerBase[exp_item],$H941,PerBase[company_name],$B941)*AL416)</f>
        <v>0</v>
      </c>
      <c r="AM941" s="652">
        <f>IF($B941="",,SUMIFS(PerBase[Month 28],PerBase[exp_item],$H941,PerBase[company_name],$B941)*AM416)</f>
        <v>0</v>
      </c>
      <c r="AN941" s="652">
        <f>IF($B941="",,SUMIFS(PerBase[Month 29],PerBase[exp_item],$H941,PerBase[company_name],$B941)*AN416)</f>
        <v>0</v>
      </c>
      <c r="AO941" s="652">
        <f>IF($B941="",,SUMIFS(PerBase[Month 30],PerBase[exp_item],$H941,PerBase[company_name],$B941)*AO416)</f>
        <v>0</v>
      </c>
      <c r="AP941" s="652">
        <f>IF($B941="",,SUMIFS(PerBase[Month 31],PerBase[exp_item],$H941,PerBase[company_name],$B941)*AP416)</f>
        <v>0</v>
      </c>
      <c r="AQ941" s="652">
        <f>IF($B941="",,SUMIFS(PerBase[Month 32],PerBase[exp_item],$H941,PerBase[company_name],$B941)*AQ416)</f>
        <v>0</v>
      </c>
      <c r="AR941" s="652">
        <f>IF($B941="",,SUMIFS(PerBase[Month 33],PerBase[exp_item],$H941,PerBase[company_name],$B941)*AR416)</f>
        <v>0</v>
      </c>
      <c r="AS941" s="652">
        <f>IF($B941="",,SUMIFS(PerBase[Month 34],PerBase[exp_item],$H941,PerBase[company_name],$B941)*AS416)</f>
        <v>0</v>
      </c>
      <c r="AT941" s="652">
        <f>IF($B941="",,SUMIFS(PerBase[Month 35],PerBase[exp_item],$H941,PerBase[company_name],$B941)*AT416)</f>
        <v>0</v>
      </c>
      <c r="AU941" s="652">
        <f>IF($B941="",,SUMIFS(PerBase[Month 36],PerBase[exp_item],$H941,PerBase[company_name],$B941)*AU416)</f>
        <v>0</v>
      </c>
    </row>
    <row r="942" spans="2:47" x14ac:dyDescent="0.35">
      <c r="B942" t="str">
        <f t="shared" si="554"/>
        <v/>
      </c>
      <c r="C942" t="str">
        <f t="shared" ref="C942:G942" si="576">IF(C837="","",C837)</f>
        <v/>
      </c>
      <c r="D942" t="str">
        <f t="shared" si="576"/>
        <v/>
      </c>
      <c r="E942" t="str">
        <f t="shared" si="576"/>
        <v/>
      </c>
      <c r="F942" t="str">
        <f t="shared" si="576"/>
        <v/>
      </c>
      <c r="G942" t="str">
        <f t="shared" si="576"/>
        <v/>
      </c>
      <c r="H942" t="str">
        <f t="shared" si="553"/>
        <v/>
      </c>
      <c r="J942" t="str">
        <f>IF($H942="","",IF(VLOOKUP(H942,ExpItems[],2,0),H942&amp;" - "&amp;INDEX(DivisionMapping[category_code],MATCH($D942&amp;$C942,DivisionMapping[dept_bu],0)),H942))</f>
        <v/>
      </c>
      <c r="K942" t="str">
        <f t="shared" si="556"/>
        <v/>
      </c>
      <c r="L942" s="652">
        <f>IF($B942="",,SUMIFS(PerBase[Month 1],PerBase[exp_item],$H942,PerBase[company_name],$B942)*L417)</f>
        <v>0</v>
      </c>
      <c r="M942" s="652">
        <f>IF($B942="",,SUMIFS(PerBase[Month 2],PerBase[exp_item],$H942,PerBase[company_name],$B942)*M417)</f>
        <v>0</v>
      </c>
      <c r="N942" s="652">
        <f>IF($B942="",,SUMIFS(PerBase[Month 3],PerBase[exp_item],$H942,PerBase[company_name],$B942)*N417)</f>
        <v>0</v>
      </c>
      <c r="O942" s="652">
        <f>IF($B942="",,SUMIFS(PerBase[Month 4],PerBase[exp_item],$H942,PerBase[company_name],$B942)*O417)</f>
        <v>0</v>
      </c>
      <c r="P942" s="652">
        <f>IF($B942="",,SUMIFS(PerBase[Month 5],PerBase[exp_item],$H942,PerBase[company_name],$B942)*P417)</f>
        <v>0</v>
      </c>
      <c r="Q942" s="652">
        <f>IF($B942="",,SUMIFS(PerBase[Month 6],PerBase[exp_item],$H942,PerBase[company_name],$B942)*Q417)</f>
        <v>0</v>
      </c>
      <c r="R942" s="652">
        <f>IF($B942="",,SUMIFS(PerBase[Month 7],PerBase[exp_item],$H942,PerBase[company_name],$B942)*R417)</f>
        <v>0</v>
      </c>
      <c r="S942" s="652">
        <f>IF($B942="",,SUMIFS(PerBase[Month 8],PerBase[exp_item],$H942,PerBase[company_name],$B942)*S417)</f>
        <v>0</v>
      </c>
      <c r="T942" s="652">
        <f>IF($B942="",,SUMIFS(PerBase[Month 9],PerBase[exp_item],$H942,PerBase[company_name],$B942)*T417)</f>
        <v>0</v>
      </c>
      <c r="U942" s="652">
        <f>IF($B942="",,SUMIFS(PerBase[Month 10],PerBase[exp_item],$H942,PerBase[company_name],$B942)*U417)</f>
        <v>0</v>
      </c>
      <c r="V942" s="652">
        <f>IF($B942="",,SUMIFS(PerBase[Month 11],PerBase[exp_item],$H942,PerBase[company_name],$B942)*V417)</f>
        <v>0</v>
      </c>
      <c r="W942" s="652">
        <f>IF($B942="",,SUMIFS(PerBase[Month 12],PerBase[exp_item],$H942,PerBase[company_name],$B942)*W417)</f>
        <v>0</v>
      </c>
      <c r="X942" s="652">
        <f>IF($B942="",,SUMIFS(PerBase[Month 13],PerBase[exp_item],$H942,PerBase[company_name],$B942)*X417)</f>
        <v>0</v>
      </c>
      <c r="Y942" s="652">
        <f>IF($B942="",,SUMIFS(PerBase[Month 14],PerBase[exp_item],$H942,PerBase[company_name],$B942)*Y417)</f>
        <v>0</v>
      </c>
      <c r="Z942" s="652">
        <f>IF($B942="",,SUMIFS(PerBase[Month 15],PerBase[exp_item],$H942,PerBase[company_name],$B942)*Z417)</f>
        <v>0</v>
      </c>
      <c r="AA942" s="652">
        <f>IF($B942="",,SUMIFS(PerBase[Month 16],PerBase[exp_item],$H942,PerBase[company_name],$B942)*AA417)</f>
        <v>0</v>
      </c>
      <c r="AB942" s="652">
        <f>IF($B942="",,SUMIFS(PerBase[Month 17],PerBase[exp_item],$H942,PerBase[company_name],$B942)*AB417)</f>
        <v>0</v>
      </c>
      <c r="AC942" s="652">
        <f>IF($B942="",,SUMIFS(PerBase[Month 18],PerBase[exp_item],$H942,PerBase[company_name],$B942)*AC417)</f>
        <v>0</v>
      </c>
      <c r="AD942" s="652">
        <f>IF($B942="",,SUMIFS(PerBase[Month 19],PerBase[exp_item],$H942,PerBase[company_name],$B942)*AD417)</f>
        <v>0</v>
      </c>
      <c r="AE942" s="652">
        <f>IF($B942="",,SUMIFS(PerBase[Month 20],PerBase[exp_item],$H942,PerBase[company_name],$B942)*AE417)</f>
        <v>0</v>
      </c>
      <c r="AF942" s="652">
        <f>IF($B942="",,SUMIFS(PerBase[Month 21],PerBase[exp_item],$H942,PerBase[company_name],$B942)*AF417)</f>
        <v>0</v>
      </c>
      <c r="AG942" s="652">
        <f>IF($B942="",,SUMIFS(PerBase[Month 22],PerBase[exp_item],$H942,PerBase[company_name],$B942)*AG417)</f>
        <v>0</v>
      </c>
      <c r="AH942" s="652">
        <f>IF($B942="",,SUMIFS(PerBase[Month 23],PerBase[exp_item],$H942,PerBase[company_name],$B942)*AH417)</f>
        <v>0</v>
      </c>
      <c r="AI942" s="652">
        <f>IF($B942="",,SUMIFS(PerBase[Month 24],PerBase[exp_item],$H942,PerBase[company_name],$B942)*AI417)</f>
        <v>0</v>
      </c>
      <c r="AJ942" s="652">
        <f>IF($B942="",,SUMIFS(PerBase[Month 25],PerBase[exp_item],$H942,PerBase[company_name],$B942)*AJ417)</f>
        <v>0</v>
      </c>
      <c r="AK942" s="652">
        <f>IF($B942="",,SUMIFS(PerBase[Month 26],PerBase[exp_item],$H942,PerBase[company_name],$B942)*AK417)</f>
        <v>0</v>
      </c>
      <c r="AL942" s="652">
        <f>IF($B942="",,SUMIFS(PerBase[Month 27],PerBase[exp_item],$H942,PerBase[company_name],$B942)*AL417)</f>
        <v>0</v>
      </c>
      <c r="AM942" s="652">
        <f>IF($B942="",,SUMIFS(PerBase[Month 28],PerBase[exp_item],$H942,PerBase[company_name],$B942)*AM417)</f>
        <v>0</v>
      </c>
      <c r="AN942" s="652">
        <f>IF($B942="",,SUMIFS(PerBase[Month 29],PerBase[exp_item],$H942,PerBase[company_name],$B942)*AN417)</f>
        <v>0</v>
      </c>
      <c r="AO942" s="652">
        <f>IF($B942="",,SUMIFS(PerBase[Month 30],PerBase[exp_item],$H942,PerBase[company_name],$B942)*AO417)</f>
        <v>0</v>
      </c>
      <c r="AP942" s="652">
        <f>IF($B942="",,SUMIFS(PerBase[Month 31],PerBase[exp_item],$H942,PerBase[company_name],$B942)*AP417)</f>
        <v>0</v>
      </c>
      <c r="AQ942" s="652">
        <f>IF($B942="",,SUMIFS(PerBase[Month 32],PerBase[exp_item],$H942,PerBase[company_name],$B942)*AQ417)</f>
        <v>0</v>
      </c>
      <c r="AR942" s="652">
        <f>IF($B942="",,SUMIFS(PerBase[Month 33],PerBase[exp_item],$H942,PerBase[company_name],$B942)*AR417)</f>
        <v>0</v>
      </c>
      <c r="AS942" s="652">
        <f>IF($B942="",,SUMIFS(PerBase[Month 34],PerBase[exp_item],$H942,PerBase[company_name],$B942)*AS417)</f>
        <v>0</v>
      </c>
      <c r="AT942" s="652">
        <f>IF($B942="",,SUMIFS(PerBase[Month 35],PerBase[exp_item],$H942,PerBase[company_name],$B942)*AT417)</f>
        <v>0</v>
      </c>
      <c r="AU942" s="652">
        <f>IF($B942="",,SUMIFS(PerBase[Month 36],PerBase[exp_item],$H942,PerBase[company_name],$B942)*AU417)</f>
        <v>0</v>
      </c>
    </row>
    <row r="943" spans="2:47" x14ac:dyDescent="0.35">
      <c r="B943" t="str">
        <f t="shared" si="554"/>
        <v/>
      </c>
      <c r="C943" t="str">
        <f t="shared" ref="C943:G943" si="577">IF(C838="","",C838)</f>
        <v/>
      </c>
      <c r="D943" t="str">
        <f t="shared" si="577"/>
        <v/>
      </c>
      <c r="E943" t="str">
        <f t="shared" si="577"/>
        <v/>
      </c>
      <c r="F943" t="str">
        <f t="shared" si="577"/>
        <v/>
      </c>
      <c r="G943" t="str">
        <f t="shared" si="577"/>
        <v/>
      </c>
      <c r="H943" t="str">
        <f t="shared" si="553"/>
        <v/>
      </c>
      <c r="J943" t="str">
        <f>IF($H943="","",IF(VLOOKUP(H943,ExpItems[],2,0),H943&amp;" - "&amp;INDEX(DivisionMapping[category_code],MATCH($D943&amp;$C943,DivisionMapping[dept_bu],0)),H943))</f>
        <v/>
      </c>
      <c r="K943" t="str">
        <f t="shared" si="556"/>
        <v/>
      </c>
      <c r="L943" s="652">
        <f>IF($B943="",,SUMIFS(PerBase[Month 1],PerBase[exp_item],$H943,PerBase[company_name],$B943)*L418)</f>
        <v>0</v>
      </c>
      <c r="M943" s="652">
        <f>IF($B943="",,SUMIFS(PerBase[Month 2],PerBase[exp_item],$H943,PerBase[company_name],$B943)*M418)</f>
        <v>0</v>
      </c>
      <c r="N943" s="652">
        <f>IF($B943="",,SUMIFS(PerBase[Month 3],PerBase[exp_item],$H943,PerBase[company_name],$B943)*N418)</f>
        <v>0</v>
      </c>
      <c r="O943" s="652">
        <f>IF($B943="",,SUMIFS(PerBase[Month 4],PerBase[exp_item],$H943,PerBase[company_name],$B943)*O418)</f>
        <v>0</v>
      </c>
      <c r="P943" s="652">
        <f>IF($B943="",,SUMIFS(PerBase[Month 5],PerBase[exp_item],$H943,PerBase[company_name],$B943)*P418)</f>
        <v>0</v>
      </c>
      <c r="Q943" s="652">
        <f>IF($B943="",,SUMIFS(PerBase[Month 6],PerBase[exp_item],$H943,PerBase[company_name],$B943)*Q418)</f>
        <v>0</v>
      </c>
      <c r="R943" s="652">
        <f>IF($B943="",,SUMIFS(PerBase[Month 7],PerBase[exp_item],$H943,PerBase[company_name],$B943)*R418)</f>
        <v>0</v>
      </c>
      <c r="S943" s="652">
        <f>IF($B943="",,SUMIFS(PerBase[Month 8],PerBase[exp_item],$H943,PerBase[company_name],$B943)*S418)</f>
        <v>0</v>
      </c>
      <c r="T943" s="652">
        <f>IF($B943="",,SUMIFS(PerBase[Month 9],PerBase[exp_item],$H943,PerBase[company_name],$B943)*T418)</f>
        <v>0</v>
      </c>
      <c r="U943" s="652">
        <f>IF($B943="",,SUMIFS(PerBase[Month 10],PerBase[exp_item],$H943,PerBase[company_name],$B943)*U418)</f>
        <v>0</v>
      </c>
      <c r="V943" s="652">
        <f>IF($B943="",,SUMIFS(PerBase[Month 11],PerBase[exp_item],$H943,PerBase[company_name],$B943)*V418)</f>
        <v>0</v>
      </c>
      <c r="W943" s="652">
        <f>IF($B943="",,SUMIFS(PerBase[Month 12],PerBase[exp_item],$H943,PerBase[company_name],$B943)*W418)</f>
        <v>0</v>
      </c>
      <c r="X943" s="652">
        <f>IF($B943="",,SUMIFS(PerBase[Month 13],PerBase[exp_item],$H943,PerBase[company_name],$B943)*X418)</f>
        <v>0</v>
      </c>
      <c r="Y943" s="652">
        <f>IF($B943="",,SUMIFS(PerBase[Month 14],PerBase[exp_item],$H943,PerBase[company_name],$B943)*Y418)</f>
        <v>0</v>
      </c>
      <c r="Z943" s="652">
        <f>IF($B943="",,SUMIFS(PerBase[Month 15],PerBase[exp_item],$H943,PerBase[company_name],$B943)*Z418)</f>
        <v>0</v>
      </c>
      <c r="AA943" s="652">
        <f>IF($B943="",,SUMIFS(PerBase[Month 16],PerBase[exp_item],$H943,PerBase[company_name],$B943)*AA418)</f>
        <v>0</v>
      </c>
      <c r="AB943" s="652">
        <f>IF($B943="",,SUMIFS(PerBase[Month 17],PerBase[exp_item],$H943,PerBase[company_name],$B943)*AB418)</f>
        <v>0</v>
      </c>
      <c r="AC943" s="652">
        <f>IF($B943="",,SUMIFS(PerBase[Month 18],PerBase[exp_item],$H943,PerBase[company_name],$B943)*AC418)</f>
        <v>0</v>
      </c>
      <c r="AD943" s="652">
        <f>IF($B943="",,SUMIFS(PerBase[Month 19],PerBase[exp_item],$H943,PerBase[company_name],$B943)*AD418)</f>
        <v>0</v>
      </c>
      <c r="AE943" s="652">
        <f>IF($B943="",,SUMIFS(PerBase[Month 20],PerBase[exp_item],$H943,PerBase[company_name],$B943)*AE418)</f>
        <v>0</v>
      </c>
      <c r="AF943" s="652">
        <f>IF($B943="",,SUMIFS(PerBase[Month 21],PerBase[exp_item],$H943,PerBase[company_name],$B943)*AF418)</f>
        <v>0</v>
      </c>
      <c r="AG943" s="652">
        <f>IF($B943="",,SUMIFS(PerBase[Month 22],PerBase[exp_item],$H943,PerBase[company_name],$B943)*AG418)</f>
        <v>0</v>
      </c>
      <c r="AH943" s="652">
        <f>IF($B943="",,SUMIFS(PerBase[Month 23],PerBase[exp_item],$H943,PerBase[company_name],$B943)*AH418)</f>
        <v>0</v>
      </c>
      <c r="AI943" s="652">
        <f>IF($B943="",,SUMIFS(PerBase[Month 24],PerBase[exp_item],$H943,PerBase[company_name],$B943)*AI418)</f>
        <v>0</v>
      </c>
      <c r="AJ943" s="652">
        <f>IF($B943="",,SUMIFS(PerBase[Month 25],PerBase[exp_item],$H943,PerBase[company_name],$B943)*AJ418)</f>
        <v>0</v>
      </c>
      <c r="AK943" s="652">
        <f>IF($B943="",,SUMIFS(PerBase[Month 26],PerBase[exp_item],$H943,PerBase[company_name],$B943)*AK418)</f>
        <v>0</v>
      </c>
      <c r="AL943" s="652">
        <f>IF($B943="",,SUMIFS(PerBase[Month 27],PerBase[exp_item],$H943,PerBase[company_name],$B943)*AL418)</f>
        <v>0</v>
      </c>
      <c r="AM943" s="652">
        <f>IF($B943="",,SUMIFS(PerBase[Month 28],PerBase[exp_item],$H943,PerBase[company_name],$B943)*AM418)</f>
        <v>0</v>
      </c>
      <c r="AN943" s="652">
        <f>IF($B943="",,SUMIFS(PerBase[Month 29],PerBase[exp_item],$H943,PerBase[company_name],$B943)*AN418)</f>
        <v>0</v>
      </c>
      <c r="AO943" s="652">
        <f>IF($B943="",,SUMIFS(PerBase[Month 30],PerBase[exp_item],$H943,PerBase[company_name],$B943)*AO418)</f>
        <v>0</v>
      </c>
      <c r="AP943" s="652">
        <f>IF($B943="",,SUMIFS(PerBase[Month 31],PerBase[exp_item],$H943,PerBase[company_name],$B943)*AP418)</f>
        <v>0</v>
      </c>
      <c r="AQ943" s="652">
        <f>IF($B943="",,SUMIFS(PerBase[Month 32],PerBase[exp_item],$H943,PerBase[company_name],$B943)*AQ418)</f>
        <v>0</v>
      </c>
      <c r="AR943" s="652">
        <f>IF($B943="",,SUMIFS(PerBase[Month 33],PerBase[exp_item],$H943,PerBase[company_name],$B943)*AR418)</f>
        <v>0</v>
      </c>
      <c r="AS943" s="652">
        <f>IF($B943="",,SUMIFS(PerBase[Month 34],PerBase[exp_item],$H943,PerBase[company_name],$B943)*AS418)</f>
        <v>0</v>
      </c>
      <c r="AT943" s="652">
        <f>IF($B943="",,SUMIFS(PerBase[Month 35],PerBase[exp_item],$H943,PerBase[company_name],$B943)*AT418)</f>
        <v>0</v>
      </c>
      <c r="AU943" s="652">
        <f>IF($B943="",,SUMIFS(PerBase[Month 36],PerBase[exp_item],$H943,PerBase[company_name],$B943)*AU418)</f>
        <v>0</v>
      </c>
    </row>
    <row r="944" spans="2:47" x14ac:dyDescent="0.35">
      <c r="B944" t="str">
        <f t="shared" si="554"/>
        <v/>
      </c>
      <c r="C944" t="str">
        <f t="shared" ref="C944:G944" si="578">IF(C839="","",C839)</f>
        <v/>
      </c>
      <c r="D944" t="str">
        <f t="shared" si="578"/>
        <v/>
      </c>
      <c r="E944" t="str">
        <f t="shared" si="578"/>
        <v/>
      </c>
      <c r="F944" t="str">
        <f t="shared" si="578"/>
        <v/>
      </c>
      <c r="G944" t="str">
        <f t="shared" si="578"/>
        <v/>
      </c>
      <c r="H944" t="str">
        <f t="shared" si="553"/>
        <v/>
      </c>
      <c r="J944" t="str">
        <f>IF($H944="","",IF(VLOOKUP(H944,ExpItems[],2,0),H944&amp;" - "&amp;INDEX(DivisionMapping[category_code],MATCH($D944&amp;$C944,DivisionMapping[dept_bu],0)),H944))</f>
        <v/>
      </c>
      <c r="K944" t="str">
        <f t="shared" si="556"/>
        <v/>
      </c>
      <c r="L944" s="652">
        <f>IF($B944="",,SUMIFS(PerBase[Month 1],PerBase[exp_item],$H944,PerBase[company_name],$B944)*L419)</f>
        <v>0</v>
      </c>
      <c r="M944" s="652">
        <f>IF($B944="",,SUMIFS(PerBase[Month 2],PerBase[exp_item],$H944,PerBase[company_name],$B944)*M419)</f>
        <v>0</v>
      </c>
      <c r="N944" s="652">
        <f>IF($B944="",,SUMIFS(PerBase[Month 3],PerBase[exp_item],$H944,PerBase[company_name],$B944)*N419)</f>
        <v>0</v>
      </c>
      <c r="O944" s="652">
        <f>IF($B944="",,SUMIFS(PerBase[Month 4],PerBase[exp_item],$H944,PerBase[company_name],$B944)*O419)</f>
        <v>0</v>
      </c>
      <c r="P944" s="652">
        <f>IF($B944="",,SUMIFS(PerBase[Month 5],PerBase[exp_item],$H944,PerBase[company_name],$B944)*P419)</f>
        <v>0</v>
      </c>
      <c r="Q944" s="652">
        <f>IF($B944="",,SUMIFS(PerBase[Month 6],PerBase[exp_item],$H944,PerBase[company_name],$B944)*Q419)</f>
        <v>0</v>
      </c>
      <c r="R944" s="652">
        <f>IF($B944="",,SUMIFS(PerBase[Month 7],PerBase[exp_item],$H944,PerBase[company_name],$B944)*R419)</f>
        <v>0</v>
      </c>
      <c r="S944" s="652">
        <f>IF($B944="",,SUMIFS(PerBase[Month 8],PerBase[exp_item],$H944,PerBase[company_name],$B944)*S419)</f>
        <v>0</v>
      </c>
      <c r="T944" s="652">
        <f>IF($B944="",,SUMIFS(PerBase[Month 9],PerBase[exp_item],$H944,PerBase[company_name],$B944)*T419)</f>
        <v>0</v>
      </c>
      <c r="U944" s="652">
        <f>IF($B944="",,SUMIFS(PerBase[Month 10],PerBase[exp_item],$H944,PerBase[company_name],$B944)*U419)</f>
        <v>0</v>
      </c>
      <c r="V944" s="652">
        <f>IF($B944="",,SUMIFS(PerBase[Month 11],PerBase[exp_item],$H944,PerBase[company_name],$B944)*V419)</f>
        <v>0</v>
      </c>
      <c r="W944" s="652">
        <f>IF($B944="",,SUMIFS(PerBase[Month 12],PerBase[exp_item],$H944,PerBase[company_name],$B944)*W419)</f>
        <v>0</v>
      </c>
      <c r="X944" s="652">
        <f>IF($B944="",,SUMIFS(PerBase[Month 13],PerBase[exp_item],$H944,PerBase[company_name],$B944)*X419)</f>
        <v>0</v>
      </c>
      <c r="Y944" s="652">
        <f>IF($B944="",,SUMIFS(PerBase[Month 14],PerBase[exp_item],$H944,PerBase[company_name],$B944)*Y419)</f>
        <v>0</v>
      </c>
      <c r="Z944" s="652">
        <f>IF($B944="",,SUMIFS(PerBase[Month 15],PerBase[exp_item],$H944,PerBase[company_name],$B944)*Z419)</f>
        <v>0</v>
      </c>
      <c r="AA944" s="652">
        <f>IF($B944="",,SUMIFS(PerBase[Month 16],PerBase[exp_item],$H944,PerBase[company_name],$B944)*AA419)</f>
        <v>0</v>
      </c>
      <c r="AB944" s="652">
        <f>IF($B944="",,SUMIFS(PerBase[Month 17],PerBase[exp_item],$H944,PerBase[company_name],$B944)*AB419)</f>
        <v>0</v>
      </c>
      <c r="AC944" s="652">
        <f>IF($B944="",,SUMIFS(PerBase[Month 18],PerBase[exp_item],$H944,PerBase[company_name],$B944)*AC419)</f>
        <v>0</v>
      </c>
      <c r="AD944" s="652">
        <f>IF($B944="",,SUMIFS(PerBase[Month 19],PerBase[exp_item],$H944,PerBase[company_name],$B944)*AD419)</f>
        <v>0</v>
      </c>
      <c r="AE944" s="652">
        <f>IF($B944="",,SUMIFS(PerBase[Month 20],PerBase[exp_item],$H944,PerBase[company_name],$B944)*AE419)</f>
        <v>0</v>
      </c>
      <c r="AF944" s="652">
        <f>IF($B944="",,SUMIFS(PerBase[Month 21],PerBase[exp_item],$H944,PerBase[company_name],$B944)*AF419)</f>
        <v>0</v>
      </c>
      <c r="AG944" s="652">
        <f>IF($B944="",,SUMIFS(PerBase[Month 22],PerBase[exp_item],$H944,PerBase[company_name],$B944)*AG419)</f>
        <v>0</v>
      </c>
      <c r="AH944" s="652">
        <f>IF($B944="",,SUMIFS(PerBase[Month 23],PerBase[exp_item],$H944,PerBase[company_name],$B944)*AH419)</f>
        <v>0</v>
      </c>
      <c r="AI944" s="652">
        <f>IF($B944="",,SUMIFS(PerBase[Month 24],PerBase[exp_item],$H944,PerBase[company_name],$B944)*AI419)</f>
        <v>0</v>
      </c>
      <c r="AJ944" s="652">
        <f>IF($B944="",,SUMIFS(PerBase[Month 25],PerBase[exp_item],$H944,PerBase[company_name],$B944)*AJ419)</f>
        <v>0</v>
      </c>
      <c r="AK944" s="652">
        <f>IF($B944="",,SUMIFS(PerBase[Month 26],PerBase[exp_item],$H944,PerBase[company_name],$B944)*AK419)</f>
        <v>0</v>
      </c>
      <c r="AL944" s="652">
        <f>IF($B944="",,SUMIFS(PerBase[Month 27],PerBase[exp_item],$H944,PerBase[company_name],$B944)*AL419)</f>
        <v>0</v>
      </c>
      <c r="AM944" s="652">
        <f>IF($B944="",,SUMIFS(PerBase[Month 28],PerBase[exp_item],$H944,PerBase[company_name],$B944)*AM419)</f>
        <v>0</v>
      </c>
      <c r="AN944" s="652">
        <f>IF($B944="",,SUMIFS(PerBase[Month 29],PerBase[exp_item],$H944,PerBase[company_name],$B944)*AN419)</f>
        <v>0</v>
      </c>
      <c r="AO944" s="652">
        <f>IF($B944="",,SUMIFS(PerBase[Month 30],PerBase[exp_item],$H944,PerBase[company_name],$B944)*AO419)</f>
        <v>0</v>
      </c>
      <c r="AP944" s="652">
        <f>IF($B944="",,SUMIFS(PerBase[Month 31],PerBase[exp_item],$H944,PerBase[company_name],$B944)*AP419)</f>
        <v>0</v>
      </c>
      <c r="AQ944" s="652">
        <f>IF($B944="",,SUMIFS(PerBase[Month 32],PerBase[exp_item],$H944,PerBase[company_name],$B944)*AQ419)</f>
        <v>0</v>
      </c>
      <c r="AR944" s="652">
        <f>IF($B944="",,SUMIFS(PerBase[Month 33],PerBase[exp_item],$H944,PerBase[company_name],$B944)*AR419)</f>
        <v>0</v>
      </c>
      <c r="AS944" s="652">
        <f>IF($B944="",,SUMIFS(PerBase[Month 34],PerBase[exp_item],$H944,PerBase[company_name],$B944)*AS419)</f>
        <v>0</v>
      </c>
      <c r="AT944" s="652">
        <f>IF($B944="",,SUMIFS(PerBase[Month 35],PerBase[exp_item],$H944,PerBase[company_name],$B944)*AT419)</f>
        <v>0</v>
      </c>
      <c r="AU944" s="652">
        <f>IF($B944="",,SUMIFS(PerBase[Month 36],PerBase[exp_item],$H944,PerBase[company_name],$B944)*AU419)</f>
        <v>0</v>
      </c>
    </row>
    <row r="945" spans="2:47" x14ac:dyDescent="0.35">
      <c r="B945" t="str">
        <f t="shared" si="554"/>
        <v/>
      </c>
      <c r="C945" t="str">
        <f t="shared" ref="C945:G945" si="579">IF(C840="","",C840)</f>
        <v/>
      </c>
      <c r="D945" t="str">
        <f t="shared" si="579"/>
        <v/>
      </c>
      <c r="E945" t="str">
        <f t="shared" si="579"/>
        <v/>
      </c>
      <c r="F945" t="str">
        <f t="shared" si="579"/>
        <v/>
      </c>
      <c r="G945" t="str">
        <f t="shared" si="579"/>
        <v/>
      </c>
      <c r="H945" t="str">
        <f t="shared" si="553"/>
        <v/>
      </c>
      <c r="J945" t="str">
        <f>IF($H945="","",IF(VLOOKUP(H945,ExpItems[],2,0),H945&amp;" - "&amp;INDEX(DivisionMapping[category_code],MATCH($D945&amp;$C945,DivisionMapping[dept_bu],0)),H945))</f>
        <v/>
      </c>
      <c r="K945" t="str">
        <f t="shared" si="556"/>
        <v/>
      </c>
      <c r="L945" s="652">
        <f>IF($B945="",,SUMIFS(PerBase[Month 1],PerBase[exp_item],$H945,PerBase[company_name],$B945)*L420)</f>
        <v>0</v>
      </c>
      <c r="M945" s="652">
        <f>IF($B945="",,SUMIFS(PerBase[Month 2],PerBase[exp_item],$H945,PerBase[company_name],$B945)*M420)</f>
        <v>0</v>
      </c>
      <c r="N945" s="652">
        <f>IF($B945="",,SUMIFS(PerBase[Month 3],PerBase[exp_item],$H945,PerBase[company_name],$B945)*N420)</f>
        <v>0</v>
      </c>
      <c r="O945" s="652">
        <f>IF($B945="",,SUMIFS(PerBase[Month 4],PerBase[exp_item],$H945,PerBase[company_name],$B945)*O420)</f>
        <v>0</v>
      </c>
      <c r="P945" s="652">
        <f>IF($B945="",,SUMIFS(PerBase[Month 5],PerBase[exp_item],$H945,PerBase[company_name],$B945)*P420)</f>
        <v>0</v>
      </c>
      <c r="Q945" s="652">
        <f>IF($B945="",,SUMIFS(PerBase[Month 6],PerBase[exp_item],$H945,PerBase[company_name],$B945)*Q420)</f>
        <v>0</v>
      </c>
      <c r="R945" s="652">
        <f>IF($B945="",,SUMIFS(PerBase[Month 7],PerBase[exp_item],$H945,PerBase[company_name],$B945)*R420)</f>
        <v>0</v>
      </c>
      <c r="S945" s="652">
        <f>IF($B945="",,SUMIFS(PerBase[Month 8],PerBase[exp_item],$H945,PerBase[company_name],$B945)*S420)</f>
        <v>0</v>
      </c>
      <c r="T945" s="652">
        <f>IF($B945="",,SUMIFS(PerBase[Month 9],PerBase[exp_item],$H945,PerBase[company_name],$B945)*T420)</f>
        <v>0</v>
      </c>
      <c r="U945" s="652">
        <f>IF($B945="",,SUMIFS(PerBase[Month 10],PerBase[exp_item],$H945,PerBase[company_name],$B945)*U420)</f>
        <v>0</v>
      </c>
      <c r="V945" s="652">
        <f>IF($B945="",,SUMIFS(PerBase[Month 11],PerBase[exp_item],$H945,PerBase[company_name],$B945)*V420)</f>
        <v>0</v>
      </c>
      <c r="W945" s="652">
        <f>IF($B945="",,SUMIFS(PerBase[Month 12],PerBase[exp_item],$H945,PerBase[company_name],$B945)*W420)</f>
        <v>0</v>
      </c>
      <c r="X945" s="652">
        <f>IF($B945="",,SUMIFS(PerBase[Month 13],PerBase[exp_item],$H945,PerBase[company_name],$B945)*X420)</f>
        <v>0</v>
      </c>
      <c r="Y945" s="652">
        <f>IF($B945="",,SUMIFS(PerBase[Month 14],PerBase[exp_item],$H945,PerBase[company_name],$B945)*Y420)</f>
        <v>0</v>
      </c>
      <c r="Z945" s="652">
        <f>IF($B945="",,SUMIFS(PerBase[Month 15],PerBase[exp_item],$H945,PerBase[company_name],$B945)*Z420)</f>
        <v>0</v>
      </c>
      <c r="AA945" s="652">
        <f>IF($B945="",,SUMIFS(PerBase[Month 16],PerBase[exp_item],$H945,PerBase[company_name],$B945)*AA420)</f>
        <v>0</v>
      </c>
      <c r="AB945" s="652">
        <f>IF($B945="",,SUMIFS(PerBase[Month 17],PerBase[exp_item],$H945,PerBase[company_name],$B945)*AB420)</f>
        <v>0</v>
      </c>
      <c r="AC945" s="652">
        <f>IF($B945="",,SUMIFS(PerBase[Month 18],PerBase[exp_item],$H945,PerBase[company_name],$B945)*AC420)</f>
        <v>0</v>
      </c>
      <c r="AD945" s="652">
        <f>IF($B945="",,SUMIFS(PerBase[Month 19],PerBase[exp_item],$H945,PerBase[company_name],$B945)*AD420)</f>
        <v>0</v>
      </c>
      <c r="AE945" s="652">
        <f>IF($B945="",,SUMIFS(PerBase[Month 20],PerBase[exp_item],$H945,PerBase[company_name],$B945)*AE420)</f>
        <v>0</v>
      </c>
      <c r="AF945" s="652">
        <f>IF($B945="",,SUMIFS(PerBase[Month 21],PerBase[exp_item],$H945,PerBase[company_name],$B945)*AF420)</f>
        <v>0</v>
      </c>
      <c r="AG945" s="652">
        <f>IF($B945="",,SUMIFS(PerBase[Month 22],PerBase[exp_item],$H945,PerBase[company_name],$B945)*AG420)</f>
        <v>0</v>
      </c>
      <c r="AH945" s="652">
        <f>IF($B945="",,SUMIFS(PerBase[Month 23],PerBase[exp_item],$H945,PerBase[company_name],$B945)*AH420)</f>
        <v>0</v>
      </c>
      <c r="AI945" s="652">
        <f>IF($B945="",,SUMIFS(PerBase[Month 24],PerBase[exp_item],$H945,PerBase[company_name],$B945)*AI420)</f>
        <v>0</v>
      </c>
      <c r="AJ945" s="652">
        <f>IF($B945="",,SUMIFS(PerBase[Month 25],PerBase[exp_item],$H945,PerBase[company_name],$B945)*AJ420)</f>
        <v>0</v>
      </c>
      <c r="AK945" s="652">
        <f>IF($B945="",,SUMIFS(PerBase[Month 26],PerBase[exp_item],$H945,PerBase[company_name],$B945)*AK420)</f>
        <v>0</v>
      </c>
      <c r="AL945" s="652">
        <f>IF($B945="",,SUMIFS(PerBase[Month 27],PerBase[exp_item],$H945,PerBase[company_name],$B945)*AL420)</f>
        <v>0</v>
      </c>
      <c r="AM945" s="652">
        <f>IF($B945="",,SUMIFS(PerBase[Month 28],PerBase[exp_item],$H945,PerBase[company_name],$B945)*AM420)</f>
        <v>0</v>
      </c>
      <c r="AN945" s="652">
        <f>IF($B945="",,SUMIFS(PerBase[Month 29],PerBase[exp_item],$H945,PerBase[company_name],$B945)*AN420)</f>
        <v>0</v>
      </c>
      <c r="AO945" s="652">
        <f>IF($B945="",,SUMIFS(PerBase[Month 30],PerBase[exp_item],$H945,PerBase[company_name],$B945)*AO420)</f>
        <v>0</v>
      </c>
      <c r="AP945" s="652">
        <f>IF($B945="",,SUMIFS(PerBase[Month 31],PerBase[exp_item],$H945,PerBase[company_name],$B945)*AP420)</f>
        <v>0</v>
      </c>
      <c r="AQ945" s="652">
        <f>IF($B945="",,SUMIFS(PerBase[Month 32],PerBase[exp_item],$H945,PerBase[company_name],$B945)*AQ420)</f>
        <v>0</v>
      </c>
      <c r="AR945" s="652">
        <f>IF($B945="",,SUMIFS(PerBase[Month 33],PerBase[exp_item],$H945,PerBase[company_name],$B945)*AR420)</f>
        <v>0</v>
      </c>
      <c r="AS945" s="652">
        <f>IF($B945="",,SUMIFS(PerBase[Month 34],PerBase[exp_item],$H945,PerBase[company_name],$B945)*AS420)</f>
        <v>0</v>
      </c>
      <c r="AT945" s="652">
        <f>IF($B945="",,SUMIFS(PerBase[Month 35],PerBase[exp_item],$H945,PerBase[company_name],$B945)*AT420)</f>
        <v>0</v>
      </c>
      <c r="AU945" s="652">
        <f>IF($B945="",,SUMIFS(PerBase[Month 36],PerBase[exp_item],$H945,PerBase[company_name],$B945)*AU420)</f>
        <v>0</v>
      </c>
    </row>
    <row r="946" spans="2:47" x14ac:dyDescent="0.35">
      <c r="B946" t="str">
        <f t="shared" si="554"/>
        <v/>
      </c>
      <c r="C946" t="str">
        <f t="shared" ref="C946:G946" si="580">IF(C841="","",C841)</f>
        <v/>
      </c>
      <c r="D946" t="str">
        <f t="shared" si="580"/>
        <v/>
      </c>
      <c r="E946" t="str">
        <f t="shared" si="580"/>
        <v/>
      </c>
      <c r="F946" t="str">
        <f t="shared" si="580"/>
        <v/>
      </c>
      <c r="G946" t="str">
        <f t="shared" si="580"/>
        <v/>
      </c>
      <c r="H946" t="str">
        <f t="shared" si="553"/>
        <v/>
      </c>
      <c r="J946" t="str">
        <f>IF($H946="","",IF(VLOOKUP(H946,ExpItems[],2,0),H946&amp;" - "&amp;INDEX(DivisionMapping[category_code],MATCH($D946&amp;$C946,DivisionMapping[dept_bu],0)),H946))</f>
        <v/>
      </c>
      <c r="K946" t="str">
        <f t="shared" si="556"/>
        <v/>
      </c>
      <c r="L946" s="652">
        <f>IF($B946="",,SUMIFS(PerBase[Month 1],PerBase[exp_item],$H946,PerBase[company_name],$B946)*L421)</f>
        <v>0</v>
      </c>
      <c r="M946" s="652">
        <f>IF($B946="",,SUMIFS(PerBase[Month 2],PerBase[exp_item],$H946,PerBase[company_name],$B946)*M421)</f>
        <v>0</v>
      </c>
      <c r="N946" s="652">
        <f>IF($B946="",,SUMIFS(PerBase[Month 3],PerBase[exp_item],$H946,PerBase[company_name],$B946)*N421)</f>
        <v>0</v>
      </c>
      <c r="O946" s="652">
        <f>IF($B946="",,SUMIFS(PerBase[Month 4],PerBase[exp_item],$H946,PerBase[company_name],$B946)*O421)</f>
        <v>0</v>
      </c>
      <c r="P946" s="652">
        <f>IF($B946="",,SUMIFS(PerBase[Month 5],PerBase[exp_item],$H946,PerBase[company_name],$B946)*P421)</f>
        <v>0</v>
      </c>
      <c r="Q946" s="652">
        <f>IF($B946="",,SUMIFS(PerBase[Month 6],PerBase[exp_item],$H946,PerBase[company_name],$B946)*Q421)</f>
        <v>0</v>
      </c>
      <c r="R946" s="652">
        <f>IF($B946="",,SUMIFS(PerBase[Month 7],PerBase[exp_item],$H946,PerBase[company_name],$B946)*R421)</f>
        <v>0</v>
      </c>
      <c r="S946" s="652">
        <f>IF($B946="",,SUMIFS(PerBase[Month 8],PerBase[exp_item],$H946,PerBase[company_name],$B946)*S421)</f>
        <v>0</v>
      </c>
      <c r="T946" s="652">
        <f>IF($B946="",,SUMIFS(PerBase[Month 9],PerBase[exp_item],$H946,PerBase[company_name],$B946)*T421)</f>
        <v>0</v>
      </c>
      <c r="U946" s="652">
        <f>IF($B946="",,SUMIFS(PerBase[Month 10],PerBase[exp_item],$H946,PerBase[company_name],$B946)*U421)</f>
        <v>0</v>
      </c>
      <c r="V946" s="652">
        <f>IF($B946="",,SUMIFS(PerBase[Month 11],PerBase[exp_item],$H946,PerBase[company_name],$B946)*V421)</f>
        <v>0</v>
      </c>
      <c r="W946" s="652">
        <f>IF($B946="",,SUMIFS(PerBase[Month 12],PerBase[exp_item],$H946,PerBase[company_name],$B946)*W421)</f>
        <v>0</v>
      </c>
      <c r="X946" s="652">
        <f>IF($B946="",,SUMIFS(PerBase[Month 13],PerBase[exp_item],$H946,PerBase[company_name],$B946)*X421)</f>
        <v>0</v>
      </c>
      <c r="Y946" s="652">
        <f>IF($B946="",,SUMIFS(PerBase[Month 14],PerBase[exp_item],$H946,PerBase[company_name],$B946)*Y421)</f>
        <v>0</v>
      </c>
      <c r="Z946" s="652">
        <f>IF($B946="",,SUMIFS(PerBase[Month 15],PerBase[exp_item],$H946,PerBase[company_name],$B946)*Z421)</f>
        <v>0</v>
      </c>
      <c r="AA946" s="652">
        <f>IF($B946="",,SUMIFS(PerBase[Month 16],PerBase[exp_item],$H946,PerBase[company_name],$B946)*AA421)</f>
        <v>0</v>
      </c>
      <c r="AB946" s="652">
        <f>IF($B946="",,SUMIFS(PerBase[Month 17],PerBase[exp_item],$H946,PerBase[company_name],$B946)*AB421)</f>
        <v>0</v>
      </c>
      <c r="AC946" s="652">
        <f>IF($B946="",,SUMIFS(PerBase[Month 18],PerBase[exp_item],$H946,PerBase[company_name],$B946)*AC421)</f>
        <v>0</v>
      </c>
      <c r="AD946" s="652">
        <f>IF($B946="",,SUMIFS(PerBase[Month 19],PerBase[exp_item],$H946,PerBase[company_name],$B946)*AD421)</f>
        <v>0</v>
      </c>
      <c r="AE946" s="652">
        <f>IF($B946="",,SUMIFS(PerBase[Month 20],PerBase[exp_item],$H946,PerBase[company_name],$B946)*AE421)</f>
        <v>0</v>
      </c>
      <c r="AF946" s="652">
        <f>IF($B946="",,SUMIFS(PerBase[Month 21],PerBase[exp_item],$H946,PerBase[company_name],$B946)*AF421)</f>
        <v>0</v>
      </c>
      <c r="AG946" s="652">
        <f>IF($B946="",,SUMIFS(PerBase[Month 22],PerBase[exp_item],$H946,PerBase[company_name],$B946)*AG421)</f>
        <v>0</v>
      </c>
      <c r="AH946" s="652">
        <f>IF($B946="",,SUMIFS(PerBase[Month 23],PerBase[exp_item],$H946,PerBase[company_name],$B946)*AH421)</f>
        <v>0</v>
      </c>
      <c r="AI946" s="652">
        <f>IF($B946="",,SUMIFS(PerBase[Month 24],PerBase[exp_item],$H946,PerBase[company_name],$B946)*AI421)</f>
        <v>0</v>
      </c>
      <c r="AJ946" s="652">
        <f>IF($B946="",,SUMIFS(PerBase[Month 25],PerBase[exp_item],$H946,PerBase[company_name],$B946)*AJ421)</f>
        <v>0</v>
      </c>
      <c r="AK946" s="652">
        <f>IF($B946="",,SUMIFS(PerBase[Month 26],PerBase[exp_item],$H946,PerBase[company_name],$B946)*AK421)</f>
        <v>0</v>
      </c>
      <c r="AL946" s="652">
        <f>IF($B946="",,SUMIFS(PerBase[Month 27],PerBase[exp_item],$H946,PerBase[company_name],$B946)*AL421)</f>
        <v>0</v>
      </c>
      <c r="AM946" s="652">
        <f>IF($B946="",,SUMIFS(PerBase[Month 28],PerBase[exp_item],$H946,PerBase[company_name],$B946)*AM421)</f>
        <v>0</v>
      </c>
      <c r="AN946" s="652">
        <f>IF($B946="",,SUMIFS(PerBase[Month 29],PerBase[exp_item],$H946,PerBase[company_name],$B946)*AN421)</f>
        <v>0</v>
      </c>
      <c r="AO946" s="652">
        <f>IF($B946="",,SUMIFS(PerBase[Month 30],PerBase[exp_item],$H946,PerBase[company_name],$B946)*AO421)</f>
        <v>0</v>
      </c>
      <c r="AP946" s="652">
        <f>IF($B946="",,SUMIFS(PerBase[Month 31],PerBase[exp_item],$H946,PerBase[company_name],$B946)*AP421)</f>
        <v>0</v>
      </c>
      <c r="AQ946" s="652">
        <f>IF($B946="",,SUMIFS(PerBase[Month 32],PerBase[exp_item],$H946,PerBase[company_name],$B946)*AQ421)</f>
        <v>0</v>
      </c>
      <c r="AR946" s="652">
        <f>IF($B946="",,SUMIFS(PerBase[Month 33],PerBase[exp_item],$H946,PerBase[company_name],$B946)*AR421)</f>
        <v>0</v>
      </c>
      <c r="AS946" s="652">
        <f>IF($B946="",,SUMIFS(PerBase[Month 34],PerBase[exp_item],$H946,PerBase[company_name],$B946)*AS421)</f>
        <v>0</v>
      </c>
      <c r="AT946" s="652">
        <f>IF($B946="",,SUMIFS(PerBase[Month 35],PerBase[exp_item],$H946,PerBase[company_name],$B946)*AT421)</f>
        <v>0</v>
      </c>
      <c r="AU946" s="652">
        <f>IF($B946="",,SUMIFS(PerBase[Month 36],PerBase[exp_item],$H946,PerBase[company_name],$B946)*AU421)</f>
        <v>0</v>
      </c>
    </row>
    <row r="947" spans="2:47" x14ac:dyDescent="0.35">
      <c r="B947" t="str">
        <f t="shared" si="554"/>
        <v/>
      </c>
      <c r="C947" t="str">
        <f t="shared" ref="C947:G947" si="581">IF(C842="","",C842)</f>
        <v/>
      </c>
      <c r="D947" t="str">
        <f t="shared" si="581"/>
        <v/>
      </c>
      <c r="E947" t="str">
        <f t="shared" si="581"/>
        <v/>
      </c>
      <c r="F947" t="str">
        <f t="shared" si="581"/>
        <v/>
      </c>
      <c r="G947" t="str">
        <f t="shared" si="581"/>
        <v/>
      </c>
      <c r="H947" t="str">
        <f t="shared" si="553"/>
        <v/>
      </c>
      <c r="J947" t="str">
        <f>IF($H947="","",IF(VLOOKUP(H947,ExpItems[],2,0),H947&amp;" - "&amp;INDEX(DivisionMapping[category_code],MATCH($D947&amp;$C947,DivisionMapping[dept_bu],0)),H947))</f>
        <v/>
      </c>
      <c r="K947" t="str">
        <f t="shared" si="556"/>
        <v/>
      </c>
      <c r="L947" s="652">
        <f>IF($B947="",,SUMIFS(PerBase[Month 1],PerBase[exp_item],$H947,PerBase[company_name],$B947)*L422)</f>
        <v>0</v>
      </c>
      <c r="M947" s="652">
        <f>IF($B947="",,SUMIFS(PerBase[Month 2],PerBase[exp_item],$H947,PerBase[company_name],$B947)*M422)</f>
        <v>0</v>
      </c>
      <c r="N947" s="652">
        <f>IF($B947="",,SUMIFS(PerBase[Month 3],PerBase[exp_item],$H947,PerBase[company_name],$B947)*N422)</f>
        <v>0</v>
      </c>
      <c r="O947" s="652">
        <f>IF($B947="",,SUMIFS(PerBase[Month 4],PerBase[exp_item],$H947,PerBase[company_name],$B947)*O422)</f>
        <v>0</v>
      </c>
      <c r="P947" s="652">
        <f>IF($B947="",,SUMIFS(PerBase[Month 5],PerBase[exp_item],$H947,PerBase[company_name],$B947)*P422)</f>
        <v>0</v>
      </c>
      <c r="Q947" s="652">
        <f>IF($B947="",,SUMIFS(PerBase[Month 6],PerBase[exp_item],$H947,PerBase[company_name],$B947)*Q422)</f>
        <v>0</v>
      </c>
      <c r="R947" s="652">
        <f>IF($B947="",,SUMIFS(PerBase[Month 7],PerBase[exp_item],$H947,PerBase[company_name],$B947)*R422)</f>
        <v>0</v>
      </c>
      <c r="S947" s="652">
        <f>IF($B947="",,SUMIFS(PerBase[Month 8],PerBase[exp_item],$H947,PerBase[company_name],$B947)*S422)</f>
        <v>0</v>
      </c>
      <c r="T947" s="652">
        <f>IF($B947="",,SUMIFS(PerBase[Month 9],PerBase[exp_item],$H947,PerBase[company_name],$B947)*T422)</f>
        <v>0</v>
      </c>
      <c r="U947" s="652">
        <f>IF($B947="",,SUMIFS(PerBase[Month 10],PerBase[exp_item],$H947,PerBase[company_name],$B947)*U422)</f>
        <v>0</v>
      </c>
      <c r="V947" s="652">
        <f>IF($B947="",,SUMIFS(PerBase[Month 11],PerBase[exp_item],$H947,PerBase[company_name],$B947)*V422)</f>
        <v>0</v>
      </c>
      <c r="W947" s="652">
        <f>IF($B947="",,SUMIFS(PerBase[Month 12],PerBase[exp_item],$H947,PerBase[company_name],$B947)*W422)</f>
        <v>0</v>
      </c>
      <c r="X947" s="652">
        <f>IF($B947="",,SUMIFS(PerBase[Month 13],PerBase[exp_item],$H947,PerBase[company_name],$B947)*X422)</f>
        <v>0</v>
      </c>
      <c r="Y947" s="652">
        <f>IF($B947="",,SUMIFS(PerBase[Month 14],PerBase[exp_item],$H947,PerBase[company_name],$B947)*Y422)</f>
        <v>0</v>
      </c>
      <c r="Z947" s="652">
        <f>IF($B947="",,SUMIFS(PerBase[Month 15],PerBase[exp_item],$H947,PerBase[company_name],$B947)*Z422)</f>
        <v>0</v>
      </c>
      <c r="AA947" s="652">
        <f>IF($B947="",,SUMIFS(PerBase[Month 16],PerBase[exp_item],$H947,PerBase[company_name],$B947)*AA422)</f>
        <v>0</v>
      </c>
      <c r="AB947" s="652">
        <f>IF($B947="",,SUMIFS(PerBase[Month 17],PerBase[exp_item],$H947,PerBase[company_name],$B947)*AB422)</f>
        <v>0</v>
      </c>
      <c r="AC947" s="652">
        <f>IF($B947="",,SUMIFS(PerBase[Month 18],PerBase[exp_item],$H947,PerBase[company_name],$B947)*AC422)</f>
        <v>0</v>
      </c>
      <c r="AD947" s="652">
        <f>IF($B947="",,SUMIFS(PerBase[Month 19],PerBase[exp_item],$H947,PerBase[company_name],$B947)*AD422)</f>
        <v>0</v>
      </c>
      <c r="AE947" s="652">
        <f>IF($B947="",,SUMIFS(PerBase[Month 20],PerBase[exp_item],$H947,PerBase[company_name],$B947)*AE422)</f>
        <v>0</v>
      </c>
      <c r="AF947" s="652">
        <f>IF($B947="",,SUMIFS(PerBase[Month 21],PerBase[exp_item],$H947,PerBase[company_name],$B947)*AF422)</f>
        <v>0</v>
      </c>
      <c r="AG947" s="652">
        <f>IF($B947="",,SUMIFS(PerBase[Month 22],PerBase[exp_item],$H947,PerBase[company_name],$B947)*AG422)</f>
        <v>0</v>
      </c>
      <c r="AH947" s="652">
        <f>IF($B947="",,SUMIFS(PerBase[Month 23],PerBase[exp_item],$H947,PerBase[company_name],$B947)*AH422)</f>
        <v>0</v>
      </c>
      <c r="AI947" s="652">
        <f>IF($B947="",,SUMIFS(PerBase[Month 24],PerBase[exp_item],$H947,PerBase[company_name],$B947)*AI422)</f>
        <v>0</v>
      </c>
      <c r="AJ947" s="652">
        <f>IF($B947="",,SUMIFS(PerBase[Month 25],PerBase[exp_item],$H947,PerBase[company_name],$B947)*AJ422)</f>
        <v>0</v>
      </c>
      <c r="AK947" s="652">
        <f>IF($B947="",,SUMIFS(PerBase[Month 26],PerBase[exp_item],$H947,PerBase[company_name],$B947)*AK422)</f>
        <v>0</v>
      </c>
      <c r="AL947" s="652">
        <f>IF($B947="",,SUMIFS(PerBase[Month 27],PerBase[exp_item],$H947,PerBase[company_name],$B947)*AL422)</f>
        <v>0</v>
      </c>
      <c r="AM947" s="652">
        <f>IF($B947="",,SUMIFS(PerBase[Month 28],PerBase[exp_item],$H947,PerBase[company_name],$B947)*AM422)</f>
        <v>0</v>
      </c>
      <c r="AN947" s="652">
        <f>IF($B947="",,SUMIFS(PerBase[Month 29],PerBase[exp_item],$H947,PerBase[company_name],$B947)*AN422)</f>
        <v>0</v>
      </c>
      <c r="AO947" s="652">
        <f>IF($B947="",,SUMIFS(PerBase[Month 30],PerBase[exp_item],$H947,PerBase[company_name],$B947)*AO422)</f>
        <v>0</v>
      </c>
      <c r="AP947" s="652">
        <f>IF($B947="",,SUMIFS(PerBase[Month 31],PerBase[exp_item],$H947,PerBase[company_name],$B947)*AP422)</f>
        <v>0</v>
      </c>
      <c r="AQ947" s="652">
        <f>IF($B947="",,SUMIFS(PerBase[Month 32],PerBase[exp_item],$H947,PerBase[company_name],$B947)*AQ422)</f>
        <v>0</v>
      </c>
      <c r="AR947" s="652">
        <f>IF($B947="",,SUMIFS(PerBase[Month 33],PerBase[exp_item],$H947,PerBase[company_name],$B947)*AR422)</f>
        <v>0</v>
      </c>
      <c r="AS947" s="652">
        <f>IF($B947="",,SUMIFS(PerBase[Month 34],PerBase[exp_item],$H947,PerBase[company_name],$B947)*AS422)</f>
        <v>0</v>
      </c>
      <c r="AT947" s="652">
        <f>IF($B947="",,SUMIFS(PerBase[Month 35],PerBase[exp_item],$H947,PerBase[company_name],$B947)*AT422)</f>
        <v>0</v>
      </c>
      <c r="AU947" s="652">
        <f>IF($B947="",,SUMIFS(PerBase[Month 36],PerBase[exp_item],$H947,PerBase[company_name],$B947)*AU422)</f>
        <v>0</v>
      </c>
    </row>
    <row r="948" spans="2:47" x14ac:dyDescent="0.35">
      <c r="B948" t="str">
        <f t="shared" si="554"/>
        <v/>
      </c>
      <c r="C948" t="str">
        <f t="shared" ref="C948:G948" si="582">IF(C843="","",C843)</f>
        <v/>
      </c>
      <c r="D948" t="str">
        <f t="shared" si="582"/>
        <v/>
      </c>
      <c r="E948" t="str">
        <f t="shared" si="582"/>
        <v/>
      </c>
      <c r="F948" t="str">
        <f t="shared" si="582"/>
        <v/>
      </c>
      <c r="G948" t="str">
        <f t="shared" si="582"/>
        <v/>
      </c>
      <c r="H948" t="str">
        <f t="shared" si="553"/>
        <v/>
      </c>
      <c r="J948" t="str">
        <f>IF($H948="","",IF(VLOOKUP(H948,ExpItems[],2,0),H948&amp;" - "&amp;INDEX(DivisionMapping[category_code],MATCH($D948&amp;$C948,DivisionMapping[dept_bu],0)),H948))</f>
        <v/>
      </c>
      <c r="K948" t="str">
        <f t="shared" si="556"/>
        <v/>
      </c>
      <c r="L948" s="652">
        <f>IF($B948="",,SUMIFS(PerBase[Month 1],PerBase[exp_item],$H948,PerBase[company_name],$B948)*L423)</f>
        <v>0</v>
      </c>
      <c r="M948" s="652">
        <f>IF($B948="",,SUMIFS(PerBase[Month 2],PerBase[exp_item],$H948,PerBase[company_name],$B948)*M423)</f>
        <v>0</v>
      </c>
      <c r="N948" s="652">
        <f>IF($B948="",,SUMIFS(PerBase[Month 3],PerBase[exp_item],$H948,PerBase[company_name],$B948)*N423)</f>
        <v>0</v>
      </c>
      <c r="O948" s="652">
        <f>IF($B948="",,SUMIFS(PerBase[Month 4],PerBase[exp_item],$H948,PerBase[company_name],$B948)*O423)</f>
        <v>0</v>
      </c>
      <c r="P948" s="652">
        <f>IF($B948="",,SUMIFS(PerBase[Month 5],PerBase[exp_item],$H948,PerBase[company_name],$B948)*P423)</f>
        <v>0</v>
      </c>
      <c r="Q948" s="652">
        <f>IF($B948="",,SUMIFS(PerBase[Month 6],PerBase[exp_item],$H948,PerBase[company_name],$B948)*Q423)</f>
        <v>0</v>
      </c>
      <c r="R948" s="652">
        <f>IF($B948="",,SUMIFS(PerBase[Month 7],PerBase[exp_item],$H948,PerBase[company_name],$B948)*R423)</f>
        <v>0</v>
      </c>
      <c r="S948" s="652">
        <f>IF($B948="",,SUMIFS(PerBase[Month 8],PerBase[exp_item],$H948,PerBase[company_name],$B948)*S423)</f>
        <v>0</v>
      </c>
      <c r="T948" s="652">
        <f>IF($B948="",,SUMIFS(PerBase[Month 9],PerBase[exp_item],$H948,PerBase[company_name],$B948)*T423)</f>
        <v>0</v>
      </c>
      <c r="U948" s="652">
        <f>IF($B948="",,SUMIFS(PerBase[Month 10],PerBase[exp_item],$H948,PerBase[company_name],$B948)*U423)</f>
        <v>0</v>
      </c>
      <c r="V948" s="652">
        <f>IF($B948="",,SUMIFS(PerBase[Month 11],PerBase[exp_item],$H948,PerBase[company_name],$B948)*V423)</f>
        <v>0</v>
      </c>
      <c r="W948" s="652">
        <f>IF($B948="",,SUMIFS(PerBase[Month 12],PerBase[exp_item],$H948,PerBase[company_name],$B948)*W423)</f>
        <v>0</v>
      </c>
      <c r="X948" s="652">
        <f>IF($B948="",,SUMIFS(PerBase[Month 13],PerBase[exp_item],$H948,PerBase[company_name],$B948)*X423)</f>
        <v>0</v>
      </c>
      <c r="Y948" s="652">
        <f>IF($B948="",,SUMIFS(PerBase[Month 14],PerBase[exp_item],$H948,PerBase[company_name],$B948)*Y423)</f>
        <v>0</v>
      </c>
      <c r="Z948" s="652">
        <f>IF($B948="",,SUMIFS(PerBase[Month 15],PerBase[exp_item],$H948,PerBase[company_name],$B948)*Z423)</f>
        <v>0</v>
      </c>
      <c r="AA948" s="652">
        <f>IF($B948="",,SUMIFS(PerBase[Month 16],PerBase[exp_item],$H948,PerBase[company_name],$B948)*AA423)</f>
        <v>0</v>
      </c>
      <c r="AB948" s="652">
        <f>IF($B948="",,SUMIFS(PerBase[Month 17],PerBase[exp_item],$H948,PerBase[company_name],$B948)*AB423)</f>
        <v>0</v>
      </c>
      <c r="AC948" s="652">
        <f>IF($B948="",,SUMIFS(PerBase[Month 18],PerBase[exp_item],$H948,PerBase[company_name],$B948)*AC423)</f>
        <v>0</v>
      </c>
      <c r="AD948" s="652">
        <f>IF($B948="",,SUMIFS(PerBase[Month 19],PerBase[exp_item],$H948,PerBase[company_name],$B948)*AD423)</f>
        <v>0</v>
      </c>
      <c r="AE948" s="652">
        <f>IF($B948="",,SUMIFS(PerBase[Month 20],PerBase[exp_item],$H948,PerBase[company_name],$B948)*AE423)</f>
        <v>0</v>
      </c>
      <c r="AF948" s="652">
        <f>IF($B948="",,SUMIFS(PerBase[Month 21],PerBase[exp_item],$H948,PerBase[company_name],$B948)*AF423)</f>
        <v>0</v>
      </c>
      <c r="AG948" s="652">
        <f>IF($B948="",,SUMIFS(PerBase[Month 22],PerBase[exp_item],$H948,PerBase[company_name],$B948)*AG423)</f>
        <v>0</v>
      </c>
      <c r="AH948" s="652">
        <f>IF($B948="",,SUMIFS(PerBase[Month 23],PerBase[exp_item],$H948,PerBase[company_name],$B948)*AH423)</f>
        <v>0</v>
      </c>
      <c r="AI948" s="652">
        <f>IF($B948="",,SUMIFS(PerBase[Month 24],PerBase[exp_item],$H948,PerBase[company_name],$B948)*AI423)</f>
        <v>0</v>
      </c>
      <c r="AJ948" s="652">
        <f>IF($B948="",,SUMIFS(PerBase[Month 25],PerBase[exp_item],$H948,PerBase[company_name],$B948)*AJ423)</f>
        <v>0</v>
      </c>
      <c r="AK948" s="652">
        <f>IF($B948="",,SUMIFS(PerBase[Month 26],PerBase[exp_item],$H948,PerBase[company_name],$B948)*AK423)</f>
        <v>0</v>
      </c>
      <c r="AL948" s="652">
        <f>IF($B948="",,SUMIFS(PerBase[Month 27],PerBase[exp_item],$H948,PerBase[company_name],$B948)*AL423)</f>
        <v>0</v>
      </c>
      <c r="AM948" s="652">
        <f>IF($B948="",,SUMIFS(PerBase[Month 28],PerBase[exp_item],$H948,PerBase[company_name],$B948)*AM423)</f>
        <v>0</v>
      </c>
      <c r="AN948" s="652">
        <f>IF($B948="",,SUMIFS(PerBase[Month 29],PerBase[exp_item],$H948,PerBase[company_name],$B948)*AN423)</f>
        <v>0</v>
      </c>
      <c r="AO948" s="652">
        <f>IF($B948="",,SUMIFS(PerBase[Month 30],PerBase[exp_item],$H948,PerBase[company_name],$B948)*AO423)</f>
        <v>0</v>
      </c>
      <c r="AP948" s="652">
        <f>IF($B948="",,SUMIFS(PerBase[Month 31],PerBase[exp_item],$H948,PerBase[company_name],$B948)*AP423)</f>
        <v>0</v>
      </c>
      <c r="AQ948" s="652">
        <f>IF($B948="",,SUMIFS(PerBase[Month 32],PerBase[exp_item],$H948,PerBase[company_name],$B948)*AQ423)</f>
        <v>0</v>
      </c>
      <c r="AR948" s="652">
        <f>IF($B948="",,SUMIFS(PerBase[Month 33],PerBase[exp_item],$H948,PerBase[company_name],$B948)*AR423)</f>
        <v>0</v>
      </c>
      <c r="AS948" s="652">
        <f>IF($B948="",,SUMIFS(PerBase[Month 34],PerBase[exp_item],$H948,PerBase[company_name],$B948)*AS423)</f>
        <v>0</v>
      </c>
      <c r="AT948" s="652">
        <f>IF($B948="",,SUMIFS(PerBase[Month 35],PerBase[exp_item],$H948,PerBase[company_name],$B948)*AT423)</f>
        <v>0</v>
      </c>
      <c r="AU948" s="652">
        <f>IF($B948="",,SUMIFS(PerBase[Month 36],PerBase[exp_item],$H948,PerBase[company_name],$B948)*AU423)</f>
        <v>0</v>
      </c>
    </row>
    <row r="949" spans="2:47" x14ac:dyDescent="0.35">
      <c r="B949" t="str">
        <f t="shared" si="554"/>
        <v/>
      </c>
      <c r="C949" t="str">
        <f t="shared" ref="C949:G949" si="583">IF(C844="","",C844)</f>
        <v/>
      </c>
      <c r="D949" t="str">
        <f t="shared" si="583"/>
        <v/>
      </c>
      <c r="E949" t="str">
        <f t="shared" si="583"/>
        <v/>
      </c>
      <c r="F949" t="str">
        <f t="shared" si="583"/>
        <v/>
      </c>
      <c r="G949" t="str">
        <f t="shared" si="583"/>
        <v/>
      </c>
      <c r="H949" t="str">
        <f t="shared" si="553"/>
        <v/>
      </c>
      <c r="J949" t="str">
        <f>IF($H949="","",IF(VLOOKUP(H949,ExpItems[],2,0),H949&amp;" - "&amp;INDEX(DivisionMapping[category_code],MATCH($D949&amp;$C949,DivisionMapping[dept_bu],0)),H949))</f>
        <v/>
      </c>
      <c r="K949" t="str">
        <f t="shared" si="556"/>
        <v/>
      </c>
      <c r="L949" s="652">
        <f>IF($B949="",,SUMIFS(PerBase[Month 1],PerBase[exp_item],$H949,PerBase[company_name],$B949)*L424)</f>
        <v>0</v>
      </c>
      <c r="M949" s="652">
        <f>IF($B949="",,SUMIFS(PerBase[Month 2],PerBase[exp_item],$H949,PerBase[company_name],$B949)*M424)</f>
        <v>0</v>
      </c>
      <c r="N949" s="652">
        <f>IF($B949="",,SUMIFS(PerBase[Month 3],PerBase[exp_item],$H949,PerBase[company_name],$B949)*N424)</f>
        <v>0</v>
      </c>
      <c r="O949" s="652">
        <f>IF($B949="",,SUMIFS(PerBase[Month 4],PerBase[exp_item],$H949,PerBase[company_name],$B949)*O424)</f>
        <v>0</v>
      </c>
      <c r="P949" s="652">
        <f>IF($B949="",,SUMIFS(PerBase[Month 5],PerBase[exp_item],$H949,PerBase[company_name],$B949)*P424)</f>
        <v>0</v>
      </c>
      <c r="Q949" s="652">
        <f>IF($B949="",,SUMIFS(PerBase[Month 6],PerBase[exp_item],$H949,PerBase[company_name],$B949)*Q424)</f>
        <v>0</v>
      </c>
      <c r="R949" s="652">
        <f>IF($B949="",,SUMIFS(PerBase[Month 7],PerBase[exp_item],$H949,PerBase[company_name],$B949)*R424)</f>
        <v>0</v>
      </c>
      <c r="S949" s="652">
        <f>IF($B949="",,SUMIFS(PerBase[Month 8],PerBase[exp_item],$H949,PerBase[company_name],$B949)*S424)</f>
        <v>0</v>
      </c>
      <c r="T949" s="652">
        <f>IF($B949="",,SUMIFS(PerBase[Month 9],PerBase[exp_item],$H949,PerBase[company_name],$B949)*T424)</f>
        <v>0</v>
      </c>
      <c r="U949" s="652">
        <f>IF($B949="",,SUMIFS(PerBase[Month 10],PerBase[exp_item],$H949,PerBase[company_name],$B949)*U424)</f>
        <v>0</v>
      </c>
      <c r="V949" s="652">
        <f>IF($B949="",,SUMIFS(PerBase[Month 11],PerBase[exp_item],$H949,PerBase[company_name],$B949)*V424)</f>
        <v>0</v>
      </c>
      <c r="W949" s="652">
        <f>IF($B949="",,SUMIFS(PerBase[Month 12],PerBase[exp_item],$H949,PerBase[company_name],$B949)*W424)</f>
        <v>0</v>
      </c>
      <c r="X949" s="652">
        <f>IF($B949="",,SUMIFS(PerBase[Month 13],PerBase[exp_item],$H949,PerBase[company_name],$B949)*X424)</f>
        <v>0</v>
      </c>
      <c r="Y949" s="652">
        <f>IF($B949="",,SUMIFS(PerBase[Month 14],PerBase[exp_item],$H949,PerBase[company_name],$B949)*Y424)</f>
        <v>0</v>
      </c>
      <c r="Z949" s="652">
        <f>IF($B949="",,SUMIFS(PerBase[Month 15],PerBase[exp_item],$H949,PerBase[company_name],$B949)*Z424)</f>
        <v>0</v>
      </c>
      <c r="AA949" s="652">
        <f>IF($B949="",,SUMIFS(PerBase[Month 16],PerBase[exp_item],$H949,PerBase[company_name],$B949)*AA424)</f>
        <v>0</v>
      </c>
      <c r="AB949" s="652">
        <f>IF($B949="",,SUMIFS(PerBase[Month 17],PerBase[exp_item],$H949,PerBase[company_name],$B949)*AB424)</f>
        <v>0</v>
      </c>
      <c r="AC949" s="652">
        <f>IF($B949="",,SUMIFS(PerBase[Month 18],PerBase[exp_item],$H949,PerBase[company_name],$B949)*AC424)</f>
        <v>0</v>
      </c>
      <c r="AD949" s="652">
        <f>IF($B949="",,SUMIFS(PerBase[Month 19],PerBase[exp_item],$H949,PerBase[company_name],$B949)*AD424)</f>
        <v>0</v>
      </c>
      <c r="AE949" s="652">
        <f>IF($B949="",,SUMIFS(PerBase[Month 20],PerBase[exp_item],$H949,PerBase[company_name],$B949)*AE424)</f>
        <v>0</v>
      </c>
      <c r="AF949" s="652">
        <f>IF($B949="",,SUMIFS(PerBase[Month 21],PerBase[exp_item],$H949,PerBase[company_name],$B949)*AF424)</f>
        <v>0</v>
      </c>
      <c r="AG949" s="652">
        <f>IF($B949="",,SUMIFS(PerBase[Month 22],PerBase[exp_item],$H949,PerBase[company_name],$B949)*AG424)</f>
        <v>0</v>
      </c>
      <c r="AH949" s="652">
        <f>IF($B949="",,SUMIFS(PerBase[Month 23],PerBase[exp_item],$H949,PerBase[company_name],$B949)*AH424)</f>
        <v>0</v>
      </c>
      <c r="AI949" s="652">
        <f>IF($B949="",,SUMIFS(PerBase[Month 24],PerBase[exp_item],$H949,PerBase[company_name],$B949)*AI424)</f>
        <v>0</v>
      </c>
      <c r="AJ949" s="652">
        <f>IF($B949="",,SUMIFS(PerBase[Month 25],PerBase[exp_item],$H949,PerBase[company_name],$B949)*AJ424)</f>
        <v>0</v>
      </c>
      <c r="AK949" s="652">
        <f>IF($B949="",,SUMIFS(PerBase[Month 26],PerBase[exp_item],$H949,PerBase[company_name],$B949)*AK424)</f>
        <v>0</v>
      </c>
      <c r="AL949" s="652">
        <f>IF($B949="",,SUMIFS(PerBase[Month 27],PerBase[exp_item],$H949,PerBase[company_name],$B949)*AL424)</f>
        <v>0</v>
      </c>
      <c r="AM949" s="652">
        <f>IF($B949="",,SUMIFS(PerBase[Month 28],PerBase[exp_item],$H949,PerBase[company_name],$B949)*AM424)</f>
        <v>0</v>
      </c>
      <c r="AN949" s="652">
        <f>IF($B949="",,SUMIFS(PerBase[Month 29],PerBase[exp_item],$H949,PerBase[company_name],$B949)*AN424)</f>
        <v>0</v>
      </c>
      <c r="AO949" s="652">
        <f>IF($B949="",,SUMIFS(PerBase[Month 30],PerBase[exp_item],$H949,PerBase[company_name],$B949)*AO424)</f>
        <v>0</v>
      </c>
      <c r="AP949" s="652">
        <f>IF($B949="",,SUMIFS(PerBase[Month 31],PerBase[exp_item],$H949,PerBase[company_name],$B949)*AP424)</f>
        <v>0</v>
      </c>
      <c r="AQ949" s="652">
        <f>IF($B949="",,SUMIFS(PerBase[Month 32],PerBase[exp_item],$H949,PerBase[company_name],$B949)*AQ424)</f>
        <v>0</v>
      </c>
      <c r="AR949" s="652">
        <f>IF($B949="",,SUMIFS(PerBase[Month 33],PerBase[exp_item],$H949,PerBase[company_name],$B949)*AR424)</f>
        <v>0</v>
      </c>
      <c r="AS949" s="652">
        <f>IF($B949="",,SUMIFS(PerBase[Month 34],PerBase[exp_item],$H949,PerBase[company_name],$B949)*AS424)</f>
        <v>0</v>
      </c>
      <c r="AT949" s="652">
        <f>IF($B949="",,SUMIFS(PerBase[Month 35],PerBase[exp_item],$H949,PerBase[company_name],$B949)*AT424)</f>
        <v>0</v>
      </c>
      <c r="AU949" s="652">
        <f>IF($B949="",,SUMIFS(PerBase[Month 36],PerBase[exp_item],$H949,PerBase[company_name],$B949)*AU424)</f>
        <v>0</v>
      </c>
    </row>
    <row r="950" spans="2:47" x14ac:dyDescent="0.35">
      <c r="B950" t="str">
        <f t="shared" si="554"/>
        <v/>
      </c>
      <c r="C950" t="str">
        <f t="shared" ref="C950:G950" si="584">IF(C845="","",C845)</f>
        <v/>
      </c>
      <c r="D950" t="str">
        <f t="shared" si="584"/>
        <v/>
      </c>
      <c r="E950" t="str">
        <f t="shared" si="584"/>
        <v/>
      </c>
      <c r="F950" t="str">
        <f t="shared" si="584"/>
        <v/>
      </c>
      <c r="G950" t="str">
        <f t="shared" si="584"/>
        <v/>
      </c>
      <c r="H950" t="str">
        <f t="shared" si="553"/>
        <v/>
      </c>
      <c r="J950" t="str">
        <f>IF($H950="","",IF(VLOOKUP(H950,ExpItems[],2,0),H950&amp;" - "&amp;INDEX(DivisionMapping[category_code],MATCH($D950&amp;$C950,DivisionMapping[dept_bu],0)),H950))</f>
        <v/>
      </c>
      <c r="K950" t="str">
        <f t="shared" si="556"/>
        <v/>
      </c>
      <c r="L950" s="652">
        <f>IF($B950="",,SUMIFS(PerBase[Month 1],PerBase[exp_item],$H950,PerBase[company_name],$B950)*L425)</f>
        <v>0</v>
      </c>
      <c r="M950" s="652">
        <f>IF($B950="",,SUMIFS(PerBase[Month 2],PerBase[exp_item],$H950,PerBase[company_name],$B950)*M425)</f>
        <v>0</v>
      </c>
      <c r="N950" s="652">
        <f>IF($B950="",,SUMIFS(PerBase[Month 3],PerBase[exp_item],$H950,PerBase[company_name],$B950)*N425)</f>
        <v>0</v>
      </c>
      <c r="O950" s="652">
        <f>IF($B950="",,SUMIFS(PerBase[Month 4],PerBase[exp_item],$H950,PerBase[company_name],$B950)*O425)</f>
        <v>0</v>
      </c>
      <c r="P950" s="652">
        <f>IF($B950="",,SUMIFS(PerBase[Month 5],PerBase[exp_item],$H950,PerBase[company_name],$B950)*P425)</f>
        <v>0</v>
      </c>
      <c r="Q950" s="652">
        <f>IF($B950="",,SUMIFS(PerBase[Month 6],PerBase[exp_item],$H950,PerBase[company_name],$B950)*Q425)</f>
        <v>0</v>
      </c>
      <c r="R950" s="652">
        <f>IF($B950="",,SUMIFS(PerBase[Month 7],PerBase[exp_item],$H950,PerBase[company_name],$B950)*R425)</f>
        <v>0</v>
      </c>
      <c r="S950" s="652">
        <f>IF($B950="",,SUMIFS(PerBase[Month 8],PerBase[exp_item],$H950,PerBase[company_name],$B950)*S425)</f>
        <v>0</v>
      </c>
      <c r="T950" s="652">
        <f>IF($B950="",,SUMIFS(PerBase[Month 9],PerBase[exp_item],$H950,PerBase[company_name],$B950)*T425)</f>
        <v>0</v>
      </c>
      <c r="U950" s="652">
        <f>IF($B950="",,SUMIFS(PerBase[Month 10],PerBase[exp_item],$H950,PerBase[company_name],$B950)*U425)</f>
        <v>0</v>
      </c>
      <c r="V950" s="652">
        <f>IF($B950="",,SUMIFS(PerBase[Month 11],PerBase[exp_item],$H950,PerBase[company_name],$B950)*V425)</f>
        <v>0</v>
      </c>
      <c r="W950" s="652">
        <f>IF($B950="",,SUMIFS(PerBase[Month 12],PerBase[exp_item],$H950,PerBase[company_name],$B950)*W425)</f>
        <v>0</v>
      </c>
      <c r="X950" s="652">
        <f>IF($B950="",,SUMIFS(PerBase[Month 13],PerBase[exp_item],$H950,PerBase[company_name],$B950)*X425)</f>
        <v>0</v>
      </c>
      <c r="Y950" s="652">
        <f>IF($B950="",,SUMIFS(PerBase[Month 14],PerBase[exp_item],$H950,PerBase[company_name],$B950)*Y425)</f>
        <v>0</v>
      </c>
      <c r="Z950" s="652">
        <f>IF($B950="",,SUMIFS(PerBase[Month 15],PerBase[exp_item],$H950,PerBase[company_name],$B950)*Z425)</f>
        <v>0</v>
      </c>
      <c r="AA950" s="652">
        <f>IF($B950="",,SUMIFS(PerBase[Month 16],PerBase[exp_item],$H950,PerBase[company_name],$B950)*AA425)</f>
        <v>0</v>
      </c>
      <c r="AB950" s="652">
        <f>IF($B950="",,SUMIFS(PerBase[Month 17],PerBase[exp_item],$H950,PerBase[company_name],$B950)*AB425)</f>
        <v>0</v>
      </c>
      <c r="AC950" s="652">
        <f>IF($B950="",,SUMIFS(PerBase[Month 18],PerBase[exp_item],$H950,PerBase[company_name],$B950)*AC425)</f>
        <v>0</v>
      </c>
      <c r="AD950" s="652">
        <f>IF($B950="",,SUMIFS(PerBase[Month 19],PerBase[exp_item],$H950,PerBase[company_name],$B950)*AD425)</f>
        <v>0</v>
      </c>
      <c r="AE950" s="652">
        <f>IF($B950="",,SUMIFS(PerBase[Month 20],PerBase[exp_item],$H950,PerBase[company_name],$B950)*AE425)</f>
        <v>0</v>
      </c>
      <c r="AF950" s="652">
        <f>IF($B950="",,SUMIFS(PerBase[Month 21],PerBase[exp_item],$H950,PerBase[company_name],$B950)*AF425)</f>
        <v>0</v>
      </c>
      <c r="AG950" s="652">
        <f>IF($B950="",,SUMIFS(PerBase[Month 22],PerBase[exp_item],$H950,PerBase[company_name],$B950)*AG425)</f>
        <v>0</v>
      </c>
      <c r="AH950" s="652">
        <f>IF($B950="",,SUMIFS(PerBase[Month 23],PerBase[exp_item],$H950,PerBase[company_name],$B950)*AH425)</f>
        <v>0</v>
      </c>
      <c r="AI950" s="652">
        <f>IF($B950="",,SUMIFS(PerBase[Month 24],PerBase[exp_item],$H950,PerBase[company_name],$B950)*AI425)</f>
        <v>0</v>
      </c>
      <c r="AJ950" s="652">
        <f>IF($B950="",,SUMIFS(PerBase[Month 25],PerBase[exp_item],$H950,PerBase[company_name],$B950)*AJ425)</f>
        <v>0</v>
      </c>
      <c r="AK950" s="652">
        <f>IF($B950="",,SUMIFS(PerBase[Month 26],PerBase[exp_item],$H950,PerBase[company_name],$B950)*AK425)</f>
        <v>0</v>
      </c>
      <c r="AL950" s="652">
        <f>IF($B950="",,SUMIFS(PerBase[Month 27],PerBase[exp_item],$H950,PerBase[company_name],$B950)*AL425)</f>
        <v>0</v>
      </c>
      <c r="AM950" s="652">
        <f>IF($B950="",,SUMIFS(PerBase[Month 28],PerBase[exp_item],$H950,PerBase[company_name],$B950)*AM425)</f>
        <v>0</v>
      </c>
      <c r="AN950" s="652">
        <f>IF($B950="",,SUMIFS(PerBase[Month 29],PerBase[exp_item],$H950,PerBase[company_name],$B950)*AN425)</f>
        <v>0</v>
      </c>
      <c r="AO950" s="652">
        <f>IF($B950="",,SUMIFS(PerBase[Month 30],PerBase[exp_item],$H950,PerBase[company_name],$B950)*AO425)</f>
        <v>0</v>
      </c>
      <c r="AP950" s="652">
        <f>IF($B950="",,SUMIFS(PerBase[Month 31],PerBase[exp_item],$H950,PerBase[company_name],$B950)*AP425)</f>
        <v>0</v>
      </c>
      <c r="AQ950" s="652">
        <f>IF($B950="",,SUMIFS(PerBase[Month 32],PerBase[exp_item],$H950,PerBase[company_name],$B950)*AQ425)</f>
        <v>0</v>
      </c>
      <c r="AR950" s="652">
        <f>IF($B950="",,SUMIFS(PerBase[Month 33],PerBase[exp_item],$H950,PerBase[company_name],$B950)*AR425)</f>
        <v>0</v>
      </c>
      <c r="AS950" s="652">
        <f>IF($B950="",,SUMIFS(PerBase[Month 34],PerBase[exp_item],$H950,PerBase[company_name],$B950)*AS425)</f>
        <v>0</v>
      </c>
      <c r="AT950" s="652">
        <f>IF($B950="",,SUMIFS(PerBase[Month 35],PerBase[exp_item],$H950,PerBase[company_name],$B950)*AT425)</f>
        <v>0</v>
      </c>
      <c r="AU950" s="652">
        <f>IF($B950="",,SUMIFS(PerBase[Month 36],PerBase[exp_item],$H950,PerBase[company_name],$B950)*AU425)</f>
        <v>0</v>
      </c>
    </row>
    <row r="951" spans="2:47" x14ac:dyDescent="0.35">
      <c r="B951" t="str">
        <f t="shared" si="554"/>
        <v/>
      </c>
      <c r="C951" t="str">
        <f t="shared" ref="C951:G951" si="585">IF(C846="","",C846)</f>
        <v/>
      </c>
      <c r="D951" t="str">
        <f t="shared" si="585"/>
        <v/>
      </c>
      <c r="E951" t="str">
        <f t="shared" si="585"/>
        <v/>
      </c>
      <c r="F951" t="str">
        <f t="shared" si="585"/>
        <v/>
      </c>
      <c r="G951" t="str">
        <f t="shared" si="585"/>
        <v/>
      </c>
      <c r="H951" t="str">
        <f t="shared" si="553"/>
        <v/>
      </c>
      <c r="J951" t="str">
        <f>IF($H951="","",IF(VLOOKUP(H951,ExpItems[],2,0),H951&amp;" - "&amp;INDEX(DivisionMapping[category_code],MATCH($D951&amp;$C951,DivisionMapping[dept_bu],0)),H951))</f>
        <v/>
      </c>
      <c r="K951" t="str">
        <f t="shared" si="556"/>
        <v/>
      </c>
      <c r="L951" s="652">
        <f>IF($B951="",,SUMIFS(PerBase[Month 1],PerBase[exp_item],$H951,PerBase[company_name],$B951)*L426)</f>
        <v>0</v>
      </c>
      <c r="M951" s="652">
        <f>IF($B951="",,SUMIFS(PerBase[Month 2],PerBase[exp_item],$H951,PerBase[company_name],$B951)*M426)</f>
        <v>0</v>
      </c>
      <c r="N951" s="652">
        <f>IF($B951="",,SUMIFS(PerBase[Month 3],PerBase[exp_item],$H951,PerBase[company_name],$B951)*N426)</f>
        <v>0</v>
      </c>
      <c r="O951" s="652">
        <f>IF($B951="",,SUMIFS(PerBase[Month 4],PerBase[exp_item],$H951,PerBase[company_name],$B951)*O426)</f>
        <v>0</v>
      </c>
      <c r="P951" s="652">
        <f>IF($B951="",,SUMIFS(PerBase[Month 5],PerBase[exp_item],$H951,PerBase[company_name],$B951)*P426)</f>
        <v>0</v>
      </c>
      <c r="Q951" s="652">
        <f>IF($B951="",,SUMIFS(PerBase[Month 6],PerBase[exp_item],$H951,PerBase[company_name],$B951)*Q426)</f>
        <v>0</v>
      </c>
      <c r="R951" s="652">
        <f>IF($B951="",,SUMIFS(PerBase[Month 7],PerBase[exp_item],$H951,PerBase[company_name],$B951)*R426)</f>
        <v>0</v>
      </c>
      <c r="S951" s="652">
        <f>IF($B951="",,SUMIFS(PerBase[Month 8],PerBase[exp_item],$H951,PerBase[company_name],$B951)*S426)</f>
        <v>0</v>
      </c>
      <c r="T951" s="652">
        <f>IF($B951="",,SUMIFS(PerBase[Month 9],PerBase[exp_item],$H951,PerBase[company_name],$B951)*T426)</f>
        <v>0</v>
      </c>
      <c r="U951" s="652">
        <f>IF($B951="",,SUMIFS(PerBase[Month 10],PerBase[exp_item],$H951,PerBase[company_name],$B951)*U426)</f>
        <v>0</v>
      </c>
      <c r="V951" s="652">
        <f>IF($B951="",,SUMIFS(PerBase[Month 11],PerBase[exp_item],$H951,PerBase[company_name],$B951)*V426)</f>
        <v>0</v>
      </c>
      <c r="W951" s="652">
        <f>IF($B951="",,SUMIFS(PerBase[Month 12],PerBase[exp_item],$H951,PerBase[company_name],$B951)*W426)</f>
        <v>0</v>
      </c>
      <c r="X951" s="652">
        <f>IF($B951="",,SUMIFS(PerBase[Month 13],PerBase[exp_item],$H951,PerBase[company_name],$B951)*X426)</f>
        <v>0</v>
      </c>
      <c r="Y951" s="652">
        <f>IF($B951="",,SUMIFS(PerBase[Month 14],PerBase[exp_item],$H951,PerBase[company_name],$B951)*Y426)</f>
        <v>0</v>
      </c>
      <c r="Z951" s="652">
        <f>IF($B951="",,SUMIFS(PerBase[Month 15],PerBase[exp_item],$H951,PerBase[company_name],$B951)*Z426)</f>
        <v>0</v>
      </c>
      <c r="AA951" s="652">
        <f>IF($B951="",,SUMIFS(PerBase[Month 16],PerBase[exp_item],$H951,PerBase[company_name],$B951)*AA426)</f>
        <v>0</v>
      </c>
      <c r="AB951" s="652">
        <f>IF($B951="",,SUMIFS(PerBase[Month 17],PerBase[exp_item],$H951,PerBase[company_name],$B951)*AB426)</f>
        <v>0</v>
      </c>
      <c r="AC951" s="652">
        <f>IF($B951="",,SUMIFS(PerBase[Month 18],PerBase[exp_item],$H951,PerBase[company_name],$B951)*AC426)</f>
        <v>0</v>
      </c>
      <c r="AD951" s="652">
        <f>IF($B951="",,SUMIFS(PerBase[Month 19],PerBase[exp_item],$H951,PerBase[company_name],$B951)*AD426)</f>
        <v>0</v>
      </c>
      <c r="AE951" s="652">
        <f>IF($B951="",,SUMIFS(PerBase[Month 20],PerBase[exp_item],$H951,PerBase[company_name],$B951)*AE426)</f>
        <v>0</v>
      </c>
      <c r="AF951" s="652">
        <f>IF($B951="",,SUMIFS(PerBase[Month 21],PerBase[exp_item],$H951,PerBase[company_name],$B951)*AF426)</f>
        <v>0</v>
      </c>
      <c r="AG951" s="652">
        <f>IF($B951="",,SUMIFS(PerBase[Month 22],PerBase[exp_item],$H951,PerBase[company_name],$B951)*AG426)</f>
        <v>0</v>
      </c>
      <c r="AH951" s="652">
        <f>IF($B951="",,SUMIFS(PerBase[Month 23],PerBase[exp_item],$H951,PerBase[company_name],$B951)*AH426)</f>
        <v>0</v>
      </c>
      <c r="AI951" s="652">
        <f>IF($B951="",,SUMIFS(PerBase[Month 24],PerBase[exp_item],$H951,PerBase[company_name],$B951)*AI426)</f>
        <v>0</v>
      </c>
      <c r="AJ951" s="652">
        <f>IF($B951="",,SUMIFS(PerBase[Month 25],PerBase[exp_item],$H951,PerBase[company_name],$B951)*AJ426)</f>
        <v>0</v>
      </c>
      <c r="AK951" s="652">
        <f>IF($B951="",,SUMIFS(PerBase[Month 26],PerBase[exp_item],$H951,PerBase[company_name],$B951)*AK426)</f>
        <v>0</v>
      </c>
      <c r="AL951" s="652">
        <f>IF($B951="",,SUMIFS(PerBase[Month 27],PerBase[exp_item],$H951,PerBase[company_name],$B951)*AL426)</f>
        <v>0</v>
      </c>
      <c r="AM951" s="652">
        <f>IF($B951="",,SUMIFS(PerBase[Month 28],PerBase[exp_item],$H951,PerBase[company_name],$B951)*AM426)</f>
        <v>0</v>
      </c>
      <c r="AN951" s="652">
        <f>IF($B951="",,SUMIFS(PerBase[Month 29],PerBase[exp_item],$H951,PerBase[company_name],$B951)*AN426)</f>
        <v>0</v>
      </c>
      <c r="AO951" s="652">
        <f>IF($B951="",,SUMIFS(PerBase[Month 30],PerBase[exp_item],$H951,PerBase[company_name],$B951)*AO426)</f>
        <v>0</v>
      </c>
      <c r="AP951" s="652">
        <f>IF($B951="",,SUMIFS(PerBase[Month 31],PerBase[exp_item],$H951,PerBase[company_name],$B951)*AP426)</f>
        <v>0</v>
      </c>
      <c r="AQ951" s="652">
        <f>IF($B951="",,SUMIFS(PerBase[Month 32],PerBase[exp_item],$H951,PerBase[company_name],$B951)*AQ426)</f>
        <v>0</v>
      </c>
      <c r="AR951" s="652">
        <f>IF($B951="",,SUMIFS(PerBase[Month 33],PerBase[exp_item],$H951,PerBase[company_name],$B951)*AR426)</f>
        <v>0</v>
      </c>
      <c r="AS951" s="652">
        <f>IF($B951="",,SUMIFS(PerBase[Month 34],PerBase[exp_item],$H951,PerBase[company_name],$B951)*AS426)</f>
        <v>0</v>
      </c>
      <c r="AT951" s="652">
        <f>IF($B951="",,SUMIFS(PerBase[Month 35],PerBase[exp_item],$H951,PerBase[company_name],$B951)*AT426)</f>
        <v>0</v>
      </c>
      <c r="AU951" s="652">
        <f>IF($B951="",,SUMIFS(PerBase[Month 36],PerBase[exp_item],$H951,PerBase[company_name],$B951)*AU426)</f>
        <v>0</v>
      </c>
    </row>
    <row r="952" spans="2:47" x14ac:dyDescent="0.35">
      <c r="B952" t="str">
        <f t="shared" si="554"/>
        <v/>
      </c>
      <c r="C952" t="str">
        <f t="shared" ref="C952:G952" si="586">IF(C847="","",C847)</f>
        <v/>
      </c>
      <c r="D952" t="str">
        <f t="shared" si="586"/>
        <v/>
      </c>
      <c r="E952" t="str">
        <f t="shared" si="586"/>
        <v/>
      </c>
      <c r="F952" t="str">
        <f t="shared" si="586"/>
        <v/>
      </c>
      <c r="G952" t="str">
        <f t="shared" si="586"/>
        <v/>
      </c>
      <c r="H952" t="str">
        <f t="shared" si="553"/>
        <v/>
      </c>
      <c r="J952" t="str">
        <f>IF($H952="","",IF(VLOOKUP(H952,ExpItems[],2,0),H952&amp;" - "&amp;INDEX(DivisionMapping[category_code],MATCH($D952&amp;$C952,DivisionMapping[dept_bu],0)),H952))</f>
        <v/>
      </c>
      <c r="K952" t="str">
        <f t="shared" si="556"/>
        <v/>
      </c>
      <c r="L952" s="652">
        <f>IF($B952="",,SUMIFS(PerBase[Month 1],PerBase[exp_item],$H952,PerBase[company_name],$B952)*L427)</f>
        <v>0</v>
      </c>
      <c r="M952" s="652">
        <f>IF($B952="",,SUMIFS(PerBase[Month 2],PerBase[exp_item],$H952,PerBase[company_name],$B952)*M427)</f>
        <v>0</v>
      </c>
      <c r="N952" s="652">
        <f>IF($B952="",,SUMIFS(PerBase[Month 3],PerBase[exp_item],$H952,PerBase[company_name],$B952)*N427)</f>
        <v>0</v>
      </c>
      <c r="O952" s="652">
        <f>IF($B952="",,SUMIFS(PerBase[Month 4],PerBase[exp_item],$H952,PerBase[company_name],$B952)*O427)</f>
        <v>0</v>
      </c>
      <c r="P952" s="652">
        <f>IF($B952="",,SUMIFS(PerBase[Month 5],PerBase[exp_item],$H952,PerBase[company_name],$B952)*P427)</f>
        <v>0</v>
      </c>
      <c r="Q952" s="652">
        <f>IF($B952="",,SUMIFS(PerBase[Month 6],PerBase[exp_item],$H952,PerBase[company_name],$B952)*Q427)</f>
        <v>0</v>
      </c>
      <c r="R952" s="652">
        <f>IF($B952="",,SUMIFS(PerBase[Month 7],PerBase[exp_item],$H952,PerBase[company_name],$B952)*R427)</f>
        <v>0</v>
      </c>
      <c r="S952" s="652">
        <f>IF($B952="",,SUMIFS(PerBase[Month 8],PerBase[exp_item],$H952,PerBase[company_name],$B952)*S427)</f>
        <v>0</v>
      </c>
      <c r="T952" s="652">
        <f>IF($B952="",,SUMIFS(PerBase[Month 9],PerBase[exp_item],$H952,PerBase[company_name],$B952)*T427)</f>
        <v>0</v>
      </c>
      <c r="U952" s="652">
        <f>IF($B952="",,SUMIFS(PerBase[Month 10],PerBase[exp_item],$H952,PerBase[company_name],$B952)*U427)</f>
        <v>0</v>
      </c>
      <c r="V952" s="652">
        <f>IF($B952="",,SUMIFS(PerBase[Month 11],PerBase[exp_item],$H952,PerBase[company_name],$B952)*V427)</f>
        <v>0</v>
      </c>
      <c r="W952" s="652">
        <f>IF($B952="",,SUMIFS(PerBase[Month 12],PerBase[exp_item],$H952,PerBase[company_name],$B952)*W427)</f>
        <v>0</v>
      </c>
      <c r="X952" s="652">
        <f>IF($B952="",,SUMIFS(PerBase[Month 13],PerBase[exp_item],$H952,PerBase[company_name],$B952)*X427)</f>
        <v>0</v>
      </c>
      <c r="Y952" s="652">
        <f>IF($B952="",,SUMIFS(PerBase[Month 14],PerBase[exp_item],$H952,PerBase[company_name],$B952)*Y427)</f>
        <v>0</v>
      </c>
      <c r="Z952" s="652">
        <f>IF($B952="",,SUMIFS(PerBase[Month 15],PerBase[exp_item],$H952,PerBase[company_name],$B952)*Z427)</f>
        <v>0</v>
      </c>
      <c r="AA952" s="652">
        <f>IF($B952="",,SUMIFS(PerBase[Month 16],PerBase[exp_item],$H952,PerBase[company_name],$B952)*AA427)</f>
        <v>0</v>
      </c>
      <c r="AB952" s="652">
        <f>IF($B952="",,SUMIFS(PerBase[Month 17],PerBase[exp_item],$H952,PerBase[company_name],$B952)*AB427)</f>
        <v>0</v>
      </c>
      <c r="AC952" s="652">
        <f>IF($B952="",,SUMIFS(PerBase[Month 18],PerBase[exp_item],$H952,PerBase[company_name],$B952)*AC427)</f>
        <v>0</v>
      </c>
      <c r="AD952" s="652">
        <f>IF($B952="",,SUMIFS(PerBase[Month 19],PerBase[exp_item],$H952,PerBase[company_name],$B952)*AD427)</f>
        <v>0</v>
      </c>
      <c r="AE952" s="652">
        <f>IF($B952="",,SUMIFS(PerBase[Month 20],PerBase[exp_item],$H952,PerBase[company_name],$B952)*AE427)</f>
        <v>0</v>
      </c>
      <c r="AF952" s="652">
        <f>IF($B952="",,SUMIFS(PerBase[Month 21],PerBase[exp_item],$H952,PerBase[company_name],$B952)*AF427)</f>
        <v>0</v>
      </c>
      <c r="AG952" s="652">
        <f>IF($B952="",,SUMIFS(PerBase[Month 22],PerBase[exp_item],$H952,PerBase[company_name],$B952)*AG427)</f>
        <v>0</v>
      </c>
      <c r="AH952" s="652">
        <f>IF($B952="",,SUMIFS(PerBase[Month 23],PerBase[exp_item],$H952,PerBase[company_name],$B952)*AH427)</f>
        <v>0</v>
      </c>
      <c r="AI952" s="652">
        <f>IF($B952="",,SUMIFS(PerBase[Month 24],PerBase[exp_item],$H952,PerBase[company_name],$B952)*AI427)</f>
        <v>0</v>
      </c>
      <c r="AJ952" s="652">
        <f>IF($B952="",,SUMIFS(PerBase[Month 25],PerBase[exp_item],$H952,PerBase[company_name],$B952)*AJ427)</f>
        <v>0</v>
      </c>
      <c r="AK952" s="652">
        <f>IF($B952="",,SUMIFS(PerBase[Month 26],PerBase[exp_item],$H952,PerBase[company_name],$B952)*AK427)</f>
        <v>0</v>
      </c>
      <c r="AL952" s="652">
        <f>IF($B952="",,SUMIFS(PerBase[Month 27],PerBase[exp_item],$H952,PerBase[company_name],$B952)*AL427)</f>
        <v>0</v>
      </c>
      <c r="AM952" s="652">
        <f>IF($B952="",,SUMIFS(PerBase[Month 28],PerBase[exp_item],$H952,PerBase[company_name],$B952)*AM427)</f>
        <v>0</v>
      </c>
      <c r="AN952" s="652">
        <f>IF($B952="",,SUMIFS(PerBase[Month 29],PerBase[exp_item],$H952,PerBase[company_name],$B952)*AN427)</f>
        <v>0</v>
      </c>
      <c r="AO952" s="652">
        <f>IF($B952="",,SUMIFS(PerBase[Month 30],PerBase[exp_item],$H952,PerBase[company_name],$B952)*AO427)</f>
        <v>0</v>
      </c>
      <c r="AP952" s="652">
        <f>IF($B952="",,SUMIFS(PerBase[Month 31],PerBase[exp_item],$H952,PerBase[company_name],$B952)*AP427)</f>
        <v>0</v>
      </c>
      <c r="AQ952" s="652">
        <f>IF($B952="",,SUMIFS(PerBase[Month 32],PerBase[exp_item],$H952,PerBase[company_name],$B952)*AQ427)</f>
        <v>0</v>
      </c>
      <c r="AR952" s="652">
        <f>IF($B952="",,SUMIFS(PerBase[Month 33],PerBase[exp_item],$H952,PerBase[company_name],$B952)*AR427)</f>
        <v>0</v>
      </c>
      <c r="AS952" s="652">
        <f>IF($B952="",,SUMIFS(PerBase[Month 34],PerBase[exp_item],$H952,PerBase[company_name],$B952)*AS427)</f>
        <v>0</v>
      </c>
      <c r="AT952" s="652">
        <f>IF($B952="",,SUMIFS(PerBase[Month 35],PerBase[exp_item],$H952,PerBase[company_name],$B952)*AT427)</f>
        <v>0</v>
      </c>
      <c r="AU952" s="652">
        <f>IF($B952="",,SUMIFS(PerBase[Month 36],PerBase[exp_item],$H952,PerBase[company_name],$B952)*AU427)</f>
        <v>0</v>
      </c>
    </row>
    <row r="953" spans="2:47" x14ac:dyDescent="0.35">
      <c r="B953" t="str">
        <f t="shared" si="554"/>
        <v/>
      </c>
      <c r="C953" t="str">
        <f t="shared" ref="C953:G953" si="587">IF(C848="","",C848)</f>
        <v/>
      </c>
      <c r="D953" t="str">
        <f t="shared" si="587"/>
        <v/>
      </c>
      <c r="E953" t="str">
        <f t="shared" si="587"/>
        <v/>
      </c>
      <c r="F953" t="str">
        <f t="shared" si="587"/>
        <v/>
      </c>
      <c r="G953" t="str">
        <f t="shared" si="587"/>
        <v/>
      </c>
      <c r="H953" t="str">
        <f t="shared" ref="H953:H984" si="588">IF(B953="","",$B$920)</f>
        <v/>
      </c>
      <c r="J953" t="str">
        <f>IF($H953="","",IF(VLOOKUP(H953,ExpItems[],2,0),H953&amp;" - "&amp;INDEX(DivisionMapping[category_code],MATCH($D953&amp;$C953,DivisionMapping[dept_bu],0)),H953))</f>
        <v/>
      </c>
      <c r="K953" t="str">
        <f t="shared" si="556"/>
        <v/>
      </c>
      <c r="L953" s="652">
        <f>IF($B953="",,SUMIFS(PerBase[Month 1],PerBase[exp_item],$H953,PerBase[company_name],$B953)*L428)</f>
        <v>0</v>
      </c>
      <c r="M953" s="652">
        <f>IF($B953="",,SUMIFS(PerBase[Month 2],PerBase[exp_item],$H953,PerBase[company_name],$B953)*M428)</f>
        <v>0</v>
      </c>
      <c r="N953" s="652">
        <f>IF($B953="",,SUMIFS(PerBase[Month 3],PerBase[exp_item],$H953,PerBase[company_name],$B953)*N428)</f>
        <v>0</v>
      </c>
      <c r="O953" s="652">
        <f>IF($B953="",,SUMIFS(PerBase[Month 4],PerBase[exp_item],$H953,PerBase[company_name],$B953)*O428)</f>
        <v>0</v>
      </c>
      <c r="P953" s="652">
        <f>IF($B953="",,SUMIFS(PerBase[Month 5],PerBase[exp_item],$H953,PerBase[company_name],$B953)*P428)</f>
        <v>0</v>
      </c>
      <c r="Q953" s="652">
        <f>IF($B953="",,SUMIFS(PerBase[Month 6],PerBase[exp_item],$H953,PerBase[company_name],$B953)*Q428)</f>
        <v>0</v>
      </c>
      <c r="R953" s="652">
        <f>IF($B953="",,SUMIFS(PerBase[Month 7],PerBase[exp_item],$H953,PerBase[company_name],$B953)*R428)</f>
        <v>0</v>
      </c>
      <c r="S953" s="652">
        <f>IF($B953="",,SUMIFS(PerBase[Month 8],PerBase[exp_item],$H953,PerBase[company_name],$B953)*S428)</f>
        <v>0</v>
      </c>
      <c r="T953" s="652">
        <f>IF($B953="",,SUMIFS(PerBase[Month 9],PerBase[exp_item],$H953,PerBase[company_name],$B953)*T428)</f>
        <v>0</v>
      </c>
      <c r="U953" s="652">
        <f>IF($B953="",,SUMIFS(PerBase[Month 10],PerBase[exp_item],$H953,PerBase[company_name],$B953)*U428)</f>
        <v>0</v>
      </c>
      <c r="V953" s="652">
        <f>IF($B953="",,SUMIFS(PerBase[Month 11],PerBase[exp_item],$H953,PerBase[company_name],$B953)*V428)</f>
        <v>0</v>
      </c>
      <c r="W953" s="652">
        <f>IF($B953="",,SUMIFS(PerBase[Month 12],PerBase[exp_item],$H953,PerBase[company_name],$B953)*W428)</f>
        <v>0</v>
      </c>
      <c r="X953" s="652">
        <f>IF($B953="",,SUMIFS(PerBase[Month 13],PerBase[exp_item],$H953,PerBase[company_name],$B953)*X428)</f>
        <v>0</v>
      </c>
      <c r="Y953" s="652">
        <f>IF($B953="",,SUMIFS(PerBase[Month 14],PerBase[exp_item],$H953,PerBase[company_name],$B953)*Y428)</f>
        <v>0</v>
      </c>
      <c r="Z953" s="652">
        <f>IF($B953="",,SUMIFS(PerBase[Month 15],PerBase[exp_item],$H953,PerBase[company_name],$B953)*Z428)</f>
        <v>0</v>
      </c>
      <c r="AA953" s="652">
        <f>IF($B953="",,SUMIFS(PerBase[Month 16],PerBase[exp_item],$H953,PerBase[company_name],$B953)*AA428)</f>
        <v>0</v>
      </c>
      <c r="AB953" s="652">
        <f>IF($B953="",,SUMIFS(PerBase[Month 17],PerBase[exp_item],$H953,PerBase[company_name],$B953)*AB428)</f>
        <v>0</v>
      </c>
      <c r="AC953" s="652">
        <f>IF($B953="",,SUMIFS(PerBase[Month 18],PerBase[exp_item],$H953,PerBase[company_name],$B953)*AC428)</f>
        <v>0</v>
      </c>
      <c r="AD953" s="652">
        <f>IF($B953="",,SUMIFS(PerBase[Month 19],PerBase[exp_item],$H953,PerBase[company_name],$B953)*AD428)</f>
        <v>0</v>
      </c>
      <c r="AE953" s="652">
        <f>IF($B953="",,SUMIFS(PerBase[Month 20],PerBase[exp_item],$H953,PerBase[company_name],$B953)*AE428)</f>
        <v>0</v>
      </c>
      <c r="AF953" s="652">
        <f>IF($B953="",,SUMIFS(PerBase[Month 21],PerBase[exp_item],$H953,PerBase[company_name],$B953)*AF428)</f>
        <v>0</v>
      </c>
      <c r="AG953" s="652">
        <f>IF($B953="",,SUMIFS(PerBase[Month 22],PerBase[exp_item],$H953,PerBase[company_name],$B953)*AG428)</f>
        <v>0</v>
      </c>
      <c r="AH953" s="652">
        <f>IF($B953="",,SUMIFS(PerBase[Month 23],PerBase[exp_item],$H953,PerBase[company_name],$B953)*AH428)</f>
        <v>0</v>
      </c>
      <c r="AI953" s="652">
        <f>IF($B953="",,SUMIFS(PerBase[Month 24],PerBase[exp_item],$H953,PerBase[company_name],$B953)*AI428)</f>
        <v>0</v>
      </c>
      <c r="AJ953" s="652">
        <f>IF($B953="",,SUMIFS(PerBase[Month 25],PerBase[exp_item],$H953,PerBase[company_name],$B953)*AJ428)</f>
        <v>0</v>
      </c>
      <c r="AK953" s="652">
        <f>IF($B953="",,SUMIFS(PerBase[Month 26],PerBase[exp_item],$H953,PerBase[company_name],$B953)*AK428)</f>
        <v>0</v>
      </c>
      <c r="AL953" s="652">
        <f>IF($B953="",,SUMIFS(PerBase[Month 27],PerBase[exp_item],$H953,PerBase[company_name],$B953)*AL428)</f>
        <v>0</v>
      </c>
      <c r="AM953" s="652">
        <f>IF($B953="",,SUMIFS(PerBase[Month 28],PerBase[exp_item],$H953,PerBase[company_name],$B953)*AM428)</f>
        <v>0</v>
      </c>
      <c r="AN953" s="652">
        <f>IF($B953="",,SUMIFS(PerBase[Month 29],PerBase[exp_item],$H953,PerBase[company_name],$B953)*AN428)</f>
        <v>0</v>
      </c>
      <c r="AO953" s="652">
        <f>IF($B953="",,SUMIFS(PerBase[Month 30],PerBase[exp_item],$H953,PerBase[company_name],$B953)*AO428)</f>
        <v>0</v>
      </c>
      <c r="AP953" s="652">
        <f>IF($B953="",,SUMIFS(PerBase[Month 31],PerBase[exp_item],$H953,PerBase[company_name],$B953)*AP428)</f>
        <v>0</v>
      </c>
      <c r="AQ953" s="652">
        <f>IF($B953="",,SUMIFS(PerBase[Month 32],PerBase[exp_item],$H953,PerBase[company_name],$B953)*AQ428)</f>
        <v>0</v>
      </c>
      <c r="AR953" s="652">
        <f>IF($B953="",,SUMIFS(PerBase[Month 33],PerBase[exp_item],$H953,PerBase[company_name],$B953)*AR428)</f>
        <v>0</v>
      </c>
      <c r="AS953" s="652">
        <f>IF($B953="",,SUMIFS(PerBase[Month 34],PerBase[exp_item],$H953,PerBase[company_name],$B953)*AS428)</f>
        <v>0</v>
      </c>
      <c r="AT953" s="652">
        <f>IF($B953="",,SUMIFS(PerBase[Month 35],PerBase[exp_item],$H953,PerBase[company_name],$B953)*AT428)</f>
        <v>0</v>
      </c>
      <c r="AU953" s="652">
        <f>IF($B953="",,SUMIFS(PerBase[Month 36],PerBase[exp_item],$H953,PerBase[company_name],$B953)*AU428)</f>
        <v>0</v>
      </c>
    </row>
    <row r="954" spans="2:47" x14ac:dyDescent="0.35">
      <c r="B954" t="str">
        <f t="shared" ref="B954:B985" si="589">IF(B849="","",B849)</f>
        <v/>
      </c>
      <c r="C954" t="str">
        <f t="shared" ref="C954:G954" si="590">IF(C849="","",C849)</f>
        <v/>
      </c>
      <c r="D954" t="str">
        <f t="shared" si="590"/>
        <v/>
      </c>
      <c r="E954" t="str">
        <f t="shared" si="590"/>
        <v/>
      </c>
      <c r="F954" t="str">
        <f t="shared" si="590"/>
        <v/>
      </c>
      <c r="G954" t="str">
        <f t="shared" si="590"/>
        <v/>
      </c>
      <c r="H954" t="str">
        <f t="shared" si="588"/>
        <v/>
      </c>
      <c r="J954" t="str">
        <f>IF($H954="","",IF(VLOOKUP(H954,ExpItems[],2,0),H954&amp;" - "&amp;INDEX(DivisionMapping[category_code],MATCH($D954&amp;$C954,DivisionMapping[dept_bu],0)),H954))</f>
        <v/>
      </c>
      <c r="K954" t="str">
        <f t="shared" si="556"/>
        <v/>
      </c>
      <c r="L954" s="652">
        <f>IF($B954="",,SUMIFS(PerBase[Month 1],PerBase[exp_item],$H954,PerBase[company_name],$B954)*L429)</f>
        <v>0</v>
      </c>
      <c r="M954" s="652">
        <f>IF($B954="",,SUMIFS(PerBase[Month 2],PerBase[exp_item],$H954,PerBase[company_name],$B954)*M429)</f>
        <v>0</v>
      </c>
      <c r="N954" s="652">
        <f>IF($B954="",,SUMIFS(PerBase[Month 3],PerBase[exp_item],$H954,PerBase[company_name],$B954)*N429)</f>
        <v>0</v>
      </c>
      <c r="O954" s="652">
        <f>IF($B954="",,SUMIFS(PerBase[Month 4],PerBase[exp_item],$H954,PerBase[company_name],$B954)*O429)</f>
        <v>0</v>
      </c>
      <c r="P954" s="652">
        <f>IF($B954="",,SUMIFS(PerBase[Month 5],PerBase[exp_item],$H954,PerBase[company_name],$B954)*P429)</f>
        <v>0</v>
      </c>
      <c r="Q954" s="652">
        <f>IF($B954="",,SUMIFS(PerBase[Month 6],PerBase[exp_item],$H954,PerBase[company_name],$B954)*Q429)</f>
        <v>0</v>
      </c>
      <c r="R954" s="652">
        <f>IF($B954="",,SUMIFS(PerBase[Month 7],PerBase[exp_item],$H954,PerBase[company_name],$B954)*R429)</f>
        <v>0</v>
      </c>
      <c r="S954" s="652">
        <f>IF($B954="",,SUMIFS(PerBase[Month 8],PerBase[exp_item],$H954,PerBase[company_name],$B954)*S429)</f>
        <v>0</v>
      </c>
      <c r="T954" s="652">
        <f>IF($B954="",,SUMIFS(PerBase[Month 9],PerBase[exp_item],$H954,PerBase[company_name],$B954)*T429)</f>
        <v>0</v>
      </c>
      <c r="U954" s="652">
        <f>IF($B954="",,SUMIFS(PerBase[Month 10],PerBase[exp_item],$H954,PerBase[company_name],$B954)*U429)</f>
        <v>0</v>
      </c>
      <c r="V954" s="652">
        <f>IF($B954="",,SUMIFS(PerBase[Month 11],PerBase[exp_item],$H954,PerBase[company_name],$B954)*V429)</f>
        <v>0</v>
      </c>
      <c r="W954" s="652">
        <f>IF($B954="",,SUMIFS(PerBase[Month 12],PerBase[exp_item],$H954,PerBase[company_name],$B954)*W429)</f>
        <v>0</v>
      </c>
      <c r="X954" s="652">
        <f>IF($B954="",,SUMIFS(PerBase[Month 13],PerBase[exp_item],$H954,PerBase[company_name],$B954)*X429)</f>
        <v>0</v>
      </c>
      <c r="Y954" s="652">
        <f>IF($B954="",,SUMIFS(PerBase[Month 14],PerBase[exp_item],$H954,PerBase[company_name],$B954)*Y429)</f>
        <v>0</v>
      </c>
      <c r="Z954" s="652">
        <f>IF($B954="",,SUMIFS(PerBase[Month 15],PerBase[exp_item],$H954,PerBase[company_name],$B954)*Z429)</f>
        <v>0</v>
      </c>
      <c r="AA954" s="652">
        <f>IF($B954="",,SUMIFS(PerBase[Month 16],PerBase[exp_item],$H954,PerBase[company_name],$B954)*AA429)</f>
        <v>0</v>
      </c>
      <c r="AB954" s="652">
        <f>IF($B954="",,SUMIFS(PerBase[Month 17],PerBase[exp_item],$H954,PerBase[company_name],$B954)*AB429)</f>
        <v>0</v>
      </c>
      <c r="AC954" s="652">
        <f>IF($B954="",,SUMIFS(PerBase[Month 18],PerBase[exp_item],$H954,PerBase[company_name],$B954)*AC429)</f>
        <v>0</v>
      </c>
      <c r="AD954" s="652">
        <f>IF($B954="",,SUMIFS(PerBase[Month 19],PerBase[exp_item],$H954,PerBase[company_name],$B954)*AD429)</f>
        <v>0</v>
      </c>
      <c r="AE954" s="652">
        <f>IF($B954="",,SUMIFS(PerBase[Month 20],PerBase[exp_item],$H954,PerBase[company_name],$B954)*AE429)</f>
        <v>0</v>
      </c>
      <c r="AF954" s="652">
        <f>IF($B954="",,SUMIFS(PerBase[Month 21],PerBase[exp_item],$H954,PerBase[company_name],$B954)*AF429)</f>
        <v>0</v>
      </c>
      <c r="AG954" s="652">
        <f>IF($B954="",,SUMIFS(PerBase[Month 22],PerBase[exp_item],$H954,PerBase[company_name],$B954)*AG429)</f>
        <v>0</v>
      </c>
      <c r="AH954" s="652">
        <f>IF($B954="",,SUMIFS(PerBase[Month 23],PerBase[exp_item],$H954,PerBase[company_name],$B954)*AH429)</f>
        <v>0</v>
      </c>
      <c r="AI954" s="652">
        <f>IF($B954="",,SUMIFS(PerBase[Month 24],PerBase[exp_item],$H954,PerBase[company_name],$B954)*AI429)</f>
        <v>0</v>
      </c>
      <c r="AJ954" s="652">
        <f>IF($B954="",,SUMIFS(PerBase[Month 25],PerBase[exp_item],$H954,PerBase[company_name],$B954)*AJ429)</f>
        <v>0</v>
      </c>
      <c r="AK954" s="652">
        <f>IF($B954="",,SUMIFS(PerBase[Month 26],PerBase[exp_item],$H954,PerBase[company_name],$B954)*AK429)</f>
        <v>0</v>
      </c>
      <c r="AL954" s="652">
        <f>IF($B954="",,SUMIFS(PerBase[Month 27],PerBase[exp_item],$H954,PerBase[company_name],$B954)*AL429)</f>
        <v>0</v>
      </c>
      <c r="AM954" s="652">
        <f>IF($B954="",,SUMIFS(PerBase[Month 28],PerBase[exp_item],$H954,PerBase[company_name],$B954)*AM429)</f>
        <v>0</v>
      </c>
      <c r="AN954" s="652">
        <f>IF($B954="",,SUMIFS(PerBase[Month 29],PerBase[exp_item],$H954,PerBase[company_name],$B954)*AN429)</f>
        <v>0</v>
      </c>
      <c r="AO954" s="652">
        <f>IF($B954="",,SUMIFS(PerBase[Month 30],PerBase[exp_item],$H954,PerBase[company_name],$B954)*AO429)</f>
        <v>0</v>
      </c>
      <c r="AP954" s="652">
        <f>IF($B954="",,SUMIFS(PerBase[Month 31],PerBase[exp_item],$H954,PerBase[company_name],$B954)*AP429)</f>
        <v>0</v>
      </c>
      <c r="AQ954" s="652">
        <f>IF($B954="",,SUMIFS(PerBase[Month 32],PerBase[exp_item],$H954,PerBase[company_name],$B954)*AQ429)</f>
        <v>0</v>
      </c>
      <c r="AR954" s="652">
        <f>IF($B954="",,SUMIFS(PerBase[Month 33],PerBase[exp_item],$H954,PerBase[company_name],$B954)*AR429)</f>
        <v>0</v>
      </c>
      <c r="AS954" s="652">
        <f>IF($B954="",,SUMIFS(PerBase[Month 34],PerBase[exp_item],$H954,PerBase[company_name],$B954)*AS429)</f>
        <v>0</v>
      </c>
      <c r="AT954" s="652">
        <f>IF($B954="",,SUMIFS(PerBase[Month 35],PerBase[exp_item],$H954,PerBase[company_name],$B954)*AT429)</f>
        <v>0</v>
      </c>
      <c r="AU954" s="652">
        <f>IF($B954="",,SUMIFS(PerBase[Month 36],PerBase[exp_item],$H954,PerBase[company_name],$B954)*AU429)</f>
        <v>0</v>
      </c>
    </row>
    <row r="955" spans="2:47" x14ac:dyDescent="0.35">
      <c r="B955" t="str">
        <f t="shared" si="589"/>
        <v/>
      </c>
      <c r="C955" t="str">
        <f t="shared" ref="C955:G955" si="591">IF(C850="","",C850)</f>
        <v/>
      </c>
      <c r="D955" t="str">
        <f t="shared" si="591"/>
        <v/>
      </c>
      <c r="E955" t="str">
        <f t="shared" si="591"/>
        <v/>
      </c>
      <c r="F955" t="str">
        <f t="shared" si="591"/>
        <v/>
      </c>
      <c r="G955" t="str">
        <f t="shared" si="591"/>
        <v/>
      </c>
      <c r="H955" t="str">
        <f t="shared" si="588"/>
        <v/>
      </c>
      <c r="J955" t="str">
        <f>IF($H955="","",IF(VLOOKUP(H955,ExpItems[],2,0),H955&amp;" - "&amp;INDEX(DivisionMapping[category_code],MATCH($D955&amp;$C955,DivisionMapping[dept_bu],0)),H955))</f>
        <v/>
      </c>
      <c r="K955" t="str">
        <f t="shared" si="556"/>
        <v/>
      </c>
      <c r="L955" s="652">
        <f>IF($B955="",,SUMIFS(PerBase[Month 1],PerBase[exp_item],$H955,PerBase[company_name],$B955)*L430)</f>
        <v>0</v>
      </c>
      <c r="M955" s="652">
        <f>IF($B955="",,SUMIFS(PerBase[Month 2],PerBase[exp_item],$H955,PerBase[company_name],$B955)*M430)</f>
        <v>0</v>
      </c>
      <c r="N955" s="652">
        <f>IF($B955="",,SUMIFS(PerBase[Month 3],PerBase[exp_item],$H955,PerBase[company_name],$B955)*N430)</f>
        <v>0</v>
      </c>
      <c r="O955" s="652">
        <f>IF($B955="",,SUMIFS(PerBase[Month 4],PerBase[exp_item],$H955,PerBase[company_name],$B955)*O430)</f>
        <v>0</v>
      </c>
      <c r="P955" s="652">
        <f>IF($B955="",,SUMIFS(PerBase[Month 5],PerBase[exp_item],$H955,PerBase[company_name],$B955)*P430)</f>
        <v>0</v>
      </c>
      <c r="Q955" s="652">
        <f>IF($B955="",,SUMIFS(PerBase[Month 6],PerBase[exp_item],$H955,PerBase[company_name],$B955)*Q430)</f>
        <v>0</v>
      </c>
      <c r="R955" s="652">
        <f>IF($B955="",,SUMIFS(PerBase[Month 7],PerBase[exp_item],$H955,PerBase[company_name],$B955)*R430)</f>
        <v>0</v>
      </c>
      <c r="S955" s="652">
        <f>IF($B955="",,SUMIFS(PerBase[Month 8],PerBase[exp_item],$H955,PerBase[company_name],$B955)*S430)</f>
        <v>0</v>
      </c>
      <c r="T955" s="652">
        <f>IF($B955="",,SUMIFS(PerBase[Month 9],PerBase[exp_item],$H955,PerBase[company_name],$B955)*T430)</f>
        <v>0</v>
      </c>
      <c r="U955" s="652">
        <f>IF($B955="",,SUMIFS(PerBase[Month 10],PerBase[exp_item],$H955,PerBase[company_name],$B955)*U430)</f>
        <v>0</v>
      </c>
      <c r="V955" s="652">
        <f>IF($B955="",,SUMIFS(PerBase[Month 11],PerBase[exp_item],$H955,PerBase[company_name],$B955)*V430)</f>
        <v>0</v>
      </c>
      <c r="W955" s="652">
        <f>IF($B955="",,SUMIFS(PerBase[Month 12],PerBase[exp_item],$H955,PerBase[company_name],$B955)*W430)</f>
        <v>0</v>
      </c>
      <c r="X955" s="652">
        <f>IF($B955="",,SUMIFS(PerBase[Month 13],PerBase[exp_item],$H955,PerBase[company_name],$B955)*X430)</f>
        <v>0</v>
      </c>
      <c r="Y955" s="652">
        <f>IF($B955="",,SUMIFS(PerBase[Month 14],PerBase[exp_item],$H955,PerBase[company_name],$B955)*Y430)</f>
        <v>0</v>
      </c>
      <c r="Z955" s="652">
        <f>IF($B955="",,SUMIFS(PerBase[Month 15],PerBase[exp_item],$H955,PerBase[company_name],$B955)*Z430)</f>
        <v>0</v>
      </c>
      <c r="AA955" s="652">
        <f>IF($B955="",,SUMIFS(PerBase[Month 16],PerBase[exp_item],$H955,PerBase[company_name],$B955)*AA430)</f>
        <v>0</v>
      </c>
      <c r="AB955" s="652">
        <f>IF($B955="",,SUMIFS(PerBase[Month 17],PerBase[exp_item],$H955,PerBase[company_name],$B955)*AB430)</f>
        <v>0</v>
      </c>
      <c r="AC955" s="652">
        <f>IF($B955="",,SUMIFS(PerBase[Month 18],PerBase[exp_item],$H955,PerBase[company_name],$B955)*AC430)</f>
        <v>0</v>
      </c>
      <c r="AD955" s="652">
        <f>IF($B955="",,SUMIFS(PerBase[Month 19],PerBase[exp_item],$H955,PerBase[company_name],$B955)*AD430)</f>
        <v>0</v>
      </c>
      <c r="AE955" s="652">
        <f>IF($B955="",,SUMIFS(PerBase[Month 20],PerBase[exp_item],$H955,PerBase[company_name],$B955)*AE430)</f>
        <v>0</v>
      </c>
      <c r="AF955" s="652">
        <f>IF($B955="",,SUMIFS(PerBase[Month 21],PerBase[exp_item],$H955,PerBase[company_name],$B955)*AF430)</f>
        <v>0</v>
      </c>
      <c r="AG955" s="652">
        <f>IF($B955="",,SUMIFS(PerBase[Month 22],PerBase[exp_item],$H955,PerBase[company_name],$B955)*AG430)</f>
        <v>0</v>
      </c>
      <c r="AH955" s="652">
        <f>IF($B955="",,SUMIFS(PerBase[Month 23],PerBase[exp_item],$H955,PerBase[company_name],$B955)*AH430)</f>
        <v>0</v>
      </c>
      <c r="AI955" s="652">
        <f>IF($B955="",,SUMIFS(PerBase[Month 24],PerBase[exp_item],$H955,PerBase[company_name],$B955)*AI430)</f>
        <v>0</v>
      </c>
      <c r="AJ955" s="652">
        <f>IF($B955="",,SUMIFS(PerBase[Month 25],PerBase[exp_item],$H955,PerBase[company_name],$B955)*AJ430)</f>
        <v>0</v>
      </c>
      <c r="AK955" s="652">
        <f>IF($B955="",,SUMIFS(PerBase[Month 26],PerBase[exp_item],$H955,PerBase[company_name],$B955)*AK430)</f>
        <v>0</v>
      </c>
      <c r="AL955" s="652">
        <f>IF($B955="",,SUMIFS(PerBase[Month 27],PerBase[exp_item],$H955,PerBase[company_name],$B955)*AL430)</f>
        <v>0</v>
      </c>
      <c r="AM955" s="652">
        <f>IF($B955="",,SUMIFS(PerBase[Month 28],PerBase[exp_item],$H955,PerBase[company_name],$B955)*AM430)</f>
        <v>0</v>
      </c>
      <c r="AN955" s="652">
        <f>IF($B955="",,SUMIFS(PerBase[Month 29],PerBase[exp_item],$H955,PerBase[company_name],$B955)*AN430)</f>
        <v>0</v>
      </c>
      <c r="AO955" s="652">
        <f>IF($B955="",,SUMIFS(PerBase[Month 30],PerBase[exp_item],$H955,PerBase[company_name],$B955)*AO430)</f>
        <v>0</v>
      </c>
      <c r="AP955" s="652">
        <f>IF($B955="",,SUMIFS(PerBase[Month 31],PerBase[exp_item],$H955,PerBase[company_name],$B955)*AP430)</f>
        <v>0</v>
      </c>
      <c r="AQ955" s="652">
        <f>IF($B955="",,SUMIFS(PerBase[Month 32],PerBase[exp_item],$H955,PerBase[company_name],$B955)*AQ430)</f>
        <v>0</v>
      </c>
      <c r="AR955" s="652">
        <f>IF($B955="",,SUMIFS(PerBase[Month 33],PerBase[exp_item],$H955,PerBase[company_name],$B955)*AR430)</f>
        <v>0</v>
      </c>
      <c r="AS955" s="652">
        <f>IF($B955="",,SUMIFS(PerBase[Month 34],PerBase[exp_item],$H955,PerBase[company_name],$B955)*AS430)</f>
        <v>0</v>
      </c>
      <c r="AT955" s="652">
        <f>IF($B955="",,SUMIFS(PerBase[Month 35],PerBase[exp_item],$H955,PerBase[company_name],$B955)*AT430)</f>
        <v>0</v>
      </c>
      <c r="AU955" s="652">
        <f>IF($B955="",,SUMIFS(PerBase[Month 36],PerBase[exp_item],$H955,PerBase[company_name],$B955)*AU430)</f>
        <v>0</v>
      </c>
    </row>
    <row r="956" spans="2:47" x14ac:dyDescent="0.35">
      <c r="B956" t="str">
        <f t="shared" si="589"/>
        <v/>
      </c>
      <c r="C956" t="str">
        <f t="shared" ref="C956:G956" si="592">IF(C851="","",C851)</f>
        <v/>
      </c>
      <c r="D956" t="str">
        <f t="shared" si="592"/>
        <v/>
      </c>
      <c r="E956" t="str">
        <f t="shared" si="592"/>
        <v/>
      </c>
      <c r="F956" t="str">
        <f t="shared" si="592"/>
        <v/>
      </c>
      <c r="G956" t="str">
        <f t="shared" si="592"/>
        <v/>
      </c>
      <c r="H956" t="str">
        <f t="shared" si="588"/>
        <v/>
      </c>
      <c r="J956" t="str">
        <f>IF($H956="","",IF(VLOOKUP(H956,ExpItems[],2,0),H956&amp;" - "&amp;INDEX(DivisionMapping[category_code],MATCH($D956&amp;$C956,DivisionMapping[dept_bu],0)),H956))</f>
        <v/>
      </c>
      <c r="K956" t="str">
        <f t="shared" si="556"/>
        <v/>
      </c>
      <c r="L956" s="652">
        <f>IF($B956="",,SUMIFS(PerBase[Month 1],PerBase[exp_item],$H956,PerBase[company_name],$B956)*L431)</f>
        <v>0</v>
      </c>
      <c r="M956" s="652">
        <f>IF($B956="",,SUMIFS(PerBase[Month 2],PerBase[exp_item],$H956,PerBase[company_name],$B956)*M431)</f>
        <v>0</v>
      </c>
      <c r="N956" s="652">
        <f>IF($B956="",,SUMIFS(PerBase[Month 3],PerBase[exp_item],$H956,PerBase[company_name],$B956)*N431)</f>
        <v>0</v>
      </c>
      <c r="O956" s="652">
        <f>IF($B956="",,SUMIFS(PerBase[Month 4],PerBase[exp_item],$H956,PerBase[company_name],$B956)*O431)</f>
        <v>0</v>
      </c>
      <c r="P956" s="652">
        <f>IF($B956="",,SUMIFS(PerBase[Month 5],PerBase[exp_item],$H956,PerBase[company_name],$B956)*P431)</f>
        <v>0</v>
      </c>
      <c r="Q956" s="652">
        <f>IF($B956="",,SUMIFS(PerBase[Month 6],PerBase[exp_item],$H956,PerBase[company_name],$B956)*Q431)</f>
        <v>0</v>
      </c>
      <c r="R956" s="652">
        <f>IF($B956="",,SUMIFS(PerBase[Month 7],PerBase[exp_item],$H956,PerBase[company_name],$B956)*R431)</f>
        <v>0</v>
      </c>
      <c r="S956" s="652">
        <f>IF($B956="",,SUMIFS(PerBase[Month 8],PerBase[exp_item],$H956,PerBase[company_name],$B956)*S431)</f>
        <v>0</v>
      </c>
      <c r="T956" s="652">
        <f>IF($B956="",,SUMIFS(PerBase[Month 9],PerBase[exp_item],$H956,PerBase[company_name],$B956)*T431)</f>
        <v>0</v>
      </c>
      <c r="U956" s="652">
        <f>IF($B956="",,SUMIFS(PerBase[Month 10],PerBase[exp_item],$H956,PerBase[company_name],$B956)*U431)</f>
        <v>0</v>
      </c>
      <c r="V956" s="652">
        <f>IF($B956="",,SUMIFS(PerBase[Month 11],PerBase[exp_item],$H956,PerBase[company_name],$B956)*V431)</f>
        <v>0</v>
      </c>
      <c r="W956" s="652">
        <f>IF($B956="",,SUMIFS(PerBase[Month 12],PerBase[exp_item],$H956,PerBase[company_name],$B956)*W431)</f>
        <v>0</v>
      </c>
      <c r="X956" s="652">
        <f>IF($B956="",,SUMIFS(PerBase[Month 13],PerBase[exp_item],$H956,PerBase[company_name],$B956)*X431)</f>
        <v>0</v>
      </c>
      <c r="Y956" s="652">
        <f>IF($B956="",,SUMIFS(PerBase[Month 14],PerBase[exp_item],$H956,PerBase[company_name],$B956)*Y431)</f>
        <v>0</v>
      </c>
      <c r="Z956" s="652">
        <f>IF($B956="",,SUMIFS(PerBase[Month 15],PerBase[exp_item],$H956,PerBase[company_name],$B956)*Z431)</f>
        <v>0</v>
      </c>
      <c r="AA956" s="652">
        <f>IF($B956="",,SUMIFS(PerBase[Month 16],PerBase[exp_item],$H956,PerBase[company_name],$B956)*AA431)</f>
        <v>0</v>
      </c>
      <c r="AB956" s="652">
        <f>IF($B956="",,SUMIFS(PerBase[Month 17],PerBase[exp_item],$H956,PerBase[company_name],$B956)*AB431)</f>
        <v>0</v>
      </c>
      <c r="AC956" s="652">
        <f>IF($B956="",,SUMIFS(PerBase[Month 18],PerBase[exp_item],$H956,PerBase[company_name],$B956)*AC431)</f>
        <v>0</v>
      </c>
      <c r="AD956" s="652">
        <f>IF($B956="",,SUMIFS(PerBase[Month 19],PerBase[exp_item],$H956,PerBase[company_name],$B956)*AD431)</f>
        <v>0</v>
      </c>
      <c r="AE956" s="652">
        <f>IF($B956="",,SUMIFS(PerBase[Month 20],PerBase[exp_item],$H956,PerBase[company_name],$B956)*AE431)</f>
        <v>0</v>
      </c>
      <c r="AF956" s="652">
        <f>IF($B956="",,SUMIFS(PerBase[Month 21],PerBase[exp_item],$H956,PerBase[company_name],$B956)*AF431)</f>
        <v>0</v>
      </c>
      <c r="AG956" s="652">
        <f>IF($B956="",,SUMIFS(PerBase[Month 22],PerBase[exp_item],$H956,PerBase[company_name],$B956)*AG431)</f>
        <v>0</v>
      </c>
      <c r="AH956" s="652">
        <f>IF($B956="",,SUMIFS(PerBase[Month 23],PerBase[exp_item],$H956,PerBase[company_name],$B956)*AH431)</f>
        <v>0</v>
      </c>
      <c r="AI956" s="652">
        <f>IF($B956="",,SUMIFS(PerBase[Month 24],PerBase[exp_item],$H956,PerBase[company_name],$B956)*AI431)</f>
        <v>0</v>
      </c>
      <c r="AJ956" s="652">
        <f>IF($B956="",,SUMIFS(PerBase[Month 25],PerBase[exp_item],$H956,PerBase[company_name],$B956)*AJ431)</f>
        <v>0</v>
      </c>
      <c r="AK956" s="652">
        <f>IF($B956="",,SUMIFS(PerBase[Month 26],PerBase[exp_item],$H956,PerBase[company_name],$B956)*AK431)</f>
        <v>0</v>
      </c>
      <c r="AL956" s="652">
        <f>IF($B956="",,SUMIFS(PerBase[Month 27],PerBase[exp_item],$H956,PerBase[company_name],$B956)*AL431)</f>
        <v>0</v>
      </c>
      <c r="AM956" s="652">
        <f>IF($B956="",,SUMIFS(PerBase[Month 28],PerBase[exp_item],$H956,PerBase[company_name],$B956)*AM431)</f>
        <v>0</v>
      </c>
      <c r="AN956" s="652">
        <f>IF($B956="",,SUMIFS(PerBase[Month 29],PerBase[exp_item],$H956,PerBase[company_name],$B956)*AN431)</f>
        <v>0</v>
      </c>
      <c r="AO956" s="652">
        <f>IF($B956="",,SUMIFS(PerBase[Month 30],PerBase[exp_item],$H956,PerBase[company_name],$B956)*AO431)</f>
        <v>0</v>
      </c>
      <c r="AP956" s="652">
        <f>IF($B956="",,SUMIFS(PerBase[Month 31],PerBase[exp_item],$H956,PerBase[company_name],$B956)*AP431)</f>
        <v>0</v>
      </c>
      <c r="AQ956" s="652">
        <f>IF($B956="",,SUMIFS(PerBase[Month 32],PerBase[exp_item],$H956,PerBase[company_name],$B956)*AQ431)</f>
        <v>0</v>
      </c>
      <c r="AR956" s="652">
        <f>IF($B956="",,SUMIFS(PerBase[Month 33],PerBase[exp_item],$H956,PerBase[company_name],$B956)*AR431)</f>
        <v>0</v>
      </c>
      <c r="AS956" s="652">
        <f>IF($B956="",,SUMIFS(PerBase[Month 34],PerBase[exp_item],$H956,PerBase[company_name],$B956)*AS431)</f>
        <v>0</v>
      </c>
      <c r="AT956" s="652">
        <f>IF($B956="",,SUMIFS(PerBase[Month 35],PerBase[exp_item],$H956,PerBase[company_name],$B956)*AT431)</f>
        <v>0</v>
      </c>
      <c r="AU956" s="652">
        <f>IF($B956="",,SUMIFS(PerBase[Month 36],PerBase[exp_item],$H956,PerBase[company_name],$B956)*AU431)</f>
        <v>0</v>
      </c>
    </row>
    <row r="957" spans="2:47" x14ac:dyDescent="0.35">
      <c r="B957" t="str">
        <f t="shared" si="589"/>
        <v/>
      </c>
      <c r="C957" t="str">
        <f t="shared" ref="C957:G957" si="593">IF(C852="","",C852)</f>
        <v/>
      </c>
      <c r="D957" t="str">
        <f t="shared" si="593"/>
        <v/>
      </c>
      <c r="E957" t="str">
        <f t="shared" si="593"/>
        <v/>
      </c>
      <c r="F957" t="str">
        <f t="shared" si="593"/>
        <v/>
      </c>
      <c r="G957" t="str">
        <f t="shared" si="593"/>
        <v/>
      </c>
      <c r="H957" t="str">
        <f t="shared" si="588"/>
        <v/>
      </c>
      <c r="J957" t="str">
        <f>IF($H957="","",IF(VLOOKUP(H957,ExpItems[],2,0),H957&amp;" - "&amp;INDEX(DivisionMapping[category_code],MATCH($D957&amp;$C957,DivisionMapping[dept_bu],0)),H957))</f>
        <v/>
      </c>
      <c r="K957" t="str">
        <f t="shared" si="556"/>
        <v/>
      </c>
      <c r="L957" s="652">
        <f>IF($B957="",,SUMIFS(PerBase[Month 1],PerBase[exp_item],$H957,PerBase[company_name],$B957)*L432)</f>
        <v>0</v>
      </c>
      <c r="M957" s="652">
        <f>IF($B957="",,SUMIFS(PerBase[Month 2],PerBase[exp_item],$H957,PerBase[company_name],$B957)*M432)</f>
        <v>0</v>
      </c>
      <c r="N957" s="652">
        <f>IF($B957="",,SUMIFS(PerBase[Month 3],PerBase[exp_item],$H957,PerBase[company_name],$B957)*N432)</f>
        <v>0</v>
      </c>
      <c r="O957" s="652">
        <f>IF($B957="",,SUMIFS(PerBase[Month 4],PerBase[exp_item],$H957,PerBase[company_name],$B957)*O432)</f>
        <v>0</v>
      </c>
      <c r="P957" s="652">
        <f>IF($B957="",,SUMIFS(PerBase[Month 5],PerBase[exp_item],$H957,PerBase[company_name],$B957)*P432)</f>
        <v>0</v>
      </c>
      <c r="Q957" s="652">
        <f>IF($B957="",,SUMIFS(PerBase[Month 6],PerBase[exp_item],$H957,PerBase[company_name],$B957)*Q432)</f>
        <v>0</v>
      </c>
      <c r="R957" s="652">
        <f>IF($B957="",,SUMIFS(PerBase[Month 7],PerBase[exp_item],$H957,PerBase[company_name],$B957)*R432)</f>
        <v>0</v>
      </c>
      <c r="S957" s="652">
        <f>IF($B957="",,SUMIFS(PerBase[Month 8],PerBase[exp_item],$H957,PerBase[company_name],$B957)*S432)</f>
        <v>0</v>
      </c>
      <c r="T957" s="652">
        <f>IF($B957="",,SUMIFS(PerBase[Month 9],PerBase[exp_item],$H957,PerBase[company_name],$B957)*T432)</f>
        <v>0</v>
      </c>
      <c r="U957" s="652">
        <f>IF($B957="",,SUMIFS(PerBase[Month 10],PerBase[exp_item],$H957,PerBase[company_name],$B957)*U432)</f>
        <v>0</v>
      </c>
      <c r="V957" s="652">
        <f>IF($B957="",,SUMIFS(PerBase[Month 11],PerBase[exp_item],$H957,PerBase[company_name],$B957)*V432)</f>
        <v>0</v>
      </c>
      <c r="W957" s="652">
        <f>IF($B957="",,SUMIFS(PerBase[Month 12],PerBase[exp_item],$H957,PerBase[company_name],$B957)*W432)</f>
        <v>0</v>
      </c>
      <c r="X957" s="652">
        <f>IF($B957="",,SUMIFS(PerBase[Month 13],PerBase[exp_item],$H957,PerBase[company_name],$B957)*X432)</f>
        <v>0</v>
      </c>
      <c r="Y957" s="652">
        <f>IF($B957="",,SUMIFS(PerBase[Month 14],PerBase[exp_item],$H957,PerBase[company_name],$B957)*Y432)</f>
        <v>0</v>
      </c>
      <c r="Z957" s="652">
        <f>IF($B957="",,SUMIFS(PerBase[Month 15],PerBase[exp_item],$H957,PerBase[company_name],$B957)*Z432)</f>
        <v>0</v>
      </c>
      <c r="AA957" s="652">
        <f>IF($B957="",,SUMIFS(PerBase[Month 16],PerBase[exp_item],$H957,PerBase[company_name],$B957)*AA432)</f>
        <v>0</v>
      </c>
      <c r="AB957" s="652">
        <f>IF($B957="",,SUMIFS(PerBase[Month 17],PerBase[exp_item],$H957,PerBase[company_name],$B957)*AB432)</f>
        <v>0</v>
      </c>
      <c r="AC957" s="652">
        <f>IF($B957="",,SUMIFS(PerBase[Month 18],PerBase[exp_item],$H957,PerBase[company_name],$B957)*AC432)</f>
        <v>0</v>
      </c>
      <c r="AD957" s="652">
        <f>IF($B957="",,SUMIFS(PerBase[Month 19],PerBase[exp_item],$H957,PerBase[company_name],$B957)*AD432)</f>
        <v>0</v>
      </c>
      <c r="AE957" s="652">
        <f>IF($B957="",,SUMIFS(PerBase[Month 20],PerBase[exp_item],$H957,PerBase[company_name],$B957)*AE432)</f>
        <v>0</v>
      </c>
      <c r="AF957" s="652">
        <f>IF($B957="",,SUMIFS(PerBase[Month 21],PerBase[exp_item],$H957,PerBase[company_name],$B957)*AF432)</f>
        <v>0</v>
      </c>
      <c r="AG957" s="652">
        <f>IF($B957="",,SUMIFS(PerBase[Month 22],PerBase[exp_item],$H957,PerBase[company_name],$B957)*AG432)</f>
        <v>0</v>
      </c>
      <c r="AH957" s="652">
        <f>IF($B957="",,SUMIFS(PerBase[Month 23],PerBase[exp_item],$H957,PerBase[company_name],$B957)*AH432)</f>
        <v>0</v>
      </c>
      <c r="AI957" s="652">
        <f>IF($B957="",,SUMIFS(PerBase[Month 24],PerBase[exp_item],$H957,PerBase[company_name],$B957)*AI432)</f>
        <v>0</v>
      </c>
      <c r="AJ957" s="652">
        <f>IF($B957="",,SUMIFS(PerBase[Month 25],PerBase[exp_item],$H957,PerBase[company_name],$B957)*AJ432)</f>
        <v>0</v>
      </c>
      <c r="AK957" s="652">
        <f>IF($B957="",,SUMIFS(PerBase[Month 26],PerBase[exp_item],$H957,PerBase[company_name],$B957)*AK432)</f>
        <v>0</v>
      </c>
      <c r="AL957" s="652">
        <f>IF($B957="",,SUMIFS(PerBase[Month 27],PerBase[exp_item],$H957,PerBase[company_name],$B957)*AL432)</f>
        <v>0</v>
      </c>
      <c r="AM957" s="652">
        <f>IF($B957="",,SUMIFS(PerBase[Month 28],PerBase[exp_item],$H957,PerBase[company_name],$B957)*AM432)</f>
        <v>0</v>
      </c>
      <c r="AN957" s="652">
        <f>IF($B957="",,SUMIFS(PerBase[Month 29],PerBase[exp_item],$H957,PerBase[company_name],$B957)*AN432)</f>
        <v>0</v>
      </c>
      <c r="AO957" s="652">
        <f>IF($B957="",,SUMIFS(PerBase[Month 30],PerBase[exp_item],$H957,PerBase[company_name],$B957)*AO432)</f>
        <v>0</v>
      </c>
      <c r="AP957" s="652">
        <f>IF($B957="",,SUMIFS(PerBase[Month 31],PerBase[exp_item],$H957,PerBase[company_name],$B957)*AP432)</f>
        <v>0</v>
      </c>
      <c r="AQ957" s="652">
        <f>IF($B957="",,SUMIFS(PerBase[Month 32],PerBase[exp_item],$H957,PerBase[company_name],$B957)*AQ432)</f>
        <v>0</v>
      </c>
      <c r="AR957" s="652">
        <f>IF($B957="",,SUMIFS(PerBase[Month 33],PerBase[exp_item],$H957,PerBase[company_name],$B957)*AR432)</f>
        <v>0</v>
      </c>
      <c r="AS957" s="652">
        <f>IF($B957="",,SUMIFS(PerBase[Month 34],PerBase[exp_item],$H957,PerBase[company_name],$B957)*AS432)</f>
        <v>0</v>
      </c>
      <c r="AT957" s="652">
        <f>IF($B957="",,SUMIFS(PerBase[Month 35],PerBase[exp_item],$H957,PerBase[company_name],$B957)*AT432)</f>
        <v>0</v>
      </c>
      <c r="AU957" s="652">
        <f>IF($B957="",,SUMIFS(PerBase[Month 36],PerBase[exp_item],$H957,PerBase[company_name],$B957)*AU432)</f>
        <v>0</v>
      </c>
    </row>
    <row r="958" spans="2:47" x14ac:dyDescent="0.35">
      <c r="B958" t="str">
        <f t="shared" si="589"/>
        <v/>
      </c>
      <c r="C958" t="str">
        <f t="shared" ref="C958:G958" si="594">IF(C853="","",C853)</f>
        <v/>
      </c>
      <c r="D958" t="str">
        <f t="shared" si="594"/>
        <v/>
      </c>
      <c r="E958" t="str">
        <f t="shared" si="594"/>
        <v/>
      </c>
      <c r="F958" t="str">
        <f t="shared" si="594"/>
        <v/>
      </c>
      <c r="G958" t="str">
        <f t="shared" si="594"/>
        <v/>
      </c>
      <c r="H958" t="str">
        <f t="shared" si="588"/>
        <v/>
      </c>
      <c r="J958" t="str">
        <f>IF($H958="","",IF(VLOOKUP(H958,ExpItems[],2,0),H958&amp;" - "&amp;INDEX(DivisionMapping[category_code],MATCH($D958&amp;$C958,DivisionMapping[dept_bu],0)),H958))</f>
        <v/>
      </c>
      <c r="K958" t="str">
        <f t="shared" si="556"/>
        <v/>
      </c>
      <c r="L958" s="652">
        <f>IF($B958="",,SUMIFS(PerBase[Month 1],PerBase[exp_item],$H958,PerBase[company_name],$B958)*L433)</f>
        <v>0</v>
      </c>
      <c r="M958" s="652">
        <f>IF($B958="",,SUMIFS(PerBase[Month 2],PerBase[exp_item],$H958,PerBase[company_name],$B958)*M433)</f>
        <v>0</v>
      </c>
      <c r="N958" s="652">
        <f>IF($B958="",,SUMIFS(PerBase[Month 3],PerBase[exp_item],$H958,PerBase[company_name],$B958)*N433)</f>
        <v>0</v>
      </c>
      <c r="O958" s="652">
        <f>IF($B958="",,SUMIFS(PerBase[Month 4],PerBase[exp_item],$H958,PerBase[company_name],$B958)*O433)</f>
        <v>0</v>
      </c>
      <c r="P958" s="652">
        <f>IF($B958="",,SUMIFS(PerBase[Month 5],PerBase[exp_item],$H958,PerBase[company_name],$B958)*P433)</f>
        <v>0</v>
      </c>
      <c r="Q958" s="652">
        <f>IF($B958="",,SUMIFS(PerBase[Month 6],PerBase[exp_item],$H958,PerBase[company_name],$B958)*Q433)</f>
        <v>0</v>
      </c>
      <c r="R958" s="652">
        <f>IF($B958="",,SUMIFS(PerBase[Month 7],PerBase[exp_item],$H958,PerBase[company_name],$B958)*R433)</f>
        <v>0</v>
      </c>
      <c r="S958" s="652">
        <f>IF($B958="",,SUMIFS(PerBase[Month 8],PerBase[exp_item],$H958,PerBase[company_name],$B958)*S433)</f>
        <v>0</v>
      </c>
      <c r="T958" s="652">
        <f>IF($B958="",,SUMIFS(PerBase[Month 9],PerBase[exp_item],$H958,PerBase[company_name],$B958)*T433)</f>
        <v>0</v>
      </c>
      <c r="U958" s="652">
        <f>IF($B958="",,SUMIFS(PerBase[Month 10],PerBase[exp_item],$H958,PerBase[company_name],$B958)*U433)</f>
        <v>0</v>
      </c>
      <c r="V958" s="652">
        <f>IF($B958="",,SUMIFS(PerBase[Month 11],PerBase[exp_item],$H958,PerBase[company_name],$B958)*V433)</f>
        <v>0</v>
      </c>
      <c r="W958" s="652">
        <f>IF($B958="",,SUMIFS(PerBase[Month 12],PerBase[exp_item],$H958,PerBase[company_name],$B958)*W433)</f>
        <v>0</v>
      </c>
      <c r="X958" s="652">
        <f>IF($B958="",,SUMIFS(PerBase[Month 13],PerBase[exp_item],$H958,PerBase[company_name],$B958)*X433)</f>
        <v>0</v>
      </c>
      <c r="Y958" s="652">
        <f>IF($B958="",,SUMIFS(PerBase[Month 14],PerBase[exp_item],$H958,PerBase[company_name],$B958)*Y433)</f>
        <v>0</v>
      </c>
      <c r="Z958" s="652">
        <f>IF($B958="",,SUMIFS(PerBase[Month 15],PerBase[exp_item],$H958,PerBase[company_name],$B958)*Z433)</f>
        <v>0</v>
      </c>
      <c r="AA958" s="652">
        <f>IF($B958="",,SUMIFS(PerBase[Month 16],PerBase[exp_item],$H958,PerBase[company_name],$B958)*AA433)</f>
        <v>0</v>
      </c>
      <c r="AB958" s="652">
        <f>IF($B958="",,SUMIFS(PerBase[Month 17],PerBase[exp_item],$H958,PerBase[company_name],$B958)*AB433)</f>
        <v>0</v>
      </c>
      <c r="AC958" s="652">
        <f>IF($B958="",,SUMIFS(PerBase[Month 18],PerBase[exp_item],$H958,PerBase[company_name],$B958)*AC433)</f>
        <v>0</v>
      </c>
      <c r="AD958" s="652">
        <f>IF($B958="",,SUMIFS(PerBase[Month 19],PerBase[exp_item],$H958,PerBase[company_name],$B958)*AD433)</f>
        <v>0</v>
      </c>
      <c r="AE958" s="652">
        <f>IF($B958="",,SUMIFS(PerBase[Month 20],PerBase[exp_item],$H958,PerBase[company_name],$B958)*AE433)</f>
        <v>0</v>
      </c>
      <c r="AF958" s="652">
        <f>IF($B958="",,SUMIFS(PerBase[Month 21],PerBase[exp_item],$H958,PerBase[company_name],$B958)*AF433)</f>
        <v>0</v>
      </c>
      <c r="AG958" s="652">
        <f>IF($B958="",,SUMIFS(PerBase[Month 22],PerBase[exp_item],$H958,PerBase[company_name],$B958)*AG433)</f>
        <v>0</v>
      </c>
      <c r="AH958" s="652">
        <f>IF($B958="",,SUMIFS(PerBase[Month 23],PerBase[exp_item],$H958,PerBase[company_name],$B958)*AH433)</f>
        <v>0</v>
      </c>
      <c r="AI958" s="652">
        <f>IF($B958="",,SUMIFS(PerBase[Month 24],PerBase[exp_item],$H958,PerBase[company_name],$B958)*AI433)</f>
        <v>0</v>
      </c>
      <c r="AJ958" s="652">
        <f>IF($B958="",,SUMIFS(PerBase[Month 25],PerBase[exp_item],$H958,PerBase[company_name],$B958)*AJ433)</f>
        <v>0</v>
      </c>
      <c r="AK958" s="652">
        <f>IF($B958="",,SUMIFS(PerBase[Month 26],PerBase[exp_item],$H958,PerBase[company_name],$B958)*AK433)</f>
        <v>0</v>
      </c>
      <c r="AL958" s="652">
        <f>IF($B958="",,SUMIFS(PerBase[Month 27],PerBase[exp_item],$H958,PerBase[company_name],$B958)*AL433)</f>
        <v>0</v>
      </c>
      <c r="AM958" s="652">
        <f>IF($B958="",,SUMIFS(PerBase[Month 28],PerBase[exp_item],$H958,PerBase[company_name],$B958)*AM433)</f>
        <v>0</v>
      </c>
      <c r="AN958" s="652">
        <f>IF($B958="",,SUMIFS(PerBase[Month 29],PerBase[exp_item],$H958,PerBase[company_name],$B958)*AN433)</f>
        <v>0</v>
      </c>
      <c r="AO958" s="652">
        <f>IF($B958="",,SUMIFS(PerBase[Month 30],PerBase[exp_item],$H958,PerBase[company_name],$B958)*AO433)</f>
        <v>0</v>
      </c>
      <c r="AP958" s="652">
        <f>IF($B958="",,SUMIFS(PerBase[Month 31],PerBase[exp_item],$H958,PerBase[company_name],$B958)*AP433)</f>
        <v>0</v>
      </c>
      <c r="AQ958" s="652">
        <f>IF($B958="",,SUMIFS(PerBase[Month 32],PerBase[exp_item],$H958,PerBase[company_name],$B958)*AQ433)</f>
        <v>0</v>
      </c>
      <c r="AR958" s="652">
        <f>IF($B958="",,SUMIFS(PerBase[Month 33],PerBase[exp_item],$H958,PerBase[company_name],$B958)*AR433)</f>
        <v>0</v>
      </c>
      <c r="AS958" s="652">
        <f>IF($B958="",,SUMIFS(PerBase[Month 34],PerBase[exp_item],$H958,PerBase[company_name],$B958)*AS433)</f>
        <v>0</v>
      </c>
      <c r="AT958" s="652">
        <f>IF($B958="",,SUMIFS(PerBase[Month 35],PerBase[exp_item],$H958,PerBase[company_name],$B958)*AT433)</f>
        <v>0</v>
      </c>
      <c r="AU958" s="652">
        <f>IF($B958="",,SUMIFS(PerBase[Month 36],PerBase[exp_item],$H958,PerBase[company_name],$B958)*AU433)</f>
        <v>0</v>
      </c>
    </row>
    <row r="959" spans="2:47" x14ac:dyDescent="0.35">
      <c r="B959" t="str">
        <f t="shared" si="589"/>
        <v/>
      </c>
      <c r="C959" t="str">
        <f t="shared" ref="C959:G959" si="595">IF(C854="","",C854)</f>
        <v/>
      </c>
      <c r="D959" t="str">
        <f t="shared" si="595"/>
        <v/>
      </c>
      <c r="E959" t="str">
        <f t="shared" si="595"/>
        <v/>
      </c>
      <c r="F959" t="str">
        <f t="shared" si="595"/>
        <v/>
      </c>
      <c r="G959" t="str">
        <f t="shared" si="595"/>
        <v/>
      </c>
      <c r="H959" t="str">
        <f t="shared" si="588"/>
        <v/>
      </c>
      <c r="J959" t="str">
        <f>IF($H959="","",IF(VLOOKUP(H959,ExpItems[],2,0),H959&amp;" - "&amp;INDEX(DivisionMapping[category_code],MATCH($D959&amp;$C959,DivisionMapping[dept_bu],0)),H959))</f>
        <v/>
      </c>
      <c r="K959" t="str">
        <f t="shared" si="556"/>
        <v/>
      </c>
      <c r="L959" s="652">
        <f>IF($B959="",,SUMIFS(PerBase[Month 1],PerBase[exp_item],$H959,PerBase[company_name],$B959)*L434)</f>
        <v>0</v>
      </c>
      <c r="M959" s="652">
        <f>IF($B959="",,SUMIFS(PerBase[Month 2],PerBase[exp_item],$H959,PerBase[company_name],$B959)*M434)</f>
        <v>0</v>
      </c>
      <c r="N959" s="652">
        <f>IF($B959="",,SUMIFS(PerBase[Month 3],PerBase[exp_item],$H959,PerBase[company_name],$B959)*N434)</f>
        <v>0</v>
      </c>
      <c r="O959" s="652">
        <f>IF($B959="",,SUMIFS(PerBase[Month 4],PerBase[exp_item],$H959,PerBase[company_name],$B959)*O434)</f>
        <v>0</v>
      </c>
      <c r="P959" s="652">
        <f>IF($B959="",,SUMIFS(PerBase[Month 5],PerBase[exp_item],$H959,PerBase[company_name],$B959)*P434)</f>
        <v>0</v>
      </c>
      <c r="Q959" s="652">
        <f>IF($B959="",,SUMIFS(PerBase[Month 6],PerBase[exp_item],$H959,PerBase[company_name],$B959)*Q434)</f>
        <v>0</v>
      </c>
      <c r="R959" s="652">
        <f>IF($B959="",,SUMIFS(PerBase[Month 7],PerBase[exp_item],$H959,PerBase[company_name],$B959)*R434)</f>
        <v>0</v>
      </c>
      <c r="S959" s="652">
        <f>IF($B959="",,SUMIFS(PerBase[Month 8],PerBase[exp_item],$H959,PerBase[company_name],$B959)*S434)</f>
        <v>0</v>
      </c>
      <c r="T959" s="652">
        <f>IF($B959="",,SUMIFS(PerBase[Month 9],PerBase[exp_item],$H959,PerBase[company_name],$B959)*T434)</f>
        <v>0</v>
      </c>
      <c r="U959" s="652">
        <f>IF($B959="",,SUMIFS(PerBase[Month 10],PerBase[exp_item],$H959,PerBase[company_name],$B959)*U434)</f>
        <v>0</v>
      </c>
      <c r="V959" s="652">
        <f>IF($B959="",,SUMIFS(PerBase[Month 11],PerBase[exp_item],$H959,PerBase[company_name],$B959)*V434)</f>
        <v>0</v>
      </c>
      <c r="W959" s="652">
        <f>IF($B959="",,SUMIFS(PerBase[Month 12],PerBase[exp_item],$H959,PerBase[company_name],$B959)*W434)</f>
        <v>0</v>
      </c>
      <c r="X959" s="652">
        <f>IF($B959="",,SUMIFS(PerBase[Month 13],PerBase[exp_item],$H959,PerBase[company_name],$B959)*X434)</f>
        <v>0</v>
      </c>
      <c r="Y959" s="652">
        <f>IF($B959="",,SUMIFS(PerBase[Month 14],PerBase[exp_item],$H959,PerBase[company_name],$B959)*Y434)</f>
        <v>0</v>
      </c>
      <c r="Z959" s="652">
        <f>IF($B959="",,SUMIFS(PerBase[Month 15],PerBase[exp_item],$H959,PerBase[company_name],$B959)*Z434)</f>
        <v>0</v>
      </c>
      <c r="AA959" s="652">
        <f>IF($B959="",,SUMIFS(PerBase[Month 16],PerBase[exp_item],$H959,PerBase[company_name],$B959)*AA434)</f>
        <v>0</v>
      </c>
      <c r="AB959" s="652">
        <f>IF($B959="",,SUMIFS(PerBase[Month 17],PerBase[exp_item],$H959,PerBase[company_name],$B959)*AB434)</f>
        <v>0</v>
      </c>
      <c r="AC959" s="652">
        <f>IF($B959="",,SUMIFS(PerBase[Month 18],PerBase[exp_item],$H959,PerBase[company_name],$B959)*AC434)</f>
        <v>0</v>
      </c>
      <c r="AD959" s="652">
        <f>IF($B959="",,SUMIFS(PerBase[Month 19],PerBase[exp_item],$H959,PerBase[company_name],$B959)*AD434)</f>
        <v>0</v>
      </c>
      <c r="AE959" s="652">
        <f>IF($B959="",,SUMIFS(PerBase[Month 20],PerBase[exp_item],$H959,PerBase[company_name],$B959)*AE434)</f>
        <v>0</v>
      </c>
      <c r="AF959" s="652">
        <f>IF($B959="",,SUMIFS(PerBase[Month 21],PerBase[exp_item],$H959,PerBase[company_name],$B959)*AF434)</f>
        <v>0</v>
      </c>
      <c r="AG959" s="652">
        <f>IF($B959="",,SUMIFS(PerBase[Month 22],PerBase[exp_item],$H959,PerBase[company_name],$B959)*AG434)</f>
        <v>0</v>
      </c>
      <c r="AH959" s="652">
        <f>IF($B959="",,SUMIFS(PerBase[Month 23],PerBase[exp_item],$H959,PerBase[company_name],$B959)*AH434)</f>
        <v>0</v>
      </c>
      <c r="AI959" s="652">
        <f>IF($B959="",,SUMIFS(PerBase[Month 24],PerBase[exp_item],$H959,PerBase[company_name],$B959)*AI434)</f>
        <v>0</v>
      </c>
      <c r="AJ959" s="652">
        <f>IF($B959="",,SUMIFS(PerBase[Month 25],PerBase[exp_item],$H959,PerBase[company_name],$B959)*AJ434)</f>
        <v>0</v>
      </c>
      <c r="AK959" s="652">
        <f>IF($B959="",,SUMIFS(PerBase[Month 26],PerBase[exp_item],$H959,PerBase[company_name],$B959)*AK434)</f>
        <v>0</v>
      </c>
      <c r="AL959" s="652">
        <f>IF($B959="",,SUMIFS(PerBase[Month 27],PerBase[exp_item],$H959,PerBase[company_name],$B959)*AL434)</f>
        <v>0</v>
      </c>
      <c r="AM959" s="652">
        <f>IF($B959="",,SUMIFS(PerBase[Month 28],PerBase[exp_item],$H959,PerBase[company_name],$B959)*AM434)</f>
        <v>0</v>
      </c>
      <c r="AN959" s="652">
        <f>IF($B959="",,SUMIFS(PerBase[Month 29],PerBase[exp_item],$H959,PerBase[company_name],$B959)*AN434)</f>
        <v>0</v>
      </c>
      <c r="AO959" s="652">
        <f>IF($B959="",,SUMIFS(PerBase[Month 30],PerBase[exp_item],$H959,PerBase[company_name],$B959)*AO434)</f>
        <v>0</v>
      </c>
      <c r="AP959" s="652">
        <f>IF($B959="",,SUMIFS(PerBase[Month 31],PerBase[exp_item],$H959,PerBase[company_name],$B959)*AP434)</f>
        <v>0</v>
      </c>
      <c r="AQ959" s="652">
        <f>IF($B959="",,SUMIFS(PerBase[Month 32],PerBase[exp_item],$H959,PerBase[company_name],$B959)*AQ434)</f>
        <v>0</v>
      </c>
      <c r="AR959" s="652">
        <f>IF($B959="",,SUMIFS(PerBase[Month 33],PerBase[exp_item],$H959,PerBase[company_name],$B959)*AR434)</f>
        <v>0</v>
      </c>
      <c r="AS959" s="652">
        <f>IF($B959="",,SUMIFS(PerBase[Month 34],PerBase[exp_item],$H959,PerBase[company_name],$B959)*AS434)</f>
        <v>0</v>
      </c>
      <c r="AT959" s="652">
        <f>IF($B959="",,SUMIFS(PerBase[Month 35],PerBase[exp_item],$H959,PerBase[company_name],$B959)*AT434)</f>
        <v>0</v>
      </c>
      <c r="AU959" s="652">
        <f>IF($B959="",,SUMIFS(PerBase[Month 36],PerBase[exp_item],$H959,PerBase[company_name],$B959)*AU434)</f>
        <v>0</v>
      </c>
    </row>
    <row r="960" spans="2:47" x14ac:dyDescent="0.35">
      <c r="B960" t="str">
        <f t="shared" si="589"/>
        <v/>
      </c>
      <c r="C960" t="str">
        <f t="shared" ref="C960:G960" si="596">IF(C855="","",C855)</f>
        <v/>
      </c>
      <c r="D960" t="str">
        <f t="shared" si="596"/>
        <v/>
      </c>
      <c r="E960" t="str">
        <f t="shared" si="596"/>
        <v/>
      </c>
      <c r="F960" t="str">
        <f t="shared" si="596"/>
        <v/>
      </c>
      <c r="G960" t="str">
        <f t="shared" si="596"/>
        <v/>
      </c>
      <c r="H960" t="str">
        <f t="shared" si="588"/>
        <v/>
      </c>
      <c r="J960" t="str">
        <f>IF($H960="","",IF(VLOOKUP(H960,ExpItems[],2,0),H960&amp;" - "&amp;INDEX(DivisionMapping[category_code],MATCH($D960&amp;$C960,DivisionMapping[dept_bu],0)),H960))</f>
        <v/>
      </c>
      <c r="K960" t="str">
        <f t="shared" si="556"/>
        <v/>
      </c>
      <c r="L960" s="652">
        <f>IF($B960="",,SUMIFS(PerBase[Month 1],PerBase[exp_item],$H960,PerBase[company_name],$B960)*L435)</f>
        <v>0</v>
      </c>
      <c r="M960" s="652">
        <f>IF($B960="",,SUMIFS(PerBase[Month 2],PerBase[exp_item],$H960,PerBase[company_name],$B960)*M435)</f>
        <v>0</v>
      </c>
      <c r="N960" s="652">
        <f>IF($B960="",,SUMIFS(PerBase[Month 3],PerBase[exp_item],$H960,PerBase[company_name],$B960)*N435)</f>
        <v>0</v>
      </c>
      <c r="O960" s="652">
        <f>IF($B960="",,SUMIFS(PerBase[Month 4],PerBase[exp_item],$H960,PerBase[company_name],$B960)*O435)</f>
        <v>0</v>
      </c>
      <c r="P960" s="652">
        <f>IF($B960="",,SUMIFS(PerBase[Month 5],PerBase[exp_item],$H960,PerBase[company_name],$B960)*P435)</f>
        <v>0</v>
      </c>
      <c r="Q960" s="652">
        <f>IF($B960="",,SUMIFS(PerBase[Month 6],PerBase[exp_item],$H960,PerBase[company_name],$B960)*Q435)</f>
        <v>0</v>
      </c>
      <c r="R960" s="652">
        <f>IF($B960="",,SUMIFS(PerBase[Month 7],PerBase[exp_item],$H960,PerBase[company_name],$B960)*R435)</f>
        <v>0</v>
      </c>
      <c r="S960" s="652">
        <f>IF($B960="",,SUMIFS(PerBase[Month 8],PerBase[exp_item],$H960,PerBase[company_name],$B960)*S435)</f>
        <v>0</v>
      </c>
      <c r="T960" s="652">
        <f>IF($B960="",,SUMIFS(PerBase[Month 9],PerBase[exp_item],$H960,PerBase[company_name],$B960)*T435)</f>
        <v>0</v>
      </c>
      <c r="U960" s="652">
        <f>IF($B960="",,SUMIFS(PerBase[Month 10],PerBase[exp_item],$H960,PerBase[company_name],$B960)*U435)</f>
        <v>0</v>
      </c>
      <c r="V960" s="652">
        <f>IF($B960="",,SUMIFS(PerBase[Month 11],PerBase[exp_item],$H960,PerBase[company_name],$B960)*V435)</f>
        <v>0</v>
      </c>
      <c r="W960" s="652">
        <f>IF($B960="",,SUMIFS(PerBase[Month 12],PerBase[exp_item],$H960,PerBase[company_name],$B960)*W435)</f>
        <v>0</v>
      </c>
      <c r="X960" s="652">
        <f>IF($B960="",,SUMIFS(PerBase[Month 13],PerBase[exp_item],$H960,PerBase[company_name],$B960)*X435)</f>
        <v>0</v>
      </c>
      <c r="Y960" s="652">
        <f>IF($B960="",,SUMIFS(PerBase[Month 14],PerBase[exp_item],$H960,PerBase[company_name],$B960)*Y435)</f>
        <v>0</v>
      </c>
      <c r="Z960" s="652">
        <f>IF($B960="",,SUMIFS(PerBase[Month 15],PerBase[exp_item],$H960,PerBase[company_name],$B960)*Z435)</f>
        <v>0</v>
      </c>
      <c r="AA960" s="652">
        <f>IF($B960="",,SUMIFS(PerBase[Month 16],PerBase[exp_item],$H960,PerBase[company_name],$B960)*AA435)</f>
        <v>0</v>
      </c>
      <c r="AB960" s="652">
        <f>IF($B960="",,SUMIFS(PerBase[Month 17],PerBase[exp_item],$H960,PerBase[company_name],$B960)*AB435)</f>
        <v>0</v>
      </c>
      <c r="AC960" s="652">
        <f>IF($B960="",,SUMIFS(PerBase[Month 18],PerBase[exp_item],$H960,PerBase[company_name],$B960)*AC435)</f>
        <v>0</v>
      </c>
      <c r="AD960" s="652">
        <f>IF($B960="",,SUMIFS(PerBase[Month 19],PerBase[exp_item],$H960,PerBase[company_name],$B960)*AD435)</f>
        <v>0</v>
      </c>
      <c r="AE960" s="652">
        <f>IF($B960="",,SUMIFS(PerBase[Month 20],PerBase[exp_item],$H960,PerBase[company_name],$B960)*AE435)</f>
        <v>0</v>
      </c>
      <c r="AF960" s="652">
        <f>IF($B960="",,SUMIFS(PerBase[Month 21],PerBase[exp_item],$H960,PerBase[company_name],$B960)*AF435)</f>
        <v>0</v>
      </c>
      <c r="AG960" s="652">
        <f>IF($B960="",,SUMIFS(PerBase[Month 22],PerBase[exp_item],$H960,PerBase[company_name],$B960)*AG435)</f>
        <v>0</v>
      </c>
      <c r="AH960" s="652">
        <f>IF($B960="",,SUMIFS(PerBase[Month 23],PerBase[exp_item],$H960,PerBase[company_name],$B960)*AH435)</f>
        <v>0</v>
      </c>
      <c r="AI960" s="652">
        <f>IF($B960="",,SUMIFS(PerBase[Month 24],PerBase[exp_item],$H960,PerBase[company_name],$B960)*AI435)</f>
        <v>0</v>
      </c>
      <c r="AJ960" s="652">
        <f>IF($B960="",,SUMIFS(PerBase[Month 25],PerBase[exp_item],$H960,PerBase[company_name],$B960)*AJ435)</f>
        <v>0</v>
      </c>
      <c r="AK960" s="652">
        <f>IF($B960="",,SUMIFS(PerBase[Month 26],PerBase[exp_item],$H960,PerBase[company_name],$B960)*AK435)</f>
        <v>0</v>
      </c>
      <c r="AL960" s="652">
        <f>IF($B960="",,SUMIFS(PerBase[Month 27],PerBase[exp_item],$H960,PerBase[company_name],$B960)*AL435)</f>
        <v>0</v>
      </c>
      <c r="AM960" s="652">
        <f>IF($B960="",,SUMIFS(PerBase[Month 28],PerBase[exp_item],$H960,PerBase[company_name],$B960)*AM435)</f>
        <v>0</v>
      </c>
      <c r="AN960" s="652">
        <f>IF($B960="",,SUMIFS(PerBase[Month 29],PerBase[exp_item],$H960,PerBase[company_name],$B960)*AN435)</f>
        <v>0</v>
      </c>
      <c r="AO960" s="652">
        <f>IF($B960="",,SUMIFS(PerBase[Month 30],PerBase[exp_item],$H960,PerBase[company_name],$B960)*AO435)</f>
        <v>0</v>
      </c>
      <c r="AP960" s="652">
        <f>IF($B960="",,SUMIFS(PerBase[Month 31],PerBase[exp_item],$H960,PerBase[company_name],$B960)*AP435)</f>
        <v>0</v>
      </c>
      <c r="AQ960" s="652">
        <f>IF($B960="",,SUMIFS(PerBase[Month 32],PerBase[exp_item],$H960,PerBase[company_name],$B960)*AQ435)</f>
        <v>0</v>
      </c>
      <c r="AR960" s="652">
        <f>IF($B960="",,SUMIFS(PerBase[Month 33],PerBase[exp_item],$H960,PerBase[company_name],$B960)*AR435)</f>
        <v>0</v>
      </c>
      <c r="AS960" s="652">
        <f>IF($B960="",,SUMIFS(PerBase[Month 34],PerBase[exp_item],$H960,PerBase[company_name],$B960)*AS435)</f>
        <v>0</v>
      </c>
      <c r="AT960" s="652">
        <f>IF($B960="",,SUMIFS(PerBase[Month 35],PerBase[exp_item],$H960,PerBase[company_name],$B960)*AT435)</f>
        <v>0</v>
      </c>
      <c r="AU960" s="652">
        <f>IF($B960="",,SUMIFS(PerBase[Month 36],PerBase[exp_item],$H960,PerBase[company_name],$B960)*AU435)</f>
        <v>0</v>
      </c>
    </row>
    <row r="961" spans="2:47" x14ac:dyDescent="0.35">
      <c r="B961" t="str">
        <f t="shared" si="589"/>
        <v/>
      </c>
      <c r="C961" t="str">
        <f t="shared" ref="C961:G961" si="597">IF(C856="","",C856)</f>
        <v/>
      </c>
      <c r="D961" t="str">
        <f t="shared" si="597"/>
        <v/>
      </c>
      <c r="E961" t="str">
        <f t="shared" si="597"/>
        <v/>
      </c>
      <c r="F961" t="str">
        <f t="shared" si="597"/>
        <v/>
      </c>
      <c r="G961" t="str">
        <f t="shared" si="597"/>
        <v/>
      </c>
      <c r="H961" t="str">
        <f t="shared" si="588"/>
        <v/>
      </c>
      <c r="J961" t="str">
        <f>IF($H961="","",IF(VLOOKUP(H961,ExpItems[],2,0),H961&amp;" - "&amp;INDEX(DivisionMapping[category_code],MATCH($D961&amp;$C961,DivisionMapping[dept_bu],0)),H961))</f>
        <v/>
      </c>
      <c r="K961" t="str">
        <f t="shared" si="556"/>
        <v/>
      </c>
      <c r="L961" s="652">
        <f>IF($B961="",,SUMIFS(PerBase[Month 1],PerBase[exp_item],$H961,PerBase[company_name],$B961)*L436)</f>
        <v>0</v>
      </c>
      <c r="M961" s="652">
        <f>IF($B961="",,SUMIFS(PerBase[Month 2],PerBase[exp_item],$H961,PerBase[company_name],$B961)*M436)</f>
        <v>0</v>
      </c>
      <c r="N961" s="652">
        <f>IF($B961="",,SUMIFS(PerBase[Month 3],PerBase[exp_item],$H961,PerBase[company_name],$B961)*N436)</f>
        <v>0</v>
      </c>
      <c r="O961" s="652">
        <f>IF($B961="",,SUMIFS(PerBase[Month 4],PerBase[exp_item],$H961,PerBase[company_name],$B961)*O436)</f>
        <v>0</v>
      </c>
      <c r="P961" s="652">
        <f>IF($B961="",,SUMIFS(PerBase[Month 5],PerBase[exp_item],$H961,PerBase[company_name],$B961)*P436)</f>
        <v>0</v>
      </c>
      <c r="Q961" s="652">
        <f>IF($B961="",,SUMIFS(PerBase[Month 6],PerBase[exp_item],$H961,PerBase[company_name],$B961)*Q436)</f>
        <v>0</v>
      </c>
      <c r="R961" s="652">
        <f>IF($B961="",,SUMIFS(PerBase[Month 7],PerBase[exp_item],$H961,PerBase[company_name],$B961)*R436)</f>
        <v>0</v>
      </c>
      <c r="S961" s="652">
        <f>IF($B961="",,SUMIFS(PerBase[Month 8],PerBase[exp_item],$H961,PerBase[company_name],$B961)*S436)</f>
        <v>0</v>
      </c>
      <c r="T961" s="652">
        <f>IF($B961="",,SUMIFS(PerBase[Month 9],PerBase[exp_item],$H961,PerBase[company_name],$B961)*T436)</f>
        <v>0</v>
      </c>
      <c r="U961" s="652">
        <f>IF($B961="",,SUMIFS(PerBase[Month 10],PerBase[exp_item],$H961,PerBase[company_name],$B961)*U436)</f>
        <v>0</v>
      </c>
      <c r="V961" s="652">
        <f>IF($B961="",,SUMIFS(PerBase[Month 11],PerBase[exp_item],$H961,PerBase[company_name],$B961)*V436)</f>
        <v>0</v>
      </c>
      <c r="W961" s="652">
        <f>IF($B961="",,SUMIFS(PerBase[Month 12],PerBase[exp_item],$H961,PerBase[company_name],$B961)*W436)</f>
        <v>0</v>
      </c>
      <c r="X961" s="652">
        <f>IF($B961="",,SUMIFS(PerBase[Month 13],PerBase[exp_item],$H961,PerBase[company_name],$B961)*X436)</f>
        <v>0</v>
      </c>
      <c r="Y961" s="652">
        <f>IF($B961="",,SUMIFS(PerBase[Month 14],PerBase[exp_item],$H961,PerBase[company_name],$B961)*Y436)</f>
        <v>0</v>
      </c>
      <c r="Z961" s="652">
        <f>IF($B961="",,SUMIFS(PerBase[Month 15],PerBase[exp_item],$H961,PerBase[company_name],$B961)*Z436)</f>
        <v>0</v>
      </c>
      <c r="AA961" s="652">
        <f>IF($B961="",,SUMIFS(PerBase[Month 16],PerBase[exp_item],$H961,PerBase[company_name],$B961)*AA436)</f>
        <v>0</v>
      </c>
      <c r="AB961" s="652">
        <f>IF($B961="",,SUMIFS(PerBase[Month 17],PerBase[exp_item],$H961,PerBase[company_name],$B961)*AB436)</f>
        <v>0</v>
      </c>
      <c r="AC961" s="652">
        <f>IF($B961="",,SUMIFS(PerBase[Month 18],PerBase[exp_item],$H961,PerBase[company_name],$B961)*AC436)</f>
        <v>0</v>
      </c>
      <c r="AD961" s="652">
        <f>IF($B961="",,SUMIFS(PerBase[Month 19],PerBase[exp_item],$H961,PerBase[company_name],$B961)*AD436)</f>
        <v>0</v>
      </c>
      <c r="AE961" s="652">
        <f>IF($B961="",,SUMIFS(PerBase[Month 20],PerBase[exp_item],$H961,PerBase[company_name],$B961)*AE436)</f>
        <v>0</v>
      </c>
      <c r="AF961" s="652">
        <f>IF($B961="",,SUMIFS(PerBase[Month 21],PerBase[exp_item],$H961,PerBase[company_name],$B961)*AF436)</f>
        <v>0</v>
      </c>
      <c r="AG961" s="652">
        <f>IF($B961="",,SUMIFS(PerBase[Month 22],PerBase[exp_item],$H961,PerBase[company_name],$B961)*AG436)</f>
        <v>0</v>
      </c>
      <c r="AH961" s="652">
        <f>IF($B961="",,SUMIFS(PerBase[Month 23],PerBase[exp_item],$H961,PerBase[company_name],$B961)*AH436)</f>
        <v>0</v>
      </c>
      <c r="AI961" s="652">
        <f>IF($B961="",,SUMIFS(PerBase[Month 24],PerBase[exp_item],$H961,PerBase[company_name],$B961)*AI436)</f>
        <v>0</v>
      </c>
      <c r="AJ961" s="652">
        <f>IF($B961="",,SUMIFS(PerBase[Month 25],PerBase[exp_item],$H961,PerBase[company_name],$B961)*AJ436)</f>
        <v>0</v>
      </c>
      <c r="AK961" s="652">
        <f>IF($B961="",,SUMIFS(PerBase[Month 26],PerBase[exp_item],$H961,PerBase[company_name],$B961)*AK436)</f>
        <v>0</v>
      </c>
      <c r="AL961" s="652">
        <f>IF($B961="",,SUMIFS(PerBase[Month 27],PerBase[exp_item],$H961,PerBase[company_name],$B961)*AL436)</f>
        <v>0</v>
      </c>
      <c r="AM961" s="652">
        <f>IF($B961="",,SUMIFS(PerBase[Month 28],PerBase[exp_item],$H961,PerBase[company_name],$B961)*AM436)</f>
        <v>0</v>
      </c>
      <c r="AN961" s="652">
        <f>IF($B961="",,SUMIFS(PerBase[Month 29],PerBase[exp_item],$H961,PerBase[company_name],$B961)*AN436)</f>
        <v>0</v>
      </c>
      <c r="AO961" s="652">
        <f>IF($B961="",,SUMIFS(PerBase[Month 30],PerBase[exp_item],$H961,PerBase[company_name],$B961)*AO436)</f>
        <v>0</v>
      </c>
      <c r="AP961" s="652">
        <f>IF($B961="",,SUMIFS(PerBase[Month 31],PerBase[exp_item],$H961,PerBase[company_name],$B961)*AP436)</f>
        <v>0</v>
      </c>
      <c r="AQ961" s="652">
        <f>IF($B961="",,SUMIFS(PerBase[Month 32],PerBase[exp_item],$H961,PerBase[company_name],$B961)*AQ436)</f>
        <v>0</v>
      </c>
      <c r="AR961" s="652">
        <f>IF($B961="",,SUMIFS(PerBase[Month 33],PerBase[exp_item],$H961,PerBase[company_name],$B961)*AR436)</f>
        <v>0</v>
      </c>
      <c r="AS961" s="652">
        <f>IF($B961="",,SUMIFS(PerBase[Month 34],PerBase[exp_item],$H961,PerBase[company_name],$B961)*AS436)</f>
        <v>0</v>
      </c>
      <c r="AT961" s="652">
        <f>IF($B961="",,SUMIFS(PerBase[Month 35],PerBase[exp_item],$H961,PerBase[company_name],$B961)*AT436)</f>
        <v>0</v>
      </c>
      <c r="AU961" s="652">
        <f>IF($B961="",,SUMIFS(PerBase[Month 36],PerBase[exp_item],$H961,PerBase[company_name],$B961)*AU436)</f>
        <v>0</v>
      </c>
    </row>
    <row r="962" spans="2:47" x14ac:dyDescent="0.35">
      <c r="B962" t="str">
        <f t="shared" si="589"/>
        <v/>
      </c>
      <c r="C962" t="str">
        <f t="shared" ref="C962:G962" si="598">IF(C857="","",C857)</f>
        <v/>
      </c>
      <c r="D962" t="str">
        <f t="shared" si="598"/>
        <v/>
      </c>
      <c r="E962" t="str">
        <f t="shared" si="598"/>
        <v/>
      </c>
      <c r="F962" t="str">
        <f t="shared" si="598"/>
        <v/>
      </c>
      <c r="G962" t="str">
        <f t="shared" si="598"/>
        <v/>
      </c>
      <c r="H962" t="str">
        <f t="shared" si="588"/>
        <v/>
      </c>
      <c r="J962" t="str">
        <f>IF($H962="","",IF(VLOOKUP(H962,ExpItems[],2,0),H962&amp;" - "&amp;INDEX(DivisionMapping[category_code],MATCH($D962&amp;$C962,DivisionMapping[dept_bu],0)),H962))</f>
        <v/>
      </c>
      <c r="K962" t="str">
        <f t="shared" si="556"/>
        <v/>
      </c>
      <c r="L962" s="652">
        <f>IF($B962="",,SUMIFS(PerBase[Month 1],PerBase[exp_item],$H962,PerBase[company_name],$B962)*L437)</f>
        <v>0</v>
      </c>
      <c r="M962" s="652">
        <f>IF($B962="",,SUMIFS(PerBase[Month 2],PerBase[exp_item],$H962,PerBase[company_name],$B962)*M437)</f>
        <v>0</v>
      </c>
      <c r="N962" s="652">
        <f>IF($B962="",,SUMIFS(PerBase[Month 3],PerBase[exp_item],$H962,PerBase[company_name],$B962)*N437)</f>
        <v>0</v>
      </c>
      <c r="O962" s="652">
        <f>IF($B962="",,SUMIFS(PerBase[Month 4],PerBase[exp_item],$H962,PerBase[company_name],$B962)*O437)</f>
        <v>0</v>
      </c>
      <c r="P962" s="652">
        <f>IF($B962="",,SUMIFS(PerBase[Month 5],PerBase[exp_item],$H962,PerBase[company_name],$B962)*P437)</f>
        <v>0</v>
      </c>
      <c r="Q962" s="652">
        <f>IF($B962="",,SUMIFS(PerBase[Month 6],PerBase[exp_item],$H962,PerBase[company_name],$B962)*Q437)</f>
        <v>0</v>
      </c>
      <c r="R962" s="652">
        <f>IF($B962="",,SUMIFS(PerBase[Month 7],PerBase[exp_item],$H962,PerBase[company_name],$B962)*R437)</f>
        <v>0</v>
      </c>
      <c r="S962" s="652">
        <f>IF($B962="",,SUMIFS(PerBase[Month 8],PerBase[exp_item],$H962,PerBase[company_name],$B962)*S437)</f>
        <v>0</v>
      </c>
      <c r="T962" s="652">
        <f>IF($B962="",,SUMIFS(PerBase[Month 9],PerBase[exp_item],$H962,PerBase[company_name],$B962)*T437)</f>
        <v>0</v>
      </c>
      <c r="U962" s="652">
        <f>IF($B962="",,SUMIFS(PerBase[Month 10],PerBase[exp_item],$H962,PerBase[company_name],$B962)*U437)</f>
        <v>0</v>
      </c>
      <c r="V962" s="652">
        <f>IF($B962="",,SUMIFS(PerBase[Month 11],PerBase[exp_item],$H962,PerBase[company_name],$B962)*V437)</f>
        <v>0</v>
      </c>
      <c r="W962" s="652">
        <f>IF($B962="",,SUMIFS(PerBase[Month 12],PerBase[exp_item],$H962,PerBase[company_name],$B962)*W437)</f>
        <v>0</v>
      </c>
      <c r="X962" s="652">
        <f>IF($B962="",,SUMIFS(PerBase[Month 13],PerBase[exp_item],$H962,PerBase[company_name],$B962)*X437)</f>
        <v>0</v>
      </c>
      <c r="Y962" s="652">
        <f>IF($B962="",,SUMIFS(PerBase[Month 14],PerBase[exp_item],$H962,PerBase[company_name],$B962)*Y437)</f>
        <v>0</v>
      </c>
      <c r="Z962" s="652">
        <f>IF($B962="",,SUMIFS(PerBase[Month 15],PerBase[exp_item],$H962,PerBase[company_name],$B962)*Z437)</f>
        <v>0</v>
      </c>
      <c r="AA962" s="652">
        <f>IF($B962="",,SUMIFS(PerBase[Month 16],PerBase[exp_item],$H962,PerBase[company_name],$B962)*AA437)</f>
        <v>0</v>
      </c>
      <c r="AB962" s="652">
        <f>IF($B962="",,SUMIFS(PerBase[Month 17],PerBase[exp_item],$H962,PerBase[company_name],$B962)*AB437)</f>
        <v>0</v>
      </c>
      <c r="AC962" s="652">
        <f>IF($B962="",,SUMIFS(PerBase[Month 18],PerBase[exp_item],$H962,PerBase[company_name],$B962)*AC437)</f>
        <v>0</v>
      </c>
      <c r="AD962" s="652">
        <f>IF($B962="",,SUMIFS(PerBase[Month 19],PerBase[exp_item],$H962,PerBase[company_name],$B962)*AD437)</f>
        <v>0</v>
      </c>
      <c r="AE962" s="652">
        <f>IF($B962="",,SUMIFS(PerBase[Month 20],PerBase[exp_item],$H962,PerBase[company_name],$B962)*AE437)</f>
        <v>0</v>
      </c>
      <c r="AF962" s="652">
        <f>IF($B962="",,SUMIFS(PerBase[Month 21],PerBase[exp_item],$H962,PerBase[company_name],$B962)*AF437)</f>
        <v>0</v>
      </c>
      <c r="AG962" s="652">
        <f>IF($B962="",,SUMIFS(PerBase[Month 22],PerBase[exp_item],$H962,PerBase[company_name],$B962)*AG437)</f>
        <v>0</v>
      </c>
      <c r="AH962" s="652">
        <f>IF($B962="",,SUMIFS(PerBase[Month 23],PerBase[exp_item],$H962,PerBase[company_name],$B962)*AH437)</f>
        <v>0</v>
      </c>
      <c r="AI962" s="652">
        <f>IF($B962="",,SUMIFS(PerBase[Month 24],PerBase[exp_item],$H962,PerBase[company_name],$B962)*AI437)</f>
        <v>0</v>
      </c>
      <c r="AJ962" s="652">
        <f>IF($B962="",,SUMIFS(PerBase[Month 25],PerBase[exp_item],$H962,PerBase[company_name],$B962)*AJ437)</f>
        <v>0</v>
      </c>
      <c r="AK962" s="652">
        <f>IF($B962="",,SUMIFS(PerBase[Month 26],PerBase[exp_item],$H962,PerBase[company_name],$B962)*AK437)</f>
        <v>0</v>
      </c>
      <c r="AL962" s="652">
        <f>IF($B962="",,SUMIFS(PerBase[Month 27],PerBase[exp_item],$H962,PerBase[company_name],$B962)*AL437)</f>
        <v>0</v>
      </c>
      <c r="AM962" s="652">
        <f>IF($B962="",,SUMIFS(PerBase[Month 28],PerBase[exp_item],$H962,PerBase[company_name],$B962)*AM437)</f>
        <v>0</v>
      </c>
      <c r="AN962" s="652">
        <f>IF($B962="",,SUMIFS(PerBase[Month 29],PerBase[exp_item],$H962,PerBase[company_name],$B962)*AN437)</f>
        <v>0</v>
      </c>
      <c r="AO962" s="652">
        <f>IF($B962="",,SUMIFS(PerBase[Month 30],PerBase[exp_item],$H962,PerBase[company_name],$B962)*AO437)</f>
        <v>0</v>
      </c>
      <c r="AP962" s="652">
        <f>IF($B962="",,SUMIFS(PerBase[Month 31],PerBase[exp_item],$H962,PerBase[company_name],$B962)*AP437)</f>
        <v>0</v>
      </c>
      <c r="AQ962" s="652">
        <f>IF($B962="",,SUMIFS(PerBase[Month 32],PerBase[exp_item],$H962,PerBase[company_name],$B962)*AQ437)</f>
        <v>0</v>
      </c>
      <c r="AR962" s="652">
        <f>IF($B962="",,SUMIFS(PerBase[Month 33],PerBase[exp_item],$H962,PerBase[company_name],$B962)*AR437)</f>
        <v>0</v>
      </c>
      <c r="AS962" s="652">
        <f>IF($B962="",,SUMIFS(PerBase[Month 34],PerBase[exp_item],$H962,PerBase[company_name],$B962)*AS437)</f>
        <v>0</v>
      </c>
      <c r="AT962" s="652">
        <f>IF($B962="",,SUMIFS(PerBase[Month 35],PerBase[exp_item],$H962,PerBase[company_name],$B962)*AT437)</f>
        <v>0</v>
      </c>
      <c r="AU962" s="652">
        <f>IF($B962="",,SUMIFS(PerBase[Month 36],PerBase[exp_item],$H962,PerBase[company_name],$B962)*AU437)</f>
        <v>0</v>
      </c>
    </row>
    <row r="963" spans="2:47" x14ac:dyDescent="0.35">
      <c r="B963" t="str">
        <f t="shared" si="589"/>
        <v/>
      </c>
      <c r="C963" t="str">
        <f t="shared" ref="C963:G963" si="599">IF(C858="","",C858)</f>
        <v/>
      </c>
      <c r="D963" t="str">
        <f t="shared" si="599"/>
        <v/>
      </c>
      <c r="E963" t="str">
        <f t="shared" si="599"/>
        <v/>
      </c>
      <c r="F963" t="str">
        <f t="shared" si="599"/>
        <v/>
      </c>
      <c r="G963" t="str">
        <f t="shared" si="599"/>
        <v/>
      </c>
      <c r="H963" t="str">
        <f t="shared" si="588"/>
        <v/>
      </c>
      <c r="J963" t="str">
        <f>IF($H963="","",IF(VLOOKUP(H963,ExpItems[],2,0),H963&amp;" - "&amp;INDEX(DivisionMapping[category_code],MATCH($D963&amp;$C963,DivisionMapping[dept_bu],0)),H963))</f>
        <v/>
      </c>
      <c r="K963" t="str">
        <f t="shared" si="556"/>
        <v/>
      </c>
      <c r="L963" s="652">
        <f>IF($B963="",,SUMIFS(PerBase[Month 1],PerBase[exp_item],$H963,PerBase[company_name],$B963)*L438)</f>
        <v>0</v>
      </c>
      <c r="M963" s="652">
        <f>IF($B963="",,SUMIFS(PerBase[Month 2],PerBase[exp_item],$H963,PerBase[company_name],$B963)*M438)</f>
        <v>0</v>
      </c>
      <c r="N963" s="652">
        <f>IF($B963="",,SUMIFS(PerBase[Month 3],PerBase[exp_item],$H963,PerBase[company_name],$B963)*N438)</f>
        <v>0</v>
      </c>
      <c r="O963" s="652">
        <f>IF($B963="",,SUMIFS(PerBase[Month 4],PerBase[exp_item],$H963,PerBase[company_name],$B963)*O438)</f>
        <v>0</v>
      </c>
      <c r="P963" s="652">
        <f>IF($B963="",,SUMIFS(PerBase[Month 5],PerBase[exp_item],$H963,PerBase[company_name],$B963)*P438)</f>
        <v>0</v>
      </c>
      <c r="Q963" s="652">
        <f>IF($B963="",,SUMIFS(PerBase[Month 6],PerBase[exp_item],$H963,PerBase[company_name],$B963)*Q438)</f>
        <v>0</v>
      </c>
      <c r="R963" s="652">
        <f>IF($B963="",,SUMIFS(PerBase[Month 7],PerBase[exp_item],$H963,PerBase[company_name],$B963)*R438)</f>
        <v>0</v>
      </c>
      <c r="S963" s="652">
        <f>IF($B963="",,SUMIFS(PerBase[Month 8],PerBase[exp_item],$H963,PerBase[company_name],$B963)*S438)</f>
        <v>0</v>
      </c>
      <c r="T963" s="652">
        <f>IF($B963="",,SUMIFS(PerBase[Month 9],PerBase[exp_item],$H963,PerBase[company_name],$B963)*T438)</f>
        <v>0</v>
      </c>
      <c r="U963" s="652">
        <f>IF($B963="",,SUMIFS(PerBase[Month 10],PerBase[exp_item],$H963,PerBase[company_name],$B963)*U438)</f>
        <v>0</v>
      </c>
      <c r="V963" s="652">
        <f>IF($B963="",,SUMIFS(PerBase[Month 11],PerBase[exp_item],$H963,PerBase[company_name],$B963)*V438)</f>
        <v>0</v>
      </c>
      <c r="W963" s="652">
        <f>IF($B963="",,SUMIFS(PerBase[Month 12],PerBase[exp_item],$H963,PerBase[company_name],$B963)*W438)</f>
        <v>0</v>
      </c>
      <c r="X963" s="652">
        <f>IF($B963="",,SUMIFS(PerBase[Month 13],PerBase[exp_item],$H963,PerBase[company_name],$B963)*X438)</f>
        <v>0</v>
      </c>
      <c r="Y963" s="652">
        <f>IF($B963="",,SUMIFS(PerBase[Month 14],PerBase[exp_item],$H963,PerBase[company_name],$B963)*Y438)</f>
        <v>0</v>
      </c>
      <c r="Z963" s="652">
        <f>IF($B963="",,SUMIFS(PerBase[Month 15],PerBase[exp_item],$H963,PerBase[company_name],$B963)*Z438)</f>
        <v>0</v>
      </c>
      <c r="AA963" s="652">
        <f>IF($B963="",,SUMIFS(PerBase[Month 16],PerBase[exp_item],$H963,PerBase[company_name],$B963)*AA438)</f>
        <v>0</v>
      </c>
      <c r="AB963" s="652">
        <f>IF($B963="",,SUMIFS(PerBase[Month 17],PerBase[exp_item],$H963,PerBase[company_name],$B963)*AB438)</f>
        <v>0</v>
      </c>
      <c r="AC963" s="652">
        <f>IF($B963="",,SUMIFS(PerBase[Month 18],PerBase[exp_item],$H963,PerBase[company_name],$B963)*AC438)</f>
        <v>0</v>
      </c>
      <c r="AD963" s="652">
        <f>IF($B963="",,SUMIFS(PerBase[Month 19],PerBase[exp_item],$H963,PerBase[company_name],$B963)*AD438)</f>
        <v>0</v>
      </c>
      <c r="AE963" s="652">
        <f>IF($B963="",,SUMIFS(PerBase[Month 20],PerBase[exp_item],$H963,PerBase[company_name],$B963)*AE438)</f>
        <v>0</v>
      </c>
      <c r="AF963" s="652">
        <f>IF($B963="",,SUMIFS(PerBase[Month 21],PerBase[exp_item],$H963,PerBase[company_name],$B963)*AF438)</f>
        <v>0</v>
      </c>
      <c r="AG963" s="652">
        <f>IF($B963="",,SUMIFS(PerBase[Month 22],PerBase[exp_item],$H963,PerBase[company_name],$B963)*AG438)</f>
        <v>0</v>
      </c>
      <c r="AH963" s="652">
        <f>IF($B963="",,SUMIFS(PerBase[Month 23],PerBase[exp_item],$H963,PerBase[company_name],$B963)*AH438)</f>
        <v>0</v>
      </c>
      <c r="AI963" s="652">
        <f>IF($B963="",,SUMIFS(PerBase[Month 24],PerBase[exp_item],$H963,PerBase[company_name],$B963)*AI438)</f>
        <v>0</v>
      </c>
      <c r="AJ963" s="652">
        <f>IF($B963="",,SUMIFS(PerBase[Month 25],PerBase[exp_item],$H963,PerBase[company_name],$B963)*AJ438)</f>
        <v>0</v>
      </c>
      <c r="AK963" s="652">
        <f>IF($B963="",,SUMIFS(PerBase[Month 26],PerBase[exp_item],$H963,PerBase[company_name],$B963)*AK438)</f>
        <v>0</v>
      </c>
      <c r="AL963" s="652">
        <f>IF($B963="",,SUMIFS(PerBase[Month 27],PerBase[exp_item],$H963,PerBase[company_name],$B963)*AL438)</f>
        <v>0</v>
      </c>
      <c r="AM963" s="652">
        <f>IF($B963="",,SUMIFS(PerBase[Month 28],PerBase[exp_item],$H963,PerBase[company_name],$B963)*AM438)</f>
        <v>0</v>
      </c>
      <c r="AN963" s="652">
        <f>IF($B963="",,SUMIFS(PerBase[Month 29],PerBase[exp_item],$H963,PerBase[company_name],$B963)*AN438)</f>
        <v>0</v>
      </c>
      <c r="AO963" s="652">
        <f>IF($B963="",,SUMIFS(PerBase[Month 30],PerBase[exp_item],$H963,PerBase[company_name],$B963)*AO438)</f>
        <v>0</v>
      </c>
      <c r="AP963" s="652">
        <f>IF($B963="",,SUMIFS(PerBase[Month 31],PerBase[exp_item],$H963,PerBase[company_name],$B963)*AP438)</f>
        <v>0</v>
      </c>
      <c r="AQ963" s="652">
        <f>IF($B963="",,SUMIFS(PerBase[Month 32],PerBase[exp_item],$H963,PerBase[company_name],$B963)*AQ438)</f>
        <v>0</v>
      </c>
      <c r="AR963" s="652">
        <f>IF($B963="",,SUMIFS(PerBase[Month 33],PerBase[exp_item],$H963,PerBase[company_name],$B963)*AR438)</f>
        <v>0</v>
      </c>
      <c r="AS963" s="652">
        <f>IF($B963="",,SUMIFS(PerBase[Month 34],PerBase[exp_item],$H963,PerBase[company_name],$B963)*AS438)</f>
        <v>0</v>
      </c>
      <c r="AT963" s="652">
        <f>IF($B963="",,SUMIFS(PerBase[Month 35],PerBase[exp_item],$H963,PerBase[company_name],$B963)*AT438)</f>
        <v>0</v>
      </c>
      <c r="AU963" s="652">
        <f>IF($B963="",,SUMIFS(PerBase[Month 36],PerBase[exp_item],$H963,PerBase[company_name],$B963)*AU438)</f>
        <v>0</v>
      </c>
    </row>
    <row r="964" spans="2:47" x14ac:dyDescent="0.35">
      <c r="B964" t="str">
        <f t="shared" si="589"/>
        <v/>
      </c>
      <c r="C964" t="str">
        <f t="shared" ref="C964:G964" si="600">IF(C859="","",C859)</f>
        <v/>
      </c>
      <c r="D964" t="str">
        <f t="shared" si="600"/>
        <v/>
      </c>
      <c r="E964" t="str">
        <f t="shared" si="600"/>
        <v/>
      </c>
      <c r="F964" t="str">
        <f t="shared" si="600"/>
        <v/>
      </c>
      <c r="G964" t="str">
        <f t="shared" si="600"/>
        <v/>
      </c>
      <c r="H964" t="str">
        <f t="shared" si="588"/>
        <v/>
      </c>
      <c r="J964" t="str">
        <f>IF($H964="","",IF(VLOOKUP(H964,ExpItems[],2,0),H964&amp;" - "&amp;INDEX(DivisionMapping[category_code],MATCH($D964&amp;$C964,DivisionMapping[dept_bu],0)),H964))</f>
        <v/>
      </c>
      <c r="K964" t="str">
        <f t="shared" si="556"/>
        <v/>
      </c>
      <c r="L964" s="652">
        <f>IF($B964="",,SUMIFS(PerBase[Month 1],PerBase[exp_item],$H964,PerBase[company_name],$B964)*L439)</f>
        <v>0</v>
      </c>
      <c r="M964" s="652">
        <f>IF($B964="",,SUMIFS(PerBase[Month 2],PerBase[exp_item],$H964,PerBase[company_name],$B964)*M439)</f>
        <v>0</v>
      </c>
      <c r="N964" s="652">
        <f>IF($B964="",,SUMIFS(PerBase[Month 3],PerBase[exp_item],$H964,PerBase[company_name],$B964)*N439)</f>
        <v>0</v>
      </c>
      <c r="O964" s="652">
        <f>IF($B964="",,SUMIFS(PerBase[Month 4],PerBase[exp_item],$H964,PerBase[company_name],$B964)*O439)</f>
        <v>0</v>
      </c>
      <c r="P964" s="652">
        <f>IF($B964="",,SUMIFS(PerBase[Month 5],PerBase[exp_item],$H964,PerBase[company_name],$B964)*P439)</f>
        <v>0</v>
      </c>
      <c r="Q964" s="652">
        <f>IF($B964="",,SUMIFS(PerBase[Month 6],PerBase[exp_item],$H964,PerBase[company_name],$B964)*Q439)</f>
        <v>0</v>
      </c>
      <c r="R964" s="652">
        <f>IF($B964="",,SUMIFS(PerBase[Month 7],PerBase[exp_item],$H964,PerBase[company_name],$B964)*R439)</f>
        <v>0</v>
      </c>
      <c r="S964" s="652">
        <f>IF($B964="",,SUMIFS(PerBase[Month 8],PerBase[exp_item],$H964,PerBase[company_name],$B964)*S439)</f>
        <v>0</v>
      </c>
      <c r="T964" s="652">
        <f>IF($B964="",,SUMIFS(PerBase[Month 9],PerBase[exp_item],$H964,PerBase[company_name],$B964)*T439)</f>
        <v>0</v>
      </c>
      <c r="U964" s="652">
        <f>IF($B964="",,SUMIFS(PerBase[Month 10],PerBase[exp_item],$H964,PerBase[company_name],$B964)*U439)</f>
        <v>0</v>
      </c>
      <c r="V964" s="652">
        <f>IF($B964="",,SUMIFS(PerBase[Month 11],PerBase[exp_item],$H964,PerBase[company_name],$B964)*V439)</f>
        <v>0</v>
      </c>
      <c r="W964" s="652">
        <f>IF($B964="",,SUMIFS(PerBase[Month 12],PerBase[exp_item],$H964,PerBase[company_name],$B964)*W439)</f>
        <v>0</v>
      </c>
      <c r="X964" s="652">
        <f>IF($B964="",,SUMIFS(PerBase[Month 13],PerBase[exp_item],$H964,PerBase[company_name],$B964)*X439)</f>
        <v>0</v>
      </c>
      <c r="Y964" s="652">
        <f>IF($B964="",,SUMIFS(PerBase[Month 14],PerBase[exp_item],$H964,PerBase[company_name],$B964)*Y439)</f>
        <v>0</v>
      </c>
      <c r="Z964" s="652">
        <f>IF($B964="",,SUMIFS(PerBase[Month 15],PerBase[exp_item],$H964,PerBase[company_name],$B964)*Z439)</f>
        <v>0</v>
      </c>
      <c r="AA964" s="652">
        <f>IF($B964="",,SUMIFS(PerBase[Month 16],PerBase[exp_item],$H964,PerBase[company_name],$B964)*AA439)</f>
        <v>0</v>
      </c>
      <c r="AB964" s="652">
        <f>IF($B964="",,SUMIFS(PerBase[Month 17],PerBase[exp_item],$H964,PerBase[company_name],$B964)*AB439)</f>
        <v>0</v>
      </c>
      <c r="AC964" s="652">
        <f>IF($B964="",,SUMIFS(PerBase[Month 18],PerBase[exp_item],$H964,PerBase[company_name],$B964)*AC439)</f>
        <v>0</v>
      </c>
      <c r="AD964" s="652">
        <f>IF($B964="",,SUMIFS(PerBase[Month 19],PerBase[exp_item],$H964,PerBase[company_name],$B964)*AD439)</f>
        <v>0</v>
      </c>
      <c r="AE964" s="652">
        <f>IF($B964="",,SUMIFS(PerBase[Month 20],PerBase[exp_item],$H964,PerBase[company_name],$B964)*AE439)</f>
        <v>0</v>
      </c>
      <c r="AF964" s="652">
        <f>IF($B964="",,SUMIFS(PerBase[Month 21],PerBase[exp_item],$H964,PerBase[company_name],$B964)*AF439)</f>
        <v>0</v>
      </c>
      <c r="AG964" s="652">
        <f>IF($B964="",,SUMIFS(PerBase[Month 22],PerBase[exp_item],$H964,PerBase[company_name],$B964)*AG439)</f>
        <v>0</v>
      </c>
      <c r="AH964" s="652">
        <f>IF($B964="",,SUMIFS(PerBase[Month 23],PerBase[exp_item],$H964,PerBase[company_name],$B964)*AH439)</f>
        <v>0</v>
      </c>
      <c r="AI964" s="652">
        <f>IF($B964="",,SUMIFS(PerBase[Month 24],PerBase[exp_item],$H964,PerBase[company_name],$B964)*AI439)</f>
        <v>0</v>
      </c>
      <c r="AJ964" s="652">
        <f>IF($B964="",,SUMIFS(PerBase[Month 25],PerBase[exp_item],$H964,PerBase[company_name],$B964)*AJ439)</f>
        <v>0</v>
      </c>
      <c r="AK964" s="652">
        <f>IF($B964="",,SUMIFS(PerBase[Month 26],PerBase[exp_item],$H964,PerBase[company_name],$B964)*AK439)</f>
        <v>0</v>
      </c>
      <c r="AL964" s="652">
        <f>IF($B964="",,SUMIFS(PerBase[Month 27],PerBase[exp_item],$H964,PerBase[company_name],$B964)*AL439)</f>
        <v>0</v>
      </c>
      <c r="AM964" s="652">
        <f>IF($B964="",,SUMIFS(PerBase[Month 28],PerBase[exp_item],$H964,PerBase[company_name],$B964)*AM439)</f>
        <v>0</v>
      </c>
      <c r="AN964" s="652">
        <f>IF($B964="",,SUMIFS(PerBase[Month 29],PerBase[exp_item],$H964,PerBase[company_name],$B964)*AN439)</f>
        <v>0</v>
      </c>
      <c r="AO964" s="652">
        <f>IF($B964="",,SUMIFS(PerBase[Month 30],PerBase[exp_item],$H964,PerBase[company_name],$B964)*AO439)</f>
        <v>0</v>
      </c>
      <c r="AP964" s="652">
        <f>IF($B964="",,SUMIFS(PerBase[Month 31],PerBase[exp_item],$H964,PerBase[company_name],$B964)*AP439)</f>
        <v>0</v>
      </c>
      <c r="AQ964" s="652">
        <f>IF($B964="",,SUMIFS(PerBase[Month 32],PerBase[exp_item],$H964,PerBase[company_name],$B964)*AQ439)</f>
        <v>0</v>
      </c>
      <c r="AR964" s="652">
        <f>IF($B964="",,SUMIFS(PerBase[Month 33],PerBase[exp_item],$H964,PerBase[company_name],$B964)*AR439)</f>
        <v>0</v>
      </c>
      <c r="AS964" s="652">
        <f>IF($B964="",,SUMIFS(PerBase[Month 34],PerBase[exp_item],$H964,PerBase[company_name],$B964)*AS439)</f>
        <v>0</v>
      </c>
      <c r="AT964" s="652">
        <f>IF($B964="",,SUMIFS(PerBase[Month 35],PerBase[exp_item],$H964,PerBase[company_name],$B964)*AT439)</f>
        <v>0</v>
      </c>
      <c r="AU964" s="652">
        <f>IF($B964="",,SUMIFS(PerBase[Month 36],PerBase[exp_item],$H964,PerBase[company_name],$B964)*AU439)</f>
        <v>0</v>
      </c>
    </row>
    <row r="965" spans="2:47" x14ac:dyDescent="0.35">
      <c r="B965" t="str">
        <f t="shared" si="589"/>
        <v/>
      </c>
      <c r="C965" t="str">
        <f t="shared" ref="C965:G965" si="601">IF(C860="","",C860)</f>
        <v/>
      </c>
      <c r="D965" t="str">
        <f t="shared" si="601"/>
        <v/>
      </c>
      <c r="E965" t="str">
        <f t="shared" si="601"/>
        <v/>
      </c>
      <c r="F965" t="str">
        <f t="shared" si="601"/>
        <v/>
      </c>
      <c r="G965" t="str">
        <f t="shared" si="601"/>
        <v/>
      </c>
      <c r="H965" t="str">
        <f t="shared" si="588"/>
        <v/>
      </c>
      <c r="J965" t="str">
        <f>IF($H965="","",IF(VLOOKUP(H965,ExpItems[],2,0),H965&amp;" - "&amp;INDEX(DivisionMapping[category_code],MATCH($D965&amp;$C965,DivisionMapping[dept_bu],0)),H965))</f>
        <v/>
      </c>
      <c r="K965" t="str">
        <f t="shared" si="556"/>
        <v/>
      </c>
      <c r="L965" s="652">
        <f>IF($B965="",,SUMIFS(PerBase[Month 1],PerBase[exp_item],$H965,PerBase[company_name],$B965)*L440)</f>
        <v>0</v>
      </c>
      <c r="M965" s="652">
        <f>IF($B965="",,SUMIFS(PerBase[Month 2],PerBase[exp_item],$H965,PerBase[company_name],$B965)*M440)</f>
        <v>0</v>
      </c>
      <c r="N965" s="652">
        <f>IF($B965="",,SUMIFS(PerBase[Month 3],PerBase[exp_item],$H965,PerBase[company_name],$B965)*N440)</f>
        <v>0</v>
      </c>
      <c r="O965" s="652">
        <f>IF($B965="",,SUMIFS(PerBase[Month 4],PerBase[exp_item],$H965,PerBase[company_name],$B965)*O440)</f>
        <v>0</v>
      </c>
      <c r="P965" s="652">
        <f>IF($B965="",,SUMIFS(PerBase[Month 5],PerBase[exp_item],$H965,PerBase[company_name],$B965)*P440)</f>
        <v>0</v>
      </c>
      <c r="Q965" s="652">
        <f>IF($B965="",,SUMIFS(PerBase[Month 6],PerBase[exp_item],$H965,PerBase[company_name],$B965)*Q440)</f>
        <v>0</v>
      </c>
      <c r="R965" s="652">
        <f>IF($B965="",,SUMIFS(PerBase[Month 7],PerBase[exp_item],$H965,PerBase[company_name],$B965)*R440)</f>
        <v>0</v>
      </c>
      <c r="S965" s="652">
        <f>IF($B965="",,SUMIFS(PerBase[Month 8],PerBase[exp_item],$H965,PerBase[company_name],$B965)*S440)</f>
        <v>0</v>
      </c>
      <c r="T965" s="652">
        <f>IF($B965="",,SUMIFS(PerBase[Month 9],PerBase[exp_item],$H965,PerBase[company_name],$B965)*T440)</f>
        <v>0</v>
      </c>
      <c r="U965" s="652">
        <f>IF($B965="",,SUMIFS(PerBase[Month 10],PerBase[exp_item],$H965,PerBase[company_name],$B965)*U440)</f>
        <v>0</v>
      </c>
      <c r="V965" s="652">
        <f>IF($B965="",,SUMIFS(PerBase[Month 11],PerBase[exp_item],$H965,PerBase[company_name],$B965)*V440)</f>
        <v>0</v>
      </c>
      <c r="W965" s="652">
        <f>IF($B965="",,SUMIFS(PerBase[Month 12],PerBase[exp_item],$H965,PerBase[company_name],$B965)*W440)</f>
        <v>0</v>
      </c>
      <c r="X965" s="652">
        <f>IF($B965="",,SUMIFS(PerBase[Month 13],PerBase[exp_item],$H965,PerBase[company_name],$B965)*X440)</f>
        <v>0</v>
      </c>
      <c r="Y965" s="652">
        <f>IF($B965="",,SUMIFS(PerBase[Month 14],PerBase[exp_item],$H965,PerBase[company_name],$B965)*Y440)</f>
        <v>0</v>
      </c>
      <c r="Z965" s="652">
        <f>IF($B965="",,SUMIFS(PerBase[Month 15],PerBase[exp_item],$H965,PerBase[company_name],$B965)*Z440)</f>
        <v>0</v>
      </c>
      <c r="AA965" s="652">
        <f>IF($B965="",,SUMIFS(PerBase[Month 16],PerBase[exp_item],$H965,PerBase[company_name],$B965)*AA440)</f>
        <v>0</v>
      </c>
      <c r="AB965" s="652">
        <f>IF($B965="",,SUMIFS(PerBase[Month 17],PerBase[exp_item],$H965,PerBase[company_name],$B965)*AB440)</f>
        <v>0</v>
      </c>
      <c r="AC965" s="652">
        <f>IF($B965="",,SUMIFS(PerBase[Month 18],PerBase[exp_item],$H965,PerBase[company_name],$B965)*AC440)</f>
        <v>0</v>
      </c>
      <c r="AD965" s="652">
        <f>IF($B965="",,SUMIFS(PerBase[Month 19],PerBase[exp_item],$H965,PerBase[company_name],$B965)*AD440)</f>
        <v>0</v>
      </c>
      <c r="AE965" s="652">
        <f>IF($B965="",,SUMIFS(PerBase[Month 20],PerBase[exp_item],$H965,PerBase[company_name],$B965)*AE440)</f>
        <v>0</v>
      </c>
      <c r="AF965" s="652">
        <f>IF($B965="",,SUMIFS(PerBase[Month 21],PerBase[exp_item],$H965,PerBase[company_name],$B965)*AF440)</f>
        <v>0</v>
      </c>
      <c r="AG965" s="652">
        <f>IF($B965="",,SUMIFS(PerBase[Month 22],PerBase[exp_item],$H965,PerBase[company_name],$B965)*AG440)</f>
        <v>0</v>
      </c>
      <c r="AH965" s="652">
        <f>IF($B965="",,SUMIFS(PerBase[Month 23],PerBase[exp_item],$H965,PerBase[company_name],$B965)*AH440)</f>
        <v>0</v>
      </c>
      <c r="AI965" s="652">
        <f>IF($B965="",,SUMIFS(PerBase[Month 24],PerBase[exp_item],$H965,PerBase[company_name],$B965)*AI440)</f>
        <v>0</v>
      </c>
      <c r="AJ965" s="652">
        <f>IF($B965="",,SUMIFS(PerBase[Month 25],PerBase[exp_item],$H965,PerBase[company_name],$B965)*AJ440)</f>
        <v>0</v>
      </c>
      <c r="AK965" s="652">
        <f>IF($B965="",,SUMIFS(PerBase[Month 26],PerBase[exp_item],$H965,PerBase[company_name],$B965)*AK440)</f>
        <v>0</v>
      </c>
      <c r="AL965" s="652">
        <f>IF($B965="",,SUMIFS(PerBase[Month 27],PerBase[exp_item],$H965,PerBase[company_name],$B965)*AL440)</f>
        <v>0</v>
      </c>
      <c r="AM965" s="652">
        <f>IF($B965="",,SUMIFS(PerBase[Month 28],PerBase[exp_item],$H965,PerBase[company_name],$B965)*AM440)</f>
        <v>0</v>
      </c>
      <c r="AN965" s="652">
        <f>IF($B965="",,SUMIFS(PerBase[Month 29],PerBase[exp_item],$H965,PerBase[company_name],$B965)*AN440)</f>
        <v>0</v>
      </c>
      <c r="AO965" s="652">
        <f>IF($B965="",,SUMIFS(PerBase[Month 30],PerBase[exp_item],$H965,PerBase[company_name],$B965)*AO440)</f>
        <v>0</v>
      </c>
      <c r="AP965" s="652">
        <f>IF($B965="",,SUMIFS(PerBase[Month 31],PerBase[exp_item],$H965,PerBase[company_name],$B965)*AP440)</f>
        <v>0</v>
      </c>
      <c r="AQ965" s="652">
        <f>IF($B965="",,SUMIFS(PerBase[Month 32],PerBase[exp_item],$H965,PerBase[company_name],$B965)*AQ440)</f>
        <v>0</v>
      </c>
      <c r="AR965" s="652">
        <f>IF($B965="",,SUMIFS(PerBase[Month 33],PerBase[exp_item],$H965,PerBase[company_name],$B965)*AR440)</f>
        <v>0</v>
      </c>
      <c r="AS965" s="652">
        <f>IF($B965="",,SUMIFS(PerBase[Month 34],PerBase[exp_item],$H965,PerBase[company_name],$B965)*AS440)</f>
        <v>0</v>
      </c>
      <c r="AT965" s="652">
        <f>IF($B965="",,SUMIFS(PerBase[Month 35],PerBase[exp_item],$H965,PerBase[company_name],$B965)*AT440)</f>
        <v>0</v>
      </c>
      <c r="AU965" s="652">
        <f>IF($B965="",,SUMIFS(PerBase[Month 36],PerBase[exp_item],$H965,PerBase[company_name],$B965)*AU440)</f>
        <v>0</v>
      </c>
    </row>
    <row r="966" spans="2:47" x14ac:dyDescent="0.35">
      <c r="B966" t="str">
        <f t="shared" si="589"/>
        <v/>
      </c>
      <c r="C966" t="str">
        <f t="shared" ref="C966:G966" si="602">IF(C861="","",C861)</f>
        <v/>
      </c>
      <c r="D966" t="str">
        <f t="shared" si="602"/>
        <v/>
      </c>
      <c r="E966" t="str">
        <f t="shared" si="602"/>
        <v/>
      </c>
      <c r="F966" t="str">
        <f t="shared" si="602"/>
        <v/>
      </c>
      <c r="G966" t="str">
        <f t="shared" si="602"/>
        <v/>
      </c>
      <c r="H966" t="str">
        <f t="shared" si="588"/>
        <v/>
      </c>
      <c r="J966" t="str">
        <f>IF($H966="","",IF(VLOOKUP(H966,ExpItems[],2,0),H966&amp;" - "&amp;INDEX(DivisionMapping[category_code],MATCH($D966&amp;$C966,DivisionMapping[dept_bu],0)),H966))</f>
        <v/>
      </c>
      <c r="K966" t="str">
        <f t="shared" si="556"/>
        <v/>
      </c>
      <c r="L966" s="652">
        <f>IF($B966="",,SUMIFS(PerBase[Month 1],PerBase[exp_item],$H966,PerBase[company_name],$B966)*L441)</f>
        <v>0</v>
      </c>
      <c r="M966" s="652">
        <f>IF($B966="",,SUMIFS(PerBase[Month 2],PerBase[exp_item],$H966,PerBase[company_name],$B966)*M441)</f>
        <v>0</v>
      </c>
      <c r="N966" s="652">
        <f>IF($B966="",,SUMIFS(PerBase[Month 3],PerBase[exp_item],$H966,PerBase[company_name],$B966)*N441)</f>
        <v>0</v>
      </c>
      <c r="O966" s="652">
        <f>IF($B966="",,SUMIFS(PerBase[Month 4],PerBase[exp_item],$H966,PerBase[company_name],$B966)*O441)</f>
        <v>0</v>
      </c>
      <c r="P966" s="652">
        <f>IF($B966="",,SUMIFS(PerBase[Month 5],PerBase[exp_item],$H966,PerBase[company_name],$B966)*P441)</f>
        <v>0</v>
      </c>
      <c r="Q966" s="652">
        <f>IF($B966="",,SUMIFS(PerBase[Month 6],PerBase[exp_item],$H966,PerBase[company_name],$B966)*Q441)</f>
        <v>0</v>
      </c>
      <c r="R966" s="652">
        <f>IF($B966="",,SUMIFS(PerBase[Month 7],PerBase[exp_item],$H966,PerBase[company_name],$B966)*R441)</f>
        <v>0</v>
      </c>
      <c r="S966" s="652">
        <f>IF($B966="",,SUMIFS(PerBase[Month 8],PerBase[exp_item],$H966,PerBase[company_name],$B966)*S441)</f>
        <v>0</v>
      </c>
      <c r="T966" s="652">
        <f>IF($B966="",,SUMIFS(PerBase[Month 9],PerBase[exp_item],$H966,PerBase[company_name],$B966)*T441)</f>
        <v>0</v>
      </c>
      <c r="U966" s="652">
        <f>IF($B966="",,SUMIFS(PerBase[Month 10],PerBase[exp_item],$H966,PerBase[company_name],$B966)*U441)</f>
        <v>0</v>
      </c>
      <c r="V966" s="652">
        <f>IF($B966="",,SUMIFS(PerBase[Month 11],PerBase[exp_item],$H966,PerBase[company_name],$B966)*V441)</f>
        <v>0</v>
      </c>
      <c r="W966" s="652">
        <f>IF($B966="",,SUMIFS(PerBase[Month 12],PerBase[exp_item],$H966,PerBase[company_name],$B966)*W441)</f>
        <v>0</v>
      </c>
      <c r="X966" s="652">
        <f>IF($B966="",,SUMIFS(PerBase[Month 13],PerBase[exp_item],$H966,PerBase[company_name],$B966)*X441)</f>
        <v>0</v>
      </c>
      <c r="Y966" s="652">
        <f>IF($B966="",,SUMIFS(PerBase[Month 14],PerBase[exp_item],$H966,PerBase[company_name],$B966)*Y441)</f>
        <v>0</v>
      </c>
      <c r="Z966" s="652">
        <f>IF($B966="",,SUMIFS(PerBase[Month 15],PerBase[exp_item],$H966,PerBase[company_name],$B966)*Z441)</f>
        <v>0</v>
      </c>
      <c r="AA966" s="652">
        <f>IF($B966="",,SUMIFS(PerBase[Month 16],PerBase[exp_item],$H966,PerBase[company_name],$B966)*AA441)</f>
        <v>0</v>
      </c>
      <c r="AB966" s="652">
        <f>IF($B966="",,SUMIFS(PerBase[Month 17],PerBase[exp_item],$H966,PerBase[company_name],$B966)*AB441)</f>
        <v>0</v>
      </c>
      <c r="AC966" s="652">
        <f>IF($B966="",,SUMIFS(PerBase[Month 18],PerBase[exp_item],$H966,PerBase[company_name],$B966)*AC441)</f>
        <v>0</v>
      </c>
      <c r="AD966" s="652">
        <f>IF($B966="",,SUMIFS(PerBase[Month 19],PerBase[exp_item],$H966,PerBase[company_name],$B966)*AD441)</f>
        <v>0</v>
      </c>
      <c r="AE966" s="652">
        <f>IF($B966="",,SUMIFS(PerBase[Month 20],PerBase[exp_item],$H966,PerBase[company_name],$B966)*AE441)</f>
        <v>0</v>
      </c>
      <c r="AF966" s="652">
        <f>IF($B966="",,SUMIFS(PerBase[Month 21],PerBase[exp_item],$H966,PerBase[company_name],$B966)*AF441)</f>
        <v>0</v>
      </c>
      <c r="AG966" s="652">
        <f>IF($B966="",,SUMIFS(PerBase[Month 22],PerBase[exp_item],$H966,PerBase[company_name],$B966)*AG441)</f>
        <v>0</v>
      </c>
      <c r="AH966" s="652">
        <f>IF($B966="",,SUMIFS(PerBase[Month 23],PerBase[exp_item],$H966,PerBase[company_name],$B966)*AH441)</f>
        <v>0</v>
      </c>
      <c r="AI966" s="652">
        <f>IF($B966="",,SUMIFS(PerBase[Month 24],PerBase[exp_item],$H966,PerBase[company_name],$B966)*AI441)</f>
        <v>0</v>
      </c>
      <c r="AJ966" s="652">
        <f>IF($B966="",,SUMIFS(PerBase[Month 25],PerBase[exp_item],$H966,PerBase[company_name],$B966)*AJ441)</f>
        <v>0</v>
      </c>
      <c r="AK966" s="652">
        <f>IF($B966="",,SUMIFS(PerBase[Month 26],PerBase[exp_item],$H966,PerBase[company_name],$B966)*AK441)</f>
        <v>0</v>
      </c>
      <c r="AL966" s="652">
        <f>IF($B966="",,SUMIFS(PerBase[Month 27],PerBase[exp_item],$H966,PerBase[company_name],$B966)*AL441)</f>
        <v>0</v>
      </c>
      <c r="AM966" s="652">
        <f>IF($B966="",,SUMIFS(PerBase[Month 28],PerBase[exp_item],$H966,PerBase[company_name],$B966)*AM441)</f>
        <v>0</v>
      </c>
      <c r="AN966" s="652">
        <f>IF($B966="",,SUMIFS(PerBase[Month 29],PerBase[exp_item],$H966,PerBase[company_name],$B966)*AN441)</f>
        <v>0</v>
      </c>
      <c r="AO966" s="652">
        <f>IF($B966="",,SUMIFS(PerBase[Month 30],PerBase[exp_item],$H966,PerBase[company_name],$B966)*AO441)</f>
        <v>0</v>
      </c>
      <c r="AP966" s="652">
        <f>IF($B966="",,SUMIFS(PerBase[Month 31],PerBase[exp_item],$H966,PerBase[company_name],$B966)*AP441)</f>
        <v>0</v>
      </c>
      <c r="AQ966" s="652">
        <f>IF($B966="",,SUMIFS(PerBase[Month 32],PerBase[exp_item],$H966,PerBase[company_name],$B966)*AQ441)</f>
        <v>0</v>
      </c>
      <c r="AR966" s="652">
        <f>IF($B966="",,SUMIFS(PerBase[Month 33],PerBase[exp_item],$H966,PerBase[company_name],$B966)*AR441)</f>
        <v>0</v>
      </c>
      <c r="AS966" s="652">
        <f>IF($B966="",,SUMIFS(PerBase[Month 34],PerBase[exp_item],$H966,PerBase[company_name],$B966)*AS441)</f>
        <v>0</v>
      </c>
      <c r="AT966" s="652">
        <f>IF($B966="",,SUMIFS(PerBase[Month 35],PerBase[exp_item],$H966,PerBase[company_name],$B966)*AT441)</f>
        <v>0</v>
      </c>
      <c r="AU966" s="652">
        <f>IF($B966="",,SUMIFS(PerBase[Month 36],PerBase[exp_item],$H966,PerBase[company_name],$B966)*AU441)</f>
        <v>0</v>
      </c>
    </row>
    <row r="967" spans="2:47" x14ac:dyDescent="0.35">
      <c r="B967" t="str">
        <f t="shared" si="589"/>
        <v/>
      </c>
      <c r="C967" t="str">
        <f t="shared" ref="C967:G967" si="603">IF(C862="","",C862)</f>
        <v/>
      </c>
      <c r="D967" t="str">
        <f t="shared" si="603"/>
        <v/>
      </c>
      <c r="E967" t="str">
        <f t="shared" si="603"/>
        <v/>
      </c>
      <c r="F967" t="str">
        <f t="shared" si="603"/>
        <v/>
      </c>
      <c r="G967" t="str">
        <f t="shared" si="603"/>
        <v/>
      </c>
      <c r="H967" t="str">
        <f t="shared" si="588"/>
        <v/>
      </c>
      <c r="J967" t="str">
        <f>IF($H967="","",IF(VLOOKUP(H967,ExpItems[],2,0),H967&amp;" - "&amp;INDEX(DivisionMapping[category_code],MATCH($D967&amp;$C967,DivisionMapping[dept_bu],0)),H967))</f>
        <v/>
      </c>
      <c r="K967" t="str">
        <f t="shared" si="556"/>
        <v/>
      </c>
      <c r="L967" s="652">
        <f>IF($B967="",,SUMIFS(PerBase[Month 1],PerBase[exp_item],$H967,PerBase[company_name],$B967)*L442)</f>
        <v>0</v>
      </c>
      <c r="M967" s="652">
        <f>IF($B967="",,SUMIFS(PerBase[Month 2],PerBase[exp_item],$H967,PerBase[company_name],$B967)*M442)</f>
        <v>0</v>
      </c>
      <c r="N967" s="652">
        <f>IF($B967="",,SUMIFS(PerBase[Month 3],PerBase[exp_item],$H967,PerBase[company_name],$B967)*N442)</f>
        <v>0</v>
      </c>
      <c r="O967" s="652">
        <f>IF($B967="",,SUMIFS(PerBase[Month 4],PerBase[exp_item],$H967,PerBase[company_name],$B967)*O442)</f>
        <v>0</v>
      </c>
      <c r="P967" s="652">
        <f>IF($B967="",,SUMIFS(PerBase[Month 5],PerBase[exp_item],$H967,PerBase[company_name],$B967)*P442)</f>
        <v>0</v>
      </c>
      <c r="Q967" s="652">
        <f>IF($B967="",,SUMIFS(PerBase[Month 6],PerBase[exp_item],$H967,PerBase[company_name],$B967)*Q442)</f>
        <v>0</v>
      </c>
      <c r="R967" s="652">
        <f>IF($B967="",,SUMIFS(PerBase[Month 7],PerBase[exp_item],$H967,PerBase[company_name],$B967)*R442)</f>
        <v>0</v>
      </c>
      <c r="S967" s="652">
        <f>IF($B967="",,SUMIFS(PerBase[Month 8],PerBase[exp_item],$H967,PerBase[company_name],$B967)*S442)</f>
        <v>0</v>
      </c>
      <c r="T967" s="652">
        <f>IF($B967="",,SUMIFS(PerBase[Month 9],PerBase[exp_item],$H967,PerBase[company_name],$B967)*T442)</f>
        <v>0</v>
      </c>
      <c r="U967" s="652">
        <f>IF($B967="",,SUMIFS(PerBase[Month 10],PerBase[exp_item],$H967,PerBase[company_name],$B967)*U442)</f>
        <v>0</v>
      </c>
      <c r="V967" s="652">
        <f>IF($B967="",,SUMIFS(PerBase[Month 11],PerBase[exp_item],$H967,PerBase[company_name],$B967)*V442)</f>
        <v>0</v>
      </c>
      <c r="W967" s="652">
        <f>IF($B967="",,SUMIFS(PerBase[Month 12],PerBase[exp_item],$H967,PerBase[company_name],$B967)*W442)</f>
        <v>0</v>
      </c>
      <c r="X967" s="652">
        <f>IF($B967="",,SUMIFS(PerBase[Month 13],PerBase[exp_item],$H967,PerBase[company_name],$B967)*X442)</f>
        <v>0</v>
      </c>
      <c r="Y967" s="652">
        <f>IF($B967="",,SUMIFS(PerBase[Month 14],PerBase[exp_item],$H967,PerBase[company_name],$B967)*Y442)</f>
        <v>0</v>
      </c>
      <c r="Z967" s="652">
        <f>IF($B967="",,SUMIFS(PerBase[Month 15],PerBase[exp_item],$H967,PerBase[company_name],$B967)*Z442)</f>
        <v>0</v>
      </c>
      <c r="AA967" s="652">
        <f>IF($B967="",,SUMIFS(PerBase[Month 16],PerBase[exp_item],$H967,PerBase[company_name],$B967)*AA442)</f>
        <v>0</v>
      </c>
      <c r="AB967" s="652">
        <f>IF($B967="",,SUMIFS(PerBase[Month 17],PerBase[exp_item],$H967,PerBase[company_name],$B967)*AB442)</f>
        <v>0</v>
      </c>
      <c r="AC967" s="652">
        <f>IF($B967="",,SUMIFS(PerBase[Month 18],PerBase[exp_item],$H967,PerBase[company_name],$B967)*AC442)</f>
        <v>0</v>
      </c>
      <c r="AD967" s="652">
        <f>IF($B967="",,SUMIFS(PerBase[Month 19],PerBase[exp_item],$H967,PerBase[company_name],$B967)*AD442)</f>
        <v>0</v>
      </c>
      <c r="AE967" s="652">
        <f>IF($B967="",,SUMIFS(PerBase[Month 20],PerBase[exp_item],$H967,PerBase[company_name],$B967)*AE442)</f>
        <v>0</v>
      </c>
      <c r="AF967" s="652">
        <f>IF($B967="",,SUMIFS(PerBase[Month 21],PerBase[exp_item],$H967,PerBase[company_name],$B967)*AF442)</f>
        <v>0</v>
      </c>
      <c r="AG967" s="652">
        <f>IF($B967="",,SUMIFS(PerBase[Month 22],PerBase[exp_item],$H967,PerBase[company_name],$B967)*AG442)</f>
        <v>0</v>
      </c>
      <c r="AH967" s="652">
        <f>IF($B967="",,SUMIFS(PerBase[Month 23],PerBase[exp_item],$H967,PerBase[company_name],$B967)*AH442)</f>
        <v>0</v>
      </c>
      <c r="AI967" s="652">
        <f>IF($B967="",,SUMIFS(PerBase[Month 24],PerBase[exp_item],$H967,PerBase[company_name],$B967)*AI442)</f>
        <v>0</v>
      </c>
      <c r="AJ967" s="652">
        <f>IF($B967="",,SUMIFS(PerBase[Month 25],PerBase[exp_item],$H967,PerBase[company_name],$B967)*AJ442)</f>
        <v>0</v>
      </c>
      <c r="AK967" s="652">
        <f>IF($B967="",,SUMIFS(PerBase[Month 26],PerBase[exp_item],$H967,PerBase[company_name],$B967)*AK442)</f>
        <v>0</v>
      </c>
      <c r="AL967" s="652">
        <f>IF($B967="",,SUMIFS(PerBase[Month 27],PerBase[exp_item],$H967,PerBase[company_name],$B967)*AL442)</f>
        <v>0</v>
      </c>
      <c r="AM967" s="652">
        <f>IF($B967="",,SUMIFS(PerBase[Month 28],PerBase[exp_item],$H967,PerBase[company_name],$B967)*AM442)</f>
        <v>0</v>
      </c>
      <c r="AN967" s="652">
        <f>IF($B967="",,SUMIFS(PerBase[Month 29],PerBase[exp_item],$H967,PerBase[company_name],$B967)*AN442)</f>
        <v>0</v>
      </c>
      <c r="AO967" s="652">
        <f>IF($B967="",,SUMIFS(PerBase[Month 30],PerBase[exp_item],$H967,PerBase[company_name],$B967)*AO442)</f>
        <v>0</v>
      </c>
      <c r="AP967" s="652">
        <f>IF($B967="",,SUMIFS(PerBase[Month 31],PerBase[exp_item],$H967,PerBase[company_name],$B967)*AP442)</f>
        <v>0</v>
      </c>
      <c r="AQ967" s="652">
        <f>IF($B967="",,SUMIFS(PerBase[Month 32],PerBase[exp_item],$H967,PerBase[company_name],$B967)*AQ442)</f>
        <v>0</v>
      </c>
      <c r="AR967" s="652">
        <f>IF($B967="",,SUMIFS(PerBase[Month 33],PerBase[exp_item],$H967,PerBase[company_name],$B967)*AR442)</f>
        <v>0</v>
      </c>
      <c r="AS967" s="652">
        <f>IF($B967="",,SUMIFS(PerBase[Month 34],PerBase[exp_item],$H967,PerBase[company_name],$B967)*AS442)</f>
        <v>0</v>
      </c>
      <c r="AT967" s="652">
        <f>IF($B967="",,SUMIFS(PerBase[Month 35],PerBase[exp_item],$H967,PerBase[company_name],$B967)*AT442)</f>
        <v>0</v>
      </c>
      <c r="AU967" s="652">
        <f>IF($B967="",,SUMIFS(PerBase[Month 36],PerBase[exp_item],$H967,PerBase[company_name],$B967)*AU442)</f>
        <v>0</v>
      </c>
    </row>
    <row r="968" spans="2:47" x14ac:dyDescent="0.35">
      <c r="B968" t="str">
        <f t="shared" si="589"/>
        <v/>
      </c>
      <c r="C968" t="str">
        <f t="shared" ref="C968:G968" si="604">IF(C863="","",C863)</f>
        <v/>
      </c>
      <c r="D968" t="str">
        <f t="shared" si="604"/>
        <v/>
      </c>
      <c r="E968" t="str">
        <f t="shared" si="604"/>
        <v/>
      </c>
      <c r="F968" t="str">
        <f t="shared" si="604"/>
        <v/>
      </c>
      <c r="G968" t="str">
        <f t="shared" si="604"/>
        <v/>
      </c>
      <c r="H968" t="str">
        <f t="shared" si="588"/>
        <v/>
      </c>
      <c r="J968" t="str">
        <f>IF($H968="","",IF(VLOOKUP(H968,ExpItems[],2,0),H968&amp;" - "&amp;INDEX(DivisionMapping[category_code],MATCH($D968&amp;$C968,DivisionMapping[dept_bu],0)),H968))</f>
        <v/>
      </c>
      <c r="K968" t="str">
        <f t="shared" si="556"/>
        <v/>
      </c>
      <c r="L968" s="652">
        <f>IF($B968="",,SUMIFS(PerBase[Month 1],PerBase[exp_item],$H968,PerBase[company_name],$B968)*L443)</f>
        <v>0</v>
      </c>
      <c r="M968" s="652">
        <f>IF($B968="",,SUMIFS(PerBase[Month 2],PerBase[exp_item],$H968,PerBase[company_name],$B968)*M443)</f>
        <v>0</v>
      </c>
      <c r="N968" s="652">
        <f>IF($B968="",,SUMIFS(PerBase[Month 3],PerBase[exp_item],$H968,PerBase[company_name],$B968)*N443)</f>
        <v>0</v>
      </c>
      <c r="O968" s="652">
        <f>IF($B968="",,SUMIFS(PerBase[Month 4],PerBase[exp_item],$H968,PerBase[company_name],$B968)*O443)</f>
        <v>0</v>
      </c>
      <c r="P968" s="652">
        <f>IF($B968="",,SUMIFS(PerBase[Month 5],PerBase[exp_item],$H968,PerBase[company_name],$B968)*P443)</f>
        <v>0</v>
      </c>
      <c r="Q968" s="652">
        <f>IF($B968="",,SUMIFS(PerBase[Month 6],PerBase[exp_item],$H968,PerBase[company_name],$B968)*Q443)</f>
        <v>0</v>
      </c>
      <c r="R968" s="652">
        <f>IF($B968="",,SUMIFS(PerBase[Month 7],PerBase[exp_item],$H968,PerBase[company_name],$B968)*R443)</f>
        <v>0</v>
      </c>
      <c r="S968" s="652">
        <f>IF($B968="",,SUMIFS(PerBase[Month 8],PerBase[exp_item],$H968,PerBase[company_name],$B968)*S443)</f>
        <v>0</v>
      </c>
      <c r="T968" s="652">
        <f>IF($B968="",,SUMIFS(PerBase[Month 9],PerBase[exp_item],$H968,PerBase[company_name],$B968)*T443)</f>
        <v>0</v>
      </c>
      <c r="U968" s="652">
        <f>IF($B968="",,SUMIFS(PerBase[Month 10],PerBase[exp_item],$H968,PerBase[company_name],$B968)*U443)</f>
        <v>0</v>
      </c>
      <c r="V968" s="652">
        <f>IF($B968="",,SUMIFS(PerBase[Month 11],PerBase[exp_item],$H968,PerBase[company_name],$B968)*V443)</f>
        <v>0</v>
      </c>
      <c r="W968" s="652">
        <f>IF($B968="",,SUMIFS(PerBase[Month 12],PerBase[exp_item],$H968,PerBase[company_name],$B968)*W443)</f>
        <v>0</v>
      </c>
      <c r="X968" s="652">
        <f>IF($B968="",,SUMIFS(PerBase[Month 13],PerBase[exp_item],$H968,PerBase[company_name],$B968)*X443)</f>
        <v>0</v>
      </c>
      <c r="Y968" s="652">
        <f>IF($B968="",,SUMIFS(PerBase[Month 14],PerBase[exp_item],$H968,PerBase[company_name],$B968)*Y443)</f>
        <v>0</v>
      </c>
      <c r="Z968" s="652">
        <f>IF($B968="",,SUMIFS(PerBase[Month 15],PerBase[exp_item],$H968,PerBase[company_name],$B968)*Z443)</f>
        <v>0</v>
      </c>
      <c r="AA968" s="652">
        <f>IF($B968="",,SUMIFS(PerBase[Month 16],PerBase[exp_item],$H968,PerBase[company_name],$B968)*AA443)</f>
        <v>0</v>
      </c>
      <c r="AB968" s="652">
        <f>IF($B968="",,SUMIFS(PerBase[Month 17],PerBase[exp_item],$H968,PerBase[company_name],$B968)*AB443)</f>
        <v>0</v>
      </c>
      <c r="AC968" s="652">
        <f>IF($B968="",,SUMIFS(PerBase[Month 18],PerBase[exp_item],$H968,PerBase[company_name],$B968)*AC443)</f>
        <v>0</v>
      </c>
      <c r="AD968" s="652">
        <f>IF($B968="",,SUMIFS(PerBase[Month 19],PerBase[exp_item],$H968,PerBase[company_name],$B968)*AD443)</f>
        <v>0</v>
      </c>
      <c r="AE968" s="652">
        <f>IF($B968="",,SUMIFS(PerBase[Month 20],PerBase[exp_item],$H968,PerBase[company_name],$B968)*AE443)</f>
        <v>0</v>
      </c>
      <c r="AF968" s="652">
        <f>IF($B968="",,SUMIFS(PerBase[Month 21],PerBase[exp_item],$H968,PerBase[company_name],$B968)*AF443)</f>
        <v>0</v>
      </c>
      <c r="AG968" s="652">
        <f>IF($B968="",,SUMIFS(PerBase[Month 22],PerBase[exp_item],$H968,PerBase[company_name],$B968)*AG443)</f>
        <v>0</v>
      </c>
      <c r="AH968" s="652">
        <f>IF($B968="",,SUMIFS(PerBase[Month 23],PerBase[exp_item],$H968,PerBase[company_name],$B968)*AH443)</f>
        <v>0</v>
      </c>
      <c r="AI968" s="652">
        <f>IF($B968="",,SUMIFS(PerBase[Month 24],PerBase[exp_item],$H968,PerBase[company_name],$B968)*AI443)</f>
        <v>0</v>
      </c>
      <c r="AJ968" s="652">
        <f>IF($B968="",,SUMIFS(PerBase[Month 25],PerBase[exp_item],$H968,PerBase[company_name],$B968)*AJ443)</f>
        <v>0</v>
      </c>
      <c r="AK968" s="652">
        <f>IF($B968="",,SUMIFS(PerBase[Month 26],PerBase[exp_item],$H968,PerBase[company_name],$B968)*AK443)</f>
        <v>0</v>
      </c>
      <c r="AL968" s="652">
        <f>IF($B968="",,SUMIFS(PerBase[Month 27],PerBase[exp_item],$H968,PerBase[company_name],$B968)*AL443)</f>
        <v>0</v>
      </c>
      <c r="AM968" s="652">
        <f>IF($B968="",,SUMIFS(PerBase[Month 28],PerBase[exp_item],$H968,PerBase[company_name],$B968)*AM443)</f>
        <v>0</v>
      </c>
      <c r="AN968" s="652">
        <f>IF($B968="",,SUMIFS(PerBase[Month 29],PerBase[exp_item],$H968,PerBase[company_name],$B968)*AN443)</f>
        <v>0</v>
      </c>
      <c r="AO968" s="652">
        <f>IF($B968="",,SUMIFS(PerBase[Month 30],PerBase[exp_item],$H968,PerBase[company_name],$B968)*AO443)</f>
        <v>0</v>
      </c>
      <c r="AP968" s="652">
        <f>IF($B968="",,SUMIFS(PerBase[Month 31],PerBase[exp_item],$H968,PerBase[company_name],$B968)*AP443)</f>
        <v>0</v>
      </c>
      <c r="AQ968" s="652">
        <f>IF($B968="",,SUMIFS(PerBase[Month 32],PerBase[exp_item],$H968,PerBase[company_name],$B968)*AQ443)</f>
        <v>0</v>
      </c>
      <c r="AR968" s="652">
        <f>IF($B968="",,SUMIFS(PerBase[Month 33],PerBase[exp_item],$H968,PerBase[company_name],$B968)*AR443)</f>
        <v>0</v>
      </c>
      <c r="AS968" s="652">
        <f>IF($B968="",,SUMIFS(PerBase[Month 34],PerBase[exp_item],$H968,PerBase[company_name],$B968)*AS443)</f>
        <v>0</v>
      </c>
      <c r="AT968" s="652">
        <f>IF($B968="",,SUMIFS(PerBase[Month 35],PerBase[exp_item],$H968,PerBase[company_name],$B968)*AT443)</f>
        <v>0</v>
      </c>
      <c r="AU968" s="652">
        <f>IF($B968="",,SUMIFS(PerBase[Month 36],PerBase[exp_item],$H968,PerBase[company_name],$B968)*AU443)</f>
        <v>0</v>
      </c>
    </row>
    <row r="969" spans="2:47" x14ac:dyDescent="0.35">
      <c r="B969" t="str">
        <f t="shared" si="589"/>
        <v/>
      </c>
      <c r="C969" t="str">
        <f t="shared" ref="C969:G969" si="605">IF(C864="","",C864)</f>
        <v/>
      </c>
      <c r="D969" t="str">
        <f t="shared" si="605"/>
        <v/>
      </c>
      <c r="E969" t="str">
        <f t="shared" si="605"/>
        <v/>
      </c>
      <c r="F969" t="str">
        <f t="shared" si="605"/>
        <v/>
      </c>
      <c r="G969" t="str">
        <f t="shared" si="605"/>
        <v/>
      </c>
      <c r="H969" t="str">
        <f t="shared" si="588"/>
        <v/>
      </c>
      <c r="J969" t="str">
        <f>IF($H969="","",IF(VLOOKUP(H969,ExpItems[],2,0),H969&amp;" - "&amp;INDEX(DivisionMapping[category_code],MATCH($D969&amp;$C969,DivisionMapping[dept_bu],0)),H969))</f>
        <v/>
      </c>
      <c r="K969" t="str">
        <f t="shared" si="556"/>
        <v/>
      </c>
      <c r="L969" s="652">
        <f>IF($B969="",,SUMIFS(PerBase[Month 1],PerBase[exp_item],$H969,PerBase[company_name],$B969)*L444)</f>
        <v>0</v>
      </c>
      <c r="M969" s="652">
        <f>IF($B969="",,SUMIFS(PerBase[Month 2],PerBase[exp_item],$H969,PerBase[company_name],$B969)*M444)</f>
        <v>0</v>
      </c>
      <c r="N969" s="652">
        <f>IF($B969="",,SUMIFS(PerBase[Month 3],PerBase[exp_item],$H969,PerBase[company_name],$B969)*N444)</f>
        <v>0</v>
      </c>
      <c r="O969" s="652">
        <f>IF($B969="",,SUMIFS(PerBase[Month 4],PerBase[exp_item],$H969,PerBase[company_name],$B969)*O444)</f>
        <v>0</v>
      </c>
      <c r="P969" s="652">
        <f>IF($B969="",,SUMIFS(PerBase[Month 5],PerBase[exp_item],$H969,PerBase[company_name],$B969)*P444)</f>
        <v>0</v>
      </c>
      <c r="Q969" s="652">
        <f>IF($B969="",,SUMIFS(PerBase[Month 6],PerBase[exp_item],$H969,PerBase[company_name],$B969)*Q444)</f>
        <v>0</v>
      </c>
      <c r="R969" s="652">
        <f>IF($B969="",,SUMIFS(PerBase[Month 7],PerBase[exp_item],$H969,PerBase[company_name],$B969)*R444)</f>
        <v>0</v>
      </c>
      <c r="S969" s="652">
        <f>IF($B969="",,SUMIFS(PerBase[Month 8],PerBase[exp_item],$H969,PerBase[company_name],$B969)*S444)</f>
        <v>0</v>
      </c>
      <c r="T969" s="652">
        <f>IF($B969="",,SUMIFS(PerBase[Month 9],PerBase[exp_item],$H969,PerBase[company_name],$B969)*T444)</f>
        <v>0</v>
      </c>
      <c r="U969" s="652">
        <f>IF($B969="",,SUMIFS(PerBase[Month 10],PerBase[exp_item],$H969,PerBase[company_name],$B969)*U444)</f>
        <v>0</v>
      </c>
      <c r="V969" s="652">
        <f>IF($B969="",,SUMIFS(PerBase[Month 11],PerBase[exp_item],$H969,PerBase[company_name],$B969)*V444)</f>
        <v>0</v>
      </c>
      <c r="W969" s="652">
        <f>IF($B969="",,SUMIFS(PerBase[Month 12],PerBase[exp_item],$H969,PerBase[company_name],$B969)*W444)</f>
        <v>0</v>
      </c>
      <c r="X969" s="652">
        <f>IF($B969="",,SUMIFS(PerBase[Month 13],PerBase[exp_item],$H969,PerBase[company_name],$B969)*X444)</f>
        <v>0</v>
      </c>
      <c r="Y969" s="652">
        <f>IF($B969="",,SUMIFS(PerBase[Month 14],PerBase[exp_item],$H969,PerBase[company_name],$B969)*Y444)</f>
        <v>0</v>
      </c>
      <c r="Z969" s="652">
        <f>IF($B969="",,SUMIFS(PerBase[Month 15],PerBase[exp_item],$H969,PerBase[company_name],$B969)*Z444)</f>
        <v>0</v>
      </c>
      <c r="AA969" s="652">
        <f>IF($B969="",,SUMIFS(PerBase[Month 16],PerBase[exp_item],$H969,PerBase[company_name],$B969)*AA444)</f>
        <v>0</v>
      </c>
      <c r="AB969" s="652">
        <f>IF($B969="",,SUMIFS(PerBase[Month 17],PerBase[exp_item],$H969,PerBase[company_name],$B969)*AB444)</f>
        <v>0</v>
      </c>
      <c r="AC969" s="652">
        <f>IF($B969="",,SUMIFS(PerBase[Month 18],PerBase[exp_item],$H969,PerBase[company_name],$B969)*AC444)</f>
        <v>0</v>
      </c>
      <c r="AD969" s="652">
        <f>IF($B969="",,SUMIFS(PerBase[Month 19],PerBase[exp_item],$H969,PerBase[company_name],$B969)*AD444)</f>
        <v>0</v>
      </c>
      <c r="AE969" s="652">
        <f>IF($B969="",,SUMIFS(PerBase[Month 20],PerBase[exp_item],$H969,PerBase[company_name],$B969)*AE444)</f>
        <v>0</v>
      </c>
      <c r="AF969" s="652">
        <f>IF($B969="",,SUMIFS(PerBase[Month 21],PerBase[exp_item],$H969,PerBase[company_name],$B969)*AF444)</f>
        <v>0</v>
      </c>
      <c r="AG969" s="652">
        <f>IF($B969="",,SUMIFS(PerBase[Month 22],PerBase[exp_item],$H969,PerBase[company_name],$B969)*AG444)</f>
        <v>0</v>
      </c>
      <c r="AH969" s="652">
        <f>IF($B969="",,SUMIFS(PerBase[Month 23],PerBase[exp_item],$H969,PerBase[company_name],$B969)*AH444)</f>
        <v>0</v>
      </c>
      <c r="AI969" s="652">
        <f>IF($B969="",,SUMIFS(PerBase[Month 24],PerBase[exp_item],$H969,PerBase[company_name],$B969)*AI444)</f>
        <v>0</v>
      </c>
      <c r="AJ969" s="652">
        <f>IF($B969="",,SUMIFS(PerBase[Month 25],PerBase[exp_item],$H969,PerBase[company_name],$B969)*AJ444)</f>
        <v>0</v>
      </c>
      <c r="AK969" s="652">
        <f>IF($B969="",,SUMIFS(PerBase[Month 26],PerBase[exp_item],$H969,PerBase[company_name],$B969)*AK444)</f>
        <v>0</v>
      </c>
      <c r="AL969" s="652">
        <f>IF($B969="",,SUMIFS(PerBase[Month 27],PerBase[exp_item],$H969,PerBase[company_name],$B969)*AL444)</f>
        <v>0</v>
      </c>
      <c r="AM969" s="652">
        <f>IF($B969="",,SUMIFS(PerBase[Month 28],PerBase[exp_item],$H969,PerBase[company_name],$B969)*AM444)</f>
        <v>0</v>
      </c>
      <c r="AN969" s="652">
        <f>IF($B969="",,SUMIFS(PerBase[Month 29],PerBase[exp_item],$H969,PerBase[company_name],$B969)*AN444)</f>
        <v>0</v>
      </c>
      <c r="AO969" s="652">
        <f>IF($B969="",,SUMIFS(PerBase[Month 30],PerBase[exp_item],$H969,PerBase[company_name],$B969)*AO444)</f>
        <v>0</v>
      </c>
      <c r="AP969" s="652">
        <f>IF($B969="",,SUMIFS(PerBase[Month 31],PerBase[exp_item],$H969,PerBase[company_name],$B969)*AP444)</f>
        <v>0</v>
      </c>
      <c r="AQ969" s="652">
        <f>IF($B969="",,SUMIFS(PerBase[Month 32],PerBase[exp_item],$H969,PerBase[company_name],$B969)*AQ444)</f>
        <v>0</v>
      </c>
      <c r="AR969" s="652">
        <f>IF($B969="",,SUMIFS(PerBase[Month 33],PerBase[exp_item],$H969,PerBase[company_name],$B969)*AR444)</f>
        <v>0</v>
      </c>
      <c r="AS969" s="652">
        <f>IF($B969="",,SUMIFS(PerBase[Month 34],PerBase[exp_item],$H969,PerBase[company_name],$B969)*AS444)</f>
        <v>0</v>
      </c>
      <c r="AT969" s="652">
        <f>IF($B969="",,SUMIFS(PerBase[Month 35],PerBase[exp_item],$H969,PerBase[company_name],$B969)*AT444)</f>
        <v>0</v>
      </c>
      <c r="AU969" s="652">
        <f>IF($B969="",,SUMIFS(PerBase[Month 36],PerBase[exp_item],$H969,PerBase[company_name],$B969)*AU444)</f>
        <v>0</v>
      </c>
    </row>
    <row r="970" spans="2:47" x14ac:dyDescent="0.35">
      <c r="B970" t="str">
        <f t="shared" si="589"/>
        <v/>
      </c>
      <c r="C970" t="str">
        <f t="shared" ref="C970:G970" si="606">IF(C865="","",C865)</f>
        <v/>
      </c>
      <c r="D970" t="str">
        <f t="shared" si="606"/>
        <v/>
      </c>
      <c r="E970" t="str">
        <f t="shared" si="606"/>
        <v/>
      </c>
      <c r="F970" t="str">
        <f t="shared" si="606"/>
        <v/>
      </c>
      <c r="G970" t="str">
        <f t="shared" si="606"/>
        <v/>
      </c>
      <c r="H970" t="str">
        <f t="shared" si="588"/>
        <v/>
      </c>
      <c r="J970" t="str">
        <f>IF($H970="","",IF(VLOOKUP(H970,ExpItems[],2,0),H970&amp;" - "&amp;INDEX(DivisionMapping[category_code],MATCH($D970&amp;$C970,DivisionMapping[dept_bu],0)),H970))</f>
        <v/>
      </c>
      <c r="K970" t="str">
        <f t="shared" si="556"/>
        <v/>
      </c>
      <c r="L970" s="652">
        <f>IF($B970="",,SUMIFS(PerBase[Month 1],PerBase[exp_item],$H970,PerBase[company_name],$B970)*L445)</f>
        <v>0</v>
      </c>
      <c r="M970" s="652">
        <f>IF($B970="",,SUMIFS(PerBase[Month 2],PerBase[exp_item],$H970,PerBase[company_name],$B970)*M445)</f>
        <v>0</v>
      </c>
      <c r="N970" s="652">
        <f>IF($B970="",,SUMIFS(PerBase[Month 3],PerBase[exp_item],$H970,PerBase[company_name],$B970)*N445)</f>
        <v>0</v>
      </c>
      <c r="O970" s="652">
        <f>IF($B970="",,SUMIFS(PerBase[Month 4],PerBase[exp_item],$H970,PerBase[company_name],$B970)*O445)</f>
        <v>0</v>
      </c>
      <c r="P970" s="652">
        <f>IF($B970="",,SUMIFS(PerBase[Month 5],PerBase[exp_item],$H970,PerBase[company_name],$B970)*P445)</f>
        <v>0</v>
      </c>
      <c r="Q970" s="652">
        <f>IF($B970="",,SUMIFS(PerBase[Month 6],PerBase[exp_item],$H970,PerBase[company_name],$B970)*Q445)</f>
        <v>0</v>
      </c>
      <c r="R970" s="652">
        <f>IF($B970="",,SUMIFS(PerBase[Month 7],PerBase[exp_item],$H970,PerBase[company_name],$B970)*R445)</f>
        <v>0</v>
      </c>
      <c r="S970" s="652">
        <f>IF($B970="",,SUMIFS(PerBase[Month 8],PerBase[exp_item],$H970,PerBase[company_name],$B970)*S445)</f>
        <v>0</v>
      </c>
      <c r="T970" s="652">
        <f>IF($B970="",,SUMIFS(PerBase[Month 9],PerBase[exp_item],$H970,PerBase[company_name],$B970)*T445)</f>
        <v>0</v>
      </c>
      <c r="U970" s="652">
        <f>IF($B970="",,SUMIFS(PerBase[Month 10],PerBase[exp_item],$H970,PerBase[company_name],$B970)*U445)</f>
        <v>0</v>
      </c>
      <c r="V970" s="652">
        <f>IF($B970="",,SUMIFS(PerBase[Month 11],PerBase[exp_item],$H970,PerBase[company_name],$B970)*V445)</f>
        <v>0</v>
      </c>
      <c r="W970" s="652">
        <f>IF($B970="",,SUMIFS(PerBase[Month 12],PerBase[exp_item],$H970,PerBase[company_name],$B970)*W445)</f>
        <v>0</v>
      </c>
      <c r="X970" s="652">
        <f>IF($B970="",,SUMIFS(PerBase[Month 13],PerBase[exp_item],$H970,PerBase[company_name],$B970)*X445)</f>
        <v>0</v>
      </c>
      <c r="Y970" s="652">
        <f>IF($B970="",,SUMIFS(PerBase[Month 14],PerBase[exp_item],$H970,PerBase[company_name],$B970)*Y445)</f>
        <v>0</v>
      </c>
      <c r="Z970" s="652">
        <f>IF($B970="",,SUMIFS(PerBase[Month 15],PerBase[exp_item],$H970,PerBase[company_name],$B970)*Z445)</f>
        <v>0</v>
      </c>
      <c r="AA970" s="652">
        <f>IF($B970="",,SUMIFS(PerBase[Month 16],PerBase[exp_item],$H970,PerBase[company_name],$B970)*AA445)</f>
        <v>0</v>
      </c>
      <c r="AB970" s="652">
        <f>IF($B970="",,SUMIFS(PerBase[Month 17],PerBase[exp_item],$H970,PerBase[company_name],$B970)*AB445)</f>
        <v>0</v>
      </c>
      <c r="AC970" s="652">
        <f>IF($B970="",,SUMIFS(PerBase[Month 18],PerBase[exp_item],$H970,PerBase[company_name],$B970)*AC445)</f>
        <v>0</v>
      </c>
      <c r="AD970" s="652">
        <f>IF($B970="",,SUMIFS(PerBase[Month 19],PerBase[exp_item],$H970,PerBase[company_name],$B970)*AD445)</f>
        <v>0</v>
      </c>
      <c r="AE970" s="652">
        <f>IF($B970="",,SUMIFS(PerBase[Month 20],PerBase[exp_item],$H970,PerBase[company_name],$B970)*AE445)</f>
        <v>0</v>
      </c>
      <c r="AF970" s="652">
        <f>IF($B970="",,SUMIFS(PerBase[Month 21],PerBase[exp_item],$H970,PerBase[company_name],$B970)*AF445)</f>
        <v>0</v>
      </c>
      <c r="AG970" s="652">
        <f>IF($B970="",,SUMIFS(PerBase[Month 22],PerBase[exp_item],$H970,PerBase[company_name],$B970)*AG445)</f>
        <v>0</v>
      </c>
      <c r="AH970" s="652">
        <f>IF($B970="",,SUMIFS(PerBase[Month 23],PerBase[exp_item],$H970,PerBase[company_name],$B970)*AH445)</f>
        <v>0</v>
      </c>
      <c r="AI970" s="652">
        <f>IF($B970="",,SUMIFS(PerBase[Month 24],PerBase[exp_item],$H970,PerBase[company_name],$B970)*AI445)</f>
        <v>0</v>
      </c>
      <c r="AJ970" s="652">
        <f>IF($B970="",,SUMIFS(PerBase[Month 25],PerBase[exp_item],$H970,PerBase[company_name],$B970)*AJ445)</f>
        <v>0</v>
      </c>
      <c r="AK970" s="652">
        <f>IF($B970="",,SUMIFS(PerBase[Month 26],PerBase[exp_item],$H970,PerBase[company_name],$B970)*AK445)</f>
        <v>0</v>
      </c>
      <c r="AL970" s="652">
        <f>IF($B970="",,SUMIFS(PerBase[Month 27],PerBase[exp_item],$H970,PerBase[company_name],$B970)*AL445)</f>
        <v>0</v>
      </c>
      <c r="AM970" s="652">
        <f>IF($B970="",,SUMIFS(PerBase[Month 28],PerBase[exp_item],$H970,PerBase[company_name],$B970)*AM445)</f>
        <v>0</v>
      </c>
      <c r="AN970" s="652">
        <f>IF($B970="",,SUMIFS(PerBase[Month 29],PerBase[exp_item],$H970,PerBase[company_name],$B970)*AN445)</f>
        <v>0</v>
      </c>
      <c r="AO970" s="652">
        <f>IF($B970="",,SUMIFS(PerBase[Month 30],PerBase[exp_item],$H970,PerBase[company_name],$B970)*AO445)</f>
        <v>0</v>
      </c>
      <c r="AP970" s="652">
        <f>IF($B970="",,SUMIFS(PerBase[Month 31],PerBase[exp_item],$H970,PerBase[company_name],$B970)*AP445)</f>
        <v>0</v>
      </c>
      <c r="AQ970" s="652">
        <f>IF($B970="",,SUMIFS(PerBase[Month 32],PerBase[exp_item],$H970,PerBase[company_name],$B970)*AQ445)</f>
        <v>0</v>
      </c>
      <c r="AR970" s="652">
        <f>IF($B970="",,SUMIFS(PerBase[Month 33],PerBase[exp_item],$H970,PerBase[company_name],$B970)*AR445)</f>
        <v>0</v>
      </c>
      <c r="AS970" s="652">
        <f>IF($B970="",,SUMIFS(PerBase[Month 34],PerBase[exp_item],$H970,PerBase[company_name],$B970)*AS445)</f>
        <v>0</v>
      </c>
      <c r="AT970" s="652">
        <f>IF($B970="",,SUMIFS(PerBase[Month 35],PerBase[exp_item],$H970,PerBase[company_name],$B970)*AT445)</f>
        <v>0</v>
      </c>
      <c r="AU970" s="652">
        <f>IF($B970="",,SUMIFS(PerBase[Month 36],PerBase[exp_item],$H970,PerBase[company_name],$B970)*AU445)</f>
        <v>0</v>
      </c>
    </row>
    <row r="971" spans="2:47" x14ac:dyDescent="0.35">
      <c r="B971" t="str">
        <f t="shared" si="589"/>
        <v/>
      </c>
      <c r="C971" t="str">
        <f t="shared" ref="C971:G971" si="607">IF(C866="","",C866)</f>
        <v/>
      </c>
      <c r="D971" t="str">
        <f t="shared" si="607"/>
        <v/>
      </c>
      <c r="E971" t="str">
        <f t="shared" si="607"/>
        <v/>
      </c>
      <c r="F971" t="str">
        <f t="shared" si="607"/>
        <v/>
      </c>
      <c r="G971" t="str">
        <f t="shared" si="607"/>
        <v/>
      </c>
      <c r="H971" t="str">
        <f t="shared" si="588"/>
        <v/>
      </c>
      <c r="J971" t="str">
        <f>IF($H971="","",IF(VLOOKUP(H971,ExpItems[],2,0),H971&amp;" - "&amp;INDEX(DivisionMapping[category_code],MATCH($D971&amp;$C971,DivisionMapping[dept_bu],0)),H971))</f>
        <v/>
      </c>
      <c r="K971" t="str">
        <f t="shared" si="556"/>
        <v/>
      </c>
      <c r="L971" s="652">
        <f>IF($B971="",,SUMIFS(PerBase[Month 1],PerBase[exp_item],$H971,PerBase[company_name],$B971)*L446)</f>
        <v>0</v>
      </c>
      <c r="M971" s="652">
        <f>IF($B971="",,SUMIFS(PerBase[Month 2],PerBase[exp_item],$H971,PerBase[company_name],$B971)*M446)</f>
        <v>0</v>
      </c>
      <c r="N971" s="652">
        <f>IF($B971="",,SUMIFS(PerBase[Month 3],PerBase[exp_item],$H971,PerBase[company_name],$B971)*N446)</f>
        <v>0</v>
      </c>
      <c r="O971" s="652">
        <f>IF($B971="",,SUMIFS(PerBase[Month 4],PerBase[exp_item],$H971,PerBase[company_name],$B971)*O446)</f>
        <v>0</v>
      </c>
      <c r="P971" s="652">
        <f>IF($B971="",,SUMIFS(PerBase[Month 5],PerBase[exp_item],$H971,PerBase[company_name],$B971)*P446)</f>
        <v>0</v>
      </c>
      <c r="Q971" s="652">
        <f>IF($B971="",,SUMIFS(PerBase[Month 6],PerBase[exp_item],$H971,PerBase[company_name],$B971)*Q446)</f>
        <v>0</v>
      </c>
      <c r="R971" s="652">
        <f>IF($B971="",,SUMIFS(PerBase[Month 7],PerBase[exp_item],$H971,PerBase[company_name],$B971)*R446)</f>
        <v>0</v>
      </c>
      <c r="S971" s="652">
        <f>IF($B971="",,SUMIFS(PerBase[Month 8],PerBase[exp_item],$H971,PerBase[company_name],$B971)*S446)</f>
        <v>0</v>
      </c>
      <c r="T971" s="652">
        <f>IF($B971="",,SUMIFS(PerBase[Month 9],PerBase[exp_item],$H971,PerBase[company_name],$B971)*T446)</f>
        <v>0</v>
      </c>
      <c r="U971" s="652">
        <f>IF($B971="",,SUMIFS(PerBase[Month 10],PerBase[exp_item],$H971,PerBase[company_name],$B971)*U446)</f>
        <v>0</v>
      </c>
      <c r="V971" s="652">
        <f>IF($B971="",,SUMIFS(PerBase[Month 11],PerBase[exp_item],$H971,PerBase[company_name],$B971)*V446)</f>
        <v>0</v>
      </c>
      <c r="W971" s="652">
        <f>IF($B971="",,SUMIFS(PerBase[Month 12],PerBase[exp_item],$H971,PerBase[company_name],$B971)*W446)</f>
        <v>0</v>
      </c>
      <c r="X971" s="652">
        <f>IF($B971="",,SUMIFS(PerBase[Month 13],PerBase[exp_item],$H971,PerBase[company_name],$B971)*X446)</f>
        <v>0</v>
      </c>
      <c r="Y971" s="652">
        <f>IF($B971="",,SUMIFS(PerBase[Month 14],PerBase[exp_item],$H971,PerBase[company_name],$B971)*Y446)</f>
        <v>0</v>
      </c>
      <c r="Z971" s="652">
        <f>IF($B971="",,SUMIFS(PerBase[Month 15],PerBase[exp_item],$H971,PerBase[company_name],$B971)*Z446)</f>
        <v>0</v>
      </c>
      <c r="AA971" s="652">
        <f>IF($B971="",,SUMIFS(PerBase[Month 16],PerBase[exp_item],$H971,PerBase[company_name],$B971)*AA446)</f>
        <v>0</v>
      </c>
      <c r="AB971" s="652">
        <f>IF($B971="",,SUMIFS(PerBase[Month 17],PerBase[exp_item],$H971,PerBase[company_name],$B971)*AB446)</f>
        <v>0</v>
      </c>
      <c r="AC971" s="652">
        <f>IF($B971="",,SUMIFS(PerBase[Month 18],PerBase[exp_item],$H971,PerBase[company_name],$B971)*AC446)</f>
        <v>0</v>
      </c>
      <c r="AD971" s="652">
        <f>IF($B971="",,SUMIFS(PerBase[Month 19],PerBase[exp_item],$H971,PerBase[company_name],$B971)*AD446)</f>
        <v>0</v>
      </c>
      <c r="AE971" s="652">
        <f>IF($B971="",,SUMIFS(PerBase[Month 20],PerBase[exp_item],$H971,PerBase[company_name],$B971)*AE446)</f>
        <v>0</v>
      </c>
      <c r="AF971" s="652">
        <f>IF($B971="",,SUMIFS(PerBase[Month 21],PerBase[exp_item],$H971,PerBase[company_name],$B971)*AF446)</f>
        <v>0</v>
      </c>
      <c r="AG971" s="652">
        <f>IF($B971="",,SUMIFS(PerBase[Month 22],PerBase[exp_item],$H971,PerBase[company_name],$B971)*AG446)</f>
        <v>0</v>
      </c>
      <c r="AH971" s="652">
        <f>IF($B971="",,SUMIFS(PerBase[Month 23],PerBase[exp_item],$H971,PerBase[company_name],$B971)*AH446)</f>
        <v>0</v>
      </c>
      <c r="AI971" s="652">
        <f>IF($B971="",,SUMIFS(PerBase[Month 24],PerBase[exp_item],$H971,PerBase[company_name],$B971)*AI446)</f>
        <v>0</v>
      </c>
      <c r="AJ971" s="652">
        <f>IF($B971="",,SUMIFS(PerBase[Month 25],PerBase[exp_item],$H971,PerBase[company_name],$B971)*AJ446)</f>
        <v>0</v>
      </c>
      <c r="AK971" s="652">
        <f>IF($B971="",,SUMIFS(PerBase[Month 26],PerBase[exp_item],$H971,PerBase[company_name],$B971)*AK446)</f>
        <v>0</v>
      </c>
      <c r="AL971" s="652">
        <f>IF($B971="",,SUMIFS(PerBase[Month 27],PerBase[exp_item],$H971,PerBase[company_name],$B971)*AL446)</f>
        <v>0</v>
      </c>
      <c r="AM971" s="652">
        <f>IF($B971="",,SUMIFS(PerBase[Month 28],PerBase[exp_item],$H971,PerBase[company_name],$B971)*AM446)</f>
        <v>0</v>
      </c>
      <c r="AN971" s="652">
        <f>IF($B971="",,SUMIFS(PerBase[Month 29],PerBase[exp_item],$H971,PerBase[company_name],$B971)*AN446)</f>
        <v>0</v>
      </c>
      <c r="AO971" s="652">
        <f>IF($B971="",,SUMIFS(PerBase[Month 30],PerBase[exp_item],$H971,PerBase[company_name],$B971)*AO446)</f>
        <v>0</v>
      </c>
      <c r="AP971" s="652">
        <f>IF($B971="",,SUMIFS(PerBase[Month 31],PerBase[exp_item],$H971,PerBase[company_name],$B971)*AP446)</f>
        <v>0</v>
      </c>
      <c r="AQ971" s="652">
        <f>IF($B971="",,SUMIFS(PerBase[Month 32],PerBase[exp_item],$H971,PerBase[company_name],$B971)*AQ446)</f>
        <v>0</v>
      </c>
      <c r="AR971" s="652">
        <f>IF($B971="",,SUMIFS(PerBase[Month 33],PerBase[exp_item],$H971,PerBase[company_name],$B971)*AR446)</f>
        <v>0</v>
      </c>
      <c r="AS971" s="652">
        <f>IF($B971="",,SUMIFS(PerBase[Month 34],PerBase[exp_item],$H971,PerBase[company_name],$B971)*AS446)</f>
        <v>0</v>
      </c>
      <c r="AT971" s="652">
        <f>IF($B971="",,SUMIFS(PerBase[Month 35],PerBase[exp_item],$H971,PerBase[company_name],$B971)*AT446)</f>
        <v>0</v>
      </c>
      <c r="AU971" s="652">
        <f>IF($B971="",,SUMIFS(PerBase[Month 36],PerBase[exp_item],$H971,PerBase[company_name],$B971)*AU446)</f>
        <v>0</v>
      </c>
    </row>
    <row r="972" spans="2:47" x14ac:dyDescent="0.35">
      <c r="B972" t="str">
        <f t="shared" si="589"/>
        <v/>
      </c>
      <c r="C972" t="str">
        <f t="shared" ref="C972:G972" si="608">IF(C867="","",C867)</f>
        <v/>
      </c>
      <c r="D972" t="str">
        <f t="shared" si="608"/>
        <v/>
      </c>
      <c r="E972" t="str">
        <f t="shared" si="608"/>
        <v/>
      </c>
      <c r="F972" t="str">
        <f t="shared" si="608"/>
        <v/>
      </c>
      <c r="G972" t="str">
        <f t="shared" si="608"/>
        <v/>
      </c>
      <c r="H972" t="str">
        <f t="shared" si="588"/>
        <v/>
      </c>
      <c r="J972" t="str">
        <f>IF($H972="","",IF(VLOOKUP(H972,ExpItems[],2,0),H972&amp;" - "&amp;INDEX(DivisionMapping[category_code],MATCH($D972&amp;$C972,DivisionMapping[dept_bu],0)),H972))</f>
        <v/>
      </c>
      <c r="K972" t="str">
        <f t="shared" si="556"/>
        <v/>
      </c>
      <c r="L972" s="652">
        <f>IF($B972="",,SUMIFS(PerBase[Month 1],PerBase[exp_item],$H972,PerBase[company_name],$B972)*L447)</f>
        <v>0</v>
      </c>
      <c r="M972" s="652">
        <f>IF($B972="",,SUMIFS(PerBase[Month 2],PerBase[exp_item],$H972,PerBase[company_name],$B972)*M447)</f>
        <v>0</v>
      </c>
      <c r="N972" s="652">
        <f>IF($B972="",,SUMIFS(PerBase[Month 3],PerBase[exp_item],$H972,PerBase[company_name],$B972)*N447)</f>
        <v>0</v>
      </c>
      <c r="O972" s="652">
        <f>IF($B972="",,SUMIFS(PerBase[Month 4],PerBase[exp_item],$H972,PerBase[company_name],$B972)*O447)</f>
        <v>0</v>
      </c>
      <c r="P972" s="652">
        <f>IF($B972="",,SUMIFS(PerBase[Month 5],PerBase[exp_item],$H972,PerBase[company_name],$B972)*P447)</f>
        <v>0</v>
      </c>
      <c r="Q972" s="652">
        <f>IF($B972="",,SUMIFS(PerBase[Month 6],PerBase[exp_item],$H972,PerBase[company_name],$B972)*Q447)</f>
        <v>0</v>
      </c>
      <c r="R972" s="652">
        <f>IF($B972="",,SUMIFS(PerBase[Month 7],PerBase[exp_item],$H972,PerBase[company_name],$B972)*R447)</f>
        <v>0</v>
      </c>
      <c r="S972" s="652">
        <f>IF($B972="",,SUMIFS(PerBase[Month 8],PerBase[exp_item],$H972,PerBase[company_name],$B972)*S447)</f>
        <v>0</v>
      </c>
      <c r="T972" s="652">
        <f>IF($B972="",,SUMIFS(PerBase[Month 9],PerBase[exp_item],$H972,PerBase[company_name],$B972)*T447)</f>
        <v>0</v>
      </c>
      <c r="U972" s="652">
        <f>IF($B972="",,SUMIFS(PerBase[Month 10],PerBase[exp_item],$H972,PerBase[company_name],$B972)*U447)</f>
        <v>0</v>
      </c>
      <c r="V972" s="652">
        <f>IF($B972="",,SUMIFS(PerBase[Month 11],PerBase[exp_item],$H972,PerBase[company_name],$B972)*V447)</f>
        <v>0</v>
      </c>
      <c r="W972" s="652">
        <f>IF($B972="",,SUMIFS(PerBase[Month 12],PerBase[exp_item],$H972,PerBase[company_name],$B972)*W447)</f>
        <v>0</v>
      </c>
      <c r="X972" s="652">
        <f>IF($B972="",,SUMIFS(PerBase[Month 13],PerBase[exp_item],$H972,PerBase[company_name],$B972)*X447)</f>
        <v>0</v>
      </c>
      <c r="Y972" s="652">
        <f>IF($B972="",,SUMIFS(PerBase[Month 14],PerBase[exp_item],$H972,PerBase[company_name],$B972)*Y447)</f>
        <v>0</v>
      </c>
      <c r="Z972" s="652">
        <f>IF($B972="",,SUMIFS(PerBase[Month 15],PerBase[exp_item],$H972,PerBase[company_name],$B972)*Z447)</f>
        <v>0</v>
      </c>
      <c r="AA972" s="652">
        <f>IF($B972="",,SUMIFS(PerBase[Month 16],PerBase[exp_item],$H972,PerBase[company_name],$B972)*AA447)</f>
        <v>0</v>
      </c>
      <c r="AB972" s="652">
        <f>IF($B972="",,SUMIFS(PerBase[Month 17],PerBase[exp_item],$H972,PerBase[company_name],$B972)*AB447)</f>
        <v>0</v>
      </c>
      <c r="AC972" s="652">
        <f>IF($B972="",,SUMIFS(PerBase[Month 18],PerBase[exp_item],$H972,PerBase[company_name],$B972)*AC447)</f>
        <v>0</v>
      </c>
      <c r="AD972" s="652">
        <f>IF($B972="",,SUMIFS(PerBase[Month 19],PerBase[exp_item],$H972,PerBase[company_name],$B972)*AD447)</f>
        <v>0</v>
      </c>
      <c r="AE972" s="652">
        <f>IF($B972="",,SUMIFS(PerBase[Month 20],PerBase[exp_item],$H972,PerBase[company_name],$B972)*AE447)</f>
        <v>0</v>
      </c>
      <c r="AF972" s="652">
        <f>IF($B972="",,SUMIFS(PerBase[Month 21],PerBase[exp_item],$H972,PerBase[company_name],$B972)*AF447)</f>
        <v>0</v>
      </c>
      <c r="AG972" s="652">
        <f>IF($B972="",,SUMIFS(PerBase[Month 22],PerBase[exp_item],$H972,PerBase[company_name],$B972)*AG447)</f>
        <v>0</v>
      </c>
      <c r="AH972" s="652">
        <f>IF($B972="",,SUMIFS(PerBase[Month 23],PerBase[exp_item],$H972,PerBase[company_name],$B972)*AH447)</f>
        <v>0</v>
      </c>
      <c r="AI972" s="652">
        <f>IF($B972="",,SUMIFS(PerBase[Month 24],PerBase[exp_item],$H972,PerBase[company_name],$B972)*AI447)</f>
        <v>0</v>
      </c>
      <c r="AJ972" s="652">
        <f>IF($B972="",,SUMIFS(PerBase[Month 25],PerBase[exp_item],$H972,PerBase[company_name],$B972)*AJ447)</f>
        <v>0</v>
      </c>
      <c r="AK972" s="652">
        <f>IF($B972="",,SUMIFS(PerBase[Month 26],PerBase[exp_item],$H972,PerBase[company_name],$B972)*AK447)</f>
        <v>0</v>
      </c>
      <c r="AL972" s="652">
        <f>IF($B972="",,SUMIFS(PerBase[Month 27],PerBase[exp_item],$H972,PerBase[company_name],$B972)*AL447)</f>
        <v>0</v>
      </c>
      <c r="AM972" s="652">
        <f>IF($B972="",,SUMIFS(PerBase[Month 28],PerBase[exp_item],$H972,PerBase[company_name],$B972)*AM447)</f>
        <v>0</v>
      </c>
      <c r="AN972" s="652">
        <f>IF($B972="",,SUMIFS(PerBase[Month 29],PerBase[exp_item],$H972,PerBase[company_name],$B972)*AN447)</f>
        <v>0</v>
      </c>
      <c r="AO972" s="652">
        <f>IF($B972="",,SUMIFS(PerBase[Month 30],PerBase[exp_item],$H972,PerBase[company_name],$B972)*AO447)</f>
        <v>0</v>
      </c>
      <c r="AP972" s="652">
        <f>IF($B972="",,SUMIFS(PerBase[Month 31],PerBase[exp_item],$H972,PerBase[company_name],$B972)*AP447)</f>
        <v>0</v>
      </c>
      <c r="AQ972" s="652">
        <f>IF($B972="",,SUMIFS(PerBase[Month 32],PerBase[exp_item],$H972,PerBase[company_name],$B972)*AQ447)</f>
        <v>0</v>
      </c>
      <c r="AR972" s="652">
        <f>IF($B972="",,SUMIFS(PerBase[Month 33],PerBase[exp_item],$H972,PerBase[company_name],$B972)*AR447)</f>
        <v>0</v>
      </c>
      <c r="AS972" s="652">
        <f>IF($B972="",,SUMIFS(PerBase[Month 34],PerBase[exp_item],$H972,PerBase[company_name],$B972)*AS447)</f>
        <v>0</v>
      </c>
      <c r="AT972" s="652">
        <f>IF($B972="",,SUMIFS(PerBase[Month 35],PerBase[exp_item],$H972,PerBase[company_name],$B972)*AT447)</f>
        <v>0</v>
      </c>
      <c r="AU972" s="652">
        <f>IF($B972="",,SUMIFS(PerBase[Month 36],PerBase[exp_item],$H972,PerBase[company_name],$B972)*AU447)</f>
        <v>0</v>
      </c>
    </row>
    <row r="973" spans="2:47" x14ac:dyDescent="0.35">
      <c r="B973" t="str">
        <f t="shared" si="589"/>
        <v/>
      </c>
      <c r="C973" t="str">
        <f t="shared" ref="C973:G973" si="609">IF(C868="","",C868)</f>
        <v/>
      </c>
      <c r="D973" t="str">
        <f t="shared" si="609"/>
        <v/>
      </c>
      <c r="E973" t="str">
        <f t="shared" si="609"/>
        <v/>
      </c>
      <c r="F973" t="str">
        <f t="shared" si="609"/>
        <v/>
      </c>
      <c r="G973" t="str">
        <f t="shared" si="609"/>
        <v/>
      </c>
      <c r="H973" t="str">
        <f t="shared" si="588"/>
        <v/>
      </c>
      <c r="J973" t="str">
        <f>IF($H973="","",IF(VLOOKUP(H973,ExpItems[],2,0),H973&amp;" - "&amp;INDEX(DivisionMapping[category_code],MATCH($D973&amp;$C973,DivisionMapping[dept_bu],0)),H973))</f>
        <v/>
      </c>
      <c r="K973" t="str">
        <f t="shared" si="556"/>
        <v/>
      </c>
      <c r="L973" s="652">
        <f>IF($B973="",,SUMIFS(PerBase[Month 1],PerBase[exp_item],$H973,PerBase[company_name],$B973)*L448)</f>
        <v>0</v>
      </c>
      <c r="M973" s="652">
        <f>IF($B973="",,SUMIFS(PerBase[Month 2],PerBase[exp_item],$H973,PerBase[company_name],$B973)*M448)</f>
        <v>0</v>
      </c>
      <c r="N973" s="652">
        <f>IF($B973="",,SUMIFS(PerBase[Month 3],PerBase[exp_item],$H973,PerBase[company_name],$B973)*N448)</f>
        <v>0</v>
      </c>
      <c r="O973" s="652">
        <f>IF($B973="",,SUMIFS(PerBase[Month 4],PerBase[exp_item],$H973,PerBase[company_name],$B973)*O448)</f>
        <v>0</v>
      </c>
      <c r="P973" s="652">
        <f>IF($B973="",,SUMIFS(PerBase[Month 5],PerBase[exp_item],$H973,PerBase[company_name],$B973)*P448)</f>
        <v>0</v>
      </c>
      <c r="Q973" s="652">
        <f>IF($B973="",,SUMIFS(PerBase[Month 6],PerBase[exp_item],$H973,PerBase[company_name],$B973)*Q448)</f>
        <v>0</v>
      </c>
      <c r="R973" s="652">
        <f>IF($B973="",,SUMIFS(PerBase[Month 7],PerBase[exp_item],$H973,PerBase[company_name],$B973)*R448)</f>
        <v>0</v>
      </c>
      <c r="S973" s="652">
        <f>IF($B973="",,SUMIFS(PerBase[Month 8],PerBase[exp_item],$H973,PerBase[company_name],$B973)*S448)</f>
        <v>0</v>
      </c>
      <c r="T973" s="652">
        <f>IF($B973="",,SUMIFS(PerBase[Month 9],PerBase[exp_item],$H973,PerBase[company_name],$B973)*T448)</f>
        <v>0</v>
      </c>
      <c r="U973" s="652">
        <f>IF($B973="",,SUMIFS(PerBase[Month 10],PerBase[exp_item],$H973,PerBase[company_name],$B973)*U448)</f>
        <v>0</v>
      </c>
      <c r="V973" s="652">
        <f>IF($B973="",,SUMIFS(PerBase[Month 11],PerBase[exp_item],$H973,PerBase[company_name],$B973)*V448)</f>
        <v>0</v>
      </c>
      <c r="W973" s="652">
        <f>IF($B973="",,SUMIFS(PerBase[Month 12],PerBase[exp_item],$H973,PerBase[company_name],$B973)*W448)</f>
        <v>0</v>
      </c>
      <c r="X973" s="652">
        <f>IF($B973="",,SUMIFS(PerBase[Month 13],PerBase[exp_item],$H973,PerBase[company_name],$B973)*X448)</f>
        <v>0</v>
      </c>
      <c r="Y973" s="652">
        <f>IF($B973="",,SUMIFS(PerBase[Month 14],PerBase[exp_item],$H973,PerBase[company_name],$B973)*Y448)</f>
        <v>0</v>
      </c>
      <c r="Z973" s="652">
        <f>IF($B973="",,SUMIFS(PerBase[Month 15],PerBase[exp_item],$H973,PerBase[company_name],$B973)*Z448)</f>
        <v>0</v>
      </c>
      <c r="AA973" s="652">
        <f>IF($B973="",,SUMIFS(PerBase[Month 16],PerBase[exp_item],$H973,PerBase[company_name],$B973)*AA448)</f>
        <v>0</v>
      </c>
      <c r="AB973" s="652">
        <f>IF($B973="",,SUMIFS(PerBase[Month 17],PerBase[exp_item],$H973,PerBase[company_name],$B973)*AB448)</f>
        <v>0</v>
      </c>
      <c r="AC973" s="652">
        <f>IF($B973="",,SUMIFS(PerBase[Month 18],PerBase[exp_item],$H973,PerBase[company_name],$B973)*AC448)</f>
        <v>0</v>
      </c>
      <c r="AD973" s="652">
        <f>IF($B973="",,SUMIFS(PerBase[Month 19],PerBase[exp_item],$H973,PerBase[company_name],$B973)*AD448)</f>
        <v>0</v>
      </c>
      <c r="AE973" s="652">
        <f>IF($B973="",,SUMIFS(PerBase[Month 20],PerBase[exp_item],$H973,PerBase[company_name],$B973)*AE448)</f>
        <v>0</v>
      </c>
      <c r="AF973" s="652">
        <f>IF($B973="",,SUMIFS(PerBase[Month 21],PerBase[exp_item],$H973,PerBase[company_name],$B973)*AF448)</f>
        <v>0</v>
      </c>
      <c r="AG973" s="652">
        <f>IF($B973="",,SUMIFS(PerBase[Month 22],PerBase[exp_item],$H973,PerBase[company_name],$B973)*AG448)</f>
        <v>0</v>
      </c>
      <c r="AH973" s="652">
        <f>IF($B973="",,SUMIFS(PerBase[Month 23],PerBase[exp_item],$H973,PerBase[company_name],$B973)*AH448)</f>
        <v>0</v>
      </c>
      <c r="AI973" s="652">
        <f>IF($B973="",,SUMIFS(PerBase[Month 24],PerBase[exp_item],$H973,PerBase[company_name],$B973)*AI448)</f>
        <v>0</v>
      </c>
      <c r="AJ973" s="652">
        <f>IF($B973="",,SUMIFS(PerBase[Month 25],PerBase[exp_item],$H973,PerBase[company_name],$B973)*AJ448)</f>
        <v>0</v>
      </c>
      <c r="AK973" s="652">
        <f>IF($B973="",,SUMIFS(PerBase[Month 26],PerBase[exp_item],$H973,PerBase[company_name],$B973)*AK448)</f>
        <v>0</v>
      </c>
      <c r="AL973" s="652">
        <f>IF($B973="",,SUMIFS(PerBase[Month 27],PerBase[exp_item],$H973,PerBase[company_name],$B973)*AL448)</f>
        <v>0</v>
      </c>
      <c r="AM973" s="652">
        <f>IF($B973="",,SUMIFS(PerBase[Month 28],PerBase[exp_item],$H973,PerBase[company_name],$B973)*AM448)</f>
        <v>0</v>
      </c>
      <c r="AN973" s="652">
        <f>IF($B973="",,SUMIFS(PerBase[Month 29],PerBase[exp_item],$H973,PerBase[company_name],$B973)*AN448)</f>
        <v>0</v>
      </c>
      <c r="AO973" s="652">
        <f>IF($B973="",,SUMIFS(PerBase[Month 30],PerBase[exp_item],$H973,PerBase[company_name],$B973)*AO448)</f>
        <v>0</v>
      </c>
      <c r="AP973" s="652">
        <f>IF($B973="",,SUMIFS(PerBase[Month 31],PerBase[exp_item],$H973,PerBase[company_name],$B973)*AP448)</f>
        <v>0</v>
      </c>
      <c r="AQ973" s="652">
        <f>IF($B973="",,SUMIFS(PerBase[Month 32],PerBase[exp_item],$H973,PerBase[company_name],$B973)*AQ448)</f>
        <v>0</v>
      </c>
      <c r="AR973" s="652">
        <f>IF($B973="",,SUMIFS(PerBase[Month 33],PerBase[exp_item],$H973,PerBase[company_name],$B973)*AR448)</f>
        <v>0</v>
      </c>
      <c r="AS973" s="652">
        <f>IF($B973="",,SUMIFS(PerBase[Month 34],PerBase[exp_item],$H973,PerBase[company_name],$B973)*AS448)</f>
        <v>0</v>
      </c>
      <c r="AT973" s="652">
        <f>IF($B973="",,SUMIFS(PerBase[Month 35],PerBase[exp_item],$H973,PerBase[company_name],$B973)*AT448)</f>
        <v>0</v>
      </c>
      <c r="AU973" s="652">
        <f>IF($B973="",,SUMIFS(PerBase[Month 36],PerBase[exp_item],$H973,PerBase[company_name],$B973)*AU448)</f>
        <v>0</v>
      </c>
    </row>
    <row r="974" spans="2:47" x14ac:dyDescent="0.35">
      <c r="B974" t="str">
        <f t="shared" si="589"/>
        <v/>
      </c>
      <c r="C974" t="str">
        <f t="shared" ref="C974:G974" si="610">IF(C869="","",C869)</f>
        <v/>
      </c>
      <c r="D974" t="str">
        <f t="shared" si="610"/>
        <v/>
      </c>
      <c r="E974" t="str">
        <f t="shared" si="610"/>
        <v/>
      </c>
      <c r="F974" t="str">
        <f t="shared" si="610"/>
        <v/>
      </c>
      <c r="G974" t="str">
        <f t="shared" si="610"/>
        <v/>
      </c>
      <c r="H974" t="str">
        <f t="shared" si="588"/>
        <v/>
      </c>
      <c r="J974" t="str">
        <f>IF($H974="","",IF(VLOOKUP(H974,ExpItems[],2,0),H974&amp;" - "&amp;INDEX(DivisionMapping[category_code],MATCH($D974&amp;$C974,DivisionMapping[dept_bu],0)),H974))</f>
        <v/>
      </c>
      <c r="K974" t="str">
        <f t="shared" si="556"/>
        <v/>
      </c>
      <c r="L974" s="652">
        <f>IF($B974="",,SUMIFS(PerBase[Month 1],PerBase[exp_item],$H974,PerBase[company_name],$B974)*L449)</f>
        <v>0</v>
      </c>
      <c r="M974" s="652">
        <f>IF($B974="",,SUMIFS(PerBase[Month 2],PerBase[exp_item],$H974,PerBase[company_name],$B974)*M449)</f>
        <v>0</v>
      </c>
      <c r="N974" s="652">
        <f>IF($B974="",,SUMIFS(PerBase[Month 3],PerBase[exp_item],$H974,PerBase[company_name],$B974)*N449)</f>
        <v>0</v>
      </c>
      <c r="O974" s="652">
        <f>IF($B974="",,SUMIFS(PerBase[Month 4],PerBase[exp_item],$H974,PerBase[company_name],$B974)*O449)</f>
        <v>0</v>
      </c>
      <c r="P974" s="652">
        <f>IF($B974="",,SUMIFS(PerBase[Month 5],PerBase[exp_item],$H974,PerBase[company_name],$B974)*P449)</f>
        <v>0</v>
      </c>
      <c r="Q974" s="652">
        <f>IF($B974="",,SUMIFS(PerBase[Month 6],PerBase[exp_item],$H974,PerBase[company_name],$B974)*Q449)</f>
        <v>0</v>
      </c>
      <c r="R974" s="652">
        <f>IF($B974="",,SUMIFS(PerBase[Month 7],PerBase[exp_item],$H974,PerBase[company_name],$B974)*R449)</f>
        <v>0</v>
      </c>
      <c r="S974" s="652">
        <f>IF($B974="",,SUMIFS(PerBase[Month 8],PerBase[exp_item],$H974,PerBase[company_name],$B974)*S449)</f>
        <v>0</v>
      </c>
      <c r="T974" s="652">
        <f>IF($B974="",,SUMIFS(PerBase[Month 9],PerBase[exp_item],$H974,PerBase[company_name],$B974)*T449)</f>
        <v>0</v>
      </c>
      <c r="U974" s="652">
        <f>IF($B974="",,SUMIFS(PerBase[Month 10],PerBase[exp_item],$H974,PerBase[company_name],$B974)*U449)</f>
        <v>0</v>
      </c>
      <c r="V974" s="652">
        <f>IF($B974="",,SUMIFS(PerBase[Month 11],PerBase[exp_item],$H974,PerBase[company_name],$B974)*V449)</f>
        <v>0</v>
      </c>
      <c r="W974" s="652">
        <f>IF($B974="",,SUMIFS(PerBase[Month 12],PerBase[exp_item],$H974,PerBase[company_name],$B974)*W449)</f>
        <v>0</v>
      </c>
      <c r="X974" s="652">
        <f>IF($B974="",,SUMIFS(PerBase[Month 13],PerBase[exp_item],$H974,PerBase[company_name],$B974)*X449)</f>
        <v>0</v>
      </c>
      <c r="Y974" s="652">
        <f>IF($B974="",,SUMIFS(PerBase[Month 14],PerBase[exp_item],$H974,PerBase[company_name],$B974)*Y449)</f>
        <v>0</v>
      </c>
      <c r="Z974" s="652">
        <f>IF($B974="",,SUMIFS(PerBase[Month 15],PerBase[exp_item],$H974,PerBase[company_name],$B974)*Z449)</f>
        <v>0</v>
      </c>
      <c r="AA974" s="652">
        <f>IF($B974="",,SUMIFS(PerBase[Month 16],PerBase[exp_item],$H974,PerBase[company_name],$B974)*AA449)</f>
        <v>0</v>
      </c>
      <c r="AB974" s="652">
        <f>IF($B974="",,SUMIFS(PerBase[Month 17],PerBase[exp_item],$H974,PerBase[company_name],$B974)*AB449)</f>
        <v>0</v>
      </c>
      <c r="AC974" s="652">
        <f>IF($B974="",,SUMIFS(PerBase[Month 18],PerBase[exp_item],$H974,PerBase[company_name],$B974)*AC449)</f>
        <v>0</v>
      </c>
      <c r="AD974" s="652">
        <f>IF($B974="",,SUMIFS(PerBase[Month 19],PerBase[exp_item],$H974,PerBase[company_name],$B974)*AD449)</f>
        <v>0</v>
      </c>
      <c r="AE974" s="652">
        <f>IF($B974="",,SUMIFS(PerBase[Month 20],PerBase[exp_item],$H974,PerBase[company_name],$B974)*AE449)</f>
        <v>0</v>
      </c>
      <c r="AF974" s="652">
        <f>IF($B974="",,SUMIFS(PerBase[Month 21],PerBase[exp_item],$H974,PerBase[company_name],$B974)*AF449)</f>
        <v>0</v>
      </c>
      <c r="AG974" s="652">
        <f>IF($B974="",,SUMIFS(PerBase[Month 22],PerBase[exp_item],$H974,PerBase[company_name],$B974)*AG449)</f>
        <v>0</v>
      </c>
      <c r="AH974" s="652">
        <f>IF($B974="",,SUMIFS(PerBase[Month 23],PerBase[exp_item],$H974,PerBase[company_name],$B974)*AH449)</f>
        <v>0</v>
      </c>
      <c r="AI974" s="652">
        <f>IF($B974="",,SUMIFS(PerBase[Month 24],PerBase[exp_item],$H974,PerBase[company_name],$B974)*AI449)</f>
        <v>0</v>
      </c>
      <c r="AJ974" s="652">
        <f>IF($B974="",,SUMIFS(PerBase[Month 25],PerBase[exp_item],$H974,PerBase[company_name],$B974)*AJ449)</f>
        <v>0</v>
      </c>
      <c r="AK974" s="652">
        <f>IF($B974="",,SUMIFS(PerBase[Month 26],PerBase[exp_item],$H974,PerBase[company_name],$B974)*AK449)</f>
        <v>0</v>
      </c>
      <c r="AL974" s="652">
        <f>IF($B974="",,SUMIFS(PerBase[Month 27],PerBase[exp_item],$H974,PerBase[company_name],$B974)*AL449)</f>
        <v>0</v>
      </c>
      <c r="AM974" s="652">
        <f>IF($B974="",,SUMIFS(PerBase[Month 28],PerBase[exp_item],$H974,PerBase[company_name],$B974)*AM449)</f>
        <v>0</v>
      </c>
      <c r="AN974" s="652">
        <f>IF($B974="",,SUMIFS(PerBase[Month 29],PerBase[exp_item],$H974,PerBase[company_name],$B974)*AN449)</f>
        <v>0</v>
      </c>
      <c r="AO974" s="652">
        <f>IF($B974="",,SUMIFS(PerBase[Month 30],PerBase[exp_item],$H974,PerBase[company_name],$B974)*AO449)</f>
        <v>0</v>
      </c>
      <c r="AP974" s="652">
        <f>IF($B974="",,SUMIFS(PerBase[Month 31],PerBase[exp_item],$H974,PerBase[company_name],$B974)*AP449)</f>
        <v>0</v>
      </c>
      <c r="AQ974" s="652">
        <f>IF($B974="",,SUMIFS(PerBase[Month 32],PerBase[exp_item],$H974,PerBase[company_name],$B974)*AQ449)</f>
        <v>0</v>
      </c>
      <c r="AR974" s="652">
        <f>IF($B974="",,SUMIFS(PerBase[Month 33],PerBase[exp_item],$H974,PerBase[company_name],$B974)*AR449)</f>
        <v>0</v>
      </c>
      <c r="AS974" s="652">
        <f>IF($B974="",,SUMIFS(PerBase[Month 34],PerBase[exp_item],$H974,PerBase[company_name],$B974)*AS449)</f>
        <v>0</v>
      </c>
      <c r="AT974" s="652">
        <f>IF($B974="",,SUMIFS(PerBase[Month 35],PerBase[exp_item],$H974,PerBase[company_name],$B974)*AT449)</f>
        <v>0</v>
      </c>
      <c r="AU974" s="652">
        <f>IF($B974="",,SUMIFS(PerBase[Month 36],PerBase[exp_item],$H974,PerBase[company_name],$B974)*AU449)</f>
        <v>0</v>
      </c>
    </row>
    <row r="975" spans="2:47" x14ac:dyDescent="0.35">
      <c r="B975" t="str">
        <f t="shared" si="589"/>
        <v/>
      </c>
      <c r="C975" t="str">
        <f t="shared" ref="C975:G975" si="611">IF(C870="","",C870)</f>
        <v/>
      </c>
      <c r="D975" t="str">
        <f t="shared" si="611"/>
        <v/>
      </c>
      <c r="E975" t="str">
        <f t="shared" si="611"/>
        <v/>
      </c>
      <c r="F975" t="str">
        <f t="shared" si="611"/>
        <v/>
      </c>
      <c r="G975" t="str">
        <f t="shared" si="611"/>
        <v/>
      </c>
      <c r="H975" t="str">
        <f t="shared" si="588"/>
        <v/>
      </c>
      <c r="J975" t="str">
        <f>IF($H975="","",IF(VLOOKUP(H975,ExpItems[],2,0),H975&amp;" - "&amp;INDEX(DivisionMapping[category_code],MATCH($D975&amp;$C975,DivisionMapping[dept_bu],0)),H975))</f>
        <v/>
      </c>
      <c r="K975" t="str">
        <f t="shared" si="556"/>
        <v/>
      </c>
      <c r="L975" s="652">
        <f>IF($B975="",,SUMIFS(PerBase[Month 1],PerBase[exp_item],$H975,PerBase[company_name],$B975)*L450)</f>
        <v>0</v>
      </c>
      <c r="M975" s="652">
        <f>IF($B975="",,SUMIFS(PerBase[Month 2],PerBase[exp_item],$H975,PerBase[company_name],$B975)*M450)</f>
        <v>0</v>
      </c>
      <c r="N975" s="652">
        <f>IF($B975="",,SUMIFS(PerBase[Month 3],PerBase[exp_item],$H975,PerBase[company_name],$B975)*N450)</f>
        <v>0</v>
      </c>
      <c r="O975" s="652">
        <f>IF($B975="",,SUMIFS(PerBase[Month 4],PerBase[exp_item],$H975,PerBase[company_name],$B975)*O450)</f>
        <v>0</v>
      </c>
      <c r="P975" s="652">
        <f>IF($B975="",,SUMIFS(PerBase[Month 5],PerBase[exp_item],$H975,PerBase[company_name],$B975)*P450)</f>
        <v>0</v>
      </c>
      <c r="Q975" s="652">
        <f>IF($B975="",,SUMIFS(PerBase[Month 6],PerBase[exp_item],$H975,PerBase[company_name],$B975)*Q450)</f>
        <v>0</v>
      </c>
      <c r="R975" s="652">
        <f>IF($B975="",,SUMIFS(PerBase[Month 7],PerBase[exp_item],$H975,PerBase[company_name],$B975)*R450)</f>
        <v>0</v>
      </c>
      <c r="S975" s="652">
        <f>IF($B975="",,SUMIFS(PerBase[Month 8],PerBase[exp_item],$H975,PerBase[company_name],$B975)*S450)</f>
        <v>0</v>
      </c>
      <c r="T975" s="652">
        <f>IF($B975="",,SUMIFS(PerBase[Month 9],PerBase[exp_item],$H975,PerBase[company_name],$B975)*T450)</f>
        <v>0</v>
      </c>
      <c r="U975" s="652">
        <f>IF($B975="",,SUMIFS(PerBase[Month 10],PerBase[exp_item],$H975,PerBase[company_name],$B975)*U450)</f>
        <v>0</v>
      </c>
      <c r="V975" s="652">
        <f>IF($B975="",,SUMIFS(PerBase[Month 11],PerBase[exp_item],$H975,PerBase[company_name],$B975)*V450)</f>
        <v>0</v>
      </c>
      <c r="W975" s="652">
        <f>IF($B975="",,SUMIFS(PerBase[Month 12],PerBase[exp_item],$H975,PerBase[company_name],$B975)*W450)</f>
        <v>0</v>
      </c>
      <c r="X975" s="652">
        <f>IF($B975="",,SUMIFS(PerBase[Month 13],PerBase[exp_item],$H975,PerBase[company_name],$B975)*X450)</f>
        <v>0</v>
      </c>
      <c r="Y975" s="652">
        <f>IF($B975="",,SUMIFS(PerBase[Month 14],PerBase[exp_item],$H975,PerBase[company_name],$B975)*Y450)</f>
        <v>0</v>
      </c>
      <c r="Z975" s="652">
        <f>IF($B975="",,SUMIFS(PerBase[Month 15],PerBase[exp_item],$H975,PerBase[company_name],$B975)*Z450)</f>
        <v>0</v>
      </c>
      <c r="AA975" s="652">
        <f>IF($B975="",,SUMIFS(PerBase[Month 16],PerBase[exp_item],$H975,PerBase[company_name],$B975)*AA450)</f>
        <v>0</v>
      </c>
      <c r="AB975" s="652">
        <f>IF($B975="",,SUMIFS(PerBase[Month 17],PerBase[exp_item],$H975,PerBase[company_name],$B975)*AB450)</f>
        <v>0</v>
      </c>
      <c r="AC975" s="652">
        <f>IF($B975="",,SUMIFS(PerBase[Month 18],PerBase[exp_item],$H975,PerBase[company_name],$B975)*AC450)</f>
        <v>0</v>
      </c>
      <c r="AD975" s="652">
        <f>IF($B975="",,SUMIFS(PerBase[Month 19],PerBase[exp_item],$H975,PerBase[company_name],$B975)*AD450)</f>
        <v>0</v>
      </c>
      <c r="AE975" s="652">
        <f>IF($B975="",,SUMIFS(PerBase[Month 20],PerBase[exp_item],$H975,PerBase[company_name],$B975)*AE450)</f>
        <v>0</v>
      </c>
      <c r="AF975" s="652">
        <f>IF($B975="",,SUMIFS(PerBase[Month 21],PerBase[exp_item],$H975,PerBase[company_name],$B975)*AF450)</f>
        <v>0</v>
      </c>
      <c r="AG975" s="652">
        <f>IF($B975="",,SUMIFS(PerBase[Month 22],PerBase[exp_item],$H975,PerBase[company_name],$B975)*AG450)</f>
        <v>0</v>
      </c>
      <c r="AH975" s="652">
        <f>IF($B975="",,SUMIFS(PerBase[Month 23],PerBase[exp_item],$H975,PerBase[company_name],$B975)*AH450)</f>
        <v>0</v>
      </c>
      <c r="AI975" s="652">
        <f>IF($B975="",,SUMIFS(PerBase[Month 24],PerBase[exp_item],$H975,PerBase[company_name],$B975)*AI450)</f>
        <v>0</v>
      </c>
      <c r="AJ975" s="652">
        <f>IF($B975="",,SUMIFS(PerBase[Month 25],PerBase[exp_item],$H975,PerBase[company_name],$B975)*AJ450)</f>
        <v>0</v>
      </c>
      <c r="AK975" s="652">
        <f>IF($B975="",,SUMIFS(PerBase[Month 26],PerBase[exp_item],$H975,PerBase[company_name],$B975)*AK450)</f>
        <v>0</v>
      </c>
      <c r="AL975" s="652">
        <f>IF($B975="",,SUMIFS(PerBase[Month 27],PerBase[exp_item],$H975,PerBase[company_name],$B975)*AL450)</f>
        <v>0</v>
      </c>
      <c r="AM975" s="652">
        <f>IF($B975="",,SUMIFS(PerBase[Month 28],PerBase[exp_item],$H975,PerBase[company_name],$B975)*AM450)</f>
        <v>0</v>
      </c>
      <c r="AN975" s="652">
        <f>IF($B975="",,SUMIFS(PerBase[Month 29],PerBase[exp_item],$H975,PerBase[company_name],$B975)*AN450)</f>
        <v>0</v>
      </c>
      <c r="AO975" s="652">
        <f>IF($B975="",,SUMIFS(PerBase[Month 30],PerBase[exp_item],$H975,PerBase[company_name],$B975)*AO450)</f>
        <v>0</v>
      </c>
      <c r="AP975" s="652">
        <f>IF($B975="",,SUMIFS(PerBase[Month 31],PerBase[exp_item],$H975,PerBase[company_name],$B975)*AP450)</f>
        <v>0</v>
      </c>
      <c r="AQ975" s="652">
        <f>IF($B975="",,SUMIFS(PerBase[Month 32],PerBase[exp_item],$H975,PerBase[company_name],$B975)*AQ450)</f>
        <v>0</v>
      </c>
      <c r="AR975" s="652">
        <f>IF($B975="",,SUMIFS(PerBase[Month 33],PerBase[exp_item],$H975,PerBase[company_name],$B975)*AR450)</f>
        <v>0</v>
      </c>
      <c r="AS975" s="652">
        <f>IF($B975="",,SUMIFS(PerBase[Month 34],PerBase[exp_item],$H975,PerBase[company_name],$B975)*AS450)</f>
        <v>0</v>
      </c>
      <c r="AT975" s="652">
        <f>IF($B975="",,SUMIFS(PerBase[Month 35],PerBase[exp_item],$H975,PerBase[company_name],$B975)*AT450)</f>
        <v>0</v>
      </c>
      <c r="AU975" s="652">
        <f>IF($B975="",,SUMIFS(PerBase[Month 36],PerBase[exp_item],$H975,PerBase[company_name],$B975)*AU450)</f>
        <v>0</v>
      </c>
    </row>
    <row r="976" spans="2:47" x14ac:dyDescent="0.35">
      <c r="B976" t="str">
        <f t="shared" si="589"/>
        <v/>
      </c>
      <c r="C976" t="str">
        <f t="shared" ref="C976:G976" si="612">IF(C871="","",C871)</f>
        <v/>
      </c>
      <c r="D976" t="str">
        <f t="shared" si="612"/>
        <v/>
      </c>
      <c r="E976" t="str">
        <f t="shared" si="612"/>
        <v/>
      </c>
      <c r="F976" t="str">
        <f t="shared" si="612"/>
        <v/>
      </c>
      <c r="G976" t="str">
        <f t="shared" si="612"/>
        <v/>
      </c>
      <c r="H976" t="str">
        <f t="shared" si="588"/>
        <v/>
      </c>
      <c r="J976" t="str">
        <f>IF($H976="","",IF(VLOOKUP(H976,ExpItems[],2,0),H976&amp;" - "&amp;INDEX(DivisionMapping[category_code],MATCH($D976&amp;$C976,DivisionMapping[dept_bu],0)),H976))</f>
        <v/>
      </c>
      <c r="K976" t="str">
        <f t="shared" si="556"/>
        <v/>
      </c>
      <c r="L976" s="652">
        <f>IF($B976="",,SUMIFS(PerBase[Month 1],PerBase[exp_item],$H976,PerBase[company_name],$B976)*L451)</f>
        <v>0</v>
      </c>
      <c r="M976" s="652">
        <f>IF($B976="",,SUMIFS(PerBase[Month 2],PerBase[exp_item],$H976,PerBase[company_name],$B976)*M451)</f>
        <v>0</v>
      </c>
      <c r="N976" s="652">
        <f>IF($B976="",,SUMIFS(PerBase[Month 3],PerBase[exp_item],$H976,PerBase[company_name],$B976)*N451)</f>
        <v>0</v>
      </c>
      <c r="O976" s="652">
        <f>IF($B976="",,SUMIFS(PerBase[Month 4],PerBase[exp_item],$H976,PerBase[company_name],$B976)*O451)</f>
        <v>0</v>
      </c>
      <c r="P976" s="652">
        <f>IF($B976="",,SUMIFS(PerBase[Month 5],PerBase[exp_item],$H976,PerBase[company_name],$B976)*P451)</f>
        <v>0</v>
      </c>
      <c r="Q976" s="652">
        <f>IF($B976="",,SUMIFS(PerBase[Month 6],PerBase[exp_item],$H976,PerBase[company_name],$B976)*Q451)</f>
        <v>0</v>
      </c>
      <c r="R976" s="652">
        <f>IF($B976="",,SUMIFS(PerBase[Month 7],PerBase[exp_item],$H976,PerBase[company_name],$B976)*R451)</f>
        <v>0</v>
      </c>
      <c r="S976" s="652">
        <f>IF($B976="",,SUMIFS(PerBase[Month 8],PerBase[exp_item],$H976,PerBase[company_name],$B976)*S451)</f>
        <v>0</v>
      </c>
      <c r="T976" s="652">
        <f>IF($B976="",,SUMIFS(PerBase[Month 9],PerBase[exp_item],$H976,PerBase[company_name],$B976)*T451)</f>
        <v>0</v>
      </c>
      <c r="U976" s="652">
        <f>IF($B976="",,SUMIFS(PerBase[Month 10],PerBase[exp_item],$H976,PerBase[company_name],$B976)*U451)</f>
        <v>0</v>
      </c>
      <c r="V976" s="652">
        <f>IF($B976="",,SUMIFS(PerBase[Month 11],PerBase[exp_item],$H976,PerBase[company_name],$B976)*V451)</f>
        <v>0</v>
      </c>
      <c r="W976" s="652">
        <f>IF($B976="",,SUMIFS(PerBase[Month 12],PerBase[exp_item],$H976,PerBase[company_name],$B976)*W451)</f>
        <v>0</v>
      </c>
      <c r="X976" s="652">
        <f>IF($B976="",,SUMIFS(PerBase[Month 13],PerBase[exp_item],$H976,PerBase[company_name],$B976)*X451)</f>
        <v>0</v>
      </c>
      <c r="Y976" s="652">
        <f>IF($B976="",,SUMIFS(PerBase[Month 14],PerBase[exp_item],$H976,PerBase[company_name],$B976)*Y451)</f>
        <v>0</v>
      </c>
      <c r="Z976" s="652">
        <f>IF($B976="",,SUMIFS(PerBase[Month 15],PerBase[exp_item],$H976,PerBase[company_name],$B976)*Z451)</f>
        <v>0</v>
      </c>
      <c r="AA976" s="652">
        <f>IF($B976="",,SUMIFS(PerBase[Month 16],PerBase[exp_item],$H976,PerBase[company_name],$B976)*AA451)</f>
        <v>0</v>
      </c>
      <c r="AB976" s="652">
        <f>IF($B976="",,SUMIFS(PerBase[Month 17],PerBase[exp_item],$H976,PerBase[company_name],$B976)*AB451)</f>
        <v>0</v>
      </c>
      <c r="AC976" s="652">
        <f>IF($B976="",,SUMIFS(PerBase[Month 18],PerBase[exp_item],$H976,PerBase[company_name],$B976)*AC451)</f>
        <v>0</v>
      </c>
      <c r="AD976" s="652">
        <f>IF($B976="",,SUMIFS(PerBase[Month 19],PerBase[exp_item],$H976,PerBase[company_name],$B976)*AD451)</f>
        <v>0</v>
      </c>
      <c r="AE976" s="652">
        <f>IF($B976="",,SUMIFS(PerBase[Month 20],PerBase[exp_item],$H976,PerBase[company_name],$B976)*AE451)</f>
        <v>0</v>
      </c>
      <c r="AF976" s="652">
        <f>IF($B976="",,SUMIFS(PerBase[Month 21],PerBase[exp_item],$H976,PerBase[company_name],$B976)*AF451)</f>
        <v>0</v>
      </c>
      <c r="AG976" s="652">
        <f>IF($B976="",,SUMIFS(PerBase[Month 22],PerBase[exp_item],$H976,PerBase[company_name],$B976)*AG451)</f>
        <v>0</v>
      </c>
      <c r="AH976" s="652">
        <f>IF($B976="",,SUMIFS(PerBase[Month 23],PerBase[exp_item],$H976,PerBase[company_name],$B976)*AH451)</f>
        <v>0</v>
      </c>
      <c r="AI976" s="652">
        <f>IF($B976="",,SUMIFS(PerBase[Month 24],PerBase[exp_item],$H976,PerBase[company_name],$B976)*AI451)</f>
        <v>0</v>
      </c>
      <c r="AJ976" s="652">
        <f>IF($B976="",,SUMIFS(PerBase[Month 25],PerBase[exp_item],$H976,PerBase[company_name],$B976)*AJ451)</f>
        <v>0</v>
      </c>
      <c r="AK976" s="652">
        <f>IF($B976="",,SUMIFS(PerBase[Month 26],PerBase[exp_item],$H976,PerBase[company_name],$B976)*AK451)</f>
        <v>0</v>
      </c>
      <c r="AL976" s="652">
        <f>IF($B976="",,SUMIFS(PerBase[Month 27],PerBase[exp_item],$H976,PerBase[company_name],$B976)*AL451)</f>
        <v>0</v>
      </c>
      <c r="AM976" s="652">
        <f>IF($B976="",,SUMIFS(PerBase[Month 28],PerBase[exp_item],$H976,PerBase[company_name],$B976)*AM451)</f>
        <v>0</v>
      </c>
      <c r="AN976" s="652">
        <f>IF($B976="",,SUMIFS(PerBase[Month 29],PerBase[exp_item],$H976,PerBase[company_name],$B976)*AN451)</f>
        <v>0</v>
      </c>
      <c r="AO976" s="652">
        <f>IF($B976="",,SUMIFS(PerBase[Month 30],PerBase[exp_item],$H976,PerBase[company_name],$B976)*AO451)</f>
        <v>0</v>
      </c>
      <c r="AP976" s="652">
        <f>IF($B976="",,SUMIFS(PerBase[Month 31],PerBase[exp_item],$H976,PerBase[company_name],$B976)*AP451)</f>
        <v>0</v>
      </c>
      <c r="AQ976" s="652">
        <f>IF($B976="",,SUMIFS(PerBase[Month 32],PerBase[exp_item],$H976,PerBase[company_name],$B976)*AQ451)</f>
        <v>0</v>
      </c>
      <c r="AR976" s="652">
        <f>IF($B976="",,SUMIFS(PerBase[Month 33],PerBase[exp_item],$H976,PerBase[company_name],$B976)*AR451)</f>
        <v>0</v>
      </c>
      <c r="AS976" s="652">
        <f>IF($B976="",,SUMIFS(PerBase[Month 34],PerBase[exp_item],$H976,PerBase[company_name],$B976)*AS451)</f>
        <v>0</v>
      </c>
      <c r="AT976" s="652">
        <f>IF($B976="",,SUMIFS(PerBase[Month 35],PerBase[exp_item],$H976,PerBase[company_name],$B976)*AT451)</f>
        <v>0</v>
      </c>
      <c r="AU976" s="652">
        <f>IF($B976="",,SUMIFS(PerBase[Month 36],PerBase[exp_item],$H976,PerBase[company_name],$B976)*AU451)</f>
        <v>0</v>
      </c>
    </row>
    <row r="977" spans="2:47" x14ac:dyDescent="0.35">
      <c r="B977" t="str">
        <f t="shared" si="589"/>
        <v/>
      </c>
      <c r="C977" t="str">
        <f t="shared" ref="C977:G977" si="613">IF(C872="","",C872)</f>
        <v/>
      </c>
      <c r="D977" t="str">
        <f t="shared" si="613"/>
        <v/>
      </c>
      <c r="E977" t="str">
        <f t="shared" si="613"/>
        <v/>
      </c>
      <c r="F977" t="str">
        <f t="shared" si="613"/>
        <v/>
      </c>
      <c r="G977" t="str">
        <f t="shared" si="613"/>
        <v/>
      </c>
      <c r="H977" t="str">
        <f t="shared" si="588"/>
        <v/>
      </c>
      <c r="J977" t="str">
        <f>IF($H977="","",IF(VLOOKUP(H977,ExpItems[],2,0),H977&amp;" - "&amp;INDEX(DivisionMapping[category_code],MATCH($D977&amp;$C977,DivisionMapping[dept_bu],0)),H977))</f>
        <v/>
      </c>
      <c r="K977" t="str">
        <f t="shared" si="556"/>
        <v/>
      </c>
      <c r="L977" s="652">
        <f>IF($B977="",,SUMIFS(PerBase[Month 1],PerBase[exp_item],$H977,PerBase[company_name],$B977)*L452)</f>
        <v>0</v>
      </c>
      <c r="M977" s="652">
        <f>IF($B977="",,SUMIFS(PerBase[Month 2],PerBase[exp_item],$H977,PerBase[company_name],$B977)*M452)</f>
        <v>0</v>
      </c>
      <c r="N977" s="652">
        <f>IF($B977="",,SUMIFS(PerBase[Month 3],PerBase[exp_item],$H977,PerBase[company_name],$B977)*N452)</f>
        <v>0</v>
      </c>
      <c r="O977" s="652">
        <f>IF($B977="",,SUMIFS(PerBase[Month 4],PerBase[exp_item],$H977,PerBase[company_name],$B977)*O452)</f>
        <v>0</v>
      </c>
      <c r="P977" s="652">
        <f>IF($B977="",,SUMIFS(PerBase[Month 5],PerBase[exp_item],$H977,PerBase[company_name],$B977)*P452)</f>
        <v>0</v>
      </c>
      <c r="Q977" s="652">
        <f>IF($B977="",,SUMIFS(PerBase[Month 6],PerBase[exp_item],$H977,PerBase[company_name],$B977)*Q452)</f>
        <v>0</v>
      </c>
      <c r="R977" s="652">
        <f>IF($B977="",,SUMIFS(PerBase[Month 7],PerBase[exp_item],$H977,PerBase[company_name],$B977)*R452)</f>
        <v>0</v>
      </c>
      <c r="S977" s="652">
        <f>IF($B977="",,SUMIFS(PerBase[Month 8],PerBase[exp_item],$H977,PerBase[company_name],$B977)*S452)</f>
        <v>0</v>
      </c>
      <c r="T977" s="652">
        <f>IF($B977="",,SUMIFS(PerBase[Month 9],PerBase[exp_item],$H977,PerBase[company_name],$B977)*T452)</f>
        <v>0</v>
      </c>
      <c r="U977" s="652">
        <f>IF($B977="",,SUMIFS(PerBase[Month 10],PerBase[exp_item],$H977,PerBase[company_name],$B977)*U452)</f>
        <v>0</v>
      </c>
      <c r="V977" s="652">
        <f>IF($B977="",,SUMIFS(PerBase[Month 11],PerBase[exp_item],$H977,PerBase[company_name],$B977)*V452)</f>
        <v>0</v>
      </c>
      <c r="W977" s="652">
        <f>IF($B977="",,SUMIFS(PerBase[Month 12],PerBase[exp_item],$H977,PerBase[company_name],$B977)*W452)</f>
        <v>0</v>
      </c>
      <c r="X977" s="652">
        <f>IF($B977="",,SUMIFS(PerBase[Month 13],PerBase[exp_item],$H977,PerBase[company_name],$B977)*X452)</f>
        <v>0</v>
      </c>
      <c r="Y977" s="652">
        <f>IF($B977="",,SUMIFS(PerBase[Month 14],PerBase[exp_item],$H977,PerBase[company_name],$B977)*Y452)</f>
        <v>0</v>
      </c>
      <c r="Z977" s="652">
        <f>IF($B977="",,SUMIFS(PerBase[Month 15],PerBase[exp_item],$H977,PerBase[company_name],$B977)*Z452)</f>
        <v>0</v>
      </c>
      <c r="AA977" s="652">
        <f>IF($B977="",,SUMIFS(PerBase[Month 16],PerBase[exp_item],$H977,PerBase[company_name],$B977)*AA452)</f>
        <v>0</v>
      </c>
      <c r="AB977" s="652">
        <f>IF($B977="",,SUMIFS(PerBase[Month 17],PerBase[exp_item],$H977,PerBase[company_name],$B977)*AB452)</f>
        <v>0</v>
      </c>
      <c r="AC977" s="652">
        <f>IF($B977="",,SUMIFS(PerBase[Month 18],PerBase[exp_item],$H977,PerBase[company_name],$B977)*AC452)</f>
        <v>0</v>
      </c>
      <c r="AD977" s="652">
        <f>IF($B977="",,SUMIFS(PerBase[Month 19],PerBase[exp_item],$H977,PerBase[company_name],$B977)*AD452)</f>
        <v>0</v>
      </c>
      <c r="AE977" s="652">
        <f>IF($B977="",,SUMIFS(PerBase[Month 20],PerBase[exp_item],$H977,PerBase[company_name],$B977)*AE452)</f>
        <v>0</v>
      </c>
      <c r="AF977" s="652">
        <f>IF($B977="",,SUMIFS(PerBase[Month 21],PerBase[exp_item],$H977,PerBase[company_name],$B977)*AF452)</f>
        <v>0</v>
      </c>
      <c r="AG977" s="652">
        <f>IF($B977="",,SUMIFS(PerBase[Month 22],PerBase[exp_item],$H977,PerBase[company_name],$B977)*AG452)</f>
        <v>0</v>
      </c>
      <c r="AH977" s="652">
        <f>IF($B977="",,SUMIFS(PerBase[Month 23],PerBase[exp_item],$H977,PerBase[company_name],$B977)*AH452)</f>
        <v>0</v>
      </c>
      <c r="AI977" s="652">
        <f>IF($B977="",,SUMIFS(PerBase[Month 24],PerBase[exp_item],$H977,PerBase[company_name],$B977)*AI452)</f>
        <v>0</v>
      </c>
      <c r="AJ977" s="652">
        <f>IF($B977="",,SUMIFS(PerBase[Month 25],PerBase[exp_item],$H977,PerBase[company_name],$B977)*AJ452)</f>
        <v>0</v>
      </c>
      <c r="AK977" s="652">
        <f>IF($B977="",,SUMIFS(PerBase[Month 26],PerBase[exp_item],$H977,PerBase[company_name],$B977)*AK452)</f>
        <v>0</v>
      </c>
      <c r="AL977" s="652">
        <f>IF($B977="",,SUMIFS(PerBase[Month 27],PerBase[exp_item],$H977,PerBase[company_name],$B977)*AL452)</f>
        <v>0</v>
      </c>
      <c r="AM977" s="652">
        <f>IF($B977="",,SUMIFS(PerBase[Month 28],PerBase[exp_item],$H977,PerBase[company_name],$B977)*AM452)</f>
        <v>0</v>
      </c>
      <c r="AN977" s="652">
        <f>IF($B977="",,SUMIFS(PerBase[Month 29],PerBase[exp_item],$H977,PerBase[company_name],$B977)*AN452)</f>
        <v>0</v>
      </c>
      <c r="AO977" s="652">
        <f>IF($B977="",,SUMIFS(PerBase[Month 30],PerBase[exp_item],$H977,PerBase[company_name],$B977)*AO452)</f>
        <v>0</v>
      </c>
      <c r="AP977" s="652">
        <f>IF($B977="",,SUMIFS(PerBase[Month 31],PerBase[exp_item],$H977,PerBase[company_name],$B977)*AP452)</f>
        <v>0</v>
      </c>
      <c r="AQ977" s="652">
        <f>IF($B977="",,SUMIFS(PerBase[Month 32],PerBase[exp_item],$H977,PerBase[company_name],$B977)*AQ452)</f>
        <v>0</v>
      </c>
      <c r="AR977" s="652">
        <f>IF($B977="",,SUMIFS(PerBase[Month 33],PerBase[exp_item],$H977,PerBase[company_name],$B977)*AR452)</f>
        <v>0</v>
      </c>
      <c r="AS977" s="652">
        <f>IF($B977="",,SUMIFS(PerBase[Month 34],PerBase[exp_item],$H977,PerBase[company_name],$B977)*AS452)</f>
        <v>0</v>
      </c>
      <c r="AT977" s="652">
        <f>IF($B977="",,SUMIFS(PerBase[Month 35],PerBase[exp_item],$H977,PerBase[company_name],$B977)*AT452)</f>
        <v>0</v>
      </c>
      <c r="AU977" s="652">
        <f>IF($B977="",,SUMIFS(PerBase[Month 36],PerBase[exp_item],$H977,PerBase[company_name],$B977)*AU452)</f>
        <v>0</v>
      </c>
    </row>
    <row r="978" spans="2:47" x14ac:dyDescent="0.35">
      <c r="B978" t="str">
        <f t="shared" si="589"/>
        <v/>
      </c>
      <c r="C978" t="str">
        <f t="shared" ref="C978:G978" si="614">IF(C873="","",C873)</f>
        <v/>
      </c>
      <c r="D978" t="str">
        <f t="shared" si="614"/>
        <v/>
      </c>
      <c r="E978" t="str">
        <f t="shared" si="614"/>
        <v/>
      </c>
      <c r="F978" t="str">
        <f t="shared" si="614"/>
        <v/>
      </c>
      <c r="G978" t="str">
        <f t="shared" si="614"/>
        <v/>
      </c>
      <c r="H978" t="str">
        <f t="shared" si="588"/>
        <v/>
      </c>
      <c r="J978" t="str">
        <f>IF($H978="","",IF(VLOOKUP(H978,ExpItems[],2,0),H978&amp;" - "&amp;INDEX(DivisionMapping[category_code],MATCH($D978&amp;$C978,DivisionMapping[dept_bu],0)),H978))</f>
        <v/>
      </c>
      <c r="K978" t="str">
        <f t="shared" si="556"/>
        <v/>
      </c>
      <c r="L978" s="652">
        <f>IF($B978="",,SUMIFS(PerBase[Month 1],PerBase[exp_item],$H978,PerBase[company_name],$B978)*L453)</f>
        <v>0</v>
      </c>
      <c r="M978" s="652">
        <f>IF($B978="",,SUMIFS(PerBase[Month 2],PerBase[exp_item],$H978,PerBase[company_name],$B978)*M453)</f>
        <v>0</v>
      </c>
      <c r="N978" s="652">
        <f>IF($B978="",,SUMIFS(PerBase[Month 3],PerBase[exp_item],$H978,PerBase[company_name],$B978)*N453)</f>
        <v>0</v>
      </c>
      <c r="O978" s="652">
        <f>IF($B978="",,SUMIFS(PerBase[Month 4],PerBase[exp_item],$H978,PerBase[company_name],$B978)*O453)</f>
        <v>0</v>
      </c>
      <c r="P978" s="652">
        <f>IF($B978="",,SUMIFS(PerBase[Month 5],PerBase[exp_item],$H978,PerBase[company_name],$B978)*P453)</f>
        <v>0</v>
      </c>
      <c r="Q978" s="652">
        <f>IF($B978="",,SUMIFS(PerBase[Month 6],PerBase[exp_item],$H978,PerBase[company_name],$B978)*Q453)</f>
        <v>0</v>
      </c>
      <c r="R978" s="652">
        <f>IF($B978="",,SUMIFS(PerBase[Month 7],PerBase[exp_item],$H978,PerBase[company_name],$B978)*R453)</f>
        <v>0</v>
      </c>
      <c r="S978" s="652">
        <f>IF($B978="",,SUMIFS(PerBase[Month 8],PerBase[exp_item],$H978,PerBase[company_name],$B978)*S453)</f>
        <v>0</v>
      </c>
      <c r="T978" s="652">
        <f>IF($B978="",,SUMIFS(PerBase[Month 9],PerBase[exp_item],$H978,PerBase[company_name],$B978)*T453)</f>
        <v>0</v>
      </c>
      <c r="U978" s="652">
        <f>IF($B978="",,SUMIFS(PerBase[Month 10],PerBase[exp_item],$H978,PerBase[company_name],$B978)*U453)</f>
        <v>0</v>
      </c>
      <c r="V978" s="652">
        <f>IF($B978="",,SUMIFS(PerBase[Month 11],PerBase[exp_item],$H978,PerBase[company_name],$B978)*V453)</f>
        <v>0</v>
      </c>
      <c r="W978" s="652">
        <f>IF($B978="",,SUMIFS(PerBase[Month 12],PerBase[exp_item],$H978,PerBase[company_name],$B978)*W453)</f>
        <v>0</v>
      </c>
      <c r="X978" s="652">
        <f>IF($B978="",,SUMIFS(PerBase[Month 13],PerBase[exp_item],$H978,PerBase[company_name],$B978)*X453)</f>
        <v>0</v>
      </c>
      <c r="Y978" s="652">
        <f>IF($B978="",,SUMIFS(PerBase[Month 14],PerBase[exp_item],$H978,PerBase[company_name],$B978)*Y453)</f>
        <v>0</v>
      </c>
      <c r="Z978" s="652">
        <f>IF($B978="",,SUMIFS(PerBase[Month 15],PerBase[exp_item],$H978,PerBase[company_name],$B978)*Z453)</f>
        <v>0</v>
      </c>
      <c r="AA978" s="652">
        <f>IF($B978="",,SUMIFS(PerBase[Month 16],PerBase[exp_item],$H978,PerBase[company_name],$B978)*AA453)</f>
        <v>0</v>
      </c>
      <c r="AB978" s="652">
        <f>IF($B978="",,SUMIFS(PerBase[Month 17],PerBase[exp_item],$H978,PerBase[company_name],$B978)*AB453)</f>
        <v>0</v>
      </c>
      <c r="AC978" s="652">
        <f>IF($B978="",,SUMIFS(PerBase[Month 18],PerBase[exp_item],$H978,PerBase[company_name],$B978)*AC453)</f>
        <v>0</v>
      </c>
      <c r="AD978" s="652">
        <f>IF($B978="",,SUMIFS(PerBase[Month 19],PerBase[exp_item],$H978,PerBase[company_name],$B978)*AD453)</f>
        <v>0</v>
      </c>
      <c r="AE978" s="652">
        <f>IF($B978="",,SUMIFS(PerBase[Month 20],PerBase[exp_item],$H978,PerBase[company_name],$B978)*AE453)</f>
        <v>0</v>
      </c>
      <c r="AF978" s="652">
        <f>IF($B978="",,SUMIFS(PerBase[Month 21],PerBase[exp_item],$H978,PerBase[company_name],$B978)*AF453)</f>
        <v>0</v>
      </c>
      <c r="AG978" s="652">
        <f>IF($B978="",,SUMIFS(PerBase[Month 22],PerBase[exp_item],$H978,PerBase[company_name],$B978)*AG453)</f>
        <v>0</v>
      </c>
      <c r="AH978" s="652">
        <f>IF($B978="",,SUMIFS(PerBase[Month 23],PerBase[exp_item],$H978,PerBase[company_name],$B978)*AH453)</f>
        <v>0</v>
      </c>
      <c r="AI978" s="652">
        <f>IF($B978="",,SUMIFS(PerBase[Month 24],PerBase[exp_item],$H978,PerBase[company_name],$B978)*AI453)</f>
        <v>0</v>
      </c>
      <c r="AJ978" s="652">
        <f>IF($B978="",,SUMIFS(PerBase[Month 25],PerBase[exp_item],$H978,PerBase[company_name],$B978)*AJ453)</f>
        <v>0</v>
      </c>
      <c r="AK978" s="652">
        <f>IF($B978="",,SUMIFS(PerBase[Month 26],PerBase[exp_item],$H978,PerBase[company_name],$B978)*AK453)</f>
        <v>0</v>
      </c>
      <c r="AL978" s="652">
        <f>IF($B978="",,SUMIFS(PerBase[Month 27],PerBase[exp_item],$H978,PerBase[company_name],$B978)*AL453)</f>
        <v>0</v>
      </c>
      <c r="AM978" s="652">
        <f>IF($B978="",,SUMIFS(PerBase[Month 28],PerBase[exp_item],$H978,PerBase[company_name],$B978)*AM453)</f>
        <v>0</v>
      </c>
      <c r="AN978" s="652">
        <f>IF($B978="",,SUMIFS(PerBase[Month 29],PerBase[exp_item],$H978,PerBase[company_name],$B978)*AN453)</f>
        <v>0</v>
      </c>
      <c r="AO978" s="652">
        <f>IF($B978="",,SUMIFS(PerBase[Month 30],PerBase[exp_item],$H978,PerBase[company_name],$B978)*AO453)</f>
        <v>0</v>
      </c>
      <c r="AP978" s="652">
        <f>IF($B978="",,SUMIFS(PerBase[Month 31],PerBase[exp_item],$H978,PerBase[company_name],$B978)*AP453)</f>
        <v>0</v>
      </c>
      <c r="AQ978" s="652">
        <f>IF($B978="",,SUMIFS(PerBase[Month 32],PerBase[exp_item],$H978,PerBase[company_name],$B978)*AQ453)</f>
        <v>0</v>
      </c>
      <c r="AR978" s="652">
        <f>IF($B978="",,SUMIFS(PerBase[Month 33],PerBase[exp_item],$H978,PerBase[company_name],$B978)*AR453)</f>
        <v>0</v>
      </c>
      <c r="AS978" s="652">
        <f>IF($B978="",,SUMIFS(PerBase[Month 34],PerBase[exp_item],$H978,PerBase[company_name],$B978)*AS453)</f>
        <v>0</v>
      </c>
      <c r="AT978" s="652">
        <f>IF($B978="",,SUMIFS(PerBase[Month 35],PerBase[exp_item],$H978,PerBase[company_name],$B978)*AT453)</f>
        <v>0</v>
      </c>
      <c r="AU978" s="652">
        <f>IF($B978="",,SUMIFS(PerBase[Month 36],PerBase[exp_item],$H978,PerBase[company_name],$B978)*AU453)</f>
        <v>0</v>
      </c>
    </row>
    <row r="979" spans="2:47" x14ac:dyDescent="0.35">
      <c r="B979" t="str">
        <f t="shared" si="589"/>
        <v/>
      </c>
      <c r="C979" t="str">
        <f t="shared" ref="C979:G979" si="615">IF(C874="","",C874)</f>
        <v/>
      </c>
      <c r="D979" t="str">
        <f t="shared" si="615"/>
        <v/>
      </c>
      <c r="E979" t="str">
        <f t="shared" si="615"/>
        <v/>
      </c>
      <c r="F979" t="str">
        <f t="shared" si="615"/>
        <v/>
      </c>
      <c r="G979" t="str">
        <f t="shared" si="615"/>
        <v/>
      </c>
      <c r="H979" t="str">
        <f t="shared" si="588"/>
        <v/>
      </c>
      <c r="J979" t="str">
        <f>IF($H979="","",IF(VLOOKUP(H979,ExpItems[],2,0),H979&amp;" - "&amp;INDEX(DivisionMapping[category_code],MATCH($D979&amp;$C979,DivisionMapping[dept_bu],0)),H979))</f>
        <v/>
      </c>
      <c r="K979" t="str">
        <f t="shared" si="556"/>
        <v/>
      </c>
      <c r="L979" s="652">
        <f>IF($B979="",,SUMIFS(PerBase[Month 1],PerBase[exp_item],$H979,PerBase[company_name],$B979)*L454)</f>
        <v>0</v>
      </c>
      <c r="M979" s="652">
        <f>IF($B979="",,SUMIFS(PerBase[Month 2],PerBase[exp_item],$H979,PerBase[company_name],$B979)*M454)</f>
        <v>0</v>
      </c>
      <c r="N979" s="652">
        <f>IF($B979="",,SUMIFS(PerBase[Month 3],PerBase[exp_item],$H979,PerBase[company_name],$B979)*N454)</f>
        <v>0</v>
      </c>
      <c r="O979" s="652">
        <f>IF($B979="",,SUMIFS(PerBase[Month 4],PerBase[exp_item],$H979,PerBase[company_name],$B979)*O454)</f>
        <v>0</v>
      </c>
      <c r="P979" s="652">
        <f>IF($B979="",,SUMIFS(PerBase[Month 5],PerBase[exp_item],$H979,PerBase[company_name],$B979)*P454)</f>
        <v>0</v>
      </c>
      <c r="Q979" s="652">
        <f>IF($B979="",,SUMIFS(PerBase[Month 6],PerBase[exp_item],$H979,PerBase[company_name],$B979)*Q454)</f>
        <v>0</v>
      </c>
      <c r="R979" s="652">
        <f>IF($B979="",,SUMIFS(PerBase[Month 7],PerBase[exp_item],$H979,PerBase[company_name],$B979)*R454)</f>
        <v>0</v>
      </c>
      <c r="S979" s="652">
        <f>IF($B979="",,SUMIFS(PerBase[Month 8],PerBase[exp_item],$H979,PerBase[company_name],$B979)*S454)</f>
        <v>0</v>
      </c>
      <c r="T979" s="652">
        <f>IF($B979="",,SUMIFS(PerBase[Month 9],PerBase[exp_item],$H979,PerBase[company_name],$B979)*T454)</f>
        <v>0</v>
      </c>
      <c r="U979" s="652">
        <f>IF($B979="",,SUMIFS(PerBase[Month 10],PerBase[exp_item],$H979,PerBase[company_name],$B979)*U454)</f>
        <v>0</v>
      </c>
      <c r="V979" s="652">
        <f>IF($B979="",,SUMIFS(PerBase[Month 11],PerBase[exp_item],$H979,PerBase[company_name],$B979)*V454)</f>
        <v>0</v>
      </c>
      <c r="W979" s="652">
        <f>IF($B979="",,SUMIFS(PerBase[Month 12],PerBase[exp_item],$H979,PerBase[company_name],$B979)*W454)</f>
        <v>0</v>
      </c>
      <c r="X979" s="652">
        <f>IF($B979="",,SUMIFS(PerBase[Month 13],PerBase[exp_item],$H979,PerBase[company_name],$B979)*X454)</f>
        <v>0</v>
      </c>
      <c r="Y979" s="652">
        <f>IF($B979="",,SUMIFS(PerBase[Month 14],PerBase[exp_item],$H979,PerBase[company_name],$B979)*Y454)</f>
        <v>0</v>
      </c>
      <c r="Z979" s="652">
        <f>IF($B979="",,SUMIFS(PerBase[Month 15],PerBase[exp_item],$H979,PerBase[company_name],$B979)*Z454)</f>
        <v>0</v>
      </c>
      <c r="AA979" s="652">
        <f>IF($B979="",,SUMIFS(PerBase[Month 16],PerBase[exp_item],$H979,PerBase[company_name],$B979)*AA454)</f>
        <v>0</v>
      </c>
      <c r="AB979" s="652">
        <f>IF($B979="",,SUMIFS(PerBase[Month 17],PerBase[exp_item],$H979,PerBase[company_name],$B979)*AB454)</f>
        <v>0</v>
      </c>
      <c r="AC979" s="652">
        <f>IF($B979="",,SUMIFS(PerBase[Month 18],PerBase[exp_item],$H979,PerBase[company_name],$B979)*AC454)</f>
        <v>0</v>
      </c>
      <c r="AD979" s="652">
        <f>IF($B979="",,SUMIFS(PerBase[Month 19],PerBase[exp_item],$H979,PerBase[company_name],$B979)*AD454)</f>
        <v>0</v>
      </c>
      <c r="AE979" s="652">
        <f>IF($B979="",,SUMIFS(PerBase[Month 20],PerBase[exp_item],$H979,PerBase[company_name],$B979)*AE454)</f>
        <v>0</v>
      </c>
      <c r="AF979" s="652">
        <f>IF($B979="",,SUMIFS(PerBase[Month 21],PerBase[exp_item],$H979,PerBase[company_name],$B979)*AF454)</f>
        <v>0</v>
      </c>
      <c r="AG979" s="652">
        <f>IF($B979="",,SUMIFS(PerBase[Month 22],PerBase[exp_item],$H979,PerBase[company_name],$B979)*AG454)</f>
        <v>0</v>
      </c>
      <c r="AH979" s="652">
        <f>IF($B979="",,SUMIFS(PerBase[Month 23],PerBase[exp_item],$H979,PerBase[company_name],$B979)*AH454)</f>
        <v>0</v>
      </c>
      <c r="AI979" s="652">
        <f>IF($B979="",,SUMIFS(PerBase[Month 24],PerBase[exp_item],$H979,PerBase[company_name],$B979)*AI454)</f>
        <v>0</v>
      </c>
      <c r="AJ979" s="652">
        <f>IF($B979="",,SUMIFS(PerBase[Month 25],PerBase[exp_item],$H979,PerBase[company_name],$B979)*AJ454)</f>
        <v>0</v>
      </c>
      <c r="AK979" s="652">
        <f>IF($B979="",,SUMIFS(PerBase[Month 26],PerBase[exp_item],$H979,PerBase[company_name],$B979)*AK454)</f>
        <v>0</v>
      </c>
      <c r="AL979" s="652">
        <f>IF($B979="",,SUMIFS(PerBase[Month 27],PerBase[exp_item],$H979,PerBase[company_name],$B979)*AL454)</f>
        <v>0</v>
      </c>
      <c r="AM979" s="652">
        <f>IF($B979="",,SUMIFS(PerBase[Month 28],PerBase[exp_item],$H979,PerBase[company_name],$B979)*AM454)</f>
        <v>0</v>
      </c>
      <c r="AN979" s="652">
        <f>IF($B979="",,SUMIFS(PerBase[Month 29],PerBase[exp_item],$H979,PerBase[company_name],$B979)*AN454)</f>
        <v>0</v>
      </c>
      <c r="AO979" s="652">
        <f>IF($B979="",,SUMIFS(PerBase[Month 30],PerBase[exp_item],$H979,PerBase[company_name],$B979)*AO454)</f>
        <v>0</v>
      </c>
      <c r="AP979" s="652">
        <f>IF($B979="",,SUMIFS(PerBase[Month 31],PerBase[exp_item],$H979,PerBase[company_name],$B979)*AP454)</f>
        <v>0</v>
      </c>
      <c r="AQ979" s="652">
        <f>IF($B979="",,SUMIFS(PerBase[Month 32],PerBase[exp_item],$H979,PerBase[company_name],$B979)*AQ454)</f>
        <v>0</v>
      </c>
      <c r="AR979" s="652">
        <f>IF($B979="",,SUMIFS(PerBase[Month 33],PerBase[exp_item],$H979,PerBase[company_name],$B979)*AR454)</f>
        <v>0</v>
      </c>
      <c r="AS979" s="652">
        <f>IF($B979="",,SUMIFS(PerBase[Month 34],PerBase[exp_item],$H979,PerBase[company_name],$B979)*AS454)</f>
        <v>0</v>
      </c>
      <c r="AT979" s="652">
        <f>IF($B979="",,SUMIFS(PerBase[Month 35],PerBase[exp_item],$H979,PerBase[company_name],$B979)*AT454)</f>
        <v>0</v>
      </c>
      <c r="AU979" s="652">
        <f>IF($B979="",,SUMIFS(PerBase[Month 36],PerBase[exp_item],$H979,PerBase[company_name],$B979)*AU454)</f>
        <v>0</v>
      </c>
    </row>
    <row r="980" spans="2:47" x14ac:dyDescent="0.35">
      <c r="B980" t="str">
        <f t="shared" si="589"/>
        <v/>
      </c>
      <c r="C980" t="str">
        <f t="shared" ref="C980:G980" si="616">IF(C875="","",C875)</f>
        <v/>
      </c>
      <c r="D980" t="str">
        <f t="shared" si="616"/>
        <v/>
      </c>
      <c r="E980" t="str">
        <f t="shared" si="616"/>
        <v/>
      </c>
      <c r="F980" t="str">
        <f t="shared" si="616"/>
        <v/>
      </c>
      <c r="G980" t="str">
        <f t="shared" si="616"/>
        <v/>
      </c>
      <c r="H980" t="str">
        <f t="shared" si="588"/>
        <v/>
      </c>
      <c r="J980" t="str">
        <f>IF($H980="","",IF(VLOOKUP(H980,ExpItems[],2,0),H980&amp;" - "&amp;INDEX(DivisionMapping[category_code],MATCH($D980&amp;$C980,DivisionMapping[dept_bu],0)),H980))</f>
        <v/>
      </c>
      <c r="K980" t="str">
        <f t="shared" si="556"/>
        <v/>
      </c>
      <c r="L980" s="652">
        <f>IF($B980="",,SUMIFS(PerBase[Month 1],PerBase[exp_item],$H980,PerBase[company_name],$B980)*L455)</f>
        <v>0</v>
      </c>
      <c r="M980" s="652">
        <f>IF($B980="",,SUMIFS(PerBase[Month 2],PerBase[exp_item],$H980,PerBase[company_name],$B980)*M455)</f>
        <v>0</v>
      </c>
      <c r="N980" s="652">
        <f>IF($B980="",,SUMIFS(PerBase[Month 3],PerBase[exp_item],$H980,PerBase[company_name],$B980)*N455)</f>
        <v>0</v>
      </c>
      <c r="O980" s="652">
        <f>IF($B980="",,SUMIFS(PerBase[Month 4],PerBase[exp_item],$H980,PerBase[company_name],$B980)*O455)</f>
        <v>0</v>
      </c>
      <c r="P980" s="652">
        <f>IF($B980="",,SUMIFS(PerBase[Month 5],PerBase[exp_item],$H980,PerBase[company_name],$B980)*P455)</f>
        <v>0</v>
      </c>
      <c r="Q980" s="652">
        <f>IF($B980="",,SUMIFS(PerBase[Month 6],PerBase[exp_item],$H980,PerBase[company_name],$B980)*Q455)</f>
        <v>0</v>
      </c>
      <c r="R980" s="652">
        <f>IF($B980="",,SUMIFS(PerBase[Month 7],PerBase[exp_item],$H980,PerBase[company_name],$B980)*R455)</f>
        <v>0</v>
      </c>
      <c r="S980" s="652">
        <f>IF($B980="",,SUMIFS(PerBase[Month 8],PerBase[exp_item],$H980,PerBase[company_name],$B980)*S455)</f>
        <v>0</v>
      </c>
      <c r="T980" s="652">
        <f>IF($B980="",,SUMIFS(PerBase[Month 9],PerBase[exp_item],$H980,PerBase[company_name],$B980)*T455)</f>
        <v>0</v>
      </c>
      <c r="U980" s="652">
        <f>IF($B980="",,SUMIFS(PerBase[Month 10],PerBase[exp_item],$H980,PerBase[company_name],$B980)*U455)</f>
        <v>0</v>
      </c>
      <c r="V980" s="652">
        <f>IF($B980="",,SUMIFS(PerBase[Month 11],PerBase[exp_item],$H980,PerBase[company_name],$B980)*V455)</f>
        <v>0</v>
      </c>
      <c r="W980" s="652">
        <f>IF($B980="",,SUMIFS(PerBase[Month 12],PerBase[exp_item],$H980,PerBase[company_name],$B980)*W455)</f>
        <v>0</v>
      </c>
      <c r="X980" s="652">
        <f>IF($B980="",,SUMIFS(PerBase[Month 13],PerBase[exp_item],$H980,PerBase[company_name],$B980)*X455)</f>
        <v>0</v>
      </c>
      <c r="Y980" s="652">
        <f>IF($B980="",,SUMIFS(PerBase[Month 14],PerBase[exp_item],$H980,PerBase[company_name],$B980)*Y455)</f>
        <v>0</v>
      </c>
      <c r="Z980" s="652">
        <f>IF($B980="",,SUMIFS(PerBase[Month 15],PerBase[exp_item],$H980,PerBase[company_name],$B980)*Z455)</f>
        <v>0</v>
      </c>
      <c r="AA980" s="652">
        <f>IF($B980="",,SUMIFS(PerBase[Month 16],PerBase[exp_item],$H980,PerBase[company_name],$B980)*AA455)</f>
        <v>0</v>
      </c>
      <c r="AB980" s="652">
        <f>IF($B980="",,SUMIFS(PerBase[Month 17],PerBase[exp_item],$H980,PerBase[company_name],$B980)*AB455)</f>
        <v>0</v>
      </c>
      <c r="AC980" s="652">
        <f>IF($B980="",,SUMIFS(PerBase[Month 18],PerBase[exp_item],$H980,PerBase[company_name],$B980)*AC455)</f>
        <v>0</v>
      </c>
      <c r="AD980" s="652">
        <f>IF($B980="",,SUMIFS(PerBase[Month 19],PerBase[exp_item],$H980,PerBase[company_name],$B980)*AD455)</f>
        <v>0</v>
      </c>
      <c r="AE980" s="652">
        <f>IF($B980="",,SUMIFS(PerBase[Month 20],PerBase[exp_item],$H980,PerBase[company_name],$B980)*AE455)</f>
        <v>0</v>
      </c>
      <c r="AF980" s="652">
        <f>IF($B980="",,SUMIFS(PerBase[Month 21],PerBase[exp_item],$H980,PerBase[company_name],$B980)*AF455)</f>
        <v>0</v>
      </c>
      <c r="AG980" s="652">
        <f>IF($B980="",,SUMIFS(PerBase[Month 22],PerBase[exp_item],$H980,PerBase[company_name],$B980)*AG455)</f>
        <v>0</v>
      </c>
      <c r="AH980" s="652">
        <f>IF($B980="",,SUMIFS(PerBase[Month 23],PerBase[exp_item],$H980,PerBase[company_name],$B980)*AH455)</f>
        <v>0</v>
      </c>
      <c r="AI980" s="652">
        <f>IF($B980="",,SUMIFS(PerBase[Month 24],PerBase[exp_item],$H980,PerBase[company_name],$B980)*AI455)</f>
        <v>0</v>
      </c>
      <c r="AJ980" s="652">
        <f>IF($B980="",,SUMIFS(PerBase[Month 25],PerBase[exp_item],$H980,PerBase[company_name],$B980)*AJ455)</f>
        <v>0</v>
      </c>
      <c r="AK980" s="652">
        <f>IF($B980="",,SUMIFS(PerBase[Month 26],PerBase[exp_item],$H980,PerBase[company_name],$B980)*AK455)</f>
        <v>0</v>
      </c>
      <c r="AL980" s="652">
        <f>IF($B980="",,SUMIFS(PerBase[Month 27],PerBase[exp_item],$H980,PerBase[company_name],$B980)*AL455)</f>
        <v>0</v>
      </c>
      <c r="AM980" s="652">
        <f>IF($B980="",,SUMIFS(PerBase[Month 28],PerBase[exp_item],$H980,PerBase[company_name],$B980)*AM455)</f>
        <v>0</v>
      </c>
      <c r="AN980" s="652">
        <f>IF($B980="",,SUMIFS(PerBase[Month 29],PerBase[exp_item],$H980,PerBase[company_name],$B980)*AN455)</f>
        <v>0</v>
      </c>
      <c r="AO980" s="652">
        <f>IF($B980="",,SUMIFS(PerBase[Month 30],PerBase[exp_item],$H980,PerBase[company_name],$B980)*AO455)</f>
        <v>0</v>
      </c>
      <c r="AP980" s="652">
        <f>IF($B980="",,SUMIFS(PerBase[Month 31],PerBase[exp_item],$H980,PerBase[company_name],$B980)*AP455)</f>
        <v>0</v>
      </c>
      <c r="AQ980" s="652">
        <f>IF($B980="",,SUMIFS(PerBase[Month 32],PerBase[exp_item],$H980,PerBase[company_name],$B980)*AQ455)</f>
        <v>0</v>
      </c>
      <c r="AR980" s="652">
        <f>IF($B980="",,SUMIFS(PerBase[Month 33],PerBase[exp_item],$H980,PerBase[company_name],$B980)*AR455)</f>
        <v>0</v>
      </c>
      <c r="AS980" s="652">
        <f>IF($B980="",,SUMIFS(PerBase[Month 34],PerBase[exp_item],$H980,PerBase[company_name],$B980)*AS455)</f>
        <v>0</v>
      </c>
      <c r="AT980" s="652">
        <f>IF($B980="",,SUMIFS(PerBase[Month 35],PerBase[exp_item],$H980,PerBase[company_name],$B980)*AT455)</f>
        <v>0</v>
      </c>
      <c r="AU980" s="652">
        <f>IF($B980="",,SUMIFS(PerBase[Month 36],PerBase[exp_item],$H980,PerBase[company_name],$B980)*AU455)</f>
        <v>0</v>
      </c>
    </row>
    <row r="981" spans="2:47" x14ac:dyDescent="0.35">
      <c r="B981" t="str">
        <f t="shared" si="589"/>
        <v/>
      </c>
      <c r="C981" t="str">
        <f t="shared" ref="C981:G981" si="617">IF(C876="","",C876)</f>
        <v/>
      </c>
      <c r="D981" t="str">
        <f t="shared" si="617"/>
        <v/>
      </c>
      <c r="E981" t="str">
        <f t="shared" si="617"/>
        <v/>
      </c>
      <c r="F981" t="str">
        <f t="shared" si="617"/>
        <v/>
      </c>
      <c r="G981" t="str">
        <f t="shared" si="617"/>
        <v/>
      </c>
      <c r="H981" t="str">
        <f t="shared" si="588"/>
        <v/>
      </c>
      <c r="J981" t="str">
        <f>IF($H981="","",IF(VLOOKUP(H981,ExpItems[],2,0),H981&amp;" - "&amp;INDEX(DivisionMapping[category_code],MATCH($D981&amp;$C981,DivisionMapping[dept_bu],0)),H981))</f>
        <v/>
      </c>
      <c r="K981" t="str">
        <f t="shared" si="556"/>
        <v/>
      </c>
      <c r="L981" s="652">
        <f>IF($B981="",,SUMIFS(PerBase[Month 1],PerBase[exp_item],$H981,PerBase[company_name],$B981)*L456)</f>
        <v>0</v>
      </c>
      <c r="M981" s="652">
        <f>IF($B981="",,SUMIFS(PerBase[Month 2],PerBase[exp_item],$H981,PerBase[company_name],$B981)*M456)</f>
        <v>0</v>
      </c>
      <c r="N981" s="652">
        <f>IF($B981="",,SUMIFS(PerBase[Month 3],PerBase[exp_item],$H981,PerBase[company_name],$B981)*N456)</f>
        <v>0</v>
      </c>
      <c r="O981" s="652">
        <f>IF($B981="",,SUMIFS(PerBase[Month 4],PerBase[exp_item],$H981,PerBase[company_name],$B981)*O456)</f>
        <v>0</v>
      </c>
      <c r="P981" s="652">
        <f>IF($B981="",,SUMIFS(PerBase[Month 5],PerBase[exp_item],$H981,PerBase[company_name],$B981)*P456)</f>
        <v>0</v>
      </c>
      <c r="Q981" s="652">
        <f>IF($B981="",,SUMIFS(PerBase[Month 6],PerBase[exp_item],$H981,PerBase[company_name],$B981)*Q456)</f>
        <v>0</v>
      </c>
      <c r="R981" s="652">
        <f>IF($B981="",,SUMIFS(PerBase[Month 7],PerBase[exp_item],$H981,PerBase[company_name],$B981)*R456)</f>
        <v>0</v>
      </c>
      <c r="S981" s="652">
        <f>IF($B981="",,SUMIFS(PerBase[Month 8],PerBase[exp_item],$H981,PerBase[company_name],$B981)*S456)</f>
        <v>0</v>
      </c>
      <c r="T981" s="652">
        <f>IF($B981="",,SUMIFS(PerBase[Month 9],PerBase[exp_item],$H981,PerBase[company_name],$B981)*T456)</f>
        <v>0</v>
      </c>
      <c r="U981" s="652">
        <f>IF($B981="",,SUMIFS(PerBase[Month 10],PerBase[exp_item],$H981,PerBase[company_name],$B981)*U456)</f>
        <v>0</v>
      </c>
      <c r="V981" s="652">
        <f>IF($B981="",,SUMIFS(PerBase[Month 11],PerBase[exp_item],$H981,PerBase[company_name],$B981)*V456)</f>
        <v>0</v>
      </c>
      <c r="W981" s="652">
        <f>IF($B981="",,SUMIFS(PerBase[Month 12],PerBase[exp_item],$H981,PerBase[company_name],$B981)*W456)</f>
        <v>0</v>
      </c>
      <c r="X981" s="652">
        <f>IF($B981="",,SUMIFS(PerBase[Month 13],PerBase[exp_item],$H981,PerBase[company_name],$B981)*X456)</f>
        <v>0</v>
      </c>
      <c r="Y981" s="652">
        <f>IF($B981="",,SUMIFS(PerBase[Month 14],PerBase[exp_item],$H981,PerBase[company_name],$B981)*Y456)</f>
        <v>0</v>
      </c>
      <c r="Z981" s="652">
        <f>IF($B981="",,SUMIFS(PerBase[Month 15],PerBase[exp_item],$H981,PerBase[company_name],$B981)*Z456)</f>
        <v>0</v>
      </c>
      <c r="AA981" s="652">
        <f>IF($B981="",,SUMIFS(PerBase[Month 16],PerBase[exp_item],$H981,PerBase[company_name],$B981)*AA456)</f>
        <v>0</v>
      </c>
      <c r="AB981" s="652">
        <f>IF($B981="",,SUMIFS(PerBase[Month 17],PerBase[exp_item],$H981,PerBase[company_name],$B981)*AB456)</f>
        <v>0</v>
      </c>
      <c r="AC981" s="652">
        <f>IF($B981="",,SUMIFS(PerBase[Month 18],PerBase[exp_item],$H981,PerBase[company_name],$B981)*AC456)</f>
        <v>0</v>
      </c>
      <c r="AD981" s="652">
        <f>IF($B981="",,SUMIFS(PerBase[Month 19],PerBase[exp_item],$H981,PerBase[company_name],$B981)*AD456)</f>
        <v>0</v>
      </c>
      <c r="AE981" s="652">
        <f>IF($B981="",,SUMIFS(PerBase[Month 20],PerBase[exp_item],$H981,PerBase[company_name],$B981)*AE456)</f>
        <v>0</v>
      </c>
      <c r="AF981" s="652">
        <f>IF($B981="",,SUMIFS(PerBase[Month 21],PerBase[exp_item],$H981,PerBase[company_name],$B981)*AF456)</f>
        <v>0</v>
      </c>
      <c r="AG981" s="652">
        <f>IF($B981="",,SUMIFS(PerBase[Month 22],PerBase[exp_item],$H981,PerBase[company_name],$B981)*AG456)</f>
        <v>0</v>
      </c>
      <c r="AH981" s="652">
        <f>IF($B981="",,SUMIFS(PerBase[Month 23],PerBase[exp_item],$H981,PerBase[company_name],$B981)*AH456)</f>
        <v>0</v>
      </c>
      <c r="AI981" s="652">
        <f>IF($B981="",,SUMIFS(PerBase[Month 24],PerBase[exp_item],$H981,PerBase[company_name],$B981)*AI456)</f>
        <v>0</v>
      </c>
      <c r="AJ981" s="652">
        <f>IF($B981="",,SUMIFS(PerBase[Month 25],PerBase[exp_item],$H981,PerBase[company_name],$B981)*AJ456)</f>
        <v>0</v>
      </c>
      <c r="AK981" s="652">
        <f>IF($B981="",,SUMIFS(PerBase[Month 26],PerBase[exp_item],$H981,PerBase[company_name],$B981)*AK456)</f>
        <v>0</v>
      </c>
      <c r="AL981" s="652">
        <f>IF($B981="",,SUMIFS(PerBase[Month 27],PerBase[exp_item],$H981,PerBase[company_name],$B981)*AL456)</f>
        <v>0</v>
      </c>
      <c r="AM981" s="652">
        <f>IF($B981="",,SUMIFS(PerBase[Month 28],PerBase[exp_item],$H981,PerBase[company_name],$B981)*AM456)</f>
        <v>0</v>
      </c>
      <c r="AN981" s="652">
        <f>IF($B981="",,SUMIFS(PerBase[Month 29],PerBase[exp_item],$H981,PerBase[company_name],$B981)*AN456)</f>
        <v>0</v>
      </c>
      <c r="AO981" s="652">
        <f>IF($B981="",,SUMIFS(PerBase[Month 30],PerBase[exp_item],$H981,PerBase[company_name],$B981)*AO456)</f>
        <v>0</v>
      </c>
      <c r="AP981" s="652">
        <f>IF($B981="",,SUMIFS(PerBase[Month 31],PerBase[exp_item],$H981,PerBase[company_name],$B981)*AP456)</f>
        <v>0</v>
      </c>
      <c r="AQ981" s="652">
        <f>IF($B981="",,SUMIFS(PerBase[Month 32],PerBase[exp_item],$H981,PerBase[company_name],$B981)*AQ456)</f>
        <v>0</v>
      </c>
      <c r="AR981" s="652">
        <f>IF($B981="",,SUMIFS(PerBase[Month 33],PerBase[exp_item],$H981,PerBase[company_name],$B981)*AR456)</f>
        <v>0</v>
      </c>
      <c r="AS981" s="652">
        <f>IF($B981="",,SUMIFS(PerBase[Month 34],PerBase[exp_item],$H981,PerBase[company_name],$B981)*AS456)</f>
        <v>0</v>
      </c>
      <c r="AT981" s="652">
        <f>IF($B981="",,SUMIFS(PerBase[Month 35],PerBase[exp_item],$H981,PerBase[company_name],$B981)*AT456)</f>
        <v>0</v>
      </c>
      <c r="AU981" s="652">
        <f>IF($B981="",,SUMIFS(PerBase[Month 36],PerBase[exp_item],$H981,PerBase[company_name],$B981)*AU456)</f>
        <v>0</v>
      </c>
    </row>
    <row r="982" spans="2:47" x14ac:dyDescent="0.35">
      <c r="B982" t="str">
        <f t="shared" si="589"/>
        <v/>
      </c>
      <c r="C982" t="str">
        <f t="shared" ref="C982:G982" si="618">IF(C877="","",C877)</f>
        <v/>
      </c>
      <c r="D982" t="str">
        <f t="shared" si="618"/>
        <v/>
      </c>
      <c r="E982" t="str">
        <f t="shared" si="618"/>
        <v/>
      </c>
      <c r="F982" t="str">
        <f t="shared" si="618"/>
        <v/>
      </c>
      <c r="G982" t="str">
        <f t="shared" si="618"/>
        <v/>
      </c>
      <c r="H982" t="str">
        <f t="shared" si="588"/>
        <v/>
      </c>
      <c r="J982" t="str">
        <f>IF($H982="","",IF(VLOOKUP(H982,ExpItems[],2,0),H982&amp;" - "&amp;INDEX(DivisionMapping[category_code],MATCH($D982&amp;$C982,DivisionMapping[dept_bu],0)),H982))</f>
        <v/>
      </c>
      <c r="K982" t="str">
        <f t="shared" si="556"/>
        <v/>
      </c>
      <c r="L982" s="652">
        <f>IF($B982="",,SUMIFS(PerBase[Month 1],PerBase[exp_item],$H982,PerBase[company_name],$B982)*L457)</f>
        <v>0</v>
      </c>
      <c r="M982" s="652">
        <f>IF($B982="",,SUMIFS(PerBase[Month 2],PerBase[exp_item],$H982,PerBase[company_name],$B982)*M457)</f>
        <v>0</v>
      </c>
      <c r="N982" s="652">
        <f>IF($B982="",,SUMIFS(PerBase[Month 3],PerBase[exp_item],$H982,PerBase[company_name],$B982)*N457)</f>
        <v>0</v>
      </c>
      <c r="O982" s="652">
        <f>IF($B982="",,SUMIFS(PerBase[Month 4],PerBase[exp_item],$H982,PerBase[company_name],$B982)*O457)</f>
        <v>0</v>
      </c>
      <c r="P982" s="652">
        <f>IF($B982="",,SUMIFS(PerBase[Month 5],PerBase[exp_item],$H982,PerBase[company_name],$B982)*P457)</f>
        <v>0</v>
      </c>
      <c r="Q982" s="652">
        <f>IF($B982="",,SUMIFS(PerBase[Month 6],PerBase[exp_item],$H982,PerBase[company_name],$B982)*Q457)</f>
        <v>0</v>
      </c>
      <c r="R982" s="652">
        <f>IF($B982="",,SUMIFS(PerBase[Month 7],PerBase[exp_item],$H982,PerBase[company_name],$B982)*R457)</f>
        <v>0</v>
      </c>
      <c r="S982" s="652">
        <f>IF($B982="",,SUMIFS(PerBase[Month 8],PerBase[exp_item],$H982,PerBase[company_name],$B982)*S457)</f>
        <v>0</v>
      </c>
      <c r="T982" s="652">
        <f>IF($B982="",,SUMIFS(PerBase[Month 9],PerBase[exp_item],$H982,PerBase[company_name],$B982)*T457)</f>
        <v>0</v>
      </c>
      <c r="U982" s="652">
        <f>IF($B982="",,SUMIFS(PerBase[Month 10],PerBase[exp_item],$H982,PerBase[company_name],$B982)*U457)</f>
        <v>0</v>
      </c>
      <c r="V982" s="652">
        <f>IF($B982="",,SUMIFS(PerBase[Month 11],PerBase[exp_item],$H982,PerBase[company_name],$B982)*V457)</f>
        <v>0</v>
      </c>
      <c r="W982" s="652">
        <f>IF($B982="",,SUMIFS(PerBase[Month 12],PerBase[exp_item],$H982,PerBase[company_name],$B982)*W457)</f>
        <v>0</v>
      </c>
      <c r="X982" s="652">
        <f>IF($B982="",,SUMIFS(PerBase[Month 13],PerBase[exp_item],$H982,PerBase[company_name],$B982)*X457)</f>
        <v>0</v>
      </c>
      <c r="Y982" s="652">
        <f>IF($B982="",,SUMIFS(PerBase[Month 14],PerBase[exp_item],$H982,PerBase[company_name],$B982)*Y457)</f>
        <v>0</v>
      </c>
      <c r="Z982" s="652">
        <f>IF($B982="",,SUMIFS(PerBase[Month 15],PerBase[exp_item],$H982,PerBase[company_name],$B982)*Z457)</f>
        <v>0</v>
      </c>
      <c r="AA982" s="652">
        <f>IF($B982="",,SUMIFS(PerBase[Month 16],PerBase[exp_item],$H982,PerBase[company_name],$B982)*AA457)</f>
        <v>0</v>
      </c>
      <c r="AB982" s="652">
        <f>IF($B982="",,SUMIFS(PerBase[Month 17],PerBase[exp_item],$H982,PerBase[company_name],$B982)*AB457)</f>
        <v>0</v>
      </c>
      <c r="AC982" s="652">
        <f>IF($B982="",,SUMIFS(PerBase[Month 18],PerBase[exp_item],$H982,PerBase[company_name],$B982)*AC457)</f>
        <v>0</v>
      </c>
      <c r="AD982" s="652">
        <f>IF($B982="",,SUMIFS(PerBase[Month 19],PerBase[exp_item],$H982,PerBase[company_name],$B982)*AD457)</f>
        <v>0</v>
      </c>
      <c r="AE982" s="652">
        <f>IF($B982="",,SUMIFS(PerBase[Month 20],PerBase[exp_item],$H982,PerBase[company_name],$B982)*AE457)</f>
        <v>0</v>
      </c>
      <c r="AF982" s="652">
        <f>IF($B982="",,SUMIFS(PerBase[Month 21],PerBase[exp_item],$H982,PerBase[company_name],$B982)*AF457)</f>
        <v>0</v>
      </c>
      <c r="AG982" s="652">
        <f>IF($B982="",,SUMIFS(PerBase[Month 22],PerBase[exp_item],$H982,PerBase[company_name],$B982)*AG457)</f>
        <v>0</v>
      </c>
      <c r="AH982" s="652">
        <f>IF($B982="",,SUMIFS(PerBase[Month 23],PerBase[exp_item],$H982,PerBase[company_name],$B982)*AH457)</f>
        <v>0</v>
      </c>
      <c r="AI982" s="652">
        <f>IF($B982="",,SUMIFS(PerBase[Month 24],PerBase[exp_item],$H982,PerBase[company_name],$B982)*AI457)</f>
        <v>0</v>
      </c>
      <c r="AJ982" s="652">
        <f>IF($B982="",,SUMIFS(PerBase[Month 25],PerBase[exp_item],$H982,PerBase[company_name],$B982)*AJ457)</f>
        <v>0</v>
      </c>
      <c r="AK982" s="652">
        <f>IF($B982="",,SUMIFS(PerBase[Month 26],PerBase[exp_item],$H982,PerBase[company_name],$B982)*AK457)</f>
        <v>0</v>
      </c>
      <c r="AL982" s="652">
        <f>IF($B982="",,SUMIFS(PerBase[Month 27],PerBase[exp_item],$H982,PerBase[company_name],$B982)*AL457)</f>
        <v>0</v>
      </c>
      <c r="AM982" s="652">
        <f>IF($B982="",,SUMIFS(PerBase[Month 28],PerBase[exp_item],$H982,PerBase[company_name],$B982)*AM457)</f>
        <v>0</v>
      </c>
      <c r="AN982" s="652">
        <f>IF($B982="",,SUMIFS(PerBase[Month 29],PerBase[exp_item],$H982,PerBase[company_name],$B982)*AN457)</f>
        <v>0</v>
      </c>
      <c r="AO982" s="652">
        <f>IF($B982="",,SUMIFS(PerBase[Month 30],PerBase[exp_item],$H982,PerBase[company_name],$B982)*AO457)</f>
        <v>0</v>
      </c>
      <c r="AP982" s="652">
        <f>IF($B982="",,SUMIFS(PerBase[Month 31],PerBase[exp_item],$H982,PerBase[company_name],$B982)*AP457)</f>
        <v>0</v>
      </c>
      <c r="AQ982" s="652">
        <f>IF($B982="",,SUMIFS(PerBase[Month 32],PerBase[exp_item],$H982,PerBase[company_name],$B982)*AQ457)</f>
        <v>0</v>
      </c>
      <c r="AR982" s="652">
        <f>IF($B982="",,SUMIFS(PerBase[Month 33],PerBase[exp_item],$H982,PerBase[company_name],$B982)*AR457)</f>
        <v>0</v>
      </c>
      <c r="AS982" s="652">
        <f>IF($B982="",,SUMIFS(PerBase[Month 34],PerBase[exp_item],$H982,PerBase[company_name],$B982)*AS457)</f>
        <v>0</v>
      </c>
      <c r="AT982" s="652">
        <f>IF($B982="",,SUMIFS(PerBase[Month 35],PerBase[exp_item],$H982,PerBase[company_name],$B982)*AT457)</f>
        <v>0</v>
      </c>
      <c r="AU982" s="652">
        <f>IF($B982="",,SUMIFS(PerBase[Month 36],PerBase[exp_item],$H982,PerBase[company_name],$B982)*AU457)</f>
        <v>0</v>
      </c>
    </row>
    <row r="983" spans="2:47" x14ac:dyDescent="0.35">
      <c r="B983" t="str">
        <f t="shared" si="589"/>
        <v/>
      </c>
      <c r="C983" t="str">
        <f t="shared" ref="C983:G983" si="619">IF(C878="","",C878)</f>
        <v/>
      </c>
      <c r="D983" t="str">
        <f t="shared" si="619"/>
        <v/>
      </c>
      <c r="E983" t="str">
        <f t="shared" si="619"/>
        <v/>
      </c>
      <c r="F983" t="str">
        <f t="shared" si="619"/>
        <v/>
      </c>
      <c r="G983" t="str">
        <f t="shared" si="619"/>
        <v/>
      </c>
      <c r="H983" t="str">
        <f t="shared" si="588"/>
        <v/>
      </c>
      <c r="J983" t="str">
        <f>IF($H983="","",IF(VLOOKUP(H983,ExpItems[],2,0),H983&amp;" - "&amp;INDEX(DivisionMapping[category_code],MATCH($D983&amp;$C983,DivisionMapping[dept_bu],0)),H983))</f>
        <v/>
      </c>
      <c r="K983" t="str">
        <f t="shared" si="556"/>
        <v/>
      </c>
      <c r="L983" s="652">
        <f>IF($B983="",,SUMIFS(PerBase[Month 1],PerBase[exp_item],$H983,PerBase[company_name],$B983)*L458)</f>
        <v>0</v>
      </c>
      <c r="M983" s="652">
        <f>IF($B983="",,SUMIFS(PerBase[Month 2],PerBase[exp_item],$H983,PerBase[company_name],$B983)*M458)</f>
        <v>0</v>
      </c>
      <c r="N983" s="652">
        <f>IF($B983="",,SUMIFS(PerBase[Month 3],PerBase[exp_item],$H983,PerBase[company_name],$B983)*N458)</f>
        <v>0</v>
      </c>
      <c r="O983" s="652">
        <f>IF($B983="",,SUMIFS(PerBase[Month 4],PerBase[exp_item],$H983,PerBase[company_name],$B983)*O458)</f>
        <v>0</v>
      </c>
      <c r="P983" s="652">
        <f>IF($B983="",,SUMIFS(PerBase[Month 5],PerBase[exp_item],$H983,PerBase[company_name],$B983)*P458)</f>
        <v>0</v>
      </c>
      <c r="Q983" s="652">
        <f>IF($B983="",,SUMIFS(PerBase[Month 6],PerBase[exp_item],$H983,PerBase[company_name],$B983)*Q458)</f>
        <v>0</v>
      </c>
      <c r="R983" s="652">
        <f>IF($B983="",,SUMIFS(PerBase[Month 7],PerBase[exp_item],$H983,PerBase[company_name],$B983)*R458)</f>
        <v>0</v>
      </c>
      <c r="S983" s="652">
        <f>IF($B983="",,SUMIFS(PerBase[Month 8],PerBase[exp_item],$H983,PerBase[company_name],$B983)*S458)</f>
        <v>0</v>
      </c>
      <c r="T983" s="652">
        <f>IF($B983="",,SUMIFS(PerBase[Month 9],PerBase[exp_item],$H983,PerBase[company_name],$B983)*T458)</f>
        <v>0</v>
      </c>
      <c r="U983" s="652">
        <f>IF($B983="",,SUMIFS(PerBase[Month 10],PerBase[exp_item],$H983,PerBase[company_name],$B983)*U458)</f>
        <v>0</v>
      </c>
      <c r="V983" s="652">
        <f>IF($B983="",,SUMIFS(PerBase[Month 11],PerBase[exp_item],$H983,PerBase[company_name],$B983)*V458)</f>
        <v>0</v>
      </c>
      <c r="W983" s="652">
        <f>IF($B983="",,SUMIFS(PerBase[Month 12],PerBase[exp_item],$H983,PerBase[company_name],$B983)*W458)</f>
        <v>0</v>
      </c>
      <c r="X983" s="652">
        <f>IF($B983="",,SUMIFS(PerBase[Month 13],PerBase[exp_item],$H983,PerBase[company_name],$B983)*X458)</f>
        <v>0</v>
      </c>
      <c r="Y983" s="652">
        <f>IF($B983="",,SUMIFS(PerBase[Month 14],PerBase[exp_item],$H983,PerBase[company_name],$B983)*Y458)</f>
        <v>0</v>
      </c>
      <c r="Z983" s="652">
        <f>IF($B983="",,SUMIFS(PerBase[Month 15],PerBase[exp_item],$H983,PerBase[company_name],$B983)*Z458)</f>
        <v>0</v>
      </c>
      <c r="AA983" s="652">
        <f>IF($B983="",,SUMIFS(PerBase[Month 16],PerBase[exp_item],$H983,PerBase[company_name],$B983)*AA458)</f>
        <v>0</v>
      </c>
      <c r="AB983" s="652">
        <f>IF($B983="",,SUMIFS(PerBase[Month 17],PerBase[exp_item],$H983,PerBase[company_name],$B983)*AB458)</f>
        <v>0</v>
      </c>
      <c r="AC983" s="652">
        <f>IF($B983="",,SUMIFS(PerBase[Month 18],PerBase[exp_item],$H983,PerBase[company_name],$B983)*AC458)</f>
        <v>0</v>
      </c>
      <c r="AD983" s="652">
        <f>IF($B983="",,SUMIFS(PerBase[Month 19],PerBase[exp_item],$H983,PerBase[company_name],$B983)*AD458)</f>
        <v>0</v>
      </c>
      <c r="AE983" s="652">
        <f>IF($B983="",,SUMIFS(PerBase[Month 20],PerBase[exp_item],$H983,PerBase[company_name],$B983)*AE458)</f>
        <v>0</v>
      </c>
      <c r="AF983" s="652">
        <f>IF($B983="",,SUMIFS(PerBase[Month 21],PerBase[exp_item],$H983,PerBase[company_name],$B983)*AF458)</f>
        <v>0</v>
      </c>
      <c r="AG983" s="652">
        <f>IF($B983="",,SUMIFS(PerBase[Month 22],PerBase[exp_item],$H983,PerBase[company_name],$B983)*AG458)</f>
        <v>0</v>
      </c>
      <c r="AH983" s="652">
        <f>IF($B983="",,SUMIFS(PerBase[Month 23],PerBase[exp_item],$H983,PerBase[company_name],$B983)*AH458)</f>
        <v>0</v>
      </c>
      <c r="AI983" s="652">
        <f>IF($B983="",,SUMIFS(PerBase[Month 24],PerBase[exp_item],$H983,PerBase[company_name],$B983)*AI458)</f>
        <v>0</v>
      </c>
      <c r="AJ983" s="652">
        <f>IF($B983="",,SUMIFS(PerBase[Month 25],PerBase[exp_item],$H983,PerBase[company_name],$B983)*AJ458)</f>
        <v>0</v>
      </c>
      <c r="AK983" s="652">
        <f>IF($B983="",,SUMIFS(PerBase[Month 26],PerBase[exp_item],$H983,PerBase[company_name],$B983)*AK458)</f>
        <v>0</v>
      </c>
      <c r="AL983" s="652">
        <f>IF($B983="",,SUMIFS(PerBase[Month 27],PerBase[exp_item],$H983,PerBase[company_name],$B983)*AL458)</f>
        <v>0</v>
      </c>
      <c r="AM983" s="652">
        <f>IF($B983="",,SUMIFS(PerBase[Month 28],PerBase[exp_item],$H983,PerBase[company_name],$B983)*AM458)</f>
        <v>0</v>
      </c>
      <c r="AN983" s="652">
        <f>IF($B983="",,SUMIFS(PerBase[Month 29],PerBase[exp_item],$H983,PerBase[company_name],$B983)*AN458)</f>
        <v>0</v>
      </c>
      <c r="AO983" s="652">
        <f>IF($B983="",,SUMIFS(PerBase[Month 30],PerBase[exp_item],$H983,PerBase[company_name],$B983)*AO458)</f>
        <v>0</v>
      </c>
      <c r="AP983" s="652">
        <f>IF($B983="",,SUMIFS(PerBase[Month 31],PerBase[exp_item],$H983,PerBase[company_name],$B983)*AP458)</f>
        <v>0</v>
      </c>
      <c r="AQ983" s="652">
        <f>IF($B983="",,SUMIFS(PerBase[Month 32],PerBase[exp_item],$H983,PerBase[company_name],$B983)*AQ458)</f>
        <v>0</v>
      </c>
      <c r="AR983" s="652">
        <f>IF($B983="",,SUMIFS(PerBase[Month 33],PerBase[exp_item],$H983,PerBase[company_name],$B983)*AR458)</f>
        <v>0</v>
      </c>
      <c r="AS983" s="652">
        <f>IF($B983="",,SUMIFS(PerBase[Month 34],PerBase[exp_item],$H983,PerBase[company_name],$B983)*AS458)</f>
        <v>0</v>
      </c>
      <c r="AT983" s="652">
        <f>IF($B983="",,SUMIFS(PerBase[Month 35],PerBase[exp_item],$H983,PerBase[company_name],$B983)*AT458)</f>
        <v>0</v>
      </c>
      <c r="AU983" s="652">
        <f>IF($B983="",,SUMIFS(PerBase[Month 36],PerBase[exp_item],$H983,PerBase[company_name],$B983)*AU458)</f>
        <v>0</v>
      </c>
    </row>
    <row r="984" spans="2:47" x14ac:dyDescent="0.35">
      <c r="B984" t="str">
        <f t="shared" si="589"/>
        <v/>
      </c>
      <c r="C984" t="str">
        <f t="shared" ref="C984:G984" si="620">IF(C879="","",C879)</f>
        <v/>
      </c>
      <c r="D984" t="str">
        <f t="shared" si="620"/>
        <v/>
      </c>
      <c r="E984" t="str">
        <f t="shared" si="620"/>
        <v/>
      </c>
      <c r="F984" t="str">
        <f t="shared" si="620"/>
        <v/>
      </c>
      <c r="G984" t="str">
        <f t="shared" si="620"/>
        <v/>
      </c>
      <c r="H984" t="str">
        <f t="shared" si="588"/>
        <v/>
      </c>
      <c r="J984" t="str">
        <f>IF($H984="","",IF(VLOOKUP(H984,ExpItems[],2,0),H984&amp;" - "&amp;INDEX(DivisionMapping[category_code],MATCH($D984&amp;$C984,DivisionMapping[dept_bu],0)),H984))</f>
        <v/>
      </c>
      <c r="K984" t="str">
        <f t="shared" si="556"/>
        <v/>
      </c>
      <c r="L984" s="652">
        <f>IF($B984="",,SUMIFS(PerBase[Month 1],PerBase[exp_item],$H984,PerBase[company_name],$B984)*L459)</f>
        <v>0</v>
      </c>
      <c r="M984" s="652">
        <f>IF($B984="",,SUMIFS(PerBase[Month 2],PerBase[exp_item],$H984,PerBase[company_name],$B984)*M459)</f>
        <v>0</v>
      </c>
      <c r="N984" s="652">
        <f>IF($B984="",,SUMIFS(PerBase[Month 3],PerBase[exp_item],$H984,PerBase[company_name],$B984)*N459)</f>
        <v>0</v>
      </c>
      <c r="O984" s="652">
        <f>IF($B984="",,SUMIFS(PerBase[Month 4],PerBase[exp_item],$H984,PerBase[company_name],$B984)*O459)</f>
        <v>0</v>
      </c>
      <c r="P984" s="652">
        <f>IF($B984="",,SUMIFS(PerBase[Month 5],PerBase[exp_item],$H984,PerBase[company_name],$B984)*P459)</f>
        <v>0</v>
      </c>
      <c r="Q984" s="652">
        <f>IF($B984="",,SUMIFS(PerBase[Month 6],PerBase[exp_item],$H984,PerBase[company_name],$B984)*Q459)</f>
        <v>0</v>
      </c>
      <c r="R984" s="652">
        <f>IF($B984="",,SUMIFS(PerBase[Month 7],PerBase[exp_item],$H984,PerBase[company_name],$B984)*R459)</f>
        <v>0</v>
      </c>
      <c r="S984" s="652">
        <f>IF($B984="",,SUMIFS(PerBase[Month 8],PerBase[exp_item],$H984,PerBase[company_name],$B984)*S459)</f>
        <v>0</v>
      </c>
      <c r="T984" s="652">
        <f>IF($B984="",,SUMIFS(PerBase[Month 9],PerBase[exp_item],$H984,PerBase[company_name],$B984)*T459)</f>
        <v>0</v>
      </c>
      <c r="U984" s="652">
        <f>IF($B984="",,SUMIFS(PerBase[Month 10],PerBase[exp_item],$H984,PerBase[company_name],$B984)*U459)</f>
        <v>0</v>
      </c>
      <c r="V984" s="652">
        <f>IF($B984="",,SUMIFS(PerBase[Month 11],PerBase[exp_item],$H984,PerBase[company_name],$B984)*V459)</f>
        <v>0</v>
      </c>
      <c r="W984" s="652">
        <f>IF($B984="",,SUMIFS(PerBase[Month 12],PerBase[exp_item],$H984,PerBase[company_name],$B984)*W459)</f>
        <v>0</v>
      </c>
      <c r="X984" s="652">
        <f>IF($B984="",,SUMIFS(PerBase[Month 13],PerBase[exp_item],$H984,PerBase[company_name],$B984)*X459)</f>
        <v>0</v>
      </c>
      <c r="Y984" s="652">
        <f>IF($B984="",,SUMIFS(PerBase[Month 14],PerBase[exp_item],$H984,PerBase[company_name],$B984)*Y459)</f>
        <v>0</v>
      </c>
      <c r="Z984" s="652">
        <f>IF($B984="",,SUMIFS(PerBase[Month 15],PerBase[exp_item],$H984,PerBase[company_name],$B984)*Z459)</f>
        <v>0</v>
      </c>
      <c r="AA984" s="652">
        <f>IF($B984="",,SUMIFS(PerBase[Month 16],PerBase[exp_item],$H984,PerBase[company_name],$B984)*AA459)</f>
        <v>0</v>
      </c>
      <c r="AB984" s="652">
        <f>IF($B984="",,SUMIFS(PerBase[Month 17],PerBase[exp_item],$H984,PerBase[company_name],$B984)*AB459)</f>
        <v>0</v>
      </c>
      <c r="AC984" s="652">
        <f>IF($B984="",,SUMIFS(PerBase[Month 18],PerBase[exp_item],$H984,PerBase[company_name],$B984)*AC459)</f>
        <v>0</v>
      </c>
      <c r="AD984" s="652">
        <f>IF($B984="",,SUMIFS(PerBase[Month 19],PerBase[exp_item],$H984,PerBase[company_name],$B984)*AD459)</f>
        <v>0</v>
      </c>
      <c r="AE984" s="652">
        <f>IF($B984="",,SUMIFS(PerBase[Month 20],PerBase[exp_item],$H984,PerBase[company_name],$B984)*AE459)</f>
        <v>0</v>
      </c>
      <c r="AF984" s="652">
        <f>IF($B984="",,SUMIFS(PerBase[Month 21],PerBase[exp_item],$H984,PerBase[company_name],$B984)*AF459)</f>
        <v>0</v>
      </c>
      <c r="AG984" s="652">
        <f>IF($B984="",,SUMIFS(PerBase[Month 22],PerBase[exp_item],$H984,PerBase[company_name],$B984)*AG459)</f>
        <v>0</v>
      </c>
      <c r="AH984" s="652">
        <f>IF($B984="",,SUMIFS(PerBase[Month 23],PerBase[exp_item],$H984,PerBase[company_name],$B984)*AH459)</f>
        <v>0</v>
      </c>
      <c r="AI984" s="652">
        <f>IF($B984="",,SUMIFS(PerBase[Month 24],PerBase[exp_item],$H984,PerBase[company_name],$B984)*AI459)</f>
        <v>0</v>
      </c>
      <c r="AJ984" s="652">
        <f>IF($B984="",,SUMIFS(PerBase[Month 25],PerBase[exp_item],$H984,PerBase[company_name],$B984)*AJ459)</f>
        <v>0</v>
      </c>
      <c r="AK984" s="652">
        <f>IF($B984="",,SUMIFS(PerBase[Month 26],PerBase[exp_item],$H984,PerBase[company_name],$B984)*AK459)</f>
        <v>0</v>
      </c>
      <c r="AL984" s="652">
        <f>IF($B984="",,SUMIFS(PerBase[Month 27],PerBase[exp_item],$H984,PerBase[company_name],$B984)*AL459)</f>
        <v>0</v>
      </c>
      <c r="AM984" s="652">
        <f>IF($B984="",,SUMIFS(PerBase[Month 28],PerBase[exp_item],$H984,PerBase[company_name],$B984)*AM459)</f>
        <v>0</v>
      </c>
      <c r="AN984" s="652">
        <f>IF($B984="",,SUMIFS(PerBase[Month 29],PerBase[exp_item],$H984,PerBase[company_name],$B984)*AN459)</f>
        <v>0</v>
      </c>
      <c r="AO984" s="652">
        <f>IF($B984="",,SUMIFS(PerBase[Month 30],PerBase[exp_item],$H984,PerBase[company_name],$B984)*AO459)</f>
        <v>0</v>
      </c>
      <c r="AP984" s="652">
        <f>IF($B984="",,SUMIFS(PerBase[Month 31],PerBase[exp_item],$H984,PerBase[company_name],$B984)*AP459)</f>
        <v>0</v>
      </c>
      <c r="AQ984" s="652">
        <f>IF($B984="",,SUMIFS(PerBase[Month 32],PerBase[exp_item],$H984,PerBase[company_name],$B984)*AQ459)</f>
        <v>0</v>
      </c>
      <c r="AR984" s="652">
        <f>IF($B984="",,SUMIFS(PerBase[Month 33],PerBase[exp_item],$H984,PerBase[company_name],$B984)*AR459)</f>
        <v>0</v>
      </c>
      <c r="AS984" s="652">
        <f>IF($B984="",,SUMIFS(PerBase[Month 34],PerBase[exp_item],$H984,PerBase[company_name],$B984)*AS459)</f>
        <v>0</v>
      </c>
      <c r="AT984" s="652">
        <f>IF($B984="",,SUMIFS(PerBase[Month 35],PerBase[exp_item],$H984,PerBase[company_name],$B984)*AT459)</f>
        <v>0</v>
      </c>
      <c r="AU984" s="652">
        <f>IF($B984="",,SUMIFS(PerBase[Month 36],PerBase[exp_item],$H984,PerBase[company_name],$B984)*AU459)</f>
        <v>0</v>
      </c>
    </row>
    <row r="985" spans="2:47" x14ac:dyDescent="0.35">
      <c r="B985" t="str">
        <f t="shared" si="589"/>
        <v/>
      </c>
      <c r="C985" t="str">
        <f t="shared" ref="C985:G985" si="621">IF(C880="","",C880)</f>
        <v/>
      </c>
      <c r="D985" t="str">
        <f t="shared" si="621"/>
        <v/>
      </c>
      <c r="E985" t="str">
        <f t="shared" si="621"/>
        <v/>
      </c>
      <c r="F985" t="str">
        <f t="shared" si="621"/>
        <v/>
      </c>
      <c r="G985" t="str">
        <f t="shared" si="621"/>
        <v/>
      </c>
      <c r="H985" t="str">
        <f t="shared" ref="H985:H1021" si="622">IF(B985="","",$B$920)</f>
        <v/>
      </c>
      <c r="J985" t="str">
        <f>IF($H985="","",IF(VLOOKUP(H985,ExpItems[],2,0),H985&amp;" - "&amp;INDEX(DivisionMapping[category_code],MATCH($D985&amp;$C985,DivisionMapping[dept_bu],0)),H985))</f>
        <v/>
      </c>
      <c r="K985" t="str">
        <f t="shared" si="556"/>
        <v/>
      </c>
      <c r="L985" s="652">
        <f>IF($B985="",,SUMIFS(PerBase[Month 1],PerBase[exp_item],$H985,PerBase[company_name],$B985)*L460)</f>
        <v>0</v>
      </c>
      <c r="M985" s="652">
        <f>IF($B985="",,SUMIFS(PerBase[Month 2],PerBase[exp_item],$H985,PerBase[company_name],$B985)*M460)</f>
        <v>0</v>
      </c>
      <c r="N985" s="652">
        <f>IF($B985="",,SUMIFS(PerBase[Month 3],PerBase[exp_item],$H985,PerBase[company_name],$B985)*N460)</f>
        <v>0</v>
      </c>
      <c r="O985" s="652">
        <f>IF($B985="",,SUMIFS(PerBase[Month 4],PerBase[exp_item],$H985,PerBase[company_name],$B985)*O460)</f>
        <v>0</v>
      </c>
      <c r="P985" s="652">
        <f>IF($B985="",,SUMIFS(PerBase[Month 5],PerBase[exp_item],$H985,PerBase[company_name],$B985)*P460)</f>
        <v>0</v>
      </c>
      <c r="Q985" s="652">
        <f>IF($B985="",,SUMIFS(PerBase[Month 6],PerBase[exp_item],$H985,PerBase[company_name],$B985)*Q460)</f>
        <v>0</v>
      </c>
      <c r="R985" s="652">
        <f>IF($B985="",,SUMIFS(PerBase[Month 7],PerBase[exp_item],$H985,PerBase[company_name],$B985)*R460)</f>
        <v>0</v>
      </c>
      <c r="S985" s="652">
        <f>IF($B985="",,SUMIFS(PerBase[Month 8],PerBase[exp_item],$H985,PerBase[company_name],$B985)*S460)</f>
        <v>0</v>
      </c>
      <c r="T985" s="652">
        <f>IF($B985="",,SUMIFS(PerBase[Month 9],PerBase[exp_item],$H985,PerBase[company_name],$B985)*T460)</f>
        <v>0</v>
      </c>
      <c r="U985" s="652">
        <f>IF($B985="",,SUMIFS(PerBase[Month 10],PerBase[exp_item],$H985,PerBase[company_name],$B985)*U460)</f>
        <v>0</v>
      </c>
      <c r="V985" s="652">
        <f>IF($B985="",,SUMIFS(PerBase[Month 11],PerBase[exp_item],$H985,PerBase[company_name],$B985)*V460)</f>
        <v>0</v>
      </c>
      <c r="W985" s="652">
        <f>IF($B985="",,SUMIFS(PerBase[Month 12],PerBase[exp_item],$H985,PerBase[company_name],$B985)*W460)</f>
        <v>0</v>
      </c>
      <c r="X985" s="652">
        <f>IF($B985="",,SUMIFS(PerBase[Month 13],PerBase[exp_item],$H985,PerBase[company_name],$B985)*X460)</f>
        <v>0</v>
      </c>
      <c r="Y985" s="652">
        <f>IF($B985="",,SUMIFS(PerBase[Month 14],PerBase[exp_item],$H985,PerBase[company_name],$B985)*Y460)</f>
        <v>0</v>
      </c>
      <c r="Z985" s="652">
        <f>IF($B985="",,SUMIFS(PerBase[Month 15],PerBase[exp_item],$H985,PerBase[company_name],$B985)*Z460)</f>
        <v>0</v>
      </c>
      <c r="AA985" s="652">
        <f>IF($B985="",,SUMIFS(PerBase[Month 16],PerBase[exp_item],$H985,PerBase[company_name],$B985)*AA460)</f>
        <v>0</v>
      </c>
      <c r="AB985" s="652">
        <f>IF($B985="",,SUMIFS(PerBase[Month 17],PerBase[exp_item],$H985,PerBase[company_name],$B985)*AB460)</f>
        <v>0</v>
      </c>
      <c r="AC985" s="652">
        <f>IF($B985="",,SUMIFS(PerBase[Month 18],PerBase[exp_item],$H985,PerBase[company_name],$B985)*AC460)</f>
        <v>0</v>
      </c>
      <c r="AD985" s="652">
        <f>IF($B985="",,SUMIFS(PerBase[Month 19],PerBase[exp_item],$H985,PerBase[company_name],$B985)*AD460)</f>
        <v>0</v>
      </c>
      <c r="AE985" s="652">
        <f>IF($B985="",,SUMIFS(PerBase[Month 20],PerBase[exp_item],$H985,PerBase[company_name],$B985)*AE460)</f>
        <v>0</v>
      </c>
      <c r="AF985" s="652">
        <f>IF($B985="",,SUMIFS(PerBase[Month 21],PerBase[exp_item],$H985,PerBase[company_name],$B985)*AF460)</f>
        <v>0</v>
      </c>
      <c r="AG985" s="652">
        <f>IF($B985="",,SUMIFS(PerBase[Month 22],PerBase[exp_item],$H985,PerBase[company_name],$B985)*AG460)</f>
        <v>0</v>
      </c>
      <c r="AH985" s="652">
        <f>IF($B985="",,SUMIFS(PerBase[Month 23],PerBase[exp_item],$H985,PerBase[company_name],$B985)*AH460)</f>
        <v>0</v>
      </c>
      <c r="AI985" s="652">
        <f>IF($B985="",,SUMIFS(PerBase[Month 24],PerBase[exp_item],$H985,PerBase[company_name],$B985)*AI460)</f>
        <v>0</v>
      </c>
      <c r="AJ985" s="652">
        <f>IF($B985="",,SUMIFS(PerBase[Month 25],PerBase[exp_item],$H985,PerBase[company_name],$B985)*AJ460)</f>
        <v>0</v>
      </c>
      <c r="AK985" s="652">
        <f>IF($B985="",,SUMIFS(PerBase[Month 26],PerBase[exp_item],$H985,PerBase[company_name],$B985)*AK460)</f>
        <v>0</v>
      </c>
      <c r="AL985" s="652">
        <f>IF($B985="",,SUMIFS(PerBase[Month 27],PerBase[exp_item],$H985,PerBase[company_name],$B985)*AL460)</f>
        <v>0</v>
      </c>
      <c r="AM985" s="652">
        <f>IF($B985="",,SUMIFS(PerBase[Month 28],PerBase[exp_item],$H985,PerBase[company_name],$B985)*AM460)</f>
        <v>0</v>
      </c>
      <c r="AN985" s="652">
        <f>IF($B985="",,SUMIFS(PerBase[Month 29],PerBase[exp_item],$H985,PerBase[company_name],$B985)*AN460)</f>
        <v>0</v>
      </c>
      <c r="AO985" s="652">
        <f>IF($B985="",,SUMIFS(PerBase[Month 30],PerBase[exp_item],$H985,PerBase[company_name],$B985)*AO460)</f>
        <v>0</v>
      </c>
      <c r="AP985" s="652">
        <f>IF($B985="",,SUMIFS(PerBase[Month 31],PerBase[exp_item],$H985,PerBase[company_name],$B985)*AP460)</f>
        <v>0</v>
      </c>
      <c r="AQ985" s="652">
        <f>IF($B985="",,SUMIFS(PerBase[Month 32],PerBase[exp_item],$H985,PerBase[company_name],$B985)*AQ460)</f>
        <v>0</v>
      </c>
      <c r="AR985" s="652">
        <f>IF($B985="",,SUMIFS(PerBase[Month 33],PerBase[exp_item],$H985,PerBase[company_name],$B985)*AR460)</f>
        <v>0</v>
      </c>
      <c r="AS985" s="652">
        <f>IF($B985="",,SUMIFS(PerBase[Month 34],PerBase[exp_item],$H985,PerBase[company_name],$B985)*AS460)</f>
        <v>0</v>
      </c>
      <c r="AT985" s="652">
        <f>IF($B985="",,SUMIFS(PerBase[Month 35],PerBase[exp_item],$H985,PerBase[company_name],$B985)*AT460)</f>
        <v>0</v>
      </c>
      <c r="AU985" s="652">
        <f>IF($B985="",,SUMIFS(PerBase[Month 36],PerBase[exp_item],$H985,PerBase[company_name],$B985)*AU460)</f>
        <v>0</v>
      </c>
    </row>
    <row r="986" spans="2:47" x14ac:dyDescent="0.35">
      <c r="B986" t="str">
        <f t="shared" ref="B986:B1005" si="623">IF(B881="","",B881)</f>
        <v/>
      </c>
      <c r="C986" t="str">
        <f t="shared" ref="C986:G986" si="624">IF(C881="","",C881)</f>
        <v/>
      </c>
      <c r="D986" t="str">
        <f t="shared" si="624"/>
        <v/>
      </c>
      <c r="E986" t="str">
        <f t="shared" si="624"/>
        <v/>
      </c>
      <c r="F986" t="str">
        <f t="shared" si="624"/>
        <v/>
      </c>
      <c r="G986" t="str">
        <f t="shared" si="624"/>
        <v/>
      </c>
      <c r="H986" t="str">
        <f t="shared" si="622"/>
        <v/>
      </c>
      <c r="J986" t="str">
        <f>IF($H986="","",IF(VLOOKUP(H986,ExpItems[],2,0),H986&amp;" - "&amp;INDEX(DivisionMapping[category_code],MATCH($D986&amp;$C986,DivisionMapping[dept_bu],0)),H986))</f>
        <v/>
      </c>
      <c r="K986" t="str">
        <f t="shared" ref="K986:K1021" si="625">K881</f>
        <v/>
      </c>
      <c r="L986" s="652">
        <f>IF($B986="",,SUMIFS(PerBase[Month 1],PerBase[exp_item],$H986,PerBase[company_name],$B986)*L461)</f>
        <v>0</v>
      </c>
      <c r="M986" s="652">
        <f>IF($B986="",,SUMIFS(PerBase[Month 2],PerBase[exp_item],$H986,PerBase[company_name],$B986)*M461)</f>
        <v>0</v>
      </c>
      <c r="N986" s="652">
        <f>IF($B986="",,SUMIFS(PerBase[Month 3],PerBase[exp_item],$H986,PerBase[company_name],$B986)*N461)</f>
        <v>0</v>
      </c>
      <c r="O986" s="652">
        <f>IF($B986="",,SUMIFS(PerBase[Month 4],PerBase[exp_item],$H986,PerBase[company_name],$B986)*O461)</f>
        <v>0</v>
      </c>
      <c r="P986" s="652">
        <f>IF($B986="",,SUMIFS(PerBase[Month 5],PerBase[exp_item],$H986,PerBase[company_name],$B986)*P461)</f>
        <v>0</v>
      </c>
      <c r="Q986" s="652">
        <f>IF($B986="",,SUMIFS(PerBase[Month 6],PerBase[exp_item],$H986,PerBase[company_name],$B986)*Q461)</f>
        <v>0</v>
      </c>
      <c r="R986" s="652">
        <f>IF($B986="",,SUMIFS(PerBase[Month 7],PerBase[exp_item],$H986,PerBase[company_name],$B986)*R461)</f>
        <v>0</v>
      </c>
      <c r="S986" s="652">
        <f>IF($B986="",,SUMIFS(PerBase[Month 8],PerBase[exp_item],$H986,PerBase[company_name],$B986)*S461)</f>
        <v>0</v>
      </c>
      <c r="T986" s="652">
        <f>IF($B986="",,SUMIFS(PerBase[Month 9],PerBase[exp_item],$H986,PerBase[company_name],$B986)*T461)</f>
        <v>0</v>
      </c>
      <c r="U986" s="652">
        <f>IF($B986="",,SUMIFS(PerBase[Month 10],PerBase[exp_item],$H986,PerBase[company_name],$B986)*U461)</f>
        <v>0</v>
      </c>
      <c r="V986" s="652">
        <f>IF($B986="",,SUMIFS(PerBase[Month 11],PerBase[exp_item],$H986,PerBase[company_name],$B986)*V461)</f>
        <v>0</v>
      </c>
      <c r="W986" s="652">
        <f>IF($B986="",,SUMIFS(PerBase[Month 12],PerBase[exp_item],$H986,PerBase[company_name],$B986)*W461)</f>
        <v>0</v>
      </c>
      <c r="X986" s="652">
        <f>IF($B986="",,SUMIFS(PerBase[Month 13],PerBase[exp_item],$H986,PerBase[company_name],$B986)*X461)</f>
        <v>0</v>
      </c>
      <c r="Y986" s="652">
        <f>IF($B986="",,SUMIFS(PerBase[Month 14],PerBase[exp_item],$H986,PerBase[company_name],$B986)*Y461)</f>
        <v>0</v>
      </c>
      <c r="Z986" s="652">
        <f>IF($B986="",,SUMIFS(PerBase[Month 15],PerBase[exp_item],$H986,PerBase[company_name],$B986)*Z461)</f>
        <v>0</v>
      </c>
      <c r="AA986" s="652">
        <f>IF($B986="",,SUMIFS(PerBase[Month 16],PerBase[exp_item],$H986,PerBase[company_name],$B986)*AA461)</f>
        <v>0</v>
      </c>
      <c r="AB986" s="652">
        <f>IF($B986="",,SUMIFS(PerBase[Month 17],PerBase[exp_item],$H986,PerBase[company_name],$B986)*AB461)</f>
        <v>0</v>
      </c>
      <c r="AC986" s="652">
        <f>IF($B986="",,SUMIFS(PerBase[Month 18],PerBase[exp_item],$H986,PerBase[company_name],$B986)*AC461)</f>
        <v>0</v>
      </c>
      <c r="AD986" s="652">
        <f>IF($B986="",,SUMIFS(PerBase[Month 19],PerBase[exp_item],$H986,PerBase[company_name],$B986)*AD461)</f>
        <v>0</v>
      </c>
      <c r="AE986" s="652">
        <f>IF($B986="",,SUMIFS(PerBase[Month 20],PerBase[exp_item],$H986,PerBase[company_name],$B986)*AE461)</f>
        <v>0</v>
      </c>
      <c r="AF986" s="652">
        <f>IF($B986="",,SUMIFS(PerBase[Month 21],PerBase[exp_item],$H986,PerBase[company_name],$B986)*AF461)</f>
        <v>0</v>
      </c>
      <c r="AG986" s="652">
        <f>IF($B986="",,SUMIFS(PerBase[Month 22],PerBase[exp_item],$H986,PerBase[company_name],$B986)*AG461)</f>
        <v>0</v>
      </c>
      <c r="AH986" s="652">
        <f>IF($B986="",,SUMIFS(PerBase[Month 23],PerBase[exp_item],$H986,PerBase[company_name],$B986)*AH461)</f>
        <v>0</v>
      </c>
      <c r="AI986" s="652">
        <f>IF($B986="",,SUMIFS(PerBase[Month 24],PerBase[exp_item],$H986,PerBase[company_name],$B986)*AI461)</f>
        <v>0</v>
      </c>
      <c r="AJ986" s="652">
        <f>IF($B986="",,SUMIFS(PerBase[Month 25],PerBase[exp_item],$H986,PerBase[company_name],$B986)*AJ461)</f>
        <v>0</v>
      </c>
      <c r="AK986" s="652">
        <f>IF($B986="",,SUMIFS(PerBase[Month 26],PerBase[exp_item],$H986,PerBase[company_name],$B986)*AK461)</f>
        <v>0</v>
      </c>
      <c r="AL986" s="652">
        <f>IF($B986="",,SUMIFS(PerBase[Month 27],PerBase[exp_item],$H986,PerBase[company_name],$B986)*AL461)</f>
        <v>0</v>
      </c>
      <c r="AM986" s="652">
        <f>IF($B986="",,SUMIFS(PerBase[Month 28],PerBase[exp_item],$H986,PerBase[company_name],$B986)*AM461)</f>
        <v>0</v>
      </c>
      <c r="AN986" s="652">
        <f>IF($B986="",,SUMIFS(PerBase[Month 29],PerBase[exp_item],$H986,PerBase[company_name],$B986)*AN461)</f>
        <v>0</v>
      </c>
      <c r="AO986" s="652">
        <f>IF($B986="",,SUMIFS(PerBase[Month 30],PerBase[exp_item],$H986,PerBase[company_name],$B986)*AO461)</f>
        <v>0</v>
      </c>
      <c r="AP986" s="652">
        <f>IF($B986="",,SUMIFS(PerBase[Month 31],PerBase[exp_item],$H986,PerBase[company_name],$B986)*AP461)</f>
        <v>0</v>
      </c>
      <c r="AQ986" s="652">
        <f>IF($B986="",,SUMIFS(PerBase[Month 32],PerBase[exp_item],$H986,PerBase[company_name],$B986)*AQ461)</f>
        <v>0</v>
      </c>
      <c r="AR986" s="652">
        <f>IF($B986="",,SUMIFS(PerBase[Month 33],PerBase[exp_item],$H986,PerBase[company_name],$B986)*AR461)</f>
        <v>0</v>
      </c>
      <c r="AS986" s="652">
        <f>IF($B986="",,SUMIFS(PerBase[Month 34],PerBase[exp_item],$H986,PerBase[company_name],$B986)*AS461)</f>
        <v>0</v>
      </c>
      <c r="AT986" s="652">
        <f>IF($B986="",,SUMIFS(PerBase[Month 35],PerBase[exp_item],$H986,PerBase[company_name],$B986)*AT461)</f>
        <v>0</v>
      </c>
      <c r="AU986" s="652">
        <f>IF($B986="",,SUMIFS(PerBase[Month 36],PerBase[exp_item],$H986,PerBase[company_name],$B986)*AU461)</f>
        <v>0</v>
      </c>
    </row>
    <row r="987" spans="2:47" x14ac:dyDescent="0.35">
      <c r="B987" t="str">
        <f t="shared" si="623"/>
        <v/>
      </c>
      <c r="C987" t="str">
        <f t="shared" ref="C987:G987" si="626">IF(C882="","",C882)</f>
        <v/>
      </c>
      <c r="D987" t="str">
        <f t="shared" si="626"/>
        <v/>
      </c>
      <c r="E987" t="str">
        <f t="shared" si="626"/>
        <v/>
      </c>
      <c r="F987" t="str">
        <f t="shared" si="626"/>
        <v/>
      </c>
      <c r="G987" t="str">
        <f t="shared" si="626"/>
        <v/>
      </c>
      <c r="H987" t="str">
        <f t="shared" si="622"/>
        <v/>
      </c>
      <c r="J987" t="str">
        <f>IF($H987="","",IF(VLOOKUP(H987,ExpItems[],2,0),H987&amp;" - "&amp;INDEX(DivisionMapping[category_code],MATCH($D987&amp;$C987,DivisionMapping[dept_bu],0)),H987))</f>
        <v/>
      </c>
      <c r="K987" t="str">
        <f t="shared" si="625"/>
        <v/>
      </c>
      <c r="L987" s="652">
        <f>IF($B987="",,SUMIFS(PerBase[Month 1],PerBase[exp_item],$H987,PerBase[company_name],$B987)*L462)</f>
        <v>0</v>
      </c>
      <c r="M987" s="652">
        <f>IF($B987="",,SUMIFS(PerBase[Month 2],PerBase[exp_item],$H987,PerBase[company_name],$B987)*M462)</f>
        <v>0</v>
      </c>
      <c r="N987" s="652">
        <f>IF($B987="",,SUMIFS(PerBase[Month 3],PerBase[exp_item],$H987,PerBase[company_name],$B987)*N462)</f>
        <v>0</v>
      </c>
      <c r="O987" s="652">
        <f>IF($B987="",,SUMIFS(PerBase[Month 4],PerBase[exp_item],$H987,PerBase[company_name],$B987)*O462)</f>
        <v>0</v>
      </c>
      <c r="P987" s="652">
        <f>IF($B987="",,SUMIFS(PerBase[Month 5],PerBase[exp_item],$H987,PerBase[company_name],$B987)*P462)</f>
        <v>0</v>
      </c>
      <c r="Q987" s="652">
        <f>IF($B987="",,SUMIFS(PerBase[Month 6],PerBase[exp_item],$H987,PerBase[company_name],$B987)*Q462)</f>
        <v>0</v>
      </c>
      <c r="R987" s="652">
        <f>IF($B987="",,SUMIFS(PerBase[Month 7],PerBase[exp_item],$H987,PerBase[company_name],$B987)*R462)</f>
        <v>0</v>
      </c>
      <c r="S987" s="652">
        <f>IF($B987="",,SUMIFS(PerBase[Month 8],PerBase[exp_item],$H987,PerBase[company_name],$B987)*S462)</f>
        <v>0</v>
      </c>
      <c r="T987" s="652">
        <f>IF($B987="",,SUMIFS(PerBase[Month 9],PerBase[exp_item],$H987,PerBase[company_name],$B987)*T462)</f>
        <v>0</v>
      </c>
      <c r="U987" s="652">
        <f>IF($B987="",,SUMIFS(PerBase[Month 10],PerBase[exp_item],$H987,PerBase[company_name],$B987)*U462)</f>
        <v>0</v>
      </c>
      <c r="V987" s="652">
        <f>IF($B987="",,SUMIFS(PerBase[Month 11],PerBase[exp_item],$H987,PerBase[company_name],$B987)*V462)</f>
        <v>0</v>
      </c>
      <c r="W987" s="652">
        <f>IF($B987="",,SUMIFS(PerBase[Month 12],PerBase[exp_item],$H987,PerBase[company_name],$B987)*W462)</f>
        <v>0</v>
      </c>
      <c r="X987" s="652">
        <f>IF($B987="",,SUMIFS(PerBase[Month 13],PerBase[exp_item],$H987,PerBase[company_name],$B987)*X462)</f>
        <v>0</v>
      </c>
      <c r="Y987" s="652">
        <f>IF($B987="",,SUMIFS(PerBase[Month 14],PerBase[exp_item],$H987,PerBase[company_name],$B987)*Y462)</f>
        <v>0</v>
      </c>
      <c r="Z987" s="652">
        <f>IF($B987="",,SUMIFS(PerBase[Month 15],PerBase[exp_item],$H987,PerBase[company_name],$B987)*Z462)</f>
        <v>0</v>
      </c>
      <c r="AA987" s="652">
        <f>IF($B987="",,SUMIFS(PerBase[Month 16],PerBase[exp_item],$H987,PerBase[company_name],$B987)*AA462)</f>
        <v>0</v>
      </c>
      <c r="AB987" s="652">
        <f>IF($B987="",,SUMIFS(PerBase[Month 17],PerBase[exp_item],$H987,PerBase[company_name],$B987)*AB462)</f>
        <v>0</v>
      </c>
      <c r="AC987" s="652">
        <f>IF($B987="",,SUMIFS(PerBase[Month 18],PerBase[exp_item],$H987,PerBase[company_name],$B987)*AC462)</f>
        <v>0</v>
      </c>
      <c r="AD987" s="652">
        <f>IF($B987="",,SUMIFS(PerBase[Month 19],PerBase[exp_item],$H987,PerBase[company_name],$B987)*AD462)</f>
        <v>0</v>
      </c>
      <c r="AE987" s="652">
        <f>IF($B987="",,SUMIFS(PerBase[Month 20],PerBase[exp_item],$H987,PerBase[company_name],$B987)*AE462)</f>
        <v>0</v>
      </c>
      <c r="AF987" s="652">
        <f>IF($B987="",,SUMIFS(PerBase[Month 21],PerBase[exp_item],$H987,PerBase[company_name],$B987)*AF462)</f>
        <v>0</v>
      </c>
      <c r="AG987" s="652">
        <f>IF($B987="",,SUMIFS(PerBase[Month 22],PerBase[exp_item],$H987,PerBase[company_name],$B987)*AG462)</f>
        <v>0</v>
      </c>
      <c r="AH987" s="652">
        <f>IF($B987="",,SUMIFS(PerBase[Month 23],PerBase[exp_item],$H987,PerBase[company_name],$B987)*AH462)</f>
        <v>0</v>
      </c>
      <c r="AI987" s="652">
        <f>IF($B987="",,SUMIFS(PerBase[Month 24],PerBase[exp_item],$H987,PerBase[company_name],$B987)*AI462)</f>
        <v>0</v>
      </c>
      <c r="AJ987" s="652">
        <f>IF($B987="",,SUMIFS(PerBase[Month 25],PerBase[exp_item],$H987,PerBase[company_name],$B987)*AJ462)</f>
        <v>0</v>
      </c>
      <c r="AK987" s="652">
        <f>IF($B987="",,SUMIFS(PerBase[Month 26],PerBase[exp_item],$H987,PerBase[company_name],$B987)*AK462)</f>
        <v>0</v>
      </c>
      <c r="AL987" s="652">
        <f>IF($B987="",,SUMIFS(PerBase[Month 27],PerBase[exp_item],$H987,PerBase[company_name],$B987)*AL462)</f>
        <v>0</v>
      </c>
      <c r="AM987" s="652">
        <f>IF($B987="",,SUMIFS(PerBase[Month 28],PerBase[exp_item],$H987,PerBase[company_name],$B987)*AM462)</f>
        <v>0</v>
      </c>
      <c r="AN987" s="652">
        <f>IF($B987="",,SUMIFS(PerBase[Month 29],PerBase[exp_item],$H987,PerBase[company_name],$B987)*AN462)</f>
        <v>0</v>
      </c>
      <c r="AO987" s="652">
        <f>IF($B987="",,SUMIFS(PerBase[Month 30],PerBase[exp_item],$H987,PerBase[company_name],$B987)*AO462)</f>
        <v>0</v>
      </c>
      <c r="AP987" s="652">
        <f>IF($B987="",,SUMIFS(PerBase[Month 31],PerBase[exp_item],$H987,PerBase[company_name],$B987)*AP462)</f>
        <v>0</v>
      </c>
      <c r="AQ987" s="652">
        <f>IF($B987="",,SUMIFS(PerBase[Month 32],PerBase[exp_item],$H987,PerBase[company_name],$B987)*AQ462)</f>
        <v>0</v>
      </c>
      <c r="AR987" s="652">
        <f>IF($B987="",,SUMIFS(PerBase[Month 33],PerBase[exp_item],$H987,PerBase[company_name],$B987)*AR462)</f>
        <v>0</v>
      </c>
      <c r="AS987" s="652">
        <f>IF($B987="",,SUMIFS(PerBase[Month 34],PerBase[exp_item],$H987,PerBase[company_name],$B987)*AS462)</f>
        <v>0</v>
      </c>
      <c r="AT987" s="652">
        <f>IF($B987="",,SUMIFS(PerBase[Month 35],PerBase[exp_item],$H987,PerBase[company_name],$B987)*AT462)</f>
        <v>0</v>
      </c>
      <c r="AU987" s="652">
        <f>IF($B987="",,SUMIFS(PerBase[Month 36],PerBase[exp_item],$H987,PerBase[company_name],$B987)*AU462)</f>
        <v>0</v>
      </c>
    </row>
    <row r="988" spans="2:47" x14ac:dyDescent="0.35">
      <c r="B988" t="str">
        <f t="shared" si="623"/>
        <v/>
      </c>
      <c r="C988" t="str">
        <f t="shared" ref="C988:G988" si="627">IF(C883="","",C883)</f>
        <v/>
      </c>
      <c r="D988" t="str">
        <f t="shared" si="627"/>
        <v/>
      </c>
      <c r="E988" t="str">
        <f t="shared" si="627"/>
        <v/>
      </c>
      <c r="F988" t="str">
        <f t="shared" si="627"/>
        <v/>
      </c>
      <c r="G988" t="str">
        <f t="shared" si="627"/>
        <v/>
      </c>
      <c r="H988" t="str">
        <f t="shared" si="622"/>
        <v/>
      </c>
      <c r="J988" t="str">
        <f>IF($H988="","",IF(VLOOKUP(H988,ExpItems[],2,0),H988&amp;" - "&amp;INDEX(DivisionMapping[category_code],MATCH($D988&amp;$C988,DivisionMapping[dept_bu],0)),H988))</f>
        <v/>
      </c>
      <c r="K988" t="str">
        <f t="shared" si="625"/>
        <v/>
      </c>
      <c r="L988" s="652">
        <f>IF($B988="",,SUMIFS(PerBase[Month 1],PerBase[exp_item],$H988,PerBase[company_name],$B988)*L463)</f>
        <v>0</v>
      </c>
      <c r="M988" s="652">
        <f>IF($B988="",,SUMIFS(PerBase[Month 2],PerBase[exp_item],$H988,PerBase[company_name],$B988)*M463)</f>
        <v>0</v>
      </c>
      <c r="N988" s="652">
        <f>IF($B988="",,SUMIFS(PerBase[Month 3],PerBase[exp_item],$H988,PerBase[company_name],$B988)*N463)</f>
        <v>0</v>
      </c>
      <c r="O988" s="652">
        <f>IF($B988="",,SUMIFS(PerBase[Month 4],PerBase[exp_item],$H988,PerBase[company_name],$B988)*O463)</f>
        <v>0</v>
      </c>
      <c r="P988" s="652">
        <f>IF($B988="",,SUMIFS(PerBase[Month 5],PerBase[exp_item],$H988,PerBase[company_name],$B988)*P463)</f>
        <v>0</v>
      </c>
      <c r="Q988" s="652">
        <f>IF($B988="",,SUMIFS(PerBase[Month 6],PerBase[exp_item],$H988,PerBase[company_name],$B988)*Q463)</f>
        <v>0</v>
      </c>
      <c r="R988" s="652">
        <f>IF($B988="",,SUMIFS(PerBase[Month 7],PerBase[exp_item],$H988,PerBase[company_name],$B988)*R463)</f>
        <v>0</v>
      </c>
      <c r="S988" s="652">
        <f>IF($B988="",,SUMIFS(PerBase[Month 8],PerBase[exp_item],$H988,PerBase[company_name],$B988)*S463)</f>
        <v>0</v>
      </c>
      <c r="T988" s="652">
        <f>IF($B988="",,SUMIFS(PerBase[Month 9],PerBase[exp_item],$H988,PerBase[company_name],$B988)*T463)</f>
        <v>0</v>
      </c>
      <c r="U988" s="652">
        <f>IF($B988="",,SUMIFS(PerBase[Month 10],PerBase[exp_item],$H988,PerBase[company_name],$B988)*U463)</f>
        <v>0</v>
      </c>
      <c r="V988" s="652">
        <f>IF($B988="",,SUMIFS(PerBase[Month 11],PerBase[exp_item],$H988,PerBase[company_name],$B988)*V463)</f>
        <v>0</v>
      </c>
      <c r="W988" s="652">
        <f>IF($B988="",,SUMIFS(PerBase[Month 12],PerBase[exp_item],$H988,PerBase[company_name],$B988)*W463)</f>
        <v>0</v>
      </c>
      <c r="X988" s="652">
        <f>IF($B988="",,SUMIFS(PerBase[Month 13],PerBase[exp_item],$H988,PerBase[company_name],$B988)*X463)</f>
        <v>0</v>
      </c>
      <c r="Y988" s="652">
        <f>IF($B988="",,SUMIFS(PerBase[Month 14],PerBase[exp_item],$H988,PerBase[company_name],$B988)*Y463)</f>
        <v>0</v>
      </c>
      <c r="Z988" s="652">
        <f>IF($B988="",,SUMIFS(PerBase[Month 15],PerBase[exp_item],$H988,PerBase[company_name],$B988)*Z463)</f>
        <v>0</v>
      </c>
      <c r="AA988" s="652">
        <f>IF($B988="",,SUMIFS(PerBase[Month 16],PerBase[exp_item],$H988,PerBase[company_name],$B988)*AA463)</f>
        <v>0</v>
      </c>
      <c r="AB988" s="652">
        <f>IF($B988="",,SUMIFS(PerBase[Month 17],PerBase[exp_item],$H988,PerBase[company_name],$B988)*AB463)</f>
        <v>0</v>
      </c>
      <c r="AC988" s="652">
        <f>IF($B988="",,SUMIFS(PerBase[Month 18],PerBase[exp_item],$H988,PerBase[company_name],$B988)*AC463)</f>
        <v>0</v>
      </c>
      <c r="AD988" s="652">
        <f>IF($B988="",,SUMIFS(PerBase[Month 19],PerBase[exp_item],$H988,PerBase[company_name],$B988)*AD463)</f>
        <v>0</v>
      </c>
      <c r="AE988" s="652">
        <f>IF($B988="",,SUMIFS(PerBase[Month 20],PerBase[exp_item],$H988,PerBase[company_name],$B988)*AE463)</f>
        <v>0</v>
      </c>
      <c r="AF988" s="652">
        <f>IF($B988="",,SUMIFS(PerBase[Month 21],PerBase[exp_item],$H988,PerBase[company_name],$B988)*AF463)</f>
        <v>0</v>
      </c>
      <c r="AG988" s="652">
        <f>IF($B988="",,SUMIFS(PerBase[Month 22],PerBase[exp_item],$H988,PerBase[company_name],$B988)*AG463)</f>
        <v>0</v>
      </c>
      <c r="AH988" s="652">
        <f>IF($B988="",,SUMIFS(PerBase[Month 23],PerBase[exp_item],$H988,PerBase[company_name],$B988)*AH463)</f>
        <v>0</v>
      </c>
      <c r="AI988" s="652">
        <f>IF($B988="",,SUMIFS(PerBase[Month 24],PerBase[exp_item],$H988,PerBase[company_name],$B988)*AI463)</f>
        <v>0</v>
      </c>
      <c r="AJ988" s="652">
        <f>IF($B988="",,SUMIFS(PerBase[Month 25],PerBase[exp_item],$H988,PerBase[company_name],$B988)*AJ463)</f>
        <v>0</v>
      </c>
      <c r="AK988" s="652">
        <f>IF($B988="",,SUMIFS(PerBase[Month 26],PerBase[exp_item],$H988,PerBase[company_name],$B988)*AK463)</f>
        <v>0</v>
      </c>
      <c r="AL988" s="652">
        <f>IF($B988="",,SUMIFS(PerBase[Month 27],PerBase[exp_item],$H988,PerBase[company_name],$B988)*AL463)</f>
        <v>0</v>
      </c>
      <c r="AM988" s="652">
        <f>IF($B988="",,SUMIFS(PerBase[Month 28],PerBase[exp_item],$H988,PerBase[company_name],$B988)*AM463)</f>
        <v>0</v>
      </c>
      <c r="AN988" s="652">
        <f>IF($B988="",,SUMIFS(PerBase[Month 29],PerBase[exp_item],$H988,PerBase[company_name],$B988)*AN463)</f>
        <v>0</v>
      </c>
      <c r="AO988" s="652">
        <f>IF($B988="",,SUMIFS(PerBase[Month 30],PerBase[exp_item],$H988,PerBase[company_name],$B988)*AO463)</f>
        <v>0</v>
      </c>
      <c r="AP988" s="652">
        <f>IF($B988="",,SUMIFS(PerBase[Month 31],PerBase[exp_item],$H988,PerBase[company_name],$B988)*AP463)</f>
        <v>0</v>
      </c>
      <c r="AQ988" s="652">
        <f>IF($B988="",,SUMIFS(PerBase[Month 32],PerBase[exp_item],$H988,PerBase[company_name],$B988)*AQ463)</f>
        <v>0</v>
      </c>
      <c r="AR988" s="652">
        <f>IF($B988="",,SUMIFS(PerBase[Month 33],PerBase[exp_item],$H988,PerBase[company_name],$B988)*AR463)</f>
        <v>0</v>
      </c>
      <c r="AS988" s="652">
        <f>IF($B988="",,SUMIFS(PerBase[Month 34],PerBase[exp_item],$H988,PerBase[company_name],$B988)*AS463)</f>
        <v>0</v>
      </c>
      <c r="AT988" s="652">
        <f>IF($B988="",,SUMIFS(PerBase[Month 35],PerBase[exp_item],$H988,PerBase[company_name],$B988)*AT463)</f>
        <v>0</v>
      </c>
      <c r="AU988" s="652">
        <f>IF($B988="",,SUMIFS(PerBase[Month 36],PerBase[exp_item],$H988,PerBase[company_name],$B988)*AU463)</f>
        <v>0</v>
      </c>
    </row>
    <row r="989" spans="2:47" x14ac:dyDescent="0.35">
      <c r="B989" t="str">
        <f t="shared" si="623"/>
        <v/>
      </c>
      <c r="C989" t="str">
        <f t="shared" ref="C989:G989" si="628">IF(C884="","",C884)</f>
        <v/>
      </c>
      <c r="D989" t="str">
        <f t="shared" si="628"/>
        <v/>
      </c>
      <c r="E989" t="str">
        <f t="shared" si="628"/>
        <v/>
      </c>
      <c r="F989" t="str">
        <f t="shared" si="628"/>
        <v/>
      </c>
      <c r="G989" t="str">
        <f t="shared" si="628"/>
        <v/>
      </c>
      <c r="H989" t="str">
        <f t="shared" si="622"/>
        <v/>
      </c>
      <c r="J989" t="str">
        <f>IF($H989="","",IF(VLOOKUP(H989,ExpItems[],2,0),H989&amp;" - "&amp;INDEX(DivisionMapping[category_code],MATCH($D989&amp;$C989,DivisionMapping[dept_bu],0)),H989))</f>
        <v/>
      </c>
      <c r="K989" t="str">
        <f t="shared" si="625"/>
        <v/>
      </c>
      <c r="L989" s="652">
        <f>IF($B989="",,SUMIFS(PerBase[Month 1],PerBase[exp_item],$H989,PerBase[company_name],$B989)*L464)</f>
        <v>0</v>
      </c>
      <c r="M989" s="652">
        <f>IF($B989="",,SUMIFS(PerBase[Month 2],PerBase[exp_item],$H989,PerBase[company_name],$B989)*M464)</f>
        <v>0</v>
      </c>
      <c r="N989" s="652">
        <f>IF($B989="",,SUMIFS(PerBase[Month 3],PerBase[exp_item],$H989,PerBase[company_name],$B989)*N464)</f>
        <v>0</v>
      </c>
      <c r="O989" s="652">
        <f>IF($B989="",,SUMIFS(PerBase[Month 4],PerBase[exp_item],$H989,PerBase[company_name],$B989)*O464)</f>
        <v>0</v>
      </c>
      <c r="P989" s="652">
        <f>IF($B989="",,SUMIFS(PerBase[Month 5],PerBase[exp_item],$H989,PerBase[company_name],$B989)*P464)</f>
        <v>0</v>
      </c>
      <c r="Q989" s="652">
        <f>IF($B989="",,SUMIFS(PerBase[Month 6],PerBase[exp_item],$H989,PerBase[company_name],$B989)*Q464)</f>
        <v>0</v>
      </c>
      <c r="R989" s="652">
        <f>IF($B989="",,SUMIFS(PerBase[Month 7],PerBase[exp_item],$H989,PerBase[company_name],$B989)*R464)</f>
        <v>0</v>
      </c>
      <c r="S989" s="652">
        <f>IF($B989="",,SUMIFS(PerBase[Month 8],PerBase[exp_item],$H989,PerBase[company_name],$B989)*S464)</f>
        <v>0</v>
      </c>
      <c r="T989" s="652">
        <f>IF($B989="",,SUMIFS(PerBase[Month 9],PerBase[exp_item],$H989,PerBase[company_name],$B989)*T464)</f>
        <v>0</v>
      </c>
      <c r="U989" s="652">
        <f>IF($B989="",,SUMIFS(PerBase[Month 10],PerBase[exp_item],$H989,PerBase[company_name],$B989)*U464)</f>
        <v>0</v>
      </c>
      <c r="V989" s="652">
        <f>IF($B989="",,SUMIFS(PerBase[Month 11],PerBase[exp_item],$H989,PerBase[company_name],$B989)*V464)</f>
        <v>0</v>
      </c>
      <c r="W989" s="652">
        <f>IF($B989="",,SUMIFS(PerBase[Month 12],PerBase[exp_item],$H989,PerBase[company_name],$B989)*W464)</f>
        <v>0</v>
      </c>
      <c r="X989" s="652">
        <f>IF($B989="",,SUMIFS(PerBase[Month 13],PerBase[exp_item],$H989,PerBase[company_name],$B989)*X464)</f>
        <v>0</v>
      </c>
      <c r="Y989" s="652">
        <f>IF($B989="",,SUMIFS(PerBase[Month 14],PerBase[exp_item],$H989,PerBase[company_name],$B989)*Y464)</f>
        <v>0</v>
      </c>
      <c r="Z989" s="652">
        <f>IF($B989="",,SUMIFS(PerBase[Month 15],PerBase[exp_item],$H989,PerBase[company_name],$B989)*Z464)</f>
        <v>0</v>
      </c>
      <c r="AA989" s="652">
        <f>IF($B989="",,SUMIFS(PerBase[Month 16],PerBase[exp_item],$H989,PerBase[company_name],$B989)*AA464)</f>
        <v>0</v>
      </c>
      <c r="AB989" s="652">
        <f>IF($B989="",,SUMIFS(PerBase[Month 17],PerBase[exp_item],$H989,PerBase[company_name],$B989)*AB464)</f>
        <v>0</v>
      </c>
      <c r="AC989" s="652">
        <f>IF($B989="",,SUMIFS(PerBase[Month 18],PerBase[exp_item],$H989,PerBase[company_name],$B989)*AC464)</f>
        <v>0</v>
      </c>
      <c r="AD989" s="652">
        <f>IF($B989="",,SUMIFS(PerBase[Month 19],PerBase[exp_item],$H989,PerBase[company_name],$B989)*AD464)</f>
        <v>0</v>
      </c>
      <c r="AE989" s="652">
        <f>IF($B989="",,SUMIFS(PerBase[Month 20],PerBase[exp_item],$H989,PerBase[company_name],$B989)*AE464)</f>
        <v>0</v>
      </c>
      <c r="AF989" s="652">
        <f>IF($B989="",,SUMIFS(PerBase[Month 21],PerBase[exp_item],$H989,PerBase[company_name],$B989)*AF464)</f>
        <v>0</v>
      </c>
      <c r="AG989" s="652">
        <f>IF($B989="",,SUMIFS(PerBase[Month 22],PerBase[exp_item],$H989,PerBase[company_name],$B989)*AG464)</f>
        <v>0</v>
      </c>
      <c r="AH989" s="652">
        <f>IF($B989="",,SUMIFS(PerBase[Month 23],PerBase[exp_item],$H989,PerBase[company_name],$B989)*AH464)</f>
        <v>0</v>
      </c>
      <c r="AI989" s="652">
        <f>IF($B989="",,SUMIFS(PerBase[Month 24],PerBase[exp_item],$H989,PerBase[company_name],$B989)*AI464)</f>
        <v>0</v>
      </c>
      <c r="AJ989" s="652">
        <f>IF($B989="",,SUMIFS(PerBase[Month 25],PerBase[exp_item],$H989,PerBase[company_name],$B989)*AJ464)</f>
        <v>0</v>
      </c>
      <c r="AK989" s="652">
        <f>IF($B989="",,SUMIFS(PerBase[Month 26],PerBase[exp_item],$H989,PerBase[company_name],$B989)*AK464)</f>
        <v>0</v>
      </c>
      <c r="AL989" s="652">
        <f>IF($B989="",,SUMIFS(PerBase[Month 27],PerBase[exp_item],$H989,PerBase[company_name],$B989)*AL464)</f>
        <v>0</v>
      </c>
      <c r="AM989" s="652">
        <f>IF($B989="",,SUMIFS(PerBase[Month 28],PerBase[exp_item],$H989,PerBase[company_name],$B989)*AM464)</f>
        <v>0</v>
      </c>
      <c r="AN989" s="652">
        <f>IF($B989="",,SUMIFS(PerBase[Month 29],PerBase[exp_item],$H989,PerBase[company_name],$B989)*AN464)</f>
        <v>0</v>
      </c>
      <c r="AO989" s="652">
        <f>IF($B989="",,SUMIFS(PerBase[Month 30],PerBase[exp_item],$H989,PerBase[company_name],$B989)*AO464)</f>
        <v>0</v>
      </c>
      <c r="AP989" s="652">
        <f>IF($B989="",,SUMIFS(PerBase[Month 31],PerBase[exp_item],$H989,PerBase[company_name],$B989)*AP464)</f>
        <v>0</v>
      </c>
      <c r="AQ989" s="652">
        <f>IF($B989="",,SUMIFS(PerBase[Month 32],PerBase[exp_item],$H989,PerBase[company_name],$B989)*AQ464)</f>
        <v>0</v>
      </c>
      <c r="AR989" s="652">
        <f>IF($B989="",,SUMIFS(PerBase[Month 33],PerBase[exp_item],$H989,PerBase[company_name],$B989)*AR464)</f>
        <v>0</v>
      </c>
      <c r="AS989" s="652">
        <f>IF($B989="",,SUMIFS(PerBase[Month 34],PerBase[exp_item],$H989,PerBase[company_name],$B989)*AS464)</f>
        <v>0</v>
      </c>
      <c r="AT989" s="652">
        <f>IF($B989="",,SUMIFS(PerBase[Month 35],PerBase[exp_item],$H989,PerBase[company_name],$B989)*AT464)</f>
        <v>0</v>
      </c>
      <c r="AU989" s="652">
        <f>IF($B989="",,SUMIFS(PerBase[Month 36],PerBase[exp_item],$H989,PerBase[company_name],$B989)*AU464)</f>
        <v>0</v>
      </c>
    </row>
    <row r="990" spans="2:47" x14ac:dyDescent="0.35">
      <c r="B990" t="str">
        <f t="shared" si="623"/>
        <v/>
      </c>
      <c r="C990" t="str">
        <f t="shared" ref="C990:G990" si="629">IF(C885="","",C885)</f>
        <v/>
      </c>
      <c r="D990" t="str">
        <f t="shared" si="629"/>
        <v/>
      </c>
      <c r="E990" t="str">
        <f t="shared" si="629"/>
        <v/>
      </c>
      <c r="F990" t="str">
        <f t="shared" si="629"/>
        <v/>
      </c>
      <c r="G990" t="str">
        <f t="shared" si="629"/>
        <v/>
      </c>
      <c r="H990" t="str">
        <f t="shared" si="622"/>
        <v/>
      </c>
      <c r="J990" t="str">
        <f>IF($H990="","",IF(VLOOKUP(H990,ExpItems[],2,0),H990&amp;" - "&amp;INDEX(DivisionMapping[category_code],MATCH($D990&amp;$C990,DivisionMapping[dept_bu],0)),H990))</f>
        <v/>
      </c>
      <c r="K990" t="str">
        <f t="shared" si="625"/>
        <v/>
      </c>
      <c r="L990" s="652">
        <f>IF($B990="",,SUMIFS(PerBase[Month 1],PerBase[exp_item],$H990,PerBase[company_name],$B990)*L465)</f>
        <v>0</v>
      </c>
      <c r="M990" s="652">
        <f>IF($B990="",,SUMIFS(PerBase[Month 2],PerBase[exp_item],$H990,PerBase[company_name],$B990)*M465)</f>
        <v>0</v>
      </c>
      <c r="N990" s="652">
        <f>IF($B990="",,SUMIFS(PerBase[Month 3],PerBase[exp_item],$H990,PerBase[company_name],$B990)*N465)</f>
        <v>0</v>
      </c>
      <c r="O990" s="652">
        <f>IF($B990="",,SUMIFS(PerBase[Month 4],PerBase[exp_item],$H990,PerBase[company_name],$B990)*O465)</f>
        <v>0</v>
      </c>
      <c r="P990" s="652">
        <f>IF($B990="",,SUMIFS(PerBase[Month 5],PerBase[exp_item],$H990,PerBase[company_name],$B990)*P465)</f>
        <v>0</v>
      </c>
      <c r="Q990" s="652">
        <f>IF($B990="",,SUMIFS(PerBase[Month 6],PerBase[exp_item],$H990,PerBase[company_name],$B990)*Q465)</f>
        <v>0</v>
      </c>
      <c r="R990" s="652">
        <f>IF($B990="",,SUMIFS(PerBase[Month 7],PerBase[exp_item],$H990,PerBase[company_name],$B990)*R465)</f>
        <v>0</v>
      </c>
      <c r="S990" s="652">
        <f>IF($B990="",,SUMIFS(PerBase[Month 8],PerBase[exp_item],$H990,PerBase[company_name],$B990)*S465)</f>
        <v>0</v>
      </c>
      <c r="T990" s="652">
        <f>IF($B990="",,SUMIFS(PerBase[Month 9],PerBase[exp_item],$H990,PerBase[company_name],$B990)*T465)</f>
        <v>0</v>
      </c>
      <c r="U990" s="652">
        <f>IF($B990="",,SUMIFS(PerBase[Month 10],PerBase[exp_item],$H990,PerBase[company_name],$B990)*U465)</f>
        <v>0</v>
      </c>
      <c r="V990" s="652">
        <f>IF($B990="",,SUMIFS(PerBase[Month 11],PerBase[exp_item],$H990,PerBase[company_name],$B990)*V465)</f>
        <v>0</v>
      </c>
      <c r="W990" s="652">
        <f>IF($B990="",,SUMIFS(PerBase[Month 12],PerBase[exp_item],$H990,PerBase[company_name],$B990)*W465)</f>
        <v>0</v>
      </c>
      <c r="X990" s="652">
        <f>IF($B990="",,SUMIFS(PerBase[Month 13],PerBase[exp_item],$H990,PerBase[company_name],$B990)*X465)</f>
        <v>0</v>
      </c>
      <c r="Y990" s="652">
        <f>IF($B990="",,SUMIFS(PerBase[Month 14],PerBase[exp_item],$H990,PerBase[company_name],$B990)*Y465)</f>
        <v>0</v>
      </c>
      <c r="Z990" s="652">
        <f>IF($B990="",,SUMIFS(PerBase[Month 15],PerBase[exp_item],$H990,PerBase[company_name],$B990)*Z465)</f>
        <v>0</v>
      </c>
      <c r="AA990" s="652">
        <f>IF($B990="",,SUMIFS(PerBase[Month 16],PerBase[exp_item],$H990,PerBase[company_name],$B990)*AA465)</f>
        <v>0</v>
      </c>
      <c r="AB990" s="652">
        <f>IF($B990="",,SUMIFS(PerBase[Month 17],PerBase[exp_item],$H990,PerBase[company_name],$B990)*AB465)</f>
        <v>0</v>
      </c>
      <c r="AC990" s="652">
        <f>IF($B990="",,SUMIFS(PerBase[Month 18],PerBase[exp_item],$H990,PerBase[company_name],$B990)*AC465)</f>
        <v>0</v>
      </c>
      <c r="AD990" s="652">
        <f>IF($B990="",,SUMIFS(PerBase[Month 19],PerBase[exp_item],$H990,PerBase[company_name],$B990)*AD465)</f>
        <v>0</v>
      </c>
      <c r="AE990" s="652">
        <f>IF($B990="",,SUMIFS(PerBase[Month 20],PerBase[exp_item],$H990,PerBase[company_name],$B990)*AE465)</f>
        <v>0</v>
      </c>
      <c r="AF990" s="652">
        <f>IF($B990="",,SUMIFS(PerBase[Month 21],PerBase[exp_item],$H990,PerBase[company_name],$B990)*AF465)</f>
        <v>0</v>
      </c>
      <c r="AG990" s="652">
        <f>IF($B990="",,SUMIFS(PerBase[Month 22],PerBase[exp_item],$H990,PerBase[company_name],$B990)*AG465)</f>
        <v>0</v>
      </c>
      <c r="AH990" s="652">
        <f>IF($B990="",,SUMIFS(PerBase[Month 23],PerBase[exp_item],$H990,PerBase[company_name],$B990)*AH465)</f>
        <v>0</v>
      </c>
      <c r="AI990" s="652">
        <f>IF($B990="",,SUMIFS(PerBase[Month 24],PerBase[exp_item],$H990,PerBase[company_name],$B990)*AI465)</f>
        <v>0</v>
      </c>
      <c r="AJ990" s="652">
        <f>IF($B990="",,SUMIFS(PerBase[Month 25],PerBase[exp_item],$H990,PerBase[company_name],$B990)*AJ465)</f>
        <v>0</v>
      </c>
      <c r="AK990" s="652">
        <f>IF($B990="",,SUMIFS(PerBase[Month 26],PerBase[exp_item],$H990,PerBase[company_name],$B990)*AK465)</f>
        <v>0</v>
      </c>
      <c r="AL990" s="652">
        <f>IF($B990="",,SUMIFS(PerBase[Month 27],PerBase[exp_item],$H990,PerBase[company_name],$B990)*AL465)</f>
        <v>0</v>
      </c>
      <c r="AM990" s="652">
        <f>IF($B990="",,SUMIFS(PerBase[Month 28],PerBase[exp_item],$H990,PerBase[company_name],$B990)*AM465)</f>
        <v>0</v>
      </c>
      <c r="AN990" s="652">
        <f>IF($B990="",,SUMIFS(PerBase[Month 29],PerBase[exp_item],$H990,PerBase[company_name],$B990)*AN465)</f>
        <v>0</v>
      </c>
      <c r="AO990" s="652">
        <f>IF($B990="",,SUMIFS(PerBase[Month 30],PerBase[exp_item],$H990,PerBase[company_name],$B990)*AO465)</f>
        <v>0</v>
      </c>
      <c r="AP990" s="652">
        <f>IF($B990="",,SUMIFS(PerBase[Month 31],PerBase[exp_item],$H990,PerBase[company_name],$B990)*AP465)</f>
        <v>0</v>
      </c>
      <c r="AQ990" s="652">
        <f>IF($B990="",,SUMIFS(PerBase[Month 32],PerBase[exp_item],$H990,PerBase[company_name],$B990)*AQ465)</f>
        <v>0</v>
      </c>
      <c r="AR990" s="652">
        <f>IF($B990="",,SUMIFS(PerBase[Month 33],PerBase[exp_item],$H990,PerBase[company_name],$B990)*AR465)</f>
        <v>0</v>
      </c>
      <c r="AS990" s="652">
        <f>IF($B990="",,SUMIFS(PerBase[Month 34],PerBase[exp_item],$H990,PerBase[company_name],$B990)*AS465)</f>
        <v>0</v>
      </c>
      <c r="AT990" s="652">
        <f>IF($B990="",,SUMIFS(PerBase[Month 35],PerBase[exp_item],$H990,PerBase[company_name],$B990)*AT465)</f>
        <v>0</v>
      </c>
      <c r="AU990" s="652">
        <f>IF($B990="",,SUMIFS(PerBase[Month 36],PerBase[exp_item],$H990,PerBase[company_name],$B990)*AU465)</f>
        <v>0</v>
      </c>
    </row>
    <row r="991" spans="2:47" x14ac:dyDescent="0.35">
      <c r="B991" t="str">
        <f t="shared" si="623"/>
        <v/>
      </c>
      <c r="C991" t="str">
        <f t="shared" ref="C991:G991" si="630">IF(C886="","",C886)</f>
        <v/>
      </c>
      <c r="D991" t="str">
        <f t="shared" si="630"/>
        <v/>
      </c>
      <c r="E991" t="str">
        <f t="shared" si="630"/>
        <v/>
      </c>
      <c r="F991" t="str">
        <f t="shared" si="630"/>
        <v/>
      </c>
      <c r="G991" t="str">
        <f t="shared" si="630"/>
        <v/>
      </c>
      <c r="H991" t="str">
        <f t="shared" si="622"/>
        <v/>
      </c>
      <c r="J991" t="str">
        <f>IF($H991="","",IF(VLOOKUP(H991,ExpItems[],2,0),H991&amp;" - "&amp;INDEX(DivisionMapping[category_code],MATCH($D991&amp;$C991,DivisionMapping[dept_bu],0)),H991))</f>
        <v/>
      </c>
      <c r="K991" t="str">
        <f t="shared" si="625"/>
        <v/>
      </c>
      <c r="L991" s="652">
        <f>IF($B991="",,SUMIFS(PerBase[Month 1],PerBase[exp_item],$H991,PerBase[company_name],$B991)*L466)</f>
        <v>0</v>
      </c>
      <c r="M991" s="652">
        <f>IF($B991="",,SUMIFS(PerBase[Month 2],PerBase[exp_item],$H991,PerBase[company_name],$B991)*M466)</f>
        <v>0</v>
      </c>
      <c r="N991" s="652">
        <f>IF($B991="",,SUMIFS(PerBase[Month 3],PerBase[exp_item],$H991,PerBase[company_name],$B991)*N466)</f>
        <v>0</v>
      </c>
      <c r="O991" s="652">
        <f>IF($B991="",,SUMIFS(PerBase[Month 4],PerBase[exp_item],$H991,PerBase[company_name],$B991)*O466)</f>
        <v>0</v>
      </c>
      <c r="P991" s="652">
        <f>IF($B991="",,SUMIFS(PerBase[Month 5],PerBase[exp_item],$H991,PerBase[company_name],$B991)*P466)</f>
        <v>0</v>
      </c>
      <c r="Q991" s="652">
        <f>IF($B991="",,SUMIFS(PerBase[Month 6],PerBase[exp_item],$H991,PerBase[company_name],$B991)*Q466)</f>
        <v>0</v>
      </c>
      <c r="R991" s="652">
        <f>IF($B991="",,SUMIFS(PerBase[Month 7],PerBase[exp_item],$H991,PerBase[company_name],$B991)*R466)</f>
        <v>0</v>
      </c>
      <c r="S991" s="652">
        <f>IF($B991="",,SUMIFS(PerBase[Month 8],PerBase[exp_item],$H991,PerBase[company_name],$B991)*S466)</f>
        <v>0</v>
      </c>
      <c r="T991" s="652">
        <f>IF($B991="",,SUMIFS(PerBase[Month 9],PerBase[exp_item],$H991,PerBase[company_name],$B991)*T466)</f>
        <v>0</v>
      </c>
      <c r="U991" s="652">
        <f>IF($B991="",,SUMIFS(PerBase[Month 10],PerBase[exp_item],$H991,PerBase[company_name],$B991)*U466)</f>
        <v>0</v>
      </c>
      <c r="V991" s="652">
        <f>IF($B991="",,SUMIFS(PerBase[Month 11],PerBase[exp_item],$H991,PerBase[company_name],$B991)*V466)</f>
        <v>0</v>
      </c>
      <c r="W991" s="652">
        <f>IF($B991="",,SUMIFS(PerBase[Month 12],PerBase[exp_item],$H991,PerBase[company_name],$B991)*W466)</f>
        <v>0</v>
      </c>
      <c r="X991" s="652">
        <f>IF($B991="",,SUMIFS(PerBase[Month 13],PerBase[exp_item],$H991,PerBase[company_name],$B991)*X466)</f>
        <v>0</v>
      </c>
      <c r="Y991" s="652">
        <f>IF($B991="",,SUMIFS(PerBase[Month 14],PerBase[exp_item],$H991,PerBase[company_name],$B991)*Y466)</f>
        <v>0</v>
      </c>
      <c r="Z991" s="652">
        <f>IF($B991="",,SUMIFS(PerBase[Month 15],PerBase[exp_item],$H991,PerBase[company_name],$B991)*Z466)</f>
        <v>0</v>
      </c>
      <c r="AA991" s="652">
        <f>IF($B991="",,SUMIFS(PerBase[Month 16],PerBase[exp_item],$H991,PerBase[company_name],$B991)*AA466)</f>
        <v>0</v>
      </c>
      <c r="AB991" s="652">
        <f>IF($B991="",,SUMIFS(PerBase[Month 17],PerBase[exp_item],$H991,PerBase[company_name],$B991)*AB466)</f>
        <v>0</v>
      </c>
      <c r="AC991" s="652">
        <f>IF($B991="",,SUMIFS(PerBase[Month 18],PerBase[exp_item],$H991,PerBase[company_name],$B991)*AC466)</f>
        <v>0</v>
      </c>
      <c r="AD991" s="652">
        <f>IF($B991="",,SUMIFS(PerBase[Month 19],PerBase[exp_item],$H991,PerBase[company_name],$B991)*AD466)</f>
        <v>0</v>
      </c>
      <c r="AE991" s="652">
        <f>IF($B991="",,SUMIFS(PerBase[Month 20],PerBase[exp_item],$H991,PerBase[company_name],$B991)*AE466)</f>
        <v>0</v>
      </c>
      <c r="AF991" s="652">
        <f>IF($B991="",,SUMIFS(PerBase[Month 21],PerBase[exp_item],$H991,PerBase[company_name],$B991)*AF466)</f>
        <v>0</v>
      </c>
      <c r="AG991" s="652">
        <f>IF($B991="",,SUMIFS(PerBase[Month 22],PerBase[exp_item],$H991,PerBase[company_name],$B991)*AG466)</f>
        <v>0</v>
      </c>
      <c r="AH991" s="652">
        <f>IF($B991="",,SUMIFS(PerBase[Month 23],PerBase[exp_item],$H991,PerBase[company_name],$B991)*AH466)</f>
        <v>0</v>
      </c>
      <c r="AI991" s="652">
        <f>IF($B991="",,SUMIFS(PerBase[Month 24],PerBase[exp_item],$H991,PerBase[company_name],$B991)*AI466)</f>
        <v>0</v>
      </c>
      <c r="AJ991" s="652">
        <f>IF($B991="",,SUMIFS(PerBase[Month 25],PerBase[exp_item],$H991,PerBase[company_name],$B991)*AJ466)</f>
        <v>0</v>
      </c>
      <c r="AK991" s="652">
        <f>IF($B991="",,SUMIFS(PerBase[Month 26],PerBase[exp_item],$H991,PerBase[company_name],$B991)*AK466)</f>
        <v>0</v>
      </c>
      <c r="AL991" s="652">
        <f>IF($B991="",,SUMIFS(PerBase[Month 27],PerBase[exp_item],$H991,PerBase[company_name],$B991)*AL466)</f>
        <v>0</v>
      </c>
      <c r="AM991" s="652">
        <f>IF($B991="",,SUMIFS(PerBase[Month 28],PerBase[exp_item],$H991,PerBase[company_name],$B991)*AM466)</f>
        <v>0</v>
      </c>
      <c r="AN991" s="652">
        <f>IF($B991="",,SUMIFS(PerBase[Month 29],PerBase[exp_item],$H991,PerBase[company_name],$B991)*AN466)</f>
        <v>0</v>
      </c>
      <c r="AO991" s="652">
        <f>IF($B991="",,SUMIFS(PerBase[Month 30],PerBase[exp_item],$H991,PerBase[company_name],$B991)*AO466)</f>
        <v>0</v>
      </c>
      <c r="AP991" s="652">
        <f>IF($B991="",,SUMIFS(PerBase[Month 31],PerBase[exp_item],$H991,PerBase[company_name],$B991)*AP466)</f>
        <v>0</v>
      </c>
      <c r="AQ991" s="652">
        <f>IF($B991="",,SUMIFS(PerBase[Month 32],PerBase[exp_item],$H991,PerBase[company_name],$B991)*AQ466)</f>
        <v>0</v>
      </c>
      <c r="AR991" s="652">
        <f>IF($B991="",,SUMIFS(PerBase[Month 33],PerBase[exp_item],$H991,PerBase[company_name],$B991)*AR466)</f>
        <v>0</v>
      </c>
      <c r="AS991" s="652">
        <f>IF($B991="",,SUMIFS(PerBase[Month 34],PerBase[exp_item],$H991,PerBase[company_name],$B991)*AS466)</f>
        <v>0</v>
      </c>
      <c r="AT991" s="652">
        <f>IF($B991="",,SUMIFS(PerBase[Month 35],PerBase[exp_item],$H991,PerBase[company_name],$B991)*AT466)</f>
        <v>0</v>
      </c>
      <c r="AU991" s="652">
        <f>IF($B991="",,SUMIFS(PerBase[Month 36],PerBase[exp_item],$H991,PerBase[company_name],$B991)*AU466)</f>
        <v>0</v>
      </c>
    </row>
    <row r="992" spans="2:47" x14ac:dyDescent="0.35">
      <c r="B992" t="str">
        <f t="shared" si="623"/>
        <v/>
      </c>
      <c r="C992" t="str">
        <f t="shared" ref="C992:G992" si="631">IF(C887="","",C887)</f>
        <v/>
      </c>
      <c r="D992" t="str">
        <f t="shared" si="631"/>
        <v/>
      </c>
      <c r="E992" t="str">
        <f t="shared" si="631"/>
        <v/>
      </c>
      <c r="F992" t="str">
        <f t="shared" si="631"/>
        <v/>
      </c>
      <c r="G992" t="str">
        <f t="shared" si="631"/>
        <v/>
      </c>
      <c r="H992" t="str">
        <f t="shared" si="622"/>
        <v/>
      </c>
      <c r="J992" t="str">
        <f>IF($H992="","",IF(VLOOKUP(H992,ExpItems[],2,0),H992&amp;" - "&amp;INDEX(DivisionMapping[category_code],MATCH($D992&amp;$C992,DivisionMapping[dept_bu],0)),H992))</f>
        <v/>
      </c>
      <c r="K992" t="str">
        <f t="shared" si="625"/>
        <v/>
      </c>
      <c r="L992" s="652">
        <f>IF($B992="",,SUMIFS(PerBase[Month 1],PerBase[exp_item],$H992,PerBase[company_name],$B992)*L467)</f>
        <v>0</v>
      </c>
      <c r="M992" s="652">
        <f>IF($B992="",,SUMIFS(PerBase[Month 2],PerBase[exp_item],$H992,PerBase[company_name],$B992)*M467)</f>
        <v>0</v>
      </c>
      <c r="N992" s="652">
        <f>IF($B992="",,SUMIFS(PerBase[Month 3],PerBase[exp_item],$H992,PerBase[company_name],$B992)*N467)</f>
        <v>0</v>
      </c>
      <c r="O992" s="652">
        <f>IF($B992="",,SUMIFS(PerBase[Month 4],PerBase[exp_item],$H992,PerBase[company_name],$B992)*O467)</f>
        <v>0</v>
      </c>
      <c r="P992" s="652">
        <f>IF($B992="",,SUMIFS(PerBase[Month 5],PerBase[exp_item],$H992,PerBase[company_name],$B992)*P467)</f>
        <v>0</v>
      </c>
      <c r="Q992" s="652">
        <f>IF($B992="",,SUMIFS(PerBase[Month 6],PerBase[exp_item],$H992,PerBase[company_name],$B992)*Q467)</f>
        <v>0</v>
      </c>
      <c r="R992" s="652">
        <f>IF($B992="",,SUMIFS(PerBase[Month 7],PerBase[exp_item],$H992,PerBase[company_name],$B992)*R467)</f>
        <v>0</v>
      </c>
      <c r="S992" s="652">
        <f>IF($B992="",,SUMIFS(PerBase[Month 8],PerBase[exp_item],$H992,PerBase[company_name],$B992)*S467)</f>
        <v>0</v>
      </c>
      <c r="T992" s="652">
        <f>IF($B992="",,SUMIFS(PerBase[Month 9],PerBase[exp_item],$H992,PerBase[company_name],$B992)*T467)</f>
        <v>0</v>
      </c>
      <c r="U992" s="652">
        <f>IF($B992="",,SUMIFS(PerBase[Month 10],PerBase[exp_item],$H992,PerBase[company_name],$B992)*U467)</f>
        <v>0</v>
      </c>
      <c r="V992" s="652">
        <f>IF($B992="",,SUMIFS(PerBase[Month 11],PerBase[exp_item],$H992,PerBase[company_name],$B992)*V467)</f>
        <v>0</v>
      </c>
      <c r="W992" s="652">
        <f>IF($B992="",,SUMIFS(PerBase[Month 12],PerBase[exp_item],$H992,PerBase[company_name],$B992)*W467)</f>
        <v>0</v>
      </c>
      <c r="X992" s="652">
        <f>IF($B992="",,SUMIFS(PerBase[Month 13],PerBase[exp_item],$H992,PerBase[company_name],$B992)*X467)</f>
        <v>0</v>
      </c>
      <c r="Y992" s="652">
        <f>IF($B992="",,SUMIFS(PerBase[Month 14],PerBase[exp_item],$H992,PerBase[company_name],$B992)*Y467)</f>
        <v>0</v>
      </c>
      <c r="Z992" s="652">
        <f>IF($B992="",,SUMIFS(PerBase[Month 15],PerBase[exp_item],$H992,PerBase[company_name],$B992)*Z467)</f>
        <v>0</v>
      </c>
      <c r="AA992" s="652">
        <f>IF($B992="",,SUMIFS(PerBase[Month 16],PerBase[exp_item],$H992,PerBase[company_name],$B992)*AA467)</f>
        <v>0</v>
      </c>
      <c r="AB992" s="652">
        <f>IF($B992="",,SUMIFS(PerBase[Month 17],PerBase[exp_item],$H992,PerBase[company_name],$B992)*AB467)</f>
        <v>0</v>
      </c>
      <c r="AC992" s="652">
        <f>IF($B992="",,SUMIFS(PerBase[Month 18],PerBase[exp_item],$H992,PerBase[company_name],$B992)*AC467)</f>
        <v>0</v>
      </c>
      <c r="AD992" s="652">
        <f>IF($B992="",,SUMIFS(PerBase[Month 19],PerBase[exp_item],$H992,PerBase[company_name],$B992)*AD467)</f>
        <v>0</v>
      </c>
      <c r="AE992" s="652">
        <f>IF($B992="",,SUMIFS(PerBase[Month 20],PerBase[exp_item],$H992,PerBase[company_name],$B992)*AE467)</f>
        <v>0</v>
      </c>
      <c r="AF992" s="652">
        <f>IF($B992="",,SUMIFS(PerBase[Month 21],PerBase[exp_item],$H992,PerBase[company_name],$B992)*AF467)</f>
        <v>0</v>
      </c>
      <c r="AG992" s="652">
        <f>IF($B992="",,SUMIFS(PerBase[Month 22],PerBase[exp_item],$H992,PerBase[company_name],$B992)*AG467)</f>
        <v>0</v>
      </c>
      <c r="AH992" s="652">
        <f>IF($B992="",,SUMIFS(PerBase[Month 23],PerBase[exp_item],$H992,PerBase[company_name],$B992)*AH467)</f>
        <v>0</v>
      </c>
      <c r="AI992" s="652">
        <f>IF($B992="",,SUMIFS(PerBase[Month 24],PerBase[exp_item],$H992,PerBase[company_name],$B992)*AI467)</f>
        <v>0</v>
      </c>
      <c r="AJ992" s="652">
        <f>IF($B992="",,SUMIFS(PerBase[Month 25],PerBase[exp_item],$H992,PerBase[company_name],$B992)*AJ467)</f>
        <v>0</v>
      </c>
      <c r="AK992" s="652">
        <f>IF($B992="",,SUMIFS(PerBase[Month 26],PerBase[exp_item],$H992,PerBase[company_name],$B992)*AK467)</f>
        <v>0</v>
      </c>
      <c r="AL992" s="652">
        <f>IF($B992="",,SUMIFS(PerBase[Month 27],PerBase[exp_item],$H992,PerBase[company_name],$B992)*AL467)</f>
        <v>0</v>
      </c>
      <c r="AM992" s="652">
        <f>IF($B992="",,SUMIFS(PerBase[Month 28],PerBase[exp_item],$H992,PerBase[company_name],$B992)*AM467)</f>
        <v>0</v>
      </c>
      <c r="AN992" s="652">
        <f>IF($B992="",,SUMIFS(PerBase[Month 29],PerBase[exp_item],$H992,PerBase[company_name],$B992)*AN467)</f>
        <v>0</v>
      </c>
      <c r="AO992" s="652">
        <f>IF($B992="",,SUMIFS(PerBase[Month 30],PerBase[exp_item],$H992,PerBase[company_name],$B992)*AO467)</f>
        <v>0</v>
      </c>
      <c r="AP992" s="652">
        <f>IF($B992="",,SUMIFS(PerBase[Month 31],PerBase[exp_item],$H992,PerBase[company_name],$B992)*AP467)</f>
        <v>0</v>
      </c>
      <c r="AQ992" s="652">
        <f>IF($B992="",,SUMIFS(PerBase[Month 32],PerBase[exp_item],$H992,PerBase[company_name],$B992)*AQ467)</f>
        <v>0</v>
      </c>
      <c r="AR992" s="652">
        <f>IF($B992="",,SUMIFS(PerBase[Month 33],PerBase[exp_item],$H992,PerBase[company_name],$B992)*AR467)</f>
        <v>0</v>
      </c>
      <c r="AS992" s="652">
        <f>IF($B992="",,SUMIFS(PerBase[Month 34],PerBase[exp_item],$H992,PerBase[company_name],$B992)*AS467)</f>
        <v>0</v>
      </c>
      <c r="AT992" s="652">
        <f>IF($B992="",,SUMIFS(PerBase[Month 35],PerBase[exp_item],$H992,PerBase[company_name],$B992)*AT467)</f>
        <v>0</v>
      </c>
      <c r="AU992" s="652">
        <f>IF($B992="",,SUMIFS(PerBase[Month 36],PerBase[exp_item],$H992,PerBase[company_name],$B992)*AU467)</f>
        <v>0</v>
      </c>
    </row>
    <row r="993" spans="2:47" x14ac:dyDescent="0.35">
      <c r="B993" t="str">
        <f t="shared" si="623"/>
        <v/>
      </c>
      <c r="C993" t="str">
        <f t="shared" ref="C993:G993" si="632">IF(C888="","",C888)</f>
        <v/>
      </c>
      <c r="D993" t="str">
        <f t="shared" si="632"/>
        <v/>
      </c>
      <c r="E993" t="str">
        <f t="shared" si="632"/>
        <v/>
      </c>
      <c r="F993" t="str">
        <f t="shared" si="632"/>
        <v/>
      </c>
      <c r="G993" t="str">
        <f t="shared" si="632"/>
        <v/>
      </c>
      <c r="H993" t="str">
        <f t="shared" si="622"/>
        <v/>
      </c>
      <c r="J993" t="str">
        <f>IF($H993="","",IF(VLOOKUP(H993,ExpItems[],2,0),H993&amp;" - "&amp;INDEX(DivisionMapping[category_code],MATCH($D993&amp;$C993,DivisionMapping[dept_bu],0)),H993))</f>
        <v/>
      </c>
      <c r="K993" t="str">
        <f t="shared" si="625"/>
        <v/>
      </c>
      <c r="L993" s="652">
        <f>IF($B993="",,SUMIFS(PerBase[Month 1],PerBase[exp_item],$H993,PerBase[company_name],$B993)*L468)</f>
        <v>0</v>
      </c>
      <c r="M993" s="652">
        <f>IF($B993="",,SUMIFS(PerBase[Month 2],PerBase[exp_item],$H993,PerBase[company_name],$B993)*M468)</f>
        <v>0</v>
      </c>
      <c r="N993" s="652">
        <f>IF($B993="",,SUMIFS(PerBase[Month 3],PerBase[exp_item],$H993,PerBase[company_name],$B993)*N468)</f>
        <v>0</v>
      </c>
      <c r="O993" s="652">
        <f>IF($B993="",,SUMIFS(PerBase[Month 4],PerBase[exp_item],$H993,PerBase[company_name],$B993)*O468)</f>
        <v>0</v>
      </c>
      <c r="P993" s="652">
        <f>IF($B993="",,SUMIFS(PerBase[Month 5],PerBase[exp_item],$H993,PerBase[company_name],$B993)*P468)</f>
        <v>0</v>
      </c>
      <c r="Q993" s="652">
        <f>IF($B993="",,SUMIFS(PerBase[Month 6],PerBase[exp_item],$H993,PerBase[company_name],$B993)*Q468)</f>
        <v>0</v>
      </c>
      <c r="R993" s="652">
        <f>IF($B993="",,SUMIFS(PerBase[Month 7],PerBase[exp_item],$H993,PerBase[company_name],$B993)*R468)</f>
        <v>0</v>
      </c>
      <c r="S993" s="652">
        <f>IF($B993="",,SUMIFS(PerBase[Month 8],PerBase[exp_item],$H993,PerBase[company_name],$B993)*S468)</f>
        <v>0</v>
      </c>
      <c r="T993" s="652">
        <f>IF($B993="",,SUMIFS(PerBase[Month 9],PerBase[exp_item],$H993,PerBase[company_name],$B993)*T468)</f>
        <v>0</v>
      </c>
      <c r="U993" s="652">
        <f>IF($B993="",,SUMIFS(PerBase[Month 10],PerBase[exp_item],$H993,PerBase[company_name],$B993)*U468)</f>
        <v>0</v>
      </c>
      <c r="V993" s="652">
        <f>IF($B993="",,SUMIFS(PerBase[Month 11],PerBase[exp_item],$H993,PerBase[company_name],$B993)*V468)</f>
        <v>0</v>
      </c>
      <c r="W993" s="652">
        <f>IF($B993="",,SUMIFS(PerBase[Month 12],PerBase[exp_item],$H993,PerBase[company_name],$B993)*W468)</f>
        <v>0</v>
      </c>
      <c r="X993" s="652">
        <f>IF($B993="",,SUMIFS(PerBase[Month 13],PerBase[exp_item],$H993,PerBase[company_name],$B993)*X468)</f>
        <v>0</v>
      </c>
      <c r="Y993" s="652">
        <f>IF($B993="",,SUMIFS(PerBase[Month 14],PerBase[exp_item],$H993,PerBase[company_name],$B993)*Y468)</f>
        <v>0</v>
      </c>
      <c r="Z993" s="652">
        <f>IF($B993="",,SUMIFS(PerBase[Month 15],PerBase[exp_item],$H993,PerBase[company_name],$B993)*Z468)</f>
        <v>0</v>
      </c>
      <c r="AA993" s="652">
        <f>IF($B993="",,SUMIFS(PerBase[Month 16],PerBase[exp_item],$H993,PerBase[company_name],$B993)*AA468)</f>
        <v>0</v>
      </c>
      <c r="AB993" s="652">
        <f>IF($B993="",,SUMIFS(PerBase[Month 17],PerBase[exp_item],$H993,PerBase[company_name],$B993)*AB468)</f>
        <v>0</v>
      </c>
      <c r="AC993" s="652">
        <f>IF($B993="",,SUMIFS(PerBase[Month 18],PerBase[exp_item],$H993,PerBase[company_name],$B993)*AC468)</f>
        <v>0</v>
      </c>
      <c r="AD993" s="652">
        <f>IF($B993="",,SUMIFS(PerBase[Month 19],PerBase[exp_item],$H993,PerBase[company_name],$B993)*AD468)</f>
        <v>0</v>
      </c>
      <c r="AE993" s="652">
        <f>IF($B993="",,SUMIFS(PerBase[Month 20],PerBase[exp_item],$H993,PerBase[company_name],$B993)*AE468)</f>
        <v>0</v>
      </c>
      <c r="AF993" s="652">
        <f>IF($B993="",,SUMIFS(PerBase[Month 21],PerBase[exp_item],$H993,PerBase[company_name],$B993)*AF468)</f>
        <v>0</v>
      </c>
      <c r="AG993" s="652">
        <f>IF($B993="",,SUMIFS(PerBase[Month 22],PerBase[exp_item],$H993,PerBase[company_name],$B993)*AG468)</f>
        <v>0</v>
      </c>
      <c r="AH993" s="652">
        <f>IF($B993="",,SUMIFS(PerBase[Month 23],PerBase[exp_item],$H993,PerBase[company_name],$B993)*AH468)</f>
        <v>0</v>
      </c>
      <c r="AI993" s="652">
        <f>IF($B993="",,SUMIFS(PerBase[Month 24],PerBase[exp_item],$H993,PerBase[company_name],$B993)*AI468)</f>
        <v>0</v>
      </c>
      <c r="AJ993" s="652">
        <f>IF($B993="",,SUMIFS(PerBase[Month 25],PerBase[exp_item],$H993,PerBase[company_name],$B993)*AJ468)</f>
        <v>0</v>
      </c>
      <c r="AK993" s="652">
        <f>IF($B993="",,SUMIFS(PerBase[Month 26],PerBase[exp_item],$H993,PerBase[company_name],$B993)*AK468)</f>
        <v>0</v>
      </c>
      <c r="AL993" s="652">
        <f>IF($B993="",,SUMIFS(PerBase[Month 27],PerBase[exp_item],$H993,PerBase[company_name],$B993)*AL468)</f>
        <v>0</v>
      </c>
      <c r="AM993" s="652">
        <f>IF($B993="",,SUMIFS(PerBase[Month 28],PerBase[exp_item],$H993,PerBase[company_name],$B993)*AM468)</f>
        <v>0</v>
      </c>
      <c r="AN993" s="652">
        <f>IF($B993="",,SUMIFS(PerBase[Month 29],PerBase[exp_item],$H993,PerBase[company_name],$B993)*AN468)</f>
        <v>0</v>
      </c>
      <c r="AO993" s="652">
        <f>IF($B993="",,SUMIFS(PerBase[Month 30],PerBase[exp_item],$H993,PerBase[company_name],$B993)*AO468)</f>
        <v>0</v>
      </c>
      <c r="AP993" s="652">
        <f>IF($B993="",,SUMIFS(PerBase[Month 31],PerBase[exp_item],$H993,PerBase[company_name],$B993)*AP468)</f>
        <v>0</v>
      </c>
      <c r="AQ993" s="652">
        <f>IF($B993="",,SUMIFS(PerBase[Month 32],PerBase[exp_item],$H993,PerBase[company_name],$B993)*AQ468)</f>
        <v>0</v>
      </c>
      <c r="AR993" s="652">
        <f>IF($B993="",,SUMIFS(PerBase[Month 33],PerBase[exp_item],$H993,PerBase[company_name],$B993)*AR468)</f>
        <v>0</v>
      </c>
      <c r="AS993" s="652">
        <f>IF($B993="",,SUMIFS(PerBase[Month 34],PerBase[exp_item],$H993,PerBase[company_name],$B993)*AS468)</f>
        <v>0</v>
      </c>
      <c r="AT993" s="652">
        <f>IF($B993="",,SUMIFS(PerBase[Month 35],PerBase[exp_item],$H993,PerBase[company_name],$B993)*AT468)</f>
        <v>0</v>
      </c>
      <c r="AU993" s="652">
        <f>IF($B993="",,SUMIFS(PerBase[Month 36],PerBase[exp_item],$H993,PerBase[company_name],$B993)*AU468)</f>
        <v>0</v>
      </c>
    </row>
    <row r="994" spans="2:47" x14ac:dyDescent="0.35">
      <c r="B994" t="str">
        <f t="shared" si="623"/>
        <v/>
      </c>
      <c r="C994" t="str">
        <f t="shared" ref="C994:G994" si="633">IF(C889="","",C889)</f>
        <v/>
      </c>
      <c r="D994" t="str">
        <f t="shared" si="633"/>
        <v/>
      </c>
      <c r="E994" t="str">
        <f t="shared" si="633"/>
        <v/>
      </c>
      <c r="F994" t="str">
        <f t="shared" si="633"/>
        <v/>
      </c>
      <c r="G994" t="str">
        <f t="shared" si="633"/>
        <v/>
      </c>
      <c r="H994" t="str">
        <f t="shared" si="622"/>
        <v/>
      </c>
      <c r="J994" t="str">
        <f>IF($H994="","",IF(VLOOKUP(H994,ExpItems[],2,0),H994&amp;" - "&amp;INDEX(DivisionMapping[category_code],MATCH($D994&amp;$C994,DivisionMapping[dept_bu],0)),H994))</f>
        <v/>
      </c>
      <c r="K994" t="str">
        <f t="shared" si="625"/>
        <v/>
      </c>
      <c r="L994" s="652">
        <f>IF($B994="",,SUMIFS(PerBase[Month 1],PerBase[exp_item],$H994,PerBase[company_name],$B994)*L469)</f>
        <v>0</v>
      </c>
      <c r="M994" s="652">
        <f>IF($B994="",,SUMIFS(PerBase[Month 2],PerBase[exp_item],$H994,PerBase[company_name],$B994)*M469)</f>
        <v>0</v>
      </c>
      <c r="N994" s="652">
        <f>IF($B994="",,SUMIFS(PerBase[Month 3],PerBase[exp_item],$H994,PerBase[company_name],$B994)*N469)</f>
        <v>0</v>
      </c>
      <c r="O994" s="652">
        <f>IF($B994="",,SUMIFS(PerBase[Month 4],PerBase[exp_item],$H994,PerBase[company_name],$B994)*O469)</f>
        <v>0</v>
      </c>
      <c r="P994" s="652">
        <f>IF($B994="",,SUMIFS(PerBase[Month 5],PerBase[exp_item],$H994,PerBase[company_name],$B994)*P469)</f>
        <v>0</v>
      </c>
      <c r="Q994" s="652">
        <f>IF($B994="",,SUMIFS(PerBase[Month 6],PerBase[exp_item],$H994,PerBase[company_name],$B994)*Q469)</f>
        <v>0</v>
      </c>
      <c r="R994" s="652">
        <f>IF($B994="",,SUMIFS(PerBase[Month 7],PerBase[exp_item],$H994,PerBase[company_name],$B994)*R469)</f>
        <v>0</v>
      </c>
      <c r="S994" s="652">
        <f>IF($B994="",,SUMIFS(PerBase[Month 8],PerBase[exp_item],$H994,PerBase[company_name],$B994)*S469)</f>
        <v>0</v>
      </c>
      <c r="T994" s="652">
        <f>IF($B994="",,SUMIFS(PerBase[Month 9],PerBase[exp_item],$H994,PerBase[company_name],$B994)*T469)</f>
        <v>0</v>
      </c>
      <c r="U994" s="652">
        <f>IF($B994="",,SUMIFS(PerBase[Month 10],PerBase[exp_item],$H994,PerBase[company_name],$B994)*U469)</f>
        <v>0</v>
      </c>
      <c r="V994" s="652">
        <f>IF($B994="",,SUMIFS(PerBase[Month 11],PerBase[exp_item],$H994,PerBase[company_name],$B994)*V469)</f>
        <v>0</v>
      </c>
      <c r="W994" s="652">
        <f>IF($B994="",,SUMIFS(PerBase[Month 12],PerBase[exp_item],$H994,PerBase[company_name],$B994)*W469)</f>
        <v>0</v>
      </c>
      <c r="X994" s="652">
        <f>IF($B994="",,SUMIFS(PerBase[Month 13],PerBase[exp_item],$H994,PerBase[company_name],$B994)*X469)</f>
        <v>0</v>
      </c>
      <c r="Y994" s="652">
        <f>IF($B994="",,SUMIFS(PerBase[Month 14],PerBase[exp_item],$H994,PerBase[company_name],$B994)*Y469)</f>
        <v>0</v>
      </c>
      <c r="Z994" s="652">
        <f>IF($B994="",,SUMIFS(PerBase[Month 15],PerBase[exp_item],$H994,PerBase[company_name],$B994)*Z469)</f>
        <v>0</v>
      </c>
      <c r="AA994" s="652">
        <f>IF($B994="",,SUMIFS(PerBase[Month 16],PerBase[exp_item],$H994,PerBase[company_name],$B994)*AA469)</f>
        <v>0</v>
      </c>
      <c r="AB994" s="652">
        <f>IF($B994="",,SUMIFS(PerBase[Month 17],PerBase[exp_item],$H994,PerBase[company_name],$B994)*AB469)</f>
        <v>0</v>
      </c>
      <c r="AC994" s="652">
        <f>IF($B994="",,SUMIFS(PerBase[Month 18],PerBase[exp_item],$H994,PerBase[company_name],$B994)*AC469)</f>
        <v>0</v>
      </c>
      <c r="AD994" s="652">
        <f>IF($B994="",,SUMIFS(PerBase[Month 19],PerBase[exp_item],$H994,PerBase[company_name],$B994)*AD469)</f>
        <v>0</v>
      </c>
      <c r="AE994" s="652">
        <f>IF($B994="",,SUMIFS(PerBase[Month 20],PerBase[exp_item],$H994,PerBase[company_name],$B994)*AE469)</f>
        <v>0</v>
      </c>
      <c r="AF994" s="652">
        <f>IF($B994="",,SUMIFS(PerBase[Month 21],PerBase[exp_item],$H994,PerBase[company_name],$B994)*AF469)</f>
        <v>0</v>
      </c>
      <c r="AG994" s="652">
        <f>IF($B994="",,SUMIFS(PerBase[Month 22],PerBase[exp_item],$H994,PerBase[company_name],$B994)*AG469)</f>
        <v>0</v>
      </c>
      <c r="AH994" s="652">
        <f>IF($B994="",,SUMIFS(PerBase[Month 23],PerBase[exp_item],$H994,PerBase[company_name],$B994)*AH469)</f>
        <v>0</v>
      </c>
      <c r="AI994" s="652">
        <f>IF($B994="",,SUMIFS(PerBase[Month 24],PerBase[exp_item],$H994,PerBase[company_name],$B994)*AI469)</f>
        <v>0</v>
      </c>
      <c r="AJ994" s="652">
        <f>IF($B994="",,SUMIFS(PerBase[Month 25],PerBase[exp_item],$H994,PerBase[company_name],$B994)*AJ469)</f>
        <v>0</v>
      </c>
      <c r="AK994" s="652">
        <f>IF($B994="",,SUMIFS(PerBase[Month 26],PerBase[exp_item],$H994,PerBase[company_name],$B994)*AK469)</f>
        <v>0</v>
      </c>
      <c r="AL994" s="652">
        <f>IF($B994="",,SUMIFS(PerBase[Month 27],PerBase[exp_item],$H994,PerBase[company_name],$B994)*AL469)</f>
        <v>0</v>
      </c>
      <c r="AM994" s="652">
        <f>IF($B994="",,SUMIFS(PerBase[Month 28],PerBase[exp_item],$H994,PerBase[company_name],$B994)*AM469)</f>
        <v>0</v>
      </c>
      <c r="AN994" s="652">
        <f>IF($B994="",,SUMIFS(PerBase[Month 29],PerBase[exp_item],$H994,PerBase[company_name],$B994)*AN469)</f>
        <v>0</v>
      </c>
      <c r="AO994" s="652">
        <f>IF($B994="",,SUMIFS(PerBase[Month 30],PerBase[exp_item],$H994,PerBase[company_name],$B994)*AO469)</f>
        <v>0</v>
      </c>
      <c r="AP994" s="652">
        <f>IF($B994="",,SUMIFS(PerBase[Month 31],PerBase[exp_item],$H994,PerBase[company_name],$B994)*AP469)</f>
        <v>0</v>
      </c>
      <c r="AQ994" s="652">
        <f>IF($B994="",,SUMIFS(PerBase[Month 32],PerBase[exp_item],$H994,PerBase[company_name],$B994)*AQ469)</f>
        <v>0</v>
      </c>
      <c r="AR994" s="652">
        <f>IF($B994="",,SUMIFS(PerBase[Month 33],PerBase[exp_item],$H994,PerBase[company_name],$B994)*AR469)</f>
        <v>0</v>
      </c>
      <c r="AS994" s="652">
        <f>IF($B994="",,SUMIFS(PerBase[Month 34],PerBase[exp_item],$H994,PerBase[company_name],$B994)*AS469)</f>
        <v>0</v>
      </c>
      <c r="AT994" s="652">
        <f>IF($B994="",,SUMIFS(PerBase[Month 35],PerBase[exp_item],$H994,PerBase[company_name],$B994)*AT469)</f>
        <v>0</v>
      </c>
      <c r="AU994" s="652">
        <f>IF($B994="",,SUMIFS(PerBase[Month 36],PerBase[exp_item],$H994,PerBase[company_name],$B994)*AU469)</f>
        <v>0</v>
      </c>
    </row>
    <row r="995" spans="2:47" x14ac:dyDescent="0.35">
      <c r="B995" t="str">
        <f t="shared" si="623"/>
        <v/>
      </c>
      <c r="C995" t="str">
        <f t="shared" ref="C995:G995" si="634">IF(C890="","",C890)</f>
        <v/>
      </c>
      <c r="D995" t="str">
        <f t="shared" si="634"/>
        <v/>
      </c>
      <c r="E995" t="str">
        <f t="shared" si="634"/>
        <v/>
      </c>
      <c r="F995" t="str">
        <f t="shared" si="634"/>
        <v/>
      </c>
      <c r="G995" t="str">
        <f t="shared" si="634"/>
        <v/>
      </c>
      <c r="H995" t="str">
        <f t="shared" si="622"/>
        <v/>
      </c>
      <c r="J995" t="str">
        <f>IF($H995="","",IF(VLOOKUP(H995,ExpItems[],2,0),H995&amp;" - "&amp;INDEX(DivisionMapping[category_code],MATCH($D995&amp;$C995,DivisionMapping[dept_bu],0)),H995))</f>
        <v/>
      </c>
      <c r="K995" t="str">
        <f t="shared" si="625"/>
        <v/>
      </c>
      <c r="L995" s="652">
        <f>IF($B995="",,SUMIFS(PerBase[Month 1],PerBase[exp_item],$H995,PerBase[company_name],$B995)*L470)</f>
        <v>0</v>
      </c>
      <c r="M995" s="652">
        <f>IF($B995="",,SUMIFS(PerBase[Month 2],PerBase[exp_item],$H995,PerBase[company_name],$B995)*M470)</f>
        <v>0</v>
      </c>
      <c r="N995" s="652">
        <f>IF($B995="",,SUMIFS(PerBase[Month 3],PerBase[exp_item],$H995,PerBase[company_name],$B995)*N470)</f>
        <v>0</v>
      </c>
      <c r="O995" s="652">
        <f>IF($B995="",,SUMIFS(PerBase[Month 4],PerBase[exp_item],$H995,PerBase[company_name],$B995)*O470)</f>
        <v>0</v>
      </c>
      <c r="P995" s="652">
        <f>IF($B995="",,SUMIFS(PerBase[Month 5],PerBase[exp_item],$H995,PerBase[company_name],$B995)*P470)</f>
        <v>0</v>
      </c>
      <c r="Q995" s="652">
        <f>IF($B995="",,SUMIFS(PerBase[Month 6],PerBase[exp_item],$H995,PerBase[company_name],$B995)*Q470)</f>
        <v>0</v>
      </c>
      <c r="R995" s="652">
        <f>IF($B995="",,SUMIFS(PerBase[Month 7],PerBase[exp_item],$H995,PerBase[company_name],$B995)*R470)</f>
        <v>0</v>
      </c>
      <c r="S995" s="652">
        <f>IF($B995="",,SUMIFS(PerBase[Month 8],PerBase[exp_item],$H995,PerBase[company_name],$B995)*S470)</f>
        <v>0</v>
      </c>
      <c r="T995" s="652">
        <f>IF($B995="",,SUMIFS(PerBase[Month 9],PerBase[exp_item],$H995,PerBase[company_name],$B995)*T470)</f>
        <v>0</v>
      </c>
      <c r="U995" s="652">
        <f>IF($B995="",,SUMIFS(PerBase[Month 10],PerBase[exp_item],$H995,PerBase[company_name],$B995)*U470)</f>
        <v>0</v>
      </c>
      <c r="V995" s="652">
        <f>IF($B995="",,SUMIFS(PerBase[Month 11],PerBase[exp_item],$H995,PerBase[company_name],$B995)*V470)</f>
        <v>0</v>
      </c>
      <c r="W995" s="652">
        <f>IF($B995="",,SUMIFS(PerBase[Month 12],PerBase[exp_item],$H995,PerBase[company_name],$B995)*W470)</f>
        <v>0</v>
      </c>
      <c r="X995" s="652">
        <f>IF($B995="",,SUMIFS(PerBase[Month 13],PerBase[exp_item],$H995,PerBase[company_name],$B995)*X470)</f>
        <v>0</v>
      </c>
      <c r="Y995" s="652">
        <f>IF($B995="",,SUMIFS(PerBase[Month 14],PerBase[exp_item],$H995,PerBase[company_name],$B995)*Y470)</f>
        <v>0</v>
      </c>
      <c r="Z995" s="652">
        <f>IF($B995="",,SUMIFS(PerBase[Month 15],PerBase[exp_item],$H995,PerBase[company_name],$B995)*Z470)</f>
        <v>0</v>
      </c>
      <c r="AA995" s="652">
        <f>IF($B995="",,SUMIFS(PerBase[Month 16],PerBase[exp_item],$H995,PerBase[company_name],$B995)*AA470)</f>
        <v>0</v>
      </c>
      <c r="AB995" s="652">
        <f>IF($B995="",,SUMIFS(PerBase[Month 17],PerBase[exp_item],$H995,PerBase[company_name],$B995)*AB470)</f>
        <v>0</v>
      </c>
      <c r="AC995" s="652">
        <f>IF($B995="",,SUMIFS(PerBase[Month 18],PerBase[exp_item],$H995,PerBase[company_name],$B995)*AC470)</f>
        <v>0</v>
      </c>
      <c r="AD995" s="652">
        <f>IF($B995="",,SUMIFS(PerBase[Month 19],PerBase[exp_item],$H995,PerBase[company_name],$B995)*AD470)</f>
        <v>0</v>
      </c>
      <c r="AE995" s="652">
        <f>IF($B995="",,SUMIFS(PerBase[Month 20],PerBase[exp_item],$H995,PerBase[company_name],$B995)*AE470)</f>
        <v>0</v>
      </c>
      <c r="AF995" s="652">
        <f>IF($B995="",,SUMIFS(PerBase[Month 21],PerBase[exp_item],$H995,PerBase[company_name],$B995)*AF470)</f>
        <v>0</v>
      </c>
      <c r="AG995" s="652">
        <f>IF($B995="",,SUMIFS(PerBase[Month 22],PerBase[exp_item],$H995,PerBase[company_name],$B995)*AG470)</f>
        <v>0</v>
      </c>
      <c r="AH995" s="652">
        <f>IF($B995="",,SUMIFS(PerBase[Month 23],PerBase[exp_item],$H995,PerBase[company_name],$B995)*AH470)</f>
        <v>0</v>
      </c>
      <c r="AI995" s="652">
        <f>IF($B995="",,SUMIFS(PerBase[Month 24],PerBase[exp_item],$H995,PerBase[company_name],$B995)*AI470)</f>
        <v>0</v>
      </c>
      <c r="AJ995" s="652">
        <f>IF($B995="",,SUMIFS(PerBase[Month 25],PerBase[exp_item],$H995,PerBase[company_name],$B995)*AJ470)</f>
        <v>0</v>
      </c>
      <c r="AK995" s="652">
        <f>IF($B995="",,SUMIFS(PerBase[Month 26],PerBase[exp_item],$H995,PerBase[company_name],$B995)*AK470)</f>
        <v>0</v>
      </c>
      <c r="AL995" s="652">
        <f>IF($B995="",,SUMIFS(PerBase[Month 27],PerBase[exp_item],$H995,PerBase[company_name],$B995)*AL470)</f>
        <v>0</v>
      </c>
      <c r="AM995" s="652">
        <f>IF($B995="",,SUMIFS(PerBase[Month 28],PerBase[exp_item],$H995,PerBase[company_name],$B995)*AM470)</f>
        <v>0</v>
      </c>
      <c r="AN995" s="652">
        <f>IF($B995="",,SUMIFS(PerBase[Month 29],PerBase[exp_item],$H995,PerBase[company_name],$B995)*AN470)</f>
        <v>0</v>
      </c>
      <c r="AO995" s="652">
        <f>IF($B995="",,SUMIFS(PerBase[Month 30],PerBase[exp_item],$H995,PerBase[company_name],$B995)*AO470)</f>
        <v>0</v>
      </c>
      <c r="AP995" s="652">
        <f>IF($B995="",,SUMIFS(PerBase[Month 31],PerBase[exp_item],$H995,PerBase[company_name],$B995)*AP470)</f>
        <v>0</v>
      </c>
      <c r="AQ995" s="652">
        <f>IF($B995="",,SUMIFS(PerBase[Month 32],PerBase[exp_item],$H995,PerBase[company_name],$B995)*AQ470)</f>
        <v>0</v>
      </c>
      <c r="AR995" s="652">
        <f>IF($B995="",,SUMIFS(PerBase[Month 33],PerBase[exp_item],$H995,PerBase[company_name],$B995)*AR470)</f>
        <v>0</v>
      </c>
      <c r="AS995" s="652">
        <f>IF($B995="",,SUMIFS(PerBase[Month 34],PerBase[exp_item],$H995,PerBase[company_name],$B995)*AS470)</f>
        <v>0</v>
      </c>
      <c r="AT995" s="652">
        <f>IF($B995="",,SUMIFS(PerBase[Month 35],PerBase[exp_item],$H995,PerBase[company_name],$B995)*AT470)</f>
        <v>0</v>
      </c>
      <c r="AU995" s="652">
        <f>IF($B995="",,SUMIFS(PerBase[Month 36],PerBase[exp_item],$H995,PerBase[company_name],$B995)*AU470)</f>
        <v>0</v>
      </c>
    </row>
    <row r="996" spans="2:47" x14ac:dyDescent="0.35">
      <c r="B996" t="str">
        <f t="shared" si="623"/>
        <v/>
      </c>
      <c r="C996" t="str">
        <f t="shared" ref="C996:G996" si="635">IF(C891="","",C891)</f>
        <v/>
      </c>
      <c r="D996" t="str">
        <f t="shared" si="635"/>
        <v/>
      </c>
      <c r="E996" t="str">
        <f t="shared" si="635"/>
        <v/>
      </c>
      <c r="F996" t="str">
        <f t="shared" si="635"/>
        <v/>
      </c>
      <c r="G996" t="str">
        <f t="shared" si="635"/>
        <v/>
      </c>
      <c r="H996" t="str">
        <f t="shared" si="622"/>
        <v/>
      </c>
      <c r="J996" t="str">
        <f>IF($H996="","",IF(VLOOKUP(H996,ExpItems[],2,0),H996&amp;" - "&amp;INDEX(DivisionMapping[category_code],MATCH($D996&amp;$C996,DivisionMapping[dept_bu],0)),H996))</f>
        <v/>
      </c>
      <c r="K996" t="str">
        <f t="shared" si="625"/>
        <v/>
      </c>
      <c r="L996" s="652">
        <f>IF($B996="",,SUMIFS(PerBase[Month 1],PerBase[exp_item],$H996,PerBase[company_name],$B996)*L471)</f>
        <v>0</v>
      </c>
      <c r="M996" s="652">
        <f>IF($B996="",,SUMIFS(PerBase[Month 2],PerBase[exp_item],$H996,PerBase[company_name],$B996)*M471)</f>
        <v>0</v>
      </c>
      <c r="N996" s="652">
        <f>IF($B996="",,SUMIFS(PerBase[Month 3],PerBase[exp_item],$H996,PerBase[company_name],$B996)*N471)</f>
        <v>0</v>
      </c>
      <c r="O996" s="652">
        <f>IF($B996="",,SUMIFS(PerBase[Month 4],PerBase[exp_item],$H996,PerBase[company_name],$B996)*O471)</f>
        <v>0</v>
      </c>
      <c r="P996" s="652">
        <f>IF($B996="",,SUMIFS(PerBase[Month 5],PerBase[exp_item],$H996,PerBase[company_name],$B996)*P471)</f>
        <v>0</v>
      </c>
      <c r="Q996" s="652">
        <f>IF($B996="",,SUMIFS(PerBase[Month 6],PerBase[exp_item],$H996,PerBase[company_name],$B996)*Q471)</f>
        <v>0</v>
      </c>
      <c r="R996" s="652">
        <f>IF($B996="",,SUMIFS(PerBase[Month 7],PerBase[exp_item],$H996,PerBase[company_name],$B996)*R471)</f>
        <v>0</v>
      </c>
      <c r="S996" s="652">
        <f>IF($B996="",,SUMIFS(PerBase[Month 8],PerBase[exp_item],$H996,PerBase[company_name],$B996)*S471)</f>
        <v>0</v>
      </c>
      <c r="T996" s="652">
        <f>IF($B996="",,SUMIFS(PerBase[Month 9],PerBase[exp_item],$H996,PerBase[company_name],$B996)*T471)</f>
        <v>0</v>
      </c>
      <c r="U996" s="652">
        <f>IF($B996="",,SUMIFS(PerBase[Month 10],PerBase[exp_item],$H996,PerBase[company_name],$B996)*U471)</f>
        <v>0</v>
      </c>
      <c r="V996" s="652">
        <f>IF($B996="",,SUMIFS(PerBase[Month 11],PerBase[exp_item],$H996,PerBase[company_name],$B996)*V471)</f>
        <v>0</v>
      </c>
      <c r="W996" s="652">
        <f>IF($B996="",,SUMIFS(PerBase[Month 12],PerBase[exp_item],$H996,PerBase[company_name],$B996)*W471)</f>
        <v>0</v>
      </c>
      <c r="X996" s="652">
        <f>IF($B996="",,SUMIFS(PerBase[Month 13],PerBase[exp_item],$H996,PerBase[company_name],$B996)*X471)</f>
        <v>0</v>
      </c>
      <c r="Y996" s="652">
        <f>IF($B996="",,SUMIFS(PerBase[Month 14],PerBase[exp_item],$H996,PerBase[company_name],$B996)*Y471)</f>
        <v>0</v>
      </c>
      <c r="Z996" s="652">
        <f>IF($B996="",,SUMIFS(PerBase[Month 15],PerBase[exp_item],$H996,PerBase[company_name],$B996)*Z471)</f>
        <v>0</v>
      </c>
      <c r="AA996" s="652">
        <f>IF($B996="",,SUMIFS(PerBase[Month 16],PerBase[exp_item],$H996,PerBase[company_name],$B996)*AA471)</f>
        <v>0</v>
      </c>
      <c r="AB996" s="652">
        <f>IF($B996="",,SUMIFS(PerBase[Month 17],PerBase[exp_item],$H996,PerBase[company_name],$B996)*AB471)</f>
        <v>0</v>
      </c>
      <c r="AC996" s="652">
        <f>IF($B996="",,SUMIFS(PerBase[Month 18],PerBase[exp_item],$H996,PerBase[company_name],$B996)*AC471)</f>
        <v>0</v>
      </c>
      <c r="AD996" s="652">
        <f>IF($B996="",,SUMIFS(PerBase[Month 19],PerBase[exp_item],$H996,PerBase[company_name],$B996)*AD471)</f>
        <v>0</v>
      </c>
      <c r="AE996" s="652">
        <f>IF($B996="",,SUMIFS(PerBase[Month 20],PerBase[exp_item],$H996,PerBase[company_name],$B996)*AE471)</f>
        <v>0</v>
      </c>
      <c r="AF996" s="652">
        <f>IF($B996="",,SUMIFS(PerBase[Month 21],PerBase[exp_item],$H996,PerBase[company_name],$B996)*AF471)</f>
        <v>0</v>
      </c>
      <c r="AG996" s="652">
        <f>IF($B996="",,SUMIFS(PerBase[Month 22],PerBase[exp_item],$H996,PerBase[company_name],$B996)*AG471)</f>
        <v>0</v>
      </c>
      <c r="AH996" s="652">
        <f>IF($B996="",,SUMIFS(PerBase[Month 23],PerBase[exp_item],$H996,PerBase[company_name],$B996)*AH471)</f>
        <v>0</v>
      </c>
      <c r="AI996" s="652">
        <f>IF($B996="",,SUMIFS(PerBase[Month 24],PerBase[exp_item],$H996,PerBase[company_name],$B996)*AI471)</f>
        <v>0</v>
      </c>
      <c r="AJ996" s="652">
        <f>IF($B996="",,SUMIFS(PerBase[Month 25],PerBase[exp_item],$H996,PerBase[company_name],$B996)*AJ471)</f>
        <v>0</v>
      </c>
      <c r="AK996" s="652">
        <f>IF($B996="",,SUMIFS(PerBase[Month 26],PerBase[exp_item],$H996,PerBase[company_name],$B996)*AK471)</f>
        <v>0</v>
      </c>
      <c r="AL996" s="652">
        <f>IF($B996="",,SUMIFS(PerBase[Month 27],PerBase[exp_item],$H996,PerBase[company_name],$B996)*AL471)</f>
        <v>0</v>
      </c>
      <c r="AM996" s="652">
        <f>IF($B996="",,SUMIFS(PerBase[Month 28],PerBase[exp_item],$H996,PerBase[company_name],$B996)*AM471)</f>
        <v>0</v>
      </c>
      <c r="AN996" s="652">
        <f>IF($B996="",,SUMIFS(PerBase[Month 29],PerBase[exp_item],$H996,PerBase[company_name],$B996)*AN471)</f>
        <v>0</v>
      </c>
      <c r="AO996" s="652">
        <f>IF($B996="",,SUMIFS(PerBase[Month 30],PerBase[exp_item],$H996,PerBase[company_name],$B996)*AO471)</f>
        <v>0</v>
      </c>
      <c r="AP996" s="652">
        <f>IF($B996="",,SUMIFS(PerBase[Month 31],PerBase[exp_item],$H996,PerBase[company_name],$B996)*AP471)</f>
        <v>0</v>
      </c>
      <c r="AQ996" s="652">
        <f>IF($B996="",,SUMIFS(PerBase[Month 32],PerBase[exp_item],$H996,PerBase[company_name],$B996)*AQ471)</f>
        <v>0</v>
      </c>
      <c r="AR996" s="652">
        <f>IF($B996="",,SUMIFS(PerBase[Month 33],PerBase[exp_item],$H996,PerBase[company_name],$B996)*AR471)</f>
        <v>0</v>
      </c>
      <c r="AS996" s="652">
        <f>IF($B996="",,SUMIFS(PerBase[Month 34],PerBase[exp_item],$H996,PerBase[company_name],$B996)*AS471)</f>
        <v>0</v>
      </c>
      <c r="AT996" s="652">
        <f>IF($B996="",,SUMIFS(PerBase[Month 35],PerBase[exp_item],$H996,PerBase[company_name],$B996)*AT471)</f>
        <v>0</v>
      </c>
      <c r="AU996" s="652">
        <f>IF($B996="",,SUMIFS(PerBase[Month 36],PerBase[exp_item],$H996,PerBase[company_name],$B996)*AU471)</f>
        <v>0</v>
      </c>
    </row>
    <row r="997" spans="2:47" x14ac:dyDescent="0.35">
      <c r="B997" t="str">
        <f t="shared" si="623"/>
        <v/>
      </c>
      <c r="C997" t="str">
        <f t="shared" ref="C997:G997" si="636">IF(C892="","",C892)</f>
        <v/>
      </c>
      <c r="D997" t="str">
        <f t="shared" si="636"/>
        <v/>
      </c>
      <c r="E997" t="str">
        <f t="shared" si="636"/>
        <v/>
      </c>
      <c r="F997" t="str">
        <f t="shared" si="636"/>
        <v/>
      </c>
      <c r="G997" t="str">
        <f t="shared" si="636"/>
        <v/>
      </c>
      <c r="H997" t="str">
        <f t="shared" si="622"/>
        <v/>
      </c>
      <c r="J997" t="str">
        <f>IF($H997="","",IF(VLOOKUP(H997,ExpItems[],2,0),H997&amp;" - "&amp;INDEX(DivisionMapping[category_code],MATCH($D997&amp;$C997,DivisionMapping[dept_bu],0)),H997))</f>
        <v/>
      </c>
      <c r="K997" t="str">
        <f t="shared" si="625"/>
        <v/>
      </c>
      <c r="L997" s="652">
        <f>IF($B997="",,SUMIFS(PerBase[Month 1],PerBase[exp_item],$H997,PerBase[company_name],$B997)*L472)</f>
        <v>0</v>
      </c>
      <c r="M997" s="652">
        <f>IF($B997="",,SUMIFS(PerBase[Month 2],PerBase[exp_item],$H997,PerBase[company_name],$B997)*M472)</f>
        <v>0</v>
      </c>
      <c r="N997" s="652">
        <f>IF($B997="",,SUMIFS(PerBase[Month 3],PerBase[exp_item],$H997,PerBase[company_name],$B997)*N472)</f>
        <v>0</v>
      </c>
      <c r="O997" s="652">
        <f>IF($B997="",,SUMIFS(PerBase[Month 4],PerBase[exp_item],$H997,PerBase[company_name],$B997)*O472)</f>
        <v>0</v>
      </c>
      <c r="P997" s="652">
        <f>IF($B997="",,SUMIFS(PerBase[Month 5],PerBase[exp_item],$H997,PerBase[company_name],$B997)*P472)</f>
        <v>0</v>
      </c>
      <c r="Q997" s="652">
        <f>IF($B997="",,SUMIFS(PerBase[Month 6],PerBase[exp_item],$H997,PerBase[company_name],$B997)*Q472)</f>
        <v>0</v>
      </c>
      <c r="R997" s="652">
        <f>IF($B997="",,SUMIFS(PerBase[Month 7],PerBase[exp_item],$H997,PerBase[company_name],$B997)*R472)</f>
        <v>0</v>
      </c>
      <c r="S997" s="652">
        <f>IF($B997="",,SUMIFS(PerBase[Month 8],PerBase[exp_item],$H997,PerBase[company_name],$B997)*S472)</f>
        <v>0</v>
      </c>
      <c r="T997" s="652">
        <f>IF($B997="",,SUMIFS(PerBase[Month 9],PerBase[exp_item],$H997,PerBase[company_name],$B997)*T472)</f>
        <v>0</v>
      </c>
      <c r="U997" s="652">
        <f>IF($B997="",,SUMIFS(PerBase[Month 10],PerBase[exp_item],$H997,PerBase[company_name],$B997)*U472)</f>
        <v>0</v>
      </c>
      <c r="V997" s="652">
        <f>IF($B997="",,SUMIFS(PerBase[Month 11],PerBase[exp_item],$H997,PerBase[company_name],$B997)*V472)</f>
        <v>0</v>
      </c>
      <c r="W997" s="652">
        <f>IF($B997="",,SUMIFS(PerBase[Month 12],PerBase[exp_item],$H997,PerBase[company_name],$B997)*W472)</f>
        <v>0</v>
      </c>
      <c r="X997" s="652">
        <f>IF($B997="",,SUMIFS(PerBase[Month 13],PerBase[exp_item],$H997,PerBase[company_name],$B997)*X472)</f>
        <v>0</v>
      </c>
      <c r="Y997" s="652">
        <f>IF($B997="",,SUMIFS(PerBase[Month 14],PerBase[exp_item],$H997,PerBase[company_name],$B997)*Y472)</f>
        <v>0</v>
      </c>
      <c r="Z997" s="652">
        <f>IF($B997="",,SUMIFS(PerBase[Month 15],PerBase[exp_item],$H997,PerBase[company_name],$B997)*Z472)</f>
        <v>0</v>
      </c>
      <c r="AA997" s="652">
        <f>IF($B997="",,SUMIFS(PerBase[Month 16],PerBase[exp_item],$H997,PerBase[company_name],$B997)*AA472)</f>
        <v>0</v>
      </c>
      <c r="AB997" s="652">
        <f>IF($B997="",,SUMIFS(PerBase[Month 17],PerBase[exp_item],$H997,PerBase[company_name],$B997)*AB472)</f>
        <v>0</v>
      </c>
      <c r="AC997" s="652">
        <f>IF($B997="",,SUMIFS(PerBase[Month 18],PerBase[exp_item],$H997,PerBase[company_name],$B997)*AC472)</f>
        <v>0</v>
      </c>
      <c r="AD997" s="652">
        <f>IF($B997="",,SUMIFS(PerBase[Month 19],PerBase[exp_item],$H997,PerBase[company_name],$B997)*AD472)</f>
        <v>0</v>
      </c>
      <c r="AE997" s="652">
        <f>IF($B997="",,SUMIFS(PerBase[Month 20],PerBase[exp_item],$H997,PerBase[company_name],$B997)*AE472)</f>
        <v>0</v>
      </c>
      <c r="AF997" s="652">
        <f>IF($B997="",,SUMIFS(PerBase[Month 21],PerBase[exp_item],$H997,PerBase[company_name],$B997)*AF472)</f>
        <v>0</v>
      </c>
      <c r="AG997" s="652">
        <f>IF($B997="",,SUMIFS(PerBase[Month 22],PerBase[exp_item],$H997,PerBase[company_name],$B997)*AG472)</f>
        <v>0</v>
      </c>
      <c r="AH997" s="652">
        <f>IF($B997="",,SUMIFS(PerBase[Month 23],PerBase[exp_item],$H997,PerBase[company_name],$B997)*AH472)</f>
        <v>0</v>
      </c>
      <c r="AI997" s="652">
        <f>IF($B997="",,SUMIFS(PerBase[Month 24],PerBase[exp_item],$H997,PerBase[company_name],$B997)*AI472)</f>
        <v>0</v>
      </c>
      <c r="AJ997" s="652">
        <f>IF($B997="",,SUMIFS(PerBase[Month 25],PerBase[exp_item],$H997,PerBase[company_name],$B997)*AJ472)</f>
        <v>0</v>
      </c>
      <c r="AK997" s="652">
        <f>IF($B997="",,SUMIFS(PerBase[Month 26],PerBase[exp_item],$H997,PerBase[company_name],$B997)*AK472)</f>
        <v>0</v>
      </c>
      <c r="AL997" s="652">
        <f>IF($B997="",,SUMIFS(PerBase[Month 27],PerBase[exp_item],$H997,PerBase[company_name],$B997)*AL472)</f>
        <v>0</v>
      </c>
      <c r="AM997" s="652">
        <f>IF($B997="",,SUMIFS(PerBase[Month 28],PerBase[exp_item],$H997,PerBase[company_name],$B997)*AM472)</f>
        <v>0</v>
      </c>
      <c r="AN997" s="652">
        <f>IF($B997="",,SUMIFS(PerBase[Month 29],PerBase[exp_item],$H997,PerBase[company_name],$B997)*AN472)</f>
        <v>0</v>
      </c>
      <c r="AO997" s="652">
        <f>IF($B997="",,SUMIFS(PerBase[Month 30],PerBase[exp_item],$H997,PerBase[company_name],$B997)*AO472)</f>
        <v>0</v>
      </c>
      <c r="AP997" s="652">
        <f>IF($B997="",,SUMIFS(PerBase[Month 31],PerBase[exp_item],$H997,PerBase[company_name],$B997)*AP472)</f>
        <v>0</v>
      </c>
      <c r="AQ997" s="652">
        <f>IF($B997="",,SUMIFS(PerBase[Month 32],PerBase[exp_item],$H997,PerBase[company_name],$B997)*AQ472)</f>
        <v>0</v>
      </c>
      <c r="AR997" s="652">
        <f>IF($B997="",,SUMIFS(PerBase[Month 33],PerBase[exp_item],$H997,PerBase[company_name],$B997)*AR472)</f>
        <v>0</v>
      </c>
      <c r="AS997" s="652">
        <f>IF($B997="",,SUMIFS(PerBase[Month 34],PerBase[exp_item],$H997,PerBase[company_name],$B997)*AS472)</f>
        <v>0</v>
      </c>
      <c r="AT997" s="652">
        <f>IF($B997="",,SUMIFS(PerBase[Month 35],PerBase[exp_item],$H997,PerBase[company_name],$B997)*AT472)</f>
        <v>0</v>
      </c>
      <c r="AU997" s="652">
        <f>IF($B997="",,SUMIFS(PerBase[Month 36],PerBase[exp_item],$H997,PerBase[company_name],$B997)*AU472)</f>
        <v>0</v>
      </c>
    </row>
    <row r="998" spans="2:47" x14ac:dyDescent="0.35">
      <c r="B998" t="str">
        <f t="shared" si="623"/>
        <v/>
      </c>
      <c r="C998" t="str">
        <f t="shared" ref="C998:G998" si="637">IF(C893="","",C893)</f>
        <v/>
      </c>
      <c r="D998" t="str">
        <f t="shared" si="637"/>
        <v/>
      </c>
      <c r="E998" t="str">
        <f t="shared" si="637"/>
        <v/>
      </c>
      <c r="F998" t="str">
        <f t="shared" si="637"/>
        <v/>
      </c>
      <c r="G998" t="str">
        <f t="shared" si="637"/>
        <v/>
      </c>
      <c r="H998" t="str">
        <f t="shared" si="622"/>
        <v/>
      </c>
      <c r="J998" t="str">
        <f>IF($H998="","",IF(VLOOKUP(H998,ExpItems[],2,0),H998&amp;" - "&amp;INDEX(DivisionMapping[category_code],MATCH($D998&amp;$C998,DivisionMapping[dept_bu],0)),H998))</f>
        <v/>
      </c>
      <c r="K998" t="str">
        <f t="shared" si="625"/>
        <v/>
      </c>
      <c r="L998" s="652">
        <f>IF($B998="",,SUMIFS(PerBase[Month 1],PerBase[exp_item],$H998,PerBase[company_name],$B998)*L473)</f>
        <v>0</v>
      </c>
      <c r="M998" s="652">
        <f>IF($B998="",,SUMIFS(PerBase[Month 2],PerBase[exp_item],$H998,PerBase[company_name],$B998)*M473)</f>
        <v>0</v>
      </c>
      <c r="N998" s="652">
        <f>IF($B998="",,SUMIFS(PerBase[Month 3],PerBase[exp_item],$H998,PerBase[company_name],$B998)*N473)</f>
        <v>0</v>
      </c>
      <c r="O998" s="652">
        <f>IF($B998="",,SUMIFS(PerBase[Month 4],PerBase[exp_item],$H998,PerBase[company_name],$B998)*O473)</f>
        <v>0</v>
      </c>
      <c r="P998" s="652">
        <f>IF($B998="",,SUMIFS(PerBase[Month 5],PerBase[exp_item],$H998,PerBase[company_name],$B998)*P473)</f>
        <v>0</v>
      </c>
      <c r="Q998" s="652">
        <f>IF($B998="",,SUMIFS(PerBase[Month 6],PerBase[exp_item],$H998,PerBase[company_name],$B998)*Q473)</f>
        <v>0</v>
      </c>
      <c r="R998" s="652">
        <f>IF($B998="",,SUMIFS(PerBase[Month 7],PerBase[exp_item],$H998,PerBase[company_name],$B998)*R473)</f>
        <v>0</v>
      </c>
      <c r="S998" s="652">
        <f>IF($B998="",,SUMIFS(PerBase[Month 8],PerBase[exp_item],$H998,PerBase[company_name],$B998)*S473)</f>
        <v>0</v>
      </c>
      <c r="T998" s="652">
        <f>IF($B998="",,SUMIFS(PerBase[Month 9],PerBase[exp_item],$H998,PerBase[company_name],$B998)*T473)</f>
        <v>0</v>
      </c>
      <c r="U998" s="652">
        <f>IF($B998="",,SUMIFS(PerBase[Month 10],PerBase[exp_item],$H998,PerBase[company_name],$B998)*U473)</f>
        <v>0</v>
      </c>
      <c r="V998" s="652">
        <f>IF($B998="",,SUMIFS(PerBase[Month 11],PerBase[exp_item],$H998,PerBase[company_name],$B998)*V473)</f>
        <v>0</v>
      </c>
      <c r="W998" s="652">
        <f>IF($B998="",,SUMIFS(PerBase[Month 12],PerBase[exp_item],$H998,PerBase[company_name],$B998)*W473)</f>
        <v>0</v>
      </c>
      <c r="X998" s="652">
        <f>IF($B998="",,SUMIFS(PerBase[Month 13],PerBase[exp_item],$H998,PerBase[company_name],$B998)*X473)</f>
        <v>0</v>
      </c>
      <c r="Y998" s="652">
        <f>IF($B998="",,SUMIFS(PerBase[Month 14],PerBase[exp_item],$H998,PerBase[company_name],$B998)*Y473)</f>
        <v>0</v>
      </c>
      <c r="Z998" s="652">
        <f>IF($B998="",,SUMIFS(PerBase[Month 15],PerBase[exp_item],$H998,PerBase[company_name],$B998)*Z473)</f>
        <v>0</v>
      </c>
      <c r="AA998" s="652">
        <f>IF($B998="",,SUMIFS(PerBase[Month 16],PerBase[exp_item],$H998,PerBase[company_name],$B998)*AA473)</f>
        <v>0</v>
      </c>
      <c r="AB998" s="652">
        <f>IF($B998="",,SUMIFS(PerBase[Month 17],PerBase[exp_item],$H998,PerBase[company_name],$B998)*AB473)</f>
        <v>0</v>
      </c>
      <c r="AC998" s="652">
        <f>IF($B998="",,SUMIFS(PerBase[Month 18],PerBase[exp_item],$H998,PerBase[company_name],$B998)*AC473)</f>
        <v>0</v>
      </c>
      <c r="AD998" s="652">
        <f>IF($B998="",,SUMIFS(PerBase[Month 19],PerBase[exp_item],$H998,PerBase[company_name],$B998)*AD473)</f>
        <v>0</v>
      </c>
      <c r="AE998" s="652">
        <f>IF($B998="",,SUMIFS(PerBase[Month 20],PerBase[exp_item],$H998,PerBase[company_name],$B998)*AE473)</f>
        <v>0</v>
      </c>
      <c r="AF998" s="652">
        <f>IF($B998="",,SUMIFS(PerBase[Month 21],PerBase[exp_item],$H998,PerBase[company_name],$B998)*AF473)</f>
        <v>0</v>
      </c>
      <c r="AG998" s="652">
        <f>IF($B998="",,SUMIFS(PerBase[Month 22],PerBase[exp_item],$H998,PerBase[company_name],$B998)*AG473)</f>
        <v>0</v>
      </c>
      <c r="AH998" s="652">
        <f>IF($B998="",,SUMIFS(PerBase[Month 23],PerBase[exp_item],$H998,PerBase[company_name],$B998)*AH473)</f>
        <v>0</v>
      </c>
      <c r="AI998" s="652">
        <f>IF($B998="",,SUMIFS(PerBase[Month 24],PerBase[exp_item],$H998,PerBase[company_name],$B998)*AI473)</f>
        <v>0</v>
      </c>
      <c r="AJ998" s="652">
        <f>IF($B998="",,SUMIFS(PerBase[Month 25],PerBase[exp_item],$H998,PerBase[company_name],$B998)*AJ473)</f>
        <v>0</v>
      </c>
      <c r="AK998" s="652">
        <f>IF($B998="",,SUMIFS(PerBase[Month 26],PerBase[exp_item],$H998,PerBase[company_name],$B998)*AK473)</f>
        <v>0</v>
      </c>
      <c r="AL998" s="652">
        <f>IF($B998="",,SUMIFS(PerBase[Month 27],PerBase[exp_item],$H998,PerBase[company_name],$B998)*AL473)</f>
        <v>0</v>
      </c>
      <c r="AM998" s="652">
        <f>IF($B998="",,SUMIFS(PerBase[Month 28],PerBase[exp_item],$H998,PerBase[company_name],$B998)*AM473)</f>
        <v>0</v>
      </c>
      <c r="AN998" s="652">
        <f>IF($B998="",,SUMIFS(PerBase[Month 29],PerBase[exp_item],$H998,PerBase[company_name],$B998)*AN473)</f>
        <v>0</v>
      </c>
      <c r="AO998" s="652">
        <f>IF($B998="",,SUMIFS(PerBase[Month 30],PerBase[exp_item],$H998,PerBase[company_name],$B998)*AO473)</f>
        <v>0</v>
      </c>
      <c r="AP998" s="652">
        <f>IF($B998="",,SUMIFS(PerBase[Month 31],PerBase[exp_item],$H998,PerBase[company_name],$B998)*AP473)</f>
        <v>0</v>
      </c>
      <c r="AQ998" s="652">
        <f>IF($B998="",,SUMIFS(PerBase[Month 32],PerBase[exp_item],$H998,PerBase[company_name],$B998)*AQ473)</f>
        <v>0</v>
      </c>
      <c r="AR998" s="652">
        <f>IF($B998="",,SUMIFS(PerBase[Month 33],PerBase[exp_item],$H998,PerBase[company_name],$B998)*AR473)</f>
        <v>0</v>
      </c>
      <c r="AS998" s="652">
        <f>IF($B998="",,SUMIFS(PerBase[Month 34],PerBase[exp_item],$H998,PerBase[company_name],$B998)*AS473)</f>
        <v>0</v>
      </c>
      <c r="AT998" s="652">
        <f>IF($B998="",,SUMIFS(PerBase[Month 35],PerBase[exp_item],$H998,PerBase[company_name],$B998)*AT473)</f>
        <v>0</v>
      </c>
      <c r="AU998" s="652">
        <f>IF($B998="",,SUMIFS(PerBase[Month 36],PerBase[exp_item],$H998,PerBase[company_name],$B998)*AU473)</f>
        <v>0</v>
      </c>
    </row>
    <row r="999" spans="2:47" x14ac:dyDescent="0.35">
      <c r="B999" t="str">
        <f t="shared" si="623"/>
        <v/>
      </c>
      <c r="C999" t="str">
        <f t="shared" ref="C999:G999" si="638">IF(C894="","",C894)</f>
        <v/>
      </c>
      <c r="D999" t="str">
        <f t="shared" si="638"/>
        <v/>
      </c>
      <c r="E999" t="str">
        <f t="shared" si="638"/>
        <v/>
      </c>
      <c r="F999" t="str">
        <f t="shared" si="638"/>
        <v/>
      </c>
      <c r="G999" t="str">
        <f t="shared" si="638"/>
        <v/>
      </c>
      <c r="H999" t="str">
        <f t="shared" si="622"/>
        <v/>
      </c>
      <c r="J999" t="str">
        <f>IF($H999="","",IF(VLOOKUP(H999,ExpItems[],2,0),H999&amp;" - "&amp;INDEX(DivisionMapping[category_code],MATCH($D999&amp;$C999,DivisionMapping[dept_bu],0)),H999))</f>
        <v/>
      </c>
      <c r="K999" t="str">
        <f t="shared" si="625"/>
        <v/>
      </c>
      <c r="L999" s="652">
        <f>IF($B999="",,SUMIFS(PerBase[Month 1],PerBase[exp_item],$H999,PerBase[company_name],$B999)*L474)</f>
        <v>0</v>
      </c>
      <c r="M999" s="652">
        <f>IF($B999="",,SUMIFS(PerBase[Month 2],PerBase[exp_item],$H999,PerBase[company_name],$B999)*M474)</f>
        <v>0</v>
      </c>
      <c r="N999" s="652">
        <f>IF($B999="",,SUMIFS(PerBase[Month 3],PerBase[exp_item],$H999,PerBase[company_name],$B999)*N474)</f>
        <v>0</v>
      </c>
      <c r="O999" s="652">
        <f>IF($B999="",,SUMIFS(PerBase[Month 4],PerBase[exp_item],$H999,PerBase[company_name],$B999)*O474)</f>
        <v>0</v>
      </c>
      <c r="P999" s="652">
        <f>IF($B999="",,SUMIFS(PerBase[Month 5],PerBase[exp_item],$H999,PerBase[company_name],$B999)*P474)</f>
        <v>0</v>
      </c>
      <c r="Q999" s="652">
        <f>IF($B999="",,SUMIFS(PerBase[Month 6],PerBase[exp_item],$H999,PerBase[company_name],$B999)*Q474)</f>
        <v>0</v>
      </c>
      <c r="R999" s="652">
        <f>IF($B999="",,SUMIFS(PerBase[Month 7],PerBase[exp_item],$H999,PerBase[company_name],$B999)*R474)</f>
        <v>0</v>
      </c>
      <c r="S999" s="652">
        <f>IF($B999="",,SUMIFS(PerBase[Month 8],PerBase[exp_item],$H999,PerBase[company_name],$B999)*S474)</f>
        <v>0</v>
      </c>
      <c r="T999" s="652">
        <f>IF($B999="",,SUMIFS(PerBase[Month 9],PerBase[exp_item],$H999,PerBase[company_name],$B999)*T474)</f>
        <v>0</v>
      </c>
      <c r="U999" s="652">
        <f>IF($B999="",,SUMIFS(PerBase[Month 10],PerBase[exp_item],$H999,PerBase[company_name],$B999)*U474)</f>
        <v>0</v>
      </c>
      <c r="V999" s="652">
        <f>IF($B999="",,SUMIFS(PerBase[Month 11],PerBase[exp_item],$H999,PerBase[company_name],$B999)*V474)</f>
        <v>0</v>
      </c>
      <c r="W999" s="652">
        <f>IF($B999="",,SUMIFS(PerBase[Month 12],PerBase[exp_item],$H999,PerBase[company_name],$B999)*W474)</f>
        <v>0</v>
      </c>
      <c r="X999" s="652">
        <f>IF($B999="",,SUMIFS(PerBase[Month 13],PerBase[exp_item],$H999,PerBase[company_name],$B999)*X474)</f>
        <v>0</v>
      </c>
      <c r="Y999" s="652">
        <f>IF($B999="",,SUMIFS(PerBase[Month 14],PerBase[exp_item],$H999,PerBase[company_name],$B999)*Y474)</f>
        <v>0</v>
      </c>
      <c r="Z999" s="652">
        <f>IF($B999="",,SUMIFS(PerBase[Month 15],PerBase[exp_item],$H999,PerBase[company_name],$B999)*Z474)</f>
        <v>0</v>
      </c>
      <c r="AA999" s="652">
        <f>IF($B999="",,SUMIFS(PerBase[Month 16],PerBase[exp_item],$H999,PerBase[company_name],$B999)*AA474)</f>
        <v>0</v>
      </c>
      <c r="AB999" s="652">
        <f>IF($B999="",,SUMIFS(PerBase[Month 17],PerBase[exp_item],$H999,PerBase[company_name],$B999)*AB474)</f>
        <v>0</v>
      </c>
      <c r="AC999" s="652">
        <f>IF($B999="",,SUMIFS(PerBase[Month 18],PerBase[exp_item],$H999,PerBase[company_name],$B999)*AC474)</f>
        <v>0</v>
      </c>
      <c r="AD999" s="652">
        <f>IF($B999="",,SUMIFS(PerBase[Month 19],PerBase[exp_item],$H999,PerBase[company_name],$B999)*AD474)</f>
        <v>0</v>
      </c>
      <c r="AE999" s="652">
        <f>IF($B999="",,SUMIFS(PerBase[Month 20],PerBase[exp_item],$H999,PerBase[company_name],$B999)*AE474)</f>
        <v>0</v>
      </c>
      <c r="AF999" s="652">
        <f>IF($B999="",,SUMIFS(PerBase[Month 21],PerBase[exp_item],$H999,PerBase[company_name],$B999)*AF474)</f>
        <v>0</v>
      </c>
      <c r="AG999" s="652">
        <f>IF($B999="",,SUMIFS(PerBase[Month 22],PerBase[exp_item],$H999,PerBase[company_name],$B999)*AG474)</f>
        <v>0</v>
      </c>
      <c r="AH999" s="652">
        <f>IF($B999="",,SUMIFS(PerBase[Month 23],PerBase[exp_item],$H999,PerBase[company_name],$B999)*AH474)</f>
        <v>0</v>
      </c>
      <c r="AI999" s="652">
        <f>IF($B999="",,SUMIFS(PerBase[Month 24],PerBase[exp_item],$H999,PerBase[company_name],$B999)*AI474)</f>
        <v>0</v>
      </c>
      <c r="AJ999" s="652">
        <f>IF($B999="",,SUMIFS(PerBase[Month 25],PerBase[exp_item],$H999,PerBase[company_name],$B999)*AJ474)</f>
        <v>0</v>
      </c>
      <c r="AK999" s="652">
        <f>IF($B999="",,SUMIFS(PerBase[Month 26],PerBase[exp_item],$H999,PerBase[company_name],$B999)*AK474)</f>
        <v>0</v>
      </c>
      <c r="AL999" s="652">
        <f>IF($B999="",,SUMIFS(PerBase[Month 27],PerBase[exp_item],$H999,PerBase[company_name],$B999)*AL474)</f>
        <v>0</v>
      </c>
      <c r="AM999" s="652">
        <f>IF($B999="",,SUMIFS(PerBase[Month 28],PerBase[exp_item],$H999,PerBase[company_name],$B999)*AM474)</f>
        <v>0</v>
      </c>
      <c r="AN999" s="652">
        <f>IF($B999="",,SUMIFS(PerBase[Month 29],PerBase[exp_item],$H999,PerBase[company_name],$B999)*AN474)</f>
        <v>0</v>
      </c>
      <c r="AO999" s="652">
        <f>IF($B999="",,SUMIFS(PerBase[Month 30],PerBase[exp_item],$H999,PerBase[company_name],$B999)*AO474)</f>
        <v>0</v>
      </c>
      <c r="AP999" s="652">
        <f>IF($B999="",,SUMIFS(PerBase[Month 31],PerBase[exp_item],$H999,PerBase[company_name],$B999)*AP474)</f>
        <v>0</v>
      </c>
      <c r="AQ999" s="652">
        <f>IF($B999="",,SUMIFS(PerBase[Month 32],PerBase[exp_item],$H999,PerBase[company_name],$B999)*AQ474)</f>
        <v>0</v>
      </c>
      <c r="AR999" s="652">
        <f>IF($B999="",,SUMIFS(PerBase[Month 33],PerBase[exp_item],$H999,PerBase[company_name],$B999)*AR474)</f>
        <v>0</v>
      </c>
      <c r="AS999" s="652">
        <f>IF($B999="",,SUMIFS(PerBase[Month 34],PerBase[exp_item],$H999,PerBase[company_name],$B999)*AS474)</f>
        <v>0</v>
      </c>
      <c r="AT999" s="652">
        <f>IF($B999="",,SUMIFS(PerBase[Month 35],PerBase[exp_item],$H999,PerBase[company_name],$B999)*AT474)</f>
        <v>0</v>
      </c>
      <c r="AU999" s="652">
        <f>IF($B999="",,SUMIFS(PerBase[Month 36],PerBase[exp_item],$H999,PerBase[company_name],$B999)*AU474)</f>
        <v>0</v>
      </c>
    </row>
    <row r="1000" spans="2:47" x14ac:dyDescent="0.35">
      <c r="B1000" t="str">
        <f t="shared" si="623"/>
        <v/>
      </c>
      <c r="C1000" t="str">
        <f t="shared" ref="C1000:G1000" si="639">IF(C895="","",C895)</f>
        <v/>
      </c>
      <c r="D1000" t="str">
        <f t="shared" si="639"/>
        <v/>
      </c>
      <c r="E1000" t="str">
        <f t="shared" si="639"/>
        <v/>
      </c>
      <c r="F1000" t="str">
        <f t="shared" si="639"/>
        <v/>
      </c>
      <c r="G1000" t="str">
        <f t="shared" si="639"/>
        <v/>
      </c>
      <c r="H1000" t="str">
        <f t="shared" si="622"/>
        <v/>
      </c>
      <c r="J1000" t="str">
        <f>IF($H1000="","",IF(VLOOKUP(H1000,ExpItems[],2,0),H1000&amp;" - "&amp;INDEX(DivisionMapping[category_code],MATCH($D1000&amp;$C1000,DivisionMapping[dept_bu],0)),H1000))</f>
        <v/>
      </c>
      <c r="K1000" t="str">
        <f t="shared" si="625"/>
        <v/>
      </c>
      <c r="L1000" s="652">
        <f>IF($B1000="",,SUMIFS(PerBase[Month 1],PerBase[exp_item],$H1000,PerBase[company_name],$B1000)*L475)</f>
        <v>0</v>
      </c>
      <c r="M1000" s="652">
        <f>IF($B1000="",,SUMIFS(PerBase[Month 2],PerBase[exp_item],$H1000,PerBase[company_name],$B1000)*M475)</f>
        <v>0</v>
      </c>
      <c r="N1000" s="652">
        <f>IF($B1000="",,SUMIFS(PerBase[Month 3],PerBase[exp_item],$H1000,PerBase[company_name],$B1000)*N475)</f>
        <v>0</v>
      </c>
      <c r="O1000" s="652">
        <f>IF($B1000="",,SUMIFS(PerBase[Month 4],PerBase[exp_item],$H1000,PerBase[company_name],$B1000)*O475)</f>
        <v>0</v>
      </c>
      <c r="P1000" s="652">
        <f>IF($B1000="",,SUMIFS(PerBase[Month 5],PerBase[exp_item],$H1000,PerBase[company_name],$B1000)*P475)</f>
        <v>0</v>
      </c>
      <c r="Q1000" s="652">
        <f>IF($B1000="",,SUMIFS(PerBase[Month 6],PerBase[exp_item],$H1000,PerBase[company_name],$B1000)*Q475)</f>
        <v>0</v>
      </c>
      <c r="R1000" s="652">
        <f>IF($B1000="",,SUMIFS(PerBase[Month 7],PerBase[exp_item],$H1000,PerBase[company_name],$B1000)*R475)</f>
        <v>0</v>
      </c>
      <c r="S1000" s="652">
        <f>IF($B1000="",,SUMIFS(PerBase[Month 8],PerBase[exp_item],$H1000,PerBase[company_name],$B1000)*S475)</f>
        <v>0</v>
      </c>
      <c r="T1000" s="652">
        <f>IF($B1000="",,SUMIFS(PerBase[Month 9],PerBase[exp_item],$H1000,PerBase[company_name],$B1000)*T475)</f>
        <v>0</v>
      </c>
      <c r="U1000" s="652">
        <f>IF($B1000="",,SUMIFS(PerBase[Month 10],PerBase[exp_item],$H1000,PerBase[company_name],$B1000)*U475)</f>
        <v>0</v>
      </c>
      <c r="V1000" s="652">
        <f>IF($B1000="",,SUMIFS(PerBase[Month 11],PerBase[exp_item],$H1000,PerBase[company_name],$B1000)*V475)</f>
        <v>0</v>
      </c>
      <c r="W1000" s="652">
        <f>IF($B1000="",,SUMIFS(PerBase[Month 12],PerBase[exp_item],$H1000,PerBase[company_name],$B1000)*W475)</f>
        <v>0</v>
      </c>
      <c r="X1000" s="652">
        <f>IF($B1000="",,SUMIFS(PerBase[Month 13],PerBase[exp_item],$H1000,PerBase[company_name],$B1000)*X475)</f>
        <v>0</v>
      </c>
      <c r="Y1000" s="652">
        <f>IF($B1000="",,SUMIFS(PerBase[Month 14],PerBase[exp_item],$H1000,PerBase[company_name],$B1000)*Y475)</f>
        <v>0</v>
      </c>
      <c r="Z1000" s="652">
        <f>IF($B1000="",,SUMIFS(PerBase[Month 15],PerBase[exp_item],$H1000,PerBase[company_name],$B1000)*Z475)</f>
        <v>0</v>
      </c>
      <c r="AA1000" s="652">
        <f>IF($B1000="",,SUMIFS(PerBase[Month 16],PerBase[exp_item],$H1000,PerBase[company_name],$B1000)*AA475)</f>
        <v>0</v>
      </c>
      <c r="AB1000" s="652">
        <f>IF($B1000="",,SUMIFS(PerBase[Month 17],PerBase[exp_item],$H1000,PerBase[company_name],$B1000)*AB475)</f>
        <v>0</v>
      </c>
      <c r="AC1000" s="652">
        <f>IF($B1000="",,SUMIFS(PerBase[Month 18],PerBase[exp_item],$H1000,PerBase[company_name],$B1000)*AC475)</f>
        <v>0</v>
      </c>
      <c r="AD1000" s="652">
        <f>IF($B1000="",,SUMIFS(PerBase[Month 19],PerBase[exp_item],$H1000,PerBase[company_name],$B1000)*AD475)</f>
        <v>0</v>
      </c>
      <c r="AE1000" s="652">
        <f>IF($B1000="",,SUMIFS(PerBase[Month 20],PerBase[exp_item],$H1000,PerBase[company_name],$B1000)*AE475)</f>
        <v>0</v>
      </c>
      <c r="AF1000" s="652">
        <f>IF($B1000="",,SUMIFS(PerBase[Month 21],PerBase[exp_item],$H1000,PerBase[company_name],$B1000)*AF475)</f>
        <v>0</v>
      </c>
      <c r="AG1000" s="652">
        <f>IF($B1000="",,SUMIFS(PerBase[Month 22],PerBase[exp_item],$H1000,PerBase[company_name],$B1000)*AG475)</f>
        <v>0</v>
      </c>
      <c r="AH1000" s="652">
        <f>IF($B1000="",,SUMIFS(PerBase[Month 23],PerBase[exp_item],$H1000,PerBase[company_name],$B1000)*AH475)</f>
        <v>0</v>
      </c>
      <c r="AI1000" s="652">
        <f>IF($B1000="",,SUMIFS(PerBase[Month 24],PerBase[exp_item],$H1000,PerBase[company_name],$B1000)*AI475)</f>
        <v>0</v>
      </c>
      <c r="AJ1000" s="652">
        <f>IF($B1000="",,SUMIFS(PerBase[Month 25],PerBase[exp_item],$H1000,PerBase[company_name],$B1000)*AJ475)</f>
        <v>0</v>
      </c>
      <c r="AK1000" s="652">
        <f>IF($B1000="",,SUMIFS(PerBase[Month 26],PerBase[exp_item],$H1000,PerBase[company_name],$B1000)*AK475)</f>
        <v>0</v>
      </c>
      <c r="AL1000" s="652">
        <f>IF($B1000="",,SUMIFS(PerBase[Month 27],PerBase[exp_item],$H1000,PerBase[company_name],$B1000)*AL475)</f>
        <v>0</v>
      </c>
      <c r="AM1000" s="652">
        <f>IF($B1000="",,SUMIFS(PerBase[Month 28],PerBase[exp_item],$H1000,PerBase[company_name],$B1000)*AM475)</f>
        <v>0</v>
      </c>
      <c r="AN1000" s="652">
        <f>IF($B1000="",,SUMIFS(PerBase[Month 29],PerBase[exp_item],$H1000,PerBase[company_name],$B1000)*AN475)</f>
        <v>0</v>
      </c>
      <c r="AO1000" s="652">
        <f>IF($B1000="",,SUMIFS(PerBase[Month 30],PerBase[exp_item],$H1000,PerBase[company_name],$B1000)*AO475)</f>
        <v>0</v>
      </c>
      <c r="AP1000" s="652">
        <f>IF($B1000="",,SUMIFS(PerBase[Month 31],PerBase[exp_item],$H1000,PerBase[company_name],$B1000)*AP475)</f>
        <v>0</v>
      </c>
      <c r="AQ1000" s="652">
        <f>IF($B1000="",,SUMIFS(PerBase[Month 32],PerBase[exp_item],$H1000,PerBase[company_name],$B1000)*AQ475)</f>
        <v>0</v>
      </c>
      <c r="AR1000" s="652">
        <f>IF($B1000="",,SUMIFS(PerBase[Month 33],PerBase[exp_item],$H1000,PerBase[company_name],$B1000)*AR475)</f>
        <v>0</v>
      </c>
      <c r="AS1000" s="652">
        <f>IF($B1000="",,SUMIFS(PerBase[Month 34],PerBase[exp_item],$H1000,PerBase[company_name],$B1000)*AS475)</f>
        <v>0</v>
      </c>
      <c r="AT1000" s="652">
        <f>IF($B1000="",,SUMIFS(PerBase[Month 35],PerBase[exp_item],$H1000,PerBase[company_name],$B1000)*AT475)</f>
        <v>0</v>
      </c>
      <c r="AU1000" s="652">
        <f>IF($B1000="",,SUMIFS(PerBase[Month 36],PerBase[exp_item],$H1000,PerBase[company_name],$B1000)*AU475)</f>
        <v>0</v>
      </c>
    </row>
    <row r="1001" spans="2:47" x14ac:dyDescent="0.35">
      <c r="B1001" t="str">
        <f t="shared" si="623"/>
        <v/>
      </c>
      <c r="C1001" t="str">
        <f t="shared" ref="C1001:G1001" si="640">IF(C896="","",C896)</f>
        <v/>
      </c>
      <c r="D1001" t="str">
        <f t="shared" si="640"/>
        <v/>
      </c>
      <c r="E1001" t="str">
        <f t="shared" si="640"/>
        <v/>
      </c>
      <c r="F1001" t="str">
        <f t="shared" si="640"/>
        <v/>
      </c>
      <c r="G1001" t="str">
        <f t="shared" si="640"/>
        <v/>
      </c>
      <c r="H1001" t="str">
        <f t="shared" si="622"/>
        <v/>
      </c>
      <c r="J1001" t="str">
        <f>IF($H1001="","",IF(VLOOKUP(H1001,ExpItems[],2,0),H1001&amp;" - "&amp;INDEX(DivisionMapping[category_code],MATCH($D1001&amp;$C1001,DivisionMapping[dept_bu],0)),H1001))</f>
        <v/>
      </c>
      <c r="K1001" t="str">
        <f t="shared" si="625"/>
        <v/>
      </c>
      <c r="L1001" s="652">
        <f>IF($B1001="",,SUMIFS(PerBase[Month 1],PerBase[exp_item],$H1001,PerBase[company_name],$B1001)*L476)</f>
        <v>0</v>
      </c>
      <c r="M1001" s="652">
        <f>IF($B1001="",,SUMIFS(PerBase[Month 2],PerBase[exp_item],$H1001,PerBase[company_name],$B1001)*M476)</f>
        <v>0</v>
      </c>
      <c r="N1001" s="652">
        <f>IF($B1001="",,SUMIFS(PerBase[Month 3],PerBase[exp_item],$H1001,PerBase[company_name],$B1001)*N476)</f>
        <v>0</v>
      </c>
      <c r="O1001" s="652">
        <f>IF($B1001="",,SUMIFS(PerBase[Month 4],PerBase[exp_item],$H1001,PerBase[company_name],$B1001)*O476)</f>
        <v>0</v>
      </c>
      <c r="P1001" s="652">
        <f>IF($B1001="",,SUMIFS(PerBase[Month 5],PerBase[exp_item],$H1001,PerBase[company_name],$B1001)*P476)</f>
        <v>0</v>
      </c>
      <c r="Q1001" s="652">
        <f>IF($B1001="",,SUMIFS(PerBase[Month 6],PerBase[exp_item],$H1001,PerBase[company_name],$B1001)*Q476)</f>
        <v>0</v>
      </c>
      <c r="R1001" s="652">
        <f>IF($B1001="",,SUMIFS(PerBase[Month 7],PerBase[exp_item],$H1001,PerBase[company_name],$B1001)*R476)</f>
        <v>0</v>
      </c>
      <c r="S1001" s="652">
        <f>IF($B1001="",,SUMIFS(PerBase[Month 8],PerBase[exp_item],$H1001,PerBase[company_name],$B1001)*S476)</f>
        <v>0</v>
      </c>
      <c r="T1001" s="652">
        <f>IF($B1001="",,SUMIFS(PerBase[Month 9],PerBase[exp_item],$H1001,PerBase[company_name],$B1001)*T476)</f>
        <v>0</v>
      </c>
      <c r="U1001" s="652">
        <f>IF($B1001="",,SUMIFS(PerBase[Month 10],PerBase[exp_item],$H1001,PerBase[company_name],$B1001)*U476)</f>
        <v>0</v>
      </c>
      <c r="V1001" s="652">
        <f>IF($B1001="",,SUMIFS(PerBase[Month 11],PerBase[exp_item],$H1001,PerBase[company_name],$B1001)*V476)</f>
        <v>0</v>
      </c>
      <c r="W1001" s="652">
        <f>IF($B1001="",,SUMIFS(PerBase[Month 12],PerBase[exp_item],$H1001,PerBase[company_name],$B1001)*W476)</f>
        <v>0</v>
      </c>
      <c r="X1001" s="652">
        <f>IF($B1001="",,SUMIFS(PerBase[Month 13],PerBase[exp_item],$H1001,PerBase[company_name],$B1001)*X476)</f>
        <v>0</v>
      </c>
      <c r="Y1001" s="652">
        <f>IF($B1001="",,SUMIFS(PerBase[Month 14],PerBase[exp_item],$H1001,PerBase[company_name],$B1001)*Y476)</f>
        <v>0</v>
      </c>
      <c r="Z1001" s="652">
        <f>IF($B1001="",,SUMIFS(PerBase[Month 15],PerBase[exp_item],$H1001,PerBase[company_name],$B1001)*Z476)</f>
        <v>0</v>
      </c>
      <c r="AA1001" s="652">
        <f>IF($B1001="",,SUMIFS(PerBase[Month 16],PerBase[exp_item],$H1001,PerBase[company_name],$B1001)*AA476)</f>
        <v>0</v>
      </c>
      <c r="AB1001" s="652">
        <f>IF($B1001="",,SUMIFS(PerBase[Month 17],PerBase[exp_item],$H1001,PerBase[company_name],$B1001)*AB476)</f>
        <v>0</v>
      </c>
      <c r="AC1001" s="652">
        <f>IF($B1001="",,SUMIFS(PerBase[Month 18],PerBase[exp_item],$H1001,PerBase[company_name],$B1001)*AC476)</f>
        <v>0</v>
      </c>
      <c r="AD1001" s="652">
        <f>IF($B1001="",,SUMIFS(PerBase[Month 19],PerBase[exp_item],$H1001,PerBase[company_name],$B1001)*AD476)</f>
        <v>0</v>
      </c>
      <c r="AE1001" s="652">
        <f>IF($B1001="",,SUMIFS(PerBase[Month 20],PerBase[exp_item],$H1001,PerBase[company_name],$B1001)*AE476)</f>
        <v>0</v>
      </c>
      <c r="AF1001" s="652">
        <f>IF($B1001="",,SUMIFS(PerBase[Month 21],PerBase[exp_item],$H1001,PerBase[company_name],$B1001)*AF476)</f>
        <v>0</v>
      </c>
      <c r="AG1001" s="652">
        <f>IF($B1001="",,SUMIFS(PerBase[Month 22],PerBase[exp_item],$H1001,PerBase[company_name],$B1001)*AG476)</f>
        <v>0</v>
      </c>
      <c r="AH1001" s="652">
        <f>IF($B1001="",,SUMIFS(PerBase[Month 23],PerBase[exp_item],$H1001,PerBase[company_name],$B1001)*AH476)</f>
        <v>0</v>
      </c>
      <c r="AI1001" s="652">
        <f>IF($B1001="",,SUMIFS(PerBase[Month 24],PerBase[exp_item],$H1001,PerBase[company_name],$B1001)*AI476)</f>
        <v>0</v>
      </c>
      <c r="AJ1001" s="652">
        <f>IF($B1001="",,SUMIFS(PerBase[Month 25],PerBase[exp_item],$H1001,PerBase[company_name],$B1001)*AJ476)</f>
        <v>0</v>
      </c>
      <c r="AK1001" s="652">
        <f>IF($B1001="",,SUMIFS(PerBase[Month 26],PerBase[exp_item],$H1001,PerBase[company_name],$B1001)*AK476)</f>
        <v>0</v>
      </c>
      <c r="AL1001" s="652">
        <f>IF($B1001="",,SUMIFS(PerBase[Month 27],PerBase[exp_item],$H1001,PerBase[company_name],$B1001)*AL476)</f>
        <v>0</v>
      </c>
      <c r="AM1001" s="652">
        <f>IF($B1001="",,SUMIFS(PerBase[Month 28],PerBase[exp_item],$H1001,PerBase[company_name],$B1001)*AM476)</f>
        <v>0</v>
      </c>
      <c r="AN1001" s="652">
        <f>IF($B1001="",,SUMIFS(PerBase[Month 29],PerBase[exp_item],$H1001,PerBase[company_name],$B1001)*AN476)</f>
        <v>0</v>
      </c>
      <c r="AO1001" s="652">
        <f>IF($B1001="",,SUMIFS(PerBase[Month 30],PerBase[exp_item],$H1001,PerBase[company_name],$B1001)*AO476)</f>
        <v>0</v>
      </c>
      <c r="AP1001" s="652">
        <f>IF($B1001="",,SUMIFS(PerBase[Month 31],PerBase[exp_item],$H1001,PerBase[company_name],$B1001)*AP476)</f>
        <v>0</v>
      </c>
      <c r="AQ1001" s="652">
        <f>IF($B1001="",,SUMIFS(PerBase[Month 32],PerBase[exp_item],$H1001,PerBase[company_name],$B1001)*AQ476)</f>
        <v>0</v>
      </c>
      <c r="AR1001" s="652">
        <f>IF($B1001="",,SUMIFS(PerBase[Month 33],PerBase[exp_item],$H1001,PerBase[company_name],$B1001)*AR476)</f>
        <v>0</v>
      </c>
      <c r="AS1001" s="652">
        <f>IF($B1001="",,SUMIFS(PerBase[Month 34],PerBase[exp_item],$H1001,PerBase[company_name],$B1001)*AS476)</f>
        <v>0</v>
      </c>
      <c r="AT1001" s="652">
        <f>IF($B1001="",,SUMIFS(PerBase[Month 35],PerBase[exp_item],$H1001,PerBase[company_name],$B1001)*AT476)</f>
        <v>0</v>
      </c>
      <c r="AU1001" s="652">
        <f>IF($B1001="",,SUMIFS(PerBase[Month 36],PerBase[exp_item],$H1001,PerBase[company_name],$B1001)*AU476)</f>
        <v>0</v>
      </c>
    </row>
    <row r="1002" spans="2:47" x14ac:dyDescent="0.35">
      <c r="B1002" t="str">
        <f t="shared" si="623"/>
        <v/>
      </c>
      <c r="C1002" t="str">
        <f t="shared" ref="C1002:G1002" si="641">IF(C897="","",C897)</f>
        <v/>
      </c>
      <c r="D1002" t="str">
        <f t="shared" si="641"/>
        <v/>
      </c>
      <c r="E1002" t="str">
        <f t="shared" si="641"/>
        <v/>
      </c>
      <c r="F1002" t="str">
        <f t="shared" si="641"/>
        <v/>
      </c>
      <c r="G1002" t="str">
        <f t="shared" si="641"/>
        <v/>
      </c>
      <c r="H1002" t="str">
        <f t="shared" si="622"/>
        <v/>
      </c>
      <c r="J1002" t="str">
        <f>IF($H1002="","",IF(VLOOKUP(H1002,ExpItems[],2,0),H1002&amp;" - "&amp;INDEX(DivisionMapping[category_code],MATCH($D1002&amp;$C1002,DivisionMapping[dept_bu],0)),H1002))</f>
        <v/>
      </c>
      <c r="K1002" t="str">
        <f t="shared" si="625"/>
        <v/>
      </c>
      <c r="L1002" s="652">
        <f>IF($B1002="",,SUMIFS(PerBase[Month 1],PerBase[exp_item],$H1002,PerBase[company_name],$B1002)*L477)</f>
        <v>0</v>
      </c>
      <c r="M1002" s="652">
        <f>IF($B1002="",,SUMIFS(PerBase[Month 2],PerBase[exp_item],$H1002,PerBase[company_name],$B1002)*M477)</f>
        <v>0</v>
      </c>
      <c r="N1002" s="652">
        <f>IF($B1002="",,SUMIFS(PerBase[Month 3],PerBase[exp_item],$H1002,PerBase[company_name],$B1002)*N477)</f>
        <v>0</v>
      </c>
      <c r="O1002" s="652">
        <f>IF($B1002="",,SUMIFS(PerBase[Month 4],PerBase[exp_item],$H1002,PerBase[company_name],$B1002)*O477)</f>
        <v>0</v>
      </c>
      <c r="P1002" s="652">
        <f>IF($B1002="",,SUMIFS(PerBase[Month 5],PerBase[exp_item],$H1002,PerBase[company_name],$B1002)*P477)</f>
        <v>0</v>
      </c>
      <c r="Q1002" s="652">
        <f>IF($B1002="",,SUMIFS(PerBase[Month 6],PerBase[exp_item],$H1002,PerBase[company_name],$B1002)*Q477)</f>
        <v>0</v>
      </c>
      <c r="R1002" s="652">
        <f>IF($B1002="",,SUMIFS(PerBase[Month 7],PerBase[exp_item],$H1002,PerBase[company_name],$B1002)*R477)</f>
        <v>0</v>
      </c>
      <c r="S1002" s="652">
        <f>IF($B1002="",,SUMIFS(PerBase[Month 8],PerBase[exp_item],$H1002,PerBase[company_name],$B1002)*S477)</f>
        <v>0</v>
      </c>
      <c r="T1002" s="652">
        <f>IF($B1002="",,SUMIFS(PerBase[Month 9],PerBase[exp_item],$H1002,PerBase[company_name],$B1002)*T477)</f>
        <v>0</v>
      </c>
      <c r="U1002" s="652">
        <f>IF($B1002="",,SUMIFS(PerBase[Month 10],PerBase[exp_item],$H1002,PerBase[company_name],$B1002)*U477)</f>
        <v>0</v>
      </c>
      <c r="V1002" s="652">
        <f>IF($B1002="",,SUMIFS(PerBase[Month 11],PerBase[exp_item],$H1002,PerBase[company_name],$B1002)*V477)</f>
        <v>0</v>
      </c>
      <c r="W1002" s="652">
        <f>IF($B1002="",,SUMIFS(PerBase[Month 12],PerBase[exp_item],$H1002,PerBase[company_name],$B1002)*W477)</f>
        <v>0</v>
      </c>
      <c r="X1002" s="652">
        <f>IF($B1002="",,SUMIFS(PerBase[Month 13],PerBase[exp_item],$H1002,PerBase[company_name],$B1002)*X477)</f>
        <v>0</v>
      </c>
      <c r="Y1002" s="652">
        <f>IF($B1002="",,SUMIFS(PerBase[Month 14],PerBase[exp_item],$H1002,PerBase[company_name],$B1002)*Y477)</f>
        <v>0</v>
      </c>
      <c r="Z1002" s="652">
        <f>IF($B1002="",,SUMIFS(PerBase[Month 15],PerBase[exp_item],$H1002,PerBase[company_name],$B1002)*Z477)</f>
        <v>0</v>
      </c>
      <c r="AA1002" s="652">
        <f>IF($B1002="",,SUMIFS(PerBase[Month 16],PerBase[exp_item],$H1002,PerBase[company_name],$B1002)*AA477)</f>
        <v>0</v>
      </c>
      <c r="AB1002" s="652">
        <f>IF($B1002="",,SUMIFS(PerBase[Month 17],PerBase[exp_item],$H1002,PerBase[company_name],$B1002)*AB477)</f>
        <v>0</v>
      </c>
      <c r="AC1002" s="652">
        <f>IF($B1002="",,SUMIFS(PerBase[Month 18],PerBase[exp_item],$H1002,PerBase[company_name],$B1002)*AC477)</f>
        <v>0</v>
      </c>
      <c r="AD1002" s="652">
        <f>IF($B1002="",,SUMIFS(PerBase[Month 19],PerBase[exp_item],$H1002,PerBase[company_name],$B1002)*AD477)</f>
        <v>0</v>
      </c>
      <c r="AE1002" s="652">
        <f>IF($B1002="",,SUMIFS(PerBase[Month 20],PerBase[exp_item],$H1002,PerBase[company_name],$B1002)*AE477)</f>
        <v>0</v>
      </c>
      <c r="AF1002" s="652">
        <f>IF($B1002="",,SUMIFS(PerBase[Month 21],PerBase[exp_item],$H1002,PerBase[company_name],$B1002)*AF477)</f>
        <v>0</v>
      </c>
      <c r="AG1002" s="652">
        <f>IF($B1002="",,SUMIFS(PerBase[Month 22],PerBase[exp_item],$H1002,PerBase[company_name],$B1002)*AG477)</f>
        <v>0</v>
      </c>
      <c r="AH1002" s="652">
        <f>IF($B1002="",,SUMIFS(PerBase[Month 23],PerBase[exp_item],$H1002,PerBase[company_name],$B1002)*AH477)</f>
        <v>0</v>
      </c>
      <c r="AI1002" s="652">
        <f>IF($B1002="",,SUMIFS(PerBase[Month 24],PerBase[exp_item],$H1002,PerBase[company_name],$B1002)*AI477)</f>
        <v>0</v>
      </c>
      <c r="AJ1002" s="652">
        <f>IF($B1002="",,SUMIFS(PerBase[Month 25],PerBase[exp_item],$H1002,PerBase[company_name],$B1002)*AJ477)</f>
        <v>0</v>
      </c>
      <c r="AK1002" s="652">
        <f>IF($B1002="",,SUMIFS(PerBase[Month 26],PerBase[exp_item],$H1002,PerBase[company_name],$B1002)*AK477)</f>
        <v>0</v>
      </c>
      <c r="AL1002" s="652">
        <f>IF($B1002="",,SUMIFS(PerBase[Month 27],PerBase[exp_item],$H1002,PerBase[company_name],$B1002)*AL477)</f>
        <v>0</v>
      </c>
      <c r="AM1002" s="652">
        <f>IF($B1002="",,SUMIFS(PerBase[Month 28],PerBase[exp_item],$H1002,PerBase[company_name],$B1002)*AM477)</f>
        <v>0</v>
      </c>
      <c r="AN1002" s="652">
        <f>IF($B1002="",,SUMIFS(PerBase[Month 29],PerBase[exp_item],$H1002,PerBase[company_name],$B1002)*AN477)</f>
        <v>0</v>
      </c>
      <c r="AO1002" s="652">
        <f>IF($B1002="",,SUMIFS(PerBase[Month 30],PerBase[exp_item],$H1002,PerBase[company_name],$B1002)*AO477)</f>
        <v>0</v>
      </c>
      <c r="AP1002" s="652">
        <f>IF($B1002="",,SUMIFS(PerBase[Month 31],PerBase[exp_item],$H1002,PerBase[company_name],$B1002)*AP477)</f>
        <v>0</v>
      </c>
      <c r="AQ1002" s="652">
        <f>IF($B1002="",,SUMIFS(PerBase[Month 32],PerBase[exp_item],$H1002,PerBase[company_name],$B1002)*AQ477)</f>
        <v>0</v>
      </c>
      <c r="AR1002" s="652">
        <f>IF($B1002="",,SUMIFS(PerBase[Month 33],PerBase[exp_item],$H1002,PerBase[company_name],$B1002)*AR477)</f>
        <v>0</v>
      </c>
      <c r="AS1002" s="652">
        <f>IF($B1002="",,SUMIFS(PerBase[Month 34],PerBase[exp_item],$H1002,PerBase[company_name],$B1002)*AS477)</f>
        <v>0</v>
      </c>
      <c r="AT1002" s="652">
        <f>IF($B1002="",,SUMIFS(PerBase[Month 35],PerBase[exp_item],$H1002,PerBase[company_name],$B1002)*AT477)</f>
        <v>0</v>
      </c>
      <c r="AU1002" s="652">
        <f>IF($B1002="",,SUMIFS(PerBase[Month 36],PerBase[exp_item],$H1002,PerBase[company_name],$B1002)*AU477)</f>
        <v>0</v>
      </c>
    </row>
    <row r="1003" spans="2:47" x14ac:dyDescent="0.35">
      <c r="B1003" t="str">
        <f t="shared" si="623"/>
        <v/>
      </c>
      <c r="C1003" t="str">
        <f t="shared" ref="C1003:G1003" si="642">IF(C898="","",C898)</f>
        <v/>
      </c>
      <c r="D1003" t="str">
        <f t="shared" si="642"/>
        <v/>
      </c>
      <c r="E1003" t="str">
        <f t="shared" si="642"/>
        <v/>
      </c>
      <c r="F1003" t="str">
        <f t="shared" si="642"/>
        <v/>
      </c>
      <c r="G1003" t="str">
        <f t="shared" si="642"/>
        <v/>
      </c>
      <c r="H1003" t="str">
        <f t="shared" si="622"/>
        <v/>
      </c>
      <c r="J1003" t="str">
        <f>IF($H1003="","",IF(VLOOKUP(H1003,ExpItems[],2,0),H1003&amp;" - "&amp;INDEX(DivisionMapping[category_code],MATCH($D1003&amp;$C1003,DivisionMapping[dept_bu],0)),H1003))</f>
        <v/>
      </c>
      <c r="K1003" t="str">
        <f t="shared" si="625"/>
        <v/>
      </c>
      <c r="L1003" s="652">
        <f>IF($B1003="",,SUMIFS(PerBase[Month 1],PerBase[exp_item],$H1003,PerBase[company_name],$B1003)*L478)</f>
        <v>0</v>
      </c>
      <c r="M1003" s="652">
        <f>IF($B1003="",,SUMIFS(PerBase[Month 2],PerBase[exp_item],$H1003,PerBase[company_name],$B1003)*M478)</f>
        <v>0</v>
      </c>
      <c r="N1003" s="652">
        <f>IF($B1003="",,SUMIFS(PerBase[Month 3],PerBase[exp_item],$H1003,PerBase[company_name],$B1003)*N478)</f>
        <v>0</v>
      </c>
      <c r="O1003" s="652">
        <f>IF($B1003="",,SUMIFS(PerBase[Month 4],PerBase[exp_item],$H1003,PerBase[company_name],$B1003)*O478)</f>
        <v>0</v>
      </c>
      <c r="P1003" s="652">
        <f>IF($B1003="",,SUMIFS(PerBase[Month 5],PerBase[exp_item],$H1003,PerBase[company_name],$B1003)*P478)</f>
        <v>0</v>
      </c>
      <c r="Q1003" s="652">
        <f>IF($B1003="",,SUMIFS(PerBase[Month 6],PerBase[exp_item],$H1003,PerBase[company_name],$B1003)*Q478)</f>
        <v>0</v>
      </c>
      <c r="R1003" s="652">
        <f>IF($B1003="",,SUMIFS(PerBase[Month 7],PerBase[exp_item],$H1003,PerBase[company_name],$B1003)*R478)</f>
        <v>0</v>
      </c>
      <c r="S1003" s="652">
        <f>IF($B1003="",,SUMIFS(PerBase[Month 8],PerBase[exp_item],$H1003,PerBase[company_name],$B1003)*S478)</f>
        <v>0</v>
      </c>
      <c r="T1003" s="652">
        <f>IF($B1003="",,SUMIFS(PerBase[Month 9],PerBase[exp_item],$H1003,PerBase[company_name],$B1003)*T478)</f>
        <v>0</v>
      </c>
      <c r="U1003" s="652">
        <f>IF($B1003="",,SUMIFS(PerBase[Month 10],PerBase[exp_item],$H1003,PerBase[company_name],$B1003)*U478)</f>
        <v>0</v>
      </c>
      <c r="V1003" s="652">
        <f>IF($B1003="",,SUMIFS(PerBase[Month 11],PerBase[exp_item],$H1003,PerBase[company_name],$B1003)*V478)</f>
        <v>0</v>
      </c>
      <c r="W1003" s="652">
        <f>IF($B1003="",,SUMIFS(PerBase[Month 12],PerBase[exp_item],$H1003,PerBase[company_name],$B1003)*W478)</f>
        <v>0</v>
      </c>
      <c r="X1003" s="652">
        <f>IF($B1003="",,SUMIFS(PerBase[Month 13],PerBase[exp_item],$H1003,PerBase[company_name],$B1003)*X478)</f>
        <v>0</v>
      </c>
      <c r="Y1003" s="652">
        <f>IF($B1003="",,SUMIFS(PerBase[Month 14],PerBase[exp_item],$H1003,PerBase[company_name],$B1003)*Y478)</f>
        <v>0</v>
      </c>
      <c r="Z1003" s="652">
        <f>IF($B1003="",,SUMIFS(PerBase[Month 15],PerBase[exp_item],$H1003,PerBase[company_name],$B1003)*Z478)</f>
        <v>0</v>
      </c>
      <c r="AA1003" s="652">
        <f>IF($B1003="",,SUMIFS(PerBase[Month 16],PerBase[exp_item],$H1003,PerBase[company_name],$B1003)*AA478)</f>
        <v>0</v>
      </c>
      <c r="AB1003" s="652">
        <f>IF($B1003="",,SUMIFS(PerBase[Month 17],PerBase[exp_item],$H1003,PerBase[company_name],$B1003)*AB478)</f>
        <v>0</v>
      </c>
      <c r="AC1003" s="652">
        <f>IF($B1003="",,SUMIFS(PerBase[Month 18],PerBase[exp_item],$H1003,PerBase[company_name],$B1003)*AC478)</f>
        <v>0</v>
      </c>
      <c r="AD1003" s="652">
        <f>IF($B1003="",,SUMIFS(PerBase[Month 19],PerBase[exp_item],$H1003,PerBase[company_name],$B1003)*AD478)</f>
        <v>0</v>
      </c>
      <c r="AE1003" s="652">
        <f>IF($B1003="",,SUMIFS(PerBase[Month 20],PerBase[exp_item],$H1003,PerBase[company_name],$B1003)*AE478)</f>
        <v>0</v>
      </c>
      <c r="AF1003" s="652">
        <f>IF($B1003="",,SUMIFS(PerBase[Month 21],PerBase[exp_item],$H1003,PerBase[company_name],$B1003)*AF478)</f>
        <v>0</v>
      </c>
      <c r="AG1003" s="652">
        <f>IF($B1003="",,SUMIFS(PerBase[Month 22],PerBase[exp_item],$H1003,PerBase[company_name],$B1003)*AG478)</f>
        <v>0</v>
      </c>
      <c r="AH1003" s="652">
        <f>IF($B1003="",,SUMIFS(PerBase[Month 23],PerBase[exp_item],$H1003,PerBase[company_name],$B1003)*AH478)</f>
        <v>0</v>
      </c>
      <c r="AI1003" s="652">
        <f>IF($B1003="",,SUMIFS(PerBase[Month 24],PerBase[exp_item],$H1003,PerBase[company_name],$B1003)*AI478)</f>
        <v>0</v>
      </c>
      <c r="AJ1003" s="652">
        <f>IF($B1003="",,SUMIFS(PerBase[Month 25],PerBase[exp_item],$H1003,PerBase[company_name],$B1003)*AJ478)</f>
        <v>0</v>
      </c>
      <c r="AK1003" s="652">
        <f>IF($B1003="",,SUMIFS(PerBase[Month 26],PerBase[exp_item],$H1003,PerBase[company_name],$B1003)*AK478)</f>
        <v>0</v>
      </c>
      <c r="AL1003" s="652">
        <f>IF($B1003="",,SUMIFS(PerBase[Month 27],PerBase[exp_item],$H1003,PerBase[company_name],$B1003)*AL478)</f>
        <v>0</v>
      </c>
      <c r="AM1003" s="652">
        <f>IF($B1003="",,SUMIFS(PerBase[Month 28],PerBase[exp_item],$H1003,PerBase[company_name],$B1003)*AM478)</f>
        <v>0</v>
      </c>
      <c r="AN1003" s="652">
        <f>IF($B1003="",,SUMIFS(PerBase[Month 29],PerBase[exp_item],$H1003,PerBase[company_name],$B1003)*AN478)</f>
        <v>0</v>
      </c>
      <c r="AO1003" s="652">
        <f>IF($B1003="",,SUMIFS(PerBase[Month 30],PerBase[exp_item],$H1003,PerBase[company_name],$B1003)*AO478)</f>
        <v>0</v>
      </c>
      <c r="AP1003" s="652">
        <f>IF($B1003="",,SUMIFS(PerBase[Month 31],PerBase[exp_item],$H1003,PerBase[company_name],$B1003)*AP478)</f>
        <v>0</v>
      </c>
      <c r="AQ1003" s="652">
        <f>IF($B1003="",,SUMIFS(PerBase[Month 32],PerBase[exp_item],$H1003,PerBase[company_name],$B1003)*AQ478)</f>
        <v>0</v>
      </c>
      <c r="AR1003" s="652">
        <f>IF($B1003="",,SUMIFS(PerBase[Month 33],PerBase[exp_item],$H1003,PerBase[company_name],$B1003)*AR478)</f>
        <v>0</v>
      </c>
      <c r="AS1003" s="652">
        <f>IF($B1003="",,SUMIFS(PerBase[Month 34],PerBase[exp_item],$H1003,PerBase[company_name],$B1003)*AS478)</f>
        <v>0</v>
      </c>
      <c r="AT1003" s="652">
        <f>IF($B1003="",,SUMIFS(PerBase[Month 35],PerBase[exp_item],$H1003,PerBase[company_name],$B1003)*AT478)</f>
        <v>0</v>
      </c>
      <c r="AU1003" s="652">
        <f>IF($B1003="",,SUMIFS(PerBase[Month 36],PerBase[exp_item],$H1003,PerBase[company_name],$B1003)*AU478)</f>
        <v>0</v>
      </c>
    </row>
    <row r="1004" spans="2:47" x14ac:dyDescent="0.35">
      <c r="B1004" t="str">
        <f t="shared" si="623"/>
        <v/>
      </c>
      <c r="C1004" t="str">
        <f t="shared" ref="C1004:G1004" si="643">IF(C899="","",C899)</f>
        <v/>
      </c>
      <c r="D1004" t="str">
        <f t="shared" si="643"/>
        <v/>
      </c>
      <c r="E1004" t="str">
        <f t="shared" si="643"/>
        <v/>
      </c>
      <c r="F1004" t="str">
        <f t="shared" si="643"/>
        <v/>
      </c>
      <c r="G1004" t="str">
        <f t="shared" si="643"/>
        <v/>
      </c>
      <c r="H1004" t="str">
        <f t="shared" si="622"/>
        <v/>
      </c>
      <c r="J1004" t="str">
        <f>IF($H1004="","",IF(VLOOKUP(H1004,ExpItems[],2,0),H1004&amp;" - "&amp;INDEX(DivisionMapping[category_code],MATCH($D1004&amp;$C1004,DivisionMapping[dept_bu],0)),H1004))</f>
        <v/>
      </c>
      <c r="K1004" t="str">
        <f t="shared" si="625"/>
        <v/>
      </c>
      <c r="L1004" s="652">
        <f>IF($B1004="",,SUMIFS(PerBase[Month 1],PerBase[exp_item],$H1004,PerBase[company_name],$B1004)*L479)</f>
        <v>0</v>
      </c>
      <c r="M1004" s="652">
        <f>IF($B1004="",,SUMIFS(PerBase[Month 2],PerBase[exp_item],$H1004,PerBase[company_name],$B1004)*M479)</f>
        <v>0</v>
      </c>
      <c r="N1004" s="652">
        <f>IF($B1004="",,SUMIFS(PerBase[Month 3],PerBase[exp_item],$H1004,PerBase[company_name],$B1004)*N479)</f>
        <v>0</v>
      </c>
      <c r="O1004" s="652">
        <f>IF($B1004="",,SUMIFS(PerBase[Month 4],PerBase[exp_item],$H1004,PerBase[company_name],$B1004)*O479)</f>
        <v>0</v>
      </c>
      <c r="P1004" s="652">
        <f>IF($B1004="",,SUMIFS(PerBase[Month 5],PerBase[exp_item],$H1004,PerBase[company_name],$B1004)*P479)</f>
        <v>0</v>
      </c>
      <c r="Q1004" s="652">
        <f>IF($B1004="",,SUMIFS(PerBase[Month 6],PerBase[exp_item],$H1004,PerBase[company_name],$B1004)*Q479)</f>
        <v>0</v>
      </c>
      <c r="R1004" s="652">
        <f>IF($B1004="",,SUMIFS(PerBase[Month 7],PerBase[exp_item],$H1004,PerBase[company_name],$B1004)*R479)</f>
        <v>0</v>
      </c>
      <c r="S1004" s="652">
        <f>IF($B1004="",,SUMIFS(PerBase[Month 8],PerBase[exp_item],$H1004,PerBase[company_name],$B1004)*S479)</f>
        <v>0</v>
      </c>
      <c r="T1004" s="652">
        <f>IF($B1004="",,SUMIFS(PerBase[Month 9],PerBase[exp_item],$H1004,PerBase[company_name],$B1004)*T479)</f>
        <v>0</v>
      </c>
      <c r="U1004" s="652">
        <f>IF($B1004="",,SUMIFS(PerBase[Month 10],PerBase[exp_item],$H1004,PerBase[company_name],$B1004)*U479)</f>
        <v>0</v>
      </c>
      <c r="V1004" s="652">
        <f>IF($B1004="",,SUMIFS(PerBase[Month 11],PerBase[exp_item],$H1004,PerBase[company_name],$B1004)*V479)</f>
        <v>0</v>
      </c>
      <c r="W1004" s="652">
        <f>IF($B1004="",,SUMIFS(PerBase[Month 12],PerBase[exp_item],$H1004,PerBase[company_name],$B1004)*W479)</f>
        <v>0</v>
      </c>
      <c r="X1004" s="652">
        <f>IF($B1004="",,SUMIFS(PerBase[Month 13],PerBase[exp_item],$H1004,PerBase[company_name],$B1004)*X479)</f>
        <v>0</v>
      </c>
      <c r="Y1004" s="652">
        <f>IF($B1004="",,SUMIFS(PerBase[Month 14],PerBase[exp_item],$H1004,PerBase[company_name],$B1004)*Y479)</f>
        <v>0</v>
      </c>
      <c r="Z1004" s="652">
        <f>IF($B1004="",,SUMIFS(PerBase[Month 15],PerBase[exp_item],$H1004,PerBase[company_name],$B1004)*Z479)</f>
        <v>0</v>
      </c>
      <c r="AA1004" s="652">
        <f>IF($B1004="",,SUMIFS(PerBase[Month 16],PerBase[exp_item],$H1004,PerBase[company_name],$B1004)*AA479)</f>
        <v>0</v>
      </c>
      <c r="AB1004" s="652">
        <f>IF($B1004="",,SUMIFS(PerBase[Month 17],PerBase[exp_item],$H1004,PerBase[company_name],$B1004)*AB479)</f>
        <v>0</v>
      </c>
      <c r="AC1004" s="652">
        <f>IF($B1004="",,SUMIFS(PerBase[Month 18],PerBase[exp_item],$H1004,PerBase[company_name],$B1004)*AC479)</f>
        <v>0</v>
      </c>
      <c r="AD1004" s="652">
        <f>IF($B1004="",,SUMIFS(PerBase[Month 19],PerBase[exp_item],$H1004,PerBase[company_name],$B1004)*AD479)</f>
        <v>0</v>
      </c>
      <c r="AE1004" s="652">
        <f>IF($B1004="",,SUMIFS(PerBase[Month 20],PerBase[exp_item],$H1004,PerBase[company_name],$B1004)*AE479)</f>
        <v>0</v>
      </c>
      <c r="AF1004" s="652">
        <f>IF($B1004="",,SUMIFS(PerBase[Month 21],PerBase[exp_item],$H1004,PerBase[company_name],$B1004)*AF479)</f>
        <v>0</v>
      </c>
      <c r="AG1004" s="652">
        <f>IF($B1004="",,SUMIFS(PerBase[Month 22],PerBase[exp_item],$H1004,PerBase[company_name],$B1004)*AG479)</f>
        <v>0</v>
      </c>
      <c r="AH1004" s="652">
        <f>IF($B1004="",,SUMIFS(PerBase[Month 23],PerBase[exp_item],$H1004,PerBase[company_name],$B1004)*AH479)</f>
        <v>0</v>
      </c>
      <c r="AI1004" s="652">
        <f>IF($B1004="",,SUMIFS(PerBase[Month 24],PerBase[exp_item],$H1004,PerBase[company_name],$B1004)*AI479)</f>
        <v>0</v>
      </c>
      <c r="AJ1004" s="652">
        <f>IF($B1004="",,SUMIFS(PerBase[Month 25],PerBase[exp_item],$H1004,PerBase[company_name],$B1004)*AJ479)</f>
        <v>0</v>
      </c>
      <c r="AK1004" s="652">
        <f>IF($B1004="",,SUMIFS(PerBase[Month 26],PerBase[exp_item],$H1004,PerBase[company_name],$B1004)*AK479)</f>
        <v>0</v>
      </c>
      <c r="AL1004" s="652">
        <f>IF($B1004="",,SUMIFS(PerBase[Month 27],PerBase[exp_item],$H1004,PerBase[company_name],$B1004)*AL479)</f>
        <v>0</v>
      </c>
      <c r="AM1004" s="652">
        <f>IF($B1004="",,SUMIFS(PerBase[Month 28],PerBase[exp_item],$H1004,PerBase[company_name],$B1004)*AM479)</f>
        <v>0</v>
      </c>
      <c r="AN1004" s="652">
        <f>IF($B1004="",,SUMIFS(PerBase[Month 29],PerBase[exp_item],$H1004,PerBase[company_name],$B1004)*AN479)</f>
        <v>0</v>
      </c>
      <c r="AO1004" s="652">
        <f>IF($B1004="",,SUMIFS(PerBase[Month 30],PerBase[exp_item],$H1004,PerBase[company_name],$B1004)*AO479)</f>
        <v>0</v>
      </c>
      <c r="AP1004" s="652">
        <f>IF($B1004="",,SUMIFS(PerBase[Month 31],PerBase[exp_item],$H1004,PerBase[company_name],$B1004)*AP479)</f>
        <v>0</v>
      </c>
      <c r="AQ1004" s="652">
        <f>IF($B1004="",,SUMIFS(PerBase[Month 32],PerBase[exp_item],$H1004,PerBase[company_name],$B1004)*AQ479)</f>
        <v>0</v>
      </c>
      <c r="AR1004" s="652">
        <f>IF($B1004="",,SUMIFS(PerBase[Month 33],PerBase[exp_item],$H1004,PerBase[company_name],$B1004)*AR479)</f>
        <v>0</v>
      </c>
      <c r="AS1004" s="652">
        <f>IF($B1004="",,SUMIFS(PerBase[Month 34],PerBase[exp_item],$H1004,PerBase[company_name],$B1004)*AS479)</f>
        <v>0</v>
      </c>
      <c r="AT1004" s="652">
        <f>IF($B1004="",,SUMIFS(PerBase[Month 35],PerBase[exp_item],$H1004,PerBase[company_name],$B1004)*AT479)</f>
        <v>0</v>
      </c>
      <c r="AU1004" s="652">
        <f>IF($B1004="",,SUMIFS(PerBase[Month 36],PerBase[exp_item],$H1004,PerBase[company_name],$B1004)*AU479)</f>
        <v>0</v>
      </c>
    </row>
    <row r="1005" spans="2:47" x14ac:dyDescent="0.35">
      <c r="B1005" t="str">
        <f t="shared" si="623"/>
        <v/>
      </c>
      <c r="C1005" t="str">
        <f t="shared" ref="C1005:G1005" si="644">IF(C900="","",C900)</f>
        <v/>
      </c>
      <c r="D1005" t="str">
        <f t="shared" si="644"/>
        <v/>
      </c>
      <c r="E1005" t="str">
        <f t="shared" si="644"/>
        <v/>
      </c>
      <c r="F1005" t="str">
        <f t="shared" si="644"/>
        <v/>
      </c>
      <c r="G1005" t="str">
        <f t="shared" si="644"/>
        <v/>
      </c>
      <c r="H1005" t="str">
        <f t="shared" si="622"/>
        <v/>
      </c>
      <c r="J1005" t="str">
        <f>IF($H1005="","",IF(VLOOKUP(H1005,ExpItems[],2,0),H1005&amp;" - "&amp;INDEX(DivisionMapping[category_code],MATCH($D1005&amp;$C1005,DivisionMapping[dept_bu],0)),H1005))</f>
        <v/>
      </c>
      <c r="K1005" t="str">
        <f t="shared" si="625"/>
        <v/>
      </c>
      <c r="L1005" s="652">
        <f>IF($B1005="",,SUMIFS(PerBase[Month 1],PerBase[exp_item],$H1005,PerBase[company_name],$B1005)*L480)</f>
        <v>0</v>
      </c>
      <c r="M1005" s="652">
        <f>IF($B1005="",,SUMIFS(PerBase[Month 2],PerBase[exp_item],$H1005,PerBase[company_name],$B1005)*M480)</f>
        <v>0</v>
      </c>
      <c r="N1005" s="652">
        <f>IF($B1005="",,SUMIFS(PerBase[Month 3],PerBase[exp_item],$H1005,PerBase[company_name],$B1005)*N480)</f>
        <v>0</v>
      </c>
      <c r="O1005" s="652">
        <f>IF($B1005="",,SUMIFS(PerBase[Month 4],PerBase[exp_item],$H1005,PerBase[company_name],$B1005)*O480)</f>
        <v>0</v>
      </c>
      <c r="P1005" s="652">
        <f>IF($B1005="",,SUMIFS(PerBase[Month 5],PerBase[exp_item],$H1005,PerBase[company_name],$B1005)*P480)</f>
        <v>0</v>
      </c>
      <c r="Q1005" s="652">
        <f>IF($B1005="",,SUMIFS(PerBase[Month 6],PerBase[exp_item],$H1005,PerBase[company_name],$B1005)*Q480)</f>
        <v>0</v>
      </c>
      <c r="R1005" s="652">
        <f>IF($B1005="",,SUMIFS(PerBase[Month 7],PerBase[exp_item],$H1005,PerBase[company_name],$B1005)*R480)</f>
        <v>0</v>
      </c>
      <c r="S1005" s="652">
        <f>IF($B1005="",,SUMIFS(PerBase[Month 8],PerBase[exp_item],$H1005,PerBase[company_name],$B1005)*S480)</f>
        <v>0</v>
      </c>
      <c r="T1005" s="652">
        <f>IF($B1005="",,SUMIFS(PerBase[Month 9],PerBase[exp_item],$H1005,PerBase[company_name],$B1005)*T480)</f>
        <v>0</v>
      </c>
      <c r="U1005" s="652">
        <f>IF($B1005="",,SUMIFS(PerBase[Month 10],PerBase[exp_item],$H1005,PerBase[company_name],$B1005)*U480)</f>
        <v>0</v>
      </c>
      <c r="V1005" s="652">
        <f>IF($B1005="",,SUMIFS(PerBase[Month 11],PerBase[exp_item],$H1005,PerBase[company_name],$B1005)*V480)</f>
        <v>0</v>
      </c>
      <c r="W1005" s="652">
        <f>IF($B1005="",,SUMIFS(PerBase[Month 12],PerBase[exp_item],$H1005,PerBase[company_name],$B1005)*W480)</f>
        <v>0</v>
      </c>
      <c r="X1005" s="652">
        <f>IF($B1005="",,SUMIFS(PerBase[Month 13],PerBase[exp_item],$H1005,PerBase[company_name],$B1005)*X480)</f>
        <v>0</v>
      </c>
      <c r="Y1005" s="652">
        <f>IF($B1005="",,SUMIFS(PerBase[Month 14],PerBase[exp_item],$H1005,PerBase[company_name],$B1005)*Y480)</f>
        <v>0</v>
      </c>
      <c r="Z1005" s="652">
        <f>IF($B1005="",,SUMIFS(PerBase[Month 15],PerBase[exp_item],$H1005,PerBase[company_name],$B1005)*Z480)</f>
        <v>0</v>
      </c>
      <c r="AA1005" s="652">
        <f>IF($B1005="",,SUMIFS(PerBase[Month 16],PerBase[exp_item],$H1005,PerBase[company_name],$B1005)*AA480)</f>
        <v>0</v>
      </c>
      <c r="AB1005" s="652">
        <f>IF($B1005="",,SUMIFS(PerBase[Month 17],PerBase[exp_item],$H1005,PerBase[company_name],$B1005)*AB480)</f>
        <v>0</v>
      </c>
      <c r="AC1005" s="652">
        <f>IF($B1005="",,SUMIFS(PerBase[Month 18],PerBase[exp_item],$H1005,PerBase[company_name],$B1005)*AC480)</f>
        <v>0</v>
      </c>
      <c r="AD1005" s="652">
        <f>IF($B1005="",,SUMIFS(PerBase[Month 19],PerBase[exp_item],$H1005,PerBase[company_name],$B1005)*AD480)</f>
        <v>0</v>
      </c>
      <c r="AE1005" s="652">
        <f>IF($B1005="",,SUMIFS(PerBase[Month 20],PerBase[exp_item],$H1005,PerBase[company_name],$B1005)*AE480)</f>
        <v>0</v>
      </c>
      <c r="AF1005" s="652">
        <f>IF($B1005="",,SUMIFS(PerBase[Month 21],PerBase[exp_item],$H1005,PerBase[company_name],$B1005)*AF480)</f>
        <v>0</v>
      </c>
      <c r="AG1005" s="652">
        <f>IF($B1005="",,SUMIFS(PerBase[Month 22],PerBase[exp_item],$H1005,PerBase[company_name],$B1005)*AG480)</f>
        <v>0</v>
      </c>
      <c r="AH1005" s="652">
        <f>IF($B1005="",,SUMIFS(PerBase[Month 23],PerBase[exp_item],$H1005,PerBase[company_name],$B1005)*AH480)</f>
        <v>0</v>
      </c>
      <c r="AI1005" s="652">
        <f>IF($B1005="",,SUMIFS(PerBase[Month 24],PerBase[exp_item],$H1005,PerBase[company_name],$B1005)*AI480)</f>
        <v>0</v>
      </c>
      <c r="AJ1005" s="652">
        <f>IF($B1005="",,SUMIFS(PerBase[Month 25],PerBase[exp_item],$H1005,PerBase[company_name],$B1005)*AJ480)</f>
        <v>0</v>
      </c>
      <c r="AK1005" s="652">
        <f>IF($B1005="",,SUMIFS(PerBase[Month 26],PerBase[exp_item],$H1005,PerBase[company_name],$B1005)*AK480)</f>
        <v>0</v>
      </c>
      <c r="AL1005" s="652">
        <f>IF($B1005="",,SUMIFS(PerBase[Month 27],PerBase[exp_item],$H1005,PerBase[company_name],$B1005)*AL480)</f>
        <v>0</v>
      </c>
      <c r="AM1005" s="652">
        <f>IF($B1005="",,SUMIFS(PerBase[Month 28],PerBase[exp_item],$H1005,PerBase[company_name],$B1005)*AM480)</f>
        <v>0</v>
      </c>
      <c r="AN1005" s="652">
        <f>IF($B1005="",,SUMIFS(PerBase[Month 29],PerBase[exp_item],$H1005,PerBase[company_name],$B1005)*AN480)</f>
        <v>0</v>
      </c>
      <c r="AO1005" s="652">
        <f>IF($B1005="",,SUMIFS(PerBase[Month 30],PerBase[exp_item],$H1005,PerBase[company_name],$B1005)*AO480)</f>
        <v>0</v>
      </c>
      <c r="AP1005" s="652">
        <f>IF($B1005="",,SUMIFS(PerBase[Month 31],PerBase[exp_item],$H1005,PerBase[company_name],$B1005)*AP480)</f>
        <v>0</v>
      </c>
      <c r="AQ1005" s="652">
        <f>IF($B1005="",,SUMIFS(PerBase[Month 32],PerBase[exp_item],$H1005,PerBase[company_name],$B1005)*AQ480)</f>
        <v>0</v>
      </c>
      <c r="AR1005" s="652">
        <f>IF($B1005="",,SUMIFS(PerBase[Month 33],PerBase[exp_item],$H1005,PerBase[company_name],$B1005)*AR480)</f>
        <v>0</v>
      </c>
      <c r="AS1005" s="652">
        <f>IF($B1005="",,SUMIFS(PerBase[Month 34],PerBase[exp_item],$H1005,PerBase[company_name],$B1005)*AS480)</f>
        <v>0</v>
      </c>
      <c r="AT1005" s="652">
        <f>IF($B1005="",,SUMIFS(PerBase[Month 35],PerBase[exp_item],$H1005,PerBase[company_name],$B1005)*AT480)</f>
        <v>0</v>
      </c>
      <c r="AU1005" s="652">
        <f>IF($B1005="",,SUMIFS(PerBase[Month 36],PerBase[exp_item],$H1005,PerBase[company_name],$B1005)*AU480)</f>
        <v>0</v>
      </c>
    </row>
    <row r="1006" spans="2:47" x14ac:dyDescent="0.35">
      <c r="B1006" t="str">
        <f t="shared" ref="B1006:G1006" si="645">IF(B901="","",B901)</f>
        <v/>
      </c>
      <c r="C1006" t="str">
        <f t="shared" si="645"/>
        <v/>
      </c>
      <c r="D1006" t="str">
        <f t="shared" si="645"/>
        <v/>
      </c>
      <c r="E1006" t="str">
        <f t="shared" si="645"/>
        <v/>
      </c>
      <c r="F1006" t="str">
        <f t="shared" si="645"/>
        <v/>
      </c>
      <c r="G1006" t="str">
        <f t="shared" si="645"/>
        <v/>
      </c>
      <c r="H1006" t="str">
        <f t="shared" si="622"/>
        <v/>
      </c>
      <c r="J1006" t="str">
        <f>IF($H1006="","",IF(VLOOKUP(H1006,ExpItems[],2,0),H1006&amp;" - "&amp;INDEX(DivisionMapping[category_code],MATCH($D1006&amp;$C1006,DivisionMapping[dept_bu],0)),H1006))</f>
        <v/>
      </c>
      <c r="K1006" t="str">
        <f t="shared" si="625"/>
        <v/>
      </c>
      <c r="L1006" s="652">
        <f>IF($B1006="",,SUMIFS(PerBase[Month 1],PerBase[exp_item],$H1006,PerBase[company_name],$B1006)*L481)</f>
        <v>0</v>
      </c>
      <c r="M1006" s="652">
        <f>IF($B1006="",,SUMIFS(PerBase[Month 2],PerBase[exp_item],$H1006,PerBase[company_name],$B1006)*M481)</f>
        <v>0</v>
      </c>
      <c r="N1006" s="652">
        <f>IF($B1006="",,SUMIFS(PerBase[Month 3],PerBase[exp_item],$H1006,PerBase[company_name],$B1006)*N481)</f>
        <v>0</v>
      </c>
      <c r="O1006" s="652">
        <f>IF($B1006="",,SUMIFS(PerBase[Month 4],PerBase[exp_item],$H1006,PerBase[company_name],$B1006)*O481)</f>
        <v>0</v>
      </c>
      <c r="P1006" s="652">
        <f>IF($B1006="",,SUMIFS(PerBase[Month 5],PerBase[exp_item],$H1006,PerBase[company_name],$B1006)*P481)</f>
        <v>0</v>
      </c>
      <c r="Q1006" s="652">
        <f>IF($B1006="",,SUMIFS(PerBase[Month 6],PerBase[exp_item],$H1006,PerBase[company_name],$B1006)*Q481)</f>
        <v>0</v>
      </c>
      <c r="R1006" s="652">
        <f>IF($B1006="",,SUMIFS(PerBase[Month 7],PerBase[exp_item],$H1006,PerBase[company_name],$B1006)*R481)</f>
        <v>0</v>
      </c>
      <c r="S1006" s="652">
        <f>IF($B1006="",,SUMIFS(PerBase[Month 8],PerBase[exp_item],$H1006,PerBase[company_name],$B1006)*S481)</f>
        <v>0</v>
      </c>
      <c r="T1006" s="652">
        <f>IF($B1006="",,SUMIFS(PerBase[Month 9],PerBase[exp_item],$H1006,PerBase[company_name],$B1006)*T481)</f>
        <v>0</v>
      </c>
      <c r="U1006" s="652">
        <f>IF($B1006="",,SUMIFS(PerBase[Month 10],PerBase[exp_item],$H1006,PerBase[company_name],$B1006)*U481)</f>
        <v>0</v>
      </c>
      <c r="V1006" s="652">
        <f>IF($B1006="",,SUMIFS(PerBase[Month 11],PerBase[exp_item],$H1006,PerBase[company_name],$B1006)*V481)</f>
        <v>0</v>
      </c>
      <c r="W1006" s="652">
        <f>IF($B1006="",,SUMIFS(PerBase[Month 12],PerBase[exp_item],$H1006,PerBase[company_name],$B1006)*W481)</f>
        <v>0</v>
      </c>
      <c r="X1006" s="652">
        <f>IF($B1006="",,SUMIFS(PerBase[Month 13],PerBase[exp_item],$H1006,PerBase[company_name],$B1006)*X481)</f>
        <v>0</v>
      </c>
      <c r="Y1006" s="652">
        <f>IF($B1006="",,SUMIFS(PerBase[Month 14],PerBase[exp_item],$H1006,PerBase[company_name],$B1006)*Y481)</f>
        <v>0</v>
      </c>
      <c r="Z1006" s="652">
        <f>IF($B1006="",,SUMIFS(PerBase[Month 15],PerBase[exp_item],$H1006,PerBase[company_name],$B1006)*Z481)</f>
        <v>0</v>
      </c>
      <c r="AA1006" s="652">
        <f>IF($B1006="",,SUMIFS(PerBase[Month 16],PerBase[exp_item],$H1006,PerBase[company_name],$B1006)*AA481)</f>
        <v>0</v>
      </c>
      <c r="AB1006" s="652">
        <f>IF($B1006="",,SUMIFS(PerBase[Month 17],PerBase[exp_item],$H1006,PerBase[company_name],$B1006)*AB481)</f>
        <v>0</v>
      </c>
      <c r="AC1006" s="652">
        <f>IF($B1006="",,SUMIFS(PerBase[Month 18],PerBase[exp_item],$H1006,PerBase[company_name],$B1006)*AC481)</f>
        <v>0</v>
      </c>
      <c r="AD1006" s="652">
        <f>IF($B1006="",,SUMIFS(PerBase[Month 19],PerBase[exp_item],$H1006,PerBase[company_name],$B1006)*AD481)</f>
        <v>0</v>
      </c>
      <c r="AE1006" s="652">
        <f>IF($B1006="",,SUMIFS(PerBase[Month 20],PerBase[exp_item],$H1006,PerBase[company_name],$B1006)*AE481)</f>
        <v>0</v>
      </c>
      <c r="AF1006" s="652">
        <f>IF($B1006="",,SUMIFS(PerBase[Month 21],PerBase[exp_item],$H1006,PerBase[company_name],$B1006)*AF481)</f>
        <v>0</v>
      </c>
      <c r="AG1006" s="652">
        <f>IF($B1006="",,SUMIFS(PerBase[Month 22],PerBase[exp_item],$H1006,PerBase[company_name],$B1006)*AG481)</f>
        <v>0</v>
      </c>
      <c r="AH1006" s="652">
        <f>IF($B1006="",,SUMIFS(PerBase[Month 23],PerBase[exp_item],$H1006,PerBase[company_name],$B1006)*AH481)</f>
        <v>0</v>
      </c>
      <c r="AI1006" s="652">
        <f>IF($B1006="",,SUMIFS(PerBase[Month 24],PerBase[exp_item],$H1006,PerBase[company_name],$B1006)*AI481)</f>
        <v>0</v>
      </c>
      <c r="AJ1006" s="652">
        <f>IF($B1006="",,SUMIFS(PerBase[Month 25],PerBase[exp_item],$H1006,PerBase[company_name],$B1006)*AJ481)</f>
        <v>0</v>
      </c>
      <c r="AK1006" s="652">
        <f>IF($B1006="",,SUMIFS(PerBase[Month 26],PerBase[exp_item],$H1006,PerBase[company_name],$B1006)*AK481)</f>
        <v>0</v>
      </c>
      <c r="AL1006" s="652">
        <f>IF($B1006="",,SUMIFS(PerBase[Month 27],PerBase[exp_item],$H1006,PerBase[company_name],$B1006)*AL481)</f>
        <v>0</v>
      </c>
      <c r="AM1006" s="652">
        <f>IF($B1006="",,SUMIFS(PerBase[Month 28],PerBase[exp_item],$H1006,PerBase[company_name],$B1006)*AM481)</f>
        <v>0</v>
      </c>
      <c r="AN1006" s="652">
        <f>IF($B1006="",,SUMIFS(PerBase[Month 29],PerBase[exp_item],$H1006,PerBase[company_name],$B1006)*AN481)</f>
        <v>0</v>
      </c>
      <c r="AO1006" s="652">
        <f>IF($B1006="",,SUMIFS(PerBase[Month 30],PerBase[exp_item],$H1006,PerBase[company_name],$B1006)*AO481)</f>
        <v>0</v>
      </c>
      <c r="AP1006" s="652">
        <f>IF($B1006="",,SUMIFS(PerBase[Month 31],PerBase[exp_item],$H1006,PerBase[company_name],$B1006)*AP481)</f>
        <v>0</v>
      </c>
      <c r="AQ1006" s="652">
        <f>IF($B1006="",,SUMIFS(PerBase[Month 32],PerBase[exp_item],$H1006,PerBase[company_name],$B1006)*AQ481)</f>
        <v>0</v>
      </c>
      <c r="AR1006" s="652">
        <f>IF($B1006="",,SUMIFS(PerBase[Month 33],PerBase[exp_item],$H1006,PerBase[company_name],$B1006)*AR481)</f>
        <v>0</v>
      </c>
      <c r="AS1006" s="652">
        <f>IF($B1006="",,SUMIFS(PerBase[Month 34],PerBase[exp_item],$H1006,PerBase[company_name],$B1006)*AS481)</f>
        <v>0</v>
      </c>
      <c r="AT1006" s="652">
        <f>IF($B1006="",,SUMIFS(PerBase[Month 35],PerBase[exp_item],$H1006,PerBase[company_name],$B1006)*AT481)</f>
        <v>0</v>
      </c>
      <c r="AU1006" s="652">
        <f>IF($B1006="",,SUMIFS(PerBase[Month 36],PerBase[exp_item],$H1006,PerBase[company_name],$B1006)*AU481)</f>
        <v>0</v>
      </c>
    </row>
    <row r="1007" spans="2:47" x14ac:dyDescent="0.35">
      <c r="B1007" t="str">
        <f t="shared" ref="B1007:G1007" si="646">IF(B902="","",B902)</f>
        <v/>
      </c>
      <c r="C1007" t="str">
        <f t="shared" si="646"/>
        <v/>
      </c>
      <c r="D1007" t="str">
        <f t="shared" si="646"/>
        <v/>
      </c>
      <c r="E1007" t="str">
        <f t="shared" si="646"/>
        <v/>
      </c>
      <c r="F1007" t="str">
        <f t="shared" si="646"/>
        <v/>
      </c>
      <c r="G1007" t="str">
        <f t="shared" si="646"/>
        <v/>
      </c>
      <c r="H1007" t="str">
        <f t="shared" si="622"/>
        <v/>
      </c>
      <c r="J1007" t="str">
        <f>IF($H1007="","",IF(VLOOKUP(H1007,ExpItems[],2,0),H1007&amp;" - "&amp;INDEX(DivisionMapping[category_code],MATCH($D1007&amp;$C1007,DivisionMapping[dept_bu],0)),H1007))</f>
        <v/>
      </c>
      <c r="K1007" t="str">
        <f t="shared" si="625"/>
        <v/>
      </c>
      <c r="L1007" s="652">
        <f>IF($B1007="",,SUMIFS(PerBase[Month 1],PerBase[exp_item],$H1007,PerBase[company_name],$B1007)*L482)</f>
        <v>0</v>
      </c>
      <c r="M1007" s="652">
        <f>IF($B1007="",,SUMIFS(PerBase[Month 2],PerBase[exp_item],$H1007,PerBase[company_name],$B1007)*M482)</f>
        <v>0</v>
      </c>
      <c r="N1007" s="652">
        <f>IF($B1007="",,SUMIFS(PerBase[Month 3],PerBase[exp_item],$H1007,PerBase[company_name],$B1007)*N482)</f>
        <v>0</v>
      </c>
      <c r="O1007" s="652">
        <f>IF($B1007="",,SUMIFS(PerBase[Month 4],PerBase[exp_item],$H1007,PerBase[company_name],$B1007)*O482)</f>
        <v>0</v>
      </c>
      <c r="P1007" s="652">
        <f>IF($B1007="",,SUMIFS(PerBase[Month 5],PerBase[exp_item],$H1007,PerBase[company_name],$B1007)*P482)</f>
        <v>0</v>
      </c>
      <c r="Q1007" s="652">
        <f>IF($B1007="",,SUMIFS(PerBase[Month 6],PerBase[exp_item],$H1007,PerBase[company_name],$B1007)*Q482)</f>
        <v>0</v>
      </c>
      <c r="R1007" s="652">
        <f>IF($B1007="",,SUMIFS(PerBase[Month 7],PerBase[exp_item],$H1007,PerBase[company_name],$B1007)*R482)</f>
        <v>0</v>
      </c>
      <c r="S1007" s="652">
        <f>IF($B1007="",,SUMIFS(PerBase[Month 8],PerBase[exp_item],$H1007,PerBase[company_name],$B1007)*S482)</f>
        <v>0</v>
      </c>
      <c r="T1007" s="652">
        <f>IF($B1007="",,SUMIFS(PerBase[Month 9],PerBase[exp_item],$H1007,PerBase[company_name],$B1007)*T482)</f>
        <v>0</v>
      </c>
      <c r="U1007" s="652">
        <f>IF($B1007="",,SUMIFS(PerBase[Month 10],PerBase[exp_item],$H1007,PerBase[company_name],$B1007)*U482)</f>
        <v>0</v>
      </c>
      <c r="V1007" s="652">
        <f>IF($B1007="",,SUMIFS(PerBase[Month 11],PerBase[exp_item],$H1007,PerBase[company_name],$B1007)*V482)</f>
        <v>0</v>
      </c>
      <c r="W1007" s="652">
        <f>IF($B1007="",,SUMIFS(PerBase[Month 12],PerBase[exp_item],$H1007,PerBase[company_name],$B1007)*W482)</f>
        <v>0</v>
      </c>
      <c r="X1007" s="652">
        <f>IF($B1007="",,SUMIFS(PerBase[Month 13],PerBase[exp_item],$H1007,PerBase[company_name],$B1007)*X482)</f>
        <v>0</v>
      </c>
      <c r="Y1007" s="652">
        <f>IF($B1007="",,SUMIFS(PerBase[Month 14],PerBase[exp_item],$H1007,PerBase[company_name],$B1007)*Y482)</f>
        <v>0</v>
      </c>
      <c r="Z1007" s="652">
        <f>IF($B1007="",,SUMIFS(PerBase[Month 15],PerBase[exp_item],$H1007,PerBase[company_name],$B1007)*Z482)</f>
        <v>0</v>
      </c>
      <c r="AA1007" s="652">
        <f>IF($B1007="",,SUMIFS(PerBase[Month 16],PerBase[exp_item],$H1007,PerBase[company_name],$B1007)*AA482)</f>
        <v>0</v>
      </c>
      <c r="AB1007" s="652">
        <f>IF($B1007="",,SUMIFS(PerBase[Month 17],PerBase[exp_item],$H1007,PerBase[company_name],$B1007)*AB482)</f>
        <v>0</v>
      </c>
      <c r="AC1007" s="652">
        <f>IF($B1007="",,SUMIFS(PerBase[Month 18],PerBase[exp_item],$H1007,PerBase[company_name],$B1007)*AC482)</f>
        <v>0</v>
      </c>
      <c r="AD1007" s="652">
        <f>IF($B1007="",,SUMIFS(PerBase[Month 19],PerBase[exp_item],$H1007,PerBase[company_name],$B1007)*AD482)</f>
        <v>0</v>
      </c>
      <c r="AE1007" s="652">
        <f>IF($B1007="",,SUMIFS(PerBase[Month 20],PerBase[exp_item],$H1007,PerBase[company_name],$B1007)*AE482)</f>
        <v>0</v>
      </c>
      <c r="AF1007" s="652">
        <f>IF($B1007="",,SUMIFS(PerBase[Month 21],PerBase[exp_item],$H1007,PerBase[company_name],$B1007)*AF482)</f>
        <v>0</v>
      </c>
      <c r="AG1007" s="652">
        <f>IF($B1007="",,SUMIFS(PerBase[Month 22],PerBase[exp_item],$H1007,PerBase[company_name],$B1007)*AG482)</f>
        <v>0</v>
      </c>
      <c r="AH1007" s="652">
        <f>IF($B1007="",,SUMIFS(PerBase[Month 23],PerBase[exp_item],$H1007,PerBase[company_name],$B1007)*AH482)</f>
        <v>0</v>
      </c>
      <c r="AI1007" s="652">
        <f>IF($B1007="",,SUMIFS(PerBase[Month 24],PerBase[exp_item],$H1007,PerBase[company_name],$B1007)*AI482)</f>
        <v>0</v>
      </c>
      <c r="AJ1007" s="652">
        <f>IF($B1007="",,SUMIFS(PerBase[Month 25],PerBase[exp_item],$H1007,PerBase[company_name],$B1007)*AJ482)</f>
        <v>0</v>
      </c>
      <c r="AK1007" s="652">
        <f>IF($B1007="",,SUMIFS(PerBase[Month 26],PerBase[exp_item],$H1007,PerBase[company_name],$B1007)*AK482)</f>
        <v>0</v>
      </c>
      <c r="AL1007" s="652">
        <f>IF($B1007="",,SUMIFS(PerBase[Month 27],PerBase[exp_item],$H1007,PerBase[company_name],$B1007)*AL482)</f>
        <v>0</v>
      </c>
      <c r="AM1007" s="652">
        <f>IF($B1007="",,SUMIFS(PerBase[Month 28],PerBase[exp_item],$H1007,PerBase[company_name],$B1007)*AM482)</f>
        <v>0</v>
      </c>
      <c r="AN1007" s="652">
        <f>IF($B1007="",,SUMIFS(PerBase[Month 29],PerBase[exp_item],$H1007,PerBase[company_name],$B1007)*AN482)</f>
        <v>0</v>
      </c>
      <c r="AO1007" s="652">
        <f>IF($B1007="",,SUMIFS(PerBase[Month 30],PerBase[exp_item],$H1007,PerBase[company_name],$B1007)*AO482)</f>
        <v>0</v>
      </c>
      <c r="AP1007" s="652">
        <f>IF($B1007="",,SUMIFS(PerBase[Month 31],PerBase[exp_item],$H1007,PerBase[company_name],$B1007)*AP482)</f>
        <v>0</v>
      </c>
      <c r="AQ1007" s="652">
        <f>IF($B1007="",,SUMIFS(PerBase[Month 32],PerBase[exp_item],$H1007,PerBase[company_name],$B1007)*AQ482)</f>
        <v>0</v>
      </c>
      <c r="AR1007" s="652">
        <f>IF($B1007="",,SUMIFS(PerBase[Month 33],PerBase[exp_item],$H1007,PerBase[company_name],$B1007)*AR482)</f>
        <v>0</v>
      </c>
      <c r="AS1007" s="652">
        <f>IF($B1007="",,SUMIFS(PerBase[Month 34],PerBase[exp_item],$H1007,PerBase[company_name],$B1007)*AS482)</f>
        <v>0</v>
      </c>
      <c r="AT1007" s="652">
        <f>IF($B1007="",,SUMIFS(PerBase[Month 35],PerBase[exp_item],$H1007,PerBase[company_name],$B1007)*AT482)</f>
        <v>0</v>
      </c>
      <c r="AU1007" s="652">
        <f>IF($B1007="",,SUMIFS(PerBase[Month 36],PerBase[exp_item],$H1007,PerBase[company_name],$B1007)*AU482)</f>
        <v>0</v>
      </c>
    </row>
    <row r="1008" spans="2:47" x14ac:dyDescent="0.35">
      <c r="B1008" t="str">
        <f t="shared" ref="B1008:G1008" si="647">IF(B903="","",B903)</f>
        <v/>
      </c>
      <c r="C1008" t="str">
        <f t="shared" si="647"/>
        <v/>
      </c>
      <c r="D1008" t="str">
        <f t="shared" si="647"/>
        <v/>
      </c>
      <c r="E1008" t="str">
        <f t="shared" si="647"/>
        <v/>
      </c>
      <c r="F1008" t="str">
        <f t="shared" si="647"/>
        <v/>
      </c>
      <c r="G1008" t="str">
        <f t="shared" si="647"/>
        <v/>
      </c>
      <c r="H1008" t="str">
        <f t="shared" si="622"/>
        <v/>
      </c>
      <c r="J1008" t="str">
        <f>IF($H1008="","",IF(VLOOKUP(H1008,ExpItems[],2,0),H1008&amp;" - "&amp;INDEX(DivisionMapping[category_code],MATCH($D1008&amp;$C1008,DivisionMapping[dept_bu],0)),H1008))</f>
        <v/>
      </c>
      <c r="K1008" t="str">
        <f t="shared" si="625"/>
        <v/>
      </c>
      <c r="L1008" s="652">
        <f>IF($B1008="",,SUMIFS(PerBase[Month 1],PerBase[exp_item],$H1008,PerBase[company_name],$B1008)*L483)</f>
        <v>0</v>
      </c>
      <c r="M1008" s="652">
        <f>IF($B1008="",,SUMIFS(PerBase[Month 2],PerBase[exp_item],$H1008,PerBase[company_name],$B1008)*M483)</f>
        <v>0</v>
      </c>
      <c r="N1008" s="652">
        <f>IF($B1008="",,SUMIFS(PerBase[Month 3],PerBase[exp_item],$H1008,PerBase[company_name],$B1008)*N483)</f>
        <v>0</v>
      </c>
      <c r="O1008" s="652">
        <f>IF($B1008="",,SUMIFS(PerBase[Month 4],PerBase[exp_item],$H1008,PerBase[company_name],$B1008)*O483)</f>
        <v>0</v>
      </c>
      <c r="P1008" s="652">
        <f>IF($B1008="",,SUMIFS(PerBase[Month 5],PerBase[exp_item],$H1008,PerBase[company_name],$B1008)*P483)</f>
        <v>0</v>
      </c>
      <c r="Q1008" s="652">
        <f>IF($B1008="",,SUMIFS(PerBase[Month 6],PerBase[exp_item],$H1008,PerBase[company_name],$B1008)*Q483)</f>
        <v>0</v>
      </c>
      <c r="R1008" s="652">
        <f>IF($B1008="",,SUMIFS(PerBase[Month 7],PerBase[exp_item],$H1008,PerBase[company_name],$B1008)*R483)</f>
        <v>0</v>
      </c>
      <c r="S1008" s="652">
        <f>IF($B1008="",,SUMIFS(PerBase[Month 8],PerBase[exp_item],$H1008,PerBase[company_name],$B1008)*S483)</f>
        <v>0</v>
      </c>
      <c r="T1008" s="652">
        <f>IF($B1008="",,SUMIFS(PerBase[Month 9],PerBase[exp_item],$H1008,PerBase[company_name],$B1008)*T483)</f>
        <v>0</v>
      </c>
      <c r="U1008" s="652">
        <f>IF($B1008="",,SUMIFS(PerBase[Month 10],PerBase[exp_item],$H1008,PerBase[company_name],$B1008)*U483)</f>
        <v>0</v>
      </c>
      <c r="V1008" s="652">
        <f>IF($B1008="",,SUMIFS(PerBase[Month 11],PerBase[exp_item],$H1008,PerBase[company_name],$B1008)*V483)</f>
        <v>0</v>
      </c>
      <c r="W1008" s="652">
        <f>IF($B1008="",,SUMIFS(PerBase[Month 12],PerBase[exp_item],$H1008,PerBase[company_name],$B1008)*W483)</f>
        <v>0</v>
      </c>
      <c r="X1008" s="652">
        <f>IF($B1008="",,SUMIFS(PerBase[Month 13],PerBase[exp_item],$H1008,PerBase[company_name],$B1008)*X483)</f>
        <v>0</v>
      </c>
      <c r="Y1008" s="652">
        <f>IF($B1008="",,SUMIFS(PerBase[Month 14],PerBase[exp_item],$H1008,PerBase[company_name],$B1008)*Y483)</f>
        <v>0</v>
      </c>
      <c r="Z1008" s="652">
        <f>IF($B1008="",,SUMIFS(PerBase[Month 15],PerBase[exp_item],$H1008,PerBase[company_name],$B1008)*Z483)</f>
        <v>0</v>
      </c>
      <c r="AA1008" s="652">
        <f>IF($B1008="",,SUMIFS(PerBase[Month 16],PerBase[exp_item],$H1008,PerBase[company_name],$B1008)*AA483)</f>
        <v>0</v>
      </c>
      <c r="AB1008" s="652">
        <f>IF($B1008="",,SUMIFS(PerBase[Month 17],PerBase[exp_item],$H1008,PerBase[company_name],$B1008)*AB483)</f>
        <v>0</v>
      </c>
      <c r="AC1008" s="652">
        <f>IF($B1008="",,SUMIFS(PerBase[Month 18],PerBase[exp_item],$H1008,PerBase[company_name],$B1008)*AC483)</f>
        <v>0</v>
      </c>
      <c r="AD1008" s="652">
        <f>IF($B1008="",,SUMIFS(PerBase[Month 19],PerBase[exp_item],$H1008,PerBase[company_name],$B1008)*AD483)</f>
        <v>0</v>
      </c>
      <c r="AE1008" s="652">
        <f>IF($B1008="",,SUMIFS(PerBase[Month 20],PerBase[exp_item],$H1008,PerBase[company_name],$B1008)*AE483)</f>
        <v>0</v>
      </c>
      <c r="AF1008" s="652">
        <f>IF($B1008="",,SUMIFS(PerBase[Month 21],PerBase[exp_item],$H1008,PerBase[company_name],$B1008)*AF483)</f>
        <v>0</v>
      </c>
      <c r="AG1008" s="652">
        <f>IF($B1008="",,SUMIFS(PerBase[Month 22],PerBase[exp_item],$H1008,PerBase[company_name],$B1008)*AG483)</f>
        <v>0</v>
      </c>
      <c r="AH1008" s="652">
        <f>IF($B1008="",,SUMIFS(PerBase[Month 23],PerBase[exp_item],$H1008,PerBase[company_name],$B1008)*AH483)</f>
        <v>0</v>
      </c>
      <c r="AI1008" s="652">
        <f>IF($B1008="",,SUMIFS(PerBase[Month 24],PerBase[exp_item],$H1008,PerBase[company_name],$B1008)*AI483)</f>
        <v>0</v>
      </c>
      <c r="AJ1008" s="652">
        <f>IF($B1008="",,SUMIFS(PerBase[Month 25],PerBase[exp_item],$H1008,PerBase[company_name],$B1008)*AJ483)</f>
        <v>0</v>
      </c>
      <c r="AK1008" s="652">
        <f>IF($B1008="",,SUMIFS(PerBase[Month 26],PerBase[exp_item],$H1008,PerBase[company_name],$B1008)*AK483)</f>
        <v>0</v>
      </c>
      <c r="AL1008" s="652">
        <f>IF($B1008="",,SUMIFS(PerBase[Month 27],PerBase[exp_item],$H1008,PerBase[company_name],$B1008)*AL483)</f>
        <v>0</v>
      </c>
      <c r="AM1008" s="652">
        <f>IF($B1008="",,SUMIFS(PerBase[Month 28],PerBase[exp_item],$H1008,PerBase[company_name],$B1008)*AM483)</f>
        <v>0</v>
      </c>
      <c r="AN1008" s="652">
        <f>IF($B1008="",,SUMIFS(PerBase[Month 29],PerBase[exp_item],$H1008,PerBase[company_name],$B1008)*AN483)</f>
        <v>0</v>
      </c>
      <c r="AO1008" s="652">
        <f>IF($B1008="",,SUMIFS(PerBase[Month 30],PerBase[exp_item],$H1008,PerBase[company_name],$B1008)*AO483)</f>
        <v>0</v>
      </c>
      <c r="AP1008" s="652">
        <f>IF($B1008="",,SUMIFS(PerBase[Month 31],PerBase[exp_item],$H1008,PerBase[company_name],$B1008)*AP483)</f>
        <v>0</v>
      </c>
      <c r="AQ1008" s="652">
        <f>IF($B1008="",,SUMIFS(PerBase[Month 32],PerBase[exp_item],$H1008,PerBase[company_name],$B1008)*AQ483)</f>
        <v>0</v>
      </c>
      <c r="AR1008" s="652">
        <f>IF($B1008="",,SUMIFS(PerBase[Month 33],PerBase[exp_item],$H1008,PerBase[company_name],$B1008)*AR483)</f>
        <v>0</v>
      </c>
      <c r="AS1008" s="652">
        <f>IF($B1008="",,SUMIFS(PerBase[Month 34],PerBase[exp_item],$H1008,PerBase[company_name],$B1008)*AS483)</f>
        <v>0</v>
      </c>
      <c r="AT1008" s="652">
        <f>IF($B1008="",,SUMIFS(PerBase[Month 35],PerBase[exp_item],$H1008,PerBase[company_name],$B1008)*AT483)</f>
        <v>0</v>
      </c>
      <c r="AU1008" s="652">
        <f>IF($B1008="",,SUMIFS(PerBase[Month 36],PerBase[exp_item],$H1008,PerBase[company_name],$B1008)*AU483)</f>
        <v>0</v>
      </c>
    </row>
    <row r="1009" spans="1:52" x14ac:dyDescent="0.35">
      <c r="B1009" t="str">
        <f t="shared" ref="B1009:G1009" si="648">IF(B904="","",B904)</f>
        <v/>
      </c>
      <c r="C1009" t="str">
        <f t="shared" si="648"/>
        <v/>
      </c>
      <c r="D1009" t="str">
        <f t="shared" si="648"/>
        <v/>
      </c>
      <c r="E1009" t="str">
        <f t="shared" si="648"/>
        <v/>
      </c>
      <c r="F1009" t="str">
        <f t="shared" si="648"/>
        <v/>
      </c>
      <c r="G1009" t="str">
        <f t="shared" si="648"/>
        <v/>
      </c>
      <c r="H1009" t="str">
        <f t="shared" si="622"/>
        <v/>
      </c>
      <c r="J1009" t="str">
        <f>IF($H1009="","",IF(VLOOKUP(H1009,ExpItems[],2,0),H1009&amp;" - "&amp;INDEX(DivisionMapping[category_code],MATCH($D1009&amp;$C1009,DivisionMapping[dept_bu],0)),H1009))</f>
        <v/>
      </c>
      <c r="K1009" t="str">
        <f t="shared" si="625"/>
        <v/>
      </c>
      <c r="L1009" s="652">
        <f>IF($B1009="",,SUMIFS(PerBase[Month 1],PerBase[exp_item],$H1009,PerBase[company_name],$B1009)*L484)</f>
        <v>0</v>
      </c>
      <c r="M1009" s="652">
        <f>IF($B1009="",,SUMIFS(PerBase[Month 2],PerBase[exp_item],$H1009,PerBase[company_name],$B1009)*M484)</f>
        <v>0</v>
      </c>
      <c r="N1009" s="652">
        <f>IF($B1009="",,SUMIFS(PerBase[Month 3],PerBase[exp_item],$H1009,PerBase[company_name],$B1009)*N484)</f>
        <v>0</v>
      </c>
      <c r="O1009" s="652">
        <f>IF($B1009="",,SUMIFS(PerBase[Month 4],PerBase[exp_item],$H1009,PerBase[company_name],$B1009)*O484)</f>
        <v>0</v>
      </c>
      <c r="P1009" s="652">
        <f>IF($B1009="",,SUMIFS(PerBase[Month 5],PerBase[exp_item],$H1009,PerBase[company_name],$B1009)*P484)</f>
        <v>0</v>
      </c>
      <c r="Q1009" s="652">
        <f>IF($B1009="",,SUMIFS(PerBase[Month 6],PerBase[exp_item],$H1009,PerBase[company_name],$B1009)*Q484)</f>
        <v>0</v>
      </c>
      <c r="R1009" s="652">
        <f>IF($B1009="",,SUMIFS(PerBase[Month 7],PerBase[exp_item],$H1009,PerBase[company_name],$B1009)*R484)</f>
        <v>0</v>
      </c>
      <c r="S1009" s="652">
        <f>IF($B1009="",,SUMIFS(PerBase[Month 8],PerBase[exp_item],$H1009,PerBase[company_name],$B1009)*S484)</f>
        <v>0</v>
      </c>
      <c r="T1009" s="652">
        <f>IF($B1009="",,SUMIFS(PerBase[Month 9],PerBase[exp_item],$H1009,PerBase[company_name],$B1009)*T484)</f>
        <v>0</v>
      </c>
      <c r="U1009" s="652">
        <f>IF($B1009="",,SUMIFS(PerBase[Month 10],PerBase[exp_item],$H1009,PerBase[company_name],$B1009)*U484)</f>
        <v>0</v>
      </c>
      <c r="V1009" s="652">
        <f>IF($B1009="",,SUMIFS(PerBase[Month 11],PerBase[exp_item],$H1009,PerBase[company_name],$B1009)*V484)</f>
        <v>0</v>
      </c>
      <c r="W1009" s="652">
        <f>IF($B1009="",,SUMIFS(PerBase[Month 12],PerBase[exp_item],$H1009,PerBase[company_name],$B1009)*W484)</f>
        <v>0</v>
      </c>
      <c r="X1009" s="652">
        <f>IF($B1009="",,SUMIFS(PerBase[Month 13],PerBase[exp_item],$H1009,PerBase[company_name],$B1009)*X484)</f>
        <v>0</v>
      </c>
      <c r="Y1009" s="652">
        <f>IF($B1009="",,SUMIFS(PerBase[Month 14],PerBase[exp_item],$H1009,PerBase[company_name],$B1009)*Y484)</f>
        <v>0</v>
      </c>
      <c r="Z1009" s="652">
        <f>IF($B1009="",,SUMIFS(PerBase[Month 15],PerBase[exp_item],$H1009,PerBase[company_name],$B1009)*Z484)</f>
        <v>0</v>
      </c>
      <c r="AA1009" s="652">
        <f>IF($B1009="",,SUMIFS(PerBase[Month 16],PerBase[exp_item],$H1009,PerBase[company_name],$B1009)*AA484)</f>
        <v>0</v>
      </c>
      <c r="AB1009" s="652">
        <f>IF($B1009="",,SUMIFS(PerBase[Month 17],PerBase[exp_item],$H1009,PerBase[company_name],$B1009)*AB484)</f>
        <v>0</v>
      </c>
      <c r="AC1009" s="652">
        <f>IF($B1009="",,SUMIFS(PerBase[Month 18],PerBase[exp_item],$H1009,PerBase[company_name],$B1009)*AC484)</f>
        <v>0</v>
      </c>
      <c r="AD1009" s="652">
        <f>IF($B1009="",,SUMIFS(PerBase[Month 19],PerBase[exp_item],$H1009,PerBase[company_name],$B1009)*AD484)</f>
        <v>0</v>
      </c>
      <c r="AE1009" s="652">
        <f>IF($B1009="",,SUMIFS(PerBase[Month 20],PerBase[exp_item],$H1009,PerBase[company_name],$B1009)*AE484)</f>
        <v>0</v>
      </c>
      <c r="AF1009" s="652">
        <f>IF($B1009="",,SUMIFS(PerBase[Month 21],PerBase[exp_item],$H1009,PerBase[company_name],$B1009)*AF484)</f>
        <v>0</v>
      </c>
      <c r="AG1009" s="652">
        <f>IF($B1009="",,SUMIFS(PerBase[Month 22],PerBase[exp_item],$H1009,PerBase[company_name],$B1009)*AG484)</f>
        <v>0</v>
      </c>
      <c r="AH1009" s="652">
        <f>IF($B1009="",,SUMIFS(PerBase[Month 23],PerBase[exp_item],$H1009,PerBase[company_name],$B1009)*AH484)</f>
        <v>0</v>
      </c>
      <c r="AI1009" s="652">
        <f>IF($B1009="",,SUMIFS(PerBase[Month 24],PerBase[exp_item],$H1009,PerBase[company_name],$B1009)*AI484)</f>
        <v>0</v>
      </c>
      <c r="AJ1009" s="652">
        <f>IF($B1009="",,SUMIFS(PerBase[Month 25],PerBase[exp_item],$H1009,PerBase[company_name],$B1009)*AJ484)</f>
        <v>0</v>
      </c>
      <c r="AK1009" s="652">
        <f>IF($B1009="",,SUMIFS(PerBase[Month 26],PerBase[exp_item],$H1009,PerBase[company_name],$B1009)*AK484)</f>
        <v>0</v>
      </c>
      <c r="AL1009" s="652">
        <f>IF($B1009="",,SUMIFS(PerBase[Month 27],PerBase[exp_item],$H1009,PerBase[company_name],$B1009)*AL484)</f>
        <v>0</v>
      </c>
      <c r="AM1009" s="652">
        <f>IF($B1009="",,SUMIFS(PerBase[Month 28],PerBase[exp_item],$H1009,PerBase[company_name],$B1009)*AM484)</f>
        <v>0</v>
      </c>
      <c r="AN1009" s="652">
        <f>IF($B1009="",,SUMIFS(PerBase[Month 29],PerBase[exp_item],$H1009,PerBase[company_name],$B1009)*AN484)</f>
        <v>0</v>
      </c>
      <c r="AO1009" s="652">
        <f>IF($B1009="",,SUMIFS(PerBase[Month 30],PerBase[exp_item],$H1009,PerBase[company_name],$B1009)*AO484)</f>
        <v>0</v>
      </c>
      <c r="AP1009" s="652">
        <f>IF($B1009="",,SUMIFS(PerBase[Month 31],PerBase[exp_item],$H1009,PerBase[company_name],$B1009)*AP484)</f>
        <v>0</v>
      </c>
      <c r="AQ1009" s="652">
        <f>IF($B1009="",,SUMIFS(PerBase[Month 32],PerBase[exp_item],$H1009,PerBase[company_name],$B1009)*AQ484)</f>
        <v>0</v>
      </c>
      <c r="AR1009" s="652">
        <f>IF($B1009="",,SUMIFS(PerBase[Month 33],PerBase[exp_item],$H1009,PerBase[company_name],$B1009)*AR484)</f>
        <v>0</v>
      </c>
      <c r="AS1009" s="652">
        <f>IF($B1009="",,SUMIFS(PerBase[Month 34],PerBase[exp_item],$H1009,PerBase[company_name],$B1009)*AS484)</f>
        <v>0</v>
      </c>
      <c r="AT1009" s="652">
        <f>IF($B1009="",,SUMIFS(PerBase[Month 35],PerBase[exp_item],$H1009,PerBase[company_name],$B1009)*AT484)</f>
        <v>0</v>
      </c>
      <c r="AU1009" s="652">
        <f>IF($B1009="",,SUMIFS(PerBase[Month 36],PerBase[exp_item],$H1009,PerBase[company_name],$B1009)*AU484)</f>
        <v>0</v>
      </c>
    </row>
    <row r="1010" spans="1:52" x14ac:dyDescent="0.35">
      <c r="B1010" t="str">
        <f t="shared" ref="B1010:G1010" si="649">IF(B905="","",B905)</f>
        <v/>
      </c>
      <c r="C1010" t="str">
        <f t="shared" si="649"/>
        <v/>
      </c>
      <c r="D1010" t="str">
        <f t="shared" si="649"/>
        <v/>
      </c>
      <c r="E1010" t="str">
        <f t="shared" si="649"/>
        <v/>
      </c>
      <c r="F1010" t="str">
        <f t="shared" si="649"/>
        <v/>
      </c>
      <c r="G1010" t="str">
        <f t="shared" si="649"/>
        <v/>
      </c>
      <c r="H1010" t="str">
        <f t="shared" si="622"/>
        <v/>
      </c>
      <c r="J1010" t="str">
        <f>IF($H1010="","",IF(VLOOKUP(H1010,ExpItems[],2,0),H1010&amp;" - "&amp;INDEX(DivisionMapping[category_code],MATCH($D1010&amp;$C1010,DivisionMapping[dept_bu],0)),H1010))</f>
        <v/>
      </c>
      <c r="K1010" t="str">
        <f t="shared" si="625"/>
        <v/>
      </c>
      <c r="L1010" s="652">
        <f>IF($B1010="",,SUMIFS(PerBase[Month 1],PerBase[exp_item],$H1010,PerBase[company_name],$B1010)*L485)</f>
        <v>0</v>
      </c>
      <c r="M1010" s="652">
        <f>IF($B1010="",,SUMIFS(PerBase[Month 2],PerBase[exp_item],$H1010,PerBase[company_name],$B1010)*M485)</f>
        <v>0</v>
      </c>
      <c r="N1010" s="652">
        <f>IF($B1010="",,SUMIFS(PerBase[Month 3],PerBase[exp_item],$H1010,PerBase[company_name],$B1010)*N485)</f>
        <v>0</v>
      </c>
      <c r="O1010" s="652">
        <f>IF($B1010="",,SUMIFS(PerBase[Month 4],PerBase[exp_item],$H1010,PerBase[company_name],$B1010)*O485)</f>
        <v>0</v>
      </c>
      <c r="P1010" s="652">
        <f>IF($B1010="",,SUMIFS(PerBase[Month 5],PerBase[exp_item],$H1010,PerBase[company_name],$B1010)*P485)</f>
        <v>0</v>
      </c>
      <c r="Q1010" s="652">
        <f>IF($B1010="",,SUMIFS(PerBase[Month 6],PerBase[exp_item],$H1010,PerBase[company_name],$B1010)*Q485)</f>
        <v>0</v>
      </c>
      <c r="R1010" s="652">
        <f>IF($B1010="",,SUMIFS(PerBase[Month 7],PerBase[exp_item],$H1010,PerBase[company_name],$B1010)*R485)</f>
        <v>0</v>
      </c>
      <c r="S1010" s="652">
        <f>IF($B1010="",,SUMIFS(PerBase[Month 8],PerBase[exp_item],$H1010,PerBase[company_name],$B1010)*S485)</f>
        <v>0</v>
      </c>
      <c r="T1010" s="652">
        <f>IF($B1010="",,SUMIFS(PerBase[Month 9],PerBase[exp_item],$H1010,PerBase[company_name],$B1010)*T485)</f>
        <v>0</v>
      </c>
      <c r="U1010" s="652">
        <f>IF($B1010="",,SUMIFS(PerBase[Month 10],PerBase[exp_item],$H1010,PerBase[company_name],$B1010)*U485)</f>
        <v>0</v>
      </c>
      <c r="V1010" s="652">
        <f>IF($B1010="",,SUMIFS(PerBase[Month 11],PerBase[exp_item],$H1010,PerBase[company_name],$B1010)*V485)</f>
        <v>0</v>
      </c>
      <c r="W1010" s="652">
        <f>IF($B1010="",,SUMIFS(PerBase[Month 12],PerBase[exp_item],$H1010,PerBase[company_name],$B1010)*W485)</f>
        <v>0</v>
      </c>
      <c r="X1010" s="652">
        <f>IF($B1010="",,SUMIFS(PerBase[Month 13],PerBase[exp_item],$H1010,PerBase[company_name],$B1010)*X485)</f>
        <v>0</v>
      </c>
      <c r="Y1010" s="652">
        <f>IF($B1010="",,SUMIFS(PerBase[Month 14],PerBase[exp_item],$H1010,PerBase[company_name],$B1010)*Y485)</f>
        <v>0</v>
      </c>
      <c r="Z1010" s="652">
        <f>IF($B1010="",,SUMIFS(PerBase[Month 15],PerBase[exp_item],$H1010,PerBase[company_name],$B1010)*Z485)</f>
        <v>0</v>
      </c>
      <c r="AA1010" s="652">
        <f>IF($B1010="",,SUMIFS(PerBase[Month 16],PerBase[exp_item],$H1010,PerBase[company_name],$B1010)*AA485)</f>
        <v>0</v>
      </c>
      <c r="AB1010" s="652">
        <f>IF($B1010="",,SUMIFS(PerBase[Month 17],PerBase[exp_item],$H1010,PerBase[company_name],$B1010)*AB485)</f>
        <v>0</v>
      </c>
      <c r="AC1010" s="652">
        <f>IF($B1010="",,SUMIFS(PerBase[Month 18],PerBase[exp_item],$H1010,PerBase[company_name],$B1010)*AC485)</f>
        <v>0</v>
      </c>
      <c r="AD1010" s="652">
        <f>IF($B1010="",,SUMIFS(PerBase[Month 19],PerBase[exp_item],$H1010,PerBase[company_name],$B1010)*AD485)</f>
        <v>0</v>
      </c>
      <c r="AE1010" s="652">
        <f>IF($B1010="",,SUMIFS(PerBase[Month 20],PerBase[exp_item],$H1010,PerBase[company_name],$B1010)*AE485)</f>
        <v>0</v>
      </c>
      <c r="AF1010" s="652">
        <f>IF($B1010="",,SUMIFS(PerBase[Month 21],PerBase[exp_item],$H1010,PerBase[company_name],$B1010)*AF485)</f>
        <v>0</v>
      </c>
      <c r="AG1010" s="652">
        <f>IF($B1010="",,SUMIFS(PerBase[Month 22],PerBase[exp_item],$H1010,PerBase[company_name],$B1010)*AG485)</f>
        <v>0</v>
      </c>
      <c r="AH1010" s="652">
        <f>IF($B1010="",,SUMIFS(PerBase[Month 23],PerBase[exp_item],$H1010,PerBase[company_name],$B1010)*AH485)</f>
        <v>0</v>
      </c>
      <c r="AI1010" s="652">
        <f>IF($B1010="",,SUMIFS(PerBase[Month 24],PerBase[exp_item],$H1010,PerBase[company_name],$B1010)*AI485)</f>
        <v>0</v>
      </c>
      <c r="AJ1010" s="652">
        <f>IF($B1010="",,SUMIFS(PerBase[Month 25],PerBase[exp_item],$H1010,PerBase[company_name],$B1010)*AJ485)</f>
        <v>0</v>
      </c>
      <c r="AK1010" s="652">
        <f>IF($B1010="",,SUMIFS(PerBase[Month 26],PerBase[exp_item],$H1010,PerBase[company_name],$B1010)*AK485)</f>
        <v>0</v>
      </c>
      <c r="AL1010" s="652">
        <f>IF($B1010="",,SUMIFS(PerBase[Month 27],PerBase[exp_item],$H1010,PerBase[company_name],$B1010)*AL485)</f>
        <v>0</v>
      </c>
      <c r="AM1010" s="652">
        <f>IF($B1010="",,SUMIFS(PerBase[Month 28],PerBase[exp_item],$H1010,PerBase[company_name],$B1010)*AM485)</f>
        <v>0</v>
      </c>
      <c r="AN1010" s="652">
        <f>IF($B1010="",,SUMIFS(PerBase[Month 29],PerBase[exp_item],$H1010,PerBase[company_name],$B1010)*AN485)</f>
        <v>0</v>
      </c>
      <c r="AO1010" s="652">
        <f>IF($B1010="",,SUMIFS(PerBase[Month 30],PerBase[exp_item],$H1010,PerBase[company_name],$B1010)*AO485)</f>
        <v>0</v>
      </c>
      <c r="AP1010" s="652">
        <f>IF($B1010="",,SUMIFS(PerBase[Month 31],PerBase[exp_item],$H1010,PerBase[company_name],$B1010)*AP485)</f>
        <v>0</v>
      </c>
      <c r="AQ1010" s="652">
        <f>IF($B1010="",,SUMIFS(PerBase[Month 32],PerBase[exp_item],$H1010,PerBase[company_name],$B1010)*AQ485)</f>
        <v>0</v>
      </c>
      <c r="AR1010" s="652">
        <f>IF($B1010="",,SUMIFS(PerBase[Month 33],PerBase[exp_item],$H1010,PerBase[company_name],$B1010)*AR485)</f>
        <v>0</v>
      </c>
      <c r="AS1010" s="652">
        <f>IF($B1010="",,SUMIFS(PerBase[Month 34],PerBase[exp_item],$H1010,PerBase[company_name],$B1010)*AS485)</f>
        <v>0</v>
      </c>
      <c r="AT1010" s="652">
        <f>IF($B1010="",,SUMIFS(PerBase[Month 35],PerBase[exp_item],$H1010,PerBase[company_name],$B1010)*AT485)</f>
        <v>0</v>
      </c>
      <c r="AU1010" s="652">
        <f>IF($B1010="",,SUMIFS(PerBase[Month 36],PerBase[exp_item],$H1010,PerBase[company_name],$B1010)*AU485)</f>
        <v>0</v>
      </c>
    </row>
    <row r="1011" spans="1:52" x14ac:dyDescent="0.35">
      <c r="B1011" t="str">
        <f t="shared" ref="B1011:G1011" si="650">IF(B906="","",B906)</f>
        <v/>
      </c>
      <c r="C1011" t="str">
        <f t="shared" si="650"/>
        <v/>
      </c>
      <c r="D1011" t="str">
        <f t="shared" si="650"/>
        <v/>
      </c>
      <c r="E1011" t="str">
        <f t="shared" si="650"/>
        <v/>
      </c>
      <c r="F1011" t="str">
        <f t="shared" si="650"/>
        <v/>
      </c>
      <c r="G1011" t="str">
        <f t="shared" si="650"/>
        <v/>
      </c>
      <c r="H1011" t="str">
        <f t="shared" si="622"/>
        <v/>
      </c>
      <c r="J1011" t="str">
        <f>IF($H1011="","",IF(VLOOKUP(H1011,ExpItems[],2,0),H1011&amp;" - "&amp;INDEX(DivisionMapping[category_code],MATCH($D1011&amp;$C1011,DivisionMapping[dept_bu],0)),H1011))</f>
        <v/>
      </c>
      <c r="K1011" t="str">
        <f t="shared" si="625"/>
        <v/>
      </c>
      <c r="L1011" s="652">
        <f>IF($B1011="",,SUMIFS(PerBase[Month 1],PerBase[exp_item],$H1011,PerBase[company_name],$B1011)*L486)</f>
        <v>0</v>
      </c>
      <c r="M1011" s="652">
        <f>IF($B1011="",,SUMIFS(PerBase[Month 2],PerBase[exp_item],$H1011,PerBase[company_name],$B1011)*M486)</f>
        <v>0</v>
      </c>
      <c r="N1011" s="652">
        <f>IF($B1011="",,SUMIFS(PerBase[Month 3],PerBase[exp_item],$H1011,PerBase[company_name],$B1011)*N486)</f>
        <v>0</v>
      </c>
      <c r="O1011" s="652">
        <f>IF($B1011="",,SUMIFS(PerBase[Month 4],PerBase[exp_item],$H1011,PerBase[company_name],$B1011)*O486)</f>
        <v>0</v>
      </c>
      <c r="P1011" s="652">
        <f>IF($B1011="",,SUMIFS(PerBase[Month 5],PerBase[exp_item],$H1011,PerBase[company_name],$B1011)*P486)</f>
        <v>0</v>
      </c>
      <c r="Q1011" s="652">
        <f>IF($B1011="",,SUMIFS(PerBase[Month 6],PerBase[exp_item],$H1011,PerBase[company_name],$B1011)*Q486)</f>
        <v>0</v>
      </c>
      <c r="R1011" s="652">
        <f>IF($B1011="",,SUMIFS(PerBase[Month 7],PerBase[exp_item],$H1011,PerBase[company_name],$B1011)*R486)</f>
        <v>0</v>
      </c>
      <c r="S1011" s="652">
        <f>IF($B1011="",,SUMIFS(PerBase[Month 8],PerBase[exp_item],$H1011,PerBase[company_name],$B1011)*S486)</f>
        <v>0</v>
      </c>
      <c r="T1011" s="652">
        <f>IF($B1011="",,SUMIFS(PerBase[Month 9],PerBase[exp_item],$H1011,PerBase[company_name],$B1011)*T486)</f>
        <v>0</v>
      </c>
      <c r="U1011" s="652">
        <f>IF($B1011="",,SUMIFS(PerBase[Month 10],PerBase[exp_item],$H1011,PerBase[company_name],$B1011)*U486)</f>
        <v>0</v>
      </c>
      <c r="V1011" s="652">
        <f>IF($B1011="",,SUMIFS(PerBase[Month 11],PerBase[exp_item],$H1011,PerBase[company_name],$B1011)*V486)</f>
        <v>0</v>
      </c>
      <c r="W1011" s="652">
        <f>IF($B1011="",,SUMIFS(PerBase[Month 12],PerBase[exp_item],$H1011,PerBase[company_name],$B1011)*W486)</f>
        <v>0</v>
      </c>
      <c r="X1011" s="652">
        <f>IF($B1011="",,SUMIFS(PerBase[Month 13],PerBase[exp_item],$H1011,PerBase[company_name],$B1011)*X486)</f>
        <v>0</v>
      </c>
      <c r="Y1011" s="652">
        <f>IF($B1011="",,SUMIFS(PerBase[Month 14],PerBase[exp_item],$H1011,PerBase[company_name],$B1011)*Y486)</f>
        <v>0</v>
      </c>
      <c r="Z1011" s="652">
        <f>IF($B1011="",,SUMIFS(PerBase[Month 15],PerBase[exp_item],$H1011,PerBase[company_name],$B1011)*Z486)</f>
        <v>0</v>
      </c>
      <c r="AA1011" s="652">
        <f>IF($B1011="",,SUMIFS(PerBase[Month 16],PerBase[exp_item],$H1011,PerBase[company_name],$B1011)*AA486)</f>
        <v>0</v>
      </c>
      <c r="AB1011" s="652">
        <f>IF($B1011="",,SUMIFS(PerBase[Month 17],PerBase[exp_item],$H1011,PerBase[company_name],$B1011)*AB486)</f>
        <v>0</v>
      </c>
      <c r="AC1011" s="652">
        <f>IF($B1011="",,SUMIFS(PerBase[Month 18],PerBase[exp_item],$H1011,PerBase[company_name],$B1011)*AC486)</f>
        <v>0</v>
      </c>
      <c r="AD1011" s="652">
        <f>IF($B1011="",,SUMIFS(PerBase[Month 19],PerBase[exp_item],$H1011,PerBase[company_name],$B1011)*AD486)</f>
        <v>0</v>
      </c>
      <c r="AE1011" s="652">
        <f>IF($B1011="",,SUMIFS(PerBase[Month 20],PerBase[exp_item],$H1011,PerBase[company_name],$B1011)*AE486)</f>
        <v>0</v>
      </c>
      <c r="AF1011" s="652">
        <f>IF($B1011="",,SUMIFS(PerBase[Month 21],PerBase[exp_item],$H1011,PerBase[company_name],$B1011)*AF486)</f>
        <v>0</v>
      </c>
      <c r="AG1011" s="652">
        <f>IF($B1011="",,SUMIFS(PerBase[Month 22],PerBase[exp_item],$H1011,PerBase[company_name],$B1011)*AG486)</f>
        <v>0</v>
      </c>
      <c r="AH1011" s="652">
        <f>IF($B1011="",,SUMIFS(PerBase[Month 23],PerBase[exp_item],$H1011,PerBase[company_name],$B1011)*AH486)</f>
        <v>0</v>
      </c>
      <c r="AI1011" s="652">
        <f>IF($B1011="",,SUMIFS(PerBase[Month 24],PerBase[exp_item],$H1011,PerBase[company_name],$B1011)*AI486)</f>
        <v>0</v>
      </c>
      <c r="AJ1011" s="652">
        <f>IF($B1011="",,SUMIFS(PerBase[Month 25],PerBase[exp_item],$H1011,PerBase[company_name],$B1011)*AJ486)</f>
        <v>0</v>
      </c>
      <c r="AK1011" s="652">
        <f>IF($B1011="",,SUMIFS(PerBase[Month 26],PerBase[exp_item],$H1011,PerBase[company_name],$B1011)*AK486)</f>
        <v>0</v>
      </c>
      <c r="AL1011" s="652">
        <f>IF($B1011="",,SUMIFS(PerBase[Month 27],PerBase[exp_item],$H1011,PerBase[company_name],$B1011)*AL486)</f>
        <v>0</v>
      </c>
      <c r="AM1011" s="652">
        <f>IF($B1011="",,SUMIFS(PerBase[Month 28],PerBase[exp_item],$H1011,PerBase[company_name],$B1011)*AM486)</f>
        <v>0</v>
      </c>
      <c r="AN1011" s="652">
        <f>IF($B1011="",,SUMIFS(PerBase[Month 29],PerBase[exp_item],$H1011,PerBase[company_name],$B1011)*AN486)</f>
        <v>0</v>
      </c>
      <c r="AO1011" s="652">
        <f>IF($B1011="",,SUMIFS(PerBase[Month 30],PerBase[exp_item],$H1011,PerBase[company_name],$B1011)*AO486)</f>
        <v>0</v>
      </c>
      <c r="AP1011" s="652">
        <f>IF($B1011="",,SUMIFS(PerBase[Month 31],PerBase[exp_item],$H1011,PerBase[company_name],$B1011)*AP486)</f>
        <v>0</v>
      </c>
      <c r="AQ1011" s="652">
        <f>IF($B1011="",,SUMIFS(PerBase[Month 32],PerBase[exp_item],$H1011,PerBase[company_name],$B1011)*AQ486)</f>
        <v>0</v>
      </c>
      <c r="AR1011" s="652">
        <f>IF($B1011="",,SUMIFS(PerBase[Month 33],PerBase[exp_item],$H1011,PerBase[company_name],$B1011)*AR486)</f>
        <v>0</v>
      </c>
      <c r="AS1011" s="652">
        <f>IF($B1011="",,SUMIFS(PerBase[Month 34],PerBase[exp_item],$H1011,PerBase[company_name],$B1011)*AS486)</f>
        <v>0</v>
      </c>
      <c r="AT1011" s="652">
        <f>IF($B1011="",,SUMIFS(PerBase[Month 35],PerBase[exp_item],$H1011,PerBase[company_name],$B1011)*AT486)</f>
        <v>0</v>
      </c>
      <c r="AU1011" s="652">
        <f>IF($B1011="",,SUMIFS(PerBase[Month 36],PerBase[exp_item],$H1011,PerBase[company_name],$B1011)*AU486)</f>
        <v>0</v>
      </c>
    </row>
    <row r="1012" spans="1:52" x14ac:dyDescent="0.35">
      <c r="B1012" t="str">
        <f t="shared" ref="B1012:G1012" si="651">IF(B907="","",B907)</f>
        <v/>
      </c>
      <c r="C1012" t="str">
        <f t="shared" si="651"/>
        <v/>
      </c>
      <c r="D1012" t="str">
        <f t="shared" si="651"/>
        <v/>
      </c>
      <c r="E1012" t="str">
        <f t="shared" si="651"/>
        <v/>
      </c>
      <c r="F1012" t="str">
        <f t="shared" si="651"/>
        <v/>
      </c>
      <c r="G1012" t="str">
        <f t="shared" si="651"/>
        <v/>
      </c>
      <c r="H1012" t="str">
        <f t="shared" si="622"/>
        <v/>
      </c>
      <c r="J1012" t="str">
        <f>IF($H1012="","",IF(VLOOKUP(H1012,ExpItems[],2,0),H1012&amp;" - "&amp;INDEX(DivisionMapping[category_code],MATCH($D1012&amp;$C1012,DivisionMapping[dept_bu],0)),H1012))</f>
        <v/>
      </c>
      <c r="K1012" t="str">
        <f t="shared" si="625"/>
        <v/>
      </c>
      <c r="L1012" s="652">
        <f>IF($B1012="",,SUMIFS(PerBase[Month 1],PerBase[exp_item],$H1012,PerBase[company_name],$B1012)*L487)</f>
        <v>0</v>
      </c>
      <c r="M1012" s="652">
        <f>IF($B1012="",,SUMIFS(PerBase[Month 2],PerBase[exp_item],$H1012,PerBase[company_name],$B1012)*M487)</f>
        <v>0</v>
      </c>
      <c r="N1012" s="652">
        <f>IF($B1012="",,SUMIFS(PerBase[Month 3],PerBase[exp_item],$H1012,PerBase[company_name],$B1012)*N487)</f>
        <v>0</v>
      </c>
      <c r="O1012" s="652">
        <f>IF($B1012="",,SUMIFS(PerBase[Month 4],PerBase[exp_item],$H1012,PerBase[company_name],$B1012)*O487)</f>
        <v>0</v>
      </c>
      <c r="P1012" s="652">
        <f>IF($B1012="",,SUMIFS(PerBase[Month 5],PerBase[exp_item],$H1012,PerBase[company_name],$B1012)*P487)</f>
        <v>0</v>
      </c>
      <c r="Q1012" s="652">
        <f>IF($B1012="",,SUMIFS(PerBase[Month 6],PerBase[exp_item],$H1012,PerBase[company_name],$B1012)*Q487)</f>
        <v>0</v>
      </c>
      <c r="R1012" s="652">
        <f>IF($B1012="",,SUMIFS(PerBase[Month 7],PerBase[exp_item],$H1012,PerBase[company_name],$B1012)*R487)</f>
        <v>0</v>
      </c>
      <c r="S1012" s="652">
        <f>IF($B1012="",,SUMIFS(PerBase[Month 8],PerBase[exp_item],$H1012,PerBase[company_name],$B1012)*S487)</f>
        <v>0</v>
      </c>
      <c r="T1012" s="652">
        <f>IF($B1012="",,SUMIFS(PerBase[Month 9],PerBase[exp_item],$H1012,PerBase[company_name],$B1012)*T487)</f>
        <v>0</v>
      </c>
      <c r="U1012" s="652">
        <f>IF($B1012="",,SUMIFS(PerBase[Month 10],PerBase[exp_item],$H1012,PerBase[company_name],$B1012)*U487)</f>
        <v>0</v>
      </c>
      <c r="V1012" s="652">
        <f>IF($B1012="",,SUMIFS(PerBase[Month 11],PerBase[exp_item],$H1012,PerBase[company_name],$B1012)*V487)</f>
        <v>0</v>
      </c>
      <c r="W1012" s="652">
        <f>IF($B1012="",,SUMIFS(PerBase[Month 12],PerBase[exp_item],$H1012,PerBase[company_name],$B1012)*W487)</f>
        <v>0</v>
      </c>
      <c r="X1012" s="652">
        <f>IF($B1012="",,SUMIFS(PerBase[Month 13],PerBase[exp_item],$H1012,PerBase[company_name],$B1012)*X487)</f>
        <v>0</v>
      </c>
      <c r="Y1012" s="652">
        <f>IF($B1012="",,SUMIFS(PerBase[Month 14],PerBase[exp_item],$H1012,PerBase[company_name],$B1012)*Y487)</f>
        <v>0</v>
      </c>
      <c r="Z1012" s="652">
        <f>IF($B1012="",,SUMIFS(PerBase[Month 15],PerBase[exp_item],$H1012,PerBase[company_name],$B1012)*Z487)</f>
        <v>0</v>
      </c>
      <c r="AA1012" s="652">
        <f>IF($B1012="",,SUMIFS(PerBase[Month 16],PerBase[exp_item],$H1012,PerBase[company_name],$B1012)*AA487)</f>
        <v>0</v>
      </c>
      <c r="AB1012" s="652">
        <f>IF($B1012="",,SUMIFS(PerBase[Month 17],PerBase[exp_item],$H1012,PerBase[company_name],$B1012)*AB487)</f>
        <v>0</v>
      </c>
      <c r="AC1012" s="652">
        <f>IF($B1012="",,SUMIFS(PerBase[Month 18],PerBase[exp_item],$H1012,PerBase[company_name],$B1012)*AC487)</f>
        <v>0</v>
      </c>
      <c r="AD1012" s="652">
        <f>IF($B1012="",,SUMIFS(PerBase[Month 19],PerBase[exp_item],$H1012,PerBase[company_name],$B1012)*AD487)</f>
        <v>0</v>
      </c>
      <c r="AE1012" s="652">
        <f>IF($B1012="",,SUMIFS(PerBase[Month 20],PerBase[exp_item],$H1012,PerBase[company_name],$B1012)*AE487)</f>
        <v>0</v>
      </c>
      <c r="AF1012" s="652">
        <f>IF($B1012="",,SUMIFS(PerBase[Month 21],PerBase[exp_item],$H1012,PerBase[company_name],$B1012)*AF487)</f>
        <v>0</v>
      </c>
      <c r="AG1012" s="652">
        <f>IF($B1012="",,SUMIFS(PerBase[Month 22],PerBase[exp_item],$H1012,PerBase[company_name],$B1012)*AG487)</f>
        <v>0</v>
      </c>
      <c r="AH1012" s="652">
        <f>IF($B1012="",,SUMIFS(PerBase[Month 23],PerBase[exp_item],$H1012,PerBase[company_name],$B1012)*AH487)</f>
        <v>0</v>
      </c>
      <c r="AI1012" s="652">
        <f>IF($B1012="",,SUMIFS(PerBase[Month 24],PerBase[exp_item],$H1012,PerBase[company_name],$B1012)*AI487)</f>
        <v>0</v>
      </c>
      <c r="AJ1012" s="652">
        <f>IF($B1012="",,SUMIFS(PerBase[Month 25],PerBase[exp_item],$H1012,PerBase[company_name],$B1012)*AJ487)</f>
        <v>0</v>
      </c>
      <c r="AK1012" s="652">
        <f>IF($B1012="",,SUMIFS(PerBase[Month 26],PerBase[exp_item],$H1012,PerBase[company_name],$B1012)*AK487)</f>
        <v>0</v>
      </c>
      <c r="AL1012" s="652">
        <f>IF($B1012="",,SUMIFS(PerBase[Month 27],PerBase[exp_item],$H1012,PerBase[company_name],$B1012)*AL487)</f>
        <v>0</v>
      </c>
      <c r="AM1012" s="652">
        <f>IF($B1012="",,SUMIFS(PerBase[Month 28],PerBase[exp_item],$H1012,PerBase[company_name],$B1012)*AM487)</f>
        <v>0</v>
      </c>
      <c r="AN1012" s="652">
        <f>IF($B1012="",,SUMIFS(PerBase[Month 29],PerBase[exp_item],$H1012,PerBase[company_name],$B1012)*AN487)</f>
        <v>0</v>
      </c>
      <c r="AO1012" s="652">
        <f>IF($B1012="",,SUMIFS(PerBase[Month 30],PerBase[exp_item],$H1012,PerBase[company_name],$B1012)*AO487)</f>
        <v>0</v>
      </c>
      <c r="AP1012" s="652">
        <f>IF($B1012="",,SUMIFS(PerBase[Month 31],PerBase[exp_item],$H1012,PerBase[company_name],$B1012)*AP487)</f>
        <v>0</v>
      </c>
      <c r="AQ1012" s="652">
        <f>IF($B1012="",,SUMIFS(PerBase[Month 32],PerBase[exp_item],$H1012,PerBase[company_name],$B1012)*AQ487)</f>
        <v>0</v>
      </c>
      <c r="AR1012" s="652">
        <f>IF($B1012="",,SUMIFS(PerBase[Month 33],PerBase[exp_item],$H1012,PerBase[company_name],$B1012)*AR487)</f>
        <v>0</v>
      </c>
      <c r="AS1012" s="652">
        <f>IF($B1012="",,SUMIFS(PerBase[Month 34],PerBase[exp_item],$H1012,PerBase[company_name],$B1012)*AS487)</f>
        <v>0</v>
      </c>
      <c r="AT1012" s="652">
        <f>IF($B1012="",,SUMIFS(PerBase[Month 35],PerBase[exp_item],$H1012,PerBase[company_name],$B1012)*AT487)</f>
        <v>0</v>
      </c>
      <c r="AU1012" s="652">
        <f>IF($B1012="",,SUMIFS(PerBase[Month 36],PerBase[exp_item],$H1012,PerBase[company_name],$B1012)*AU487)</f>
        <v>0</v>
      </c>
    </row>
    <row r="1013" spans="1:52" x14ac:dyDescent="0.35">
      <c r="B1013" t="str">
        <f t="shared" ref="B1013:G1013" si="652">IF(B908="","",B908)</f>
        <v/>
      </c>
      <c r="C1013" t="str">
        <f t="shared" si="652"/>
        <v/>
      </c>
      <c r="D1013" t="str">
        <f t="shared" si="652"/>
        <v/>
      </c>
      <c r="E1013" t="str">
        <f t="shared" si="652"/>
        <v/>
      </c>
      <c r="F1013" t="str">
        <f t="shared" si="652"/>
        <v/>
      </c>
      <c r="G1013" t="str">
        <f t="shared" si="652"/>
        <v/>
      </c>
      <c r="H1013" t="str">
        <f t="shared" si="622"/>
        <v/>
      </c>
      <c r="J1013" t="str">
        <f>IF($H1013="","",IF(VLOOKUP(H1013,ExpItems[],2,0),H1013&amp;" - "&amp;INDEX(DivisionMapping[category_code],MATCH($D1013&amp;$C1013,DivisionMapping[dept_bu],0)),H1013))</f>
        <v/>
      </c>
      <c r="K1013" t="str">
        <f t="shared" si="625"/>
        <v/>
      </c>
      <c r="L1013" s="652">
        <f>IF($B1013="",,SUMIFS(PerBase[Month 1],PerBase[exp_item],$H1013,PerBase[company_name],$B1013)*L488)</f>
        <v>0</v>
      </c>
      <c r="M1013" s="652">
        <f>IF($B1013="",,SUMIFS(PerBase[Month 2],PerBase[exp_item],$H1013,PerBase[company_name],$B1013)*M488)</f>
        <v>0</v>
      </c>
      <c r="N1013" s="652">
        <f>IF($B1013="",,SUMIFS(PerBase[Month 3],PerBase[exp_item],$H1013,PerBase[company_name],$B1013)*N488)</f>
        <v>0</v>
      </c>
      <c r="O1013" s="652">
        <f>IF($B1013="",,SUMIFS(PerBase[Month 4],PerBase[exp_item],$H1013,PerBase[company_name],$B1013)*O488)</f>
        <v>0</v>
      </c>
      <c r="P1013" s="652">
        <f>IF($B1013="",,SUMIFS(PerBase[Month 5],PerBase[exp_item],$H1013,PerBase[company_name],$B1013)*P488)</f>
        <v>0</v>
      </c>
      <c r="Q1013" s="652">
        <f>IF($B1013="",,SUMIFS(PerBase[Month 6],PerBase[exp_item],$H1013,PerBase[company_name],$B1013)*Q488)</f>
        <v>0</v>
      </c>
      <c r="R1013" s="652">
        <f>IF($B1013="",,SUMIFS(PerBase[Month 7],PerBase[exp_item],$H1013,PerBase[company_name],$B1013)*R488)</f>
        <v>0</v>
      </c>
      <c r="S1013" s="652">
        <f>IF($B1013="",,SUMIFS(PerBase[Month 8],PerBase[exp_item],$H1013,PerBase[company_name],$B1013)*S488)</f>
        <v>0</v>
      </c>
      <c r="T1013" s="652">
        <f>IF($B1013="",,SUMIFS(PerBase[Month 9],PerBase[exp_item],$H1013,PerBase[company_name],$B1013)*T488)</f>
        <v>0</v>
      </c>
      <c r="U1013" s="652">
        <f>IF($B1013="",,SUMIFS(PerBase[Month 10],PerBase[exp_item],$H1013,PerBase[company_name],$B1013)*U488)</f>
        <v>0</v>
      </c>
      <c r="V1013" s="652">
        <f>IF($B1013="",,SUMIFS(PerBase[Month 11],PerBase[exp_item],$H1013,PerBase[company_name],$B1013)*V488)</f>
        <v>0</v>
      </c>
      <c r="W1013" s="652">
        <f>IF($B1013="",,SUMIFS(PerBase[Month 12],PerBase[exp_item],$H1013,PerBase[company_name],$B1013)*W488)</f>
        <v>0</v>
      </c>
      <c r="X1013" s="652">
        <f>IF($B1013="",,SUMIFS(PerBase[Month 13],PerBase[exp_item],$H1013,PerBase[company_name],$B1013)*X488)</f>
        <v>0</v>
      </c>
      <c r="Y1013" s="652">
        <f>IF($B1013="",,SUMIFS(PerBase[Month 14],PerBase[exp_item],$H1013,PerBase[company_name],$B1013)*Y488)</f>
        <v>0</v>
      </c>
      <c r="Z1013" s="652">
        <f>IF($B1013="",,SUMIFS(PerBase[Month 15],PerBase[exp_item],$H1013,PerBase[company_name],$B1013)*Z488)</f>
        <v>0</v>
      </c>
      <c r="AA1013" s="652">
        <f>IF($B1013="",,SUMIFS(PerBase[Month 16],PerBase[exp_item],$H1013,PerBase[company_name],$B1013)*AA488)</f>
        <v>0</v>
      </c>
      <c r="AB1013" s="652">
        <f>IF($B1013="",,SUMIFS(PerBase[Month 17],PerBase[exp_item],$H1013,PerBase[company_name],$B1013)*AB488)</f>
        <v>0</v>
      </c>
      <c r="AC1013" s="652">
        <f>IF($B1013="",,SUMIFS(PerBase[Month 18],PerBase[exp_item],$H1013,PerBase[company_name],$B1013)*AC488)</f>
        <v>0</v>
      </c>
      <c r="AD1013" s="652">
        <f>IF($B1013="",,SUMIFS(PerBase[Month 19],PerBase[exp_item],$H1013,PerBase[company_name],$B1013)*AD488)</f>
        <v>0</v>
      </c>
      <c r="AE1013" s="652">
        <f>IF($B1013="",,SUMIFS(PerBase[Month 20],PerBase[exp_item],$H1013,PerBase[company_name],$B1013)*AE488)</f>
        <v>0</v>
      </c>
      <c r="AF1013" s="652">
        <f>IF($B1013="",,SUMIFS(PerBase[Month 21],PerBase[exp_item],$H1013,PerBase[company_name],$B1013)*AF488)</f>
        <v>0</v>
      </c>
      <c r="AG1013" s="652">
        <f>IF($B1013="",,SUMIFS(PerBase[Month 22],PerBase[exp_item],$H1013,PerBase[company_name],$B1013)*AG488)</f>
        <v>0</v>
      </c>
      <c r="AH1013" s="652">
        <f>IF($B1013="",,SUMIFS(PerBase[Month 23],PerBase[exp_item],$H1013,PerBase[company_name],$B1013)*AH488)</f>
        <v>0</v>
      </c>
      <c r="AI1013" s="652">
        <f>IF($B1013="",,SUMIFS(PerBase[Month 24],PerBase[exp_item],$H1013,PerBase[company_name],$B1013)*AI488)</f>
        <v>0</v>
      </c>
      <c r="AJ1013" s="652">
        <f>IF($B1013="",,SUMIFS(PerBase[Month 25],PerBase[exp_item],$H1013,PerBase[company_name],$B1013)*AJ488)</f>
        <v>0</v>
      </c>
      <c r="AK1013" s="652">
        <f>IF($B1013="",,SUMIFS(PerBase[Month 26],PerBase[exp_item],$H1013,PerBase[company_name],$B1013)*AK488)</f>
        <v>0</v>
      </c>
      <c r="AL1013" s="652">
        <f>IF($B1013="",,SUMIFS(PerBase[Month 27],PerBase[exp_item],$H1013,PerBase[company_name],$B1013)*AL488)</f>
        <v>0</v>
      </c>
      <c r="AM1013" s="652">
        <f>IF($B1013="",,SUMIFS(PerBase[Month 28],PerBase[exp_item],$H1013,PerBase[company_name],$B1013)*AM488)</f>
        <v>0</v>
      </c>
      <c r="AN1013" s="652">
        <f>IF($B1013="",,SUMIFS(PerBase[Month 29],PerBase[exp_item],$H1013,PerBase[company_name],$B1013)*AN488)</f>
        <v>0</v>
      </c>
      <c r="AO1013" s="652">
        <f>IF($B1013="",,SUMIFS(PerBase[Month 30],PerBase[exp_item],$H1013,PerBase[company_name],$B1013)*AO488)</f>
        <v>0</v>
      </c>
      <c r="AP1013" s="652">
        <f>IF($B1013="",,SUMIFS(PerBase[Month 31],PerBase[exp_item],$H1013,PerBase[company_name],$B1013)*AP488)</f>
        <v>0</v>
      </c>
      <c r="AQ1013" s="652">
        <f>IF($B1013="",,SUMIFS(PerBase[Month 32],PerBase[exp_item],$H1013,PerBase[company_name],$B1013)*AQ488)</f>
        <v>0</v>
      </c>
      <c r="AR1013" s="652">
        <f>IF($B1013="",,SUMIFS(PerBase[Month 33],PerBase[exp_item],$H1013,PerBase[company_name],$B1013)*AR488)</f>
        <v>0</v>
      </c>
      <c r="AS1013" s="652">
        <f>IF($B1013="",,SUMIFS(PerBase[Month 34],PerBase[exp_item],$H1013,PerBase[company_name],$B1013)*AS488)</f>
        <v>0</v>
      </c>
      <c r="AT1013" s="652">
        <f>IF($B1013="",,SUMIFS(PerBase[Month 35],PerBase[exp_item],$H1013,PerBase[company_name],$B1013)*AT488)</f>
        <v>0</v>
      </c>
      <c r="AU1013" s="652">
        <f>IF($B1013="",,SUMIFS(PerBase[Month 36],PerBase[exp_item],$H1013,PerBase[company_name],$B1013)*AU488)</f>
        <v>0</v>
      </c>
    </row>
    <row r="1014" spans="1:52" x14ac:dyDescent="0.35">
      <c r="B1014" t="str">
        <f t="shared" ref="B1014:G1014" si="653">IF(B909="","",B909)</f>
        <v/>
      </c>
      <c r="C1014" t="str">
        <f t="shared" si="653"/>
        <v/>
      </c>
      <c r="D1014" t="str">
        <f t="shared" si="653"/>
        <v/>
      </c>
      <c r="E1014" t="str">
        <f t="shared" si="653"/>
        <v/>
      </c>
      <c r="F1014" t="str">
        <f t="shared" si="653"/>
        <v/>
      </c>
      <c r="G1014" t="str">
        <f t="shared" si="653"/>
        <v/>
      </c>
      <c r="H1014" t="str">
        <f t="shared" si="622"/>
        <v/>
      </c>
      <c r="J1014" t="str">
        <f>IF($H1014="","",IF(VLOOKUP(H1014,ExpItems[],2,0),H1014&amp;" - "&amp;INDEX(DivisionMapping[category_code],MATCH($D1014&amp;$C1014,DivisionMapping[dept_bu],0)),H1014))</f>
        <v/>
      </c>
      <c r="K1014" t="str">
        <f t="shared" si="625"/>
        <v/>
      </c>
      <c r="L1014" s="652">
        <f>IF($B1014="",,SUMIFS(PerBase[Month 1],PerBase[exp_item],$H1014,PerBase[company_name],$B1014)*L489)</f>
        <v>0</v>
      </c>
      <c r="M1014" s="652">
        <f>IF($B1014="",,SUMIFS(PerBase[Month 2],PerBase[exp_item],$H1014,PerBase[company_name],$B1014)*M489)</f>
        <v>0</v>
      </c>
      <c r="N1014" s="652">
        <f>IF($B1014="",,SUMIFS(PerBase[Month 3],PerBase[exp_item],$H1014,PerBase[company_name],$B1014)*N489)</f>
        <v>0</v>
      </c>
      <c r="O1014" s="652">
        <f>IF($B1014="",,SUMIFS(PerBase[Month 4],PerBase[exp_item],$H1014,PerBase[company_name],$B1014)*O489)</f>
        <v>0</v>
      </c>
      <c r="P1014" s="652">
        <f>IF($B1014="",,SUMIFS(PerBase[Month 5],PerBase[exp_item],$H1014,PerBase[company_name],$B1014)*P489)</f>
        <v>0</v>
      </c>
      <c r="Q1014" s="652">
        <f>IF($B1014="",,SUMIFS(PerBase[Month 6],PerBase[exp_item],$H1014,PerBase[company_name],$B1014)*Q489)</f>
        <v>0</v>
      </c>
      <c r="R1014" s="652">
        <f>IF($B1014="",,SUMIFS(PerBase[Month 7],PerBase[exp_item],$H1014,PerBase[company_name],$B1014)*R489)</f>
        <v>0</v>
      </c>
      <c r="S1014" s="652">
        <f>IF($B1014="",,SUMIFS(PerBase[Month 8],PerBase[exp_item],$H1014,PerBase[company_name],$B1014)*S489)</f>
        <v>0</v>
      </c>
      <c r="T1014" s="652">
        <f>IF($B1014="",,SUMIFS(PerBase[Month 9],PerBase[exp_item],$H1014,PerBase[company_name],$B1014)*T489)</f>
        <v>0</v>
      </c>
      <c r="U1014" s="652">
        <f>IF($B1014="",,SUMIFS(PerBase[Month 10],PerBase[exp_item],$H1014,PerBase[company_name],$B1014)*U489)</f>
        <v>0</v>
      </c>
      <c r="V1014" s="652">
        <f>IF($B1014="",,SUMIFS(PerBase[Month 11],PerBase[exp_item],$H1014,PerBase[company_name],$B1014)*V489)</f>
        <v>0</v>
      </c>
      <c r="W1014" s="652">
        <f>IF($B1014="",,SUMIFS(PerBase[Month 12],PerBase[exp_item],$H1014,PerBase[company_name],$B1014)*W489)</f>
        <v>0</v>
      </c>
      <c r="X1014" s="652">
        <f>IF($B1014="",,SUMIFS(PerBase[Month 13],PerBase[exp_item],$H1014,PerBase[company_name],$B1014)*X489)</f>
        <v>0</v>
      </c>
      <c r="Y1014" s="652">
        <f>IF($B1014="",,SUMIFS(PerBase[Month 14],PerBase[exp_item],$H1014,PerBase[company_name],$B1014)*Y489)</f>
        <v>0</v>
      </c>
      <c r="Z1014" s="652">
        <f>IF($B1014="",,SUMIFS(PerBase[Month 15],PerBase[exp_item],$H1014,PerBase[company_name],$B1014)*Z489)</f>
        <v>0</v>
      </c>
      <c r="AA1014" s="652">
        <f>IF($B1014="",,SUMIFS(PerBase[Month 16],PerBase[exp_item],$H1014,PerBase[company_name],$B1014)*AA489)</f>
        <v>0</v>
      </c>
      <c r="AB1014" s="652">
        <f>IF($B1014="",,SUMIFS(PerBase[Month 17],PerBase[exp_item],$H1014,PerBase[company_name],$B1014)*AB489)</f>
        <v>0</v>
      </c>
      <c r="AC1014" s="652">
        <f>IF($B1014="",,SUMIFS(PerBase[Month 18],PerBase[exp_item],$H1014,PerBase[company_name],$B1014)*AC489)</f>
        <v>0</v>
      </c>
      <c r="AD1014" s="652">
        <f>IF($B1014="",,SUMIFS(PerBase[Month 19],PerBase[exp_item],$H1014,PerBase[company_name],$B1014)*AD489)</f>
        <v>0</v>
      </c>
      <c r="AE1014" s="652">
        <f>IF($B1014="",,SUMIFS(PerBase[Month 20],PerBase[exp_item],$H1014,PerBase[company_name],$B1014)*AE489)</f>
        <v>0</v>
      </c>
      <c r="AF1014" s="652">
        <f>IF($B1014="",,SUMIFS(PerBase[Month 21],PerBase[exp_item],$H1014,PerBase[company_name],$B1014)*AF489)</f>
        <v>0</v>
      </c>
      <c r="AG1014" s="652">
        <f>IF($B1014="",,SUMIFS(PerBase[Month 22],PerBase[exp_item],$H1014,PerBase[company_name],$B1014)*AG489)</f>
        <v>0</v>
      </c>
      <c r="AH1014" s="652">
        <f>IF($B1014="",,SUMIFS(PerBase[Month 23],PerBase[exp_item],$H1014,PerBase[company_name],$B1014)*AH489)</f>
        <v>0</v>
      </c>
      <c r="AI1014" s="652">
        <f>IF($B1014="",,SUMIFS(PerBase[Month 24],PerBase[exp_item],$H1014,PerBase[company_name],$B1014)*AI489)</f>
        <v>0</v>
      </c>
      <c r="AJ1014" s="652">
        <f>IF($B1014="",,SUMIFS(PerBase[Month 25],PerBase[exp_item],$H1014,PerBase[company_name],$B1014)*AJ489)</f>
        <v>0</v>
      </c>
      <c r="AK1014" s="652">
        <f>IF($B1014="",,SUMIFS(PerBase[Month 26],PerBase[exp_item],$H1014,PerBase[company_name],$B1014)*AK489)</f>
        <v>0</v>
      </c>
      <c r="AL1014" s="652">
        <f>IF($B1014="",,SUMIFS(PerBase[Month 27],PerBase[exp_item],$H1014,PerBase[company_name],$B1014)*AL489)</f>
        <v>0</v>
      </c>
      <c r="AM1014" s="652">
        <f>IF($B1014="",,SUMIFS(PerBase[Month 28],PerBase[exp_item],$H1014,PerBase[company_name],$B1014)*AM489)</f>
        <v>0</v>
      </c>
      <c r="AN1014" s="652">
        <f>IF($B1014="",,SUMIFS(PerBase[Month 29],PerBase[exp_item],$H1014,PerBase[company_name],$B1014)*AN489)</f>
        <v>0</v>
      </c>
      <c r="AO1014" s="652">
        <f>IF($B1014="",,SUMIFS(PerBase[Month 30],PerBase[exp_item],$H1014,PerBase[company_name],$B1014)*AO489)</f>
        <v>0</v>
      </c>
      <c r="AP1014" s="652">
        <f>IF($B1014="",,SUMIFS(PerBase[Month 31],PerBase[exp_item],$H1014,PerBase[company_name],$B1014)*AP489)</f>
        <v>0</v>
      </c>
      <c r="AQ1014" s="652">
        <f>IF($B1014="",,SUMIFS(PerBase[Month 32],PerBase[exp_item],$H1014,PerBase[company_name],$B1014)*AQ489)</f>
        <v>0</v>
      </c>
      <c r="AR1014" s="652">
        <f>IF($B1014="",,SUMIFS(PerBase[Month 33],PerBase[exp_item],$H1014,PerBase[company_name],$B1014)*AR489)</f>
        <v>0</v>
      </c>
      <c r="AS1014" s="652">
        <f>IF($B1014="",,SUMIFS(PerBase[Month 34],PerBase[exp_item],$H1014,PerBase[company_name],$B1014)*AS489)</f>
        <v>0</v>
      </c>
      <c r="AT1014" s="652">
        <f>IF($B1014="",,SUMIFS(PerBase[Month 35],PerBase[exp_item],$H1014,PerBase[company_name],$B1014)*AT489)</f>
        <v>0</v>
      </c>
      <c r="AU1014" s="652">
        <f>IF($B1014="",,SUMIFS(PerBase[Month 36],PerBase[exp_item],$H1014,PerBase[company_name],$B1014)*AU489)</f>
        <v>0</v>
      </c>
    </row>
    <row r="1015" spans="1:52" x14ac:dyDescent="0.35">
      <c r="B1015" t="str">
        <f t="shared" ref="B1015:G1015" si="654">IF(B910="","",B910)</f>
        <v/>
      </c>
      <c r="C1015" t="str">
        <f t="shared" si="654"/>
        <v/>
      </c>
      <c r="D1015" t="str">
        <f t="shared" si="654"/>
        <v/>
      </c>
      <c r="E1015" t="str">
        <f t="shared" si="654"/>
        <v/>
      </c>
      <c r="F1015" t="str">
        <f t="shared" si="654"/>
        <v/>
      </c>
      <c r="G1015" t="str">
        <f t="shared" si="654"/>
        <v/>
      </c>
      <c r="H1015" t="str">
        <f t="shared" si="622"/>
        <v/>
      </c>
      <c r="J1015" t="str">
        <f>IF($H1015="","",IF(VLOOKUP(H1015,ExpItems[],2,0),H1015&amp;" - "&amp;INDEX(DivisionMapping[category_code],MATCH($D1015&amp;$C1015,DivisionMapping[dept_bu],0)),H1015))</f>
        <v/>
      </c>
      <c r="K1015" t="str">
        <f t="shared" si="625"/>
        <v/>
      </c>
      <c r="L1015" s="652">
        <f>IF($B1015="",,SUMIFS(PerBase[Month 1],PerBase[exp_item],$H1015,PerBase[company_name],$B1015)*L490)</f>
        <v>0</v>
      </c>
      <c r="M1015" s="652">
        <f>IF($B1015="",,SUMIFS(PerBase[Month 2],PerBase[exp_item],$H1015,PerBase[company_name],$B1015)*M490)</f>
        <v>0</v>
      </c>
      <c r="N1015" s="652">
        <f>IF($B1015="",,SUMIFS(PerBase[Month 3],PerBase[exp_item],$H1015,PerBase[company_name],$B1015)*N490)</f>
        <v>0</v>
      </c>
      <c r="O1015" s="652">
        <f>IF($B1015="",,SUMIFS(PerBase[Month 4],PerBase[exp_item],$H1015,PerBase[company_name],$B1015)*O490)</f>
        <v>0</v>
      </c>
      <c r="P1015" s="652">
        <f>IF($B1015="",,SUMIFS(PerBase[Month 5],PerBase[exp_item],$H1015,PerBase[company_name],$B1015)*P490)</f>
        <v>0</v>
      </c>
      <c r="Q1015" s="652">
        <f>IF($B1015="",,SUMIFS(PerBase[Month 6],PerBase[exp_item],$H1015,PerBase[company_name],$B1015)*Q490)</f>
        <v>0</v>
      </c>
      <c r="R1015" s="652">
        <f>IF($B1015="",,SUMIFS(PerBase[Month 7],PerBase[exp_item],$H1015,PerBase[company_name],$B1015)*R490)</f>
        <v>0</v>
      </c>
      <c r="S1015" s="652">
        <f>IF($B1015="",,SUMIFS(PerBase[Month 8],PerBase[exp_item],$H1015,PerBase[company_name],$B1015)*S490)</f>
        <v>0</v>
      </c>
      <c r="T1015" s="652">
        <f>IF($B1015="",,SUMIFS(PerBase[Month 9],PerBase[exp_item],$H1015,PerBase[company_name],$B1015)*T490)</f>
        <v>0</v>
      </c>
      <c r="U1015" s="652">
        <f>IF($B1015="",,SUMIFS(PerBase[Month 10],PerBase[exp_item],$H1015,PerBase[company_name],$B1015)*U490)</f>
        <v>0</v>
      </c>
      <c r="V1015" s="652">
        <f>IF($B1015="",,SUMIFS(PerBase[Month 11],PerBase[exp_item],$H1015,PerBase[company_name],$B1015)*V490)</f>
        <v>0</v>
      </c>
      <c r="W1015" s="652">
        <f>IF($B1015="",,SUMIFS(PerBase[Month 12],PerBase[exp_item],$H1015,PerBase[company_name],$B1015)*W490)</f>
        <v>0</v>
      </c>
      <c r="X1015" s="652">
        <f>IF($B1015="",,SUMIFS(PerBase[Month 13],PerBase[exp_item],$H1015,PerBase[company_name],$B1015)*X490)</f>
        <v>0</v>
      </c>
      <c r="Y1015" s="652">
        <f>IF($B1015="",,SUMIFS(PerBase[Month 14],PerBase[exp_item],$H1015,PerBase[company_name],$B1015)*Y490)</f>
        <v>0</v>
      </c>
      <c r="Z1015" s="652">
        <f>IF($B1015="",,SUMIFS(PerBase[Month 15],PerBase[exp_item],$H1015,PerBase[company_name],$B1015)*Z490)</f>
        <v>0</v>
      </c>
      <c r="AA1015" s="652">
        <f>IF($B1015="",,SUMIFS(PerBase[Month 16],PerBase[exp_item],$H1015,PerBase[company_name],$B1015)*AA490)</f>
        <v>0</v>
      </c>
      <c r="AB1015" s="652">
        <f>IF($B1015="",,SUMIFS(PerBase[Month 17],PerBase[exp_item],$H1015,PerBase[company_name],$B1015)*AB490)</f>
        <v>0</v>
      </c>
      <c r="AC1015" s="652">
        <f>IF($B1015="",,SUMIFS(PerBase[Month 18],PerBase[exp_item],$H1015,PerBase[company_name],$B1015)*AC490)</f>
        <v>0</v>
      </c>
      <c r="AD1015" s="652">
        <f>IF($B1015="",,SUMIFS(PerBase[Month 19],PerBase[exp_item],$H1015,PerBase[company_name],$B1015)*AD490)</f>
        <v>0</v>
      </c>
      <c r="AE1015" s="652">
        <f>IF($B1015="",,SUMIFS(PerBase[Month 20],PerBase[exp_item],$H1015,PerBase[company_name],$B1015)*AE490)</f>
        <v>0</v>
      </c>
      <c r="AF1015" s="652">
        <f>IF($B1015="",,SUMIFS(PerBase[Month 21],PerBase[exp_item],$H1015,PerBase[company_name],$B1015)*AF490)</f>
        <v>0</v>
      </c>
      <c r="AG1015" s="652">
        <f>IF($B1015="",,SUMIFS(PerBase[Month 22],PerBase[exp_item],$H1015,PerBase[company_name],$B1015)*AG490)</f>
        <v>0</v>
      </c>
      <c r="AH1015" s="652">
        <f>IF($B1015="",,SUMIFS(PerBase[Month 23],PerBase[exp_item],$H1015,PerBase[company_name],$B1015)*AH490)</f>
        <v>0</v>
      </c>
      <c r="AI1015" s="652">
        <f>IF($B1015="",,SUMIFS(PerBase[Month 24],PerBase[exp_item],$H1015,PerBase[company_name],$B1015)*AI490)</f>
        <v>0</v>
      </c>
      <c r="AJ1015" s="652">
        <f>IF($B1015="",,SUMIFS(PerBase[Month 25],PerBase[exp_item],$H1015,PerBase[company_name],$B1015)*AJ490)</f>
        <v>0</v>
      </c>
      <c r="AK1015" s="652">
        <f>IF($B1015="",,SUMIFS(PerBase[Month 26],PerBase[exp_item],$H1015,PerBase[company_name],$B1015)*AK490)</f>
        <v>0</v>
      </c>
      <c r="AL1015" s="652">
        <f>IF($B1015="",,SUMIFS(PerBase[Month 27],PerBase[exp_item],$H1015,PerBase[company_name],$B1015)*AL490)</f>
        <v>0</v>
      </c>
      <c r="AM1015" s="652">
        <f>IF($B1015="",,SUMIFS(PerBase[Month 28],PerBase[exp_item],$H1015,PerBase[company_name],$B1015)*AM490)</f>
        <v>0</v>
      </c>
      <c r="AN1015" s="652">
        <f>IF($B1015="",,SUMIFS(PerBase[Month 29],PerBase[exp_item],$H1015,PerBase[company_name],$B1015)*AN490)</f>
        <v>0</v>
      </c>
      <c r="AO1015" s="652">
        <f>IF($B1015="",,SUMIFS(PerBase[Month 30],PerBase[exp_item],$H1015,PerBase[company_name],$B1015)*AO490)</f>
        <v>0</v>
      </c>
      <c r="AP1015" s="652">
        <f>IF($B1015="",,SUMIFS(PerBase[Month 31],PerBase[exp_item],$H1015,PerBase[company_name],$B1015)*AP490)</f>
        <v>0</v>
      </c>
      <c r="AQ1015" s="652">
        <f>IF($B1015="",,SUMIFS(PerBase[Month 32],PerBase[exp_item],$H1015,PerBase[company_name],$B1015)*AQ490)</f>
        <v>0</v>
      </c>
      <c r="AR1015" s="652">
        <f>IF($B1015="",,SUMIFS(PerBase[Month 33],PerBase[exp_item],$H1015,PerBase[company_name],$B1015)*AR490)</f>
        <v>0</v>
      </c>
      <c r="AS1015" s="652">
        <f>IF($B1015="",,SUMIFS(PerBase[Month 34],PerBase[exp_item],$H1015,PerBase[company_name],$B1015)*AS490)</f>
        <v>0</v>
      </c>
      <c r="AT1015" s="652">
        <f>IF($B1015="",,SUMIFS(PerBase[Month 35],PerBase[exp_item],$H1015,PerBase[company_name],$B1015)*AT490)</f>
        <v>0</v>
      </c>
      <c r="AU1015" s="652">
        <f>IF($B1015="",,SUMIFS(PerBase[Month 36],PerBase[exp_item],$H1015,PerBase[company_name],$B1015)*AU490)</f>
        <v>0</v>
      </c>
    </row>
    <row r="1016" spans="1:52" x14ac:dyDescent="0.35">
      <c r="B1016" t="str">
        <f t="shared" ref="B1016:G1016" si="655">IF(B911="","",B911)</f>
        <v/>
      </c>
      <c r="C1016" t="str">
        <f t="shared" si="655"/>
        <v/>
      </c>
      <c r="D1016" t="str">
        <f t="shared" si="655"/>
        <v/>
      </c>
      <c r="E1016" t="str">
        <f t="shared" si="655"/>
        <v/>
      </c>
      <c r="F1016" t="str">
        <f t="shared" si="655"/>
        <v/>
      </c>
      <c r="G1016" t="str">
        <f t="shared" si="655"/>
        <v/>
      </c>
      <c r="H1016" t="str">
        <f t="shared" si="622"/>
        <v/>
      </c>
      <c r="J1016" t="str">
        <f>IF($H1016="","",IF(VLOOKUP(H1016,ExpItems[],2,0),H1016&amp;" - "&amp;INDEX(DivisionMapping[category_code],MATCH($D1016&amp;$C1016,DivisionMapping[dept_bu],0)),H1016))</f>
        <v/>
      </c>
      <c r="K1016" t="str">
        <f t="shared" si="625"/>
        <v/>
      </c>
      <c r="L1016" s="652">
        <f>IF($B1016="",,SUMIFS(PerBase[Month 1],PerBase[exp_item],$H1016,PerBase[company_name],$B1016)*L491)</f>
        <v>0</v>
      </c>
      <c r="M1016" s="652">
        <f>IF($B1016="",,SUMIFS(PerBase[Month 2],PerBase[exp_item],$H1016,PerBase[company_name],$B1016)*M491)</f>
        <v>0</v>
      </c>
      <c r="N1016" s="652">
        <f>IF($B1016="",,SUMIFS(PerBase[Month 3],PerBase[exp_item],$H1016,PerBase[company_name],$B1016)*N491)</f>
        <v>0</v>
      </c>
      <c r="O1016" s="652">
        <f>IF($B1016="",,SUMIFS(PerBase[Month 4],PerBase[exp_item],$H1016,PerBase[company_name],$B1016)*O491)</f>
        <v>0</v>
      </c>
      <c r="P1016" s="652">
        <f>IF($B1016="",,SUMIFS(PerBase[Month 5],PerBase[exp_item],$H1016,PerBase[company_name],$B1016)*P491)</f>
        <v>0</v>
      </c>
      <c r="Q1016" s="652">
        <f>IF($B1016="",,SUMIFS(PerBase[Month 6],PerBase[exp_item],$H1016,PerBase[company_name],$B1016)*Q491)</f>
        <v>0</v>
      </c>
      <c r="R1016" s="652">
        <f>IF($B1016="",,SUMIFS(PerBase[Month 7],PerBase[exp_item],$H1016,PerBase[company_name],$B1016)*R491)</f>
        <v>0</v>
      </c>
      <c r="S1016" s="652">
        <f>IF($B1016="",,SUMIFS(PerBase[Month 8],PerBase[exp_item],$H1016,PerBase[company_name],$B1016)*S491)</f>
        <v>0</v>
      </c>
      <c r="T1016" s="652">
        <f>IF($B1016="",,SUMIFS(PerBase[Month 9],PerBase[exp_item],$H1016,PerBase[company_name],$B1016)*T491)</f>
        <v>0</v>
      </c>
      <c r="U1016" s="652">
        <f>IF($B1016="",,SUMIFS(PerBase[Month 10],PerBase[exp_item],$H1016,PerBase[company_name],$B1016)*U491)</f>
        <v>0</v>
      </c>
      <c r="V1016" s="652">
        <f>IF($B1016="",,SUMIFS(PerBase[Month 11],PerBase[exp_item],$H1016,PerBase[company_name],$B1016)*V491)</f>
        <v>0</v>
      </c>
      <c r="W1016" s="652">
        <f>IF($B1016="",,SUMIFS(PerBase[Month 12],PerBase[exp_item],$H1016,PerBase[company_name],$B1016)*W491)</f>
        <v>0</v>
      </c>
      <c r="X1016" s="652">
        <f>IF($B1016="",,SUMIFS(PerBase[Month 13],PerBase[exp_item],$H1016,PerBase[company_name],$B1016)*X491)</f>
        <v>0</v>
      </c>
      <c r="Y1016" s="652">
        <f>IF($B1016="",,SUMIFS(PerBase[Month 14],PerBase[exp_item],$H1016,PerBase[company_name],$B1016)*Y491)</f>
        <v>0</v>
      </c>
      <c r="Z1016" s="652">
        <f>IF($B1016="",,SUMIFS(PerBase[Month 15],PerBase[exp_item],$H1016,PerBase[company_name],$B1016)*Z491)</f>
        <v>0</v>
      </c>
      <c r="AA1016" s="652">
        <f>IF($B1016="",,SUMIFS(PerBase[Month 16],PerBase[exp_item],$H1016,PerBase[company_name],$B1016)*AA491)</f>
        <v>0</v>
      </c>
      <c r="AB1016" s="652">
        <f>IF($B1016="",,SUMIFS(PerBase[Month 17],PerBase[exp_item],$H1016,PerBase[company_name],$B1016)*AB491)</f>
        <v>0</v>
      </c>
      <c r="AC1016" s="652">
        <f>IF($B1016="",,SUMIFS(PerBase[Month 18],PerBase[exp_item],$H1016,PerBase[company_name],$B1016)*AC491)</f>
        <v>0</v>
      </c>
      <c r="AD1016" s="652">
        <f>IF($B1016="",,SUMIFS(PerBase[Month 19],PerBase[exp_item],$H1016,PerBase[company_name],$B1016)*AD491)</f>
        <v>0</v>
      </c>
      <c r="AE1016" s="652">
        <f>IF($B1016="",,SUMIFS(PerBase[Month 20],PerBase[exp_item],$H1016,PerBase[company_name],$B1016)*AE491)</f>
        <v>0</v>
      </c>
      <c r="AF1016" s="652">
        <f>IF($B1016="",,SUMIFS(PerBase[Month 21],PerBase[exp_item],$H1016,PerBase[company_name],$B1016)*AF491)</f>
        <v>0</v>
      </c>
      <c r="AG1016" s="652">
        <f>IF($B1016="",,SUMIFS(PerBase[Month 22],PerBase[exp_item],$H1016,PerBase[company_name],$B1016)*AG491)</f>
        <v>0</v>
      </c>
      <c r="AH1016" s="652">
        <f>IF($B1016="",,SUMIFS(PerBase[Month 23],PerBase[exp_item],$H1016,PerBase[company_name],$B1016)*AH491)</f>
        <v>0</v>
      </c>
      <c r="AI1016" s="652">
        <f>IF($B1016="",,SUMIFS(PerBase[Month 24],PerBase[exp_item],$H1016,PerBase[company_name],$B1016)*AI491)</f>
        <v>0</v>
      </c>
      <c r="AJ1016" s="652">
        <f>IF($B1016="",,SUMIFS(PerBase[Month 25],PerBase[exp_item],$H1016,PerBase[company_name],$B1016)*AJ491)</f>
        <v>0</v>
      </c>
      <c r="AK1016" s="652">
        <f>IF($B1016="",,SUMIFS(PerBase[Month 26],PerBase[exp_item],$H1016,PerBase[company_name],$B1016)*AK491)</f>
        <v>0</v>
      </c>
      <c r="AL1016" s="652">
        <f>IF($B1016="",,SUMIFS(PerBase[Month 27],PerBase[exp_item],$H1016,PerBase[company_name],$B1016)*AL491)</f>
        <v>0</v>
      </c>
      <c r="AM1016" s="652">
        <f>IF($B1016="",,SUMIFS(PerBase[Month 28],PerBase[exp_item],$H1016,PerBase[company_name],$B1016)*AM491)</f>
        <v>0</v>
      </c>
      <c r="AN1016" s="652">
        <f>IF($B1016="",,SUMIFS(PerBase[Month 29],PerBase[exp_item],$H1016,PerBase[company_name],$B1016)*AN491)</f>
        <v>0</v>
      </c>
      <c r="AO1016" s="652">
        <f>IF($B1016="",,SUMIFS(PerBase[Month 30],PerBase[exp_item],$H1016,PerBase[company_name],$B1016)*AO491)</f>
        <v>0</v>
      </c>
      <c r="AP1016" s="652">
        <f>IF($B1016="",,SUMIFS(PerBase[Month 31],PerBase[exp_item],$H1016,PerBase[company_name],$B1016)*AP491)</f>
        <v>0</v>
      </c>
      <c r="AQ1016" s="652">
        <f>IF($B1016="",,SUMIFS(PerBase[Month 32],PerBase[exp_item],$H1016,PerBase[company_name],$B1016)*AQ491)</f>
        <v>0</v>
      </c>
      <c r="AR1016" s="652">
        <f>IF($B1016="",,SUMIFS(PerBase[Month 33],PerBase[exp_item],$H1016,PerBase[company_name],$B1016)*AR491)</f>
        <v>0</v>
      </c>
      <c r="AS1016" s="652">
        <f>IF($B1016="",,SUMIFS(PerBase[Month 34],PerBase[exp_item],$H1016,PerBase[company_name],$B1016)*AS491)</f>
        <v>0</v>
      </c>
      <c r="AT1016" s="652">
        <f>IF($B1016="",,SUMIFS(PerBase[Month 35],PerBase[exp_item],$H1016,PerBase[company_name],$B1016)*AT491)</f>
        <v>0</v>
      </c>
      <c r="AU1016" s="652">
        <f>IF($B1016="",,SUMIFS(PerBase[Month 36],PerBase[exp_item],$H1016,PerBase[company_name],$B1016)*AU491)</f>
        <v>0</v>
      </c>
    </row>
    <row r="1017" spans="1:52" x14ac:dyDescent="0.35">
      <c r="B1017" t="str">
        <f t="shared" ref="B1017:G1017" si="656">IF(B912="","",B912)</f>
        <v/>
      </c>
      <c r="C1017" t="str">
        <f t="shared" si="656"/>
        <v/>
      </c>
      <c r="D1017" t="str">
        <f t="shared" si="656"/>
        <v/>
      </c>
      <c r="E1017" t="str">
        <f t="shared" si="656"/>
        <v/>
      </c>
      <c r="F1017" t="str">
        <f t="shared" si="656"/>
        <v/>
      </c>
      <c r="G1017" t="str">
        <f t="shared" si="656"/>
        <v/>
      </c>
      <c r="H1017" t="str">
        <f t="shared" si="622"/>
        <v/>
      </c>
      <c r="J1017" t="str">
        <f>IF($H1017="","",IF(VLOOKUP(H1017,ExpItems[],2,0),H1017&amp;" - "&amp;INDEX(DivisionMapping[category_code],MATCH($D1017&amp;$C1017,DivisionMapping[dept_bu],0)),H1017))</f>
        <v/>
      </c>
      <c r="K1017" t="str">
        <f t="shared" si="625"/>
        <v/>
      </c>
      <c r="L1017" s="652">
        <f>IF($B1017="",,SUMIFS(PerBase[Month 1],PerBase[exp_item],$H1017,PerBase[company_name],$B1017)*L492)</f>
        <v>0</v>
      </c>
      <c r="M1017" s="652">
        <f>IF($B1017="",,SUMIFS(PerBase[Month 2],PerBase[exp_item],$H1017,PerBase[company_name],$B1017)*M492)</f>
        <v>0</v>
      </c>
      <c r="N1017" s="652">
        <f>IF($B1017="",,SUMIFS(PerBase[Month 3],PerBase[exp_item],$H1017,PerBase[company_name],$B1017)*N492)</f>
        <v>0</v>
      </c>
      <c r="O1017" s="652">
        <f>IF($B1017="",,SUMIFS(PerBase[Month 4],PerBase[exp_item],$H1017,PerBase[company_name],$B1017)*O492)</f>
        <v>0</v>
      </c>
      <c r="P1017" s="652">
        <f>IF($B1017="",,SUMIFS(PerBase[Month 5],PerBase[exp_item],$H1017,PerBase[company_name],$B1017)*P492)</f>
        <v>0</v>
      </c>
      <c r="Q1017" s="652">
        <f>IF($B1017="",,SUMIFS(PerBase[Month 6],PerBase[exp_item],$H1017,PerBase[company_name],$B1017)*Q492)</f>
        <v>0</v>
      </c>
      <c r="R1017" s="652">
        <f>IF($B1017="",,SUMIFS(PerBase[Month 7],PerBase[exp_item],$H1017,PerBase[company_name],$B1017)*R492)</f>
        <v>0</v>
      </c>
      <c r="S1017" s="652">
        <f>IF($B1017="",,SUMIFS(PerBase[Month 8],PerBase[exp_item],$H1017,PerBase[company_name],$B1017)*S492)</f>
        <v>0</v>
      </c>
      <c r="T1017" s="652">
        <f>IF($B1017="",,SUMIFS(PerBase[Month 9],PerBase[exp_item],$H1017,PerBase[company_name],$B1017)*T492)</f>
        <v>0</v>
      </c>
      <c r="U1017" s="652">
        <f>IF($B1017="",,SUMIFS(PerBase[Month 10],PerBase[exp_item],$H1017,PerBase[company_name],$B1017)*U492)</f>
        <v>0</v>
      </c>
      <c r="V1017" s="652">
        <f>IF($B1017="",,SUMIFS(PerBase[Month 11],PerBase[exp_item],$H1017,PerBase[company_name],$B1017)*V492)</f>
        <v>0</v>
      </c>
      <c r="W1017" s="652">
        <f>IF($B1017="",,SUMIFS(PerBase[Month 12],PerBase[exp_item],$H1017,PerBase[company_name],$B1017)*W492)</f>
        <v>0</v>
      </c>
      <c r="X1017" s="652">
        <f>IF($B1017="",,SUMIFS(PerBase[Month 13],PerBase[exp_item],$H1017,PerBase[company_name],$B1017)*X492)</f>
        <v>0</v>
      </c>
      <c r="Y1017" s="652">
        <f>IF($B1017="",,SUMIFS(PerBase[Month 14],PerBase[exp_item],$H1017,PerBase[company_name],$B1017)*Y492)</f>
        <v>0</v>
      </c>
      <c r="Z1017" s="652">
        <f>IF($B1017="",,SUMIFS(PerBase[Month 15],PerBase[exp_item],$H1017,PerBase[company_name],$B1017)*Z492)</f>
        <v>0</v>
      </c>
      <c r="AA1017" s="652">
        <f>IF($B1017="",,SUMIFS(PerBase[Month 16],PerBase[exp_item],$H1017,PerBase[company_name],$B1017)*AA492)</f>
        <v>0</v>
      </c>
      <c r="AB1017" s="652">
        <f>IF($B1017="",,SUMIFS(PerBase[Month 17],PerBase[exp_item],$H1017,PerBase[company_name],$B1017)*AB492)</f>
        <v>0</v>
      </c>
      <c r="AC1017" s="652">
        <f>IF($B1017="",,SUMIFS(PerBase[Month 18],PerBase[exp_item],$H1017,PerBase[company_name],$B1017)*AC492)</f>
        <v>0</v>
      </c>
      <c r="AD1017" s="652">
        <f>IF($B1017="",,SUMIFS(PerBase[Month 19],PerBase[exp_item],$H1017,PerBase[company_name],$B1017)*AD492)</f>
        <v>0</v>
      </c>
      <c r="AE1017" s="652">
        <f>IF($B1017="",,SUMIFS(PerBase[Month 20],PerBase[exp_item],$H1017,PerBase[company_name],$B1017)*AE492)</f>
        <v>0</v>
      </c>
      <c r="AF1017" s="652">
        <f>IF($B1017="",,SUMIFS(PerBase[Month 21],PerBase[exp_item],$H1017,PerBase[company_name],$B1017)*AF492)</f>
        <v>0</v>
      </c>
      <c r="AG1017" s="652">
        <f>IF($B1017="",,SUMIFS(PerBase[Month 22],PerBase[exp_item],$H1017,PerBase[company_name],$B1017)*AG492)</f>
        <v>0</v>
      </c>
      <c r="AH1017" s="652">
        <f>IF($B1017="",,SUMIFS(PerBase[Month 23],PerBase[exp_item],$H1017,PerBase[company_name],$B1017)*AH492)</f>
        <v>0</v>
      </c>
      <c r="AI1017" s="652">
        <f>IF($B1017="",,SUMIFS(PerBase[Month 24],PerBase[exp_item],$H1017,PerBase[company_name],$B1017)*AI492)</f>
        <v>0</v>
      </c>
      <c r="AJ1017" s="652">
        <f>IF($B1017="",,SUMIFS(PerBase[Month 25],PerBase[exp_item],$H1017,PerBase[company_name],$B1017)*AJ492)</f>
        <v>0</v>
      </c>
      <c r="AK1017" s="652">
        <f>IF($B1017="",,SUMIFS(PerBase[Month 26],PerBase[exp_item],$H1017,PerBase[company_name],$B1017)*AK492)</f>
        <v>0</v>
      </c>
      <c r="AL1017" s="652">
        <f>IF($B1017="",,SUMIFS(PerBase[Month 27],PerBase[exp_item],$H1017,PerBase[company_name],$B1017)*AL492)</f>
        <v>0</v>
      </c>
      <c r="AM1017" s="652">
        <f>IF($B1017="",,SUMIFS(PerBase[Month 28],PerBase[exp_item],$H1017,PerBase[company_name],$B1017)*AM492)</f>
        <v>0</v>
      </c>
      <c r="AN1017" s="652">
        <f>IF($B1017="",,SUMIFS(PerBase[Month 29],PerBase[exp_item],$H1017,PerBase[company_name],$B1017)*AN492)</f>
        <v>0</v>
      </c>
      <c r="AO1017" s="652">
        <f>IF($B1017="",,SUMIFS(PerBase[Month 30],PerBase[exp_item],$H1017,PerBase[company_name],$B1017)*AO492)</f>
        <v>0</v>
      </c>
      <c r="AP1017" s="652">
        <f>IF($B1017="",,SUMIFS(PerBase[Month 31],PerBase[exp_item],$H1017,PerBase[company_name],$B1017)*AP492)</f>
        <v>0</v>
      </c>
      <c r="AQ1017" s="652">
        <f>IF($B1017="",,SUMIFS(PerBase[Month 32],PerBase[exp_item],$H1017,PerBase[company_name],$B1017)*AQ492)</f>
        <v>0</v>
      </c>
      <c r="AR1017" s="652">
        <f>IF($B1017="",,SUMIFS(PerBase[Month 33],PerBase[exp_item],$H1017,PerBase[company_name],$B1017)*AR492)</f>
        <v>0</v>
      </c>
      <c r="AS1017" s="652">
        <f>IF($B1017="",,SUMIFS(PerBase[Month 34],PerBase[exp_item],$H1017,PerBase[company_name],$B1017)*AS492)</f>
        <v>0</v>
      </c>
      <c r="AT1017" s="652">
        <f>IF($B1017="",,SUMIFS(PerBase[Month 35],PerBase[exp_item],$H1017,PerBase[company_name],$B1017)*AT492)</f>
        <v>0</v>
      </c>
      <c r="AU1017" s="652">
        <f>IF($B1017="",,SUMIFS(PerBase[Month 36],PerBase[exp_item],$H1017,PerBase[company_name],$B1017)*AU492)</f>
        <v>0</v>
      </c>
    </row>
    <row r="1018" spans="1:52" x14ac:dyDescent="0.35">
      <c r="B1018" t="str">
        <f t="shared" ref="B1018:G1018" si="657">IF(B913="","",B913)</f>
        <v/>
      </c>
      <c r="C1018" t="str">
        <f t="shared" si="657"/>
        <v/>
      </c>
      <c r="D1018" t="str">
        <f t="shared" si="657"/>
        <v/>
      </c>
      <c r="E1018" t="str">
        <f t="shared" si="657"/>
        <v/>
      </c>
      <c r="F1018" t="str">
        <f t="shared" si="657"/>
        <v/>
      </c>
      <c r="G1018" t="str">
        <f t="shared" si="657"/>
        <v/>
      </c>
      <c r="H1018" t="str">
        <f t="shared" si="622"/>
        <v/>
      </c>
      <c r="J1018" t="str">
        <f>IF($H1018="","",IF(VLOOKUP(H1018,ExpItems[],2,0),H1018&amp;" - "&amp;INDEX(DivisionMapping[category_code],MATCH($D1018&amp;$C1018,DivisionMapping[dept_bu],0)),H1018))</f>
        <v/>
      </c>
      <c r="K1018" t="str">
        <f t="shared" si="625"/>
        <v/>
      </c>
      <c r="L1018" s="652">
        <f>IF($B1018="",,SUMIFS(PerBase[Month 1],PerBase[exp_item],$H1018,PerBase[company_name],$B1018)*L493)</f>
        <v>0</v>
      </c>
      <c r="M1018" s="652">
        <f>IF($B1018="",,SUMIFS(PerBase[Month 2],PerBase[exp_item],$H1018,PerBase[company_name],$B1018)*M493)</f>
        <v>0</v>
      </c>
      <c r="N1018" s="652">
        <f>IF($B1018="",,SUMIFS(PerBase[Month 3],PerBase[exp_item],$H1018,PerBase[company_name],$B1018)*N493)</f>
        <v>0</v>
      </c>
      <c r="O1018" s="652">
        <f>IF($B1018="",,SUMIFS(PerBase[Month 4],PerBase[exp_item],$H1018,PerBase[company_name],$B1018)*O493)</f>
        <v>0</v>
      </c>
      <c r="P1018" s="652">
        <f>IF($B1018="",,SUMIFS(PerBase[Month 5],PerBase[exp_item],$H1018,PerBase[company_name],$B1018)*P493)</f>
        <v>0</v>
      </c>
      <c r="Q1018" s="652">
        <f>IF($B1018="",,SUMIFS(PerBase[Month 6],PerBase[exp_item],$H1018,PerBase[company_name],$B1018)*Q493)</f>
        <v>0</v>
      </c>
      <c r="R1018" s="652">
        <f>IF($B1018="",,SUMIFS(PerBase[Month 7],PerBase[exp_item],$H1018,PerBase[company_name],$B1018)*R493)</f>
        <v>0</v>
      </c>
      <c r="S1018" s="652">
        <f>IF($B1018="",,SUMIFS(PerBase[Month 8],PerBase[exp_item],$H1018,PerBase[company_name],$B1018)*S493)</f>
        <v>0</v>
      </c>
      <c r="T1018" s="652">
        <f>IF($B1018="",,SUMIFS(PerBase[Month 9],PerBase[exp_item],$H1018,PerBase[company_name],$B1018)*T493)</f>
        <v>0</v>
      </c>
      <c r="U1018" s="652">
        <f>IF($B1018="",,SUMIFS(PerBase[Month 10],PerBase[exp_item],$H1018,PerBase[company_name],$B1018)*U493)</f>
        <v>0</v>
      </c>
      <c r="V1018" s="652">
        <f>IF($B1018="",,SUMIFS(PerBase[Month 11],PerBase[exp_item],$H1018,PerBase[company_name],$B1018)*V493)</f>
        <v>0</v>
      </c>
      <c r="W1018" s="652">
        <f>IF($B1018="",,SUMIFS(PerBase[Month 12],PerBase[exp_item],$H1018,PerBase[company_name],$B1018)*W493)</f>
        <v>0</v>
      </c>
      <c r="X1018" s="652">
        <f>IF($B1018="",,SUMIFS(PerBase[Month 13],PerBase[exp_item],$H1018,PerBase[company_name],$B1018)*X493)</f>
        <v>0</v>
      </c>
      <c r="Y1018" s="652">
        <f>IF($B1018="",,SUMIFS(PerBase[Month 14],PerBase[exp_item],$H1018,PerBase[company_name],$B1018)*Y493)</f>
        <v>0</v>
      </c>
      <c r="Z1018" s="652">
        <f>IF($B1018="",,SUMIFS(PerBase[Month 15],PerBase[exp_item],$H1018,PerBase[company_name],$B1018)*Z493)</f>
        <v>0</v>
      </c>
      <c r="AA1018" s="652">
        <f>IF($B1018="",,SUMIFS(PerBase[Month 16],PerBase[exp_item],$H1018,PerBase[company_name],$B1018)*AA493)</f>
        <v>0</v>
      </c>
      <c r="AB1018" s="652">
        <f>IF($B1018="",,SUMIFS(PerBase[Month 17],PerBase[exp_item],$H1018,PerBase[company_name],$B1018)*AB493)</f>
        <v>0</v>
      </c>
      <c r="AC1018" s="652">
        <f>IF($B1018="",,SUMIFS(PerBase[Month 18],PerBase[exp_item],$H1018,PerBase[company_name],$B1018)*AC493)</f>
        <v>0</v>
      </c>
      <c r="AD1018" s="652">
        <f>IF($B1018="",,SUMIFS(PerBase[Month 19],PerBase[exp_item],$H1018,PerBase[company_name],$B1018)*AD493)</f>
        <v>0</v>
      </c>
      <c r="AE1018" s="652">
        <f>IF($B1018="",,SUMIFS(PerBase[Month 20],PerBase[exp_item],$H1018,PerBase[company_name],$B1018)*AE493)</f>
        <v>0</v>
      </c>
      <c r="AF1018" s="652">
        <f>IF($B1018="",,SUMIFS(PerBase[Month 21],PerBase[exp_item],$H1018,PerBase[company_name],$B1018)*AF493)</f>
        <v>0</v>
      </c>
      <c r="AG1018" s="652">
        <f>IF($B1018="",,SUMIFS(PerBase[Month 22],PerBase[exp_item],$H1018,PerBase[company_name],$B1018)*AG493)</f>
        <v>0</v>
      </c>
      <c r="AH1018" s="652">
        <f>IF($B1018="",,SUMIFS(PerBase[Month 23],PerBase[exp_item],$H1018,PerBase[company_name],$B1018)*AH493)</f>
        <v>0</v>
      </c>
      <c r="AI1018" s="652">
        <f>IF($B1018="",,SUMIFS(PerBase[Month 24],PerBase[exp_item],$H1018,PerBase[company_name],$B1018)*AI493)</f>
        <v>0</v>
      </c>
      <c r="AJ1018" s="652">
        <f>IF($B1018="",,SUMIFS(PerBase[Month 25],PerBase[exp_item],$H1018,PerBase[company_name],$B1018)*AJ493)</f>
        <v>0</v>
      </c>
      <c r="AK1018" s="652">
        <f>IF($B1018="",,SUMIFS(PerBase[Month 26],PerBase[exp_item],$H1018,PerBase[company_name],$B1018)*AK493)</f>
        <v>0</v>
      </c>
      <c r="AL1018" s="652">
        <f>IF($B1018="",,SUMIFS(PerBase[Month 27],PerBase[exp_item],$H1018,PerBase[company_name],$B1018)*AL493)</f>
        <v>0</v>
      </c>
      <c r="AM1018" s="652">
        <f>IF($B1018="",,SUMIFS(PerBase[Month 28],PerBase[exp_item],$H1018,PerBase[company_name],$B1018)*AM493)</f>
        <v>0</v>
      </c>
      <c r="AN1018" s="652">
        <f>IF($B1018="",,SUMIFS(PerBase[Month 29],PerBase[exp_item],$H1018,PerBase[company_name],$B1018)*AN493)</f>
        <v>0</v>
      </c>
      <c r="AO1018" s="652">
        <f>IF($B1018="",,SUMIFS(PerBase[Month 30],PerBase[exp_item],$H1018,PerBase[company_name],$B1018)*AO493)</f>
        <v>0</v>
      </c>
      <c r="AP1018" s="652">
        <f>IF($B1018="",,SUMIFS(PerBase[Month 31],PerBase[exp_item],$H1018,PerBase[company_name],$B1018)*AP493)</f>
        <v>0</v>
      </c>
      <c r="AQ1018" s="652">
        <f>IF($B1018="",,SUMIFS(PerBase[Month 32],PerBase[exp_item],$H1018,PerBase[company_name],$B1018)*AQ493)</f>
        <v>0</v>
      </c>
      <c r="AR1018" s="652">
        <f>IF($B1018="",,SUMIFS(PerBase[Month 33],PerBase[exp_item],$H1018,PerBase[company_name],$B1018)*AR493)</f>
        <v>0</v>
      </c>
      <c r="AS1018" s="652">
        <f>IF($B1018="",,SUMIFS(PerBase[Month 34],PerBase[exp_item],$H1018,PerBase[company_name],$B1018)*AS493)</f>
        <v>0</v>
      </c>
      <c r="AT1018" s="652">
        <f>IF($B1018="",,SUMIFS(PerBase[Month 35],PerBase[exp_item],$H1018,PerBase[company_name],$B1018)*AT493)</f>
        <v>0</v>
      </c>
      <c r="AU1018" s="652">
        <f>IF($B1018="",,SUMIFS(PerBase[Month 36],PerBase[exp_item],$H1018,PerBase[company_name],$B1018)*AU493)</f>
        <v>0</v>
      </c>
    </row>
    <row r="1019" spans="1:52" x14ac:dyDescent="0.35">
      <c r="B1019" t="str">
        <f t="shared" ref="B1019:G1019" si="658">IF(B914="","",B914)</f>
        <v/>
      </c>
      <c r="C1019" t="str">
        <f t="shared" si="658"/>
        <v/>
      </c>
      <c r="D1019" t="str">
        <f t="shared" si="658"/>
        <v/>
      </c>
      <c r="E1019" t="str">
        <f t="shared" si="658"/>
        <v/>
      </c>
      <c r="F1019" t="str">
        <f t="shared" si="658"/>
        <v/>
      </c>
      <c r="G1019" t="str">
        <f t="shared" si="658"/>
        <v/>
      </c>
      <c r="H1019" t="str">
        <f t="shared" si="622"/>
        <v/>
      </c>
      <c r="J1019" t="str">
        <f>IF($H1019="","",IF(VLOOKUP(H1019,ExpItems[],2,0),H1019&amp;" - "&amp;INDEX(DivisionMapping[category_code],MATCH($D1019&amp;$C1019,DivisionMapping[dept_bu],0)),H1019))</f>
        <v/>
      </c>
      <c r="K1019" t="str">
        <f t="shared" si="625"/>
        <v/>
      </c>
      <c r="L1019" s="652">
        <f>IF($B1019="",,SUMIFS(PerBase[Month 1],PerBase[exp_item],$H1019,PerBase[company_name],$B1019)*L494)</f>
        <v>0</v>
      </c>
      <c r="M1019" s="652">
        <f>IF($B1019="",,SUMIFS(PerBase[Month 2],PerBase[exp_item],$H1019,PerBase[company_name],$B1019)*M494)</f>
        <v>0</v>
      </c>
      <c r="N1019" s="652">
        <f>IF($B1019="",,SUMIFS(PerBase[Month 3],PerBase[exp_item],$H1019,PerBase[company_name],$B1019)*N494)</f>
        <v>0</v>
      </c>
      <c r="O1019" s="652">
        <f>IF($B1019="",,SUMIFS(PerBase[Month 4],PerBase[exp_item],$H1019,PerBase[company_name],$B1019)*O494)</f>
        <v>0</v>
      </c>
      <c r="P1019" s="652">
        <f>IF($B1019="",,SUMIFS(PerBase[Month 5],PerBase[exp_item],$H1019,PerBase[company_name],$B1019)*P494)</f>
        <v>0</v>
      </c>
      <c r="Q1019" s="652">
        <f>IF($B1019="",,SUMIFS(PerBase[Month 6],PerBase[exp_item],$H1019,PerBase[company_name],$B1019)*Q494)</f>
        <v>0</v>
      </c>
      <c r="R1019" s="652">
        <f>IF($B1019="",,SUMIFS(PerBase[Month 7],PerBase[exp_item],$H1019,PerBase[company_name],$B1019)*R494)</f>
        <v>0</v>
      </c>
      <c r="S1019" s="652">
        <f>IF($B1019="",,SUMIFS(PerBase[Month 8],PerBase[exp_item],$H1019,PerBase[company_name],$B1019)*S494)</f>
        <v>0</v>
      </c>
      <c r="T1019" s="652">
        <f>IF($B1019="",,SUMIFS(PerBase[Month 9],PerBase[exp_item],$H1019,PerBase[company_name],$B1019)*T494)</f>
        <v>0</v>
      </c>
      <c r="U1019" s="652">
        <f>IF($B1019="",,SUMIFS(PerBase[Month 10],PerBase[exp_item],$H1019,PerBase[company_name],$B1019)*U494)</f>
        <v>0</v>
      </c>
      <c r="V1019" s="652">
        <f>IF($B1019="",,SUMIFS(PerBase[Month 11],PerBase[exp_item],$H1019,PerBase[company_name],$B1019)*V494)</f>
        <v>0</v>
      </c>
      <c r="W1019" s="652">
        <f>IF($B1019="",,SUMIFS(PerBase[Month 12],PerBase[exp_item],$H1019,PerBase[company_name],$B1019)*W494)</f>
        <v>0</v>
      </c>
      <c r="X1019" s="652">
        <f>IF($B1019="",,SUMIFS(PerBase[Month 13],PerBase[exp_item],$H1019,PerBase[company_name],$B1019)*X494)</f>
        <v>0</v>
      </c>
      <c r="Y1019" s="652">
        <f>IF($B1019="",,SUMIFS(PerBase[Month 14],PerBase[exp_item],$H1019,PerBase[company_name],$B1019)*Y494)</f>
        <v>0</v>
      </c>
      <c r="Z1019" s="652">
        <f>IF($B1019="",,SUMIFS(PerBase[Month 15],PerBase[exp_item],$H1019,PerBase[company_name],$B1019)*Z494)</f>
        <v>0</v>
      </c>
      <c r="AA1019" s="652">
        <f>IF($B1019="",,SUMIFS(PerBase[Month 16],PerBase[exp_item],$H1019,PerBase[company_name],$B1019)*AA494)</f>
        <v>0</v>
      </c>
      <c r="AB1019" s="652">
        <f>IF($B1019="",,SUMIFS(PerBase[Month 17],PerBase[exp_item],$H1019,PerBase[company_name],$B1019)*AB494)</f>
        <v>0</v>
      </c>
      <c r="AC1019" s="652">
        <f>IF($B1019="",,SUMIFS(PerBase[Month 18],PerBase[exp_item],$H1019,PerBase[company_name],$B1019)*AC494)</f>
        <v>0</v>
      </c>
      <c r="AD1019" s="652">
        <f>IF($B1019="",,SUMIFS(PerBase[Month 19],PerBase[exp_item],$H1019,PerBase[company_name],$B1019)*AD494)</f>
        <v>0</v>
      </c>
      <c r="AE1019" s="652">
        <f>IF($B1019="",,SUMIFS(PerBase[Month 20],PerBase[exp_item],$H1019,PerBase[company_name],$B1019)*AE494)</f>
        <v>0</v>
      </c>
      <c r="AF1019" s="652">
        <f>IF($B1019="",,SUMIFS(PerBase[Month 21],PerBase[exp_item],$H1019,PerBase[company_name],$B1019)*AF494)</f>
        <v>0</v>
      </c>
      <c r="AG1019" s="652">
        <f>IF($B1019="",,SUMIFS(PerBase[Month 22],PerBase[exp_item],$H1019,PerBase[company_name],$B1019)*AG494)</f>
        <v>0</v>
      </c>
      <c r="AH1019" s="652">
        <f>IF($B1019="",,SUMIFS(PerBase[Month 23],PerBase[exp_item],$H1019,PerBase[company_name],$B1019)*AH494)</f>
        <v>0</v>
      </c>
      <c r="AI1019" s="652">
        <f>IF($B1019="",,SUMIFS(PerBase[Month 24],PerBase[exp_item],$H1019,PerBase[company_name],$B1019)*AI494)</f>
        <v>0</v>
      </c>
      <c r="AJ1019" s="652">
        <f>IF($B1019="",,SUMIFS(PerBase[Month 25],PerBase[exp_item],$H1019,PerBase[company_name],$B1019)*AJ494)</f>
        <v>0</v>
      </c>
      <c r="AK1019" s="652">
        <f>IF($B1019="",,SUMIFS(PerBase[Month 26],PerBase[exp_item],$H1019,PerBase[company_name],$B1019)*AK494)</f>
        <v>0</v>
      </c>
      <c r="AL1019" s="652">
        <f>IF($B1019="",,SUMIFS(PerBase[Month 27],PerBase[exp_item],$H1019,PerBase[company_name],$B1019)*AL494)</f>
        <v>0</v>
      </c>
      <c r="AM1019" s="652">
        <f>IF($B1019="",,SUMIFS(PerBase[Month 28],PerBase[exp_item],$H1019,PerBase[company_name],$B1019)*AM494)</f>
        <v>0</v>
      </c>
      <c r="AN1019" s="652">
        <f>IF($B1019="",,SUMIFS(PerBase[Month 29],PerBase[exp_item],$H1019,PerBase[company_name],$B1019)*AN494)</f>
        <v>0</v>
      </c>
      <c r="AO1019" s="652">
        <f>IF($B1019="",,SUMIFS(PerBase[Month 30],PerBase[exp_item],$H1019,PerBase[company_name],$B1019)*AO494)</f>
        <v>0</v>
      </c>
      <c r="AP1019" s="652">
        <f>IF($B1019="",,SUMIFS(PerBase[Month 31],PerBase[exp_item],$H1019,PerBase[company_name],$B1019)*AP494)</f>
        <v>0</v>
      </c>
      <c r="AQ1019" s="652">
        <f>IF($B1019="",,SUMIFS(PerBase[Month 32],PerBase[exp_item],$H1019,PerBase[company_name],$B1019)*AQ494)</f>
        <v>0</v>
      </c>
      <c r="AR1019" s="652">
        <f>IF($B1019="",,SUMIFS(PerBase[Month 33],PerBase[exp_item],$H1019,PerBase[company_name],$B1019)*AR494)</f>
        <v>0</v>
      </c>
      <c r="AS1019" s="652">
        <f>IF($B1019="",,SUMIFS(PerBase[Month 34],PerBase[exp_item],$H1019,PerBase[company_name],$B1019)*AS494)</f>
        <v>0</v>
      </c>
      <c r="AT1019" s="652">
        <f>IF($B1019="",,SUMIFS(PerBase[Month 35],PerBase[exp_item],$H1019,PerBase[company_name],$B1019)*AT494)</f>
        <v>0</v>
      </c>
      <c r="AU1019" s="652">
        <f>IF($B1019="",,SUMIFS(PerBase[Month 36],PerBase[exp_item],$H1019,PerBase[company_name],$B1019)*AU494)</f>
        <v>0</v>
      </c>
    </row>
    <row r="1020" spans="1:52" x14ac:dyDescent="0.35">
      <c r="B1020" t="str">
        <f t="shared" ref="B1020:G1020" si="659">IF(B915="","",B915)</f>
        <v/>
      </c>
      <c r="C1020" t="str">
        <f t="shared" si="659"/>
        <v/>
      </c>
      <c r="D1020" t="str">
        <f t="shared" si="659"/>
        <v/>
      </c>
      <c r="E1020" t="str">
        <f t="shared" si="659"/>
        <v/>
      </c>
      <c r="F1020" t="str">
        <f t="shared" si="659"/>
        <v/>
      </c>
      <c r="G1020" t="str">
        <f t="shared" si="659"/>
        <v/>
      </c>
      <c r="H1020" t="str">
        <f t="shared" si="622"/>
        <v/>
      </c>
      <c r="J1020" t="str">
        <f>IF($H1020="","",IF(VLOOKUP(H1020,ExpItems[],2,0),H1020&amp;" - "&amp;INDEX(DivisionMapping[category_code],MATCH($D1020&amp;$C1020,DivisionMapping[dept_bu],0)),H1020))</f>
        <v/>
      </c>
      <c r="K1020" t="str">
        <f t="shared" si="625"/>
        <v/>
      </c>
      <c r="L1020" s="652">
        <f>IF($B1020="",,SUMIFS(PerBase[Month 1],PerBase[exp_item],$H1020,PerBase[company_name],$B1020)*L495)</f>
        <v>0</v>
      </c>
      <c r="M1020" s="652">
        <f>IF($B1020="",,SUMIFS(PerBase[Month 2],PerBase[exp_item],$H1020,PerBase[company_name],$B1020)*M495)</f>
        <v>0</v>
      </c>
      <c r="N1020" s="652">
        <f>IF($B1020="",,SUMIFS(PerBase[Month 3],PerBase[exp_item],$H1020,PerBase[company_name],$B1020)*N495)</f>
        <v>0</v>
      </c>
      <c r="O1020" s="652">
        <f>IF($B1020="",,SUMIFS(PerBase[Month 4],PerBase[exp_item],$H1020,PerBase[company_name],$B1020)*O495)</f>
        <v>0</v>
      </c>
      <c r="P1020" s="652">
        <f>IF($B1020="",,SUMIFS(PerBase[Month 5],PerBase[exp_item],$H1020,PerBase[company_name],$B1020)*P495)</f>
        <v>0</v>
      </c>
      <c r="Q1020" s="652">
        <f>IF($B1020="",,SUMIFS(PerBase[Month 6],PerBase[exp_item],$H1020,PerBase[company_name],$B1020)*Q495)</f>
        <v>0</v>
      </c>
      <c r="R1020" s="652">
        <f>IF($B1020="",,SUMIFS(PerBase[Month 7],PerBase[exp_item],$H1020,PerBase[company_name],$B1020)*R495)</f>
        <v>0</v>
      </c>
      <c r="S1020" s="652">
        <f>IF($B1020="",,SUMIFS(PerBase[Month 8],PerBase[exp_item],$H1020,PerBase[company_name],$B1020)*S495)</f>
        <v>0</v>
      </c>
      <c r="T1020" s="652">
        <f>IF($B1020="",,SUMIFS(PerBase[Month 9],PerBase[exp_item],$H1020,PerBase[company_name],$B1020)*T495)</f>
        <v>0</v>
      </c>
      <c r="U1020" s="652">
        <f>IF($B1020="",,SUMIFS(PerBase[Month 10],PerBase[exp_item],$H1020,PerBase[company_name],$B1020)*U495)</f>
        <v>0</v>
      </c>
      <c r="V1020" s="652">
        <f>IF($B1020="",,SUMIFS(PerBase[Month 11],PerBase[exp_item],$H1020,PerBase[company_name],$B1020)*V495)</f>
        <v>0</v>
      </c>
      <c r="W1020" s="652">
        <f>IF($B1020="",,SUMIFS(PerBase[Month 12],PerBase[exp_item],$H1020,PerBase[company_name],$B1020)*W495)</f>
        <v>0</v>
      </c>
      <c r="X1020" s="652">
        <f>IF($B1020="",,SUMIFS(PerBase[Month 13],PerBase[exp_item],$H1020,PerBase[company_name],$B1020)*X495)</f>
        <v>0</v>
      </c>
      <c r="Y1020" s="652">
        <f>IF($B1020="",,SUMIFS(PerBase[Month 14],PerBase[exp_item],$H1020,PerBase[company_name],$B1020)*Y495)</f>
        <v>0</v>
      </c>
      <c r="Z1020" s="652">
        <f>IF($B1020="",,SUMIFS(PerBase[Month 15],PerBase[exp_item],$H1020,PerBase[company_name],$B1020)*Z495)</f>
        <v>0</v>
      </c>
      <c r="AA1020" s="652">
        <f>IF($B1020="",,SUMIFS(PerBase[Month 16],PerBase[exp_item],$H1020,PerBase[company_name],$B1020)*AA495)</f>
        <v>0</v>
      </c>
      <c r="AB1020" s="652">
        <f>IF($B1020="",,SUMIFS(PerBase[Month 17],PerBase[exp_item],$H1020,PerBase[company_name],$B1020)*AB495)</f>
        <v>0</v>
      </c>
      <c r="AC1020" s="652">
        <f>IF($B1020="",,SUMIFS(PerBase[Month 18],PerBase[exp_item],$H1020,PerBase[company_name],$B1020)*AC495)</f>
        <v>0</v>
      </c>
      <c r="AD1020" s="652">
        <f>IF($B1020="",,SUMIFS(PerBase[Month 19],PerBase[exp_item],$H1020,PerBase[company_name],$B1020)*AD495)</f>
        <v>0</v>
      </c>
      <c r="AE1020" s="652">
        <f>IF($B1020="",,SUMIFS(PerBase[Month 20],PerBase[exp_item],$H1020,PerBase[company_name],$B1020)*AE495)</f>
        <v>0</v>
      </c>
      <c r="AF1020" s="652">
        <f>IF($B1020="",,SUMIFS(PerBase[Month 21],PerBase[exp_item],$H1020,PerBase[company_name],$B1020)*AF495)</f>
        <v>0</v>
      </c>
      <c r="AG1020" s="652">
        <f>IF($B1020="",,SUMIFS(PerBase[Month 22],PerBase[exp_item],$H1020,PerBase[company_name],$B1020)*AG495)</f>
        <v>0</v>
      </c>
      <c r="AH1020" s="652">
        <f>IF($B1020="",,SUMIFS(PerBase[Month 23],PerBase[exp_item],$H1020,PerBase[company_name],$B1020)*AH495)</f>
        <v>0</v>
      </c>
      <c r="AI1020" s="652">
        <f>IF($B1020="",,SUMIFS(PerBase[Month 24],PerBase[exp_item],$H1020,PerBase[company_name],$B1020)*AI495)</f>
        <v>0</v>
      </c>
      <c r="AJ1020" s="652">
        <f>IF($B1020="",,SUMIFS(PerBase[Month 25],PerBase[exp_item],$H1020,PerBase[company_name],$B1020)*AJ495)</f>
        <v>0</v>
      </c>
      <c r="AK1020" s="652">
        <f>IF($B1020="",,SUMIFS(PerBase[Month 26],PerBase[exp_item],$H1020,PerBase[company_name],$B1020)*AK495)</f>
        <v>0</v>
      </c>
      <c r="AL1020" s="652">
        <f>IF($B1020="",,SUMIFS(PerBase[Month 27],PerBase[exp_item],$H1020,PerBase[company_name],$B1020)*AL495)</f>
        <v>0</v>
      </c>
      <c r="AM1020" s="652">
        <f>IF($B1020="",,SUMIFS(PerBase[Month 28],PerBase[exp_item],$H1020,PerBase[company_name],$B1020)*AM495)</f>
        <v>0</v>
      </c>
      <c r="AN1020" s="652">
        <f>IF($B1020="",,SUMIFS(PerBase[Month 29],PerBase[exp_item],$H1020,PerBase[company_name],$B1020)*AN495)</f>
        <v>0</v>
      </c>
      <c r="AO1020" s="652">
        <f>IF($B1020="",,SUMIFS(PerBase[Month 30],PerBase[exp_item],$H1020,PerBase[company_name],$B1020)*AO495)</f>
        <v>0</v>
      </c>
      <c r="AP1020" s="652">
        <f>IF($B1020="",,SUMIFS(PerBase[Month 31],PerBase[exp_item],$H1020,PerBase[company_name],$B1020)*AP495)</f>
        <v>0</v>
      </c>
      <c r="AQ1020" s="652">
        <f>IF($B1020="",,SUMIFS(PerBase[Month 32],PerBase[exp_item],$H1020,PerBase[company_name],$B1020)*AQ495)</f>
        <v>0</v>
      </c>
      <c r="AR1020" s="652">
        <f>IF($B1020="",,SUMIFS(PerBase[Month 33],PerBase[exp_item],$H1020,PerBase[company_name],$B1020)*AR495)</f>
        <v>0</v>
      </c>
      <c r="AS1020" s="652">
        <f>IF($B1020="",,SUMIFS(PerBase[Month 34],PerBase[exp_item],$H1020,PerBase[company_name],$B1020)*AS495)</f>
        <v>0</v>
      </c>
      <c r="AT1020" s="652">
        <f>IF($B1020="",,SUMIFS(PerBase[Month 35],PerBase[exp_item],$H1020,PerBase[company_name],$B1020)*AT495)</f>
        <v>0</v>
      </c>
      <c r="AU1020" s="652">
        <f>IF($B1020="",,SUMIFS(PerBase[Month 36],PerBase[exp_item],$H1020,PerBase[company_name],$B1020)*AU495)</f>
        <v>0</v>
      </c>
    </row>
    <row r="1021" spans="1:52" x14ac:dyDescent="0.35">
      <c r="B1021" t="str">
        <f t="shared" ref="B1021:G1021" si="660">IF(B916="","",B916)</f>
        <v/>
      </c>
      <c r="C1021" t="str">
        <f t="shared" si="660"/>
        <v/>
      </c>
      <c r="D1021" t="str">
        <f t="shared" si="660"/>
        <v/>
      </c>
      <c r="E1021" t="str">
        <f t="shared" si="660"/>
        <v/>
      </c>
      <c r="F1021" t="str">
        <f t="shared" si="660"/>
        <v/>
      </c>
      <c r="G1021" t="str">
        <f t="shared" si="660"/>
        <v/>
      </c>
      <c r="H1021" t="str">
        <f t="shared" si="622"/>
        <v/>
      </c>
      <c r="J1021" t="str">
        <f>IF($H1021="","",IF(VLOOKUP(H1021,ExpItems[],2,0),H1021&amp;" - "&amp;INDEX(DivisionMapping[category_code],MATCH($D1021&amp;$C1021,DivisionMapping[dept_bu],0)),H1021))</f>
        <v/>
      </c>
      <c r="K1021" t="str">
        <f t="shared" si="625"/>
        <v/>
      </c>
      <c r="L1021" s="652">
        <f>IF($B1021="",,SUMIFS(PerBase[Month 1],PerBase[exp_item],$H1021,PerBase[company_name],$B1021)*L496)</f>
        <v>0</v>
      </c>
      <c r="M1021" s="652">
        <f>IF($B1021="",,SUMIFS(PerBase[Month 2],PerBase[exp_item],$H1021,PerBase[company_name],$B1021)*M496)</f>
        <v>0</v>
      </c>
      <c r="N1021" s="652">
        <f>IF($B1021="",,SUMIFS(PerBase[Month 3],PerBase[exp_item],$H1021,PerBase[company_name],$B1021)*N496)</f>
        <v>0</v>
      </c>
      <c r="O1021" s="652">
        <f>IF($B1021="",,SUMIFS(PerBase[Month 4],PerBase[exp_item],$H1021,PerBase[company_name],$B1021)*O496)</f>
        <v>0</v>
      </c>
      <c r="P1021" s="652">
        <f>IF($B1021="",,SUMIFS(PerBase[Month 5],PerBase[exp_item],$H1021,PerBase[company_name],$B1021)*P496)</f>
        <v>0</v>
      </c>
      <c r="Q1021" s="652">
        <f>IF($B1021="",,SUMIFS(PerBase[Month 6],PerBase[exp_item],$H1021,PerBase[company_name],$B1021)*Q496)</f>
        <v>0</v>
      </c>
      <c r="R1021" s="652">
        <f>IF($B1021="",,SUMIFS(PerBase[Month 7],PerBase[exp_item],$H1021,PerBase[company_name],$B1021)*R496)</f>
        <v>0</v>
      </c>
      <c r="S1021" s="652">
        <f>IF($B1021="",,SUMIFS(PerBase[Month 8],PerBase[exp_item],$H1021,PerBase[company_name],$B1021)*S496)</f>
        <v>0</v>
      </c>
      <c r="T1021" s="652">
        <f>IF($B1021="",,SUMIFS(PerBase[Month 9],PerBase[exp_item],$H1021,PerBase[company_name],$B1021)*T496)</f>
        <v>0</v>
      </c>
      <c r="U1021" s="652">
        <f>IF($B1021="",,SUMIFS(PerBase[Month 10],PerBase[exp_item],$H1021,PerBase[company_name],$B1021)*U496)</f>
        <v>0</v>
      </c>
      <c r="V1021" s="652">
        <f>IF($B1021="",,SUMIFS(PerBase[Month 11],PerBase[exp_item],$H1021,PerBase[company_name],$B1021)*V496)</f>
        <v>0</v>
      </c>
      <c r="W1021" s="652">
        <f>IF($B1021="",,SUMIFS(PerBase[Month 12],PerBase[exp_item],$H1021,PerBase[company_name],$B1021)*W496)</f>
        <v>0</v>
      </c>
      <c r="X1021" s="652">
        <f>IF($B1021="",,SUMIFS(PerBase[Month 13],PerBase[exp_item],$H1021,PerBase[company_name],$B1021)*X496)</f>
        <v>0</v>
      </c>
      <c r="Y1021" s="652">
        <f>IF($B1021="",,SUMIFS(PerBase[Month 14],PerBase[exp_item],$H1021,PerBase[company_name],$B1021)*Y496)</f>
        <v>0</v>
      </c>
      <c r="Z1021" s="652">
        <f>IF($B1021="",,SUMIFS(PerBase[Month 15],PerBase[exp_item],$H1021,PerBase[company_name],$B1021)*Z496)</f>
        <v>0</v>
      </c>
      <c r="AA1021" s="652">
        <f>IF($B1021="",,SUMIFS(PerBase[Month 16],PerBase[exp_item],$H1021,PerBase[company_name],$B1021)*AA496)</f>
        <v>0</v>
      </c>
      <c r="AB1021" s="652">
        <f>IF($B1021="",,SUMIFS(PerBase[Month 17],PerBase[exp_item],$H1021,PerBase[company_name],$B1021)*AB496)</f>
        <v>0</v>
      </c>
      <c r="AC1021" s="652">
        <f>IF($B1021="",,SUMIFS(PerBase[Month 18],PerBase[exp_item],$H1021,PerBase[company_name],$B1021)*AC496)</f>
        <v>0</v>
      </c>
      <c r="AD1021" s="652">
        <f>IF($B1021="",,SUMIFS(PerBase[Month 19],PerBase[exp_item],$H1021,PerBase[company_name],$B1021)*AD496)</f>
        <v>0</v>
      </c>
      <c r="AE1021" s="652">
        <f>IF($B1021="",,SUMIFS(PerBase[Month 20],PerBase[exp_item],$H1021,PerBase[company_name],$B1021)*AE496)</f>
        <v>0</v>
      </c>
      <c r="AF1021" s="652">
        <f>IF($B1021="",,SUMIFS(PerBase[Month 21],PerBase[exp_item],$H1021,PerBase[company_name],$B1021)*AF496)</f>
        <v>0</v>
      </c>
      <c r="AG1021" s="652">
        <f>IF($B1021="",,SUMIFS(PerBase[Month 22],PerBase[exp_item],$H1021,PerBase[company_name],$B1021)*AG496)</f>
        <v>0</v>
      </c>
      <c r="AH1021" s="652">
        <f>IF($B1021="",,SUMIFS(PerBase[Month 23],PerBase[exp_item],$H1021,PerBase[company_name],$B1021)*AH496)</f>
        <v>0</v>
      </c>
      <c r="AI1021" s="652">
        <f>IF($B1021="",,SUMIFS(PerBase[Month 24],PerBase[exp_item],$H1021,PerBase[company_name],$B1021)*AI496)</f>
        <v>0</v>
      </c>
      <c r="AJ1021" s="652">
        <f>IF($B1021="",,SUMIFS(PerBase[Month 25],PerBase[exp_item],$H1021,PerBase[company_name],$B1021)*AJ496)</f>
        <v>0</v>
      </c>
      <c r="AK1021" s="652">
        <f>IF($B1021="",,SUMIFS(PerBase[Month 26],PerBase[exp_item],$H1021,PerBase[company_name],$B1021)*AK496)</f>
        <v>0</v>
      </c>
      <c r="AL1021" s="652">
        <f>IF($B1021="",,SUMIFS(PerBase[Month 27],PerBase[exp_item],$H1021,PerBase[company_name],$B1021)*AL496)</f>
        <v>0</v>
      </c>
      <c r="AM1021" s="652">
        <f>IF($B1021="",,SUMIFS(PerBase[Month 28],PerBase[exp_item],$H1021,PerBase[company_name],$B1021)*AM496)</f>
        <v>0</v>
      </c>
      <c r="AN1021" s="652">
        <f>IF($B1021="",,SUMIFS(PerBase[Month 29],PerBase[exp_item],$H1021,PerBase[company_name],$B1021)*AN496)</f>
        <v>0</v>
      </c>
      <c r="AO1021" s="652">
        <f>IF($B1021="",,SUMIFS(PerBase[Month 30],PerBase[exp_item],$H1021,PerBase[company_name],$B1021)*AO496)</f>
        <v>0</v>
      </c>
      <c r="AP1021" s="652">
        <f>IF($B1021="",,SUMIFS(PerBase[Month 31],PerBase[exp_item],$H1021,PerBase[company_name],$B1021)*AP496)</f>
        <v>0</v>
      </c>
      <c r="AQ1021" s="652">
        <f>IF($B1021="",,SUMIFS(PerBase[Month 32],PerBase[exp_item],$H1021,PerBase[company_name],$B1021)*AQ496)</f>
        <v>0</v>
      </c>
      <c r="AR1021" s="652">
        <f>IF($B1021="",,SUMIFS(PerBase[Month 33],PerBase[exp_item],$H1021,PerBase[company_name],$B1021)*AR496)</f>
        <v>0</v>
      </c>
      <c r="AS1021" s="652">
        <f>IF($B1021="",,SUMIFS(PerBase[Month 34],PerBase[exp_item],$H1021,PerBase[company_name],$B1021)*AS496)</f>
        <v>0</v>
      </c>
      <c r="AT1021" s="652">
        <f>IF($B1021="",,SUMIFS(PerBase[Month 35],PerBase[exp_item],$H1021,PerBase[company_name],$B1021)*AT496)</f>
        <v>0</v>
      </c>
      <c r="AU1021" s="652">
        <f>IF($B1021="",,SUMIFS(PerBase[Month 36],PerBase[exp_item],$H1021,PerBase[company_name],$B1021)*AU496)</f>
        <v>0</v>
      </c>
    </row>
    <row r="1023" spans="1:52" x14ac:dyDescent="0.35">
      <c r="A1023" s="285" t="s">
        <v>1157</v>
      </c>
      <c r="B1023" s="285" t="s">
        <v>1157</v>
      </c>
      <c r="C1023" s="285" t="s">
        <v>1157</v>
      </c>
      <c r="D1023" s="285" t="s">
        <v>1157</v>
      </c>
      <c r="E1023" s="285" t="s">
        <v>1157</v>
      </c>
      <c r="F1023" s="285" t="s">
        <v>1157</v>
      </c>
      <c r="G1023" s="285" t="s">
        <v>1157</v>
      </c>
      <c r="H1023" s="285" t="s">
        <v>1157</v>
      </c>
      <c r="I1023" s="285" t="s">
        <v>1157</v>
      </c>
      <c r="J1023" s="285" t="s">
        <v>1157</v>
      </c>
      <c r="K1023" s="285" t="s">
        <v>1157</v>
      </c>
      <c r="L1023" s="285" t="s">
        <v>1157</v>
      </c>
      <c r="M1023" s="285" t="s">
        <v>1157</v>
      </c>
      <c r="N1023" s="285" t="s">
        <v>1157</v>
      </c>
      <c r="O1023" s="285" t="s">
        <v>1157</v>
      </c>
      <c r="P1023" s="285" t="s">
        <v>1157</v>
      </c>
      <c r="Q1023" s="285" t="s">
        <v>1157</v>
      </c>
      <c r="R1023" s="285" t="s">
        <v>1157</v>
      </c>
      <c r="S1023" s="285" t="s">
        <v>1157</v>
      </c>
      <c r="T1023" s="285" t="s">
        <v>1157</v>
      </c>
      <c r="U1023" s="285" t="s">
        <v>1157</v>
      </c>
      <c r="V1023" s="285" t="s">
        <v>1157</v>
      </c>
      <c r="W1023" s="285" t="s">
        <v>1157</v>
      </c>
      <c r="X1023" s="285" t="s">
        <v>1157</v>
      </c>
      <c r="Y1023" s="285" t="s">
        <v>1157</v>
      </c>
      <c r="Z1023" s="285" t="s">
        <v>1157</v>
      </c>
      <c r="AA1023" s="285" t="s">
        <v>1157</v>
      </c>
      <c r="AB1023" s="285" t="s">
        <v>1157</v>
      </c>
      <c r="AC1023" s="285" t="s">
        <v>1157</v>
      </c>
      <c r="AD1023" s="285" t="s">
        <v>1157</v>
      </c>
      <c r="AE1023" s="285" t="s">
        <v>1157</v>
      </c>
      <c r="AF1023" s="285" t="s">
        <v>1157</v>
      </c>
      <c r="AG1023" s="285" t="s">
        <v>1157</v>
      </c>
      <c r="AH1023" s="285" t="s">
        <v>1157</v>
      </c>
      <c r="AI1023" s="285" t="s">
        <v>1157</v>
      </c>
      <c r="AJ1023" s="285" t="s">
        <v>1157</v>
      </c>
      <c r="AK1023" s="285" t="s">
        <v>1157</v>
      </c>
      <c r="AL1023" s="285" t="s">
        <v>1157</v>
      </c>
      <c r="AM1023" s="285" t="s">
        <v>1157</v>
      </c>
      <c r="AN1023" s="285" t="s">
        <v>1157</v>
      </c>
      <c r="AO1023" s="285" t="s">
        <v>1157</v>
      </c>
      <c r="AP1023" s="285" t="s">
        <v>1157</v>
      </c>
      <c r="AQ1023" s="285" t="s">
        <v>1157</v>
      </c>
      <c r="AR1023" s="285" t="s">
        <v>1157</v>
      </c>
      <c r="AS1023" s="285" t="s">
        <v>1157</v>
      </c>
      <c r="AT1023" s="285" t="s">
        <v>1157</v>
      </c>
      <c r="AU1023" s="285" t="s">
        <v>1157</v>
      </c>
      <c r="AV1023" s="285" t="s">
        <v>1157</v>
      </c>
      <c r="AW1023" s="285" t="s">
        <v>1157</v>
      </c>
      <c r="AX1023" s="285" t="s">
        <v>1157</v>
      </c>
      <c r="AY1023" s="285" t="s">
        <v>1157</v>
      </c>
      <c r="AZ1023" s="285" t="s">
        <v>1157</v>
      </c>
    </row>
    <row r="1025" spans="2:47" ht="23.5" x14ac:dyDescent="0.55000000000000004">
      <c r="B1025" s="252" t="s">
        <v>34</v>
      </c>
    </row>
    <row r="1026" spans="2:47" x14ac:dyDescent="0.35">
      <c r="B1026" t="str">
        <f t="shared" ref="B1026:G1026" si="661">IF(B921="","",B921)</f>
        <v/>
      </c>
      <c r="C1026" t="str">
        <f t="shared" si="661"/>
        <v/>
      </c>
      <c r="D1026" t="str">
        <f t="shared" si="661"/>
        <v/>
      </c>
      <c r="E1026" t="str">
        <f t="shared" si="661"/>
        <v/>
      </c>
      <c r="F1026" t="str">
        <f t="shared" si="661"/>
        <v/>
      </c>
      <c r="G1026" t="str">
        <f t="shared" si="661"/>
        <v/>
      </c>
      <c r="H1026" t="str">
        <f t="shared" ref="H1026:H1057" si="662">IF(B1026="","",$B$1025)</f>
        <v/>
      </c>
      <c r="J1026" t="str">
        <f>IF($H1026="","",IF(VLOOKUP(H1026,ExpItems[],2,0),H1026&amp;" - "&amp;INDEX(DivisionMapping[category_code],MATCH($D1026&amp;$C1026,DivisionMapping[dept_bu],0)),H1026))</f>
        <v/>
      </c>
      <c r="K1026" t="str">
        <f>K921</f>
        <v/>
      </c>
      <c r="L1026" s="652">
        <f>IF($B1026="",,SUMIFS(PerHeadcount[Month 1],PerHeadcount[exp_item],$H1026,PerHeadcount[company_name],$B1026)*L186)</f>
        <v>0</v>
      </c>
      <c r="M1026" s="652">
        <f>IF($B1026="",,SUMIFS(PerHeadcount[Month 2],PerHeadcount[exp_item],$H1026,PerHeadcount[company_name],$B1026)*M186)</f>
        <v>0</v>
      </c>
      <c r="N1026" s="652">
        <f>IF($B1026="",,SUMIFS(PerHeadcount[Month 3],PerHeadcount[exp_item],$H1026,PerHeadcount[company_name],$B1026)*N186)</f>
        <v>0</v>
      </c>
      <c r="O1026" s="652">
        <f>IF($B1026="",,SUMIFS(PerHeadcount[Month 4],PerHeadcount[exp_item],$H1026,PerHeadcount[company_name],$B1026)*O186)</f>
        <v>0</v>
      </c>
      <c r="P1026" s="652">
        <f>IF($B1026="",,SUMIFS(PerHeadcount[Month 5],PerHeadcount[exp_item],$H1026,PerHeadcount[company_name],$B1026)*P186)</f>
        <v>0</v>
      </c>
      <c r="Q1026" s="652">
        <f>IF($B1026="",,SUMIFS(PerHeadcount[Month 6],PerHeadcount[exp_item],$H1026,PerHeadcount[company_name],$B1026)*Q186)</f>
        <v>0</v>
      </c>
      <c r="R1026" s="652">
        <f>IF($B1026="",,SUMIFS(PerHeadcount[Month 7],PerHeadcount[exp_item],$H1026,PerHeadcount[company_name],$B1026)*R186)</f>
        <v>0</v>
      </c>
      <c r="S1026" s="652">
        <f>IF($B1026="",,SUMIFS(PerHeadcount[Month 8],PerHeadcount[exp_item],$H1026,PerHeadcount[company_name],$B1026)*S186)</f>
        <v>0</v>
      </c>
      <c r="T1026" s="652">
        <f>IF($B1026="",,SUMIFS(PerHeadcount[Month 9],PerHeadcount[exp_item],$H1026,PerHeadcount[company_name],$B1026)*T186)</f>
        <v>0</v>
      </c>
      <c r="U1026" s="652">
        <f>IF($B1026="",,SUMIFS(PerHeadcount[Month 10],PerHeadcount[exp_item],$H1026,PerHeadcount[company_name],$B1026)*U186)</f>
        <v>0</v>
      </c>
      <c r="V1026" s="652">
        <f>IF($B1026="",,SUMIFS(PerHeadcount[Month 11],PerHeadcount[exp_item],$H1026,PerHeadcount[company_name],$B1026)*V186)</f>
        <v>0</v>
      </c>
      <c r="W1026" s="652">
        <f>IF($B1026="",,SUMIFS(PerHeadcount[Month 12],PerHeadcount[exp_item],$H1026,PerHeadcount[company_name],$B1026)*W186)</f>
        <v>0</v>
      </c>
      <c r="X1026" s="652">
        <f>IF($B1026="",,SUMIFS(PerHeadcount[Month 13],PerHeadcount[exp_item],$H1026,PerHeadcount[company_name],$B1026)*X186)</f>
        <v>0</v>
      </c>
      <c r="Y1026" s="652">
        <f>IF($B1026="",,SUMIFS(PerHeadcount[Month 14],PerHeadcount[exp_item],$H1026,PerHeadcount[company_name],$B1026)*Y186)</f>
        <v>0</v>
      </c>
      <c r="Z1026" s="652">
        <f>IF($B1026="",,SUMIFS(PerHeadcount[Month 15],PerHeadcount[exp_item],$H1026,PerHeadcount[company_name],$B1026)*Z186)</f>
        <v>0</v>
      </c>
      <c r="AA1026" s="652">
        <f>IF($B1026="",,SUMIFS(PerHeadcount[Month 16],PerHeadcount[exp_item],$H1026,PerHeadcount[company_name],$B1026)*AA186)</f>
        <v>0</v>
      </c>
      <c r="AB1026" s="652">
        <f>IF($B1026="",,SUMIFS(PerHeadcount[Month 17],PerHeadcount[exp_item],$H1026,PerHeadcount[company_name],$B1026)*AB186)</f>
        <v>0</v>
      </c>
      <c r="AC1026" s="652">
        <f>IF($B1026="",,SUMIFS(PerHeadcount[Month 18],PerHeadcount[exp_item],$H1026,PerHeadcount[company_name],$B1026)*AC186)</f>
        <v>0</v>
      </c>
      <c r="AD1026" s="652">
        <f>IF($B1026="",,SUMIFS(PerHeadcount[Month 19],PerHeadcount[exp_item],$H1026,PerHeadcount[company_name],$B1026)*AD186)</f>
        <v>0</v>
      </c>
      <c r="AE1026" s="652">
        <f>IF($B1026="",,SUMIFS(PerHeadcount[Month 20],PerHeadcount[exp_item],$H1026,PerHeadcount[company_name],$B1026)*AE186)</f>
        <v>0</v>
      </c>
      <c r="AF1026" s="652">
        <f>IF($B1026="",,SUMIFS(PerHeadcount[Month 21],PerHeadcount[exp_item],$H1026,PerHeadcount[company_name],$B1026)*AF186)</f>
        <v>0</v>
      </c>
      <c r="AG1026" s="652">
        <f>IF($B1026="",,SUMIFS(PerHeadcount[Month 22],PerHeadcount[exp_item],$H1026,PerHeadcount[company_name],$B1026)*AG186)</f>
        <v>0</v>
      </c>
      <c r="AH1026" s="652">
        <f>IF($B1026="",,SUMIFS(PerHeadcount[Month 23],PerHeadcount[exp_item],$H1026,PerHeadcount[company_name],$B1026)*AH186)</f>
        <v>0</v>
      </c>
      <c r="AI1026" s="652">
        <f>IF($B1026="",,SUMIFS(PerHeadcount[Month 24],PerHeadcount[exp_item],$H1026,PerHeadcount[company_name],$B1026)*AI186)</f>
        <v>0</v>
      </c>
      <c r="AJ1026" s="652">
        <f>IF($B1026="",,SUMIFS(PerHeadcount[Month 25],PerHeadcount[exp_item],$H1026,PerHeadcount[company_name],$B1026)*AJ186)</f>
        <v>0</v>
      </c>
      <c r="AK1026" s="652">
        <f>IF($B1026="",,SUMIFS(PerHeadcount[Month 26],PerHeadcount[exp_item],$H1026,PerHeadcount[company_name],$B1026)*AK186)</f>
        <v>0</v>
      </c>
      <c r="AL1026" s="652">
        <f>IF($B1026="",,SUMIFS(PerHeadcount[Month 27],PerHeadcount[exp_item],$H1026,PerHeadcount[company_name],$B1026)*AL186)</f>
        <v>0</v>
      </c>
      <c r="AM1026" s="652">
        <f>IF($B1026="",,SUMIFS(PerHeadcount[Month 28],PerHeadcount[exp_item],$H1026,PerHeadcount[company_name],$B1026)*AM186)</f>
        <v>0</v>
      </c>
      <c r="AN1026" s="652">
        <f>IF($B1026="",,SUMIFS(PerHeadcount[Month 29],PerHeadcount[exp_item],$H1026,PerHeadcount[company_name],$B1026)*AN186)</f>
        <v>0</v>
      </c>
      <c r="AO1026" s="652">
        <f>IF($B1026="",,SUMIFS(PerHeadcount[Month 30],PerHeadcount[exp_item],$H1026,PerHeadcount[company_name],$B1026)*AO186)</f>
        <v>0</v>
      </c>
      <c r="AP1026" s="652">
        <f>IF($B1026="",,SUMIFS(PerHeadcount[Month 31],PerHeadcount[exp_item],$H1026,PerHeadcount[company_name],$B1026)*AP186)</f>
        <v>0</v>
      </c>
      <c r="AQ1026" s="652">
        <f>IF($B1026="",,SUMIFS(PerHeadcount[Month 32],PerHeadcount[exp_item],$H1026,PerHeadcount[company_name],$B1026)*AQ186)</f>
        <v>0</v>
      </c>
      <c r="AR1026" s="652">
        <f>IF($B1026="",,SUMIFS(PerHeadcount[Month 33],PerHeadcount[exp_item],$H1026,PerHeadcount[company_name],$B1026)*AR186)</f>
        <v>0</v>
      </c>
      <c r="AS1026" s="652">
        <f>IF($B1026="",,SUMIFS(PerHeadcount[Month 34],PerHeadcount[exp_item],$H1026,PerHeadcount[company_name],$B1026)*AS186)</f>
        <v>0</v>
      </c>
      <c r="AT1026" s="652">
        <f>IF($B1026="",,SUMIFS(PerHeadcount[Month 35],PerHeadcount[exp_item],$H1026,PerHeadcount[company_name],$B1026)*AT186)</f>
        <v>0</v>
      </c>
      <c r="AU1026" s="652">
        <f>IF($B1026="",,SUMIFS(PerHeadcount[Month 36],PerHeadcount[exp_item],$H1026,PerHeadcount[company_name],$B1026)*AU186)</f>
        <v>0</v>
      </c>
    </row>
    <row r="1027" spans="2:47" x14ac:dyDescent="0.35">
      <c r="B1027" t="str">
        <f t="shared" ref="B1027:B1058" si="663">IF(B922="","",B922)</f>
        <v/>
      </c>
      <c r="C1027" t="str">
        <f t="shared" ref="C1027:G1027" si="664">IF(C922="","",C922)</f>
        <v/>
      </c>
      <c r="D1027" t="str">
        <f t="shared" si="664"/>
        <v/>
      </c>
      <c r="E1027" t="str">
        <f t="shared" si="664"/>
        <v/>
      </c>
      <c r="F1027" t="str">
        <f t="shared" si="664"/>
        <v/>
      </c>
      <c r="G1027" t="str">
        <f t="shared" si="664"/>
        <v/>
      </c>
      <c r="H1027" t="str">
        <f t="shared" si="662"/>
        <v/>
      </c>
      <c r="J1027" t="str">
        <f>IF($H1027="","",IF(VLOOKUP(H1027,ExpItems[],2,0),H1027&amp;" - "&amp;INDEX(DivisionMapping[category_code],MATCH($D1027&amp;$C1027,DivisionMapping[dept_bu],0)),H1027))</f>
        <v/>
      </c>
      <c r="K1027" t="str">
        <f t="shared" ref="K1027:K1090" si="665">K922</f>
        <v/>
      </c>
      <c r="L1027" s="652">
        <f>IF($B1027="",,SUMIFS(PerHeadcount[Month 1],PerHeadcount[exp_item],$H1027,PerHeadcount[company_name],$B1027)*L187)</f>
        <v>0</v>
      </c>
      <c r="M1027" s="652">
        <f>IF($B1027="",,SUMIFS(PerHeadcount[Month 2],PerHeadcount[exp_item],$H1027,PerHeadcount[company_name],$B1027)*M187)</f>
        <v>0</v>
      </c>
      <c r="N1027" s="652">
        <f>IF($B1027="",,SUMIFS(PerHeadcount[Month 3],PerHeadcount[exp_item],$H1027,PerHeadcount[company_name],$B1027)*N187)</f>
        <v>0</v>
      </c>
      <c r="O1027" s="652">
        <f>IF($B1027="",,SUMIFS(PerHeadcount[Month 4],PerHeadcount[exp_item],$H1027,PerHeadcount[company_name],$B1027)*O187)</f>
        <v>0</v>
      </c>
      <c r="P1027" s="652">
        <f>IF($B1027="",,SUMIFS(PerHeadcount[Month 5],PerHeadcount[exp_item],$H1027,PerHeadcount[company_name],$B1027)*P187)</f>
        <v>0</v>
      </c>
      <c r="Q1027" s="652">
        <f>IF($B1027="",,SUMIFS(PerHeadcount[Month 6],PerHeadcount[exp_item],$H1027,PerHeadcount[company_name],$B1027)*Q187)</f>
        <v>0</v>
      </c>
      <c r="R1027" s="652">
        <f>IF($B1027="",,SUMIFS(PerHeadcount[Month 7],PerHeadcount[exp_item],$H1027,PerHeadcount[company_name],$B1027)*R187)</f>
        <v>0</v>
      </c>
      <c r="S1027" s="652">
        <f>IF($B1027="",,SUMIFS(PerHeadcount[Month 8],PerHeadcount[exp_item],$H1027,PerHeadcount[company_name],$B1027)*S187)</f>
        <v>0</v>
      </c>
      <c r="T1027" s="652">
        <f>IF($B1027="",,SUMIFS(PerHeadcount[Month 9],PerHeadcount[exp_item],$H1027,PerHeadcount[company_name],$B1027)*T187)</f>
        <v>0</v>
      </c>
      <c r="U1027" s="652">
        <f>IF($B1027="",,SUMIFS(PerHeadcount[Month 10],PerHeadcount[exp_item],$H1027,PerHeadcount[company_name],$B1027)*U187)</f>
        <v>0</v>
      </c>
      <c r="V1027" s="652">
        <f>IF($B1027="",,SUMIFS(PerHeadcount[Month 11],PerHeadcount[exp_item],$H1027,PerHeadcount[company_name],$B1027)*V187)</f>
        <v>0</v>
      </c>
      <c r="W1027" s="652">
        <f>IF($B1027="",,SUMIFS(PerHeadcount[Month 12],PerHeadcount[exp_item],$H1027,PerHeadcount[company_name],$B1027)*W187)</f>
        <v>0</v>
      </c>
      <c r="X1027" s="652">
        <f>IF($B1027="",,SUMIFS(PerHeadcount[Month 13],PerHeadcount[exp_item],$H1027,PerHeadcount[company_name],$B1027)*X187)</f>
        <v>0</v>
      </c>
      <c r="Y1027" s="652">
        <f>IF($B1027="",,SUMIFS(PerHeadcount[Month 14],PerHeadcount[exp_item],$H1027,PerHeadcount[company_name],$B1027)*Y187)</f>
        <v>0</v>
      </c>
      <c r="Z1027" s="652">
        <f>IF($B1027="",,SUMIFS(PerHeadcount[Month 15],PerHeadcount[exp_item],$H1027,PerHeadcount[company_name],$B1027)*Z187)</f>
        <v>0</v>
      </c>
      <c r="AA1027" s="652">
        <f>IF($B1027="",,SUMIFS(PerHeadcount[Month 16],PerHeadcount[exp_item],$H1027,PerHeadcount[company_name],$B1027)*AA187)</f>
        <v>0</v>
      </c>
      <c r="AB1027" s="652">
        <f>IF($B1027="",,SUMIFS(PerHeadcount[Month 17],PerHeadcount[exp_item],$H1027,PerHeadcount[company_name],$B1027)*AB187)</f>
        <v>0</v>
      </c>
      <c r="AC1027" s="652">
        <f>IF($B1027="",,SUMIFS(PerHeadcount[Month 18],PerHeadcount[exp_item],$H1027,PerHeadcount[company_name],$B1027)*AC187)</f>
        <v>0</v>
      </c>
      <c r="AD1027" s="652">
        <f>IF($B1027="",,SUMIFS(PerHeadcount[Month 19],PerHeadcount[exp_item],$H1027,PerHeadcount[company_name],$B1027)*AD187)</f>
        <v>0</v>
      </c>
      <c r="AE1027" s="652">
        <f>IF($B1027="",,SUMIFS(PerHeadcount[Month 20],PerHeadcount[exp_item],$H1027,PerHeadcount[company_name],$B1027)*AE187)</f>
        <v>0</v>
      </c>
      <c r="AF1027" s="652">
        <f>IF($B1027="",,SUMIFS(PerHeadcount[Month 21],PerHeadcount[exp_item],$H1027,PerHeadcount[company_name],$B1027)*AF187)</f>
        <v>0</v>
      </c>
      <c r="AG1027" s="652">
        <f>IF($B1027="",,SUMIFS(PerHeadcount[Month 22],PerHeadcount[exp_item],$H1027,PerHeadcount[company_name],$B1027)*AG187)</f>
        <v>0</v>
      </c>
      <c r="AH1027" s="652">
        <f>IF($B1027="",,SUMIFS(PerHeadcount[Month 23],PerHeadcount[exp_item],$H1027,PerHeadcount[company_name],$B1027)*AH187)</f>
        <v>0</v>
      </c>
      <c r="AI1027" s="652">
        <f>IF($B1027="",,SUMIFS(PerHeadcount[Month 24],PerHeadcount[exp_item],$H1027,PerHeadcount[company_name],$B1027)*AI187)</f>
        <v>0</v>
      </c>
      <c r="AJ1027" s="652">
        <f>IF($B1027="",,SUMIFS(PerHeadcount[Month 25],PerHeadcount[exp_item],$H1027,PerHeadcount[company_name],$B1027)*AJ187)</f>
        <v>0</v>
      </c>
      <c r="AK1027" s="652">
        <f>IF($B1027="",,SUMIFS(PerHeadcount[Month 26],PerHeadcount[exp_item],$H1027,PerHeadcount[company_name],$B1027)*AK187)</f>
        <v>0</v>
      </c>
      <c r="AL1027" s="652">
        <f>IF($B1027="",,SUMIFS(PerHeadcount[Month 27],PerHeadcount[exp_item],$H1027,PerHeadcount[company_name],$B1027)*AL187)</f>
        <v>0</v>
      </c>
      <c r="AM1027" s="652">
        <f>IF($B1027="",,SUMIFS(PerHeadcount[Month 28],PerHeadcount[exp_item],$H1027,PerHeadcount[company_name],$B1027)*AM187)</f>
        <v>0</v>
      </c>
      <c r="AN1027" s="652">
        <f>IF($B1027="",,SUMIFS(PerHeadcount[Month 29],PerHeadcount[exp_item],$H1027,PerHeadcount[company_name],$B1027)*AN187)</f>
        <v>0</v>
      </c>
      <c r="AO1027" s="652">
        <f>IF($B1027="",,SUMIFS(PerHeadcount[Month 30],PerHeadcount[exp_item],$H1027,PerHeadcount[company_name],$B1027)*AO187)</f>
        <v>0</v>
      </c>
      <c r="AP1027" s="652">
        <f>IF($B1027="",,SUMIFS(PerHeadcount[Month 31],PerHeadcount[exp_item],$H1027,PerHeadcount[company_name],$B1027)*AP187)</f>
        <v>0</v>
      </c>
      <c r="AQ1027" s="652">
        <f>IF($B1027="",,SUMIFS(PerHeadcount[Month 32],PerHeadcount[exp_item],$H1027,PerHeadcount[company_name],$B1027)*AQ187)</f>
        <v>0</v>
      </c>
      <c r="AR1027" s="652">
        <f>IF($B1027="",,SUMIFS(PerHeadcount[Month 33],PerHeadcount[exp_item],$H1027,PerHeadcount[company_name],$B1027)*AR187)</f>
        <v>0</v>
      </c>
      <c r="AS1027" s="652">
        <f>IF($B1027="",,SUMIFS(PerHeadcount[Month 34],PerHeadcount[exp_item],$H1027,PerHeadcount[company_name],$B1027)*AS187)</f>
        <v>0</v>
      </c>
      <c r="AT1027" s="652">
        <f>IF($B1027="",,SUMIFS(PerHeadcount[Month 35],PerHeadcount[exp_item],$H1027,PerHeadcount[company_name],$B1027)*AT187)</f>
        <v>0</v>
      </c>
      <c r="AU1027" s="652">
        <f>IF($B1027="",,SUMIFS(PerHeadcount[Month 36],PerHeadcount[exp_item],$H1027,PerHeadcount[company_name],$B1027)*AU187)</f>
        <v>0</v>
      </c>
    </row>
    <row r="1028" spans="2:47" x14ac:dyDescent="0.35">
      <c r="B1028" t="str">
        <f t="shared" si="663"/>
        <v/>
      </c>
      <c r="C1028" t="str">
        <f t="shared" ref="C1028:G1028" si="666">IF(C923="","",C923)</f>
        <v/>
      </c>
      <c r="D1028" t="str">
        <f t="shared" si="666"/>
        <v/>
      </c>
      <c r="E1028" t="str">
        <f t="shared" si="666"/>
        <v/>
      </c>
      <c r="F1028" t="str">
        <f t="shared" si="666"/>
        <v/>
      </c>
      <c r="G1028" t="str">
        <f t="shared" si="666"/>
        <v/>
      </c>
      <c r="H1028" t="str">
        <f t="shared" si="662"/>
        <v/>
      </c>
      <c r="J1028" t="str">
        <f>IF($H1028="","",IF(VLOOKUP(H1028,ExpItems[],2,0),H1028&amp;" - "&amp;INDEX(DivisionMapping[category_code],MATCH($D1028&amp;$C1028,DivisionMapping[dept_bu],0)),H1028))</f>
        <v/>
      </c>
      <c r="K1028" t="str">
        <f t="shared" si="665"/>
        <v/>
      </c>
      <c r="L1028" s="652">
        <f>IF($B1028="",,SUMIFS(PerHeadcount[Month 1],PerHeadcount[exp_item],$H1028,PerHeadcount[company_name],$B1028)*L188)</f>
        <v>0</v>
      </c>
      <c r="M1028" s="652">
        <f>IF($B1028="",,SUMIFS(PerHeadcount[Month 2],PerHeadcount[exp_item],$H1028,PerHeadcount[company_name],$B1028)*M188)</f>
        <v>0</v>
      </c>
      <c r="N1028" s="652">
        <f>IF($B1028="",,SUMIFS(PerHeadcount[Month 3],PerHeadcount[exp_item],$H1028,PerHeadcount[company_name],$B1028)*N188)</f>
        <v>0</v>
      </c>
      <c r="O1028" s="652">
        <f>IF($B1028="",,SUMIFS(PerHeadcount[Month 4],PerHeadcount[exp_item],$H1028,PerHeadcount[company_name],$B1028)*O188)</f>
        <v>0</v>
      </c>
      <c r="P1028" s="652">
        <f>IF($B1028="",,SUMIFS(PerHeadcount[Month 5],PerHeadcount[exp_item],$H1028,PerHeadcount[company_name],$B1028)*P188)</f>
        <v>0</v>
      </c>
      <c r="Q1028" s="652">
        <f>IF($B1028="",,SUMIFS(PerHeadcount[Month 6],PerHeadcount[exp_item],$H1028,PerHeadcount[company_name],$B1028)*Q188)</f>
        <v>0</v>
      </c>
      <c r="R1028" s="652">
        <f>IF($B1028="",,SUMIFS(PerHeadcount[Month 7],PerHeadcount[exp_item],$H1028,PerHeadcount[company_name],$B1028)*R188)</f>
        <v>0</v>
      </c>
      <c r="S1028" s="652">
        <f>IF($B1028="",,SUMIFS(PerHeadcount[Month 8],PerHeadcount[exp_item],$H1028,PerHeadcount[company_name],$B1028)*S188)</f>
        <v>0</v>
      </c>
      <c r="T1028" s="652">
        <f>IF($B1028="",,SUMIFS(PerHeadcount[Month 9],PerHeadcount[exp_item],$H1028,PerHeadcount[company_name],$B1028)*T188)</f>
        <v>0</v>
      </c>
      <c r="U1028" s="652">
        <f>IF($B1028="",,SUMIFS(PerHeadcount[Month 10],PerHeadcount[exp_item],$H1028,PerHeadcount[company_name],$B1028)*U188)</f>
        <v>0</v>
      </c>
      <c r="V1028" s="652">
        <f>IF($B1028="",,SUMIFS(PerHeadcount[Month 11],PerHeadcount[exp_item],$H1028,PerHeadcount[company_name],$B1028)*V188)</f>
        <v>0</v>
      </c>
      <c r="W1028" s="652">
        <f>IF($B1028="",,SUMIFS(PerHeadcount[Month 12],PerHeadcount[exp_item],$H1028,PerHeadcount[company_name],$B1028)*W188)</f>
        <v>0</v>
      </c>
      <c r="X1028" s="652">
        <f>IF($B1028="",,SUMIFS(PerHeadcount[Month 13],PerHeadcount[exp_item],$H1028,PerHeadcount[company_name],$B1028)*X188)</f>
        <v>0</v>
      </c>
      <c r="Y1028" s="652">
        <f>IF($B1028="",,SUMIFS(PerHeadcount[Month 14],PerHeadcount[exp_item],$H1028,PerHeadcount[company_name],$B1028)*Y188)</f>
        <v>0</v>
      </c>
      <c r="Z1028" s="652">
        <f>IF($B1028="",,SUMIFS(PerHeadcount[Month 15],PerHeadcount[exp_item],$H1028,PerHeadcount[company_name],$B1028)*Z188)</f>
        <v>0</v>
      </c>
      <c r="AA1028" s="652">
        <f>IF($B1028="",,SUMIFS(PerHeadcount[Month 16],PerHeadcount[exp_item],$H1028,PerHeadcount[company_name],$B1028)*AA188)</f>
        <v>0</v>
      </c>
      <c r="AB1028" s="652">
        <f>IF($B1028="",,SUMIFS(PerHeadcount[Month 17],PerHeadcount[exp_item],$H1028,PerHeadcount[company_name],$B1028)*AB188)</f>
        <v>0</v>
      </c>
      <c r="AC1028" s="652">
        <f>IF($B1028="",,SUMIFS(PerHeadcount[Month 18],PerHeadcount[exp_item],$H1028,PerHeadcount[company_name],$B1028)*AC188)</f>
        <v>0</v>
      </c>
      <c r="AD1028" s="652">
        <f>IF($B1028="",,SUMIFS(PerHeadcount[Month 19],PerHeadcount[exp_item],$H1028,PerHeadcount[company_name],$B1028)*AD188)</f>
        <v>0</v>
      </c>
      <c r="AE1028" s="652">
        <f>IF($B1028="",,SUMIFS(PerHeadcount[Month 20],PerHeadcount[exp_item],$H1028,PerHeadcount[company_name],$B1028)*AE188)</f>
        <v>0</v>
      </c>
      <c r="AF1028" s="652">
        <f>IF($B1028="",,SUMIFS(PerHeadcount[Month 21],PerHeadcount[exp_item],$H1028,PerHeadcount[company_name],$B1028)*AF188)</f>
        <v>0</v>
      </c>
      <c r="AG1028" s="652">
        <f>IF($B1028="",,SUMIFS(PerHeadcount[Month 22],PerHeadcount[exp_item],$H1028,PerHeadcount[company_name],$B1028)*AG188)</f>
        <v>0</v>
      </c>
      <c r="AH1028" s="652">
        <f>IF($B1028="",,SUMIFS(PerHeadcount[Month 23],PerHeadcount[exp_item],$H1028,PerHeadcount[company_name],$B1028)*AH188)</f>
        <v>0</v>
      </c>
      <c r="AI1028" s="652">
        <f>IF($B1028="",,SUMIFS(PerHeadcount[Month 24],PerHeadcount[exp_item],$H1028,PerHeadcount[company_name],$B1028)*AI188)</f>
        <v>0</v>
      </c>
      <c r="AJ1028" s="652">
        <f>IF($B1028="",,SUMIFS(PerHeadcount[Month 25],PerHeadcount[exp_item],$H1028,PerHeadcount[company_name],$B1028)*AJ188)</f>
        <v>0</v>
      </c>
      <c r="AK1028" s="652">
        <f>IF($B1028="",,SUMIFS(PerHeadcount[Month 26],PerHeadcount[exp_item],$H1028,PerHeadcount[company_name],$B1028)*AK188)</f>
        <v>0</v>
      </c>
      <c r="AL1028" s="652">
        <f>IF($B1028="",,SUMIFS(PerHeadcount[Month 27],PerHeadcount[exp_item],$H1028,PerHeadcount[company_name],$B1028)*AL188)</f>
        <v>0</v>
      </c>
      <c r="AM1028" s="652">
        <f>IF($B1028="",,SUMIFS(PerHeadcount[Month 28],PerHeadcount[exp_item],$H1028,PerHeadcount[company_name],$B1028)*AM188)</f>
        <v>0</v>
      </c>
      <c r="AN1028" s="652">
        <f>IF($B1028="",,SUMIFS(PerHeadcount[Month 29],PerHeadcount[exp_item],$H1028,PerHeadcount[company_name],$B1028)*AN188)</f>
        <v>0</v>
      </c>
      <c r="AO1028" s="652">
        <f>IF($B1028="",,SUMIFS(PerHeadcount[Month 30],PerHeadcount[exp_item],$H1028,PerHeadcount[company_name],$B1028)*AO188)</f>
        <v>0</v>
      </c>
      <c r="AP1028" s="652">
        <f>IF($B1028="",,SUMIFS(PerHeadcount[Month 31],PerHeadcount[exp_item],$H1028,PerHeadcount[company_name],$B1028)*AP188)</f>
        <v>0</v>
      </c>
      <c r="AQ1028" s="652">
        <f>IF($B1028="",,SUMIFS(PerHeadcount[Month 32],PerHeadcount[exp_item],$H1028,PerHeadcount[company_name],$B1028)*AQ188)</f>
        <v>0</v>
      </c>
      <c r="AR1028" s="652">
        <f>IF($B1028="",,SUMIFS(PerHeadcount[Month 33],PerHeadcount[exp_item],$H1028,PerHeadcount[company_name],$B1028)*AR188)</f>
        <v>0</v>
      </c>
      <c r="AS1028" s="652">
        <f>IF($B1028="",,SUMIFS(PerHeadcount[Month 34],PerHeadcount[exp_item],$H1028,PerHeadcount[company_name],$B1028)*AS188)</f>
        <v>0</v>
      </c>
      <c r="AT1028" s="652">
        <f>IF($B1028="",,SUMIFS(PerHeadcount[Month 35],PerHeadcount[exp_item],$H1028,PerHeadcount[company_name],$B1028)*AT188)</f>
        <v>0</v>
      </c>
      <c r="AU1028" s="652">
        <f>IF($B1028="",,SUMIFS(PerHeadcount[Month 36],PerHeadcount[exp_item],$H1028,PerHeadcount[company_name],$B1028)*AU188)</f>
        <v>0</v>
      </c>
    </row>
    <row r="1029" spans="2:47" x14ac:dyDescent="0.35">
      <c r="B1029" t="str">
        <f t="shared" si="663"/>
        <v/>
      </c>
      <c r="C1029" t="str">
        <f t="shared" ref="C1029:G1029" si="667">IF(C924="","",C924)</f>
        <v/>
      </c>
      <c r="D1029" t="str">
        <f t="shared" si="667"/>
        <v/>
      </c>
      <c r="E1029" t="str">
        <f t="shared" si="667"/>
        <v/>
      </c>
      <c r="F1029" t="str">
        <f t="shared" si="667"/>
        <v/>
      </c>
      <c r="G1029" t="str">
        <f t="shared" si="667"/>
        <v/>
      </c>
      <c r="H1029" t="str">
        <f t="shared" si="662"/>
        <v/>
      </c>
      <c r="J1029" t="str">
        <f>IF($H1029="","",IF(VLOOKUP(H1029,ExpItems[],2,0),H1029&amp;" - "&amp;INDEX(DivisionMapping[category_code],MATCH($D1029&amp;$C1029,DivisionMapping[dept_bu],0)),H1029))</f>
        <v/>
      </c>
      <c r="K1029" t="str">
        <f t="shared" si="665"/>
        <v/>
      </c>
      <c r="L1029" s="652">
        <f>IF($B1029="",,SUMIFS(PerHeadcount[Month 1],PerHeadcount[exp_item],$H1029,PerHeadcount[company_name],$B1029)*L189)</f>
        <v>0</v>
      </c>
      <c r="M1029" s="652">
        <f>IF($B1029="",,SUMIFS(PerHeadcount[Month 2],PerHeadcount[exp_item],$H1029,PerHeadcount[company_name],$B1029)*M189)</f>
        <v>0</v>
      </c>
      <c r="N1029" s="652">
        <f>IF($B1029="",,SUMIFS(PerHeadcount[Month 3],PerHeadcount[exp_item],$H1029,PerHeadcount[company_name],$B1029)*N189)</f>
        <v>0</v>
      </c>
      <c r="O1029" s="652">
        <f>IF($B1029="",,SUMIFS(PerHeadcount[Month 4],PerHeadcount[exp_item],$H1029,PerHeadcount[company_name],$B1029)*O189)</f>
        <v>0</v>
      </c>
      <c r="P1029" s="652">
        <f>IF($B1029="",,SUMIFS(PerHeadcount[Month 5],PerHeadcount[exp_item],$H1029,PerHeadcount[company_name],$B1029)*P189)</f>
        <v>0</v>
      </c>
      <c r="Q1029" s="652">
        <f>IF($B1029="",,SUMIFS(PerHeadcount[Month 6],PerHeadcount[exp_item],$H1029,PerHeadcount[company_name],$B1029)*Q189)</f>
        <v>0</v>
      </c>
      <c r="R1029" s="652">
        <f>IF($B1029="",,SUMIFS(PerHeadcount[Month 7],PerHeadcount[exp_item],$H1029,PerHeadcount[company_name],$B1029)*R189)</f>
        <v>0</v>
      </c>
      <c r="S1029" s="652">
        <f>IF($B1029="",,SUMIFS(PerHeadcount[Month 8],PerHeadcount[exp_item],$H1029,PerHeadcount[company_name],$B1029)*S189)</f>
        <v>0</v>
      </c>
      <c r="T1029" s="652">
        <f>IF($B1029="",,SUMIFS(PerHeadcount[Month 9],PerHeadcount[exp_item],$H1029,PerHeadcount[company_name],$B1029)*T189)</f>
        <v>0</v>
      </c>
      <c r="U1029" s="652">
        <f>IF($B1029="",,SUMIFS(PerHeadcount[Month 10],PerHeadcount[exp_item],$H1029,PerHeadcount[company_name],$B1029)*U189)</f>
        <v>0</v>
      </c>
      <c r="V1029" s="652">
        <f>IF($B1029="",,SUMIFS(PerHeadcount[Month 11],PerHeadcount[exp_item],$H1029,PerHeadcount[company_name],$B1029)*V189)</f>
        <v>0</v>
      </c>
      <c r="W1029" s="652">
        <f>IF($B1029="",,SUMIFS(PerHeadcount[Month 12],PerHeadcount[exp_item],$H1029,PerHeadcount[company_name],$B1029)*W189)</f>
        <v>0</v>
      </c>
      <c r="X1029" s="652">
        <f>IF($B1029="",,SUMIFS(PerHeadcount[Month 13],PerHeadcount[exp_item],$H1029,PerHeadcount[company_name],$B1029)*X189)</f>
        <v>0</v>
      </c>
      <c r="Y1029" s="652">
        <f>IF($B1029="",,SUMIFS(PerHeadcount[Month 14],PerHeadcount[exp_item],$H1029,PerHeadcount[company_name],$B1029)*Y189)</f>
        <v>0</v>
      </c>
      <c r="Z1029" s="652">
        <f>IF($B1029="",,SUMIFS(PerHeadcount[Month 15],PerHeadcount[exp_item],$H1029,PerHeadcount[company_name],$B1029)*Z189)</f>
        <v>0</v>
      </c>
      <c r="AA1029" s="652">
        <f>IF($B1029="",,SUMIFS(PerHeadcount[Month 16],PerHeadcount[exp_item],$H1029,PerHeadcount[company_name],$B1029)*AA189)</f>
        <v>0</v>
      </c>
      <c r="AB1029" s="652">
        <f>IF($B1029="",,SUMIFS(PerHeadcount[Month 17],PerHeadcount[exp_item],$H1029,PerHeadcount[company_name],$B1029)*AB189)</f>
        <v>0</v>
      </c>
      <c r="AC1029" s="652">
        <f>IF($B1029="",,SUMIFS(PerHeadcount[Month 18],PerHeadcount[exp_item],$H1029,PerHeadcount[company_name],$B1029)*AC189)</f>
        <v>0</v>
      </c>
      <c r="AD1029" s="652">
        <f>IF($B1029="",,SUMIFS(PerHeadcount[Month 19],PerHeadcount[exp_item],$H1029,PerHeadcount[company_name],$B1029)*AD189)</f>
        <v>0</v>
      </c>
      <c r="AE1029" s="652">
        <f>IF($B1029="",,SUMIFS(PerHeadcount[Month 20],PerHeadcount[exp_item],$H1029,PerHeadcount[company_name],$B1029)*AE189)</f>
        <v>0</v>
      </c>
      <c r="AF1029" s="652">
        <f>IF($B1029="",,SUMIFS(PerHeadcount[Month 21],PerHeadcount[exp_item],$H1029,PerHeadcount[company_name],$B1029)*AF189)</f>
        <v>0</v>
      </c>
      <c r="AG1029" s="652">
        <f>IF($B1029="",,SUMIFS(PerHeadcount[Month 22],PerHeadcount[exp_item],$H1029,PerHeadcount[company_name],$B1029)*AG189)</f>
        <v>0</v>
      </c>
      <c r="AH1029" s="652">
        <f>IF($B1029="",,SUMIFS(PerHeadcount[Month 23],PerHeadcount[exp_item],$H1029,PerHeadcount[company_name],$B1029)*AH189)</f>
        <v>0</v>
      </c>
      <c r="AI1029" s="652">
        <f>IF($B1029="",,SUMIFS(PerHeadcount[Month 24],PerHeadcount[exp_item],$H1029,PerHeadcount[company_name],$B1029)*AI189)</f>
        <v>0</v>
      </c>
      <c r="AJ1029" s="652">
        <f>IF($B1029="",,SUMIFS(PerHeadcount[Month 25],PerHeadcount[exp_item],$H1029,PerHeadcount[company_name],$B1029)*AJ189)</f>
        <v>0</v>
      </c>
      <c r="AK1029" s="652">
        <f>IF($B1029="",,SUMIFS(PerHeadcount[Month 26],PerHeadcount[exp_item],$H1029,PerHeadcount[company_name],$B1029)*AK189)</f>
        <v>0</v>
      </c>
      <c r="AL1029" s="652">
        <f>IF($B1029="",,SUMIFS(PerHeadcount[Month 27],PerHeadcount[exp_item],$H1029,PerHeadcount[company_name],$B1029)*AL189)</f>
        <v>0</v>
      </c>
      <c r="AM1029" s="652">
        <f>IF($B1029="",,SUMIFS(PerHeadcount[Month 28],PerHeadcount[exp_item],$H1029,PerHeadcount[company_name],$B1029)*AM189)</f>
        <v>0</v>
      </c>
      <c r="AN1029" s="652">
        <f>IF($B1029="",,SUMIFS(PerHeadcount[Month 29],PerHeadcount[exp_item],$H1029,PerHeadcount[company_name],$B1029)*AN189)</f>
        <v>0</v>
      </c>
      <c r="AO1029" s="652">
        <f>IF($B1029="",,SUMIFS(PerHeadcount[Month 30],PerHeadcount[exp_item],$H1029,PerHeadcount[company_name],$B1029)*AO189)</f>
        <v>0</v>
      </c>
      <c r="AP1029" s="652">
        <f>IF($B1029="",,SUMIFS(PerHeadcount[Month 31],PerHeadcount[exp_item],$H1029,PerHeadcount[company_name],$B1029)*AP189)</f>
        <v>0</v>
      </c>
      <c r="AQ1029" s="652">
        <f>IF($B1029="",,SUMIFS(PerHeadcount[Month 32],PerHeadcount[exp_item],$H1029,PerHeadcount[company_name],$B1029)*AQ189)</f>
        <v>0</v>
      </c>
      <c r="AR1029" s="652">
        <f>IF($B1029="",,SUMIFS(PerHeadcount[Month 33],PerHeadcount[exp_item],$H1029,PerHeadcount[company_name],$B1029)*AR189)</f>
        <v>0</v>
      </c>
      <c r="AS1029" s="652">
        <f>IF($B1029="",,SUMIFS(PerHeadcount[Month 34],PerHeadcount[exp_item],$H1029,PerHeadcount[company_name],$B1029)*AS189)</f>
        <v>0</v>
      </c>
      <c r="AT1029" s="652">
        <f>IF($B1029="",,SUMIFS(PerHeadcount[Month 35],PerHeadcount[exp_item],$H1029,PerHeadcount[company_name],$B1029)*AT189)</f>
        <v>0</v>
      </c>
      <c r="AU1029" s="652">
        <f>IF($B1029="",,SUMIFS(PerHeadcount[Month 36],PerHeadcount[exp_item],$H1029,PerHeadcount[company_name],$B1029)*AU189)</f>
        <v>0</v>
      </c>
    </row>
    <row r="1030" spans="2:47" x14ac:dyDescent="0.35">
      <c r="B1030" t="str">
        <f t="shared" si="663"/>
        <v/>
      </c>
      <c r="C1030" t="str">
        <f t="shared" ref="C1030:G1030" si="668">IF(C925="","",C925)</f>
        <v/>
      </c>
      <c r="D1030" t="str">
        <f t="shared" si="668"/>
        <v/>
      </c>
      <c r="E1030" t="str">
        <f t="shared" si="668"/>
        <v/>
      </c>
      <c r="F1030" t="str">
        <f t="shared" si="668"/>
        <v/>
      </c>
      <c r="G1030" t="str">
        <f t="shared" si="668"/>
        <v/>
      </c>
      <c r="H1030" t="str">
        <f t="shared" si="662"/>
        <v/>
      </c>
      <c r="J1030" t="str">
        <f>IF($H1030="","",IF(VLOOKUP(H1030,ExpItems[],2,0),H1030&amp;" - "&amp;INDEX(DivisionMapping[category_code],MATCH($D1030&amp;$C1030,DivisionMapping[dept_bu],0)),H1030))</f>
        <v/>
      </c>
      <c r="K1030" t="str">
        <f t="shared" si="665"/>
        <v/>
      </c>
      <c r="L1030" s="652">
        <f>IF($B1030="",,SUMIFS(PerHeadcount[Month 1],PerHeadcount[exp_item],$H1030,PerHeadcount[company_name],$B1030)*L190)</f>
        <v>0</v>
      </c>
      <c r="M1030" s="652">
        <f>IF($B1030="",,SUMIFS(PerHeadcount[Month 2],PerHeadcount[exp_item],$H1030,PerHeadcount[company_name],$B1030)*M190)</f>
        <v>0</v>
      </c>
      <c r="N1030" s="652">
        <f>IF($B1030="",,SUMIFS(PerHeadcount[Month 3],PerHeadcount[exp_item],$H1030,PerHeadcount[company_name],$B1030)*N190)</f>
        <v>0</v>
      </c>
      <c r="O1030" s="652">
        <f>IF($B1030="",,SUMIFS(PerHeadcount[Month 4],PerHeadcount[exp_item],$H1030,PerHeadcount[company_name],$B1030)*O190)</f>
        <v>0</v>
      </c>
      <c r="P1030" s="652">
        <f>IF($B1030="",,SUMIFS(PerHeadcount[Month 5],PerHeadcount[exp_item],$H1030,PerHeadcount[company_name],$B1030)*P190)</f>
        <v>0</v>
      </c>
      <c r="Q1030" s="652">
        <f>IF($B1030="",,SUMIFS(PerHeadcount[Month 6],PerHeadcount[exp_item],$H1030,PerHeadcount[company_name],$B1030)*Q190)</f>
        <v>0</v>
      </c>
      <c r="R1030" s="652">
        <f>IF($B1030="",,SUMIFS(PerHeadcount[Month 7],PerHeadcount[exp_item],$H1030,PerHeadcount[company_name],$B1030)*R190)</f>
        <v>0</v>
      </c>
      <c r="S1030" s="652">
        <f>IF($B1030="",,SUMIFS(PerHeadcount[Month 8],PerHeadcount[exp_item],$H1030,PerHeadcount[company_name],$B1030)*S190)</f>
        <v>0</v>
      </c>
      <c r="T1030" s="652">
        <f>IF($B1030="",,SUMIFS(PerHeadcount[Month 9],PerHeadcount[exp_item],$H1030,PerHeadcount[company_name],$B1030)*T190)</f>
        <v>0</v>
      </c>
      <c r="U1030" s="652">
        <f>IF($B1030="",,SUMIFS(PerHeadcount[Month 10],PerHeadcount[exp_item],$H1030,PerHeadcount[company_name],$B1030)*U190)</f>
        <v>0</v>
      </c>
      <c r="V1030" s="652">
        <f>IF($B1030="",,SUMIFS(PerHeadcount[Month 11],PerHeadcount[exp_item],$H1030,PerHeadcount[company_name],$B1030)*V190)</f>
        <v>0</v>
      </c>
      <c r="W1030" s="652">
        <f>IF($B1030="",,SUMIFS(PerHeadcount[Month 12],PerHeadcount[exp_item],$H1030,PerHeadcount[company_name],$B1030)*W190)</f>
        <v>0</v>
      </c>
      <c r="X1030" s="652">
        <f>IF($B1030="",,SUMIFS(PerHeadcount[Month 13],PerHeadcount[exp_item],$H1030,PerHeadcount[company_name],$B1030)*X190)</f>
        <v>0</v>
      </c>
      <c r="Y1030" s="652">
        <f>IF($B1030="",,SUMIFS(PerHeadcount[Month 14],PerHeadcount[exp_item],$H1030,PerHeadcount[company_name],$B1030)*Y190)</f>
        <v>0</v>
      </c>
      <c r="Z1030" s="652">
        <f>IF($B1030="",,SUMIFS(PerHeadcount[Month 15],PerHeadcount[exp_item],$H1030,PerHeadcount[company_name],$B1030)*Z190)</f>
        <v>0</v>
      </c>
      <c r="AA1030" s="652">
        <f>IF($B1030="",,SUMIFS(PerHeadcount[Month 16],PerHeadcount[exp_item],$H1030,PerHeadcount[company_name],$B1030)*AA190)</f>
        <v>0</v>
      </c>
      <c r="AB1030" s="652">
        <f>IF($B1030="",,SUMIFS(PerHeadcount[Month 17],PerHeadcount[exp_item],$H1030,PerHeadcount[company_name],$B1030)*AB190)</f>
        <v>0</v>
      </c>
      <c r="AC1030" s="652">
        <f>IF($B1030="",,SUMIFS(PerHeadcount[Month 18],PerHeadcount[exp_item],$H1030,PerHeadcount[company_name],$B1030)*AC190)</f>
        <v>0</v>
      </c>
      <c r="AD1030" s="652">
        <f>IF($B1030="",,SUMIFS(PerHeadcount[Month 19],PerHeadcount[exp_item],$H1030,PerHeadcount[company_name],$B1030)*AD190)</f>
        <v>0</v>
      </c>
      <c r="AE1030" s="652">
        <f>IF($B1030="",,SUMIFS(PerHeadcount[Month 20],PerHeadcount[exp_item],$H1030,PerHeadcount[company_name],$B1030)*AE190)</f>
        <v>0</v>
      </c>
      <c r="AF1030" s="652">
        <f>IF($B1030="",,SUMIFS(PerHeadcount[Month 21],PerHeadcount[exp_item],$H1030,PerHeadcount[company_name],$B1030)*AF190)</f>
        <v>0</v>
      </c>
      <c r="AG1030" s="652">
        <f>IF($B1030="",,SUMIFS(PerHeadcount[Month 22],PerHeadcount[exp_item],$H1030,PerHeadcount[company_name],$B1030)*AG190)</f>
        <v>0</v>
      </c>
      <c r="AH1030" s="652">
        <f>IF($B1030="",,SUMIFS(PerHeadcount[Month 23],PerHeadcount[exp_item],$H1030,PerHeadcount[company_name],$B1030)*AH190)</f>
        <v>0</v>
      </c>
      <c r="AI1030" s="652">
        <f>IF($B1030="",,SUMIFS(PerHeadcount[Month 24],PerHeadcount[exp_item],$H1030,PerHeadcount[company_name],$B1030)*AI190)</f>
        <v>0</v>
      </c>
      <c r="AJ1030" s="652">
        <f>IF($B1030="",,SUMIFS(PerHeadcount[Month 25],PerHeadcount[exp_item],$H1030,PerHeadcount[company_name],$B1030)*AJ190)</f>
        <v>0</v>
      </c>
      <c r="AK1030" s="652">
        <f>IF($B1030="",,SUMIFS(PerHeadcount[Month 26],PerHeadcount[exp_item],$H1030,PerHeadcount[company_name],$B1030)*AK190)</f>
        <v>0</v>
      </c>
      <c r="AL1030" s="652">
        <f>IF($B1030="",,SUMIFS(PerHeadcount[Month 27],PerHeadcount[exp_item],$H1030,PerHeadcount[company_name],$B1030)*AL190)</f>
        <v>0</v>
      </c>
      <c r="AM1030" s="652">
        <f>IF($B1030="",,SUMIFS(PerHeadcount[Month 28],PerHeadcount[exp_item],$H1030,PerHeadcount[company_name],$B1030)*AM190)</f>
        <v>0</v>
      </c>
      <c r="AN1030" s="652">
        <f>IF($B1030="",,SUMIFS(PerHeadcount[Month 29],PerHeadcount[exp_item],$H1030,PerHeadcount[company_name],$B1030)*AN190)</f>
        <v>0</v>
      </c>
      <c r="AO1030" s="652">
        <f>IF($B1030="",,SUMIFS(PerHeadcount[Month 30],PerHeadcount[exp_item],$H1030,PerHeadcount[company_name],$B1030)*AO190)</f>
        <v>0</v>
      </c>
      <c r="AP1030" s="652">
        <f>IF($B1030="",,SUMIFS(PerHeadcount[Month 31],PerHeadcount[exp_item],$H1030,PerHeadcount[company_name],$B1030)*AP190)</f>
        <v>0</v>
      </c>
      <c r="AQ1030" s="652">
        <f>IF($B1030="",,SUMIFS(PerHeadcount[Month 32],PerHeadcount[exp_item],$H1030,PerHeadcount[company_name],$B1030)*AQ190)</f>
        <v>0</v>
      </c>
      <c r="AR1030" s="652">
        <f>IF($B1030="",,SUMIFS(PerHeadcount[Month 33],PerHeadcount[exp_item],$H1030,PerHeadcount[company_name],$B1030)*AR190)</f>
        <v>0</v>
      </c>
      <c r="AS1030" s="652">
        <f>IF($B1030="",,SUMIFS(PerHeadcount[Month 34],PerHeadcount[exp_item],$H1030,PerHeadcount[company_name],$B1030)*AS190)</f>
        <v>0</v>
      </c>
      <c r="AT1030" s="652">
        <f>IF($B1030="",,SUMIFS(PerHeadcount[Month 35],PerHeadcount[exp_item],$H1030,PerHeadcount[company_name],$B1030)*AT190)</f>
        <v>0</v>
      </c>
      <c r="AU1030" s="652">
        <f>IF($B1030="",,SUMIFS(PerHeadcount[Month 36],PerHeadcount[exp_item],$H1030,PerHeadcount[company_name],$B1030)*AU190)</f>
        <v>0</v>
      </c>
    </row>
    <row r="1031" spans="2:47" x14ac:dyDescent="0.35">
      <c r="B1031" t="str">
        <f t="shared" si="663"/>
        <v/>
      </c>
      <c r="C1031" t="str">
        <f t="shared" ref="C1031:G1031" si="669">IF(C926="","",C926)</f>
        <v/>
      </c>
      <c r="D1031" t="str">
        <f t="shared" si="669"/>
        <v/>
      </c>
      <c r="E1031" t="str">
        <f t="shared" si="669"/>
        <v/>
      </c>
      <c r="F1031" t="str">
        <f t="shared" si="669"/>
        <v/>
      </c>
      <c r="G1031" t="str">
        <f t="shared" si="669"/>
        <v/>
      </c>
      <c r="H1031" t="str">
        <f t="shared" si="662"/>
        <v/>
      </c>
      <c r="J1031" t="str">
        <f>IF($H1031="","",IF(VLOOKUP(H1031,ExpItems[],2,0),H1031&amp;" - "&amp;INDEX(DivisionMapping[category_code],MATCH($D1031&amp;$C1031,DivisionMapping[dept_bu],0)),H1031))</f>
        <v/>
      </c>
      <c r="K1031" t="str">
        <f t="shared" si="665"/>
        <v/>
      </c>
      <c r="L1031" s="652">
        <f>IF($B1031="",,SUMIFS(PerHeadcount[Month 1],PerHeadcount[exp_item],$H1031,PerHeadcount[company_name],$B1031)*L191)</f>
        <v>0</v>
      </c>
      <c r="M1031" s="652">
        <f>IF($B1031="",,SUMIFS(PerHeadcount[Month 2],PerHeadcount[exp_item],$H1031,PerHeadcount[company_name],$B1031)*M191)</f>
        <v>0</v>
      </c>
      <c r="N1031" s="652">
        <f>IF($B1031="",,SUMIFS(PerHeadcount[Month 3],PerHeadcount[exp_item],$H1031,PerHeadcount[company_name],$B1031)*N191)</f>
        <v>0</v>
      </c>
      <c r="O1031" s="652">
        <f>IF($B1031="",,SUMIFS(PerHeadcount[Month 4],PerHeadcount[exp_item],$H1031,PerHeadcount[company_name],$B1031)*O191)</f>
        <v>0</v>
      </c>
      <c r="P1031" s="652">
        <f>IF($B1031="",,SUMIFS(PerHeadcount[Month 5],PerHeadcount[exp_item],$H1031,PerHeadcount[company_name],$B1031)*P191)</f>
        <v>0</v>
      </c>
      <c r="Q1031" s="652">
        <f>IF($B1031="",,SUMIFS(PerHeadcount[Month 6],PerHeadcount[exp_item],$H1031,PerHeadcount[company_name],$B1031)*Q191)</f>
        <v>0</v>
      </c>
      <c r="R1031" s="652">
        <f>IF($B1031="",,SUMIFS(PerHeadcount[Month 7],PerHeadcount[exp_item],$H1031,PerHeadcount[company_name],$B1031)*R191)</f>
        <v>0</v>
      </c>
      <c r="S1031" s="652">
        <f>IF($B1031="",,SUMIFS(PerHeadcount[Month 8],PerHeadcount[exp_item],$H1031,PerHeadcount[company_name],$B1031)*S191)</f>
        <v>0</v>
      </c>
      <c r="T1031" s="652">
        <f>IF($B1031="",,SUMIFS(PerHeadcount[Month 9],PerHeadcount[exp_item],$H1031,PerHeadcount[company_name],$B1031)*T191)</f>
        <v>0</v>
      </c>
      <c r="U1031" s="652">
        <f>IF($B1031="",,SUMIFS(PerHeadcount[Month 10],PerHeadcount[exp_item],$H1031,PerHeadcount[company_name],$B1031)*U191)</f>
        <v>0</v>
      </c>
      <c r="V1031" s="652">
        <f>IF($B1031="",,SUMIFS(PerHeadcount[Month 11],PerHeadcount[exp_item],$H1031,PerHeadcount[company_name],$B1031)*V191)</f>
        <v>0</v>
      </c>
      <c r="W1031" s="652">
        <f>IF($B1031="",,SUMIFS(PerHeadcount[Month 12],PerHeadcount[exp_item],$H1031,PerHeadcount[company_name],$B1031)*W191)</f>
        <v>0</v>
      </c>
      <c r="X1031" s="652">
        <f>IF($B1031="",,SUMIFS(PerHeadcount[Month 13],PerHeadcount[exp_item],$H1031,PerHeadcount[company_name],$B1031)*X191)</f>
        <v>0</v>
      </c>
      <c r="Y1031" s="652">
        <f>IF($B1031="",,SUMIFS(PerHeadcount[Month 14],PerHeadcount[exp_item],$H1031,PerHeadcount[company_name],$B1031)*Y191)</f>
        <v>0</v>
      </c>
      <c r="Z1031" s="652">
        <f>IF($B1031="",,SUMIFS(PerHeadcount[Month 15],PerHeadcount[exp_item],$H1031,PerHeadcount[company_name],$B1031)*Z191)</f>
        <v>0</v>
      </c>
      <c r="AA1031" s="652">
        <f>IF($B1031="",,SUMIFS(PerHeadcount[Month 16],PerHeadcount[exp_item],$H1031,PerHeadcount[company_name],$B1031)*AA191)</f>
        <v>0</v>
      </c>
      <c r="AB1031" s="652">
        <f>IF($B1031="",,SUMIFS(PerHeadcount[Month 17],PerHeadcount[exp_item],$H1031,PerHeadcount[company_name],$B1031)*AB191)</f>
        <v>0</v>
      </c>
      <c r="AC1031" s="652">
        <f>IF($B1031="",,SUMIFS(PerHeadcount[Month 18],PerHeadcount[exp_item],$H1031,PerHeadcount[company_name],$B1031)*AC191)</f>
        <v>0</v>
      </c>
      <c r="AD1031" s="652">
        <f>IF($B1031="",,SUMIFS(PerHeadcount[Month 19],PerHeadcount[exp_item],$H1031,PerHeadcount[company_name],$B1031)*AD191)</f>
        <v>0</v>
      </c>
      <c r="AE1031" s="652">
        <f>IF($B1031="",,SUMIFS(PerHeadcount[Month 20],PerHeadcount[exp_item],$H1031,PerHeadcount[company_name],$B1031)*AE191)</f>
        <v>0</v>
      </c>
      <c r="AF1031" s="652">
        <f>IF($B1031="",,SUMIFS(PerHeadcount[Month 21],PerHeadcount[exp_item],$H1031,PerHeadcount[company_name],$B1031)*AF191)</f>
        <v>0</v>
      </c>
      <c r="AG1031" s="652">
        <f>IF($B1031="",,SUMIFS(PerHeadcount[Month 22],PerHeadcount[exp_item],$H1031,PerHeadcount[company_name],$B1031)*AG191)</f>
        <v>0</v>
      </c>
      <c r="AH1031" s="652">
        <f>IF($B1031="",,SUMIFS(PerHeadcount[Month 23],PerHeadcount[exp_item],$H1031,PerHeadcount[company_name],$B1031)*AH191)</f>
        <v>0</v>
      </c>
      <c r="AI1031" s="652">
        <f>IF($B1031="",,SUMIFS(PerHeadcount[Month 24],PerHeadcount[exp_item],$H1031,PerHeadcount[company_name],$B1031)*AI191)</f>
        <v>0</v>
      </c>
      <c r="AJ1031" s="652">
        <f>IF($B1031="",,SUMIFS(PerHeadcount[Month 25],PerHeadcount[exp_item],$H1031,PerHeadcount[company_name],$B1031)*AJ191)</f>
        <v>0</v>
      </c>
      <c r="AK1031" s="652">
        <f>IF($B1031="",,SUMIFS(PerHeadcount[Month 26],PerHeadcount[exp_item],$H1031,PerHeadcount[company_name],$B1031)*AK191)</f>
        <v>0</v>
      </c>
      <c r="AL1031" s="652">
        <f>IF($B1031="",,SUMIFS(PerHeadcount[Month 27],PerHeadcount[exp_item],$H1031,PerHeadcount[company_name],$B1031)*AL191)</f>
        <v>0</v>
      </c>
      <c r="AM1031" s="652">
        <f>IF($B1031="",,SUMIFS(PerHeadcount[Month 28],PerHeadcount[exp_item],$H1031,PerHeadcount[company_name],$B1031)*AM191)</f>
        <v>0</v>
      </c>
      <c r="AN1031" s="652">
        <f>IF($B1031="",,SUMIFS(PerHeadcount[Month 29],PerHeadcount[exp_item],$H1031,PerHeadcount[company_name],$B1031)*AN191)</f>
        <v>0</v>
      </c>
      <c r="AO1031" s="652">
        <f>IF($B1031="",,SUMIFS(PerHeadcount[Month 30],PerHeadcount[exp_item],$H1031,PerHeadcount[company_name],$B1031)*AO191)</f>
        <v>0</v>
      </c>
      <c r="AP1031" s="652">
        <f>IF($B1031="",,SUMIFS(PerHeadcount[Month 31],PerHeadcount[exp_item],$H1031,PerHeadcount[company_name],$B1031)*AP191)</f>
        <v>0</v>
      </c>
      <c r="AQ1031" s="652">
        <f>IF($B1031="",,SUMIFS(PerHeadcount[Month 32],PerHeadcount[exp_item],$H1031,PerHeadcount[company_name],$B1031)*AQ191)</f>
        <v>0</v>
      </c>
      <c r="AR1031" s="652">
        <f>IF($B1031="",,SUMIFS(PerHeadcount[Month 33],PerHeadcount[exp_item],$H1031,PerHeadcount[company_name],$B1031)*AR191)</f>
        <v>0</v>
      </c>
      <c r="AS1031" s="652">
        <f>IF($B1031="",,SUMIFS(PerHeadcount[Month 34],PerHeadcount[exp_item],$H1031,PerHeadcount[company_name],$B1031)*AS191)</f>
        <v>0</v>
      </c>
      <c r="AT1031" s="652">
        <f>IF($B1031="",,SUMIFS(PerHeadcount[Month 35],PerHeadcount[exp_item],$H1031,PerHeadcount[company_name],$B1031)*AT191)</f>
        <v>0</v>
      </c>
      <c r="AU1031" s="652">
        <f>IF($B1031="",,SUMIFS(PerHeadcount[Month 36],PerHeadcount[exp_item],$H1031,PerHeadcount[company_name],$B1031)*AU191)</f>
        <v>0</v>
      </c>
    </row>
    <row r="1032" spans="2:47" x14ac:dyDescent="0.35">
      <c r="B1032" t="str">
        <f t="shared" si="663"/>
        <v/>
      </c>
      <c r="C1032" t="str">
        <f t="shared" ref="C1032:G1032" si="670">IF(C927="","",C927)</f>
        <v/>
      </c>
      <c r="D1032" t="str">
        <f t="shared" si="670"/>
        <v/>
      </c>
      <c r="E1032" t="str">
        <f t="shared" si="670"/>
        <v/>
      </c>
      <c r="F1032" t="str">
        <f t="shared" si="670"/>
        <v/>
      </c>
      <c r="G1032" t="str">
        <f t="shared" si="670"/>
        <v/>
      </c>
      <c r="H1032" t="str">
        <f t="shared" si="662"/>
        <v/>
      </c>
      <c r="J1032" t="str">
        <f>IF($H1032="","",IF(VLOOKUP(H1032,ExpItems[],2,0),H1032&amp;" - "&amp;INDEX(DivisionMapping[category_code],MATCH($D1032&amp;$C1032,DivisionMapping[dept_bu],0)),H1032))</f>
        <v/>
      </c>
      <c r="K1032" t="str">
        <f t="shared" si="665"/>
        <v/>
      </c>
      <c r="L1032" s="652">
        <f>IF($B1032="",,SUMIFS(PerHeadcount[Month 1],PerHeadcount[exp_item],$H1032,PerHeadcount[company_name],$B1032)*L192)</f>
        <v>0</v>
      </c>
      <c r="M1032" s="652">
        <f>IF($B1032="",,SUMIFS(PerHeadcount[Month 2],PerHeadcount[exp_item],$H1032,PerHeadcount[company_name],$B1032)*M192)</f>
        <v>0</v>
      </c>
      <c r="N1032" s="652">
        <f>IF($B1032="",,SUMIFS(PerHeadcount[Month 3],PerHeadcount[exp_item],$H1032,PerHeadcount[company_name],$B1032)*N192)</f>
        <v>0</v>
      </c>
      <c r="O1032" s="652">
        <f>IF($B1032="",,SUMIFS(PerHeadcount[Month 4],PerHeadcount[exp_item],$H1032,PerHeadcount[company_name],$B1032)*O192)</f>
        <v>0</v>
      </c>
      <c r="P1032" s="652">
        <f>IF($B1032="",,SUMIFS(PerHeadcount[Month 5],PerHeadcount[exp_item],$H1032,PerHeadcount[company_name],$B1032)*P192)</f>
        <v>0</v>
      </c>
      <c r="Q1032" s="652">
        <f>IF($B1032="",,SUMIFS(PerHeadcount[Month 6],PerHeadcount[exp_item],$H1032,PerHeadcount[company_name],$B1032)*Q192)</f>
        <v>0</v>
      </c>
      <c r="R1032" s="652">
        <f>IF($B1032="",,SUMIFS(PerHeadcount[Month 7],PerHeadcount[exp_item],$H1032,PerHeadcount[company_name],$B1032)*R192)</f>
        <v>0</v>
      </c>
      <c r="S1032" s="652">
        <f>IF($B1032="",,SUMIFS(PerHeadcount[Month 8],PerHeadcount[exp_item],$H1032,PerHeadcount[company_name],$B1032)*S192)</f>
        <v>0</v>
      </c>
      <c r="T1032" s="652">
        <f>IF($B1032="",,SUMIFS(PerHeadcount[Month 9],PerHeadcount[exp_item],$H1032,PerHeadcount[company_name],$B1032)*T192)</f>
        <v>0</v>
      </c>
      <c r="U1032" s="652">
        <f>IF($B1032="",,SUMIFS(PerHeadcount[Month 10],PerHeadcount[exp_item],$H1032,PerHeadcount[company_name],$B1032)*U192)</f>
        <v>0</v>
      </c>
      <c r="V1032" s="652">
        <f>IF($B1032="",,SUMIFS(PerHeadcount[Month 11],PerHeadcount[exp_item],$H1032,PerHeadcount[company_name],$B1032)*V192)</f>
        <v>0</v>
      </c>
      <c r="W1032" s="652">
        <f>IF($B1032="",,SUMIFS(PerHeadcount[Month 12],PerHeadcount[exp_item],$H1032,PerHeadcount[company_name],$B1032)*W192)</f>
        <v>0</v>
      </c>
      <c r="X1032" s="652">
        <f>IF($B1032="",,SUMIFS(PerHeadcount[Month 13],PerHeadcount[exp_item],$H1032,PerHeadcount[company_name],$B1032)*X192)</f>
        <v>0</v>
      </c>
      <c r="Y1032" s="652">
        <f>IF($B1032="",,SUMIFS(PerHeadcount[Month 14],PerHeadcount[exp_item],$H1032,PerHeadcount[company_name],$B1032)*Y192)</f>
        <v>0</v>
      </c>
      <c r="Z1032" s="652">
        <f>IF($B1032="",,SUMIFS(PerHeadcount[Month 15],PerHeadcount[exp_item],$H1032,PerHeadcount[company_name],$B1032)*Z192)</f>
        <v>0</v>
      </c>
      <c r="AA1032" s="652">
        <f>IF($B1032="",,SUMIFS(PerHeadcount[Month 16],PerHeadcount[exp_item],$H1032,PerHeadcount[company_name],$B1032)*AA192)</f>
        <v>0</v>
      </c>
      <c r="AB1032" s="652">
        <f>IF($B1032="",,SUMIFS(PerHeadcount[Month 17],PerHeadcount[exp_item],$H1032,PerHeadcount[company_name],$B1032)*AB192)</f>
        <v>0</v>
      </c>
      <c r="AC1032" s="652">
        <f>IF($B1032="",,SUMIFS(PerHeadcount[Month 18],PerHeadcount[exp_item],$H1032,PerHeadcount[company_name],$B1032)*AC192)</f>
        <v>0</v>
      </c>
      <c r="AD1032" s="652">
        <f>IF($B1032="",,SUMIFS(PerHeadcount[Month 19],PerHeadcount[exp_item],$H1032,PerHeadcount[company_name],$B1032)*AD192)</f>
        <v>0</v>
      </c>
      <c r="AE1032" s="652">
        <f>IF($B1032="",,SUMIFS(PerHeadcount[Month 20],PerHeadcount[exp_item],$H1032,PerHeadcount[company_name],$B1032)*AE192)</f>
        <v>0</v>
      </c>
      <c r="AF1032" s="652">
        <f>IF($B1032="",,SUMIFS(PerHeadcount[Month 21],PerHeadcount[exp_item],$H1032,PerHeadcount[company_name],$B1032)*AF192)</f>
        <v>0</v>
      </c>
      <c r="AG1032" s="652">
        <f>IF($B1032="",,SUMIFS(PerHeadcount[Month 22],PerHeadcount[exp_item],$H1032,PerHeadcount[company_name],$B1032)*AG192)</f>
        <v>0</v>
      </c>
      <c r="AH1032" s="652">
        <f>IF($B1032="",,SUMIFS(PerHeadcount[Month 23],PerHeadcount[exp_item],$H1032,PerHeadcount[company_name],$B1032)*AH192)</f>
        <v>0</v>
      </c>
      <c r="AI1032" s="652">
        <f>IF($B1032="",,SUMIFS(PerHeadcount[Month 24],PerHeadcount[exp_item],$H1032,PerHeadcount[company_name],$B1032)*AI192)</f>
        <v>0</v>
      </c>
      <c r="AJ1032" s="652">
        <f>IF($B1032="",,SUMIFS(PerHeadcount[Month 25],PerHeadcount[exp_item],$H1032,PerHeadcount[company_name],$B1032)*AJ192)</f>
        <v>0</v>
      </c>
      <c r="AK1032" s="652">
        <f>IF($B1032="",,SUMIFS(PerHeadcount[Month 26],PerHeadcount[exp_item],$H1032,PerHeadcount[company_name],$B1032)*AK192)</f>
        <v>0</v>
      </c>
      <c r="AL1032" s="652">
        <f>IF($B1032="",,SUMIFS(PerHeadcount[Month 27],PerHeadcount[exp_item],$H1032,PerHeadcount[company_name],$B1032)*AL192)</f>
        <v>0</v>
      </c>
      <c r="AM1032" s="652">
        <f>IF($B1032="",,SUMIFS(PerHeadcount[Month 28],PerHeadcount[exp_item],$H1032,PerHeadcount[company_name],$B1032)*AM192)</f>
        <v>0</v>
      </c>
      <c r="AN1032" s="652">
        <f>IF($B1032="",,SUMIFS(PerHeadcount[Month 29],PerHeadcount[exp_item],$H1032,PerHeadcount[company_name],$B1032)*AN192)</f>
        <v>0</v>
      </c>
      <c r="AO1032" s="652">
        <f>IF($B1032="",,SUMIFS(PerHeadcount[Month 30],PerHeadcount[exp_item],$H1032,PerHeadcount[company_name],$B1032)*AO192)</f>
        <v>0</v>
      </c>
      <c r="AP1032" s="652">
        <f>IF($B1032="",,SUMIFS(PerHeadcount[Month 31],PerHeadcount[exp_item],$H1032,PerHeadcount[company_name],$B1032)*AP192)</f>
        <v>0</v>
      </c>
      <c r="AQ1032" s="652">
        <f>IF($B1032="",,SUMIFS(PerHeadcount[Month 32],PerHeadcount[exp_item],$H1032,PerHeadcount[company_name],$B1032)*AQ192)</f>
        <v>0</v>
      </c>
      <c r="AR1032" s="652">
        <f>IF($B1032="",,SUMIFS(PerHeadcount[Month 33],PerHeadcount[exp_item],$H1032,PerHeadcount[company_name],$B1032)*AR192)</f>
        <v>0</v>
      </c>
      <c r="AS1032" s="652">
        <f>IF($B1032="",,SUMIFS(PerHeadcount[Month 34],PerHeadcount[exp_item],$H1032,PerHeadcount[company_name],$B1032)*AS192)</f>
        <v>0</v>
      </c>
      <c r="AT1032" s="652">
        <f>IF($B1032="",,SUMIFS(PerHeadcount[Month 35],PerHeadcount[exp_item],$H1032,PerHeadcount[company_name],$B1032)*AT192)</f>
        <v>0</v>
      </c>
      <c r="AU1032" s="652">
        <f>IF($B1032="",,SUMIFS(PerHeadcount[Month 36],PerHeadcount[exp_item],$H1032,PerHeadcount[company_name],$B1032)*AU192)</f>
        <v>0</v>
      </c>
    </row>
    <row r="1033" spans="2:47" x14ac:dyDescent="0.35">
      <c r="B1033" t="str">
        <f t="shared" si="663"/>
        <v/>
      </c>
      <c r="C1033" t="str">
        <f t="shared" ref="C1033:G1033" si="671">IF(C928="","",C928)</f>
        <v/>
      </c>
      <c r="D1033" t="str">
        <f t="shared" si="671"/>
        <v/>
      </c>
      <c r="E1033" t="str">
        <f t="shared" si="671"/>
        <v/>
      </c>
      <c r="F1033" t="str">
        <f t="shared" si="671"/>
        <v/>
      </c>
      <c r="G1033" t="str">
        <f t="shared" si="671"/>
        <v/>
      </c>
      <c r="H1033" t="str">
        <f t="shared" si="662"/>
        <v/>
      </c>
      <c r="J1033" t="str">
        <f>IF($H1033="","",IF(VLOOKUP(H1033,ExpItems[],2,0),H1033&amp;" - "&amp;INDEX(DivisionMapping[category_code],MATCH($D1033&amp;$C1033,DivisionMapping[dept_bu],0)),H1033))</f>
        <v/>
      </c>
      <c r="K1033" t="str">
        <f t="shared" si="665"/>
        <v/>
      </c>
      <c r="L1033" s="652">
        <f>IF($B1033="",,SUMIFS(PerHeadcount[Month 1],PerHeadcount[exp_item],$H1033,PerHeadcount[company_name],$B1033)*L193)</f>
        <v>0</v>
      </c>
      <c r="M1033" s="652">
        <f>IF($B1033="",,SUMIFS(PerHeadcount[Month 2],PerHeadcount[exp_item],$H1033,PerHeadcount[company_name],$B1033)*M193)</f>
        <v>0</v>
      </c>
      <c r="N1033" s="652">
        <f>IF($B1033="",,SUMIFS(PerHeadcount[Month 3],PerHeadcount[exp_item],$H1033,PerHeadcount[company_name],$B1033)*N193)</f>
        <v>0</v>
      </c>
      <c r="O1033" s="652">
        <f>IF($B1033="",,SUMIFS(PerHeadcount[Month 4],PerHeadcount[exp_item],$H1033,PerHeadcount[company_name],$B1033)*O193)</f>
        <v>0</v>
      </c>
      <c r="P1033" s="652">
        <f>IF($B1033="",,SUMIFS(PerHeadcount[Month 5],PerHeadcount[exp_item],$H1033,PerHeadcount[company_name],$B1033)*P193)</f>
        <v>0</v>
      </c>
      <c r="Q1033" s="652">
        <f>IF($B1033="",,SUMIFS(PerHeadcount[Month 6],PerHeadcount[exp_item],$H1033,PerHeadcount[company_name],$B1033)*Q193)</f>
        <v>0</v>
      </c>
      <c r="R1033" s="652">
        <f>IF($B1033="",,SUMIFS(PerHeadcount[Month 7],PerHeadcount[exp_item],$H1033,PerHeadcount[company_name],$B1033)*R193)</f>
        <v>0</v>
      </c>
      <c r="S1033" s="652">
        <f>IF($B1033="",,SUMIFS(PerHeadcount[Month 8],PerHeadcount[exp_item],$H1033,PerHeadcount[company_name],$B1033)*S193)</f>
        <v>0</v>
      </c>
      <c r="T1033" s="652">
        <f>IF($B1033="",,SUMIFS(PerHeadcount[Month 9],PerHeadcount[exp_item],$H1033,PerHeadcount[company_name],$B1033)*T193)</f>
        <v>0</v>
      </c>
      <c r="U1033" s="652">
        <f>IF($B1033="",,SUMIFS(PerHeadcount[Month 10],PerHeadcount[exp_item],$H1033,PerHeadcount[company_name],$B1033)*U193)</f>
        <v>0</v>
      </c>
      <c r="V1033" s="652">
        <f>IF($B1033="",,SUMIFS(PerHeadcount[Month 11],PerHeadcount[exp_item],$H1033,PerHeadcount[company_name],$B1033)*V193)</f>
        <v>0</v>
      </c>
      <c r="W1033" s="652">
        <f>IF($B1033="",,SUMIFS(PerHeadcount[Month 12],PerHeadcount[exp_item],$H1033,PerHeadcount[company_name],$B1033)*W193)</f>
        <v>0</v>
      </c>
      <c r="X1033" s="652">
        <f>IF($B1033="",,SUMIFS(PerHeadcount[Month 13],PerHeadcount[exp_item],$H1033,PerHeadcount[company_name],$B1033)*X193)</f>
        <v>0</v>
      </c>
      <c r="Y1033" s="652">
        <f>IF($B1033="",,SUMIFS(PerHeadcount[Month 14],PerHeadcount[exp_item],$H1033,PerHeadcount[company_name],$B1033)*Y193)</f>
        <v>0</v>
      </c>
      <c r="Z1033" s="652">
        <f>IF($B1033="",,SUMIFS(PerHeadcount[Month 15],PerHeadcount[exp_item],$H1033,PerHeadcount[company_name],$B1033)*Z193)</f>
        <v>0</v>
      </c>
      <c r="AA1033" s="652">
        <f>IF($B1033="",,SUMIFS(PerHeadcount[Month 16],PerHeadcount[exp_item],$H1033,PerHeadcount[company_name],$B1033)*AA193)</f>
        <v>0</v>
      </c>
      <c r="AB1033" s="652">
        <f>IF($B1033="",,SUMIFS(PerHeadcount[Month 17],PerHeadcount[exp_item],$H1033,PerHeadcount[company_name],$B1033)*AB193)</f>
        <v>0</v>
      </c>
      <c r="AC1033" s="652">
        <f>IF($B1033="",,SUMIFS(PerHeadcount[Month 18],PerHeadcount[exp_item],$H1033,PerHeadcount[company_name],$B1033)*AC193)</f>
        <v>0</v>
      </c>
      <c r="AD1033" s="652">
        <f>IF($B1033="",,SUMIFS(PerHeadcount[Month 19],PerHeadcount[exp_item],$H1033,PerHeadcount[company_name],$B1033)*AD193)</f>
        <v>0</v>
      </c>
      <c r="AE1033" s="652">
        <f>IF($B1033="",,SUMIFS(PerHeadcount[Month 20],PerHeadcount[exp_item],$H1033,PerHeadcount[company_name],$B1033)*AE193)</f>
        <v>0</v>
      </c>
      <c r="AF1033" s="652">
        <f>IF($B1033="",,SUMIFS(PerHeadcount[Month 21],PerHeadcount[exp_item],$H1033,PerHeadcount[company_name],$B1033)*AF193)</f>
        <v>0</v>
      </c>
      <c r="AG1033" s="652">
        <f>IF($B1033="",,SUMIFS(PerHeadcount[Month 22],PerHeadcount[exp_item],$H1033,PerHeadcount[company_name],$B1033)*AG193)</f>
        <v>0</v>
      </c>
      <c r="AH1033" s="652">
        <f>IF($B1033="",,SUMIFS(PerHeadcount[Month 23],PerHeadcount[exp_item],$H1033,PerHeadcount[company_name],$B1033)*AH193)</f>
        <v>0</v>
      </c>
      <c r="AI1033" s="652">
        <f>IF($B1033="",,SUMIFS(PerHeadcount[Month 24],PerHeadcount[exp_item],$H1033,PerHeadcount[company_name],$B1033)*AI193)</f>
        <v>0</v>
      </c>
      <c r="AJ1033" s="652">
        <f>IF($B1033="",,SUMIFS(PerHeadcount[Month 25],PerHeadcount[exp_item],$H1033,PerHeadcount[company_name],$B1033)*AJ193)</f>
        <v>0</v>
      </c>
      <c r="AK1033" s="652">
        <f>IF($B1033="",,SUMIFS(PerHeadcount[Month 26],PerHeadcount[exp_item],$H1033,PerHeadcount[company_name],$B1033)*AK193)</f>
        <v>0</v>
      </c>
      <c r="AL1033" s="652">
        <f>IF($B1033="",,SUMIFS(PerHeadcount[Month 27],PerHeadcount[exp_item],$H1033,PerHeadcount[company_name],$B1033)*AL193)</f>
        <v>0</v>
      </c>
      <c r="AM1033" s="652">
        <f>IF($B1033="",,SUMIFS(PerHeadcount[Month 28],PerHeadcount[exp_item],$H1033,PerHeadcount[company_name],$B1033)*AM193)</f>
        <v>0</v>
      </c>
      <c r="AN1033" s="652">
        <f>IF($B1033="",,SUMIFS(PerHeadcount[Month 29],PerHeadcount[exp_item],$H1033,PerHeadcount[company_name],$B1033)*AN193)</f>
        <v>0</v>
      </c>
      <c r="AO1033" s="652">
        <f>IF($B1033="",,SUMIFS(PerHeadcount[Month 30],PerHeadcount[exp_item],$H1033,PerHeadcount[company_name],$B1033)*AO193)</f>
        <v>0</v>
      </c>
      <c r="AP1033" s="652">
        <f>IF($B1033="",,SUMIFS(PerHeadcount[Month 31],PerHeadcount[exp_item],$H1033,PerHeadcount[company_name],$B1033)*AP193)</f>
        <v>0</v>
      </c>
      <c r="AQ1033" s="652">
        <f>IF($B1033="",,SUMIFS(PerHeadcount[Month 32],PerHeadcount[exp_item],$H1033,PerHeadcount[company_name],$B1033)*AQ193)</f>
        <v>0</v>
      </c>
      <c r="AR1033" s="652">
        <f>IF($B1033="",,SUMIFS(PerHeadcount[Month 33],PerHeadcount[exp_item],$H1033,PerHeadcount[company_name],$B1033)*AR193)</f>
        <v>0</v>
      </c>
      <c r="AS1033" s="652">
        <f>IF($B1033="",,SUMIFS(PerHeadcount[Month 34],PerHeadcount[exp_item],$H1033,PerHeadcount[company_name],$B1033)*AS193)</f>
        <v>0</v>
      </c>
      <c r="AT1033" s="652">
        <f>IF($B1033="",,SUMIFS(PerHeadcount[Month 35],PerHeadcount[exp_item],$H1033,PerHeadcount[company_name],$B1033)*AT193)</f>
        <v>0</v>
      </c>
      <c r="AU1033" s="652">
        <f>IF($B1033="",,SUMIFS(PerHeadcount[Month 36],PerHeadcount[exp_item],$H1033,PerHeadcount[company_name],$B1033)*AU193)</f>
        <v>0</v>
      </c>
    </row>
    <row r="1034" spans="2:47" x14ac:dyDescent="0.35">
      <c r="B1034" t="str">
        <f t="shared" si="663"/>
        <v/>
      </c>
      <c r="C1034" t="str">
        <f t="shared" ref="C1034:G1034" si="672">IF(C929="","",C929)</f>
        <v/>
      </c>
      <c r="D1034" t="str">
        <f t="shared" si="672"/>
        <v/>
      </c>
      <c r="E1034" t="str">
        <f t="shared" si="672"/>
        <v/>
      </c>
      <c r="F1034" t="str">
        <f t="shared" si="672"/>
        <v/>
      </c>
      <c r="G1034" t="str">
        <f t="shared" si="672"/>
        <v/>
      </c>
      <c r="H1034" t="str">
        <f t="shared" si="662"/>
        <v/>
      </c>
      <c r="J1034" t="str">
        <f>IF($H1034="","",IF(VLOOKUP(H1034,ExpItems[],2,0),H1034&amp;" - "&amp;INDEX(DivisionMapping[category_code],MATCH($D1034&amp;$C1034,DivisionMapping[dept_bu],0)),H1034))</f>
        <v/>
      </c>
      <c r="K1034" t="str">
        <f t="shared" si="665"/>
        <v/>
      </c>
      <c r="L1034" s="652">
        <f>IF($B1034="",,SUMIFS(PerHeadcount[Month 1],PerHeadcount[exp_item],$H1034,PerHeadcount[company_name],$B1034)*L194)</f>
        <v>0</v>
      </c>
      <c r="M1034" s="652">
        <f>IF($B1034="",,SUMIFS(PerHeadcount[Month 2],PerHeadcount[exp_item],$H1034,PerHeadcount[company_name],$B1034)*M194)</f>
        <v>0</v>
      </c>
      <c r="N1034" s="652">
        <f>IF($B1034="",,SUMIFS(PerHeadcount[Month 3],PerHeadcount[exp_item],$H1034,PerHeadcount[company_name],$B1034)*N194)</f>
        <v>0</v>
      </c>
      <c r="O1034" s="652">
        <f>IF($B1034="",,SUMIFS(PerHeadcount[Month 4],PerHeadcount[exp_item],$H1034,PerHeadcount[company_name],$B1034)*O194)</f>
        <v>0</v>
      </c>
      <c r="P1034" s="652">
        <f>IF($B1034="",,SUMIFS(PerHeadcount[Month 5],PerHeadcount[exp_item],$H1034,PerHeadcount[company_name],$B1034)*P194)</f>
        <v>0</v>
      </c>
      <c r="Q1034" s="652">
        <f>IF($B1034="",,SUMIFS(PerHeadcount[Month 6],PerHeadcount[exp_item],$H1034,PerHeadcount[company_name],$B1034)*Q194)</f>
        <v>0</v>
      </c>
      <c r="R1034" s="652">
        <f>IF($B1034="",,SUMIFS(PerHeadcount[Month 7],PerHeadcount[exp_item],$H1034,PerHeadcount[company_name],$B1034)*R194)</f>
        <v>0</v>
      </c>
      <c r="S1034" s="652">
        <f>IF($B1034="",,SUMIFS(PerHeadcount[Month 8],PerHeadcount[exp_item],$H1034,PerHeadcount[company_name],$B1034)*S194)</f>
        <v>0</v>
      </c>
      <c r="T1034" s="652">
        <f>IF($B1034="",,SUMIFS(PerHeadcount[Month 9],PerHeadcount[exp_item],$H1034,PerHeadcount[company_name],$B1034)*T194)</f>
        <v>0</v>
      </c>
      <c r="U1034" s="652">
        <f>IF($B1034="",,SUMIFS(PerHeadcount[Month 10],PerHeadcount[exp_item],$H1034,PerHeadcount[company_name],$B1034)*U194)</f>
        <v>0</v>
      </c>
      <c r="V1034" s="652">
        <f>IF($B1034="",,SUMIFS(PerHeadcount[Month 11],PerHeadcount[exp_item],$H1034,PerHeadcount[company_name],$B1034)*V194)</f>
        <v>0</v>
      </c>
      <c r="W1034" s="652">
        <f>IF($B1034="",,SUMIFS(PerHeadcount[Month 12],PerHeadcount[exp_item],$H1034,PerHeadcount[company_name],$B1034)*W194)</f>
        <v>0</v>
      </c>
      <c r="X1034" s="652">
        <f>IF($B1034="",,SUMIFS(PerHeadcount[Month 13],PerHeadcount[exp_item],$H1034,PerHeadcount[company_name],$B1034)*X194)</f>
        <v>0</v>
      </c>
      <c r="Y1034" s="652">
        <f>IF($B1034="",,SUMIFS(PerHeadcount[Month 14],PerHeadcount[exp_item],$H1034,PerHeadcount[company_name],$B1034)*Y194)</f>
        <v>0</v>
      </c>
      <c r="Z1034" s="652">
        <f>IF($B1034="",,SUMIFS(PerHeadcount[Month 15],PerHeadcount[exp_item],$H1034,PerHeadcount[company_name],$B1034)*Z194)</f>
        <v>0</v>
      </c>
      <c r="AA1034" s="652">
        <f>IF($B1034="",,SUMIFS(PerHeadcount[Month 16],PerHeadcount[exp_item],$H1034,PerHeadcount[company_name],$B1034)*AA194)</f>
        <v>0</v>
      </c>
      <c r="AB1034" s="652">
        <f>IF($B1034="",,SUMIFS(PerHeadcount[Month 17],PerHeadcount[exp_item],$H1034,PerHeadcount[company_name],$B1034)*AB194)</f>
        <v>0</v>
      </c>
      <c r="AC1034" s="652">
        <f>IF($B1034="",,SUMIFS(PerHeadcount[Month 18],PerHeadcount[exp_item],$H1034,PerHeadcount[company_name],$B1034)*AC194)</f>
        <v>0</v>
      </c>
      <c r="AD1034" s="652">
        <f>IF($B1034="",,SUMIFS(PerHeadcount[Month 19],PerHeadcount[exp_item],$H1034,PerHeadcount[company_name],$B1034)*AD194)</f>
        <v>0</v>
      </c>
      <c r="AE1034" s="652">
        <f>IF($B1034="",,SUMIFS(PerHeadcount[Month 20],PerHeadcount[exp_item],$H1034,PerHeadcount[company_name],$B1034)*AE194)</f>
        <v>0</v>
      </c>
      <c r="AF1034" s="652">
        <f>IF($B1034="",,SUMIFS(PerHeadcount[Month 21],PerHeadcount[exp_item],$H1034,PerHeadcount[company_name],$B1034)*AF194)</f>
        <v>0</v>
      </c>
      <c r="AG1034" s="652">
        <f>IF($B1034="",,SUMIFS(PerHeadcount[Month 22],PerHeadcount[exp_item],$H1034,PerHeadcount[company_name],$B1034)*AG194)</f>
        <v>0</v>
      </c>
      <c r="AH1034" s="652">
        <f>IF($B1034="",,SUMIFS(PerHeadcount[Month 23],PerHeadcount[exp_item],$H1034,PerHeadcount[company_name],$B1034)*AH194)</f>
        <v>0</v>
      </c>
      <c r="AI1034" s="652">
        <f>IF($B1034="",,SUMIFS(PerHeadcount[Month 24],PerHeadcount[exp_item],$H1034,PerHeadcount[company_name],$B1034)*AI194)</f>
        <v>0</v>
      </c>
      <c r="AJ1034" s="652">
        <f>IF($B1034="",,SUMIFS(PerHeadcount[Month 25],PerHeadcount[exp_item],$H1034,PerHeadcount[company_name],$B1034)*AJ194)</f>
        <v>0</v>
      </c>
      <c r="AK1034" s="652">
        <f>IF($B1034="",,SUMIFS(PerHeadcount[Month 26],PerHeadcount[exp_item],$H1034,PerHeadcount[company_name],$B1034)*AK194)</f>
        <v>0</v>
      </c>
      <c r="AL1034" s="652">
        <f>IF($B1034="",,SUMIFS(PerHeadcount[Month 27],PerHeadcount[exp_item],$H1034,PerHeadcount[company_name],$B1034)*AL194)</f>
        <v>0</v>
      </c>
      <c r="AM1034" s="652">
        <f>IF($B1034="",,SUMIFS(PerHeadcount[Month 28],PerHeadcount[exp_item],$H1034,PerHeadcount[company_name],$B1034)*AM194)</f>
        <v>0</v>
      </c>
      <c r="AN1034" s="652">
        <f>IF($B1034="",,SUMIFS(PerHeadcount[Month 29],PerHeadcount[exp_item],$H1034,PerHeadcount[company_name],$B1034)*AN194)</f>
        <v>0</v>
      </c>
      <c r="AO1034" s="652">
        <f>IF($B1034="",,SUMIFS(PerHeadcount[Month 30],PerHeadcount[exp_item],$H1034,PerHeadcount[company_name],$B1034)*AO194)</f>
        <v>0</v>
      </c>
      <c r="AP1034" s="652">
        <f>IF($B1034="",,SUMIFS(PerHeadcount[Month 31],PerHeadcount[exp_item],$H1034,PerHeadcount[company_name],$B1034)*AP194)</f>
        <v>0</v>
      </c>
      <c r="AQ1034" s="652">
        <f>IF($B1034="",,SUMIFS(PerHeadcount[Month 32],PerHeadcount[exp_item],$H1034,PerHeadcount[company_name],$B1034)*AQ194)</f>
        <v>0</v>
      </c>
      <c r="AR1034" s="652">
        <f>IF($B1034="",,SUMIFS(PerHeadcount[Month 33],PerHeadcount[exp_item],$H1034,PerHeadcount[company_name],$B1034)*AR194)</f>
        <v>0</v>
      </c>
      <c r="AS1034" s="652">
        <f>IF($B1034="",,SUMIFS(PerHeadcount[Month 34],PerHeadcount[exp_item],$H1034,PerHeadcount[company_name],$B1034)*AS194)</f>
        <v>0</v>
      </c>
      <c r="AT1034" s="652">
        <f>IF($B1034="",,SUMIFS(PerHeadcount[Month 35],PerHeadcount[exp_item],$H1034,PerHeadcount[company_name],$B1034)*AT194)</f>
        <v>0</v>
      </c>
      <c r="AU1034" s="652">
        <f>IF($B1034="",,SUMIFS(PerHeadcount[Month 36],PerHeadcount[exp_item],$H1034,PerHeadcount[company_name],$B1034)*AU194)</f>
        <v>0</v>
      </c>
    </row>
    <row r="1035" spans="2:47" x14ac:dyDescent="0.35">
      <c r="B1035" t="str">
        <f t="shared" si="663"/>
        <v/>
      </c>
      <c r="C1035" t="str">
        <f t="shared" ref="C1035:G1035" si="673">IF(C930="","",C930)</f>
        <v/>
      </c>
      <c r="D1035" t="str">
        <f t="shared" si="673"/>
        <v/>
      </c>
      <c r="E1035" t="str">
        <f t="shared" si="673"/>
        <v/>
      </c>
      <c r="F1035" t="str">
        <f t="shared" si="673"/>
        <v/>
      </c>
      <c r="G1035" t="str">
        <f t="shared" si="673"/>
        <v/>
      </c>
      <c r="H1035" t="str">
        <f t="shared" si="662"/>
        <v/>
      </c>
      <c r="J1035" t="str">
        <f>IF($H1035="","",IF(VLOOKUP(H1035,ExpItems[],2,0),H1035&amp;" - "&amp;INDEX(DivisionMapping[category_code],MATCH($D1035&amp;$C1035,DivisionMapping[dept_bu],0)),H1035))</f>
        <v/>
      </c>
      <c r="K1035" t="str">
        <f t="shared" si="665"/>
        <v/>
      </c>
      <c r="L1035" s="652">
        <f>IF($B1035="",,SUMIFS(PerHeadcount[Month 1],PerHeadcount[exp_item],$H1035,PerHeadcount[company_name],$B1035)*L195)</f>
        <v>0</v>
      </c>
      <c r="M1035" s="652">
        <f>IF($B1035="",,SUMIFS(PerHeadcount[Month 2],PerHeadcount[exp_item],$H1035,PerHeadcount[company_name],$B1035)*M195)</f>
        <v>0</v>
      </c>
      <c r="N1035" s="652">
        <f>IF($B1035="",,SUMIFS(PerHeadcount[Month 3],PerHeadcount[exp_item],$H1035,PerHeadcount[company_name],$B1035)*N195)</f>
        <v>0</v>
      </c>
      <c r="O1035" s="652">
        <f>IF($B1035="",,SUMIFS(PerHeadcount[Month 4],PerHeadcount[exp_item],$H1035,PerHeadcount[company_name],$B1035)*O195)</f>
        <v>0</v>
      </c>
      <c r="P1035" s="652">
        <f>IF($B1035="",,SUMIFS(PerHeadcount[Month 5],PerHeadcount[exp_item],$H1035,PerHeadcount[company_name],$B1035)*P195)</f>
        <v>0</v>
      </c>
      <c r="Q1035" s="652">
        <f>IF($B1035="",,SUMIFS(PerHeadcount[Month 6],PerHeadcount[exp_item],$H1035,PerHeadcount[company_name],$B1035)*Q195)</f>
        <v>0</v>
      </c>
      <c r="R1035" s="652">
        <f>IF($B1035="",,SUMIFS(PerHeadcount[Month 7],PerHeadcount[exp_item],$H1035,PerHeadcount[company_name],$B1035)*R195)</f>
        <v>0</v>
      </c>
      <c r="S1035" s="652">
        <f>IF($B1035="",,SUMIFS(PerHeadcount[Month 8],PerHeadcount[exp_item],$H1035,PerHeadcount[company_name],$B1035)*S195)</f>
        <v>0</v>
      </c>
      <c r="T1035" s="652">
        <f>IF($B1035="",,SUMIFS(PerHeadcount[Month 9],PerHeadcount[exp_item],$H1035,PerHeadcount[company_name],$B1035)*T195)</f>
        <v>0</v>
      </c>
      <c r="U1035" s="652">
        <f>IF($B1035="",,SUMIFS(PerHeadcount[Month 10],PerHeadcount[exp_item],$H1035,PerHeadcount[company_name],$B1035)*U195)</f>
        <v>0</v>
      </c>
      <c r="V1035" s="652">
        <f>IF($B1035="",,SUMIFS(PerHeadcount[Month 11],PerHeadcount[exp_item],$H1035,PerHeadcount[company_name],$B1035)*V195)</f>
        <v>0</v>
      </c>
      <c r="W1035" s="652">
        <f>IF($B1035="",,SUMIFS(PerHeadcount[Month 12],PerHeadcount[exp_item],$H1035,PerHeadcount[company_name],$B1035)*W195)</f>
        <v>0</v>
      </c>
      <c r="X1035" s="652">
        <f>IF($B1035="",,SUMIFS(PerHeadcount[Month 13],PerHeadcount[exp_item],$H1035,PerHeadcount[company_name],$B1035)*X195)</f>
        <v>0</v>
      </c>
      <c r="Y1035" s="652">
        <f>IF($B1035="",,SUMIFS(PerHeadcount[Month 14],PerHeadcount[exp_item],$H1035,PerHeadcount[company_name],$B1035)*Y195)</f>
        <v>0</v>
      </c>
      <c r="Z1035" s="652">
        <f>IF($B1035="",,SUMIFS(PerHeadcount[Month 15],PerHeadcount[exp_item],$H1035,PerHeadcount[company_name],$B1035)*Z195)</f>
        <v>0</v>
      </c>
      <c r="AA1035" s="652">
        <f>IF($B1035="",,SUMIFS(PerHeadcount[Month 16],PerHeadcount[exp_item],$H1035,PerHeadcount[company_name],$B1035)*AA195)</f>
        <v>0</v>
      </c>
      <c r="AB1035" s="652">
        <f>IF($B1035="",,SUMIFS(PerHeadcount[Month 17],PerHeadcount[exp_item],$H1035,PerHeadcount[company_name],$B1035)*AB195)</f>
        <v>0</v>
      </c>
      <c r="AC1035" s="652">
        <f>IF($B1035="",,SUMIFS(PerHeadcount[Month 18],PerHeadcount[exp_item],$H1035,PerHeadcount[company_name],$B1035)*AC195)</f>
        <v>0</v>
      </c>
      <c r="AD1035" s="652">
        <f>IF($B1035="",,SUMIFS(PerHeadcount[Month 19],PerHeadcount[exp_item],$H1035,PerHeadcount[company_name],$B1035)*AD195)</f>
        <v>0</v>
      </c>
      <c r="AE1035" s="652">
        <f>IF($B1035="",,SUMIFS(PerHeadcount[Month 20],PerHeadcount[exp_item],$H1035,PerHeadcount[company_name],$B1035)*AE195)</f>
        <v>0</v>
      </c>
      <c r="AF1035" s="652">
        <f>IF($B1035="",,SUMIFS(PerHeadcount[Month 21],PerHeadcount[exp_item],$H1035,PerHeadcount[company_name],$B1035)*AF195)</f>
        <v>0</v>
      </c>
      <c r="AG1035" s="652">
        <f>IF($B1035="",,SUMIFS(PerHeadcount[Month 22],PerHeadcount[exp_item],$H1035,PerHeadcount[company_name],$B1035)*AG195)</f>
        <v>0</v>
      </c>
      <c r="AH1035" s="652">
        <f>IF($B1035="",,SUMIFS(PerHeadcount[Month 23],PerHeadcount[exp_item],$H1035,PerHeadcount[company_name],$B1035)*AH195)</f>
        <v>0</v>
      </c>
      <c r="AI1035" s="652">
        <f>IF($B1035="",,SUMIFS(PerHeadcount[Month 24],PerHeadcount[exp_item],$H1035,PerHeadcount[company_name],$B1035)*AI195)</f>
        <v>0</v>
      </c>
      <c r="AJ1035" s="652">
        <f>IF($B1035="",,SUMIFS(PerHeadcount[Month 25],PerHeadcount[exp_item],$H1035,PerHeadcount[company_name],$B1035)*AJ195)</f>
        <v>0</v>
      </c>
      <c r="AK1035" s="652">
        <f>IF($B1035="",,SUMIFS(PerHeadcount[Month 26],PerHeadcount[exp_item],$H1035,PerHeadcount[company_name],$B1035)*AK195)</f>
        <v>0</v>
      </c>
      <c r="AL1035" s="652">
        <f>IF($B1035="",,SUMIFS(PerHeadcount[Month 27],PerHeadcount[exp_item],$H1035,PerHeadcount[company_name],$B1035)*AL195)</f>
        <v>0</v>
      </c>
      <c r="AM1035" s="652">
        <f>IF($B1035="",,SUMIFS(PerHeadcount[Month 28],PerHeadcount[exp_item],$H1035,PerHeadcount[company_name],$B1035)*AM195)</f>
        <v>0</v>
      </c>
      <c r="AN1035" s="652">
        <f>IF($B1035="",,SUMIFS(PerHeadcount[Month 29],PerHeadcount[exp_item],$H1035,PerHeadcount[company_name],$B1035)*AN195)</f>
        <v>0</v>
      </c>
      <c r="AO1035" s="652">
        <f>IF($B1035="",,SUMIFS(PerHeadcount[Month 30],PerHeadcount[exp_item],$H1035,PerHeadcount[company_name],$B1035)*AO195)</f>
        <v>0</v>
      </c>
      <c r="AP1035" s="652">
        <f>IF($B1035="",,SUMIFS(PerHeadcount[Month 31],PerHeadcount[exp_item],$H1035,PerHeadcount[company_name],$B1035)*AP195)</f>
        <v>0</v>
      </c>
      <c r="AQ1035" s="652">
        <f>IF($B1035="",,SUMIFS(PerHeadcount[Month 32],PerHeadcount[exp_item],$H1035,PerHeadcount[company_name],$B1035)*AQ195)</f>
        <v>0</v>
      </c>
      <c r="AR1035" s="652">
        <f>IF($B1035="",,SUMIFS(PerHeadcount[Month 33],PerHeadcount[exp_item],$H1035,PerHeadcount[company_name],$B1035)*AR195)</f>
        <v>0</v>
      </c>
      <c r="AS1035" s="652">
        <f>IF($B1035="",,SUMIFS(PerHeadcount[Month 34],PerHeadcount[exp_item],$H1035,PerHeadcount[company_name],$B1035)*AS195)</f>
        <v>0</v>
      </c>
      <c r="AT1035" s="652">
        <f>IF($B1035="",,SUMIFS(PerHeadcount[Month 35],PerHeadcount[exp_item],$H1035,PerHeadcount[company_name],$B1035)*AT195)</f>
        <v>0</v>
      </c>
      <c r="AU1035" s="652">
        <f>IF($B1035="",,SUMIFS(PerHeadcount[Month 36],PerHeadcount[exp_item],$H1035,PerHeadcount[company_name],$B1035)*AU195)</f>
        <v>0</v>
      </c>
    </row>
    <row r="1036" spans="2:47" x14ac:dyDescent="0.35">
      <c r="B1036" t="str">
        <f t="shared" si="663"/>
        <v/>
      </c>
      <c r="C1036" t="str">
        <f t="shared" ref="C1036:G1036" si="674">IF(C931="","",C931)</f>
        <v/>
      </c>
      <c r="D1036" t="str">
        <f t="shared" si="674"/>
        <v/>
      </c>
      <c r="E1036" t="str">
        <f t="shared" si="674"/>
        <v/>
      </c>
      <c r="F1036" t="str">
        <f t="shared" si="674"/>
        <v/>
      </c>
      <c r="G1036" t="str">
        <f t="shared" si="674"/>
        <v/>
      </c>
      <c r="H1036" t="str">
        <f t="shared" si="662"/>
        <v/>
      </c>
      <c r="J1036" t="str">
        <f>IF($H1036="","",IF(VLOOKUP(H1036,ExpItems[],2,0),H1036&amp;" - "&amp;INDEX(DivisionMapping[category_code],MATCH($D1036&amp;$C1036,DivisionMapping[dept_bu],0)),H1036))</f>
        <v/>
      </c>
      <c r="K1036" t="str">
        <f t="shared" si="665"/>
        <v/>
      </c>
      <c r="L1036" s="652">
        <f>IF($B1036="",,SUMIFS(PerHeadcount[Month 1],PerHeadcount[exp_item],$H1036,PerHeadcount[company_name],$B1036)*L196)</f>
        <v>0</v>
      </c>
      <c r="M1036" s="652">
        <f>IF($B1036="",,SUMIFS(PerHeadcount[Month 2],PerHeadcount[exp_item],$H1036,PerHeadcount[company_name],$B1036)*M196)</f>
        <v>0</v>
      </c>
      <c r="N1036" s="652">
        <f>IF($B1036="",,SUMIFS(PerHeadcount[Month 3],PerHeadcount[exp_item],$H1036,PerHeadcount[company_name],$B1036)*N196)</f>
        <v>0</v>
      </c>
      <c r="O1036" s="652">
        <f>IF($B1036="",,SUMIFS(PerHeadcount[Month 4],PerHeadcount[exp_item],$H1036,PerHeadcount[company_name],$B1036)*O196)</f>
        <v>0</v>
      </c>
      <c r="P1036" s="652">
        <f>IF($B1036="",,SUMIFS(PerHeadcount[Month 5],PerHeadcount[exp_item],$H1036,PerHeadcount[company_name],$B1036)*P196)</f>
        <v>0</v>
      </c>
      <c r="Q1036" s="652">
        <f>IF($B1036="",,SUMIFS(PerHeadcount[Month 6],PerHeadcount[exp_item],$H1036,PerHeadcount[company_name],$B1036)*Q196)</f>
        <v>0</v>
      </c>
      <c r="R1036" s="652">
        <f>IF($B1036="",,SUMIFS(PerHeadcount[Month 7],PerHeadcount[exp_item],$H1036,PerHeadcount[company_name],$B1036)*R196)</f>
        <v>0</v>
      </c>
      <c r="S1036" s="652">
        <f>IF($B1036="",,SUMIFS(PerHeadcount[Month 8],PerHeadcount[exp_item],$H1036,PerHeadcount[company_name],$B1036)*S196)</f>
        <v>0</v>
      </c>
      <c r="T1036" s="652">
        <f>IF($B1036="",,SUMIFS(PerHeadcount[Month 9],PerHeadcount[exp_item],$H1036,PerHeadcount[company_name],$B1036)*T196)</f>
        <v>0</v>
      </c>
      <c r="U1036" s="652">
        <f>IF($B1036="",,SUMIFS(PerHeadcount[Month 10],PerHeadcount[exp_item],$H1036,PerHeadcount[company_name],$B1036)*U196)</f>
        <v>0</v>
      </c>
      <c r="V1036" s="652">
        <f>IF($B1036="",,SUMIFS(PerHeadcount[Month 11],PerHeadcount[exp_item],$H1036,PerHeadcount[company_name],$B1036)*V196)</f>
        <v>0</v>
      </c>
      <c r="W1036" s="652">
        <f>IF($B1036="",,SUMIFS(PerHeadcount[Month 12],PerHeadcount[exp_item],$H1036,PerHeadcount[company_name],$B1036)*W196)</f>
        <v>0</v>
      </c>
      <c r="X1036" s="652">
        <f>IF($B1036="",,SUMIFS(PerHeadcount[Month 13],PerHeadcount[exp_item],$H1036,PerHeadcount[company_name],$B1036)*X196)</f>
        <v>0</v>
      </c>
      <c r="Y1036" s="652">
        <f>IF($B1036="",,SUMIFS(PerHeadcount[Month 14],PerHeadcount[exp_item],$H1036,PerHeadcount[company_name],$B1036)*Y196)</f>
        <v>0</v>
      </c>
      <c r="Z1036" s="652">
        <f>IF($B1036="",,SUMIFS(PerHeadcount[Month 15],PerHeadcount[exp_item],$H1036,PerHeadcount[company_name],$B1036)*Z196)</f>
        <v>0</v>
      </c>
      <c r="AA1036" s="652">
        <f>IF($B1036="",,SUMIFS(PerHeadcount[Month 16],PerHeadcount[exp_item],$H1036,PerHeadcount[company_name],$B1036)*AA196)</f>
        <v>0</v>
      </c>
      <c r="AB1036" s="652">
        <f>IF($B1036="",,SUMIFS(PerHeadcount[Month 17],PerHeadcount[exp_item],$H1036,PerHeadcount[company_name],$B1036)*AB196)</f>
        <v>0</v>
      </c>
      <c r="AC1036" s="652">
        <f>IF($B1036="",,SUMIFS(PerHeadcount[Month 18],PerHeadcount[exp_item],$H1036,PerHeadcount[company_name],$B1036)*AC196)</f>
        <v>0</v>
      </c>
      <c r="AD1036" s="652">
        <f>IF($B1036="",,SUMIFS(PerHeadcount[Month 19],PerHeadcount[exp_item],$H1036,PerHeadcount[company_name],$B1036)*AD196)</f>
        <v>0</v>
      </c>
      <c r="AE1036" s="652">
        <f>IF($B1036="",,SUMIFS(PerHeadcount[Month 20],PerHeadcount[exp_item],$H1036,PerHeadcount[company_name],$B1036)*AE196)</f>
        <v>0</v>
      </c>
      <c r="AF1036" s="652">
        <f>IF($B1036="",,SUMIFS(PerHeadcount[Month 21],PerHeadcount[exp_item],$H1036,PerHeadcount[company_name],$B1036)*AF196)</f>
        <v>0</v>
      </c>
      <c r="AG1036" s="652">
        <f>IF($B1036="",,SUMIFS(PerHeadcount[Month 22],PerHeadcount[exp_item],$H1036,PerHeadcount[company_name],$B1036)*AG196)</f>
        <v>0</v>
      </c>
      <c r="AH1036" s="652">
        <f>IF($B1036="",,SUMIFS(PerHeadcount[Month 23],PerHeadcount[exp_item],$H1036,PerHeadcount[company_name],$B1036)*AH196)</f>
        <v>0</v>
      </c>
      <c r="AI1036" s="652">
        <f>IF($B1036="",,SUMIFS(PerHeadcount[Month 24],PerHeadcount[exp_item],$H1036,PerHeadcount[company_name],$B1036)*AI196)</f>
        <v>0</v>
      </c>
      <c r="AJ1036" s="652">
        <f>IF($B1036="",,SUMIFS(PerHeadcount[Month 25],PerHeadcount[exp_item],$H1036,PerHeadcount[company_name],$B1036)*AJ196)</f>
        <v>0</v>
      </c>
      <c r="AK1036" s="652">
        <f>IF($B1036="",,SUMIFS(PerHeadcount[Month 26],PerHeadcount[exp_item],$H1036,PerHeadcount[company_name],$B1036)*AK196)</f>
        <v>0</v>
      </c>
      <c r="AL1036" s="652">
        <f>IF($B1036="",,SUMIFS(PerHeadcount[Month 27],PerHeadcount[exp_item],$H1036,PerHeadcount[company_name],$B1036)*AL196)</f>
        <v>0</v>
      </c>
      <c r="AM1036" s="652">
        <f>IF($B1036="",,SUMIFS(PerHeadcount[Month 28],PerHeadcount[exp_item],$H1036,PerHeadcount[company_name],$B1036)*AM196)</f>
        <v>0</v>
      </c>
      <c r="AN1036" s="652">
        <f>IF($B1036="",,SUMIFS(PerHeadcount[Month 29],PerHeadcount[exp_item],$H1036,PerHeadcount[company_name],$B1036)*AN196)</f>
        <v>0</v>
      </c>
      <c r="AO1036" s="652">
        <f>IF($B1036="",,SUMIFS(PerHeadcount[Month 30],PerHeadcount[exp_item],$H1036,PerHeadcount[company_name],$B1036)*AO196)</f>
        <v>0</v>
      </c>
      <c r="AP1036" s="652">
        <f>IF($B1036="",,SUMIFS(PerHeadcount[Month 31],PerHeadcount[exp_item],$H1036,PerHeadcount[company_name],$B1036)*AP196)</f>
        <v>0</v>
      </c>
      <c r="AQ1036" s="652">
        <f>IF($B1036="",,SUMIFS(PerHeadcount[Month 32],PerHeadcount[exp_item],$H1036,PerHeadcount[company_name],$B1036)*AQ196)</f>
        <v>0</v>
      </c>
      <c r="AR1036" s="652">
        <f>IF($B1036="",,SUMIFS(PerHeadcount[Month 33],PerHeadcount[exp_item],$H1036,PerHeadcount[company_name],$B1036)*AR196)</f>
        <v>0</v>
      </c>
      <c r="AS1036" s="652">
        <f>IF($B1036="",,SUMIFS(PerHeadcount[Month 34],PerHeadcount[exp_item],$H1036,PerHeadcount[company_name],$B1036)*AS196)</f>
        <v>0</v>
      </c>
      <c r="AT1036" s="652">
        <f>IF($B1036="",,SUMIFS(PerHeadcount[Month 35],PerHeadcount[exp_item],$H1036,PerHeadcount[company_name],$B1036)*AT196)</f>
        <v>0</v>
      </c>
      <c r="AU1036" s="652">
        <f>IF($B1036="",,SUMIFS(PerHeadcount[Month 36],PerHeadcount[exp_item],$H1036,PerHeadcount[company_name],$B1036)*AU196)</f>
        <v>0</v>
      </c>
    </row>
    <row r="1037" spans="2:47" x14ac:dyDescent="0.35">
      <c r="B1037" t="str">
        <f t="shared" si="663"/>
        <v/>
      </c>
      <c r="C1037" t="str">
        <f t="shared" ref="C1037:G1037" si="675">IF(C932="","",C932)</f>
        <v/>
      </c>
      <c r="D1037" t="str">
        <f t="shared" si="675"/>
        <v/>
      </c>
      <c r="E1037" t="str">
        <f t="shared" si="675"/>
        <v/>
      </c>
      <c r="F1037" t="str">
        <f t="shared" si="675"/>
        <v/>
      </c>
      <c r="G1037" t="str">
        <f t="shared" si="675"/>
        <v/>
      </c>
      <c r="H1037" t="str">
        <f t="shared" si="662"/>
        <v/>
      </c>
      <c r="J1037" t="str">
        <f>IF($H1037="","",IF(VLOOKUP(H1037,ExpItems[],2,0),H1037&amp;" - "&amp;INDEX(DivisionMapping[category_code],MATCH($D1037&amp;$C1037,DivisionMapping[dept_bu],0)),H1037))</f>
        <v/>
      </c>
      <c r="K1037" t="str">
        <f t="shared" si="665"/>
        <v/>
      </c>
      <c r="L1037" s="652">
        <f>IF($B1037="",,SUMIFS(PerHeadcount[Month 1],PerHeadcount[exp_item],$H1037,PerHeadcount[company_name],$B1037)*L197)</f>
        <v>0</v>
      </c>
      <c r="M1037" s="652">
        <f>IF($B1037="",,SUMIFS(PerHeadcount[Month 2],PerHeadcount[exp_item],$H1037,PerHeadcount[company_name],$B1037)*M197)</f>
        <v>0</v>
      </c>
      <c r="N1037" s="652">
        <f>IF($B1037="",,SUMIFS(PerHeadcount[Month 3],PerHeadcount[exp_item],$H1037,PerHeadcount[company_name],$B1037)*N197)</f>
        <v>0</v>
      </c>
      <c r="O1037" s="652">
        <f>IF($B1037="",,SUMIFS(PerHeadcount[Month 4],PerHeadcount[exp_item],$H1037,PerHeadcount[company_name],$B1037)*O197)</f>
        <v>0</v>
      </c>
      <c r="P1037" s="652">
        <f>IF($B1037="",,SUMIFS(PerHeadcount[Month 5],PerHeadcount[exp_item],$H1037,PerHeadcount[company_name],$B1037)*P197)</f>
        <v>0</v>
      </c>
      <c r="Q1037" s="652">
        <f>IF($B1037="",,SUMIFS(PerHeadcount[Month 6],PerHeadcount[exp_item],$H1037,PerHeadcount[company_name],$B1037)*Q197)</f>
        <v>0</v>
      </c>
      <c r="R1037" s="652">
        <f>IF($B1037="",,SUMIFS(PerHeadcount[Month 7],PerHeadcount[exp_item],$H1037,PerHeadcount[company_name],$B1037)*R197)</f>
        <v>0</v>
      </c>
      <c r="S1037" s="652">
        <f>IF($B1037="",,SUMIFS(PerHeadcount[Month 8],PerHeadcount[exp_item],$H1037,PerHeadcount[company_name],$B1037)*S197)</f>
        <v>0</v>
      </c>
      <c r="T1037" s="652">
        <f>IF($B1037="",,SUMIFS(PerHeadcount[Month 9],PerHeadcount[exp_item],$H1037,PerHeadcount[company_name],$B1037)*T197)</f>
        <v>0</v>
      </c>
      <c r="U1037" s="652">
        <f>IF($B1037="",,SUMIFS(PerHeadcount[Month 10],PerHeadcount[exp_item],$H1037,PerHeadcount[company_name],$B1037)*U197)</f>
        <v>0</v>
      </c>
      <c r="V1037" s="652">
        <f>IF($B1037="",,SUMIFS(PerHeadcount[Month 11],PerHeadcount[exp_item],$H1037,PerHeadcount[company_name],$B1037)*V197)</f>
        <v>0</v>
      </c>
      <c r="W1037" s="652">
        <f>IF($B1037="",,SUMIFS(PerHeadcount[Month 12],PerHeadcount[exp_item],$H1037,PerHeadcount[company_name],$B1037)*W197)</f>
        <v>0</v>
      </c>
      <c r="X1037" s="652">
        <f>IF($B1037="",,SUMIFS(PerHeadcount[Month 13],PerHeadcount[exp_item],$H1037,PerHeadcount[company_name],$B1037)*X197)</f>
        <v>0</v>
      </c>
      <c r="Y1037" s="652">
        <f>IF($B1037="",,SUMIFS(PerHeadcount[Month 14],PerHeadcount[exp_item],$H1037,PerHeadcount[company_name],$B1037)*Y197)</f>
        <v>0</v>
      </c>
      <c r="Z1037" s="652">
        <f>IF($B1037="",,SUMIFS(PerHeadcount[Month 15],PerHeadcount[exp_item],$H1037,PerHeadcount[company_name],$B1037)*Z197)</f>
        <v>0</v>
      </c>
      <c r="AA1037" s="652">
        <f>IF($B1037="",,SUMIFS(PerHeadcount[Month 16],PerHeadcount[exp_item],$H1037,PerHeadcount[company_name],$B1037)*AA197)</f>
        <v>0</v>
      </c>
      <c r="AB1037" s="652">
        <f>IF($B1037="",,SUMIFS(PerHeadcount[Month 17],PerHeadcount[exp_item],$H1037,PerHeadcount[company_name],$B1037)*AB197)</f>
        <v>0</v>
      </c>
      <c r="AC1037" s="652">
        <f>IF($B1037="",,SUMIFS(PerHeadcount[Month 18],PerHeadcount[exp_item],$H1037,PerHeadcount[company_name],$B1037)*AC197)</f>
        <v>0</v>
      </c>
      <c r="AD1037" s="652">
        <f>IF($B1037="",,SUMIFS(PerHeadcount[Month 19],PerHeadcount[exp_item],$H1037,PerHeadcount[company_name],$B1037)*AD197)</f>
        <v>0</v>
      </c>
      <c r="AE1037" s="652">
        <f>IF($B1037="",,SUMIFS(PerHeadcount[Month 20],PerHeadcount[exp_item],$H1037,PerHeadcount[company_name],$B1037)*AE197)</f>
        <v>0</v>
      </c>
      <c r="AF1037" s="652">
        <f>IF($B1037="",,SUMIFS(PerHeadcount[Month 21],PerHeadcount[exp_item],$H1037,PerHeadcount[company_name],$B1037)*AF197)</f>
        <v>0</v>
      </c>
      <c r="AG1037" s="652">
        <f>IF($B1037="",,SUMIFS(PerHeadcount[Month 22],PerHeadcount[exp_item],$H1037,PerHeadcount[company_name],$B1037)*AG197)</f>
        <v>0</v>
      </c>
      <c r="AH1037" s="652">
        <f>IF($B1037="",,SUMIFS(PerHeadcount[Month 23],PerHeadcount[exp_item],$H1037,PerHeadcount[company_name],$B1037)*AH197)</f>
        <v>0</v>
      </c>
      <c r="AI1037" s="652">
        <f>IF($B1037="",,SUMIFS(PerHeadcount[Month 24],PerHeadcount[exp_item],$H1037,PerHeadcount[company_name],$B1037)*AI197)</f>
        <v>0</v>
      </c>
      <c r="AJ1037" s="652">
        <f>IF($B1037="",,SUMIFS(PerHeadcount[Month 25],PerHeadcount[exp_item],$H1037,PerHeadcount[company_name],$B1037)*AJ197)</f>
        <v>0</v>
      </c>
      <c r="AK1037" s="652">
        <f>IF($B1037="",,SUMIFS(PerHeadcount[Month 26],PerHeadcount[exp_item],$H1037,PerHeadcount[company_name],$B1037)*AK197)</f>
        <v>0</v>
      </c>
      <c r="AL1037" s="652">
        <f>IF($B1037="",,SUMIFS(PerHeadcount[Month 27],PerHeadcount[exp_item],$H1037,PerHeadcount[company_name],$B1037)*AL197)</f>
        <v>0</v>
      </c>
      <c r="AM1037" s="652">
        <f>IF($B1037="",,SUMIFS(PerHeadcount[Month 28],PerHeadcount[exp_item],$H1037,PerHeadcount[company_name],$B1037)*AM197)</f>
        <v>0</v>
      </c>
      <c r="AN1037" s="652">
        <f>IF($B1037="",,SUMIFS(PerHeadcount[Month 29],PerHeadcount[exp_item],$H1037,PerHeadcount[company_name],$B1037)*AN197)</f>
        <v>0</v>
      </c>
      <c r="AO1037" s="652">
        <f>IF($B1037="",,SUMIFS(PerHeadcount[Month 30],PerHeadcount[exp_item],$H1037,PerHeadcount[company_name],$B1037)*AO197)</f>
        <v>0</v>
      </c>
      <c r="AP1037" s="652">
        <f>IF($B1037="",,SUMIFS(PerHeadcount[Month 31],PerHeadcount[exp_item],$H1037,PerHeadcount[company_name],$B1037)*AP197)</f>
        <v>0</v>
      </c>
      <c r="AQ1037" s="652">
        <f>IF($B1037="",,SUMIFS(PerHeadcount[Month 32],PerHeadcount[exp_item],$H1037,PerHeadcount[company_name],$B1037)*AQ197)</f>
        <v>0</v>
      </c>
      <c r="AR1037" s="652">
        <f>IF($B1037="",,SUMIFS(PerHeadcount[Month 33],PerHeadcount[exp_item],$H1037,PerHeadcount[company_name],$B1037)*AR197)</f>
        <v>0</v>
      </c>
      <c r="AS1037" s="652">
        <f>IF($B1037="",,SUMIFS(PerHeadcount[Month 34],PerHeadcount[exp_item],$H1037,PerHeadcount[company_name],$B1037)*AS197)</f>
        <v>0</v>
      </c>
      <c r="AT1037" s="652">
        <f>IF($B1037="",,SUMIFS(PerHeadcount[Month 35],PerHeadcount[exp_item],$H1037,PerHeadcount[company_name],$B1037)*AT197)</f>
        <v>0</v>
      </c>
      <c r="AU1037" s="652">
        <f>IF($B1037="",,SUMIFS(PerHeadcount[Month 36],PerHeadcount[exp_item],$H1037,PerHeadcount[company_name],$B1037)*AU197)</f>
        <v>0</v>
      </c>
    </row>
    <row r="1038" spans="2:47" x14ac:dyDescent="0.35">
      <c r="B1038" t="str">
        <f t="shared" si="663"/>
        <v/>
      </c>
      <c r="C1038" t="str">
        <f t="shared" ref="C1038:G1038" si="676">IF(C933="","",C933)</f>
        <v/>
      </c>
      <c r="D1038" t="str">
        <f t="shared" si="676"/>
        <v/>
      </c>
      <c r="E1038" t="str">
        <f t="shared" si="676"/>
        <v/>
      </c>
      <c r="F1038" t="str">
        <f t="shared" si="676"/>
        <v/>
      </c>
      <c r="G1038" t="str">
        <f t="shared" si="676"/>
        <v/>
      </c>
      <c r="H1038" t="str">
        <f t="shared" si="662"/>
        <v/>
      </c>
      <c r="J1038" t="str">
        <f>IF($H1038="","",IF(VLOOKUP(H1038,ExpItems[],2,0),H1038&amp;" - "&amp;INDEX(DivisionMapping[category_code],MATCH($D1038&amp;$C1038,DivisionMapping[dept_bu],0)),H1038))</f>
        <v/>
      </c>
      <c r="K1038" t="str">
        <f t="shared" si="665"/>
        <v/>
      </c>
      <c r="L1038" s="652">
        <f>IF($B1038="",,SUMIFS(PerHeadcount[Month 1],PerHeadcount[exp_item],$H1038,PerHeadcount[company_name],$B1038)*L198)</f>
        <v>0</v>
      </c>
      <c r="M1038" s="652">
        <f>IF($B1038="",,SUMIFS(PerHeadcount[Month 2],PerHeadcount[exp_item],$H1038,PerHeadcount[company_name],$B1038)*M198)</f>
        <v>0</v>
      </c>
      <c r="N1038" s="652">
        <f>IF($B1038="",,SUMIFS(PerHeadcount[Month 3],PerHeadcount[exp_item],$H1038,PerHeadcount[company_name],$B1038)*N198)</f>
        <v>0</v>
      </c>
      <c r="O1038" s="652">
        <f>IF($B1038="",,SUMIFS(PerHeadcount[Month 4],PerHeadcount[exp_item],$H1038,PerHeadcount[company_name],$B1038)*O198)</f>
        <v>0</v>
      </c>
      <c r="P1038" s="652">
        <f>IF($B1038="",,SUMIFS(PerHeadcount[Month 5],PerHeadcount[exp_item],$H1038,PerHeadcount[company_name],$B1038)*P198)</f>
        <v>0</v>
      </c>
      <c r="Q1038" s="652">
        <f>IF($B1038="",,SUMIFS(PerHeadcount[Month 6],PerHeadcount[exp_item],$H1038,PerHeadcount[company_name],$B1038)*Q198)</f>
        <v>0</v>
      </c>
      <c r="R1038" s="652">
        <f>IF($B1038="",,SUMIFS(PerHeadcount[Month 7],PerHeadcount[exp_item],$H1038,PerHeadcount[company_name],$B1038)*R198)</f>
        <v>0</v>
      </c>
      <c r="S1038" s="652">
        <f>IF($B1038="",,SUMIFS(PerHeadcount[Month 8],PerHeadcount[exp_item],$H1038,PerHeadcount[company_name],$B1038)*S198)</f>
        <v>0</v>
      </c>
      <c r="T1038" s="652">
        <f>IF($B1038="",,SUMIFS(PerHeadcount[Month 9],PerHeadcount[exp_item],$H1038,PerHeadcount[company_name],$B1038)*T198)</f>
        <v>0</v>
      </c>
      <c r="U1038" s="652">
        <f>IF($B1038="",,SUMIFS(PerHeadcount[Month 10],PerHeadcount[exp_item],$H1038,PerHeadcount[company_name],$B1038)*U198)</f>
        <v>0</v>
      </c>
      <c r="V1038" s="652">
        <f>IF($B1038="",,SUMIFS(PerHeadcount[Month 11],PerHeadcount[exp_item],$H1038,PerHeadcount[company_name],$B1038)*V198)</f>
        <v>0</v>
      </c>
      <c r="W1038" s="652">
        <f>IF($B1038="",,SUMIFS(PerHeadcount[Month 12],PerHeadcount[exp_item],$H1038,PerHeadcount[company_name],$B1038)*W198)</f>
        <v>0</v>
      </c>
      <c r="X1038" s="652">
        <f>IF($B1038="",,SUMIFS(PerHeadcount[Month 13],PerHeadcount[exp_item],$H1038,PerHeadcount[company_name],$B1038)*X198)</f>
        <v>0</v>
      </c>
      <c r="Y1038" s="652">
        <f>IF($B1038="",,SUMIFS(PerHeadcount[Month 14],PerHeadcount[exp_item],$H1038,PerHeadcount[company_name],$B1038)*Y198)</f>
        <v>0</v>
      </c>
      <c r="Z1038" s="652">
        <f>IF($B1038="",,SUMIFS(PerHeadcount[Month 15],PerHeadcount[exp_item],$H1038,PerHeadcount[company_name],$B1038)*Z198)</f>
        <v>0</v>
      </c>
      <c r="AA1038" s="652">
        <f>IF($B1038="",,SUMIFS(PerHeadcount[Month 16],PerHeadcount[exp_item],$H1038,PerHeadcount[company_name],$B1038)*AA198)</f>
        <v>0</v>
      </c>
      <c r="AB1038" s="652">
        <f>IF($B1038="",,SUMIFS(PerHeadcount[Month 17],PerHeadcount[exp_item],$H1038,PerHeadcount[company_name],$B1038)*AB198)</f>
        <v>0</v>
      </c>
      <c r="AC1038" s="652">
        <f>IF($B1038="",,SUMIFS(PerHeadcount[Month 18],PerHeadcount[exp_item],$H1038,PerHeadcount[company_name],$B1038)*AC198)</f>
        <v>0</v>
      </c>
      <c r="AD1038" s="652">
        <f>IF($B1038="",,SUMIFS(PerHeadcount[Month 19],PerHeadcount[exp_item],$H1038,PerHeadcount[company_name],$B1038)*AD198)</f>
        <v>0</v>
      </c>
      <c r="AE1038" s="652">
        <f>IF($B1038="",,SUMIFS(PerHeadcount[Month 20],PerHeadcount[exp_item],$H1038,PerHeadcount[company_name],$B1038)*AE198)</f>
        <v>0</v>
      </c>
      <c r="AF1038" s="652">
        <f>IF($B1038="",,SUMIFS(PerHeadcount[Month 21],PerHeadcount[exp_item],$H1038,PerHeadcount[company_name],$B1038)*AF198)</f>
        <v>0</v>
      </c>
      <c r="AG1038" s="652">
        <f>IF($B1038="",,SUMIFS(PerHeadcount[Month 22],PerHeadcount[exp_item],$H1038,PerHeadcount[company_name],$B1038)*AG198)</f>
        <v>0</v>
      </c>
      <c r="AH1038" s="652">
        <f>IF($B1038="",,SUMIFS(PerHeadcount[Month 23],PerHeadcount[exp_item],$H1038,PerHeadcount[company_name],$B1038)*AH198)</f>
        <v>0</v>
      </c>
      <c r="AI1038" s="652">
        <f>IF($B1038="",,SUMIFS(PerHeadcount[Month 24],PerHeadcount[exp_item],$H1038,PerHeadcount[company_name],$B1038)*AI198)</f>
        <v>0</v>
      </c>
      <c r="AJ1038" s="652">
        <f>IF($B1038="",,SUMIFS(PerHeadcount[Month 25],PerHeadcount[exp_item],$H1038,PerHeadcount[company_name],$B1038)*AJ198)</f>
        <v>0</v>
      </c>
      <c r="AK1038" s="652">
        <f>IF($B1038="",,SUMIFS(PerHeadcount[Month 26],PerHeadcount[exp_item],$H1038,PerHeadcount[company_name],$B1038)*AK198)</f>
        <v>0</v>
      </c>
      <c r="AL1038" s="652">
        <f>IF($B1038="",,SUMIFS(PerHeadcount[Month 27],PerHeadcount[exp_item],$H1038,PerHeadcount[company_name],$B1038)*AL198)</f>
        <v>0</v>
      </c>
      <c r="AM1038" s="652">
        <f>IF($B1038="",,SUMIFS(PerHeadcount[Month 28],PerHeadcount[exp_item],$H1038,PerHeadcount[company_name],$B1038)*AM198)</f>
        <v>0</v>
      </c>
      <c r="AN1038" s="652">
        <f>IF($B1038="",,SUMIFS(PerHeadcount[Month 29],PerHeadcount[exp_item],$H1038,PerHeadcount[company_name],$B1038)*AN198)</f>
        <v>0</v>
      </c>
      <c r="AO1038" s="652">
        <f>IF($B1038="",,SUMIFS(PerHeadcount[Month 30],PerHeadcount[exp_item],$H1038,PerHeadcount[company_name],$B1038)*AO198)</f>
        <v>0</v>
      </c>
      <c r="AP1038" s="652">
        <f>IF($B1038="",,SUMIFS(PerHeadcount[Month 31],PerHeadcount[exp_item],$H1038,PerHeadcount[company_name],$B1038)*AP198)</f>
        <v>0</v>
      </c>
      <c r="AQ1038" s="652">
        <f>IF($B1038="",,SUMIFS(PerHeadcount[Month 32],PerHeadcount[exp_item],$H1038,PerHeadcount[company_name],$B1038)*AQ198)</f>
        <v>0</v>
      </c>
      <c r="AR1038" s="652">
        <f>IF($B1038="",,SUMIFS(PerHeadcount[Month 33],PerHeadcount[exp_item],$H1038,PerHeadcount[company_name],$B1038)*AR198)</f>
        <v>0</v>
      </c>
      <c r="AS1038" s="652">
        <f>IF($B1038="",,SUMIFS(PerHeadcount[Month 34],PerHeadcount[exp_item],$H1038,PerHeadcount[company_name],$B1038)*AS198)</f>
        <v>0</v>
      </c>
      <c r="AT1038" s="652">
        <f>IF($B1038="",,SUMIFS(PerHeadcount[Month 35],PerHeadcount[exp_item],$H1038,PerHeadcount[company_name],$B1038)*AT198)</f>
        <v>0</v>
      </c>
      <c r="AU1038" s="652">
        <f>IF($B1038="",,SUMIFS(PerHeadcount[Month 36],PerHeadcount[exp_item],$H1038,PerHeadcount[company_name],$B1038)*AU198)</f>
        <v>0</v>
      </c>
    </row>
    <row r="1039" spans="2:47" x14ac:dyDescent="0.35">
      <c r="B1039" t="str">
        <f t="shared" si="663"/>
        <v/>
      </c>
      <c r="C1039" t="str">
        <f t="shared" ref="C1039:G1039" si="677">IF(C934="","",C934)</f>
        <v/>
      </c>
      <c r="D1039" t="str">
        <f t="shared" si="677"/>
        <v/>
      </c>
      <c r="E1039" t="str">
        <f t="shared" si="677"/>
        <v/>
      </c>
      <c r="F1039" t="str">
        <f t="shared" si="677"/>
        <v/>
      </c>
      <c r="G1039" t="str">
        <f t="shared" si="677"/>
        <v/>
      </c>
      <c r="H1039" t="str">
        <f t="shared" si="662"/>
        <v/>
      </c>
      <c r="J1039" t="str">
        <f>IF($H1039="","",IF(VLOOKUP(H1039,ExpItems[],2,0),H1039&amp;" - "&amp;INDEX(DivisionMapping[category_code],MATCH($D1039&amp;$C1039,DivisionMapping[dept_bu],0)),H1039))</f>
        <v/>
      </c>
      <c r="K1039" t="str">
        <f t="shared" si="665"/>
        <v/>
      </c>
      <c r="L1039" s="652">
        <f>IF($B1039="",,SUMIFS(PerHeadcount[Month 1],PerHeadcount[exp_item],$H1039,PerHeadcount[company_name],$B1039)*L199)</f>
        <v>0</v>
      </c>
      <c r="M1039" s="652">
        <f>IF($B1039="",,SUMIFS(PerHeadcount[Month 2],PerHeadcount[exp_item],$H1039,PerHeadcount[company_name],$B1039)*M199)</f>
        <v>0</v>
      </c>
      <c r="N1039" s="652">
        <f>IF($B1039="",,SUMIFS(PerHeadcount[Month 3],PerHeadcount[exp_item],$H1039,PerHeadcount[company_name],$B1039)*N199)</f>
        <v>0</v>
      </c>
      <c r="O1039" s="652">
        <f>IF($B1039="",,SUMIFS(PerHeadcount[Month 4],PerHeadcount[exp_item],$H1039,PerHeadcount[company_name],$B1039)*O199)</f>
        <v>0</v>
      </c>
      <c r="P1039" s="652">
        <f>IF($B1039="",,SUMIFS(PerHeadcount[Month 5],PerHeadcount[exp_item],$H1039,PerHeadcount[company_name],$B1039)*P199)</f>
        <v>0</v>
      </c>
      <c r="Q1039" s="652">
        <f>IF($B1039="",,SUMIFS(PerHeadcount[Month 6],PerHeadcount[exp_item],$H1039,PerHeadcount[company_name],$B1039)*Q199)</f>
        <v>0</v>
      </c>
      <c r="R1039" s="652">
        <f>IF($B1039="",,SUMIFS(PerHeadcount[Month 7],PerHeadcount[exp_item],$H1039,PerHeadcount[company_name],$B1039)*R199)</f>
        <v>0</v>
      </c>
      <c r="S1039" s="652">
        <f>IF($B1039="",,SUMIFS(PerHeadcount[Month 8],PerHeadcount[exp_item],$H1039,PerHeadcount[company_name],$B1039)*S199)</f>
        <v>0</v>
      </c>
      <c r="T1039" s="652">
        <f>IF($B1039="",,SUMIFS(PerHeadcount[Month 9],PerHeadcount[exp_item],$H1039,PerHeadcount[company_name],$B1039)*T199)</f>
        <v>0</v>
      </c>
      <c r="U1039" s="652">
        <f>IF($B1039="",,SUMIFS(PerHeadcount[Month 10],PerHeadcount[exp_item],$H1039,PerHeadcount[company_name],$B1039)*U199)</f>
        <v>0</v>
      </c>
      <c r="V1039" s="652">
        <f>IF($B1039="",,SUMIFS(PerHeadcount[Month 11],PerHeadcount[exp_item],$H1039,PerHeadcount[company_name],$B1039)*V199)</f>
        <v>0</v>
      </c>
      <c r="W1039" s="652">
        <f>IF($B1039="",,SUMIFS(PerHeadcount[Month 12],PerHeadcount[exp_item],$H1039,PerHeadcount[company_name],$B1039)*W199)</f>
        <v>0</v>
      </c>
      <c r="X1039" s="652">
        <f>IF($B1039="",,SUMIFS(PerHeadcount[Month 13],PerHeadcount[exp_item],$H1039,PerHeadcount[company_name],$B1039)*X199)</f>
        <v>0</v>
      </c>
      <c r="Y1039" s="652">
        <f>IF($B1039="",,SUMIFS(PerHeadcount[Month 14],PerHeadcount[exp_item],$H1039,PerHeadcount[company_name],$B1039)*Y199)</f>
        <v>0</v>
      </c>
      <c r="Z1039" s="652">
        <f>IF($B1039="",,SUMIFS(PerHeadcount[Month 15],PerHeadcount[exp_item],$H1039,PerHeadcount[company_name],$B1039)*Z199)</f>
        <v>0</v>
      </c>
      <c r="AA1039" s="652">
        <f>IF($B1039="",,SUMIFS(PerHeadcount[Month 16],PerHeadcount[exp_item],$H1039,PerHeadcount[company_name],$B1039)*AA199)</f>
        <v>0</v>
      </c>
      <c r="AB1039" s="652">
        <f>IF($B1039="",,SUMIFS(PerHeadcount[Month 17],PerHeadcount[exp_item],$H1039,PerHeadcount[company_name],$B1039)*AB199)</f>
        <v>0</v>
      </c>
      <c r="AC1039" s="652">
        <f>IF($B1039="",,SUMIFS(PerHeadcount[Month 18],PerHeadcount[exp_item],$H1039,PerHeadcount[company_name],$B1039)*AC199)</f>
        <v>0</v>
      </c>
      <c r="AD1039" s="652">
        <f>IF($B1039="",,SUMIFS(PerHeadcount[Month 19],PerHeadcount[exp_item],$H1039,PerHeadcount[company_name],$B1039)*AD199)</f>
        <v>0</v>
      </c>
      <c r="AE1039" s="652">
        <f>IF($B1039="",,SUMIFS(PerHeadcount[Month 20],PerHeadcount[exp_item],$H1039,PerHeadcount[company_name],$B1039)*AE199)</f>
        <v>0</v>
      </c>
      <c r="AF1039" s="652">
        <f>IF($B1039="",,SUMIFS(PerHeadcount[Month 21],PerHeadcount[exp_item],$H1039,PerHeadcount[company_name],$B1039)*AF199)</f>
        <v>0</v>
      </c>
      <c r="AG1039" s="652">
        <f>IF($B1039="",,SUMIFS(PerHeadcount[Month 22],PerHeadcount[exp_item],$H1039,PerHeadcount[company_name],$B1039)*AG199)</f>
        <v>0</v>
      </c>
      <c r="AH1039" s="652">
        <f>IF($B1039="",,SUMIFS(PerHeadcount[Month 23],PerHeadcount[exp_item],$H1039,PerHeadcount[company_name],$B1039)*AH199)</f>
        <v>0</v>
      </c>
      <c r="AI1039" s="652">
        <f>IF($B1039="",,SUMIFS(PerHeadcount[Month 24],PerHeadcount[exp_item],$H1039,PerHeadcount[company_name],$B1039)*AI199)</f>
        <v>0</v>
      </c>
      <c r="AJ1039" s="652">
        <f>IF($B1039="",,SUMIFS(PerHeadcount[Month 25],PerHeadcount[exp_item],$H1039,PerHeadcount[company_name],$B1039)*AJ199)</f>
        <v>0</v>
      </c>
      <c r="AK1039" s="652">
        <f>IF($B1039="",,SUMIFS(PerHeadcount[Month 26],PerHeadcount[exp_item],$H1039,PerHeadcount[company_name],$B1039)*AK199)</f>
        <v>0</v>
      </c>
      <c r="AL1039" s="652">
        <f>IF($B1039="",,SUMIFS(PerHeadcount[Month 27],PerHeadcount[exp_item],$H1039,PerHeadcount[company_name],$B1039)*AL199)</f>
        <v>0</v>
      </c>
      <c r="AM1039" s="652">
        <f>IF($B1039="",,SUMIFS(PerHeadcount[Month 28],PerHeadcount[exp_item],$H1039,PerHeadcount[company_name],$B1039)*AM199)</f>
        <v>0</v>
      </c>
      <c r="AN1039" s="652">
        <f>IF($B1039="",,SUMIFS(PerHeadcount[Month 29],PerHeadcount[exp_item],$H1039,PerHeadcount[company_name],$B1039)*AN199)</f>
        <v>0</v>
      </c>
      <c r="AO1039" s="652">
        <f>IF($B1039="",,SUMIFS(PerHeadcount[Month 30],PerHeadcount[exp_item],$H1039,PerHeadcount[company_name],$B1039)*AO199)</f>
        <v>0</v>
      </c>
      <c r="AP1039" s="652">
        <f>IF($B1039="",,SUMIFS(PerHeadcount[Month 31],PerHeadcount[exp_item],$H1039,PerHeadcount[company_name],$B1039)*AP199)</f>
        <v>0</v>
      </c>
      <c r="AQ1039" s="652">
        <f>IF($B1039="",,SUMIFS(PerHeadcount[Month 32],PerHeadcount[exp_item],$H1039,PerHeadcount[company_name],$B1039)*AQ199)</f>
        <v>0</v>
      </c>
      <c r="AR1039" s="652">
        <f>IF($B1039="",,SUMIFS(PerHeadcount[Month 33],PerHeadcount[exp_item],$H1039,PerHeadcount[company_name],$B1039)*AR199)</f>
        <v>0</v>
      </c>
      <c r="AS1039" s="652">
        <f>IF($B1039="",,SUMIFS(PerHeadcount[Month 34],PerHeadcount[exp_item],$H1039,PerHeadcount[company_name],$B1039)*AS199)</f>
        <v>0</v>
      </c>
      <c r="AT1039" s="652">
        <f>IF($B1039="",,SUMIFS(PerHeadcount[Month 35],PerHeadcount[exp_item],$H1039,PerHeadcount[company_name],$B1039)*AT199)</f>
        <v>0</v>
      </c>
      <c r="AU1039" s="652">
        <f>IF($B1039="",,SUMIFS(PerHeadcount[Month 36],PerHeadcount[exp_item],$H1039,PerHeadcount[company_name],$B1039)*AU199)</f>
        <v>0</v>
      </c>
    </row>
    <row r="1040" spans="2:47" x14ac:dyDescent="0.35">
      <c r="B1040" t="str">
        <f t="shared" si="663"/>
        <v/>
      </c>
      <c r="C1040" t="str">
        <f t="shared" ref="C1040:G1040" si="678">IF(C935="","",C935)</f>
        <v/>
      </c>
      <c r="D1040" t="str">
        <f t="shared" si="678"/>
        <v/>
      </c>
      <c r="E1040" t="str">
        <f t="shared" si="678"/>
        <v/>
      </c>
      <c r="F1040" t="str">
        <f t="shared" si="678"/>
        <v/>
      </c>
      <c r="G1040" t="str">
        <f t="shared" si="678"/>
        <v/>
      </c>
      <c r="H1040" t="str">
        <f t="shared" si="662"/>
        <v/>
      </c>
      <c r="J1040" t="str">
        <f>IF($H1040="","",IF(VLOOKUP(H1040,ExpItems[],2,0),H1040&amp;" - "&amp;INDEX(DivisionMapping[category_code],MATCH($D1040&amp;$C1040,DivisionMapping[dept_bu],0)),H1040))</f>
        <v/>
      </c>
      <c r="K1040" t="str">
        <f t="shared" si="665"/>
        <v/>
      </c>
      <c r="L1040" s="652">
        <f>IF($B1040="",,SUMIFS(PerHeadcount[Month 1],PerHeadcount[exp_item],$H1040,PerHeadcount[company_name],$B1040)*L200)</f>
        <v>0</v>
      </c>
      <c r="M1040" s="652">
        <f>IF($B1040="",,SUMIFS(PerHeadcount[Month 2],PerHeadcount[exp_item],$H1040,PerHeadcount[company_name],$B1040)*M200)</f>
        <v>0</v>
      </c>
      <c r="N1040" s="652">
        <f>IF($B1040="",,SUMIFS(PerHeadcount[Month 3],PerHeadcount[exp_item],$H1040,PerHeadcount[company_name],$B1040)*N200)</f>
        <v>0</v>
      </c>
      <c r="O1040" s="652">
        <f>IF($B1040="",,SUMIFS(PerHeadcount[Month 4],PerHeadcount[exp_item],$H1040,PerHeadcount[company_name],$B1040)*O200)</f>
        <v>0</v>
      </c>
      <c r="P1040" s="652">
        <f>IF($B1040="",,SUMIFS(PerHeadcount[Month 5],PerHeadcount[exp_item],$H1040,PerHeadcount[company_name],$B1040)*P200)</f>
        <v>0</v>
      </c>
      <c r="Q1040" s="652">
        <f>IF($B1040="",,SUMIFS(PerHeadcount[Month 6],PerHeadcount[exp_item],$H1040,PerHeadcount[company_name],$B1040)*Q200)</f>
        <v>0</v>
      </c>
      <c r="R1040" s="652">
        <f>IF($B1040="",,SUMIFS(PerHeadcount[Month 7],PerHeadcount[exp_item],$H1040,PerHeadcount[company_name],$B1040)*R200)</f>
        <v>0</v>
      </c>
      <c r="S1040" s="652">
        <f>IF($B1040="",,SUMIFS(PerHeadcount[Month 8],PerHeadcount[exp_item],$H1040,PerHeadcount[company_name],$B1040)*S200)</f>
        <v>0</v>
      </c>
      <c r="T1040" s="652">
        <f>IF($B1040="",,SUMIFS(PerHeadcount[Month 9],PerHeadcount[exp_item],$H1040,PerHeadcount[company_name],$B1040)*T200)</f>
        <v>0</v>
      </c>
      <c r="U1040" s="652">
        <f>IF($B1040="",,SUMIFS(PerHeadcount[Month 10],PerHeadcount[exp_item],$H1040,PerHeadcount[company_name],$B1040)*U200)</f>
        <v>0</v>
      </c>
      <c r="V1040" s="652">
        <f>IF($B1040="",,SUMIFS(PerHeadcount[Month 11],PerHeadcount[exp_item],$H1040,PerHeadcount[company_name],$B1040)*V200)</f>
        <v>0</v>
      </c>
      <c r="W1040" s="652">
        <f>IF($B1040="",,SUMIFS(PerHeadcount[Month 12],PerHeadcount[exp_item],$H1040,PerHeadcount[company_name],$B1040)*W200)</f>
        <v>0</v>
      </c>
      <c r="X1040" s="652">
        <f>IF($B1040="",,SUMIFS(PerHeadcount[Month 13],PerHeadcount[exp_item],$H1040,PerHeadcount[company_name],$B1040)*X200)</f>
        <v>0</v>
      </c>
      <c r="Y1040" s="652">
        <f>IF($B1040="",,SUMIFS(PerHeadcount[Month 14],PerHeadcount[exp_item],$H1040,PerHeadcount[company_name],$B1040)*Y200)</f>
        <v>0</v>
      </c>
      <c r="Z1040" s="652">
        <f>IF($B1040="",,SUMIFS(PerHeadcount[Month 15],PerHeadcount[exp_item],$H1040,PerHeadcount[company_name],$B1040)*Z200)</f>
        <v>0</v>
      </c>
      <c r="AA1040" s="652">
        <f>IF($B1040="",,SUMIFS(PerHeadcount[Month 16],PerHeadcount[exp_item],$H1040,PerHeadcount[company_name],$B1040)*AA200)</f>
        <v>0</v>
      </c>
      <c r="AB1040" s="652">
        <f>IF($B1040="",,SUMIFS(PerHeadcount[Month 17],PerHeadcount[exp_item],$H1040,PerHeadcount[company_name],$B1040)*AB200)</f>
        <v>0</v>
      </c>
      <c r="AC1040" s="652">
        <f>IF($B1040="",,SUMIFS(PerHeadcount[Month 18],PerHeadcount[exp_item],$H1040,PerHeadcount[company_name],$B1040)*AC200)</f>
        <v>0</v>
      </c>
      <c r="AD1040" s="652">
        <f>IF($B1040="",,SUMIFS(PerHeadcount[Month 19],PerHeadcount[exp_item],$H1040,PerHeadcount[company_name],$B1040)*AD200)</f>
        <v>0</v>
      </c>
      <c r="AE1040" s="652">
        <f>IF($B1040="",,SUMIFS(PerHeadcount[Month 20],PerHeadcount[exp_item],$H1040,PerHeadcount[company_name],$B1040)*AE200)</f>
        <v>0</v>
      </c>
      <c r="AF1040" s="652">
        <f>IF($B1040="",,SUMIFS(PerHeadcount[Month 21],PerHeadcount[exp_item],$H1040,PerHeadcount[company_name],$B1040)*AF200)</f>
        <v>0</v>
      </c>
      <c r="AG1040" s="652">
        <f>IF($B1040="",,SUMIFS(PerHeadcount[Month 22],PerHeadcount[exp_item],$H1040,PerHeadcount[company_name],$B1040)*AG200)</f>
        <v>0</v>
      </c>
      <c r="AH1040" s="652">
        <f>IF($B1040="",,SUMIFS(PerHeadcount[Month 23],PerHeadcount[exp_item],$H1040,PerHeadcount[company_name],$B1040)*AH200)</f>
        <v>0</v>
      </c>
      <c r="AI1040" s="652">
        <f>IF($B1040="",,SUMIFS(PerHeadcount[Month 24],PerHeadcount[exp_item],$H1040,PerHeadcount[company_name],$B1040)*AI200)</f>
        <v>0</v>
      </c>
      <c r="AJ1040" s="652">
        <f>IF($B1040="",,SUMIFS(PerHeadcount[Month 25],PerHeadcount[exp_item],$H1040,PerHeadcount[company_name],$B1040)*AJ200)</f>
        <v>0</v>
      </c>
      <c r="AK1040" s="652">
        <f>IF($B1040="",,SUMIFS(PerHeadcount[Month 26],PerHeadcount[exp_item],$H1040,PerHeadcount[company_name],$B1040)*AK200)</f>
        <v>0</v>
      </c>
      <c r="AL1040" s="652">
        <f>IF($B1040="",,SUMIFS(PerHeadcount[Month 27],PerHeadcount[exp_item],$H1040,PerHeadcount[company_name],$B1040)*AL200)</f>
        <v>0</v>
      </c>
      <c r="AM1040" s="652">
        <f>IF($B1040="",,SUMIFS(PerHeadcount[Month 28],PerHeadcount[exp_item],$H1040,PerHeadcount[company_name],$B1040)*AM200)</f>
        <v>0</v>
      </c>
      <c r="AN1040" s="652">
        <f>IF($B1040="",,SUMIFS(PerHeadcount[Month 29],PerHeadcount[exp_item],$H1040,PerHeadcount[company_name],$B1040)*AN200)</f>
        <v>0</v>
      </c>
      <c r="AO1040" s="652">
        <f>IF($B1040="",,SUMIFS(PerHeadcount[Month 30],PerHeadcount[exp_item],$H1040,PerHeadcount[company_name],$B1040)*AO200)</f>
        <v>0</v>
      </c>
      <c r="AP1040" s="652">
        <f>IF($B1040="",,SUMIFS(PerHeadcount[Month 31],PerHeadcount[exp_item],$H1040,PerHeadcount[company_name],$B1040)*AP200)</f>
        <v>0</v>
      </c>
      <c r="AQ1040" s="652">
        <f>IF($B1040="",,SUMIFS(PerHeadcount[Month 32],PerHeadcount[exp_item],$H1040,PerHeadcount[company_name],$B1040)*AQ200)</f>
        <v>0</v>
      </c>
      <c r="AR1040" s="652">
        <f>IF($B1040="",,SUMIFS(PerHeadcount[Month 33],PerHeadcount[exp_item],$H1040,PerHeadcount[company_name],$B1040)*AR200)</f>
        <v>0</v>
      </c>
      <c r="AS1040" s="652">
        <f>IF($B1040="",,SUMIFS(PerHeadcount[Month 34],PerHeadcount[exp_item],$H1040,PerHeadcount[company_name],$B1040)*AS200)</f>
        <v>0</v>
      </c>
      <c r="AT1040" s="652">
        <f>IF($B1040="",,SUMIFS(PerHeadcount[Month 35],PerHeadcount[exp_item],$H1040,PerHeadcount[company_name],$B1040)*AT200)</f>
        <v>0</v>
      </c>
      <c r="AU1040" s="652">
        <f>IF($B1040="",,SUMIFS(PerHeadcount[Month 36],PerHeadcount[exp_item],$H1040,PerHeadcount[company_name],$B1040)*AU200)</f>
        <v>0</v>
      </c>
    </row>
    <row r="1041" spans="2:47" x14ac:dyDescent="0.35">
      <c r="B1041" t="str">
        <f t="shared" si="663"/>
        <v/>
      </c>
      <c r="C1041" t="str">
        <f t="shared" ref="C1041:G1041" si="679">IF(C936="","",C936)</f>
        <v/>
      </c>
      <c r="D1041" t="str">
        <f t="shared" si="679"/>
        <v/>
      </c>
      <c r="E1041" t="str">
        <f t="shared" si="679"/>
        <v/>
      </c>
      <c r="F1041" t="str">
        <f t="shared" si="679"/>
        <v/>
      </c>
      <c r="G1041" t="str">
        <f t="shared" si="679"/>
        <v/>
      </c>
      <c r="H1041" t="str">
        <f t="shared" si="662"/>
        <v/>
      </c>
      <c r="J1041" t="str">
        <f>IF($H1041="","",IF(VLOOKUP(H1041,ExpItems[],2,0),H1041&amp;" - "&amp;INDEX(DivisionMapping[category_code],MATCH($D1041&amp;$C1041,DivisionMapping[dept_bu],0)),H1041))</f>
        <v/>
      </c>
      <c r="K1041" t="str">
        <f t="shared" si="665"/>
        <v/>
      </c>
      <c r="L1041" s="652">
        <f>IF($B1041="",,SUMIFS(PerHeadcount[Month 1],PerHeadcount[exp_item],$H1041,PerHeadcount[company_name],$B1041)*L201)</f>
        <v>0</v>
      </c>
      <c r="M1041" s="652">
        <f>IF($B1041="",,SUMIFS(PerHeadcount[Month 2],PerHeadcount[exp_item],$H1041,PerHeadcount[company_name],$B1041)*M201)</f>
        <v>0</v>
      </c>
      <c r="N1041" s="652">
        <f>IF($B1041="",,SUMIFS(PerHeadcount[Month 3],PerHeadcount[exp_item],$H1041,PerHeadcount[company_name],$B1041)*N201)</f>
        <v>0</v>
      </c>
      <c r="O1041" s="652">
        <f>IF($B1041="",,SUMIFS(PerHeadcount[Month 4],PerHeadcount[exp_item],$H1041,PerHeadcount[company_name],$B1041)*O201)</f>
        <v>0</v>
      </c>
      <c r="P1041" s="652">
        <f>IF($B1041="",,SUMIFS(PerHeadcount[Month 5],PerHeadcount[exp_item],$H1041,PerHeadcount[company_name],$B1041)*P201)</f>
        <v>0</v>
      </c>
      <c r="Q1041" s="652">
        <f>IF($B1041="",,SUMIFS(PerHeadcount[Month 6],PerHeadcount[exp_item],$H1041,PerHeadcount[company_name],$B1041)*Q201)</f>
        <v>0</v>
      </c>
      <c r="R1041" s="652">
        <f>IF($B1041="",,SUMIFS(PerHeadcount[Month 7],PerHeadcount[exp_item],$H1041,PerHeadcount[company_name],$B1041)*R201)</f>
        <v>0</v>
      </c>
      <c r="S1041" s="652">
        <f>IF($B1041="",,SUMIFS(PerHeadcount[Month 8],PerHeadcount[exp_item],$H1041,PerHeadcount[company_name],$B1041)*S201)</f>
        <v>0</v>
      </c>
      <c r="T1041" s="652">
        <f>IF($B1041="",,SUMIFS(PerHeadcount[Month 9],PerHeadcount[exp_item],$H1041,PerHeadcount[company_name],$B1041)*T201)</f>
        <v>0</v>
      </c>
      <c r="U1041" s="652">
        <f>IF($B1041="",,SUMIFS(PerHeadcount[Month 10],PerHeadcount[exp_item],$H1041,PerHeadcount[company_name],$B1041)*U201)</f>
        <v>0</v>
      </c>
      <c r="V1041" s="652">
        <f>IF($B1041="",,SUMIFS(PerHeadcount[Month 11],PerHeadcount[exp_item],$H1041,PerHeadcount[company_name],$B1041)*V201)</f>
        <v>0</v>
      </c>
      <c r="W1041" s="652">
        <f>IF($B1041="",,SUMIFS(PerHeadcount[Month 12],PerHeadcount[exp_item],$H1041,PerHeadcount[company_name],$B1041)*W201)</f>
        <v>0</v>
      </c>
      <c r="X1041" s="652">
        <f>IF($B1041="",,SUMIFS(PerHeadcount[Month 13],PerHeadcount[exp_item],$H1041,PerHeadcount[company_name],$B1041)*X201)</f>
        <v>0</v>
      </c>
      <c r="Y1041" s="652">
        <f>IF($B1041="",,SUMIFS(PerHeadcount[Month 14],PerHeadcount[exp_item],$H1041,PerHeadcount[company_name],$B1041)*Y201)</f>
        <v>0</v>
      </c>
      <c r="Z1041" s="652">
        <f>IF($B1041="",,SUMIFS(PerHeadcount[Month 15],PerHeadcount[exp_item],$H1041,PerHeadcount[company_name],$B1041)*Z201)</f>
        <v>0</v>
      </c>
      <c r="AA1041" s="652">
        <f>IF($B1041="",,SUMIFS(PerHeadcount[Month 16],PerHeadcount[exp_item],$H1041,PerHeadcount[company_name],$B1041)*AA201)</f>
        <v>0</v>
      </c>
      <c r="AB1041" s="652">
        <f>IF($B1041="",,SUMIFS(PerHeadcount[Month 17],PerHeadcount[exp_item],$H1041,PerHeadcount[company_name],$B1041)*AB201)</f>
        <v>0</v>
      </c>
      <c r="AC1041" s="652">
        <f>IF($B1041="",,SUMIFS(PerHeadcount[Month 18],PerHeadcount[exp_item],$H1041,PerHeadcount[company_name],$B1041)*AC201)</f>
        <v>0</v>
      </c>
      <c r="AD1041" s="652">
        <f>IF($B1041="",,SUMIFS(PerHeadcount[Month 19],PerHeadcount[exp_item],$H1041,PerHeadcount[company_name],$B1041)*AD201)</f>
        <v>0</v>
      </c>
      <c r="AE1041" s="652">
        <f>IF($B1041="",,SUMIFS(PerHeadcount[Month 20],PerHeadcount[exp_item],$H1041,PerHeadcount[company_name],$B1041)*AE201)</f>
        <v>0</v>
      </c>
      <c r="AF1041" s="652">
        <f>IF($B1041="",,SUMIFS(PerHeadcount[Month 21],PerHeadcount[exp_item],$H1041,PerHeadcount[company_name],$B1041)*AF201)</f>
        <v>0</v>
      </c>
      <c r="AG1041" s="652">
        <f>IF($B1041="",,SUMIFS(PerHeadcount[Month 22],PerHeadcount[exp_item],$H1041,PerHeadcount[company_name],$B1041)*AG201)</f>
        <v>0</v>
      </c>
      <c r="AH1041" s="652">
        <f>IF($B1041="",,SUMIFS(PerHeadcount[Month 23],PerHeadcount[exp_item],$H1041,PerHeadcount[company_name],$B1041)*AH201)</f>
        <v>0</v>
      </c>
      <c r="AI1041" s="652">
        <f>IF($B1041="",,SUMIFS(PerHeadcount[Month 24],PerHeadcount[exp_item],$H1041,PerHeadcount[company_name],$B1041)*AI201)</f>
        <v>0</v>
      </c>
      <c r="AJ1041" s="652">
        <f>IF($B1041="",,SUMIFS(PerHeadcount[Month 25],PerHeadcount[exp_item],$H1041,PerHeadcount[company_name],$B1041)*AJ201)</f>
        <v>0</v>
      </c>
      <c r="AK1041" s="652">
        <f>IF($B1041="",,SUMIFS(PerHeadcount[Month 26],PerHeadcount[exp_item],$H1041,PerHeadcount[company_name],$B1041)*AK201)</f>
        <v>0</v>
      </c>
      <c r="AL1041" s="652">
        <f>IF($B1041="",,SUMIFS(PerHeadcount[Month 27],PerHeadcount[exp_item],$H1041,PerHeadcount[company_name],$B1041)*AL201)</f>
        <v>0</v>
      </c>
      <c r="AM1041" s="652">
        <f>IF($B1041="",,SUMIFS(PerHeadcount[Month 28],PerHeadcount[exp_item],$H1041,PerHeadcount[company_name],$B1041)*AM201)</f>
        <v>0</v>
      </c>
      <c r="AN1041" s="652">
        <f>IF($B1041="",,SUMIFS(PerHeadcount[Month 29],PerHeadcount[exp_item],$H1041,PerHeadcount[company_name],$B1041)*AN201)</f>
        <v>0</v>
      </c>
      <c r="AO1041" s="652">
        <f>IF($B1041="",,SUMIFS(PerHeadcount[Month 30],PerHeadcount[exp_item],$H1041,PerHeadcount[company_name],$B1041)*AO201)</f>
        <v>0</v>
      </c>
      <c r="AP1041" s="652">
        <f>IF($B1041="",,SUMIFS(PerHeadcount[Month 31],PerHeadcount[exp_item],$H1041,PerHeadcount[company_name],$B1041)*AP201)</f>
        <v>0</v>
      </c>
      <c r="AQ1041" s="652">
        <f>IF($B1041="",,SUMIFS(PerHeadcount[Month 32],PerHeadcount[exp_item],$H1041,PerHeadcount[company_name],$B1041)*AQ201)</f>
        <v>0</v>
      </c>
      <c r="AR1041" s="652">
        <f>IF($B1041="",,SUMIFS(PerHeadcount[Month 33],PerHeadcount[exp_item],$H1041,PerHeadcount[company_name],$B1041)*AR201)</f>
        <v>0</v>
      </c>
      <c r="AS1041" s="652">
        <f>IF($B1041="",,SUMIFS(PerHeadcount[Month 34],PerHeadcount[exp_item],$H1041,PerHeadcount[company_name],$B1041)*AS201)</f>
        <v>0</v>
      </c>
      <c r="AT1041" s="652">
        <f>IF($B1041="",,SUMIFS(PerHeadcount[Month 35],PerHeadcount[exp_item],$H1041,PerHeadcount[company_name],$B1041)*AT201)</f>
        <v>0</v>
      </c>
      <c r="AU1041" s="652">
        <f>IF($B1041="",,SUMIFS(PerHeadcount[Month 36],PerHeadcount[exp_item],$H1041,PerHeadcount[company_name],$B1041)*AU201)</f>
        <v>0</v>
      </c>
    </row>
    <row r="1042" spans="2:47" x14ac:dyDescent="0.35">
      <c r="B1042" t="str">
        <f t="shared" si="663"/>
        <v/>
      </c>
      <c r="C1042" t="str">
        <f t="shared" ref="C1042:G1042" si="680">IF(C937="","",C937)</f>
        <v/>
      </c>
      <c r="D1042" t="str">
        <f t="shared" si="680"/>
        <v/>
      </c>
      <c r="E1042" t="str">
        <f t="shared" si="680"/>
        <v/>
      </c>
      <c r="F1042" t="str">
        <f t="shared" si="680"/>
        <v/>
      </c>
      <c r="G1042" t="str">
        <f t="shared" si="680"/>
        <v/>
      </c>
      <c r="H1042" t="str">
        <f t="shared" si="662"/>
        <v/>
      </c>
      <c r="J1042" t="str">
        <f>IF($H1042="","",IF(VLOOKUP(H1042,ExpItems[],2,0),H1042&amp;" - "&amp;INDEX(DivisionMapping[category_code],MATCH($D1042&amp;$C1042,DivisionMapping[dept_bu],0)),H1042))</f>
        <v/>
      </c>
      <c r="K1042" t="str">
        <f t="shared" si="665"/>
        <v/>
      </c>
      <c r="L1042" s="652">
        <f>IF($B1042="",,SUMIFS(PerHeadcount[Month 1],PerHeadcount[exp_item],$H1042,PerHeadcount[company_name],$B1042)*L202)</f>
        <v>0</v>
      </c>
      <c r="M1042" s="652">
        <f>IF($B1042="",,SUMIFS(PerHeadcount[Month 2],PerHeadcount[exp_item],$H1042,PerHeadcount[company_name],$B1042)*M202)</f>
        <v>0</v>
      </c>
      <c r="N1042" s="652">
        <f>IF($B1042="",,SUMIFS(PerHeadcount[Month 3],PerHeadcount[exp_item],$H1042,PerHeadcount[company_name],$B1042)*N202)</f>
        <v>0</v>
      </c>
      <c r="O1042" s="652">
        <f>IF($B1042="",,SUMIFS(PerHeadcount[Month 4],PerHeadcount[exp_item],$H1042,PerHeadcount[company_name],$B1042)*O202)</f>
        <v>0</v>
      </c>
      <c r="P1042" s="652">
        <f>IF($B1042="",,SUMIFS(PerHeadcount[Month 5],PerHeadcount[exp_item],$H1042,PerHeadcount[company_name],$B1042)*P202)</f>
        <v>0</v>
      </c>
      <c r="Q1042" s="652">
        <f>IF($B1042="",,SUMIFS(PerHeadcount[Month 6],PerHeadcount[exp_item],$H1042,PerHeadcount[company_name],$B1042)*Q202)</f>
        <v>0</v>
      </c>
      <c r="R1042" s="652">
        <f>IF($B1042="",,SUMIFS(PerHeadcount[Month 7],PerHeadcount[exp_item],$H1042,PerHeadcount[company_name],$B1042)*R202)</f>
        <v>0</v>
      </c>
      <c r="S1042" s="652">
        <f>IF($B1042="",,SUMIFS(PerHeadcount[Month 8],PerHeadcount[exp_item],$H1042,PerHeadcount[company_name],$B1042)*S202)</f>
        <v>0</v>
      </c>
      <c r="T1042" s="652">
        <f>IF($B1042="",,SUMIFS(PerHeadcount[Month 9],PerHeadcount[exp_item],$H1042,PerHeadcount[company_name],$B1042)*T202)</f>
        <v>0</v>
      </c>
      <c r="U1042" s="652">
        <f>IF($B1042="",,SUMIFS(PerHeadcount[Month 10],PerHeadcount[exp_item],$H1042,PerHeadcount[company_name],$B1042)*U202)</f>
        <v>0</v>
      </c>
      <c r="V1042" s="652">
        <f>IF($B1042="",,SUMIFS(PerHeadcount[Month 11],PerHeadcount[exp_item],$H1042,PerHeadcount[company_name],$B1042)*V202)</f>
        <v>0</v>
      </c>
      <c r="W1042" s="652">
        <f>IF($B1042="",,SUMIFS(PerHeadcount[Month 12],PerHeadcount[exp_item],$H1042,PerHeadcount[company_name],$B1042)*W202)</f>
        <v>0</v>
      </c>
      <c r="X1042" s="652">
        <f>IF($B1042="",,SUMIFS(PerHeadcount[Month 13],PerHeadcount[exp_item],$H1042,PerHeadcount[company_name],$B1042)*X202)</f>
        <v>0</v>
      </c>
      <c r="Y1042" s="652">
        <f>IF($B1042="",,SUMIFS(PerHeadcount[Month 14],PerHeadcount[exp_item],$H1042,PerHeadcount[company_name],$B1042)*Y202)</f>
        <v>0</v>
      </c>
      <c r="Z1042" s="652">
        <f>IF($B1042="",,SUMIFS(PerHeadcount[Month 15],PerHeadcount[exp_item],$H1042,PerHeadcount[company_name],$B1042)*Z202)</f>
        <v>0</v>
      </c>
      <c r="AA1042" s="652">
        <f>IF($B1042="",,SUMIFS(PerHeadcount[Month 16],PerHeadcount[exp_item],$H1042,PerHeadcount[company_name],$B1042)*AA202)</f>
        <v>0</v>
      </c>
      <c r="AB1042" s="652">
        <f>IF($B1042="",,SUMIFS(PerHeadcount[Month 17],PerHeadcount[exp_item],$H1042,PerHeadcount[company_name],$B1042)*AB202)</f>
        <v>0</v>
      </c>
      <c r="AC1042" s="652">
        <f>IF($B1042="",,SUMIFS(PerHeadcount[Month 18],PerHeadcount[exp_item],$H1042,PerHeadcount[company_name],$B1042)*AC202)</f>
        <v>0</v>
      </c>
      <c r="AD1042" s="652">
        <f>IF($B1042="",,SUMIFS(PerHeadcount[Month 19],PerHeadcount[exp_item],$H1042,PerHeadcount[company_name],$B1042)*AD202)</f>
        <v>0</v>
      </c>
      <c r="AE1042" s="652">
        <f>IF($B1042="",,SUMIFS(PerHeadcount[Month 20],PerHeadcount[exp_item],$H1042,PerHeadcount[company_name],$B1042)*AE202)</f>
        <v>0</v>
      </c>
      <c r="AF1042" s="652">
        <f>IF($B1042="",,SUMIFS(PerHeadcount[Month 21],PerHeadcount[exp_item],$H1042,PerHeadcount[company_name],$B1042)*AF202)</f>
        <v>0</v>
      </c>
      <c r="AG1042" s="652">
        <f>IF($B1042="",,SUMIFS(PerHeadcount[Month 22],PerHeadcount[exp_item],$H1042,PerHeadcount[company_name],$B1042)*AG202)</f>
        <v>0</v>
      </c>
      <c r="AH1042" s="652">
        <f>IF($B1042="",,SUMIFS(PerHeadcount[Month 23],PerHeadcount[exp_item],$H1042,PerHeadcount[company_name],$B1042)*AH202)</f>
        <v>0</v>
      </c>
      <c r="AI1042" s="652">
        <f>IF($B1042="",,SUMIFS(PerHeadcount[Month 24],PerHeadcount[exp_item],$H1042,PerHeadcount[company_name],$B1042)*AI202)</f>
        <v>0</v>
      </c>
      <c r="AJ1042" s="652">
        <f>IF($B1042="",,SUMIFS(PerHeadcount[Month 25],PerHeadcount[exp_item],$H1042,PerHeadcount[company_name],$B1042)*AJ202)</f>
        <v>0</v>
      </c>
      <c r="AK1042" s="652">
        <f>IF($B1042="",,SUMIFS(PerHeadcount[Month 26],PerHeadcount[exp_item],$H1042,PerHeadcount[company_name],$B1042)*AK202)</f>
        <v>0</v>
      </c>
      <c r="AL1042" s="652">
        <f>IF($B1042="",,SUMIFS(PerHeadcount[Month 27],PerHeadcount[exp_item],$H1042,PerHeadcount[company_name],$B1042)*AL202)</f>
        <v>0</v>
      </c>
      <c r="AM1042" s="652">
        <f>IF($B1042="",,SUMIFS(PerHeadcount[Month 28],PerHeadcount[exp_item],$H1042,PerHeadcount[company_name],$B1042)*AM202)</f>
        <v>0</v>
      </c>
      <c r="AN1042" s="652">
        <f>IF($B1042="",,SUMIFS(PerHeadcount[Month 29],PerHeadcount[exp_item],$H1042,PerHeadcount[company_name],$B1042)*AN202)</f>
        <v>0</v>
      </c>
      <c r="AO1042" s="652">
        <f>IF($B1042="",,SUMIFS(PerHeadcount[Month 30],PerHeadcount[exp_item],$H1042,PerHeadcount[company_name],$B1042)*AO202)</f>
        <v>0</v>
      </c>
      <c r="AP1042" s="652">
        <f>IF($B1042="",,SUMIFS(PerHeadcount[Month 31],PerHeadcount[exp_item],$H1042,PerHeadcount[company_name],$B1042)*AP202)</f>
        <v>0</v>
      </c>
      <c r="AQ1042" s="652">
        <f>IF($B1042="",,SUMIFS(PerHeadcount[Month 32],PerHeadcount[exp_item],$H1042,PerHeadcount[company_name],$B1042)*AQ202)</f>
        <v>0</v>
      </c>
      <c r="AR1042" s="652">
        <f>IF($B1042="",,SUMIFS(PerHeadcount[Month 33],PerHeadcount[exp_item],$H1042,PerHeadcount[company_name],$B1042)*AR202)</f>
        <v>0</v>
      </c>
      <c r="AS1042" s="652">
        <f>IF($B1042="",,SUMIFS(PerHeadcount[Month 34],PerHeadcount[exp_item],$H1042,PerHeadcount[company_name],$B1042)*AS202)</f>
        <v>0</v>
      </c>
      <c r="AT1042" s="652">
        <f>IF($B1042="",,SUMIFS(PerHeadcount[Month 35],PerHeadcount[exp_item],$H1042,PerHeadcount[company_name],$B1042)*AT202)</f>
        <v>0</v>
      </c>
      <c r="AU1042" s="652">
        <f>IF($B1042="",,SUMIFS(PerHeadcount[Month 36],PerHeadcount[exp_item],$H1042,PerHeadcount[company_name],$B1042)*AU202)</f>
        <v>0</v>
      </c>
    </row>
    <row r="1043" spans="2:47" x14ac:dyDescent="0.35">
      <c r="B1043" t="str">
        <f t="shared" si="663"/>
        <v/>
      </c>
      <c r="C1043" t="str">
        <f t="shared" ref="C1043:G1043" si="681">IF(C938="","",C938)</f>
        <v/>
      </c>
      <c r="D1043" t="str">
        <f t="shared" si="681"/>
        <v/>
      </c>
      <c r="E1043" t="str">
        <f t="shared" si="681"/>
        <v/>
      </c>
      <c r="F1043" t="str">
        <f t="shared" si="681"/>
        <v/>
      </c>
      <c r="G1043" t="str">
        <f t="shared" si="681"/>
        <v/>
      </c>
      <c r="H1043" t="str">
        <f t="shared" si="662"/>
        <v/>
      </c>
      <c r="J1043" t="str">
        <f>IF($H1043="","",IF(VLOOKUP(H1043,ExpItems[],2,0),H1043&amp;" - "&amp;INDEX(DivisionMapping[category_code],MATCH($D1043&amp;$C1043,DivisionMapping[dept_bu],0)),H1043))</f>
        <v/>
      </c>
      <c r="K1043" t="str">
        <f t="shared" si="665"/>
        <v/>
      </c>
      <c r="L1043" s="652">
        <f>IF($B1043="",,SUMIFS(PerHeadcount[Month 1],PerHeadcount[exp_item],$H1043,PerHeadcount[company_name],$B1043)*L203)</f>
        <v>0</v>
      </c>
      <c r="M1043" s="652">
        <f>IF($B1043="",,SUMIFS(PerHeadcount[Month 2],PerHeadcount[exp_item],$H1043,PerHeadcount[company_name],$B1043)*M203)</f>
        <v>0</v>
      </c>
      <c r="N1043" s="652">
        <f>IF($B1043="",,SUMIFS(PerHeadcount[Month 3],PerHeadcount[exp_item],$H1043,PerHeadcount[company_name],$B1043)*N203)</f>
        <v>0</v>
      </c>
      <c r="O1043" s="652">
        <f>IF($B1043="",,SUMIFS(PerHeadcount[Month 4],PerHeadcount[exp_item],$H1043,PerHeadcount[company_name],$B1043)*O203)</f>
        <v>0</v>
      </c>
      <c r="P1043" s="652">
        <f>IF($B1043="",,SUMIFS(PerHeadcount[Month 5],PerHeadcount[exp_item],$H1043,PerHeadcount[company_name],$B1043)*P203)</f>
        <v>0</v>
      </c>
      <c r="Q1043" s="652">
        <f>IF($B1043="",,SUMIFS(PerHeadcount[Month 6],PerHeadcount[exp_item],$H1043,PerHeadcount[company_name],$B1043)*Q203)</f>
        <v>0</v>
      </c>
      <c r="R1043" s="652">
        <f>IF($B1043="",,SUMIFS(PerHeadcount[Month 7],PerHeadcount[exp_item],$H1043,PerHeadcount[company_name],$B1043)*R203)</f>
        <v>0</v>
      </c>
      <c r="S1043" s="652">
        <f>IF($B1043="",,SUMIFS(PerHeadcount[Month 8],PerHeadcount[exp_item],$H1043,PerHeadcount[company_name],$B1043)*S203)</f>
        <v>0</v>
      </c>
      <c r="T1043" s="652">
        <f>IF($B1043="",,SUMIFS(PerHeadcount[Month 9],PerHeadcount[exp_item],$H1043,PerHeadcount[company_name],$B1043)*T203)</f>
        <v>0</v>
      </c>
      <c r="U1043" s="652">
        <f>IF($B1043="",,SUMIFS(PerHeadcount[Month 10],PerHeadcount[exp_item],$H1043,PerHeadcount[company_name],$B1043)*U203)</f>
        <v>0</v>
      </c>
      <c r="V1043" s="652">
        <f>IF($B1043="",,SUMIFS(PerHeadcount[Month 11],PerHeadcount[exp_item],$H1043,PerHeadcount[company_name],$B1043)*V203)</f>
        <v>0</v>
      </c>
      <c r="W1043" s="652">
        <f>IF($B1043="",,SUMIFS(PerHeadcount[Month 12],PerHeadcount[exp_item],$H1043,PerHeadcount[company_name],$B1043)*W203)</f>
        <v>0</v>
      </c>
      <c r="X1043" s="652">
        <f>IF($B1043="",,SUMIFS(PerHeadcount[Month 13],PerHeadcount[exp_item],$H1043,PerHeadcount[company_name],$B1043)*X203)</f>
        <v>0</v>
      </c>
      <c r="Y1043" s="652">
        <f>IF($B1043="",,SUMIFS(PerHeadcount[Month 14],PerHeadcount[exp_item],$H1043,PerHeadcount[company_name],$B1043)*Y203)</f>
        <v>0</v>
      </c>
      <c r="Z1043" s="652">
        <f>IF($B1043="",,SUMIFS(PerHeadcount[Month 15],PerHeadcount[exp_item],$H1043,PerHeadcount[company_name],$B1043)*Z203)</f>
        <v>0</v>
      </c>
      <c r="AA1043" s="652">
        <f>IF($B1043="",,SUMIFS(PerHeadcount[Month 16],PerHeadcount[exp_item],$H1043,PerHeadcount[company_name],$B1043)*AA203)</f>
        <v>0</v>
      </c>
      <c r="AB1043" s="652">
        <f>IF($B1043="",,SUMIFS(PerHeadcount[Month 17],PerHeadcount[exp_item],$H1043,PerHeadcount[company_name],$B1043)*AB203)</f>
        <v>0</v>
      </c>
      <c r="AC1043" s="652">
        <f>IF($B1043="",,SUMIFS(PerHeadcount[Month 18],PerHeadcount[exp_item],$H1043,PerHeadcount[company_name],$B1043)*AC203)</f>
        <v>0</v>
      </c>
      <c r="AD1043" s="652">
        <f>IF($B1043="",,SUMIFS(PerHeadcount[Month 19],PerHeadcount[exp_item],$H1043,PerHeadcount[company_name],$B1043)*AD203)</f>
        <v>0</v>
      </c>
      <c r="AE1043" s="652">
        <f>IF($B1043="",,SUMIFS(PerHeadcount[Month 20],PerHeadcount[exp_item],$H1043,PerHeadcount[company_name],$B1043)*AE203)</f>
        <v>0</v>
      </c>
      <c r="AF1043" s="652">
        <f>IF($B1043="",,SUMIFS(PerHeadcount[Month 21],PerHeadcount[exp_item],$H1043,PerHeadcount[company_name],$B1043)*AF203)</f>
        <v>0</v>
      </c>
      <c r="AG1043" s="652">
        <f>IF($B1043="",,SUMIFS(PerHeadcount[Month 22],PerHeadcount[exp_item],$H1043,PerHeadcount[company_name],$B1043)*AG203)</f>
        <v>0</v>
      </c>
      <c r="AH1043" s="652">
        <f>IF($B1043="",,SUMIFS(PerHeadcount[Month 23],PerHeadcount[exp_item],$H1043,PerHeadcount[company_name],$B1043)*AH203)</f>
        <v>0</v>
      </c>
      <c r="AI1043" s="652">
        <f>IF($B1043="",,SUMIFS(PerHeadcount[Month 24],PerHeadcount[exp_item],$H1043,PerHeadcount[company_name],$B1043)*AI203)</f>
        <v>0</v>
      </c>
      <c r="AJ1043" s="652">
        <f>IF($B1043="",,SUMIFS(PerHeadcount[Month 25],PerHeadcount[exp_item],$H1043,PerHeadcount[company_name],$B1043)*AJ203)</f>
        <v>0</v>
      </c>
      <c r="AK1043" s="652">
        <f>IF($B1043="",,SUMIFS(PerHeadcount[Month 26],PerHeadcount[exp_item],$H1043,PerHeadcount[company_name],$B1043)*AK203)</f>
        <v>0</v>
      </c>
      <c r="AL1043" s="652">
        <f>IF($B1043="",,SUMIFS(PerHeadcount[Month 27],PerHeadcount[exp_item],$H1043,PerHeadcount[company_name],$B1043)*AL203)</f>
        <v>0</v>
      </c>
      <c r="AM1043" s="652">
        <f>IF($B1043="",,SUMIFS(PerHeadcount[Month 28],PerHeadcount[exp_item],$H1043,PerHeadcount[company_name],$B1043)*AM203)</f>
        <v>0</v>
      </c>
      <c r="AN1043" s="652">
        <f>IF($B1043="",,SUMIFS(PerHeadcount[Month 29],PerHeadcount[exp_item],$H1043,PerHeadcount[company_name],$B1043)*AN203)</f>
        <v>0</v>
      </c>
      <c r="AO1043" s="652">
        <f>IF($B1043="",,SUMIFS(PerHeadcount[Month 30],PerHeadcount[exp_item],$H1043,PerHeadcount[company_name],$B1043)*AO203)</f>
        <v>0</v>
      </c>
      <c r="AP1043" s="652">
        <f>IF($B1043="",,SUMIFS(PerHeadcount[Month 31],PerHeadcount[exp_item],$H1043,PerHeadcount[company_name],$B1043)*AP203)</f>
        <v>0</v>
      </c>
      <c r="AQ1043" s="652">
        <f>IF($B1043="",,SUMIFS(PerHeadcount[Month 32],PerHeadcount[exp_item],$H1043,PerHeadcount[company_name],$B1043)*AQ203)</f>
        <v>0</v>
      </c>
      <c r="AR1043" s="652">
        <f>IF($B1043="",,SUMIFS(PerHeadcount[Month 33],PerHeadcount[exp_item],$H1043,PerHeadcount[company_name],$B1043)*AR203)</f>
        <v>0</v>
      </c>
      <c r="AS1043" s="652">
        <f>IF($B1043="",,SUMIFS(PerHeadcount[Month 34],PerHeadcount[exp_item],$H1043,PerHeadcount[company_name],$B1043)*AS203)</f>
        <v>0</v>
      </c>
      <c r="AT1043" s="652">
        <f>IF($B1043="",,SUMIFS(PerHeadcount[Month 35],PerHeadcount[exp_item],$H1043,PerHeadcount[company_name],$B1043)*AT203)</f>
        <v>0</v>
      </c>
      <c r="AU1043" s="652">
        <f>IF($B1043="",,SUMIFS(PerHeadcount[Month 36],PerHeadcount[exp_item],$H1043,PerHeadcount[company_name],$B1043)*AU203)</f>
        <v>0</v>
      </c>
    </row>
    <row r="1044" spans="2:47" x14ac:dyDescent="0.35">
      <c r="B1044" t="str">
        <f t="shared" si="663"/>
        <v/>
      </c>
      <c r="C1044" t="str">
        <f t="shared" ref="C1044:G1044" si="682">IF(C939="","",C939)</f>
        <v/>
      </c>
      <c r="D1044" t="str">
        <f t="shared" si="682"/>
        <v/>
      </c>
      <c r="E1044" t="str">
        <f t="shared" si="682"/>
        <v/>
      </c>
      <c r="F1044" t="str">
        <f t="shared" si="682"/>
        <v/>
      </c>
      <c r="G1044" t="str">
        <f t="shared" si="682"/>
        <v/>
      </c>
      <c r="H1044" t="str">
        <f t="shared" si="662"/>
        <v/>
      </c>
      <c r="J1044" t="str">
        <f>IF($H1044="","",IF(VLOOKUP(H1044,ExpItems[],2,0),H1044&amp;" - "&amp;INDEX(DivisionMapping[category_code],MATCH($D1044&amp;$C1044,DivisionMapping[dept_bu],0)),H1044))</f>
        <v/>
      </c>
      <c r="K1044" t="str">
        <f t="shared" si="665"/>
        <v/>
      </c>
      <c r="L1044" s="652">
        <f>IF($B1044="",,SUMIFS(PerHeadcount[Month 1],PerHeadcount[exp_item],$H1044,PerHeadcount[company_name],$B1044)*L204)</f>
        <v>0</v>
      </c>
      <c r="M1044" s="652">
        <f>IF($B1044="",,SUMIFS(PerHeadcount[Month 2],PerHeadcount[exp_item],$H1044,PerHeadcount[company_name],$B1044)*M204)</f>
        <v>0</v>
      </c>
      <c r="N1044" s="652">
        <f>IF($B1044="",,SUMIFS(PerHeadcount[Month 3],PerHeadcount[exp_item],$H1044,PerHeadcount[company_name],$B1044)*N204)</f>
        <v>0</v>
      </c>
      <c r="O1044" s="652">
        <f>IF($B1044="",,SUMIFS(PerHeadcount[Month 4],PerHeadcount[exp_item],$H1044,PerHeadcount[company_name],$B1044)*O204)</f>
        <v>0</v>
      </c>
      <c r="P1044" s="652">
        <f>IF($B1044="",,SUMIFS(PerHeadcount[Month 5],PerHeadcount[exp_item],$H1044,PerHeadcount[company_name],$B1044)*P204)</f>
        <v>0</v>
      </c>
      <c r="Q1044" s="652">
        <f>IF($B1044="",,SUMIFS(PerHeadcount[Month 6],PerHeadcount[exp_item],$H1044,PerHeadcount[company_name],$B1044)*Q204)</f>
        <v>0</v>
      </c>
      <c r="R1044" s="652">
        <f>IF($B1044="",,SUMIFS(PerHeadcount[Month 7],PerHeadcount[exp_item],$H1044,PerHeadcount[company_name],$B1044)*R204)</f>
        <v>0</v>
      </c>
      <c r="S1044" s="652">
        <f>IF($B1044="",,SUMIFS(PerHeadcount[Month 8],PerHeadcount[exp_item],$H1044,PerHeadcount[company_name],$B1044)*S204)</f>
        <v>0</v>
      </c>
      <c r="T1044" s="652">
        <f>IF($B1044="",,SUMIFS(PerHeadcount[Month 9],PerHeadcount[exp_item],$H1044,PerHeadcount[company_name],$B1044)*T204)</f>
        <v>0</v>
      </c>
      <c r="U1044" s="652">
        <f>IF($B1044="",,SUMIFS(PerHeadcount[Month 10],PerHeadcount[exp_item],$H1044,PerHeadcount[company_name],$B1044)*U204)</f>
        <v>0</v>
      </c>
      <c r="V1044" s="652">
        <f>IF($B1044="",,SUMIFS(PerHeadcount[Month 11],PerHeadcount[exp_item],$H1044,PerHeadcount[company_name],$B1044)*V204)</f>
        <v>0</v>
      </c>
      <c r="W1044" s="652">
        <f>IF($B1044="",,SUMIFS(PerHeadcount[Month 12],PerHeadcount[exp_item],$H1044,PerHeadcount[company_name],$B1044)*W204)</f>
        <v>0</v>
      </c>
      <c r="X1044" s="652">
        <f>IF($B1044="",,SUMIFS(PerHeadcount[Month 13],PerHeadcount[exp_item],$H1044,PerHeadcount[company_name],$B1044)*X204)</f>
        <v>0</v>
      </c>
      <c r="Y1044" s="652">
        <f>IF($B1044="",,SUMIFS(PerHeadcount[Month 14],PerHeadcount[exp_item],$H1044,PerHeadcount[company_name],$B1044)*Y204)</f>
        <v>0</v>
      </c>
      <c r="Z1044" s="652">
        <f>IF($B1044="",,SUMIFS(PerHeadcount[Month 15],PerHeadcount[exp_item],$H1044,PerHeadcount[company_name],$B1044)*Z204)</f>
        <v>0</v>
      </c>
      <c r="AA1044" s="652">
        <f>IF($B1044="",,SUMIFS(PerHeadcount[Month 16],PerHeadcount[exp_item],$H1044,PerHeadcount[company_name],$B1044)*AA204)</f>
        <v>0</v>
      </c>
      <c r="AB1044" s="652">
        <f>IF($B1044="",,SUMIFS(PerHeadcount[Month 17],PerHeadcount[exp_item],$H1044,PerHeadcount[company_name],$B1044)*AB204)</f>
        <v>0</v>
      </c>
      <c r="AC1044" s="652">
        <f>IF($B1044="",,SUMIFS(PerHeadcount[Month 18],PerHeadcount[exp_item],$H1044,PerHeadcount[company_name],$B1044)*AC204)</f>
        <v>0</v>
      </c>
      <c r="AD1044" s="652">
        <f>IF($B1044="",,SUMIFS(PerHeadcount[Month 19],PerHeadcount[exp_item],$H1044,PerHeadcount[company_name],$B1044)*AD204)</f>
        <v>0</v>
      </c>
      <c r="AE1044" s="652">
        <f>IF($B1044="",,SUMIFS(PerHeadcount[Month 20],PerHeadcount[exp_item],$H1044,PerHeadcount[company_name],$B1044)*AE204)</f>
        <v>0</v>
      </c>
      <c r="AF1044" s="652">
        <f>IF($B1044="",,SUMIFS(PerHeadcount[Month 21],PerHeadcount[exp_item],$H1044,PerHeadcount[company_name],$B1044)*AF204)</f>
        <v>0</v>
      </c>
      <c r="AG1044" s="652">
        <f>IF($B1044="",,SUMIFS(PerHeadcount[Month 22],PerHeadcount[exp_item],$H1044,PerHeadcount[company_name],$B1044)*AG204)</f>
        <v>0</v>
      </c>
      <c r="AH1044" s="652">
        <f>IF($B1044="",,SUMIFS(PerHeadcount[Month 23],PerHeadcount[exp_item],$H1044,PerHeadcount[company_name],$B1044)*AH204)</f>
        <v>0</v>
      </c>
      <c r="AI1044" s="652">
        <f>IF($B1044="",,SUMIFS(PerHeadcount[Month 24],PerHeadcount[exp_item],$H1044,PerHeadcount[company_name],$B1044)*AI204)</f>
        <v>0</v>
      </c>
      <c r="AJ1044" s="652">
        <f>IF($B1044="",,SUMIFS(PerHeadcount[Month 25],PerHeadcount[exp_item],$H1044,PerHeadcount[company_name],$B1044)*AJ204)</f>
        <v>0</v>
      </c>
      <c r="AK1044" s="652">
        <f>IF($B1044="",,SUMIFS(PerHeadcount[Month 26],PerHeadcount[exp_item],$H1044,PerHeadcount[company_name],$B1044)*AK204)</f>
        <v>0</v>
      </c>
      <c r="AL1044" s="652">
        <f>IF($B1044="",,SUMIFS(PerHeadcount[Month 27],PerHeadcount[exp_item],$H1044,PerHeadcount[company_name],$B1044)*AL204)</f>
        <v>0</v>
      </c>
      <c r="AM1044" s="652">
        <f>IF($B1044="",,SUMIFS(PerHeadcount[Month 28],PerHeadcount[exp_item],$H1044,PerHeadcount[company_name],$B1044)*AM204)</f>
        <v>0</v>
      </c>
      <c r="AN1044" s="652">
        <f>IF($B1044="",,SUMIFS(PerHeadcount[Month 29],PerHeadcount[exp_item],$H1044,PerHeadcount[company_name],$B1044)*AN204)</f>
        <v>0</v>
      </c>
      <c r="AO1044" s="652">
        <f>IF($B1044="",,SUMIFS(PerHeadcount[Month 30],PerHeadcount[exp_item],$H1044,PerHeadcount[company_name],$B1044)*AO204)</f>
        <v>0</v>
      </c>
      <c r="AP1044" s="652">
        <f>IF($B1044="",,SUMIFS(PerHeadcount[Month 31],PerHeadcount[exp_item],$H1044,PerHeadcount[company_name],$B1044)*AP204)</f>
        <v>0</v>
      </c>
      <c r="AQ1044" s="652">
        <f>IF($B1044="",,SUMIFS(PerHeadcount[Month 32],PerHeadcount[exp_item],$H1044,PerHeadcount[company_name],$B1044)*AQ204)</f>
        <v>0</v>
      </c>
      <c r="AR1044" s="652">
        <f>IF($B1044="",,SUMIFS(PerHeadcount[Month 33],PerHeadcount[exp_item],$H1044,PerHeadcount[company_name],$B1044)*AR204)</f>
        <v>0</v>
      </c>
      <c r="AS1044" s="652">
        <f>IF($B1044="",,SUMIFS(PerHeadcount[Month 34],PerHeadcount[exp_item],$H1044,PerHeadcount[company_name],$B1044)*AS204)</f>
        <v>0</v>
      </c>
      <c r="AT1044" s="652">
        <f>IF($B1044="",,SUMIFS(PerHeadcount[Month 35],PerHeadcount[exp_item],$H1044,PerHeadcount[company_name],$B1044)*AT204)</f>
        <v>0</v>
      </c>
      <c r="AU1044" s="652">
        <f>IF($B1044="",,SUMIFS(PerHeadcount[Month 36],PerHeadcount[exp_item],$H1044,PerHeadcount[company_name],$B1044)*AU204)</f>
        <v>0</v>
      </c>
    </row>
    <row r="1045" spans="2:47" x14ac:dyDescent="0.35">
      <c r="B1045" t="str">
        <f t="shared" si="663"/>
        <v/>
      </c>
      <c r="C1045" t="str">
        <f t="shared" ref="C1045:G1045" si="683">IF(C940="","",C940)</f>
        <v/>
      </c>
      <c r="D1045" t="str">
        <f t="shared" si="683"/>
        <v/>
      </c>
      <c r="E1045" t="str">
        <f t="shared" si="683"/>
        <v/>
      </c>
      <c r="F1045" t="str">
        <f t="shared" si="683"/>
        <v/>
      </c>
      <c r="G1045" t="str">
        <f t="shared" si="683"/>
        <v/>
      </c>
      <c r="H1045" t="str">
        <f t="shared" si="662"/>
        <v/>
      </c>
      <c r="J1045" t="str">
        <f>IF($H1045="","",IF(VLOOKUP(H1045,ExpItems[],2,0),H1045&amp;" - "&amp;INDEX(DivisionMapping[category_code],MATCH($D1045&amp;$C1045,DivisionMapping[dept_bu],0)),H1045))</f>
        <v/>
      </c>
      <c r="K1045" t="str">
        <f t="shared" si="665"/>
        <v/>
      </c>
      <c r="L1045" s="652">
        <f>IF($B1045="",,SUMIFS(PerHeadcount[Month 1],PerHeadcount[exp_item],$H1045,PerHeadcount[company_name],$B1045)*L205)</f>
        <v>0</v>
      </c>
      <c r="M1045" s="652">
        <f>IF($B1045="",,SUMIFS(PerHeadcount[Month 2],PerHeadcount[exp_item],$H1045,PerHeadcount[company_name],$B1045)*M205)</f>
        <v>0</v>
      </c>
      <c r="N1045" s="652">
        <f>IF($B1045="",,SUMIFS(PerHeadcount[Month 3],PerHeadcount[exp_item],$H1045,PerHeadcount[company_name],$B1045)*N205)</f>
        <v>0</v>
      </c>
      <c r="O1045" s="652">
        <f>IF($B1045="",,SUMIFS(PerHeadcount[Month 4],PerHeadcount[exp_item],$H1045,PerHeadcount[company_name],$B1045)*O205)</f>
        <v>0</v>
      </c>
      <c r="P1045" s="652">
        <f>IF($B1045="",,SUMIFS(PerHeadcount[Month 5],PerHeadcount[exp_item],$H1045,PerHeadcount[company_name],$B1045)*P205)</f>
        <v>0</v>
      </c>
      <c r="Q1045" s="652">
        <f>IF($B1045="",,SUMIFS(PerHeadcount[Month 6],PerHeadcount[exp_item],$H1045,PerHeadcount[company_name],$B1045)*Q205)</f>
        <v>0</v>
      </c>
      <c r="R1045" s="652">
        <f>IF($B1045="",,SUMIFS(PerHeadcount[Month 7],PerHeadcount[exp_item],$H1045,PerHeadcount[company_name],$B1045)*R205)</f>
        <v>0</v>
      </c>
      <c r="S1045" s="652">
        <f>IF($B1045="",,SUMIFS(PerHeadcount[Month 8],PerHeadcount[exp_item],$H1045,PerHeadcount[company_name],$B1045)*S205)</f>
        <v>0</v>
      </c>
      <c r="T1045" s="652">
        <f>IF($B1045="",,SUMIFS(PerHeadcount[Month 9],PerHeadcount[exp_item],$H1045,PerHeadcount[company_name],$B1045)*T205)</f>
        <v>0</v>
      </c>
      <c r="U1045" s="652">
        <f>IF($B1045="",,SUMIFS(PerHeadcount[Month 10],PerHeadcount[exp_item],$H1045,PerHeadcount[company_name],$B1045)*U205)</f>
        <v>0</v>
      </c>
      <c r="V1045" s="652">
        <f>IF($B1045="",,SUMIFS(PerHeadcount[Month 11],PerHeadcount[exp_item],$H1045,PerHeadcount[company_name],$B1045)*V205)</f>
        <v>0</v>
      </c>
      <c r="W1045" s="652">
        <f>IF($B1045="",,SUMIFS(PerHeadcount[Month 12],PerHeadcount[exp_item],$H1045,PerHeadcount[company_name],$B1045)*W205)</f>
        <v>0</v>
      </c>
      <c r="X1045" s="652">
        <f>IF($B1045="",,SUMIFS(PerHeadcount[Month 13],PerHeadcount[exp_item],$H1045,PerHeadcount[company_name],$B1045)*X205)</f>
        <v>0</v>
      </c>
      <c r="Y1045" s="652">
        <f>IF($B1045="",,SUMIFS(PerHeadcount[Month 14],PerHeadcount[exp_item],$H1045,PerHeadcount[company_name],$B1045)*Y205)</f>
        <v>0</v>
      </c>
      <c r="Z1045" s="652">
        <f>IF($B1045="",,SUMIFS(PerHeadcount[Month 15],PerHeadcount[exp_item],$H1045,PerHeadcount[company_name],$B1045)*Z205)</f>
        <v>0</v>
      </c>
      <c r="AA1045" s="652">
        <f>IF($B1045="",,SUMIFS(PerHeadcount[Month 16],PerHeadcount[exp_item],$H1045,PerHeadcount[company_name],$B1045)*AA205)</f>
        <v>0</v>
      </c>
      <c r="AB1045" s="652">
        <f>IF($B1045="",,SUMIFS(PerHeadcount[Month 17],PerHeadcount[exp_item],$H1045,PerHeadcount[company_name],$B1045)*AB205)</f>
        <v>0</v>
      </c>
      <c r="AC1045" s="652">
        <f>IF($B1045="",,SUMIFS(PerHeadcount[Month 18],PerHeadcount[exp_item],$H1045,PerHeadcount[company_name],$B1045)*AC205)</f>
        <v>0</v>
      </c>
      <c r="AD1045" s="652">
        <f>IF($B1045="",,SUMIFS(PerHeadcount[Month 19],PerHeadcount[exp_item],$H1045,PerHeadcount[company_name],$B1045)*AD205)</f>
        <v>0</v>
      </c>
      <c r="AE1045" s="652">
        <f>IF($B1045="",,SUMIFS(PerHeadcount[Month 20],PerHeadcount[exp_item],$H1045,PerHeadcount[company_name],$B1045)*AE205)</f>
        <v>0</v>
      </c>
      <c r="AF1045" s="652">
        <f>IF($B1045="",,SUMIFS(PerHeadcount[Month 21],PerHeadcount[exp_item],$H1045,PerHeadcount[company_name],$B1045)*AF205)</f>
        <v>0</v>
      </c>
      <c r="AG1045" s="652">
        <f>IF($B1045="",,SUMIFS(PerHeadcount[Month 22],PerHeadcount[exp_item],$H1045,PerHeadcount[company_name],$B1045)*AG205)</f>
        <v>0</v>
      </c>
      <c r="AH1045" s="652">
        <f>IF($B1045="",,SUMIFS(PerHeadcount[Month 23],PerHeadcount[exp_item],$H1045,PerHeadcount[company_name],$B1045)*AH205)</f>
        <v>0</v>
      </c>
      <c r="AI1045" s="652">
        <f>IF($B1045="",,SUMIFS(PerHeadcount[Month 24],PerHeadcount[exp_item],$H1045,PerHeadcount[company_name],$B1045)*AI205)</f>
        <v>0</v>
      </c>
      <c r="AJ1045" s="652">
        <f>IF($B1045="",,SUMIFS(PerHeadcount[Month 25],PerHeadcount[exp_item],$H1045,PerHeadcount[company_name],$B1045)*AJ205)</f>
        <v>0</v>
      </c>
      <c r="AK1045" s="652">
        <f>IF($B1045="",,SUMIFS(PerHeadcount[Month 26],PerHeadcount[exp_item],$H1045,PerHeadcount[company_name],$B1045)*AK205)</f>
        <v>0</v>
      </c>
      <c r="AL1045" s="652">
        <f>IF($B1045="",,SUMIFS(PerHeadcount[Month 27],PerHeadcount[exp_item],$H1045,PerHeadcount[company_name],$B1045)*AL205)</f>
        <v>0</v>
      </c>
      <c r="AM1045" s="652">
        <f>IF($B1045="",,SUMIFS(PerHeadcount[Month 28],PerHeadcount[exp_item],$H1045,PerHeadcount[company_name],$B1045)*AM205)</f>
        <v>0</v>
      </c>
      <c r="AN1045" s="652">
        <f>IF($B1045="",,SUMIFS(PerHeadcount[Month 29],PerHeadcount[exp_item],$H1045,PerHeadcount[company_name],$B1045)*AN205)</f>
        <v>0</v>
      </c>
      <c r="AO1045" s="652">
        <f>IF($B1045="",,SUMIFS(PerHeadcount[Month 30],PerHeadcount[exp_item],$H1045,PerHeadcount[company_name],$B1045)*AO205)</f>
        <v>0</v>
      </c>
      <c r="AP1045" s="652">
        <f>IF($B1045="",,SUMIFS(PerHeadcount[Month 31],PerHeadcount[exp_item],$H1045,PerHeadcount[company_name],$B1045)*AP205)</f>
        <v>0</v>
      </c>
      <c r="AQ1045" s="652">
        <f>IF($B1045="",,SUMIFS(PerHeadcount[Month 32],PerHeadcount[exp_item],$H1045,PerHeadcount[company_name],$B1045)*AQ205)</f>
        <v>0</v>
      </c>
      <c r="AR1045" s="652">
        <f>IF($B1045="",,SUMIFS(PerHeadcount[Month 33],PerHeadcount[exp_item],$H1045,PerHeadcount[company_name],$B1045)*AR205)</f>
        <v>0</v>
      </c>
      <c r="AS1045" s="652">
        <f>IF($B1045="",,SUMIFS(PerHeadcount[Month 34],PerHeadcount[exp_item],$H1045,PerHeadcount[company_name],$B1045)*AS205)</f>
        <v>0</v>
      </c>
      <c r="AT1045" s="652">
        <f>IF($B1045="",,SUMIFS(PerHeadcount[Month 35],PerHeadcount[exp_item],$H1045,PerHeadcount[company_name],$B1045)*AT205)</f>
        <v>0</v>
      </c>
      <c r="AU1045" s="652">
        <f>IF($B1045="",,SUMIFS(PerHeadcount[Month 36],PerHeadcount[exp_item],$H1045,PerHeadcount[company_name],$B1045)*AU205)</f>
        <v>0</v>
      </c>
    </row>
    <row r="1046" spans="2:47" x14ac:dyDescent="0.35">
      <c r="B1046" t="str">
        <f t="shared" si="663"/>
        <v/>
      </c>
      <c r="C1046" t="str">
        <f t="shared" ref="C1046:G1046" si="684">IF(C941="","",C941)</f>
        <v/>
      </c>
      <c r="D1046" t="str">
        <f t="shared" si="684"/>
        <v/>
      </c>
      <c r="E1046" t="str">
        <f t="shared" si="684"/>
        <v/>
      </c>
      <c r="F1046" t="str">
        <f t="shared" si="684"/>
        <v/>
      </c>
      <c r="G1046" t="str">
        <f t="shared" si="684"/>
        <v/>
      </c>
      <c r="H1046" t="str">
        <f t="shared" si="662"/>
        <v/>
      </c>
      <c r="J1046" t="str">
        <f>IF($H1046="","",IF(VLOOKUP(H1046,ExpItems[],2,0),H1046&amp;" - "&amp;INDEX(DivisionMapping[category_code],MATCH($D1046&amp;$C1046,DivisionMapping[dept_bu],0)),H1046))</f>
        <v/>
      </c>
      <c r="K1046" t="str">
        <f t="shared" si="665"/>
        <v/>
      </c>
      <c r="L1046" s="652">
        <f>IF($B1046="",,SUMIFS(PerHeadcount[Month 1],PerHeadcount[exp_item],$H1046,PerHeadcount[company_name],$B1046)*L206)</f>
        <v>0</v>
      </c>
      <c r="M1046" s="652">
        <f>IF($B1046="",,SUMIFS(PerHeadcount[Month 2],PerHeadcount[exp_item],$H1046,PerHeadcount[company_name],$B1046)*M206)</f>
        <v>0</v>
      </c>
      <c r="N1046" s="652">
        <f>IF($B1046="",,SUMIFS(PerHeadcount[Month 3],PerHeadcount[exp_item],$H1046,PerHeadcount[company_name],$B1046)*N206)</f>
        <v>0</v>
      </c>
      <c r="O1046" s="652">
        <f>IF($B1046="",,SUMIFS(PerHeadcount[Month 4],PerHeadcount[exp_item],$H1046,PerHeadcount[company_name],$B1046)*O206)</f>
        <v>0</v>
      </c>
      <c r="P1046" s="652">
        <f>IF($B1046="",,SUMIFS(PerHeadcount[Month 5],PerHeadcount[exp_item],$H1046,PerHeadcount[company_name],$B1046)*P206)</f>
        <v>0</v>
      </c>
      <c r="Q1046" s="652">
        <f>IF($B1046="",,SUMIFS(PerHeadcount[Month 6],PerHeadcount[exp_item],$H1046,PerHeadcount[company_name],$B1046)*Q206)</f>
        <v>0</v>
      </c>
      <c r="R1046" s="652">
        <f>IF($B1046="",,SUMIFS(PerHeadcount[Month 7],PerHeadcount[exp_item],$H1046,PerHeadcount[company_name],$B1046)*R206)</f>
        <v>0</v>
      </c>
      <c r="S1046" s="652">
        <f>IF($B1046="",,SUMIFS(PerHeadcount[Month 8],PerHeadcount[exp_item],$H1046,PerHeadcount[company_name],$B1046)*S206)</f>
        <v>0</v>
      </c>
      <c r="T1046" s="652">
        <f>IF($B1046="",,SUMIFS(PerHeadcount[Month 9],PerHeadcount[exp_item],$H1046,PerHeadcount[company_name],$B1046)*T206)</f>
        <v>0</v>
      </c>
      <c r="U1046" s="652">
        <f>IF($B1046="",,SUMIFS(PerHeadcount[Month 10],PerHeadcount[exp_item],$H1046,PerHeadcount[company_name],$B1046)*U206)</f>
        <v>0</v>
      </c>
      <c r="V1046" s="652">
        <f>IF($B1046="",,SUMIFS(PerHeadcount[Month 11],PerHeadcount[exp_item],$H1046,PerHeadcount[company_name],$B1046)*V206)</f>
        <v>0</v>
      </c>
      <c r="W1046" s="652">
        <f>IF($B1046="",,SUMIFS(PerHeadcount[Month 12],PerHeadcount[exp_item],$H1046,PerHeadcount[company_name],$B1046)*W206)</f>
        <v>0</v>
      </c>
      <c r="X1046" s="652">
        <f>IF($B1046="",,SUMIFS(PerHeadcount[Month 13],PerHeadcount[exp_item],$H1046,PerHeadcount[company_name],$B1046)*X206)</f>
        <v>0</v>
      </c>
      <c r="Y1046" s="652">
        <f>IF($B1046="",,SUMIFS(PerHeadcount[Month 14],PerHeadcount[exp_item],$H1046,PerHeadcount[company_name],$B1046)*Y206)</f>
        <v>0</v>
      </c>
      <c r="Z1046" s="652">
        <f>IF($B1046="",,SUMIFS(PerHeadcount[Month 15],PerHeadcount[exp_item],$H1046,PerHeadcount[company_name],$B1046)*Z206)</f>
        <v>0</v>
      </c>
      <c r="AA1046" s="652">
        <f>IF($B1046="",,SUMIFS(PerHeadcount[Month 16],PerHeadcount[exp_item],$H1046,PerHeadcount[company_name],$B1046)*AA206)</f>
        <v>0</v>
      </c>
      <c r="AB1046" s="652">
        <f>IF($B1046="",,SUMIFS(PerHeadcount[Month 17],PerHeadcount[exp_item],$H1046,PerHeadcount[company_name],$B1046)*AB206)</f>
        <v>0</v>
      </c>
      <c r="AC1046" s="652">
        <f>IF($B1046="",,SUMIFS(PerHeadcount[Month 18],PerHeadcount[exp_item],$H1046,PerHeadcount[company_name],$B1046)*AC206)</f>
        <v>0</v>
      </c>
      <c r="AD1046" s="652">
        <f>IF($B1046="",,SUMIFS(PerHeadcount[Month 19],PerHeadcount[exp_item],$H1046,PerHeadcount[company_name],$B1046)*AD206)</f>
        <v>0</v>
      </c>
      <c r="AE1046" s="652">
        <f>IF($B1046="",,SUMIFS(PerHeadcount[Month 20],PerHeadcount[exp_item],$H1046,PerHeadcount[company_name],$B1046)*AE206)</f>
        <v>0</v>
      </c>
      <c r="AF1046" s="652">
        <f>IF($B1046="",,SUMIFS(PerHeadcount[Month 21],PerHeadcount[exp_item],$H1046,PerHeadcount[company_name],$B1046)*AF206)</f>
        <v>0</v>
      </c>
      <c r="AG1046" s="652">
        <f>IF($B1046="",,SUMIFS(PerHeadcount[Month 22],PerHeadcount[exp_item],$H1046,PerHeadcount[company_name],$B1046)*AG206)</f>
        <v>0</v>
      </c>
      <c r="AH1046" s="652">
        <f>IF($B1046="",,SUMIFS(PerHeadcount[Month 23],PerHeadcount[exp_item],$H1046,PerHeadcount[company_name],$B1046)*AH206)</f>
        <v>0</v>
      </c>
      <c r="AI1046" s="652">
        <f>IF($B1046="",,SUMIFS(PerHeadcount[Month 24],PerHeadcount[exp_item],$H1046,PerHeadcount[company_name],$B1046)*AI206)</f>
        <v>0</v>
      </c>
      <c r="AJ1046" s="652">
        <f>IF($B1046="",,SUMIFS(PerHeadcount[Month 25],PerHeadcount[exp_item],$H1046,PerHeadcount[company_name],$B1046)*AJ206)</f>
        <v>0</v>
      </c>
      <c r="AK1046" s="652">
        <f>IF($B1046="",,SUMIFS(PerHeadcount[Month 26],PerHeadcount[exp_item],$H1046,PerHeadcount[company_name],$B1046)*AK206)</f>
        <v>0</v>
      </c>
      <c r="AL1046" s="652">
        <f>IF($B1046="",,SUMIFS(PerHeadcount[Month 27],PerHeadcount[exp_item],$H1046,PerHeadcount[company_name],$B1046)*AL206)</f>
        <v>0</v>
      </c>
      <c r="AM1046" s="652">
        <f>IF($B1046="",,SUMIFS(PerHeadcount[Month 28],PerHeadcount[exp_item],$H1046,PerHeadcount[company_name],$B1046)*AM206)</f>
        <v>0</v>
      </c>
      <c r="AN1046" s="652">
        <f>IF($B1046="",,SUMIFS(PerHeadcount[Month 29],PerHeadcount[exp_item],$H1046,PerHeadcount[company_name],$B1046)*AN206)</f>
        <v>0</v>
      </c>
      <c r="AO1046" s="652">
        <f>IF($B1046="",,SUMIFS(PerHeadcount[Month 30],PerHeadcount[exp_item],$H1046,PerHeadcount[company_name],$B1046)*AO206)</f>
        <v>0</v>
      </c>
      <c r="AP1046" s="652">
        <f>IF($B1046="",,SUMIFS(PerHeadcount[Month 31],PerHeadcount[exp_item],$H1046,PerHeadcount[company_name],$B1046)*AP206)</f>
        <v>0</v>
      </c>
      <c r="AQ1046" s="652">
        <f>IF($B1046="",,SUMIFS(PerHeadcount[Month 32],PerHeadcount[exp_item],$H1046,PerHeadcount[company_name],$B1046)*AQ206)</f>
        <v>0</v>
      </c>
      <c r="AR1046" s="652">
        <f>IF($B1046="",,SUMIFS(PerHeadcount[Month 33],PerHeadcount[exp_item],$H1046,PerHeadcount[company_name],$B1046)*AR206)</f>
        <v>0</v>
      </c>
      <c r="AS1046" s="652">
        <f>IF($B1046="",,SUMIFS(PerHeadcount[Month 34],PerHeadcount[exp_item],$H1046,PerHeadcount[company_name],$B1046)*AS206)</f>
        <v>0</v>
      </c>
      <c r="AT1046" s="652">
        <f>IF($B1046="",,SUMIFS(PerHeadcount[Month 35],PerHeadcount[exp_item],$H1046,PerHeadcount[company_name],$B1046)*AT206)</f>
        <v>0</v>
      </c>
      <c r="AU1046" s="652">
        <f>IF($B1046="",,SUMIFS(PerHeadcount[Month 36],PerHeadcount[exp_item],$H1046,PerHeadcount[company_name],$B1046)*AU206)</f>
        <v>0</v>
      </c>
    </row>
    <row r="1047" spans="2:47" x14ac:dyDescent="0.35">
      <c r="B1047" t="str">
        <f t="shared" si="663"/>
        <v/>
      </c>
      <c r="C1047" t="str">
        <f t="shared" ref="C1047:G1047" si="685">IF(C942="","",C942)</f>
        <v/>
      </c>
      <c r="D1047" t="str">
        <f t="shared" si="685"/>
        <v/>
      </c>
      <c r="E1047" t="str">
        <f t="shared" si="685"/>
        <v/>
      </c>
      <c r="F1047" t="str">
        <f t="shared" si="685"/>
        <v/>
      </c>
      <c r="G1047" t="str">
        <f t="shared" si="685"/>
        <v/>
      </c>
      <c r="H1047" t="str">
        <f t="shared" si="662"/>
        <v/>
      </c>
      <c r="J1047" t="str">
        <f>IF($H1047="","",IF(VLOOKUP(H1047,ExpItems[],2,0),H1047&amp;" - "&amp;INDEX(DivisionMapping[category_code],MATCH($D1047&amp;$C1047,DivisionMapping[dept_bu],0)),H1047))</f>
        <v/>
      </c>
      <c r="K1047" t="str">
        <f t="shared" si="665"/>
        <v/>
      </c>
      <c r="L1047" s="652">
        <f>IF($B1047="",,SUMIFS(PerHeadcount[Month 1],PerHeadcount[exp_item],$H1047,PerHeadcount[company_name],$B1047)*L207)</f>
        <v>0</v>
      </c>
      <c r="M1047" s="652">
        <f>IF($B1047="",,SUMIFS(PerHeadcount[Month 2],PerHeadcount[exp_item],$H1047,PerHeadcount[company_name],$B1047)*M207)</f>
        <v>0</v>
      </c>
      <c r="N1047" s="652">
        <f>IF($B1047="",,SUMIFS(PerHeadcount[Month 3],PerHeadcount[exp_item],$H1047,PerHeadcount[company_name],$B1047)*N207)</f>
        <v>0</v>
      </c>
      <c r="O1047" s="652">
        <f>IF($B1047="",,SUMIFS(PerHeadcount[Month 4],PerHeadcount[exp_item],$H1047,PerHeadcount[company_name],$B1047)*O207)</f>
        <v>0</v>
      </c>
      <c r="P1047" s="652">
        <f>IF($B1047="",,SUMIFS(PerHeadcount[Month 5],PerHeadcount[exp_item],$H1047,PerHeadcount[company_name],$B1047)*P207)</f>
        <v>0</v>
      </c>
      <c r="Q1047" s="652">
        <f>IF($B1047="",,SUMIFS(PerHeadcount[Month 6],PerHeadcount[exp_item],$H1047,PerHeadcount[company_name],$B1047)*Q207)</f>
        <v>0</v>
      </c>
      <c r="R1047" s="652">
        <f>IF($B1047="",,SUMIFS(PerHeadcount[Month 7],PerHeadcount[exp_item],$H1047,PerHeadcount[company_name],$B1047)*R207)</f>
        <v>0</v>
      </c>
      <c r="S1047" s="652">
        <f>IF($B1047="",,SUMIFS(PerHeadcount[Month 8],PerHeadcount[exp_item],$H1047,PerHeadcount[company_name],$B1047)*S207)</f>
        <v>0</v>
      </c>
      <c r="T1047" s="652">
        <f>IF($B1047="",,SUMIFS(PerHeadcount[Month 9],PerHeadcount[exp_item],$H1047,PerHeadcount[company_name],$B1047)*T207)</f>
        <v>0</v>
      </c>
      <c r="U1047" s="652">
        <f>IF($B1047="",,SUMIFS(PerHeadcount[Month 10],PerHeadcount[exp_item],$H1047,PerHeadcount[company_name],$B1047)*U207)</f>
        <v>0</v>
      </c>
      <c r="V1047" s="652">
        <f>IF($B1047="",,SUMIFS(PerHeadcount[Month 11],PerHeadcount[exp_item],$H1047,PerHeadcount[company_name],$B1047)*V207)</f>
        <v>0</v>
      </c>
      <c r="W1047" s="652">
        <f>IF($B1047="",,SUMIFS(PerHeadcount[Month 12],PerHeadcount[exp_item],$H1047,PerHeadcount[company_name],$B1047)*W207)</f>
        <v>0</v>
      </c>
      <c r="X1047" s="652">
        <f>IF($B1047="",,SUMIFS(PerHeadcount[Month 13],PerHeadcount[exp_item],$H1047,PerHeadcount[company_name],$B1047)*X207)</f>
        <v>0</v>
      </c>
      <c r="Y1047" s="652">
        <f>IF($B1047="",,SUMIFS(PerHeadcount[Month 14],PerHeadcount[exp_item],$H1047,PerHeadcount[company_name],$B1047)*Y207)</f>
        <v>0</v>
      </c>
      <c r="Z1047" s="652">
        <f>IF($B1047="",,SUMIFS(PerHeadcount[Month 15],PerHeadcount[exp_item],$H1047,PerHeadcount[company_name],$B1047)*Z207)</f>
        <v>0</v>
      </c>
      <c r="AA1047" s="652">
        <f>IF($B1047="",,SUMIFS(PerHeadcount[Month 16],PerHeadcount[exp_item],$H1047,PerHeadcount[company_name],$B1047)*AA207)</f>
        <v>0</v>
      </c>
      <c r="AB1047" s="652">
        <f>IF($B1047="",,SUMIFS(PerHeadcount[Month 17],PerHeadcount[exp_item],$H1047,PerHeadcount[company_name],$B1047)*AB207)</f>
        <v>0</v>
      </c>
      <c r="AC1047" s="652">
        <f>IF($B1047="",,SUMIFS(PerHeadcount[Month 18],PerHeadcount[exp_item],$H1047,PerHeadcount[company_name],$B1047)*AC207)</f>
        <v>0</v>
      </c>
      <c r="AD1047" s="652">
        <f>IF($B1047="",,SUMIFS(PerHeadcount[Month 19],PerHeadcount[exp_item],$H1047,PerHeadcount[company_name],$B1047)*AD207)</f>
        <v>0</v>
      </c>
      <c r="AE1047" s="652">
        <f>IF($B1047="",,SUMIFS(PerHeadcount[Month 20],PerHeadcount[exp_item],$H1047,PerHeadcount[company_name],$B1047)*AE207)</f>
        <v>0</v>
      </c>
      <c r="AF1047" s="652">
        <f>IF($B1047="",,SUMIFS(PerHeadcount[Month 21],PerHeadcount[exp_item],$H1047,PerHeadcount[company_name],$B1047)*AF207)</f>
        <v>0</v>
      </c>
      <c r="AG1047" s="652">
        <f>IF($B1047="",,SUMIFS(PerHeadcount[Month 22],PerHeadcount[exp_item],$H1047,PerHeadcount[company_name],$B1047)*AG207)</f>
        <v>0</v>
      </c>
      <c r="AH1047" s="652">
        <f>IF($B1047="",,SUMIFS(PerHeadcount[Month 23],PerHeadcount[exp_item],$H1047,PerHeadcount[company_name],$B1047)*AH207)</f>
        <v>0</v>
      </c>
      <c r="AI1047" s="652">
        <f>IF($B1047="",,SUMIFS(PerHeadcount[Month 24],PerHeadcount[exp_item],$H1047,PerHeadcount[company_name],$B1047)*AI207)</f>
        <v>0</v>
      </c>
      <c r="AJ1047" s="652">
        <f>IF($B1047="",,SUMIFS(PerHeadcount[Month 25],PerHeadcount[exp_item],$H1047,PerHeadcount[company_name],$B1047)*AJ207)</f>
        <v>0</v>
      </c>
      <c r="AK1047" s="652">
        <f>IF($B1047="",,SUMIFS(PerHeadcount[Month 26],PerHeadcount[exp_item],$H1047,PerHeadcount[company_name],$B1047)*AK207)</f>
        <v>0</v>
      </c>
      <c r="AL1047" s="652">
        <f>IF($B1047="",,SUMIFS(PerHeadcount[Month 27],PerHeadcount[exp_item],$H1047,PerHeadcount[company_name],$B1047)*AL207)</f>
        <v>0</v>
      </c>
      <c r="AM1047" s="652">
        <f>IF($B1047="",,SUMIFS(PerHeadcount[Month 28],PerHeadcount[exp_item],$H1047,PerHeadcount[company_name],$B1047)*AM207)</f>
        <v>0</v>
      </c>
      <c r="AN1047" s="652">
        <f>IF($B1047="",,SUMIFS(PerHeadcount[Month 29],PerHeadcount[exp_item],$H1047,PerHeadcount[company_name],$B1047)*AN207)</f>
        <v>0</v>
      </c>
      <c r="AO1047" s="652">
        <f>IF($B1047="",,SUMIFS(PerHeadcount[Month 30],PerHeadcount[exp_item],$H1047,PerHeadcount[company_name],$B1047)*AO207)</f>
        <v>0</v>
      </c>
      <c r="AP1047" s="652">
        <f>IF($B1047="",,SUMIFS(PerHeadcount[Month 31],PerHeadcount[exp_item],$H1047,PerHeadcount[company_name],$B1047)*AP207)</f>
        <v>0</v>
      </c>
      <c r="AQ1047" s="652">
        <f>IF($B1047="",,SUMIFS(PerHeadcount[Month 32],PerHeadcount[exp_item],$H1047,PerHeadcount[company_name],$B1047)*AQ207)</f>
        <v>0</v>
      </c>
      <c r="AR1047" s="652">
        <f>IF($B1047="",,SUMIFS(PerHeadcount[Month 33],PerHeadcount[exp_item],$H1047,PerHeadcount[company_name],$B1047)*AR207)</f>
        <v>0</v>
      </c>
      <c r="AS1047" s="652">
        <f>IF($B1047="",,SUMIFS(PerHeadcount[Month 34],PerHeadcount[exp_item],$H1047,PerHeadcount[company_name],$B1047)*AS207)</f>
        <v>0</v>
      </c>
      <c r="AT1047" s="652">
        <f>IF($B1047="",,SUMIFS(PerHeadcount[Month 35],PerHeadcount[exp_item],$H1047,PerHeadcount[company_name],$B1047)*AT207)</f>
        <v>0</v>
      </c>
      <c r="AU1047" s="652">
        <f>IF($B1047="",,SUMIFS(PerHeadcount[Month 36],PerHeadcount[exp_item],$H1047,PerHeadcount[company_name],$B1047)*AU207)</f>
        <v>0</v>
      </c>
    </row>
    <row r="1048" spans="2:47" x14ac:dyDescent="0.35">
      <c r="B1048" t="str">
        <f t="shared" si="663"/>
        <v/>
      </c>
      <c r="C1048" t="str">
        <f t="shared" ref="C1048:G1048" si="686">IF(C943="","",C943)</f>
        <v/>
      </c>
      <c r="D1048" t="str">
        <f t="shared" si="686"/>
        <v/>
      </c>
      <c r="E1048" t="str">
        <f t="shared" si="686"/>
        <v/>
      </c>
      <c r="F1048" t="str">
        <f t="shared" si="686"/>
        <v/>
      </c>
      <c r="G1048" t="str">
        <f t="shared" si="686"/>
        <v/>
      </c>
      <c r="H1048" t="str">
        <f t="shared" si="662"/>
        <v/>
      </c>
      <c r="J1048" t="str">
        <f>IF($H1048="","",IF(VLOOKUP(H1048,ExpItems[],2,0),H1048&amp;" - "&amp;INDEX(DivisionMapping[category_code],MATCH($D1048&amp;$C1048,DivisionMapping[dept_bu],0)),H1048))</f>
        <v/>
      </c>
      <c r="K1048" t="str">
        <f t="shared" si="665"/>
        <v/>
      </c>
      <c r="L1048" s="652">
        <f>IF($B1048="",,SUMIFS(PerHeadcount[Month 1],PerHeadcount[exp_item],$H1048,PerHeadcount[company_name],$B1048)*L208)</f>
        <v>0</v>
      </c>
      <c r="M1048" s="652">
        <f>IF($B1048="",,SUMIFS(PerHeadcount[Month 2],PerHeadcount[exp_item],$H1048,PerHeadcount[company_name],$B1048)*M208)</f>
        <v>0</v>
      </c>
      <c r="N1048" s="652">
        <f>IF($B1048="",,SUMIFS(PerHeadcount[Month 3],PerHeadcount[exp_item],$H1048,PerHeadcount[company_name],$B1048)*N208)</f>
        <v>0</v>
      </c>
      <c r="O1048" s="652">
        <f>IF($B1048="",,SUMIFS(PerHeadcount[Month 4],PerHeadcount[exp_item],$H1048,PerHeadcount[company_name],$B1048)*O208)</f>
        <v>0</v>
      </c>
      <c r="P1048" s="652">
        <f>IF($B1048="",,SUMIFS(PerHeadcount[Month 5],PerHeadcount[exp_item],$H1048,PerHeadcount[company_name],$B1048)*P208)</f>
        <v>0</v>
      </c>
      <c r="Q1048" s="652">
        <f>IF($B1048="",,SUMIFS(PerHeadcount[Month 6],PerHeadcount[exp_item],$H1048,PerHeadcount[company_name],$B1048)*Q208)</f>
        <v>0</v>
      </c>
      <c r="R1048" s="652">
        <f>IF($B1048="",,SUMIFS(PerHeadcount[Month 7],PerHeadcount[exp_item],$H1048,PerHeadcount[company_name],$B1048)*R208)</f>
        <v>0</v>
      </c>
      <c r="S1048" s="652">
        <f>IF($B1048="",,SUMIFS(PerHeadcount[Month 8],PerHeadcount[exp_item],$H1048,PerHeadcount[company_name],$B1048)*S208)</f>
        <v>0</v>
      </c>
      <c r="T1048" s="652">
        <f>IF($B1048="",,SUMIFS(PerHeadcount[Month 9],PerHeadcount[exp_item],$H1048,PerHeadcount[company_name],$B1048)*T208)</f>
        <v>0</v>
      </c>
      <c r="U1048" s="652">
        <f>IF($B1048="",,SUMIFS(PerHeadcount[Month 10],PerHeadcount[exp_item],$H1048,PerHeadcount[company_name],$B1048)*U208)</f>
        <v>0</v>
      </c>
      <c r="V1048" s="652">
        <f>IF($B1048="",,SUMIFS(PerHeadcount[Month 11],PerHeadcount[exp_item],$H1048,PerHeadcount[company_name],$B1048)*V208)</f>
        <v>0</v>
      </c>
      <c r="W1048" s="652">
        <f>IF($B1048="",,SUMIFS(PerHeadcount[Month 12],PerHeadcount[exp_item],$H1048,PerHeadcount[company_name],$B1048)*W208)</f>
        <v>0</v>
      </c>
      <c r="X1048" s="652">
        <f>IF($B1048="",,SUMIFS(PerHeadcount[Month 13],PerHeadcount[exp_item],$H1048,PerHeadcount[company_name],$B1048)*X208)</f>
        <v>0</v>
      </c>
      <c r="Y1048" s="652">
        <f>IF($B1048="",,SUMIFS(PerHeadcount[Month 14],PerHeadcount[exp_item],$H1048,PerHeadcount[company_name],$B1048)*Y208)</f>
        <v>0</v>
      </c>
      <c r="Z1048" s="652">
        <f>IF($B1048="",,SUMIFS(PerHeadcount[Month 15],PerHeadcount[exp_item],$H1048,PerHeadcount[company_name],$B1048)*Z208)</f>
        <v>0</v>
      </c>
      <c r="AA1048" s="652">
        <f>IF($B1048="",,SUMIFS(PerHeadcount[Month 16],PerHeadcount[exp_item],$H1048,PerHeadcount[company_name],$B1048)*AA208)</f>
        <v>0</v>
      </c>
      <c r="AB1048" s="652">
        <f>IF($B1048="",,SUMIFS(PerHeadcount[Month 17],PerHeadcount[exp_item],$H1048,PerHeadcount[company_name],$B1048)*AB208)</f>
        <v>0</v>
      </c>
      <c r="AC1048" s="652">
        <f>IF($B1048="",,SUMIFS(PerHeadcount[Month 18],PerHeadcount[exp_item],$H1048,PerHeadcount[company_name],$B1048)*AC208)</f>
        <v>0</v>
      </c>
      <c r="AD1048" s="652">
        <f>IF($B1048="",,SUMIFS(PerHeadcount[Month 19],PerHeadcount[exp_item],$H1048,PerHeadcount[company_name],$B1048)*AD208)</f>
        <v>0</v>
      </c>
      <c r="AE1048" s="652">
        <f>IF($B1048="",,SUMIFS(PerHeadcount[Month 20],PerHeadcount[exp_item],$H1048,PerHeadcount[company_name],$B1048)*AE208)</f>
        <v>0</v>
      </c>
      <c r="AF1048" s="652">
        <f>IF($B1048="",,SUMIFS(PerHeadcount[Month 21],PerHeadcount[exp_item],$H1048,PerHeadcount[company_name],$B1048)*AF208)</f>
        <v>0</v>
      </c>
      <c r="AG1048" s="652">
        <f>IF($B1048="",,SUMIFS(PerHeadcount[Month 22],PerHeadcount[exp_item],$H1048,PerHeadcount[company_name],$B1048)*AG208)</f>
        <v>0</v>
      </c>
      <c r="AH1048" s="652">
        <f>IF($B1048="",,SUMIFS(PerHeadcount[Month 23],PerHeadcount[exp_item],$H1048,PerHeadcount[company_name],$B1048)*AH208)</f>
        <v>0</v>
      </c>
      <c r="AI1048" s="652">
        <f>IF($B1048="",,SUMIFS(PerHeadcount[Month 24],PerHeadcount[exp_item],$H1048,PerHeadcount[company_name],$B1048)*AI208)</f>
        <v>0</v>
      </c>
      <c r="AJ1048" s="652">
        <f>IF($B1048="",,SUMIFS(PerHeadcount[Month 25],PerHeadcount[exp_item],$H1048,PerHeadcount[company_name],$B1048)*AJ208)</f>
        <v>0</v>
      </c>
      <c r="AK1048" s="652">
        <f>IF($B1048="",,SUMIFS(PerHeadcount[Month 26],PerHeadcount[exp_item],$H1048,PerHeadcount[company_name],$B1048)*AK208)</f>
        <v>0</v>
      </c>
      <c r="AL1048" s="652">
        <f>IF($B1048="",,SUMIFS(PerHeadcount[Month 27],PerHeadcount[exp_item],$H1048,PerHeadcount[company_name],$B1048)*AL208)</f>
        <v>0</v>
      </c>
      <c r="AM1048" s="652">
        <f>IF($B1048="",,SUMIFS(PerHeadcount[Month 28],PerHeadcount[exp_item],$H1048,PerHeadcount[company_name],$B1048)*AM208)</f>
        <v>0</v>
      </c>
      <c r="AN1048" s="652">
        <f>IF($B1048="",,SUMIFS(PerHeadcount[Month 29],PerHeadcount[exp_item],$H1048,PerHeadcount[company_name],$B1048)*AN208)</f>
        <v>0</v>
      </c>
      <c r="AO1048" s="652">
        <f>IF($B1048="",,SUMIFS(PerHeadcount[Month 30],PerHeadcount[exp_item],$H1048,PerHeadcount[company_name],$B1048)*AO208)</f>
        <v>0</v>
      </c>
      <c r="AP1048" s="652">
        <f>IF($B1048="",,SUMIFS(PerHeadcount[Month 31],PerHeadcount[exp_item],$H1048,PerHeadcount[company_name],$B1048)*AP208)</f>
        <v>0</v>
      </c>
      <c r="AQ1048" s="652">
        <f>IF($B1048="",,SUMIFS(PerHeadcount[Month 32],PerHeadcount[exp_item],$H1048,PerHeadcount[company_name],$B1048)*AQ208)</f>
        <v>0</v>
      </c>
      <c r="AR1048" s="652">
        <f>IF($B1048="",,SUMIFS(PerHeadcount[Month 33],PerHeadcount[exp_item],$H1048,PerHeadcount[company_name],$B1048)*AR208)</f>
        <v>0</v>
      </c>
      <c r="AS1048" s="652">
        <f>IF($B1048="",,SUMIFS(PerHeadcount[Month 34],PerHeadcount[exp_item],$H1048,PerHeadcount[company_name],$B1048)*AS208)</f>
        <v>0</v>
      </c>
      <c r="AT1048" s="652">
        <f>IF($B1048="",,SUMIFS(PerHeadcount[Month 35],PerHeadcount[exp_item],$H1048,PerHeadcount[company_name],$B1048)*AT208)</f>
        <v>0</v>
      </c>
      <c r="AU1048" s="652">
        <f>IF($B1048="",,SUMIFS(PerHeadcount[Month 36],PerHeadcount[exp_item],$H1048,PerHeadcount[company_name],$B1048)*AU208)</f>
        <v>0</v>
      </c>
    </row>
    <row r="1049" spans="2:47" x14ac:dyDescent="0.35">
      <c r="B1049" t="str">
        <f t="shared" si="663"/>
        <v/>
      </c>
      <c r="C1049" t="str">
        <f t="shared" ref="C1049:G1049" si="687">IF(C944="","",C944)</f>
        <v/>
      </c>
      <c r="D1049" t="str">
        <f t="shared" si="687"/>
        <v/>
      </c>
      <c r="E1049" t="str">
        <f t="shared" si="687"/>
        <v/>
      </c>
      <c r="F1049" t="str">
        <f t="shared" si="687"/>
        <v/>
      </c>
      <c r="G1049" t="str">
        <f t="shared" si="687"/>
        <v/>
      </c>
      <c r="H1049" t="str">
        <f t="shared" si="662"/>
        <v/>
      </c>
      <c r="J1049" t="str">
        <f>IF($H1049="","",IF(VLOOKUP(H1049,ExpItems[],2,0),H1049&amp;" - "&amp;INDEX(DivisionMapping[category_code],MATCH($D1049&amp;$C1049,DivisionMapping[dept_bu],0)),H1049))</f>
        <v/>
      </c>
      <c r="K1049" t="str">
        <f t="shared" si="665"/>
        <v/>
      </c>
      <c r="L1049" s="652">
        <f>IF($B1049="",,SUMIFS(PerHeadcount[Month 1],PerHeadcount[exp_item],$H1049,PerHeadcount[company_name],$B1049)*L209)</f>
        <v>0</v>
      </c>
      <c r="M1049" s="652">
        <f>IF($B1049="",,SUMIFS(PerHeadcount[Month 2],PerHeadcount[exp_item],$H1049,PerHeadcount[company_name],$B1049)*M209)</f>
        <v>0</v>
      </c>
      <c r="N1049" s="652">
        <f>IF($B1049="",,SUMIFS(PerHeadcount[Month 3],PerHeadcount[exp_item],$H1049,PerHeadcount[company_name],$B1049)*N209)</f>
        <v>0</v>
      </c>
      <c r="O1049" s="652">
        <f>IF($B1049="",,SUMIFS(PerHeadcount[Month 4],PerHeadcount[exp_item],$H1049,PerHeadcount[company_name],$B1049)*O209)</f>
        <v>0</v>
      </c>
      <c r="P1049" s="652">
        <f>IF($B1049="",,SUMIFS(PerHeadcount[Month 5],PerHeadcount[exp_item],$H1049,PerHeadcount[company_name],$B1049)*P209)</f>
        <v>0</v>
      </c>
      <c r="Q1049" s="652">
        <f>IF($B1049="",,SUMIFS(PerHeadcount[Month 6],PerHeadcount[exp_item],$H1049,PerHeadcount[company_name],$B1049)*Q209)</f>
        <v>0</v>
      </c>
      <c r="R1049" s="652">
        <f>IF($B1049="",,SUMIFS(PerHeadcount[Month 7],PerHeadcount[exp_item],$H1049,PerHeadcount[company_name],$B1049)*R209)</f>
        <v>0</v>
      </c>
      <c r="S1049" s="652">
        <f>IF($B1049="",,SUMIFS(PerHeadcount[Month 8],PerHeadcount[exp_item],$H1049,PerHeadcount[company_name],$B1049)*S209)</f>
        <v>0</v>
      </c>
      <c r="T1049" s="652">
        <f>IF($B1049="",,SUMIFS(PerHeadcount[Month 9],PerHeadcount[exp_item],$H1049,PerHeadcount[company_name],$B1049)*T209)</f>
        <v>0</v>
      </c>
      <c r="U1049" s="652">
        <f>IF($B1049="",,SUMIFS(PerHeadcount[Month 10],PerHeadcount[exp_item],$H1049,PerHeadcount[company_name],$B1049)*U209)</f>
        <v>0</v>
      </c>
      <c r="V1049" s="652">
        <f>IF($B1049="",,SUMIFS(PerHeadcount[Month 11],PerHeadcount[exp_item],$H1049,PerHeadcount[company_name],$B1049)*V209)</f>
        <v>0</v>
      </c>
      <c r="W1049" s="652">
        <f>IF($B1049="",,SUMIFS(PerHeadcount[Month 12],PerHeadcount[exp_item],$H1049,PerHeadcount[company_name],$B1049)*W209)</f>
        <v>0</v>
      </c>
      <c r="X1049" s="652">
        <f>IF($B1049="",,SUMIFS(PerHeadcount[Month 13],PerHeadcount[exp_item],$H1049,PerHeadcount[company_name],$B1049)*X209)</f>
        <v>0</v>
      </c>
      <c r="Y1049" s="652">
        <f>IF($B1049="",,SUMIFS(PerHeadcount[Month 14],PerHeadcount[exp_item],$H1049,PerHeadcount[company_name],$B1049)*Y209)</f>
        <v>0</v>
      </c>
      <c r="Z1049" s="652">
        <f>IF($B1049="",,SUMIFS(PerHeadcount[Month 15],PerHeadcount[exp_item],$H1049,PerHeadcount[company_name],$B1049)*Z209)</f>
        <v>0</v>
      </c>
      <c r="AA1049" s="652">
        <f>IF($B1049="",,SUMIFS(PerHeadcount[Month 16],PerHeadcount[exp_item],$H1049,PerHeadcount[company_name],$B1049)*AA209)</f>
        <v>0</v>
      </c>
      <c r="AB1049" s="652">
        <f>IF($B1049="",,SUMIFS(PerHeadcount[Month 17],PerHeadcount[exp_item],$H1049,PerHeadcount[company_name],$B1049)*AB209)</f>
        <v>0</v>
      </c>
      <c r="AC1049" s="652">
        <f>IF($B1049="",,SUMIFS(PerHeadcount[Month 18],PerHeadcount[exp_item],$H1049,PerHeadcount[company_name],$B1049)*AC209)</f>
        <v>0</v>
      </c>
      <c r="AD1049" s="652">
        <f>IF($B1049="",,SUMIFS(PerHeadcount[Month 19],PerHeadcount[exp_item],$H1049,PerHeadcount[company_name],$B1049)*AD209)</f>
        <v>0</v>
      </c>
      <c r="AE1049" s="652">
        <f>IF($B1049="",,SUMIFS(PerHeadcount[Month 20],PerHeadcount[exp_item],$H1049,PerHeadcount[company_name],$B1049)*AE209)</f>
        <v>0</v>
      </c>
      <c r="AF1049" s="652">
        <f>IF($B1049="",,SUMIFS(PerHeadcount[Month 21],PerHeadcount[exp_item],$H1049,PerHeadcount[company_name],$B1049)*AF209)</f>
        <v>0</v>
      </c>
      <c r="AG1049" s="652">
        <f>IF($B1049="",,SUMIFS(PerHeadcount[Month 22],PerHeadcount[exp_item],$H1049,PerHeadcount[company_name],$B1049)*AG209)</f>
        <v>0</v>
      </c>
      <c r="AH1049" s="652">
        <f>IF($B1049="",,SUMIFS(PerHeadcount[Month 23],PerHeadcount[exp_item],$H1049,PerHeadcount[company_name],$B1049)*AH209)</f>
        <v>0</v>
      </c>
      <c r="AI1049" s="652">
        <f>IF($B1049="",,SUMIFS(PerHeadcount[Month 24],PerHeadcount[exp_item],$H1049,PerHeadcount[company_name],$B1049)*AI209)</f>
        <v>0</v>
      </c>
      <c r="AJ1049" s="652">
        <f>IF($B1049="",,SUMIFS(PerHeadcount[Month 25],PerHeadcount[exp_item],$H1049,PerHeadcount[company_name],$B1049)*AJ209)</f>
        <v>0</v>
      </c>
      <c r="AK1049" s="652">
        <f>IF($B1049="",,SUMIFS(PerHeadcount[Month 26],PerHeadcount[exp_item],$H1049,PerHeadcount[company_name],$B1049)*AK209)</f>
        <v>0</v>
      </c>
      <c r="AL1049" s="652">
        <f>IF($B1049="",,SUMIFS(PerHeadcount[Month 27],PerHeadcount[exp_item],$H1049,PerHeadcount[company_name],$B1049)*AL209)</f>
        <v>0</v>
      </c>
      <c r="AM1049" s="652">
        <f>IF($B1049="",,SUMIFS(PerHeadcount[Month 28],PerHeadcount[exp_item],$H1049,PerHeadcount[company_name],$B1049)*AM209)</f>
        <v>0</v>
      </c>
      <c r="AN1049" s="652">
        <f>IF($B1049="",,SUMIFS(PerHeadcount[Month 29],PerHeadcount[exp_item],$H1049,PerHeadcount[company_name],$B1049)*AN209)</f>
        <v>0</v>
      </c>
      <c r="AO1049" s="652">
        <f>IF($B1049="",,SUMIFS(PerHeadcount[Month 30],PerHeadcount[exp_item],$H1049,PerHeadcount[company_name],$B1049)*AO209)</f>
        <v>0</v>
      </c>
      <c r="AP1049" s="652">
        <f>IF($B1049="",,SUMIFS(PerHeadcount[Month 31],PerHeadcount[exp_item],$H1049,PerHeadcount[company_name],$B1049)*AP209)</f>
        <v>0</v>
      </c>
      <c r="AQ1049" s="652">
        <f>IF($B1049="",,SUMIFS(PerHeadcount[Month 32],PerHeadcount[exp_item],$H1049,PerHeadcount[company_name],$B1049)*AQ209)</f>
        <v>0</v>
      </c>
      <c r="AR1049" s="652">
        <f>IF($B1049="",,SUMIFS(PerHeadcount[Month 33],PerHeadcount[exp_item],$H1049,PerHeadcount[company_name],$B1049)*AR209)</f>
        <v>0</v>
      </c>
      <c r="AS1049" s="652">
        <f>IF($B1049="",,SUMIFS(PerHeadcount[Month 34],PerHeadcount[exp_item],$H1049,PerHeadcount[company_name],$B1049)*AS209)</f>
        <v>0</v>
      </c>
      <c r="AT1049" s="652">
        <f>IF($B1049="",,SUMIFS(PerHeadcount[Month 35],PerHeadcount[exp_item],$H1049,PerHeadcount[company_name],$B1049)*AT209)</f>
        <v>0</v>
      </c>
      <c r="AU1049" s="652">
        <f>IF($B1049="",,SUMIFS(PerHeadcount[Month 36],PerHeadcount[exp_item],$H1049,PerHeadcount[company_name],$B1049)*AU209)</f>
        <v>0</v>
      </c>
    </row>
    <row r="1050" spans="2:47" x14ac:dyDescent="0.35">
      <c r="B1050" t="str">
        <f t="shared" si="663"/>
        <v/>
      </c>
      <c r="C1050" t="str">
        <f t="shared" ref="C1050:G1050" si="688">IF(C945="","",C945)</f>
        <v/>
      </c>
      <c r="D1050" t="str">
        <f t="shared" si="688"/>
        <v/>
      </c>
      <c r="E1050" t="str">
        <f t="shared" si="688"/>
        <v/>
      </c>
      <c r="F1050" t="str">
        <f t="shared" si="688"/>
        <v/>
      </c>
      <c r="G1050" t="str">
        <f t="shared" si="688"/>
        <v/>
      </c>
      <c r="H1050" t="str">
        <f t="shared" si="662"/>
        <v/>
      </c>
      <c r="J1050" t="str">
        <f>IF($H1050="","",IF(VLOOKUP(H1050,ExpItems[],2,0),H1050&amp;" - "&amp;INDEX(DivisionMapping[category_code],MATCH($D1050&amp;$C1050,DivisionMapping[dept_bu],0)),H1050))</f>
        <v/>
      </c>
      <c r="K1050" t="str">
        <f t="shared" si="665"/>
        <v/>
      </c>
      <c r="L1050" s="652">
        <f>IF($B1050="",,SUMIFS(PerHeadcount[Month 1],PerHeadcount[exp_item],$H1050,PerHeadcount[company_name],$B1050)*L210)</f>
        <v>0</v>
      </c>
      <c r="M1050" s="652">
        <f>IF($B1050="",,SUMIFS(PerHeadcount[Month 2],PerHeadcount[exp_item],$H1050,PerHeadcount[company_name],$B1050)*M210)</f>
        <v>0</v>
      </c>
      <c r="N1050" s="652">
        <f>IF($B1050="",,SUMIFS(PerHeadcount[Month 3],PerHeadcount[exp_item],$H1050,PerHeadcount[company_name],$B1050)*N210)</f>
        <v>0</v>
      </c>
      <c r="O1050" s="652">
        <f>IF($B1050="",,SUMIFS(PerHeadcount[Month 4],PerHeadcount[exp_item],$H1050,PerHeadcount[company_name],$B1050)*O210)</f>
        <v>0</v>
      </c>
      <c r="P1050" s="652">
        <f>IF($B1050="",,SUMIFS(PerHeadcount[Month 5],PerHeadcount[exp_item],$H1050,PerHeadcount[company_name],$B1050)*P210)</f>
        <v>0</v>
      </c>
      <c r="Q1050" s="652">
        <f>IF($B1050="",,SUMIFS(PerHeadcount[Month 6],PerHeadcount[exp_item],$H1050,PerHeadcount[company_name],$B1050)*Q210)</f>
        <v>0</v>
      </c>
      <c r="R1050" s="652">
        <f>IF($B1050="",,SUMIFS(PerHeadcount[Month 7],PerHeadcount[exp_item],$H1050,PerHeadcount[company_name],$B1050)*R210)</f>
        <v>0</v>
      </c>
      <c r="S1050" s="652">
        <f>IF($B1050="",,SUMIFS(PerHeadcount[Month 8],PerHeadcount[exp_item],$H1050,PerHeadcount[company_name],$B1050)*S210)</f>
        <v>0</v>
      </c>
      <c r="T1050" s="652">
        <f>IF($B1050="",,SUMIFS(PerHeadcount[Month 9],PerHeadcount[exp_item],$H1050,PerHeadcount[company_name],$B1050)*T210)</f>
        <v>0</v>
      </c>
      <c r="U1050" s="652">
        <f>IF($B1050="",,SUMIFS(PerHeadcount[Month 10],PerHeadcount[exp_item],$H1050,PerHeadcount[company_name],$B1050)*U210)</f>
        <v>0</v>
      </c>
      <c r="V1050" s="652">
        <f>IF($B1050="",,SUMIFS(PerHeadcount[Month 11],PerHeadcount[exp_item],$H1050,PerHeadcount[company_name],$B1050)*V210)</f>
        <v>0</v>
      </c>
      <c r="W1050" s="652">
        <f>IF($B1050="",,SUMIFS(PerHeadcount[Month 12],PerHeadcount[exp_item],$H1050,PerHeadcount[company_name],$B1050)*W210)</f>
        <v>0</v>
      </c>
      <c r="X1050" s="652">
        <f>IF($B1050="",,SUMIFS(PerHeadcount[Month 13],PerHeadcount[exp_item],$H1050,PerHeadcount[company_name],$B1050)*X210)</f>
        <v>0</v>
      </c>
      <c r="Y1050" s="652">
        <f>IF($B1050="",,SUMIFS(PerHeadcount[Month 14],PerHeadcount[exp_item],$H1050,PerHeadcount[company_name],$B1050)*Y210)</f>
        <v>0</v>
      </c>
      <c r="Z1050" s="652">
        <f>IF($B1050="",,SUMIFS(PerHeadcount[Month 15],PerHeadcount[exp_item],$H1050,PerHeadcount[company_name],$B1050)*Z210)</f>
        <v>0</v>
      </c>
      <c r="AA1050" s="652">
        <f>IF($B1050="",,SUMIFS(PerHeadcount[Month 16],PerHeadcount[exp_item],$H1050,PerHeadcount[company_name],$B1050)*AA210)</f>
        <v>0</v>
      </c>
      <c r="AB1050" s="652">
        <f>IF($B1050="",,SUMIFS(PerHeadcount[Month 17],PerHeadcount[exp_item],$H1050,PerHeadcount[company_name],$B1050)*AB210)</f>
        <v>0</v>
      </c>
      <c r="AC1050" s="652">
        <f>IF($B1050="",,SUMIFS(PerHeadcount[Month 18],PerHeadcount[exp_item],$H1050,PerHeadcount[company_name],$B1050)*AC210)</f>
        <v>0</v>
      </c>
      <c r="AD1050" s="652">
        <f>IF($B1050="",,SUMIFS(PerHeadcount[Month 19],PerHeadcount[exp_item],$H1050,PerHeadcount[company_name],$B1050)*AD210)</f>
        <v>0</v>
      </c>
      <c r="AE1050" s="652">
        <f>IF($B1050="",,SUMIFS(PerHeadcount[Month 20],PerHeadcount[exp_item],$H1050,PerHeadcount[company_name],$B1050)*AE210)</f>
        <v>0</v>
      </c>
      <c r="AF1050" s="652">
        <f>IF($B1050="",,SUMIFS(PerHeadcount[Month 21],PerHeadcount[exp_item],$H1050,PerHeadcount[company_name],$B1050)*AF210)</f>
        <v>0</v>
      </c>
      <c r="AG1050" s="652">
        <f>IF($B1050="",,SUMIFS(PerHeadcount[Month 22],PerHeadcount[exp_item],$H1050,PerHeadcount[company_name],$B1050)*AG210)</f>
        <v>0</v>
      </c>
      <c r="AH1050" s="652">
        <f>IF($B1050="",,SUMIFS(PerHeadcount[Month 23],PerHeadcount[exp_item],$H1050,PerHeadcount[company_name],$B1050)*AH210)</f>
        <v>0</v>
      </c>
      <c r="AI1050" s="652">
        <f>IF($B1050="",,SUMIFS(PerHeadcount[Month 24],PerHeadcount[exp_item],$H1050,PerHeadcount[company_name],$B1050)*AI210)</f>
        <v>0</v>
      </c>
      <c r="AJ1050" s="652">
        <f>IF($B1050="",,SUMIFS(PerHeadcount[Month 25],PerHeadcount[exp_item],$H1050,PerHeadcount[company_name],$B1050)*AJ210)</f>
        <v>0</v>
      </c>
      <c r="AK1050" s="652">
        <f>IF($B1050="",,SUMIFS(PerHeadcount[Month 26],PerHeadcount[exp_item],$H1050,PerHeadcount[company_name],$B1050)*AK210)</f>
        <v>0</v>
      </c>
      <c r="AL1050" s="652">
        <f>IF($B1050="",,SUMIFS(PerHeadcount[Month 27],PerHeadcount[exp_item],$H1050,PerHeadcount[company_name],$B1050)*AL210)</f>
        <v>0</v>
      </c>
      <c r="AM1050" s="652">
        <f>IF($B1050="",,SUMIFS(PerHeadcount[Month 28],PerHeadcount[exp_item],$H1050,PerHeadcount[company_name],$B1050)*AM210)</f>
        <v>0</v>
      </c>
      <c r="AN1050" s="652">
        <f>IF($B1050="",,SUMIFS(PerHeadcount[Month 29],PerHeadcount[exp_item],$H1050,PerHeadcount[company_name],$B1050)*AN210)</f>
        <v>0</v>
      </c>
      <c r="AO1050" s="652">
        <f>IF($B1050="",,SUMIFS(PerHeadcount[Month 30],PerHeadcount[exp_item],$H1050,PerHeadcount[company_name],$B1050)*AO210)</f>
        <v>0</v>
      </c>
      <c r="AP1050" s="652">
        <f>IF($B1050="",,SUMIFS(PerHeadcount[Month 31],PerHeadcount[exp_item],$H1050,PerHeadcount[company_name],$B1050)*AP210)</f>
        <v>0</v>
      </c>
      <c r="AQ1050" s="652">
        <f>IF($B1050="",,SUMIFS(PerHeadcount[Month 32],PerHeadcount[exp_item],$H1050,PerHeadcount[company_name],$B1050)*AQ210)</f>
        <v>0</v>
      </c>
      <c r="AR1050" s="652">
        <f>IF($B1050="",,SUMIFS(PerHeadcount[Month 33],PerHeadcount[exp_item],$H1050,PerHeadcount[company_name],$B1050)*AR210)</f>
        <v>0</v>
      </c>
      <c r="AS1050" s="652">
        <f>IF($B1050="",,SUMIFS(PerHeadcount[Month 34],PerHeadcount[exp_item],$H1050,PerHeadcount[company_name],$B1050)*AS210)</f>
        <v>0</v>
      </c>
      <c r="AT1050" s="652">
        <f>IF($B1050="",,SUMIFS(PerHeadcount[Month 35],PerHeadcount[exp_item],$H1050,PerHeadcount[company_name],$B1050)*AT210)</f>
        <v>0</v>
      </c>
      <c r="AU1050" s="652">
        <f>IF($B1050="",,SUMIFS(PerHeadcount[Month 36],PerHeadcount[exp_item],$H1050,PerHeadcount[company_name],$B1050)*AU210)</f>
        <v>0</v>
      </c>
    </row>
    <row r="1051" spans="2:47" x14ac:dyDescent="0.35">
      <c r="B1051" t="str">
        <f t="shared" si="663"/>
        <v/>
      </c>
      <c r="C1051" t="str">
        <f t="shared" ref="C1051:G1051" si="689">IF(C946="","",C946)</f>
        <v/>
      </c>
      <c r="D1051" t="str">
        <f t="shared" si="689"/>
        <v/>
      </c>
      <c r="E1051" t="str">
        <f t="shared" si="689"/>
        <v/>
      </c>
      <c r="F1051" t="str">
        <f t="shared" si="689"/>
        <v/>
      </c>
      <c r="G1051" t="str">
        <f t="shared" si="689"/>
        <v/>
      </c>
      <c r="H1051" t="str">
        <f t="shared" si="662"/>
        <v/>
      </c>
      <c r="J1051" t="str">
        <f>IF($H1051="","",IF(VLOOKUP(H1051,ExpItems[],2,0),H1051&amp;" - "&amp;INDEX(DivisionMapping[category_code],MATCH($D1051&amp;$C1051,DivisionMapping[dept_bu],0)),H1051))</f>
        <v/>
      </c>
      <c r="K1051" t="str">
        <f t="shared" si="665"/>
        <v/>
      </c>
      <c r="L1051" s="652">
        <f>IF($B1051="",,SUMIFS(PerHeadcount[Month 1],PerHeadcount[exp_item],$H1051,PerHeadcount[company_name],$B1051)*L211)</f>
        <v>0</v>
      </c>
      <c r="M1051" s="652">
        <f>IF($B1051="",,SUMIFS(PerHeadcount[Month 2],PerHeadcount[exp_item],$H1051,PerHeadcount[company_name],$B1051)*M211)</f>
        <v>0</v>
      </c>
      <c r="N1051" s="652">
        <f>IF($B1051="",,SUMIFS(PerHeadcount[Month 3],PerHeadcount[exp_item],$H1051,PerHeadcount[company_name],$B1051)*N211)</f>
        <v>0</v>
      </c>
      <c r="O1051" s="652">
        <f>IF($B1051="",,SUMIFS(PerHeadcount[Month 4],PerHeadcount[exp_item],$H1051,PerHeadcount[company_name],$B1051)*O211)</f>
        <v>0</v>
      </c>
      <c r="P1051" s="652">
        <f>IF($B1051="",,SUMIFS(PerHeadcount[Month 5],PerHeadcount[exp_item],$H1051,PerHeadcount[company_name],$B1051)*P211)</f>
        <v>0</v>
      </c>
      <c r="Q1051" s="652">
        <f>IF($B1051="",,SUMIFS(PerHeadcount[Month 6],PerHeadcount[exp_item],$H1051,PerHeadcount[company_name],$B1051)*Q211)</f>
        <v>0</v>
      </c>
      <c r="R1051" s="652">
        <f>IF($B1051="",,SUMIFS(PerHeadcount[Month 7],PerHeadcount[exp_item],$H1051,PerHeadcount[company_name],$B1051)*R211)</f>
        <v>0</v>
      </c>
      <c r="S1051" s="652">
        <f>IF($B1051="",,SUMIFS(PerHeadcount[Month 8],PerHeadcount[exp_item],$H1051,PerHeadcount[company_name],$B1051)*S211)</f>
        <v>0</v>
      </c>
      <c r="T1051" s="652">
        <f>IF($B1051="",,SUMIFS(PerHeadcount[Month 9],PerHeadcount[exp_item],$H1051,PerHeadcount[company_name],$B1051)*T211)</f>
        <v>0</v>
      </c>
      <c r="U1051" s="652">
        <f>IF($B1051="",,SUMIFS(PerHeadcount[Month 10],PerHeadcount[exp_item],$H1051,PerHeadcount[company_name],$B1051)*U211)</f>
        <v>0</v>
      </c>
      <c r="V1051" s="652">
        <f>IF($B1051="",,SUMIFS(PerHeadcount[Month 11],PerHeadcount[exp_item],$H1051,PerHeadcount[company_name],$B1051)*V211)</f>
        <v>0</v>
      </c>
      <c r="W1051" s="652">
        <f>IF($B1051="",,SUMIFS(PerHeadcount[Month 12],PerHeadcount[exp_item],$H1051,PerHeadcount[company_name],$B1051)*W211)</f>
        <v>0</v>
      </c>
      <c r="X1051" s="652">
        <f>IF($B1051="",,SUMIFS(PerHeadcount[Month 13],PerHeadcount[exp_item],$H1051,PerHeadcount[company_name],$B1051)*X211)</f>
        <v>0</v>
      </c>
      <c r="Y1051" s="652">
        <f>IF($B1051="",,SUMIFS(PerHeadcount[Month 14],PerHeadcount[exp_item],$H1051,PerHeadcount[company_name],$B1051)*Y211)</f>
        <v>0</v>
      </c>
      <c r="Z1051" s="652">
        <f>IF($B1051="",,SUMIFS(PerHeadcount[Month 15],PerHeadcount[exp_item],$H1051,PerHeadcount[company_name],$B1051)*Z211)</f>
        <v>0</v>
      </c>
      <c r="AA1051" s="652">
        <f>IF($B1051="",,SUMIFS(PerHeadcount[Month 16],PerHeadcount[exp_item],$H1051,PerHeadcount[company_name],$B1051)*AA211)</f>
        <v>0</v>
      </c>
      <c r="AB1051" s="652">
        <f>IF($B1051="",,SUMIFS(PerHeadcount[Month 17],PerHeadcount[exp_item],$H1051,PerHeadcount[company_name],$B1051)*AB211)</f>
        <v>0</v>
      </c>
      <c r="AC1051" s="652">
        <f>IF($B1051="",,SUMIFS(PerHeadcount[Month 18],PerHeadcount[exp_item],$H1051,PerHeadcount[company_name],$B1051)*AC211)</f>
        <v>0</v>
      </c>
      <c r="AD1051" s="652">
        <f>IF($B1051="",,SUMIFS(PerHeadcount[Month 19],PerHeadcount[exp_item],$H1051,PerHeadcount[company_name],$B1051)*AD211)</f>
        <v>0</v>
      </c>
      <c r="AE1051" s="652">
        <f>IF($B1051="",,SUMIFS(PerHeadcount[Month 20],PerHeadcount[exp_item],$H1051,PerHeadcount[company_name],$B1051)*AE211)</f>
        <v>0</v>
      </c>
      <c r="AF1051" s="652">
        <f>IF($B1051="",,SUMIFS(PerHeadcount[Month 21],PerHeadcount[exp_item],$H1051,PerHeadcount[company_name],$B1051)*AF211)</f>
        <v>0</v>
      </c>
      <c r="AG1051" s="652">
        <f>IF($B1051="",,SUMIFS(PerHeadcount[Month 22],PerHeadcount[exp_item],$H1051,PerHeadcount[company_name],$B1051)*AG211)</f>
        <v>0</v>
      </c>
      <c r="AH1051" s="652">
        <f>IF($B1051="",,SUMIFS(PerHeadcount[Month 23],PerHeadcount[exp_item],$H1051,PerHeadcount[company_name],$B1051)*AH211)</f>
        <v>0</v>
      </c>
      <c r="AI1051" s="652">
        <f>IF($B1051="",,SUMIFS(PerHeadcount[Month 24],PerHeadcount[exp_item],$H1051,PerHeadcount[company_name],$B1051)*AI211)</f>
        <v>0</v>
      </c>
      <c r="AJ1051" s="652">
        <f>IF($B1051="",,SUMIFS(PerHeadcount[Month 25],PerHeadcount[exp_item],$H1051,PerHeadcount[company_name],$B1051)*AJ211)</f>
        <v>0</v>
      </c>
      <c r="AK1051" s="652">
        <f>IF($B1051="",,SUMIFS(PerHeadcount[Month 26],PerHeadcount[exp_item],$H1051,PerHeadcount[company_name],$B1051)*AK211)</f>
        <v>0</v>
      </c>
      <c r="AL1051" s="652">
        <f>IF($B1051="",,SUMIFS(PerHeadcount[Month 27],PerHeadcount[exp_item],$H1051,PerHeadcount[company_name],$B1051)*AL211)</f>
        <v>0</v>
      </c>
      <c r="AM1051" s="652">
        <f>IF($B1051="",,SUMIFS(PerHeadcount[Month 28],PerHeadcount[exp_item],$H1051,PerHeadcount[company_name],$B1051)*AM211)</f>
        <v>0</v>
      </c>
      <c r="AN1051" s="652">
        <f>IF($B1051="",,SUMIFS(PerHeadcount[Month 29],PerHeadcount[exp_item],$H1051,PerHeadcount[company_name],$B1051)*AN211)</f>
        <v>0</v>
      </c>
      <c r="AO1051" s="652">
        <f>IF($B1051="",,SUMIFS(PerHeadcount[Month 30],PerHeadcount[exp_item],$H1051,PerHeadcount[company_name],$B1051)*AO211)</f>
        <v>0</v>
      </c>
      <c r="AP1051" s="652">
        <f>IF($B1051="",,SUMIFS(PerHeadcount[Month 31],PerHeadcount[exp_item],$H1051,PerHeadcount[company_name],$B1051)*AP211)</f>
        <v>0</v>
      </c>
      <c r="AQ1051" s="652">
        <f>IF($B1051="",,SUMIFS(PerHeadcount[Month 32],PerHeadcount[exp_item],$H1051,PerHeadcount[company_name],$B1051)*AQ211)</f>
        <v>0</v>
      </c>
      <c r="AR1051" s="652">
        <f>IF($B1051="",,SUMIFS(PerHeadcount[Month 33],PerHeadcount[exp_item],$H1051,PerHeadcount[company_name],$B1051)*AR211)</f>
        <v>0</v>
      </c>
      <c r="AS1051" s="652">
        <f>IF($B1051="",,SUMIFS(PerHeadcount[Month 34],PerHeadcount[exp_item],$H1051,PerHeadcount[company_name],$B1051)*AS211)</f>
        <v>0</v>
      </c>
      <c r="AT1051" s="652">
        <f>IF($B1051="",,SUMIFS(PerHeadcount[Month 35],PerHeadcount[exp_item],$H1051,PerHeadcount[company_name],$B1051)*AT211)</f>
        <v>0</v>
      </c>
      <c r="AU1051" s="652">
        <f>IF($B1051="",,SUMIFS(PerHeadcount[Month 36],PerHeadcount[exp_item],$H1051,PerHeadcount[company_name],$B1051)*AU211)</f>
        <v>0</v>
      </c>
    </row>
    <row r="1052" spans="2:47" x14ac:dyDescent="0.35">
      <c r="B1052" t="str">
        <f t="shared" si="663"/>
        <v/>
      </c>
      <c r="C1052" t="str">
        <f t="shared" ref="C1052:G1052" si="690">IF(C947="","",C947)</f>
        <v/>
      </c>
      <c r="D1052" t="str">
        <f t="shared" si="690"/>
        <v/>
      </c>
      <c r="E1052" t="str">
        <f t="shared" si="690"/>
        <v/>
      </c>
      <c r="F1052" t="str">
        <f t="shared" si="690"/>
        <v/>
      </c>
      <c r="G1052" t="str">
        <f t="shared" si="690"/>
        <v/>
      </c>
      <c r="H1052" t="str">
        <f t="shared" si="662"/>
        <v/>
      </c>
      <c r="J1052" t="str">
        <f>IF($H1052="","",IF(VLOOKUP(H1052,ExpItems[],2,0),H1052&amp;" - "&amp;INDEX(DivisionMapping[category_code],MATCH($D1052&amp;$C1052,DivisionMapping[dept_bu],0)),H1052))</f>
        <v/>
      </c>
      <c r="K1052" t="str">
        <f t="shared" si="665"/>
        <v/>
      </c>
      <c r="L1052" s="652">
        <f>IF($B1052="",,SUMIFS(PerHeadcount[Month 1],PerHeadcount[exp_item],$H1052,PerHeadcount[company_name],$B1052)*L212)</f>
        <v>0</v>
      </c>
      <c r="M1052" s="652">
        <f>IF($B1052="",,SUMIFS(PerHeadcount[Month 2],PerHeadcount[exp_item],$H1052,PerHeadcount[company_name],$B1052)*M212)</f>
        <v>0</v>
      </c>
      <c r="N1052" s="652">
        <f>IF($B1052="",,SUMIFS(PerHeadcount[Month 3],PerHeadcount[exp_item],$H1052,PerHeadcount[company_name],$B1052)*N212)</f>
        <v>0</v>
      </c>
      <c r="O1052" s="652">
        <f>IF($B1052="",,SUMIFS(PerHeadcount[Month 4],PerHeadcount[exp_item],$H1052,PerHeadcount[company_name],$B1052)*O212)</f>
        <v>0</v>
      </c>
      <c r="P1052" s="652">
        <f>IF($B1052="",,SUMIFS(PerHeadcount[Month 5],PerHeadcount[exp_item],$H1052,PerHeadcount[company_name],$B1052)*P212)</f>
        <v>0</v>
      </c>
      <c r="Q1052" s="652">
        <f>IF($B1052="",,SUMIFS(PerHeadcount[Month 6],PerHeadcount[exp_item],$H1052,PerHeadcount[company_name],$B1052)*Q212)</f>
        <v>0</v>
      </c>
      <c r="R1052" s="652">
        <f>IF($B1052="",,SUMIFS(PerHeadcount[Month 7],PerHeadcount[exp_item],$H1052,PerHeadcount[company_name],$B1052)*R212)</f>
        <v>0</v>
      </c>
      <c r="S1052" s="652">
        <f>IF($B1052="",,SUMIFS(PerHeadcount[Month 8],PerHeadcount[exp_item],$H1052,PerHeadcount[company_name],$B1052)*S212)</f>
        <v>0</v>
      </c>
      <c r="T1052" s="652">
        <f>IF($B1052="",,SUMIFS(PerHeadcount[Month 9],PerHeadcount[exp_item],$H1052,PerHeadcount[company_name],$B1052)*T212)</f>
        <v>0</v>
      </c>
      <c r="U1052" s="652">
        <f>IF($B1052="",,SUMIFS(PerHeadcount[Month 10],PerHeadcount[exp_item],$H1052,PerHeadcount[company_name],$B1052)*U212)</f>
        <v>0</v>
      </c>
      <c r="V1052" s="652">
        <f>IF($B1052="",,SUMIFS(PerHeadcount[Month 11],PerHeadcount[exp_item],$H1052,PerHeadcount[company_name],$B1052)*V212)</f>
        <v>0</v>
      </c>
      <c r="W1052" s="652">
        <f>IF($B1052="",,SUMIFS(PerHeadcount[Month 12],PerHeadcount[exp_item],$H1052,PerHeadcount[company_name],$B1052)*W212)</f>
        <v>0</v>
      </c>
      <c r="X1052" s="652">
        <f>IF($B1052="",,SUMIFS(PerHeadcount[Month 13],PerHeadcount[exp_item],$H1052,PerHeadcount[company_name],$B1052)*X212)</f>
        <v>0</v>
      </c>
      <c r="Y1052" s="652">
        <f>IF($B1052="",,SUMIFS(PerHeadcount[Month 14],PerHeadcount[exp_item],$H1052,PerHeadcount[company_name],$B1052)*Y212)</f>
        <v>0</v>
      </c>
      <c r="Z1052" s="652">
        <f>IF($B1052="",,SUMIFS(PerHeadcount[Month 15],PerHeadcount[exp_item],$H1052,PerHeadcount[company_name],$B1052)*Z212)</f>
        <v>0</v>
      </c>
      <c r="AA1052" s="652">
        <f>IF($B1052="",,SUMIFS(PerHeadcount[Month 16],PerHeadcount[exp_item],$H1052,PerHeadcount[company_name],$B1052)*AA212)</f>
        <v>0</v>
      </c>
      <c r="AB1052" s="652">
        <f>IF($B1052="",,SUMIFS(PerHeadcount[Month 17],PerHeadcount[exp_item],$H1052,PerHeadcount[company_name],$B1052)*AB212)</f>
        <v>0</v>
      </c>
      <c r="AC1052" s="652">
        <f>IF($B1052="",,SUMIFS(PerHeadcount[Month 18],PerHeadcount[exp_item],$H1052,PerHeadcount[company_name],$B1052)*AC212)</f>
        <v>0</v>
      </c>
      <c r="AD1052" s="652">
        <f>IF($B1052="",,SUMIFS(PerHeadcount[Month 19],PerHeadcount[exp_item],$H1052,PerHeadcount[company_name],$B1052)*AD212)</f>
        <v>0</v>
      </c>
      <c r="AE1052" s="652">
        <f>IF($B1052="",,SUMIFS(PerHeadcount[Month 20],PerHeadcount[exp_item],$H1052,PerHeadcount[company_name],$B1052)*AE212)</f>
        <v>0</v>
      </c>
      <c r="AF1052" s="652">
        <f>IF($B1052="",,SUMIFS(PerHeadcount[Month 21],PerHeadcount[exp_item],$H1052,PerHeadcount[company_name],$B1052)*AF212)</f>
        <v>0</v>
      </c>
      <c r="AG1052" s="652">
        <f>IF($B1052="",,SUMIFS(PerHeadcount[Month 22],PerHeadcount[exp_item],$H1052,PerHeadcount[company_name],$B1052)*AG212)</f>
        <v>0</v>
      </c>
      <c r="AH1052" s="652">
        <f>IF($B1052="",,SUMIFS(PerHeadcount[Month 23],PerHeadcount[exp_item],$H1052,PerHeadcount[company_name],$B1052)*AH212)</f>
        <v>0</v>
      </c>
      <c r="AI1052" s="652">
        <f>IF($B1052="",,SUMIFS(PerHeadcount[Month 24],PerHeadcount[exp_item],$H1052,PerHeadcount[company_name],$B1052)*AI212)</f>
        <v>0</v>
      </c>
      <c r="AJ1052" s="652">
        <f>IF($B1052="",,SUMIFS(PerHeadcount[Month 25],PerHeadcount[exp_item],$H1052,PerHeadcount[company_name],$B1052)*AJ212)</f>
        <v>0</v>
      </c>
      <c r="AK1052" s="652">
        <f>IF($B1052="",,SUMIFS(PerHeadcount[Month 26],PerHeadcount[exp_item],$H1052,PerHeadcount[company_name],$B1052)*AK212)</f>
        <v>0</v>
      </c>
      <c r="AL1052" s="652">
        <f>IF($B1052="",,SUMIFS(PerHeadcount[Month 27],PerHeadcount[exp_item],$H1052,PerHeadcount[company_name],$B1052)*AL212)</f>
        <v>0</v>
      </c>
      <c r="AM1052" s="652">
        <f>IF($B1052="",,SUMIFS(PerHeadcount[Month 28],PerHeadcount[exp_item],$H1052,PerHeadcount[company_name],$B1052)*AM212)</f>
        <v>0</v>
      </c>
      <c r="AN1052" s="652">
        <f>IF($B1052="",,SUMIFS(PerHeadcount[Month 29],PerHeadcount[exp_item],$H1052,PerHeadcount[company_name],$B1052)*AN212)</f>
        <v>0</v>
      </c>
      <c r="AO1052" s="652">
        <f>IF($B1052="",,SUMIFS(PerHeadcount[Month 30],PerHeadcount[exp_item],$H1052,PerHeadcount[company_name],$B1052)*AO212)</f>
        <v>0</v>
      </c>
      <c r="AP1052" s="652">
        <f>IF($B1052="",,SUMIFS(PerHeadcount[Month 31],PerHeadcount[exp_item],$H1052,PerHeadcount[company_name],$B1052)*AP212)</f>
        <v>0</v>
      </c>
      <c r="AQ1052" s="652">
        <f>IF($B1052="",,SUMIFS(PerHeadcount[Month 32],PerHeadcount[exp_item],$H1052,PerHeadcount[company_name],$B1052)*AQ212)</f>
        <v>0</v>
      </c>
      <c r="AR1052" s="652">
        <f>IF($B1052="",,SUMIFS(PerHeadcount[Month 33],PerHeadcount[exp_item],$H1052,PerHeadcount[company_name],$B1052)*AR212)</f>
        <v>0</v>
      </c>
      <c r="AS1052" s="652">
        <f>IF($B1052="",,SUMIFS(PerHeadcount[Month 34],PerHeadcount[exp_item],$H1052,PerHeadcount[company_name],$B1052)*AS212)</f>
        <v>0</v>
      </c>
      <c r="AT1052" s="652">
        <f>IF($B1052="",,SUMIFS(PerHeadcount[Month 35],PerHeadcount[exp_item],$H1052,PerHeadcount[company_name],$B1052)*AT212)</f>
        <v>0</v>
      </c>
      <c r="AU1052" s="652">
        <f>IF($B1052="",,SUMIFS(PerHeadcount[Month 36],PerHeadcount[exp_item],$H1052,PerHeadcount[company_name],$B1052)*AU212)</f>
        <v>0</v>
      </c>
    </row>
    <row r="1053" spans="2:47" x14ac:dyDescent="0.35">
      <c r="B1053" t="str">
        <f t="shared" si="663"/>
        <v/>
      </c>
      <c r="C1053" t="str">
        <f t="shared" ref="C1053:G1053" si="691">IF(C948="","",C948)</f>
        <v/>
      </c>
      <c r="D1053" t="str">
        <f t="shared" si="691"/>
        <v/>
      </c>
      <c r="E1053" t="str">
        <f t="shared" si="691"/>
        <v/>
      </c>
      <c r="F1053" t="str">
        <f t="shared" si="691"/>
        <v/>
      </c>
      <c r="G1053" t="str">
        <f t="shared" si="691"/>
        <v/>
      </c>
      <c r="H1053" t="str">
        <f t="shared" si="662"/>
        <v/>
      </c>
      <c r="J1053" t="str">
        <f>IF($H1053="","",IF(VLOOKUP(H1053,ExpItems[],2,0),H1053&amp;" - "&amp;INDEX(DivisionMapping[category_code],MATCH($D1053&amp;$C1053,DivisionMapping[dept_bu],0)),H1053))</f>
        <v/>
      </c>
      <c r="K1053" t="str">
        <f t="shared" si="665"/>
        <v/>
      </c>
      <c r="L1053" s="652">
        <f>IF($B1053="",,SUMIFS(PerHeadcount[Month 1],PerHeadcount[exp_item],$H1053,PerHeadcount[company_name],$B1053)*L213)</f>
        <v>0</v>
      </c>
      <c r="M1053" s="652">
        <f>IF($B1053="",,SUMIFS(PerHeadcount[Month 2],PerHeadcount[exp_item],$H1053,PerHeadcount[company_name],$B1053)*M213)</f>
        <v>0</v>
      </c>
      <c r="N1053" s="652">
        <f>IF($B1053="",,SUMIFS(PerHeadcount[Month 3],PerHeadcount[exp_item],$H1053,PerHeadcount[company_name],$B1053)*N213)</f>
        <v>0</v>
      </c>
      <c r="O1053" s="652">
        <f>IF($B1053="",,SUMIFS(PerHeadcount[Month 4],PerHeadcount[exp_item],$H1053,PerHeadcount[company_name],$B1053)*O213)</f>
        <v>0</v>
      </c>
      <c r="P1053" s="652">
        <f>IF($B1053="",,SUMIFS(PerHeadcount[Month 5],PerHeadcount[exp_item],$H1053,PerHeadcount[company_name],$B1053)*P213)</f>
        <v>0</v>
      </c>
      <c r="Q1053" s="652">
        <f>IF($B1053="",,SUMIFS(PerHeadcount[Month 6],PerHeadcount[exp_item],$H1053,PerHeadcount[company_name],$B1053)*Q213)</f>
        <v>0</v>
      </c>
      <c r="R1053" s="652">
        <f>IF($B1053="",,SUMIFS(PerHeadcount[Month 7],PerHeadcount[exp_item],$H1053,PerHeadcount[company_name],$B1053)*R213)</f>
        <v>0</v>
      </c>
      <c r="S1053" s="652">
        <f>IF($B1053="",,SUMIFS(PerHeadcount[Month 8],PerHeadcount[exp_item],$H1053,PerHeadcount[company_name],$B1053)*S213)</f>
        <v>0</v>
      </c>
      <c r="T1053" s="652">
        <f>IF($B1053="",,SUMIFS(PerHeadcount[Month 9],PerHeadcount[exp_item],$H1053,PerHeadcount[company_name],$B1053)*T213)</f>
        <v>0</v>
      </c>
      <c r="U1053" s="652">
        <f>IF($B1053="",,SUMIFS(PerHeadcount[Month 10],PerHeadcount[exp_item],$H1053,PerHeadcount[company_name],$B1053)*U213)</f>
        <v>0</v>
      </c>
      <c r="V1053" s="652">
        <f>IF($B1053="",,SUMIFS(PerHeadcount[Month 11],PerHeadcount[exp_item],$H1053,PerHeadcount[company_name],$B1053)*V213)</f>
        <v>0</v>
      </c>
      <c r="W1053" s="652">
        <f>IF($B1053="",,SUMIFS(PerHeadcount[Month 12],PerHeadcount[exp_item],$H1053,PerHeadcount[company_name],$B1053)*W213)</f>
        <v>0</v>
      </c>
      <c r="X1053" s="652">
        <f>IF($B1053="",,SUMIFS(PerHeadcount[Month 13],PerHeadcount[exp_item],$H1053,PerHeadcount[company_name],$B1053)*X213)</f>
        <v>0</v>
      </c>
      <c r="Y1053" s="652">
        <f>IF($B1053="",,SUMIFS(PerHeadcount[Month 14],PerHeadcount[exp_item],$H1053,PerHeadcount[company_name],$B1053)*Y213)</f>
        <v>0</v>
      </c>
      <c r="Z1053" s="652">
        <f>IF($B1053="",,SUMIFS(PerHeadcount[Month 15],PerHeadcount[exp_item],$H1053,PerHeadcount[company_name],$B1053)*Z213)</f>
        <v>0</v>
      </c>
      <c r="AA1053" s="652">
        <f>IF($B1053="",,SUMIFS(PerHeadcount[Month 16],PerHeadcount[exp_item],$H1053,PerHeadcount[company_name],$B1053)*AA213)</f>
        <v>0</v>
      </c>
      <c r="AB1053" s="652">
        <f>IF($B1053="",,SUMIFS(PerHeadcount[Month 17],PerHeadcount[exp_item],$H1053,PerHeadcount[company_name],$B1053)*AB213)</f>
        <v>0</v>
      </c>
      <c r="AC1053" s="652">
        <f>IF($B1053="",,SUMIFS(PerHeadcount[Month 18],PerHeadcount[exp_item],$H1053,PerHeadcount[company_name],$B1053)*AC213)</f>
        <v>0</v>
      </c>
      <c r="AD1053" s="652">
        <f>IF($B1053="",,SUMIFS(PerHeadcount[Month 19],PerHeadcount[exp_item],$H1053,PerHeadcount[company_name],$B1053)*AD213)</f>
        <v>0</v>
      </c>
      <c r="AE1053" s="652">
        <f>IF($B1053="",,SUMIFS(PerHeadcount[Month 20],PerHeadcount[exp_item],$H1053,PerHeadcount[company_name],$B1053)*AE213)</f>
        <v>0</v>
      </c>
      <c r="AF1053" s="652">
        <f>IF($B1053="",,SUMIFS(PerHeadcount[Month 21],PerHeadcount[exp_item],$H1053,PerHeadcount[company_name],$B1053)*AF213)</f>
        <v>0</v>
      </c>
      <c r="AG1053" s="652">
        <f>IF($B1053="",,SUMIFS(PerHeadcount[Month 22],PerHeadcount[exp_item],$H1053,PerHeadcount[company_name],$B1053)*AG213)</f>
        <v>0</v>
      </c>
      <c r="AH1053" s="652">
        <f>IF($B1053="",,SUMIFS(PerHeadcount[Month 23],PerHeadcount[exp_item],$H1053,PerHeadcount[company_name],$B1053)*AH213)</f>
        <v>0</v>
      </c>
      <c r="AI1053" s="652">
        <f>IF($B1053="",,SUMIFS(PerHeadcount[Month 24],PerHeadcount[exp_item],$H1053,PerHeadcount[company_name],$B1053)*AI213)</f>
        <v>0</v>
      </c>
      <c r="AJ1053" s="652">
        <f>IF($B1053="",,SUMIFS(PerHeadcount[Month 25],PerHeadcount[exp_item],$H1053,PerHeadcount[company_name],$B1053)*AJ213)</f>
        <v>0</v>
      </c>
      <c r="AK1053" s="652">
        <f>IF($B1053="",,SUMIFS(PerHeadcount[Month 26],PerHeadcount[exp_item],$H1053,PerHeadcount[company_name],$B1053)*AK213)</f>
        <v>0</v>
      </c>
      <c r="AL1053" s="652">
        <f>IF($B1053="",,SUMIFS(PerHeadcount[Month 27],PerHeadcount[exp_item],$H1053,PerHeadcount[company_name],$B1053)*AL213)</f>
        <v>0</v>
      </c>
      <c r="AM1053" s="652">
        <f>IF($B1053="",,SUMIFS(PerHeadcount[Month 28],PerHeadcount[exp_item],$H1053,PerHeadcount[company_name],$B1053)*AM213)</f>
        <v>0</v>
      </c>
      <c r="AN1053" s="652">
        <f>IF($B1053="",,SUMIFS(PerHeadcount[Month 29],PerHeadcount[exp_item],$H1053,PerHeadcount[company_name],$B1053)*AN213)</f>
        <v>0</v>
      </c>
      <c r="AO1053" s="652">
        <f>IF($B1053="",,SUMIFS(PerHeadcount[Month 30],PerHeadcount[exp_item],$H1053,PerHeadcount[company_name],$B1053)*AO213)</f>
        <v>0</v>
      </c>
      <c r="AP1053" s="652">
        <f>IF($B1053="",,SUMIFS(PerHeadcount[Month 31],PerHeadcount[exp_item],$H1053,PerHeadcount[company_name],$B1053)*AP213)</f>
        <v>0</v>
      </c>
      <c r="AQ1053" s="652">
        <f>IF($B1053="",,SUMIFS(PerHeadcount[Month 32],PerHeadcount[exp_item],$H1053,PerHeadcount[company_name],$B1053)*AQ213)</f>
        <v>0</v>
      </c>
      <c r="AR1053" s="652">
        <f>IF($B1053="",,SUMIFS(PerHeadcount[Month 33],PerHeadcount[exp_item],$H1053,PerHeadcount[company_name],$B1053)*AR213)</f>
        <v>0</v>
      </c>
      <c r="AS1053" s="652">
        <f>IF($B1053="",,SUMIFS(PerHeadcount[Month 34],PerHeadcount[exp_item],$H1053,PerHeadcount[company_name],$B1053)*AS213)</f>
        <v>0</v>
      </c>
      <c r="AT1053" s="652">
        <f>IF($B1053="",,SUMIFS(PerHeadcount[Month 35],PerHeadcount[exp_item],$H1053,PerHeadcount[company_name],$B1053)*AT213)</f>
        <v>0</v>
      </c>
      <c r="AU1053" s="652">
        <f>IF($B1053="",,SUMIFS(PerHeadcount[Month 36],PerHeadcount[exp_item],$H1053,PerHeadcount[company_name],$B1053)*AU213)</f>
        <v>0</v>
      </c>
    </row>
    <row r="1054" spans="2:47" x14ac:dyDescent="0.35">
      <c r="B1054" t="str">
        <f t="shared" si="663"/>
        <v/>
      </c>
      <c r="C1054" t="str">
        <f t="shared" ref="C1054:G1054" si="692">IF(C949="","",C949)</f>
        <v/>
      </c>
      <c r="D1054" t="str">
        <f t="shared" si="692"/>
        <v/>
      </c>
      <c r="E1054" t="str">
        <f t="shared" si="692"/>
        <v/>
      </c>
      <c r="F1054" t="str">
        <f t="shared" si="692"/>
        <v/>
      </c>
      <c r="G1054" t="str">
        <f t="shared" si="692"/>
        <v/>
      </c>
      <c r="H1054" t="str">
        <f t="shared" si="662"/>
        <v/>
      </c>
      <c r="J1054" t="str">
        <f>IF($H1054="","",IF(VLOOKUP(H1054,ExpItems[],2,0),H1054&amp;" - "&amp;INDEX(DivisionMapping[category_code],MATCH($D1054&amp;$C1054,DivisionMapping[dept_bu],0)),H1054))</f>
        <v/>
      </c>
      <c r="K1054" t="str">
        <f t="shared" si="665"/>
        <v/>
      </c>
      <c r="L1054" s="652">
        <f>IF($B1054="",,SUMIFS(PerHeadcount[Month 1],PerHeadcount[exp_item],$H1054,PerHeadcount[company_name],$B1054)*L214)</f>
        <v>0</v>
      </c>
      <c r="M1054" s="652">
        <f>IF($B1054="",,SUMIFS(PerHeadcount[Month 2],PerHeadcount[exp_item],$H1054,PerHeadcount[company_name],$B1054)*M214)</f>
        <v>0</v>
      </c>
      <c r="N1054" s="652">
        <f>IF($B1054="",,SUMIFS(PerHeadcount[Month 3],PerHeadcount[exp_item],$H1054,PerHeadcount[company_name],$B1054)*N214)</f>
        <v>0</v>
      </c>
      <c r="O1054" s="652">
        <f>IF($B1054="",,SUMIFS(PerHeadcount[Month 4],PerHeadcount[exp_item],$H1054,PerHeadcount[company_name],$B1054)*O214)</f>
        <v>0</v>
      </c>
      <c r="P1054" s="652">
        <f>IF($B1054="",,SUMIFS(PerHeadcount[Month 5],PerHeadcount[exp_item],$H1054,PerHeadcount[company_name],$B1054)*P214)</f>
        <v>0</v>
      </c>
      <c r="Q1054" s="652">
        <f>IF($B1054="",,SUMIFS(PerHeadcount[Month 6],PerHeadcount[exp_item],$H1054,PerHeadcount[company_name],$B1054)*Q214)</f>
        <v>0</v>
      </c>
      <c r="R1054" s="652">
        <f>IF($B1054="",,SUMIFS(PerHeadcount[Month 7],PerHeadcount[exp_item],$H1054,PerHeadcount[company_name],$B1054)*R214)</f>
        <v>0</v>
      </c>
      <c r="S1054" s="652">
        <f>IF($B1054="",,SUMIFS(PerHeadcount[Month 8],PerHeadcount[exp_item],$H1054,PerHeadcount[company_name],$B1054)*S214)</f>
        <v>0</v>
      </c>
      <c r="T1054" s="652">
        <f>IF($B1054="",,SUMIFS(PerHeadcount[Month 9],PerHeadcount[exp_item],$H1054,PerHeadcount[company_name],$B1054)*T214)</f>
        <v>0</v>
      </c>
      <c r="U1054" s="652">
        <f>IF($B1054="",,SUMIFS(PerHeadcount[Month 10],PerHeadcount[exp_item],$H1054,PerHeadcount[company_name],$B1054)*U214)</f>
        <v>0</v>
      </c>
      <c r="V1054" s="652">
        <f>IF($B1054="",,SUMIFS(PerHeadcount[Month 11],PerHeadcount[exp_item],$H1054,PerHeadcount[company_name],$B1054)*V214)</f>
        <v>0</v>
      </c>
      <c r="W1054" s="652">
        <f>IF($B1054="",,SUMIFS(PerHeadcount[Month 12],PerHeadcount[exp_item],$H1054,PerHeadcount[company_name],$B1054)*W214)</f>
        <v>0</v>
      </c>
      <c r="X1054" s="652">
        <f>IF($B1054="",,SUMIFS(PerHeadcount[Month 13],PerHeadcount[exp_item],$H1054,PerHeadcount[company_name],$B1054)*X214)</f>
        <v>0</v>
      </c>
      <c r="Y1054" s="652">
        <f>IF($B1054="",,SUMIFS(PerHeadcount[Month 14],PerHeadcount[exp_item],$H1054,PerHeadcount[company_name],$B1054)*Y214)</f>
        <v>0</v>
      </c>
      <c r="Z1054" s="652">
        <f>IF($B1054="",,SUMIFS(PerHeadcount[Month 15],PerHeadcount[exp_item],$H1054,PerHeadcount[company_name],$B1054)*Z214)</f>
        <v>0</v>
      </c>
      <c r="AA1054" s="652">
        <f>IF($B1054="",,SUMIFS(PerHeadcount[Month 16],PerHeadcount[exp_item],$H1054,PerHeadcount[company_name],$B1054)*AA214)</f>
        <v>0</v>
      </c>
      <c r="AB1054" s="652">
        <f>IF($B1054="",,SUMIFS(PerHeadcount[Month 17],PerHeadcount[exp_item],$H1054,PerHeadcount[company_name],$B1054)*AB214)</f>
        <v>0</v>
      </c>
      <c r="AC1054" s="652">
        <f>IF($B1054="",,SUMIFS(PerHeadcount[Month 18],PerHeadcount[exp_item],$H1054,PerHeadcount[company_name],$B1054)*AC214)</f>
        <v>0</v>
      </c>
      <c r="AD1054" s="652">
        <f>IF($B1054="",,SUMIFS(PerHeadcount[Month 19],PerHeadcount[exp_item],$H1054,PerHeadcount[company_name],$B1054)*AD214)</f>
        <v>0</v>
      </c>
      <c r="AE1054" s="652">
        <f>IF($B1054="",,SUMIFS(PerHeadcount[Month 20],PerHeadcount[exp_item],$H1054,PerHeadcount[company_name],$B1054)*AE214)</f>
        <v>0</v>
      </c>
      <c r="AF1054" s="652">
        <f>IF($B1054="",,SUMIFS(PerHeadcount[Month 21],PerHeadcount[exp_item],$H1054,PerHeadcount[company_name],$B1054)*AF214)</f>
        <v>0</v>
      </c>
      <c r="AG1054" s="652">
        <f>IF($B1054="",,SUMIFS(PerHeadcount[Month 22],PerHeadcount[exp_item],$H1054,PerHeadcount[company_name],$B1054)*AG214)</f>
        <v>0</v>
      </c>
      <c r="AH1054" s="652">
        <f>IF($B1054="",,SUMIFS(PerHeadcount[Month 23],PerHeadcount[exp_item],$H1054,PerHeadcount[company_name],$B1054)*AH214)</f>
        <v>0</v>
      </c>
      <c r="AI1054" s="652">
        <f>IF($B1054="",,SUMIFS(PerHeadcount[Month 24],PerHeadcount[exp_item],$H1054,PerHeadcount[company_name],$B1054)*AI214)</f>
        <v>0</v>
      </c>
      <c r="AJ1054" s="652">
        <f>IF($B1054="",,SUMIFS(PerHeadcount[Month 25],PerHeadcount[exp_item],$H1054,PerHeadcount[company_name],$B1054)*AJ214)</f>
        <v>0</v>
      </c>
      <c r="AK1054" s="652">
        <f>IF($B1054="",,SUMIFS(PerHeadcount[Month 26],PerHeadcount[exp_item],$H1054,PerHeadcount[company_name],$B1054)*AK214)</f>
        <v>0</v>
      </c>
      <c r="AL1054" s="652">
        <f>IF($B1054="",,SUMIFS(PerHeadcount[Month 27],PerHeadcount[exp_item],$H1054,PerHeadcount[company_name],$B1054)*AL214)</f>
        <v>0</v>
      </c>
      <c r="AM1054" s="652">
        <f>IF($B1054="",,SUMIFS(PerHeadcount[Month 28],PerHeadcount[exp_item],$H1054,PerHeadcount[company_name],$B1054)*AM214)</f>
        <v>0</v>
      </c>
      <c r="AN1054" s="652">
        <f>IF($B1054="",,SUMIFS(PerHeadcount[Month 29],PerHeadcount[exp_item],$H1054,PerHeadcount[company_name],$B1054)*AN214)</f>
        <v>0</v>
      </c>
      <c r="AO1054" s="652">
        <f>IF($B1054="",,SUMIFS(PerHeadcount[Month 30],PerHeadcount[exp_item],$H1054,PerHeadcount[company_name],$B1054)*AO214)</f>
        <v>0</v>
      </c>
      <c r="AP1054" s="652">
        <f>IF($B1054="",,SUMIFS(PerHeadcount[Month 31],PerHeadcount[exp_item],$H1054,PerHeadcount[company_name],$B1054)*AP214)</f>
        <v>0</v>
      </c>
      <c r="AQ1054" s="652">
        <f>IF($B1054="",,SUMIFS(PerHeadcount[Month 32],PerHeadcount[exp_item],$H1054,PerHeadcount[company_name],$B1054)*AQ214)</f>
        <v>0</v>
      </c>
      <c r="AR1054" s="652">
        <f>IF($B1054="",,SUMIFS(PerHeadcount[Month 33],PerHeadcount[exp_item],$H1054,PerHeadcount[company_name],$B1054)*AR214)</f>
        <v>0</v>
      </c>
      <c r="AS1054" s="652">
        <f>IF($B1054="",,SUMIFS(PerHeadcount[Month 34],PerHeadcount[exp_item],$H1054,PerHeadcount[company_name],$B1054)*AS214)</f>
        <v>0</v>
      </c>
      <c r="AT1054" s="652">
        <f>IF($B1054="",,SUMIFS(PerHeadcount[Month 35],PerHeadcount[exp_item],$H1054,PerHeadcount[company_name],$B1054)*AT214)</f>
        <v>0</v>
      </c>
      <c r="AU1054" s="652">
        <f>IF($B1054="",,SUMIFS(PerHeadcount[Month 36],PerHeadcount[exp_item],$H1054,PerHeadcount[company_name],$B1054)*AU214)</f>
        <v>0</v>
      </c>
    </row>
    <row r="1055" spans="2:47" x14ac:dyDescent="0.35">
      <c r="B1055" t="str">
        <f t="shared" si="663"/>
        <v/>
      </c>
      <c r="C1055" t="str">
        <f t="shared" ref="C1055:G1055" si="693">IF(C950="","",C950)</f>
        <v/>
      </c>
      <c r="D1055" t="str">
        <f t="shared" si="693"/>
        <v/>
      </c>
      <c r="E1055" t="str">
        <f t="shared" si="693"/>
        <v/>
      </c>
      <c r="F1055" t="str">
        <f t="shared" si="693"/>
        <v/>
      </c>
      <c r="G1055" t="str">
        <f t="shared" si="693"/>
        <v/>
      </c>
      <c r="H1055" t="str">
        <f t="shared" si="662"/>
        <v/>
      </c>
      <c r="J1055" t="str">
        <f>IF($H1055="","",IF(VLOOKUP(H1055,ExpItems[],2,0),H1055&amp;" - "&amp;INDEX(DivisionMapping[category_code],MATCH($D1055&amp;$C1055,DivisionMapping[dept_bu],0)),H1055))</f>
        <v/>
      </c>
      <c r="K1055" t="str">
        <f t="shared" si="665"/>
        <v/>
      </c>
      <c r="L1055" s="652">
        <f>IF($B1055="",,SUMIFS(PerHeadcount[Month 1],PerHeadcount[exp_item],$H1055,PerHeadcount[company_name],$B1055)*L215)</f>
        <v>0</v>
      </c>
      <c r="M1055" s="652">
        <f>IF($B1055="",,SUMIFS(PerHeadcount[Month 2],PerHeadcount[exp_item],$H1055,PerHeadcount[company_name],$B1055)*M215)</f>
        <v>0</v>
      </c>
      <c r="N1055" s="652">
        <f>IF($B1055="",,SUMIFS(PerHeadcount[Month 3],PerHeadcount[exp_item],$H1055,PerHeadcount[company_name],$B1055)*N215)</f>
        <v>0</v>
      </c>
      <c r="O1055" s="652">
        <f>IF($B1055="",,SUMIFS(PerHeadcount[Month 4],PerHeadcount[exp_item],$H1055,PerHeadcount[company_name],$B1055)*O215)</f>
        <v>0</v>
      </c>
      <c r="P1055" s="652">
        <f>IF($B1055="",,SUMIFS(PerHeadcount[Month 5],PerHeadcount[exp_item],$H1055,PerHeadcount[company_name],$B1055)*P215)</f>
        <v>0</v>
      </c>
      <c r="Q1055" s="652">
        <f>IF($B1055="",,SUMIFS(PerHeadcount[Month 6],PerHeadcount[exp_item],$H1055,PerHeadcount[company_name],$B1055)*Q215)</f>
        <v>0</v>
      </c>
      <c r="R1055" s="652">
        <f>IF($B1055="",,SUMIFS(PerHeadcount[Month 7],PerHeadcount[exp_item],$H1055,PerHeadcount[company_name],$B1055)*R215)</f>
        <v>0</v>
      </c>
      <c r="S1055" s="652">
        <f>IF($B1055="",,SUMIFS(PerHeadcount[Month 8],PerHeadcount[exp_item],$H1055,PerHeadcount[company_name],$B1055)*S215)</f>
        <v>0</v>
      </c>
      <c r="T1055" s="652">
        <f>IF($B1055="",,SUMIFS(PerHeadcount[Month 9],PerHeadcount[exp_item],$H1055,PerHeadcount[company_name],$B1055)*T215)</f>
        <v>0</v>
      </c>
      <c r="U1055" s="652">
        <f>IF($B1055="",,SUMIFS(PerHeadcount[Month 10],PerHeadcount[exp_item],$H1055,PerHeadcount[company_name],$B1055)*U215)</f>
        <v>0</v>
      </c>
      <c r="V1055" s="652">
        <f>IF($B1055="",,SUMIFS(PerHeadcount[Month 11],PerHeadcount[exp_item],$H1055,PerHeadcount[company_name],$B1055)*V215)</f>
        <v>0</v>
      </c>
      <c r="W1055" s="652">
        <f>IF($B1055="",,SUMIFS(PerHeadcount[Month 12],PerHeadcount[exp_item],$H1055,PerHeadcount[company_name],$B1055)*W215)</f>
        <v>0</v>
      </c>
      <c r="X1055" s="652">
        <f>IF($B1055="",,SUMIFS(PerHeadcount[Month 13],PerHeadcount[exp_item],$H1055,PerHeadcount[company_name],$B1055)*X215)</f>
        <v>0</v>
      </c>
      <c r="Y1055" s="652">
        <f>IF($B1055="",,SUMIFS(PerHeadcount[Month 14],PerHeadcount[exp_item],$H1055,PerHeadcount[company_name],$B1055)*Y215)</f>
        <v>0</v>
      </c>
      <c r="Z1055" s="652">
        <f>IF($B1055="",,SUMIFS(PerHeadcount[Month 15],PerHeadcount[exp_item],$H1055,PerHeadcount[company_name],$B1055)*Z215)</f>
        <v>0</v>
      </c>
      <c r="AA1055" s="652">
        <f>IF($B1055="",,SUMIFS(PerHeadcount[Month 16],PerHeadcount[exp_item],$H1055,PerHeadcount[company_name],$B1055)*AA215)</f>
        <v>0</v>
      </c>
      <c r="AB1055" s="652">
        <f>IF($B1055="",,SUMIFS(PerHeadcount[Month 17],PerHeadcount[exp_item],$H1055,PerHeadcount[company_name],$B1055)*AB215)</f>
        <v>0</v>
      </c>
      <c r="AC1055" s="652">
        <f>IF($B1055="",,SUMIFS(PerHeadcount[Month 18],PerHeadcount[exp_item],$H1055,PerHeadcount[company_name],$B1055)*AC215)</f>
        <v>0</v>
      </c>
      <c r="AD1055" s="652">
        <f>IF($B1055="",,SUMIFS(PerHeadcount[Month 19],PerHeadcount[exp_item],$H1055,PerHeadcount[company_name],$B1055)*AD215)</f>
        <v>0</v>
      </c>
      <c r="AE1055" s="652">
        <f>IF($B1055="",,SUMIFS(PerHeadcount[Month 20],PerHeadcount[exp_item],$H1055,PerHeadcount[company_name],$B1055)*AE215)</f>
        <v>0</v>
      </c>
      <c r="AF1055" s="652">
        <f>IF($B1055="",,SUMIFS(PerHeadcount[Month 21],PerHeadcount[exp_item],$H1055,PerHeadcount[company_name],$B1055)*AF215)</f>
        <v>0</v>
      </c>
      <c r="AG1055" s="652">
        <f>IF($B1055="",,SUMIFS(PerHeadcount[Month 22],PerHeadcount[exp_item],$H1055,PerHeadcount[company_name],$B1055)*AG215)</f>
        <v>0</v>
      </c>
      <c r="AH1055" s="652">
        <f>IF($B1055="",,SUMIFS(PerHeadcount[Month 23],PerHeadcount[exp_item],$H1055,PerHeadcount[company_name],$B1055)*AH215)</f>
        <v>0</v>
      </c>
      <c r="AI1055" s="652">
        <f>IF($B1055="",,SUMIFS(PerHeadcount[Month 24],PerHeadcount[exp_item],$H1055,PerHeadcount[company_name],$B1055)*AI215)</f>
        <v>0</v>
      </c>
      <c r="AJ1055" s="652">
        <f>IF($B1055="",,SUMIFS(PerHeadcount[Month 25],PerHeadcount[exp_item],$H1055,PerHeadcount[company_name],$B1055)*AJ215)</f>
        <v>0</v>
      </c>
      <c r="AK1055" s="652">
        <f>IF($B1055="",,SUMIFS(PerHeadcount[Month 26],PerHeadcount[exp_item],$H1055,PerHeadcount[company_name],$B1055)*AK215)</f>
        <v>0</v>
      </c>
      <c r="AL1055" s="652">
        <f>IF($B1055="",,SUMIFS(PerHeadcount[Month 27],PerHeadcount[exp_item],$H1055,PerHeadcount[company_name],$B1055)*AL215)</f>
        <v>0</v>
      </c>
      <c r="AM1055" s="652">
        <f>IF($B1055="",,SUMIFS(PerHeadcount[Month 28],PerHeadcount[exp_item],$H1055,PerHeadcount[company_name],$B1055)*AM215)</f>
        <v>0</v>
      </c>
      <c r="AN1055" s="652">
        <f>IF($B1055="",,SUMIFS(PerHeadcount[Month 29],PerHeadcount[exp_item],$H1055,PerHeadcount[company_name],$B1055)*AN215)</f>
        <v>0</v>
      </c>
      <c r="AO1055" s="652">
        <f>IF($B1055="",,SUMIFS(PerHeadcount[Month 30],PerHeadcount[exp_item],$H1055,PerHeadcount[company_name],$B1055)*AO215)</f>
        <v>0</v>
      </c>
      <c r="AP1055" s="652">
        <f>IF($B1055="",,SUMIFS(PerHeadcount[Month 31],PerHeadcount[exp_item],$H1055,PerHeadcount[company_name],$B1055)*AP215)</f>
        <v>0</v>
      </c>
      <c r="AQ1055" s="652">
        <f>IF($B1055="",,SUMIFS(PerHeadcount[Month 32],PerHeadcount[exp_item],$H1055,PerHeadcount[company_name],$B1055)*AQ215)</f>
        <v>0</v>
      </c>
      <c r="AR1055" s="652">
        <f>IF($B1055="",,SUMIFS(PerHeadcount[Month 33],PerHeadcount[exp_item],$H1055,PerHeadcount[company_name],$B1055)*AR215)</f>
        <v>0</v>
      </c>
      <c r="AS1055" s="652">
        <f>IF($B1055="",,SUMIFS(PerHeadcount[Month 34],PerHeadcount[exp_item],$H1055,PerHeadcount[company_name],$B1055)*AS215)</f>
        <v>0</v>
      </c>
      <c r="AT1055" s="652">
        <f>IF($B1055="",,SUMIFS(PerHeadcount[Month 35],PerHeadcount[exp_item],$H1055,PerHeadcount[company_name],$B1055)*AT215)</f>
        <v>0</v>
      </c>
      <c r="AU1055" s="652">
        <f>IF($B1055="",,SUMIFS(PerHeadcount[Month 36],PerHeadcount[exp_item],$H1055,PerHeadcount[company_name],$B1055)*AU215)</f>
        <v>0</v>
      </c>
    </row>
    <row r="1056" spans="2:47" x14ac:dyDescent="0.35">
      <c r="B1056" t="str">
        <f t="shared" si="663"/>
        <v/>
      </c>
      <c r="C1056" t="str">
        <f t="shared" ref="C1056:G1056" si="694">IF(C951="","",C951)</f>
        <v/>
      </c>
      <c r="D1056" t="str">
        <f t="shared" si="694"/>
        <v/>
      </c>
      <c r="E1056" t="str">
        <f t="shared" si="694"/>
        <v/>
      </c>
      <c r="F1056" t="str">
        <f t="shared" si="694"/>
        <v/>
      </c>
      <c r="G1056" t="str">
        <f t="shared" si="694"/>
        <v/>
      </c>
      <c r="H1056" t="str">
        <f t="shared" si="662"/>
        <v/>
      </c>
      <c r="J1056" t="str">
        <f>IF($H1056="","",IF(VLOOKUP(H1056,ExpItems[],2,0),H1056&amp;" - "&amp;INDEX(DivisionMapping[category_code],MATCH($D1056&amp;$C1056,DivisionMapping[dept_bu],0)),H1056))</f>
        <v/>
      </c>
      <c r="K1056" t="str">
        <f t="shared" si="665"/>
        <v/>
      </c>
      <c r="L1056" s="652">
        <f>IF($B1056="",,SUMIFS(PerHeadcount[Month 1],PerHeadcount[exp_item],$H1056,PerHeadcount[company_name],$B1056)*L216)</f>
        <v>0</v>
      </c>
      <c r="M1056" s="652">
        <f>IF($B1056="",,SUMIFS(PerHeadcount[Month 2],PerHeadcount[exp_item],$H1056,PerHeadcount[company_name],$B1056)*M216)</f>
        <v>0</v>
      </c>
      <c r="N1056" s="652">
        <f>IF($B1056="",,SUMIFS(PerHeadcount[Month 3],PerHeadcount[exp_item],$H1056,PerHeadcount[company_name],$B1056)*N216)</f>
        <v>0</v>
      </c>
      <c r="O1056" s="652">
        <f>IF($B1056="",,SUMIFS(PerHeadcount[Month 4],PerHeadcount[exp_item],$H1056,PerHeadcount[company_name],$B1056)*O216)</f>
        <v>0</v>
      </c>
      <c r="P1056" s="652">
        <f>IF($B1056="",,SUMIFS(PerHeadcount[Month 5],PerHeadcount[exp_item],$H1056,PerHeadcount[company_name],$B1056)*P216)</f>
        <v>0</v>
      </c>
      <c r="Q1056" s="652">
        <f>IF($B1056="",,SUMIFS(PerHeadcount[Month 6],PerHeadcount[exp_item],$H1056,PerHeadcount[company_name],$B1056)*Q216)</f>
        <v>0</v>
      </c>
      <c r="R1056" s="652">
        <f>IF($B1056="",,SUMIFS(PerHeadcount[Month 7],PerHeadcount[exp_item],$H1056,PerHeadcount[company_name],$B1056)*R216)</f>
        <v>0</v>
      </c>
      <c r="S1056" s="652">
        <f>IF($B1056="",,SUMIFS(PerHeadcount[Month 8],PerHeadcount[exp_item],$H1056,PerHeadcount[company_name],$B1056)*S216)</f>
        <v>0</v>
      </c>
      <c r="T1056" s="652">
        <f>IF($B1056="",,SUMIFS(PerHeadcount[Month 9],PerHeadcount[exp_item],$H1056,PerHeadcount[company_name],$B1056)*T216)</f>
        <v>0</v>
      </c>
      <c r="U1056" s="652">
        <f>IF($B1056="",,SUMIFS(PerHeadcount[Month 10],PerHeadcount[exp_item],$H1056,PerHeadcount[company_name],$B1056)*U216)</f>
        <v>0</v>
      </c>
      <c r="V1056" s="652">
        <f>IF($B1056="",,SUMIFS(PerHeadcount[Month 11],PerHeadcount[exp_item],$H1056,PerHeadcount[company_name],$B1056)*V216)</f>
        <v>0</v>
      </c>
      <c r="W1056" s="652">
        <f>IF($B1056="",,SUMIFS(PerHeadcount[Month 12],PerHeadcount[exp_item],$H1056,PerHeadcount[company_name],$B1056)*W216)</f>
        <v>0</v>
      </c>
      <c r="X1056" s="652">
        <f>IF($B1056="",,SUMIFS(PerHeadcount[Month 13],PerHeadcount[exp_item],$H1056,PerHeadcount[company_name],$B1056)*X216)</f>
        <v>0</v>
      </c>
      <c r="Y1056" s="652">
        <f>IF($B1056="",,SUMIFS(PerHeadcount[Month 14],PerHeadcount[exp_item],$H1056,PerHeadcount[company_name],$B1056)*Y216)</f>
        <v>0</v>
      </c>
      <c r="Z1056" s="652">
        <f>IF($B1056="",,SUMIFS(PerHeadcount[Month 15],PerHeadcount[exp_item],$H1056,PerHeadcount[company_name],$B1056)*Z216)</f>
        <v>0</v>
      </c>
      <c r="AA1056" s="652">
        <f>IF($B1056="",,SUMIFS(PerHeadcount[Month 16],PerHeadcount[exp_item],$H1056,PerHeadcount[company_name],$B1056)*AA216)</f>
        <v>0</v>
      </c>
      <c r="AB1056" s="652">
        <f>IF($B1056="",,SUMIFS(PerHeadcount[Month 17],PerHeadcount[exp_item],$H1056,PerHeadcount[company_name],$B1056)*AB216)</f>
        <v>0</v>
      </c>
      <c r="AC1056" s="652">
        <f>IF($B1056="",,SUMIFS(PerHeadcount[Month 18],PerHeadcount[exp_item],$H1056,PerHeadcount[company_name],$B1056)*AC216)</f>
        <v>0</v>
      </c>
      <c r="AD1056" s="652">
        <f>IF($B1056="",,SUMIFS(PerHeadcount[Month 19],PerHeadcount[exp_item],$H1056,PerHeadcount[company_name],$B1056)*AD216)</f>
        <v>0</v>
      </c>
      <c r="AE1056" s="652">
        <f>IF($B1056="",,SUMIFS(PerHeadcount[Month 20],PerHeadcount[exp_item],$H1056,PerHeadcount[company_name],$B1056)*AE216)</f>
        <v>0</v>
      </c>
      <c r="AF1056" s="652">
        <f>IF($B1056="",,SUMIFS(PerHeadcount[Month 21],PerHeadcount[exp_item],$H1056,PerHeadcount[company_name],$B1056)*AF216)</f>
        <v>0</v>
      </c>
      <c r="AG1056" s="652">
        <f>IF($B1056="",,SUMIFS(PerHeadcount[Month 22],PerHeadcount[exp_item],$H1056,PerHeadcount[company_name],$B1056)*AG216)</f>
        <v>0</v>
      </c>
      <c r="AH1056" s="652">
        <f>IF($B1056="",,SUMIFS(PerHeadcount[Month 23],PerHeadcount[exp_item],$H1056,PerHeadcount[company_name],$B1056)*AH216)</f>
        <v>0</v>
      </c>
      <c r="AI1056" s="652">
        <f>IF($B1056="",,SUMIFS(PerHeadcount[Month 24],PerHeadcount[exp_item],$H1056,PerHeadcount[company_name],$B1056)*AI216)</f>
        <v>0</v>
      </c>
      <c r="AJ1056" s="652">
        <f>IF($B1056="",,SUMIFS(PerHeadcount[Month 25],PerHeadcount[exp_item],$H1056,PerHeadcount[company_name],$B1056)*AJ216)</f>
        <v>0</v>
      </c>
      <c r="AK1056" s="652">
        <f>IF($B1056="",,SUMIFS(PerHeadcount[Month 26],PerHeadcount[exp_item],$H1056,PerHeadcount[company_name],$B1056)*AK216)</f>
        <v>0</v>
      </c>
      <c r="AL1056" s="652">
        <f>IF($B1056="",,SUMIFS(PerHeadcount[Month 27],PerHeadcount[exp_item],$H1056,PerHeadcount[company_name],$B1056)*AL216)</f>
        <v>0</v>
      </c>
      <c r="AM1056" s="652">
        <f>IF($B1056="",,SUMIFS(PerHeadcount[Month 28],PerHeadcount[exp_item],$H1056,PerHeadcount[company_name],$B1056)*AM216)</f>
        <v>0</v>
      </c>
      <c r="AN1056" s="652">
        <f>IF($B1056="",,SUMIFS(PerHeadcount[Month 29],PerHeadcount[exp_item],$H1056,PerHeadcount[company_name],$B1056)*AN216)</f>
        <v>0</v>
      </c>
      <c r="AO1056" s="652">
        <f>IF($B1056="",,SUMIFS(PerHeadcount[Month 30],PerHeadcount[exp_item],$H1056,PerHeadcount[company_name],$B1056)*AO216)</f>
        <v>0</v>
      </c>
      <c r="AP1056" s="652">
        <f>IF($B1056="",,SUMIFS(PerHeadcount[Month 31],PerHeadcount[exp_item],$H1056,PerHeadcount[company_name],$B1056)*AP216)</f>
        <v>0</v>
      </c>
      <c r="AQ1056" s="652">
        <f>IF($B1056="",,SUMIFS(PerHeadcount[Month 32],PerHeadcount[exp_item],$H1056,PerHeadcount[company_name],$B1056)*AQ216)</f>
        <v>0</v>
      </c>
      <c r="AR1056" s="652">
        <f>IF($B1056="",,SUMIFS(PerHeadcount[Month 33],PerHeadcount[exp_item],$H1056,PerHeadcount[company_name],$B1056)*AR216)</f>
        <v>0</v>
      </c>
      <c r="AS1056" s="652">
        <f>IF($B1056="",,SUMIFS(PerHeadcount[Month 34],PerHeadcount[exp_item],$H1056,PerHeadcount[company_name],$B1056)*AS216)</f>
        <v>0</v>
      </c>
      <c r="AT1056" s="652">
        <f>IF($B1056="",,SUMIFS(PerHeadcount[Month 35],PerHeadcount[exp_item],$H1056,PerHeadcount[company_name],$B1056)*AT216)</f>
        <v>0</v>
      </c>
      <c r="AU1056" s="652">
        <f>IF($B1056="",,SUMIFS(PerHeadcount[Month 36],PerHeadcount[exp_item],$H1056,PerHeadcount[company_name],$B1056)*AU216)</f>
        <v>0</v>
      </c>
    </row>
    <row r="1057" spans="2:47" x14ac:dyDescent="0.35">
      <c r="B1057" t="str">
        <f t="shared" si="663"/>
        <v/>
      </c>
      <c r="C1057" t="str">
        <f t="shared" ref="C1057:G1057" si="695">IF(C952="","",C952)</f>
        <v/>
      </c>
      <c r="D1057" t="str">
        <f t="shared" si="695"/>
        <v/>
      </c>
      <c r="E1057" t="str">
        <f t="shared" si="695"/>
        <v/>
      </c>
      <c r="F1057" t="str">
        <f t="shared" si="695"/>
        <v/>
      </c>
      <c r="G1057" t="str">
        <f t="shared" si="695"/>
        <v/>
      </c>
      <c r="H1057" t="str">
        <f t="shared" si="662"/>
        <v/>
      </c>
      <c r="J1057" t="str">
        <f>IF($H1057="","",IF(VLOOKUP(H1057,ExpItems[],2,0),H1057&amp;" - "&amp;INDEX(DivisionMapping[category_code],MATCH($D1057&amp;$C1057,DivisionMapping[dept_bu],0)),H1057))</f>
        <v/>
      </c>
      <c r="K1057" t="str">
        <f t="shared" si="665"/>
        <v/>
      </c>
      <c r="L1057" s="652">
        <f>IF($B1057="",,SUMIFS(PerHeadcount[Month 1],PerHeadcount[exp_item],$H1057,PerHeadcount[company_name],$B1057)*L217)</f>
        <v>0</v>
      </c>
      <c r="M1057" s="652">
        <f>IF($B1057="",,SUMIFS(PerHeadcount[Month 2],PerHeadcount[exp_item],$H1057,PerHeadcount[company_name],$B1057)*M217)</f>
        <v>0</v>
      </c>
      <c r="N1057" s="652">
        <f>IF($B1057="",,SUMIFS(PerHeadcount[Month 3],PerHeadcount[exp_item],$H1057,PerHeadcount[company_name],$B1057)*N217)</f>
        <v>0</v>
      </c>
      <c r="O1057" s="652">
        <f>IF($B1057="",,SUMIFS(PerHeadcount[Month 4],PerHeadcount[exp_item],$H1057,PerHeadcount[company_name],$B1057)*O217)</f>
        <v>0</v>
      </c>
      <c r="P1057" s="652">
        <f>IF($B1057="",,SUMIFS(PerHeadcount[Month 5],PerHeadcount[exp_item],$H1057,PerHeadcount[company_name],$B1057)*P217)</f>
        <v>0</v>
      </c>
      <c r="Q1057" s="652">
        <f>IF($B1057="",,SUMIFS(PerHeadcount[Month 6],PerHeadcount[exp_item],$H1057,PerHeadcount[company_name],$B1057)*Q217)</f>
        <v>0</v>
      </c>
      <c r="R1057" s="652">
        <f>IF($B1057="",,SUMIFS(PerHeadcount[Month 7],PerHeadcount[exp_item],$H1057,PerHeadcount[company_name],$B1057)*R217)</f>
        <v>0</v>
      </c>
      <c r="S1057" s="652">
        <f>IF($B1057="",,SUMIFS(PerHeadcount[Month 8],PerHeadcount[exp_item],$H1057,PerHeadcount[company_name],$B1057)*S217)</f>
        <v>0</v>
      </c>
      <c r="T1057" s="652">
        <f>IF($B1057="",,SUMIFS(PerHeadcount[Month 9],PerHeadcount[exp_item],$H1057,PerHeadcount[company_name],$B1057)*T217)</f>
        <v>0</v>
      </c>
      <c r="U1057" s="652">
        <f>IF($B1057="",,SUMIFS(PerHeadcount[Month 10],PerHeadcount[exp_item],$H1057,PerHeadcount[company_name],$B1057)*U217)</f>
        <v>0</v>
      </c>
      <c r="V1057" s="652">
        <f>IF($B1057="",,SUMIFS(PerHeadcount[Month 11],PerHeadcount[exp_item],$H1057,PerHeadcount[company_name],$B1057)*V217)</f>
        <v>0</v>
      </c>
      <c r="W1057" s="652">
        <f>IF($B1057="",,SUMIFS(PerHeadcount[Month 12],PerHeadcount[exp_item],$H1057,PerHeadcount[company_name],$B1057)*W217)</f>
        <v>0</v>
      </c>
      <c r="X1057" s="652">
        <f>IF($B1057="",,SUMIFS(PerHeadcount[Month 13],PerHeadcount[exp_item],$H1057,PerHeadcount[company_name],$B1057)*X217)</f>
        <v>0</v>
      </c>
      <c r="Y1057" s="652">
        <f>IF($B1057="",,SUMIFS(PerHeadcount[Month 14],PerHeadcount[exp_item],$H1057,PerHeadcount[company_name],$B1057)*Y217)</f>
        <v>0</v>
      </c>
      <c r="Z1057" s="652">
        <f>IF($B1057="",,SUMIFS(PerHeadcount[Month 15],PerHeadcount[exp_item],$H1057,PerHeadcount[company_name],$B1057)*Z217)</f>
        <v>0</v>
      </c>
      <c r="AA1057" s="652">
        <f>IF($B1057="",,SUMIFS(PerHeadcount[Month 16],PerHeadcount[exp_item],$H1057,PerHeadcount[company_name],$B1057)*AA217)</f>
        <v>0</v>
      </c>
      <c r="AB1057" s="652">
        <f>IF($B1057="",,SUMIFS(PerHeadcount[Month 17],PerHeadcount[exp_item],$H1057,PerHeadcount[company_name],$B1057)*AB217)</f>
        <v>0</v>
      </c>
      <c r="AC1057" s="652">
        <f>IF($B1057="",,SUMIFS(PerHeadcount[Month 18],PerHeadcount[exp_item],$H1057,PerHeadcount[company_name],$B1057)*AC217)</f>
        <v>0</v>
      </c>
      <c r="AD1057" s="652">
        <f>IF($B1057="",,SUMIFS(PerHeadcount[Month 19],PerHeadcount[exp_item],$H1057,PerHeadcount[company_name],$B1057)*AD217)</f>
        <v>0</v>
      </c>
      <c r="AE1057" s="652">
        <f>IF($B1057="",,SUMIFS(PerHeadcount[Month 20],PerHeadcount[exp_item],$H1057,PerHeadcount[company_name],$B1057)*AE217)</f>
        <v>0</v>
      </c>
      <c r="AF1057" s="652">
        <f>IF($B1057="",,SUMIFS(PerHeadcount[Month 21],PerHeadcount[exp_item],$H1057,PerHeadcount[company_name],$B1057)*AF217)</f>
        <v>0</v>
      </c>
      <c r="AG1057" s="652">
        <f>IF($B1057="",,SUMIFS(PerHeadcount[Month 22],PerHeadcount[exp_item],$H1057,PerHeadcount[company_name],$B1057)*AG217)</f>
        <v>0</v>
      </c>
      <c r="AH1057" s="652">
        <f>IF($B1057="",,SUMIFS(PerHeadcount[Month 23],PerHeadcount[exp_item],$H1057,PerHeadcount[company_name],$B1057)*AH217)</f>
        <v>0</v>
      </c>
      <c r="AI1057" s="652">
        <f>IF($B1057="",,SUMIFS(PerHeadcount[Month 24],PerHeadcount[exp_item],$H1057,PerHeadcount[company_name],$B1057)*AI217)</f>
        <v>0</v>
      </c>
      <c r="AJ1057" s="652">
        <f>IF($B1057="",,SUMIFS(PerHeadcount[Month 25],PerHeadcount[exp_item],$H1057,PerHeadcount[company_name],$B1057)*AJ217)</f>
        <v>0</v>
      </c>
      <c r="AK1057" s="652">
        <f>IF($B1057="",,SUMIFS(PerHeadcount[Month 26],PerHeadcount[exp_item],$H1057,PerHeadcount[company_name],$B1057)*AK217)</f>
        <v>0</v>
      </c>
      <c r="AL1057" s="652">
        <f>IF($B1057="",,SUMIFS(PerHeadcount[Month 27],PerHeadcount[exp_item],$H1057,PerHeadcount[company_name],$B1057)*AL217)</f>
        <v>0</v>
      </c>
      <c r="AM1057" s="652">
        <f>IF($B1057="",,SUMIFS(PerHeadcount[Month 28],PerHeadcount[exp_item],$H1057,PerHeadcount[company_name],$B1057)*AM217)</f>
        <v>0</v>
      </c>
      <c r="AN1057" s="652">
        <f>IF($B1057="",,SUMIFS(PerHeadcount[Month 29],PerHeadcount[exp_item],$H1057,PerHeadcount[company_name],$B1057)*AN217)</f>
        <v>0</v>
      </c>
      <c r="AO1057" s="652">
        <f>IF($B1057="",,SUMIFS(PerHeadcount[Month 30],PerHeadcount[exp_item],$H1057,PerHeadcount[company_name],$B1057)*AO217)</f>
        <v>0</v>
      </c>
      <c r="AP1057" s="652">
        <f>IF($B1057="",,SUMIFS(PerHeadcount[Month 31],PerHeadcount[exp_item],$H1057,PerHeadcount[company_name],$B1057)*AP217)</f>
        <v>0</v>
      </c>
      <c r="AQ1057" s="652">
        <f>IF($B1057="",,SUMIFS(PerHeadcount[Month 32],PerHeadcount[exp_item],$H1057,PerHeadcount[company_name],$B1057)*AQ217)</f>
        <v>0</v>
      </c>
      <c r="AR1057" s="652">
        <f>IF($B1057="",,SUMIFS(PerHeadcount[Month 33],PerHeadcount[exp_item],$H1057,PerHeadcount[company_name],$B1057)*AR217)</f>
        <v>0</v>
      </c>
      <c r="AS1057" s="652">
        <f>IF($B1057="",,SUMIFS(PerHeadcount[Month 34],PerHeadcount[exp_item],$H1057,PerHeadcount[company_name],$B1057)*AS217)</f>
        <v>0</v>
      </c>
      <c r="AT1057" s="652">
        <f>IF($B1057="",,SUMIFS(PerHeadcount[Month 35],PerHeadcount[exp_item],$H1057,PerHeadcount[company_name],$B1057)*AT217)</f>
        <v>0</v>
      </c>
      <c r="AU1057" s="652">
        <f>IF($B1057="",,SUMIFS(PerHeadcount[Month 36],PerHeadcount[exp_item],$H1057,PerHeadcount[company_name],$B1057)*AU217)</f>
        <v>0</v>
      </c>
    </row>
    <row r="1058" spans="2:47" x14ac:dyDescent="0.35">
      <c r="B1058" t="str">
        <f t="shared" si="663"/>
        <v/>
      </c>
      <c r="C1058" t="str">
        <f t="shared" ref="C1058:G1058" si="696">IF(C953="","",C953)</f>
        <v/>
      </c>
      <c r="D1058" t="str">
        <f t="shared" si="696"/>
        <v/>
      </c>
      <c r="E1058" t="str">
        <f t="shared" si="696"/>
        <v/>
      </c>
      <c r="F1058" t="str">
        <f t="shared" si="696"/>
        <v/>
      </c>
      <c r="G1058" t="str">
        <f t="shared" si="696"/>
        <v/>
      </c>
      <c r="H1058" t="str">
        <f t="shared" ref="H1058:H1089" si="697">IF(B1058="","",$B$1025)</f>
        <v/>
      </c>
      <c r="J1058" t="str">
        <f>IF($H1058="","",IF(VLOOKUP(H1058,ExpItems[],2,0),H1058&amp;" - "&amp;INDEX(DivisionMapping[category_code],MATCH($D1058&amp;$C1058,DivisionMapping[dept_bu],0)),H1058))</f>
        <v/>
      </c>
      <c r="K1058" t="str">
        <f t="shared" si="665"/>
        <v/>
      </c>
      <c r="L1058" s="652">
        <f>IF($B1058="",,SUMIFS(PerHeadcount[Month 1],PerHeadcount[exp_item],$H1058,PerHeadcount[company_name],$B1058)*L218)</f>
        <v>0</v>
      </c>
      <c r="M1058" s="652">
        <f>IF($B1058="",,SUMIFS(PerHeadcount[Month 2],PerHeadcount[exp_item],$H1058,PerHeadcount[company_name],$B1058)*M218)</f>
        <v>0</v>
      </c>
      <c r="N1058" s="652">
        <f>IF($B1058="",,SUMIFS(PerHeadcount[Month 3],PerHeadcount[exp_item],$H1058,PerHeadcount[company_name],$B1058)*N218)</f>
        <v>0</v>
      </c>
      <c r="O1058" s="652">
        <f>IF($B1058="",,SUMIFS(PerHeadcount[Month 4],PerHeadcount[exp_item],$H1058,PerHeadcount[company_name],$B1058)*O218)</f>
        <v>0</v>
      </c>
      <c r="P1058" s="652">
        <f>IF($B1058="",,SUMIFS(PerHeadcount[Month 5],PerHeadcount[exp_item],$H1058,PerHeadcount[company_name],$B1058)*P218)</f>
        <v>0</v>
      </c>
      <c r="Q1058" s="652">
        <f>IF($B1058="",,SUMIFS(PerHeadcount[Month 6],PerHeadcount[exp_item],$H1058,PerHeadcount[company_name],$B1058)*Q218)</f>
        <v>0</v>
      </c>
      <c r="R1058" s="652">
        <f>IF($B1058="",,SUMIFS(PerHeadcount[Month 7],PerHeadcount[exp_item],$H1058,PerHeadcount[company_name],$B1058)*R218)</f>
        <v>0</v>
      </c>
      <c r="S1058" s="652">
        <f>IF($B1058="",,SUMIFS(PerHeadcount[Month 8],PerHeadcount[exp_item],$H1058,PerHeadcount[company_name],$B1058)*S218)</f>
        <v>0</v>
      </c>
      <c r="T1058" s="652">
        <f>IF($B1058="",,SUMIFS(PerHeadcount[Month 9],PerHeadcount[exp_item],$H1058,PerHeadcount[company_name],$B1058)*T218)</f>
        <v>0</v>
      </c>
      <c r="U1058" s="652">
        <f>IF($B1058="",,SUMIFS(PerHeadcount[Month 10],PerHeadcount[exp_item],$H1058,PerHeadcount[company_name],$B1058)*U218)</f>
        <v>0</v>
      </c>
      <c r="V1058" s="652">
        <f>IF($B1058="",,SUMIFS(PerHeadcount[Month 11],PerHeadcount[exp_item],$H1058,PerHeadcount[company_name],$B1058)*V218)</f>
        <v>0</v>
      </c>
      <c r="W1058" s="652">
        <f>IF($B1058="",,SUMIFS(PerHeadcount[Month 12],PerHeadcount[exp_item],$H1058,PerHeadcount[company_name],$B1058)*W218)</f>
        <v>0</v>
      </c>
      <c r="X1058" s="652">
        <f>IF($B1058="",,SUMIFS(PerHeadcount[Month 13],PerHeadcount[exp_item],$H1058,PerHeadcount[company_name],$B1058)*X218)</f>
        <v>0</v>
      </c>
      <c r="Y1058" s="652">
        <f>IF($B1058="",,SUMIFS(PerHeadcount[Month 14],PerHeadcount[exp_item],$H1058,PerHeadcount[company_name],$B1058)*Y218)</f>
        <v>0</v>
      </c>
      <c r="Z1058" s="652">
        <f>IF($B1058="",,SUMIFS(PerHeadcount[Month 15],PerHeadcount[exp_item],$H1058,PerHeadcount[company_name],$B1058)*Z218)</f>
        <v>0</v>
      </c>
      <c r="AA1058" s="652">
        <f>IF($B1058="",,SUMIFS(PerHeadcount[Month 16],PerHeadcount[exp_item],$H1058,PerHeadcount[company_name],$B1058)*AA218)</f>
        <v>0</v>
      </c>
      <c r="AB1058" s="652">
        <f>IF($B1058="",,SUMIFS(PerHeadcount[Month 17],PerHeadcount[exp_item],$H1058,PerHeadcount[company_name],$B1058)*AB218)</f>
        <v>0</v>
      </c>
      <c r="AC1058" s="652">
        <f>IF($B1058="",,SUMIFS(PerHeadcount[Month 18],PerHeadcount[exp_item],$H1058,PerHeadcount[company_name],$B1058)*AC218)</f>
        <v>0</v>
      </c>
      <c r="AD1058" s="652">
        <f>IF($B1058="",,SUMIFS(PerHeadcount[Month 19],PerHeadcount[exp_item],$H1058,PerHeadcount[company_name],$B1058)*AD218)</f>
        <v>0</v>
      </c>
      <c r="AE1058" s="652">
        <f>IF($B1058="",,SUMIFS(PerHeadcount[Month 20],PerHeadcount[exp_item],$H1058,PerHeadcount[company_name],$B1058)*AE218)</f>
        <v>0</v>
      </c>
      <c r="AF1058" s="652">
        <f>IF($B1058="",,SUMIFS(PerHeadcount[Month 21],PerHeadcount[exp_item],$H1058,PerHeadcount[company_name],$B1058)*AF218)</f>
        <v>0</v>
      </c>
      <c r="AG1058" s="652">
        <f>IF($B1058="",,SUMIFS(PerHeadcount[Month 22],PerHeadcount[exp_item],$H1058,PerHeadcount[company_name],$B1058)*AG218)</f>
        <v>0</v>
      </c>
      <c r="AH1058" s="652">
        <f>IF($B1058="",,SUMIFS(PerHeadcount[Month 23],PerHeadcount[exp_item],$H1058,PerHeadcount[company_name],$B1058)*AH218)</f>
        <v>0</v>
      </c>
      <c r="AI1058" s="652">
        <f>IF($B1058="",,SUMIFS(PerHeadcount[Month 24],PerHeadcount[exp_item],$H1058,PerHeadcount[company_name],$B1058)*AI218)</f>
        <v>0</v>
      </c>
      <c r="AJ1058" s="652">
        <f>IF($B1058="",,SUMIFS(PerHeadcount[Month 25],PerHeadcount[exp_item],$H1058,PerHeadcount[company_name],$B1058)*AJ218)</f>
        <v>0</v>
      </c>
      <c r="AK1058" s="652">
        <f>IF($B1058="",,SUMIFS(PerHeadcount[Month 26],PerHeadcount[exp_item],$H1058,PerHeadcount[company_name],$B1058)*AK218)</f>
        <v>0</v>
      </c>
      <c r="AL1058" s="652">
        <f>IF($B1058="",,SUMIFS(PerHeadcount[Month 27],PerHeadcount[exp_item],$H1058,PerHeadcount[company_name],$B1058)*AL218)</f>
        <v>0</v>
      </c>
      <c r="AM1058" s="652">
        <f>IF($B1058="",,SUMIFS(PerHeadcount[Month 28],PerHeadcount[exp_item],$H1058,PerHeadcount[company_name],$B1058)*AM218)</f>
        <v>0</v>
      </c>
      <c r="AN1058" s="652">
        <f>IF($B1058="",,SUMIFS(PerHeadcount[Month 29],PerHeadcount[exp_item],$H1058,PerHeadcount[company_name],$B1058)*AN218)</f>
        <v>0</v>
      </c>
      <c r="AO1058" s="652">
        <f>IF($B1058="",,SUMIFS(PerHeadcount[Month 30],PerHeadcount[exp_item],$H1058,PerHeadcount[company_name],$B1058)*AO218)</f>
        <v>0</v>
      </c>
      <c r="AP1058" s="652">
        <f>IF($B1058="",,SUMIFS(PerHeadcount[Month 31],PerHeadcount[exp_item],$H1058,PerHeadcount[company_name],$B1058)*AP218)</f>
        <v>0</v>
      </c>
      <c r="AQ1058" s="652">
        <f>IF($B1058="",,SUMIFS(PerHeadcount[Month 32],PerHeadcount[exp_item],$H1058,PerHeadcount[company_name],$B1058)*AQ218)</f>
        <v>0</v>
      </c>
      <c r="AR1058" s="652">
        <f>IF($B1058="",,SUMIFS(PerHeadcount[Month 33],PerHeadcount[exp_item],$H1058,PerHeadcount[company_name],$B1058)*AR218)</f>
        <v>0</v>
      </c>
      <c r="AS1058" s="652">
        <f>IF($B1058="",,SUMIFS(PerHeadcount[Month 34],PerHeadcount[exp_item],$H1058,PerHeadcount[company_name],$B1058)*AS218)</f>
        <v>0</v>
      </c>
      <c r="AT1058" s="652">
        <f>IF($B1058="",,SUMIFS(PerHeadcount[Month 35],PerHeadcount[exp_item],$H1058,PerHeadcount[company_name],$B1058)*AT218)</f>
        <v>0</v>
      </c>
      <c r="AU1058" s="652">
        <f>IF($B1058="",,SUMIFS(PerHeadcount[Month 36],PerHeadcount[exp_item],$H1058,PerHeadcount[company_name],$B1058)*AU218)</f>
        <v>0</v>
      </c>
    </row>
    <row r="1059" spans="2:47" x14ac:dyDescent="0.35">
      <c r="B1059" t="str">
        <f t="shared" ref="B1059:B1090" si="698">IF(B954="","",B954)</f>
        <v/>
      </c>
      <c r="C1059" t="str">
        <f t="shared" ref="C1059:G1059" si="699">IF(C954="","",C954)</f>
        <v/>
      </c>
      <c r="D1059" t="str">
        <f t="shared" si="699"/>
        <v/>
      </c>
      <c r="E1059" t="str">
        <f t="shared" si="699"/>
        <v/>
      </c>
      <c r="F1059" t="str">
        <f t="shared" si="699"/>
        <v/>
      </c>
      <c r="G1059" t="str">
        <f t="shared" si="699"/>
        <v/>
      </c>
      <c r="H1059" t="str">
        <f t="shared" si="697"/>
        <v/>
      </c>
      <c r="J1059" t="str">
        <f>IF($H1059="","",IF(VLOOKUP(H1059,ExpItems[],2,0),H1059&amp;" - "&amp;INDEX(DivisionMapping[category_code],MATCH($D1059&amp;$C1059,DivisionMapping[dept_bu],0)),H1059))</f>
        <v/>
      </c>
      <c r="K1059" t="str">
        <f t="shared" si="665"/>
        <v/>
      </c>
      <c r="L1059" s="652">
        <f>IF($B1059="",,SUMIFS(PerHeadcount[Month 1],PerHeadcount[exp_item],$H1059,PerHeadcount[company_name],$B1059)*L219)</f>
        <v>0</v>
      </c>
      <c r="M1059" s="652">
        <f>IF($B1059="",,SUMIFS(PerHeadcount[Month 2],PerHeadcount[exp_item],$H1059,PerHeadcount[company_name],$B1059)*M219)</f>
        <v>0</v>
      </c>
      <c r="N1059" s="652">
        <f>IF($B1059="",,SUMIFS(PerHeadcount[Month 3],PerHeadcount[exp_item],$H1059,PerHeadcount[company_name],$B1059)*N219)</f>
        <v>0</v>
      </c>
      <c r="O1059" s="652">
        <f>IF($B1059="",,SUMIFS(PerHeadcount[Month 4],PerHeadcount[exp_item],$H1059,PerHeadcount[company_name],$B1059)*O219)</f>
        <v>0</v>
      </c>
      <c r="P1059" s="652">
        <f>IF($B1059="",,SUMIFS(PerHeadcount[Month 5],PerHeadcount[exp_item],$H1059,PerHeadcount[company_name],$B1059)*P219)</f>
        <v>0</v>
      </c>
      <c r="Q1059" s="652">
        <f>IF($B1059="",,SUMIFS(PerHeadcount[Month 6],PerHeadcount[exp_item],$H1059,PerHeadcount[company_name],$B1059)*Q219)</f>
        <v>0</v>
      </c>
      <c r="R1059" s="652">
        <f>IF($B1059="",,SUMIFS(PerHeadcount[Month 7],PerHeadcount[exp_item],$H1059,PerHeadcount[company_name],$B1059)*R219)</f>
        <v>0</v>
      </c>
      <c r="S1059" s="652">
        <f>IF($B1059="",,SUMIFS(PerHeadcount[Month 8],PerHeadcount[exp_item],$H1059,PerHeadcount[company_name],$B1059)*S219)</f>
        <v>0</v>
      </c>
      <c r="T1059" s="652">
        <f>IF($B1059="",,SUMIFS(PerHeadcount[Month 9],PerHeadcount[exp_item],$H1059,PerHeadcount[company_name],$B1059)*T219)</f>
        <v>0</v>
      </c>
      <c r="U1059" s="652">
        <f>IF($B1059="",,SUMIFS(PerHeadcount[Month 10],PerHeadcount[exp_item],$H1059,PerHeadcount[company_name],$B1059)*U219)</f>
        <v>0</v>
      </c>
      <c r="V1059" s="652">
        <f>IF($B1059="",,SUMIFS(PerHeadcount[Month 11],PerHeadcount[exp_item],$H1059,PerHeadcount[company_name],$B1059)*V219)</f>
        <v>0</v>
      </c>
      <c r="W1059" s="652">
        <f>IF($B1059="",,SUMIFS(PerHeadcount[Month 12],PerHeadcount[exp_item],$H1059,PerHeadcount[company_name],$B1059)*W219)</f>
        <v>0</v>
      </c>
      <c r="X1059" s="652">
        <f>IF($B1059="",,SUMIFS(PerHeadcount[Month 13],PerHeadcount[exp_item],$H1059,PerHeadcount[company_name],$B1059)*X219)</f>
        <v>0</v>
      </c>
      <c r="Y1059" s="652">
        <f>IF($B1059="",,SUMIFS(PerHeadcount[Month 14],PerHeadcount[exp_item],$H1059,PerHeadcount[company_name],$B1059)*Y219)</f>
        <v>0</v>
      </c>
      <c r="Z1059" s="652">
        <f>IF($B1059="",,SUMIFS(PerHeadcount[Month 15],PerHeadcount[exp_item],$H1059,PerHeadcount[company_name],$B1059)*Z219)</f>
        <v>0</v>
      </c>
      <c r="AA1059" s="652">
        <f>IF($B1059="",,SUMIFS(PerHeadcount[Month 16],PerHeadcount[exp_item],$H1059,PerHeadcount[company_name],$B1059)*AA219)</f>
        <v>0</v>
      </c>
      <c r="AB1059" s="652">
        <f>IF($B1059="",,SUMIFS(PerHeadcount[Month 17],PerHeadcount[exp_item],$H1059,PerHeadcount[company_name],$B1059)*AB219)</f>
        <v>0</v>
      </c>
      <c r="AC1059" s="652">
        <f>IF($B1059="",,SUMIFS(PerHeadcount[Month 18],PerHeadcount[exp_item],$H1059,PerHeadcount[company_name],$B1059)*AC219)</f>
        <v>0</v>
      </c>
      <c r="AD1059" s="652">
        <f>IF($B1059="",,SUMIFS(PerHeadcount[Month 19],PerHeadcount[exp_item],$H1059,PerHeadcount[company_name],$B1059)*AD219)</f>
        <v>0</v>
      </c>
      <c r="AE1059" s="652">
        <f>IF($B1059="",,SUMIFS(PerHeadcount[Month 20],PerHeadcount[exp_item],$H1059,PerHeadcount[company_name],$B1059)*AE219)</f>
        <v>0</v>
      </c>
      <c r="AF1059" s="652">
        <f>IF($B1059="",,SUMIFS(PerHeadcount[Month 21],PerHeadcount[exp_item],$H1059,PerHeadcount[company_name],$B1059)*AF219)</f>
        <v>0</v>
      </c>
      <c r="AG1059" s="652">
        <f>IF($B1059="",,SUMIFS(PerHeadcount[Month 22],PerHeadcount[exp_item],$H1059,PerHeadcount[company_name],$B1059)*AG219)</f>
        <v>0</v>
      </c>
      <c r="AH1059" s="652">
        <f>IF($B1059="",,SUMIFS(PerHeadcount[Month 23],PerHeadcount[exp_item],$H1059,PerHeadcount[company_name],$B1059)*AH219)</f>
        <v>0</v>
      </c>
      <c r="AI1059" s="652">
        <f>IF($B1059="",,SUMIFS(PerHeadcount[Month 24],PerHeadcount[exp_item],$H1059,PerHeadcount[company_name],$B1059)*AI219)</f>
        <v>0</v>
      </c>
      <c r="AJ1059" s="652">
        <f>IF($B1059="",,SUMIFS(PerHeadcount[Month 25],PerHeadcount[exp_item],$H1059,PerHeadcount[company_name],$B1059)*AJ219)</f>
        <v>0</v>
      </c>
      <c r="AK1059" s="652">
        <f>IF($B1059="",,SUMIFS(PerHeadcount[Month 26],PerHeadcount[exp_item],$H1059,PerHeadcount[company_name],$B1059)*AK219)</f>
        <v>0</v>
      </c>
      <c r="AL1059" s="652">
        <f>IF($B1059="",,SUMIFS(PerHeadcount[Month 27],PerHeadcount[exp_item],$H1059,PerHeadcount[company_name],$B1059)*AL219)</f>
        <v>0</v>
      </c>
      <c r="AM1059" s="652">
        <f>IF($B1059="",,SUMIFS(PerHeadcount[Month 28],PerHeadcount[exp_item],$H1059,PerHeadcount[company_name],$B1059)*AM219)</f>
        <v>0</v>
      </c>
      <c r="AN1059" s="652">
        <f>IF($B1059="",,SUMIFS(PerHeadcount[Month 29],PerHeadcount[exp_item],$H1059,PerHeadcount[company_name],$B1059)*AN219)</f>
        <v>0</v>
      </c>
      <c r="AO1059" s="652">
        <f>IF($B1059="",,SUMIFS(PerHeadcount[Month 30],PerHeadcount[exp_item],$H1059,PerHeadcount[company_name],$B1059)*AO219)</f>
        <v>0</v>
      </c>
      <c r="AP1059" s="652">
        <f>IF($B1059="",,SUMIFS(PerHeadcount[Month 31],PerHeadcount[exp_item],$H1059,PerHeadcount[company_name],$B1059)*AP219)</f>
        <v>0</v>
      </c>
      <c r="AQ1059" s="652">
        <f>IF($B1059="",,SUMIFS(PerHeadcount[Month 32],PerHeadcount[exp_item],$H1059,PerHeadcount[company_name],$B1059)*AQ219)</f>
        <v>0</v>
      </c>
      <c r="AR1059" s="652">
        <f>IF($B1059="",,SUMIFS(PerHeadcount[Month 33],PerHeadcount[exp_item],$H1059,PerHeadcount[company_name],$B1059)*AR219)</f>
        <v>0</v>
      </c>
      <c r="AS1059" s="652">
        <f>IF($B1059="",,SUMIFS(PerHeadcount[Month 34],PerHeadcount[exp_item],$H1059,PerHeadcount[company_name],$B1059)*AS219)</f>
        <v>0</v>
      </c>
      <c r="AT1059" s="652">
        <f>IF($B1059="",,SUMIFS(PerHeadcount[Month 35],PerHeadcount[exp_item],$H1059,PerHeadcount[company_name],$B1059)*AT219)</f>
        <v>0</v>
      </c>
      <c r="AU1059" s="652">
        <f>IF($B1059="",,SUMIFS(PerHeadcount[Month 36],PerHeadcount[exp_item],$H1059,PerHeadcount[company_name],$B1059)*AU219)</f>
        <v>0</v>
      </c>
    </row>
    <row r="1060" spans="2:47" x14ac:dyDescent="0.35">
      <c r="B1060" t="str">
        <f t="shared" si="698"/>
        <v/>
      </c>
      <c r="C1060" t="str">
        <f t="shared" ref="C1060:G1060" si="700">IF(C955="","",C955)</f>
        <v/>
      </c>
      <c r="D1060" t="str">
        <f t="shared" si="700"/>
        <v/>
      </c>
      <c r="E1060" t="str">
        <f t="shared" si="700"/>
        <v/>
      </c>
      <c r="F1060" t="str">
        <f t="shared" si="700"/>
        <v/>
      </c>
      <c r="G1060" t="str">
        <f t="shared" si="700"/>
        <v/>
      </c>
      <c r="H1060" t="str">
        <f t="shared" si="697"/>
        <v/>
      </c>
      <c r="J1060" t="str">
        <f>IF($H1060="","",IF(VLOOKUP(H1060,ExpItems[],2,0),H1060&amp;" - "&amp;INDEX(DivisionMapping[category_code],MATCH($D1060&amp;$C1060,DivisionMapping[dept_bu],0)),H1060))</f>
        <v/>
      </c>
      <c r="K1060" t="str">
        <f t="shared" si="665"/>
        <v/>
      </c>
      <c r="L1060" s="652">
        <f>IF($B1060="",,SUMIFS(PerHeadcount[Month 1],PerHeadcount[exp_item],$H1060,PerHeadcount[company_name],$B1060)*L220)</f>
        <v>0</v>
      </c>
      <c r="M1060" s="652">
        <f>IF($B1060="",,SUMIFS(PerHeadcount[Month 2],PerHeadcount[exp_item],$H1060,PerHeadcount[company_name],$B1060)*M220)</f>
        <v>0</v>
      </c>
      <c r="N1060" s="652">
        <f>IF($B1060="",,SUMIFS(PerHeadcount[Month 3],PerHeadcount[exp_item],$H1060,PerHeadcount[company_name],$B1060)*N220)</f>
        <v>0</v>
      </c>
      <c r="O1060" s="652">
        <f>IF($B1060="",,SUMIFS(PerHeadcount[Month 4],PerHeadcount[exp_item],$H1060,PerHeadcount[company_name],$B1060)*O220)</f>
        <v>0</v>
      </c>
      <c r="P1060" s="652">
        <f>IF($B1060="",,SUMIFS(PerHeadcount[Month 5],PerHeadcount[exp_item],$H1060,PerHeadcount[company_name],$B1060)*P220)</f>
        <v>0</v>
      </c>
      <c r="Q1060" s="652">
        <f>IF($B1060="",,SUMIFS(PerHeadcount[Month 6],PerHeadcount[exp_item],$H1060,PerHeadcount[company_name],$B1060)*Q220)</f>
        <v>0</v>
      </c>
      <c r="R1060" s="652">
        <f>IF($B1060="",,SUMIFS(PerHeadcount[Month 7],PerHeadcount[exp_item],$H1060,PerHeadcount[company_name],$B1060)*R220)</f>
        <v>0</v>
      </c>
      <c r="S1060" s="652">
        <f>IF($B1060="",,SUMIFS(PerHeadcount[Month 8],PerHeadcount[exp_item],$H1060,PerHeadcount[company_name],$B1060)*S220)</f>
        <v>0</v>
      </c>
      <c r="T1060" s="652">
        <f>IF($B1060="",,SUMIFS(PerHeadcount[Month 9],PerHeadcount[exp_item],$H1060,PerHeadcount[company_name],$B1060)*T220)</f>
        <v>0</v>
      </c>
      <c r="U1060" s="652">
        <f>IF($B1060="",,SUMIFS(PerHeadcount[Month 10],PerHeadcount[exp_item],$H1060,PerHeadcount[company_name],$B1060)*U220)</f>
        <v>0</v>
      </c>
      <c r="V1060" s="652">
        <f>IF($B1060="",,SUMIFS(PerHeadcount[Month 11],PerHeadcount[exp_item],$H1060,PerHeadcount[company_name],$B1060)*V220)</f>
        <v>0</v>
      </c>
      <c r="W1060" s="652">
        <f>IF($B1060="",,SUMIFS(PerHeadcount[Month 12],PerHeadcount[exp_item],$H1060,PerHeadcount[company_name],$B1060)*W220)</f>
        <v>0</v>
      </c>
      <c r="X1060" s="652">
        <f>IF($B1060="",,SUMIFS(PerHeadcount[Month 13],PerHeadcount[exp_item],$H1060,PerHeadcount[company_name],$B1060)*X220)</f>
        <v>0</v>
      </c>
      <c r="Y1060" s="652">
        <f>IF($B1060="",,SUMIFS(PerHeadcount[Month 14],PerHeadcount[exp_item],$H1060,PerHeadcount[company_name],$B1060)*Y220)</f>
        <v>0</v>
      </c>
      <c r="Z1060" s="652">
        <f>IF($B1060="",,SUMIFS(PerHeadcount[Month 15],PerHeadcount[exp_item],$H1060,PerHeadcount[company_name],$B1060)*Z220)</f>
        <v>0</v>
      </c>
      <c r="AA1060" s="652">
        <f>IF($B1060="",,SUMIFS(PerHeadcount[Month 16],PerHeadcount[exp_item],$H1060,PerHeadcount[company_name],$B1060)*AA220)</f>
        <v>0</v>
      </c>
      <c r="AB1060" s="652">
        <f>IF($B1060="",,SUMIFS(PerHeadcount[Month 17],PerHeadcount[exp_item],$H1060,PerHeadcount[company_name],$B1060)*AB220)</f>
        <v>0</v>
      </c>
      <c r="AC1060" s="652">
        <f>IF($B1060="",,SUMIFS(PerHeadcount[Month 18],PerHeadcount[exp_item],$H1060,PerHeadcount[company_name],$B1060)*AC220)</f>
        <v>0</v>
      </c>
      <c r="AD1060" s="652">
        <f>IF($B1060="",,SUMIFS(PerHeadcount[Month 19],PerHeadcount[exp_item],$H1060,PerHeadcount[company_name],$B1060)*AD220)</f>
        <v>0</v>
      </c>
      <c r="AE1060" s="652">
        <f>IF($B1060="",,SUMIFS(PerHeadcount[Month 20],PerHeadcount[exp_item],$H1060,PerHeadcount[company_name],$B1060)*AE220)</f>
        <v>0</v>
      </c>
      <c r="AF1060" s="652">
        <f>IF($B1060="",,SUMIFS(PerHeadcount[Month 21],PerHeadcount[exp_item],$H1060,PerHeadcount[company_name],$B1060)*AF220)</f>
        <v>0</v>
      </c>
      <c r="AG1060" s="652">
        <f>IF($B1060="",,SUMIFS(PerHeadcount[Month 22],PerHeadcount[exp_item],$H1060,PerHeadcount[company_name],$B1060)*AG220)</f>
        <v>0</v>
      </c>
      <c r="AH1060" s="652">
        <f>IF($B1060="",,SUMIFS(PerHeadcount[Month 23],PerHeadcount[exp_item],$H1060,PerHeadcount[company_name],$B1060)*AH220)</f>
        <v>0</v>
      </c>
      <c r="AI1060" s="652">
        <f>IF($B1060="",,SUMIFS(PerHeadcount[Month 24],PerHeadcount[exp_item],$H1060,PerHeadcount[company_name],$B1060)*AI220)</f>
        <v>0</v>
      </c>
      <c r="AJ1060" s="652">
        <f>IF($B1060="",,SUMIFS(PerHeadcount[Month 25],PerHeadcount[exp_item],$H1060,PerHeadcount[company_name],$B1060)*AJ220)</f>
        <v>0</v>
      </c>
      <c r="AK1060" s="652">
        <f>IF($B1060="",,SUMIFS(PerHeadcount[Month 26],PerHeadcount[exp_item],$H1060,PerHeadcount[company_name],$B1060)*AK220)</f>
        <v>0</v>
      </c>
      <c r="AL1060" s="652">
        <f>IF($B1060="",,SUMIFS(PerHeadcount[Month 27],PerHeadcount[exp_item],$H1060,PerHeadcount[company_name],$B1060)*AL220)</f>
        <v>0</v>
      </c>
      <c r="AM1060" s="652">
        <f>IF($B1060="",,SUMIFS(PerHeadcount[Month 28],PerHeadcount[exp_item],$H1060,PerHeadcount[company_name],$B1060)*AM220)</f>
        <v>0</v>
      </c>
      <c r="AN1060" s="652">
        <f>IF($B1060="",,SUMIFS(PerHeadcount[Month 29],PerHeadcount[exp_item],$H1060,PerHeadcount[company_name],$B1060)*AN220)</f>
        <v>0</v>
      </c>
      <c r="AO1060" s="652">
        <f>IF($B1060="",,SUMIFS(PerHeadcount[Month 30],PerHeadcount[exp_item],$H1060,PerHeadcount[company_name],$B1060)*AO220)</f>
        <v>0</v>
      </c>
      <c r="AP1060" s="652">
        <f>IF($B1060="",,SUMIFS(PerHeadcount[Month 31],PerHeadcount[exp_item],$H1060,PerHeadcount[company_name],$B1060)*AP220)</f>
        <v>0</v>
      </c>
      <c r="AQ1060" s="652">
        <f>IF($B1060="",,SUMIFS(PerHeadcount[Month 32],PerHeadcount[exp_item],$H1060,PerHeadcount[company_name],$B1060)*AQ220)</f>
        <v>0</v>
      </c>
      <c r="AR1060" s="652">
        <f>IF($B1060="",,SUMIFS(PerHeadcount[Month 33],PerHeadcount[exp_item],$H1060,PerHeadcount[company_name],$B1060)*AR220)</f>
        <v>0</v>
      </c>
      <c r="AS1060" s="652">
        <f>IF($B1060="",,SUMIFS(PerHeadcount[Month 34],PerHeadcount[exp_item],$H1060,PerHeadcount[company_name],$B1060)*AS220)</f>
        <v>0</v>
      </c>
      <c r="AT1060" s="652">
        <f>IF($B1060="",,SUMIFS(PerHeadcount[Month 35],PerHeadcount[exp_item],$H1060,PerHeadcount[company_name],$B1060)*AT220)</f>
        <v>0</v>
      </c>
      <c r="AU1060" s="652">
        <f>IF($B1060="",,SUMIFS(PerHeadcount[Month 36],PerHeadcount[exp_item],$H1060,PerHeadcount[company_name],$B1060)*AU220)</f>
        <v>0</v>
      </c>
    </row>
    <row r="1061" spans="2:47" x14ac:dyDescent="0.35">
      <c r="B1061" t="str">
        <f t="shared" si="698"/>
        <v/>
      </c>
      <c r="C1061" t="str">
        <f t="shared" ref="C1061:G1061" si="701">IF(C956="","",C956)</f>
        <v/>
      </c>
      <c r="D1061" t="str">
        <f t="shared" si="701"/>
        <v/>
      </c>
      <c r="E1061" t="str">
        <f t="shared" si="701"/>
        <v/>
      </c>
      <c r="F1061" t="str">
        <f t="shared" si="701"/>
        <v/>
      </c>
      <c r="G1061" t="str">
        <f t="shared" si="701"/>
        <v/>
      </c>
      <c r="H1061" t="str">
        <f t="shared" si="697"/>
        <v/>
      </c>
      <c r="J1061" t="str">
        <f>IF($H1061="","",IF(VLOOKUP(H1061,ExpItems[],2,0),H1061&amp;" - "&amp;INDEX(DivisionMapping[category_code],MATCH($D1061&amp;$C1061,DivisionMapping[dept_bu],0)),H1061))</f>
        <v/>
      </c>
      <c r="K1061" t="str">
        <f t="shared" si="665"/>
        <v/>
      </c>
      <c r="L1061" s="652">
        <f>IF($B1061="",,SUMIFS(PerHeadcount[Month 1],PerHeadcount[exp_item],$H1061,PerHeadcount[company_name],$B1061)*L221)</f>
        <v>0</v>
      </c>
      <c r="M1061" s="652">
        <f>IF($B1061="",,SUMIFS(PerHeadcount[Month 2],PerHeadcount[exp_item],$H1061,PerHeadcount[company_name],$B1061)*M221)</f>
        <v>0</v>
      </c>
      <c r="N1061" s="652">
        <f>IF($B1061="",,SUMIFS(PerHeadcount[Month 3],PerHeadcount[exp_item],$H1061,PerHeadcount[company_name],$B1061)*N221)</f>
        <v>0</v>
      </c>
      <c r="O1061" s="652">
        <f>IF($B1061="",,SUMIFS(PerHeadcount[Month 4],PerHeadcount[exp_item],$H1061,PerHeadcount[company_name],$B1061)*O221)</f>
        <v>0</v>
      </c>
      <c r="P1061" s="652">
        <f>IF($B1061="",,SUMIFS(PerHeadcount[Month 5],PerHeadcount[exp_item],$H1061,PerHeadcount[company_name],$B1061)*P221)</f>
        <v>0</v>
      </c>
      <c r="Q1061" s="652">
        <f>IF($B1061="",,SUMIFS(PerHeadcount[Month 6],PerHeadcount[exp_item],$H1061,PerHeadcount[company_name],$B1061)*Q221)</f>
        <v>0</v>
      </c>
      <c r="R1061" s="652">
        <f>IF($B1061="",,SUMIFS(PerHeadcount[Month 7],PerHeadcount[exp_item],$H1061,PerHeadcount[company_name],$B1061)*R221)</f>
        <v>0</v>
      </c>
      <c r="S1061" s="652">
        <f>IF($B1061="",,SUMIFS(PerHeadcount[Month 8],PerHeadcount[exp_item],$H1061,PerHeadcount[company_name],$B1061)*S221)</f>
        <v>0</v>
      </c>
      <c r="T1061" s="652">
        <f>IF($B1061="",,SUMIFS(PerHeadcount[Month 9],PerHeadcount[exp_item],$H1061,PerHeadcount[company_name],$B1061)*T221)</f>
        <v>0</v>
      </c>
      <c r="U1061" s="652">
        <f>IF($B1061="",,SUMIFS(PerHeadcount[Month 10],PerHeadcount[exp_item],$H1061,PerHeadcount[company_name],$B1061)*U221)</f>
        <v>0</v>
      </c>
      <c r="V1061" s="652">
        <f>IF($B1061="",,SUMIFS(PerHeadcount[Month 11],PerHeadcount[exp_item],$H1061,PerHeadcount[company_name],$B1061)*V221)</f>
        <v>0</v>
      </c>
      <c r="W1061" s="652">
        <f>IF($B1061="",,SUMIFS(PerHeadcount[Month 12],PerHeadcount[exp_item],$H1061,PerHeadcount[company_name],$B1061)*W221)</f>
        <v>0</v>
      </c>
      <c r="X1061" s="652">
        <f>IF($B1061="",,SUMIFS(PerHeadcount[Month 13],PerHeadcount[exp_item],$H1061,PerHeadcount[company_name],$B1061)*X221)</f>
        <v>0</v>
      </c>
      <c r="Y1061" s="652">
        <f>IF($B1061="",,SUMIFS(PerHeadcount[Month 14],PerHeadcount[exp_item],$H1061,PerHeadcount[company_name],$B1061)*Y221)</f>
        <v>0</v>
      </c>
      <c r="Z1061" s="652">
        <f>IF($B1061="",,SUMIFS(PerHeadcount[Month 15],PerHeadcount[exp_item],$H1061,PerHeadcount[company_name],$B1061)*Z221)</f>
        <v>0</v>
      </c>
      <c r="AA1061" s="652">
        <f>IF($B1061="",,SUMIFS(PerHeadcount[Month 16],PerHeadcount[exp_item],$H1061,PerHeadcount[company_name],$B1061)*AA221)</f>
        <v>0</v>
      </c>
      <c r="AB1061" s="652">
        <f>IF($B1061="",,SUMIFS(PerHeadcount[Month 17],PerHeadcount[exp_item],$H1061,PerHeadcount[company_name],$B1061)*AB221)</f>
        <v>0</v>
      </c>
      <c r="AC1061" s="652">
        <f>IF($B1061="",,SUMIFS(PerHeadcount[Month 18],PerHeadcount[exp_item],$H1061,PerHeadcount[company_name],$B1061)*AC221)</f>
        <v>0</v>
      </c>
      <c r="AD1061" s="652">
        <f>IF($B1061="",,SUMIFS(PerHeadcount[Month 19],PerHeadcount[exp_item],$H1061,PerHeadcount[company_name],$B1061)*AD221)</f>
        <v>0</v>
      </c>
      <c r="AE1061" s="652">
        <f>IF($B1061="",,SUMIFS(PerHeadcount[Month 20],PerHeadcount[exp_item],$H1061,PerHeadcount[company_name],$B1061)*AE221)</f>
        <v>0</v>
      </c>
      <c r="AF1061" s="652">
        <f>IF($B1061="",,SUMIFS(PerHeadcount[Month 21],PerHeadcount[exp_item],$H1061,PerHeadcount[company_name],$B1061)*AF221)</f>
        <v>0</v>
      </c>
      <c r="AG1061" s="652">
        <f>IF($B1061="",,SUMIFS(PerHeadcount[Month 22],PerHeadcount[exp_item],$H1061,PerHeadcount[company_name],$B1061)*AG221)</f>
        <v>0</v>
      </c>
      <c r="AH1061" s="652">
        <f>IF($B1061="",,SUMIFS(PerHeadcount[Month 23],PerHeadcount[exp_item],$H1061,PerHeadcount[company_name],$B1061)*AH221)</f>
        <v>0</v>
      </c>
      <c r="AI1061" s="652">
        <f>IF($B1061="",,SUMIFS(PerHeadcount[Month 24],PerHeadcount[exp_item],$H1061,PerHeadcount[company_name],$B1061)*AI221)</f>
        <v>0</v>
      </c>
      <c r="AJ1061" s="652">
        <f>IF($B1061="",,SUMIFS(PerHeadcount[Month 25],PerHeadcount[exp_item],$H1061,PerHeadcount[company_name],$B1061)*AJ221)</f>
        <v>0</v>
      </c>
      <c r="AK1061" s="652">
        <f>IF($B1061="",,SUMIFS(PerHeadcount[Month 26],PerHeadcount[exp_item],$H1061,PerHeadcount[company_name],$B1061)*AK221)</f>
        <v>0</v>
      </c>
      <c r="AL1061" s="652">
        <f>IF($B1061="",,SUMIFS(PerHeadcount[Month 27],PerHeadcount[exp_item],$H1061,PerHeadcount[company_name],$B1061)*AL221)</f>
        <v>0</v>
      </c>
      <c r="AM1061" s="652">
        <f>IF($B1061="",,SUMIFS(PerHeadcount[Month 28],PerHeadcount[exp_item],$H1061,PerHeadcount[company_name],$B1061)*AM221)</f>
        <v>0</v>
      </c>
      <c r="AN1061" s="652">
        <f>IF($B1061="",,SUMIFS(PerHeadcount[Month 29],PerHeadcount[exp_item],$H1061,PerHeadcount[company_name],$B1061)*AN221)</f>
        <v>0</v>
      </c>
      <c r="AO1061" s="652">
        <f>IF($B1061="",,SUMIFS(PerHeadcount[Month 30],PerHeadcount[exp_item],$H1061,PerHeadcount[company_name],$B1061)*AO221)</f>
        <v>0</v>
      </c>
      <c r="AP1061" s="652">
        <f>IF($B1061="",,SUMIFS(PerHeadcount[Month 31],PerHeadcount[exp_item],$H1061,PerHeadcount[company_name],$B1061)*AP221)</f>
        <v>0</v>
      </c>
      <c r="AQ1061" s="652">
        <f>IF($B1061="",,SUMIFS(PerHeadcount[Month 32],PerHeadcount[exp_item],$H1061,PerHeadcount[company_name],$B1061)*AQ221)</f>
        <v>0</v>
      </c>
      <c r="AR1061" s="652">
        <f>IF($B1061="",,SUMIFS(PerHeadcount[Month 33],PerHeadcount[exp_item],$H1061,PerHeadcount[company_name],$B1061)*AR221)</f>
        <v>0</v>
      </c>
      <c r="AS1061" s="652">
        <f>IF($B1061="",,SUMIFS(PerHeadcount[Month 34],PerHeadcount[exp_item],$H1061,PerHeadcount[company_name],$B1061)*AS221)</f>
        <v>0</v>
      </c>
      <c r="AT1061" s="652">
        <f>IF($B1061="",,SUMIFS(PerHeadcount[Month 35],PerHeadcount[exp_item],$H1061,PerHeadcount[company_name],$B1061)*AT221)</f>
        <v>0</v>
      </c>
      <c r="AU1061" s="652">
        <f>IF($B1061="",,SUMIFS(PerHeadcount[Month 36],PerHeadcount[exp_item],$H1061,PerHeadcount[company_name],$B1061)*AU221)</f>
        <v>0</v>
      </c>
    </row>
    <row r="1062" spans="2:47" x14ac:dyDescent="0.35">
      <c r="B1062" t="str">
        <f t="shared" si="698"/>
        <v/>
      </c>
      <c r="C1062" t="str">
        <f t="shared" ref="C1062:G1062" si="702">IF(C957="","",C957)</f>
        <v/>
      </c>
      <c r="D1062" t="str">
        <f t="shared" si="702"/>
        <v/>
      </c>
      <c r="E1062" t="str">
        <f t="shared" si="702"/>
        <v/>
      </c>
      <c r="F1062" t="str">
        <f t="shared" si="702"/>
        <v/>
      </c>
      <c r="G1062" t="str">
        <f t="shared" si="702"/>
        <v/>
      </c>
      <c r="H1062" t="str">
        <f t="shared" si="697"/>
        <v/>
      </c>
      <c r="J1062" t="str">
        <f>IF($H1062="","",IF(VLOOKUP(H1062,ExpItems[],2,0),H1062&amp;" - "&amp;INDEX(DivisionMapping[category_code],MATCH($D1062&amp;$C1062,DivisionMapping[dept_bu],0)),H1062))</f>
        <v/>
      </c>
      <c r="K1062" t="str">
        <f t="shared" si="665"/>
        <v/>
      </c>
      <c r="L1062" s="652">
        <f>IF($B1062="",,SUMIFS(PerHeadcount[Month 1],PerHeadcount[exp_item],$H1062,PerHeadcount[company_name],$B1062)*L222)</f>
        <v>0</v>
      </c>
      <c r="M1062" s="652">
        <f>IF($B1062="",,SUMIFS(PerHeadcount[Month 2],PerHeadcount[exp_item],$H1062,PerHeadcount[company_name],$B1062)*M222)</f>
        <v>0</v>
      </c>
      <c r="N1062" s="652">
        <f>IF($B1062="",,SUMIFS(PerHeadcount[Month 3],PerHeadcount[exp_item],$H1062,PerHeadcount[company_name],$B1062)*N222)</f>
        <v>0</v>
      </c>
      <c r="O1062" s="652">
        <f>IF($B1062="",,SUMIFS(PerHeadcount[Month 4],PerHeadcount[exp_item],$H1062,PerHeadcount[company_name],$B1062)*O222)</f>
        <v>0</v>
      </c>
      <c r="P1062" s="652">
        <f>IF($B1062="",,SUMIFS(PerHeadcount[Month 5],PerHeadcount[exp_item],$H1062,PerHeadcount[company_name],$B1062)*P222)</f>
        <v>0</v>
      </c>
      <c r="Q1062" s="652">
        <f>IF($B1062="",,SUMIFS(PerHeadcount[Month 6],PerHeadcount[exp_item],$H1062,PerHeadcount[company_name],$B1062)*Q222)</f>
        <v>0</v>
      </c>
      <c r="R1062" s="652">
        <f>IF($B1062="",,SUMIFS(PerHeadcount[Month 7],PerHeadcount[exp_item],$H1062,PerHeadcount[company_name],$B1062)*R222)</f>
        <v>0</v>
      </c>
      <c r="S1062" s="652">
        <f>IF($B1062="",,SUMIFS(PerHeadcount[Month 8],PerHeadcount[exp_item],$H1062,PerHeadcount[company_name],$B1062)*S222)</f>
        <v>0</v>
      </c>
      <c r="T1062" s="652">
        <f>IF($B1062="",,SUMIFS(PerHeadcount[Month 9],PerHeadcount[exp_item],$H1062,PerHeadcount[company_name],$B1062)*T222)</f>
        <v>0</v>
      </c>
      <c r="U1062" s="652">
        <f>IF($B1062="",,SUMIFS(PerHeadcount[Month 10],PerHeadcount[exp_item],$H1062,PerHeadcount[company_name],$B1062)*U222)</f>
        <v>0</v>
      </c>
      <c r="V1062" s="652">
        <f>IF($B1062="",,SUMIFS(PerHeadcount[Month 11],PerHeadcount[exp_item],$H1062,PerHeadcount[company_name],$B1062)*V222)</f>
        <v>0</v>
      </c>
      <c r="W1062" s="652">
        <f>IF($B1062="",,SUMIFS(PerHeadcount[Month 12],PerHeadcount[exp_item],$H1062,PerHeadcount[company_name],$B1062)*W222)</f>
        <v>0</v>
      </c>
      <c r="X1062" s="652">
        <f>IF($B1062="",,SUMIFS(PerHeadcount[Month 13],PerHeadcount[exp_item],$H1062,PerHeadcount[company_name],$B1062)*X222)</f>
        <v>0</v>
      </c>
      <c r="Y1062" s="652">
        <f>IF($B1062="",,SUMIFS(PerHeadcount[Month 14],PerHeadcount[exp_item],$H1062,PerHeadcount[company_name],$B1062)*Y222)</f>
        <v>0</v>
      </c>
      <c r="Z1062" s="652">
        <f>IF($B1062="",,SUMIFS(PerHeadcount[Month 15],PerHeadcount[exp_item],$H1062,PerHeadcount[company_name],$B1062)*Z222)</f>
        <v>0</v>
      </c>
      <c r="AA1062" s="652">
        <f>IF($B1062="",,SUMIFS(PerHeadcount[Month 16],PerHeadcount[exp_item],$H1062,PerHeadcount[company_name],$B1062)*AA222)</f>
        <v>0</v>
      </c>
      <c r="AB1062" s="652">
        <f>IF($B1062="",,SUMIFS(PerHeadcount[Month 17],PerHeadcount[exp_item],$H1062,PerHeadcount[company_name],$B1062)*AB222)</f>
        <v>0</v>
      </c>
      <c r="AC1062" s="652">
        <f>IF($B1062="",,SUMIFS(PerHeadcount[Month 18],PerHeadcount[exp_item],$H1062,PerHeadcount[company_name],$B1062)*AC222)</f>
        <v>0</v>
      </c>
      <c r="AD1062" s="652">
        <f>IF($B1062="",,SUMIFS(PerHeadcount[Month 19],PerHeadcount[exp_item],$H1062,PerHeadcount[company_name],$B1062)*AD222)</f>
        <v>0</v>
      </c>
      <c r="AE1062" s="652">
        <f>IF($B1062="",,SUMIFS(PerHeadcount[Month 20],PerHeadcount[exp_item],$H1062,PerHeadcount[company_name],$B1062)*AE222)</f>
        <v>0</v>
      </c>
      <c r="AF1062" s="652">
        <f>IF($B1062="",,SUMIFS(PerHeadcount[Month 21],PerHeadcount[exp_item],$H1062,PerHeadcount[company_name],$B1062)*AF222)</f>
        <v>0</v>
      </c>
      <c r="AG1062" s="652">
        <f>IF($B1062="",,SUMIFS(PerHeadcount[Month 22],PerHeadcount[exp_item],$H1062,PerHeadcount[company_name],$B1062)*AG222)</f>
        <v>0</v>
      </c>
      <c r="AH1062" s="652">
        <f>IF($B1062="",,SUMIFS(PerHeadcount[Month 23],PerHeadcount[exp_item],$H1062,PerHeadcount[company_name],$B1062)*AH222)</f>
        <v>0</v>
      </c>
      <c r="AI1062" s="652">
        <f>IF($B1062="",,SUMIFS(PerHeadcount[Month 24],PerHeadcount[exp_item],$H1062,PerHeadcount[company_name],$B1062)*AI222)</f>
        <v>0</v>
      </c>
      <c r="AJ1062" s="652">
        <f>IF($B1062="",,SUMIFS(PerHeadcount[Month 25],PerHeadcount[exp_item],$H1062,PerHeadcount[company_name],$B1062)*AJ222)</f>
        <v>0</v>
      </c>
      <c r="AK1062" s="652">
        <f>IF($B1062="",,SUMIFS(PerHeadcount[Month 26],PerHeadcount[exp_item],$H1062,PerHeadcount[company_name],$B1062)*AK222)</f>
        <v>0</v>
      </c>
      <c r="AL1062" s="652">
        <f>IF($B1062="",,SUMIFS(PerHeadcount[Month 27],PerHeadcount[exp_item],$H1062,PerHeadcount[company_name],$B1062)*AL222)</f>
        <v>0</v>
      </c>
      <c r="AM1062" s="652">
        <f>IF($B1062="",,SUMIFS(PerHeadcount[Month 28],PerHeadcount[exp_item],$H1062,PerHeadcount[company_name],$B1062)*AM222)</f>
        <v>0</v>
      </c>
      <c r="AN1062" s="652">
        <f>IF($B1062="",,SUMIFS(PerHeadcount[Month 29],PerHeadcount[exp_item],$H1062,PerHeadcount[company_name],$B1062)*AN222)</f>
        <v>0</v>
      </c>
      <c r="AO1062" s="652">
        <f>IF($B1062="",,SUMIFS(PerHeadcount[Month 30],PerHeadcount[exp_item],$H1062,PerHeadcount[company_name],$B1062)*AO222)</f>
        <v>0</v>
      </c>
      <c r="AP1062" s="652">
        <f>IF($B1062="",,SUMIFS(PerHeadcount[Month 31],PerHeadcount[exp_item],$H1062,PerHeadcount[company_name],$B1062)*AP222)</f>
        <v>0</v>
      </c>
      <c r="AQ1062" s="652">
        <f>IF($B1062="",,SUMIFS(PerHeadcount[Month 32],PerHeadcount[exp_item],$H1062,PerHeadcount[company_name],$B1062)*AQ222)</f>
        <v>0</v>
      </c>
      <c r="AR1062" s="652">
        <f>IF($B1062="",,SUMIFS(PerHeadcount[Month 33],PerHeadcount[exp_item],$H1062,PerHeadcount[company_name],$B1062)*AR222)</f>
        <v>0</v>
      </c>
      <c r="AS1062" s="652">
        <f>IF($B1062="",,SUMIFS(PerHeadcount[Month 34],PerHeadcount[exp_item],$H1062,PerHeadcount[company_name],$B1062)*AS222)</f>
        <v>0</v>
      </c>
      <c r="AT1062" s="652">
        <f>IF($B1062="",,SUMIFS(PerHeadcount[Month 35],PerHeadcount[exp_item],$H1062,PerHeadcount[company_name],$B1062)*AT222)</f>
        <v>0</v>
      </c>
      <c r="AU1062" s="652">
        <f>IF($B1062="",,SUMIFS(PerHeadcount[Month 36],PerHeadcount[exp_item],$H1062,PerHeadcount[company_name],$B1062)*AU222)</f>
        <v>0</v>
      </c>
    </row>
    <row r="1063" spans="2:47" x14ac:dyDescent="0.35">
      <c r="B1063" t="str">
        <f t="shared" si="698"/>
        <v/>
      </c>
      <c r="C1063" t="str">
        <f t="shared" ref="C1063:G1063" si="703">IF(C958="","",C958)</f>
        <v/>
      </c>
      <c r="D1063" t="str">
        <f t="shared" si="703"/>
        <v/>
      </c>
      <c r="E1063" t="str">
        <f t="shared" si="703"/>
        <v/>
      </c>
      <c r="F1063" t="str">
        <f t="shared" si="703"/>
        <v/>
      </c>
      <c r="G1063" t="str">
        <f t="shared" si="703"/>
        <v/>
      </c>
      <c r="H1063" t="str">
        <f t="shared" si="697"/>
        <v/>
      </c>
      <c r="J1063" t="str">
        <f>IF($H1063="","",IF(VLOOKUP(H1063,ExpItems[],2,0),H1063&amp;" - "&amp;INDEX(DivisionMapping[category_code],MATCH($D1063&amp;$C1063,DivisionMapping[dept_bu],0)),H1063))</f>
        <v/>
      </c>
      <c r="K1063" t="str">
        <f t="shared" si="665"/>
        <v/>
      </c>
      <c r="L1063" s="652">
        <f>IF($B1063="",,SUMIFS(PerHeadcount[Month 1],PerHeadcount[exp_item],$H1063,PerHeadcount[company_name],$B1063)*L223)</f>
        <v>0</v>
      </c>
      <c r="M1063" s="652">
        <f>IF($B1063="",,SUMIFS(PerHeadcount[Month 2],PerHeadcount[exp_item],$H1063,PerHeadcount[company_name],$B1063)*M223)</f>
        <v>0</v>
      </c>
      <c r="N1063" s="652">
        <f>IF($B1063="",,SUMIFS(PerHeadcount[Month 3],PerHeadcount[exp_item],$H1063,PerHeadcount[company_name],$B1063)*N223)</f>
        <v>0</v>
      </c>
      <c r="O1063" s="652">
        <f>IF($B1063="",,SUMIFS(PerHeadcount[Month 4],PerHeadcount[exp_item],$H1063,PerHeadcount[company_name],$B1063)*O223)</f>
        <v>0</v>
      </c>
      <c r="P1063" s="652">
        <f>IF($B1063="",,SUMIFS(PerHeadcount[Month 5],PerHeadcount[exp_item],$H1063,PerHeadcount[company_name],$B1063)*P223)</f>
        <v>0</v>
      </c>
      <c r="Q1063" s="652">
        <f>IF($B1063="",,SUMIFS(PerHeadcount[Month 6],PerHeadcount[exp_item],$H1063,PerHeadcount[company_name],$B1063)*Q223)</f>
        <v>0</v>
      </c>
      <c r="R1063" s="652">
        <f>IF($B1063="",,SUMIFS(PerHeadcount[Month 7],PerHeadcount[exp_item],$H1063,PerHeadcount[company_name],$B1063)*R223)</f>
        <v>0</v>
      </c>
      <c r="S1063" s="652">
        <f>IF($B1063="",,SUMIFS(PerHeadcount[Month 8],PerHeadcount[exp_item],$H1063,PerHeadcount[company_name],$B1063)*S223)</f>
        <v>0</v>
      </c>
      <c r="T1063" s="652">
        <f>IF($B1063="",,SUMIFS(PerHeadcount[Month 9],PerHeadcount[exp_item],$H1063,PerHeadcount[company_name],$B1063)*T223)</f>
        <v>0</v>
      </c>
      <c r="U1063" s="652">
        <f>IF($B1063="",,SUMIFS(PerHeadcount[Month 10],PerHeadcount[exp_item],$H1063,PerHeadcount[company_name],$B1063)*U223)</f>
        <v>0</v>
      </c>
      <c r="V1063" s="652">
        <f>IF($B1063="",,SUMIFS(PerHeadcount[Month 11],PerHeadcount[exp_item],$H1063,PerHeadcount[company_name],$B1063)*V223)</f>
        <v>0</v>
      </c>
      <c r="W1063" s="652">
        <f>IF($B1063="",,SUMIFS(PerHeadcount[Month 12],PerHeadcount[exp_item],$H1063,PerHeadcount[company_name],$B1063)*W223)</f>
        <v>0</v>
      </c>
      <c r="X1063" s="652">
        <f>IF($B1063="",,SUMIFS(PerHeadcount[Month 13],PerHeadcount[exp_item],$H1063,PerHeadcount[company_name],$B1063)*X223)</f>
        <v>0</v>
      </c>
      <c r="Y1063" s="652">
        <f>IF($B1063="",,SUMIFS(PerHeadcount[Month 14],PerHeadcount[exp_item],$H1063,PerHeadcount[company_name],$B1063)*Y223)</f>
        <v>0</v>
      </c>
      <c r="Z1063" s="652">
        <f>IF($B1063="",,SUMIFS(PerHeadcount[Month 15],PerHeadcount[exp_item],$H1063,PerHeadcount[company_name],$B1063)*Z223)</f>
        <v>0</v>
      </c>
      <c r="AA1063" s="652">
        <f>IF($B1063="",,SUMIFS(PerHeadcount[Month 16],PerHeadcount[exp_item],$H1063,PerHeadcount[company_name],$B1063)*AA223)</f>
        <v>0</v>
      </c>
      <c r="AB1063" s="652">
        <f>IF($B1063="",,SUMIFS(PerHeadcount[Month 17],PerHeadcount[exp_item],$H1063,PerHeadcount[company_name],$B1063)*AB223)</f>
        <v>0</v>
      </c>
      <c r="AC1063" s="652">
        <f>IF($B1063="",,SUMIFS(PerHeadcount[Month 18],PerHeadcount[exp_item],$H1063,PerHeadcount[company_name],$B1063)*AC223)</f>
        <v>0</v>
      </c>
      <c r="AD1063" s="652">
        <f>IF($B1063="",,SUMIFS(PerHeadcount[Month 19],PerHeadcount[exp_item],$H1063,PerHeadcount[company_name],$B1063)*AD223)</f>
        <v>0</v>
      </c>
      <c r="AE1063" s="652">
        <f>IF($B1063="",,SUMIFS(PerHeadcount[Month 20],PerHeadcount[exp_item],$H1063,PerHeadcount[company_name],$B1063)*AE223)</f>
        <v>0</v>
      </c>
      <c r="AF1063" s="652">
        <f>IF($B1063="",,SUMIFS(PerHeadcount[Month 21],PerHeadcount[exp_item],$H1063,PerHeadcount[company_name],$B1063)*AF223)</f>
        <v>0</v>
      </c>
      <c r="AG1063" s="652">
        <f>IF($B1063="",,SUMIFS(PerHeadcount[Month 22],PerHeadcount[exp_item],$H1063,PerHeadcount[company_name],$B1063)*AG223)</f>
        <v>0</v>
      </c>
      <c r="AH1063" s="652">
        <f>IF($B1063="",,SUMIFS(PerHeadcount[Month 23],PerHeadcount[exp_item],$H1063,PerHeadcount[company_name],$B1063)*AH223)</f>
        <v>0</v>
      </c>
      <c r="AI1063" s="652">
        <f>IF($B1063="",,SUMIFS(PerHeadcount[Month 24],PerHeadcount[exp_item],$H1063,PerHeadcount[company_name],$B1063)*AI223)</f>
        <v>0</v>
      </c>
      <c r="AJ1063" s="652">
        <f>IF($B1063="",,SUMIFS(PerHeadcount[Month 25],PerHeadcount[exp_item],$H1063,PerHeadcount[company_name],$B1063)*AJ223)</f>
        <v>0</v>
      </c>
      <c r="AK1063" s="652">
        <f>IF($B1063="",,SUMIFS(PerHeadcount[Month 26],PerHeadcount[exp_item],$H1063,PerHeadcount[company_name],$B1063)*AK223)</f>
        <v>0</v>
      </c>
      <c r="AL1063" s="652">
        <f>IF($B1063="",,SUMIFS(PerHeadcount[Month 27],PerHeadcount[exp_item],$H1063,PerHeadcount[company_name],$B1063)*AL223)</f>
        <v>0</v>
      </c>
      <c r="AM1063" s="652">
        <f>IF($B1063="",,SUMIFS(PerHeadcount[Month 28],PerHeadcount[exp_item],$H1063,PerHeadcount[company_name],$B1063)*AM223)</f>
        <v>0</v>
      </c>
      <c r="AN1063" s="652">
        <f>IF($B1063="",,SUMIFS(PerHeadcount[Month 29],PerHeadcount[exp_item],$H1063,PerHeadcount[company_name],$B1063)*AN223)</f>
        <v>0</v>
      </c>
      <c r="AO1063" s="652">
        <f>IF($B1063="",,SUMIFS(PerHeadcount[Month 30],PerHeadcount[exp_item],$H1063,PerHeadcount[company_name],$B1063)*AO223)</f>
        <v>0</v>
      </c>
      <c r="AP1063" s="652">
        <f>IF($B1063="",,SUMIFS(PerHeadcount[Month 31],PerHeadcount[exp_item],$H1063,PerHeadcount[company_name],$B1063)*AP223)</f>
        <v>0</v>
      </c>
      <c r="AQ1063" s="652">
        <f>IF($B1063="",,SUMIFS(PerHeadcount[Month 32],PerHeadcount[exp_item],$H1063,PerHeadcount[company_name],$B1063)*AQ223)</f>
        <v>0</v>
      </c>
      <c r="AR1063" s="652">
        <f>IF($B1063="",,SUMIFS(PerHeadcount[Month 33],PerHeadcount[exp_item],$H1063,PerHeadcount[company_name],$B1063)*AR223)</f>
        <v>0</v>
      </c>
      <c r="AS1063" s="652">
        <f>IF($B1063="",,SUMIFS(PerHeadcount[Month 34],PerHeadcount[exp_item],$H1063,PerHeadcount[company_name],$B1063)*AS223)</f>
        <v>0</v>
      </c>
      <c r="AT1063" s="652">
        <f>IF($B1063="",,SUMIFS(PerHeadcount[Month 35],PerHeadcount[exp_item],$H1063,PerHeadcount[company_name],$B1063)*AT223)</f>
        <v>0</v>
      </c>
      <c r="AU1063" s="652">
        <f>IF($B1063="",,SUMIFS(PerHeadcount[Month 36],PerHeadcount[exp_item],$H1063,PerHeadcount[company_name],$B1063)*AU223)</f>
        <v>0</v>
      </c>
    </row>
    <row r="1064" spans="2:47" x14ac:dyDescent="0.35">
      <c r="B1064" t="str">
        <f t="shared" si="698"/>
        <v/>
      </c>
      <c r="C1064" t="str">
        <f t="shared" ref="C1064:G1064" si="704">IF(C959="","",C959)</f>
        <v/>
      </c>
      <c r="D1064" t="str">
        <f t="shared" si="704"/>
        <v/>
      </c>
      <c r="E1064" t="str">
        <f t="shared" si="704"/>
        <v/>
      </c>
      <c r="F1064" t="str">
        <f t="shared" si="704"/>
        <v/>
      </c>
      <c r="G1064" t="str">
        <f t="shared" si="704"/>
        <v/>
      </c>
      <c r="H1064" t="str">
        <f t="shared" si="697"/>
        <v/>
      </c>
      <c r="J1064" t="str">
        <f>IF($H1064="","",IF(VLOOKUP(H1064,ExpItems[],2,0),H1064&amp;" - "&amp;INDEX(DivisionMapping[category_code],MATCH($D1064&amp;$C1064,DivisionMapping[dept_bu],0)),H1064))</f>
        <v/>
      </c>
      <c r="K1064" t="str">
        <f t="shared" si="665"/>
        <v/>
      </c>
      <c r="L1064" s="652">
        <f>IF($B1064="",,SUMIFS(PerHeadcount[Month 1],PerHeadcount[exp_item],$H1064,PerHeadcount[company_name],$B1064)*L224)</f>
        <v>0</v>
      </c>
      <c r="M1064" s="652">
        <f>IF($B1064="",,SUMIFS(PerHeadcount[Month 2],PerHeadcount[exp_item],$H1064,PerHeadcount[company_name],$B1064)*M224)</f>
        <v>0</v>
      </c>
      <c r="N1064" s="652">
        <f>IF($B1064="",,SUMIFS(PerHeadcount[Month 3],PerHeadcount[exp_item],$H1064,PerHeadcount[company_name],$B1064)*N224)</f>
        <v>0</v>
      </c>
      <c r="O1064" s="652">
        <f>IF($B1064="",,SUMIFS(PerHeadcount[Month 4],PerHeadcount[exp_item],$H1064,PerHeadcount[company_name],$B1064)*O224)</f>
        <v>0</v>
      </c>
      <c r="P1064" s="652">
        <f>IF($B1064="",,SUMIFS(PerHeadcount[Month 5],PerHeadcount[exp_item],$H1064,PerHeadcount[company_name],$B1064)*P224)</f>
        <v>0</v>
      </c>
      <c r="Q1064" s="652">
        <f>IF($B1064="",,SUMIFS(PerHeadcount[Month 6],PerHeadcount[exp_item],$H1064,PerHeadcount[company_name],$B1064)*Q224)</f>
        <v>0</v>
      </c>
      <c r="R1064" s="652">
        <f>IF($B1064="",,SUMIFS(PerHeadcount[Month 7],PerHeadcount[exp_item],$H1064,PerHeadcount[company_name],$B1064)*R224)</f>
        <v>0</v>
      </c>
      <c r="S1064" s="652">
        <f>IF($B1064="",,SUMIFS(PerHeadcount[Month 8],PerHeadcount[exp_item],$H1064,PerHeadcount[company_name],$B1064)*S224)</f>
        <v>0</v>
      </c>
      <c r="T1064" s="652">
        <f>IF($B1064="",,SUMIFS(PerHeadcount[Month 9],PerHeadcount[exp_item],$H1064,PerHeadcount[company_name],$B1064)*T224)</f>
        <v>0</v>
      </c>
      <c r="U1064" s="652">
        <f>IF($B1064="",,SUMIFS(PerHeadcount[Month 10],PerHeadcount[exp_item],$H1064,PerHeadcount[company_name],$B1064)*U224)</f>
        <v>0</v>
      </c>
      <c r="V1064" s="652">
        <f>IF($B1064="",,SUMIFS(PerHeadcount[Month 11],PerHeadcount[exp_item],$H1064,PerHeadcount[company_name],$B1064)*V224)</f>
        <v>0</v>
      </c>
      <c r="W1064" s="652">
        <f>IF($B1064="",,SUMIFS(PerHeadcount[Month 12],PerHeadcount[exp_item],$H1064,PerHeadcount[company_name],$B1064)*W224)</f>
        <v>0</v>
      </c>
      <c r="X1064" s="652">
        <f>IF($B1064="",,SUMIFS(PerHeadcount[Month 13],PerHeadcount[exp_item],$H1064,PerHeadcount[company_name],$B1064)*X224)</f>
        <v>0</v>
      </c>
      <c r="Y1064" s="652">
        <f>IF($B1064="",,SUMIFS(PerHeadcount[Month 14],PerHeadcount[exp_item],$H1064,PerHeadcount[company_name],$B1064)*Y224)</f>
        <v>0</v>
      </c>
      <c r="Z1064" s="652">
        <f>IF($B1064="",,SUMIFS(PerHeadcount[Month 15],PerHeadcount[exp_item],$H1064,PerHeadcount[company_name],$B1064)*Z224)</f>
        <v>0</v>
      </c>
      <c r="AA1064" s="652">
        <f>IF($B1064="",,SUMIFS(PerHeadcount[Month 16],PerHeadcount[exp_item],$H1064,PerHeadcount[company_name],$B1064)*AA224)</f>
        <v>0</v>
      </c>
      <c r="AB1064" s="652">
        <f>IF($B1064="",,SUMIFS(PerHeadcount[Month 17],PerHeadcount[exp_item],$H1064,PerHeadcount[company_name],$B1064)*AB224)</f>
        <v>0</v>
      </c>
      <c r="AC1064" s="652">
        <f>IF($B1064="",,SUMIFS(PerHeadcount[Month 18],PerHeadcount[exp_item],$H1064,PerHeadcount[company_name],$B1064)*AC224)</f>
        <v>0</v>
      </c>
      <c r="AD1064" s="652">
        <f>IF($B1064="",,SUMIFS(PerHeadcount[Month 19],PerHeadcount[exp_item],$H1064,PerHeadcount[company_name],$B1064)*AD224)</f>
        <v>0</v>
      </c>
      <c r="AE1064" s="652">
        <f>IF($B1064="",,SUMIFS(PerHeadcount[Month 20],PerHeadcount[exp_item],$H1064,PerHeadcount[company_name],$B1064)*AE224)</f>
        <v>0</v>
      </c>
      <c r="AF1064" s="652">
        <f>IF($B1064="",,SUMIFS(PerHeadcount[Month 21],PerHeadcount[exp_item],$H1064,PerHeadcount[company_name],$B1064)*AF224)</f>
        <v>0</v>
      </c>
      <c r="AG1064" s="652">
        <f>IF($B1064="",,SUMIFS(PerHeadcount[Month 22],PerHeadcount[exp_item],$H1064,PerHeadcount[company_name],$B1064)*AG224)</f>
        <v>0</v>
      </c>
      <c r="AH1064" s="652">
        <f>IF($B1064="",,SUMIFS(PerHeadcount[Month 23],PerHeadcount[exp_item],$H1064,PerHeadcount[company_name],$B1064)*AH224)</f>
        <v>0</v>
      </c>
      <c r="AI1064" s="652">
        <f>IF($B1064="",,SUMIFS(PerHeadcount[Month 24],PerHeadcount[exp_item],$H1064,PerHeadcount[company_name],$B1064)*AI224)</f>
        <v>0</v>
      </c>
      <c r="AJ1064" s="652">
        <f>IF($B1064="",,SUMIFS(PerHeadcount[Month 25],PerHeadcount[exp_item],$H1064,PerHeadcount[company_name],$B1064)*AJ224)</f>
        <v>0</v>
      </c>
      <c r="AK1064" s="652">
        <f>IF($B1064="",,SUMIFS(PerHeadcount[Month 26],PerHeadcount[exp_item],$H1064,PerHeadcount[company_name],$B1064)*AK224)</f>
        <v>0</v>
      </c>
      <c r="AL1064" s="652">
        <f>IF($B1064="",,SUMIFS(PerHeadcount[Month 27],PerHeadcount[exp_item],$H1064,PerHeadcount[company_name],$B1064)*AL224)</f>
        <v>0</v>
      </c>
      <c r="AM1064" s="652">
        <f>IF($B1064="",,SUMIFS(PerHeadcount[Month 28],PerHeadcount[exp_item],$H1064,PerHeadcount[company_name],$B1064)*AM224)</f>
        <v>0</v>
      </c>
      <c r="AN1064" s="652">
        <f>IF($B1064="",,SUMIFS(PerHeadcount[Month 29],PerHeadcount[exp_item],$H1064,PerHeadcount[company_name],$B1064)*AN224)</f>
        <v>0</v>
      </c>
      <c r="AO1064" s="652">
        <f>IF($B1064="",,SUMIFS(PerHeadcount[Month 30],PerHeadcount[exp_item],$H1064,PerHeadcount[company_name],$B1064)*AO224)</f>
        <v>0</v>
      </c>
      <c r="AP1064" s="652">
        <f>IF($B1064="",,SUMIFS(PerHeadcount[Month 31],PerHeadcount[exp_item],$H1064,PerHeadcount[company_name],$B1064)*AP224)</f>
        <v>0</v>
      </c>
      <c r="AQ1064" s="652">
        <f>IF($B1064="",,SUMIFS(PerHeadcount[Month 32],PerHeadcount[exp_item],$H1064,PerHeadcount[company_name],$B1064)*AQ224)</f>
        <v>0</v>
      </c>
      <c r="AR1064" s="652">
        <f>IF($B1064="",,SUMIFS(PerHeadcount[Month 33],PerHeadcount[exp_item],$H1064,PerHeadcount[company_name],$B1064)*AR224)</f>
        <v>0</v>
      </c>
      <c r="AS1064" s="652">
        <f>IF($B1064="",,SUMIFS(PerHeadcount[Month 34],PerHeadcount[exp_item],$H1064,PerHeadcount[company_name],$B1064)*AS224)</f>
        <v>0</v>
      </c>
      <c r="AT1064" s="652">
        <f>IF($B1064="",,SUMIFS(PerHeadcount[Month 35],PerHeadcount[exp_item],$H1064,PerHeadcount[company_name],$B1064)*AT224)</f>
        <v>0</v>
      </c>
      <c r="AU1064" s="652">
        <f>IF($B1064="",,SUMIFS(PerHeadcount[Month 36],PerHeadcount[exp_item],$H1064,PerHeadcount[company_name],$B1064)*AU224)</f>
        <v>0</v>
      </c>
    </row>
    <row r="1065" spans="2:47" x14ac:dyDescent="0.35">
      <c r="B1065" t="str">
        <f t="shared" si="698"/>
        <v/>
      </c>
      <c r="C1065" t="str">
        <f t="shared" ref="C1065:G1065" si="705">IF(C960="","",C960)</f>
        <v/>
      </c>
      <c r="D1065" t="str">
        <f t="shared" si="705"/>
        <v/>
      </c>
      <c r="E1065" t="str">
        <f t="shared" si="705"/>
        <v/>
      </c>
      <c r="F1065" t="str">
        <f t="shared" si="705"/>
        <v/>
      </c>
      <c r="G1065" t="str">
        <f t="shared" si="705"/>
        <v/>
      </c>
      <c r="H1065" t="str">
        <f t="shared" si="697"/>
        <v/>
      </c>
      <c r="J1065" t="str">
        <f>IF($H1065="","",IF(VLOOKUP(H1065,ExpItems[],2,0),H1065&amp;" - "&amp;INDEX(DivisionMapping[category_code],MATCH($D1065&amp;$C1065,DivisionMapping[dept_bu],0)),H1065))</f>
        <v/>
      </c>
      <c r="K1065" t="str">
        <f t="shared" si="665"/>
        <v/>
      </c>
      <c r="L1065" s="652">
        <f>IF($B1065="",,SUMIFS(PerHeadcount[Month 1],PerHeadcount[exp_item],$H1065,PerHeadcount[company_name],$B1065)*L225)</f>
        <v>0</v>
      </c>
      <c r="M1065" s="652">
        <f>IF($B1065="",,SUMIFS(PerHeadcount[Month 2],PerHeadcount[exp_item],$H1065,PerHeadcount[company_name],$B1065)*M225)</f>
        <v>0</v>
      </c>
      <c r="N1065" s="652">
        <f>IF($B1065="",,SUMIFS(PerHeadcount[Month 3],PerHeadcount[exp_item],$H1065,PerHeadcount[company_name],$B1065)*N225)</f>
        <v>0</v>
      </c>
      <c r="O1065" s="652">
        <f>IF($B1065="",,SUMIFS(PerHeadcount[Month 4],PerHeadcount[exp_item],$H1065,PerHeadcount[company_name],$B1065)*O225)</f>
        <v>0</v>
      </c>
      <c r="P1065" s="652">
        <f>IF($B1065="",,SUMIFS(PerHeadcount[Month 5],PerHeadcount[exp_item],$H1065,PerHeadcount[company_name],$B1065)*P225)</f>
        <v>0</v>
      </c>
      <c r="Q1065" s="652">
        <f>IF($B1065="",,SUMIFS(PerHeadcount[Month 6],PerHeadcount[exp_item],$H1065,PerHeadcount[company_name],$B1065)*Q225)</f>
        <v>0</v>
      </c>
      <c r="R1065" s="652">
        <f>IF($B1065="",,SUMIFS(PerHeadcount[Month 7],PerHeadcount[exp_item],$H1065,PerHeadcount[company_name],$B1065)*R225)</f>
        <v>0</v>
      </c>
      <c r="S1065" s="652">
        <f>IF($B1065="",,SUMIFS(PerHeadcount[Month 8],PerHeadcount[exp_item],$H1065,PerHeadcount[company_name],$B1065)*S225)</f>
        <v>0</v>
      </c>
      <c r="T1065" s="652">
        <f>IF($B1065="",,SUMIFS(PerHeadcount[Month 9],PerHeadcount[exp_item],$H1065,PerHeadcount[company_name],$B1065)*T225)</f>
        <v>0</v>
      </c>
      <c r="U1065" s="652">
        <f>IF($B1065="",,SUMIFS(PerHeadcount[Month 10],PerHeadcount[exp_item],$H1065,PerHeadcount[company_name],$B1065)*U225)</f>
        <v>0</v>
      </c>
      <c r="V1065" s="652">
        <f>IF($B1065="",,SUMIFS(PerHeadcount[Month 11],PerHeadcount[exp_item],$H1065,PerHeadcount[company_name],$B1065)*V225)</f>
        <v>0</v>
      </c>
      <c r="W1065" s="652">
        <f>IF($B1065="",,SUMIFS(PerHeadcount[Month 12],PerHeadcount[exp_item],$H1065,PerHeadcount[company_name],$B1065)*W225)</f>
        <v>0</v>
      </c>
      <c r="X1065" s="652">
        <f>IF($B1065="",,SUMIFS(PerHeadcount[Month 13],PerHeadcount[exp_item],$H1065,PerHeadcount[company_name],$B1065)*X225)</f>
        <v>0</v>
      </c>
      <c r="Y1065" s="652">
        <f>IF($B1065="",,SUMIFS(PerHeadcount[Month 14],PerHeadcount[exp_item],$H1065,PerHeadcount[company_name],$B1065)*Y225)</f>
        <v>0</v>
      </c>
      <c r="Z1065" s="652">
        <f>IF($B1065="",,SUMIFS(PerHeadcount[Month 15],PerHeadcount[exp_item],$H1065,PerHeadcount[company_name],$B1065)*Z225)</f>
        <v>0</v>
      </c>
      <c r="AA1065" s="652">
        <f>IF($B1065="",,SUMIFS(PerHeadcount[Month 16],PerHeadcount[exp_item],$H1065,PerHeadcount[company_name],$B1065)*AA225)</f>
        <v>0</v>
      </c>
      <c r="AB1065" s="652">
        <f>IF($B1065="",,SUMIFS(PerHeadcount[Month 17],PerHeadcount[exp_item],$H1065,PerHeadcount[company_name],$B1065)*AB225)</f>
        <v>0</v>
      </c>
      <c r="AC1065" s="652">
        <f>IF($B1065="",,SUMIFS(PerHeadcount[Month 18],PerHeadcount[exp_item],$H1065,PerHeadcount[company_name],$B1065)*AC225)</f>
        <v>0</v>
      </c>
      <c r="AD1065" s="652">
        <f>IF($B1065="",,SUMIFS(PerHeadcount[Month 19],PerHeadcount[exp_item],$H1065,PerHeadcount[company_name],$B1065)*AD225)</f>
        <v>0</v>
      </c>
      <c r="AE1065" s="652">
        <f>IF($B1065="",,SUMIFS(PerHeadcount[Month 20],PerHeadcount[exp_item],$H1065,PerHeadcount[company_name],$B1065)*AE225)</f>
        <v>0</v>
      </c>
      <c r="AF1065" s="652">
        <f>IF($B1065="",,SUMIFS(PerHeadcount[Month 21],PerHeadcount[exp_item],$H1065,PerHeadcount[company_name],$B1065)*AF225)</f>
        <v>0</v>
      </c>
      <c r="AG1065" s="652">
        <f>IF($B1065="",,SUMIFS(PerHeadcount[Month 22],PerHeadcount[exp_item],$H1065,PerHeadcount[company_name],$B1065)*AG225)</f>
        <v>0</v>
      </c>
      <c r="AH1065" s="652">
        <f>IF($B1065="",,SUMIFS(PerHeadcount[Month 23],PerHeadcount[exp_item],$H1065,PerHeadcount[company_name],$B1065)*AH225)</f>
        <v>0</v>
      </c>
      <c r="AI1065" s="652">
        <f>IF($B1065="",,SUMIFS(PerHeadcount[Month 24],PerHeadcount[exp_item],$H1065,PerHeadcount[company_name],$B1065)*AI225)</f>
        <v>0</v>
      </c>
      <c r="AJ1065" s="652">
        <f>IF($B1065="",,SUMIFS(PerHeadcount[Month 25],PerHeadcount[exp_item],$H1065,PerHeadcount[company_name],$B1065)*AJ225)</f>
        <v>0</v>
      </c>
      <c r="AK1065" s="652">
        <f>IF($B1065="",,SUMIFS(PerHeadcount[Month 26],PerHeadcount[exp_item],$H1065,PerHeadcount[company_name],$B1065)*AK225)</f>
        <v>0</v>
      </c>
      <c r="AL1065" s="652">
        <f>IF($B1065="",,SUMIFS(PerHeadcount[Month 27],PerHeadcount[exp_item],$H1065,PerHeadcount[company_name],$B1065)*AL225)</f>
        <v>0</v>
      </c>
      <c r="AM1065" s="652">
        <f>IF($B1065="",,SUMIFS(PerHeadcount[Month 28],PerHeadcount[exp_item],$H1065,PerHeadcount[company_name],$B1065)*AM225)</f>
        <v>0</v>
      </c>
      <c r="AN1065" s="652">
        <f>IF($B1065="",,SUMIFS(PerHeadcount[Month 29],PerHeadcount[exp_item],$H1065,PerHeadcount[company_name],$B1065)*AN225)</f>
        <v>0</v>
      </c>
      <c r="AO1065" s="652">
        <f>IF($B1065="",,SUMIFS(PerHeadcount[Month 30],PerHeadcount[exp_item],$H1065,PerHeadcount[company_name],$B1065)*AO225)</f>
        <v>0</v>
      </c>
      <c r="AP1065" s="652">
        <f>IF($B1065="",,SUMIFS(PerHeadcount[Month 31],PerHeadcount[exp_item],$H1065,PerHeadcount[company_name],$B1065)*AP225)</f>
        <v>0</v>
      </c>
      <c r="AQ1065" s="652">
        <f>IF($B1065="",,SUMIFS(PerHeadcount[Month 32],PerHeadcount[exp_item],$H1065,PerHeadcount[company_name],$B1065)*AQ225)</f>
        <v>0</v>
      </c>
      <c r="AR1065" s="652">
        <f>IF($B1065="",,SUMIFS(PerHeadcount[Month 33],PerHeadcount[exp_item],$H1065,PerHeadcount[company_name],$B1065)*AR225)</f>
        <v>0</v>
      </c>
      <c r="AS1065" s="652">
        <f>IF($B1065="",,SUMIFS(PerHeadcount[Month 34],PerHeadcount[exp_item],$H1065,PerHeadcount[company_name],$B1065)*AS225)</f>
        <v>0</v>
      </c>
      <c r="AT1065" s="652">
        <f>IF($B1065="",,SUMIFS(PerHeadcount[Month 35],PerHeadcount[exp_item],$H1065,PerHeadcount[company_name],$B1065)*AT225)</f>
        <v>0</v>
      </c>
      <c r="AU1065" s="652">
        <f>IF($B1065="",,SUMIFS(PerHeadcount[Month 36],PerHeadcount[exp_item],$H1065,PerHeadcount[company_name],$B1065)*AU225)</f>
        <v>0</v>
      </c>
    </row>
    <row r="1066" spans="2:47" x14ac:dyDescent="0.35">
      <c r="B1066" t="str">
        <f t="shared" si="698"/>
        <v/>
      </c>
      <c r="C1066" t="str">
        <f t="shared" ref="C1066:G1066" si="706">IF(C961="","",C961)</f>
        <v/>
      </c>
      <c r="D1066" t="str">
        <f t="shared" si="706"/>
        <v/>
      </c>
      <c r="E1066" t="str">
        <f t="shared" si="706"/>
        <v/>
      </c>
      <c r="F1066" t="str">
        <f t="shared" si="706"/>
        <v/>
      </c>
      <c r="G1066" t="str">
        <f t="shared" si="706"/>
        <v/>
      </c>
      <c r="H1066" t="str">
        <f t="shared" si="697"/>
        <v/>
      </c>
      <c r="J1066" t="str">
        <f>IF($H1066="","",IF(VLOOKUP(H1066,ExpItems[],2,0),H1066&amp;" - "&amp;INDEX(DivisionMapping[category_code],MATCH($D1066&amp;$C1066,DivisionMapping[dept_bu],0)),H1066))</f>
        <v/>
      </c>
      <c r="K1066" t="str">
        <f t="shared" si="665"/>
        <v/>
      </c>
      <c r="L1066" s="652">
        <f>IF($B1066="",,SUMIFS(PerHeadcount[Month 1],PerHeadcount[exp_item],$H1066,PerHeadcount[company_name],$B1066)*L226)</f>
        <v>0</v>
      </c>
      <c r="M1066" s="652">
        <f>IF($B1066="",,SUMIFS(PerHeadcount[Month 2],PerHeadcount[exp_item],$H1066,PerHeadcount[company_name],$B1066)*M226)</f>
        <v>0</v>
      </c>
      <c r="N1066" s="652">
        <f>IF($B1066="",,SUMIFS(PerHeadcount[Month 3],PerHeadcount[exp_item],$H1066,PerHeadcount[company_name],$B1066)*N226)</f>
        <v>0</v>
      </c>
      <c r="O1066" s="652">
        <f>IF($B1066="",,SUMIFS(PerHeadcount[Month 4],PerHeadcount[exp_item],$H1066,PerHeadcount[company_name],$B1066)*O226)</f>
        <v>0</v>
      </c>
      <c r="P1066" s="652">
        <f>IF($B1066="",,SUMIFS(PerHeadcount[Month 5],PerHeadcount[exp_item],$H1066,PerHeadcount[company_name],$B1066)*P226)</f>
        <v>0</v>
      </c>
      <c r="Q1066" s="652">
        <f>IF($B1066="",,SUMIFS(PerHeadcount[Month 6],PerHeadcount[exp_item],$H1066,PerHeadcount[company_name],$B1066)*Q226)</f>
        <v>0</v>
      </c>
      <c r="R1066" s="652">
        <f>IF($B1066="",,SUMIFS(PerHeadcount[Month 7],PerHeadcount[exp_item],$H1066,PerHeadcount[company_name],$B1066)*R226)</f>
        <v>0</v>
      </c>
      <c r="S1066" s="652">
        <f>IF($B1066="",,SUMIFS(PerHeadcount[Month 8],PerHeadcount[exp_item],$H1066,PerHeadcount[company_name],$B1066)*S226)</f>
        <v>0</v>
      </c>
      <c r="T1066" s="652">
        <f>IF($B1066="",,SUMIFS(PerHeadcount[Month 9],PerHeadcount[exp_item],$H1066,PerHeadcount[company_name],$B1066)*T226)</f>
        <v>0</v>
      </c>
      <c r="U1066" s="652">
        <f>IF($B1066="",,SUMIFS(PerHeadcount[Month 10],PerHeadcount[exp_item],$H1066,PerHeadcount[company_name],$B1066)*U226)</f>
        <v>0</v>
      </c>
      <c r="V1066" s="652">
        <f>IF($B1066="",,SUMIFS(PerHeadcount[Month 11],PerHeadcount[exp_item],$H1066,PerHeadcount[company_name],$B1066)*V226)</f>
        <v>0</v>
      </c>
      <c r="W1066" s="652">
        <f>IF($B1066="",,SUMIFS(PerHeadcount[Month 12],PerHeadcount[exp_item],$H1066,PerHeadcount[company_name],$B1066)*W226)</f>
        <v>0</v>
      </c>
      <c r="X1066" s="652">
        <f>IF($B1066="",,SUMIFS(PerHeadcount[Month 13],PerHeadcount[exp_item],$H1066,PerHeadcount[company_name],$B1066)*X226)</f>
        <v>0</v>
      </c>
      <c r="Y1066" s="652">
        <f>IF($B1066="",,SUMIFS(PerHeadcount[Month 14],PerHeadcount[exp_item],$H1066,PerHeadcount[company_name],$B1066)*Y226)</f>
        <v>0</v>
      </c>
      <c r="Z1066" s="652">
        <f>IF($B1066="",,SUMIFS(PerHeadcount[Month 15],PerHeadcount[exp_item],$H1066,PerHeadcount[company_name],$B1066)*Z226)</f>
        <v>0</v>
      </c>
      <c r="AA1066" s="652">
        <f>IF($B1066="",,SUMIFS(PerHeadcount[Month 16],PerHeadcount[exp_item],$H1066,PerHeadcount[company_name],$B1066)*AA226)</f>
        <v>0</v>
      </c>
      <c r="AB1066" s="652">
        <f>IF($B1066="",,SUMIFS(PerHeadcount[Month 17],PerHeadcount[exp_item],$H1066,PerHeadcount[company_name],$B1066)*AB226)</f>
        <v>0</v>
      </c>
      <c r="AC1066" s="652">
        <f>IF($B1066="",,SUMIFS(PerHeadcount[Month 18],PerHeadcount[exp_item],$H1066,PerHeadcount[company_name],$B1066)*AC226)</f>
        <v>0</v>
      </c>
      <c r="AD1066" s="652">
        <f>IF($B1066="",,SUMIFS(PerHeadcount[Month 19],PerHeadcount[exp_item],$H1066,PerHeadcount[company_name],$B1066)*AD226)</f>
        <v>0</v>
      </c>
      <c r="AE1066" s="652">
        <f>IF($B1066="",,SUMIFS(PerHeadcount[Month 20],PerHeadcount[exp_item],$H1066,PerHeadcount[company_name],$B1066)*AE226)</f>
        <v>0</v>
      </c>
      <c r="AF1066" s="652">
        <f>IF($B1066="",,SUMIFS(PerHeadcount[Month 21],PerHeadcount[exp_item],$H1066,PerHeadcount[company_name],$B1066)*AF226)</f>
        <v>0</v>
      </c>
      <c r="AG1066" s="652">
        <f>IF($B1066="",,SUMIFS(PerHeadcount[Month 22],PerHeadcount[exp_item],$H1066,PerHeadcount[company_name],$B1066)*AG226)</f>
        <v>0</v>
      </c>
      <c r="AH1066" s="652">
        <f>IF($B1066="",,SUMIFS(PerHeadcount[Month 23],PerHeadcount[exp_item],$H1066,PerHeadcount[company_name],$B1066)*AH226)</f>
        <v>0</v>
      </c>
      <c r="AI1066" s="652">
        <f>IF($B1066="",,SUMIFS(PerHeadcount[Month 24],PerHeadcount[exp_item],$H1066,PerHeadcount[company_name],$B1066)*AI226)</f>
        <v>0</v>
      </c>
      <c r="AJ1066" s="652">
        <f>IF($B1066="",,SUMIFS(PerHeadcount[Month 25],PerHeadcount[exp_item],$H1066,PerHeadcount[company_name],$B1066)*AJ226)</f>
        <v>0</v>
      </c>
      <c r="AK1066" s="652">
        <f>IF($B1066="",,SUMIFS(PerHeadcount[Month 26],PerHeadcount[exp_item],$H1066,PerHeadcount[company_name],$B1066)*AK226)</f>
        <v>0</v>
      </c>
      <c r="AL1066" s="652">
        <f>IF($B1066="",,SUMIFS(PerHeadcount[Month 27],PerHeadcount[exp_item],$H1066,PerHeadcount[company_name],$B1066)*AL226)</f>
        <v>0</v>
      </c>
      <c r="AM1066" s="652">
        <f>IF($B1066="",,SUMIFS(PerHeadcount[Month 28],PerHeadcount[exp_item],$H1066,PerHeadcount[company_name],$B1066)*AM226)</f>
        <v>0</v>
      </c>
      <c r="AN1066" s="652">
        <f>IF($B1066="",,SUMIFS(PerHeadcount[Month 29],PerHeadcount[exp_item],$H1066,PerHeadcount[company_name],$B1066)*AN226)</f>
        <v>0</v>
      </c>
      <c r="AO1066" s="652">
        <f>IF($B1066="",,SUMIFS(PerHeadcount[Month 30],PerHeadcount[exp_item],$H1066,PerHeadcount[company_name],$B1066)*AO226)</f>
        <v>0</v>
      </c>
      <c r="AP1066" s="652">
        <f>IF($B1066="",,SUMIFS(PerHeadcount[Month 31],PerHeadcount[exp_item],$H1066,PerHeadcount[company_name],$B1066)*AP226)</f>
        <v>0</v>
      </c>
      <c r="AQ1066" s="652">
        <f>IF($B1066="",,SUMIFS(PerHeadcount[Month 32],PerHeadcount[exp_item],$H1066,PerHeadcount[company_name],$B1066)*AQ226)</f>
        <v>0</v>
      </c>
      <c r="AR1066" s="652">
        <f>IF($B1066="",,SUMIFS(PerHeadcount[Month 33],PerHeadcount[exp_item],$H1066,PerHeadcount[company_name],$B1066)*AR226)</f>
        <v>0</v>
      </c>
      <c r="AS1066" s="652">
        <f>IF($B1066="",,SUMIFS(PerHeadcount[Month 34],PerHeadcount[exp_item],$H1066,PerHeadcount[company_name],$B1066)*AS226)</f>
        <v>0</v>
      </c>
      <c r="AT1066" s="652">
        <f>IF($B1066="",,SUMIFS(PerHeadcount[Month 35],PerHeadcount[exp_item],$H1066,PerHeadcount[company_name],$B1066)*AT226)</f>
        <v>0</v>
      </c>
      <c r="AU1066" s="652">
        <f>IF($B1066="",,SUMIFS(PerHeadcount[Month 36],PerHeadcount[exp_item],$H1066,PerHeadcount[company_name],$B1066)*AU226)</f>
        <v>0</v>
      </c>
    </row>
    <row r="1067" spans="2:47" x14ac:dyDescent="0.35">
      <c r="B1067" t="str">
        <f t="shared" si="698"/>
        <v/>
      </c>
      <c r="C1067" t="str">
        <f t="shared" ref="C1067:G1067" si="707">IF(C962="","",C962)</f>
        <v/>
      </c>
      <c r="D1067" t="str">
        <f t="shared" si="707"/>
        <v/>
      </c>
      <c r="E1067" t="str">
        <f t="shared" si="707"/>
        <v/>
      </c>
      <c r="F1067" t="str">
        <f t="shared" si="707"/>
        <v/>
      </c>
      <c r="G1067" t="str">
        <f t="shared" si="707"/>
        <v/>
      </c>
      <c r="H1067" t="str">
        <f t="shared" si="697"/>
        <v/>
      </c>
      <c r="J1067" t="str">
        <f>IF($H1067="","",IF(VLOOKUP(H1067,ExpItems[],2,0),H1067&amp;" - "&amp;INDEX(DivisionMapping[category_code],MATCH($D1067&amp;$C1067,DivisionMapping[dept_bu],0)),H1067))</f>
        <v/>
      </c>
      <c r="K1067" t="str">
        <f t="shared" si="665"/>
        <v/>
      </c>
      <c r="L1067" s="652">
        <f>IF($B1067="",,SUMIFS(PerHeadcount[Month 1],PerHeadcount[exp_item],$H1067,PerHeadcount[company_name],$B1067)*L227)</f>
        <v>0</v>
      </c>
      <c r="M1067" s="652">
        <f>IF($B1067="",,SUMIFS(PerHeadcount[Month 2],PerHeadcount[exp_item],$H1067,PerHeadcount[company_name],$B1067)*M227)</f>
        <v>0</v>
      </c>
      <c r="N1067" s="652">
        <f>IF($B1067="",,SUMIFS(PerHeadcount[Month 3],PerHeadcount[exp_item],$H1067,PerHeadcount[company_name],$B1067)*N227)</f>
        <v>0</v>
      </c>
      <c r="O1067" s="652">
        <f>IF($B1067="",,SUMIFS(PerHeadcount[Month 4],PerHeadcount[exp_item],$H1067,PerHeadcount[company_name],$B1067)*O227)</f>
        <v>0</v>
      </c>
      <c r="P1067" s="652">
        <f>IF($B1067="",,SUMIFS(PerHeadcount[Month 5],PerHeadcount[exp_item],$H1067,PerHeadcount[company_name],$B1067)*P227)</f>
        <v>0</v>
      </c>
      <c r="Q1067" s="652">
        <f>IF($B1067="",,SUMIFS(PerHeadcount[Month 6],PerHeadcount[exp_item],$H1067,PerHeadcount[company_name],$B1067)*Q227)</f>
        <v>0</v>
      </c>
      <c r="R1067" s="652">
        <f>IF($B1067="",,SUMIFS(PerHeadcount[Month 7],PerHeadcount[exp_item],$H1067,PerHeadcount[company_name],$B1067)*R227)</f>
        <v>0</v>
      </c>
      <c r="S1067" s="652">
        <f>IF($B1067="",,SUMIFS(PerHeadcount[Month 8],PerHeadcount[exp_item],$H1067,PerHeadcount[company_name],$B1067)*S227)</f>
        <v>0</v>
      </c>
      <c r="T1067" s="652">
        <f>IF($B1067="",,SUMIFS(PerHeadcount[Month 9],PerHeadcount[exp_item],$H1067,PerHeadcount[company_name],$B1067)*T227)</f>
        <v>0</v>
      </c>
      <c r="U1067" s="652">
        <f>IF($B1067="",,SUMIFS(PerHeadcount[Month 10],PerHeadcount[exp_item],$H1067,PerHeadcount[company_name],$B1067)*U227)</f>
        <v>0</v>
      </c>
      <c r="V1067" s="652">
        <f>IF($B1067="",,SUMIFS(PerHeadcount[Month 11],PerHeadcount[exp_item],$H1067,PerHeadcount[company_name],$B1067)*V227)</f>
        <v>0</v>
      </c>
      <c r="W1067" s="652">
        <f>IF($B1067="",,SUMIFS(PerHeadcount[Month 12],PerHeadcount[exp_item],$H1067,PerHeadcount[company_name],$B1067)*W227)</f>
        <v>0</v>
      </c>
      <c r="X1067" s="652">
        <f>IF($B1067="",,SUMIFS(PerHeadcount[Month 13],PerHeadcount[exp_item],$H1067,PerHeadcount[company_name],$B1067)*X227)</f>
        <v>0</v>
      </c>
      <c r="Y1067" s="652">
        <f>IF($B1067="",,SUMIFS(PerHeadcount[Month 14],PerHeadcount[exp_item],$H1067,PerHeadcount[company_name],$B1067)*Y227)</f>
        <v>0</v>
      </c>
      <c r="Z1067" s="652">
        <f>IF($B1067="",,SUMIFS(PerHeadcount[Month 15],PerHeadcount[exp_item],$H1067,PerHeadcount[company_name],$B1067)*Z227)</f>
        <v>0</v>
      </c>
      <c r="AA1067" s="652">
        <f>IF($B1067="",,SUMIFS(PerHeadcount[Month 16],PerHeadcount[exp_item],$H1067,PerHeadcount[company_name],$B1067)*AA227)</f>
        <v>0</v>
      </c>
      <c r="AB1067" s="652">
        <f>IF($B1067="",,SUMIFS(PerHeadcount[Month 17],PerHeadcount[exp_item],$H1067,PerHeadcount[company_name],$B1067)*AB227)</f>
        <v>0</v>
      </c>
      <c r="AC1067" s="652">
        <f>IF($B1067="",,SUMIFS(PerHeadcount[Month 18],PerHeadcount[exp_item],$H1067,PerHeadcount[company_name],$B1067)*AC227)</f>
        <v>0</v>
      </c>
      <c r="AD1067" s="652">
        <f>IF($B1067="",,SUMIFS(PerHeadcount[Month 19],PerHeadcount[exp_item],$H1067,PerHeadcount[company_name],$B1067)*AD227)</f>
        <v>0</v>
      </c>
      <c r="AE1067" s="652">
        <f>IF($B1067="",,SUMIFS(PerHeadcount[Month 20],PerHeadcount[exp_item],$H1067,PerHeadcount[company_name],$B1067)*AE227)</f>
        <v>0</v>
      </c>
      <c r="AF1067" s="652">
        <f>IF($B1067="",,SUMIFS(PerHeadcount[Month 21],PerHeadcount[exp_item],$H1067,PerHeadcount[company_name],$B1067)*AF227)</f>
        <v>0</v>
      </c>
      <c r="AG1067" s="652">
        <f>IF($B1067="",,SUMIFS(PerHeadcount[Month 22],PerHeadcount[exp_item],$H1067,PerHeadcount[company_name],$B1067)*AG227)</f>
        <v>0</v>
      </c>
      <c r="AH1067" s="652">
        <f>IF($B1067="",,SUMIFS(PerHeadcount[Month 23],PerHeadcount[exp_item],$H1067,PerHeadcount[company_name],$B1067)*AH227)</f>
        <v>0</v>
      </c>
      <c r="AI1067" s="652">
        <f>IF($B1067="",,SUMIFS(PerHeadcount[Month 24],PerHeadcount[exp_item],$H1067,PerHeadcount[company_name],$B1067)*AI227)</f>
        <v>0</v>
      </c>
      <c r="AJ1067" s="652">
        <f>IF($B1067="",,SUMIFS(PerHeadcount[Month 25],PerHeadcount[exp_item],$H1067,PerHeadcount[company_name],$B1067)*AJ227)</f>
        <v>0</v>
      </c>
      <c r="AK1067" s="652">
        <f>IF($B1067="",,SUMIFS(PerHeadcount[Month 26],PerHeadcount[exp_item],$H1067,PerHeadcount[company_name],$B1067)*AK227)</f>
        <v>0</v>
      </c>
      <c r="AL1067" s="652">
        <f>IF($B1067="",,SUMIFS(PerHeadcount[Month 27],PerHeadcount[exp_item],$H1067,PerHeadcount[company_name],$B1067)*AL227)</f>
        <v>0</v>
      </c>
      <c r="AM1067" s="652">
        <f>IF($B1067="",,SUMIFS(PerHeadcount[Month 28],PerHeadcount[exp_item],$H1067,PerHeadcount[company_name],$B1067)*AM227)</f>
        <v>0</v>
      </c>
      <c r="AN1067" s="652">
        <f>IF($B1067="",,SUMIFS(PerHeadcount[Month 29],PerHeadcount[exp_item],$H1067,PerHeadcount[company_name],$B1067)*AN227)</f>
        <v>0</v>
      </c>
      <c r="AO1067" s="652">
        <f>IF($B1067="",,SUMIFS(PerHeadcount[Month 30],PerHeadcount[exp_item],$H1067,PerHeadcount[company_name],$B1067)*AO227)</f>
        <v>0</v>
      </c>
      <c r="AP1067" s="652">
        <f>IF($B1067="",,SUMIFS(PerHeadcount[Month 31],PerHeadcount[exp_item],$H1067,PerHeadcount[company_name],$B1067)*AP227)</f>
        <v>0</v>
      </c>
      <c r="AQ1067" s="652">
        <f>IF($B1067="",,SUMIFS(PerHeadcount[Month 32],PerHeadcount[exp_item],$H1067,PerHeadcount[company_name],$B1067)*AQ227)</f>
        <v>0</v>
      </c>
      <c r="AR1067" s="652">
        <f>IF($B1067="",,SUMIFS(PerHeadcount[Month 33],PerHeadcount[exp_item],$H1067,PerHeadcount[company_name],$B1067)*AR227)</f>
        <v>0</v>
      </c>
      <c r="AS1067" s="652">
        <f>IF($B1067="",,SUMIFS(PerHeadcount[Month 34],PerHeadcount[exp_item],$H1067,PerHeadcount[company_name],$B1067)*AS227)</f>
        <v>0</v>
      </c>
      <c r="AT1067" s="652">
        <f>IF($B1067="",,SUMIFS(PerHeadcount[Month 35],PerHeadcount[exp_item],$H1067,PerHeadcount[company_name],$B1067)*AT227)</f>
        <v>0</v>
      </c>
      <c r="AU1067" s="652">
        <f>IF($B1067="",,SUMIFS(PerHeadcount[Month 36],PerHeadcount[exp_item],$H1067,PerHeadcount[company_name],$B1067)*AU227)</f>
        <v>0</v>
      </c>
    </row>
    <row r="1068" spans="2:47" x14ac:dyDescent="0.35">
      <c r="B1068" t="str">
        <f t="shared" si="698"/>
        <v/>
      </c>
      <c r="C1068" t="str">
        <f t="shared" ref="C1068:G1068" si="708">IF(C963="","",C963)</f>
        <v/>
      </c>
      <c r="D1068" t="str">
        <f t="shared" si="708"/>
        <v/>
      </c>
      <c r="E1068" t="str">
        <f t="shared" si="708"/>
        <v/>
      </c>
      <c r="F1068" t="str">
        <f t="shared" si="708"/>
        <v/>
      </c>
      <c r="G1068" t="str">
        <f t="shared" si="708"/>
        <v/>
      </c>
      <c r="H1068" t="str">
        <f t="shared" si="697"/>
        <v/>
      </c>
      <c r="J1068" t="str">
        <f>IF($H1068="","",IF(VLOOKUP(H1068,ExpItems[],2,0),H1068&amp;" - "&amp;INDEX(DivisionMapping[category_code],MATCH($D1068&amp;$C1068,DivisionMapping[dept_bu],0)),H1068))</f>
        <v/>
      </c>
      <c r="K1068" t="str">
        <f t="shared" si="665"/>
        <v/>
      </c>
      <c r="L1068" s="652">
        <f>IF($B1068="",,SUMIFS(PerHeadcount[Month 1],PerHeadcount[exp_item],$H1068,PerHeadcount[company_name],$B1068)*L228)</f>
        <v>0</v>
      </c>
      <c r="M1068" s="652">
        <f>IF($B1068="",,SUMIFS(PerHeadcount[Month 2],PerHeadcount[exp_item],$H1068,PerHeadcount[company_name],$B1068)*M228)</f>
        <v>0</v>
      </c>
      <c r="N1068" s="652">
        <f>IF($B1068="",,SUMIFS(PerHeadcount[Month 3],PerHeadcount[exp_item],$H1068,PerHeadcount[company_name],$B1068)*N228)</f>
        <v>0</v>
      </c>
      <c r="O1068" s="652">
        <f>IF($B1068="",,SUMIFS(PerHeadcount[Month 4],PerHeadcount[exp_item],$H1068,PerHeadcount[company_name],$B1068)*O228)</f>
        <v>0</v>
      </c>
      <c r="P1068" s="652">
        <f>IF($B1068="",,SUMIFS(PerHeadcount[Month 5],PerHeadcount[exp_item],$H1068,PerHeadcount[company_name],$B1068)*P228)</f>
        <v>0</v>
      </c>
      <c r="Q1068" s="652">
        <f>IF($B1068="",,SUMIFS(PerHeadcount[Month 6],PerHeadcount[exp_item],$H1068,PerHeadcount[company_name],$B1068)*Q228)</f>
        <v>0</v>
      </c>
      <c r="R1068" s="652">
        <f>IF($B1068="",,SUMIFS(PerHeadcount[Month 7],PerHeadcount[exp_item],$H1068,PerHeadcount[company_name],$B1068)*R228)</f>
        <v>0</v>
      </c>
      <c r="S1068" s="652">
        <f>IF($B1068="",,SUMIFS(PerHeadcount[Month 8],PerHeadcount[exp_item],$H1068,PerHeadcount[company_name],$B1068)*S228)</f>
        <v>0</v>
      </c>
      <c r="T1068" s="652">
        <f>IF($B1068="",,SUMIFS(PerHeadcount[Month 9],PerHeadcount[exp_item],$H1068,PerHeadcount[company_name],$B1068)*T228)</f>
        <v>0</v>
      </c>
      <c r="U1068" s="652">
        <f>IF($B1068="",,SUMIFS(PerHeadcount[Month 10],PerHeadcount[exp_item],$H1068,PerHeadcount[company_name],$B1068)*U228)</f>
        <v>0</v>
      </c>
      <c r="V1068" s="652">
        <f>IF($B1068="",,SUMIFS(PerHeadcount[Month 11],PerHeadcount[exp_item],$H1068,PerHeadcount[company_name],$B1068)*V228)</f>
        <v>0</v>
      </c>
      <c r="W1068" s="652">
        <f>IF($B1068="",,SUMIFS(PerHeadcount[Month 12],PerHeadcount[exp_item],$H1068,PerHeadcount[company_name],$B1068)*W228)</f>
        <v>0</v>
      </c>
      <c r="X1068" s="652">
        <f>IF($B1068="",,SUMIFS(PerHeadcount[Month 13],PerHeadcount[exp_item],$H1068,PerHeadcount[company_name],$B1068)*X228)</f>
        <v>0</v>
      </c>
      <c r="Y1068" s="652">
        <f>IF($B1068="",,SUMIFS(PerHeadcount[Month 14],PerHeadcount[exp_item],$H1068,PerHeadcount[company_name],$B1068)*Y228)</f>
        <v>0</v>
      </c>
      <c r="Z1068" s="652">
        <f>IF($B1068="",,SUMIFS(PerHeadcount[Month 15],PerHeadcount[exp_item],$H1068,PerHeadcount[company_name],$B1068)*Z228)</f>
        <v>0</v>
      </c>
      <c r="AA1068" s="652">
        <f>IF($B1068="",,SUMIFS(PerHeadcount[Month 16],PerHeadcount[exp_item],$H1068,PerHeadcount[company_name],$B1068)*AA228)</f>
        <v>0</v>
      </c>
      <c r="AB1068" s="652">
        <f>IF($B1068="",,SUMIFS(PerHeadcount[Month 17],PerHeadcount[exp_item],$H1068,PerHeadcount[company_name],$B1068)*AB228)</f>
        <v>0</v>
      </c>
      <c r="AC1068" s="652">
        <f>IF($B1068="",,SUMIFS(PerHeadcount[Month 18],PerHeadcount[exp_item],$H1068,PerHeadcount[company_name],$B1068)*AC228)</f>
        <v>0</v>
      </c>
      <c r="AD1068" s="652">
        <f>IF($B1068="",,SUMIFS(PerHeadcount[Month 19],PerHeadcount[exp_item],$H1068,PerHeadcount[company_name],$B1068)*AD228)</f>
        <v>0</v>
      </c>
      <c r="AE1068" s="652">
        <f>IF($B1068="",,SUMIFS(PerHeadcount[Month 20],PerHeadcount[exp_item],$H1068,PerHeadcount[company_name],$B1068)*AE228)</f>
        <v>0</v>
      </c>
      <c r="AF1068" s="652">
        <f>IF($B1068="",,SUMIFS(PerHeadcount[Month 21],PerHeadcount[exp_item],$H1068,PerHeadcount[company_name],$B1068)*AF228)</f>
        <v>0</v>
      </c>
      <c r="AG1068" s="652">
        <f>IF($B1068="",,SUMIFS(PerHeadcount[Month 22],PerHeadcount[exp_item],$H1068,PerHeadcount[company_name],$B1068)*AG228)</f>
        <v>0</v>
      </c>
      <c r="AH1068" s="652">
        <f>IF($B1068="",,SUMIFS(PerHeadcount[Month 23],PerHeadcount[exp_item],$H1068,PerHeadcount[company_name],$B1068)*AH228)</f>
        <v>0</v>
      </c>
      <c r="AI1068" s="652">
        <f>IF($B1068="",,SUMIFS(PerHeadcount[Month 24],PerHeadcount[exp_item],$H1068,PerHeadcount[company_name],$B1068)*AI228)</f>
        <v>0</v>
      </c>
      <c r="AJ1068" s="652">
        <f>IF($B1068="",,SUMIFS(PerHeadcount[Month 25],PerHeadcount[exp_item],$H1068,PerHeadcount[company_name],$B1068)*AJ228)</f>
        <v>0</v>
      </c>
      <c r="AK1068" s="652">
        <f>IF($B1068="",,SUMIFS(PerHeadcount[Month 26],PerHeadcount[exp_item],$H1068,PerHeadcount[company_name],$B1068)*AK228)</f>
        <v>0</v>
      </c>
      <c r="AL1068" s="652">
        <f>IF($B1068="",,SUMIFS(PerHeadcount[Month 27],PerHeadcount[exp_item],$H1068,PerHeadcount[company_name],$B1068)*AL228)</f>
        <v>0</v>
      </c>
      <c r="AM1068" s="652">
        <f>IF($B1068="",,SUMIFS(PerHeadcount[Month 28],PerHeadcount[exp_item],$H1068,PerHeadcount[company_name],$B1068)*AM228)</f>
        <v>0</v>
      </c>
      <c r="AN1068" s="652">
        <f>IF($B1068="",,SUMIFS(PerHeadcount[Month 29],PerHeadcount[exp_item],$H1068,PerHeadcount[company_name],$B1068)*AN228)</f>
        <v>0</v>
      </c>
      <c r="AO1068" s="652">
        <f>IF($B1068="",,SUMIFS(PerHeadcount[Month 30],PerHeadcount[exp_item],$H1068,PerHeadcount[company_name],$B1068)*AO228)</f>
        <v>0</v>
      </c>
      <c r="AP1068" s="652">
        <f>IF($B1068="",,SUMIFS(PerHeadcount[Month 31],PerHeadcount[exp_item],$H1068,PerHeadcount[company_name],$B1068)*AP228)</f>
        <v>0</v>
      </c>
      <c r="AQ1068" s="652">
        <f>IF($B1068="",,SUMIFS(PerHeadcount[Month 32],PerHeadcount[exp_item],$H1068,PerHeadcount[company_name],$B1068)*AQ228)</f>
        <v>0</v>
      </c>
      <c r="AR1068" s="652">
        <f>IF($B1068="",,SUMIFS(PerHeadcount[Month 33],PerHeadcount[exp_item],$H1068,PerHeadcount[company_name],$B1068)*AR228)</f>
        <v>0</v>
      </c>
      <c r="AS1068" s="652">
        <f>IF($B1068="",,SUMIFS(PerHeadcount[Month 34],PerHeadcount[exp_item],$H1068,PerHeadcount[company_name],$B1068)*AS228)</f>
        <v>0</v>
      </c>
      <c r="AT1068" s="652">
        <f>IF($B1068="",,SUMIFS(PerHeadcount[Month 35],PerHeadcount[exp_item],$H1068,PerHeadcount[company_name],$B1068)*AT228)</f>
        <v>0</v>
      </c>
      <c r="AU1068" s="652">
        <f>IF($B1068="",,SUMIFS(PerHeadcount[Month 36],PerHeadcount[exp_item],$H1068,PerHeadcount[company_name],$B1068)*AU228)</f>
        <v>0</v>
      </c>
    </row>
    <row r="1069" spans="2:47" x14ac:dyDescent="0.35">
      <c r="B1069" t="str">
        <f t="shared" si="698"/>
        <v/>
      </c>
      <c r="C1069" t="str">
        <f t="shared" ref="C1069:G1069" si="709">IF(C964="","",C964)</f>
        <v/>
      </c>
      <c r="D1069" t="str">
        <f t="shared" si="709"/>
        <v/>
      </c>
      <c r="E1069" t="str">
        <f t="shared" si="709"/>
        <v/>
      </c>
      <c r="F1069" t="str">
        <f t="shared" si="709"/>
        <v/>
      </c>
      <c r="G1069" t="str">
        <f t="shared" si="709"/>
        <v/>
      </c>
      <c r="H1069" t="str">
        <f t="shared" si="697"/>
        <v/>
      </c>
      <c r="J1069" t="str">
        <f>IF($H1069="","",IF(VLOOKUP(H1069,ExpItems[],2,0),H1069&amp;" - "&amp;INDEX(DivisionMapping[category_code],MATCH($D1069&amp;$C1069,DivisionMapping[dept_bu],0)),H1069))</f>
        <v/>
      </c>
      <c r="K1069" t="str">
        <f t="shared" si="665"/>
        <v/>
      </c>
      <c r="L1069" s="652">
        <f>IF($B1069="",,SUMIFS(PerHeadcount[Month 1],PerHeadcount[exp_item],$H1069,PerHeadcount[company_name],$B1069)*L229)</f>
        <v>0</v>
      </c>
      <c r="M1069" s="652">
        <f>IF($B1069="",,SUMIFS(PerHeadcount[Month 2],PerHeadcount[exp_item],$H1069,PerHeadcount[company_name],$B1069)*M229)</f>
        <v>0</v>
      </c>
      <c r="N1069" s="652">
        <f>IF($B1069="",,SUMIFS(PerHeadcount[Month 3],PerHeadcount[exp_item],$H1069,PerHeadcount[company_name],$B1069)*N229)</f>
        <v>0</v>
      </c>
      <c r="O1069" s="652">
        <f>IF($B1069="",,SUMIFS(PerHeadcount[Month 4],PerHeadcount[exp_item],$H1069,PerHeadcount[company_name],$B1069)*O229)</f>
        <v>0</v>
      </c>
      <c r="P1069" s="652">
        <f>IF($B1069="",,SUMIFS(PerHeadcount[Month 5],PerHeadcount[exp_item],$H1069,PerHeadcount[company_name],$B1069)*P229)</f>
        <v>0</v>
      </c>
      <c r="Q1069" s="652">
        <f>IF($B1069="",,SUMIFS(PerHeadcount[Month 6],PerHeadcount[exp_item],$H1069,PerHeadcount[company_name],$B1069)*Q229)</f>
        <v>0</v>
      </c>
      <c r="R1069" s="652">
        <f>IF($B1069="",,SUMIFS(PerHeadcount[Month 7],PerHeadcount[exp_item],$H1069,PerHeadcount[company_name],$B1069)*R229)</f>
        <v>0</v>
      </c>
      <c r="S1069" s="652">
        <f>IF($B1069="",,SUMIFS(PerHeadcount[Month 8],PerHeadcount[exp_item],$H1069,PerHeadcount[company_name],$B1069)*S229)</f>
        <v>0</v>
      </c>
      <c r="T1069" s="652">
        <f>IF($B1069="",,SUMIFS(PerHeadcount[Month 9],PerHeadcount[exp_item],$H1069,PerHeadcount[company_name],$B1069)*T229)</f>
        <v>0</v>
      </c>
      <c r="U1069" s="652">
        <f>IF($B1069="",,SUMIFS(PerHeadcount[Month 10],PerHeadcount[exp_item],$H1069,PerHeadcount[company_name],$B1069)*U229)</f>
        <v>0</v>
      </c>
      <c r="V1069" s="652">
        <f>IF($B1069="",,SUMIFS(PerHeadcount[Month 11],PerHeadcount[exp_item],$H1069,PerHeadcount[company_name],$B1069)*V229)</f>
        <v>0</v>
      </c>
      <c r="W1069" s="652">
        <f>IF($B1069="",,SUMIFS(PerHeadcount[Month 12],PerHeadcount[exp_item],$H1069,PerHeadcount[company_name],$B1069)*W229)</f>
        <v>0</v>
      </c>
      <c r="X1069" s="652">
        <f>IF($B1069="",,SUMIFS(PerHeadcount[Month 13],PerHeadcount[exp_item],$H1069,PerHeadcount[company_name],$B1069)*X229)</f>
        <v>0</v>
      </c>
      <c r="Y1069" s="652">
        <f>IF($B1069="",,SUMIFS(PerHeadcount[Month 14],PerHeadcount[exp_item],$H1069,PerHeadcount[company_name],$B1069)*Y229)</f>
        <v>0</v>
      </c>
      <c r="Z1069" s="652">
        <f>IF($B1069="",,SUMIFS(PerHeadcount[Month 15],PerHeadcount[exp_item],$H1069,PerHeadcount[company_name],$B1069)*Z229)</f>
        <v>0</v>
      </c>
      <c r="AA1069" s="652">
        <f>IF($B1069="",,SUMIFS(PerHeadcount[Month 16],PerHeadcount[exp_item],$H1069,PerHeadcount[company_name],$B1069)*AA229)</f>
        <v>0</v>
      </c>
      <c r="AB1069" s="652">
        <f>IF($B1069="",,SUMIFS(PerHeadcount[Month 17],PerHeadcount[exp_item],$H1069,PerHeadcount[company_name],$B1069)*AB229)</f>
        <v>0</v>
      </c>
      <c r="AC1069" s="652">
        <f>IF($B1069="",,SUMIFS(PerHeadcount[Month 18],PerHeadcount[exp_item],$H1069,PerHeadcount[company_name],$B1069)*AC229)</f>
        <v>0</v>
      </c>
      <c r="AD1069" s="652">
        <f>IF($B1069="",,SUMIFS(PerHeadcount[Month 19],PerHeadcount[exp_item],$H1069,PerHeadcount[company_name],$B1069)*AD229)</f>
        <v>0</v>
      </c>
      <c r="AE1069" s="652">
        <f>IF($B1069="",,SUMIFS(PerHeadcount[Month 20],PerHeadcount[exp_item],$H1069,PerHeadcount[company_name],$B1069)*AE229)</f>
        <v>0</v>
      </c>
      <c r="AF1069" s="652">
        <f>IF($B1069="",,SUMIFS(PerHeadcount[Month 21],PerHeadcount[exp_item],$H1069,PerHeadcount[company_name],$B1069)*AF229)</f>
        <v>0</v>
      </c>
      <c r="AG1069" s="652">
        <f>IF($B1069="",,SUMIFS(PerHeadcount[Month 22],PerHeadcount[exp_item],$H1069,PerHeadcount[company_name],$B1069)*AG229)</f>
        <v>0</v>
      </c>
      <c r="AH1069" s="652">
        <f>IF($B1069="",,SUMIFS(PerHeadcount[Month 23],PerHeadcount[exp_item],$H1069,PerHeadcount[company_name],$B1069)*AH229)</f>
        <v>0</v>
      </c>
      <c r="AI1069" s="652">
        <f>IF($B1069="",,SUMIFS(PerHeadcount[Month 24],PerHeadcount[exp_item],$H1069,PerHeadcount[company_name],$B1069)*AI229)</f>
        <v>0</v>
      </c>
      <c r="AJ1069" s="652">
        <f>IF($B1069="",,SUMIFS(PerHeadcount[Month 25],PerHeadcount[exp_item],$H1069,PerHeadcount[company_name],$B1069)*AJ229)</f>
        <v>0</v>
      </c>
      <c r="AK1069" s="652">
        <f>IF($B1069="",,SUMIFS(PerHeadcount[Month 26],PerHeadcount[exp_item],$H1069,PerHeadcount[company_name],$B1069)*AK229)</f>
        <v>0</v>
      </c>
      <c r="AL1069" s="652">
        <f>IF($B1069="",,SUMIFS(PerHeadcount[Month 27],PerHeadcount[exp_item],$H1069,PerHeadcount[company_name],$B1069)*AL229)</f>
        <v>0</v>
      </c>
      <c r="AM1069" s="652">
        <f>IF($B1069="",,SUMIFS(PerHeadcount[Month 28],PerHeadcount[exp_item],$H1069,PerHeadcount[company_name],$B1069)*AM229)</f>
        <v>0</v>
      </c>
      <c r="AN1069" s="652">
        <f>IF($B1069="",,SUMIFS(PerHeadcount[Month 29],PerHeadcount[exp_item],$H1069,PerHeadcount[company_name],$B1069)*AN229)</f>
        <v>0</v>
      </c>
      <c r="AO1069" s="652">
        <f>IF($B1069="",,SUMIFS(PerHeadcount[Month 30],PerHeadcount[exp_item],$H1069,PerHeadcount[company_name],$B1069)*AO229)</f>
        <v>0</v>
      </c>
      <c r="AP1069" s="652">
        <f>IF($B1069="",,SUMIFS(PerHeadcount[Month 31],PerHeadcount[exp_item],$H1069,PerHeadcount[company_name],$B1069)*AP229)</f>
        <v>0</v>
      </c>
      <c r="AQ1069" s="652">
        <f>IF($B1069="",,SUMIFS(PerHeadcount[Month 32],PerHeadcount[exp_item],$H1069,PerHeadcount[company_name],$B1069)*AQ229)</f>
        <v>0</v>
      </c>
      <c r="AR1069" s="652">
        <f>IF($B1069="",,SUMIFS(PerHeadcount[Month 33],PerHeadcount[exp_item],$H1069,PerHeadcount[company_name],$B1069)*AR229)</f>
        <v>0</v>
      </c>
      <c r="AS1069" s="652">
        <f>IF($B1069="",,SUMIFS(PerHeadcount[Month 34],PerHeadcount[exp_item],$H1069,PerHeadcount[company_name],$B1069)*AS229)</f>
        <v>0</v>
      </c>
      <c r="AT1069" s="652">
        <f>IF($B1069="",,SUMIFS(PerHeadcount[Month 35],PerHeadcount[exp_item],$H1069,PerHeadcount[company_name],$B1069)*AT229)</f>
        <v>0</v>
      </c>
      <c r="AU1069" s="652">
        <f>IF($B1069="",,SUMIFS(PerHeadcount[Month 36],PerHeadcount[exp_item],$H1069,PerHeadcount[company_name],$B1069)*AU229)</f>
        <v>0</v>
      </c>
    </row>
    <row r="1070" spans="2:47" x14ac:dyDescent="0.35">
      <c r="B1070" t="str">
        <f t="shared" si="698"/>
        <v/>
      </c>
      <c r="C1070" t="str">
        <f t="shared" ref="C1070:G1070" si="710">IF(C965="","",C965)</f>
        <v/>
      </c>
      <c r="D1070" t="str">
        <f t="shared" si="710"/>
        <v/>
      </c>
      <c r="E1070" t="str">
        <f t="shared" si="710"/>
        <v/>
      </c>
      <c r="F1070" t="str">
        <f t="shared" si="710"/>
        <v/>
      </c>
      <c r="G1070" t="str">
        <f t="shared" si="710"/>
        <v/>
      </c>
      <c r="H1070" t="str">
        <f t="shared" si="697"/>
        <v/>
      </c>
      <c r="J1070" t="str">
        <f>IF($H1070="","",IF(VLOOKUP(H1070,ExpItems[],2,0),H1070&amp;" - "&amp;INDEX(DivisionMapping[category_code],MATCH($D1070&amp;$C1070,DivisionMapping[dept_bu],0)),H1070))</f>
        <v/>
      </c>
      <c r="K1070" t="str">
        <f t="shared" si="665"/>
        <v/>
      </c>
      <c r="L1070" s="652">
        <f>IF($B1070="",,SUMIFS(PerHeadcount[Month 1],PerHeadcount[exp_item],$H1070,PerHeadcount[company_name],$B1070)*L230)</f>
        <v>0</v>
      </c>
      <c r="M1070" s="652">
        <f>IF($B1070="",,SUMIFS(PerHeadcount[Month 2],PerHeadcount[exp_item],$H1070,PerHeadcount[company_name],$B1070)*M230)</f>
        <v>0</v>
      </c>
      <c r="N1070" s="652">
        <f>IF($B1070="",,SUMIFS(PerHeadcount[Month 3],PerHeadcount[exp_item],$H1070,PerHeadcount[company_name],$B1070)*N230)</f>
        <v>0</v>
      </c>
      <c r="O1070" s="652">
        <f>IF($B1070="",,SUMIFS(PerHeadcount[Month 4],PerHeadcount[exp_item],$H1070,PerHeadcount[company_name],$B1070)*O230)</f>
        <v>0</v>
      </c>
      <c r="P1070" s="652">
        <f>IF($B1070="",,SUMIFS(PerHeadcount[Month 5],PerHeadcount[exp_item],$H1070,PerHeadcount[company_name],$B1070)*P230)</f>
        <v>0</v>
      </c>
      <c r="Q1070" s="652">
        <f>IF($B1070="",,SUMIFS(PerHeadcount[Month 6],PerHeadcount[exp_item],$H1070,PerHeadcount[company_name],$B1070)*Q230)</f>
        <v>0</v>
      </c>
      <c r="R1070" s="652">
        <f>IF($B1070="",,SUMIFS(PerHeadcount[Month 7],PerHeadcount[exp_item],$H1070,PerHeadcount[company_name],$B1070)*R230)</f>
        <v>0</v>
      </c>
      <c r="S1070" s="652">
        <f>IF($B1070="",,SUMIFS(PerHeadcount[Month 8],PerHeadcount[exp_item],$H1070,PerHeadcount[company_name],$B1070)*S230)</f>
        <v>0</v>
      </c>
      <c r="T1070" s="652">
        <f>IF($B1070="",,SUMIFS(PerHeadcount[Month 9],PerHeadcount[exp_item],$H1070,PerHeadcount[company_name],$B1070)*T230)</f>
        <v>0</v>
      </c>
      <c r="U1070" s="652">
        <f>IF($B1070="",,SUMIFS(PerHeadcount[Month 10],PerHeadcount[exp_item],$H1070,PerHeadcount[company_name],$B1070)*U230)</f>
        <v>0</v>
      </c>
      <c r="V1070" s="652">
        <f>IF($B1070="",,SUMIFS(PerHeadcount[Month 11],PerHeadcount[exp_item],$H1070,PerHeadcount[company_name],$B1070)*V230)</f>
        <v>0</v>
      </c>
      <c r="W1070" s="652">
        <f>IF($B1070="",,SUMIFS(PerHeadcount[Month 12],PerHeadcount[exp_item],$H1070,PerHeadcount[company_name],$B1070)*W230)</f>
        <v>0</v>
      </c>
      <c r="X1070" s="652">
        <f>IF($B1070="",,SUMIFS(PerHeadcount[Month 13],PerHeadcount[exp_item],$H1070,PerHeadcount[company_name],$B1070)*X230)</f>
        <v>0</v>
      </c>
      <c r="Y1070" s="652">
        <f>IF($B1070="",,SUMIFS(PerHeadcount[Month 14],PerHeadcount[exp_item],$H1070,PerHeadcount[company_name],$B1070)*Y230)</f>
        <v>0</v>
      </c>
      <c r="Z1070" s="652">
        <f>IF($B1070="",,SUMIFS(PerHeadcount[Month 15],PerHeadcount[exp_item],$H1070,PerHeadcount[company_name],$B1070)*Z230)</f>
        <v>0</v>
      </c>
      <c r="AA1070" s="652">
        <f>IF($B1070="",,SUMIFS(PerHeadcount[Month 16],PerHeadcount[exp_item],$H1070,PerHeadcount[company_name],$B1070)*AA230)</f>
        <v>0</v>
      </c>
      <c r="AB1070" s="652">
        <f>IF($B1070="",,SUMIFS(PerHeadcount[Month 17],PerHeadcount[exp_item],$H1070,PerHeadcount[company_name],$B1070)*AB230)</f>
        <v>0</v>
      </c>
      <c r="AC1070" s="652">
        <f>IF($B1070="",,SUMIFS(PerHeadcount[Month 18],PerHeadcount[exp_item],$H1070,PerHeadcount[company_name],$B1070)*AC230)</f>
        <v>0</v>
      </c>
      <c r="AD1070" s="652">
        <f>IF($B1070="",,SUMIFS(PerHeadcount[Month 19],PerHeadcount[exp_item],$H1070,PerHeadcount[company_name],$B1070)*AD230)</f>
        <v>0</v>
      </c>
      <c r="AE1070" s="652">
        <f>IF($B1070="",,SUMIFS(PerHeadcount[Month 20],PerHeadcount[exp_item],$H1070,PerHeadcount[company_name],$B1070)*AE230)</f>
        <v>0</v>
      </c>
      <c r="AF1070" s="652">
        <f>IF($B1070="",,SUMIFS(PerHeadcount[Month 21],PerHeadcount[exp_item],$H1070,PerHeadcount[company_name],$B1070)*AF230)</f>
        <v>0</v>
      </c>
      <c r="AG1070" s="652">
        <f>IF($B1070="",,SUMIFS(PerHeadcount[Month 22],PerHeadcount[exp_item],$H1070,PerHeadcount[company_name],$B1070)*AG230)</f>
        <v>0</v>
      </c>
      <c r="AH1070" s="652">
        <f>IF($B1070="",,SUMIFS(PerHeadcount[Month 23],PerHeadcount[exp_item],$H1070,PerHeadcount[company_name],$B1070)*AH230)</f>
        <v>0</v>
      </c>
      <c r="AI1070" s="652">
        <f>IF($B1070="",,SUMIFS(PerHeadcount[Month 24],PerHeadcount[exp_item],$H1070,PerHeadcount[company_name],$B1070)*AI230)</f>
        <v>0</v>
      </c>
      <c r="AJ1070" s="652">
        <f>IF($B1070="",,SUMIFS(PerHeadcount[Month 25],PerHeadcount[exp_item],$H1070,PerHeadcount[company_name],$B1070)*AJ230)</f>
        <v>0</v>
      </c>
      <c r="AK1070" s="652">
        <f>IF($B1070="",,SUMIFS(PerHeadcount[Month 26],PerHeadcount[exp_item],$H1070,PerHeadcount[company_name],$B1070)*AK230)</f>
        <v>0</v>
      </c>
      <c r="AL1070" s="652">
        <f>IF($B1070="",,SUMIFS(PerHeadcount[Month 27],PerHeadcount[exp_item],$H1070,PerHeadcount[company_name],$B1070)*AL230)</f>
        <v>0</v>
      </c>
      <c r="AM1070" s="652">
        <f>IF($B1070="",,SUMIFS(PerHeadcount[Month 28],PerHeadcount[exp_item],$H1070,PerHeadcount[company_name],$B1070)*AM230)</f>
        <v>0</v>
      </c>
      <c r="AN1070" s="652">
        <f>IF($B1070="",,SUMIFS(PerHeadcount[Month 29],PerHeadcount[exp_item],$H1070,PerHeadcount[company_name],$B1070)*AN230)</f>
        <v>0</v>
      </c>
      <c r="AO1070" s="652">
        <f>IF($B1070="",,SUMIFS(PerHeadcount[Month 30],PerHeadcount[exp_item],$H1070,PerHeadcount[company_name],$B1070)*AO230)</f>
        <v>0</v>
      </c>
      <c r="AP1070" s="652">
        <f>IF($B1070="",,SUMIFS(PerHeadcount[Month 31],PerHeadcount[exp_item],$H1070,PerHeadcount[company_name],$B1070)*AP230)</f>
        <v>0</v>
      </c>
      <c r="AQ1070" s="652">
        <f>IF($B1070="",,SUMIFS(PerHeadcount[Month 32],PerHeadcount[exp_item],$H1070,PerHeadcount[company_name],$B1070)*AQ230)</f>
        <v>0</v>
      </c>
      <c r="AR1070" s="652">
        <f>IF($B1070="",,SUMIFS(PerHeadcount[Month 33],PerHeadcount[exp_item],$H1070,PerHeadcount[company_name],$B1070)*AR230)</f>
        <v>0</v>
      </c>
      <c r="AS1070" s="652">
        <f>IF($B1070="",,SUMIFS(PerHeadcount[Month 34],PerHeadcount[exp_item],$H1070,PerHeadcount[company_name],$B1070)*AS230)</f>
        <v>0</v>
      </c>
      <c r="AT1070" s="652">
        <f>IF($B1070="",,SUMIFS(PerHeadcount[Month 35],PerHeadcount[exp_item],$H1070,PerHeadcount[company_name],$B1070)*AT230)</f>
        <v>0</v>
      </c>
      <c r="AU1070" s="652">
        <f>IF($B1070="",,SUMIFS(PerHeadcount[Month 36],PerHeadcount[exp_item],$H1070,PerHeadcount[company_name],$B1070)*AU230)</f>
        <v>0</v>
      </c>
    </row>
    <row r="1071" spans="2:47" x14ac:dyDescent="0.35">
      <c r="B1071" t="str">
        <f t="shared" si="698"/>
        <v/>
      </c>
      <c r="C1071" t="str">
        <f t="shared" ref="C1071:G1071" si="711">IF(C966="","",C966)</f>
        <v/>
      </c>
      <c r="D1071" t="str">
        <f t="shared" si="711"/>
        <v/>
      </c>
      <c r="E1071" t="str">
        <f t="shared" si="711"/>
        <v/>
      </c>
      <c r="F1071" t="str">
        <f t="shared" si="711"/>
        <v/>
      </c>
      <c r="G1071" t="str">
        <f t="shared" si="711"/>
        <v/>
      </c>
      <c r="H1071" t="str">
        <f t="shared" si="697"/>
        <v/>
      </c>
      <c r="J1071" t="str">
        <f>IF($H1071="","",IF(VLOOKUP(H1071,ExpItems[],2,0),H1071&amp;" - "&amp;INDEX(DivisionMapping[category_code],MATCH($D1071&amp;$C1071,DivisionMapping[dept_bu],0)),H1071))</f>
        <v/>
      </c>
      <c r="K1071" t="str">
        <f t="shared" si="665"/>
        <v/>
      </c>
      <c r="L1071" s="652">
        <f>IF($B1071="",,SUMIFS(PerHeadcount[Month 1],PerHeadcount[exp_item],$H1071,PerHeadcount[company_name],$B1071)*L231)</f>
        <v>0</v>
      </c>
      <c r="M1071" s="652">
        <f>IF($B1071="",,SUMIFS(PerHeadcount[Month 2],PerHeadcount[exp_item],$H1071,PerHeadcount[company_name],$B1071)*M231)</f>
        <v>0</v>
      </c>
      <c r="N1071" s="652">
        <f>IF($B1071="",,SUMIFS(PerHeadcount[Month 3],PerHeadcount[exp_item],$H1071,PerHeadcount[company_name],$B1071)*N231)</f>
        <v>0</v>
      </c>
      <c r="O1071" s="652">
        <f>IF($B1071="",,SUMIFS(PerHeadcount[Month 4],PerHeadcount[exp_item],$H1071,PerHeadcount[company_name],$B1071)*O231)</f>
        <v>0</v>
      </c>
      <c r="P1071" s="652">
        <f>IF($B1071="",,SUMIFS(PerHeadcount[Month 5],PerHeadcount[exp_item],$H1071,PerHeadcount[company_name],$B1071)*P231)</f>
        <v>0</v>
      </c>
      <c r="Q1071" s="652">
        <f>IF($B1071="",,SUMIFS(PerHeadcount[Month 6],PerHeadcount[exp_item],$H1071,PerHeadcount[company_name],$B1071)*Q231)</f>
        <v>0</v>
      </c>
      <c r="R1071" s="652">
        <f>IF($B1071="",,SUMIFS(PerHeadcount[Month 7],PerHeadcount[exp_item],$H1071,PerHeadcount[company_name],$B1071)*R231)</f>
        <v>0</v>
      </c>
      <c r="S1071" s="652">
        <f>IF($B1071="",,SUMIFS(PerHeadcount[Month 8],PerHeadcount[exp_item],$H1071,PerHeadcount[company_name],$B1071)*S231)</f>
        <v>0</v>
      </c>
      <c r="T1071" s="652">
        <f>IF($B1071="",,SUMIFS(PerHeadcount[Month 9],PerHeadcount[exp_item],$H1071,PerHeadcount[company_name],$B1071)*T231)</f>
        <v>0</v>
      </c>
      <c r="U1071" s="652">
        <f>IF($B1071="",,SUMIFS(PerHeadcount[Month 10],PerHeadcount[exp_item],$H1071,PerHeadcount[company_name],$B1071)*U231)</f>
        <v>0</v>
      </c>
      <c r="V1071" s="652">
        <f>IF($B1071="",,SUMIFS(PerHeadcount[Month 11],PerHeadcount[exp_item],$H1071,PerHeadcount[company_name],$B1071)*V231)</f>
        <v>0</v>
      </c>
      <c r="W1071" s="652">
        <f>IF($B1071="",,SUMIFS(PerHeadcount[Month 12],PerHeadcount[exp_item],$H1071,PerHeadcount[company_name],$B1071)*W231)</f>
        <v>0</v>
      </c>
      <c r="X1071" s="652">
        <f>IF($B1071="",,SUMIFS(PerHeadcount[Month 13],PerHeadcount[exp_item],$H1071,PerHeadcount[company_name],$B1071)*X231)</f>
        <v>0</v>
      </c>
      <c r="Y1071" s="652">
        <f>IF($B1071="",,SUMIFS(PerHeadcount[Month 14],PerHeadcount[exp_item],$H1071,PerHeadcount[company_name],$B1071)*Y231)</f>
        <v>0</v>
      </c>
      <c r="Z1071" s="652">
        <f>IF($B1071="",,SUMIFS(PerHeadcount[Month 15],PerHeadcount[exp_item],$H1071,PerHeadcount[company_name],$B1071)*Z231)</f>
        <v>0</v>
      </c>
      <c r="AA1071" s="652">
        <f>IF($B1071="",,SUMIFS(PerHeadcount[Month 16],PerHeadcount[exp_item],$H1071,PerHeadcount[company_name],$B1071)*AA231)</f>
        <v>0</v>
      </c>
      <c r="AB1071" s="652">
        <f>IF($B1071="",,SUMIFS(PerHeadcount[Month 17],PerHeadcount[exp_item],$H1071,PerHeadcount[company_name],$B1071)*AB231)</f>
        <v>0</v>
      </c>
      <c r="AC1071" s="652">
        <f>IF($B1071="",,SUMIFS(PerHeadcount[Month 18],PerHeadcount[exp_item],$H1071,PerHeadcount[company_name],$B1071)*AC231)</f>
        <v>0</v>
      </c>
      <c r="AD1071" s="652">
        <f>IF($B1071="",,SUMIFS(PerHeadcount[Month 19],PerHeadcount[exp_item],$H1071,PerHeadcount[company_name],$B1071)*AD231)</f>
        <v>0</v>
      </c>
      <c r="AE1071" s="652">
        <f>IF($B1071="",,SUMIFS(PerHeadcount[Month 20],PerHeadcount[exp_item],$H1071,PerHeadcount[company_name],$B1071)*AE231)</f>
        <v>0</v>
      </c>
      <c r="AF1071" s="652">
        <f>IF($B1071="",,SUMIFS(PerHeadcount[Month 21],PerHeadcount[exp_item],$H1071,PerHeadcount[company_name],$B1071)*AF231)</f>
        <v>0</v>
      </c>
      <c r="AG1071" s="652">
        <f>IF($B1071="",,SUMIFS(PerHeadcount[Month 22],PerHeadcount[exp_item],$H1071,PerHeadcount[company_name],$B1071)*AG231)</f>
        <v>0</v>
      </c>
      <c r="AH1071" s="652">
        <f>IF($B1071="",,SUMIFS(PerHeadcount[Month 23],PerHeadcount[exp_item],$H1071,PerHeadcount[company_name],$B1071)*AH231)</f>
        <v>0</v>
      </c>
      <c r="AI1071" s="652">
        <f>IF($B1071="",,SUMIFS(PerHeadcount[Month 24],PerHeadcount[exp_item],$H1071,PerHeadcount[company_name],$B1071)*AI231)</f>
        <v>0</v>
      </c>
      <c r="AJ1071" s="652">
        <f>IF($B1071="",,SUMIFS(PerHeadcount[Month 25],PerHeadcount[exp_item],$H1071,PerHeadcount[company_name],$B1071)*AJ231)</f>
        <v>0</v>
      </c>
      <c r="AK1071" s="652">
        <f>IF($B1071="",,SUMIFS(PerHeadcount[Month 26],PerHeadcount[exp_item],$H1071,PerHeadcount[company_name],$B1071)*AK231)</f>
        <v>0</v>
      </c>
      <c r="AL1071" s="652">
        <f>IF($B1071="",,SUMIFS(PerHeadcount[Month 27],PerHeadcount[exp_item],$H1071,PerHeadcount[company_name],$B1071)*AL231)</f>
        <v>0</v>
      </c>
      <c r="AM1071" s="652">
        <f>IF($B1071="",,SUMIFS(PerHeadcount[Month 28],PerHeadcount[exp_item],$H1071,PerHeadcount[company_name],$B1071)*AM231)</f>
        <v>0</v>
      </c>
      <c r="AN1071" s="652">
        <f>IF($B1071="",,SUMIFS(PerHeadcount[Month 29],PerHeadcount[exp_item],$H1071,PerHeadcount[company_name],$B1071)*AN231)</f>
        <v>0</v>
      </c>
      <c r="AO1071" s="652">
        <f>IF($B1071="",,SUMIFS(PerHeadcount[Month 30],PerHeadcount[exp_item],$H1071,PerHeadcount[company_name],$B1071)*AO231)</f>
        <v>0</v>
      </c>
      <c r="AP1071" s="652">
        <f>IF($B1071="",,SUMIFS(PerHeadcount[Month 31],PerHeadcount[exp_item],$H1071,PerHeadcount[company_name],$B1071)*AP231)</f>
        <v>0</v>
      </c>
      <c r="AQ1071" s="652">
        <f>IF($B1071="",,SUMIFS(PerHeadcount[Month 32],PerHeadcount[exp_item],$H1071,PerHeadcount[company_name],$B1071)*AQ231)</f>
        <v>0</v>
      </c>
      <c r="AR1071" s="652">
        <f>IF($B1071="",,SUMIFS(PerHeadcount[Month 33],PerHeadcount[exp_item],$H1071,PerHeadcount[company_name],$B1071)*AR231)</f>
        <v>0</v>
      </c>
      <c r="AS1071" s="652">
        <f>IF($B1071="",,SUMIFS(PerHeadcount[Month 34],PerHeadcount[exp_item],$H1071,PerHeadcount[company_name],$B1071)*AS231)</f>
        <v>0</v>
      </c>
      <c r="AT1071" s="652">
        <f>IF($B1071="",,SUMIFS(PerHeadcount[Month 35],PerHeadcount[exp_item],$H1071,PerHeadcount[company_name],$B1071)*AT231)</f>
        <v>0</v>
      </c>
      <c r="AU1071" s="652">
        <f>IF($B1071="",,SUMIFS(PerHeadcount[Month 36],PerHeadcount[exp_item],$H1071,PerHeadcount[company_name],$B1071)*AU231)</f>
        <v>0</v>
      </c>
    </row>
    <row r="1072" spans="2:47" x14ac:dyDescent="0.35">
      <c r="B1072" t="str">
        <f t="shared" si="698"/>
        <v/>
      </c>
      <c r="C1072" t="str">
        <f t="shared" ref="C1072:G1072" si="712">IF(C967="","",C967)</f>
        <v/>
      </c>
      <c r="D1072" t="str">
        <f t="shared" si="712"/>
        <v/>
      </c>
      <c r="E1072" t="str">
        <f t="shared" si="712"/>
        <v/>
      </c>
      <c r="F1072" t="str">
        <f t="shared" si="712"/>
        <v/>
      </c>
      <c r="G1072" t="str">
        <f t="shared" si="712"/>
        <v/>
      </c>
      <c r="H1072" t="str">
        <f t="shared" si="697"/>
        <v/>
      </c>
      <c r="J1072" t="str">
        <f>IF($H1072="","",IF(VLOOKUP(H1072,ExpItems[],2,0),H1072&amp;" - "&amp;INDEX(DivisionMapping[category_code],MATCH($D1072&amp;$C1072,DivisionMapping[dept_bu],0)),H1072))</f>
        <v/>
      </c>
      <c r="K1072" t="str">
        <f t="shared" si="665"/>
        <v/>
      </c>
      <c r="L1072" s="652">
        <f>IF($B1072="",,SUMIFS(PerHeadcount[Month 1],PerHeadcount[exp_item],$H1072,PerHeadcount[company_name],$B1072)*L232)</f>
        <v>0</v>
      </c>
      <c r="M1072" s="652">
        <f>IF($B1072="",,SUMIFS(PerHeadcount[Month 2],PerHeadcount[exp_item],$H1072,PerHeadcount[company_name],$B1072)*M232)</f>
        <v>0</v>
      </c>
      <c r="N1072" s="652">
        <f>IF($B1072="",,SUMIFS(PerHeadcount[Month 3],PerHeadcount[exp_item],$H1072,PerHeadcount[company_name],$B1072)*N232)</f>
        <v>0</v>
      </c>
      <c r="O1072" s="652">
        <f>IF($B1072="",,SUMIFS(PerHeadcount[Month 4],PerHeadcount[exp_item],$H1072,PerHeadcount[company_name],$B1072)*O232)</f>
        <v>0</v>
      </c>
      <c r="P1072" s="652">
        <f>IF($B1072="",,SUMIFS(PerHeadcount[Month 5],PerHeadcount[exp_item],$H1072,PerHeadcount[company_name],$B1072)*P232)</f>
        <v>0</v>
      </c>
      <c r="Q1072" s="652">
        <f>IF($B1072="",,SUMIFS(PerHeadcount[Month 6],PerHeadcount[exp_item],$H1072,PerHeadcount[company_name],$B1072)*Q232)</f>
        <v>0</v>
      </c>
      <c r="R1072" s="652">
        <f>IF($B1072="",,SUMIFS(PerHeadcount[Month 7],PerHeadcount[exp_item],$H1072,PerHeadcount[company_name],$B1072)*R232)</f>
        <v>0</v>
      </c>
      <c r="S1072" s="652">
        <f>IF($B1072="",,SUMIFS(PerHeadcount[Month 8],PerHeadcount[exp_item],$H1072,PerHeadcount[company_name],$B1072)*S232)</f>
        <v>0</v>
      </c>
      <c r="T1072" s="652">
        <f>IF($B1072="",,SUMIFS(PerHeadcount[Month 9],PerHeadcount[exp_item],$H1072,PerHeadcount[company_name],$B1072)*T232)</f>
        <v>0</v>
      </c>
      <c r="U1072" s="652">
        <f>IF($B1072="",,SUMIFS(PerHeadcount[Month 10],PerHeadcount[exp_item],$H1072,PerHeadcount[company_name],$B1072)*U232)</f>
        <v>0</v>
      </c>
      <c r="V1072" s="652">
        <f>IF($B1072="",,SUMIFS(PerHeadcount[Month 11],PerHeadcount[exp_item],$H1072,PerHeadcount[company_name],$B1072)*V232)</f>
        <v>0</v>
      </c>
      <c r="W1072" s="652">
        <f>IF($B1072="",,SUMIFS(PerHeadcount[Month 12],PerHeadcount[exp_item],$H1072,PerHeadcount[company_name],$B1072)*W232)</f>
        <v>0</v>
      </c>
      <c r="X1072" s="652">
        <f>IF($B1072="",,SUMIFS(PerHeadcount[Month 13],PerHeadcount[exp_item],$H1072,PerHeadcount[company_name],$B1072)*X232)</f>
        <v>0</v>
      </c>
      <c r="Y1072" s="652">
        <f>IF($B1072="",,SUMIFS(PerHeadcount[Month 14],PerHeadcount[exp_item],$H1072,PerHeadcount[company_name],$B1072)*Y232)</f>
        <v>0</v>
      </c>
      <c r="Z1072" s="652">
        <f>IF($B1072="",,SUMIFS(PerHeadcount[Month 15],PerHeadcount[exp_item],$H1072,PerHeadcount[company_name],$B1072)*Z232)</f>
        <v>0</v>
      </c>
      <c r="AA1072" s="652">
        <f>IF($B1072="",,SUMIFS(PerHeadcount[Month 16],PerHeadcount[exp_item],$H1072,PerHeadcount[company_name],$B1072)*AA232)</f>
        <v>0</v>
      </c>
      <c r="AB1072" s="652">
        <f>IF($B1072="",,SUMIFS(PerHeadcount[Month 17],PerHeadcount[exp_item],$H1072,PerHeadcount[company_name],$B1072)*AB232)</f>
        <v>0</v>
      </c>
      <c r="AC1072" s="652">
        <f>IF($B1072="",,SUMIFS(PerHeadcount[Month 18],PerHeadcount[exp_item],$H1072,PerHeadcount[company_name],$B1072)*AC232)</f>
        <v>0</v>
      </c>
      <c r="AD1072" s="652">
        <f>IF($B1072="",,SUMIFS(PerHeadcount[Month 19],PerHeadcount[exp_item],$H1072,PerHeadcount[company_name],$B1072)*AD232)</f>
        <v>0</v>
      </c>
      <c r="AE1072" s="652">
        <f>IF($B1072="",,SUMIFS(PerHeadcount[Month 20],PerHeadcount[exp_item],$H1072,PerHeadcount[company_name],$B1072)*AE232)</f>
        <v>0</v>
      </c>
      <c r="AF1072" s="652">
        <f>IF($B1072="",,SUMIFS(PerHeadcount[Month 21],PerHeadcount[exp_item],$H1072,PerHeadcount[company_name],$B1072)*AF232)</f>
        <v>0</v>
      </c>
      <c r="AG1072" s="652">
        <f>IF($B1072="",,SUMIFS(PerHeadcount[Month 22],PerHeadcount[exp_item],$H1072,PerHeadcount[company_name],$B1072)*AG232)</f>
        <v>0</v>
      </c>
      <c r="AH1072" s="652">
        <f>IF($B1072="",,SUMIFS(PerHeadcount[Month 23],PerHeadcount[exp_item],$H1072,PerHeadcount[company_name],$B1072)*AH232)</f>
        <v>0</v>
      </c>
      <c r="AI1072" s="652">
        <f>IF($B1072="",,SUMIFS(PerHeadcount[Month 24],PerHeadcount[exp_item],$H1072,PerHeadcount[company_name],$B1072)*AI232)</f>
        <v>0</v>
      </c>
      <c r="AJ1072" s="652">
        <f>IF($B1072="",,SUMIFS(PerHeadcount[Month 25],PerHeadcount[exp_item],$H1072,PerHeadcount[company_name],$B1072)*AJ232)</f>
        <v>0</v>
      </c>
      <c r="AK1072" s="652">
        <f>IF($B1072="",,SUMIFS(PerHeadcount[Month 26],PerHeadcount[exp_item],$H1072,PerHeadcount[company_name],$B1072)*AK232)</f>
        <v>0</v>
      </c>
      <c r="AL1072" s="652">
        <f>IF($B1072="",,SUMIFS(PerHeadcount[Month 27],PerHeadcount[exp_item],$H1072,PerHeadcount[company_name],$B1072)*AL232)</f>
        <v>0</v>
      </c>
      <c r="AM1072" s="652">
        <f>IF($B1072="",,SUMIFS(PerHeadcount[Month 28],PerHeadcount[exp_item],$H1072,PerHeadcount[company_name],$B1072)*AM232)</f>
        <v>0</v>
      </c>
      <c r="AN1072" s="652">
        <f>IF($B1072="",,SUMIFS(PerHeadcount[Month 29],PerHeadcount[exp_item],$H1072,PerHeadcount[company_name],$B1072)*AN232)</f>
        <v>0</v>
      </c>
      <c r="AO1072" s="652">
        <f>IF($B1072="",,SUMIFS(PerHeadcount[Month 30],PerHeadcount[exp_item],$H1072,PerHeadcount[company_name],$B1072)*AO232)</f>
        <v>0</v>
      </c>
      <c r="AP1072" s="652">
        <f>IF($B1072="",,SUMIFS(PerHeadcount[Month 31],PerHeadcount[exp_item],$H1072,PerHeadcount[company_name],$B1072)*AP232)</f>
        <v>0</v>
      </c>
      <c r="AQ1072" s="652">
        <f>IF($B1072="",,SUMIFS(PerHeadcount[Month 32],PerHeadcount[exp_item],$H1072,PerHeadcount[company_name],$B1072)*AQ232)</f>
        <v>0</v>
      </c>
      <c r="AR1072" s="652">
        <f>IF($B1072="",,SUMIFS(PerHeadcount[Month 33],PerHeadcount[exp_item],$H1072,PerHeadcount[company_name],$B1072)*AR232)</f>
        <v>0</v>
      </c>
      <c r="AS1072" s="652">
        <f>IF($B1072="",,SUMIFS(PerHeadcount[Month 34],PerHeadcount[exp_item],$H1072,PerHeadcount[company_name],$B1072)*AS232)</f>
        <v>0</v>
      </c>
      <c r="AT1072" s="652">
        <f>IF($B1072="",,SUMIFS(PerHeadcount[Month 35],PerHeadcount[exp_item],$H1072,PerHeadcount[company_name],$B1072)*AT232)</f>
        <v>0</v>
      </c>
      <c r="AU1072" s="652">
        <f>IF($B1072="",,SUMIFS(PerHeadcount[Month 36],PerHeadcount[exp_item],$H1072,PerHeadcount[company_name],$B1072)*AU232)</f>
        <v>0</v>
      </c>
    </row>
    <row r="1073" spans="2:47" x14ac:dyDescent="0.35">
      <c r="B1073" t="str">
        <f t="shared" si="698"/>
        <v/>
      </c>
      <c r="C1073" t="str">
        <f t="shared" ref="C1073:G1073" si="713">IF(C968="","",C968)</f>
        <v/>
      </c>
      <c r="D1073" t="str">
        <f t="shared" si="713"/>
        <v/>
      </c>
      <c r="E1073" t="str">
        <f t="shared" si="713"/>
        <v/>
      </c>
      <c r="F1073" t="str">
        <f t="shared" si="713"/>
        <v/>
      </c>
      <c r="G1073" t="str">
        <f t="shared" si="713"/>
        <v/>
      </c>
      <c r="H1073" t="str">
        <f t="shared" si="697"/>
        <v/>
      </c>
      <c r="J1073" t="str">
        <f>IF($H1073="","",IF(VLOOKUP(H1073,ExpItems[],2,0),H1073&amp;" - "&amp;INDEX(DivisionMapping[category_code],MATCH($D1073&amp;$C1073,DivisionMapping[dept_bu],0)),H1073))</f>
        <v/>
      </c>
      <c r="K1073" t="str">
        <f t="shared" si="665"/>
        <v/>
      </c>
      <c r="L1073" s="652">
        <f>IF($B1073="",,SUMIFS(PerHeadcount[Month 1],PerHeadcount[exp_item],$H1073,PerHeadcount[company_name],$B1073)*L233)</f>
        <v>0</v>
      </c>
      <c r="M1073" s="652">
        <f>IF($B1073="",,SUMIFS(PerHeadcount[Month 2],PerHeadcount[exp_item],$H1073,PerHeadcount[company_name],$B1073)*M233)</f>
        <v>0</v>
      </c>
      <c r="N1073" s="652">
        <f>IF($B1073="",,SUMIFS(PerHeadcount[Month 3],PerHeadcount[exp_item],$H1073,PerHeadcount[company_name],$B1073)*N233)</f>
        <v>0</v>
      </c>
      <c r="O1073" s="652">
        <f>IF($B1073="",,SUMIFS(PerHeadcount[Month 4],PerHeadcount[exp_item],$H1073,PerHeadcount[company_name],$B1073)*O233)</f>
        <v>0</v>
      </c>
      <c r="P1073" s="652">
        <f>IF($B1073="",,SUMIFS(PerHeadcount[Month 5],PerHeadcount[exp_item],$H1073,PerHeadcount[company_name],$B1073)*P233)</f>
        <v>0</v>
      </c>
      <c r="Q1073" s="652">
        <f>IF($B1073="",,SUMIFS(PerHeadcount[Month 6],PerHeadcount[exp_item],$H1073,PerHeadcount[company_name],$B1073)*Q233)</f>
        <v>0</v>
      </c>
      <c r="R1073" s="652">
        <f>IF($B1073="",,SUMIFS(PerHeadcount[Month 7],PerHeadcount[exp_item],$H1073,PerHeadcount[company_name],$B1073)*R233)</f>
        <v>0</v>
      </c>
      <c r="S1073" s="652">
        <f>IF($B1073="",,SUMIFS(PerHeadcount[Month 8],PerHeadcount[exp_item],$H1073,PerHeadcount[company_name],$B1073)*S233)</f>
        <v>0</v>
      </c>
      <c r="T1073" s="652">
        <f>IF($B1073="",,SUMIFS(PerHeadcount[Month 9],PerHeadcount[exp_item],$H1073,PerHeadcount[company_name],$B1073)*T233)</f>
        <v>0</v>
      </c>
      <c r="U1073" s="652">
        <f>IF($B1073="",,SUMIFS(PerHeadcount[Month 10],PerHeadcount[exp_item],$H1073,PerHeadcount[company_name],$B1073)*U233)</f>
        <v>0</v>
      </c>
      <c r="V1073" s="652">
        <f>IF($B1073="",,SUMIFS(PerHeadcount[Month 11],PerHeadcount[exp_item],$H1073,PerHeadcount[company_name],$B1073)*V233)</f>
        <v>0</v>
      </c>
      <c r="W1073" s="652">
        <f>IF($B1073="",,SUMIFS(PerHeadcount[Month 12],PerHeadcount[exp_item],$H1073,PerHeadcount[company_name],$B1073)*W233)</f>
        <v>0</v>
      </c>
      <c r="X1073" s="652">
        <f>IF($B1073="",,SUMIFS(PerHeadcount[Month 13],PerHeadcount[exp_item],$H1073,PerHeadcount[company_name],$B1073)*X233)</f>
        <v>0</v>
      </c>
      <c r="Y1073" s="652">
        <f>IF($B1073="",,SUMIFS(PerHeadcount[Month 14],PerHeadcount[exp_item],$H1073,PerHeadcount[company_name],$B1073)*Y233)</f>
        <v>0</v>
      </c>
      <c r="Z1073" s="652">
        <f>IF($B1073="",,SUMIFS(PerHeadcount[Month 15],PerHeadcount[exp_item],$H1073,PerHeadcount[company_name],$B1073)*Z233)</f>
        <v>0</v>
      </c>
      <c r="AA1073" s="652">
        <f>IF($B1073="",,SUMIFS(PerHeadcount[Month 16],PerHeadcount[exp_item],$H1073,PerHeadcount[company_name],$B1073)*AA233)</f>
        <v>0</v>
      </c>
      <c r="AB1073" s="652">
        <f>IF($B1073="",,SUMIFS(PerHeadcount[Month 17],PerHeadcount[exp_item],$H1073,PerHeadcount[company_name],$B1073)*AB233)</f>
        <v>0</v>
      </c>
      <c r="AC1073" s="652">
        <f>IF($B1073="",,SUMIFS(PerHeadcount[Month 18],PerHeadcount[exp_item],$H1073,PerHeadcount[company_name],$B1073)*AC233)</f>
        <v>0</v>
      </c>
      <c r="AD1073" s="652">
        <f>IF($B1073="",,SUMIFS(PerHeadcount[Month 19],PerHeadcount[exp_item],$H1073,PerHeadcount[company_name],$B1073)*AD233)</f>
        <v>0</v>
      </c>
      <c r="AE1073" s="652">
        <f>IF($B1073="",,SUMIFS(PerHeadcount[Month 20],PerHeadcount[exp_item],$H1073,PerHeadcount[company_name],$B1073)*AE233)</f>
        <v>0</v>
      </c>
      <c r="AF1073" s="652">
        <f>IF($B1073="",,SUMIFS(PerHeadcount[Month 21],PerHeadcount[exp_item],$H1073,PerHeadcount[company_name],$B1073)*AF233)</f>
        <v>0</v>
      </c>
      <c r="AG1073" s="652">
        <f>IF($B1073="",,SUMIFS(PerHeadcount[Month 22],PerHeadcount[exp_item],$H1073,PerHeadcount[company_name],$B1073)*AG233)</f>
        <v>0</v>
      </c>
      <c r="AH1073" s="652">
        <f>IF($B1073="",,SUMIFS(PerHeadcount[Month 23],PerHeadcount[exp_item],$H1073,PerHeadcount[company_name],$B1073)*AH233)</f>
        <v>0</v>
      </c>
      <c r="AI1073" s="652">
        <f>IF($B1073="",,SUMIFS(PerHeadcount[Month 24],PerHeadcount[exp_item],$H1073,PerHeadcount[company_name],$B1073)*AI233)</f>
        <v>0</v>
      </c>
      <c r="AJ1073" s="652">
        <f>IF($B1073="",,SUMIFS(PerHeadcount[Month 25],PerHeadcount[exp_item],$H1073,PerHeadcount[company_name],$B1073)*AJ233)</f>
        <v>0</v>
      </c>
      <c r="AK1073" s="652">
        <f>IF($B1073="",,SUMIFS(PerHeadcount[Month 26],PerHeadcount[exp_item],$H1073,PerHeadcount[company_name],$B1073)*AK233)</f>
        <v>0</v>
      </c>
      <c r="AL1073" s="652">
        <f>IF($B1073="",,SUMIFS(PerHeadcount[Month 27],PerHeadcount[exp_item],$H1073,PerHeadcount[company_name],$B1073)*AL233)</f>
        <v>0</v>
      </c>
      <c r="AM1073" s="652">
        <f>IF($B1073="",,SUMIFS(PerHeadcount[Month 28],PerHeadcount[exp_item],$H1073,PerHeadcount[company_name],$B1073)*AM233)</f>
        <v>0</v>
      </c>
      <c r="AN1073" s="652">
        <f>IF($B1073="",,SUMIFS(PerHeadcount[Month 29],PerHeadcount[exp_item],$H1073,PerHeadcount[company_name],$B1073)*AN233)</f>
        <v>0</v>
      </c>
      <c r="AO1073" s="652">
        <f>IF($B1073="",,SUMIFS(PerHeadcount[Month 30],PerHeadcount[exp_item],$H1073,PerHeadcount[company_name],$B1073)*AO233)</f>
        <v>0</v>
      </c>
      <c r="AP1073" s="652">
        <f>IF($B1073="",,SUMIFS(PerHeadcount[Month 31],PerHeadcount[exp_item],$H1073,PerHeadcount[company_name],$B1073)*AP233)</f>
        <v>0</v>
      </c>
      <c r="AQ1073" s="652">
        <f>IF($B1073="",,SUMIFS(PerHeadcount[Month 32],PerHeadcount[exp_item],$H1073,PerHeadcount[company_name],$B1073)*AQ233)</f>
        <v>0</v>
      </c>
      <c r="AR1073" s="652">
        <f>IF($B1073="",,SUMIFS(PerHeadcount[Month 33],PerHeadcount[exp_item],$H1073,PerHeadcount[company_name],$B1073)*AR233)</f>
        <v>0</v>
      </c>
      <c r="AS1073" s="652">
        <f>IF($B1073="",,SUMIFS(PerHeadcount[Month 34],PerHeadcount[exp_item],$H1073,PerHeadcount[company_name],$B1073)*AS233)</f>
        <v>0</v>
      </c>
      <c r="AT1073" s="652">
        <f>IF($B1073="",,SUMIFS(PerHeadcount[Month 35],PerHeadcount[exp_item],$H1073,PerHeadcount[company_name],$B1073)*AT233)</f>
        <v>0</v>
      </c>
      <c r="AU1073" s="652">
        <f>IF($B1073="",,SUMIFS(PerHeadcount[Month 36],PerHeadcount[exp_item],$H1073,PerHeadcount[company_name],$B1073)*AU233)</f>
        <v>0</v>
      </c>
    </row>
    <row r="1074" spans="2:47" x14ac:dyDescent="0.35">
      <c r="B1074" t="str">
        <f t="shared" si="698"/>
        <v/>
      </c>
      <c r="C1074" t="str">
        <f t="shared" ref="C1074:G1074" si="714">IF(C969="","",C969)</f>
        <v/>
      </c>
      <c r="D1074" t="str">
        <f t="shared" si="714"/>
        <v/>
      </c>
      <c r="E1074" t="str">
        <f t="shared" si="714"/>
        <v/>
      </c>
      <c r="F1074" t="str">
        <f t="shared" si="714"/>
        <v/>
      </c>
      <c r="G1074" t="str">
        <f t="shared" si="714"/>
        <v/>
      </c>
      <c r="H1074" t="str">
        <f t="shared" si="697"/>
        <v/>
      </c>
      <c r="J1074" t="str">
        <f>IF($H1074="","",IF(VLOOKUP(H1074,ExpItems[],2,0),H1074&amp;" - "&amp;INDEX(DivisionMapping[category_code],MATCH($D1074&amp;$C1074,DivisionMapping[dept_bu],0)),H1074))</f>
        <v/>
      </c>
      <c r="K1074" t="str">
        <f t="shared" si="665"/>
        <v/>
      </c>
      <c r="L1074" s="652">
        <f>IF($B1074="",,SUMIFS(PerHeadcount[Month 1],PerHeadcount[exp_item],$H1074,PerHeadcount[company_name],$B1074)*L234)</f>
        <v>0</v>
      </c>
      <c r="M1074" s="652">
        <f>IF($B1074="",,SUMIFS(PerHeadcount[Month 2],PerHeadcount[exp_item],$H1074,PerHeadcount[company_name],$B1074)*M234)</f>
        <v>0</v>
      </c>
      <c r="N1074" s="652">
        <f>IF($B1074="",,SUMIFS(PerHeadcount[Month 3],PerHeadcount[exp_item],$H1074,PerHeadcount[company_name],$B1074)*N234)</f>
        <v>0</v>
      </c>
      <c r="O1074" s="652">
        <f>IF($B1074="",,SUMIFS(PerHeadcount[Month 4],PerHeadcount[exp_item],$H1074,PerHeadcount[company_name],$B1074)*O234)</f>
        <v>0</v>
      </c>
      <c r="P1074" s="652">
        <f>IF($B1074="",,SUMIFS(PerHeadcount[Month 5],PerHeadcount[exp_item],$H1074,PerHeadcount[company_name],$B1074)*P234)</f>
        <v>0</v>
      </c>
      <c r="Q1074" s="652">
        <f>IF($B1074="",,SUMIFS(PerHeadcount[Month 6],PerHeadcount[exp_item],$H1074,PerHeadcount[company_name],$B1074)*Q234)</f>
        <v>0</v>
      </c>
      <c r="R1074" s="652">
        <f>IF($B1074="",,SUMIFS(PerHeadcount[Month 7],PerHeadcount[exp_item],$H1074,PerHeadcount[company_name],$B1074)*R234)</f>
        <v>0</v>
      </c>
      <c r="S1074" s="652">
        <f>IF($B1074="",,SUMIFS(PerHeadcount[Month 8],PerHeadcount[exp_item],$H1074,PerHeadcount[company_name],$B1074)*S234)</f>
        <v>0</v>
      </c>
      <c r="T1074" s="652">
        <f>IF($B1074="",,SUMIFS(PerHeadcount[Month 9],PerHeadcount[exp_item],$H1074,PerHeadcount[company_name],$B1074)*T234)</f>
        <v>0</v>
      </c>
      <c r="U1074" s="652">
        <f>IF($B1074="",,SUMIFS(PerHeadcount[Month 10],PerHeadcount[exp_item],$H1074,PerHeadcount[company_name],$B1074)*U234)</f>
        <v>0</v>
      </c>
      <c r="V1074" s="652">
        <f>IF($B1074="",,SUMIFS(PerHeadcount[Month 11],PerHeadcount[exp_item],$H1074,PerHeadcount[company_name],$B1074)*V234)</f>
        <v>0</v>
      </c>
      <c r="W1074" s="652">
        <f>IF($B1074="",,SUMIFS(PerHeadcount[Month 12],PerHeadcount[exp_item],$H1074,PerHeadcount[company_name],$B1074)*W234)</f>
        <v>0</v>
      </c>
      <c r="X1074" s="652">
        <f>IF($B1074="",,SUMIFS(PerHeadcount[Month 13],PerHeadcount[exp_item],$H1074,PerHeadcount[company_name],$B1074)*X234)</f>
        <v>0</v>
      </c>
      <c r="Y1074" s="652">
        <f>IF($B1074="",,SUMIFS(PerHeadcount[Month 14],PerHeadcount[exp_item],$H1074,PerHeadcount[company_name],$B1074)*Y234)</f>
        <v>0</v>
      </c>
      <c r="Z1074" s="652">
        <f>IF($B1074="",,SUMIFS(PerHeadcount[Month 15],PerHeadcount[exp_item],$H1074,PerHeadcount[company_name],$B1074)*Z234)</f>
        <v>0</v>
      </c>
      <c r="AA1074" s="652">
        <f>IF($B1074="",,SUMIFS(PerHeadcount[Month 16],PerHeadcount[exp_item],$H1074,PerHeadcount[company_name],$B1074)*AA234)</f>
        <v>0</v>
      </c>
      <c r="AB1074" s="652">
        <f>IF($B1074="",,SUMIFS(PerHeadcount[Month 17],PerHeadcount[exp_item],$H1074,PerHeadcount[company_name],$B1074)*AB234)</f>
        <v>0</v>
      </c>
      <c r="AC1074" s="652">
        <f>IF($B1074="",,SUMIFS(PerHeadcount[Month 18],PerHeadcount[exp_item],$H1074,PerHeadcount[company_name],$B1074)*AC234)</f>
        <v>0</v>
      </c>
      <c r="AD1074" s="652">
        <f>IF($B1074="",,SUMIFS(PerHeadcount[Month 19],PerHeadcount[exp_item],$H1074,PerHeadcount[company_name],$B1074)*AD234)</f>
        <v>0</v>
      </c>
      <c r="AE1074" s="652">
        <f>IF($B1074="",,SUMIFS(PerHeadcount[Month 20],PerHeadcount[exp_item],$H1074,PerHeadcount[company_name],$B1074)*AE234)</f>
        <v>0</v>
      </c>
      <c r="AF1074" s="652">
        <f>IF($B1074="",,SUMIFS(PerHeadcount[Month 21],PerHeadcount[exp_item],$H1074,PerHeadcount[company_name],$B1074)*AF234)</f>
        <v>0</v>
      </c>
      <c r="AG1074" s="652">
        <f>IF($B1074="",,SUMIFS(PerHeadcount[Month 22],PerHeadcount[exp_item],$H1074,PerHeadcount[company_name],$B1074)*AG234)</f>
        <v>0</v>
      </c>
      <c r="AH1074" s="652">
        <f>IF($B1074="",,SUMIFS(PerHeadcount[Month 23],PerHeadcount[exp_item],$H1074,PerHeadcount[company_name],$B1074)*AH234)</f>
        <v>0</v>
      </c>
      <c r="AI1074" s="652">
        <f>IF($B1074="",,SUMIFS(PerHeadcount[Month 24],PerHeadcount[exp_item],$H1074,PerHeadcount[company_name],$B1074)*AI234)</f>
        <v>0</v>
      </c>
      <c r="AJ1074" s="652">
        <f>IF($B1074="",,SUMIFS(PerHeadcount[Month 25],PerHeadcount[exp_item],$H1074,PerHeadcount[company_name],$B1074)*AJ234)</f>
        <v>0</v>
      </c>
      <c r="AK1074" s="652">
        <f>IF($B1074="",,SUMIFS(PerHeadcount[Month 26],PerHeadcount[exp_item],$H1074,PerHeadcount[company_name],$B1074)*AK234)</f>
        <v>0</v>
      </c>
      <c r="AL1074" s="652">
        <f>IF($B1074="",,SUMIFS(PerHeadcount[Month 27],PerHeadcount[exp_item],$H1074,PerHeadcount[company_name],$B1074)*AL234)</f>
        <v>0</v>
      </c>
      <c r="AM1074" s="652">
        <f>IF($B1074="",,SUMIFS(PerHeadcount[Month 28],PerHeadcount[exp_item],$H1074,PerHeadcount[company_name],$B1074)*AM234)</f>
        <v>0</v>
      </c>
      <c r="AN1074" s="652">
        <f>IF($B1074="",,SUMIFS(PerHeadcount[Month 29],PerHeadcount[exp_item],$H1074,PerHeadcount[company_name],$B1074)*AN234)</f>
        <v>0</v>
      </c>
      <c r="AO1074" s="652">
        <f>IF($B1074="",,SUMIFS(PerHeadcount[Month 30],PerHeadcount[exp_item],$H1074,PerHeadcount[company_name],$B1074)*AO234)</f>
        <v>0</v>
      </c>
      <c r="AP1074" s="652">
        <f>IF($B1074="",,SUMIFS(PerHeadcount[Month 31],PerHeadcount[exp_item],$H1074,PerHeadcount[company_name],$B1074)*AP234)</f>
        <v>0</v>
      </c>
      <c r="AQ1074" s="652">
        <f>IF($B1074="",,SUMIFS(PerHeadcount[Month 32],PerHeadcount[exp_item],$H1074,PerHeadcount[company_name],$B1074)*AQ234)</f>
        <v>0</v>
      </c>
      <c r="AR1074" s="652">
        <f>IF($B1074="",,SUMIFS(PerHeadcount[Month 33],PerHeadcount[exp_item],$H1074,PerHeadcount[company_name],$B1074)*AR234)</f>
        <v>0</v>
      </c>
      <c r="AS1074" s="652">
        <f>IF($B1074="",,SUMIFS(PerHeadcount[Month 34],PerHeadcount[exp_item],$H1074,PerHeadcount[company_name],$B1074)*AS234)</f>
        <v>0</v>
      </c>
      <c r="AT1074" s="652">
        <f>IF($B1074="",,SUMIFS(PerHeadcount[Month 35],PerHeadcount[exp_item],$H1074,PerHeadcount[company_name],$B1074)*AT234)</f>
        <v>0</v>
      </c>
      <c r="AU1074" s="652">
        <f>IF($B1074="",,SUMIFS(PerHeadcount[Month 36],PerHeadcount[exp_item],$H1074,PerHeadcount[company_name],$B1074)*AU234)</f>
        <v>0</v>
      </c>
    </row>
    <row r="1075" spans="2:47" x14ac:dyDescent="0.35">
      <c r="B1075" t="str">
        <f t="shared" si="698"/>
        <v/>
      </c>
      <c r="C1075" t="str">
        <f t="shared" ref="C1075:G1075" si="715">IF(C970="","",C970)</f>
        <v/>
      </c>
      <c r="D1075" t="str">
        <f t="shared" si="715"/>
        <v/>
      </c>
      <c r="E1075" t="str">
        <f t="shared" si="715"/>
        <v/>
      </c>
      <c r="F1075" t="str">
        <f t="shared" si="715"/>
        <v/>
      </c>
      <c r="G1075" t="str">
        <f t="shared" si="715"/>
        <v/>
      </c>
      <c r="H1075" t="str">
        <f t="shared" si="697"/>
        <v/>
      </c>
      <c r="J1075" t="str">
        <f>IF($H1075="","",IF(VLOOKUP(H1075,ExpItems[],2,0),H1075&amp;" - "&amp;INDEX(DivisionMapping[category_code],MATCH($D1075&amp;$C1075,DivisionMapping[dept_bu],0)),H1075))</f>
        <v/>
      </c>
      <c r="K1075" t="str">
        <f t="shared" si="665"/>
        <v/>
      </c>
      <c r="L1075" s="652">
        <f>IF($B1075="",,SUMIFS(PerHeadcount[Month 1],PerHeadcount[exp_item],$H1075,PerHeadcount[company_name],$B1075)*L235)</f>
        <v>0</v>
      </c>
      <c r="M1075" s="652">
        <f>IF($B1075="",,SUMIFS(PerHeadcount[Month 2],PerHeadcount[exp_item],$H1075,PerHeadcount[company_name],$B1075)*M235)</f>
        <v>0</v>
      </c>
      <c r="N1075" s="652">
        <f>IF($B1075="",,SUMIFS(PerHeadcount[Month 3],PerHeadcount[exp_item],$H1075,PerHeadcount[company_name],$B1075)*N235)</f>
        <v>0</v>
      </c>
      <c r="O1075" s="652">
        <f>IF($B1075="",,SUMIFS(PerHeadcount[Month 4],PerHeadcount[exp_item],$H1075,PerHeadcount[company_name],$B1075)*O235)</f>
        <v>0</v>
      </c>
      <c r="P1075" s="652">
        <f>IF($B1075="",,SUMIFS(PerHeadcount[Month 5],PerHeadcount[exp_item],$H1075,PerHeadcount[company_name],$B1075)*P235)</f>
        <v>0</v>
      </c>
      <c r="Q1075" s="652">
        <f>IF($B1075="",,SUMIFS(PerHeadcount[Month 6],PerHeadcount[exp_item],$H1075,PerHeadcount[company_name],$B1075)*Q235)</f>
        <v>0</v>
      </c>
      <c r="R1075" s="652">
        <f>IF($B1075="",,SUMIFS(PerHeadcount[Month 7],PerHeadcount[exp_item],$H1075,PerHeadcount[company_name],$B1075)*R235)</f>
        <v>0</v>
      </c>
      <c r="S1075" s="652">
        <f>IF($B1075="",,SUMIFS(PerHeadcount[Month 8],PerHeadcount[exp_item],$H1075,PerHeadcount[company_name],$B1075)*S235)</f>
        <v>0</v>
      </c>
      <c r="T1075" s="652">
        <f>IF($B1075="",,SUMIFS(PerHeadcount[Month 9],PerHeadcount[exp_item],$H1075,PerHeadcount[company_name],$B1075)*T235)</f>
        <v>0</v>
      </c>
      <c r="U1075" s="652">
        <f>IF($B1075="",,SUMIFS(PerHeadcount[Month 10],PerHeadcount[exp_item],$H1075,PerHeadcount[company_name],$B1075)*U235)</f>
        <v>0</v>
      </c>
      <c r="V1075" s="652">
        <f>IF($B1075="",,SUMIFS(PerHeadcount[Month 11],PerHeadcount[exp_item],$H1075,PerHeadcount[company_name],$B1075)*V235)</f>
        <v>0</v>
      </c>
      <c r="W1075" s="652">
        <f>IF($B1075="",,SUMIFS(PerHeadcount[Month 12],PerHeadcount[exp_item],$H1075,PerHeadcount[company_name],$B1075)*W235)</f>
        <v>0</v>
      </c>
      <c r="X1075" s="652">
        <f>IF($B1075="",,SUMIFS(PerHeadcount[Month 13],PerHeadcount[exp_item],$H1075,PerHeadcount[company_name],$B1075)*X235)</f>
        <v>0</v>
      </c>
      <c r="Y1075" s="652">
        <f>IF($B1075="",,SUMIFS(PerHeadcount[Month 14],PerHeadcount[exp_item],$H1075,PerHeadcount[company_name],$B1075)*Y235)</f>
        <v>0</v>
      </c>
      <c r="Z1075" s="652">
        <f>IF($B1075="",,SUMIFS(PerHeadcount[Month 15],PerHeadcount[exp_item],$H1075,PerHeadcount[company_name],$B1075)*Z235)</f>
        <v>0</v>
      </c>
      <c r="AA1075" s="652">
        <f>IF($B1075="",,SUMIFS(PerHeadcount[Month 16],PerHeadcount[exp_item],$H1075,PerHeadcount[company_name],$B1075)*AA235)</f>
        <v>0</v>
      </c>
      <c r="AB1075" s="652">
        <f>IF($B1075="",,SUMIFS(PerHeadcount[Month 17],PerHeadcount[exp_item],$H1075,PerHeadcount[company_name],$B1075)*AB235)</f>
        <v>0</v>
      </c>
      <c r="AC1075" s="652">
        <f>IF($B1075="",,SUMIFS(PerHeadcount[Month 18],PerHeadcount[exp_item],$H1075,PerHeadcount[company_name],$B1075)*AC235)</f>
        <v>0</v>
      </c>
      <c r="AD1075" s="652">
        <f>IF($B1075="",,SUMIFS(PerHeadcount[Month 19],PerHeadcount[exp_item],$H1075,PerHeadcount[company_name],$B1075)*AD235)</f>
        <v>0</v>
      </c>
      <c r="AE1075" s="652">
        <f>IF($B1075="",,SUMIFS(PerHeadcount[Month 20],PerHeadcount[exp_item],$H1075,PerHeadcount[company_name],$B1075)*AE235)</f>
        <v>0</v>
      </c>
      <c r="AF1075" s="652">
        <f>IF($B1075="",,SUMIFS(PerHeadcount[Month 21],PerHeadcount[exp_item],$H1075,PerHeadcount[company_name],$B1075)*AF235)</f>
        <v>0</v>
      </c>
      <c r="AG1075" s="652">
        <f>IF($B1075="",,SUMIFS(PerHeadcount[Month 22],PerHeadcount[exp_item],$H1075,PerHeadcount[company_name],$B1075)*AG235)</f>
        <v>0</v>
      </c>
      <c r="AH1075" s="652">
        <f>IF($B1075="",,SUMIFS(PerHeadcount[Month 23],PerHeadcount[exp_item],$H1075,PerHeadcount[company_name],$B1075)*AH235)</f>
        <v>0</v>
      </c>
      <c r="AI1075" s="652">
        <f>IF($B1075="",,SUMIFS(PerHeadcount[Month 24],PerHeadcount[exp_item],$H1075,PerHeadcount[company_name],$B1075)*AI235)</f>
        <v>0</v>
      </c>
      <c r="AJ1075" s="652">
        <f>IF($B1075="",,SUMIFS(PerHeadcount[Month 25],PerHeadcount[exp_item],$H1075,PerHeadcount[company_name],$B1075)*AJ235)</f>
        <v>0</v>
      </c>
      <c r="AK1075" s="652">
        <f>IF($B1075="",,SUMIFS(PerHeadcount[Month 26],PerHeadcount[exp_item],$H1075,PerHeadcount[company_name],$B1075)*AK235)</f>
        <v>0</v>
      </c>
      <c r="AL1075" s="652">
        <f>IF($B1075="",,SUMIFS(PerHeadcount[Month 27],PerHeadcount[exp_item],$H1075,PerHeadcount[company_name],$B1075)*AL235)</f>
        <v>0</v>
      </c>
      <c r="AM1075" s="652">
        <f>IF($B1075="",,SUMIFS(PerHeadcount[Month 28],PerHeadcount[exp_item],$H1075,PerHeadcount[company_name],$B1075)*AM235)</f>
        <v>0</v>
      </c>
      <c r="AN1075" s="652">
        <f>IF($B1075="",,SUMIFS(PerHeadcount[Month 29],PerHeadcount[exp_item],$H1075,PerHeadcount[company_name],$B1075)*AN235)</f>
        <v>0</v>
      </c>
      <c r="AO1075" s="652">
        <f>IF($B1075="",,SUMIFS(PerHeadcount[Month 30],PerHeadcount[exp_item],$H1075,PerHeadcount[company_name],$B1075)*AO235)</f>
        <v>0</v>
      </c>
      <c r="AP1075" s="652">
        <f>IF($B1075="",,SUMIFS(PerHeadcount[Month 31],PerHeadcount[exp_item],$H1075,PerHeadcount[company_name],$B1075)*AP235)</f>
        <v>0</v>
      </c>
      <c r="AQ1075" s="652">
        <f>IF($B1075="",,SUMIFS(PerHeadcount[Month 32],PerHeadcount[exp_item],$H1075,PerHeadcount[company_name],$B1075)*AQ235)</f>
        <v>0</v>
      </c>
      <c r="AR1075" s="652">
        <f>IF($B1075="",,SUMIFS(PerHeadcount[Month 33],PerHeadcount[exp_item],$H1075,PerHeadcount[company_name],$B1075)*AR235)</f>
        <v>0</v>
      </c>
      <c r="AS1075" s="652">
        <f>IF($B1075="",,SUMIFS(PerHeadcount[Month 34],PerHeadcount[exp_item],$H1075,PerHeadcount[company_name],$B1075)*AS235)</f>
        <v>0</v>
      </c>
      <c r="AT1075" s="652">
        <f>IF($B1075="",,SUMIFS(PerHeadcount[Month 35],PerHeadcount[exp_item],$H1075,PerHeadcount[company_name],$B1075)*AT235)</f>
        <v>0</v>
      </c>
      <c r="AU1075" s="652">
        <f>IF($B1075="",,SUMIFS(PerHeadcount[Month 36],PerHeadcount[exp_item],$H1075,PerHeadcount[company_name],$B1075)*AU235)</f>
        <v>0</v>
      </c>
    </row>
    <row r="1076" spans="2:47" x14ac:dyDescent="0.35">
      <c r="B1076" t="str">
        <f t="shared" si="698"/>
        <v/>
      </c>
      <c r="C1076" t="str">
        <f t="shared" ref="C1076:G1076" si="716">IF(C971="","",C971)</f>
        <v/>
      </c>
      <c r="D1076" t="str">
        <f t="shared" si="716"/>
        <v/>
      </c>
      <c r="E1076" t="str">
        <f t="shared" si="716"/>
        <v/>
      </c>
      <c r="F1076" t="str">
        <f t="shared" si="716"/>
        <v/>
      </c>
      <c r="G1076" t="str">
        <f t="shared" si="716"/>
        <v/>
      </c>
      <c r="H1076" t="str">
        <f t="shared" si="697"/>
        <v/>
      </c>
      <c r="J1076" t="str">
        <f>IF($H1076="","",IF(VLOOKUP(H1076,ExpItems[],2,0),H1076&amp;" - "&amp;INDEX(DivisionMapping[category_code],MATCH($D1076&amp;$C1076,DivisionMapping[dept_bu],0)),H1076))</f>
        <v/>
      </c>
      <c r="K1076" t="str">
        <f t="shared" si="665"/>
        <v/>
      </c>
      <c r="L1076" s="652">
        <f>IF($B1076="",,SUMIFS(PerHeadcount[Month 1],PerHeadcount[exp_item],$H1076,PerHeadcount[company_name],$B1076)*L236)</f>
        <v>0</v>
      </c>
      <c r="M1076" s="652">
        <f>IF($B1076="",,SUMIFS(PerHeadcount[Month 2],PerHeadcount[exp_item],$H1076,PerHeadcount[company_name],$B1076)*M236)</f>
        <v>0</v>
      </c>
      <c r="N1076" s="652">
        <f>IF($B1076="",,SUMIFS(PerHeadcount[Month 3],PerHeadcount[exp_item],$H1076,PerHeadcount[company_name],$B1076)*N236)</f>
        <v>0</v>
      </c>
      <c r="O1076" s="652">
        <f>IF($B1076="",,SUMIFS(PerHeadcount[Month 4],PerHeadcount[exp_item],$H1076,PerHeadcount[company_name],$B1076)*O236)</f>
        <v>0</v>
      </c>
      <c r="P1076" s="652">
        <f>IF($B1076="",,SUMIFS(PerHeadcount[Month 5],PerHeadcount[exp_item],$H1076,PerHeadcount[company_name],$B1076)*P236)</f>
        <v>0</v>
      </c>
      <c r="Q1076" s="652">
        <f>IF($B1076="",,SUMIFS(PerHeadcount[Month 6],PerHeadcount[exp_item],$H1076,PerHeadcount[company_name],$B1076)*Q236)</f>
        <v>0</v>
      </c>
      <c r="R1076" s="652">
        <f>IF($B1076="",,SUMIFS(PerHeadcount[Month 7],PerHeadcount[exp_item],$H1076,PerHeadcount[company_name],$B1076)*R236)</f>
        <v>0</v>
      </c>
      <c r="S1076" s="652">
        <f>IF($B1076="",,SUMIFS(PerHeadcount[Month 8],PerHeadcount[exp_item],$H1076,PerHeadcount[company_name],$B1076)*S236)</f>
        <v>0</v>
      </c>
      <c r="T1076" s="652">
        <f>IF($B1076="",,SUMIFS(PerHeadcount[Month 9],PerHeadcount[exp_item],$H1076,PerHeadcount[company_name],$B1076)*T236)</f>
        <v>0</v>
      </c>
      <c r="U1076" s="652">
        <f>IF($B1076="",,SUMIFS(PerHeadcount[Month 10],PerHeadcount[exp_item],$H1076,PerHeadcount[company_name],$B1076)*U236)</f>
        <v>0</v>
      </c>
      <c r="V1076" s="652">
        <f>IF($B1076="",,SUMIFS(PerHeadcount[Month 11],PerHeadcount[exp_item],$H1076,PerHeadcount[company_name],$B1076)*V236)</f>
        <v>0</v>
      </c>
      <c r="W1076" s="652">
        <f>IF($B1076="",,SUMIFS(PerHeadcount[Month 12],PerHeadcount[exp_item],$H1076,PerHeadcount[company_name],$B1076)*W236)</f>
        <v>0</v>
      </c>
      <c r="X1076" s="652">
        <f>IF($B1076="",,SUMIFS(PerHeadcount[Month 13],PerHeadcount[exp_item],$H1076,PerHeadcount[company_name],$B1076)*X236)</f>
        <v>0</v>
      </c>
      <c r="Y1076" s="652">
        <f>IF($B1076="",,SUMIFS(PerHeadcount[Month 14],PerHeadcount[exp_item],$H1076,PerHeadcount[company_name],$B1076)*Y236)</f>
        <v>0</v>
      </c>
      <c r="Z1076" s="652">
        <f>IF($B1076="",,SUMIFS(PerHeadcount[Month 15],PerHeadcount[exp_item],$H1076,PerHeadcount[company_name],$B1076)*Z236)</f>
        <v>0</v>
      </c>
      <c r="AA1076" s="652">
        <f>IF($B1076="",,SUMIFS(PerHeadcount[Month 16],PerHeadcount[exp_item],$H1076,PerHeadcount[company_name],$B1076)*AA236)</f>
        <v>0</v>
      </c>
      <c r="AB1076" s="652">
        <f>IF($B1076="",,SUMIFS(PerHeadcount[Month 17],PerHeadcount[exp_item],$H1076,PerHeadcount[company_name],$B1076)*AB236)</f>
        <v>0</v>
      </c>
      <c r="AC1076" s="652">
        <f>IF($B1076="",,SUMIFS(PerHeadcount[Month 18],PerHeadcount[exp_item],$H1076,PerHeadcount[company_name],$B1076)*AC236)</f>
        <v>0</v>
      </c>
      <c r="AD1076" s="652">
        <f>IF($B1076="",,SUMIFS(PerHeadcount[Month 19],PerHeadcount[exp_item],$H1076,PerHeadcount[company_name],$B1076)*AD236)</f>
        <v>0</v>
      </c>
      <c r="AE1076" s="652">
        <f>IF($B1076="",,SUMIFS(PerHeadcount[Month 20],PerHeadcount[exp_item],$H1076,PerHeadcount[company_name],$B1076)*AE236)</f>
        <v>0</v>
      </c>
      <c r="AF1076" s="652">
        <f>IF($B1076="",,SUMIFS(PerHeadcount[Month 21],PerHeadcount[exp_item],$H1076,PerHeadcount[company_name],$B1076)*AF236)</f>
        <v>0</v>
      </c>
      <c r="AG1076" s="652">
        <f>IF($B1076="",,SUMIFS(PerHeadcount[Month 22],PerHeadcount[exp_item],$H1076,PerHeadcount[company_name],$B1076)*AG236)</f>
        <v>0</v>
      </c>
      <c r="AH1076" s="652">
        <f>IF($B1076="",,SUMIFS(PerHeadcount[Month 23],PerHeadcount[exp_item],$H1076,PerHeadcount[company_name],$B1076)*AH236)</f>
        <v>0</v>
      </c>
      <c r="AI1076" s="652">
        <f>IF($B1076="",,SUMIFS(PerHeadcount[Month 24],PerHeadcount[exp_item],$H1076,PerHeadcount[company_name],$B1076)*AI236)</f>
        <v>0</v>
      </c>
      <c r="AJ1076" s="652">
        <f>IF($B1076="",,SUMIFS(PerHeadcount[Month 25],PerHeadcount[exp_item],$H1076,PerHeadcount[company_name],$B1076)*AJ236)</f>
        <v>0</v>
      </c>
      <c r="AK1076" s="652">
        <f>IF($B1076="",,SUMIFS(PerHeadcount[Month 26],PerHeadcount[exp_item],$H1076,PerHeadcount[company_name],$B1076)*AK236)</f>
        <v>0</v>
      </c>
      <c r="AL1076" s="652">
        <f>IF($B1076="",,SUMIFS(PerHeadcount[Month 27],PerHeadcount[exp_item],$H1076,PerHeadcount[company_name],$B1076)*AL236)</f>
        <v>0</v>
      </c>
      <c r="AM1076" s="652">
        <f>IF($B1076="",,SUMIFS(PerHeadcount[Month 28],PerHeadcount[exp_item],$H1076,PerHeadcount[company_name],$B1076)*AM236)</f>
        <v>0</v>
      </c>
      <c r="AN1076" s="652">
        <f>IF($B1076="",,SUMIFS(PerHeadcount[Month 29],PerHeadcount[exp_item],$H1076,PerHeadcount[company_name],$B1076)*AN236)</f>
        <v>0</v>
      </c>
      <c r="AO1076" s="652">
        <f>IF($B1076="",,SUMIFS(PerHeadcount[Month 30],PerHeadcount[exp_item],$H1076,PerHeadcount[company_name],$B1076)*AO236)</f>
        <v>0</v>
      </c>
      <c r="AP1076" s="652">
        <f>IF($B1076="",,SUMIFS(PerHeadcount[Month 31],PerHeadcount[exp_item],$H1076,PerHeadcount[company_name],$B1076)*AP236)</f>
        <v>0</v>
      </c>
      <c r="AQ1076" s="652">
        <f>IF($B1076="",,SUMIFS(PerHeadcount[Month 32],PerHeadcount[exp_item],$H1076,PerHeadcount[company_name],$B1076)*AQ236)</f>
        <v>0</v>
      </c>
      <c r="AR1076" s="652">
        <f>IF($B1076="",,SUMIFS(PerHeadcount[Month 33],PerHeadcount[exp_item],$H1076,PerHeadcount[company_name],$B1076)*AR236)</f>
        <v>0</v>
      </c>
      <c r="AS1076" s="652">
        <f>IF($B1076="",,SUMIFS(PerHeadcount[Month 34],PerHeadcount[exp_item],$H1076,PerHeadcount[company_name],$B1076)*AS236)</f>
        <v>0</v>
      </c>
      <c r="AT1076" s="652">
        <f>IF($B1076="",,SUMIFS(PerHeadcount[Month 35],PerHeadcount[exp_item],$H1076,PerHeadcount[company_name],$B1076)*AT236)</f>
        <v>0</v>
      </c>
      <c r="AU1076" s="652">
        <f>IF($B1076="",,SUMIFS(PerHeadcount[Month 36],PerHeadcount[exp_item],$H1076,PerHeadcount[company_name],$B1076)*AU236)</f>
        <v>0</v>
      </c>
    </row>
    <row r="1077" spans="2:47" x14ac:dyDescent="0.35">
      <c r="B1077" t="str">
        <f t="shared" si="698"/>
        <v/>
      </c>
      <c r="C1077" t="str">
        <f t="shared" ref="C1077:G1077" si="717">IF(C972="","",C972)</f>
        <v/>
      </c>
      <c r="D1077" t="str">
        <f t="shared" si="717"/>
        <v/>
      </c>
      <c r="E1077" t="str">
        <f t="shared" si="717"/>
        <v/>
      </c>
      <c r="F1077" t="str">
        <f t="shared" si="717"/>
        <v/>
      </c>
      <c r="G1077" t="str">
        <f t="shared" si="717"/>
        <v/>
      </c>
      <c r="H1077" t="str">
        <f t="shared" si="697"/>
        <v/>
      </c>
      <c r="J1077" t="str">
        <f>IF($H1077="","",IF(VLOOKUP(H1077,ExpItems[],2,0),H1077&amp;" - "&amp;INDEX(DivisionMapping[category_code],MATCH($D1077&amp;$C1077,DivisionMapping[dept_bu],0)),H1077))</f>
        <v/>
      </c>
      <c r="K1077" t="str">
        <f t="shared" si="665"/>
        <v/>
      </c>
      <c r="L1077" s="652">
        <f>IF($B1077="",,SUMIFS(PerHeadcount[Month 1],PerHeadcount[exp_item],$H1077,PerHeadcount[company_name],$B1077)*L237)</f>
        <v>0</v>
      </c>
      <c r="M1077" s="652">
        <f>IF($B1077="",,SUMIFS(PerHeadcount[Month 2],PerHeadcount[exp_item],$H1077,PerHeadcount[company_name],$B1077)*M237)</f>
        <v>0</v>
      </c>
      <c r="N1077" s="652">
        <f>IF($B1077="",,SUMIFS(PerHeadcount[Month 3],PerHeadcount[exp_item],$H1077,PerHeadcount[company_name],$B1077)*N237)</f>
        <v>0</v>
      </c>
      <c r="O1077" s="652">
        <f>IF($B1077="",,SUMIFS(PerHeadcount[Month 4],PerHeadcount[exp_item],$H1077,PerHeadcount[company_name],$B1077)*O237)</f>
        <v>0</v>
      </c>
      <c r="P1077" s="652">
        <f>IF($B1077="",,SUMIFS(PerHeadcount[Month 5],PerHeadcount[exp_item],$H1077,PerHeadcount[company_name],$B1077)*P237)</f>
        <v>0</v>
      </c>
      <c r="Q1077" s="652">
        <f>IF($B1077="",,SUMIFS(PerHeadcount[Month 6],PerHeadcount[exp_item],$H1077,PerHeadcount[company_name],$B1077)*Q237)</f>
        <v>0</v>
      </c>
      <c r="R1077" s="652">
        <f>IF($B1077="",,SUMIFS(PerHeadcount[Month 7],PerHeadcount[exp_item],$H1077,PerHeadcount[company_name],$B1077)*R237)</f>
        <v>0</v>
      </c>
      <c r="S1077" s="652">
        <f>IF($B1077="",,SUMIFS(PerHeadcount[Month 8],PerHeadcount[exp_item],$H1077,PerHeadcount[company_name],$B1077)*S237)</f>
        <v>0</v>
      </c>
      <c r="T1077" s="652">
        <f>IF($B1077="",,SUMIFS(PerHeadcount[Month 9],PerHeadcount[exp_item],$H1077,PerHeadcount[company_name],$B1077)*T237)</f>
        <v>0</v>
      </c>
      <c r="U1077" s="652">
        <f>IF($B1077="",,SUMIFS(PerHeadcount[Month 10],PerHeadcount[exp_item],$H1077,PerHeadcount[company_name],$B1077)*U237)</f>
        <v>0</v>
      </c>
      <c r="V1077" s="652">
        <f>IF($B1077="",,SUMIFS(PerHeadcount[Month 11],PerHeadcount[exp_item],$H1077,PerHeadcount[company_name],$B1077)*V237)</f>
        <v>0</v>
      </c>
      <c r="W1077" s="652">
        <f>IF($B1077="",,SUMIFS(PerHeadcount[Month 12],PerHeadcount[exp_item],$H1077,PerHeadcount[company_name],$B1077)*W237)</f>
        <v>0</v>
      </c>
      <c r="X1077" s="652">
        <f>IF($B1077="",,SUMIFS(PerHeadcount[Month 13],PerHeadcount[exp_item],$H1077,PerHeadcount[company_name],$B1077)*X237)</f>
        <v>0</v>
      </c>
      <c r="Y1077" s="652">
        <f>IF($B1077="",,SUMIFS(PerHeadcount[Month 14],PerHeadcount[exp_item],$H1077,PerHeadcount[company_name],$B1077)*Y237)</f>
        <v>0</v>
      </c>
      <c r="Z1077" s="652">
        <f>IF($B1077="",,SUMIFS(PerHeadcount[Month 15],PerHeadcount[exp_item],$H1077,PerHeadcount[company_name],$B1077)*Z237)</f>
        <v>0</v>
      </c>
      <c r="AA1077" s="652">
        <f>IF($B1077="",,SUMIFS(PerHeadcount[Month 16],PerHeadcount[exp_item],$H1077,PerHeadcount[company_name],$B1077)*AA237)</f>
        <v>0</v>
      </c>
      <c r="AB1077" s="652">
        <f>IF($B1077="",,SUMIFS(PerHeadcount[Month 17],PerHeadcount[exp_item],$H1077,PerHeadcount[company_name],$B1077)*AB237)</f>
        <v>0</v>
      </c>
      <c r="AC1077" s="652">
        <f>IF($B1077="",,SUMIFS(PerHeadcount[Month 18],PerHeadcount[exp_item],$H1077,PerHeadcount[company_name],$B1077)*AC237)</f>
        <v>0</v>
      </c>
      <c r="AD1077" s="652">
        <f>IF($B1077="",,SUMIFS(PerHeadcount[Month 19],PerHeadcount[exp_item],$H1077,PerHeadcount[company_name],$B1077)*AD237)</f>
        <v>0</v>
      </c>
      <c r="AE1077" s="652">
        <f>IF($B1077="",,SUMIFS(PerHeadcount[Month 20],PerHeadcount[exp_item],$H1077,PerHeadcount[company_name],$B1077)*AE237)</f>
        <v>0</v>
      </c>
      <c r="AF1077" s="652">
        <f>IF($B1077="",,SUMIFS(PerHeadcount[Month 21],PerHeadcount[exp_item],$H1077,PerHeadcount[company_name],$B1077)*AF237)</f>
        <v>0</v>
      </c>
      <c r="AG1077" s="652">
        <f>IF($B1077="",,SUMIFS(PerHeadcount[Month 22],PerHeadcount[exp_item],$H1077,PerHeadcount[company_name],$B1077)*AG237)</f>
        <v>0</v>
      </c>
      <c r="AH1077" s="652">
        <f>IF($B1077="",,SUMIFS(PerHeadcount[Month 23],PerHeadcount[exp_item],$H1077,PerHeadcount[company_name],$B1077)*AH237)</f>
        <v>0</v>
      </c>
      <c r="AI1077" s="652">
        <f>IF($B1077="",,SUMIFS(PerHeadcount[Month 24],PerHeadcount[exp_item],$H1077,PerHeadcount[company_name],$B1077)*AI237)</f>
        <v>0</v>
      </c>
      <c r="AJ1077" s="652">
        <f>IF($B1077="",,SUMIFS(PerHeadcount[Month 25],PerHeadcount[exp_item],$H1077,PerHeadcount[company_name],$B1077)*AJ237)</f>
        <v>0</v>
      </c>
      <c r="AK1077" s="652">
        <f>IF($B1077="",,SUMIFS(PerHeadcount[Month 26],PerHeadcount[exp_item],$H1077,PerHeadcount[company_name],$B1077)*AK237)</f>
        <v>0</v>
      </c>
      <c r="AL1077" s="652">
        <f>IF($B1077="",,SUMIFS(PerHeadcount[Month 27],PerHeadcount[exp_item],$H1077,PerHeadcount[company_name],$B1077)*AL237)</f>
        <v>0</v>
      </c>
      <c r="AM1077" s="652">
        <f>IF($B1077="",,SUMIFS(PerHeadcount[Month 28],PerHeadcount[exp_item],$H1077,PerHeadcount[company_name],$B1077)*AM237)</f>
        <v>0</v>
      </c>
      <c r="AN1077" s="652">
        <f>IF($B1077="",,SUMIFS(PerHeadcount[Month 29],PerHeadcount[exp_item],$H1077,PerHeadcount[company_name],$B1077)*AN237)</f>
        <v>0</v>
      </c>
      <c r="AO1077" s="652">
        <f>IF($B1077="",,SUMIFS(PerHeadcount[Month 30],PerHeadcount[exp_item],$H1077,PerHeadcount[company_name],$B1077)*AO237)</f>
        <v>0</v>
      </c>
      <c r="AP1077" s="652">
        <f>IF($B1077="",,SUMIFS(PerHeadcount[Month 31],PerHeadcount[exp_item],$H1077,PerHeadcount[company_name],$B1077)*AP237)</f>
        <v>0</v>
      </c>
      <c r="AQ1077" s="652">
        <f>IF($B1077="",,SUMIFS(PerHeadcount[Month 32],PerHeadcount[exp_item],$H1077,PerHeadcount[company_name],$B1077)*AQ237)</f>
        <v>0</v>
      </c>
      <c r="AR1077" s="652">
        <f>IF($B1077="",,SUMIFS(PerHeadcount[Month 33],PerHeadcount[exp_item],$H1077,PerHeadcount[company_name],$B1077)*AR237)</f>
        <v>0</v>
      </c>
      <c r="AS1077" s="652">
        <f>IF($B1077="",,SUMIFS(PerHeadcount[Month 34],PerHeadcount[exp_item],$H1077,PerHeadcount[company_name],$B1077)*AS237)</f>
        <v>0</v>
      </c>
      <c r="AT1077" s="652">
        <f>IF($B1077="",,SUMIFS(PerHeadcount[Month 35],PerHeadcount[exp_item],$H1077,PerHeadcount[company_name],$B1077)*AT237)</f>
        <v>0</v>
      </c>
      <c r="AU1077" s="652">
        <f>IF($B1077="",,SUMIFS(PerHeadcount[Month 36],PerHeadcount[exp_item],$H1077,PerHeadcount[company_name],$B1077)*AU237)</f>
        <v>0</v>
      </c>
    </row>
    <row r="1078" spans="2:47" x14ac:dyDescent="0.35">
      <c r="B1078" t="str">
        <f t="shared" si="698"/>
        <v/>
      </c>
      <c r="C1078" t="str">
        <f t="shared" ref="C1078:G1078" si="718">IF(C973="","",C973)</f>
        <v/>
      </c>
      <c r="D1078" t="str">
        <f t="shared" si="718"/>
        <v/>
      </c>
      <c r="E1078" t="str">
        <f t="shared" si="718"/>
        <v/>
      </c>
      <c r="F1078" t="str">
        <f t="shared" si="718"/>
        <v/>
      </c>
      <c r="G1078" t="str">
        <f t="shared" si="718"/>
        <v/>
      </c>
      <c r="H1078" t="str">
        <f t="shared" si="697"/>
        <v/>
      </c>
      <c r="J1078" t="str">
        <f>IF($H1078="","",IF(VLOOKUP(H1078,ExpItems[],2,0),H1078&amp;" - "&amp;INDEX(DivisionMapping[category_code],MATCH($D1078&amp;$C1078,DivisionMapping[dept_bu],0)),H1078))</f>
        <v/>
      </c>
      <c r="K1078" t="str">
        <f t="shared" si="665"/>
        <v/>
      </c>
      <c r="L1078" s="652">
        <f>IF($B1078="",,SUMIFS(PerHeadcount[Month 1],PerHeadcount[exp_item],$H1078,PerHeadcount[company_name],$B1078)*L238)</f>
        <v>0</v>
      </c>
      <c r="M1078" s="652">
        <f>IF($B1078="",,SUMIFS(PerHeadcount[Month 2],PerHeadcount[exp_item],$H1078,PerHeadcount[company_name],$B1078)*M238)</f>
        <v>0</v>
      </c>
      <c r="N1078" s="652">
        <f>IF($B1078="",,SUMIFS(PerHeadcount[Month 3],PerHeadcount[exp_item],$H1078,PerHeadcount[company_name],$B1078)*N238)</f>
        <v>0</v>
      </c>
      <c r="O1078" s="652">
        <f>IF($B1078="",,SUMIFS(PerHeadcount[Month 4],PerHeadcount[exp_item],$H1078,PerHeadcount[company_name],$B1078)*O238)</f>
        <v>0</v>
      </c>
      <c r="P1078" s="652">
        <f>IF($B1078="",,SUMIFS(PerHeadcount[Month 5],PerHeadcount[exp_item],$H1078,PerHeadcount[company_name],$B1078)*P238)</f>
        <v>0</v>
      </c>
      <c r="Q1078" s="652">
        <f>IF($B1078="",,SUMIFS(PerHeadcount[Month 6],PerHeadcount[exp_item],$H1078,PerHeadcount[company_name],$B1078)*Q238)</f>
        <v>0</v>
      </c>
      <c r="R1078" s="652">
        <f>IF($B1078="",,SUMIFS(PerHeadcount[Month 7],PerHeadcount[exp_item],$H1078,PerHeadcount[company_name],$B1078)*R238)</f>
        <v>0</v>
      </c>
      <c r="S1078" s="652">
        <f>IF($B1078="",,SUMIFS(PerHeadcount[Month 8],PerHeadcount[exp_item],$H1078,PerHeadcount[company_name],$B1078)*S238)</f>
        <v>0</v>
      </c>
      <c r="T1078" s="652">
        <f>IF($B1078="",,SUMIFS(PerHeadcount[Month 9],PerHeadcount[exp_item],$H1078,PerHeadcount[company_name],$B1078)*T238)</f>
        <v>0</v>
      </c>
      <c r="U1078" s="652">
        <f>IF($B1078="",,SUMIFS(PerHeadcount[Month 10],PerHeadcount[exp_item],$H1078,PerHeadcount[company_name],$B1078)*U238)</f>
        <v>0</v>
      </c>
      <c r="V1078" s="652">
        <f>IF($B1078="",,SUMIFS(PerHeadcount[Month 11],PerHeadcount[exp_item],$H1078,PerHeadcount[company_name],$B1078)*V238)</f>
        <v>0</v>
      </c>
      <c r="W1078" s="652">
        <f>IF($B1078="",,SUMIFS(PerHeadcount[Month 12],PerHeadcount[exp_item],$H1078,PerHeadcount[company_name],$B1078)*W238)</f>
        <v>0</v>
      </c>
      <c r="X1078" s="652">
        <f>IF($B1078="",,SUMIFS(PerHeadcount[Month 13],PerHeadcount[exp_item],$H1078,PerHeadcount[company_name],$B1078)*X238)</f>
        <v>0</v>
      </c>
      <c r="Y1078" s="652">
        <f>IF($B1078="",,SUMIFS(PerHeadcount[Month 14],PerHeadcount[exp_item],$H1078,PerHeadcount[company_name],$B1078)*Y238)</f>
        <v>0</v>
      </c>
      <c r="Z1078" s="652">
        <f>IF($B1078="",,SUMIFS(PerHeadcount[Month 15],PerHeadcount[exp_item],$H1078,PerHeadcount[company_name],$B1078)*Z238)</f>
        <v>0</v>
      </c>
      <c r="AA1078" s="652">
        <f>IF($B1078="",,SUMIFS(PerHeadcount[Month 16],PerHeadcount[exp_item],$H1078,PerHeadcount[company_name],$B1078)*AA238)</f>
        <v>0</v>
      </c>
      <c r="AB1078" s="652">
        <f>IF($B1078="",,SUMIFS(PerHeadcount[Month 17],PerHeadcount[exp_item],$H1078,PerHeadcount[company_name],$B1078)*AB238)</f>
        <v>0</v>
      </c>
      <c r="AC1078" s="652">
        <f>IF($B1078="",,SUMIFS(PerHeadcount[Month 18],PerHeadcount[exp_item],$H1078,PerHeadcount[company_name],$B1078)*AC238)</f>
        <v>0</v>
      </c>
      <c r="AD1078" s="652">
        <f>IF($B1078="",,SUMIFS(PerHeadcount[Month 19],PerHeadcount[exp_item],$H1078,PerHeadcount[company_name],$B1078)*AD238)</f>
        <v>0</v>
      </c>
      <c r="AE1078" s="652">
        <f>IF($B1078="",,SUMIFS(PerHeadcount[Month 20],PerHeadcount[exp_item],$H1078,PerHeadcount[company_name],$B1078)*AE238)</f>
        <v>0</v>
      </c>
      <c r="AF1078" s="652">
        <f>IF($B1078="",,SUMIFS(PerHeadcount[Month 21],PerHeadcount[exp_item],$H1078,PerHeadcount[company_name],$B1078)*AF238)</f>
        <v>0</v>
      </c>
      <c r="AG1078" s="652">
        <f>IF($B1078="",,SUMIFS(PerHeadcount[Month 22],PerHeadcount[exp_item],$H1078,PerHeadcount[company_name],$B1078)*AG238)</f>
        <v>0</v>
      </c>
      <c r="AH1078" s="652">
        <f>IF($B1078="",,SUMIFS(PerHeadcount[Month 23],PerHeadcount[exp_item],$H1078,PerHeadcount[company_name],$B1078)*AH238)</f>
        <v>0</v>
      </c>
      <c r="AI1078" s="652">
        <f>IF($B1078="",,SUMIFS(PerHeadcount[Month 24],PerHeadcount[exp_item],$H1078,PerHeadcount[company_name],$B1078)*AI238)</f>
        <v>0</v>
      </c>
      <c r="AJ1078" s="652">
        <f>IF($B1078="",,SUMIFS(PerHeadcount[Month 25],PerHeadcount[exp_item],$H1078,PerHeadcount[company_name],$B1078)*AJ238)</f>
        <v>0</v>
      </c>
      <c r="AK1078" s="652">
        <f>IF($B1078="",,SUMIFS(PerHeadcount[Month 26],PerHeadcount[exp_item],$H1078,PerHeadcount[company_name],$B1078)*AK238)</f>
        <v>0</v>
      </c>
      <c r="AL1078" s="652">
        <f>IF($B1078="",,SUMIFS(PerHeadcount[Month 27],PerHeadcount[exp_item],$H1078,PerHeadcount[company_name],$B1078)*AL238)</f>
        <v>0</v>
      </c>
      <c r="AM1078" s="652">
        <f>IF($B1078="",,SUMIFS(PerHeadcount[Month 28],PerHeadcount[exp_item],$H1078,PerHeadcount[company_name],$B1078)*AM238)</f>
        <v>0</v>
      </c>
      <c r="AN1078" s="652">
        <f>IF($B1078="",,SUMIFS(PerHeadcount[Month 29],PerHeadcount[exp_item],$H1078,PerHeadcount[company_name],$B1078)*AN238)</f>
        <v>0</v>
      </c>
      <c r="AO1078" s="652">
        <f>IF($B1078="",,SUMIFS(PerHeadcount[Month 30],PerHeadcount[exp_item],$H1078,PerHeadcount[company_name],$B1078)*AO238)</f>
        <v>0</v>
      </c>
      <c r="AP1078" s="652">
        <f>IF($B1078="",,SUMIFS(PerHeadcount[Month 31],PerHeadcount[exp_item],$H1078,PerHeadcount[company_name],$B1078)*AP238)</f>
        <v>0</v>
      </c>
      <c r="AQ1078" s="652">
        <f>IF($B1078="",,SUMIFS(PerHeadcount[Month 32],PerHeadcount[exp_item],$H1078,PerHeadcount[company_name],$B1078)*AQ238)</f>
        <v>0</v>
      </c>
      <c r="AR1078" s="652">
        <f>IF($B1078="",,SUMIFS(PerHeadcount[Month 33],PerHeadcount[exp_item],$H1078,PerHeadcount[company_name],$B1078)*AR238)</f>
        <v>0</v>
      </c>
      <c r="AS1078" s="652">
        <f>IF($B1078="",,SUMIFS(PerHeadcount[Month 34],PerHeadcount[exp_item],$H1078,PerHeadcount[company_name],$B1078)*AS238)</f>
        <v>0</v>
      </c>
      <c r="AT1078" s="652">
        <f>IF($B1078="",,SUMIFS(PerHeadcount[Month 35],PerHeadcount[exp_item],$H1078,PerHeadcount[company_name],$B1078)*AT238)</f>
        <v>0</v>
      </c>
      <c r="AU1078" s="652">
        <f>IF($B1078="",,SUMIFS(PerHeadcount[Month 36],PerHeadcount[exp_item],$H1078,PerHeadcount[company_name],$B1078)*AU238)</f>
        <v>0</v>
      </c>
    </row>
    <row r="1079" spans="2:47" x14ac:dyDescent="0.35">
      <c r="B1079" t="str">
        <f t="shared" si="698"/>
        <v/>
      </c>
      <c r="C1079" t="str">
        <f t="shared" ref="C1079:G1079" si="719">IF(C974="","",C974)</f>
        <v/>
      </c>
      <c r="D1079" t="str">
        <f t="shared" si="719"/>
        <v/>
      </c>
      <c r="E1079" t="str">
        <f t="shared" si="719"/>
        <v/>
      </c>
      <c r="F1079" t="str">
        <f t="shared" si="719"/>
        <v/>
      </c>
      <c r="G1079" t="str">
        <f t="shared" si="719"/>
        <v/>
      </c>
      <c r="H1079" t="str">
        <f t="shared" si="697"/>
        <v/>
      </c>
      <c r="J1079" t="str">
        <f>IF($H1079="","",IF(VLOOKUP(H1079,ExpItems[],2,0),H1079&amp;" - "&amp;INDEX(DivisionMapping[category_code],MATCH($D1079&amp;$C1079,DivisionMapping[dept_bu],0)),H1079))</f>
        <v/>
      </c>
      <c r="K1079" t="str">
        <f t="shared" si="665"/>
        <v/>
      </c>
      <c r="L1079" s="652">
        <f>IF($B1079="",,SUMIFS(PerHeadcount[Month 1],PerHeadcount[exp_item],$H1079,PerHeadcount[company_name],$B1079)*L239)</f>
        <v>0</v>
      </c>
      <c r="M1079" s="652">
        <f>IF($B1079="",,SUMIFS(PerHeadcount[Month 2],PerHeadcount[exp_item],$H1079,PerHeadcount[company_name],$B1079)*M239)</f>
        <v>0</v>
      </c>
      <c r="N1079" s="652">
        <f>IF($B1079="",,SUMIFS(PerHeadcount[Month 3],PerHeadcount[exp_item],$H1079,PerHeadcount[company_name],$B1079)*N239)</f>
        <v>0</v>
      </c>
      <c r="O1079" s="652">
        <f>IF($B1079="",,SUMIFS(PerHeadcount[Month 4],PerHeadcount[exp_item],$H1079,PerHeadcount[company_name],$B1079)*O239)</f>
        <v>0</v>
      </c>
      <c r="P1079" s="652">
        <f>IF($B1079="",,SUMIFS(PerHeadcount[Month 5],PerHeadcount[exp_item],$H1079,PerHeadcount[company_name],$B1079)*P239)</f>
        <v>0</v>
      </c>
      <c r="Q1079" s="652">
        <f>IF($B1079="",,SUMIFS(PerHeadcount[Month 6],PerHeadcount[exp_item],$H1079,PerHeadcount[company_name],$B1079)*Q239)</f>
        <v>0</v>
      </c>
      <c r="R1079" s="652">
        <f>IF($B1079="",,SUMIFS(PerHeadcount[Month 7],PerHeadcount[exp_item],$H1079,PerHeadcount[company_name],$B1079)*R239)</f>
        <v>0</v>
      </c>
      <c r="S1079" s="652">
        <f>IF($B1079="",,SUMIFS(PerHeadcount[Month 8],PerHeadcount[exp_item],$H1079,PerHeadcount[company_name],$B1079)*S239)</f>
        <v>0</v>
      </c>
      <c r="T1079" s="652">
        <f>IF($B1079="",,SUMIFS(PerHeadcount[Month 9],PerHeadcount[exp_item],$H1079,PerHeadcount[company_name],$B1079)*T239)</f>
        <v>0</v>
      </c>
      <c r="U1079" s="652">
        <f>IF($B1079="",,SUMIFS(PerHeadcount[Month 10],PerHeadcount[exp_item],$H1079,PerHeadcount[company_name],$B1079)*U239)</f>
        <v>0</v>
      </c>
      <c r="V1079" s="652">
        <f>IF($B1079="",,SUMIFS(PerHeadcount[Month 11],PerHeadcount[exp_item],$H1079,PerHeadcount[company_name],$B1079)*V239)</f>
        <v>0</v>
      </c>
      <c r="W1079" s="652">
        <f>IF($B1079="",,SUMIFS(PerHeadcount[Month 12],PerHeadcount[exp_item],$H1079,PerHeadcount[company_name],$B1079)*W239)</f>
        <v>0</v>
      </c>
      <c r="X1079" s="652">
        <f>IF($B1079="",,SUMIFS(PerHeadcount[Month 13],PerHeadcount[exp_item],$H1079,PerHeadcount[company_name],$B1079)*X239)</f>
        <v>0</v>
      </c>
      <c r="Y1079" s="652">
        <f>IF($B1079="",,SUMIFS(PerHeadcount[Month 14],PerHeadcount[exp_item],$H1079,PerHeadcount[company_name],$B1079)*Y239)</f>
        <v>0</v>
      </c>
      <c r="Z1079" s="652">
        <f>IF($B1079="",,SUMIFS(PerHeadcount[Month 15],PerHeadcount[exp_item],$H1079,PerHeadcount[company_name],$B1079)*Z239)</f>
        <v>0</v>
      </c>
      <c r="AA1079" s="652">
        <f>IF($B1079="",,SUMIFS(PerHeadcount[Month 16],PerHeadcount[exp_item],$H1079,PerHeadcount[company_name],$B1079)*AA239)</f>
        <v>0</v>
      </c>
      <c r="AB1079" s="652">
        <f>IF($B1079="",,SUMIFS(PerHeadcount[Month 17],PerHeadcount[exp_item],$H1079,PerHeadcount[company_name],$B1079)*AB239)</f>
        <v>0</v>
      </c>
      <c r="AC1079" s="652">
        <f>IF($B1079="",,SUMIFS(PerHeadcount[Month 18],PerHeadcount[exp_item],$H1079,PerHeadcount[company_name],$B1079)*AC239)</f>
        <v>0</v>
      </c>
      <c r="AD1079" s="652">
        <f>IF($B1079="",,SUMIFS(PerHeadcount[Month 19],PerHeadcount[exp_item],$H1079,PerHeadcount[company_name],$B1079)*AD239)</f>
        <v>0</v>
      </c>
      <c r="AE1079" s="652">
        <f>IF($B1079="",,SUMIFS(PerHeadcount[Month 20],PerHeadcount[exp_item],$H1079,PerHeadcount[company_name],$B1079)*AE239)</f>
        <v>0</v>
      </c>
      <c r="AF1079" s="652">
        <f>IF($B1079="",,SUMIFS(PerHeadcount[Month 21],PerHeadcount[exp_item],$H1079,PerHeadcount[company_name],$B1079)*AF239)</f>
        <v>0</v>
      </c>
      <c r="AG1079" s="652">
        <f>IF($B1079="",,SUMIFS(PerHeadcount[Month 22],PerHeadcount[exp_item],$H1079,PerHeadcount[company_name],$B1079)*AG239)</f>
        <v>0</v>
      </c>
      <c r="AH1079" s="652">
        <f>IF($B1079="",,SUMIFS(PerHeadcount[Month 23],PerHeadcount[exp_item],$H1079,PerHeadcount[company_name],$B1079)*AH239)</f>
        <v>0</v>
      </c>
      <c r="AI1079" s="652">
        <f>IF($B1079="",,SUMIFS(PerHeadcount[Month 24],PerHeadcount[exp_item],$H1079,PerHeadcount[company_name],$B1079)*AI239)</f>
        <v>0</v>
      </c>
      <c r="AJ1079" s="652">
        <f>IF($B1079="",,SUMIFS(PerHeadcount[Month 25],PerHeadcount[exp_item],$H1079,PerHeadcount[company_name],$B1079)*AJ239)</f>
        <v>0</v>
      </c>
      <c r="AK1079" s="652">
        <f>IF($B1079="",,SUMIFS(PerHeadcount[Month 26],PerHeadcount[exp_item],$H1079,PerHeadcount[company_name],$B1079)*AK239)</f>
        <v>0</v>
      </c>
      <c r="AL1079" s="652">
        <f>IF($B1079="",,SUMIFS(PerHeadcount[Month 27],PerHeadcount[exp_item],$H1079,PerHeadcount[company_name],$B1079)*AL239)</f>
        <v>0</v>
      </c>
      <c r="AM1079" s="652">
        <f>IF($B1079="",,SUMIFS(PerHeadcount[Month 28],PerHeadcount[exp_item],$H1079,PerHeadcount[company_name],$B1079)*AM239)</f>
        <v>0</v>
      </c>
      <c r="AN1079" s="652">
        <f>IF($B1079="",,SUMIFS(PerHeadcount[Month 29],PerHeadcount[exp_item],$H1079,PerHeadcount[company_name],$B1079)*AN239)</f>
        <v>0</v>
      </c>
      <c r="AO1079" s="652">
        <f>IF($B1079="",,SUMIFS(PerHeadcount[Month 30],PerHeadcount[exp_item],$H1079,PerHeadcount[company_name],$B1079)*AO239)</f>
        <v>0</v>
      </c>
      <c r="AP1079" s="652">
        <f>IF($B1079="",,SUMIFS(PerHeadcount[Month 31],PerHeadcount[exp_item],$H1079,PerHeadcount[company_name],$B1079)*AP239)</f>
        <v>0</v>
      </c>
      <c r="AQ1079" s="652">
        <f>IF($B1079="",,SUMIFS(PerHeadcount[Month 32],PerHeadcount[exp_item],$H1079,PerHeadcount[company_name],$B1079)*AQ239)</f>
        <v>0</v>
      </c>
      <c r="AR1079" s="652">
        <f>IF($B1079="",,SUMIFS(PerHeadcount[Month 33],PerHeadcount[exp_item],$H1079,PerHeadcount[company_name],$B1079)*AR239)</f>
        <v>0</v>
      </c>
      <c r="AS1079" s="652">
        <f>IF($B1079="",,SUMIFS(PerHeadcount[Month 34],PerHeadcount[exp_item],$H1079,PerHeadcount[company_name],$B1079)*AS239)</f>
        <v>0</v>
      </c>
      <c r="AT1079" s="652">
        <f>IF($B1079="",,SUMIFS(PerHeadcount[Month 35],PerHeadcount[exp_item],$H1079,PerHeadcount[company_name],$B1079)*AT239)</f>
        <v>0</v>
      </c>
      <c r="AU1079" s="652">
        <f>IF($B1079="",,SUMIFS(PerHeadcount[Month 36],PerHeadcount[exp_item],$H1079,PerHeadcount[company_name],$B1079)*AU239)</f>
        <v>0</v>
      </c>
    </row>
    <row r="1080" spans="2:47" x14ac:dyDescent="0.35">
      <c r="B1080" t="str">
        <f t="shared" si="698"/>
        <v/>
      </c>
      <c r="C1080" t="str">
        <f t="shared" ref="C1080:G1080" si="720">IF(C975="","",C975)</f>
        <v/>
      </c>
      <c r="D1080" t="str">
        <f t="shared" si="720"/>
        <v/>
      </c>
      <c r="E1080" t="str">
        <f t="shared" si="720"/>
        <v/>
      </c>
      <c r="F1080" t="str">
        <f t="shared" si="720"/>
        <v/>
      </c>
      <c r="G1080" t="str">
        <f t="shared" si="720"/>
        <v/>
      </c>
      <c r="H1080" t="str">
        <f t="shared" si="697"/>
        <v/>
      </c>
      <c r="J1080" t="str">
        <f>IF($H1080="","",IF(VLOOKUP(H1080,ExpItems[],2,0),H1080&amp;" - "&amp;INDEX(DivisionMapping[category_code],MATCH($D1080&amp;$C1080,DivisionMapping[dept_bu],0)),H1080))</f>
        <v/>
      </c>
      <c r="K1080" t="str">
        <f t="shared" si="665"/>
        <v/>
      </c>
      <c r="L1080" s="652">
        <f>IF($B1080="",,SUMIFS(PerHeadcount[Month 1],PerHeadcount[exp_item],$H1080,PerHeadcount[company_name],$B1080)*L240)</f>
        <v>0</v>
      </c>
      <c r="M1080" s="652">
        <f>IF($B1080="",,SUMIFS(PerHeadcount[Month 2],PerHeadcount[exp_item],$H1080,PerHeadcount[company_name],$B1080)*M240)</f>
        <v>0</v>
      </c>
      <c r="N1080" s="652">
        <f>IF($B1080="",,SUMIFS(PerHeadcount[Month 3],PerHeadcount[exp_item],$H1080,PerHeadcount[company_name],$B1080)*N240)</f>
        <v>0</v>
      </c>
      <c r="O1080" s="652">
        <f>IF($B1080="",,SUMIFS(PerHeadcount[Month 4],PerHeadcount[exp_item],$H1080,PerHeadcount[company_name],$B1080)*O240)</f>
        <v>0</v>
      </c>
      <c r="P1080" s="652">
        <f>IF($B1080="",,SUMIFS(PerHeadcount[Month 5],PerHeadcount[exp_item],$H1080,PerHeadcount[company_name],$B1080)*P240)</f>
        <v>0</v>
      </c>
      <c r="Q1080" s="652">
        <f>IF($B1080="",,SUMIFS(PerHeadcount[Month 6],PerHeadcount[exp_item],$H1080,PerHeadcount[company_name],$B1080)*Q240)</f>
        <v>0</v>
      </c>
      <c r="R1080" s="652">
        <f>IF($B1080="",,SUMIFS(PerHeadcount[Month 7],PerHeadcount[exp_item],$H1080,PerHeadcount[company_name],$B1080)*R240)</f>
        <v>0</v>
      </c>
      <c r="S1080" s="652">
        <f>IF($B1080="",,SUMIFS(PerHeadcount[Month 8],PerHeadcount[exp_item],$H1080,PerHeadcount[company_name],$B1080)*S240)</f>
        <v>0</v>
      </c>
      <c r="T1080" s="652">
        <f>IF($B1080="",,SUMIFS(PerHeadcount[Month 9],PerHeadcount[exp_item],$H1080,PerHeadcount[company_name],$B1080)*T240)</f>
        <v>0</v>
      </c>
      <c r="U1080" s="652">
        <f>IF($B1080="",,SUMIFS(PerHeadcount[Month 10],PerHeadcount[exp_item],$H1080,PerHeadcount[company_name],$B1080)*U240)</f>
        <v>0</v>
      </c>
      <c r="V1080" s="652">
        <f>IF($B1080="",,SUMIFS(PerHeadcount[Month 11],PerHeadcount[exp_item],$H1080,PerHeadcount[company_name],$B1080)*V240)</f>
        <v>0</v>
      </c>
      <c r="W1080" s="652">
        <f>IF($B1080="",,SUMIFS(PerHeadcount[Month 12],PerHeadcount[exp_item],$H1080,PerHeadcount[company_name],$B1080)*W240)</f>
        <v>0</v>
      </c>
      <c r="X1080" s="652">
        <f>IF($B1080="",,SUMIFS(PerHeadcount[Month 13],PerHeadcount[exp_item],$H1080,PerHeadcount[company_name],$B1080)*X240)</f>
        <v>0</v>
      </c>
      <c r="Y1080" s="652">
        <f>IF($B1080="",,SUMIFS(PerHeadcount[Month 14],PerHeadcount[exp_item],$H1080,PerHeadcount[company_name],$B1080)*Y240)</f>
        <v>0</v>
      </c>
      <c r="Z1080" s="652">
        <f>IF($B1080="",,SUMIFS(PerHeadcount[Month 15],PerHeadcount[exp_item],$H1080,PerHeadcount[company_name],$B1080)*Z240)</f>
        <v>0</v>
      </c>
      <c r="AA1080" s="652">
        <f>IF($B1080="",,SUMIFS(PerHeadcount[Month 16],PerHeadcount[exp_item],$H1080,PerHeadcount[company_name],$B1080)*AA240)</f>
        <v>0</v>
      </c>
      <c r="AB1080" s="652">
        <f>IF($B1080="",,SUMIFS(PerHeadcount[Month 17],PerHeadcount[exp_item],$H1080,PerHeadcount[company_name],$B1080)*AB240)</f>
        <v>0</v>
      </c>
      <c r="AC1080" s="652">
        <f>IF($B1080="",,SUMIFS(PerHeadcount[Month 18],PerHeadcount[exp_item],$H1080,PerHeadcount[company_name],$B1080)*AC240)</f>
        <v>0</v>
      </c>
      <c r="AD1080" s="652">
        <f>IF($B1080="",,SUMIFS(PerHeadcount[Month 19],PerHeadcount[exp_item],$H1080,PerHeadcount[company_name],$B1080)*AD240)</f>
        <v>0</v>
      </c>
      <c r="AE1080" s="652">
        <f>IF($B1080="",,SUMIFS(PerHeadcount[Month 20],PerHeadcount[exp_item],$H1080,PerHeadcount[company_name],$B1080)*AE240)</f>
        <v>0</v>
      </c>
      <c r="AF1080" s="652">
        <f>IF($B1080="",,SUMIFS(PerHeadcount[Month 21],PerHeadcount[exp_item],$H1080,PerHeadcount[company_name],$B1080)*AF240)</f>
        <v>0</v>
      </c>
      <c r="AG1080" s="652">
        <f>IF($B1080="",,SUMIFS(PerHeadcount[Month 22],PerHeadcount[exp_item],$H1080,PerHeadcount[company_name],$B1080)*AG240)</f>
        <v>0</v>
      </c>
      <c r="AH1080" s="652">
        <f>IF($B1080="",,SUMIFS(PerHeadcount[Month 23],PerHeadcount[exp_item],$H1080,PerHeadcount[company_name],$B1080)*AH240)</f>
        <v>0</v>
      </c>
      <c r="AI1080" s="652">
        <f>IF($B1080="",,SUMIFS(PerHeadcount[Month 24],PerHeadcount[exp_item],$H1080,PerHeadcount[company_name],$B1080)*AI240)</f>
        <v>0</v>
      </c>
      <c r="AJ1080" s="652">
        <f>IF($B1080="",,SUMIFS(PerHeadcount[Month 25],PerHeadcount[exp_item],$H1080,PerHeadcount[company_name],$B1080)*AJ240)</f>
        <v>0</v>
      </c>
      <c r="AK1080" s="652">
        <f>IF($B1080="",,SUMIFS(PerHeadcount[Month 26],PerHeadcount[exp_item],$H1080,PerHeadcount[company_name],$B1080)*AK240)</f>
        <v>0</v>
      </c>
      <c r="AL1080" s="652">
        <f>IF($B1080="",,SUMIFS(PerHeadcount[Month 27],PerHeadcount[exp_item],$H1080,PerHeadcount[company_name],$B1080)*AL240)</f>
        <v>0</v>
      </c>
      <c r="AM1080" s="652">
        <f>IF($B1080="",,SUMIFS(PerHeadcount[Month 28],PerHeadcount[exp_item],$H1080,PerHeadcount[company_name],$B1080)*AM240)</f>
        <v>0</v>
      </c>
      <c r="AN1080" s="652">
        <f>IF($B1080="",,SUMIFS(PerHeadcount[Month 29],PerHeadcount[exp_item],$H1080,PerHeadcount[company_name],$B1080)*AN240)</f>
        <v>0</v>
      </c>
      <c r="AO1080" s="652">
        <f>IF($B1080="",,SUMIFS(PerHeadcount[Month 30],PerHeadcount[exp_item],$H1080,PerHeadcount[company_name],$B1080)*AO240)</f>
        <v>0</v>
      </c>
      <c r="AP1080" s="652">
        <f>IF($B1080="",,SUMIFS(PerHeadcount[Month 31],PerHeadcount[exp_item],$H1080,PerHeadcount[company_name],$B1080)*AP240)</f>
        <v>0</v>
      </c>
      <c r="AQ1080" s="652">
        <f>IF($B1080="",,SUMIFS(PerHeadcount[Month 32],PerHeadcount[exp_item],$H1080,PerHeadcount[company_name],$B1080)*AQ240)</f>
        <v>0</v>
      </c>
      <c r="AR1080" s="652">
        <f>IF($B1080="",,SUMIFS(PerHeadcount[Month 33],PerHeadcount[exp_item],$H1080,PerHeadcount[company_name],$B1080)*AR240)</f>
        <v>0</v>
      </c>
      <c r="AS1080" s="652">
        <f>IF($B1080="",,SUMIFS(PerHeadcount[Month 34],PerHeadcount[exp_item],$H1080,PerHeadcount[company_name],$B1080)*AS240)</f>
        <v>0</v>
      </c>
      <c r="AT1080" s="652">
        <f>IF($B1080="",,SUMIFS(PerHeadcount[Month 35],PerHeadcount[exp_item],$H1080,PerHeadcount[company_name],$B1080)*AT240)</f>
        <v>0</v>
      </c>
      <c r="AU1080" s="652">
        <f>IF($B1080="",,SUMIFS(PerHeadcount[Month 36],PerHeadcount[exp_item],$H1080,PerHeadcount[company_name],$B1080)*AU240)</f>
        <v>0</v>
      </c>
    </row>
    <row r="1081" spans="2:47" x14ac:dyDescent="0.35">
      <c r="B1081" t="str">
        <f t="shared" si="698"/>
        <v/>
      </c>
      <c r="C1081" t="str">
        <f t="shared" ref="C1081:G1081" si="721">IF(C976="","",C976)</f>
        <v/>
      </c>
      <c r="D1081" t="str">
        <f t="shared" si="721"/>
        <v/>
      </c>
      <c r="E1081" t="str">
        <f t="shared" si="721"/>
        <v/>
      </c>
      <c r="F1081" t="str">
        <f t="shared" si="721"/>
        <v/>
      </c>
      <c r="G1081" t="str">
        <f t="shared" si="721"/>
        <v/>
      </c>
      <c r="H1081" t="str">
        <f t="shared" si="697"/>
        <v/>
      </c>
      <c r="J1081" t="str">
        <f>IF($H1081="","",IF(VLOOKUP(H1081,ExpItems[],2,0),H1081&amp;" - "&amp;INDEX(DivisionMapping[category_code],MATCH($D1081&amp;$C1081,DivisionMapping[dept_bu],0)),H1081))</f>
        <v/>
      </c>
      <c r="K1081" t="str">
        <f t="shared" si="665"/>
        <v/>
      </c>
      <c r="L1081" s="652">
        <f>IF($B1081="",,SUMIFS(PerHeadcount[Month 1],PerHeadcount[exp_item],$H1081,PerHeadcount[company_name],$B1081)*L241)</f>
        <v>0</v>
      </c>
      <c r="M1081" s="652">
        <f>IF($B1081="",,SUMIFS(PerHeadcount[Month 2],PerHeadcount[exp_item],$H1081,PerHeadcount[company_name],$B1081)*M241)</f>
        <v>0</v>
      </c>
      <c r="N1081" s="652">
        <f>IF($B1081="",,SUMIFS(PerHeadcount[Month 3],PerHeadcount[exp_item],$H1081,PerHeadcount[company_name],$B1081)*N241)</f>
        <v>0</v>
      </c>
      <c r="O1081" s="652">
        <f>IF($B1081="",,SUMIFS(PerHeadcount[Month 4],PerHeadcount[exp_item],$H1081,PerHeadcount[company_name],$B1081)*O241)</f>
        <v>0</v>
      </c>
      <c r="P1081" s="652">
        <f>IF($B1081="",,SUMIFS(PerHeadcount[Month 5],PerHeadcount[exp_item],$H1081,PerHeadcount[company_name],$B1081)*P241)</f>
        <v>0</v>
      </c>
      <c r="Q1081" s="652">
        <f>IF($B1081="",,SUMIFS(PerHeadcount[Month 6],PerHeadcount[exp_item],$H1081,PerHeadcount[company_name],$B1081)*Q241)</f>
        <v>0</v>
      </c>
      <c r="R1081" s="652">
        <f>IF($B1081="",,SUMIFS(PerHeadcount[Month 7],PerHeadcount[exp_item],$H1081,PerHeadcount[company_name],$B1081)*R241)</f>
        <v>0</v>
      </c>
      <c r="S1081" s="652">
        <f>IF($B1081="",,SUMIFS(PerHeadcount[Month 8],PerHeadcount[exp_item],$H1081,PerHeadcount[company_name],$B1081)*S241)</f>
        <v>0</v>
      </c>
      <c r="T1081" s="652">
        <f>IF($B1081="",,SUMIFS(PerHeadcount[Month 9],PerHeadcount[exp_item],$H1081,PerHeadcount[company_name],$B1081)*T241)</f>
        <v>0</v>
      </c>
      <c r="U1081" s="652">
        <f>IF($B1081="",,SUMIFS(PerHeadcount[Month 10],PerHeadcount[exp_item],$H1081,PerHeadcount[company_name],$B1081)*U241)</f>
        <v>0</v>
      </c>
      <c r="V1081" s="652">
        <f>IF($B1081="",,SUMIFS(PerHeadcount[Month 11],PerHeadcount[exp_item],$H1081,PerHeadcount[company_name],$B1081)*V241)</f>
        <v>0</v>
      </c>
      <c r="W1081" s="652">
        <f>IF($B1081="",,SUMIFS(PerHeadcount[Month 12],PerHeadcount[exp_item],$H1081,PerHeadcount[company_name],$B1081)*W241)</f>
        <v>0</v>
      </c>
      <c r="X1081" s="652">
        <f>IF($B1081="",,SUMIFS(PerHeadcount[Month 13],PerHeadcount[exp_item],$H1081,PerHeadcount[company_name],$B1081)*X241)</f>
        <v>0</v>
      </c>
      <c r="Y1081" s="652">
        <f>IF($B1081="",,SUMIFS(PerHeadcount[Month 14],PerHeadcount[exp_item],$H1081,PerHeadcount[company_name],$B1081)*Y241)</f>
        <v>0</v>
      </c>
      <c r="Z1081" s="652">
        <f>IF($B1081="",,SUMIFS(PerHeadcount[Month 15],PerHeadcount[exp_item],$H1081,PerHeadcount[company_name],$B1081)*Z241)</f>
        <v>0</v>
      </c>
      <c r="AA1081" s="652">
        <f>IF($B1081="",,SUMIFS(PerHeadcount[Month 16],PerHeadcount[exp_item],$H1081,PerHeadcount[company_name],$B1081)*AA241)</f>
        <v>0</v>
      </c>
      <c r="AB1081" s="652">
        <f>IF($B1081="",,SUMIFS(PerHeadcount[Month 17],PerHeadcount[exp_item],$H1081,PerHeadcount[company_name],$B1081)*AB241)</f>
        <v>0</v>
      </c>
      <c r="AC1081" s="652">
        <f>IF($B1081="",,SUMIFS(PerHeadcount[Month 18],PerHeadcount[exp_item],$H1081,PerHeadcount[company_name],$B1081)*AC241)</f>
        <v>0</v>
      </c>
      <c r="AD1081" s="652">
        <f>IF($B1081="",,SUMIFS(PerHeadcount[Month 19],PerHeadcount[exp_item],$H1081,PerHeadcount[company_name],$B1081)*AD241)</f>
        <v>0</v>
      </c>
      <c r="AE1081" s="652">
        <f>IF($B1081="",,SUMIFS(PerHeadcount[Month 20],PerHeadcount[exp_item],$H1081,PerHeadcount[company_name],$B1081)*AE241)</f>
        <v>0</v>
      </c>
      <c r="AF1081" s="652">
        <f>IF($B1081="",,SUMIFS(PerHeadcount[Month 21],PerHeadcount[exp_item],$H1081,PerHeadcount[company_name],$B1081)*AF241)</f>
        <v>0</v>
      </c>
      <c r="AG1081" s="652">
        <f>IF($B1081="",,SUMIFS(PerHeadcount[Month 22],PerHeadcount[exp_item],$H1081,PerHeadcount[company_name],$B1081)*AG241)</f>
        <v>0</v>
      </c>
      <c r="AH1081" s="652">
        <f>IF($B1081="",,SUMIFS(PerHeadcount[Month 23],PerHeadcount[exp_item],$H1081,PerHeadcount[company_name],$B1081)*AH241)</f>
        <v>0</v>
      </c>
      <c r="AI1081" s="652">
        <f>IF($B1081="",,SUMIFS(PerHeadcount[Month 24],PerHeadcount[exp_item],$H1081,PerHeadcount[company_name],$B1081)*AI241)</f>
        <v>0</v>
      </c>
      <c r="AJ1081" s="652">
        <f>IF($B1081="",,SUMIFS(PerHeadcount[Month 25],PerHeadcount[exp_item],$H1081,PerHeadcount[company_name],$B1081)*AJ241)</f>
        <v>0</v>
      </c>
      <c r="AK1081" s="652">
        <f>IF($B1081="",,SUMIFS(PerHeadcount[Month 26],PerHeadcount[exp_item],$H1081,PerHeadcount[company_name],$B1081)*AK241)</f>
        <v>0</v>
      </c>
      <c r="AL1081" s="652">
        <f>IF($B1081="",,SUMIFS(PerHeadcount[Month 27],PerHeadcount[exp_item],$H1081,PerHeadcount[company_name],$B1081)*AL241)</f>
        <v>0</v>
      </c>
      <c r="AM1081" s="652">
        <f>IF($B1081="",,SUMIFS(PerHeadcount[Month 28],PerHeadcount[exp_item],$H1081,PerHeadcount[company_name],$B1081)*AM241)</f>
        <v>0</v>
      </c>
      <c r="AN1081" s="652">
        <f>IF($B1081="",,SUMIFS(PerHeadcount[Month 29],PerHeadcount[exp_item],$H1081,PerHeadcount[company_name],$B1081)*AN241)</f>
        <v>0</v>
      </c>
      <c r="AO1081" s="652">
        <f>IF($B1081="",,SUMIFS(PerHeadcount[Month 30],PerHeadcount[exp_item],$H1081,PerHeadcount[company_name],$B1081)*AO241)</f>
        <v>0</v>
      </c>
      <c r="AP1081" s="652">
        <f>IF($B1081="",,SUMIFS(PerHeadcount[Month 31],PerHeadcount[exp_item],$H1081,PerHeadcount[company_name],$B1081)*AP241)</f>
        <v>0</v>
      </c>
      <c r="AQ1081" s="652">
        <f>IF($B1081="",,SUMIFS(PerHeadcount[Month 32],PerHeadcount[exp_item],$H1081,PerHeadcount[company_name],$B1081)*AQ241)</f>
        <v>0</v>
      </c>
      <c r="AR1081" s="652">
        <f>IF($B1081="",,SUMIFS(PerHeadcount[Month 33],PerHeadcount[exp_item],$H1081,PerHeadcount[company_name],$B1081)*AR241)</f>
        <v>0</v>
      </c>
      <c r="AS1081" s="652">
        <f>IF($B1081="",,SUMIFS(PerHeadcount[Month 34],PerHeadcount[exp_item],$H1081,PerHeadcount[company_name],$B1081)*AS241)</f>
        <v>0</v>
      </c>
      <c r="AT1081" s="652">
        <f>IF($B1081="",,SUMIFS(PerHeadcount[Month 35],PerHeadcount[exp_item],$H1081,PerHeadcount[company_name],$B1081)*AT241)</f>
        <v>0</v>
      </c>
      <c r="AU1081" s="652">
        <f>IF($B1081="",,SUMIFS(PerHeadcount[Month 36],PerHeadcount[exp_item],$H1081,PerHeadcount[company_name],$B1081)*AU241)</f>
        <v>0</v>
      </c>
    </row>
    <row r="1082" spans="2:47" x14ac:dyDescent="0.35">
      <c r="B1082" t="str">
        <f t="shared" si="698"/>
        <v/>
      </c>
      <c r="C1082" t="str">
        <f t="shared" ref="C1082:G1082" si="722">IF(C977="","",C977)</f>
        <v/>
      </c>
      <c r="D1082" t="str">
        <f t="shared" si="722"/>
        <v/>
      </c>
      <c r="E1082" t="str">
        <f t="shared" si="722"/>
        <v/>
      </c>
      <c r="F1082" t="str">
        <f t="shared" si="722"/>
        <v/>
      </c>
      <c r="G1082" t="str">
        <f t="shared" si="722"/>
        <v/>
      </c>
      <c r="H1082" t="str">
        <f t="shared" si="697"/>
        <v/>
      </c>
      <c r="J1082" t="str">
        <f>IF($H1082="","",IF(VLOOKUP(H1082,ExpItems[],2,0),H1082&amp;" - "&amp;INDEX(DivisionMapping[category_code],MATCH($D1082&amp;$C1082,DivisionMapping[dept_bu],0)),H1082))</f>
        <v/>
      </c>
      <c r="K1082" t="str">
        <f t="shared" si="665"/>
        <v/>
      </c>
      <c r="L1082" s="652">
        <f>IF($B1082="",,SUMIFS(PerHeadcount[Month 1],PerHeadcount[exp_item],$H1082,PerHeadcount[company_name],$B1082)*L242)</f>
        <v>0</v>
      </c>
      <c r="M1082" s="652">
        <f>IF($B1082="",,SUMIFS(PerHeadcount[Month 2],PerHeadcount[exp_item],$H1082,PerHeadcount[company_name],$B1082)*M242)</f>
        <v>0</v>
      </c>
      <c r="N1082" s="652">
        <f>IF($B1082="",,SUMIFS(PerHeadcount[Month 3],PerHeadcount[exp_item],$H1082,PerHeadcount[company_name],$B1082)*N242)</f>
        <v>0</v>
      </c>
      <c r="O1082" s="652">
        <f>IF($B1082="",,SUMIFS(PerHeadcount[Month 4],PerHeadcount[exp_item],$H1082,PerHeadcount[company_name],$B1082)*O242)</f>
        <v>0</v>
      </c>
      <c r="P1082" s="652">
        <f>IF($B1082="",,SUMIFS(PerHeadcount[Month 5],PerHeadcount[exp_item],$H1082,PerHeadcount[company_name],$B1082)*P242)</f>
        <v>0</v>
      </c>
      <c r="Q1082" s="652">
        <f>IF($B1082="",,SUMIFS(PerHeadcount[Month 6],PerHeadcount[exp_item],$H1082,PerHeadcount[company_name],$B1082)*Q242)</f>
        <v>0</v>
      </c>
      <c r="R1082" s="652">
        <f>IF($B1082="",,SUMIFS(PerHeadcount[Month 7],PerHeadcount[exp_item],$H1082,PerHeadcount[company_name],$B1082)*R242)</f>
        <v>0</v>
      </c>
      <c r="S1082" s="652">
        <f>IF($B1082="",,SUMIFS(PerHeadcount[Month 8],PerHeadcount[exp_item],$H1082,PerHeadcount[company_name],$B1082)*S242)</f>
        <v>0</v>
      </c>
      <c r="T1082" s="652">
        <f>IF($B1082="",,SUMIFS(PerHeadcount[Month 9],PerHeadcount[exp_item],$H1082,PerHeadcount[company_name],$B1082)*T242)</f>
        <v>0</v>
      </c>
      <c r="U1082" s="652">
        <f>IF($B1082="",,SUMIFS(PerHeadcount[Month 10],PerHeadcount[exp_item],$H1082,PerHeadcount[company_name],$B1082)*U242)</f>
        <v>0</v>
      </c>
      <c r="V1082" s="652">
        <f>IF($B1082="",,SUMIFS(PerHeadcount[Month 11],PerHeadcount[exp_item],$H1082,PerHeadcount[company_name],$B1082)*V242)</f>
        <v>0</v>
      </c>
      <c r="W1082" s="652">
        <f>IF($B1082="",,SUMIFS(PerHeadcount[Month 12],PerHeadcount[exp_item],$H1082,PerHeadcount[company_name],$B1082)*W242)</f>
        <v>0</v>
      </c>
      <c r="X1082" s="652">
        <f>IF($B1082="",,SUMIFS(PerHeadcount[Month 13],PerHeadcount[exp_item],$H1082,PerHeadcount[company_name],$B1082)*X242)</f>
        <v>0</v>
      </c>
      <c r="Y1082" s="652">
        <f>IF($B1082="",,SUMIFS(PerHeadcount[Month 14],PerHeadcount[exp_item],$H1082,PerHeadcount[company_name],$B1082)*Y242)</f>
        <v>0</v>
      </c>
      <c r="Z1082" s="652">
        <f>IF($B1082="",,SUMIFS(PerHeadcount[Month 15],PerHeadcount[exp_item],$H1082,PerHeadcount[company_name],$B1082)*Z242)</f>
        <v>0</v>
      </c>
      <c r="AA1082" s="652">
        <f>IF($B1082="",,SUMIFS(PerHeadcount[Month 16],PerHeadcount[exp_item],$H1082,PerHeadcount[company_name],$B1082)*AA242)</f>
        <v>0</v>
      </c>
      <c r="AB1082" s="652">
        <f>IF($B1082="",,SUMIFS(PerHeadcount[Month 17],PerHeadcount[exp_item],$H1082,PerHeadcount[company_name],$B1082)*AB242)</f>
        <v>0</v>
      </c>
      <c r="AC1082" s="652">
        <f>IF($B1082="",,SUMIFS(PerHeadcount[Month 18],PerHeadcount[exp_item],$H1082,PerHeadcount[company_name],$B1082)*AC242)</f>
        <v>0</v>
      </c>
      <c r="AD1082" s="652">
        <f>IF($B1082="",,SUMIFS(PerHeadcount[Month 19],PerHeadcount[exp_item],$H1082,PerHeadcount[company_name],$B1082)*AD242)</f>
        <v>0</v>
      </c>
      <c r="AE1082" s="652">
        <f>IF($B1082="",,SUMIFS(PerHeadcount[Month 20],PerHeadcount[exp_item],$H1082,PerHeadcount[company_name],$B1082)*AE242)</f>
        <v>0</v>
      </c>
      <c r="AF1082" s="652">
        <f>IF($B1082="",,SUMIFS(PerHeadcount[Month 21],PerHeadcount[exp_item],$H1082,PerHeadcount[company_name],$B1082)*AF242)</f>
        <v>0</v>
      </c>
      <c r="AG1082" s="652">
        <f>IF($B1082="",,SUMIFS(PerHeadcount[Month 22],PerHeadcount[exp_item],$H1082,PerHeadcount[company_name],$B1082)*AG242)</f>
        <v>0</v>
      </c>
      <c r="AH1082" s="652">
        <f>IF($B1082="",,SUMIFS(PerHeadcount[Month 23],PerHeadcount[exp_item],$H1082,PerHeadcount[company_name],$B1082)*AH242)</f>
        <v>0</v>
      </c>
      <c r="AI1082" s="652">
        <f>IF($B1082="",,SUMIFS(PerHeadcount[Month 24],PerHeadcount[exp_item],$H1082,PerHeadcount[company_name],$B1082)*AI242)</f>
        <v>0</v>
      </c>
      <c r="AJ1082" s="652">
        <f>IF($B1082="",,SUMIFS(PerHeadcount[Month 25],PerHeadcount[exp_item],$H1082,PerHeadcount[company_name],$B1082)*AJ242)</f>
        <v>0</v>
      </c>
      <c r="AK1082" s="652">
        <f>IF($B1082="",,SUMIFS(PerHeadcount[Month 26],PerHeadcount[exp_item],$H1082,PerHeadcount[company_name],$B1082)*AK242)</f>
        <v>0</v>
      </c>
      <c r="AL1082" s="652">
        <f>IF($B1082="",,SUMIFS(PerHeadcount[Month 27],PerHeadcount[exp_item],$H1082,PerHeadcount[company_name],$B1082)*AL242)</f>
        <v>0</v>
      </c>
      <c r="AM1082" s="652">
        <f>IF($B1082="",,SUMIFS(PerHeadcount[Month 28],PerHeadcount[exp_item],$H1082,PerHeadcount[company_name],$B1082)*AM242)</f>
        <v>0</v>
      </c>
      <c r="AN1082" s="652">
        <f>IF($B1082="",,SUMIFS(PerHeadcount[Month 29],PerHeadcount[exp_item],$H1082,PerHeadcount[company_name],$B1082)*AN242)</f>
        <v>0</v>
      </c>
      <c r="AO1082" s="652">
        <f>IF($B1082="",,SUMIFS(PerHeadcount[Month 30],PerHeadcount[exp_item],$H1082,PerHeadcount[company_name],$B1082)*AO242)</f>
        <v>0</v>
      </c>
      <c r="AP1082" s="652">
        <f>IF($B1082="",,SUMIFS(PerHeadcount[Month 31],PerHeadcount[exp_item],$H1082,PerHeadcount[company_name],$B1082)*AP242)</f>
        <v>0</v>
      </c>
      <c r="AQ1082" s="652">
        <f>IF($B1082="",,SUMIFS(PerHeadcount[Month 32],PerHeadcount[exp_item],$H1082,PerHeadcount[company_name],$B1082)*AQ242)</f>
        <v>0</v>
      </c>
      <c r="AR1082" s="652">
        <f>IF($B1082="",,SUMIFS(PerHeadcount[Month 33],PerHeadcount[exp_item],$H1082,PerHeadcount[company_name],$B1082)*AR242)</f>
        <v>0</v>
      </c>
      <c r="AS1082" s="652">
        <f>IF($B1082="",,SUMIFS(PerHeadcount[Month 34],PerHeadcount[exp_item],$H1082,PerHeadcount[company_name],$B1082)*AS242)</f>
        <v>0</v>
      </c>
      <c r="AT1082" s="652">
        <f>IF($B1082="",,SUMIFS(PerHeadcount[Month 35],PerHeadcount[exp_item],$H1082,PerHeadcount[company_name],$B1082)*AT242)</f>
        <v>0</v>
      </c>
      <c r="AU1082" s="652">
        <f>IF($B1082="",,SUMIFS(PerHeadcount[Month 36],PerHeadcount[exp_item],$H1082,PerHeadcount[company_name],$B1082)*AU242)</f>
        <v>0</v>
      </c>
    </row>
    <row r="1083" spans="2:47" x14ac:dyDescent="0.35">
      <c r="B1083" t="str">
        <f t="shared" si="698"/>
        <v/>
      </c>
      <c r="C1083" t="str">
        <f t="shared" ref="C1083:G1083" si="723">IF(C978="","",C978)</f>
        <v/>
      </c>
      <c r="D1083" t="str">
        <f t="shared" si="723"/>
        <v/>
      </c>
      <c r="E1083" t="str">
        <f t="shared" si="723"/>
        <v/>
      </c>
      <c r="F1083" t="str">
        <f t="shared" si="723"/>
        <v/>
      </c>
      <c r="G1083" t="str">
        <f t="shared" si="723"/>
        <v/>
      </c>
      <c r="H1083" t="str">
        <f t="shared" si="697"/>
        <v/>
      </c>
      <c r="J1083" t="str">
        <f>IF($H1083="","",IF(VLOOKUP(H1083,ExpItems[],2,0),H1083&amp;" - "&amp;INDEX(DivisionMapping[category_code],MATCH($D1083&amp;$C1083,DivisionMapping[dept_bu],0)),H1083))</f>
        <v/>
      </c>
      <c r="K1083" t="str">
        <f t="shared" si="665"/>
        <v/>
      </c>
      <c r="L1083" s="652">
        <f>IF($B1083="",,SUMIFS(PerHeadcount[Month 1],PerHeadcount[exp_item],$H1083,PerHeadcount[company_name],$B1083)*L243)</f>
        <v>0</v>
      </c>
      <c r="M1083" s="652">
        <f>IF($B1083="",,SUMIFS(PerHeadcount[Month 2],PerHeadcount[exp_item],$H1083,PerHeadcount[company_name],$B1083)*M243)</f>
        <v>0</v>
      </c>
      <c r="N1083" s="652">
        <f>IF($B1083="",,SUMIFS(PerHeadcount[Month 3],PerHeadcount[exp_item],$H1083,PerHeadcount[company_name],$B1083)*N243)</f>
        <v>0</v>
      </c>
      <c r="O1083" s="652">
        <f>IF($B1083="",,SUMIFS(PerHeadcount[Month 4],PerHeadcount[exp_item],$H1083,PerHeadcount[company_name],$B1083)*O243)</f>
        <v>0</v>
      </c>
      <c r="P1083" s="652">
        <f>IF($B1083="",,SUMIFS(PerHeadcount[Month 5],PerHeadcount[exp_item],$H1083,PerHeadcount[company_name],$B1083)*P243)</f>
        <v>0</v>
      </c>
      <c r="Q1083" s="652">
        <f>IF($B1083="",,SUMIFS(PerHeadcount[Month 6],PerHeadcount[exp_item],$H1083,PerHeadcount[company_name],$B1083)*Q243)</f>
        <v>0</v>
      </c>
      <c r="R1083" s="652">
        <f>IF($B1083="",,SUMIFS(PerHeadcount[Month 7],PerHeadcount[exp_item],$H1083,PerHeadcount[company_name],$B1083)*R243)</f>
        <v>0</v>
      </c>
      <c r="S1083" s="652">
        <f>IF($B1083="",,SUMIFS(PerHeadcount[Month 8],PerHeadcount[exp_item],$H1083,PerHeadcount[company_name],$B1083)*S243)</f>
        <v>0</v>
      </c>
      <c r="T1083" s="652">
        <f>IF($B1083="",,SUMIFS(PerHeadcount[Month 9],PerHeadcount[exp_item],$H1083,PerHeadcount[company_name],$B1083)*T243)</f>
        <v>0</v>
      </c>
      <c r="U1083" s="652">
        <f>IF($B1083="",,SUMIFS(PerHeadcount[Month 10],PerHeadcount[exp_item],$H1083,PerHeadcount[company_name],$B1083)*U243)</f>
        <v>0</v>
      </c>
      <c r="V1083" s="652">
        <f>IF($B1083="",,SUMIFS(PerHeadcount[Month 11],PerHeadcount[exp_item],$H1083,PerHeadcount[company_name],$B1083)*V243)</f>
        <v>0</v>
      </c>
      <c r="W1083" s="652">
        <f>IF($B1083="",,SUMIFS(PerHeadcount[Month 12],PerHeadcount[exp_item],$H1083,PerHeadcount[company_name],$B1083)*W243)</f>
        <v>0</v>
      </c>
      <c r="X1083" s="652">
        <f>IF($B1083="",,SUMIFS(PerHeadcount[Month 13],PerHeadcount[exp_item],$H1083,PerHeadcount[company_name],$B1083)*X243)</f>
        <v>0</v>
      </c>
      <c r="Y1083" s="652">
        <f>IF($B1083="",,SUMIFS(PerHeadcount[Month 14],PerHeadcount[exp_item],$H1083,PerHeadcount[company_name],$B1083)*Y243)</f>
        <v>0</v>
      </c>
      <c r="Z1083" s="652">
        <f>IF($B1083="",,SUMIFS(PerHeadcount[Month 15],PerHeadcount[exp_item],$H1083,PerHeadcount[company_name],$B1083)*Z243)</f>
        <v>0</v>
      </c>
      <c r="AA1083" s="652">
        <f>IF($B1083="",,SUMIFS(PerHeadcount[Month 16],PerHeadcount[exp_item],$H1083,PerHeadcount[company_name],$B1083)*AA243)</f>
        <v>0</v>
      </c>
      <c r="AB1083" s="652">
        <f>IF($B1083="",,SUMIFS(PerHeadcount[Month 17],PerHeadcount[exp_item],$H1083,PerHeadcount[company_name],$B1083)*AB243)</f>
        <v>0</v>
      </c>
      <c r="AC1083" s="652">
        <f>IF($B1083="",,SUMIFS(PerHeadcount[Month 18],PerHeadcount[exp_item],$H1083,PerHeadcount[company_name],$B1083)*AC243)</f>
        <v>0</v>
      </c>
      <c r="AD1083" s="652">
        <f>IF($B1083="",,SUMIFS(PerHeadcount[Month 19],PerHeadcount[exp_item],$H1083,PerHeadcount[company_name],$B1083)*AD243)</f>
        <v>0</v>
      </c>
      <c r="AE1083" s="652">
        <f>IF($B1083="",,SUMIFS(PerHeadcount[Month 20],PerHeadcount[exp_item],$H1083,PerHeadcount[company_name],$B1083)*AE243)</f>
        <v>0</v>
      </c>
      <c r="AF1083" s="652">
        <f>IF($B1083="",,SUMIFS(PerHeadcount[Month 21],PerHeadcount[exp_item],$H1083,PerHeadcount[company_name],$B1083)*AF243)</f>
        <v>0</v>
      </c>
      <c r="AG1083" s="652">
        <f>IF($B1083="",,SUMIFS(PerHeadcount[Month 22],PerHeadcount[exp_item],$H1083,PerHeadcount[company_name],$B1083)*AG243)</f>
        <v>0</v>
      </c>
      <c r="AH1083" s="652">
        <f>IF($B1083="",,SUMIFS(PerHeadcount[Month 23],PerHeadcount[exp_item],$H1083,PerHeadcount[company_name],$B1083)*AH243)</f>
        <v>0</v>
      </c>
      <c r="AI1083" s="652">
        <f>IF($B1083="",,SUMIFS(PerHeadcount[Month 24],PerHeadcount[exp_item],$H1083,PerHeadcount[company_name],$B1083)*AI243)</f>
        <v>0</v>
      </c>
      <c r="AJ1083" s="652">
        <f>IF($B1083="",,SUMIFS(PerHeadcount[Month 25],PerHeadcount[exp_item],$H1083,PerHeadcount[company_name],$B1083)*AJ243)</f>
        <v>0</v>
      </c>
      <c r="AK1083" s="652">
        <f>IF($B1083="",,SUMIFS(PerHeadcount[Month 26],PerHeadcount[exp_item],$H1083,PerHeadcount[company_name],$B1083)*AK243)</f>
        <v>0</v>
      </c>
      <c r="AL1083" s="652">
        <f>IF($B1083="",,SUMIFS(PerHeadcount[Month 27],PerHeadcount[exp_item],$H1083,PerHeadcount[company_name],$B1083)*AL243)</f>
        <v>0</v>
      </c>
      <c r="AM1083" s="652">
        <f>IF($B1083="",,SUMIFS(PerHeadcount[Month 28],PerHeadcount[exp_item],$H1083,PerHeadcount[company_name],$B1083)*AM243)</f>
        <v>0</v>
      </c>
      <c r="AN1083" s="652">
        <f>IF($B1083="",,SUMIFS(PerHeadcount[Month 29],PerHeadcount[exp_item],$H1083,PerHeadcount[company_name],$B1083)*AN243)</f>
        <v>0</v>
      </c>
      <c r="AO1083" s="652">
        <f>IF($B1083="",,SUMIFS(PerHeadcount[Month 30],PerHeadcount[exp_item],$H1083,PerHeadcount[company_name],$B1083)*AO243)</f>
        <v>0</v>
      </c>
      <c r="AP1083" s="652">
        <f>IF($B1083="",,SUMIFS(PerHeadcount[Month 31],PerHeadcount[exp_item],$H1083,PerHeadcount[company_name],$B1083)*AP243)</f>
        <v>0</v>
      </c>
      <c r="AQ1083" s="652">
        <f>IF($B1083="",,SUMIFS(PerHeadcount[Month 32],PerHeadcount[exp_item],$H1083,PerHeadcount[company_name],$B1083)*AQ243)</f>
        <v>0</v>
      </c>
      <c r="AR1083" s="652">
        <f>IF($B1083="",,SUMIFS(PerHeadcount[Month 33],PerHeadcount[exp_item],$H1083,PerHeadcount[company_name],$B1083)*AR243)</f>
        <v>0</v>
      </c>
      <c r="AS1083" s="652">
        <f>IF($B1083="",,SUMIFS(PerHeadcount[Month 34],PerHeadcount[exp_item],$H1083,PerHeadcount[company_name],$B1083)*AS243)</f>
        <v>0</v>
      </c>
      <c r="AT1083" s="652">
        <f>IF($B1083="",,SUMIFS(PerHeadcount[Month 35],PerHeadcount[exp_item],$H1083,PerHeadcount[company_name],$B1083)*AT243)</f>
        <v>0</v>
      </c>
      <c r="AU1083" s="652">
        <f>IF($B1083="",,SUMIFS(PerHeadcount[Month 36],PerHeadcount[exp_item],$H1083,PerHeadcount[company_name],$B1083)*AU243)</f>
        <v>0</v>
      </c>
    </row>
    <row r="1084" spans="2:47" x14ac:dyDescent="0.35">
      <c r="B1084" t="str">
        <f t="shared" si="698"/>
        <v/>
      </c>
      <c r="C1084" t="str">
        <f t="shared" ref="C1084:G1084" si="724">IF(C979="","",C979)</f>
        <v/>
      </c>
      <c r="D1084" t="str">
        <f t="shared" si="724"/>
        <v/>
      </c>
      <c r="E1084" t="str">
        <f t="shared" si="724"/>
        <v/>
      </c>
      <c r="F1084" t="str">
        <f t="shared" si="724"/>
        <v/>
      </c>
      <c r="G1084" t="str">
        <f t="shared" si="724"/>
        <v/>
      </c>
      <c r="H1084" t="str">
        <f t="shared" si="697"/>
        <v/>
      </c>
      <c r="J1084" t="str">
        <f>IF($H1084="","",IF(VLOOKUP(H1084,ExpItems[],2,0),H1084&amp;" - "&amp;INDEX(DivisionMapping[category_code],MATCH($D1084&amp;$C1084,DivisionMapping[dept_bu],0)),H1084))</f>
        <v/>
      </c>
      <c r="K1084" t="str">
        <f t="shared" si="665"/>
        <v/>
      </c>
      <c r="L1084" s="652">
        <f>IF($B1084="",,SUMIFS(PerHeadcount[Month 1],PerHeadcount[exp_item],$H1084,PerHeadcount[company_name],$B1084)*L244)</f>
        <v>0</v>
      </c>
      <c r="M1084" s="652">
        <f>IF($B1084="",,SUMIFS(PerHeadcount[Month 2],PerHeadcount[exp_item],$H1084,PerHeadcount[company_name],$B1084)*M244)</f>
        <v>0</v>
      </c>
      <c r="N1084" s="652">
        <f>IF($B1084="",,SUMIFS(PerHeadcount[Month 3],PerHeadcount[exp_item],$H1084,PerHeadcount[company_name],$B1084)*N244)</f>
        <v>0</v>
      </c>
      <c r="O1084" s="652">
        <f>IF($B1084="",,SUMIFS(PerHeadcount[Month 4],PerHeadcount[exp_item],$H1084,PerHeadcount[company_name],$B1084)*O244)</f>
        <v>0</v>
      </c>
      <c r="P1084" s="652">
        <f>IF($B1084="",,SUMIFS(PerHeadcount[Month 5],PerHeadcount[exp_item],$H1084,PerHeadcount[company_name],$B1084)*P244)</f>
        <v>0</v>
      </c>
      <c r="Q1084" s="652">
        <f>IF($B1084="",,SUMIFS(PerHeadcount[Month 6],PerHeadcount[exp_item],$H1084,PerHeadcount[company_name],$B1084)*Q244)</f>
        <v>0</v>
      </c>
      <c r="R1084" s="652">
        <f>IF($B1084="",,SUMIFS(PerHeadcount[Month 7],PerHeadcount[exp_item],$H1084,PerHeadcount[company_name],$B1084)*R244)</f>
        <v>0</v>
      </c>
      <c r="S1084" s="652">
        <f>IF($B1084="",,SUMIFS(PerHeadcount[Month 8],PerHeadcount[exp_item],$H1084,PerHeadcount[company_name],$B1084)*S244)</f>
        <v>0</v>
      </c>
      <c r="T1084" s="652">
        <f>IF($B1084="",,SUMIFS(PerHeadcount[Month 9],PerHeadcount[exp_item],$H1084,PerHeadcount[company_name],$B1084)*T244)</f>
        <v>0</v>
      </c>
      <c r="U1084" s="652">
        <f>IF($B1084="",,SUMIFS(PerHeadcount[Month 10],PerHeadcount[exp_item],$H1084,PerHeadcount[company_name],$B1084)*U244)</f>
        <v>0</v>
      </c>
      <c r="V1084" s="652">
        <f>IF($B1084="",,SUMIFS(PerHeadcount[Month 11],PerHeadcount[exp_item],$H1084,PerHeadcount[company_name],$B1084)*V244)</f>
        <v>0</v>
      </c>
      <c r="W1084" s="652">
        <f>IF($B1084="",,SUMIFS(PerHeadcount[Month 12],PerHeadcount[exp_item],$H1084,PerHeadcount[company_name],$B1084)*W244)</f>
        <v>0</v>
      </c>
      <c r="X1084" s="652">
        <f>IF($B1084="",,SUMIFS(PerHeadcount[Month 13],PerHeadcount[exp_item],$H1084,PerHeadcount[company_name],$B1084)*X244)</f>
        <v>0</v>
      </c>
      <c r="Y1084" s="652">
        <f>IF($B1084="",,SUMIFS(PerHeadcount[Month 14],PerHeadcount[exp_item],$H1084,PerHeadcount[company_name],$B1084)*Y244)</f>
        <v>0</v>
      </c>
      <c r="Z1084" s="652">
        <f>IF($B1084="",,SUMIFS(PerHeadcount[Month 15],PerHeadcount[exp_item],$H1084,PerHeadcount[company_name],$B1084)*Z244)</f>
        <v>0</v>
      </c>
      <c r="AA1084" s="652">
        <f>IF($B1084="",,SUMIFS(PerHeadcount[Month 16],PerHeadcount[exp_item],$H1084,PerHeadcount[company_name],$B1084)*AA244)</f>
        <v>0</v>
      </c>
      <c r="AB1084" s="652">
        <f>IF($B1084="",,SUMIFS(PerHeadcount[Month 17],PerHeadcount[exp_item],$H1084,PerHeadcount[company_name],$B1084)*AB244)</f>
        <v>0</v>
      </c>
      <c r="AC1084" s="652">
        <f>IF($B1084="",,SUMIFS(PerHeadcount[Month 18],PerHeadcount[exp_item],$H1084,PerHeadcount[company_name],$B1084)*AC244)</f>
        <v>0</v>
      </c>
      <c r="AD1084" s="652">
        <f>IF($B1084="",,SUMIFS(PerHeadcount[Month 19],PerHeadcount[exp_item],$H1084,PerHeadcount[company_name],$B1084)*AD244)</f>
        <v>0</v>
      </c>
      <c r="AE1084" s="652">
        <f>IF($B1084="",,SUMIFS(PerHeadcount[Month 20],PerHeadcount[exp_item],$H1084,PerHeadcount[company_name],$B1084)*AE244)</f>
        <v>0</v>
      </c>
      <c r="AF1084" s="652">
        <f>IF($B1084="",,SUMIFS(PerHeadcount[Month 21],PerHeadcount[exp_item],$H1084,PerHeadcount[company_name],$B1084)*AF244)</f>
        <v>0</v>
      </c>
      <c r="AG1084" s="652">
        <f>IF($B1084="",,SUMIFS(PerHeadcount[Month 22],PerHeadcount[exp_item],$H1084,PerHeadcount[company_name],$B1084)*AG244)</f>
        <v>0</v>
      </c>
      <c r="AH1084" s="652">
        <f>IF($B1084="",,SUMIFS(PerHeadcount[Month 23],PerHeadcount[exp_item],$H1084,PerHeadcount[company_name],$B1084)*AH244)</f>
        <v>0</v>
      </c>
      <c r="AI1084" s="652">
        <f>IF($B1084="",,SUMIFS(PerHeadcount[Month 24],PerHeadcount[exp_item],$H1084,PerHeadcount[company_name],$B1084)*AI244)</f>
        <v>0</v>
      </c>
      <c r="AJ1084" s="652">
        <f>IF($B1084="",,SUMIFS(PerHeadcount[Month 25],PerHeadcount[exp_item],$H1084,PerHeadcount[company_name],$B1084)*AJ244)</f>
        <v>0</v>
      </c>
      <c r="AK1084" s="652">
        <f>IF($B1084="",,SUMIFS(PerHeadcount[Month 26],PerHeadcount[exp_item],$H1084,PerHeadcount[company_name],$B1084)*AK244)</f>
        <v>0</v>
      </c>
      <c r="AL1084" s="652">
        <f>IF($B1084="",,SUMIFS(PerHeadcount[Month 27],PerHeadcount[exp_item],$H1084,PerHeadcount[company_name],$B1084)*AL244)</f>
        <v>0</v>
      </c>
      <c r="AM1084" s="652">
        <f>IF($B1084="",,SUMIFS(PerHeadcount[Month 28],PerHeadcount[exp_item],$H1084,PerHeadcount[company_name],$B1084)*AM244)</f>
        <v>0</v>
      </c>
      <c r="AN1084" s="652">
        <f>IF($B1084="",,SUMIFS(PerHeadcount[Month 29],PerHeadcount[exp_item],$H1084,PerHeadcount[company_name],$B1084)*AN244)</f>
        <v>0</v>
      </c>
      <c r="AO1084" s="652">
        <f>IF($B1084="",,SUMIFS(PerHeadcount[Month 30],PerHeadcount[exp_item],$H1084,PerHeadcount[company_name],$B1084)*AO244)</f>
        <v>0</v>
      </c>
      <c r="AP1084" s="652">
        <f>IF($B1084="",,SUMIFS(PerHeadcount[Month 31],PerHeadcount[exp_item],$H1084,PerHeadcount[company_name],$B1084)*AP244)</f>
        <v>0</v>
      </c>
      <c r="AQ1084" s="652">
        <f>IF($B1084="",,SUMIFS(PerHeadcount[Month 32],PerHeadcount[exp_item],$H1084,PerHeadcount[company_name],$B1084)*AQ244)</f>
        <v>0</v>
      </c>
      <c r="AR1084" s="652">
        <f>IF($B1084="",,SUMIFS(PerHeadcount[Month 33],PerHeadcount[exp_item],$H1084,PerHeadcount[company_name],$B1084)*AR244)</f>
        <v>0</v>
      </c>
      <c r="AS1084" s="652">
        <f>IF($B1084="",,SUMIFS(PerHeadcount[Month 34],PerHeadcount[exp_item],$H1084,PerHeadcount[company_name],$B1084)*AS244)</f>
        <v>0</v>
      </c>
      <c r="AT1084" s="652">
        <f>IF($B1084="",,SUMIFS(PerHeadcount[Month 35],PerHeadcount[exp_item],$H1084,PerHeadcount[company_name],$B1084)*AT244)</f>
        <v>0</v>
      </c>
      <c r="AU1084" s="652">
        <f>IF($B1084="",,SUMIFS(PerHeadcount[Month 36],PerHeadcount[exp_item],$H1084,PerHeadcount[company_name],$B1084)*AU244)</f>
        <v>0</v>
      </c>
    </row>
    <row r="1085" spans="2:47" x14ac:dyDescent="0.35">
      <c r="B1085" t="str">
        <f t="shared" si="698"/>
        <v/>
      </c>
      <c r="C1085" t="str">
        <f t="shared" ref="C1085:G1085" si="725">IF(C980="","",C980)</f>
        <v/>
      </c>
      <c r="D1085" t="str">
        <f t="shared" si="725"/>
        <v/>
      </c>
      <c r="E1085" t="str">
        <f t="shared" si="725"/>
        <v/>
      </c>
      <c r="F1085" t="str">
        <f t="shared" si="725"/>
        <v/>
      </c>
      <c r="G1085" t="str">
        <f t="shared" si="725"/>
        <v/>
      </c>
      <c r="H1085" t="str">
        <f t="shared" si="697"/>
        <v/>
      </c>
      <c r="J1085" t="str">
        <f>IF($H1085="","",IF(VLOOKUP(H1085,ExpItems[],2,0),H1085&amp;" - "&amp;INDEX(DivisionMapping[category_code],MATCH($D1085&amp;$C1085,DivisionMapping[dept_bu],0)),H1085))</f>
        <v/>
      </c>
      <c r="K1085" t="str">
        <f t="shared" si="665"/>
        <v/>
      </c>
      <c r="L1085" s="652">
        <f>IF($B1085="",,SUMIFS(PerHeadcount[Month 1],PerHeadcount[exp_item],$H1085,PerHeadcount[company_name],$B1085)*L245)</f>
        <v>0</v>
      </c>
      <c r="M1085" s="652">
        <f>IF($B1085="",,SUMIFS(PerHeadcount[Month 2],PerHeadcount[exp_item],$H1085,PerHeadcount[company_name],$B1085)*M245)</f>
        <v>0</v>
      </c>
      <c r="N1085" s="652">
        <f>IF($B1085="",,SUMIFS(PerHeadcount[Month 3],PerHeadcount[exp_item],$H1085,PerHeadcount[company_name],$B1085)*N245)</f>
        <v>0</v>
      </c>
      <c r="O1085" s="652">
        <f>IF($B1085="",,SUMIFS(PerHeadcount[Month 4],PerHeadcount[exp_item],$H1085,PerHeadcount[company_name],$B1085)*O245)</f>
        <v>0</v>
      </c>
      <c r="P1085" s="652">
        <f>IF($B1085="",,SUMIFS(PerHeadcount[Month 5],PerHeadcount[exp_item],$H1085,PerHeadcount[company_name],$B1085)*P245)</f>
        <v>0</v>
      </c>
      <c r="Q1085" s="652">
        <f>IF($B1085="",,SUMIFS(PerHeadcount[Month 6],PerHeadcount[exp_item],$H1085,PerHeadcount[company_name],$B1085)*Q245)</f>
        <v>0</v>
      </c>
      <c r="R1085" s="652">
        <f>IF($B1085="",,SUMIFS(PerHeadcount[Month 7],PerHeadcount[exp_item],$H1085,PerHeadcount[company_name],$B1085)*R245)</f>
        <v>0</v>
      </c>
      <c r="S1085" s="652">
        <f>IF($B1085="",,SUMIFS(PerHeadcount[Month 8],PerHeadcount[exp_item],$H1085,PerHeadcount[company_name],$B1085)*S245)</f>
        <v>0</v>
      </c>
      <c r="T1085" s="652">
        <f>IF($B1085="",,SUMIFS(PerHeadcount[Month 9],PerHeadcount[exp_item],$H1085,PerHeadcount[company_name],$B1085)*T245)</f>
        <v>0</v>
      </c>
      <c r="U1085" s="652">
        <f>IF($B1085="",,SUMIFS(PerHeadcount[Month 10],PerHeadcount[exp_item],$H1085,PerHeadcount[company_name],$B1085)*U245)</f>
        <v>0</v>
      </c>
      <c r="V1085" s="652">
        <f>IF($B1085="",,SUMIFS(PerHeadcount[Month 11],PerHeadcount[exp_item],$H1085,PerHeadcount[company_name],$B1085)*V245)</f>
        <v>0</v>
      </c>
      <c r="W1085" s="652">
        <f>IF($B1085="",,SUMIFS(PerHeadcount[Month 12],PerHeadcount[exp_item],$H1085,PerHeadcount[company_name],$B1085)*W245)</f>
        <v>0</v>
      </c>
      <c r="X1085" s="652">
        <f>IF($B1085="",,SUMIFS(PerHeadcount[Month 13],PerHeadcount[exp_item],$H1085,PerHeadcount[company_name],$B1085)*X245)</f>
        <v>0</v>
      </c>
      <c r="Y1085" s="652">
        <f>IF($B1085="",,SUMIFS(PerHeadcount[Month 14],PerHeadcount[exp_item],$H1085,PerHeadcount[company_name],$B1085)*Y245)</f>
        <v>0</v>
      </c>
      <c r="Z1085" s="652">
        <f>IF($B1085="",,SUMIFS(PerHeadcount[Month 15],PerHeadcount[exp_item],$H1085,PerHeadcount[company_name],$B1085)*Z245)</f>
        <v>0</v>
      </c>
      <c r="AA1085" s="652">
        <f>IF($B1085="",,SUMIFS(PerHeadcount[Month 16],PerHeadcount[exp_item],$H1085,PerHeadcount[company_name],$B1085)*AA245)</f>
        <v>0</v>
      </c>
      <c r="AB1085" s="652">
        <f>IF($B1085="",,SUMIFS(PerHeadcount[Month 17],PerHeadcount[exp_item],$H1085,PerHeadcount[company_name],$B1085)*AB245)</f>
        <v>0</v>
      </c>
      <c r="AC1085" s="652">
        <f>IF($B1085="",,SUMIFS(PerHeadcount[Month 18],PerHeadcount[exp_item],$H1085,PerHeadcount[company_name],$B1085)*AC245)</f>
        <v>0</v>
      </c>
      <c r="AD1085" s="652">
        <f>IF($B1085="",,SUMIFS(PerHeadcount[Month 19],PerHeadcount[exp_item],$H1085,PerHeadcount[company_name],$B1085)*AD245)</f>
        <v>0</v>
      </c>
      <c r="AE1085" s="652">
        <f>IF($B1085="",,SUMIFS(PerHeadcount[Month 20],PerHeadcount[exp_item],$H1085,PerHeadcount[company_name],$B1085)*AE245)</f>
        <v>0</v>
      </c>
      <c r="AF1085" s="652">
        <f>IF($B1085="",,SUMIFS(PerHeadcount[Month 21],PerHeadcount[exp_item],$H1085,PerHeadcount[company_name],$B1085)*AF245)</f>
        <v>0</v>
      </c>
      <c r="AG1085" s="652">
        <f>IF($B1085="",,SUMIFS(PerHeadcount[Month 22],PerHeadcount[exp_item],$H1085,PerHeadcount[company_name],$B1085)*AG245)</f>
        <v>0</v>
      </c>
      <c r="AH1085" s="652">
        <f>IF($B1085="",,SUMIFS(PerHeadcount[Month 23],PerHeadcount[exp_item],$H1085,PerHeadcount[company_name],$B1085)*AH245)</f>
        <v>0</v>
      </c>
      <c r="AI1085" s="652">
        <f>IF($B1085="",,SUMIFS(PerHeadcount[Month 24],PerHeadcount[exp_item],$H1085,PerHeadcount[company_name],$B1085)*AI245)</f>
        <v>0</v>
      </c>
      <c r="AJ1085" s="652">
        <f>IF($B1085="",,SUMIFS(PerHeadcount[Month 25],PerHeadcount[exp_item],$H1085,PerHeadcount[company_name],$B1085)*AJ245)</f>
        <v>0</v>
      </c>
      <c r="AK1085" s="652">
        <f>IF($B1085="",,SUMIFS(PerHeadcount[Month 26],PerHeadcount[exp_item],$H1085,PerHeadcount[company_name],$B1085)*AK245)</f>
        <v>0</v>
      </c>
      <c r="AL1085" s="652">
        <f>IF($B1085="",,SUMIFS(PerHeadcount[Month 27],PerHeadcount[exp_item],$H1085,PerHeadcount[company_name],$B1085)*AL245)</f>
        <v>0</v>
      </c>
      <c r="AM1085" s="652">
        <f>IF($B1085="",,SUMIFS(PerHeadcount[Month 28],PerHeadcount[exp_item],$H1085,PerHeadcount[company_name],$B1085)*AM245)</f>
        <v>0</v>
      </c>
      <c r="AN1085" s="652">
        <f>IF($B1085="",,SUMIFS(PerHeadcount[Month 29],PerHeadcount[exp_item],$H1085,PerHeadcount[company_name],$B1085)*AN245)</f>
        <v>0</v>
      </c>
      <c r="AO1085" s="652">
        <f>IF($B1085="",,SUMIFS(PerHeadcount[Month 30],PerHeadcount[exp_item],$H1085,PerHeadcount[company_name],$B1085)*AO245)</f>
        <v>0</v>
      </c>
      <c r="AP1085" s="652">
        <f>IF($B1085="",,SUMIFS(PerHeadcount[Month 31],PerHeadcount[exp_item],$H1085,PerHeadcount[company_name],$B1085)*AP245)</f>
        <v>0</v>
      </c>
      <c r="AQ1085" s="652">
        <f>IF($B1085="",,SUMIFS(PerHeadcount[Month 32],PerHeadcount[exp_item],$H1085,PerHeadcount[company_name],$B1085)*AQ245)</f>
        <v>0</v>
      </c>
      <c r="AR1085" s="652">
        <f>IF($B1085="",,SUMIFS(PerHeadcount[Month 33],PerHeadcount[exp_item],$H1085,PerHeadcount[company_name],$B1085)*AR245)</f>
        <v>0</v>
      </c>
      <c r="AS1085" s="652">
        <f>IF($B1085="",,SUMIFS(PerHeadcount[Month 34],PerHeadcount[exp_item],$H1085,PerHeadcount[company_name],$B1085)*AS245)</f>
        <v>0</v>
      </c>
      <c r="AT1085" s="652">
        <f>IF($B1085="",,SUMIFS(PerHeadcount[Month 35],PerHeadcount[exp_item],$H1085,PerHeadcount[company_name],$B1085)*AT245)</f>
        <v>0</v>
      </c>
      <c r="AU1085" s="652">
        <f>IF($B1085="",,SUMIFS(PerHeadcount[Month 36],PerHeadcount[exp_item],$H1085,PerHeadcount[company_name],$B1085)*AU245)</f>
        <v>0</v>
      </c>
    </row>
    <row r="1086" spans="2:47" x14ac:dyDescent="0.35">
      <c r="B1086" t="str">
        <f t="shared" si="698"/>
        <v/>
      </c>
      <c r="C1086" t="str">
        <f t="shared" ref="C1086:G1086" si="726">IF(C981="","",C981)</f>
        <v/>
      </c>
      <c r="D1086" t="str">
        <f t="shared" si="726"/>
        <v/>
      </c>
      <c r="E1086" t="str">
        <f t="shared" si="726"/>
        <v/>
      </c>
      <c r="F1086" t="str">
        <f t="shared" si="726"/>
        <v/>
      </c>
      <c r="G1086" t="str">
        <f t="shared" si="726"/>
        <v/>
      </c>
      <c r="H1086" t="str">
        <f t="shared" si="697"/>
        <v/>
      </c>
      <c r="J1086" t="str">
        <f>IF($H1086="","",IF(VLOOKUP(H1086,ExpItems[],2,0),H1086&amp;" - "&amp;INDEX(DivisionMapping[category_code],MATCH($D1086&amp;$C1086,DivisionMapping[dept_bu],0)),H1086))</f>
        <v/>
      </c>
      <c r="K1086" t="str">
        <f t="shared" si="665"/>
        <v/>
      </c>
      <c r="L1086" s="652">
        <f>IF($B1086="",,SUMIFS(PerHeadcount[Month 1],PerHeadcount[exp_item],$H1086,PerHeadcount[company_name],$B1086)*L246)</f>
        <v>0</v>
      </c>
      <c r="M1086" s="652">
        <f>IF($B1086="",,SUMIFS(PerHeadcount[Month 2],PerHeadcount[exp_item],$H1086,PerHeadcount[company_name],$B1086)*M246)</f>
        <v>0</v>
      </c>
      <c r="N1086" s="652">
        <f>IF($B1086="",,SUMIFS(PerHeadcount[Month 3],PerHeadcount[exp_item],$H1086,PerHeadcount[company_name],$B1086)*N246)</f>
        <v>0</v>
      </c>
      <c r="O1086" s="652">
        <f>IF($B1086="",,SUMIFS(PerHeadcount[Month 4],PerHeadcount[exp_item],$H1086,PerHeadcount[company_name],$B1086)*O246)</f>
        <v>0</v>
      </c>
      <c r="P1086" s="652">
        <f>IF($B1086="",,SUMIFS(PerHeadcount[Month 5],PerHeadcount[exp_item],$H1086,PerHeadcount[company_name],$B1086)*P246)</f>
        <v>0</v>
      </c>
      <c r="Q1086" s="652">
        <f>IF($B1086="",,SUMIFS(PerHeadcount[Month 6],PerHeadcount[exp_item],$H1086,PerHeadcount[company_name],$B1086)*Q246)</f>
        <v>0</v>
      </c>
      <c r="R1086" s="652">
        <f>IF($B1086="",,SUMIFS(PerHeadcount[Month 7],PerHeadcount[exp_item],$H1086,PerHeadcount[company_name],$B1086)*R246)</f>
        <v>0</v>
      </c>
      <c r="S1086" s="652">
        <f>IF($B1086="",,SUMIFS(PerHeadcount[Month 8],PerHeadcount[exp_item],$H1086,PerHeadcount[company_name],$B1086)*S246)</f>
        <v>0</v>
      </c>
      <c r="T1086" s="652">
        <f>IF($B1086="",,SUMIFS(PerHeadcount[Month 9],PerHeadcount[exp_item],$H1086,PerHeadcount[company_name],$B1086)*T246)</f>
        <v>0</v>
      </c>
      <c r="U1086" s="652">
        <f>IF($B1086="",,SUMIFS(PerHeadcount[Month 10],PerHeadcount[exp_item],$H1086,PerHeadcount[company_name],$B1086)*U246)</f>
        <v>0</v>
      </c>
      <c r="V1086" s="652">
        <f>IF($B1086="",,SUMIFS(PerHeadcount[Month 11],PerHeadcount[exp_item],$H1086,PerHeadcount[company_name],$B1086)*V246)</f>
        <v>0</v>
      </c>
      <c r="W1086" s="652">
        <f>IF($B1086="",,SUMIFS(PerHeadcount[Month 12],PerHeadcount[exp_item],$H1086,PerHeadcount[company_name],$B1086)*W246)</f>
        <v>0</v>
      </c>
      <c r="X1086" s="652">
        <f>IF($B1086="",,SUMIFS(PerHeadcount[Month 13],PerHeadcount[exp_item],$H1086,PerHeadcount[company_name],$B1086)*X246)</f>
        <v>0</v>
      </c>
      <c r="Y1086" s="652">
        <f>IF($B1086="",,SUMIFS(PerHeadcount[Month 14],PerHeadcount[exp_item],$H1086,PerHeadcount[company_name],$B1086)*Y246)</f>
        <v>0</v>
      </c>
      <c r="Z1086" s="652">
        <f>IF($B1086="",,SUMIFS(PerHeadcount[Month 15],PerHeadcount[exp_item],$H1086,PerHeadcount[company_name],$B1086)*Z246)</f>
        <v>0</v>
      </c>
      <c r="AA1086" s="652">
        <f>IF($B1086="",,SUMIFS(PerHeadcount[Month 16],PerHeadcount[exp_item],$H1086,PerHeadcount[company_name],$B1086)*AA246)</f>
        <v>0</v>
      </c>
      <c r="AB1086" s="652">
        <f>IF($B1086="",,SUMIFS(PerHeadcount[Month 17],PerHeadcount[exp_item],$H1086,PerHeadcount[company_name],$B1086)*AB246)</f>
        <v>0</v>
      </c>
      <c r="AC1086" s="652">
        <f>IF($B1086="",,SUMIFS(PerHeadcount[Month 18],PerHeadcount[exp_item],$H1086,PerHeadcount[company_name],$B1086)*AC246)</f>
        <v>0</v>
      </c>
      <c r="AD1086" s="652">
        <f>IF($B1086="",,SUMIFS(PerHeadcount[Month 19],PerHeadcount[exp_item],$H1086,PerHeadcount[company_name],$B1086)*AD246)</f>
        <v>0</v>
      </c>
      <c r="AE1086" s="652">
        <f>IF($B1086="",,SUMIFS(PerHeadcount[Month 20],PerHeadcount[exp_item],$H1086,PerHeadcount[company_name],$B1086)*AE246)</f>
        <v>0</v>
      </c>
      <c r="AF1086" s="652">
        <f>IF($B1086="",,SUMIFS(PerHeadcount[Month 21],PerHeadcount[exp_item],$H1086,PerHeadcount[company_name],$B1086)*AF246)</f>
        <v>0</v>
      </c>
      <c r="AG1086" s="652">
        <f>IF($B1086="",,SUMIFS(PerHeadcount[Month 22],PerHeadcount[exp_item],$H1086,PerHeadcount[company_name],$B1086)*AG246)</f>
        <v>0</v>
      </c>
      <c r="AH1086" s="652">
        <f>IF($B1086="",,SUMIFS(PerHeadcount[Month 23],PerHeadcount[exp_item],$H1086,PerHeadcount[company_name],$B1086)*AH246)</f>
        <v>0</v>
      </c>
      <c r="AI1086" s="652">
        <f>IF($B1086="",,SUMIFS(PerHeadcount[Month 24],PerHeadcount[exp_item],$H1086,PerHeadcount[company_name],$B1086)*AI246)</f>
        <v>0</v>
      </c>
      <c r="AJ1086" s="652">
        <f>IF($B1086="",,SUMIFS(PerHeadcount[Month 25],PerHeadcount[exp_item],$H1086,PerHeadcount[company_name],$B1086)*AJ246)</f>
        <v>0</v>
      </c>
      <c r="AK1086" s="652">
        <f>IF($B1086="",,SUMIFS(PerHeadcount[Month 26],PerHeadcount[exp_item],$H1086,PerHeadcount[company_name],$B1086)*AK246)</f>
        <v>0</v>
      </c>
      <c r="AL1086" s="652">
        <f>IF($B1086="",,SUMIFS(PerHeadcount[Month 27],PerHeadcount[exp_item],$H1086,PerHeadcount[company_name],$B1086)*AL246)</f>
        <v>0</v>
      </c>
      <c r="AM1086" s="652">
        <f>IF($B1086="",,SUMIFS(PerHeadcount[Month 28],PerHeadcount[exp_item],$H1086,PerHeadcount[company_name],$B1086)*AM246)</f>
        <v>0</v>
      </c>
      <c r="AN1086" s="652">
        <f>IF($B1086="",,SUMIFS(PerHeadcount[Month 29],PerHeadcount[exp_item],$H1086,PerHeadcount[company_name],$B1086)*AN246)</f>
        <v>0</v>
      </c>
      <c r="AO1086" s="652">
        <f>IF($B1086="",,SUMIFS(PerHeadcount[Month 30],PerHeadcount[exp_item],$H1086,PerHeadcount[company_name],$B1086)*AO246)</f>
        <v>0</v>
      </c>
      <c r="AP1086" s="652">
        <f>IF($B1086="",,SUMIFS(PerHeadcount[Month 31],PerHeadcount[exp_item],$H1086,PerHeadcount[company_name],$B1086)*AP246)</f>
        <v>0</v>
      </c>
      <c r="AQ1086" s="652">
        <f>IF($B1086="",,SUMIFS(PerHeadcount[Month 32],PerHeadcount[exp_item],$H1086,PerHeadcount[company_name],$B1086)*AQ246)</f>
        <v>0</v>
      </c>
      <c r="AR1086" s="652">
        <f>IF($B1086="",,SUMIFS(PerHeadcount[Month 33],PerHeadcount[exp_item],$H1086,PerHeadcount[company_name],$B1086)*AR246)</f>
        <v>0</v>
      </c>
      <c r="AS1086" s="652">
        <f>IF($B1086="",,SUMIFS(PerHeadcount[Month 34],PerHeadcount[exp_item],$H1086,PerHeadcount[company_name],$B1086)*AS246)</f>
        <v>0</v>
      </c>
      <c r="AT1086" s="652">
        <f>IF($B1086="",,SUMIFS(PerHeadcount[Month 35],PerHeadcount[exp_item],$H1086,PerHeadcount[company_name],$B1086)*AT246)</f>
        <v>0</v>
      </c>
      <c r="AU1086" s="652">
        <f>IF($B1086="",,SUMIFS(PerHeadcount[Month 36],PerHeadcount[exp_item],$H1086,PerHeadcount[company_name],$B1086)*AU246)</f>
        <v>0</v>
      </c>
    </row>
    <row r="1087" spans="2:47" x14ac:dyDescent="0.35">
      <c r="B1087" t="str">
        <f t="shared" si="698"/>
        <v/>
      </c>
      <c r="C1087" t="str">
        <f t="shared" ref="C1087:G1087" si="727">IF(C982="","",C982)</f>
        <v/>
      </c>
      <c r="D1087" t="str">
        <f t="shared" si="727"/>
        <v/>
      </c>
      <c r="E1087" t="str">
        <f t="shared" si="727"/>
        <v/>
      </c>
      <c r="F1087" t="str">
        <f t="shared" si="727"/>
        <v/>
      </c>
      <c r="G1087" t="str">
        <f t="shared" si="727"/>
        <v/>
      </c>
      <c r="H1087" t="str">
        <f t="shared" si="697"/>
        <v/>
      </c>
      <c r="J1087" t="str">
        <f>IF($H1087="","",IF(VLOOKUP(H1087,ExpItems[],2,0),H1087&amp;" - "&amp;INDEX(DivisionMapping[category_code],MATCH($D1087&amp;$C1087,DivisionMapping[dept_bu],0)),H1087))</f>
        <v/>
      </c>
      <c r="K1087" t="str">
        <f t="shared" si="665"/>
        <v/>
      </c>
      <c r="L1087" s="652">
        <f>IF($B1087="",,SUMIFS(PerHeadcount[Month 1],PerHeadcount[exp_item],$H1087,PerHeadcount[company_name],$B1087)*L247)</f>
        <v>0</v>
      </c>
      <c r="M1087" s="652">
        <f>IF($B1087="",,SUMIFS(PerHeadcount[Month 2],PerHeadcount[exp_item],$H1087,PerHeadcount[company_name],$B1087)*M247)</f>
        <v>0</v>
      </c>
      <c r="N1087" s="652">
        <f>IF($B1087="",,SUMIFS(PerHeadcount[Month 3],PerHeadcount[exp_item],$H1087,PerHeadcount[company_name],$B1087)*N247)</f>
        <v>0</v>
      </c>
      <c r="O1087" s="652">
        <f>IF($B1087="",,SUMIFS(PerHeadcount[Month 4],PerHeadcount[exp_item],$H1087,PerHeadcount[company_name],$B1087)*O247)</f>
        <v>0</v>
      </c>
      <c r="P1087" s="652">
        <f>IF($B1087="",,SUMIFS(PerHeadcount[Month 5],PerHeadcount[exp_item],$H1087,PerHeadcount[company_name],$B1087)*P247)</f>
        <v>0</v>
      </c>
      <c r="Q1087" s="652">
        <f>IF($B1087="",,SUMIFS(PerHeadcount[Month 6],PerHeadcount[exp_item],$H1087,PerHeadcount[company_name],$B1087)*Q247)</f>
        <v>0</v>
      </c>
      <c r="R1087" s="652">
        <f>IF($B1087="",,SUMIFS(PerHeadcount[Month 7],PerHeadcount[exp_item],$H1087,PerHeadcount[company_name],$B1087)*R247)</f>
        <v>0</v>
      </c>
      <c r="S1087" s="652">
        <f>IF($B1087="",,SUMIFS(PerHeadcount[Month 8],PerHeadcount[exp_item],$H1087,PerHeadcount[company_name],$B1087)*S247)</f>
        <v>0</v>
      </c>
      <c r="T1087" s="652">
        <f>IF($B1087="",,SUMIFS(PerHeadcount[Month 9],PerHeadcount[exp_item],$H1087,PerHeadcount[company_name],$B1087)*T247)</f>
        <v>0</v>
      </c>
      <c r="U1087" s="652">
        <f>IF($B1087="",,SUMIFS(PerHeadcount[Month 10],PerHeadcount[exp_item],$H1087,PerHeadcount[company_name],$B1087)*U247)</f>
        <v>0</v>
      </c>
      <c r="V1087" s="652">
        <f>IF($B1087="",,SUMIFS(PerHeadcount[Month 11],PerHeadcount[exp_item],$H1087,PerHeadcount[company_name],$B1087)*V247)</f>
        <v>0</v>
      </c>
      <c r="W1087" s="652">
        <f>IF($B1087="",,SUMIFS(PerHeadcount[Month 12],PerHeadcount[exp_item],$H1087,PerHeadcount[company_name],$B1087)*W247)</f>
        <v>0</v>
      </c>
      <c r="X1087" s="652">
        <f>IF($B1087="",,SUMIFS(PerHeadcount[Month 13],PerHeadcount[exp_item],$H1087,PerHeadcount[company_name],$B1087)*X247)</f>
        <v>0</v>
      </c>
      <c r="Y1087" s="652">
        <f>IF($B1087="",,SUMIFS(PerHeadcount[Month 14],PerHeadcount[exp_item],$H1087,PerHeadcount[company_name],$B1087)*Y247)</f>
        <v>0</v>
      </c>
      <c r="Z1087" s="652">
        <f>IF($B1087="",,SUMIFS(PerHeadcount[Month 15],PerHeadcount[exp_item],$H1087,PerHeadcount[company_name],$B1087)*Z247)</f>
        <v>0</v>
      </c>
      <c r="AA1087" s="652">
        <f>IF($B1087="",,SUMIFS(PerHeadcount[Month 16],PerHeadcount[exp_item],$H1087,PerHeadcount[company_name],$B1087)*AA247)</f>
        <v>0</v>
      </c>
      <c r="AB1087" s="652">
        <f>IF($B1087="",,SUMIFS(PerHeadcount[Month 17],PerHeadcount[exp_item],$H1087,PerHeadcount[company_name],$B1087)*AB247)</f>
        <v>0</v>
      </c>
      <c r="AC1087" s="652">
        <f>IF($B1087="",,SUMIFS(PerHeadcount[Month 18],PerHeadcount[exp_item],$H1087,PerHeadcount[company_name],$B1087)*AC247)</f>
        <v>0</v>
      </c>
      <c r="AD1087" s="652">
        <f>IF($B1087="",,SUMIFS(PerHeadcount[Month 19],PerHeadcount[exp_item],$H1087,PerHeadcount[company_name],$B1087)*AD247)</f>
        <v>0</v>
      </c>
      <c r="AE1087" s="652">
        <f>IF($B1087="",,SUMIFS(PerHeadcount[Month 20],PerHeadcount[exp_item],$H1087,PerHeadcount[company_name],$B1087)*AE247)</f>
        <v>0</v>
      </c>
      <c r="AF1087" s="652">
        <f>IF($B1087="",,SUMIFS(PerHeadcount[Month 21],PerHeadcount[exp_item],$H1087,PerHeadcount[company_name],$B1087)*AF247)</f>
        <v>0</v>
      </c>
      <c r="AG1087" s="652">
        <f>IF($B1087="",,SUMIFS(PerHeadcount[Month 22],PerHeadcount[exp_item],$H1087,PerHeadcount[company_name],$B1087)*AG247)</f>
        <v>0</v>
      </c>
      <c r="AH1087" s="652">
        <f>IF($B1087="",,SUMIFS(PerHeadcount[Month 23],PerHeadcount[exp_item],$H1087,PerHeadcount[company_name],$B1087)*AH247)</f>
        <v>0</v>
      </c>
      <c r="AI1087" s="652">
        <f>IF($B1087="",,SUMIFS(PerHeadcount[Month 24],PerHeadcount[exp_item],$H1087,PerHeadcount[company_name],$B1087)*AI247)</f>
        <v>0</v>
      </c>
      <c r="AJ1087" s="652">
        <f>IF($B1087="",,SUMIFS(PerHeadcount[Month 25],PerHeadcount[exp_item],$H1087,PerHeadcount[company_name],$B1087)*AJ247)</f>
        <v>0</v>
      </c>
      <c r="AK1087" s="652">
        <f>IF($B1087="",,SUMIFS(PerHeadcount[Month 26],PerHeadcount[exp_item],$H1087,PerHeadcount[company_name],$B1087)*AK247)</f>
        <v>0</v>
      </c>
      <c r="AL1087" s="652">
        <f>IF($B1087="",,SUMIFS(PerHeadcount[Month 27],PerHeadcount[exp_item],$H1087,PerHeadcount[company_name],$B1087)*AL247)</f>
        <v>0</v>
      </c>
      <c r="AM1087" s="652">
        <f>IF($B1087="",,SUMIFS(PerHeadcount[Month 28],PerHeadcount[exp_item],$H1087,PerHeadcount[company_name],$B1087)*AM247)</f>
        <v>0</v>
      </c>
      <c r="AN1087" s="652">
        <f>IF($B1087="",,SUMIFS(PerHeadcount[Month 29],PerHeadcount[exp_item],$H1087,PerHeadcount[company_name],$B1087)*AN247)</f>
        <v>0</v>
      </c>
      <c r="AO1087" s="652">
        <f>IF($B1087="",,SUMIFS(PerHeadcount[Month 30],PerHeadcount[exp_item],$H1087,PerHeadcount[company_name],$B1087)*AO247)</f>
        <v>0</v>
      </c>
      <c r="AP1087" s="652">
        <f>IF($B1087="",,SUMIFS(PerHeadcount[Month 31],PerHeadcount[exp_item],$H1087,PerHeadcount[company_name],$B1087)*AP247)</f>
        <v>0</v>
      </c>
      <c r="AQ1087" s="652">
        <f>IF($B1087="",,SUMIFS(PerHeadcount[Month 32],PerHeadcount[exp_item],$H1087,PerHeadcount[company_name],$B1087)*AQ247)</f>
        <v>0</v>
      </c>
      <c r="AR1087" s="652">
        <f>IF($B1087="",,SUMIFS(PerHeadcount[Month 33],PerHeadcount[exp_item],$H1087,PerHeadcount[company_name],$B1087)*AR247)</f>
        <v>0</v>
      </c>
      <c r="AS1087" s="652">
        <f>IF($B1087="",,SUMIFS(PerHeadcount[Month 34],PerHeadcount[exp_item],$H1087,PerHeadcount[company_name],$B1087)*AS247)</f>
        <v>0</v>
      </c>
      <c r="AT1087" s="652">
        <f>IF($B1087="",,SUMIFS(PerHeadcount[Month 35],PerHeadcount[exp_item],$H1087,PerHeadcount[company_name],$B1087)*AT247)</f>
        <v>0</v>
      </c>
      <c r="AU1087" s="652">
        <f>IF($B1087="",,SUMIFS(PerHeadcount[Month 36],PerHeadcount[exp_item],$H1087,PerHeadcount[company_name],$B1087)*AU247)</f>
        <v>0</v>
      </c>
    </row>
    <row r="1088" spans="2:47" x14ac:dyDescent="0.35">
      <c r="B1088" t="str">
        <f t="shared" si="698"/>
        <v/>
      </c>
      <c r="C1088" t="str">
        <f t="shared" ref="C1088:G1088" si="728">IF(C983="","",C983)</f>
        <v/>
      </c>
      <c r="D1088" t="str">
        <f t="shared" si="728"/>
        <v/>
      </c>
      <c r="E1088" t="str">
        <f t="shared" si="728"/>
        <v/>
      </c>
      <c r="F1088" t="str">
        <f t="shared" si="728"/>
        <v/>
      </c>
      <c r="G1088" t="str">
        <f t="shared" si="728"/>
        <v/>
      </c>
      <c r="H1088" t="str">
        <f t="shared" si="697"/>
        <v/>
      </c>
      <c r="J1088" t="str">
        <f>IF($H1088="","",IF(VLOOKUP(H1088,ExpItems[],2,0),H1088&amp;" - "&amp;INDEX(DivisionMapping[category_code],MATCH($D1088&amp;$C1088,DivisionMapping[dept_bu],0)),H1088))</f>
        <v/>
      </c>
      <c r="K1088" t="str">
        <f t="shared" si="665"/>
        <v/>
      </c>
      <c r="L1088" s="652">
        <f>IF($B1088="",,SUMIFS(PerHeadcount[Month 1],PerHeadcount[exp_item],$H1088,PerHeadcount[company_name],$B1088)*L248)</f>
        <v>0</v>
      </c>
      <c r="M1088" s="652">
        <f>IF($B1088="",,SUMIFS(PerHeadcount[Month 2],PerHeadcount[exp_item],$H1088,PerHeadcount[company_name],$B1088)*M248)</f>
        <v>0</v>
      </c>
      <c r="N1088" s="652">
        <f>IF($B1088="",,SUMIFS(PerHeadcount[Month 3],PerHeadcount[exp_item],$H1088,PerHeadcount[company_name],$B1088)*N248)</f>
        <v>0</v>
      </c>
      <c r="O1088" s="652">
        <f>IF($B1088="",,SUMIFS(PerHeadcount[Month 4],PerHeadcount[exp_item],$H1088,PerHeadcount[company_name],$B1088)*O248)</f>
        <v>0</v>
      </c>
      <c r="P1088" s="652">
        <f>IF($B1088="",,SUMIFS(PerHeadcount[Month 5],PerHeadcount[exp_item],$H1088,PerHeadcount[company_name],$B1088)*P248)</f>
        <v>0</v>
      </c>
      <c r="Q1088" s="652">
        <f>IF($B1088="",,SUMIFS(PerHeadcount[Month 6],PerHeadcount[exp_item],$H1088,PerHeadcount[company_name],$B1088)*Q248)</f>
        <v>0</v>
      </c>
      <c r="R1088" s="652">
        <f>IF($B1088="",,SUMIFS(PerHeadcount[Month 7],PerHeadcount[exp_item],$H1088,PerHeadcount[company_name],$B1088)*R248)</f>
        <v>0</v>
      </c>
      <c r="S1088" s="652">
        <f>IF($B1088="",,SUMIFS(PerHeadcount[Month 8],PerHeadcount[exp_item],$H1088,PerHeadcount[company_name],$B1088)*S248)</f>
        <v>0</v>
      </c>
      <c r="T1088" s="652">
        <f>IF($B1088="",,SUMIFS(PerHeadcount[Month 9],PerHeadcount[exp_item],$H1088,PerHeadcount[company_name],$B1088)*T248)</f>
        <v>0</v>
      </c>
      <c r="U1088" s="652">
        <f>IF($B1088="",,SUMIFS(PerHeadcount[Month 10],PerHeadcount[exp_item],$H1088,PerHeadcount[company_name],$B1088)*U248)</f>
        <v>0</v>
      </c>
      <c r="V1088" s="652">
        <f>IF($B1088="",,SUMIFS(PerHeadcount[Month 11],PerHeadcount[exp_item],$H1088,PerHeadcount[company_name],$B1088)*V248)</f>
        <v>0</v>
      </c>
      <c r="W1088" s="652">
        <f>IF($B1088="",,SUMIFS(PerHeadcount[Month 12],PerHeadcount[exp_item],$H1088,PerHeadcount[company_name],$B1088)*W248)</f>
        <v>0</v>
      </c>
      <c r="X1088" s="652">
        <f>IF($B1088="",,SUMIFS(PerHeadcount[Month 13],PerHeadcount[exp_item],$H1088,PerHeadcount[company_name],$B1088)*X248)</f>
        <v>0</v>
      </c>
      <c r="Y1088" s="652">
        <f>IF($B1088="",,SUMIFS(PerHeadcount[Month 14],PerHeadcount[exp_item],$H1088,PerHeadcount[company_name],$B1088)*Y248)</f>
        <v>0</v>
      </c>
      <c r="Z1088" s="652">
        <f>IF($B1088="",,SUMIFS(PerHeadcount[Month 15],PerHeadcount[exp_item],$H1088,PerHeadcount[company_name],$B1088)*Z248)</f>
        <v>0</v>
      </c>
      <c r="AA1088" s="652">
        <f>IF($B1088="",,SUMIFS(PerHeadcount[Month 16],PerHeadcount[exp_item],$H1088,PerHeadcount[company_name],$B1088)*AA248)</f>
        <v>0</v>
      </c>
      <c r="AB1088" s="652">
        <f>IF($B1088="",,SUMIFS(PerHeadcount[Month 17],PerHeadcount[exp_item],$H1088,PerHeadcount[company_name],$B1088)*AB248)</f>
        <v>0</v>
      </c>
      <c r="AC1088" s="652">
        <f>IF($B1088="",,SUMIFS(PerHeadcount[Month 18],PerHeadcount[exp_item],$H1088,PerHeadcount[company_name],$B1088)*AC248)</f>
        <v>0</v>
      </c>
      <c r="AD1088" s="652">
        <f>IF($B1088="",,SUMIFS(PerHeadcount[Month 19],PerHeadcount[exp_item],$H1088,PerHeadcount[company_name],$B1088)*AD248)</f>
        <v>0</v>
      </c>
      <c r="AE1088" s="652">
        <f>IF($B1088="",,SUMIFS(PerHeadcount[Month 20],PerHeadcount[exp_item],$H1088,PerHeadcount[company_name],$B1088)*AE248)</f>
        <v>0</v>
      </c>
      <c r="AF1088" s="652">
        <f>IF($B1088="",,SUMIFS(PerHeadcount[Month 21],PerHeadcount[exp_item],$H1088,PerHeadcount[company_name],$B1088)*AF248)</f>
        <v>0</v>
      </c>
      <c r="AG1088" s="652">
        <f>IF($B1088="",,SUMIFS(PerHeadcount[Month 22],PerHeadcount[exp_item],$H1088,PerHeadcount[company_name],$B1088)*AG248)</f>
        <v>0</v>
      </c>
      <c r="AH1088" s="652">
        <f>IF($B1088="",,SUMIFS(PerHeadcount[Month 23],PerHeadcount[exp_item],$H1088,PerHeadcount[company_name],$B1088)*AH248)</f>
        <v>0</v>
      </c>
      <c r="AI1088" s="652">
        <f>IF($B1088="",,SUMIFS(PerHeadcount[Month 24],PerHeadcount[exp_item],$H1088,PerHeadcount[company_name],$B1088)*AI248)</f>
        <v>0</v>
      </c>
      <c r="AJ1088" s="652">
        <f>IF($B1088="",,SUMIFS(PerHeadcount[Month 25],PerHeadcount[exp_item],$H1088,PerHeadcount[company_name],$B1088)*AJ248)</f>
        <v>0</v>
      </c>
      <c r="AK1088" s="652">
        <f>IF($B1088="",,SUMIFS(PerHeadcount[Month 26],PerHeadcount[exp_item],$H1088,PerHeadcount[company_name],$B1088)*AK248)</f>
        <v>0</v>
      </c>
      <c r="AL1088" s="652">
        <f>IF($B1088="",,SUMIFS(PerHeadcount[Month 27],PerHeadcount[exp_item],$H1088,PerHeadcount[company_name],$B1088)*AL248)</f>
        <v>0</v>
      </c>
      <c r="AM1088" s="652">
        <f>IF($B1088="",,SUMIFS(PerHeadcount[Month 28],PerHeadcount[exp_item],$H1088,PerHeadcount[company_name],$B1088)*AM248)</f>
        <v>0</v>
      </c>
      <c r="AN1088" s="652">
        <f>IF($B1088="",,SUMIFS(PerHeadcount[Month 29],PerHeadcount[exp_item],$H1088,PerHeadcount[company_name],$B1088)*AN248)</f>
        <v>0</v>
      </c>
      <c r="AO1088" s="652">
        <f>IF($B1088="",,SUMIFS(PerHeadcount[Month 30],PerHeadcount[exp_item],$H1088,PerHeadcount[company_name],$B1088)*AO248)</f>
        <v>0</v>
      </c>
      <c r="AP1088" s="652">
        <f>IF($B1088="",,SUMIFS(PerHeadcount[Month 31],PerHeadcount[exp_item],$H1088,PerHeadcount[company_name],$B1088)*AP248)</f>
        <v>0</v>
      </c>
      <c r="AQ1088" s="652">
        <f>IF($B1088="",,SUMIFS(PerHeadcount[Month 32],PerHeadcount[exp_item],$H1088,PerHeadcount[company_name],$B1088)*AQ248)</f>
        <v>0</v>
      </c>
      <c r="AR1088" s="652">
        <f>IF($B1088="",,SUMIFS(PerHeadcount[Month 33],PerHeadcount[exp_item],$H1088,PerHeadcount[company_name],$B1088)*AR248)</f>
        <v>0</v>
      </c>
      <c r="AS1088" s="652">
        <f>IF($B1088="",,SUMIFS(PerHeadcount[Month 34],PerHeadcount[exp_item],$H1088,PerHeadcount[company_name],$B1088)*AS248)</f>
        <v>0</v>
      </c>
      <c r="AT1088" s="652">
        <f>IF($B1088="",,SUMIFS(PerHeadcount[Month 35],PerHeadcount[exp_item],$H1088,PerHeadcount[company_name],$B1088)*AT248)</f>
        <v>0</v>
      </c>
      <c r="AU1088" s="652">
        <f>IF($B1088="",,SUMIFS(PerHeadcount[Month 36],PerHeadcount[exp_item],$H1088,PerHeadcount[company_name],$B1088)*AU248)</f>
        <v>0</v>
      </c>
    </row>
    <row r="1089" spans="2:47" x14ac:dyDescent="0.35">
      <c r="B1089" t="str">
        <f t="shared" si="698"/>
        <v/>
      </c>
      <c r="C1089" t="str">
        <f t="shared" ref="C1089:G1089" si="729">IF(C984="","",C984)</f>
        <v/>
      </c>
      <c r="D1089" t="str">
        <f t="shared" si="729"/>
        <v/>
      </c>
      <c r="E1089" t="str">
        <f t="shared" si="729"/>
        <v/>
      </c>
      <c r="F1089" t="str">
        <f t="shared" si="729"/>
        <v/>
      </c>
      <c r="G1089" t="str">
        <f t="shared" si="729"/>
        <v/>
      </c>
      <c r="H1089" t="str">
        <f t="shared" si="697"/>
        <v/>
      </c>
      <c r="J1089" t="str">
        <f>IF($H1089="","",IF(VLOOKUP(H1089,ExpItems[],2,0),H1089&amp;" - "&amp;INDEX(DivisionMapping[category_code],MATCH($D1089&amp;$C1089,DivisionMapping[dept_bu],0)),H1089))</f>
        <v/>
      </c>
      <c r="K1089" t="str">
        <f t="shared" si="665"/>
        <v/>
      </c>
      <c r="L1089" s="652">
        <f>IF($B1089="",,SUMIFS(PerHeadcount[Month 1],PerHeadcount[exp_item],$H1089,PerHeadcount[company_name],$B1089)*L249)</f>
        <v>0</v>
      </c>
      <c r="M1089" s="652">
        <f>IF($B1089="",,SUMIFS(PerHeadcount[Month 2],PerHeadcount[exp_item],$H1089,PerHeadcount[company_name],$B1089)*M249)</f>
        <v>0</v>
      </c>
      <c r="N1089" s="652">
        <f>IF($B1089="",,SUMIFS(PerHeadcount[Month 3],PerHeadcount[exp_item],$H1089,PerHeadcount[company_name],$B1089)*N249)</f>
        <v>0</v>
      </c>
      <c r="O1089" s="652">
        <f>IF($B1089="",,SUMIFS(PerHeadcount[Month 4],PerHeadcount[exp_item],$H1089,PerHeadcount[company_name],$B1089)*O249)</f>
        <v>0</v>
      </c>
      <c r="P1089" s="652">
        <f>IF($B1089="",,SUMIFS(PerHeadcount[Month 5],PerHeadcount[exp_item],$H1089,PerHeadcount[company_name],$B1089)*P249)</f>
        <v>0</v>
      </c>
      <c r="Q1089" s="652">
        <f>IF($B1089="",,SUMIFS(PerHeadcount[Month 6],PerHeadcount[exp_item],$H1089,PerHeadcount[company_name],$B1089)*Q249)</f>
        <v>0</v>
      </c>
      <c r="R1089" s="652">
        <f>IF($B1089="",,SUMIFS(PerHeadcount[Month 7],PerHeadcount[exp_item],$H1089,PerHeadcount[company_name],$B1089)*R249)</f>
        <v>0</v>
      </c>
      <c r="S1089" s="652">
        <f>IF($B1089="",,SUMIFS(PerHeadcount[Month 8],PerHeadcount[exp_item],$H1089,PerHeadcount[company_name],$B1089)*S249)</f>
        <v>0</v>
      </c>
      <c r="T1089" s="652">
        <f>IF($B1089="",,SUMIFS(PerHeadcount[Month 9],PerHeadcount[exp_item],$H1089,PerHeadcount[company_name],$B1089)*T249)</f>
        <v>0</v>
      </c>
      <c r="U1089" s="652">
        <f>IF($B1089="",,SUMIFS(PerHeadcount[Month 10],PerHeadcount[exp_item],$H1089,PerHeadcount[company_name],$B1089)*U249)</f>
        <v>0</v>
      </c>
      <c r="V1089" s="652">
        <f>IF($B1089="",,SUMIFS(PerHeadcount[Month 11],PerHeadcount[exp_item],$H1089,PerHeadcount[company_name],$B1089)*V249)</f>
        <v>0</v>
      </c>
      <c r="W1089" s="652">
        <f>IF($B1089="",,SUMIFS(PerHeadcount[Month 12],PerHeadcount[exp_item],$H1089,PerHeadcount[company_name],$B1089)*W249)</f>
        <v>0</v>
      </c>
      <c r="X1089" s="652">
        <f>IF($B1089="",,SUMIFS(PerHeadcount[Month 13],PerHeadcount[exp_item],$H1089,PerHeadcount[company_name],$B1089)*X249)</f>
        <v>0</v>
      </c>
      <c r="Y1089" s="652">
        <f>IF($B1089="",,SUMIFS(PerHeadcount[Month 14],PerHeadcount[exp_item],$H1089,PerHeadcount[company_name],$B1089)*Y249)</f>
        <v>0</v>
      </c>
      <c r="Z1089" s="652">
        <f>IF($B1089="",,SUMIFS(PerHeadcount[Month 15],PerHeadcount[exp_item],$H1089,PerHeadcount[company_name],$B1089)*Z249)</f>
        <v>0</v>
      </c>
      <c r="AA1089" s="652">
        <f>IF($B1089="",,SUMIFS(PerHeadcount[Month 16],PerHeadcount[exp_item],$H1089,PerHeadcount[company_name],$B1089)*AA249)</f>
        <v>0</v>
      </c>
      <c r="AB1089" s="652">
        <f>IF($B1089="",,SUMIFS(PerHeadcount[Month 17],PerHeadcount[exp_item],$H1089,PerHeadcount[company_name],$B1089)*AB249)</f>
        <v>0</v>
      </c>
      <c r="AC1089" s="652">
        <f>IF($B1089="",,SUMIFS(PerHeadcount[Month 18],PerHeadcount[exp_item],$H1089,PerHeadcount[company_name],$B1089)*AC249)</f>
        <v>0</v>
      </c>
      <c r="AD1089" s="652">
        <f>IF($B1089="",,SUMIFS(PerHeadcount[Month 19],PerHeadcount[exp_item],$H1089,PerHeadcount[company_name],$B1089)*AD249)</f>
        <v>0</v>
      </c>
      <c r="AE1089" s="652">
        <f>IF($B1089="",,SUMIFS(PerHeadcount[Month 20],PerHeadcount[exp_item],$H1089,PerHeadcount[company_name],$B1089)*AE249)</f>
        <v>0</v>
      </c>
      <c r="AF1089" s="652">
        <f>IF($B1089="",,SUMIFS(PerHeadcount[Month 21],PerHeadcount[exp_item],$H1089,PerHeadcount[company_name],$B1089)*AF249)</f>
        <v>0</v>
      </c>
      <c r="AG1089" s="652">
        <f>IF($B1089="",,SUMIFS(PerHeadcount[Month 22],PerHeadcount[exp_item],$H1089,PerHeadcount[company_name],$B1089)*AG249)</f>
        <v>0</v>
      </c>
      <c r="AH1089" s="652">
        <f>IF($B1089="",,SUMIFS(PerHeadcount[Month 23],PerHeadcount[exp_item],$H1089,PerHeadcount[company_name],$B1089)*AH249)</f>
        <v>0</v>
      </c>
      <c r="AI1089" s="652">
        <f>IF($B1089="",,SUMIFS(PerHeadcount[Month 24],PerHeadcount[exp_item],$H1089,PerHeadcount[company_name],$B1089)*AI249)</f>
        <v>0</v>
      </c>
      <c r="AJ1089" s="652">
        <f>IF($B1089="",,SUMIFS(PerHeadcount[Month 25],PerHeadcount[exp_item],$H1089,PerHeadcount[company_name],$B1089)*AJ249)</f>
        <v>0</v>
      </c>
      <c r="AK1089" s="652">
        <f>IF($B1089="",,SUMIFS(PerHeadcount[Month 26],PerHeadcount[exp_item],$H1089,PerHeadcount[company_name],$B1089)*AK249)</f>
        <v>0</v>
      </c>
      <c r="AL1089" s="652">
        <f>IF($B1089="",,SUMIFS(PerHeadcount[Month 27],PerHeadcount[exp_item],$H1089,PerHeadcount[company_name],$B1089)*AL249)</f>
        <v>0</v>
      </c>
      <c r="AM1089" s="652">
        <f>IF($B1089="",,SUMIFS(PerHeadcount[Month 28],PerHeadcount[exp_item],$H1089,PerHeadcount[company_name],$B1089)*AM249)</f>
        <v>0</v>
      </c>
      <c r="AN1089" s="652">
        <f>IF($B1089="",,SUMIFS(PerHeadcount[Month 29],PerHeadcount[exp_item],$H1089,PerHeadcount[company_name],$B1089)*AN249)</f>
        <v>0</v>
      </c>
      <c r="AO1089" s="652">
        <f>IF($B1089="",,SUMIFS(PerHeadcount[Month 30],PerHeadcount[exp_item],$H1089,PerHeadcount[company_name],$B1089)*AO249)</f>
        <v>0</v>
      </c>
      <c r="AP1089" s="652">
        <f>IF($B1089="",,SUMIFS(PerHeadcount[Month 31],PerHeadcount[exp_item],$H1089,PerHeadcount[company_name],$B1089)*AP249)</f>
        <v>0</v>
      </c>
      <c r="AQ1089" s="652">
        <f>IF($B1089="",,SUMIFS(PerHeadcount[Month 32],PerHeadcount[exp_item],$H1089,PerHeadcount[company_name],$B1089)*AQ249)</f>
        <v>0</v>
      </c>
      <c r="AR1089" s="652">
        <f>IF($B1089="",,SUMIFS(PerHeadcount[Month 33],PerHeadcount[exp_item],$H1089,PerHeadcount[company_name],$B1089)*AR249)</f>
        <v>0</v>
      </c>
      <c r="AS1089" s="652">
        <f>IF($B1089="",,SUMIFS(PerHeadcount[Month 34],PerHeadcount[exp_item],$H1089,PerHeadcount[company_name],$B1089)*AS249)</f>
        <v>0</v>
      </c>
      <c r="AT1089" s="652">
        <f>IF($B1089="",,SUMIFS(PerHeadcount[Month 35],PerHeadcount[exp_item],$H1089,PerHeadcount[company_name],$B1089)*AT249)</f>
        <v>0</v>
      </c>
      <c r="AU1089" s="652">
        <f>IF($B1089="",,SUMIFS(PerHeadcount[Month 36],PerHeadcount[exp_item],$H1089,PerHeadcount[company_name],$B1089)*AU249)</f>
        <v>0</v>
      </c>
    </row>
    <row r="1090" spans="2:47" x14ac:dyDescent="0.35">
      <c r="B1090" t="str">
        <f t="shared" si="698"/>
        <v/>
      </c>
      <c r="C1090" t="str">
        <f t="shared" ref="C1090:G1090" si="730">IF(C985="","",C985)</f>
        <v/>
      </c>
      <c r="D1090" t="str">
        <f t="shared" si="730"/>
        <v/>
      </c>
      <c r="E1090" t="str">
        <f t="shared" si="730"/>
        <v/>
      </c>
      <c r="F1090" t="str">
        <f t="shared" si="730"/>
        <v/>
      </c>
      <c r="G1090" t="str">
        <f t="shared" si="730"/>
        <v/>
      </c>
      <c r="H1090" t="str">
        <f t="shared" ref="H1090:H1126" si="731">IF(B1090="","",$B$1025)</f>
        <v/>
      </c>
      <c r="J1090" t="str">
        <f>IF($H1090="","",IF(VLOOKUP(H1090,ExpItems[],2,0),H1090&amp;" - "&amp;INDEX(DivisionMapping[category_code],MATCH($D1090&amp;$C1090,DivisionMapping[dept_bu],0)),H1090))</f>
        <v/>
      </c>
      <c r="K1090" t="str">
        <f t="shared" si="665"/>
        <v/>
      </c>
      <c r="L1090" s="652">
        <f>IF($B1090="",,SUMIFS(PerHeadcount[Month 1],PerHeadcount[exp_item],$H1090,PerHeadcount[company_name],$B1090)*L250)</f>
        <v>0</v>
      </c>
      <c r="M1090" s="652">
        <f>IF($B1090="",,SUMIFS(PerHeadcount[Month 2],PerHeadcount[exp_item],$H1090,PerHeadcount[company_name],$B1090)*M250)</f>
        <v>0</v>
      </c>
      <c r="N1090" s="652">
        <f>IF($B1090="",,SUMIFS(PerHeadcount[Month 3],PerHeadcount[exp_item],$H1090,PerHeadcount[company_name],$B1090)*N250)</f>
        <v>0</v>
      </c>
      <c r="O1090" s="652">
        <f>IF($B1090="",,SUMIFS(PerHeadcount[Month 4],PerHeadcount[exp_item],$H1090,PerHeadcount[company_name],$B1090)*O250)</f>
        <v>0</v>
      </c>
      <c r="P1090" s="652">
        <f>IF($B1090="",,SUMIFS(PerHeadcount[Month 5],PerHeadcount[exp_item],$H1090,PerHeadcount[company_name],$B1090)*P250)</f>
        <v>0</v>
      </c>
      <c r="Q1090" s="652">
        <f>IF($B1090="",,SUMIFS(PerHeadcount[Month 6],PerHeadcount[exp_item],$H1090,PerHeadcount[company_name],$B1090)*Q250)</f>
        <v>0</v>
      </c>
      <c r="R1090" s="652">
        <f>IF($B1090="",,SUMIFS(PerHeadcount[Month 7],PerHeadcount[exp_item],$H1090,PerHeadcount[company_name],$B1090)*R250)</f>
        <v>0</v>
      </c>
      <c r="S1090" s="652">
        <f>IF($B1090="",,SUMIFS(PerHeadcount[Month 8],PerHeadcount[exp_item],$H1090,PerHeadcount[company_name],$B1090)*S250)</f>
        <v>0</v>
      </c>
      <c r="T1090" s="652">
        <f>IF($B1090="",,SUMIFS(PerHeadcount[Month 9],PerHeadcount[exp_item],$H1090,PerHeadcount[company_name],$B1090)*T250)</f>
        <v>0</v>
      </c>
      <c r="U1090" s="652">
        <f>IF($B1090="",,SUMIFS(PerHeadcount[Month 10],PerHeadcount[exp_item],$H1090,PerHeadcount[company_name],$B1090)*U250)</f>
        <v>0</v>
      </c>
      <c r="V1090" s="652">
        <f>IF($B1090="",,SUMIFS(PerHeadcount[Month 11],PerHeadcount[exp_item],$H1090,PerHeadcount[company_name],$B1090)*V250)</f>
        <v>0</v>
      </c>
      <c r="W1090" s="652">
        <f>IF($B1090="",,SUMIFS(PerHeadcount[Month 12],PerHeadcount[exp_item],$H1090,PerHeadcount[company_name],$B1090)*W250)</f>
        <v>0</v>
      </c>
      <c r="X1090" s="652">
        <f>IF($B1090="",,SUMIFS(PerHeadcount[Month 13],PerHeadcount[exp_item],$H1090,PerHeadcount[company_name],$B1090)*X250)</f>
        <v>0</v>
      </c>
      <c r="Y1090" s="652">
        <f>IF($B1090="",,SUMIFS(PerHeadcount[Month 14],PerHeadcount[exp_item],$H1090,PerHeadcount[company_name],$B1090)*Y250)</f>
        <v>0</v>
      </c>
      <c r="Z1090" s="652">
        <f>IF($B1090="",,SUMIFS(PerHeadcount[Month 15],PerHeadcount[exp_item],$H1090,PerHeadcount[company_name],$B1090)*Z250)</f>
        <v>0</v>
      </c>
      <c r="AA1090" s="652">
        <f>IF($B1090="",,SUMIFS(PerHeadcount[Month 16],PerHeadcount[exp_item],$H1090,PerHeadcount[company_name],$B1090)*AA250)</f>
        <v>0</v>
      </c>
      <c r="AB1090" s="652">
        <f>IF($B1090="",,SUMIFS(PerHeadcount[Month 17],PerHeadcount[exp_item],$H1090,PerHeadcount[company_name],$B1090)*AB250)</f>
        <v>0</v>
      </c>
      <c r="AC1090" s="652">
        <f>IF($B1090="",,SUMIFS(PerHeadcount[Month 18],PerHeadcount[exp_item],$H1090,PerHeadcount[company_name],$B1090)*AC250)</f>
        <v>0</v>
      </c>
      <c r="AD1090" s="652">
        <f>IF($B1090="",,SUMIFS(PerHeadcount[Month 19],PerHeadcount[exp_item],$H1090,PerHeadcount[company_name],$B1090)*AD250)</f>
        <v>0</v>
      </c>
      <c r="AE1090" s="652">
        <f>IF($B1090="",,SUMIFS(PerHeadcount[Month 20],PerHeadcount[exp_item],$H1090,PerHeadcount[company_name],$B1090)*AE250)</f>
        <v>0</v>
      </c>
      <c r="AF1090" s="652">
        <f>IF($B1090="",,SUMIFS(PerHeadcount[Month 21],PerHeadcount[exp_item],$H1090,PerHeadcount[company_name],$B1090)*AF250)</f>
        <v>0</v>
      </c>
      <c r="AG1090" s="652">
        <f>IF($B1090="",,SUMIFS(PerHeadcount[Month 22],PerHeadcount[exp_item],$H1090,PerHeadcount[company_name],$B1090)*AG250)</f>
        <v>0</v>
      </c>
      <c r="AH1090" s="652">
        <f>IF($B1090="",,SUMIFS(PerHeadcount[Month 23],PerHeadcount[exp_item],$H1090,PerHeadcount[company_name],$B1090)*AH250)</f>
        <v>0</v>
      </c>
      <c r="AI1090" s="652">
        <f>IF($B1090="",,SUMIFS(PerHeadcount[Month 24],PerHeadcount[exp_item],$H1090,PerHeadcount[company_name],$B1090)*AI250)</f>
        <v>0</v>
      </c>
      <c r="AJ1090" s="652">
        <f>IF($B1090="",,SUMIFS(PerHeadcount[Month 25],PerHeadcount[exp_item],$H1090,PerHeadcount[company_name],$B1090)*AJ250)</f>
        <v>0</v>
      </c>
      <c r="AK1090" s="652">
        <f>IF($B1090="",,SUMIFS(PerHeadcount[Month 26],PerHeadcount[exp_item],$H1090,PerHeadcount[company_name],$B1090)*AK250)</f>
        <v>0</v>
      </c>
      <c r="AL1090" s="652">
        <f>IF($B1090="",,SUMIFS(PerHeadcount[Month 27],PerHeadcount[exp_item],$H1090,PerHeadcount[company_name],$B1090)*AL250)</f>
        <v>0</v>
      </c>
      <c r="AM1090" s="652">
        <f>IF($B1090="",,SUMIFS(PerHeadcount[Month 28],PerHeadcount[exp_item],$H1090,PerHeadcount[company_name],$B1090)*AM250)</f>
        <v>0</v>
      </c>
      <c r="AN1090" s="652">
        <f>IF($B1090="",,SUMIFS(PerHeadcount[Month 29],PerHeadcount[exp_item],$H1090,PerHeadcount[company_name],$B1090)*AN250)</f>
        <v>0</v>
      </c>
      <c r="AO1090" s="652">
        <f>IF($B1090="",,SUMIFS(PerHeadcount[Month 30],PerHeadcount[exp_item],$H1090,PerHeadcount[company_name],$B1090)*AO250)</f>
        <v>0</v>
      </c>
      <c r="AP1090" s="652">
        <f>IF($B1090="",,SUMIFS(PerHeadcount[Month 31],PerHeadcount[exp_item],$H1090,PerHeadcount[company_name],$B1090)*AP250)</f>
        <v>0</v>
      </c>
      <c r="AQ1090" s="652">
        <f>IF($B1090="",,SUMIFS(PerHeadcount[Month 32],PerHeadcount[exp_item],$H1090,PerHeadcount[company_name],$B1090)*AQ250)</f>
        <v>0</v>
      </c>
      <c r="AR1090" s="652">
        <f>IF($B1090="",,SUMIFS(PerHeadcount[Month 33],PerHeadcount[exp_item],$H1090,PerHeadcount[company_name],$B1090)*AR250)</f>
        <v>0</v>
      </c>
      <c r="AS1090" s="652">
        <f>IF($B1090="",,SUMIFS(PerHeadcount[Month 34],PerHeadcount[exp_item],$H1090,PerHeadcount[company_name],$B1090)*AS250)</f>
        <v>0</v>
      </c>
      <c r="AT1090" s="652">
        <f>IF($B1090="",,SUMIFS(PerHeadcount[Month 35],PerHeadcount[exp_item],$H1090,PerHeadcount[company_name],$B1090)*AT250)</f>
        <v>0</v>
      </c>
      <c r="AU1090" s="652">
        <f>IF($B1090="",,SUMIFS(PerHeadcount[Month 36],PerHeadcount[exp_item],$H1090,PerHeadcount[company_name],$B1090)*AU250)</f>
        <v>0</v>
      </c>
    </row>
    <row r="1091" spans="2:47" x14ac:dyDescent="0.35">
      <c r="B1091" t="str">
        <f t="shared" ref="B1091:B1110" si="732">IF(B986="","",B986)</f>
        <v/>
      </c>
      <c r="C1091" t="str">
        <f t="shared" ref="C1091:G1091" si="733">IF(C986="","",C986)</f>
        <v/>
      </c>
      <c r="D1091" t="str">
        <f t="shared" si="733"/>
        <v/>
      </c>
      <c r="E1091" t="str">
        <f t="shared" si="733"/>
        <v/>
      </c>
      <c r="F1091" t="str">
        <f t="shared" si="733"/>
        <v/>
      </c>
      <c r="G1091" t="str">
        <f t="shared" si="733"/>
        <v/>
      </c>
      <c r="H1091" t="str">
        <f t="shared" si="731"/>
        <v/>
      </c>
      <c r="J1091" t="str">
        <f>IF($H1091="","",IF(VLOOKUP(H1091,ExpItems[],2,0),H1091&amp;" - "&amp;INDEX(DivisionMapping[category_code],MATCH($D1091&amp;$C1091,DivisionMapping[dept_bu],0)),H1091))</f>
        <v/>
      </c>
      <c r="K1091" t="str">
        <f t="shared" ref="K1091:K1126" si="734">K986</f>
        <v/>
      </c>
      <c r="L1091" s="652">
        <f>IF($B1091="",,SUMIFS(PerHeadcount[Month 1],PerHeadcount[exp_item],$H1091,PerHeadcount[company_name],$B1091)*L251)</f>
        <v>0</v>
      </c>
      <c r="M1091" s="652">
        <f>IF($B1091="",,SUMIFS(PerHeadcount[Month 2],PerHeadcount[exp_item],$H1091,PerHeadcount[company_name],$B1091)*M251)</f>
        <v>0</v>
      </c>
      <c r="N1091" s="652">
        <f>IF($B1091="",,SUMIFS(PerHeadcount[Month 3],PerHeadcount[exp_item],$H1091,PerHeadcount[company_name],$B1091)*N251)</f>
        <v>0</v>
      </c>
      <c r="O1091" s="652">
        <f>IF($B1091="",,SUMIFS(PerHeadcount[Month 4],PerHeadcount[exp_item],$H1091,PerHeadcount[company_name],$B1091)*O251)</f>
        <v>0</v>
      </c>
      <c r="P1091" s="652">
        <f>IF($B1091="",,SUMIFS(PerHeadcount[Month 5],PerHeadcount[exp_item],$H1091,PerHeadcount[company_name],$B1091)*P251)</f>
        <v>0</v>
      </c>
      <c r="Q1091" s="652">
        <f>IF($B1091="",,SUMIFS(PerHeadcount[Month 6],PerHeadcount[exp_item],$H1091,PerHeadcount[company_name],$B1091)*Q251)</f>
        <v>0</v>
      </c>
      <c r="R1091" s="652">
        <f>IF($B1091="",,SUMIFS(PerHeadcount[Month 7],PerHeadcount[exp_item],$H1091,PerHeadcount[company_name],$B1091)*R251)</f>
        <v>0</v>
      </c>
      <c r="S1091" s="652">
        <f>IF($B1091="",,SUMIFS(PerHeadcount[Month 8],PerHeadcount[exp_item],$H1091,PerHeadcount[company_name],$B1091)*S251)</f>
        <v>0</v>
      </c>
      <c r="T1091" s="652">
        <f>IF($B1091="",,SUMIFS(PerHeadcount[Month 9],PerHeadcount[exp_item],$H1091,PerHeadcount[company_name],$B1091)*T251)</f>
        <v>0</v>
      </c>
      <c r="U1091" s="652">
        <f>IF($B1091="",,SUMIFS(PerHeadcount[Month 10],PerHeadcount[exp_item],$H1091,PerHeadcount[company_name],$B1091)*U251)</f>
        <v>0</v>
      </c>
      <c r="V1091" s="652">
        <f>IF($B1091="",,SUMIFS(PerHeadcount[Month 11],PerHeadcount[exp_item],$H1091,PerHeadcount[company_name],$B1091)*V251)</f>
        <v>0</v>
      </c>
      <c r="W1091" s="652">
        <f>IF($B1091="",,SUMIFS(PerHeadcount[Month 12],PerHeadcount[exp_item],$H1091,PerHeadcount[company_name],$B1091)*W251)</f>
        <v>0</v>
      </c>
      <c r="X1091" s="652">
        <f>IF($B1091="",,SUMIFS(PerHeadcount[Month 13],PerHeadcount[exp_item],$H1091,PerHeadcount[company_name],$B1091)*X251)</f>
        <v>0</v>
      </c>
      <c r="Y1091" s="652">
        <f>IF($B1091="",,SUMIFS(PerHeadcount[Month 14],PerHeadcount[exp_item],$H1091,PerHeadcount[company_name],$B1091)*Y251)</f>
        <v>0</v>
      </c>
      <c r="Z1091" s="652">
        <f>IF($B1091="",,SUMIFS(PerHeadcount[Month 15],PerHeadcount[exp_item],$H1091,PerHeadcount[company_name],$B1091)*Z251)</f>
        <v>0</v>
      </c>
      <c r="AA1091" s="652">
        <f>IF($B1091="",,SUMIFS(PerHeadcount[Month 16],PerHeadcount[exp_item],$H1091,PerHeadcount[company_name],$B1091)*AA251)</f>
        <v>0</v>
      </c>
      <c r="AB1091" s="652">
        <f>IF($B1091="",,SUMIFS(PerHeadcount[Month 17],PerHeadcount[exp_item],$H1091,PerHeadcount[company_name],$B1091)*AB251)</f>
        <v>0</v>
      </c>
      <c r="AC1091" s="652">
        <f>IF($B1091="",,SUMIFS(PerHeadcount[Month 18],PerHeadcount[exp_item],$H1091,PerHeadcount[company_name],$B1091)*AC251)</f>
        <v>0</v>
      </c>
      <c r="AD1091" s="652">
        <f>IF($B1091="",,SUMIFS(PerHeadcount[Month 19],PerHeadcount[exp_item],$H1091,PerHeadcount[company_name],$B1091)*AD251)</f>
        <v>0</v>
      </c>
      <c r="AE1091" s="652">
        <f>IF($B1091="",,SUMIFS(PerHeadcount[Month 20],PerHeadcount[exp_item],$H1091,PerHeadcount[company_name],$B1091)*AE251)</f>
        <v>0</v>
      </c>
      <c r="AF1091" s="652">
        <f>IF($B1091="",,SUMIFS(PerHeadcount[Month 21],PerHeadcount[exp_item],$H1091,PerHeadcount[company_name],$B1091)*AF251)</f>
        <v>0</v>
      </c>
      <c r="AG1091" s="652">
        <f>IF($B1091="",,SUMIFS(PerHeadcount[Month 22],PerHeadcount[exp_item],$H1091,PerHeadcount[company_name],$B1091)*AG251)</f>
        <v>0</v>
      </c>
      <c r="AH1091" s="652">
        <f>IF($B1091="",,SUMIFS(PerHeadcount[Month 23],PerHeadcount[exp_item],$H1091,PerHeadcount[company_name],$B1091)*AH251)</f>
        <v>0</v>
      </c>
      <c r="AI1091" s="652">
        <f>IF($B1091="",,SUMIFS(PerHeadcount[Month 24],PerHeadcount[exp_item],$H1091,PerHeadcount[company_name],$B1091)*AI251)</f>
        <v>0</v>
      </c>
      <c r="AJ1091" s="652">
        <f>IF($B1091="",,SUMIFS(PerHeadcount[Month 25],PerHeadcount[exp_item],$H1091,PerHeadcount[company_name],$B1091)*AJ251)</f>
        <v>0</v>
      </c>
      <c r="AK1091" s="652">
        <f>IF($B1091="",,SUMIFS(PerHeadcount[Month 26],PerHeadcount[exp_item],$H1091,PerHeadcount[company_name],$B1091)*AK251)</f>
        <v>0</v>
      </c>
      <c r="AL1091" s="652">
        <f>IF($B1091="",,SUMIFS(PerHeadcount[Month 27],PerHeadcount[exp_item],$H1091,PerHeadcount[company_name],$B1091)*AL251)</f>
        <v>0</v>
      </c>
      <c r="AM1091" s="652">
        <f>IF($B1091="",,SUMIFS(PerHeadcount[Month 28],PerHeadcount[exp_item],$H1091,PerHeadcount[company_name],$B1091)*AM251)</f>
        <v>0</v>
      </c>
      <c r="AN1091" s="652">
        <f>IF($B1091="",,SUMIFS(PerHeadcount[Month 29],PerHeadcount[exp_item],$H1091,PerHeadcount[company_name],$B1091)*AN251)</f>
        <v>0</v>
      </c>
      <c r="AO1091" s="652">
        <f>IF($B1091="",,SUMIFS(PerHeadcount[Month 30],PerHeadcount[exp_item],$H1091,PerHeadcount[company_name],$B1091)*AO251)</f>
        <v>0</v>
      </c>
      <c r="AP1091" s="652">
        <f>IF($B1091="",,SUMIFS(PerHeadcount[Month 31],PerHeadcount[exp_item],$H1091,PerHeadcount[company_name],$B1091)*AP251)</f>
        <v>0</v>
      </c>
      <c r="AQ1091" s="652">
        <f>IF($B1091="",,SUMIFS(PerHeadcount[Month 32],PerHeadcount[exp_item],$H1091,PerHeadcount[company_name],$B1091)*AQ251)</f>
        <v>0</v>
      </c>
      <c r="AR1091" s="652">
        <f>IF($B1091="",,SUMIFS(PerHeadcount[Month 33],PerHeadcount[exp_item],$H1091,PerHeadcount[company_name],$B1091)*AR251)</f>
        <v>0</v>
      </c>
      <c r="AS1091" s="652">
        <f>IF($B1091="",,SUMIFS(PerHeadcount[Month 34],PerHeadcount[exp_item],$H1091,PerHeadcount[company_name],$B1091)*AS251)</f>
        <v>0</v>
      </c>
      <c r="AT1091" s="652">
        <f>IF($B1091="",,SUMIFS(PerHeadcount[Month 35],PerHeadcount[exp_item],$H1091,PerHeadcount[company_name],$B1091)*AT251)</f>
        <v>0</v>
      </c>
      <c r="AU1091" s="652">
        <f>IF($B1091="",,SUMIFS(PerHeadcount[Month 36],PerHeadcount[exp_item],$H1091,PerHeadcount[company_name],$B1091)*AU251)</f>
        <v>0</v>
      </c>
    </row>
    <row r="1092" spans="2:47" x14ac:dyDescent="0.35">
      <c r="B1092" t="str">
        <f t="shared" si="732"/>
        <v/>
      </c>
      <c r="C1092" t="str">
        <f t="shared" ref="C1092:G1092" si="735">IF(C987="","",C987)</f>
        <v/>
      </c>
      <c r="D1092" t="str">
        <f t="shared" si="735"/>
        <v/>
      </c>
      <c r="E1092" t="str">
        <f t="shared" si="735"/>
        <v/>
      </c>
      <c r="F1092" t="str">
        <f t="shared" si="735"/>
        <v/>
      </c>
      <c r="G1092" t="str">
        <f t="shared" si="735"/>
        <v/>
      </c>
      <c r="H1092" t="str">
        <f t="shared" si="731"/>
        <v/>
      </c>
      <c r="J1092" t="str">
        <f>IF($H1092="","",IF(VLOOKUP(H1092,ExpItems[],2,0),H1092&amp;" - "&amp;INDEX(DivisionMapping[category_code],MATCH($D1092&amp;$C1092,DivisionMapping[dept_bu],0)),H1092))</f>
        <v/>
      </c>
      <c r="K1092" t="str">
        <f t="shared" si="734"/>
        <v/>
      </c>
      <c r="L1092" s="652">
        <f>IF($B1092="",,SUMIFS(PerHeadcount[Month 1],PerHeadcount[exp_item],$H1092,PerHeadcount[company_name],$B1092)*L252)</f>
        <v>0</v>
      </c>
      <c r="M1092" s="652">
        <f>IF($B1092="",,SUMIFS(PerHeadcount[Month 2],PerHeadcount[exp_item],$H1092,PerHeadcount[company_name],$B1092)*M252)</f>
        <v>0</v>
      </c>
      <c r="N1092" s="652">
        <f>IF($B1092="",,SUMIFS(PerHeadcount[Month 3],PerHeadcount[exp_item],$H1092,PerHeadcount[company_name],$B1092)*N252)</f>
        <v>0</v>
      </c>
      <c r="O1092" s="652">
        <f>IF($B1092="",,SUMIFS(PerHeadcount[Month 4],PerHeadcount[exp_item],$H1092,PerHeadcount[company_name],$B1092)*O252)</f>
        <v>0</v>
      </c>
      <c r="P1092" s="652">
        <f>IF($B1092="",,SUMIFS(PerHeadcount[Month 5],PerHeadcount[exp_item],$H1092,PerHeadcount[company_name],$B1092)*P252)</f>
        <v>0</v>
      </c>
      <c r="Q1092" s="652">
        <f>IF($B1092="",,SUMIFS(PerHeadcount[Month 6],PerHeadcount[exp_item],$H1092,PerHeadcount[company_name],$B1092)*Q252)</f>
        <v>0</v>
      </c>
      <c r="R1092" s="652">
        <f>IF($B1092="",,SUMIFS(PerHeadcount[Month 7],PerHeadcount[exp_item],$H1092,PerHeadcount[company_name],$B1092)*R252)</f>
        <v>0</v>
      </c>
      <c r="S1092" s="652">
        <f>IF($B1092="",,SUMIFS(PerHeadcount[Month 8],PerHeadcount[exp_item],$H1092,PerHeadcount[company_name],$B1092)*S252)</f>
        <v>0</v>
      </c>
      <c r="T1092" s="652">
        <f>IF($B1092="",,SUMIFS(PerHeadcount[Month 9],PerHeadcount[exp_item],$H1092,PerHeadcount[company_name],$B1092)*T252)</f>
        <v>0</v>
      </c>
      <c r="U1092" s="652">
        <f>IF($B1092="",,SUMIFS(PerHeadcount[Month 10],PerHeadcount[exp_item],$H1092,PerHeadcount[company_name],$B1092)*U252)</f>
        <v>0</v>
      </c>
      <c r="V1092" s="652">
        <f>IF($B1092="",,SUMIFS(PerHeadcount[Month 11],PerHeadcount[exp_item],$H1092,PerHeadcount[company_name],$B1092)*V252)</f>
        <v>0</v>
      </c>
      <c r="W1092" s="652">
        <f>IF($B1092="",,SUMIFS(PerHeadcount[Month 12],PerHeadcount[exp_item],$H1092,PerHeadcount[company_name],$B1092)*W252)</f>
        <v>0</v>
      </c>
      <c r="X1092" s="652">
        <f>IF($B1092="",,SUMIFS(PerHeadcount[Month 13],PerHeadcount[exp_item],$H1092,PerHeadcount[company_name],$B1092)*X252)</f>
        <v>0</v>
      </c>
      <c r="Y1092" s="652">
        <f>IF($B1092="",,SUMIFS(PerHeadcount[Month 14],PerHeadcount[exp_item],$H1092,PerHeadcount[company_name],$B1092)*Y252)</f>
        <v>0</v>
      </c>
      <c r="Z1092" s="652">
        <f>IF($B1092="",,SUMIFS(PerHeadcount[Month 15],PerHeadcount[exp_item],$H1092,PerHeadcount[company_name],$B1092)*Z252)</f>
        <v>0</v>
      </c>
      <c r="AA1092" s="652">
        <f>IF($B1092="",,SUMIFS(PerHeadcount[Month 16],PerHeadcount[exp_item],$H1092,PerHeadcount[company_name],$B1092)*AA252)</f>
        <v>0</v>
      </c>
      <c r="AB1092" s="652">
        <f>IF($B1092="",,SUMIFS(PerHeadcount[Month 17],PerHeadcount[exp_item],$H1092,PerHeadcount[company_name],$B1092)*AB252)</f>
        <v>0</v>
      </c>
      <c r="AC1092" s="652">
        <f>IF($B1092="",,SUMIFS(PerHeadcount[Month 18],PerHeadcount[exp_item],$H1092,PerHeadcount[company_name],$B1092)*AC252)</f>
        <v>0</v>
      </c>
      <c r="AD1092" s="652">
        <f>IF($B1092="",,SUMIFS(PerHeadcount[Month 19],PerHeadcount[exp_item],$H1092,PerHeadcount[company_name],$B1092)*AD252)</f>
        <v>0</v>
      </c>
      <c r="AE1092" s="652">
        <f>IF($B1092="",,SUMIFS(PerHeadcount[Month 20],PerHeadcount[exp_item],$H1092,PerHeadcount[company_name],$B1092)*AE252)</f>
        <v>0</v>
      </c>
      <c r="AF1092" s="652">
        <f>IF($B1092="",,SUMIFS(PerHeadcount[Month 21],PerHeadcount[exp_item],$H1092,PerHeadcount[company_name],$B1092)*AF252)</f>
        <v>0</v>
      </c>
      <c r="AG1092" s="652">
        <f>IF($B1092="",,SUMIFS(PerHeadcount[Month 22],PerHeadcount[exp_item],$H1092,PerHeadcount[company_name],$B1092)*AG252)</f>
        <v>0</v>
      </c>
      <c r="AH1092" s="652">
        <f>IF($B1092="",,SUMIFS(PerHeadcount[Month 23],PerHeadcount[exp_item],$H1092,PerHeadcount[company_name],$B1092)*AH252)</f>
        <v>0</v>
      </c>
      <c r="AI1092" s="652">
        <f>IF($B1092="",,SUMIFS(PerHeadcount[Month 24],PerHeadcount[exp_item],$H1092,PerHeadcount[company_name],$B1092)*AI252)</f>
        <v>0</v>
      </c>
      <c r="AJ1092" s="652">
        <f>IF($B1092="",,SUMIFS(PerHeadcount[Month 25],PerHeadcount[exp_item],$H1092,PerHeadcount[company_name],$B1092)*AJ252)</f>
        <v>0</v>
      </c>
      <c r="AK1092" s="652">
        <f>IF($B1092="",,SUMIFS(PerHeadcount[Month 26],PerHeadcount[exp_item],$H1092,PerHeadcount[company_name],$B1092)*AK252)</f>
        <v>0</v>
      </c>
      <c r="AL1092" s="652">
        <f>IF($B1092="",,SUMIFS(PerHeadcount[Month 27],PerHeadcount[exp_item],$H1092,PerHeadcount[company_name],$B1092)*AL252)</f>
        <v>0</v>
      </c>
      <c r="AM1092" s="652">
        <f>IF($B1092="",,SUMIFS(PerHeadcount[Month 28],PerHeadcount[exp_item],$H1092,PerHeadcount[company_name],$B1092)*AM252)</f>
        <v>0</v>
      </c>
      <c r="AN1092" s="652">
        <f>IF($B1092="",,SUMIFS(PerHeadcount[Month 29],PerHeadcount[exp_item],$H1092,PerHeadcount[company_name],$B1092)*AN252)</f>
        <v>0</v>
      </c>
      <c r="AO1092" s="652">
        <f>IF($B1092="",,SUMIFS(PerHeadcount[Month 30],PerHeadcount[exp_item],$H1092,PerHeadcount[company_name],$B1092)*AO252)</f>
        <v>0</v>
      </c>
      <c r="AP1092" s="652">
        <f>IF($B1092="",,SUMIFS(PerHeadcount[Month 31],PerHeadcount[exp_item],$H1092,PerHeadcount[company_name],$B1092)*AP252)</f>
        <v>0</v>
      </c>
      <c r="AQ1092" s="652">
        <f>IF($B1092="",,SUMIFS(PerHeadcount[Month 32],PerHeadcount[exp_item],$H1092,PerHeadcount[company_name],$B1092)*AQ252)</f>
        <v>0</v>
      </c>
      <c r="AR1092" s="652">
        <f>IF($B1092="",,SUMIFS(PerHeadcount[Month 33],PerHeadcount[exp_item],$H1092,PerHeadcount[company_name],$B1092)*AR252)</f>
        <v>0</v>
      </c>
      <c r="AS1092" s="652">
        <f>IF($B1092="",,SUMIFS(PerHeadcount[Month 34],PerHeadcount[exp_item],$H1092,PerHeadcount[company_name],$B1092)*AS252)</f>
        <v>0</v>
      </c>
      <c r="AT1092" s="652">
        <f>IF($B1092="",,SUMIFS(PerHeadcount[Month 35],PerHeadcount[exp_item],$H1092,PerHeadcount[company_name],$B1092)*AT252)</f>
        <v>0</v>
      </c>
      <c r="AU1092" s="652">
        <f>IF($B1092="",,SUMIFS(PerHeadcount[Month 36],PerHeadcount[exp_item],$H1092,PerHeadcount[company_name],$B1092)*AU252)</f>
        <v>0</v>
      </c>
    </row>
    <row r="1093" spans="2:47" x14ac:dyDescent="0.35">
      <c r="B1093" t="str">
        <f t="shared" si="732"/>
        <v/>
      </c>
      <c r="C1093" t="str">
        <f t="shared" ref="C1093:G1093" si="736">IF(C988="","",C988)</f>
        <v/>
      </c>
      <c r="D1093" t="str">
        <f t="shared" si="736"/>
        <v/>
      </c>
      <c r="E1093" t="str">
        <f t="shared" si="736"/>
        <v/>
      </c>
      <c r="F1093" t="str">
        <f t="shared" si="736"/>
        <v/>
      </c>
      <c r="G1093" t="str">
        <f t="shared" si="736"/>
        <v/>
      </c>
      <c r="H1093" t="str">
        <f t="shared" si="731"/>
        <v/>
      </c>
      <c r="J1093" t="str">
        <f>IF($H1093="","",IF(VLOOKUP(H1093,ExpItems[],2,0),H1093&amp;" - "&amp;INDEX(DivisionMapping[category_code],MATCH($D1093&amp;$C1093,DivisionMapping[dept_bu],0)),H1093))</f>
        <v/>
      </c>
      <c r="K1093" t="str">
        <f t="shared" si="734"/>
        <v/>
      </c>
      <c r="L1093" s="652">
        <f>IF($B1093="",,SUMIFS(PerHeadcount[Month 1],PerHeadcount[exp_item],$H1093,PerHeadcount[company_name],$B1093)*L253)</f>
        <v>0</v>
      </c>
      <c r="M1093" s="652">
        <f>IF($B1093="",,SUMIFS(PerHeadcount[Month 2],PerHeadcount[exp_item],$H1093,PerHeadcount[company_name],$B1093)*M253)</f>
        <v>0</v>
      </c>
      <c r="N1093" s="652">
        <f>IF($B1093="",,SUMIFS(PerHeadcount[Month 3],PerHeadcount[exp_item],$H1093,PerHeadcount[company_name],$B1093)*N253)</f>
        <v>0</v>
      </c>
      <c r="O1093" s="652">
        <f>IF($B1093="",,SUMIFS(PerHeadcount[Month 4],PerHeadcount[exp_item],$H1093,PerHeadcount[company_name],$B1093)*O253)</f>
        <v>0</v>
      </c>
      <c r="P1093" s="652">
        <f>IF($B1093="",,SUMIFS(PerHeadcount[Month 5],PerHeadcount[exp_item],$H1093,PerHeadcount[company_name],$B1093)*P253)</f>
        <v>0</v>
      </c>
      <c r="Q1093" s="652">
        <f>IF($B1093="",,SUMIFS(PerHeadcount[Month 6],PerHeadcount[exp_item],$H1093,PerHeadcount[company_name],$B1093)*Q253)</f>
        <v>0</v>
      </c>
      <c r="R1093" s="652">
        <f>IF($B1093="",,SUMIFS(PerHeadcount[Month 7],PerHeadcount[exp_item],$H1093,PerHeadcount[company_name],$B1093)*R253)</f>
        <v>0</v>
      </c>
      <c r="S1093" s="652">
        <f>IF($B1093="",,SUMIFS(PerHeadcount[Month 8],PerHeadcount[exp_item],$H1093,PerHeadcount[company_name],$B1093)*S253)</f>
        <v>0</v>
      </c>
      <c r="T1093" s="652">
        <f>IF($B1093="",,SUMIFS(PerHeadcount[Month 9],PerHeadcount[exp_item],$H1093,PerHeadcount[company_name],$B1093)*T253)</f>
        <v>0</v>
      </c>
      <c r="U1093" s="652">
        <f>IF($B1093="",,SUMIFS(PerHeadcount[Month 10],PerHeadcount[exp_item],$H1093,PerHeadcount[company_name],$B1093)*U253)</f>
        <v>0</v>
      </c>
      <c r="V1093" s="652">
        <f>IF($B1093="",,SUMIFS(PerHeadcount[Month 11],PerHeadcount[exp_item],$H1093,PerHeadcount[company_name],$B1093)*V253)</f>
        <v>0</v>
      </c>
      <c r="W1093" s="652">
        <f>IF($B1093="",,SUMIFS(PerHeadcount[Month 12],PerHeadcount[exp_item],$H1093,PerHeadcount[company_name],$B1093)*W253)</f>
        <v>0</v>
      </c>
      <c r="X1093" s="652">
        <f>IF($B1093="",,SUMIFS(PerHeadcount[Month 13],PerHeadcount[exp_item],$H1093,PerHeadcount[company_name],$B1093)*X253)</f>
        <v>0</v>
      </c>
      <c r="Y1093" s="652">
        <f>IF($B1093="",,SUMIFS(PerHeadcount[Month 14],PerHeadcount[exp_item],$H1093,PerHeadcount[company_name],$B1093)*Y253)</f>
        <v>0</v>
      </c>
      <c r="Z1093" s="652">
        <f>IF($B1093="",,SUMIFS(PerHeadcount[Month 15],PerHeadcount[exp_item],$H1093,PerHeadcount[company_name],$B1093)*Z253)</f>
        <v>0</v>
      </c>
      <c r="AA1093" s="652">
        <f>IF($B1093="",,SUMIFS(PerHeadcount[Month 16],PerHeadcount[exp_item],$H1093,PerHeadcount[company_name],$B1093)*AA253)</f>
        <v>0</v>
      </c>
      <c r="AB1093" s="652">
        <f>IF($B1093="",,SUMIFS(PerHeadcount[Month 17],PerHeadcount[exp_item],$H1093,PerHeadcount[company_name],$B1093)*AB253)</f>
        <v>0</v>
      </c>
      <c r="AC1093" s="652">
        <f>IF($B1093="",,SUMIFS(PerHeadcount[Month 18],PerHeadcount[exp_item],$H1093,PerHeadcount[company_name],$B1093)*AC253)</f>
        <v>0</v>
      </c>
      <c r="AD1093" s="652">
        <f>IF($B1093="",,SUMIFS(PerHeadcount[Month 19],PerHeadcount[exp_item],$H1093,PerHeadcount[company_name],$B1093)*AD253)</f>
        <v>0</v>
      </c>
      <c r="AE1093" s="652">
        <f>IF($B1093="",,SUMIFS(PerHeadcount[Month 20],PerHeadcount[exp_item],$H1093,PerHeadcount[company_name],$B1093)*AE253)</f>
        <v>0</v>
      </c>
      <c r="AF1093" s="652">
        <f>IF($B1093="",,SUMIFS(PerHeadcount[Month 21],PerHeadcount[exp_item],$H1093,PerHeadcount[company_name],$B1093)*AF253)</f>
        <v>0</v>
      </c>
      <c r="AG1093" s="652">
        <f>IF($B1093="",,SUMIFS(PerHeadcount[Month 22],PerHeadcount[exp_item],$H1093,PerHeadcount[company_name],$B1093)*AG253)</f>
        <v>0</v>
      </c>
      <c r="AH1093" s="652">
        <f>IF($B1093="",,SUMIFS(PerHeadcount[Month 23],PerHeadcount[exp_item],$H1093,PerHeadcount[company_name],$B1093)*AH253)</f>
        <v>0</v>
      </c>
      <c r="AI1093" s="652">
        <f>IF($B1093="",,SUMIFS(PerHeadcount[Month 24],PerHeadcount[exp_item],$H1093,PerHeadcount[company_name],$B1093)*AI253)</f>
        <v>0</v>
      </c>
      <c r="AJ1093" s="652">
        <f>IF($B1093="",,SUMIFS(PerHeadcount[Month 25],PerHeadcount[exp_item],$H1093,PerHeadcount[company_name],$B1093)*AJ253)</f>
        <v>0</v>
      </c>
      <c r="AK1093" s="652">
        <f>IF($B1093="",,SUMIFS(PerHeadcount[Month 26],PerHeadcount[exp_item],$H1093,PerHeadcount[company_name],$B1093)*AK253)</f>
        <v>0</v>
      </c>
      <c r="AL1093" s="652">
        <f>IF($B1093="",,SUMIFS(PerHeadcount[Month 27],PerHeadcount[exp_item],$H1093,PerHeadcount[company_name],$B1093)*AL253)</f>
        <v>0</v>
      </c>
      <c r="AM1093" s="652">
        <f>IF($B1093="",,SUMIFS(PerHeadcount[Month 28],PerHeadcount[exp_item],$H1093,PerHeadcount[company_name],$B1093)*AM253)</f>
        <v>0</v>
      </c>
      <c r="AN1093" s="652">
        <f>IF($B1093="",,SUMIFS(PerHeadcount[Month 29],PerHeadcount[exp_item],$H1093,PerHeadcount[company_name],$B1093)*AN253)</f>
        <v>0</v>
      </c>
      <c r="AO1093" s="652">
        <f>IF($B1093="",,SUMIFS(PerHeadcount[Month 30],PerHeadcount[exp_item],$H1093,PerHeadcount[company_name],$B1093)*AO253)</f>
        <v>0</v>
      </c>
      <c r="AP1093" s="652">
        <f>IF($B1093="",,SUMIFS(PerHeadcount[Month 31],PerHeadcount[exp_item],$H1093,PerHeadcount[company_name],$B1093)*AP253)</f>
        <v>0</v>
      </c>
      <c r="AQ1093" s="652">
        <f>IF($B1093="",,SUMIFS(PerHeadcount[Month 32],PerHeadcount[exp_item],$H1093,PerHeadcount[company_name],$B1093)*AQ253)</f>
        <v>0</v>
      </c>
      <c r="AR1093" s="652">
        <f>IF($B1093="",,SUMIFS(PerHeadcount[Month 33],PerHeadcount[exp_item],$H1093,PerHeadcount[company_name],$B1093)*AR253)</f>
        <v>0</v>
      </c>
      <c r="AS1093" s="652">
        <f>IF($B1093="",,SUMIFS(PerHeadcount[Month 34],PerHeadcount[exp_item],$H1093,PerHeadcount[company_name],$B1093)*AS253)</f>
        <v>0</v>
      </c>
      <c r="AT1093" s="652">
        <f>IF($B1093="",,SUMIFS(PerHeadcount[Month 35],PerHeadcount[exp_item],$H1093,PerHeadcount[company_name],$B1093)*AT253)</f>
        <v>0</v>
      </c>
      <c r="AU1093" s="652">
        <f>IF($B1093="",,SUMIFS(PerHeadcount[Month 36],PerHeadcount[exp_item],$H1093,PerHeadcount[company_name],$B1093)*AU253)</f>
        <v>0</v>
      </c>
    </row>
    <row r="1094" spans="2:47" x14ac:dyDescent="0.35">
      <c r="B1094" t="str">
        <f t="shared" si="732"/>
        <v/>
      </c>
      <c r="C1094" t="str">
        <f t="shared" ref="C1094:G1094" si="737">IF(C989="","",C989)</f>
        <v/>
      </c>
      <c r="D1094" t="str">
        <f t="shared" si="737"/>
        <v/>
      </c>
      <c r="E1094" t="str">
        <f t="shared" si="737"/>
        <v/>
      </c>
      <c r="F1094" t="str">
        <f t="shared" si="737"/>
        <v/>
      </c>
      <c r="G1094" t="str">
        <f t="shared" si="737"/>
        <v/>
      </c>
      <c r="H1094" t="str">
        <f t="shared" si="731"/>
        <v/>
      </c>
      <c r="J1094" t="str">
        <f>IF($H1094="","",IF(VLOOKUP(H1094,ExpItems[],2,0),H1094&amp;" - "&amp;INDEX(DivisionMapping[category_code],MATCH($D1094&amp;$C1094,DivisionMapping[dept_bu],0)),H1094))</f>
        <v/>
      </c>
      <c r="K1094" t="str">
        <f t="shared" si="734"/>
        <v/>
      </c>
      <c r="L1094" s="652">
        <f>IF($B1094="",,SUMIFS(PerHeadcount[Month 1],PerHeadcount[exp_item],$H1094,PerHeadcount[company_name],$B1094)*L254)</f>
        <v>0</v>
      </c>
      <c r="M1094" s="652">
        <f>IF($B1094="",,SUMIFS(PerHeadcount[Month 2],PerHeadcount[exp_item],$H1094,PerHeadcount[company_name],$B1094)*M254)</f>
        <v>0</v>
      </c>
      <c r="N1094" s="652">
        <f>IF($B1094="",,SUMIFS(PerHeadcount[Month 3],PerHeadcount[exp_item],$H1094,PerHeadcount[company_name],$B1094)*N254)</f>
        <v>0</v>
      </c>
      <c r="O1094" s="652">
        <f>IF($B1094="",,SUMIFS(PerHeadcount[Month 4],PerHeadcount[exp_item],$H1094,PerHeadcount[company_name],$B1094)*O254)</f>
        <v>0</v>
      </c>
      <c r="P1094" s="652">
        <f>IF($B1094="",,SUMIFS(PerHeadcount[Month 5],PerHeadcount[exp_item],$H1094,PerHeadcount[company_name],$B1094)*P254)</f>
        <v>0</v>
      </c>
      <c r="Q1094" s="652">
        <f>IF($B1094="",,SUMIFS(PerHeadcount[Month 6],PerHeadcount[exp_item],$H1094,PerHeadcount[company_name],$B1094)*Q254)</f>
        <v>0</v>
      </c>
      <c r="R1094" s="652">
        <f>IF($B1094="",,SUMIFS(PerHeadcount[Month 7],PerHeadcount[exp_item],$H1094,PerHeadcount[company_name],$B1094)*R254)</f>
        <v>0</v>
      </c>
      <c r="S1094" s="652">
        <f>IF($B1094="",,SUMIFS(PerHeadcount[Month 8],PerHeadcount[exp_item],$H1094,PerHeadcount[company_name],$B1094)*S254)</f>
        <v>0</v>
      </c>
      <c r="T1094" s="652">
        <f>IF($B1094="",,SUMIFS(PerHeadcount[Month 9],PerHeadcount[exp_item],$H1094,PerHeadcount[company_name],$B1094)*T254)</f>
        <v>0</v>
      </c>
      <c r="U1094" s="652">
        <f>IF($B1094="",,SUMIFS(PerHeadcount[Month 10],PerHeadcount[exp_item],$H1094,PerHeadcount[company_name],$B1094)*U254)</f>
        <v>0</v>
      </c>
      <c r="V1094" s="652">
        <f>IF($B1094="",,SUMIFS(PerHeadcount[Month 11],PerHeadcount[exp_item],$H1094,PerHeadcount[company_name],$B1094)*V254)</f>
        <v>0</v>
      </c>
      <c r="W1094" s="652">
        <f>IF($B1094="",,SUMIFS(PerHeadcount[Month 12],PerHeadcount[exp_item],$H1094,PerHeadcount[company_name],$B1094)*W254)</f>
        <v>0</v>
      </c>
      <c r="X1094" s="652">
        <f>IF($B1094="",,SUMIFS(PerHeadcount[Month 13],PerHeadcount[exp_item],$H1094,PerHeadcount[company_name],$B1094)*X254)</f>
        <v>0</v>
      </c>
      <c r="Y1094" s="652">
        <f>IF($B1094="",,SUMIFS(PerHeadcount[Month 14],PerHeadcount[exp_item],$H1094,PerHeadcount[company_name],$B1094)*Y254)</f>
        <v>0</v>
      </c>
      <c r="Z1094" s="652">
        <f>IF($B1094="",,SUMIFS(PerHeadcount[Month 15],PerHeadcount[exp_item],$H1094,PerHeadcount[company_name],$B1094)*Z254)</f>
        <v>0</v>
      </c>
      <c r="AA1094" s="652">
        <f>IF($B1094="",,SUMIFS(PerHeadcount[Month 16],PerHeadcount[exp_item],$H1094,PerHeadcount[company_name],$B1094)*AA254)</f>
        <v>0</v>
      </c>
      <c r="AB1094" s="652">
        <f>IF($B1094="",,SUMIFS(PerHeadcount[Month 17],PerHeadcount[exp_item],$H1094,PerHeadcount[company_name],$B1094)*AB254)</f>
        <v>0</v>
      </c>
      <c r="AC1094" s="652">
        <f>IF($B1094="",,SUMIFS(PerHeadcount[Month 18],PerHeadcount[exp_item],$H1094,PerHeadcount[company_name],$B1094)*AC254)</f>
        <v>0</v>
      </c>
      <c r="AD1094" s="652">
        <f>IF($B1094="",,SUMIFS(PerHeadcount[Month 19],PerHeadcount[exp_item],$H1094,PerHeadcount[company_name],$B1094)*AD254)</f>
        <v>0</v>
      </c>
      <c r="AE1094" s="652">
        <f>IF($B1094="",,SUMIFS(PerHeadcount[Month 20],PerHeadcount[exp_item],$H1094,PerHeadcount[company_name],$B1094)*AE254)</f>
        <v>0</v>
      </c>
      <c r="AF1094" s="652">
        <f>IF($B1094="",,SUMIFS(PerHeadcount[Month 21],PerHeadcount[exp_item],$H1094,PerHeadcount[company_name],$B1094)*AF254)</f>
        <v>0</v>
      </c>
      <c r="AG1094" s="652">
        <f>IF($B1094="",,SUMIFS(PerHeadcount[Month 22],PerHeadcount[exp_item],$H1094,PerHeadcount[company_name],$B1094)*AG254)</f>
        <v>0</v>
      </c>
      <c r="AH1094" s="652">
        <f>IF($B1094="",,SUMIFS(PerHeadcount[Month 23],PerHeadcount[exp_item],$H1094,PerHeadcount[company_name],$B1094)*AH254)</f>
        <v>0</v>
      </c>
      <c r="AI1094" s="652">
        <f>IF($B1094="",,SUMIFS(PerHeadcount[Month 24],PerHeadcount[exp_item],$H1094,PerHeadcount[company_name],$B1094)*AI254)</f>
        <v>0</v>
      </c>
      <c r="AJ1094" s="652">
        <f>IF($B1094="",,SUMIFS(PerHeadcount[Month 25],PerHeadcount[exp_item],$H1094,PerHeadcount[company_name],$B1094)*AJ254)</f>
        <v>0</v>
      </c>
      <c r="AK1094" s="652">
        <f>IF($B1094="",,SUMIFS(PerHeadcount[Month 26],PerHeadcount[exp_item],$H1094,PerHeadcount[company_name],$B1094)*AK254)</f>
        <v>0</v>
      </c>
      <c r="AL1094" s="652">
        <f>IF($B1094="",,SUMIFS(PerHeadcount[Month 27],PerHeadcount[exp_item],$H1094,PerHeadcount[company_name],$B1094)*AL254)</f>
        <v>0</v>
      </c>
      <c r="AM1094" s="652">
        <f>IF($B1094="",,SUMIFS(PerHeadcount[Month 28],PerHeadcount[exp_item],$H1094,PerHeadcount[company_name],$B1094)*AM254)</f>
        <v>0</v>
      </c>
      <c r="AN1094" s="652">
        <f>IF($B1094="",,SUMIFS(PerHeadcount[Month 29],PerHeadcount[exp_item],$H1094,PerHeadcount[company_name],$B1094)*AN254)</f>
        <v>0</v>
      </c>
      <c r="AO1094" s="652">
        <f>IF($B1094="",,SUMIFS(PerHeadcount[Month 30],PerHeadcount[exp_item],$H1094,PerHeadcount[company_name],$B1094)*AO254)</f>
        <v>0</v>
      </c>
      <c r="AP1094" s="652">
        <f>IF($B1094="",,SUMIFS(PerHeadcount[Month 31],PerHeadcount[exp_item],$H1094,PerHeadcount[company_name],$B1094)*AP254)</f>
        <v>0</v>
      </c>
      <c r="AQ1094" s="652">
        <f>IF($B1094="",,SUMIFS(PerHeadcount[Month 32],PerHeadcount[exp_item],$H1094,PerHeadcount[company_name],$B1094)*AQ254)</f>
        <v>0</v>
      </c>
      <c r="AR1094" s="652">
        <f>IF($B1094="",,SUMIFS(PerHeadcount[Month 33],PerHeadcount[exp_item],$H1094,PerHeadcount[company_name],$B1094)*AR254)</f>
        <v>0</v>
      </c>
      <c r="AS1094" s="652">
        <f>IF($B1094="",,SUMIFS(PerHeadcount[Month 34],PerHeadcount[exp_item],$H1094,PerHeadcount[company_name],$B1094)*AS254)</f>
        <v>0</v>
      </c>
      <c r="AT1094" s="652">
        <f>IF($B1094="",,SUMIFS(PerHeadcount[Month 35],PerHeadcount[exp_item],$H1094,PerHeadcount[company_name],$B1094)*AT254)</f>
        <v>0</v>
      </c>
      <c r="AU1094" s="652">
        <f>IF($B1094="",,SUMIFS(PerHeadcount[Month 36],PerHeadcount[exp_item],$H1094,PerHeadcount[company_name],$B1094)*AU254)</f>
        <v>0</v>
      </c>
    </row>
    <row r="1095" spans="2:47" x14ac:dyDescent="0.35">
      <c r="B1095" t="str">
        <f t="shared" si="732"/>
        <v/>
      </c>
      <c r="C1095" t="str">
        <f t="shared" ref="C1095:G1095" si="738">IF(C990="","",C990)</f>
        <v/>
      </c>
      <c r="D1095" t="str">
        <f t="shared" si="738"/>
        <v/>
      </c>
      <c r="E1095" t="str">
        <f t="shared" si="738"/>
        <v/>
      </c>
      <c r="F1095" t="str">
        <f t="shared" si="738"/>
        <v/>
      </c>
      <c r="G1095" t="str">
        <f t="shared" si="738"/>
        <v/>
      </c>
      <c r="H1095" t="str">
        <f t="shared" si="731"/>
        <v/>
      </c>
      <c r="J1095" t="str">
        <f>IF($H1095="","",IF(VLOOKUP(H1095,ExpItems[],2,0),H1095&amp;" - "&amp;INDEX(DivisionMapping[category_code],MATCH($D1095&amp;$C1095,DivisionMapping[dept_bu],0)),H1095))</f>
        <v/>
      </c>
      <c r="K1095" t="str">
        <f t="shared" si="734"/>
        <v/>
      </c>
      <c r="L1095" s="652">
        <f>IF($B1095="",,SUMIFS(PerHeadcount[Month 1],PerHeadcount[exp_item],$H1095,PerHeadcount[company_name],$B1095)*L255)</f>
        <v>0</v>
      </c>
      <c r="M1095" s="652">
        <f>IF($B1095="",,SUMIFS(PerHeadcount[Month 2],PerHeadcount[exp_item],$H1095,PerHeadcount[company_name],$B1095)*M255)</f>
        <v>0</v>
      </c>
      <c r="N1095" s="652">
        <f>IF($B1095="",,SUMIFS(PerHeadcount[Month 3],PerHeadcount[exp_item],$H1095,PerHeadcount[company_name],$B1095)*N255)</f>
        <v>0</v>
      </c>
      <c r="O1095" s="652">
        <f>IF($B1095="",,SUMIFS(PerHeadcount[Month 4],PerHeadcount[exp_item],$H1095,PerHeadcount[company_name],$B1095)*O255)</f>
        <v>0</v>
      </c>
      <c r="P1095" s="652">
        <f>IF($B1095="",,SUMIFS(PerHeadcount[Month 5],PerHeadcount[exp_item],$H1095,PerHeadcount[company_name],$B1095)*P255)</f>
        <v>0</v>
      </c>
      <c r="Q1095" s="652">
        <f>IF($B1095="",,SUMIFS(PerHeadcount[Month 6],PerHeadcount[exp_item],$H1095,PerHeadcount[company_name],$B1095)*Q255)</f>
        <v>0</v>
      </c>
      <c r="R1095" s="652">
        <f>IF($B1095="",,SUMIFS(PerHeadcount[Month 7],PerHeadcount[exp_item],$H1095,PerHeadcount[company_name],$B1095)*R255)</f>
        <v>0</v>
      </c>
      <c r="S1095" s="652">
        <f>IF($B1095="",,SUMIFS(PerHeadcount[Month 8],PerHeadcount[exp_item],$H1095,PerHeadcount[company_name],$B1095)*S255)</f>
        <v>0</v>
      </c>
      <c r="T1095" s="652">
        <f>IF($B1095="",,SUMIFS(PerHeadcount[Month 9],PerHeadcount[exp_item],$H1095,PerHeadcount[company_name],$B1095)*T255)</f>
        <v>0</v>
      </c>
      <c r="U1095" s="652">
        <f>IF($B1095="",,SUMIFS(PerHeadcount[Month 10],PerHeadcount[exp_item],$H1095,PerHeadcount[company_name],$B1095)*U255)</f>
        <v>0</v>
      </c>
      <c r="V1095" s="652">
        <f>IF($B1095="",,SUMIFS(PerHeadcount[Month 11],PerHeadcount[exp_item],$H1095,PerHeadcount[company_name],$B1095)*V255)</f>
        <v>0</v>
      </c>
      <c r="W1095" s="652">
        <f>IF($B1095="",,SUMIFS(PerHeadcount[Month 12],PerHeadcount[exp_item],$H1095,PerHeadcount[company_name],$B1095)*W255)</f>
        <v>0</v>
      </c>
      <c r="X1095" s="652">
        <f>IF($B1095="",,SUMIFS(PerHeadcount[Month 13],PerHeadcount[exp_item],$H1095,PerHeadcount[company_name],$B1095)*X255)</f>
        <v>0</v>
      </c>
      <c r="Y1095" s="652">
        <f>IF($B1095="",,SUMIFS(PerHeadcount[Month 14],PerHeadcount[exp_item],$H1095,PerHeadcount[company_name],$B1095)*Y255)</f>
        <v>0</v>
      </c>
      <c r="Z1095" s="652">
        <f>IF($B1095="",,SUMIFS(PerHeadcount[Month 15],PerHeadcount[exp_item],$H1095,PerHeadcount[company_name],$B1095)*Z255)</f>
        <v>0</v>
      </c>
      <c r="AA1095" s="652">
        <f>IF($B1095="",,SUMIFS(PerHeadcount[Month 16],PerHeadcount[exp_item],$H1095,PerHeadcount[company_name],$B1095)*AA255)</f>
        <v>0</v>
      </c>
      <c r="AB1095" s="652">
        <f>IF($B1095="",,SUMIFS(PerHeadcount[Month 17],PerHeadcount[exp_item],$H1095,PerHeadcount[company_name],$B1095)*AB255)</f>
        <v>0</v>
      </c>
      <c r="AC1095" s="652">
        <f>IF($B1095="",,SUMIFS(PerHeadcount[Month 18],PerHeadcount[exp_item],$H1095,PerHeadcount[company_name],$B1095)*AC255)</f>
        <v>0</v>
      </c>
      <c r="AD1095" s="652">
        <f>IF($B1095="",,SUMIFS(PerHeadcount[Month 19],PerHeadcount[exp_item],$H1095,PerHeadcount[company_name],$B1095)*AD255)</f>
        <v>0</v>
      </c>
      <c r="AE1095" s="652">
        <f>IF($B1095="",,SUMIFS(PerHeadcount[Month 20],PerHeadcount[exp_item],$H1095,PerHeadcount[company_name],$B1095)*AE255)</f>
        <v>0</v>
      </c>
      <c r="AF1095" s="652">
        <f>IF($B1095="",,SUMIFS(PerHeadcount[Month 21],PerHeadcount[exp_item],$H1095,PerHeadcount[company_name],$B1095)*AF255)</f>
        <v>0</v>
      </c>
      <c r="AG1095" s="652">
        <f>IF($B1095="",,SUMIFS(PerHeadcount[Month 22],PerHeadcount[exp_item],$H1095,PerHeadcount[company_name],$B1095)*AG255)</f>
        <v>0</v>
      </c>
      <c r="AH1095" s="652">
        <f>IF($B1095="",,SUMIFS(PerHeadcount[Month 23],PerHeadcount[exp_item],$H1095,PerHeadcount[company_name],$B1095)*AH255)</f>
        <v>0</v>
      </c>
      <c r="AI1095" s="652">
        <f>IF($B1095="",,SUMIFS(PerHeadcount[Month 24],PerHeadcount[exp_item],$H1095,PerHeadcount[company_name],$B1095)*AI255)</f>
        <v>0</v>
      </c>
      <c r="AJ1095" s="652">
        <f>IF($B1095="",,SUMIFS(PerHeadcount[Month 25],PerHeadcount[exp_item],$H1095,PerHeadcount[company_name],$B1095)*AJ255)</f>
        <v>0</v>
      </c>
      <c r="AK1095" s="652">
        <f>IF($B1095="",,SUMIFS(PerHeadcount[Month 26],PerHeadcount[exp_item],$H1095,PerHeadcount[company_name],$B1095)*AK255)</f>
        <v>0</v>
      </c>
      <c r="AL1095" s="652">
        <f>IF($B1095="",,SUMIFS(PerHeadcount[Month 27],PerHeadcount[exp_item],$H1095,PerHeadcount[company_name],$B1095)*AL255)</f>
        <v>0</v>
      </c>
      <c r="AM1095" s="652">
        <f>IF($B1095="",,SUMIFS(PerHeadcount[Month 28],PerHeadcount[exp_item],$H1095,PerHeadcount[company_name],$B1095)*AM255)</f>
        <v>0</v>
      </c>
      <c r="AN1095" s="652">
        <f>IF($B1095="",,SUMIFS(PerHeadcount[Month 29],PerHeadcount[exp_item],$H1095,PerHeadcount[company_name],$B1095)*AN255)</f>
        <v>0</v>
      </c>
      <c r="AO1095" s="652">
        <f>IF($B1095="",,SUMIFS(PerHeadcount[Month 30],PerHeadcount[exp_item],$H1095,PerHeadcount[company_name],$B1095)*AO255)</f>
        <v>0</v>
      </c>
      <c r="AP1095" s="652">
        <f>IF($B1095="",,SUMIFS(PerHeadcount[Month 31],PerHeadcount[exp_item],$H1095,PerHeadcount[company_name],$B1095)*AP255)</f>
        <v>0</v>
      </c>
      <c r="AQ1095" s="652">
        <f>IF($B1095="",,SUMIFS(PerHeadcount[Month 32],PerHeadcount[exp_item],$H1095,PerHeadcount[company_name],$B1095)*AQ255)</f>
        <v>0</v>
      </c>
      <c r="AR1095" s="652">
        <f>IF($B1095="",,SUMIFS(PerHeadcount[Month 33],PerHeadcount[exp_item],$H1095,PerHeadcount[company_name],$B1095)*AR255)</f>
        <v>0</v>
      </c>
      <c r="AS1095" s="652">
        <f>IF($B1095="",,SUMIFS(PerHeadcount[Month 34],PerHeadcount[exp_item],$H1095,PerHeadcount[company_name],$B1095)*AS255)</f>
        <v>0</v>
      </c>
      <c r="AT1095" s="652">
        <f>IF($B1095="",,SUMIFS(PerHeadcount[Month 35],PerHeadcount[exp_item],$H1095,PerHeadcount[company_name],$B1095)*AT255)</f>
        <v>0</v>
      </c>
      <c r="AU1095" s="652">
        <f>IF($B1095="",,SUMIFS(PerHeadcount[Month 36],PerHeadcount[exp_item],$H1095,PerHeadcount[company_name],$B1095)*AU255)</f>
        <v>0</v>
      </c>
    </row>
    <row r="1096" spans="2:47" x14ac:dyDescent="0.35">
      <c r="B1096" t="str">
        <f t="shared" si="732"/>
        <v/>
      </c>
      <c r="C1096" t="str">
        <f t="shared" ref="C1096:G1096" si="739">IF(C991="","",C991)</f>
        <v/>
      </c>
      <c r="D1096" t="str">
        <f t="shared" si="739"/>
        <v/>
      </c>
      <c r="E1096" t="str">
        <f t="shared" si="739"/>
        <v/>
      </c>
      <c r="F1096" t="str">
        <f t="shared" si="739"/>
        <v/>
      </c>
      <c r="G1096" t="str">
        <f t="shared" si="739"/>
        <v/>
      </c>
      <c r="H1096" t="str">
        <f t="shared" si="731"/>
        <v/>
      </c>
      <c r="J1096" t="str">
        <f>IF($H1096="","",IF(VLOOKUP(H1096,ExpItems[],2,0),H1096&amp;" - "&amp;INDEX(DivisionMapping[category_code],MATCH($D1096&amp;$C1096,DivisionMapping[dept_bu],0)),H1096))</f>
        <v/>
      </c>
      <c r="K1096" t="str">
        <f t="shared" si="734"/>
        <v/>
      </c>
      <c r="L1096" s="652">
        <f>IF($B1096="",,SUMIFS(PerHeadcount[Month 1],PerHeadcount[exp_item],$H1096,PerHeadcount[company_name],$B1096)*L256)</f>
        <v>0</v>
      </c>
      <c r="M1096" s="652">
        <f>IF($B1096="",,SUMIFS(PerHeadcount[Month 2],PerHeadcount[exp_item],$H1096,PerHeadcount[company_name],$B1096)*M256)</f>
        <v>0</v>
      </c>
      <c r="N1096" s="652">
        <f>IF($B1096="",,SUMIFS(PerHeadcount[Month 3],PerHeadcount[exp_item],$H1096,PerHeadcount[company_name],$B1096)*N256)</f>
        <v>0</v>
      </c>
      <c r="O1096" s="652">
        <f>IF($B1096="",,SUMIFS(PerHeadcount[Month 4],PerHeadcount[exp_item],$H1096,PerHeadcount[company_name],$B1096)*O256)</f>
        <v>0</v>
      </c>
      <c r="P1096" s="652">
        <f>IF($B1096="",,SUMIFS(PerHeadcount[Month 5],PerHeadcount[exp_item],$H1096,PerHeadcount[company_name],$B1096)*P256)</f>
        <v>0</v>
      </c>
      <c r="Q1096" s="652">
        <f>IF($B1096="",,SUMIFS(PerHeadcount[Month 6],PerHeadcount[exp_item],$H1096,PerHeadcount[company_name],$B1096)*Q256)</f>
        <v>0</v>
      </c>
      <c r="R1096" s="652">
        <f>IF($B1096="",,SUMIFS(PerHeadcount[Month 7],PerHeadcount[exp_item],$H1096,PerHeadcount[company_name],$B1096)*R256)</f>
        <v>0</v>
      </c>
      <c r="S1096" s="652">
        <f>IF($B1096="",,SUMIFS(PerHeadcount[Month 8],PerHeadcount[exp_item],$H1096,PerHeadcount[company_name],$B1096)*S256)</f>
        <v>0</v>
      </c>
      <c r="T1096" s="652">
        <f>IF($B1096="",,SUMIFS(PerHeadcount[Month 9],PerHeadcount[exp_item],$H1096,PerHeadcount[company_name],$B1096)*T256)</f>
        <v>0</v>
      </c>
      <c r="U1096" s="652">
        <f>IF($B1096="",,SUMIFS(PerHeadcount[Month 10],PerHeadcount[exp_item],$H1096,PerHeadcount[company_name],$B1096)*U256)</f>
        <v>0</v>
      </c>
      <c r="V1096" s="652">
        <f>IF($B1096="",,SUMIFS(PerHeadcount[Month 11],PerHeadcount[exp_item],$H1096,PerHeadcount[company_name],$B1096)*V256)</f>
        <v>0</v>
      </c>
      <c r="W1096" s="652">
        <f>IF($B1096="",,SUMIFS(PerHeadcount[Month 12],PerHeadcount[exp_item],$H1096,PerHeadcount[company_name],$B1096)*W256)</f>
        <v>0</v>
      </c>
      <c r="X1096" s="652">
        <f>IF($B1096="",,SUMIFS(PerHeadcount[Month 13],PerHeadcount[exp_item],$H1096,PerHeadcount[company_name],$B1096)*X256)</f>
        <v>0</v>
      </c>
      <c r="Y1096" s="652">
        <f>IF($B1096="",,SUMIFS(PerHeadcount[Month 14],PerHeadcount[exp_item],$H1096,PerHeadcount[company_name],$B1096)*Y256)</f>
        <v>0</v>
      </c>
      <c r="Z1096" s="652">
        <f>IF($B1096="",,SUMIFS(PerHeadcount[Month 15],PerHeadcount[exp_item],$H1096,PerHeadcount[company_name],$B1096)*Z256)</f>
        <v>0</v>
      </c>
      <c r="AA1096" s="652">
        <f>IF($B1096="",,SUMIFS(PerHeadcount[Month 16],PerHeadcount[exp_item],$H1096,PerHeadcount[company_name],$B1096)*AA256)</f>
        <v>0</v>
      </c>
      <c r="AB1096" s="652">
        <f>IF($B1096="",,SUMIFS(PerHeadcount[Month 17],PerHeadcount[exp_item],$H1096,PerHeadcount[company_name],$B1096)*AB256)</f>
        <v>0</v>
      </c>
      <c r="AC1096" s="652">
        <f>IF($B1096="",,SUMIFS(PerHeadcount[Month 18],PerHeadcount[exp_item],$H1096,PerHeadcount[company_name],$B1096)*AC256)</f>
        <v>0</v>
      </c>
      <c r="AD1096" s="652">
        <f>IF($B1096="",,SUMIFS(PerHeadcount[Month 19],PerHeadcount[exp_item],$H1096,PerHeadcount[company_name],$B1096)*AD256)</f>
        <v>0</v>
      </c>
      <c r="AE1096" s="652">
        <f>IF($B1096="",,SUMIFS(PerHeadcount[Month 20],PerHeadcount[exp_item],$H1096,PerHeadcount[company_name],$B1096)*AE256)</f>
        <v>0</v>
      </c>
      <c r="AF1096" s="652">
        <f>IF($B1096="",,SUMIFS(PerHeadcount[Month 21],PerHeadcount[exp_item],$H1096,PerHeadcount[company_name],$B1096)*AF256)</f>
        <v>0</v>
      </c>
      <c r="AG1096" s="652">
        <f>IF($B1096="",,SUMIFS(PerHeadcount[Month 22],PerHeadcount[exp_item],$H1096,PerHeadcount[company_name],$B1096)*AG256)</f>
        <v>0</v>
      </c>
      <c r="AH1096" s="652">
        <f>IF($B1096="",,SUMIFS(PerHeadcount[Month 23],PerHeadcount[exp_item],$H1096,PerHeadcount[company_name],$B1096)*AH256)</f>
        <v>0</v>
      </c>
      <c r="AI1096" s="652">
        <f>IF($B1096="",,SUMIFS(PerHeadcount[Month 24],PerHeadcount[exp_item],$H1096,PerHeadcount[company_name],$B1096)*AI256)</f>
        <v>0</v>
      </c>
      <c r="AJ1096" s="652">
        <f>IF($B1096="",,SUMIFS(PerHeadcount[Month 25],PerHeadcount[exp_item],$H1096,PerHeadcount[company_name],$B1096)*AJ256)</f>
        <v>0</v>
      </c>
      <c r="AK1096" s="652">
        <f>IF($B1096="",,SUMIFS(PerHeadcount[Month 26],PerHeadcount[exp_item],$H1096,PerHeadcount[company_name],$B1096)*AK256)</f>
        <v>0</v>
      </c>
      <c r="AL1096" s="652">
        <f>IF($B1096="",,SUMIFS(PerHeadcount[Month 27],PerHeadcount[exp_item],$H1096,PerHeadcount[company_name],$B1096)*AL256)</f>
        <v>0</v>
      </c>
      <c r="AM1096" s="652">
        <f>IF($B1096="",,SUMIFS(PerHeadcount[Month 28],PerHeadcount[exp_item],$H1096,PerHeadcount[company_name],$B1096)*AM256)</f>
        <v>0</v>
      </c>
      <c r="AN1096" s="652">
        <f>IF($B1096="",,SUMIFS(PerHeadcount[Month 29],PerHeadcount[exp_item],$H1096,PerHeadcount[company_name],$B1096)*AN256)</f>
        <v>0</v>
      </c>
      <c r="AO1096" s="652">
        <f>IF($B1096="",,SUMIFS(PerHeadcount[Month 30],PerHeadcount[exp_item],$H1096,PerHeadcount[company_name],$B1096)*AO256)</f>
        <v>0</v>
      </c>
      <c r="AP1096" s="652">
        <f>IF($B1096="",,SUMIFS(PerHeadcount[Month 31],PerHeadcount[exp_item],$H1096,PerHeadcount[company_name],$B1096)*AP256)</f>
        <v>0</v>
      </c>
      <c r="AQ1096" s="652">
        <f>IF($B1096="",,SUMIFS(PerHeadcount[Month 32],PerHeadcount[exp_item],$H1096,PerHeadcount[company_name],$B1096)*AQ256)</f>
        <v>0</v>
      </c>
      <c r="AR1096" s="652">
        <f>IF($B1096="",,SUMIFS(PerHeadcount[Month 33],PerHeadcount[exp_item],$H1096,PerHeadcount[company_name],$B1096)*AR256)</f>
        <v>0</v>
      </c>
      <c r="AS1096" s="652">
        <f>IF($B1096="",,SUMIFS(PerHeadcount[Month 34],PerHeadcount[exp_item],$H1096,PerHeadcount[company_name],$B1096)*AS256)</f>
        <v>0</v>
      </c>
      <c r="AT1096" s="652">
        <f>IF($B1096="",,SUMIFS(PerHeadcount[Month 35],PerHeadcount[exp_item],$H1096,PerHeadcount[company_name],$B1096)*AT256)</f>
        <v>0</v>
      </c>
      <c r="AU1096" s="652">
        <f>IF($B1096="",,SUMIFS(PerHeadcount[Month 36],PerHeadcount[exp_item],$H1096,PerHeadcount[company_name],$B1096)*AU256)</f>
        <v>0</v>
      </c>
    </row>
    <row r="1097" spans="2:47" x14ac:dyDescent="0.35">
      <c r="B1097" t="str">
        <f t="shared" si="732"/>
        <v/>
      </c>
      <c r="C1097" t="str">
        <f t="shared" ref="C1097:G1097" si="740">IF(C992="","",C992)</f>
        <v/>
      </c>
      <c r="D1097" t="str">
        <f t="shared" si="740"/>
        <v/>
      </c>
      <c r="E1097" t="str">
        <f t="shared" si="740"/>
        <v/>
      </c>
      <c r="F1097" t="str">
        <f t="shared" si="740"/>
        <v/>
      </c>
      <c r="G1097" t="str">
        <f t="shared" si="740"/>
        <v/>
      </c>
      <c r="H1097" t="str">
        <f t="shared" si="731"/>
        <v/>
      </c>
      <c r="J1097" t="str">
        <f>IF($H1097="","",IF(VLOOKUP(H1097,ExpItems[],2,0),H1097&amp;" - "&amp;INDEX(DivisionMapping[category_code],MATCH($D1097&amp;$C1097,DivisionMapping[dept_bu],0)),H1097))</f>
        <v/>
      </c>
      <c r="K1097" t="str">
        <f t="shared" si="734"/>
        <v/>
      </c>
      <c r="L1097" s="652">
        <f>IF($B1097="",,SUMIFS(PerHeadcount[Month 1],PerHeadcount[exp_item],$H1097,PerHeadcount[company_name],$B1097)*L257)</f>
        <v>0</v>
      </c>
      <c r="M1097" s="652">
        <f>IF($B1097="",,SUMIFS(PerHeadcount[Month 2],PerHeadcount[exp_item],$H1097,PerHeadcount[company_name],$B1097)*M257)</f>
        <v>0</v>
      </c>
      <c r="N1097" s="652">
        <f>IF($B1097="",,SUMIFS(PerHeadcount[Month 3],PerHeadcount[exp_item],$H1097,PerHeadcount[company_name],$B1097)*N257)</f>
        <v>0</v>
      </c>
      <c r="O1097" s="652">
        <f>IF($B1097="",,SUMIFS(PerHeadcount[Month 4],PerHeadcount[exp_item],$H1097,PerHeadcount[company_name],$B1097)*O257)</f>
        <v>0</v>
      </c>
      <c r="P1097" s="652">
        <f>IF($B1097="",,SUMIFS(PerHeadcount[Month 5],PerHeadcount[exp_item],$H1097,PerHeadcount[company_name],$B1097)*P257)</f>
        <v>0</v>
      </c>
      <c r="Q1097" s="652">
        <f>IF($B1097="",,SUMIFS(PerHeadcount[Month 6],PerHeadcount[exp_item],$H1097,PerHeadcount[company_name],$B1097)*Q257)</f>
        <v>0</v>
      </c>
      <c r="R1097" s="652">
        <f>IF($B1097="",,SUMIFS(PerHeadcount[Month 7],PerHeadcount[exp_item],$H1097,PerHeadcount[company_name],$B1097)*R257)</f>
        <v>0</v>
      </c>
      <c r="S1097" s="652">
        <f>IF($B1097="",,SUMIFS(PerHeadcount[Month 8],PerHeadcount[exp_item],$H1097,PerHeadcount[company_name],$B1097)*S257)</f>
        <v>0</v>
      </c>
      <c r="T1097" s="652">
        <f>IF($B1097="",,SUMIFS(PerHeadcount[Month 9],PerHeadcount[exp_item],$H1097,PerHeadcount[company_name],$B1097)*T257)</f>
        <v>0</v>
      </c>
      <c r="U1097" s="652">
        <f>IF($B1097="",,SUMIFS(PerHeadcount[Month 10],PerHeadcount[exp_item],$H1097,PerHeadcount[company_name],$B1097)*U257)</f>
        <v>0</v>
      </c>
      <c r="V1097" s="652">
        <f>IF($B1097="",,SUMIFS(PerHeadcount[Month 11],PerHeadcount[exp_item],$H1097,PerHeadcount[company_name],$B1097)*V257)</f>
        <v>0</v>
      </c>
      <c r="W1097" s="652">
        <f>IF($B1097="",,SUMIFS(PerHeadcount[Month 12],PerHeadcount[exp_item],$H1097,PerHeadcount[company_name],$B1097)*W257)</f>
        <v>0</v>
      </c>
      <c r="X1097" s="652">
        <f>IF($B1097="",,SUMIFS(PerHeadcount[Month 13],PerHeadcount[exp_item],$H1097,PerHeadcount[company_name],$B1097)*X257)</f>
        <v>0</v>
      </c>
      <c r="Y1097" s="652">
        <f>IF($B1097="",,SUMIFS(PerHeadcount[Month 14],PerHeadcount[exp_item],$H1097,PerHeadcount[company_name],$B1097)*Y257)</f>
        <v>0</v>
      </c>
      <c r="Z1097" s="652">
        <f>IF($B1097="",,SUMIFS(PerHeadcount[Month 15],PerHeadcount[exp_item],$H1097,PerHeadcount[company_name],$B1097)*Z257)</f>
        <v>0</v>
      </c>
      <c r="AA1097" s="652">
        <f>IF($B1097="",,SUMIFS(PerHeadcount[Month 16],PerHeadcount[exp_item],$H1097,PerHeadcount[company_name],$B1097)*AA257)</f>
        <v>0</v>
      </c>
      <c r="AB1097" s="652">
        <f>IF($B1097="",,SUMIFS(PerHeadcount[Month 17],PerHeadcount[exp_item],$H1097,PerHeadcount[company_name],$B1097)*AB257)</f>
        <v>0</v>
      </c>
      <c r="AC1097" s="652">
        <f>IF($B1097="",,SUMIFS(PerHeadcount[Month 18],PerHeadcount[exp_item],$H1097,PerHeadcount[company_name],$B1097)*AC257)</f>
        <v>0</v>
      </c>
      <c r="AD1097" s="652">
        <f>IF($B1097="",,SUMIFS(PerHeadcount[Month 19],PerHeadcount[exp_item],$H1097,PerHeadcount[company_name],$B1097)*AD257)</f>
        <v>0</v>
      </c>
      <c r="AE1097" s="652">
        <f>IF($B1097="",,SUMIFS(PerHeadcount[Month 20],PerHeadcount[exp_item],$H1097,PerHeadcount[company_name],$B1097)*AE257)</f>
        <v>0</v>
      </c>
      <c r="AF1097" s="652">
        <f>IF($B1097="",,SUMIFS(PerHeadcount[Month 21],PerHeadcount[exp_item],$H1097,PerHeadcount[company_name],$B1097)*AF257)</f>
        <v>0</v>
      </c>
      <c r="AG1097" s="652">
        <f>IF($B1097="",,SUMIFS(PerHeadcount[Month 22],PerHeadcount[exp_item],$H1097,PerHeadcount[company_name],$B1097)*AG257)</f>
        <v>0</v>
      </c>
      <c r="AH1097" s="652">
        <f>IF($B1097="",,SUMIFS(PerHeadcount[Month 23],PerHeadcount[exp_item],$H1097,PerHeadcount[company_name],$B1097)*AH257)</f>
        <v>0</v>
      </c>
      <c r="AI1097" s="652">
        <f>IF($B1097="",,SUMIFS(PerHeadcount[Month 24],PerHeadcount[exp_item],$H1097,PerHeadcount[company_name],$B1097)*AI257)</f>
        <v>0</v>
      </c>
      <c r="AJ1097" s="652">
        <f>IF($B1097="",,SUMIFS(PerHeadcount[Month 25],PerHeadcount[exp_item],$H1097,PerHeadcount[company_name],$B1097)*AJ257)</f>
        <v>0</v>
      </c>
      <c r="AK1097" s="652">
        <f>IF($B1097="",,SUMIFS(PerHeadcount[Month 26],PerHeadcount[exp_item],$H1097,PerHeadcount[company_name],$B1097)*AK257)</f>
        <v>0</v>
      </c>
      <c r="AL1097" s="652">
        <f>IF($B1097="",,SUMIFS(PerHeadcount[Month 27],PerHeadcount[exp_item],$H1097,PerHeadcount[company_name],$B1097)*AL257)</f>
        <v>0</v>
      </c>
      <c r="AM1097" s="652">
        <f>IF($B1097="",,SUMIFS(PerHeadcount[Month 28],PerHeadcount[exp_item],$H1097,PerHeadcount[company_name],$B1097)*AM257)</f>
        <v>0</v>
      </c>
      <c r="AN1097" s="652">
        <f>IF($B1097="",,SUMIFS(PerHeadcount[Month 29],PerHeadcount[exp_item],$H1097,PerHeadcount[company_name],$B1097)*AN257)</f>
        <v>0</v>
      </c>
      <c r="AO1097" s="652">
        <f>IF($B1097="",,SUMIFS(PerHeadcount[Month 30],PerHeadcount[exp_item],$H1097,PerHeadcount[company_name],$B1097)*AO257)</f>
        <v>0</v>
      </c>
      <c r="AP1097" s="652">
        <f>IF($B1097="",,SUMIFS(PerHeadcount[Month 31],PerHeadcount[exp_item],$H1097,PerHeadcount[company_name],$B1097)*AP257)</f>
        <v>0</v>
      </c>
      <c r="AQ1097" s="652">
        <f>IF($B1097="",,SUMIFS(PerHeadcount[Month 32],PerHeadcount[exp_item],$H1097,PerHeadcount[company_name],$B1097)*AQ257)</f>
        <v>0</v>
      </c>
      <c r="AR1097" s="652">
        <f>IF($B1097="",,SUMIFS(PerHeadcount[Month 33],PerHeadcount[exp_item],$H1097,PerHeadcount[company_name],$B1097)*AR257)</f>
        <v>0</v>
      </c>
      <c r="AS1097" s="652">
        <f>IF($B1097="",,SUMIFS(PerHeadcount[Month 34],PerHeadcount[exp_item],$H1097,PerHeadcount[company_name],$B1097)*AS257)</f>
        <v>0</v>
      </c>
      <c r="AT1097" s="652">
        <f>IF($B1097="",,SUMIFS(PerHeadcount[Month 35],PerHeadcount[exp_item],$H1097,PerHeadcount[company_name],$B1097)*AT257)</f>
        <v>0</v>
      </c>
      <c r="AU1097" s="652">
        <f>IF($B1097="",,SUMIFS(PerHeadcount[Month 36],PerHeadcount[exp_item],$H1097,PerHeadcount[company_name],$B1097)*AU257)</f>
        <v>0</v>
      </c>
    </row>
    <row r="1098" spans="2:47" x14ac:dyDescent="0.35">
      <c r="B1098" t="str">
        <f t="shared" si="732"/>
        <v/>
      </c>
      <c r="C1098" t="str">
        <f t="shared" ref="C1098:G1098" si="741">IF(C993="","",C993)</f>
        <v/>
      </c>
      <c r="D1098" t="str">
        <f t="shared" si="741"/>
        <v/>
      </c>
      <c r="E1098" t="str">
        <f t="shared" si="741"/>
        <v/>
      </c>
      <c r="F1098" t="str">
        <f t="shared" si="741"/>
        <v/>
      </c>
      <c r="G1098" t="str">
        <f t="shared" si="741"/>
        <v/>
      </c>
      <c r="H1098" t="str">
        <f t="shared" si="731"/>
        <v/>
      </c>
      <c r="J1098" t="str">
        <f>IF($H1098="","",IF(VLOOKUP(H1098,ExpItems[],2,0),H1098&amp;" - "&amp;INDEX(DivisionMapping[category_code],MATCH($D1098&amp;$C1098,DivisionMapping[dept_bu],0)),H1098))</f>
        <v/>
      </c>
      <c r="K1098" t="str">
        <f t="shared" si="734"/>
        <v/>
      </c>
      <c r="L1098" s="652">
        <f>IF($B1098="",,SUMIFS(PerHeadcount[Month 1],PerHeadcount[exp_item],$H1098,PerHeadcount[company_name],$B1098)*L258)</f>
        <v>0</v>
      </c>
      <c r="M1098" s="652">
        <f>IF($B1098="",,SUMIFS(PerHeadcount[Month 2],PerHeadcount[exp_item],$H1098,PerHeadcount[company_name],$B1098)*M258)</f>
        <v>0</v>
      </c>
      <c r="N1098" s="652">
        <f>IF($B1098="",,SUMIFS(PerHeadcount[Month 3],PerHeadcount[exp_item],$H1098,PerHeadcount[company_name],$B1098)*N258)</f>
        <v>0</v>
      </c>
      <c r="O1098" s="652">
        <f>IF($B1098="",,SUMIFS(PerHeadcount[Month 4],PerHeadcount[exp_item],$H1098,PerHeadcount[company_name],$B1098)*O258)</f>
        <v>0</v>
      </c>
      <c r="P1098" s="652">
        <f>IF($B1098="",,SUMIFS(PerHeadcount[Month 5],PerHeadcount[exp_item],$H1098,PerHeadcount[company_name],$B1098)*P258)</f>
        <v>0</v>
      </c>
      <c r="Q1098" s="652">
        <f>IF($B1098="",,SUMIFS(PerHeadcount[Month 6],PerHeadcount[exp_item],$H1098,PerHeadcount[company_name],$B1098)*Q258)</f>
        <v>0</v>
      </c>
      <c r="R1098" s="652">
        <f>IF($B1098="",,SUMIFS(PerHeadcount[Month 7],PerHeadcount[exp_item],$H1098,PerHeadcount[company_name],$B1098)*R258)</f>
        <v>0</v>
      </c>
      <c r="S1098" s="652">
        <f>IF($B1098="",,SUMIFS(PerHeadcount[Month 8],PerHeadcount[exp_item],$H1098,PerHeadcount[company_name],$B1098)*S258)</f>
        <v>0</v>
      </c>
      <c r="T1098" s="652">
        <f>IF($B1098="",,SUMIFS(PerHeadcount[Month 9],PerHeadcount[exp_item],$H1098,PerHeadcount[company_name],$B1098)*T258)</f>
        <v>0</v>
      </c>
      <c r="U1098" s="652">
        <f>IF($B1098="",,SUMIFS(PerHeadcount[Month 10],PerHeadcount[exp_item],$H1098,PerHeadcount[company_name],$B1098)*U258)</f>
        <v>0</v>
      </c>
      <c r="V1098" s="652">
        <f>IF($B1098="",,SUMIFS(PerHeadcount[Month 11],PerHeadcount[exp_item],$H1098,PerHeadcount[company_name],$B1098)*V258)</f>
        <v>0</v>
      </c>
      <c r="W1098" s="652">
        <f>IF($B1098="",,SUMIFS(PerHeadcount[Month 12],PerHeadcount[exp_item],$H1098,PerHeadcount[company_name],$B1098)*W258)</f>
        <v>0</v>
      </c>
      <c r="X1098" s="652">
        <f>IF($B1098="",,SUMIFS(PerHeadcount[Month 13],PerHeadcount[exp_item],$H1098,PerHeadcount[company_name],$B1098)*X258)</f>
        <v>0</v>
      </c>
      <c r="Y1098" s="652">
        <f>IF($B1098="",,SUMIFS(PerHeadcount[Month 14],PerHeadcount[exp_item],$H1098,PerHeadcount[company_name],$B1098)*Y258)</f>
        <v>0</v>
      </c>
      <c r="Z1098" s="652">
        <f>IF($B1098="",,SUMIFS(PerHeadcount[Month 15],PerHeadcount[exp_item],$H1098,PerHeadcount[company_name],$B1098)*Z258)</f>
        <v>0</v>
      </c>
      <c r="AA1098" s="652">
        <f>IF($B1098="",,SUMIFS(PerHeadcount[Month 16],PerHeadcount[exp_item],$H1098,PerHeadcount[company_name],$B1098)*AA258)</f>
        <v>0</v>
      </c>
      <c r="AB1098" s="652">
        <f>IF($B1098="",,SUMIFS(PerHeadcount[Month 17],PerHeadcount[exp_item],$H1098,PerHeadcount[company_name],$B1098)*AB258)</f>
        <v>0</v>
      </c>
      <c r="AC1098" s="652">
        <f>IF($B1098="",,SUMIFS(PerHeadcount[Month 18],PerHeadcount[exp_item],$H1098,PerHeadcount[company_name],$B1098)*AC258)</f>
        <v>0</v>
      </c>
      <c r="AD1098" s="652">
        <f>IF($B1098="",,SUMIFS(PerHeadcount[Month 19],PerHeadcount[exp_item],$H1098,PerHeadcount[company_name],$B1098)*AD258)</f>
        <v>0</v>
      </c>
      <c r="AE1098" s="652">
        <f>IF($B1098="",,SUMIFS(PerHeadcount[Month 20],PerHeadcount[exp_item],$H1098,PerHeadcount[company_name],$B1098)*AE258)</f>
        <v>0</v>
      </c>
      <c r="AF1098" s="652">
        <f>IF($B1098="",,SUMIFS(PerHeadcount[Month 21],PerHeadcount[exp_item],$H1098,PerHeadcount[company_name],$B1098)*AF258)</f>
        <v>0</v>
      </c>
      <c r="AG1098" s="652">
        <f>IF($B1098="",,SUMIFS(PerHeadcount[Month 22],PerHeadcount[exp_item],$H1098,PerHeadcount[company_name],$B1098)*AG258)</f>
        <v>0</v>
      </c>
      <c r="AH1098" s="652">
        <f>IF($B1098="",,SUMIFS(PerHeadcount[Month 23],PerHeadcount[exp_item],$H1098,PerHeadcount[company_name],$B1098)*AH258)</f>
        <v>0</v>
      </c>
      <c r="AI1098" s="652">
        <f>IF($B1098="",,SUMIFS(PerHeadcount[Month 24],PerHeadcount[exp_item],$H1098,PerHeadcount[company_name],$B1098)*AI258)</f>
        <v>0</v>
      </c>
      <c r="AJ1098" s="652">
        <f>IF($B1098="",,SUMIFS(PerHeadcount[Month 25],PerHeadcount[exp_item],$H1098,PerHeadcount[company_name],$B1098)*AJ258)</f>
        <v>0</v>
      </c>
      <c r="AK1098" s="652">
        <f>IF($B1098="",,SUMIFS(PerHeadcount[Month 26],PerHeadcount[exp_item],$H1098,PerHeadcount[company_name],$B1098)*AK258)</f>
        <v>0</v>
      </c>
      <c r="AL1098" s="652">
        <f>IF($B1098="",,SUMIFS(PerHeadcount[Month 27],PerHeadcount[exp_item],$H1098,PerHeadcount[company_name],$B1098)*AL258)</f>
        <v>0</v>
      </c>
      <c r="AM1098" s="652">
        <f>IF($B1098="",,SUMIFS(PerHeadcount[Month 28],PerHeadcount[exp_item],$H1098,PerHeadcount[company_name],$B1098)*AM258)</f>
        <v>0</v>
      </c>
      <c r="AN1098" s="652">
        <f>IF($B1098="",,SUMIFS(PerHeadcount[Month 29],PerHeadcount[exp_item],$H1098,PerHeadcount[company_name],$B1098)*AN258)</f>
        <v>0</v>
      </c>
      <c r="AO1098" s="652">
        <f>IF($B1098="",,SUMIFS(PerHeadcount[Month 30],PerHeadcount[exp_item],$H1098,PerHeadcount[company_name],$B1098)*AO258)</f>
        <v>0</v>
      </c>
      <c r="AP1098" s="652">
        <f>IF($B1098="",,SUMIFS(PerHeadcount[Month 31],PerHeadcount[exp_item],$H1098,PerHeadcount[company_name],$B1098)*AP258)</f>
        <v>0</v>
      </c>
      <c r="AQ1098" s="652">
        <f>IF($B1098="",,SUMIFS(PerHeadcount[Month 32],PerHeadcount[exp_item],$H1098,PerHeadcount[company_name],$B1098)*AQ258)</f>
        <v>0</v>
      </c>
      <c r="AR1098" s="652">
        <f>IF($B1098="",,SUMIFS(PerHeadcount[Month 33],PerHeadcount[exp_item],$H1098,PerHeadcount[company_name],$B1098)*AR258)</f>
        <v>0</v>
      </c>
      <c r="AS1098" s="652">
        <f>IF($B1098="",,SUMIFS(PerHeadcount[Month 34],PerHeadcount[exp_item],$H1098,PerHeadcount[company_name],$B1098)*AS258)</f>
        <v>0</v>
      </c>
      <c r="AT1098" s="652">
        <f>IF($B1098="",,SUMIFS(PerHeadcount[Month 35],PerHeadcount[exp_item],$H1098,PerHeadcount[company_name],$B1098)*AT258)</f>
        <v>0</v>
      </c>
      <c r="AU1098" s="652">
        <f>IF($B1098="",,SUMIFS(PerHeadcount[Month 36],PerHeadcount[exp_item],$H1098,PerHeadcount[company_name],$B1098)*AU258)</f>
        <v>0</v>
      </c>
    </row>
    <row r="1099" spans="2:47" x14ac:dyDescent="0.35">
      <c r="B1099" t="str">
        <f t="shared" si="732"/>
        <v/>
      </c>
      <c r="C1099" t="str">
        <f t="shared" ref="C1099:G1099" si="742">IF(C994="","",C994)</f>
        <v/>
      </c>
      <c r="D1099" t="str">
        <f t="shared" si="742"/>
        <v/>
      </c>
      <c r="E1099" t="str">
        <f t="shared" si="742"/>
        <v/>
      </c>
      <c r="F1099" t="str">
        <f t="shared" si="742"/>
        <v/>
      </c>
      <c r="G1099" t="str">
        <f t="shared" si="742"/>
        <v/>
      </c>
      <c r="H1099" t="str">
        <f t="shared" si="731"/>
        <v/>
      </c>
      <c r="J1099" t="str">
        <f>IF($H1099="","",IF(VLOOKUP(H1099,ExpItems[],2,0),H1099&amp;" - "&amp;INDEX(DivisionMapping[category_code],MATCH($D1099&amp;$C1099,DivisionMapping[dept_bu],0)),H1099))</f>
        <v/>
      </c>
      <c r="K1099" t="str">
        <f t="shared" si="734"/>
        <v/>
      </c>
      <c r="L1099" s="652">
        <f>IF($B1099="",,SUMIFS(PerHeadcount[Month 1],PerHeadcount[exp_item],$H1099,PerHeadcount[company_name],$B1099)*L259)</f>
        <v>0</v>
      </c>
      <c r="M1099" s="652">
        <f>IF($B1099="",,SUMIFS(PerHeadcount[Month 2],PerHeadcount[exp_item],$H1099,PerHeadcount[company_name],$B1099)*M259)</f>
        <v>0</v>
      </c>
      <c r="N1099" s="652">
        <f>IF($B1099="",,SUMIFS(PerHeadcount[Month 3],PerHeadcount[exp_item],$H1099,PerHeadcount[company_name],$B1099)*N259)</f>
        <v>0</v>
      </c>
      <c r="O1099" s="652">
        <f>IF($B1099="",,SUMIFS(PerHeadcount[Month 4],PerHeadcount[exp_item],$H1099,PerHeadcount[company_name],$B1099)*O259)</f>
        <v>0</v>
      </c>
      <c r="P1099" s="652">
        <f>IF($B1099="",,SUMIFS(PerHeadcount[Month 5],PerHeadcount[exp_item],$H1099,PerHeadcount[company_name],$B1099)*P259)</f>
        <v>0</v>
      </c>
      <c r="Q1099" s="652">
        <f>IF($B1099="",,SUMIFS(PerHeadcount[Month 6],PerHeadcount[exp_item],$H1099,PerHeadcount[company_name],$B1099)*Q259)</f>
        <v>0</v>
      </c>
      <c r="R1099" s="652">
        <f>IF($B1099="",,SUMIFS(PerHeadcount[Month 7],PerHeadcount[exp_item],$H1099,PerHeadcount[company_name],$B1099)*R259)</f>
        <v>0</v>
      </c>
      <c r="S1099" s="652">
        <f>IF($B1099="",,SUMIFS(PerHeadcount[Month 8],PerHeadcount[exp_item],$H1099,PerHeadcount[company_name],$B1099)*S259)</f>
        <v>0</v>
      </c>
      <c r="T1099" s="652">
        <f>IF($B1099="",,SUMIFS(PerHeadcount[Month 9],PerHeadcount[exp_item],$H1099,PerHeadcount[company_name],$B1099)*T259)</f>
        <v>0</v>
      </c>
      <c r="U1099" s="652">
        <f>IF($B1099="",,SUMIFS(PerHeadcount[Month 10],PerHeadcount[exp_item],$H1099,PerHeadcount[company_name],$B1099)*U259)</f>
        <v>0</v>
      </c>
      <c r="V1099" s="652">
        <f>IF($B1099="",,SUMIFS(PerHeadcount[Month 11],PerHeadcount[exp_item],$H1099,PerHeadcount[company_name],$B1099)*V259)</f>
        <v>0</v>
      </c>
      <c r="W1099" s="652">
        <f>IF($B1099="",,SUMIFS(PerHeadcount[Month 12],PerHeadcount[exp_item],$H1099,PerHeadcount[company_name],$B1099)*W259)</f>
        <v>0</v>
      </c>
      <c r="X1099" s="652">
        <f>IF($B1099="",,SUMIFS(PerHeadcount[Month 13],PerHeadcount[exp_item],$H1099,PerHeadcount[company_name],$B1099)*X259)</f>
        <v>0</v>
      </c>
      <c r="Y1099" s="652">
        <f>IF($B1099="",,SUMIFS(PerHeadcount[Month 14],PerHeadcount[exp_item],$H1099,PerHeadcount[company_name],$B1099)*Y259)</f>
        <v>0</v>
      </c>
      <c r="Z1099" s="652">
        <f>IF($B1099="",,SUMIFS(PerHeadcount[Month 15],PerHeadcount[exp_item],$H1099,PerHeadcount[company_name],$B1099)*Z259)</f>
        <v>0</v>
      </c>
      <c r="AA1099" s="652">
        <f>IF($B1099="",,SUMIFS(PerHeadcount[Month 16],PerHeadcount[exp_item],$H1099,PerHeadcount[company_name],$B1099)*AA259)</f>
        <v>0</v>
      </c>
      <c r="AB1099" s="652">
        <f>IF($B1099="",,SUMIFS(PerHeadcount[Month 17],PerHeadcount[exp_item],$H1099,PerHeadcount[company_name],$B1099)*AB259)</f>
        <v>0</v>
      </c>
      <c r="AC1099" s="652">
        <f>IF($B1099="",,SUMIFS(PerHeadcount[Month 18],PerHeadcount[exp_item],$H1099,PerHeadcount[company_name],$B1099)*AC259)</f>
        <v>0</v>
      </c>
      <c r="AD1099" s="652">
        <f>IF($B1099="",,SUMIFS(PerHeadcount[Month 19],PerHeadcount[exp_item],$H1099,PerHeadcount[company_name],$B1099)*AD259)</f>
        <v>0</v>
      </c>
      <c r="AE1099" s="652">
        <f>IF($B1099="",,SUMIFS(PerHeadcount[Month 20],PerHeadcount[exp_item],$H1099,PerHeadcount[company_name],$B1099)*AE259)</f>
        <v>0</v>
      </c>
      <c r="AF1099" s="652">
        <f>IF($B1099="",,SUMIFS(PerHeadcount[Month 21],PerHeadcount[exp_item],$H1099,PerHeadcount[company_name],$B1099)*AF259)</f>
        <v>0</v>
      </c>
      <c r="AG1099" s="652">
        <f>IF($B1099="",,SUMIFS(PerHeadcount[Month 22],PerHeadcount[exp_item],$H1099,PerHeadcount[company_name],$B1099)*AG259)</f>
        <v>0</v>
      </c>
      <c r="AH1099" s="652">
        <f>IF($B1099="",,SUMIFS(PerHeadcount[Month 23],PerHeadcount[exp_item],$H1099,PerHeadcount[company_name],$B1099)*AH259)</f>
        <v>0</v>
      </c>
      <c r="AI1099" s="652">
        <f>IF($B1099="",,SUMIFS(PerHeadcount[Month 24],PerHeadcount[exp_item],$H1099,PerHeadcount[company_name],$B1099)*AI259)</f>
        <v>0</v>
      </c>
      <c r="AJ1099" s="652">
        <f>IF($B1099="",,SUMIFS(PerHeadcount[Month 25],PerHeadcount[exp_item],$H1099,PerHeadcount[company_name],$B1099)*AJ259)</f>
        <v>0</v>
      </c>
      <c r="AK1099" s="652">
        <f>IF($B1099="",,SUMIFS(PerHeadcount[Month 26],PerHeadcount[exp_item],$H1099,PerHeadcount[company_name],$B1099)*AK259)</f>
        <v>0</v>
      </c>
      <c r="AL1099" s="652">
        <f>IF($B1099="",,SUMIFS(PerHeadcount[Month 27],PerHeadcount[exp_item],$H1099,PerHeadcount[company_name],$B1099)*AL259)</f>
        <v>0</v>
      </c>
      <c r="AM1099" s="652">
        <f>IF($B1099="",,SUMIFS(PerHeadcount[Month 28],PerHeadcount[exp_item],$H1099,PerHeadcount[company_name],$B1099)*AM259)</f>
        <v>0</v>
      </c>
      <c r="AN1099" s="652">
        <f>IF($B1099="",,SUMIFS(PerHeadcount[Month 29],PerHeadcount[exp_item],$H1099,PerHeadcount[company_name],$B1099)*AN259)</f>
        <v>0</v>
      </c>
      <c r="AO1099" s="652">
        <f>IF($B1099="",,SUMIFS(PerHeadcount[Month 30],PerHeadcount[exp_item],$H1099,PerHeadcount[company_name],$B1099)*AO259)</f>
        <v>0</v>
      </c>
      <c r="AP1099" s="652">
        <f>IF($B1099="",,SUMIFS(PerHeadcount[Month 31],PerHeadcount[exp_item],$H1099,PerHeadcount[company_name],$B1099)*AP259)</f>
        <v>0</v>
      </c>
      <c r="AQ1099" s="652">
        <f>IF($B1099="",,SUMIFS(PerHeadcount[Month 32],PerHeadcount[exp_item],$H1099,PerHeadcount[company_name],$B1099)*AQ259)</f>
        <v>0</v>
      </c>
      <c r="AR1099" s="652">
        <f>IF($B1099="",,SUMIFS(PerHeadcount[Month 33],PerHeadcount[exp_item],$H1099,PerHeadcount[company_name],$B1099)*AR259)</f>
        <v>0</v>
      </c>
      <c r="AS1099" s="652">
        <f>IF($B1099="",,SUMIFS(PerHeadcount[Month 34],PerHeadcount[exp_item],$H1099,PerHeadcount[company_name],$B1099)*AS259)</f>
        <v>0</v>
      </c>
      <c r="AT1099" s="652">
        <f>IF($B1099="",,SUMIFS(PerHeadcount[Month 35],PerHeadcount[exp_item],$H1099,PerHeadcount[company_name],$B1099)*AT259)</f>
        <v>0</v>
      </c>
      <c r="AU1099" s="652">
        <f>IF($B1099="",,SUMIFS(PerHeadcount[Month 36],PerHeadcount[exp_item],$H1099,PerHeadcount[company_name],$B1099)*AU259)</f>
        <v>0</v>
      </c>
    </row>
    <row r="1100" spans="2:47" x14ac:dyDescent="0.35">
      <c r="B1100" t="str">
        <f t="shared" si="732"/>
        <v/>
      </c>
      <c r="C1100" t="str">
        <f t="shared" ref="C1100:G1100" si="743">IF(C995="","",C995)</f>
        <v/>
      </c>
      <c r="D1100" t="str">
        <f t="shared" si="743"/>
        <v/>
      </c>
      <c r="E1100" t="str">
        <f t="shared" si="743"/>
        <v/>
      </c>
      <c r="F1100" t="str">
        <f t="shared" si="743"/>
        <v/>
      </c>
      <c r="G1100" t="str">
        <f t="shared" si="743"/>
        <v/>
      </c>
      <c r="H1100" t="str">
        <f t="shared" si="731"/>
        <v/>
      </c>
      <c r="J1100" t="str">
        <f>IF($H1100="","",IF(VLOOKUP(H1100,ExpItems[],2,0),H1100&amp;" - "&amp;INDEX(DivisionMapping[category_code],MATCH($D1100&amp;$C1100,DivisionMapping[dept_bu],0)),H1100))</f>
        <v/>
      </c>
      <c r="K1100" t="str">
        <f t="shared" si="734"/>
        <v/>
      </c>
      <c r="L1100" s="652">
        <f>IF($B1100="",,SUMIFS(PerHeadcount[Month 1],PerHeadcount[exp_item],$H1100,PerHeadcount[company_name],$B1100)*L260)</f>
        <v>0</v>
      </c>
      <c r="M1100" s="652">
        <f>IF($B1100="",,SUMIFS(PerHeadcount[Month 2],PerHeadcount[exp_item],$H1100,PerHeadcount[company_name],$B1100)*M260)</f>
        <v>0</v>
      </c>
      <c r="N1100" s="652">
        <f>IF($B1100="",,SUMIFS(PerHeadcount[Month 3],PerHeadcount[exp_item],$H1100,PerHeadcount[company_name],$B1100)*N260)</f>
        <v>0</v>
      </c>
      <c r="O1100" s="652">
        <f>IF($B1100="",,SUMIFS(PerHeadcount[Month 4],PerHeadcount[exp_item],$H1100,PerHeadcount[company_name],$B1100)*O260)</f>
        <v>0</v>
      </c>
      <c r="P1100" s="652">
        <f>IF($B1100="",,SUMIFS(PerHeadcount[Month 5],PerHeadcount[exp_item],$H1100,PerHeadcount[company_name],$B1100)*P260)</f>
        <v>0</v>
      </c>
      <c r="Q1100" s="652">
        <f>IF($B1100="",,SUMIFS(PerHeadcount[Month 6],PerHeadcount[exp_item],$H1100,PerHeadcount[company_name],$B1100)*Q260)</f>
        <v>0</v>
      </c>
      <c r="R1100" s="652">
        <f>IF($B1100="",,SUMIFS(PerHeadcount[Month 7],PerHeadcount[exp_item],$H1100,PerHeadcount[company_name],$B1100)*R260)</f>
        <v>0</v>
      </c>
      <c r="S1100" s="652">
        <f>IF($B1100="",,SUMIFS(PerHeadcount[Month 8],PerHeadcount[exp_item],$H1100,PerHeadcount[company_name],$B1100)*S260)</f>
        <v>0</v>
      </c>
      <c r="T1100" s="652">
        <f>IF($B1100="",,SUMIFS(PerHeadcount[Month 9],PerHeadcount[exp_item],$H1100,PerHeadcount[company_name],$B1100)*T260)</f>
        <v>0</v>
      </c>
      <c r="U1100" s="652">
        <f>IF($B1100="",,SUMIFS(PerHeadcount[Month 10],PerHeadcount[exp_item],$H1100,PerHeadcount[company_name],$B1100)*U260)</f>
        <v>0</v>
      </c>
      <c r="V1100" s="652">
        <f>IF($B1100="",,SUMIFS(PerHeadcount[Month 11],PerHeadcount[exp_item],$H1100,PerHeadcount[company_name],$B1100)*V260)</f>
        <v>0</v>
      </c>
      <c r="W1100" s="652">
        <f>IF($B1100="",,SUMIFS(PerHeadcount[Month 12],PerHeadcount[exp_item],$H1100,PerHeadcount[company_name],$B1100)*W260)</f>
        <v>0</v>
      </c>
      <c r="X1100" s="652">
        <f>IF($B1100="",,SUMIFS(PerHeadcount[Month 13],PerHeadcount[exp_item],$H1100,PerHeadcount[company_name],$B1100)*X260)</f>
        <v>0</v>
      </c>
      <c r="Y1100" s="652">
        <f>IF($B1100="",,SUMIFS(PerHeadcount[Month 14],PerHeadcount[exp_item],$H1100,PerHeadcount[company_name],$B1100)*Y260)</f>
        <v>0</v>
      </c>
      <c r="Z1100" s="652">
        <f>IF($B1100="",,SUMIFS(PerHeadcount[Month 15],PerHeadcount[exp_item],$H1100,PerHeadcount[company_name],$B1100)*Z260)</f>
        <v>0</v>
      </c>
      <c r="AA1100" s="652">
        <f>IF($B1100="",,SUMIFS(PerHeadcount[Month 16],PerHeadcount[exp_item],$H1100,PerHeadcount[company_name],$B1100)*AA260)</f>
        <v>0</v>
      </c>
      <c r="AB1100" s="652">
        <f>IF($B1100="",,SUMIFS(PerHeadcount[Month 17],PerHeadcount[exp_item],$H1100,PerHeadcount[company_name],$B1100)*AB260)</f>
        <v>0</v>
      </c>
      <c r="AC1100" s="652">
        <f>IF($B1100="",,SUMIFS(PerHeadcount[Month 18],PerHeadcount[exp_item],$H1100,PerHeadcount[company_name],$B1100)*AC260)</f>
        <v>0</v>
      </c>
      <c r="AD1100" s="652">
        <f>IF($B1100="",,SUMIFS(PerHeadcount[Month 19],PerHeadcount[exp_item],$H1100,PerHeadcount[company_name],$B1100)*AD260)</f>
        <v>0</v>
      </c>
      <c r="AE1100" s="652">
        <f>IF($B1100="",,SUMIFS(PerHeadcount[Month 20],PerHeadcount[exp_item],$H1100,PerHeadcount[company_name],$B1100)*AE260)</f>
        <v>0</v>
      </c>
      <c r="AF1100" s="652">
        <f>IF($B1100="",,SUMIFS(PerHeadcount[Month 21],PerHeadcount[exp_item],$H1100,PerHeadcount[company_name],$B1100)*AF260)</f>
        <v>0</v>
      </c>
      <c r="AG1100" s="652">
        <f>IF($B1100="",,SUMIFS(PerHeadcount[Month 22],PerHeadcount[exp_item],$H1100,PerHeadcount[company_name],$B1100)*AG260)</f>
        <v>0</v>
      </c>
      <c r="AH1100" s="652">
        <f>IF($B1100="",,SUMIFS(PerHeadcount[Month 23],PerHeadcount[exp_item],$H1100,PerHeadcount[company_name],$B1100)*AH260)</f>
        <v>0</v>
      </c>
      <c r="AI1100" s="652">
        <f>IF($B1100="",,SUMIFS(PerHeadcount[Month 24],PerHeadcount[exp_item],$H1100,PerHeadcount[company_name],$B1100)*AI260)</f>
        <v>0</v>
      </c>
      <c r="AJ1100" s="652">
        <f>IF($B1100="",,SUMIFS(PerHeadcount[Month 25],PerHeadcount[exp_item],$H1100,PerHeadcount[company_name],$B1100)*AJ260)</f>
        <v>0</v>
      </c>
      <c r="AK1100" s="652">
        <f>IF($B1100="",,SUMIFS(PerHeadcount[Month 26],PerHeadcount[exp_item],$H1100,PerHeadcount[company_name],$B1100)*AK260)</f>
        <v>0</v>
      </c>
      <c r="AL1100" s="652">
        <f>IF($B1100="",,SUMIFS(PerHeadcount[Month 27],PerHeadcount[exp_item],$H1100,PerHeadcount[company_name],$B1100)*AL260)</f>
        <v>0</v>
      </c>
      <c r="AM1100" s="652">
        <f>IF($B1100="",,SUMIFS(PerHeadcount[Month 28],PerHeadcount[exp_item],$H1100,PerHeadcount[company_name],$B1100)*AM260)</f>
        <v>0</v>
      </c>
      <c r="AN1100" s="652">
        <f>IF($B1100="",,SUMIFS(PerHeadcount[Month 29],PerHeadcount[exp_item],$H1100,PerHeadcount[company_name],$B1100)*AN260)</f>
        <v>0</v>
      </c>
      <c r="AO1100" s="652">
        <f>IF($B1100="",,SUMIFS(PerHeadcount[Month 30],PerHeadcount[exp_item],$H1100,PerHeadcount[company_name],$B1100)*AO260)</f>
        <v>0</v>
      </c>
      <c r="AP1100" s="652">
        <f>IF($B1100="",,SUMIFS(PerHeadcount[Month 31],PerHeadcount[exp_item],$H1100,PerHeadcount[company_name],$B1100)*AP260)</f>
        <v>0</v>
      </c>
      <c r="AQ1100" s="652">
        <f>IF($B1100="",,SUMIFS(PerHeadcount[Month 32],PerHeadcount[exp_item],$H1100,PerHeadcount[company_name],$B1100)*AQ260)</f>
        <v>0</v>
      </c>
      <c r="AR1100" s="652">
        <f>IF($B1100="",,SUMIFS(PerHeadcount[Month 33],PerHeadcount[exp_item],$H1100,PerHeadcount[company_name],$B1100)*AR260)</f>
        <v>0</v>
      </c>
      <c r="AS1100" s="652">
        <f>IF($B1100="",,SUMIFS(PerHeadcount[Month 34],PerHeadcount[exp_item],$H1100,PerHeadcount[company_name],$B1100)*AS260)</f>
        <v>0</v>
      </c>
      <c r="AT1100" s="652">
        <f>IF($B1100="",,SUMIFS(PerHeadcount[Month 35],PerHeadcount[exp_item],$H1100,PerHeadcount[company_name],$B1100)*AT260)</f>
        <v>0</v>
      </c>
      <c r="AU1100" s="652">
        <f>IF($B1100="",,SUMIFS(PerHeadcount[Month 36],PerHeadcount[exp_item],$H1100,PerHeadcount[company_name],$B1100)*AU260)</f>
        <v>0</v>
      </c>
    </row>
    <row r="1101" spans="2:47" x14ac:dyDescent="0.35">
      <c r="B1101" t="str">
        <f t="shared" si="732"/>
        <v/>
      </c>
      <c r="C1101" t="str">
        <f t="shared" ref="C1101:G1101" si="744">IF(C996="","",C996)</f>
        <v/>
      </c>
      <c r="D1101" t="str">
        <f t="shared" si="744"/>
        <v/>
      </c>
      <c r="E1101" t="str">
        <f t="shared" si="744"/>
        <v/>
      </c>
      <c r="F1101" t="str">
        <f t="shared" si="744"/>
        <v/>
      </c>
      <c r="G1101" t="str">
        <f t="shared" si="744"/>
        <v/>
      </c>
      <c r="H1101" t="str">
        <f t="shared" si="731"/>
        <v/>
      </c>
      <c r="J1101" t="str">
        <f>IF($H1101="","",IF(VLOOKUP(H1101,ExpItems[],2,0),H1101&amp;" - "&amp;INDEX(DivisionMapping[category_code],MATCH($D1101&amp;$C1101,DivisionMapping[dept_bu],0)),H1101))</f>
        <v/>
      </c>
      <c r="K1101" t="str">
        <f t="shared" si="734"/>
        <v/>
      </c>
      <c r="L1101" s="652">
        <f>IF($B1101="",,SUMIFS(PerHeadcount[Month 1],PerHeadcount[exp_item],$H1101,PerHeadcount[company_name],$B1101)*L261)</f>
        <v>0</v>
      </c>
      <c r="M1101" s="652">
        <f>IF($B1101="",,SUMIFS(PerHeadcount[Month 2],PerHeadcount[exp_item],$H1101,PerHeadcount[company_name],$B1101)*M261)</f>
        <v>0</v>
      </c>
      <c r="N1101" s="652">
        <f>IF($B1101="",,SUMIFS(PerHeadcount[Month 3],PerHeadcount[exp_item],$H1101,PerHeadcount[company_name],$B1101)*N261)</f>
        <v>0</v>
      </c>
      <c r="O1101" s="652">
        <f>IF($B1101="",,SUMIFS(PerHeadcount[Month 4],PerHeadcount[exp_item],$H1101,PerHeadcount[company_name],$B1101)*O261)</f>
        <v>0</v>
      </c>
      <c r="P1101" s="652">
        <f>IF($B1101="",,SUMIFS(PerHeadcount[Month 5],PerHeadcount[exp_item],$H1101,PerHeadcount[company_name],$B1101)*P261)</f>
        <v>0</v>
      </c>
      <c r="Q1101" s="652">
        <f>IF($B1101="",,SUMIFS(PerHeadcount[Month 6],PerHeadcount[exp_item],$H1101,PerHeadcount[company_name],$B1101)*Q261)</f>
        <v>0</v>
      </c>
      <c r="R1101" s="652">
        <f>IF($B1101="",,SUMIFS(PerHeadcount[Month 7],PerHeadcount[exp_item],$H1101,PerHeadcount[company_name],$B1101)*R261)</f>
        <v>0</v>
      </c>
      <c r="S1101" s="652">
        <f>IF($B1101="",,SUMIFS(PerHeadcount[Month 8],PerHeadcount[exp_item],$H1101,PerHeadcount[company_name],$B1101)*S261)</f>
        <v>0</v>
      </c>
      <c r="T1101" s="652">
        <f>IF($B1101="",,SUMIFS(PerHeadcount[Month 9],PerHeadcount[exp_item],$H1101,PerHeadcount[company_name],$B1101)*T261)</f>
        <v>0</v>
      </c>
      <c r="U1101" s="652">
        <f>IF($B1101="",,SUMIFS(PerHeadcount[Month 10],PerHeadcount[exp_item],$H1101,PerHeadcount[company_name],$B1101)*U261)</f>
        <v>0</v>
      </c>
      <c r="V1101" s="652">
        <f>IF($B1101="",,SUMIFS(PerHeadcount[Month 11],PerHeadcount[exp_item],$H1101,PerHeadcount[company_name],$B1101)*V261)</f>
        <v>0</v>
      </c>
      <c r="W1101" s="652">
        <f>IF($B1101="",,SUMIFS(PerHeadcount[Month 12],PerHeadcount[exp_item],$H1101,PerHeadcount[company_name],$B1101)*W261)</f>
        <v>0</v>
      </c>
      <c r="X1101" s="652">
        <f>IF($B1101="",,SUMIFS(PerHeadcount[Month 13],PerHeadcount[exp_item],$H1101,PerHeadcount[company_name],$B1101)*X261)</f>
        <v>0</v>
      </c>
      <c r="Y1101" s="652">
        <f>IF($B1101="",,SUMIFS(PerHeadcount[Month 14],PerHeadcount[exp_item],$H1101,PerHeadcount[company_name],$B1101)*Y261)</f>
        <v>0</v>
      </c>
      <c r="Z1101" s="652">
        <f>IF($B1101="",,SUMIFS(PerHeadcount[Month 15],PerHeadcount[exp_item],$H1101,PerHeadcount[company_name],$B1101)*Z261)</f>
        <v>0</v>
      </c>
      <c r="AA1101" s="652">
        <f>IF($B1101="",,SUMIFS(PerHeadcount[Month 16],PerHeadcount[exp_item],$H1101,PerHeadcount[company_name],$B1101)*AA261)</f>
        <v>0</v>
      </c>
      <c r="AB1101" s="652">
        <f>IF($B1101="",,SUMIFS(PerHeadcount[Month 17],PerHeadcount[exp_item],$H1101,PerHeadcount[company_name],$B1101)*AB261)</f>
        <v>0</v>
      </c>
      <c r="AC1101" s="652">
        <f>IF($B1101="",,SUMIFS(PerHeadcount[Month 18],PerHeadcount[exp_item],$H1101,PerHeadcount[company_name],$B1101)*AC261)</f>
        <v>0</v>
      </c>
      <c r="AD1101" s="652">
        <f>IF($B1101="",,SUMIFS(PerHeadcount[Month 19],PerHeadcount[exp_item],$H1101,PerHeadcount[company_name],$B1101)*AD261)</f>
        <v>0</v>
      </c>
      <c r="AE1101" s="652">
        <f>IF($B1101="",,SUMIFS(PerHeadcount[Month 20],PerHeadcount[exp_item],$H1101,PerHeadcount[company_name],$B1101)*AE261)</f>
        <v>0</v>
      </c>
      <c r="AF1101" s="652">
        <f>IF($B1101="",,SUMIFS(PerHeadcount[Month 21],PerHeadcount[exp_item],$H1101,PerHeadcount[company_name],$B1101)*AF261)</f>
        <v>0</v>
      </c>
      <c r="AG1101" s="652">
        <f>IF($B1101="",,SUMIFS(PerHeadcount[Month 22],PerHeadcount[exp_item],$H1101,PerHeadcount[company_name],$B1101)*AG261)</f>
        <v>0</v>
      </c>
      <c r="AH1101" s="652">
        <f>IF($B1101="",,SUMIFS(PerHeadcount[Month 23],PerHeadcount[exp_item],$H1101,PerHeadcount[company_name],$B1101)*AH261)</f>
        <v>0</v>
      </c>
      <c r="AI1101" s="652">
        <f>IF($B1101="",,SUMIFS(PerHeadcount[Month 24],PerHeadcount[exp_item],$H1101,PerHeadcount[company_name],$B1101)*AI261)</f>
        <v>0</v>
      </c>
      <c r="AJ1101" s="652">
        <f>IF($B1101="",,SUMIFS(PerHeadcount[Month 25],PerHeadcount[exp_item],$H1101,PerHeadcount[company_name],$B1101)*AJ261)</f>
        <v>0</v>
      </c>
      <c r="AK1101" s="652">
        <f>IF($B1101="",,SUMIFS(PerHeadcount[Month 26],PerHeadcount[exp_item],$H1101,PerHeadcount[company_name],$B1101)*AK261)</f>
        <v>0</v>
      </c>
      <c r="AL1101" s="652">
        <f>IF($B1101="",,SUMIFS(PerHeadcount[Month 27],PerHeadcount[exp_item],$H1101,PerHeadcount[company_name],$B1101)*AL261)</f>
        <v>0</v>
      </c>
      <c r="AM1101" s="652">
        <f>IF($B1101="",,SUMIFS(PerHeadcount[Month 28],PerHeadcount[exp_item],$H1101,PerHeadcount[company_name],$B1101)*AM261)</f>
        <v>0</v>
      </c>
      <c r="AN1101" s="652">
        <f>IF($B1101="",,SUMIFS(PerHeadcount[Month 29],PerHeadcount[exp_item],$H1101,PerHeadcount[company_name],$B1101)*AN261)</f>
        <v>0</v>
      </c>
      <c r="AO1101" s="652">
        <f>IF($B1101="",,SUMIFS(PerHeadcount[Month 30],PerHeadcount[exp_item],$H1101,PerHeadcount[company_name],$B1101)*AO261)</f>
        <v>0</v>
      </c>
      <c r="AP1101" s="652">
        <f>IF($B1101="",,SUMIFS(PerHeadcount[Month 31],PerHeadcount[exp_item],$H1101,PerHeadcount[company_name],$B1101)*AP261)</f>
        <v>0</v>
      </c>
      <c r="AQ1101" s="652">
        <f>IF($B1101="",,SUMIFS(PerHeadcount[Month 32],PerHeadcount[exp_item],$H1101,PerHeadcount[company_name],$B1101)*AQ261)</f>
        <v>0</v>
      </c>
      <c r="AR1101" s="652">
        <f>IF($B1101="",,SUMIFS(PerHeadcount[Month 33],PerHeadcount[exp_item],$H1101,PerHeadcount[company_name],$B1101)*AR261)</f>
        <v>0</v>
      </c>
      <c r="AS1101" s="652">
        <f>IF($B1101="",,SUMIFS(PerHeadcount[Month 34],PerHeadcount[exp_item],$H1101,PerHeadcount[company_name],$B1101)*AS261)</f>
        <v>0</v>
      </c>
      <c r="AT1101" s="652">
        <f>IF($B1101="",,SUMIFS(PerHeadcount[Month 35],PerHeadcount[exp_item],$H1101,PerHeadcount[company_name],$B1101)*AT261)</f>
        <v>0</v>
      </c>
      <c r="AU1101" s="652">
        <f>IF($B1101="",,SUMIFS(PerHeadcount[Month 36],PerHeadcount[exp_item],$H1101,PerHeadcount[company_name],$B1101)*AU261)</f>
        <v>0</v>
      </c>
    </row>
    <row r="1102" spans="2:47" x14ac:dyDescent="0.35">
      <c r="B1102" t="str">
        <f t="shared" si="732"/>
        <v/>
      </c>
      <c r="C1102" t="str">
        <f t="shared" ref="C1102:G1102" si="745">IF(C997="","",C997)</f>
        <v/>
      </c>
      <c r="D1102" t="str">
        <f t="shared" si="745"/>
        <v/>
      </c>
      <c r="E1102" t="str">
        <f t="shared" si="745"/>
        <v/>
      </c>
      <c r="F1102" t="str">
        <f t="shared" si="745"/>
        <v/>
      </c>
      <c r="G1102" t="str">
        <f t="shared" si="745"/>
        <v/>
      </c>
      <c r="H1102" t="str">
        <f t="shared" si="731"/>
        <v/>
      </c>
      <c r="J1102" t="str">
        <f>IF($H1102="","",IF(VLOOKUP(H1102,ExpItems[],2,0),H1102&amp;" - "&amp;INDEX(DivisionMapping[category_code],MATCH($D1102&amp;$C1102,DivisionMapping[dept_bu],0)),H1102))</f>
        <v/>
      </c>
      <c r="K1102" t="str">
        <f t="shared" si="734"/>
        <v/>
      </c>
      <c r="L1102" s="652">
        <f>IF($B1102="",,SUMIFS(PerHeadcount[Month 1],PerHeadcount[exp_item],$H1102,PerHeadcount[company_name],$B1102)*L262)</f>
        <v>0</v>
      </c>
      <c r="M1102" s="652">
        <f>IF($B1102="",,SUMIFS(PerHeadcount[Month 2],PerHeadcount[exp_item],$H1102,PerHeadcount[company_name],$B1102)*M262)</f>
        <v>0</v>
      </c>
      <c r="N1102" s="652">
        <f>IF($B1102="",,SUMIFS(PerHeadcount[Month 3],PerHeadcount[exp_item],$H1102,PerHeadcount[company_name],$B1102)*N262)</f>
        <v>0</v>
      </c>
      <c r="O1102" s="652">
        <f>IF($B1102="",,SUMIFS(PerHeadcount[Month 4],PerHeadcount[exp_item],$H1102,PerHeadcount[company_name],$B1102)*O262)</f>
        <v>0</v>
      </c>
      <c r="P1102" s="652">
        <f>IF($B1102="",,SUMIFS(PerHeadcount[Month 5],PerHeadcount[exp_item],$H1102,PerHeadcount[company_name],$B1102)*P262)</f>
        <v>0</v>
      </c>
      <c r="Q1102" s="652">
        <f>IF($B1102="",,SUMIFS(PerHeadcount[Month 6],PerHeadcount[exp_item],$H1102,PerHeadcount[company_name],$B1102)*Q262)</f>
        <v>0</v>
      </c>
      <c r="R1102" s="652">
        <f>IF($B1102="",,SUMIFS(PerHeadcount[Month 7],PerHeadcount[exp_item],$H1102,PerHeadcount[company_name],$B1102)*R262)</f>
        <v>0</v>
      </c>
      <c r="S1102" s="652">
        <f>IF($B1102="",,SUMIFS(PerHeadcount[Month 8],PerHeadcount[exp_item],$H1102,PerHeadcount[company_name],$B1102)*S262)</f>
        <v>0</v>
      </c>
      <c r="T1102" s="652">
        <f>IF($B1102="",,SUMIFS(PerHeadcount[Month 9],PerHeadcount[exp_item],$H1102,PerHeadcount[company_name],$B1102)*T262)</f>
        <v>0</v>
      </c>
      <c r="U1102" s="652">
        <f>IF($B1102="",,SUMIFS(PerHeadcount[Month 10],PerHeadcount[exp_item],$H1102,PerHeadcount[company_name],$B1102)*U262)</f>
        <v>0</v>
      </c>
      <c r="V1102" s="652">
        <f>IF($B1102="",,SUMIFS(PerHeadcount[Month 11],PerHeadcount[exp_item],$H1102,PerHeadcount[company_name],$B1102)*V262)</f>
        <v>0</v>
      </c>
      <c r="W1102" s="652">
        <f>IF($B1102="",,SUMIFS(PerHeadcount[Month 12],PerHeadcount[exp_item],$H1102,PerHeadcount[company_name],$B1102)*W262)</f>
        <v>0</v>
      </c>
      <c r="X1102" s="652">
        <f>IF($B1102="",,SUMIFS(PerHeadcount[Month 13],PerHeadcount[exp_item],$H1102,PerHeadcount[company_name],$B1102)*X262)</f>
        <v>0</v>
      </c>
      <c r="Y1102" s="652">
        <f>IF($B1102="",,SUMIFS(PerHeadcount[Month 14],PerHeadcount[exp_item],$H1102,PerHeadcount[company_name],$B1102)*Y262)</f>
        <v>0</v>
      </c>
      <c r="Z1102" s="652">
        <f>IF($B1102="",,SUMIFS(PerHeadcount[Month 15],PerHeadcount[exp_item],$H1102,PerHeadcount[company_name],$B1102)*Z262)</f>
        <v>0</v>
      </c>
      <c r="AA1102" s="652">
        <f>IF($B1102="",,SUMIFS(PerHeadcount[Month 16],PerHeadcount[exp_item],$H1102,PerHeadcount[company_name],$B1102)*AA262)</f>
        <v>0</v>
      </c>
      <c r="AB1102" s="652">
        <f>IF($B1102="",,SUMIFS(PerHeadcount[Month 17],PerHeadcount[exp_item],$H1102,PerHeadcount[company_name],$B1102)*AB262)</f>
        <v>0</v>
      </c>
      <c r="AC1102" s="652">
        <f>IF($B1102="",,SUMIFS(PerHeadcount[Month 18],PerHeadcount[exp_item],$H1102,PerHeadcount[company_name],$B1102)*AC262)</f>
        <v>0</v>
      </c>
      <c r="AD1102" s="652">
        <f>IF($B1102="",,SUMIFS(PerHeadcount[Month 19],PerHeadcount[exp_item],$H1102,PerHeadcount[company_name],$B1102)*AD262)</f>
        <v>0</v>
      </c>
      <c r="AE1102" s="652">
        <f>IF($B1102="",,SUMIFS(PerHeadcount[Month 20],PerHeadcount[exp_item],$H1102,PerHeadcount[company_name],$B1102)*AE262)</f>
        <v>0</v>
      </c>
      <c r="AF1102" s="652">
        <f>IF($B1102="",,SUMIFS(PerHeadcount[Month 21],PerHeadcount[exp_item],$H1102,PerHeadcount[company_name],$B1102)*AF262)</f>
        <v>0</v>
      </c>
      <c r="AG1102" s="652">
        <f>IF($B1102="",,SUMIFS(PerHeadcount[Month 22],PerHeadcount[exp_item],$H1102,PerHeadcount[company_name],$B1102)*AG262)</f>
        <v>0</v>
      </c>
      <c r="AH1102" s="652">
        <f>IF($B1102="",,SUMIFS(PerHeadcount[Month 23],PerHeadcount[exp_item],$H1102,PerHeadcount[company_name],$B1102)*AH262)</f>
        <v>0</v>
      </c>
      <c r="AI1102" s="652">
        <f>IF($B1102="",,SUMIFS(PerHeadcount[Month 24],PerHeadcount[exp_item],$H1102,PerHeadcount[company_name],$B1102)*AI262)</f>
        <v>0</v>
      </c>
      <c r="AJ1102" s="652">
        <f>IF($B1102="",,SUMIFS(PerHeadcount[Month 25],PerHeadcount[exp_item],$H1102,PerHeadcount[company_name],$B1102)*AJ262)</f>
        <v>0</v>
      </c>
      <c r="AK1102" s="652">
        <f>IF($B1102="",,SUMIFS(PerHeadcount[Month 26],PerHeadcount[exp_item],$H1102,PerHeadcount[company_name],$B1102)*AK262)</f>
        <v>0</v>
      </c>
      <c r="AL1102" s="652">
        <f>IF($B1102="",,SUMIFS(PerHeadcount[Month 27],PerHeadcount[exp_item],$H1102,PerHeadcount[company_name],$B1102)*AL262)</f>
        <v>0</v>
      </c>
      <c r="AM1102" s="652">
        <f>IF($B1102="",,SUMIFS(PerHeadcount[Month 28],PerHeadcount[exp_item],$H1102,PerHeadcount[company_name],$B1102)*AM262)</f>
        <v>0</v>
      </c>
      <c r="AN1102" s="652">
        <f>IF($B1102="",,SUMIFS(PerHeadcount[Month 29],PerHeadcount[exp_item],$H1102,PerHeadcount[company_name],$B1102)*AN262)</f>
        <v>0</v>
      </c>
      <c r="AO1102" s="652">
        <f>IF($B1102="",,SUMIFS(PerHeadcount[Month 30],PerHeadcount[exp_item],$H1102,PerHeadcount[company_name],$B1102)*AO262)</f>
        <v>0</v>
      </c>
      <c r="AP1102" s="652">
        <f>IF($B1102="",,SUMIFS(PerHeadcount[Month 31],PerHeadcount[exp_item],$H1102,PerHeadcount[company_name],$B1102)*AP262)</f>
        <v>0</v>
      </c>
      <c r="AQ1102" s="652">
        <f>IF($B1102="",,SUMIFS(PerHeadcount[Month 32],PerHeadcount[exp_item],$H1102,PerHeadcount[company_name],$B1102)*AQ262)</f>
        <v>0</v>
      </c>
      <c r="AR1102" s="652">
        <f>IF($B1102="",,SUMIFS(PerHeadcount[Month 33],PerHeadcount[exp_item],$H1102,PerHeadcount[company_name],$B1102)*AR262)</f>
        <v>0</v>
      </c>
      <c r="AS1102" s="652">
        <f>IF($B1102="",,SUMIFS(PerHeadcount[Month 34],PerHeadcount[exp_item],$H1102,PerHeadcount[company_name],$B1102)*AS262)</f>
        <v>0</v>
      </c>
      <c r="AT1102" s="652">
        <f>IF($B1102="",,SUMIFS(PerHeadcount[Month 35],PerHeadcount[exp_item],$H1102,PerHeadcount[company_name],$B1102)*AT262)</f>
        <v>0</v>
      </c>
      <c r="AU1102" s="652">
        <f>IF($B1102="",,SUMIFS(PerHeadcount[Month 36],PerHeadcount[exp_item],$H1102,PerHeadcount[company_name],$B1102)*AU262)</f>
        <v>0</v>
      </c>
    </row>
    <row r="1103" spans="2:47" x14ac:dyDescent="0.35">
      <c r="B1103" t="str">
        <f t="shared" si="732"/>
        <v/>
      </c>
      <c r="C1103" t="str">
        <f t="shared" ref="C1103:G1103" si="746">IF(C998="","",C998)</f>
        <v/>
      </c>
      <c r="D1103" t="str">
        <f t="shared" si="746"/>
        <v/>
      </c>
      <c r="E1103" t="str">
        <f t="shared" si="746"/>
        <v/>
      </c>
      <c r="F1103" t="str">
        <f t="shared" si="746"/>
        <v/>
      </c>
      <c r="G1103" t="str">
        <f t="shared" si="746"/>
        <v/>
      </c>
      <c r="H1103" t="str">
        <f t="shared" si="731"/>
        <v/>
      </c>
      <c r="J1103" t="str">
        <f>IF($H1103="","",IF(VLOOKUP(H1103,ExpItems[],2,0),H1103&amp;" - "&amp;INDEX(DivisionMapping[category_code],MATCH($D1103&amp;$C1103,DivisionMapping[dept_bu],0)),H1103))</f>
        <v/>
      </c>
      <c r="K1103" t="str">
        <f t="shared" si="734"/>
        <v/>
      </c>
      <c r="L1103" s="652">
        <f>IF($B1103="",,SUMIFS(PerHeadcount[Month 1],PerHeadcount[exp_item],$H1103,PerHeadcount[company_name],$B1103)*L263)</f>
        <v>0</v>
      </c>
      <c r="M1103" s="652">
        <f>IF($B1103="",,SUMIFS(PerHeadcount[Month 2],PerHeadcount[exp_item],$H1103,PerHeadcount[company_name],$B1103)*M263)</f>
        <v>0</v>
      </c>
      <c r="N1103" s="652">
        <f>IF($B1103="",,SUMIFS(PerHeadcount[Month 3],PerHeadcount[exp_item],$H1103,PerHeadcount[company_name],$B1103)*N263)</f>
        <v>0</v>
      </c>
      <c r="O1103" s="652">
        <f>IF($B1103="",,SUMIFS(PerHeadcount[Month 4],PerHeadcount[exp_item],$H1103,PerHeadcount[company_name],$B1103)*O263)</f>
        <v>0</v>
      </c>
      <c r="P1103" s="652">
        <f>IF($B1103="",,SUMIFS(PerHeadcount[Month 5],PerHeadcount[exp_item],$H1103,PerHeadcount[company_name],$B1103)*P263)</f>
        <v>0</v>
      </c>
      <c r="Q1103" s="652">
        <f>IF($B1103="",,SUMIFS(PerHeadcount[Month 6],PerHeadcount[exp_item],$H1103,PerHeadcount[company_name],$B1103)*Q263)</f>
        <v>0</v>
      </c>
      <c r="R1103" s="652">
        <f>IF($B1103="",,SUMIFS(PerHeadcount[Month 7],PerHeadcount[exp_item],$H1103,PerHeadcount[company_name],$B1103)*R263)</f>
        <v>0</v>
      </c>
      <c r="S1103" s="652">
        <f>IF($B1103="",,SUMIFS(PerHeadcount[Month 8],PerHeadcount[exp_item],$H1103,PerHeadcount[company_name],$B1103)*S263)</f>
        <v>0</v>
      </c>
      <c r="T1103" s="652">
        <f>IF($B1103="",,SUMIFS(PerHeadcount[Month 9],PerHeadcount[exp_item],$H1103,PerHeadcount[company_name],$B1103)*T263)</f>
        <v>0</v>
      </c>
      <c r="U1103" s="652">
        <f>IF($B1103="",,SUMIFS(PerHeadcount[Month 10],PerHeadcount[exp_item],$H1103,PerHeadcount[company_name],$B1103)*U263)</f>
        <v>0</v>
      </c>
      <c r="V1103" s="652">
        <f>IF($B1103="",,SUMIFS(PerHeadcount[Month 11],PerHeadcount[exp_item],$H1103,PerHeadcount[company_name],$B1103)*V263)</f>
        <v>0</v>
      </c>
      <c r="W1103" s="652">
        <f>IF($B1103="",,SUMIFS(PerHeadcount[Month 12],PerHeadcount[exp_item],$H1103,PerHeadcount[company_name],$B1103)*W263)</f>
        <v>0</v>
      </c>
      <c r="X1103" s="652">
        <f>IF($B1103="",,SUMIFS(PerHeadcount[Month 13],PerHeadcount[exp_item],$H1103,PerHeadcount[company_name],$B1103)*X263)</f>
        <v>0</v>
      </c>
      <c r="Y1103" s="652">
        <f>IF($B1103="",,SUMIFS(PerHeadcount[Month 14],PerHeadcount[exp_item],$H1103,PerHeadcount[company_name],$B1103)*Y263)</f>
        <v>0</v>
      </c>
      <c r="Z1103" s="652">
        <f>IF($B1103="",,SUMIFS(PerHeadcount[Month 15],PerHeadcount[exp_item],$H1103,PerHeadcount[company_name],$B1103)*Z263)</f>
        <v>0</v>
      </c>
      <c r="AA1103" s="652">
        <f>IF($B1103="",,SUMIFS(PerHeadcount[Month 16],PerHeadcount[exp_item],$H1103,PerHeadcount[company_name],$B1103)*AA263)</f>
        <v>0</v>
      </c>
      <c r="AB1103" s="652">
        <f>IF($B1103="",,SUMIFS(PerHeadcount[Month 17],PerHeadcount[exp_item],$H1103,PerHeadcount[company_name],$B1103)*AB263)</f>
        <v>0</v>
      </c>
      <c r="AC1103" s="652">
        <f>IF($B1103="",,SUMIFS(PerHeadcount[Month 18],PerHeadcount[exp_item],$H1103,PerHeadcount[company_name],$B1103)*AC263)</f>
        <v>0</v>
      </c>
      <c r="AD1103" s="652">
        <f>IF($B1103="",,SUMIFS(PerHeadcount[Month 19],PerHeadcount[exp_item],$H1103,PerHeadcount[company_name],$B1103)*AD263)</f>
        <v>0</v>
      </c>
      <c r="AE1103" s="652">
        <f>IF($B1103="",,SUMIFS(PerHeadcount[Month 20],PerHeadcount[exp_item],$H1103,PerHeadcount[company_name],$B1103)*AE263)</f>
        <v>0</v>
      </c>
      <c r="AF1103" s="652">
        <f>IF($B1103="",,SUMIFS(PerHeadcount[Month 21],PerHeadcount[exp_item],$H1103,PerHeadcount[company_name],$B1103)*AF263)</f>
        <v>0</v>
      </c>
      <c r="AG1103" s="652">
        <f>IF($B1103="",,SUMIFS(PerHeadcount[Month 22],PerHeadcount[exp_item],$H1103,PerHeadcount[company_name],$B1103)*AG263)</f>
        <v>0</v>
      </c>
      <c r="AH1103" s="652">
        <f>IF($B1103="",,SUMIFS(PerHeadcount[Month 23],PerHeadcount[exp_item],$H1103,PerHeadcount[company_name],$B1103)*AH263)</f>
        <v>0</v>
      </c>
      <c r="AI1103" s="652">
        <f>IF($B1103="",,SUMIFS(PerHeadcount[Month 24],PerHeadcount[exp_item],$H1103,PerHeadcount[company_name],$B1103)*AI263)</f>
        <v>0</v>
      </c>
      <c r="AJ1103" s="652">
        <f>IF($B1103="",,SUMIFS(PerHeadcount[Month 25],PerHeadcount[exp_item],$H1103,PerHeadcount[company_name],$B1103)*AJ263)</f>
        <v>0</v>
      </c>
      <c r="AK1103" s="652">
        <f>IF($B1103="",,SUMIFS(PerHeadcount[Month 26],PerHeadcount[exp_item],$H1103,PerHeadcount[company_name],$B1103)*AK263)</f>
        <v>0</v>
      </c>
      <c r="AL1103" s="652">
        <f>IF($B1103="",,SUMIFS(PerHeadcount[Month 27],PerHeadcount[exp_item],$H1103,PerHeadcount[company_name],$B1103)*AL263)</f>
        <v>0</v>
      </c>
      <c r="AM1103" s="652">
        <f>IF($B1103="",,SUMIFS(PerHeadcount[Month 28],PerHeadcount[exp_item],$H1103,PerHeadcount[company_name],$B1103)*AM263)</f>
        <v>0</v>
      </c>
      <c r="AN1103" s="652">
        <f>IF($B1103="",,SUMIFS(PerHeadcount[Month 29],PerHeadcount[exp_item],$H1103,PerHeadcount[company_name],$B1103)*AN263)</f>
        <v>0</v>
      </c>
      <c r="AO1103" s="652">
        <f>IF($B1103="",,SUMIFS(PerHeadcount[Month 30],PerHeadcount[exp_item],$H1103,PerHeadcount[company_name],$B1103)*AO263)</f>
        <v>0</v>
      </c>
      <c r="AP1103" s="652">
        <f>IF($B1103="",,SUMIFS(PerHeadcount[Month 31],PerHeadcount[exp_item],$H1103,PerHeadcount[company_name],$B1103)*AP263)</f>
        <v>0</v>
      </c>
      <c r="AQ1103" s="652">
        <f>IF($B1103="",,SUMIFS(PerHeadcount[Month 32],PerHeadcount[exp_item],$H1103,PerHeadcount[company_name],$B1103)*AQ263)</f>
        <v>0</v>
      </c>
      <c r="AR1103" s="652">
        <f>IF($B1103="",,SUMIFS(PerHeadcount[Month 33],PerHeadcount[exp_item],$H1103,PerHeadcount[company_name],$B1103)*AR263)</f>
        <v>0</v>
      </c>
      <c r="AS1103" s="652">
        <f>IF($B1103="",,SUMIFS(PerHeadcount[Month 34],PerHeadcount[exp_item],$H1103,PerHeadcount[company_name],$B1103)*AS263)</f>
        <v>0</v>
      </c>
      <c r="AT1103" s="652">
        <f>IF($B1103="",,SUMIFS(PerHeadcount[Month 35],PerHeadcount[exp_item],$H1103,PerHeadcount[company_name],$B1103)*AT263)</f>
        <v>0</v>
      </c>
      <c r="AU1103" s="652">
        <f>IF($B1103="",,SUMIFS(PerHeadcount[Month 36],PerHeadcount[exp_item],$H1103,PerHeadcount[company_name],$B1103)*AU263)</f>
        <v>0</v>
      </c>
    </row>
    <row r="1104" spans="2:47" x14ac:dyDescent="0.35">
      <c r="B1104" t="str">
        <f t="shared" si="732"/>
        <v/>
      </c>
      <c r="C1104" t="str">
        <f t="shared" ref="C1104:G1104" si="747">IF(C999="","",C999)</f>
        <v/>
      </c>
      <c r="D1104" t="str">
        <f t="shared" si="747"/>
        <v/>
      </c>
      <c r="E1104" t="str">
        <f t="shared" si="747"/>
        <v/>
      </c>
      <c r="F1104" t="str">
        <f t="shared" si="747"/>
        <v/>
      </c>
      <c r="G1104" t="str">
        <f t="shared" si="747"/>
        <v/>
      </c>
      <c r="H1104" t="str">
        <f t="shared" si="731"/>
        <v/>
      </c>
      <c r="J1104" t="str">
        <f>IF($H1104="","",IF(VLOOKUP(H1104,ExpItems[],2,0),H1104&amp;" - "&amp;INDEX(DivisionMapping[category_code],MATCH($D1104&amp;$C1104,DivisionMapping[dept_bu],0)),H1104))</f>
        <v/>
      </c>
      <c r="K1104" t="str">
        <f t="shared" si="734"/>
        <v/>
      </c>
      <c r="L1104" s="652">
        <f>IF($B1104="",,SUMIFS(PerHeadcount[Month 1],PerHeadcount[exp_item],$H1104,PerHeadcount[company_name],$B1104)*L264)</f>
        <v>0</v>
      </c>
      <c r="M1104" s="652">
        <f>IF($B1104="",,SUMIFS(PerHeadcount[Month 2],PerHeadcount[exp_item],$H1104,PerHeadcount[company_name],$B1104)*M264)</f>
        <v>0</v>
      </c>
      <c r="N1104" s="652">
        <f>IF($B1104="",,SUMIFS(PerHeadcount[Month 3],PerHeadcount[exp_item],$H1104,PerHeadcount[company_name],$B1104)*N264)</f>
        <v>0</v>
      </c>
      <c r="O1104" s="652">
        <f>IF($B1104="",,SUMIFS(PerHeadcount[Month 4],PerHeadcount[exp_item],$H1104,PerHeadcount[company_name],$B1104)*O264)</f>
        <v>0</v>
      </c>
      <c r="P1104" s="652">
        <f>IF($B1104="",,SUMIFS(PerHeadcount[Month 5],PerHeadcount[exp_item],$H1104,PerHeadcount[company_name],$B1104)*P264)</f>
        <v>0</v>
      </c>
      <c r="Q1104" s="652">
        <f>IF($B1104="",,SUMIFS(PerHeadcount[Month 6],PerHeadcount[exp_item],$H1104,PerHeadcount[company_name],$B1104)*Q264)</f>
        <v>0</v>
      </c>
      <c r="R1104" s="652">
        <f>IF($B1104="",,SUMIFS(PerHeadcount[Month 7],PerHeadcount[exp_item],$H1104,PerHeadcount[company_name],$B1104)*R264)</f>
        <v>0</v>
      </c>
      <c r="S1104" s="652">
        <f>IF($B1104="",,SUMIFS(PerHeadcount[Month 8],PerHeadcount[exp_item],$H1104,PerHeadcount[company_name],$B1104)*S264)</f>
        <v>0</v>
      </c>
      <c r="T1104" s="652">
        <f>IF($B1104="",,SUMIFS(PerHeadcount[Month 9],PerHeadcount[exp_item],$H1104,PerHeadcount[company_name],$B1104)*T264)</f>
        <v>0</v>
      </c>
      <c r="U1104" s="652">
        <f>IF($B1104="",,SUMIFS(PerHeadcount[Month 10],PerHeadcount[exp_item],$H1104,PerHeadcount[company_name],$B1104)*U264)</f>
        <v>0</v>
      </c>
      <c r="V1104" s="652">
        <f>IF($B1104="",,SUMIFS(PerHeadcount[Month 11],PerHeadcount[exp_item],$H1104,PerHeadcount[company_name],$B1104)*V264)</f>
        <v>0</v>
      </c>
      <c r="W1104" s="652">
        <f>IF($B1104="",,SUMIFS(PerHeadcount[Month 12],PerHeadcount[exp_item],$H1104,PerHeadcount[company_name],$B1104)*W264)</f>
        <v>0</v>
      </c>
      <c r="X1104" s="652">
        <f>IF($B1104="",,SUMIFS(PerHeadcount[Month 13],PerHeadcount[exp_item],$H1104,PerHeadcount[company_name],$B1104)*X264)</f>
        <v>0</v>
      </c>
      <c r="Y1104" s="652">
        <f>IF($B1104="",,SUMIFS(PerHeadcount[Month 14],PerHeadcount[exp_item],$H1104,PerHeadcount[company_name],$B1104)*Y264)</f>
        <v>0</v>
      </c>
      <c r="Z1104" s="652">
        <f>IF($B1104="",,SUMIFS(PerHeadcount[Month 15],PerHeadcount[exp_item],$H1104,PerHeadcount[company_name],$B1104)*Z264)</f>
        <v>0</v>
      </c>
      <c r="AA1104" s="652">
        <f>IF($B1104="",,SUMIFS(PerHeadcount[Month 16],PerHeadcount[exp_item],$H1104,PerHeadcount[company_name],$B1104)*AA264)</f>
        <v>0</v>
      </c>
      <c r="AB1104" s="652">
        <f>IF($B1104="",,SUMIFS(PerHeadcount[Month 17],PerHeadcount[exp_item],$H1104,PerHeadcount[company_name],$B1104)*AB264)</f>
        <v>0</v>
      </c>
      <c r="AC1104" s="652">
        <f>IF($B1104="",,SUMIFS(PerHeadcount[Month 18],PerHeadcount[exp_item],$H1104,PerHeadcount[company_name],$B1104)*AC264)</f>
        <v>0</v>
      </c>
      <c r="AD1104" s="652">
        <f>IF($B1104="",,SUMIFS(PerHeadcount[Month 19],PerHeadcount[exp_item],$H1104,PerHeadcount[company_name],$B1104)*AD264)</f>
        <v>0</v>
      </c>
      <c r="AE1104" s="652">
        <f>IF($B1104="",,SUMIFS(PerHeadcount[Month 20],PerHeadcount[exp_item],$H1104,PerHeadcount[company_name],$B1104)*AE264)</f>
        <v>0</v>
      </c>
      <c r="AF1104" s="652">
        <f>IF($B1104="",,SUMIFS(PerHeadcount[Month 21],PerHeadcount[exp_item],$H1104,PerHeadcount[company_name],$B1104)*AF264)</f>
        <v>0</v>
      </c>
      <c r="AG1104" s="652">
        <f>IF($B1104="",,SUMIFS(PerHeadcount[Month 22],PerHeadcount[exp_item],$H1104,PerHeadcount[company_name],$B1104)*AG264)</f>
        <v>0</v>
      </c>
      <c r="AH1104" s="652">
        <f>IF($B1104="",,SUMIFS(PerHeadcount[Month 23],PerHeadcount[exp_item],$H1104,PerHeadcount[company_name],$B1104)*AH264)</f>
        <v>0</v>
      </c>
      <c r="AI1104" s="652">
        <f>IF($B1104="",,SUMIFS(PerHeadcount[Month 24],PerHeadcount[exp_item],$H1104,PerHeadcount[company_name],$B1104)*AI264)</f>
        <v>0</v>
      </c>
      <c r="AJ1104" s="652">
        <f>IF($B1104="",,SUMIFS(PerHeadcount[Month 25],PerHeadcount[exp_item],$H1104,PerHeadcount[company_name],$B1104)*AJ264)</f>
        <v>0</v>
      </c>
      <c r="AK1104" s="652">
        <f>IF($B1104="",,SUMIFS(PerHeadcount[Month 26],PerHeadcount[exp_item],$H1104,PerHeadcount[company_name],$B1104)*AK264)</f>
        <v>0</v>
      </c>
      <c r="AL1104" s="652">
        <f>IF($B1104="",,SUMIFS(PerHeadcount[Month 27],PerHeadcount[exp_item],$H1104,PerHeadcount[company_name],$B1104)*AL264)</f>
        <v>0</v>
      </c>
      <c r="AM1104" s="652">
        <f>IF($B1104="",,SUMIFS(PerHeadcount[Month 28],PerHeadcount[exp_item],$H1104,PerHeadcount[company_name],$B1104)*AM264)</f>
        <v>0</v>
      </c>
      <c r="AN1104" s="652">
        <f>IF($B1104="",,SUMIFS(PerHeadcount[Month 29],PerHeadcount[exp_item],$H1104,PerHeadcount[company_name],$B1104)*AN264)</f>
        <v>0</v>
      </c>
      <c r="AO1104" s="652">
        <f>IF($B1104="",,SUMIFS(PerHeadcount[Month 30],PerHeadcount[exp_item],$H1104,PerHeadcount[company_name],$B1104)*AO264)</f>
        <v>0</v>
      </c>
      <c r="AP1104" s="652">
        <f>IF($B1104="",,SUMIFS(PerHeadcount[Month 31],PerHeadcount[exp_item],$H1104,PerHeadcount[company_name],$B1104)*AP264)</f>
        <v>0</v>
      </c>
      <c r="AQ1104" s="652">
        <f>IF($B1104="",,SUMIFS(PerHeadcount[Month 32],PerHeadcount[exp_item],$H1104,PerHeadcount[company_name],$B1104)*AQ264)</f>
        <v>0</v>
      </c>
      <c r="AR1104" s="652">
        <f>IF($B1104="",,SUMIFS(PerHeadcount[Month 33],PerHeadcount[exp_item],$H1104,PerHeadcount[company_name],$B1104)*AR264)</f>
        <v>0</v>
      </c>
      <c r="AS1104" s="652">
        <f>IF($B1104="",,SUMIFS(PerHeadcount[Month 34],PerHeadcount[exp_item],$H1104,PerHeadcount[company_name],$B1104)*AS264)</f>
        <v>0</v>
      </c>
      <c r="AT1104" s="652">
        <f>IF($B1104="",,SUMIFS(PerHeadcount[Month 35],PerHeadcount[exp_item],$H1104,PerHeadcount[company_name],$B1104)*AT264)</f>
        <v>0</v>
      </c>
      <c r="AU1104" s="652">
        <f>IF($B1104="",,SUMIFS(PerHeadcount[Month 36],PerHeadcount[exp_item],$H1104,PerHeadcount[company_name],$B1104)*AU264)</f>
        <v>0</v>
      </c>
    </row>
    <row r="1105" spans="2:47" x14ac:dyDescent="0.35">
      <c r="B1105" t="str">
        <f t="shared" si="732"/>
        <v/>
      </c>
      <c r="C1105" t="str">
        <f t="shared" ref="C1105:G1105" si="748">IF(C1000="","",C1000)</f>
        <v/>
      </c>
      <c r="D1105" t="str">
        <f t="shared" si="748"/>
        <v/>
      </c>
      <c r="E1105" t="str">
        <f t="shared" si="748"/>
        <v/>
      </c>
      <c r="F1105" t="str">
        <f t="shared" si="748"/>
        <v/>
      </c>
      <c r="G1105" t="str">
        <f t="shared" si="748"/>
        <v/>
      </c>
      <c r="H1105" t="str">
        <f t="shared" si="731"/>
        <v/>
      </c>
      <c r="J1105" t="str">
        <f>IF($H1105="","",IF(VLOOKUP(H1105,ExpItems[],2,0),H1105&amp;" - "&amp;INDEX(DivisionMapping[category_code],MATCH($D1105&amp;$C1105,DivisionMapping[dept_bu],0)),H1105))</f>
        <v/>
      </c>
      <c r="K1105" t="str">
        <f t="shared" si="734"/>
        <v/>
      </c>
      <c r="L1105" s="652">
        <f>IF($B1105="",,SUMIFS(PerHeadcount[Month 1],PerHeadcount[exp_item],$H1105,PerHeadcount[company_name],$B1105)*L265)</f>
        <v>0</v>
      </c>
      <c r="M1105" s="652">
        <f>IF($B1105="",,SUMIFS(PerHeadcount[Month 2],PerHeadcount[exp_item],$H1105,PerHeadcount[company_name],$B1105)*M265)</f>
        <v>0</v>
      </c>
      <c r="N1105" s="652">
        <f>IF($B1105="",,SUMIFS(PerHeadcount[Month 3],PerHeadcount[exp_item],$H1105,PerHeadcount[company_name],$B1105)*N265)</f>
        <v>0</v>
      </c>
      <c r="O1105" s="652">
        <f>IF($B1105="",,SUMIFS(PerHeadcount[Month 4],PerHeadcount[exp_item],$H1105,PerHeadcount[company_name],$B1105)*O265)</f>
        <v>0</v>
      </c>
      <c r="P1105" s="652">
        <f>IF($B1105="",,SUMIFS(PerHeadcount[Month 5],PerHeadcount[exp_item],$H1105,PerHeadcount[company_name],$B1105)*P265)</f>
        <v>0</v>
      </c>
      <c r="Q1105" s="652">
        <f>IF($B1105="",,SUMIFS(PerHeadcount[Month 6],PerHeadcount[exp_item],$H1105,PerHeadcount[company_name],$B1105)*Q265)</f>
        <v>0</v>
      </c>
      <c r="R1105" s="652">
        <f>IF($B1105="",,SUMIFS(PerHeadcount[Month 7],PerHeadcount[exp_item],$H1105,PerHeadcount[company_name],$B1105)*R265)</f>
        <v>0</v>
      </c>
      <c r="S1105" s="652">
        <f>IF($B1105="",,SUMIFS(PerHeadcount[Month 8],PerHeadcount[exp_item],$H1105,PerHeadcount[company_name],$B1105)*S265)</f>
        <v>0</v>
      </c>
      <c r="T1105" s="652">
        <f>IF($B1105="",,SUMIFS(PerHeadcount[Month 9],PerHeadcount[exp_item],$H1105,PerHeadcount[company_name],$B1105)*T265)</f>
        <v>0</v>
      </c>
      <c r="U1105" s="652">
        <f>IF($B1105="",,SUMIFS(PerHeadcount[Month 10],PerHeadcount[exp_item],$H1105,PerHeadcount[company_name],$B1105)*U265)</f>
        <v>0</v>
      </c>
      <c r="V1105" s="652">
        <f>IF($B1105="",,SUMIFS(PerHeadcount[Month 11],PerHeadcount[exp_item],$H1105,PerHeadcount[company_name],$B1105)*V265)</f>
        <v>0</v>
      </c>
      <c r="W1105" s="652">
        <f>IF($B1105="",,SUMIFS(PerHeadcount[Month 12],PerHeadcount[exp_item],$H1105,PerHeadcount[company_name],$B1105)*W265)</f>
        <v>0</v>
      </c>
      <c r="X1105" s="652">
        <f>IF($B1105="",,SUMIFS(PerHeadcount[Month 13],PerHeadcount[exp_item],$H1105,PerHeadcount[company_name],$B1105)*X265)</f>
        <v>0</v>
      </c>
      <c r="Y1105" s="652">
        <f>IF($B1105="",,SUMIFS(PerHeadcount[Month 14],PerHeadcount[exp_item],$H1105,PerHeadcount[company_name],$B1105)*Y265)</f>
        <v>0</v>
      </c>
      <c r="Z1105" s="652">
        <f>IF($B1105="",,SUMIFS(PerHeadcount[Month 15],PerHeadcount[exp_item],$H1105,PerHeadcount[company_name],$B1105)*Z265)</f>
        <v>0</v>
      </c>
      <c r="AA1105" s="652">
        <f>IF($B1105="",,SUMIFS(PerHeadcount[Month 16],PerHeadcount[exp_item],$H1105,PerHeadcount[company_name],$B1105)*AA265)</f>
        <v>0</v>
      </c>
      <c r="AB1105" s="652">
        <f>IF($B1105="",,SUMIFS(PerHeadcount[Month 17],PerHeadcount[exp_item],$H1105,PerHeadcount[company_name],$B1105)*AB265)</f>
        <v>0</v>
      </c>
      <c r="AC1105" s="652">
        <f>IF($B1105="",,SUMIFS(PerHeadcount[Month 18],PerHeadcount[exp_item],$H1105,PerHeadcount[company_name],$B1105)*AC265)</f>
        <v>0</v>
      </c>
      <c r="AD1105" s="652">
        <f>IF($B1105="",,SUMIFS(PerHeadcount[Month 19],PerHeadcount[exp_item],$H1105,PerHeadcount[company_name],$B1105)*AD265)</f>
        <v>0</v>
      </c>
      <c r="AE1105" s="652">
        <f>IF($B1105="",,SUMIFS(PerHeadcount[Month 20],PerHeadcount[exp_item],$H1105,PerHeadcount[company_name],$B1105)*AE265)</f>
        <v>0</v>
      </c>
      <c r="AF1105" s="652">
        <f>IF($B1105="",,SUMIFS(PerHeadcount[Month 21],PerHeadcount[exp_item],$H1105,PerHeadcount[company_name],$B1105)*AF265)</f>
        <v>0</v>
      </c>
      <c r="AG1105" s="652">
        <f>IF($B1105="",,SUMIFS(PerHeadcount[Month 22],PerHeadcount[exp_item],$H1105,PerHeadcount[company_name],$B1105)*AG265)</f>
        <v>0</v>
      </c>
      <c r="AH1105" s="652">
        <f>IF($B1105="",,SUMIFS(PerHeadcount[Month 23],PerHeadcount[exp_item],$H1105,PerHeadcount[company_name],$B1105)*AH265)</f>
        <v>0</v>
      </c>
      <c r="AI1105" s="652">
        <f>IF($B1105="",,SUMIFS(PerHeadcount[Month 24],PerHeadcount[exp_item],$H1105,PerHeadcount[company_name],$B1105)*AI265)</f>
        <v>0</v>
      </c>
      <c r="AJ1105" s="652">
        <f>IF($B1105="",,SUMIFS(PerHeadcount[Month 25],PerHeadcount[exp_item],$H1105,PerHeadcount[company_name],$B1105)*AJ265)</f>
        <v>0</v>
      </c>
      <c r="AK1105" s="652">
        <f>IF($B1105="",,SUMIFS(PerHeadcount[Month 26],PerHeadcount[exp_item],$H1105,PerHeadcount[company_name],$B1105)*AK265)</f>
        <v>0</v>
      </c>
      <c r="AL1105" s="652">
        <f>IF($B1105="",,SUMIFS(PerHeadcount[Month 27],PerHeadcount[exp_item],$H1105,PerHeadcount[company_name],$B1105)*AL265)</f>
        <v>0</v>
      </c>
      <c r="AM1105" s="652">
        <f>IF($B1105="",,SUMIFS(PerHeadcount[Month 28],PerHeadcount[exp_item],$H1105,PerHeadcount[company_name],$B1105)*AM265)</f>
        <v>0</v>
      </c>
      <c r="AN1105" s="652">
        <f>IF($B1105="",,SUMIFS(PerHeadcount[Month 29],PerHeadcount[exp_item],$H1105,PerHeadcount[company_name],$B1105)*AN265)</f>
        <v>0</v>
      </c>
      <c r="AO1105" s="652">
        <f>IF($B1105="",,SUMIFS(PerHeadcount[Month 30],PerHeadcount[exp_item],$H1105,PerHeadcount[company_name],$B1105)*AO265)</f>
        <v>0</v>
      </c>
      <c r="AP1105" s="652">
        <f>IF($B1105="",,SUMIFS(PerHeadcount[Month 31],PerHeadcount[exp_item],$H1105,PerHeadcount[company_name],$B1105)*AP265)</f>
        <v>0</v>
      </c>
      <c r="AQ1105" s="652">
        <f>IF($B1105="",,SUMIFS(PerHeadcount[Month 32],PerHeadcount[exp_item],$H1105,PerHeadcount[company_name],$B1105)*AQ265)</f>
        <v>0</v>
      </c>
      <c r="AR1105" s="652">
        <f>IF($B1105="",,SUMIFS(PerHeadcount[Month 33],PerHeadcount[exp_item],$H1105,PerHeadcount[company_name],$B1105)*AR265)</f>
        <v>0</v>
      </c>
      <c r="AS1105" s="652">
        <f>IF($B1105="",,SUMIFS(PerHeadcount[Month 34],PerHeadcount[exp_item],$H1105,PerHeadcount[company_name],$B1105)*AS265)</f>
        <v>0</v>
      </c>
      <c r="AT1105" s="652">
        <f>IF($B1105="",,SUMIFS(PerHeadcount[Month 35],PerHeadcount[exp_item],$H1105,PerHeadcount[company_name],$B1105)*AT265)</f>
        <v>0</v>
      </c>
      <c r="AU1105" s="652">
        <f>IF($B1105="",,SUMIFS(PerHeadcount[Month 36],PerHeadcount[exp_item],$H1105,PerHeadcount[company_name],$B1105)*AU265)</f>
        <v>0</v>
      </c>
    </row>
    <row r="1106" spans="2:47" x14ac:dyDescent="0.35">
      <c r="B1106" t="str">
        <f t="shared" si="732"/>
        <v/>
      </c>
      <c r="C1106" t="str">
        <f t="shared" ref="C1106:G1106" si="749">IF(C1001="","",C1001)</f>
        <v/>
      </c>
      <c r="D1106" t="str">
        <f t="shared" si="749"/>
        <v/>
      </c>
      <c r="E1106" t="str">
        <f t="shared" si="749"/>
        <v/>
      </c>
      <c r="F1106" t="str">
        <f t="shared" si="749"/>
        <v/>
      </c>
      <c r="G1106" t="str">
        <f t="shared" si="749"/>
        <v/>
      </c>
      <c r="H1106" t="str">
        <f t="shared" si="731"/>
        <v/>
      </c>
      <c r="J1106" t="str">
        <f>IF($H1106="","",IF(VLOOKUP(H1106,ExpItems[],2,0),H1106&amp;" - "&amp;INDEX(DivisionMapping[category_code],MATCH($D1106&amp;$C1106,DivisionMapping[dept_bu],0)),H1106))</f>
        <v/>
      </c>
      <c r="K1106" t="str">
        <f t="shared" si="734"/>
        <v/>
      </c>
      <c r="L1106" s="652">
        <f>IF($B1106="",,SUMIFS(PerHeadcount[Month 1],PerHeadcount[exp_item],$H1106,PerHeadcount[company_name],$B1106)*L266)</f>
        <v>0</v>
      </c>
      <c r="M1106" s="652">
        <f>IF($B1106="",,SUMIFS(PerHeadcount[Month 2],PerHeadcount[exp_item],$H1106,PerHeadcount[company_name],$B1106)*M266)</f>
        <v>0</v>
      </c>
      <c r="N1106" s="652">
        <f>IF($B1106="",,SUMIFS(PerHeadcount[Month 3],PerHeadcount[exp_item],$H1106,PerHeadcount[company_name],$B1106)*N266)</f>
        <v>0</v>
      </c>
      <c r="O1106" s="652">
        <f>IF($B1106="",,SUMIFS(PerHeadcount[Month 4],PerHeadcount[exp_item],$H1106,PerHeadcount[company_name],$B1106)*O266)</f>
        <v>0</v>
      </c>
      <c r="P1106" s="652">
        <f>IF($B1106="",,SUMIFS(PerHeadcount[Month 5],PerHeadcount[exp_item],$H1106,PerHeadcount[company_name],$B1106)*P266)</f>
        <v>0</v>
      </c>
      <c r="Q1106" s="652">
        <f>IF($B1106="",,SUMIFS(PerHeadcount[Month 6],PerHeadcount[exp_item],$H1106,PerHeadcount[company_name],$B1106)*Q266)</f>
        <v>0</v>
      </c>
      <c r="R1106" s="652">
        <f>IF($B1106="",,SUMIFS(PerHeadcount[Month 7],PerHeadcount[exp_item],$H1106,PerHeadcount[company_name],$B1106)*R266)</f>
        <v>0</v>
      </c>
      <c r="S1106" s="652">
        <f>IF($B1106="",,SUMIFS(PerHeadcount[Month 8],PerHeadcount[exp_item],$H1106,PerHeadcount[company_name],$B1106)*S266)</f>
        <v>0</v>
      </c>
      <c r="T1106" s="652">
        <f>IF($B1106="",,SUMIFS(PerHeadcount[Month 9],PerHeadcount[exp_item],$H1106,PerHeadcount[company_name],$B1106)*T266)</f>
        <v>0</v>
      </c>
      <c r="U1106" s="652">
        <f>IF($B1106="",,SUMIFS(PerHeadcount[Month 10],PerHeadcount[exp_item],$H1106,PerHeadcount[company_name],$B1106)*U266)</f>
        <v>0</v>
      </c>
      <c r="V1106" s="652">
        <f>IF($B1106="",,SUMIFS(PerHeadcount[Month 11],PerHeadcount[exp_item],$H1106,PerHeadcount[company_name],$B1106)*V266)</f>
        <v>0</v>
      </c>
      <c r="W1106" s="652">
        <f>IF($B1106="",,SUMIFS(PerHeadcount[Month 12],PerHeadcount[exp_item],$H1106,PerHeadcount[company_name],$B1106)*W266)</f>
        <v>0</v>
      </c>
      <c r="X1106" s="652">
        <f>IF($B1106="",,SUMIFS(PerHeadcount[Month 13],PerHeadcount[exp_item],$H1106,PerHeadcount[company_name],$B1106)*X266)</f>
        <v>0</v>
      </c>
      <c r="Y1106" s="652">
        <f>IF($B1106="",,SUMIFS(PerHeadcount[Month 14],PerHeadcount[exp_item],$H1106,PerHeadcount[company_name],$B1106)*Y266)</f>
        <v>0</v>
      </c>
      <c r="Z1106" s="652">
        <f>IF($B1106="",,SUMIFS(PerHeadcount[Month 15],PerHeadcount[exp_item],$H1106,PerHeadcount[company_name],$B1106)*Z266)</f>
        <v>0</v>
      </c>
      <c r="AA1106" s="652">
        <f>IF($B1106="",,SUMIFS(PerHeadcount[Month 16],PerHeadcount[exp_item],$H1106,PerHeadcount[company_name],$B1106)*AA266)</f>
        <v>0</v>
      </c>
      <c r="AB1106" s="652">
        <f>IF($B1106="",,SUMIFS(PerHeadcount[Month 17],PerHeadcount[exp_item],$H1106,PerHeadcount[company_name],$B1106)*AB266)</f>
        <v>0</v>
      </c>
      <c r="AC1106" s="652">
        <f>IF($B1106="",,SUMIFS(PerHeadcount[Month 18],PerHeadcount[exp_item],$H1106,PerHeadcount[company_name],$B1106)*AC266)</f>
        <v>0</v>
      </c>
      <c r="AD1106" s="652">
        <f>IF($B1106="",,SUMIFS(PerHeadcount[Month 19],PerHeadcount[exp_item],$H1106,PerHeadcount[company_name],$B1106)*AD266)</f>
        <v>0</v>
      </c>
      <c r="AE1106" s="652">
        <f>IF($B1106="",,SUMIFS(PerHeadcount[Month 20],PerHeadcount[exp_item],$H1106,PerHeadcount[company_name],$B1106)*AE266)</f>
        <v>0</v>
      </c>
      <c r="AF1106" s="652">
        <f>IF($B1106="",,SUMIFS(PerHeadcount[Month 21],PerHeadcount[exp_item],$H1106,PerHeadcount[company_name],$B1106)*AF266)</f>
        <v>0</v>
      </c>
      <c r="AG1106" s="652">
        <f>IF($B1106="",,SUMIFS(PerHeadcount[Month 22],PerHeadcount[exp_item],$H1106,PerHeadcount[company_name],$B1106)*AG266)</f>
        <v>0</v>
      </c>
      <c r="AH1106" s="652">
        <f>IF($B1106="",,SUMIFS(PerHeadcount[Month 23],PerHeadcount[exp_item],$H1106,PerHeadcount[company_name],$B1106)*AH266)</f>
        <v>0</v>
      </c>
      <c r="AI1106" s="652">
        <f>IF($B1106="",,SUMIFS(PerHeadcount[Month 24],PerHeadcount[exp_item],$H1106,PerHeadcount[company_name],$B1106)*AI266)</f>
        <v>0</v>
      </c>
      <c r="AJ1106" s="652">
        <f>IF($B1106="",,SUMIFS(PerHeadcount[Month 25],PerHeadcount[exp_item],$H1106,PerHeadcount[company_name],$B1106)*AJ266)</f>
        <v>0</v>
      </c>
      <c r="AK1106" s="652">
        <f>IF($B1106="",,SUMIFS(PerHeadcount[Month 26],PerHeadcount[exp_item],$H1106,PerHeadcount[company_name],$B1106)*AK266)</f>
        <v>0</v>
      </c>
      <c r="AL1106" s="652">
        <f>IF($B1106="",,SUMIFS(PerHeadcount[Month 27],PerHeadcount[exp_item],$H1106,PerHeadcount[company_name],$B1106)*AL266)</f>
        <v>0</v>
      </c>
      <c r="AM1106" s="652">
        <f>IF($B1106="",,SUMIFS(PerHeadcount[Month 28],PerHeadcount[exp_item],$H1106,PerHeadcount[company_name],$B1106)*AM266)</f>
        <v>0</v>
      </c>
      <c r="AN1106" s="652">
        <f>IF($B1106="",,SUMIFS(PerHeadcount[Month 29],PerHeadcount[exp_item],$H1106,PerHeadcount[company_name],$B1106)*AN266)</f>
        <v>0</v>
      </c>
      <c r="AO1106" s="652">
        <f>IF($B1106="",,SUMIFS(PerHeadcount[Month 30],PerHeadcount[exp_item],$H1106,PerHeadcount[company_name],$B1106)*AO266)</f>
        <v>0</v>
      </c>
      <c r="AP1106" s="652">
        <f>IF($B1106="",,SUMIFS(PerHeadcount[Month 31],PerHeadcount[exp_item],$H1106,PerHeadcount[company_name],$B1106)*AP266)</f>
        <v>0</v>
      </c>
      <c r="AQ1106" s="652">
        <f>IF($B1106="",,SUMIFS(PerHeadcount[Month 32],PerHeadcount[exp_item],$H1106,PerHeadcount[company_name],$B1106)*AQ266)</f>
        <v>0</v>
      </c>
      <c r="AR1106" s="652">
        <f>IF($B1106="",,SUMIFS(PerHeadcount[Month 33],PerHeadcount[exp_item],$H1106,PerHeadcount[company_name],$B1106)*AR266)</f>
        <v>0</v>
      </c>
      <c r="AS1106" s="652">
        <f>IF($B1106="",,SUMIFS(PerHeadcount[Month 34],PerHeadcount[exp_item],$H1106,PerHeadcount[company_name],$B1106)*AS266)</f>
        <v>0</v>
      </c>
      <c r="AT1106" s="652">
        <f>IF($B1106="",,SUMIFS(PerHeadcount[Month 35],PerHeadcount[exp_item],$H1106,PerHeadcount[company_name],$B1106)*AT266)</f>
        <v>0</v>
      </c>
      <c r="AU1106" s="652">
        <f>IF($B1106="",,SUMIFS(PerHeadcount[Month 36],PerHeadcount[exp_item],$H1106,PerHeadcount[company_name],$B1106)*AU266)</f>
        <v>0</v>
      </c>
    </row>
    <row r="1107" spans="2:47" x14ac:dyDescent="0.35">
      <c r="B1107" t="str">
        <f t="shared" si="732"/>
        <v/>
      </c>
      <c r="C1107" t="str">
        <f t="shared" ref="C1107:G1107" si="750">IF(C1002="","",C1002)</f>
        <v/>
      </c>
      <c r="D1107" t="str">
        <f t="shared" si="750"/>
        <v/>
      </c>
      <c r="E1107" t="str">
        <f t="shared" si="750"/>
        <v/>
      </c>
      <c r="F1107" t="str">
        <f t="shared" si="750"/>
        <v/>
      </c>
      <c r="G1107" t="str">
        <f t="shared" si="750"/>
        <v/>
      </c>
      <c r="H1107" t="str">
        <f t="shared" si="731"/>
        <v/>
      </c>
      <c r="J1107" t="str">
        <f>IF($H1107="","",IF(VLOOKUP(H1107,ExpItems[],2,0),H1107&amp;" - "&amp;INDEX(DivisionMapping[category_code],MATCH($D1107&amp;$C1107,DivisionMapping[dept_bu],0)),H1107))</f>
        <v/>
      </c>
      <c r="K1107" t="str">
        <f t="shared" si="734"/>
        <v/>
      </c>
      <c r="L1107" s="652">
        <f>IF($B1107="",,SUMIFS(PerHeadcount[Month 1],PerHeadcount[exp_item],$H1107,PerHeadcount[company_name],$B1107)*L267)</f>
        <v>0</v>
      </c>
      <c r="M1107" s="652">
        <f>IF($B1107="",,SUMIFS(PerHeadcount[Month 2],PerHeadcount[exp_item],$H1107,PerHeadcount[company_name],$B1107)*M267)</f>
        <v>0</v>
      </c>
      <c r="N1107" s="652">
        <f>IF($B1107="",,SUMIFS(PerHeadcount[Month 3],PerHeadcount[exp_item],$H1107,PerHeadcount[company_name],$B1107)*N267)</f>
        <v>0</v>
      </c>
      <c r="O1107" s="652">
        <f>IF($B1107="",,SUMIFS(PerHeadcount[Month 4],PerHeadcount[exp_item],$H1107,PerHeadcount[company_name],$B1107)*O267)</f>
        <v>0</v>
      </c>
      <c r="P1107" s="652">
        <f>IF($B1107="",,SUMIFS(PerHeadcount[Month 5],PerHeadcount[exp_item],$H1107,PerHeadcount[company_name],$B1107)*P267)</f>
        <v>0</v>
      </c>
      <c r="Q1107" s="652">
        <f>IF($B1107="",,SUMIFS(PerHeadcount[Month 6],PerHeadcount[exp_item],$H1107,PerHeadcount[company_name],$B1107)*Q267)</f>
        <v>0</v>
      </c>
      <c r="R1107" s="652">
        <f>IF($B1107="",,SUMIFS(PerHeadcount[Month 7],PerHeadcount[exp_item],$H1107,PerHeadcount[company_name],$B1107)*R267)</f>
        <v>0</v>
      </c>
      <c r="S1107" s="652">
        <f>IF($B1107="",,SUMIFS(PerHeadcount[Month 8],PerHeadcount[exp_item],$H1107,PerHeadcount[company_name],$B1107)*S267)</f>
        <v>0</v>
      </c>
      <c r="T1107" s="652">
        <f>IF($B1107="",,SUMIFS(PerHeadcount[Month 9],PerHeadcount[exp_item],$H1107,PerHeadcount[company_name],$B1107)*T267)</f>
        <v>0</v>
      </c>
      <c r="U1107" s="652">
        <f>IF($B1107="",,SUMIFS(PerHeadcount[Month 10],PerHeadcount[exp_item],$H1107,PerHeadcount[company_name],$B1107)*U267)</f>
        <v>0</v>
      </c>
      <c r="V1107" s="652">
        <f>IF($B1107="",,SUMIFS(PerHeadcount[Month 11],PerHeadcount[exp_item],$H1107,PerHeadcount[company_name],$B1107)*V267)</f>
        <v>0</v>
      </c>
      <c r="W1107" s="652">
        <f>IF($B1107="",,SUMIFS(PerHeadcount[Month 12],PerHeadcount[exp_item],$H1107,PerHeadcount[company_name],$B1107)*W267)</f>
        <v>0</v>
      </c>
      <c r="X1107" s="652">
        <f>IF($B1107="",,SUMIFS(PerHeadcount[Month 13],PerHeadcount[exp_item],$H1107,PerHeadcount[company_name],$B1107)*X267)</f>
        <v>0</v>
      </c>
      <c r="Y1107" s="652">
        <f>IF($B1107="",,SUMIFS(PerHeadcount[Month 14],PerHeadcount[exp_item],$H1107,PerHeadcount[company_name],$B1107)*Y267)</f>
        <v>0</v>
      </c>
      <c r="Z1107" s="652">
        <f>IF($B1107="",,SUMIFS(PerHeadcount[Month 15],PerHeadcount[exp_item],$H1107,PerHeadcount[company_name],$B1107)*Z267)</f>
        <v>0</v>
      </c>
      <c r="AA1107" s="652">
        <f>IF($B1107="",,SUMIFS(PerHeadcount[Month 16],PerHeadcount[exp_item],$H1107,PerHeadcount[company_name],$B1107)*AA267)</f>
        <v>0</v>
      </c>
      <c r="AB1107" s="652">
        <f>IF($B1107="",,SUMIFS(PerHeadcount[Month 17],PerHeadcount[exp_item],$H1107,PerHeadcount[company_name],$B1107)*AB267)</f>
        <v>0</v>
      </c>
      <c r="AC1107" s="652">
        <f>IF($B1107="",,SUMIFS(PerHeadcount[Month 18],PerHeadcount[exp_item],$H1107,PerHeadcount[company_name],$B1107)*AC267)</f>
        <v>0</v>
      </c>
      <c r="AD1107" s="652">
        <f>IF($B1107="",,SUMIFS(PerHeadcount[Month 19],PerHeadcount[exp_item],$H1107,PerHeadcount[company_name],$B1107)*AD267)</f>
        <v>0</v>
      </c>
      <c r="AE1107" s="652">
        <f>IF($B1107="",,SUMIFS(PerHeadcount[Month 20],PerHeadcount[exp_item],$H1107,PerHeadcount[company_name],$B1107)*AE267)</f>
        <v>0</v>
      </c>
      <c r="AF1107" s="652">
        <f>IF($B1107="",,SUMIFS(PerHeadcount[Month 21],PerHeadcount[exp_item],$H1107,PerHeadcount[company_name],$B1107)*AF267)</f>
        <v>0</v>
      </c>
      <c r="AG1107" s="652">
        <f>IF($B1107="",,SUMIFS(PerHeadcount[Month 22],PerHeadcount[exp_item],$H1107,PerHeadcount[company_name],$B1107)*AG267)</f>
        <v>0</v>
      </c>
      <c r="AH1107" s="652">
        <f>IF($B1107="",,SUMIFS(PerHeadcount[Month 23],PerHeadcount[exp_item],$H1107,PerHeadcount[company_name],$B1107)*AH267)</f>
        <v>0</v>
      </c>
      <c r="AI1107" s="652">
        <f>IF($B1107="",,SUMIFS(PerHeadcount[Month 24],PerHeadcount[exp_item],$H1107,PerHeadcount[company_name],$B1107)*AI267)</f>
        <v>0</v>
      </c>
      <c r="AJ1107" s="652">
        <f>IF($B1107="",,SUMIFS(PerHeadcount[Month 25],PerHeadcount[exp_item],$H1107,PerHeadcount[company_name],$B1107)*AJ267)</f>
        <v>0</v>
      </c>
      <c r="AK1107" s="652">
        <f>IF($B1107="",,SUMIFS(PerHeadcount[Month 26],PerHeadcount[exp_item],$H1107,PerHeadcount[company_name],$B1107)*AK267)</f>
        <v>0</v>
      </c>
      <c r="AL1107" s="652">
        <f>IF($B1107="",,SUMIFS(PerHeadcount[Month 27],PerHeadcount[exp_item],$H1107,PerHeadcount[company_name],$B1107)*AL267)</f>
        <v>0</v>
      </c>
      <c r="AM1107" s="652">
        <f>IF($B1107="",,SUMIFS(PerHeadcount[Month 28],PerHeadcount[exp_item],$H1107,PerHeadcount[company_name],$B1107)*AM267)</f>
        <v>0</v>
      </c>
      <c r="AN1107" s="652">
        <f>IF($B1107="",,SUMIFS(PerHeadcount[Month 29],PerHeadcount[exp_item],$H1107,PerHeadcount[company_name],$B1107)*AN267)</f>
        <v>0</v>
      </c>
      <c r="AO1107" s="652">
        <f>IF($B1107="",,SUMIFS(PerHeadcount[Month 30],PerHeadcount[exp_item],$H1107,PerHeadcount[company_name],$B1107)*AO267)</f>
        <v>0</v>
      </c>
      <c r="AP1107" s="652">
        <f>IF($B1107="",,SUMIFS(PerHeadcount[Month 31],PerHeadcount[exp_item],$H1107,PerHeadcount[company_name],$B1107)*AP267)</f>
        <v>0</v>
      </c>
      <c r="AQ1107" s="652">
        <f>IF($B1107="",,SUMIFS(PerHeadcount[Month 32],PerHeadcount[exp_item],$H1107,PerHeadcount[company_name],$B1107)*AQ267)</f>
        <v>0</v>
      </c>
      <c r="AR1107" s="652">
        <f>IF($B1107="",,SUMIFS(PerHeadcount[Month 33],PerHeadcount[exp_item],$H1107,PerHeadcount[company_name],$B1107)*AR267)</f>
        <v>0</v>
      </c>
      <c r="AS1107" s="652">
        <f>IF($B1107="",,SUMIFS(PerHeadcount[Month 34],PerHeadcount[exp_item],$H1107,PerHeadcount[company_name],$B1107)*AS267)</f>
        <v>0</v>
      </c>
      <c r="AT1107" s="652">
        <f>IF($B1107="",,SUMIFS(PerHeadcount[Month 35],PerHeadcount[exp_item],$H1107,PerHeadcount[company_name],$B1107)*AT267)</f>
        <v>0</v>
      </c>
      <c r="AU1107" s="652">
        <f>IF($B1107="",,SUMIFS(PerHeadcount[Month 36],PerHeadcount[exp_item],$H1107,PerHeadcount[company_name],$B1107)*AU267)</f>
        <v>0</v>
      </c>
    </row>
    <row r="1108" spans="2:47" x14ac:dyDescent="0.35">
      <c r="B1108" t="str">
        <f t="shared" si="732"/>
        <v/>
      </c>
      <c r="C1108" t="str">
        <f t="shared" ref="C1108:G1108" si="751">IF(C1003="","",C1003)</f>
        <v/>
      </c>
      <c r="D1108" t="str">
        <f t="shared" si="751"/>
        <v/>
      </c>
      <c r="E1108" t="str">
        <f t="shared" si="751"/>
        <v/>
      </c>
      <c r="F1108" t="str">
        <f t="shared" si="751"/>
        <v/>
      </c>
      <c r="G1108" t="str">
        <f t="shared" si="751"/>
        <v/>
      </c>
      <c r="H1108" t="str">
        <f t="shared" si="731"/>
        <v/>
      </c>
      <c r="J1108" t="str">
        <f>IF($H1108="","",IF(VLOOKUP(H1108,ExpItems[],2,0),H1108&amp;" - "&amp;INDEX(DivisionMapping[category_code],MATCH($D1108&amp;$C1108,DivisionMapping[dept_bu],0)),H1108))</f>
        <v/>
      </c>
      <c r="K1108" t="str">
        <f t="shared" si="734"/>
        <v/>
      </c>
      <c r="L1108" s="652">
        <f>IF($B1108="",,SUMIFS(PerHeadcount[Month 1],PerHeadcount[exp_item],$H1108,PerHeadcount[company_name],$B1108)*L268)</f>
        <v>0</v>
      </c>
      <c r="M1108" s="652">
        <f>IF($B1108="",,SUMIFS(PerHeadcount[Month 2],PerHeadcount[exp_item],$H1108,PerHeadcount[company_name],$B1108)*M268)</f>
        <v>0</v>
      </c>
      <c r="N1108" s="652">
        <f>IF($B1108="",,SUMIFS(PerHeadcount[Month 3],PerHeadcount[exp_item],$H1108,PerHeadcount[company_name],$B1108)*N268)</f>
        <v>0</v>
      </c>
      <c r="O1108" s="652">
        <f>IF($B1108="",,SUMIFS(PerHeadcount[Month 4],PerHeadcount[exp_item],$H1108,PerHeadcount[company_name],$B1108)*O268)</f>
        <v>0</v>
      </c>
      <c r="P1108" s="652">
        <f>IF($B1108="",,SUMIFS(PerHeadcount[Month 5],PerHeadcount[exp_item],$H1108,PerHeadcount[company_name],$B1108)*P268)</f>
        <v>0</v>
      </c>
      <c r="Q1108" s="652">
        <f>IF($B1108="",,SUMIFS(PerHeadcount[Month 6],PerHeadcount[exp_item],$H1108,PerHeadcount[company_name],$B1108)*Q268)</f>
        <v>0</v>
      </c>
      <c r="R1108" s="652">
        <f>IF($B1108="",,SUMIFS(PerHeadcount[Month 7],PerHeadcount[exp_item],$H1108,PerHeadcount[company_name],$B1108)*R268)</f>
        <v>0</v>
      </c>
      <c r="S1108" s="652">
        <f>IF($B1108="",,SUMIFS(PerHeadcount[Month 8],PerHeadcount[exp_item],$H1108,PerHeadcount[company_name],$B1108)*S268)</f>
        <v>0</v>
      </c>
      <c r="T1108" s="652">
        <f>IF($B1108="",,SUMIFS(PerHeadcount[Month 9],PerHeadcount[exp_item],$H1108,PerHeadcount[company_name],$B1108)*T268)</f>
        <v>0</v>
      </c>
      <c r="U1108" s="652">
        <f>IF($B1108="",,SUMIFS(PerHeadcount[Month 10],PerHeadcount[exp_item],$H1108,PerHeadcount[company_name],$B1108)*U268)</f>
        <v>0</v>
      </c>
      <c r="V1108" s="652">
        <f>IF($B1108="",,SUMIFS(PerHeadcount[Month 11],PerHeadcount[exp_item],$H1108,PerHeadcount[company_name],$B1108)*V268)</f>
        <v>0</v>
      </c>
      <c r="W1108" s="652">
        <f>IF($B1108="",,SUMIFS(PerHeadcount[Month 12],PerHeadcount[exp_item],$H1108,PerHeadcount[company_name],$B1108)*W268)</f>
        <v>0</v>
      </c>
      <c r="X1108" s="652">
        <f>IF($B1108="",,SUMIFS(PerHeadcount[Month 13],PerHeadcount[exp_item],$H1108,PerHeadcount[company_name],$B1108)*X268)</f>
        <v>0</v>
      </c>
      <c r="Y1108" s="652">
        <f>IF($B1108="",,SUMIFS(PerHeadcount[Month 14],PerHeadcount[exp_item],$H1108,PerHeadcount[company_name],$B1108)*Y268)</f>
        <v>0</v>
      </c>
      <c r="Z1108" s="652">
        <f>IF($B1108="",,SUMIFS(PerHeadcount[Month 15],PerHeadcount[exp_item],$H1108,PerHeadcount[company_name],$B1108)*Z268)</f>
        <v>0</v>
      </c>
      <c r="AA1108" s="652">
        <f>IF($B1108="",,SUMIFS(PerHeadcount[Month 16],PerHeadcount[exp_item],$H1108,PerHeadcount[company_name],$B1108)*AA268)</f>
        <v>0</v>
      </c>
      <c r="AB1108" s="652">
        <f>IF($B1108="",,SUMIFS(PerHeadcount[Month 17],PerHeadcount[exp_item],$H1108,PerHeadcount[company_name],$B1108)*AB268)</f>
        <v>0</v>
      </c>
      <c r="AC1108" s="652">
        <f>IF($B1108="",,SUMIFS(PerHeadcount[Month 18],PerHeadcount[exp_item],$H1108,PerHeadcount[company_name],$B1108)*AC268)</f>
        <v>0</v>
      </c>
      <c r="AD1108" s="652">
        <f>IF($B1108="",,SUMIFS(PerHeadcount[Month 19],PerHeadcount[exp_item],$H1108,PerHeadcount[company_name],$B1108)*AD268)</f>
        <v>0</v>
      </c>
      <c r="AE1108" s="652">
        <f>IF($B1108="",,SUMIFS(PerHeadcount[Month 20],PerHeadcount[exp_item],$H1108,PerHeadcount[company_name],$B1108)*AE268)</f>
        <v>0</v>
      </c>
      <c r="AF1108" s="652">
        <f>IF($B1108="",,SUMIFS(PerHeadcount[Month 21],PerHeadcount[exp_item],$H1108,PerHeadcount[company_name],$B1108)*AF268)</f>
        <v>0</v>
      </c>
      <c r="AG1108" s="652">
        <f>IF($B1108="",,SUMIFS(PerHeadcount[Month 22],PerHeadcount[exp_item],$H1108,PerHeadcount[company_name],$B1108)*AG268)</f>
        <v>0</v>
      </c>
      <c r="AH1108" s="652">
        <f>IF($B1108="",,SUMIFS(PerHeadcount[Month 23],PerHeadcount[exp_item],$H1108,PerHeadcount[company_name],$B1108)*AH268)</f>
        <v>0</v>
      </c>
      <c r="AI1108" s="652">
        <f>IF($B1108="",,SUMIFS(PerHeadcount[Month 24],PerHeadcount[exp_item],$H1108,PerHeadcount[company_name],$B1108)*AI268)</f>
        <v>0</v>
      </c>
      <c r="AJ1108" s="652">
        <f>IF($B1108="",,SUMIFS(PerHeadcount[Month 25],PerHeadcount[exp_item],$H1108,PerHeadcount[company_name],$B1108)*AJ268)</f>
        <v>0</v>
      </c>
      <c r="AK1108" s="652">
        <f>IF($B1108="",,SUMIFS(PerHeadcount[Month 26],PerHeadcount[exp_item],$H1108,PerHeadcount[company_name],$B1108)*AK268)</f>
        <v>0</v>
      </c>
      <c r="AL1108" s="652">
        <f>IF($B1108="",,SUMIFS(PerHeadcount[Month 27],PerHeadcount[exp_item],$H1108,PerHeadcount[company_name],$B1108)*AL268)</f>
        <v>0</v>
      </c>
      <c r="AM1108" s="652">
        <f>IF($B1108="",,SUMIFS(PerHeadcount[Month 28],PerHeadcount[exp_item],$H1108,PerHeadcount[company_name],$B1108)*AM268)</f>
        <v>0</v>
      </c>
      <c r="AN1108" s="652">
        <f>IF($B1108="",,SUMIFS(PerHeadcount[Month 29],PerHeadcount[exp_item],$H1108,PerHeadcount[company_name],$B1108)*AN268)</f>
        <v>0</v>
      </c>
      <c r="AO1108" s="652">
        <f>IF($B1108="",,SUMIFS(PerHeadcount[Month 30],PerHeadcount[exp_item],$H1108,PerHeadcount[company_name],$B1108)*AO268)</f>
        <v>0</v>
      </c>
      <c r="AP1108" s="652">
        <f>IF($B1108="",,SUMIFS(PerHeadcount[Month 31],PerHeadcount[exp_item],$H1108,PerHeadcount[company_name],$B1108)*AP268)</f>
        <v>0</v>
      </c>
      <c r="AQ1108" s="652">
        <f>IF($B1108="",,SUMIFS(PerHeadcount[Month 32],PerHeadcount[exp_item],$H1108,PerHeadcount[company_name],$B1108)*AQ268)</f>
        <v>0</v>
      </c>
      <c r="AR1108" s="652">
        <f>IF($B1108="",,SUMIFS(PerHeadcount[Month 33],PerHeadcount[exp_item],$H1108,PerHeadcount[company_name],$B1108)*AR268)</f>
        <v>0</v>
      </c>
      <c r="AS1108" s="652">
        <f>IF($B1108="",,SUMIFS(PerHeadcount[Month 34],PerHeadcount[exp_item],$H1108,PerHeadcount[company_name],$B1108)*AS268)</f>
        <v>0</v>
      </c>
      <c r="AT1108" s="652">
        <f>IF($B1108="",,SUMIFS(PerHeadcount[Month 35],PerHeadcount[exp_item],$H1108,PerHeadcount[company_name],$B1108)*AT268)</f>
        <v>0</v>
      </c>
      <c r="AU1108" s="652">
        <f>IF($B1108="",,SUMIFS(PerHeadcount[Month 36],PerHeadcount[exp_item],$H1108,PerHeadcount[company_name],$B1108)*AU268)</f>
        <v>0</v>
      </c>
    </row>
    <row r="1109" spans="2:47" x14ac:dyDescent="0.35">
      <c r="B1109" t="str">
        <f t="shared" si="732"/>
        <v/>
      </c>
      <c r="C1109" t="str">
        <f t="shared" ref="C1109:G1109" si="752">IF(C1004="","",C1004)</f>
        <v/>
      </c>
      <c r="D1109" t="str">
        <f t="shared" si="752"/>
        <v/>
      </c>
      <c r="E1109" t="str">
        <f t="shared" si="752"/>
        <v/>
      </c>
      <c r="F1109" t="str">
        <f t="shared" si="752"/>
        <v/>
      </c>
      <c r="G1109" t="str">
        <f t="shared" si="752"/>
        <v/>
      </c>
      <c r="H1109" t="str">
        <f t="shared" si="731"/>
        <v/>
      </c>
      <c r="J1109" t="str">
        <f>IF($H1109="","",IF(VLOOKUP(H1109,ExpItems[],2,0),H1109&amp;" - "&amp;INDEX(DivisionMapping[category_code],MATCH($D1109&amp;$C1109,DivisionMapping[dept_bu],0)),H1109))</f>
        <v/>
      </c>
      <c r="K1109" t="str">
        <f t="shared" si="734"/>
        <v/>
      </c>
      <c r="L1109" s="652">
        <f>IF($B1109="",,SUMIFS(PerHeadcount[Month 1],PerHeadcount[exp_item],$H1109,PerHeadcount[company_name],$B1109)*L269)</f>
        <v>0</v>
      </c>
      <c r="M1109" s="652">
        <f>IF($B1109="",,SUMIFS(PerHeadcount[Month 2],PerHeadcount[exp_item],$H1109,PerHeadcount[company_name],$B1109)*M269)</f>
        <v>0</v>
      </c>
      <c r="N1109" s="652">
        <f>IF($B1109="",,SUMIFS(PerHeadcount[Month 3],PerHeadcount[exp_item],$H1109,PerHeadcount[company_name],$B1109)*N269)</f>
        <v>0</v>
      </c>
      <c r="O1109" s="652">
        <f>IF($B1109="",,SUMIFS(PerHeadcount[Month 4],PerHeadcount[exp_item],$H1109,PerHeadcount[company_name],$B1109)*O269)</f>
        <v>0</v>
      </c>
      <c r="P1109" s="652">
        <f>IF($B1109="",,SUMIFS(PerHeadcount[Month 5],PerHeadcount[exp_item],$H1109,PerHeadcount[company_name],$B1109)*P269)</f>
        <v>0</v>
      </c>
      <c r="Q1109" s="652">
        <f>IF($B1109="",,SUMIFS(PerHeadcount[Month 6],PerHeadcount[exp_item],$H1109,PerHeadcount[company_name],$B1109)*Q269)</f>
        <v>0</v>
      </c>
      <c r="R1109" s="652">
        <f>IF($B1109="",,SUMIFS(PerHeadcount[Month 7],PerHeadcount[exp_item],$H1109,PerHeadcount[company_name],$B1109)*R269)</f>
        <v>0</v>
      </c>
      <c r="S1109" s="652">
        <f>IF($B1109="",,SUMIFS(PerHeadcount[Month 8],PerHeadcount[exp_item],$H1109,PerHeadcount[company_name],$B1109)*S269)</f>
        <v>0</v>
      </c>
      <c r="T1109" s="652">
        <f>IF($B1109="",,SUMIFS(PerHeadcount[Month 9],PerHeadcount[exp_item],$H1109,PerHeadcount[company_name],$B1109)*T269)</f>
        <v>0</v>
      </c>
      <c r="U1109" s="652">
        <f>IF($B1109="",,SUMIFS(PerHeadcount[Month 10],PerHeadcount[exp_item],$H1109,PerHeadcount[company_name],$B1109)*U269)</f>
        <v>0</v>
      </c>
      <c r="V1109" s="652">
        <f>IF($B1109="",,SUMIFS(PerHeadcount[Month 11],PerHeadcount[exp_item],$H1109,PerHeadcount[company_name],$B1109)*V269)</f>
        <v>0</v>
      </c>
      <c r="W1109" s="652">
        <f>IF($B1109="",,SUMIFS(PerHeadcount[Month 12],PerHeadcount[exp_item],$H1109,PerHeadcount[company_name],$B1109)*W269)</f>
        <v>0</v>
      </c>
      <c r="X1109" s="652">
        <f>IF($B1109="",,SUMIFS(PerHeadcount[Month 13],PerHeadcount[exp_item],$H1109,PerHeadcount[company_name],$B1109)*X269)</f>
        <v>0</v>
      </c>
      <c r="Y1109" s="652">
        <f>IF($B1109="",,SUMIFS(PerHeadcount[Month 14],PerHeadcount[exp_item],$H1109,PerHeadcount[company_name],$B1109)*Y269)</f>
        <v>0</v>
      </c>
      <c r="Z1109" s="652">
        <f>IF($B1109="",,SUMIFS(PerHeadcount[Month 15],PerHeadcount[exp_item],$H1109,PerHeadcount[company_name],$B1109)*Z269)</f>
        <v>0</v>
      </c>
      <c r="AA1109" s="652">
        <f>IF($B1109="",,SUMIFS(PerHeadcount[Month 16],PerHeadcount[exp_item],$H1109,PerHeadcount[company_name],$B1109)*AA269)</f>
        <v>0</v>
      </c>
      <c r="AB1109" s="652">
        <f>IF($B1109="",,SUMIFS(PerHeadcount[Month 17],PerHeadcount[exp_item],$H1109,PerHeadcount[company_name],$B1109)*AB269)</f>
        <v>0</v>
      </c>
      <c r="AC1109" s="652">
        <f>IF($B1109="",,SUMIFS(PerHeadcount[Month 18],PerHeadcount[exp_item],$H1109,PerHeadcount[company_name],$B1109)*AC269)</f>
        <v>0</v>
      </c>
      <c r="AD1109" s="652">
        <f>IF($B1109="",,SUMIFS(PerHeadcount[Month 19],PerHeadcount[exp_item],$H1109,PerHeadcount[company_name],$B1109)*AD269)</f>
        <v>0</v>
      </c>
      <c r="AE1109" s="652">
        <f>IF($B1109="",,SUMIFS(PerHeadcount[Month 20],PerHeadcount[exp_item],$H1109,PerHeadcount[company_name],$B1109)*AE269)</f>
        <v>0</v>
      </c>
      <c r="AF1109" s="652">
        <f>IF($B1109="",,SUMIFS(PerHeadcount[Month 21],PerHeadcount[exp_item],$H1109,PerHeadcount[company_name],$B1109)*AF269)</f>
        <v>0</v>
      </c>
      <c r="AG1109" s="652">
        <f>IF($B1109="",,SUMIFS(PerHeadcount[Month 22],PerHeadcount[exp_item],$H1109,PerHeadcount[company_name],$B1109)*AG269)</f>
        <v>0</v>
      </c>
      <c r="AH1109" s="652">
        <f>IF($B1109="",,SUMIFS(PerHeadcount[Month 23],PerHeadcount[exp_item],$H1109,PerHeadcount[company_name],$B1109)*AH269)</f>
        <v>0</v>
      </c>
      <c r="AI1109" s="652">
        <f>IF($B1109="",,SUMIFS(PerHeadcount[Month 24],PerHeadcount[exp_item],$H1109,PerHeadcount[company_name],$B1109)*AI269)</f>
        <v>0</v>
      </c>
      <c r="AJ1109" s="652">
        <f>IF($B1109="",,SUMIFS(PerHeadcount[Month 25],PerHeadcount[exp_item],$H1109,PerHeadcount[company_name],$B1109)*AJ269)</f>
        <v>0</v>
      </c>
      <c r="AK1109" s="652">
        <f>IF($B1109="",,SUMIFS(PerHeadcount[Month 26],PerHeadcount[exp_item],$H1109,PerHeadcount[company_name],$B1109)*AK269)</f>
        <v>0</v>
      </c>
      <c r="AL1109" s="652">
        <f>IF($B1109="",,SUMIFS(PerHeadcount[Month 27],PerHeadcount[exp_item],$H1109,PerHeadcount[company_name],$B1109)*AL269)</f>
        <v>0</v>
      </c>
      <c r="AM1109" s="652">
        <f>IF($B1109="",,SUMIFS(PerHeadcount[Month 28],PerHeadcount[exp_item],$H1109,PerHeadcount[company_name],$B1109)*AM269)</f>
        <v>0</v>
      </c>
      <c r="AN1109" s="652">
        <f>IF($B1109="",,SUMIFS(PerHeadcount[Month 29],PerHeadcount[exp_item],$H1109,PerHeadcount[company_name],$B1109)*AN269)</f>
        <v>0</v>
      </c>
      <c r="AO1109" s="652">
        <f>IF($B1109="",,SUMIFS(PerHeadcount[Month 30],PerHeadcount[exp_item],$H1109,PerHeadcount[company_name],$B1109)*AO269)</f>
        <v>0</v>
      </c>
      <c r="AP1109" s="652">
        <f>IF($B1109="",,SUMIFS(PerHeadcount[Month 31],PerHeadcount[exp_item],$H1109,PerHeadcount[company_name],$B1109)*AP269)</f>
        <v>0</v>
      </c>
      <c r="AQ1109" s="652">
        <f>IF($B1109="",,SUMIFS(PerHeadcount[Month 32],PerHeadcount[exp_item],$H1109,PerHeadcount[company_name],$B1109)*AQ269)</f>
        <v>0</v>
      </c>
      <c r="AR1109" s="652">
        <f>IF($B1109="",,SUMIFS(PerHeadcount[Month 33],PerHeadcount[exp_item],$H1109,PerHeadcount[company_name],$B1109)*AR269)</f>
        <v>0</v>
      </c>
      <c r="AS1109" s="652">
        <f>IF($B1109="",,SUMIFS(PerHeadcount[Month 34],PerHeadcount[exp_item],$H1109,PerHeadcount[company_name],$B1109)*AS269)</f>
        <v>0</v>
      </c>
      <c r="AT1109" s="652">
        <f>IF($B1109="",,SUMIFS(PerHeadcount[Month 35],PerHeadcount[exp_item],$H1109,PerHeadcount[company_name],$B1109)*AT269)</f>
        <v>0</v>
      </c>
      <c r="AU1109" s="652">
        <f>IF($B1109="",,SUMIFS(PerHeadcount[Month 36],PerHeadcount[exp_item],$H1109,PerHeadcount[company_name],$B1109)*AU269)</f>
        <v>0</v>
      </c>
    </row>
    <row r="1110" spans="2:47" x14ac:dyDescent="0.35">
      <c r="B1110" t="str">
        <f t="shared" si="732"/>
        <v/>
      </c>
      <c r="C1110" t="str">
        <f t="shared" ref="C1110:G1110" si="753">IF(C1005="","",C1005)</f>
        <v/>
      </c>
      <c r="D1110" t="str">
        <f t="shared" si="753"/>
        <v/>
      </c>
      <c r="E1110" t="str">
        <f t="shared" si="753"/>
        <v/>
      </c>
      <c r="F1110" t="str">
        <f t="shared" si="753"/>
        <v/>
      </c>
      <c r="G1110" t="str">
        <f t="shared" si="753"/>
        <v/>
      </c>
      <c r="H1110" t="str">
        <f t="shared" si="731"/>
        <v/>
      </c>
      <c r="J1110" t="str">
        <f>IF($H1110="","",IF(VLOOKUP(H1110,ExpItems[],2,0),H1110&amp;" - "&amp;INDEX(DivisionMapping[category_code],MATCH($D1110&amp;$C1110,DivisionMapping[dept_bu],0)),H1110))</f>
        <v/>
      </c>
      <c r="K1110" t="str">
        <f t="shared" si="734"/>
        <v/>
      </c>
      <c r="L1110" s="652">
        <f>IF($B1110="",,SUMIFS(PerHeadcount[Month 1],PerHeadcount[exp_item],$H1110,PerHeadcount[company_name],$B1110)*L270)</f>
        <v>0</v>
      </c>
      <c r="M1110" s="652">
        <f>IF($B1110="",,SUMIFS(PerHeadcount[Month 2],PerHeadcount[exp_item],$H1110,PerHeadcount[company_name],$B1110)*M270)</f>
        <v>0</v>
      </c>
      <c r="N1110" s="652">
        <f>IF($B1110="",,SUMIFS(PerHeadcount[Month 3],PerHeadcount[exp_item],$H1110,PerHeadcount[company_name],$B1110)*N270)</f>
        <v>0</v>
      </c>
      <c r="O1110" s="652">
        <f>IF($B1110="",,SUMIFS(PerHeadcount[Month 4],PerHeadcount[exp_item],$H1110,PerHeadcount[company_name],$B1110)*O270)</f>
        <v>0</v>
      </c>
      <c r="P1110" s="652">
        <f>IF($B1110="",,SUMIFS(PerHeadcount[Month 5],PerHeadcount[exp_item],$H1110,PerHeadcount[company_name],$B1110)*P270)</f>
        <v>0</v>
      </c>
      <c r="Q1110" s="652">
        <f>IF($B1110="",,SUMIFS(PerHeadcount[Month 6],PerHeadcount[exp_item],$H1110,PerHeadcount[company_name],$B1110)*Q270)</f>
        <v>0</v>
      </c>
      <c r="R1110" s="652">
        <f>IF($B1110="",,SUMIFS(PerHeadcount[Month 7],PerHeadcount[exp_item],$H1110,PerHeadcount[company_name],$B1110)*R270)</f>
        <v>0</v>
      </c>
      <c r="S1110" s="652">
        <f>IF($B1110="",,SUMIFS(PerHeadcount[Month 8],PerHeadcount[exp_item],$H1110,PerHeadcount[company_name],$B1110)*S270)</f>
        <v>0</v>
      </c>
      <c r="T1110" s="652">
        <f>IF($B1110="",,SUMIFS(PerHeadcount[Month 9],PerHeadcount[exp_item],$H1110,PerHeadcount[company_name],$B1110)*T270)</f>
        <v>0</v>
      </c>
      <c r="U1110" s="652">
        <f>IF($B1110="",,SUMIFS(PerHeadcount[Month 10],PerHeadcount[exp_item],$H1110,PerHeadcount[company_name],$B1110)*U270)</f>
        <v>0</v>
      </c>
      <c r="V1110" s="652">
        <f>IF($B1110="",,SUMIFS(PerHeadcount[Month 11],PerHeadcount[exp_item],$H1110,PerHeadcount[company_name],$B1110)*V270)</f>
        <v>0</v>
      </c>
      <c r="W1110" s="652">
        <f>IF($B1110="",,SUMIFS(PerHeadcount[Month 12],PerHeadcount[exp_item],$H1110,PerHeadcount[company_name],$B1110)*W270)</f>
        <v>0</v>
      </c>
      <c r="X1110" s="652">
        <f>IF($B1110="",,SUMIFS(PerHeadcount[Month 13],PerHeadcount[exp_item],$H1110,PerHeadcount[company_name],$B1110)*X270)</f>
        <v>0</v>
      </c>
      <c r="Y1110" s="652">
        <f>IF($B1110="",,SUMIFS(PerHeadcount[Month 14],PerHeadcount[exp_item],$H1110,PerHeadcount[company_name],$B1110)*Y270)</f>
        <v>0</v>
      </c>
      <c r="Z1110" s="652">
        <f>IF($B1110="",,SUMIFS(PerHeadcount[Month 15],PerHeadcount[exp_item],$H1110,PerHeadcount[company_name],$B1110)*Z270)</f>
        <v>0</v>
      </c>
      <c r="AA1110" s="652">
        <f>IF($B1110="",,SUMIFS(PerHeadcount[Month 16],PerHeadcount[exp_item],$H1110,PerHeadcount[company_name],$B1110)*AA270)</f>
        <v>0</v>
      </c>
      <c r="AB1110" s="652">
        <f>IF($B1110="",,SUMIFS(PerHeadcount[Month 17],PerHeadcount[exp_item],$H1110,PerHeadcount[company_name],$B1110)*AB270)</f>
        <v>0</v>
      </c>
      <c r="AC1110" s="652">
        <f>IF($B1110="",,SUMIFS(PerHeadcount[Month 18],PerHeadcount[exp_item],$H1110,PerHeadcount[company_name],$B1110)*AC270)</f>
        <v>0</v>
      </c>
      <c r="AD1110" s="652">
        <f>IF($B1110="",,SUMIFS(PerHeadcount[Month 19],PerHeadcount[exp_item],$H1110,PerHeadcount[company_name],$B1110)*AD270)</f>
        <v>0</v>
      </c>
      <c r="AE1110" s="652">
        <f>IF($B1110="",,SUMIFS(PerHeadcount[Month 20],PerHeadcount[exp_item],$H1110,PerHeadcount[company_name],$B1110)*AE270)</f>
        <v>0</v>
      </c>
      <c r="AF1110" s="652">
        <f>IF($B1110="",,SUMIFS(PerHeadcount[Month 21],PerHeadcount[exp_item],$H1110,PerHeadcount[company_name],$B1110)*AF270)</f>
        <v>0</v>
      </c>
      <c r="AG1110" s="652">
        <f>IF($B1110="",,SUMIFS(PerHeadcount[Month 22],PerHeadcount[exp_item],$H1110,PerHeadcount[company_name],$B1110)*AG270)</f>
        <v>0</v>
      </c>
      <c r="AH1110" s="652">
        <f>IF($B1110="",,SUMIFS(PerHeadcount[Month 23],PerHeadcount[exp_item],$H1110,PerHeadcount[company_name],$B1110)*AH270)</f>
        <v>0</v>
      </c>
      <c r="AI1110" s="652">
        <f>IF($B1110="",,SUMIFS(PerHeadcount[Month 24],PerHeadcount[exp_item],$H1110,PerHeadcount[company_name],$B1110)*AI270)</f>
        <v>0</v>
      </c>
      <c r="AJ1110" s="652">
        <f>IF($B1110="",,SUMIFS(PerHeadcount[Month 25],PerHeadcount[exp_item],$H1110,PerHeadcount[company_name],$B1110)*AJ270)</f>
        <v>0</v>
      </c>
      <c r="AK1110" s="652">
        <f>IF($B1110="",,SUMIFS(PerHeadcount[Month 26],PerHeadcount[exp_item],$H1110,PerHeadcount[company_name],$B1110)*AK270)</f>
        <v>0</v>
      </c>
      <c r="AL1110" s="652">
        <f>IF($B1110="",,SUMIFS(PerHeadcount[Month 27],PerHeadcount[exp_item],$H1110,PerHeadcount[company_name],$B1110)*AL270)</f>
        <v>0</v>
      </c>
      <c r="AM1110" s="652">
        <f>IF($B1110="",,SUMIFS(PerHeadcount[Month 28],PerHeadcount[exp_item],$H1110,PerHeadcount[company_name],$B1110)*AM270)</f>
        <v>0</v>
      </c>
      <c r="AN1110" s="652">
        <f>IF($B1110="",,SUMIFS(PerHeadcount[Month 29],PerHeadcount[exp_item],$H1110,PerHeadcount[company_name],$B1110)*AN270)</f>
        <v>0</v>
      </c>
      <c r="AO1110" s="652">
        <f>IF($B1110="",,SUMIFS(PerHeadcount[Month 30],PerHeadcount[exp_item],$H1110,PerHeadcount[company_name],$B1110)*AO270)</f>
        <v>0</v>
      </c>
      <c r="AP1110" s="652">
        <f>IF($B1110="",,SUMIFS(PerHeadcount[Month 31],PerHeadcount[exp_item],$H1110,PerHeadcount[company_name],$B1110)*AP270)</f>
        <v>0</v>
      </c>
      <c r="AQ1110" s="652">
        <f>IF($B1110="",,SUMIFS(PerHeadcount[Month 32],PerHeadcount[exp_item],$H1110,PerHeadcount[company_name],$B1110)*AQ270)</f>
        <v>0</v>
      </c>
      <c r="AR1110" s="652">
        <f>IF($B1110="",,SUMIFS(PerHeadcount[Month 33],PerHeadcount[exp_item],$H1110,PerHeadcount[company_name],$B1110)*AR270)</f>
        <v>0</v>
      </c>
      <c r="AS1110" s="652">
        <f>IF($B1110="",,SUMIFS(PerHeadcount[Month 34],PerHeadcount[exp_item],$H1110,PerHeadcount[company_name],$B1110)*AS270)</f>
        <v>0</v>
      </c>
      <c r="AT1110" s="652">
        <f>IF($B1110="",,SUMIFS(PerHeadcount[Month 35],PerHeadcount[exp_item],$H1110,PerHeadcount[company_name],$B1110)*AT270)</f>
        <v>0</v>
      </c>
      <c r="AU1110" s="652">
        <f>IF($B1110="",,SUMIFS(PerHeadcount[Month 36],PerHeadcount[exp_item],$H1110,PerHeadcount[company_name],$B1110)*AU270)</f>
        <v>0</v>
      </c>
    </row>
    <row r="1111" spans="2:47" x14ac:dyDescent="0.35">
      <c r="B1111" t="str">
        <f t="shared" ref="B1111:G1111" si="754">IF(B1006="","",B1006)</f>
        <v/>
      </c>
      <c r="C1111" t="str">
        <f t="shared" si="754"/>
        <v/>
      </c>
      <c r="D1111" t="str">
        <f t="shared" si="754"/>
        <v/>
      </c>
      <c r="E1111" t="str">
        <f t="shared" si="754"/>
        <v/>
      </c>
      <c r="F1111" t="str">
        <f t="shared" si="754"/>
        <v/>
      </c>
      <c r="G1111" t="str">
        <f t="shared" si="754"/>
        <v/>
      </c>
      <c r="H1111" t="str">
        <f t="shared" si="731"/>
        <v/>
      </c>
      <c r="J1111" t="str">
        <f>IF($H1111="","",IF(VLOOKUP(H1111,ExpItems[],2,0),H1111&amp;" - "&amp;INDEX(DivisionMapping[category_code],MATCH($D1111&amp;$C1111,DivisionMapping[dept_bu],0)),H1111))</f>
        <v/>
      </c>
      <c r="K1111" t="str">
        <f t="shared" si="734"/>
        <v/>
      </c>
      <c r="L1111" s="652">
        <f>IF($B1111="",,SUMIFS(PerHeadcount[Month 1],PerHeadcount[exp_item],$H1111,PerHeadcount[company_name],$B1111)*L271)</f>
        <v>0</v>
      </c>
      <c r="M1111" s="652">
        <f>IF($B1111="",,SUMIFS(PerHeadcount[Month 2],PerHeadcount[exp_item],$H1111,PerHeadcount[company_name],$B1111)*M271)</f>
        <v>0</v>
      </c>
      <c r="N1111" s="652">
        <f>IF($B1111="",,SUMIFS(PerHeadcount[Month 3],PerHeadcount[exp_item],$H1111,PerHeadcount[company_name],$B1111)*N271)</f>
        <v>0</v>
      </c>
      <c r="O1111" s="652">
        <f>IF($B1111="",,SUMIFS(PerHeadcount[Month 4],PerHeadcount[exp_item],$H1111,PerHeadcount[company_name],$B1111)*O271)</f>
        <v>0</v>
      </c>
      <c r="P1111" s="652">
        <f>IF($B1111="",,SUMIFS(PerHeadcount[Month 5],PerHeadcount[exp_item],$H1111,PerHeadcount[company_name],$B1111)*P271)</f>
        <v>0</v>
      </c>
      <c r="Q1111" s="652">
        <f>IF($B1111="",,SUMIFS(PerHeadcount[Month 6],PerHeadcount[exp_item],$H1111,PerHeadcount[company_name],$B1111)*Q271)</f>
        <v>0</v>
      </c>
      <c r="R1111" s="652">
        <f>IF($B1111="",,SUMIFS(PerHeadcount[Month 7],PerHeadcount[exp_item],$H1111,PerHeadcount[company_name],$B1111)*R271)</f>
        <v>0</v>
      </c>
      <c r="S1111" s="652">
        <f>IF($B1111="",,SUMIFS(PerHeadcount[Month 8],PerHeadcount[exp_item],$H1111,PerHeadcount[company_name],$B1111)*S271)</f>
        <v>0</v>
      </c>
      <c r="T1111" s="652">
        <f>IF($B1111="",,SUMIFS(PerHeadcount[Month 9],PerHeadcount[exp_item],$H1111,PerHeadcount[company_name],$B1111)*T271)</f>
        <v>0</v>
      </c>
      <c r="U1111" s="652">
        <f>IF($B1111="",,SUMIFS(PerHeadcount[Month 10],PerHeadcount[exp_item],$H1111,PerHeadcount[company_name],$B1111)*U271)</f>
        <v>0</v>
      </c>
      <c r="V1111" s="652">
        <f>IF($B1111="",,SUMIFS(PerHeadcount[Month 11],PerHeadcount[exp_item],$H1111,PerHeadcount[company_name],$B1111)*V271)</f>
        <v>0</v>
      </c>
      <c r="W1111" s="652">
        <f>IF($B1111="",,SUMIFS(PerHeadcount[Month 12],PerHeadcount[exp_item],$H1111,PerHeadcount[company_name],$B1111)*W271)</f>
        <v>0</v>
      </c>
      <c r="X1111" s="652">
        <f>IF($B1111="",,SUMIFS(PerHeadcount[Month 13],PerHeadcount[exp_item],$H1111,PerHeadcount[company_name],$B1111)*X271)</f>
        <v>0</v>
      </c>
      <c r="Y1111" s="652">
        <f>IF($B1111="",,SUMIFS(PerHeadcount[Month 14],PerHeadcount[exp_item],$H1111,PerHeadcount[company_name],$B1111)*Y271)</f>
        <v>0</v>
      </c>
      <c r="Z1111" s="652">
        <f>IF($B1111="",,SUMIFS(PerHeadcount[Month 15],PerHeadcount[exp_item],$H1111,PerHeadcount[company_name],$B1111)*Z271)</f>
        <v>0</v>
      </c>
      <c r="AA1111" s="652">
        <f>IF($B1111="",,SUMIFS(PerHeadcount[Month 16],PerHeadcount[exp_item],$H1111,PerHeadcount[company_name],$B1111)*AA271)</f>
        <v>0</v>
      </c>
      <c r="AB1111" s="652">
        <f>IF($B1111="",,SUMIFS(PerHeadcount[Month 17],PerHeadcount[exp_item],$H1111,PerHeadcount[company_name],$B1111)*AB271)</f>
        <v>0</v>
      </c>
      <c r="AC1111" s="652">
        <f>IF($B1111="",,SUMIFS(PerHeadcount[Month 18],PerHeadcount[exp_item],$H1111,PerHeadcount[company_name],$B1111)*AC271)</f>
        <v>0</v>
      </c>
      <c r="AD1111" s="652">
        <f>IF($B1111="",,SUMIFS(PerHeadcount[Month 19],PerHeadcount[exp_item],$H1111,PerHeadcount[company_name],$B1111)*AD271)</f>
        <v>0</v>
      </c>
      <c r="AE1111" s="652">
        <f>IF($B1111="",,SUMIFS(PerHeadcount[Month 20],PerHeadcount[exp_item],$H1111,PerHeadcount[company_name],$B1111)*AE271)</f>
        <v>0</v>
      </c>
      <c r="AF1111" s="652">
        <f>IF($B1111="",,SUMIFS(PerHeadcount[Month 21],PerHeadcount[exp_item],$H1111,PerHeadcount[company_name],$B1111)*AF271)</f>
        <v>0</v>
      </c>
      <c r="AG1111" s="652">
        <f>IF($B1111="",,SUMIFS(PerHeadcount[Month 22],PerHeadcount[exp_item],$H1111,PerHeadcount[company_name],$B1111)*AG271)</f>
        <v>0</v>
      </c>
      <c r="AH1111" s="652">
        <f>IF($B1111="",,SUMIFS(PerHeadcount[Month 23],PerHeadcount[exp_item],$H1111,PerHeadcount[company_name],$B1111)*AH271)</f>
        <v>0</v>
      </c>
      <c r="AI1111" s="652">
        <f>IF($B1111="",,SUMIFS(PerHeadcount[Month 24],PerHeadcount[exp_item],$H1111,PerHeadcount[company_name],$B1111)*AI271)</f>
        <v>0</v>
      </c>
      <c r="AJ1111" s="652">
        <f>IF($B1111="",,SUMIFS(PerHeadcount[Month 25],PerHeadcount[exp_item],$H1111,PerHeadcount[company_name],$B1111)*AJ271)</f>
        <v>0</v>
      </c>
      <c r="AK1111" s="652">
        <f>IF($B1111="",,SUMIFS(PerHeadcount[Month 26],PerHeadcount[exp_item],$H1111,PerHeadcount[company_name],$B1111)*AK271)</f>
        <v>0</v>
      </c>
      <c r="AL1111" s="652">
        <f>IF($B1111="",,SUMIFS(PerHeadcount[Month 27],PerHeadcount[exp_item],$H1111,PerHeadcount[company_name],$B1111)*AL271)</f>
        <v>0</v>
      </c>
      <c r="AM1111" s="652">
        <f>IF($B1111="",,SUMIFS(PerHeadcount[Month 28],PerHeadcount[exp_item],$H1111,PerHeadcount[company_name],$B1111)*AM271)</f>
        <v>0</v>
      </c>
      <c r="AN1111" s="652">
        <f>IF($B1111="",,SUMIFS(PerHeadcount[Month 29],PerHeadcount[exp_item],$H1111,PerHeadcount[company_name],$B1111)*AN271)</f>
        <v>0</v>
      </c>
      <c r="AO1111" s="652">
        <f>IF($B1111="",,SUMIFS(PerHeadcount[Month 30],PerHeadcount[exp_item],$H1111,PerHeadcount[company_name],$B1111)*AO271)</f>
        <v>0</v>
      </c>
      <c r="AP1111" s="652">
        <f>IF($B1111="",,SUMIFS(PerHeadcount[Month 31],PerHeadcount[exp_item],$H1111,PerHeadcount[company_name],$B1111)*AP271)</f>
        <v>0</v>
      </c>
      <c r="AQ1111" s="652">
        <f>IF($B1111="",,SUMIFS(PerHeadcount[Month 32],PerHeadcount[exp_item],$H1111,PerHeadcount[company_name],$B1111)*AQ271)</f>
        <v>0</v>
      </c>
      <c r="AR1111" s="652">
        <f>IF($B1111="",,SUMIFS(PerHeadcount[Month 33],PerHeadcount[exp_item],$H1111,PerHeadcount[company_name],$B1111)*AR271)</f>
        <v>0</v>
      </c>
      <c r="AS1111" s="652">
        <f>IF($B1111="",,SUMIFS(PerHeadcount[Month 34],PerHeadcount[exp_item],$H1111,PerHeadcount[company_name],$B1111)*AS271)</f>
        <v>0</v>
      </c>
      <c r="AT1111" s="652">
        <f>IF($B1111="",,SUMIFS(PerHeadcount[Month 35],PerHeadcount[exp_item],$H1111,PerHeadcount[company_name],$B1111)*AT271)</f>
        <v>0</v>
      </c>
      <c r="AU1111" s="652">
        <f>IF($B1111="",,SUMIFS(PerHeadcount[Month 36],PerHeadcount[exp_item],$H1111,PerHeadcount[company_name],$B1111)*AU271)</f>
        <v>0</v>
      </c>
    </row>
    <row r="1112" spans="2:47" x14ac:dyDescent="0.35">
      <c r="B1112" t="str">
        <f t="shared" ref="B1112:G1112" si="755">IF(B1007="","",B1007)</f>
        <v/>
      </c>
      <c r="C1112" t="str">
        <f t="shared" si="755"/>
        <v/>
      </c>
      <c r="D1112" t="str">
        <f t="shared" si="755"/>
        <v/>
      </c>
      <c r="E1112" t="str">
        <f t="shared" si="755"/>
        <v/>
      </c>
      <c r="F1112" t="str">
        <f t="shared" si="755"/>
        <v/>
      </c>
      <c r="G1112" t="str">
        <f t="shared" si="755"/>
        <v/>
      </c>
      <c r="H1112" t="str">
        <f t="shared" si="731"/>
        <v/>
      </c>
      <c r="J1112" t="str">
        <f>IF($H1112="","",IF(VLOOKUP(H1112,ExpItems[],2,0),H1112&amp;" - "&amp;INDEX(DivisionMapping[category_code],MATCH($D1112&amp;$C1112,DivisionMapping[dept_bu],0)),H1112))</f>
        <v/>
      </c>
      <c r="K1112" t="str">
        <f t="shared" si="734"/>
        <v/>
      </c>
      <c r="L1112" s="652">
        <f>IF($B1112="",,SUMIFS(PerHeadcount[Month 1],PerHeadcount[exp_item],$H1112,PerHeadcount[company_name],$B1112)*L272)</f>
        <v>0</v>
      </c>
      <c r="M1112" s="652">
        <f>IF($B1112="",,SUMIFS(PerHeadcount[Month 2],PerHeadcount[exp_item],$H1112,PerHeadcount[company_name],$B1112)*M272)</f>
        <v>0</v>
      </c>
      <c r="N1112" s="652">
        <f>IF($B1112="",,SUMIFS(PerHeadcount[Month 3],PerHeadcount[exp_item],$H1112,PerHeadcount[company_name],$B1112)*N272)</f>
        <v>0</v>
      </c>
      <c r="O1112" s="652">
        <f>IF($B1112="",,SUMIFS(PerHeadcount[Month 4],PerHeadcount[exp_item],$H1112,PerHeadcount[company_name],$B1112)*O272)</f>
        <v>0</v>
      </c>
      <c r="P1112" s="652">
        <f>IF($B1112="",,SUMIFS(PerHeadcount[Month 5],PerHeadcount[exp_item],$H1112,PerHeadcount[company_name],$B1112)*P272)</f>
        <v>0</v>
      </c>
      <c r="Q1112" s="652">
        <f>IF($B1112="",,SUMIFS(PerHeadcount[Month 6],PerHeadcount[exp_item],$H1112,PerHeadcount[company_name],$B1112)*Q272)</f>
        <v>0</v>
      </c>
      <c r="R1112" s="652">
        <f>IF($B1112="",,SUMIFS(PerHeadcount[Month 7],PerHeadcount[exp_item],$H1112,PerHeadcount[company_name],$B1112)*R272)</f>
        <v>0</v>
      </c>
      <c r="S1112" s="652">
        <f>IF($B1112="",,SUMIFS(PerHeadcount[Month 8],PerHeadcount[exp_item],$H1112,PerHeadcount[company_name],$B1112)*S272)</f>
        <v>0</v>
      </c>
      <c r="T1112" s="652">
        <f>IF($B1112="",,SUMIFS(PerHeadcount[Month 9],PerHeadcount[exp_item],$H1112,PerHeadcount[company_name],$B1112)*T272)</f>
        <v>0</v>
      </c>
      <c r="U1112" s="652">
        <f>IF($B1112="",,SUMIFS(PerHeadcount[Month 10],PerHeadcount[exp_item],$H1112,PerHeadcount[company_name],$B1112)*U272)</f>
        <v>0</v>
      </c>
      <c r="V1112" s="652">
        <f>IF($B1112="",,SUMIFS(PerHeadcount[Month 11],PerHeadcount[exp_item],$H1112,PerHeadcount[company_name],$B1112)*V272)</f>
        <v>0</v>
      </c>
      <c r="W1112" s="652">
        <f>IF($B1112="",,SUMIFS(PerHeadcount[Month 12],PerHeadcount[exp_item],$H1112,PerHeadcount[company_name],$B1112)*W272)</f>
        <v>0</v>
      </c>
      <c r="X1112" s="652">
        <f>IF($B1112="",,SUMIFS(PerHeadcount[Month 13],PerHeadcount[exp_item],$H1112,PerHeadcount[company_name],$B1112)*X272)</f>
        <v>0</v>
      </c>
      <c r="Y1112" s="652">
        <f>IF($B1112="",,SUMIFS(PerHeadcount[Month 14],PerHeadcount[exp_item],$H1112,PerHeadcount[company_name],$B1112)*Y272)</f>
        <v>0</v>
      </c>
      <c r="Z1112" s="652">
        <f>IF($B1112="",,SUMIFS(PerHeadcount[Month 15],PerHeadcount[exp_item],$H1112,PerHeadcount[company_name],$B1112)*Z272)</f>
        <v>0</v>
      </c>
      <c r="AA1112" s="652">
        <f>IF($B1112="",,SUMIFS(PerHeadcount[Month 16],PerHeadcount[exp_item],$H1112,PerHeadcount[company_name],$B1112)*AA272)</f>
        <v>0</v>
      </c>
      <c r="AB1112" s="652">
        <f>IF($B1112="",,SUMIFS(PerHeadcount[Month 17],PerHeadcount[exp_item],$H1112,PerHeadcount[company_name],$B1112)*AB272)</f>
        <v>0</v>
      </c>
      <c r="AC1112" s="652">
        <f>IF($B1112="",,SUMIFS(PerHeadcount[Month 18],PerHeadcount[exp_item],$H1112,PerHeadcount[company_name],$B1112)*AC272)</f>
        <v>0</v>
      </c>
      <c r="AD1112" s="652">
        <f>IF($B1112="",,SUMIFS(PerHeadcount[Month 19],PerHeadcount[exp_item],$H1112,PerHeadcount[company_name],$B1112)*AD272)</f>
        <v>0</v>
      </c>
      <c r="AE1112" s="652">
        <f>IF($B1112="",,SUMIFS(PerHeadcount[Month 20],PerHeadcount[exp_item],$H1112,PerHeadcount[company_name],$B1112)*AE272)</f>
        <v>0</v>
      </c>
      <c r="AF1112" s="652">
        <f>IF($B1112="",,SUMIFS(PerHeadcount[Month 21],PerHeadcount[exp_item],$H1112,PerHeadcount[company_name],$B1112)*AF272)</f>
        <v>0</v>
      </c>
      <c r="AG1112" s="652">
        <f>IF($B1112="",,SUMIFS(PerHeadcount[Month 22],PerHeadcount[exp_item],$H1112,PerHeadcount[company_name],$B1112)*AG272)</f>
        <v>0</v>
      </c>
      <c r="AH1112" s="652">
        <f>IF($B1112="",,SUMIFS(PerHeadcount[Month 23],PerHeadcount[exp_item],$H1112,PerHeadcount[company_name],$B1112)*AH272)</f>
        <v>0</v>
      </c>
      <c r="AI1112" s="652">
        <f>IF($B1112="",,SUMIFS(PerHeadcount[Month 24],PerHeadcount[exp_item],$H1112,PerHeadcount[company_name],$B1112)*AI272)</f>
        <v>0</v>
      </c>
      <c r="AJ1112" s="652">
        <f>IF($B1112="",,SUMIFS(PerHeadcount[Month 25],PerHeadcount[exp_item],$H1112,PerHeadcount[company_name],$B1112)*AJ272)</f>
        <v>0</v>
      </c>
      <c r="AK1112" s="652">
        <f>IF($B1112="",,SUMIFS(PerHeadcount[Month 26],PerHeadcount[exp_item],$H1112,PerHeadcount[company_name],$B1112)*AK272)</f>
        <v>0</v>
      </c>
      <c r="AL1112" s="652">
        <f>IF($B1112="",,SUMIFS(PerHeadcount[Month 27],PerHeadcount[exp_item],$H1112,PerHeadcount[company_name],$B1112)*AL272)</f>
        <v>0</v>
      </c>
      <c r="AM1112" s="652">
        <f>IF($B1112="",,SUMIFS(PerHeadcount[Month 28],PerHeadcount[exp_item],$H1112,PerHeadcount[company_name],$B1112)*AM272)</f>
        <v>0</v>
      </c>
      <c r="AN1112" s="652">
        <f>IF($B1112="",,SUMIFS(PerHeadcount[Month 29],PerHeadcount[exp_item],$H1112,PerHeadcount[company_name],$B1112)*AN272)</f>
        <v>0</v>
      </c>
      <c r="AO1112" s="652">
        <f>IF($B1112="",,SUMIFS(PerHeadcount[Month 30],PerHeadcount[exp_item],$H1112,PerHeadcount[company_name],$B1112)*AO272)</f>
        <v>0</v>
      </c>
      <c r="AP1112" s="652">
        <f>IF($B1112="",,SUMIFS(PerHeadcount[Month 31],PerHeadcount[exp_item],$H1112,PerHeadcount[company_name],$B1112)*AP272)</f>
        <v>0</v>
      </c>
      <c r="AQ1112" s="652">
        <f>IF($B1112="",,SUMIFS(PerHeadcount[Month 32],PerHeadcount[exp_item],$H1112,PerHeadcount[company_name],$B1112)*AQ272)</f>
        <v>0</v>
      </c>
      <c r="AR1112" s="652">
        <f>IF($B1112="",,SUMIFS(PerHeadcount[Month 33],PerHeadcount[exp_item],$H1112,PerHeadcount[company_name],$B1112)*AR272)</f>
        <v>0</v>
      </c>
      <c r="AS1112" s="652">
        <f>IF($B1112="",,SUMIFS(PerHeadcount[Month 34],PerHeadcount[exp_item],$H1112,PerHeadcount[company_name],$B1112)*AS272)</f>
        <v>0</v>
      </c>
      <c r="AT1112" s="652">
        <f>IF($B1112="",,SUMIFS(PerHeadcount[Month 35],PerHeadcount[exp_item],$H1112,PerHeadcount[company_name],$B1112)*AT272)</f>
        <v>0</v>
      </c>
      <c r="AU1112" s="652">
        <f>IF($B1112="",,SUMIFS(PerHeadcount[Month 36],PerHeadcount[exp_item],$H1112,PerHeadcount[company_name],$B1112)*AU272)</f>
        <v>0</v>
      </c>
    </row>
    <row r="1113" spans="2:47" x14ac:dyDescent="0.35">
      <c r="B1113" t="str">
        <f t="shared" ref="B1113:G1113" si="756">IF(B1008="","",B1008)</f>
        <v/>
      </c>
      <c r="C1113" t="str">
        <f t="shared" si="756"/>
        <v/>
      </c>
      <c r="D1113" t="str">
        <f t="shared" si="756"/>
        <v/>
      </c>
      <c r="E1113" t="str">
        <f t="shared" si="756"/>
        <v/>
      </c>
      <c r="F1113" t="str">
        <f t="shared" si="756"/>
        <v/>
      </c>
      <c r="G1113" t="str">
        <f t="shared" si="756"/>
        <v/>
      </c>
      <c r="H1113" t="str">
        <f t="shared" si="731"/>
        <v/>
      </c>
      <c r="J1113" t="str">
        <f>IF($H1113="","",IF(VLOOKUP(H1113,ExpItems[],2,0),H1113&amp;" - "&amp;INDEX(DivisionMapping[category_code],MATCH($D1113&amp;$C1113,DivisionMapping[dept_bu],0)),H1113))</f>
        <v/>
      </c>
      <c r="K1113" t="str">
        <f t="shared" si="734"/>
        <v/>
      </c>
      <c r="L1113" s="652">
        <f>IF($B1113="",,SUMIFS(PerHeadcount[Month 1],PerHeadcount[exp_item],$H1113,PerHeadcount[company_name],$B1113)*L273)</f>
        <v>0</v>
      </c>
      <c r="M1113" s="652">
        <f>IF($B1113="",,SUMIFS(PerHeadcount[Month 2],PerHeadcount[exp_item],$H1113,PerHeadcount[company_name],$B1113)*M273)</f>
        <v>0</v>
      </c>
      <c r="N1113" s="652">
        <f>IF($B1113="",,SUMIFS(PerHeadcount[Month 3],PerHeadcount[exp_item],$H1113,PerHeadcount[company_name],$B1113)*N273)</f>
        <v>0</v>
      </c>
      <c r="O1113" s="652">
        <f>IF($B1113="",,SUMIFS(PerHeadcount[Month 4],PerHeadcount[exp_item],$H1113,PerHeadcount[company_name],$B1113)*O273)</f>
        <v>0</v>
      </c>
      <c r="P1113" s="652">
        <f>IF($B1113="",,SUMIFS(PerHeadcount[Month 5],PerHeadcount[exp_item],$H1113,PerHeadcount[company_name],$B1113)*P273)</f>
        <v>0</v>
      </c>
      <c r="Q1113" s="652">
        <f>IF($B1113="",,SUMIFS(PerHeadcount[Month 6],PerHeadcount[exp_item],$H1113,PerHeadcount[company_name],$B1113)*Q273)</f>
        <v>0</v>
      </c>
      <c r="R1113" s="652">
        <f>IF($B1113="",,SUMIFS(PerHeadcount[Month 7],PerHeadcount[exp_item],$H1113,PerHeadcount[company_name],$B1113)*R273)</f>
        <v>0</v>
      </c>
      <c r="S1113" s="652">
        <f>IF($B1113="",,SUMIFS(PerHeadcount[Month 8],PerHeadcount[exp_item],$H1113,PerHeadcount[company_name],$B1113)*S273)</f>
        <v>0</v>
      </c>
      <c r="T1113" s="652">
        <f>IF($B1113="",,SUMIFS(PerHeadcount[Month 9],PerHeadcount[exp_item],$H1113,PerHeadcount[company_name],$B1113)*T273)</f>
        <v>0</v>
      </c>
      <c r="U1113" s="652">
        <f>IF($B1113="",,SUMIFS(PerHeadcount[Month 10],PerHeadcount[exp_item],$H1113,PerHeadcount[company_name],$B1113)*U273)</f>
        <v>0</v>
      </c>
      <c r="V1113" s="652">
        <f>IF($B1113="",,SUMIFS(PerHeadcount[Month 11],PerHeadcount[exp_item],$H1113,PerHeadcount[company_name],$B1113)*V273)</f>
        <v>0</v>
      </c>
      <c r="W1113" s="652">
        <f>IF($B1113="",,SUMIFS(PerHeadcount[Month 12],PerHeadcount[exp_item],$H1113,PerHeadcount[company_name],$B1113)*W273)</f>
        <v>0</v>
      </c>
      <c r="X1113" s="652">
        <f>IF($B1113="",,SUMIFS(PerHeadcount[Month 13],PerHeadcount[exp_item],$H1113,PerHeadcount[company_name],$B1113)*X273)</f>
        <v>0</v>
      </c>
      <c r="Y1113" s="652">
        <f>IF($B1113="",,SUMIFS(PerHeadcount[Month 14],PerHeadcount[exp_item],$H1113,PerHeadcount[company_name],$B1113)*Y273)</f>
        <v>0</v>
      </c>
      <c r="Z1113" s="652">
        <f>IF($B1113="",,SUMIFS(PerHeadcount[Month 15],PerHeadcount[exp_item],$H1113,PerHeadcount[company_name],$B1113)*Z273)</f>
        <v>0</v>
      </c>
      <c r="AA1113" s="652">
        <f>IF($B1113="",,SUMIFS(PerHeadcount[Month 16],PerHeadcount[exp_item],$H1113,PerHeadcount[company_name],$B1113)*AA273)</f>
        <v>0</v>
      </c>
      <c r="AB1113" s="652">
        <f>IF($B1113="",,SUMIFS(PerHeadcount[Month 17],PerHeadcount[exp_item],$H1113,PerHeadcount[company_name],$B1113)*AB273)</f>
        <v>0</v>
      </c>
      <c r="AC1113" s="652">
        <f>IF($B1113="",,SUMIFS(PerHeadcount[Month 18],PerHeadcount[exp_item],$H1113,PerHeadcount[company_name],$B1113)*AC273)</f>
        <v>0</v>
      </c>
      <c r="AD1113" s="652">
        <f>IF($B1113="",,SUMIFS(PerHeadcount[Month 19],PerHeadcount[exp_item],$H1113,PerHeadcount[company_name],$B1113)*AD273)</f>
        <v>0</v>
      </c>
      <c r="AE1113" s="652">
        <f>IF($B1113="",,SUMIFS(PerHeadcount[Month 20],PerHeadcount[exp_item],$H1113,PerHeadcount[company_name],$B1113)*AE273)</f>
        <v>0</v>
      </c>
      <c r="AF1113" s="652">
        <f>IF($B1113="",,SUMIFS(PerHeadcount[Month 21],PerHeadcount[exp_item],$H1113,PerHeadcount[company_name],$B1113)*AF273)</f>
        <v>0</v>
      </c>
      <c r="AG1113" s="652">
        <f>IF($B1113="",,SUMIFS(PerHeadcount[Month 22],PerHeadcount[exp_item],$H1113,PerHeadcount[company_name],$B1113)*AG273)</f>
        <v>0</v>
      </c>
      <c r="AH1113" s="652">
        <f>IF($B1113="",,SUMIFS(PerHeadcount[Month 23],PerHeadcount[exp_item],$H1113,PerHeadcount[company_name],$B1113)*AH273)</f>
        <v>0</v>
      </c>
      <c r="AI1113" s="652">
        <f>IF($B1113="",,SUMIFS(PerHeadcount[Month 24],PerHeadcount[exp_item],$H1113,PerHeadcount[company_name],$B1113)*AI273)</f>
        <v>0</v>
      </c>
      <c r="AJ1113" s="652">
        <f>IF($B1113="",,SUMIFS(PerHeadcount[Month 25],PerHeadcount[exp_item],$H1113,PerHeadcount[company_name],$B1113)*AJ273)</f>
        <v>0</v>
      </c>
      <c r="AK1113" s="652">
        <f>IF($B1113="",,SUMIFS(PerHeadcount[Month 26],PerHeadcount[exp_item],$H1113,PerHeadcount[company_name],$B1113)*AK273)</f>
        <v>0</v>
      </c>
      <c r="AL1113" s="652">
        <f>IF($B1113="",,SUMIFS(PerHeadcount[Month 27],PerHeadcount[exp_item],$H1113,PerHeadcount[company_name],$B1113)*AL273)</f>
        <v>0</v>
      </c>
      <c r="AM1113" s="652">
        <f>IF($B1113="",,SUMIFS(PerHeadcount[Month 28],PerHeadcount[exp_item],$H1113,PerHeadcount[company_name],$B1113)*AM273)</f>
        <v>0</v>
      </c>
      <c r="AN1113" s="652">
        <f>IF($B1113="",,SUMIFS(PerHeadcount[Month 29],PerHeadcount[exp_item],$H1113,PerHeadcount[company_name],$B1113)*AN273)</f>
        <v>0</v>
      </c>
      <c r="AO1113" s="652">
        <f>IF($B1113="",,SUMIFS(PerHeadcount[Month 30],PerHeadcount[exp_item],$H1113,PerHeadcount[company_name],$B1113)*AO273)</f>
        <v>0</v>
      </c>
      <c r="AP1113" s="652">
        <f>IF($B1113="",,SUMIFS(PerHeadcount[Month 31],PerHeadcount[exp_item],$H1113,PerHeadcount[company_name],$B1113)*AP273)</f>
        <v>0</v>
      </c>
      <c r="AQ1113" s="652">
        <f>IF($B1113="",,SUMIFS(PerHeadcount[Month 32],PerHeadcount[exp_item],$H1113,PerHeadcount[company_name],$B1113)*AQ273)</f>
        <v>0</v>
      </c>
      <c r="AR1113" s="652">
        <f>IF($B1113="",,SUMIFS(PerHeadcount[Month 33],PerHeadcount[exp_item],$H1113,PerHeadcount[company_name],$B1113)*AR273)</f>
        <v>0</v>
      </c>
      <c r="AS1113" s="652">
        <f>IF($B1113="",,SUMIFS(PerHeadcount[Month 34],PerHeadcount[exp_item],$H1113,PerHeadcount[company_name],$B1113)*AS273)</f>
        <v>0</v>
      </c>
      <c r="AT1113" s="652">
        <f>IF($B1113="",,SUMIFS(PerHeadcount[Month 35],PerHeadcount[exp_item],$H1113,PerHeadcount[company_name],$B1113)*AT273)</f>
        <v>0</v>
      </c>
      <c r="AU1113" s="652">
        <f>IF($B1113="",,SUMIFS(PerHeadcount[Month 36],PerHeadcount[exp_item],$H1113,PerHeadcount[company_name],$B1113)*AU273)</f>
        <v>0</v>
      </c>
    </row>
    <row r="1114" spans="2:47" x14ac:dyDescent="0.35">
      <c r="B1114" t="str">
        <f t="shared" ref="B1114:G1114" si="757">IF(B1009="","",B1009)</f>
        <v/>
      </c>
      <c r="C1114" t="str">
        <f t="shared" si="757"/>
        <v/>
      </c>
      <c r="D1114" t="str">
        <f t="shared" si="757"/>
        <v/>
      </c>
      <c r="E1114" t="str">
        <f t="shared" si="757"/>
        <v/>
      </c>
      <c r="F1114" t="str">
        <f t="shared" si="757"/>
        <v/>
      </c>
      <c r="G1114" t="str">
        <f t="shared" si="757"/>
        <v/>
      </c>
      <c r="H1114" t="str">
        <f t="shared" si="731"/>
        <v/>
      </c>
      <c r="J1114" t="str">
        <f>IF($H1114="","",IF(VLOOKUP(H1114,ExpItems[],2,0),H1114&amp;" - "&amp;INDEX(DivisionMapping[category_code],MATCH($D1114&amp;$C1114,DivisionMapping[dept_bu],0)),H1114))</f>
        <v/>
      </c>
      <c r="K1114" t="str">
        <f t="shared" si="734"/>
        <v/>
      </c>
      <c r="L1114" s="652">
        <f>IF($B1114="",,SUMIFS(PerHeadcount[Month 1],PerHeadcount[exp_item],$H1114,PerHeadcount[company_name],$B1114)*L274)</f>
        <v>0</v>
      </c>
      <c r="M1114" s="652">
        <f>IF($B1114="",,SUMIFS(PerHeadcount[Month 2],PerHeadcount[exp_item],$H1114,PerHeadcount[company_name],$B1114)*M274)</f>
        <v>0</v>
      </c>
      <c r="N1114" s="652">
        <f>IF($B1114="",,SUMIFS(PerHeadcount[Month 3],PerHeadcount[exp_item],$H1114,PerHeadcount[company_name],$B1114)*N274)</f>
        <v>0</v>
      </c>
      <c r="O1114" s="652">
        <f>IF($B1114="",,SUMIFS(PerHeadcount[Month 4],PerHeadcount[exp_item],$H1114,PerHeadcount[company_name],$B1114)*O274)</f>
        <v>0</v>
      </c>
      <c r="P1114" s="652">
        <f>IF($B1114="",,SUMIFS(PerHeadcount[Month 5],PerHeadcount[exp_item],$H1114,PerHeadcount[company_name],$B1114)*P274)</f>
        <v>0</v>
      </c>
      <c r="Q1114" s="652">
        <f>IF($B1114="",,SUMIFS(PerHeadcount[Month 6],PerHeadcount[exp_item],$H1114,PerHeadcount[company_name],$B1114)*Q274)</f>
        <v>0</v>
      </c>
      <c r="R1114" s="652">
        <f>IF($B1114="",,SUMIFS(PerHeadcount[Month 7],PerHeadcount[exp_item],$H1114,PerHeadcount[company_name],$B1114)*R274)</f>
        <v>0</v>
      </c>
      <c r="S1114" s="652">
        <f>IF($B1114="",,SUMIFS(PerHeadcount[Month 8],PerHeadcount[exp_item],$H1114,PerHeadcount[company_name],$B1114)*S274)</f>
        <v>0</v>
      </c>
      <c r="T1114" s="652">
        <f>IF($B1114="",,SUMIFS(PerHeadcount[Month 9],PerHeadcount[exp_item],$H1114,PerHeadcount[company_name],$B1114)*T274)</f>
        <v>0</v>
      </c>
      <c r="U1114" s="652">
        <f>IF($B1114="",,SUMIFS(PerHeadcount[Month 10],PerHeadcount[exp_item],$H1114,PerHeadcount[company_name],$B1114)*U274)</f>
        <v>0</v>
      </c>
      <c r="V1114" s="652">
        <f>IF($B1114="",,SUMIFS(PerHeadcount[Month 11],PerHeadcount[exp_item],$H1114,PerHeadcount[company_name],$B1114)*V274)</f>
        <v>0</v>
      </c>
      <c r="W1114" s="652">
        <f>IF($B1114="",,SUMIFS(PerHeadcount[Month 12],PerHeadcount[exp_item],$H1114,PerHeadcount[company_name],$B1114)*W274)</f>
        <v>0</v>
      </c>
      <c r="X1114" s="652">
        <f>IF($B1114="",,SUMIFS(PerHeadcount[Month 13],PerHeadcount[exp_item],$H1114,PerHeadcount[company_name],$B1114)*X274)</f>
        <v>0</v>
      </c>
      <c r="Y1114" s="652">
        <f>IF($B1114="",,SUMIFS(PerHeadcount[Month 14],PerHeadcount[exp_item],$H1114,PerHeadcount[company_name],$B1114)*Y274)</f>
        <v>0</v>
      </c>
      <c r="Z1114" s="652">
        <f>IF($B1114="",,SUMIFS(PerHeadcount[Month 15],PerHeadcount[exp_item],$H1114,PerHeadcount[company_name],$B1114)*Z274)</f>
        <v>0</v>
      </c>
      <c r="AA1114" s="652">
        <f>IF($B1114="",,SUMIFS(PerHeadcount[Month 16],PerHeadcount[exp_item],$H1114,PerHeadcount[company_name],$B1114)*AA274)</f>
        <v>0</v>
      </c>
      <c r="AB1114" s="652">
        <f>IF($B1114="",,SUMIFS(PerHeadcount[Month 17],PerHeadcount[exp_item],$H1114,PerHeadcount[company_name],$B1114)*AB274)</f>
        <v>0</v>
      </c>
      <c r="AC1114" s="652">
        <f>IF($B1114="",,SUMIFS(PerHeadcount[Month 18],PerHeadcount[exp_item],$H1114,PerHeadcount[company_name],$B1114)*AC274)</f>
        <v>0</v>
      </c>
      <c r="AD1114" s="652">
        <f>IF($B1114="",,SUMIFS(PerHeadcount[Month 19],PerHeadcount[exp_item],$H1114,PerHeadcount[company_name],$B1114)*AD274)</f>
        <v>0</v>
      </c>
      <c r="AE1114" s="652">
        <f>IF($B1114="",,SUMIFS(PerHeadcount[Month 20],PerHeadcount[exp_item],$H1114,PerHeadcount[company_name],$B1114)*AE274)</f>
        <v>0</v>
      </c>
      <c r="AF1114" s="652">
        <f>IF($B1114="",,SUMIFS(PerHeadcount[Month 21],PerHeadcount[exp_item],$H1114,PerHeadcount[company_name],$B1114)*AF274)</f>
        <v>0</v>
      </c>
      <c r="AG1114" s="652">
        <f>IF($B1114="",,SUMIFS(PerHeadcount[Month 22],PerHeadcount[exp_item],$H1114,PerHeadcount[company_name],$B1114)*AG274)</f>
        <v>0</v>
      </c>
      <c r="AH1114" s="652">
        <f>IF($B1114="",,SUMIFS(PerHeadcount[Month 23],PerHeadcount[exp_item],$H1114,PerHeadcount[company_name],$B1114)*AH274)</f>
        <v>0</v>
      </c>
      <c r="AI1114" s="652">
        <f>IF($B1114="",,SUMIFS(PerHeadcount[Month 24],PerHeadcount[exp_item],$H1114,PerHeadcount[company_name],$B1114)*AI274)</f>
        <v>0</v>
      </c>
      <c r="AJ1114" s="652">
        <f>IF($B1114="",,SUMIFS(PerHeadcount[Month 25],PerHeadcount[exp_item],$H1114,PerHeadcount[company_name],$B1114)*AJ274)</f>
        <v>0</v>
      </c>
      <c r="AK1114" s="652">
        <f>IF($B1114="",,SUMIFS(PerHeadcount[Month 26],PerHeadcount[exp_item],$H1114,PerHeadcount[company_name],$B1114)*AK274)</f>
        <v>0</v>
      </c>
      <c r="AL1114" s="652">
        <f>IF($B1114="",,SUMIFS(PerHeadcount[Month 27],PerHeadcount[exp_item],$H1114,PerHeadcount[company_name],$B1114)*AL274)</f>
        <v>0</v>
      </c>
      <c r="AM1114" s="652">
        <f>IF($B1114="",,SUMIFS(PerHeadcount[Month 28],PerHeadcount[exp_item],$H1114,PerHeadcount[company_name],$B1114)*AM274)</f>
        <v>0</v>
      </c>
      <c r="AN1114" s="652">
        <f>IF($B1114="",,SUMIFS(PerHeadcount[Month 29],PerHeadcount[exp_item],$H1114,PerHeadcount[company_name],$B1114)*AN274)</f>
        <v>0</v>
      </c>
      <c r="AO1114" s="652">
        <f>IF($B1114="",,SUMIFS(PerHeadcount[Month 30],PerHeadcount[exp_item],$H1114,PerHeadcount[company_name],$B1114)*AO274)</f>
        <v>0</v>
      </c>
      <c r="AP1114" s="652">
        <f>IF($B1114="",,SUMIFS(PerHeadcount[Month 31],PerHeadcount[exp_item],$H1114,PerHeadcount[company_name],$B1114)*AP274)</f>
        <v>0</v>
      </c>
      <c r="AQ1114" s="652">
        <f>IF($B1114="",,SUMIFS(PerHeadcount[Month 32],PerHeadcount[exp_item],$H1114,PerHeadcount[company_name],$B1114)*AQ274)</f>
        <v>0</v>
      </c>
      <c r="AR1114" s="652">
        <f>IF($B1114="",,SUMIFS(PerHeadcount[Month 33],PerHeadcount[exp_item],$H1114,PerHeadcount[company_name],$B1114)*AR274)</f>
        <v>0</v>
      </c>
      <c r="AS1114" s="652">
        <f>IF($B1114="",,SUMIFS(PerHeadcount[Month 34],PerHeadcount[exp_item],$H1114,PerHeadcount[company_name],$B1114)*AS274)</f>
        <v>0</v>
      </c>
      <c r="AT1114" s="652">
        <f>IF($B1114="",,SUMIFS(PerHeadcount[Month 35],PerHeadcount[exp_item],$H1114,PerHeadcount[company_name],$B1114)*AT274)</f>
        <v>0</v>
      </c>
      <c r="AU1114" s="652">
        <f>IF($B1114="",,SUMIFS(PerHeadcount[Month 36],PerHeadcount[exp_item],$H1114,PerHeadcount[company_name],$B1114)*AU274)</f>
        <v>0</v>
      </c>
    </row>
    <row r="1115" spans="2:47" x14ac:dyDescent="0.35">
      <c r="B1115" t="str">
        <f t="shared" ref="B1115:G1115" si="758">IF(B1010="","",B1010)</f>
        <v/>
      </c>
      <c r="C1115" t="str">
        <f t="shared" si="758"/>
        <v/>
      </c>
      <c r="D1115" t="str">
        <f t="shared" si="758"/>
        <v/>
      </c>
      <c r="E1115" t="str">
        <f t="shared" si="758"/>
        <v/>
      </c>
      <c r="F1115" t="str">
        <f t="shared" si="758"/>
        <v/>
      </c>
      <c r="G1115" t="str">
        <f t="shared" si="758"/>
        <v/>
      </c>
      <c r="H1115" t="str">
        <f t="shared" si="731"/>
        <v/>
      </c>
      <c r="J1115" t="str">
        <f>IF($H1115="","",IF(VLOOKUP(H1115,ExpItems[],2,0),H1115&amp;" - "&amp;INDEX(DivisionMapping[category_code],MATCH($D1115&amp;$C1115,DivisionMapping[dept_bu],0)),H1115))</f>
        <v/>
      </c>
      <c r="K1115" t="str">
        <f t="shared" si="734"/>
        <v/>
      </c>
      <c r="L1115" s="652">
        <f>IF($B1115="",,SUMIFS(PerHeadcount[Month 1],PerHeadcount[exp_item],$H1115,PerHeadcount[company_name],$B1115)*L275)</f>
        <v>0</v>
      </c>
      <c r="M1115" s="652">
        <f>IF($B1115="",,SUMIFS(PerHeadcount[Month 2],PerHeadcount[exp_item],$H1115,PerHeadcount[company_name],$B1115)*M275)</f>
        <v>0</v>
      </c>
      <c r="N1115" s="652">
        <f>IF($B1115="",,SUMIFS(PerHeadcount[Month 3],PerHeadcount[exp_item],$H1115,PerHeadcount[company_name],$B1115)*N275)</f>
        <v>0</v>
      </c>
      <c r="O1115" s="652">
        <f>IF($B1115="",,SUMIFS(PerHeadcount[Month 4],PerHeadcount[exp_item],$H1115,PerHeadcount[company_name],$B1115)*O275)</f>
        <v>0</v>
      </c>
      <c r="P1115" s="652">
        <f>IF($B1115="",,SUMIFS(PerHeadcount[Month 5],PerHeadcount[exp_item],$H1115,PerHeadcount[company_name],$B1115)*P275)</f>
        <v>0</v>
      </c>
      <c r="Q1115" s="652">
        <f>IF($B1115="",,SUMIFS(PerHeadcount[Month 6],PerHeadcount[exp_item],$H1115,PerHeadcount[company_name],$B1115)*Q275)</f>
        <v>0</v>
      </c>
      <c r="R1115" s="652">
        <f>IF($B1115="",,SUMIFS(PerHeadcount[Month 7],PerHeadcount[exp_item],$H1115,PerHeadcount[company_name],$B1115)*R275)</f>
        <v>0</v>
      </c>
      <c r="S1115" s="652">
        <f>IF($B1115="",,SUMIFS(PerHeadcount[Month 8],PerHeadcount[exp_item],$H1115,PerHeadcount[company_name],$B1115)*S275)</f>
        <v>0</v>
      </c>
      <c r="T1115" s="652">
        <f>IF($B1115="",,SUMIFS(PerHeadcount[Month 9],PerHeadcount[exp_item],$H1115,PerHeadcount[company_name],$B1115)*T275)</f>
        <v>0</v>
      </c>
      <c r="U1115" s="652">
        <f>IF($B1115="",,SUMIFS(PerHeadcount[Month 10],PerHeadcount[exp_item],$H1115,PerHeadcount[company_name],$B1115)*U275)</f>
        <v>0</v>
      </c>
      <c r="V1115" s="652">
        <f>IF($B1115="",,SUMIFS(PerHeadcount[Month 11],PerHeadcount[exp_item],$H1115,PerHeadcount[company_name],$B1115)*V275)</f>
        <v>0</v>
      </c>
      <c r="W1115" s="652">
        <f>IF($B1115="",,SUMIFS(PerHeadcount[Month 12],PerHeadcount[exp_item],$H1115,PerHeadcount[company_name],$B1115)*W275)</f>
        <v>0</v>
      </c>
      <c r="X1115" s="652">
        <f>IF($B1115="",,SUMIFS(PerHeadcount[Month 13],PerHeadcount[exp_item],$H1115,PerHeadcount[company_name],$B1115)*X275)</f>
        <v>0</v>
      </c>
      <c r="Y1115" s="652">
        <f>IF($B1115="",,SUMIFS(PerHeadcount[Month 14],PerHeadcount[exp_item],$H1115,PerHeadcount[company_name],$B1115)*Y275)</f>
        <v>0</v>
      </c>
      <c r="Z1115" s="652">
        <f>IF($B1115="",,SUMIFS(PerHeadcount[Month 15],PerHeadcount[exp_item],$H1115,PerHeadcount[company_name],$B1115)*Z275)</f>
        <v>0</v>
      </c>
      <c r="AA1115" s="652">
        <f>IF($B1115="",,SUMIFS(PerHeadcount[Month 16],PerHeadcount[exp_item],$H1115,PerHeadcount[company_name],$B1115)*AA275)</f>
        <v>0</v>
      </c>
      <c r="AB1115" s="652">
        <f>IF($B1115="",,SUMIFS(PerHeadcount[Month 17],PerHeadcount[exp_item],$H1115,PerHeadcount[company_name],$B1115)*AB275)</f>
        <v>0</v>
      </c>
      <c r="AC1115" s="652">
        <f>IF($B1115="",,SUMIFS(PerHeadcount[Month 18],PerHeadcount[exp_item],$H1115,PerHeadcount[company_name],$B1115)*AC275)</f>
        <v>0</v>
      </c>
      <c r="AD1115" s="652">
        <f>IF($B1115="",,SUMIFS(PerHeadcount[Month 19],PerHeadcount[exp_item],$H1115,PerHeadcount[company_name],$B1115)*AD275)</f>
        <v>0</v>
      </c>
      <c r="AE1115" s="652">
        <f>IF($B1115="",,SUMIFS(PerHeadcount[Month 20],PerHeadcount[exp_item],$H1115,PerHeadcount[company_name],$B1115)*AE275)</f>
        <v>0</v>
      </c>
      <c r="AF1115" s="652">
        <f>IF($B1115="",,SUMIFS(PerHeadcount[Month 21],PerHeadcount[exp_item],$H1115,PerHeadcount[company_name],$B1115)*AF275)</f>
        <v>0</v>
      </c>
      <c r="AG1115" s="652">
        <f>IF($B1115="",,SUMIFS(PerHeadcount[Month 22],PerHeadcount[exp_item],$H1115,PerHeadcount[company_name],$B1115)*AG275)</f>
        <v>0</v>
      </c>
      <c r="AH1115" s="652">
        <f>IF($B1115="",,SUMIFS(PerHeadcount[Month 23],PerHeadcount[exp_item],$H1115,PerHeadcount[company_name],$B1115)*AH275)</f>
        <v>0</v>
      </c>
      <c r="AI1115" s="652">
        <f>IF($B1115="",,SUMIFS(PerHeadcount[Month 24],PerHeadcount[exp_item],$H1115,PerHeadcount[company_name],$B1115)*AI275)</f>
        <v>0</v>
      </c>
      <c r="AJ1115" s="652">
        <f>IF($B1115="",,SUMIFS(PerHeadcount[Month 25],PerHeadcount[exp_item],$H1115,PerHeadcount[company_name],$B1115)*AJ275)</f>
        <v>0</v>
      </c>
      <c r="AK1115" s="652">
        <f>IF($B1115="",,SUMIFS(PerHeadcount[Month 26],PerHeadcount[exp_item],$H1115,PerHeadcount[company_name],$B1115)*AK275)</f>
        <v>0</v>
      </c>
      <c r="AL1115" s="652">
        <f>IF($B1115="",,SUMIFS(PerHeadcount[Month 27],PerHeadcount[exp_item],$H1115,PerHeadcount[company_name],$B1115)*AL275)</f>
        <v>0</v>
      </c>
      <c r="AM1115" s="652">
        <f>IF($B1115="",,SUMIFS(PerHeadcount[Month 28],PerHeadcount[exp_item],$H1115,PerHeadcount[company_name],$B1115)*AM275)</f>
        <v>0</v>
      </c>
      <c r="AN1115" s="652">
        <f>IF($B1115="",,SUMIFS(PerHeadcount[Month 29],PerHeadcount[exp_item],$H1115,PerHeadcount[company_name],$B1115)*AN275)</f>
        <v>0</v>
      </c>
      <c r="AO1115" s="652">
        <f>IF($B1115="",,SUMIFS(PerHeadcount[Month 30],PerHeadcount[exp_item],$H1115,PerHeadcount[company_name],$B1115)*AO275)</f>
        <v>0</v>
      </c>
      <c r="AP1115" s="652">
        <f>IF($B1115="",,SUMIFS(PerHeadcount[Month 31],PerHeadcount[exp_item],$H1115,PerHeadcount[company_name],$B1115)*AP275)</f>
        <v>0</v>
      </c>
      <c r="AQ1115" s="652">
        <f>IF($B1115="",,SUMIFS(PerHeadcount[Month 32],PerHeadcount[exp_item],$H1115,PerHeadcount[company_name],$B1115)*AQ275)</f>
        <v>0</v>
      </c>
      <c r="AR1115" s="652">
        <f>IF($B1115="",,SUMIFS(PerHeadcount[Month 33],PerHeadcount[exp_item],$H1115,PerHeadcount[company_name],$B1115)*AR275)</f>
        <v>0</v>
      </c>
      <c r="AS1115" s="652">
        <f>IF($B1115="",,SUMIFS(PerHeadcount[Month 34],PerHeadcount[exp_item],$H1115,PerHeadcount[company_name],$B1115)*AS275)</f>
        <v>0</v>
      </c>
      <c r="AT1115" s="652">
        <f>IF($B1115="",,SUMIFS(PerHeadcount[Month 35],PerHeadcount[exp_item],$H1115,PerHeadcount[company_name],$B1115)*AT275)</f>
        <v>0</v>
      </c>
      <c r="AU1115" s="652">
        <f>IF($B1115="",,SUMIFS(PerHeadcount[Month 36],PerHeadcount[exp_item],$H1115,PerHeadcount[company_name],$B1115)*AU275)</f>
        <v>0</v>
      </c>
    </row>
    <row r="1116" spans="2:47" x14ac:dyDescent="0.35">
      <c r="B1116" t="str">
        <f t="shared" ref="B1116:G1116" si="759">IF(B1011="","",B1011)</f>
        <v/>
      </c>
      <c r="C1116" t="str">
        <f t="shared" si="759"/>
        <v/>
      </c>
      <c r="D1116" t="str">
        <f t="shared" si="759"/>
        <v/>
      </c>
      <c r="E1116" t="str">
        <f t="shared" si="759"/>
        <v/>
      </c>
      <c r="F1116" t="str">
        <f t="shared" si="759"/>
        <v/>
      </c>
      <c r="G1116" t="str">
        <f t="shared" si="759"/>
        <v/>
      </c>
      <c r="H1116" t="str">
        <f t="shared" si="731"/>
        <v/>
      </c>
      <c r="J1116" t="str">
        <f>IF($H1116="","",IF(VLOOKUP(H1116,ExpItems[],2,0),H1116&amp;" - "&amp;INDEX(DivisionMapping[category_code],MATCH($D1116&amp;$C1116,DivisionMapping[dept_bu],0)),H1116))</f>
        <v/>
      </c>
      <c r="K1116" t="str">
        <f t="shared" si="734"/>
        <v/>
      </c>
      <c r="L1116" s="652">
        <f>IF($B1116="",,SUMIFS(PerHeadcount[Month 1],PerHeadcount[exp_item],$H1116,PerHeadcount[company_name],$B1116)*L276)</f>
        <v>0</v>
      </c>
      <c r="M1116" s="652">
        <f>IF($B1116="",,SUMIFS(PerHeadcount[Month 2],PerHeadcount[exp_item],$H1116,PerHeadcount[company_name],$B1116)*M276)</f>
        <v>0</v>
      </c>
      <c r="N1116" s="652">
        <f>IF($B1116="",,SUMIFS(PerHeadcount[Month 3],PerHeadcount[exp_item],$H1116,PerHeadcount[company_name],$B1116)*N276)</f>
        <v>0</v>
      </c>
      <c r="O1116" s="652">
        <f>IF($B1116="",,SUMIFS(PerHeadcount[Month 4],PerHeadcount[exp_item],$H1116,PerHeadcount[company_name],$B1116)*O276)</f>
        <v>0</v>
      </c>
      <c r="P1116" s="652">
        <f>IF($B1116="",,SUMIFS(PerHeadcount[Month 5],PerHeadcount[exp_item],$H1116,PerHeadcount[company_name],$B1116)*P276)</f>
        <v>0</v>
      </c>
      <c r="Q1116" s="652">
        <f>IF($B1116="",,SUMIFS(PerHeadcount[Month 6],PerHeadcount[exp_item],$H1116,PerHeadcount[company_name],$B1116)*Q276)</f>
        <v>0</v>
      </c>
      <c r="R1116" s="652">
        <f>IF($B1116="",,SUMIFS(PerHeadcount[Month 7],PerHeadcount[exp_item],$H1116,PerHeadcount[company_name],$B1116)*R276)</f>
        <v>0</v>
      </c>
      <c r="S1116" s="652">
        <f>IF($B1116="",,SUMIFS(PerHeadcount[Month 8],PerHeadcount[exp_item],$H1116,PerHeadcount[company_name],$B1116)*S276)</f>
        <v>0</v>
      </c>
      <c r="T1116" s="652">
        <f>IF($B1116="",,SUMIFS(PerHeadcount[Month 9],PerHeadcount[exp_item],$H1116,PerHeadcount[company_name],$B1116)*T276)</f>
        <v>0</v>
      </c>
      <c r="U1116" s="652">
        <f>IF($B1116="",,SUMIFS(PerHeadcount[Month 10],PerHeadcount[exp_item],$H1116,PerHeadcount[company_name],$B1116)*U276)</f>
        <v>0</v>
      </c>
      <c r="V1116" s="652">
        <f>IF($B1116="",,SUMIFS(PerHeadcount[Month 11],PerHeadcount[exp_item],$H1116,PerHeadcount[company_name],$B1116)*V276)</f>
        <v>0</v>
      </c>
      <c r="W1116" s="652">
        <f>IF($B1116="",,SUMIFS(PerHeadcount[Month 12],PerHeadcount[exp_item],$H1116,PerHeadcount[company_name],$B1116)*W276)</f>
        <v>0</v>
      </c>
      <c r="X1116" s="652">
        <f>IF($B1116="",,SUMIFS(PerHeadcount[Month 13],PerHeadcount[exp_item],$H1116,PerHeadcount[company_name],$B1116)*X276)</f>
        <v>0</v>
      </c>
      <c r="Y1116" s="652">
        <f>IF($B1116="",,SUMIFS(PerHeadcount[Month 14],PerHeadcount[exp_item],$H1116,PerHeadcount[company_name],$B1116)*Y276)</f>
        <v>0</v>
      </c>
      <c r="Z1116" s="652">
        <f>IF($B1116="",,SUMIFS(PerHeadcount[Month 15],PerHeadcount[exp_item],$H1116,PerHeadcount[company_name],$B1116)*Z276)</f>
        <v>0</v>
      </c>
      <c r="AA1116" s="652">
        <f>IF($B1116="",,SUMIFS(PerHeadcount[Month 16],PerHeadcount[exp_item],$H1116,PerHeadcount[company_name],$B1116)*AA276)</f>
        <v>0</v>
      </c>
      <c r="AB1116" s="652">
        <f>IF($B1116="",,SUMIFS(PerHeadcount[Month 17],PerHeadcount[exp_item],$H1116,PerHeadcount[company_name],$B1116)*AB276)</f>
        <v>0</v>
      </c>
      <c r="AC1116" s="652">
        <f>IF($B1116="",,SUMIFS(PerHeadcount[Month 18],PerHeadcount[exp_item],$H1116,PerHeadcount[company_name],$B1116)*AC276)</f>
        <v>0</v>
      </c>
      <c r="AD1116" s="652">
        <f>IF($B1116="",,SUMIFS(PerHeadcount[Month 19],PerHeadcount[exp_item],$H1116,PerHeadcount[company_name],$B1116)*AD276)</f>
        <v>0</v>
      </c>
      <c r="AE1116" s="652">
        <f>IF($B1116="",,SUMIFS(PerHeadcount[Month 20],PerHeadcount[exp_item],$H1116,PerHeadcount[company_name],$B1116)*AE276)</f>
        <v>0</v>
      </c>
      <c r="AF1116" s="652">
        <f>IF($B1116="",,SUMIFS(PerHeadcount[Month 21],PerHeadcount[exp_item],$H1116,PerHeadcount[company_name],$B1116)*AF276)</f>
        <v>0</v>
      </c>
      <c r="AG1116" s="652">
        <f>IF($B1116="",,SUMIFS(PerHeadcount[Month 22],PerHeadcount[exp_item],$H1116,PerHeadcount[company_name],$B1116)*AG276)</f>
        <v>0</v>
      </c>
      <c r="AH1116" s="652">
        <f>IF($B1116="",,SUMIFS(PerHeadcount[Month 23],PerHeadcount[exp_item],$H1116,PerHeadcount[company_name],$B1116)*AH276)</f>
        <v>0</v>
      </c>
      <c r="AI1116" s="652">
        <f>IF($B1116="",,SUMIFS(PerHeadcount[Month 24],PerHeadcount[exp_item],$H1116,PerHeadcount[company_name],$B1116)*AI276)</f>
        <v>0</v>
      </c>
      <c r="AJ1116" s="652">
        <f>IF($B1116="",,SUMIFS(PerHeadcount[Month 25],PerHeadcount[exp_item],$H1116,PerHeadcount[company_name],$B1116)*AJ276)</f>
        <v>0</v>
      </c>
      <c r="AK1116" s="652">
        <f>IF($B1116="",,SUMIFS(PerHeadcount[Month 26],PerHeadcount[exp_item],$H1116,PerHeadcount[company_name],$B1116)*AK276)</f>
        <v>0</v>
      </c>
      <c r="AL1116" s="652">
        <f>IF($B1116="",,SUMIFS(PerHeadcount[Month 27],PerHeadcount[exp_item],$H1116,PerHeadcount[company_name],$B1116)*AL276)</f>
        <v>0</v>
      </c>
      <c r="AM1116" s="652">
        <f>IF($B1116="",,SUMIFS(PerHeadcount[Month 28],PerHeadcount[exp_item],$H1116,PerHeadcount[company_name],$B1116)*AM276)</f>
        <v>0</v>
      </c>
      <c r="AN1116" s="652">
        <f>IF($B1116="",,SUMIFS(PerHeadcount[Month 29],PerHeadcount[exp_item],$H1116,PerHeadcount[company_name],$B1116)*AN276)</f>
        <v>0</v>
      </c>
      <c r="AO1116" s="652">
        <f>IF($B1116="",,SUMIFS(PerHeadcount[Month 30],PerHeadcount[exp_item],$H1116,PerHeadcount[company_name],$B1116)*AO276)</f>
        <v>0</v>
      </c>
      <c r="AP1116" s="652">
        <f>IF($B1116="",,SUMIFS(PerHeadcount[Month 31],PerHeadcount[exp_item],$H1116,PerHeadcount[company_name],$B1116)*AP276)</f>
        <v>0</v>
      </c>
      <c r="AQ1116" s="652">
        <f>IF($B1116="",,SUMIFS(PerHeadcount[Month 32],PerHeadcount[exp_item],$H1116,PerHeadcount[company_name],$B1116)*AQ276)</f>
        <v>0</v>
      </c>
      <c r="AR1116" s="652">
        <f>IF($B1116="",,SUMIFS(PerHeadcount[Month 33],PerHeadcount[exp_item],$H1116,PerHeadcount[company_name],$B1116)*AR276)</f>
        <v>0</v>
      </c>
      <c r="AS1116" s="652">
        <f>IF($B1116="",,SUMIFS(PerHeadcount[Month 34],PerHeadcount[exp_item],$H1116,PerHeadcount[company_name],$B1116)*AS276)</f>
        <v>0</v>
      </c>
      <c r="AT1116" s="652">
        <f>IF($B1116="",,SUMIFS(PerHeadcount[Month 35],PerHeadcount[exp_item],$H1116,PerHeadcount[company_name],$B1116)*AT276)</f>
        <v>0</v>
      </c>
      <c r="AU1116" s="652">
        <f>IF($B1116="",,SUMIFS(PerHeadcount[Month 36],PerHeadcount[exp_item],$H1116,PerHeadcount[company_name],$B1116)*AU276)</f>
        <v>0</v>
      </c>
    </row>
    <row r="1117" spans="2:47" x14ac:dyDescent="0.35">
      <c r="B1117" t="str">
        <f t="shared" ref="B1117:G1117" si="760">IF(B1012="","",B1012)</f>
        <v/>
      </c>
      <c r="C1117" t="str">
        <f t="shared" si="760"/>
        <v/>
      </c>
      <c r="D1117" t="str">
        <f t="shared" si="760"/>
        <v/>
      </c>
      <c r="E1117" t="str">
        <f t="shared" si="760"/>
        <v/>
      </c>
      <c r="F1117" t="str">
        <f t="shared" si="760"/>
        <v/>
      </c>
      <c r="G1117" t="str">
        <f t="shared" si="760"/>
        <v/>
      </c>
      <c r="H1117" t="str">
        <f t="shared" si="731"/>
        <v/>
      </c>
      <c r="J1117" t="str">
        <f>IF($H1117="","",IF(VLOOKUP(H1117,ExpItems[],2,0),H1117&amp;" - "&amp;INDEX(DivisionMapping[category_code],MATCH($D1117&amp;$C1117,DivisionMapping[dept_bu],0)),H1117))</f>
        <v/>
      </c>
      <c r="K1117" t="str">
        <f t="shared" si="734"/>
        <v/>
      </c>
      <c r="L1117" s="652">
        <f>IF($B1117="",,SUMIFS(PerHeadcount[Month 1],PerHeadcount[exp_item],$H1117,PerHeadcount[company_name],$B1117)*L277)</f>
        <v>0</v>
      </c>
      <c r="M1117" s="652">
        <f>IF($B1117="",,SUMIFS(PerHeadcount[Month 2],PerHeadcount[exp_item],$H1117,PerHeadcount[company_name],$B1117)*M277)</f>
        <v>0</v>
      </c>
      <c r="N1117" s="652">
        <f>IF($B1117="",,SUMIFS(PerHeadcount[Month 3],PerHeadcount[exp_item],$H1117,PerHeadcount[company_name],$B1117)*N277)</f>
        <v>0</v>
      </c>
      <c r="O1117" s="652">
        <f>IF($B1117="",,SUMIFS(PerHeadcount[Month 4],PerHeadcount[exp_item],$H1117,PerHeadcount[company_name],$B1117)*O277)</f>
        <v>0</v>
      </c>
      <c r="P1117" s="652">
        <f>IF($B1117="",,SUMIFS(PerHeadcount[Month 5],PerHeadcount[exp_item],$H1117,PerHeadcount[company_name],$B1117)*P277)</f>
        <v>0</v>
      </c>
      <c r="Q1117" s="652">
        <f>IF($B1117="",,SUMIFS(PerHeadcount[Month 6],PerHeadcount[exp_item],$H1117,PerHeadcount[company_name],$B1117)*Q277)</f>
        <v>0</v>
      </c>
      <c r="R1117" s="652">
        <f>IF($B1117="",,SUMIFS(PerHeadcount[Month 7],PerHeadcount[exp_item],$H1117,PerHeadcount[company_name],$B1117)*R277)</f>
        <v>0</v>
      </c>
      <c r="S1117" s="652">
        <f>IF($B1117="",,SUMIFS(PerHeadcount[Month 8],PerHeadcount[exp_item],$H1117,PerHeadcount[company_name],$B1117)*S277)</f>
        <v>0</v>
      </c>
      <c r="T1117" s="652">
        <f>IF($B1117="",,SUMIFS(PerHeadcount[Month 9],PerHeadcount[exp_item],$H1117,PerHeadcount[company_name],$B1117)*T277)</f>
        <v>0</v>
      </c>
      <c r="U1117" s="652">
        <f>IF($B1117="",,SUMIFS(PerHeadcount[Month 10],PerHeadcount[exp_item],$H1117,PerHeadcount[company_name],$B1117)*U277)</f>
        <v>0</v>
      </c>
      <c r="V1117" s="652">
        <f>IF($B1117="",,SUMIFS(PerHeadcount[Month 11],PerHeadcount[exp_item],$H1117,PerHeadcount[company_name],$B1117)*V277)</f>
        <v>0</v>
      </c>
      <c r="W1117" s="652">
        <f>IF($B1117="",,SUMIFS(PerHeadcount[Month 12],PerHeadcount[exp_item],$H1117,PerHeadcount[company_name],$B1117)*W277)</f>
        <v>0</v>
      </c>
      <c r="X1117" s="652">
        <f>IF($B1117="",,SUMIFS(PerHeadcount[Month 13],PerHeadcount[exp_item],$H1117,PerHeadcount[company_name],$B1117)*X277)</f>
        <v>0</v>
      </c>
      <c r="Y1117" s="652">
        <f>IF($B1117="",,SUMIFS(PerHeadcount[Month 14],PerHeadcount[exp_item],$H1117,PerHeadcount[company_name],$B1117)*Y277)</f>
        <v>0</v>
      </c>
      <c r="Z1117" s="652">
        <f>IF($B1117="",,SUMIFS(PerHeadcount[Month 15],PerHeadcount[exp_item],$H1117,PerHeadcount[company_name],$B1117)*Z277)</f>
        <v>0</v>
      </c>
      <c r="AA1117" s="652">
        <f>IF($B1117="",,SUMIFS(PerHeadcount[Month 16],PerHeadcount[exp_item],$H1117,PerHeadcount[company_name],$B1117)*AA277)</f>
        <v>0</v>
      </c>
      <c r="AB1117" s="652">
        <f>IF($B1117="",,SUMIFS(PerHeadcount[Month 17],PerHeadcount[exp_item],$H1117,PerHeadcount[company_name],$B1117)*AB277)</f>
        <v>0</v>
      </c>
      <c r="AC1117" s="652">
        <f>IF($B1117="",,SUMIFS(PerHeadcount[Month 18],PerHeadcount[exp_item],$H1117,PerHeadcount[company_name],$B1117)*AC277)</f>
        <v>0</v>
      </c>
      <c r="AD1117" s="652">
        <f>IF($B1117="",,SUMIFS(PerHeadcount[Month 19],PerHeadcount[exp_item],$H1117,PerHeadcount[company_name],$B1117)*AD277)</f>
        <v>0</v>
      </c>
      <c r="AE1117" s="652">
        <f>IF($B1117="",,SUMIFS(PerHeadcount[Month 20],PerHeadcount[exp_item],$H1117,PerHeadcount[company_name],$B1117)*AE277)</f>
        <v>0</v>
      </c>
      <c r="AF1117" s="652">
        <f>IF($B1117="",,SUMIFS(PerHeadcount[Month 21],PerHeadcount[exp_item],$H1117,PerHeadcount[company_name],$B1117)*AF277)</f>
        <v>0</v>
      </c>
      <c r="AG1117" s="652">
        <f>IF($B1117="",,SUMIFS(PerHeadcount[Month 22],PerHeadcount[exp_item],$H1117,PerHeadcount[company_name],$B1117)*AG277)</f>
        <v>0</v>
      </c>
      <c r="AH1117" s="652">
        <f>IF($B1117="",,SUMIFS(PerHeadcount[Month 23],PerHeadcount[exp_item],$H1117,PerHeadcount[company_name],$B1117)*AH277)</f>
        <v>0</v>
      </c>
      <c r="AI1117" s="652">
        <f>IF($B1117="",,SUMIFS(PerHeadcount[Month 24],PerHeadcount[exp_item],$H1117,PerHeadcount[company_name],$B1117)*AI277)</f>
        <v>0</v>
      </c>
      <c r="AJ1117" s="652">
        <f>IF($B1117="",,SUMIFS(PerHeadcount[Month 25],PerHeadcount[exp_item],$H1117,PerHeadcount[company_name],$B1117)*AJ277)</f>
        <v>0</v>
      </c>
      <c r="AK1117" s="652">
        <f>IF($B1117="",,SUMIFS(PerHeadcount[Month 26],PerHeadcount[exp_item],$H1117,PerHeadcount[company_name],$B1117)*AK277)</f>
        <v>0</v>
      </c>
      <c r="AL1117" s="652">
        <f>IF($B1117="",,SUMIFS(PerHeadcount[Month 27],PerHeadcount[exp_item],$H1117,PerHeadcount[company_name],$B1117)*AL277)</f>
        <v>0</v>
      </c>
      <c r="AM1117" s="652">
        <f>IF($B1117="",,SUMIFS(PerHeadcount[Month 28],PerHeadcount[exp_item],$H1117,PerHeadcount[company_name],$B1117)*AM277)</f>
        <v>0</v>
      </c>
      <c r="AN1117" s="652">
        <f>IF($B1117="",,SUMIFS(PerHeadcount[Month 29],PerHeadcount[exp_item],$H1117,PerHeadcount[company_name],$B1117)*AN277)</f>
        <v>0</v>
      </c>
      <c r="AO1117" s="652">
        <f>IF($B1117="",,SUMIFS(PerHeadcount[Month 30],PerHeadcount[exp_item],$H1117,PerHeadcount[company_name],$B1117)*AO277)</f>
        <v>0</v>
      </c>
      <c r="AP1117" s="652">
        <f>IF($B1117="",,SUMIFS(PerHeadcount[Month 31],PerHeadcount[exp_item],$H1117,PerHeadcount[company_name],$B1117)*AP277)</f>
        <v>0</v>
      </c>
      <c r="AQ1117" s="652">
        <f>IF($B1117="",,SUMIFS(PerHeadcount[Month 32],PerHeadcount[exp_item],$H1117,PerHeadcount[company_name],$B1117)*AQ277)</f>
        <v>0</v>
      </c>
      <c r="AR1117" s="652">
        <f>IF($B1117="",,SUMIFS(PerHeadcount[Month 33],PerHeadcount[exp_item],$H1117,PerHeadcount[company_name],$B1117)*AR277)</f>
        <v>0</v>
      </c>
      <c r="AS1117" s="652">
        <f>IF($B1117="",,SUMIFS(PerHeadcount[Month 34],PerHeadcount[exp_item],$H1117,PerHeadcount[company_name],$B1117)*AS277)</f>
        <v>0</v>
      </c>
      <c r="AT1117" s="652">
        <f>IF($B1117="",,SUMIFS(PerHeadcount[Month 35],PerHeadcount[exp_item],$H1117,PerHeadcount[company_name],$B1117)*AT277)</f>
        <v>0</v>
      </c>
      <c r="AU1117" s="652">
        <f>IF($B1117="",,SUMIFS(PerHeadcount[Month 36],PerHeadcount[exp_item],$H1117,PerHeadcount[company_name],$B1117)*AU277)</f>
        <v>0</v>
      </c>
    </row>
    <row r="1118" spans="2:47" x14ac:dyDescent="0.35">
      <c r="B1118" t="str">
        <f t="shared" ref="B1118:G1118" si="761">IF(B1013="","",B1013)</f>
        <v/>
      </c>
      <c r="C1118" t="str">
        <f t="shared" si="761"/>
        <v/>
      </c>
      <c r="D1118" t="str">
        <f t="shared" si="761"/>
        <v/>
      </c>
      <c r="E1118" t="str">
        <f t="shared" si="761"/>
        <v/>
      </c>
      <c r="F1118" t="str">
        <f t="shared" si="761"/>
        <v/>
      </c>
      <c r="G1118" t="str">
        <f t="shared" si="761"/>
        <v/>
      </c>
      <c r="H1118" t="str">
        <f t="shared" si="731"/>
        <v/>
      </c>
      <c r="J1118" t="str">
        <f>IF($H1118="","",IF(VLOOKUP(H1118,ExpItems[],2,0),H1118&amp;" - "&amp;INDEX(DivisionMapping[category_code],MATCH($D1118&amp;$C1118,DivisionMapping[dept_bu],0)),H1118))</f>
        <v/>
      </c>
      <c r="K1118" t="str">
        <f t="shared" si="734"/>
        <v/>
      </c>
      <c r="L1118" s="652">
        <f>IF($B1118="",,SUMIFS(PerHeadcount[Month 1],PerHeadcount[exp_item],$H1118,PerHeadcount[company_name],$B1118)*L278)</f>
        <v>0</v>
      </c>
      <c r="M1118" s="652">
        <f>IF($B1118="",,SUMIFS(PerHeadcount[Month 2],PerHeadcount[exp_item],$H1118,PerHeadcount[company_name],$B1118)*M278)</f>
        <v>0</v>
      </c>
      <c r="N1118" s="652">
        <f>IF($B1118="",,SUMIFS(PerHeadcount[Month 3],PerHeadcount[exp_item],$H1118,PerHeadcount[company_name],$B1118)*N278)</f>
        <v>0</v>
      </c>
      <c r="O1118" s="652">
        <f>IF($B1118="",,SUMIFS(PerHeadcount[Month 4],PerHeadcount[exp_item],$H1118,PerHeadcount[company_name],$B1118)*O278)</f>
        <v>0</v>
      </c>
      <c r="P1118" s="652">
        <f>IF($B1118="",,SUMIFS(PerHeadcount[Month 5],PerHeadcount[exp_item],$H1118,PerHeadcount[company_name],$B1118)*P278)</f>
        <v>0</v>
      </c>
      <c r="Q1118" s="652">
        <f>IF($B1118="",,SUMIFS(PerHeadcount[Month 6],PerHeadcount[exp_item],$H1118,PerHeadcount[company_name],$B1118)*Q278)</f>
        <v>0</v>
      </c>
      <c r="R1118" s="652">
        <f>IF($B1118="",,SUMIFS(PerHeadcount[Month 7],PerHeadcount[exp_item],$H1118,PerHeadcount[company_name],$B1118)*R278)</f>
        <v>0</v>
      </c>
      <c r="S1118" s="652">
        <f>IF($B1118="",,SUMIFS(PerHeadcount[Month 8],PerHeadcount[exp_item],$H1118,PerHeadcount[company_name],$B1118)*S278)</f>
        <v>0</v>
      </c>
      <c r="T1118" s="652">
        <f>IF($B1118="",,SUMIFS(PerHeadcount[Month 9],PerHeadcount[exp_item],$H1118,PerHeadcount[company_name],$B1118)*T278)</f>
        <v>0</v>
      </c>
      <c r="U1118" s="652">
        <f>IF($B1118="",,SUMIFS(PerHeadcount[Month 10],PerHeadcount[exp_item],$H1118,PerHeadcount[company_name],$B1118)*U278)</f>
        <v>0</v>
      </c>
      <c r="V1118" s="652">
        <f>IF($B1118="",,SUMIFS(PerHeadcount[Month 11],PerHeadcount[exp_item],$H1118,PerHeadcount[company_name],$B1118)*V278)</f>
        <v>0</v>
      </c>
      <c r="W1118" s="652">
        <f>IF($B1118="",,SUMIFS(PerHeadcount[Month 12],PerHeadcount[exp_item],$H1118,PerHeadcount[company_name],$B1118)*W278)</f>
        <v>0</v>
      </c>
      <c r="X1118" s="652">
        <f>IF($B1118="",,SUMIFS(PerHeadcount[Month 13],PerHeadcount[exp_item],$H1118,PerHeadcount[company_name],$B1118)*X278)</f>
        <v>0</v>
      </c>
      <c r="Y1118" s="652">
        <f>IF($B1118="",,SUMIFS(PerHeadcount[Month 14],PerHeadcount[exp_item],$H1118,PerHeadcount[company_name],$B1118)*Y278)</f>
        <v>0</v>
      </c>
      <c r="Z1118" s="652">
        <f>IF($B1118="",,SUMIFS(PerHeadcount[Month 15],PerHeadcount[exp_item],$H1118,PerHeadcount[company_name],$B1118)*Z278)</f>
        <v>0</v>
      </c>
      <c r="AA1118" s="652">
        <f>IF($B1118="",,SUMIFS(PerHeadcount[Month 16],PerHeadcount[exp_item],$H1118,PerHeadcount[company_name],$B1118)*AA278)</f>
        <v>0</v>
      </c>
      <c r="AB1118" s="652">
        <f>IF($B1118="",,SUMIFS(PerHeadcount[Month 17],PerHeadcount[exp_item],$H1118,PerHeadcount[company_name],$B1118)*AB278)</f>
        <v>0</v>
      </c>
      <c r="AC1118" s="652">
        <f>IF($B1118="",,SUMIFS(PerHeadcount[Month 18],PerHeadcount[exp_item],$H1118,PerHeadcount[company_name],$B1118)*AC278)</f>
        <v>0</v>
      </c>
      <c r="AD1118" s="652">
        <f>IF($B1118="",,SUMIFS(PerHeadcount[Month 19],PerHeadcount[exp_item],$H1118,PerHeadcount[company_name],$B1118)*AD278)</f>
        <v>0</v>
      </c>
      <c r="AE1118" s="652">
        <f>IF($B1118="",,SUMIFS(PerHeadcount[Month 20],PerHeadcount[exp_item],$H1118,PerHeadcount[company_name],$B1118)*AE278)</f>
        <v>0</v>
      </c>
      <c r="AF1118" s="652">
        <f>IF($B1118="",,SUMIFS(PerHeadcount[Month 21],PerHeadcount[exp_item],$H1118,PerHeadcount[company_name],$B1118)*AF278)</f>
        <v>0</v>
      </c>
      <c r="AG1118" s="652">
        <f>IF($B1118="",,SUMIFS(PerHeadcount[Month 22],PerHeadcount[exp_item],$H1118,PerHeadcount[company_name],$B1118)*AG278)</f>
        <v>0</v>
      </c>
      <c r="AH1118" s="652">
        <f>IF($B1118="",,SUMIFS(PerHeadcount[Month 23],PerHeadcount[exp_item],$H1118,PerHeadcount[company_name],$B1118)*AH278)</f>
        <v>0</v>
      </c>
      <c r="AI1118" s="652">
        <f>IF($B1118="",,SUMIFS(PerHeadcount[Month 24],PerHeadcount[exp_item],$H1118,PerHeadcount[company_name],$B1118)*AI278)</f>
        <v>0</v>
      </c>
      <c r="AJ1118" s="652">
        <f>IF($B1118="",,SUMIFS(PerHeadcount[Month 25],PerHeadcount[exp_item],$H1118,PerHeadcount[company_name],$B1118)*AJ278)</f>
        <v>0</v>
      </c>
      <c r="AK1118" s="652">
        <f>IF($B1118="",,SUMIFS(PerHeadcount[Month 26],PerHeadcount[exp_item],$H1118,PerHeadcount[company_name],$B1118)*AK278)</f>
        <v>0</v>
      </c>
      <c r="AL1118" s="652">
        <f>IF($B1118="",,SUMIFS(PerHeadcount[Month 27],PerHeadcount[exp_item],$H1118,PerHeadcount[company_name],$B1118)*AL278)</f>
        <v>0</v>
      </c>
      <c r="AM1118" s="652">
        <f>IF($B1118="",,SUMIFS(PerHeadcount[Month 28],PerHeadcount[exp_item],$H1118,PerHeadcount[company_name],$B1118)*AM278)</f>
        <v>0</v>
      </c>
      <c r="AN1118" s="652">
        <f>IF($B1118="",,SUMIFS(PerHeadcount[Month 29],PerHeadcount[exp_item],$H1118,PerHeadcount[company_name],$B1118)*AN278)</f>
        <v>0</v>
      </c>
      <c r="AO1118" s="652">
        <f>IF($B1118="",,SUMIFS(PerHeadcount[Month 30],PerHeadcount[exp_item],$H1118,PerHeadcount[company_name],$B1118)*AO278)</f>
        <v>0</v>
      </c>
      <c r="AP1118" s="652">
        <f>IF($B1118="",,SUMIFS(PerHeadcount[Month 31],PerHeadcount[exp_item],$H1118,PerHeadcount[company_name],$B1118)*AP278)</f>
        <v>0</v>
      </c>
      <c r="AQ1118" s="652">
        <f>IF($B1118="",,SUMIFS(PerHeadcount[Month 32],PerHeadcount[exp_item],$H1118,PerHeadcount[company_name],$B1118)*AQ278)</f>
        <v>0</v>
      </c>
      <c r="AR1118" s="652">
        <f>IF($B1118="",,SUMIFS(PerHeadcount[Month 33],PerHeadcount[exp_item],$H1118,PerHeadcount[company_name],$B1118)*AR278)</f>
        <v>0</v>
      </c>
      <c r="AS1118" s="652">
        <f>IF($B1118="",,SUMIFS(PerHeadcount[Month 34],PerHeadcount[exp_item],$H1118,PerHeadcount[company_name],$B1118)*AS278)</f>
        <v>0</v>
      </c>
      <c r="AT1118" s="652">
        <f>IF($B1118="",,SUMIFS(PerHeadcount[Month 35],PerHeadcount[exp_item],$H1118,PerHeadcount[company_name],$B1118)*AT278)</f>
        <v>0</v>
      </c>
      <c r="AU1118" s="652">
        <f>IF($B1118="",,SUMIFS(PerHeadcount[Month 36],PerHeadcount[exp_item],$H1118,PerHeadcount[company_name],$B1118)*AU278)</f>
        <v>0</v>
      </c>
    </row>
    <row r="1119" spans="2:47" x14ac:dyDescent="0.35">
      <c r="B1119" t="str">
        <f t="shared" ref="B1119:G1119" si="762">IF(B1014="","",B1014)</f>
        <v/>
      </c>
      <c r="C1119" t="str">
        <f t="shared" si="762"/>
        <v/>
      </c>
      <c r="D1119" t="str">
        <f t="shared" si="762"/>
        <v/>
      </c>
      <c r="E1119" t="str">
        <f t="shared" si="762"/>
        <v/>
      </c>
      <c r="F1119" t="str">
        <f t="shared" si="762"/>
        <v/>
      </c>
      <c r="G1119" t="str">
        <f t="shared" si="762"/>
        <v/>
      </c>
      <c r="H1119" t="str">
        <f t="shared" si="731"/>
        <v/>
      </c>
      <c r="J1119" t="str">
        <f>IF($H1119="","",IF(VLOOKUP(H1119,ExpItems[],2,0),H1119&amp;" - "&amp;INDEX(DivisionMapping[category_code],MATCH($D1119&amp;$C1119,DivisionMapping[dept_bu],0)),H1119))</f>
        <v/>
      </c>
      <c r="K1119" t="str">
        <f t="shared" si="734"/>
        <v/>
      </c>
      <c r="L1119" s="652">
        <f>IF($B1119="",,SUMIFS(PerHeadcount[Month 1],PerHeadcount[exp_item],$H1119,PerHeadcount[company_name],$B1119)*L279)</f>
        <v>0</v>
      </c>
      <c r="M1119" s="652">
        <f>IF($B1119="",,SUMIFS(PerHeadcount[Month 2],PerHeadcount[exp_item],$H1119,PerHeadcount[company_name],$B1119)*M279)</f>
        <v>0</v>
      </c>
      <c r="N1119" s="652">
        <f>IF($B1119="",,SUMIFS(PerHeadcount[Month 3],PerHeadcount[exp_item],$H1119,PerHeadcount[company_name],$B1119)*N279)</f>
        <v>0</v>
      </c>
      <c r="O1119" s="652">
        <f>IF($B1119="",,SUMIFS(PerHeadcount[Month 4],PerHeadcount[exp_item],$H1119,PerHeadcount[company_name],$B1119)*O279)</f>
        <v>0</v>
      </c>
      <c r="P1119" s="652">
        <f>IF($B1119="",,SUMIFS(PerHeadcount[Month 5],PerHeadcount[exp_item],$H1119,PerHeadcount[company_name],$B1119)*P279)</f>
        <v>0</v>
      </c>
      <c r="Q1119" s="652">
        <f>IF($B1119="",,SUMIFS(PerHeadcount[Month 6],PerHeadcount[exp_item],$H1119,PerHeadcount[company_name],$B1119)*Q279)</f>
        <v>0</v>
      </c>
      <c r="R1119" s="652">
        <f>IF($B1119="",,SUMIFS(PerHeadcount[Month 7],PerHeadcount[exp_item],$H1119,PerHeadcount[company_name],$B1119)*R279)</f>
        <v>0</v>
      </c>
      <c r="S1119" s="652">
        <f>IF($B1119="",,SUMIFS(PerHeadcount[Month 8],PerHeadcount[exp_item],$H1119,PerHeadcount[company_name],$B1119)*S279)</f>
        <v>0</v>
      </c>
      <c r="T1119" s="652">
        <f>IF($B1119="",,SUMIFS(PerHeadcount[Month 9],PerHeadcount[exp_item],$H1119,PerHeadcount[company_name],$B1119)*T279)</f>
        <v>0</v>
      </c>
      <c r="U1119" s="652">
        <f>IF($B1119="",,SUMIFS(PerHeadcount[Month 10],PerHeadcount[exp_item],$H1119,PerHeadcount[company_name],$B1119)*U279)</f>
        <v>0</v>
      </c>
      <c r="V1119" s="652">
        <f>IF($B1119="",,SUMIFS(PerHeadcount[Month 11],PerHeadcount[exp_item],$H1119,PerHeadcount[company_name],$B1119)*V279)</f>
        <v>0</v>
      </c>
      <c r="W1119" s="652">
        <f>IF($B1119="",,SUMIFS(PerHeadcount[Month 12],PerHeadcount[exp_item],$H1119,PerHeadcount[company_name],$B1119)*W279)</f>
        <v>0</v>
      </c>
      <c r="X1119" s="652">
        <f>IF($B1119="",,SUMIFS(PerHeadcount[Month 13],PerHeadcount[exp_item],$H1119,PerHeadcount[company_name],$B1119)*X279)</f>
        <v>0</v>
      </c>
      <c r="Y1119" s="652">
        <f>IF($B1119="",,SUMIFS(PerHeadcount[Month 14],PerHeadcount[exp_item],$H1119,PerHeadcount[company_name],$B1119)*Y279)</f>
        <v>0</v>
      </c>
      <c r="Z1119" s="652">
        <f>IF($B1119="",,SUMIFS(PerHeadcount[Month 15],PerHeadcount[exp_item],$H1119,PerHeadcount[company_name],$B1119)*Z279)</f>
        <v>0</v>
      </c>
      <c r="AA1119" s="652">
        <f>IF($B1119="",,SUMIFS(PerHeadcount[Month 16],PerHeadcount[exp_item],$H1119,PerHeadcount[company_name],$B1119)*AA279)</f>
        <v>0</v>
      </c>
      <c r="AB1119" s="652">
        <f>IF($B1119="",,SUMIFS(PerHeadcount[Month 17],PerHeadcount[exp_item],$H1119,PerHeadcount[company_name],$B1119)*AB279)</f>
        <v>0</v>
      </c>
      <c r="AC1119" s="652">
        <f>IF($B1119="",,SUMIFS(PerHeadcount[Month 18],PerHeadcount[exp_item],$H1119,PerHeadcount[company_name],$B1119)*AC279)</f>
        <v>0</v>
      </c>
      <c r="AD1119" s="652">
        <f>IF($B1119="",,SUMIFS(PerHeadcount[Month 19],PerHeadcount[exp_item],$H1119,PerHeadcount[company_name],$B1119)*AD279)</f>
        <v>0</v>
      </c>
      <c r="AE1119" s="652">
        <f>IF($B1119="",,SUMIFS(PerHeadcount[Month 20],PerHeadcount[exp_item],$H1119,PerHeadcount[company_name],$B1119)*AE279)</f>
        <v>0</v>
      </c>
      <c r="AF1119" s="652">
        <f>IF($B1119="",,SUMIFS(PerHeadcount[Month 21],PerHeadcount[exp_item],$H1119,PerHeadcount[company_name],$B1119)*AF279)</f>
        <v>0</v>
      </c>
      <c r="AG1119" s="652">
        <f>IF($B1119="",,SUMIFS(PerHeadcount[Month 22],PerHeadcount[exp_item],$H1119,PerHeadcount[company_name],$B1119)*AG279)</f>
        <v>0</v>
      </c>
      <c r="AH1119" s="652">
        <f>IF($B1119="",,SUMIFS(PerHeadcount[Month 23],PerHeadcount[exp_item],$H1119,PerHeadcount[company_name],$B1119)*AH279)</f>
        <v>0</v>
      </c>
      <c r="AI1119" s="652">
        <f>IF($B1119="",,SUMIFS(PerHeadcount[Month 24],PerHeadcount[exp_item],$H1119,PerHeadcount[company_name],$B1119)*AI279)</f>
        <v>0</v>
      </c>
      <c r="AJ1119" s="652">
        <f>IF($B1119="",,SUMIFS(PerHeadcount[Month 25],PerHeadcount[exp_item],$H1119,PerHeadcount[company_name],$B1119)*AJ279)</f>
        <v>0</v>
      </c>
      <c r="AK1119" s="652">
        <f>IF($B1119="",,SUMIFS(PerHeadcount[Month 26],PerHeadcount[exp_item],$H1119,PerHeadcount[company_name],$B1119)*AK279)</f>
        <v>0</v>
      </c>
      <c r="AL1119" s="652">
        <f>IF($B1119="",,SUMIFS(PerHeadcount[Month 27],PerHeadcount[exp_item],$H1119,PerHeadcount[company_name],$B1119)*AL279)</f>
        <v>0</v>
      </c>
      <c r="AM1119" s="652">
        <f>IF($B1119="",,SUMIFS(PerHeadcount[Month 28],PerHeadcount[exp_item],$H1119,PerHeadcount[company_name],$B1119)*AM279)</f>
        <v>0</v>
      </c>
      <c r="AN1119" s="652">
        <f>IF($B1119="",,SUMIFS(PerHeadcount[Month 29],PerHeadcount[exp_item],$H1119,PerHeadcount[company_name],$B1119)*AN279)</f>
        <v>0</v>
      </c>
      <c r="AO1119" s="652">
        <f>IF($B1119="",,SUMIFS(PerHeadcount[Month 30],PerHeadcount[exp_item],$H1119,PerHeadcount[company_name],$B1119)*AO279)</f>
        <v>0</v>
      </c>
      <c r="AP1119" s="652">
        <f>IF($B1119="",,SUMIFS(PerHeadcount[Month 31],PerHeadcount[exp_item],$H1119,PerHeadcount[company_name],$B1119)*AP279)</f>
        <v>0</v>
      </c>
      <c r="AQ1119" s="652">
        <f>IF($B1119="",,SUMIFS(PerHeadcount[Month 32],PerHeadcount[exp_item],$H1119,PerHeadcount[company_name],$B1119)*AQ279)</f>
        <v>0</v>
      </c>
      <c r="AR1119" s="652">
        <f>IF($B1119="",,SUMIFS(PerHeadcount[Month 33],PerHeadcount[exp_item],$H1119,PerHeadcount[company_name],$B1119)*AR279)</f>
        <v>0</v>
      </c>
      <c r="AS1119" s="652">
        <f>IF($B1119="",,SUMIFS(PerHeadcount[Month 34],PerHeadcount[exp_item],$H1119,PerHeadcount[company_name],$B1119)*AS279)</f>
        <v>0</v>
      </c>
      <c r="AT1119" s="652">
        <f>IF($B1119="",,SUMIFS(PerHeadcount[Month 35],PerHeadcount[exp_item],$H1119,PerHeadcount[company_name],$B1119)*AT279)</f>
        <v>0</v>
      </c>
      <c r="AU1119" s="652">
        <f>IF($B1119="",,SUMIFS(PerHeadcount[Month 36],PerHeadcount[exp_item],$H1119,PerHeadcount[company_name],$B1119)*AU279)</f>
        <v>0</v>
      </c>
    </row>
    <row r="1120" spans="2:47" x14ac:dyDescent="0.35">
      <c r="B1120" t="str">
        <f t="shared" ref="B1120:G1120" si="763">IF(B1015="","",B1015)</f>
        <v/>
      </c>
      <c r="C1120" t="str">
        <f t="shared" si="763"/>
        <v/>
      </c>
      <c r="D1120" t="str">
        <f t="shared" si="763"/>
        <v/>
      </c>
      <c r="E1120" t="str">
        <f t="shared" si="763"/>
        <v/>
      </c>
      <c r="F1120" t="str">
        <f t="shared" si="763"/>
        <v/>
      </c>
      <c r="G1120" t="str">
        <f t="shared" si="763"/>
        <v/>
      </c>
      <c r="H1120" t="str">
        <f t="shared" si="731"/>
        <v/>
      </c>
      <c r="J1120" t="str">
        <f>IF($H1120="","",IF(VLOOKUP(H1120,ExpItems[],2,0),H1120&amp;" - "&amp;INDEX(DivisionMapping[category_code],MATCH($D1120&amp;$C1120,DivisionMapping[dept_bu],0)),H1120))</f>
        <v/>
      </c>
      <c r="K1120" t="str">
        <f t="shared" si="734"/>
        <v/>
      </c>
      <c r="L1120" s="652">
        <f>IF($B1120="",,SUMIFS(PerHeadcount[Month 1],PerHeadcount[exp_item],$H1120,PerHeadcount[company_name],$B1120)*L280)</f>
        <v>0</v>
      </c>
      <c r="M1120" s="652">
        <f>IF($B1120="",,SUMIFS(PerHeadcount[Month 2],PerHeadcount[exp_item],$H1120,PerHeadcount[company_name],$B1120)*M280)</f>
        <v>0</v>
      </c>
      <c r="N1120" s="652">
        <f>IF($B1120="",,SUMIFS(PerHeadcount[Month 3],PerHeadcount[exp_item],$H1120,PerHeadcount[company_name],$B1120)*N280)</f>
        <v>0</v>
      </c>
      <c r="O1120" s="652">
        <f>IF($B1120="",,SUMIFS(PerHeadcount[Month 4],PerHeadcount[exp_item],$H1120,PerHeadcount[company_name],$B1120)*O280)</f>
        <v>0</v>
      </c>
      <c r="P1120" s="652">
        <f>IF($B1120="",,SUMIFS(PerHeadcount[Month 5],PerHeadcount[exp_item],$H1120,PerHeadcount[company_name],$B1120)*P280)</f>
        <v>0</v>
      </c>
      <c r="Q1120" s="652">
        <f>IF($B1120="",,SUMIFS(PerHeadcount[Month 6],PerHeadcount[exp_item],$H1120,PerHeadcount[company_name],$B1120)*Q280)</f>
        <v>0</v>
      </c>
      <c r="R1120" s="652">
        <f>IF($B1120="",,SUMIFS(PerHeadcount[Month 7],PerHeadcount[exp_item],$H1120,PerHeadcount[company_name],$B1120)*R280)</f>
        <v>0</v>
      </c>
      <c r="S1120" s="652">
        <f>IF($B1120="",,SUMIFS(PerHeadcount[Month 8],PerHeadcount[exp_item],$H1120,PerHeadcount[company_name],$B1120)*S280)</f>
        <v>0</v>
      </c>
      <c r="T1120" s="652">
        <f>IF($B1120="",,SUMIFS(PerHeadcount[Month 9],PerHeadcount[exp_item],$H1120,PerHeadcount[company_name],$B1120)*T280)</f>
        <v>0</v>
      </c>
      <c r="U1120" s="652">
        <f>IF($B1120="",,SUMIFS(PerHeadcount[Month 10],PerHeadcount[exp_item],$H1120,PerHeadcount[company_name],$B1120)*U280)</f>
        <v>0</v>
      </c>
      <c r="V1120" s="652">
        <f>IF($B1120="",,SUMIFS(PerHeadcount[Month 11],PerHeadcount[exp_item],$H1120,PerHeadcount[company_name],$B1120)*V280)</f>
        <v>0</v>
      </c>
      <c r="W1120" s="652">
        <f>IF($B1120="",,SUMIFS(PerHeadcount[Month 12],PerHeadcount[exp_item],$H1120,PerHeadcount[company_name],$B1120)*W280)</f>
        <v>0</v>
      </c>
      <c r="X1120" s="652">
        <f>IF($B1120="",,SUMIFS(PerHeadcount[Month 13],PerHeadcount[exp_item],$H1120,PerHeadcount[company_name],$B1120)*X280)</f>
        <v>0</v>
      </c>
      <c r="Y1120" s="652">
        <f>IF($B1120="",,SUMIFS(PerHeadcount[Month 14],PerHeadcount[exp_item],$H1120,PerHeadcount[company_name],$B1120)*Y280)</f>
        <v>0</v>
      </c>
      <c r="Z1120" s="652">
        <f>IF($B1120="",,SUMIFS(PerHeadcount[Month 15],PerHeadcount[exp_item],$H1120,PerHeadcount[company_name],$B1120)*Z280)</f>
        <v>0</v>
      </c>
      <c r="AA1120" s="652">
        <f>IF($B1120="",,SUMIFS(PerHeadcount[Month 16],PerHeadcount[exp_item],$H1120,PerHeadcount[company_name],$B1120)*AA280)</f>
        <v>0</v>
      </c>
      <c r="AB1120" s="652">
        <f>IF($B1120="",,SUMIFS(PerHeadcount[Month 17],PerHeadcount[exp_item],$H1120,PerHeadcount[company_name],$B1120)*AB280)</f>
        <v>0</v>
      </c>
      <c r="AC1120" s="652">
        <f>IF($B1120="",,SUMIFS(PerHeadcount[Month 18],PerHeadcount[exp_item],$H1120,PerHeadcount[company_name],$B1120)*AC280)</f>
        <v>0</v>
      </c>
      <c r="AD1120" s="652">
        <f>IF($B1120="",,SUMIFS(PerHeadcount[Month 19],PerHeadcount[exp_item],$H1120,PerHeadcount[company_name],$B1120)*AD280)</f>
        <v>0</v>
      </c>
      <c r="AE1120" s="652">
        <f>IF($B1120="",,SUMIFS(PerHeadcount[Month 20],PerHeadcount[exp_item],$H1120,PerHeadcount[company_name],$B1120)*AE280)</f>
        <v>0</v>
      </c>
      <c r="AF1120" s="652">
        <f>IF($B1120="",,SUMIFS(PerHeadcount[Month 21],PerHeadcount[exp_item],$H1120,PerHeadcount[company_name],$B1120)*AF280)</f>
        <v>0</v>
      </c>
      <c r="AG1120" s="652">
        <f>IF($B1120="",,SUMIFS(PerHeadcount[Month 22],PerHeadcount[exp_item],$H1120,PerHeadcount[company_name],$B1120)*AG280)</f>
        <v>0</v>
      </c>
      <c r="AH1120" s="652">
        <f>IF($B1120="",,SUMIFS(PerHeadcount[Month 23],PerHeadcount[exp_item],$H1120,PerHeadcount[company_name],$B1120)*AH280)</f>
        <v>0</v>
      </c>
      <c r="AI1120" s="652">
        <f>IF($B1120="",,SUMIFS(PerHeadcount[Month 24],PerHeadcount[exp_item],$H1120,PerHeadcount[company_name],$B1120)*AI280)</f>
        <v>0</v>
      </c>
      <c r="AJ1120" s="652">
        <f>IF($B1120="",,SUMIFS(PerHeadcount[Month 25],PerHeadcount[exp_item],$H1120,PerHeadcount[company_name],$B1120)*AJ280)</f>
        <v>0</v>
      </c>
      <c r="AK1120" s="652">
        <f>IF($B1120="",,SUMIFS(PerHeadcount[Month 26],PerHeadcount[exp_item],$H1120,PerHeadcount[company_name],$B1120)*AK280)</f>
        <v>0</v>
      </c>
      <c r="AL1120" s="652">
        <f>IF($B1120="",,SUMIFS(PerHeadcount[Month 27],PerHeadcount[exp_item],$H1120,PerHeadcount[company_name],$B1120)*AL280)</f>
        <v>0</v>
      </c>
      <c r="AM1120" s="652">
        <f>IF($B1120="",,SUMIFS(PerHeadcount[Month 28],PerHeadcount[exp_item],$H1120,PerHeadcount[company_name],$B1120)*AM280)</f>
        <v>0</v>
      </c>
      <c r="AN1120" s="652">
        <f>IF($B1120="",,SUMIFS(PerHeadcount[Month 29],PerHeadcount[exp_item],$H1120,PerHeadcount[company_name],$B1120)*AN280)</f>
        <v>0</v>
      </c>
      <c r="AO1120" s="652">
        <f>IF($B1120="",,SUMIFS(PerHeadcount[Month 30],PerHeadcount[exp_item],$H1120,PerHeadcount[company_name],$B1120)*AO280)</f>
        <v>0</v>
      </c>
      <c r="AP1120" s="652">
        <f>IF($B1120="",,SUMIFS(PerHeadcount[Month 31],PerHeadcount[exp_item],$H1120,PerHeadcount[company_name],$B1120)*AP280)</f>
        <v>0</v>
      </c>
      <c r="AQ1120" s="652">
        <f>IF($B1120="",,SUMIFS(PerHeadcount[Month 32],PerHeadcount[exp_item],$H1120,PerHeadcount[company_name],$B1120)*AQ280)</f>
        <v>0</v>
      </c>
      <c r="AR1120" s="652">
        <f>IF($B1120="",,SUMIFS(PerHeadcount[Month 33],PerHeadcount[exp_item],$H1120,PerHeadcount[company_name],$B1120)*AR280)</f>
        <v>0</v>
      </c>
      <c r="AS1120" s="652">
        <f>IF($B1120="",,SUMIFS(PerHeadcount[Month 34],PerHeadcount[exp_item],$H1120,PerHeadcount[company_name],$B1120)*AS280)</f>
        <v>0</v>
      </c>
      <c r="AT1120" s="652">
        <f>IF($B1120="",,SUMIFS(PerHeadcount[Month 35],PerHeadcount[exp_item],$H1120,PerHeadcount[company_name],$B1120)*AT280)</f>
        <v>0</v>
      </c>
      <c r="AU1120" s="652">
        <f>IF($B1120="",,SUMIFS(PerHeadcount[Month 36],PerHeadcount[exp_item],$H1120,PerHeadcount[company_name],$B1120)*AU280)</f>
        <v>0</v>
      </c>
    </row>
    <row r="1121" spans="1:52" x14ac:dyDescent="0.35">
      <c r="B1121" t="str">
        <f t="shared" ref="B1121:G1121" si="764">IF(B1016="","",B1016)</f>
        <v/>
      </c>
      <c r="C1121" t="str">
        <f t="shared" si="764"/>
        <v/>
      </c>
      <c r="D1121" t="str">
        <f t="shared" si="764"/>
        <v/>
      </c>
      <c r="E1121" t="str">
        <f t="shared" si="764"/>
        <v/>
      </c>
      <c r="F1121" t="str">
        <f t="shared" si="764"/>
        <v/>
      </c>
      <c r="G1121" t="str">
        <f t="shared" si="764"/>
        <v/>
      </c>
      <c r="H1121" t="str">
        <f t="shared" si="731"/>
        <v/>
      </c>
      <c r="J1121" t="str">
        <f>IF($H1121="","",IF(VLOOKUP(H1121,ExpItems[],2,0),H1121&amp;" - "&amp;INDEX(DivisionMapping[category_code],MATCH($D1121&amp;$C1121,DivisionMapping[dept_bu],0)),H1121))</f>
        <v/>
      </c>
      <c r="K1121" t="str">
        <f t="shared" si="734"/>
        <v/>
      </c>
      <c r="L1121" s="652">
        <f>IF($B1121="",,SUMIFS(PerHeadcount[Month 1],PerHeadcount[exp_item],$H1121,PerHeadcount[company_name],$B1121)*L281)</f>
        <v>0</v>
      </c>
      <c r="M1121" s="652">
        <f>IF($B1121="",,SUMIFS(PerHeadcount[Month 2],PerHeadcount[exp_item],$H1121,PerHeadcount[company_name],$B1121)*M281)</f>
        <v>0</v>
      </c>
      <c r="N1121" s="652">
        <f>IF($B1121="",,SUMIFS(PerHeadcount[Month 3],PerHeadcount[exp_item],$H1121,PerHeadcount[company_name],$B1121)*N281)</f>
        <v>0</v>
      </c>
      <c r="O1121" s="652">
        <f>IF($B1121="",,SUMIFS(PerHeadcount[Month 4],PerHeadcount[exp_item],$H1121,PerHeadcount[company_name],$B1121)*O281)</f>
        <v>0</v>
      </c>
      <c r="P1121" s="652">
        <f>IF($B1121="",,SUMIFS(PerHeadcount[Month 5],PerHeadcount[exp_item],$H1121,PerHeadcount[company_name],$B1121)*P281)</f>
        <v>0</v>
      </c>
      <c r="Q1121" s="652">
        <f>IF($B1121="",,SUMIFS(PerHeadcount[Month 6],PerHeadcount[exp_item],$H1121,PerHeadcount[company_name],$B1121)*Q281)</f>
        <v>0</v>
      </c>
      <c r="R1121" s="652">
        <f>IF($B1121="",,SUMIFS(PerHeadcount[Month 7],PerHeadcount[exp_item],$H1121,PerHeadcount[company_name],$B1121)*R281)</f>
        <v>0</v>
      </c>
      <c r="S1121" s="652">
        <f>IF($B1121="",,SUMIFS(PerHeadcount[Month 8],PerHeadcount[exp_item],$H1121,PerHeadcount[company_name],$B1121)*S281)</f>
        <v>0</v>
      </c>
      <c r="T1121" s="652">
        <f>IF($B1121="",,SUMIFS(PerHeadcount[Month 9],PerHeadcount[exp_item],$H1121,PerHeadcount[company_name],$B1121)*T281)</f>
        <v>0</v>
      </c>
      <c r="U1121" s="652">
        <f>IF($B1121="",,SUMIFS(PerHeadcount[Month 10],PerHeadcount[exp_item],$H1121,PerHeadcount[company_name],$B1121)*U281)</f>
        <v>0</v>
      </c>
      <c r="V1121" s="652">
        <f>IF($B1121="",,SUMIFS(PerHeadcount[Month 11],PerHeadcount[exp_item],$H1121,PerHeadcount[company_name],$B1121)*V281)</f>
        <v>0</v>
      </c>
      <c r="W1121" s="652">
        <f>IF($B1121="",,SUMIFS(PerHeadcount[Month 12],PerHeadcount[exp_item],$H1121,PerHeadcount[company_name],$B1121)*W281)</f>
        <v>0</v>
      </c>
      <c r="X1121" s="652">
        <f>IF($B1121="",,SUMIFS(PerHeadcount[Month 13],PerHeadcount[exp_item],$H1121,PerHeadcount[company_name],$B1121)*X281)</f>
        <v>0</v>
      </c>
      <c r="Y1121" s="652">
        <f>IF($B1121="",,SUMIFS(PerHeadcount[Month 14],PerHeadcount[exp_item],$H1121,PerHeadcount[company_name],$B1121)*Y281)</f>
        <v>0</v>
      </c>
      <c r="Z1121" s="652">
        <f>IF($B1121="",,SUMIFS(PerHeadcount[Month 15],PerHeadcount[exp_item],$H1121,PerHeadcount[company_name],$B1121)*Z281)</f>
        <v>0</v>
      </c>
      <c r="AA1121" s="652">
        <f>IF($B1121="",,SUMIFS(PerHeadcount[Month 16],PerHeadcount[exp_item],$H1121,PerHeadcount[company_name],$B1121)*AA281)</f>
        <v>0</v>
      </c>
      <c r="AB1121" s="652">
        <f>IF($B1121="",,SUMIFS(PerHeadcount[Month 17],PerHeadcount[exp_item],$H1121,PerHeadcount[company_name],$B1121)*AB281)</f>
        <v>0</v>
      </c>
      <c r="AC1121" s="652">
        <f>IF($B1121="",,SUMIFS(PerHeadcount[Month 18],PerHeadcount[exp_item],$H1121,PerHeadcount[company_name],$B1121)*AC281)</f>
        <v>0</v>
      </c>
      <c r="AD1121" s="652">
        <f>IF($B1121="",,SUMIFS(PerHeadcount[Month 19],PerHeadcount[exp_item],$H1121,PerHeadcount[company_name],$B1121)*AD281)</f>
        <v>0</v>
      </c>
      <c r="AE1121" s="652">
        <f>IF($B1121="",,SUMIFS(PerHeadcount[Month 20],PerHeadcount[exp_item],$H1121,PerHeadcount[company_name],$B1121)*AE281)</f>
        <v>0</v>
      </c>
      <c r="AF1121" s="652">
        <f>IF($B1121="",,SUMIFS(PerHeadcount[Month 21],PerHeadcount[exp_item],$H1121,PerHeadcount[company_name],$B1121)*AF281)</f>
        <v>0</v>
      </c>
      <c r="AG1121" s="652">
        <f>IF($B1121="",,SUMIFS(PerHeadcount[Month 22],PerHeadcount[exp_item],$H1121,PerHeadcount[company_name],$B1121)*AG281)</f>
        <v>0</v>
      </c>
      <c r="AH1121" s="652">
        <f>IF($B1121="",,SUMIFS(PerHeadcount[Month 23],PerHeadcount[exp_item],$H1121,PerHeadcount[company_name],$B1121)*AH281)</f>
        <v>0</v>
      </c>
      <c r="AI1121" s="652">
        <f>IF($B1121="",,SUMIFS(PerHeadcount[Month 24],PerHeadcount[exp_item],$H1121,PerHeadcount[company_name],$B1121)*AI281)</f>
        <v>0</v>
      </c>
      <c r="AJ1121" s="652">
        <f>IF($B1121="",,SUMIFS(PerHeadcount[Month 25],PerHeadcount[exp_item],$H1121,PerHeadcount[company_name],$B1121)*AJ281)</f>
        <v>0</v>
      </c>
      <c r="AK1121" s="652">
        <f>IF($B1121="",,SUMIFS(PerHeadcount[Month 26],PerHeadcount[exp_item],$H1121,PerHeadcount[company_name],$B1121)*AK281)</f>
        <v>0</v>
      </c>
      <c r="AL1121" s="652">
        <f>IF($B1121="",,SUMIFS(PerHeadcount[Month 27],PerHeadcount[exp_item],$H1121,PerHeadcount[company_name],$B1121)*AL281)</f>
        <v>0</v>
      </c>
      <c r="AM1121" s="652">
        <f>IF($B1121="",,SUMIFS(PerHeadcount[Month 28],PerHeadcount[exp_item],$H1121,PerHeadcount[company_name],$B1121)*AM281)</f>
        <v>0</v>
      </c>
      <c r="AN1121" s="652">
        <f>IF($B1121="",,SUMIFS(PerHeadcount[Month 29],PerHeadcount[exp_item],$H1121,PerHeadcount[company_name],$B1121)*AN281)</f>
        <v>0</v>
      </c>
      <c r="AO1121" s="652">
        <f>IF($B1121="",,SUMIFS(PerHeadcount[Month 30],PerHeadcount[exp_item],$H1121,PerHeadcount[company_name],$B1121)*AO281)</f>
        <v>0</v>
      </c>
      <c r="AP1121" s="652">
        <f>IF($B1121="",,SUMIFS(PerHeadcount[Month 31],PerHeadcount[exp_item],$H1121,PerHeadcount[company_name],$B1121)*AP281)</f>
        <v>0</v>
      </c>
      <c r="AQ1121" s="652">
        <f>IF($B1121="",,SUMIFS(PerHeadcount[Month 32],PerHeadcount[exp_item],$H1121,PerHeadcount[company_name],$B1121)*AQ281)</f>
        <v>0</v>
      </c>
      <c r="AR1121" s="652">
        <f>IF($B1121="",,SUMIFS(PerHeadcount[Month 33],PerHeadcount[exp_item],$H1121,PerHeadcount[company_name],$B1121)*AR281)</f>
        <v>0</v>
      </c>
      <c r="AS1121" s="652">
        <f>IF($B1121="",,SUMIFS(PerHeadcount[Month 34],PerHeadcount[exp_item],$H1121,PerHeadcount[company_name],$B1121)*AS281)</f>
        <v>0</v>
      </c>
      <c r="AT1121" s="652">
        <f>IF($B1121="",,SUMIFS(PerHeadcount[Month 35],PerHeadcount[exp_item],$H1121,PerHeadcount[company_name],$B1121)*AT281)</f>
        <v>0</v>
      </c>
      <c r="AU1121" s="652">
        <f>IF($B1121="",,SUMIFS(PerHeadcount[Month 36],PerHeadcount[exp_item],$H1121,PerHeadcount[company_name],$B1121)*AU281)</f>
        <v>0</v>
      </c>
    </row>
    <row r="1122" spans="1:52" x14ac:dyDescent="0.35">
      <c r="B1122" t="str">
        <f t="shared" ref="B1122:G1122" si="765">IF(B1017="","",B1017)</f>
        <v/>
      </c>
      <c r="C1122" t="str">
        <f t="shared" si="765"/>
        <v/>
      </c>
      <c r="D1122" t="str">
        <f t="shared" si="765"/>
        <v/>
      </c>
      <c r="E1122" t="str">
        <f t="shared" si="765"/>
        <v/>
      </c>
      <c r="F1122" t="str">
        <f t="shared" si="765"/>
        <v/>
      </c>
      <c r="G1122" t="str">
        <f t="shared" si="765"/>
        <v/>
      </c>
      <c r="H1122" t="str">
        <f t="shared" si="731"/>
        <v/>
      </c>
      <c r="J1122" t="str">
        <f>IF($H1122="","",IF(VLOOKUP(H1122,ExpItems[],2,0),H1122&amp;" - "&amp;INDEX(DivisionMapping[category_code],MATCH($D1122&amp;$C1122,DivisionMapping[dept_bu],0)),H1122))</f>
        <v/>
      </c>
      <c r="K1122" t="str">
        <f t="shared" si="734"/>
        <v/>
      </c>
      <c r="L1122" s="652">
        <f>IF($B1122="",,SUMIFS(PerHeadcount[Month 1],PerHeadcount[exp_item],$H1122,PerHeadcount[company_name],$B1122)*L282)</f>
        <v>0</v>
      </c>
      <c r="M1122" s="652">
        <f>IF($B1122="",,SUMIFS(PerHeadcount[Month 2],PerHeadcount[exp_item],$H1122,PerHeadcount[company_name],$B1122)*M282)</f>
        <v>0</v>
      </c>
      <c r="N1122" s="652">
        <f>IF($B1122="",,SUMIFS(PerHeadcount[Month 3],PerHeadcount[exp_item],$H1122,PerHeadcount[company_name],$B1122)*N282)</f>
        <v>0</v>
      </c>
      <c r="O1122" s="652">
        <f>IF($B1122="",,SUMIFS(PerHeadcount[Month 4],PerHeadcount[exp_item],$H1122,PerHeadcount[company_name],$B1122)*O282)</f>
        <v>0</v>
      </c>
      <c r="P1122" s="652">
        <f>IF($B1122="",,SUMIFS(PerHeadcount[Month 5],PerHeadcount[exp_item],$H1122,PerHeadcount[company_name],$B1122)*P282)</f>
        <v>0</v>
      </c>
      <c r="Q1122" s="652">
        <f>IF($B1122="",,SUMIFS(PerHeadcount[Month 6],PerHeadcount[exp_item],$H1122,PerHeadcount[company_name],$B1122)*Q282)</f>
        <v>0</v>
      </c>
      <c r="R1122" s="652">
        <f>IF($B1122="",,SUMIFS(PerHeadcount[Month 7],PerHeadcount[exp_item],$H1122,PerHeadcount[company_name],$B1122)*R282)</f>
        <v>0</v>
      </c>
      <c r="S1122" s="652">
        <f>IF($B1122="",,SUMIFS(PerHeadcount[Month 8],PerHeadcount[exp_item],$H1122,PerHeadcount[company_name],$B1122)*S282)</f>
        <v>0</v>
      </c>
      <c r="T1122" s="652">
        <f>IF($B1122="",,SUMIFS(PerHeadcount[Month 9],PerHeadcount[exp_item],$H1122,PerHeadcount[company_name],$B1122)*T282)</f>
        <v>0</v>
      </c>
      <c r="U1122" s="652">
        <f>IF($B1122="",,SUMIFS(PerHeadcount[Month 10],PerHeadcount[exp_item],$H1122,PerHeadcount[company_name],$B1122)*U282)</f>
        <v>0</v>
      </c>
      <c r="V1122" s="652">
        <f>IF($B1122="",,SUMIFS(PerHeadcount[Month 11],PerHeadcount[exp_item],$H1122,PerHeadcount[company_name],$B1122)*V282)</f>
        <v>0</v>
      </c>
      <c r="W1122" s="652">
        <f>IF($B1122="",,SUMIFS(PerHeadcount[Month 12],PerHeadcount[exp_item],$H1122,PerHeadcount[company_name],$B1122)*W282)</f>
        <v>0</v>
      </c>
      <c r="X1122" s="652">
        <f>IF($B1122="",,SUMIFS(PerHeadcount[Month 13],PerHeadcount[exp_item],$H1122,PerHeadcount[company_name],$B1122)*X282)</f>
        <v>0</v>
      </c>
      <c r="Y1122" s="652">
        <f>IF($B1122="",,SUMIFS(PerHeadcount[Month 14],PerHeadcount[exp_item],$H1122,PerHeadcount[company_name],$B1122)*Y282)</f>
        <v>0</v>
      </c>
      <c r="Z1122" s="652">
        <f>IF($B1122="",,SUMIFS(PerHeadcount[Month 15],PerHeadcount[exp_item],$H1122,PerHeadcount[company_name],$B1122)*Z282)</f>
        <v>0</v>
      </c>
      <c r="AA1122" s="652">
        <f>IF($B1122="",,SUMIFS(PerHeadcount[Month 16],PerHeadcount[exp_item],$H1122,PerHeadcount[company_name],$B1122)*AA282)</f>
        <v>0</v>
      </c>
      <c r="AB1122" s="652">
        <f>IF($B1122="",,SUMIFS(PerHeadcount[Month 17],PerHeadcount[exp_item],$H1122,PerHeadcount[company_name],$B1122)*AB282)</f>
        <v>0</v>
      </c>
      <c r="AC1122" s="652">
        <f>IF($B1122="",,SUMIFS(PerHeadcount[Month 18],PerHeadcount[exp_item],$H1122,PerHeadcount[company_name],$B1122)*AC282)</f>
        <v>0</v>
      </c>
      <c r="AD1122" s="652">
        <f>IF($B1122="",,SUMIFS(PerHeadcount[Month 19],PerHeadcount[exp_item],$H1122,PerHeadcount[company_name],$B1122)*AD282)</f>
        <v>0</v>
      </c>
      <c r="AE1122" s="652">
        <f>IF($B1122="",,SUMIFS(PerHeadcount[Month 20],PerHeadcount[exp_item],$H1122,PerHeadcount[company_name],$B1122)*AE282)</f>
        <v>0</v>
      </c>
      <c r="AF1122" s="652">
        <f>IF($B1122="",,SUMIFS(PerHeadcount[Month 21],PerHeadcount[exp_item],$H1122,PerHeadcount[company_name],$B1122)*AF282)</f>
        <v>0</v>
      </c>
      <c r="AG1122" s="652">
        <f>IF($B1122="",,SUMIFS(PerHeadcount[Month 22],PerHeadcount[exp_item],$H1122,PerHeadcount[company_name],$B1122)*AG282)</f>
        <v>0</v>
      </c>
      <c r="AH1122" s="652">
        <f>IF($B1122="",,SUMIFS(PerHeadcount[Month 23],PerHeadcount[exp_item],$H1122,PerHeadcount[company_name],$B1122)*AH282)</f>
        <v>0</v>
      </c>
      <c r="AI1122" s="652">
        <f>IF($B1122="",,SUMIFS(PerHeadcount[Month 24],PerHeadcount[exp_item],$H1122,PerHeadcount[company_name],$B1122)*AI282)</f>
        <v>0</v>
      </c>
      <c r="AJ1122" s="652">
        <f>IF($B1122="",,SUMIFS(PerHeadcount[Month 25],PerHeadcount[exp_item],$H1122,PerHeadcount[company_name],$B1122)*AJ282)</f>
        <v>0</v>
      </c>
      <c r="AK1122" s="652">
        <f>IF($B1122="",,SUMIFS(PerHeadcount[Month 26],PerHeadcount[exp_item],$H1122,PerHeadcount[company_name],$B1122)*AK282)</f>
        <v>0</v>
      </c>
      <c r="AL1122" s="652">
        <f>IF($B1122="",,SUMIFS(PerHeadcount[Month 27],PerHeadcount[exp_item],$H1122,PerHeadcount[company_name],$B1122)*AL282)</f>
        <v>0</v>
      </c>
      <c r="AM1122" s="652">
        <f>IF($B1122="",,SUMIFS(PerHeadcount[Month 28],PerHeadcount[exp_item],$H1122,PerHeadcount[company_name],$B1122)*AM282)</f>
        <v>0</v>
      </c>
      <c r="AN1122" s="652">
        <f>IF($B1122="",,SUMIFS(PerHeadcount[Month 29],PerHeadcount[exp_item],$H1122,PerHeadcount[company_name],$B1122)*AN282)</f>
        <v>0</v>
      </c>
      <c r="AO1122" s="652">
        <f>IF($B1122="",,SUMIFS(PerHeadcount[Month 30],PerHeadcount[exp_item],$H1122,PerHeadcount[company_name],$B1122)*AO282)</f>
        <v>0</v>
      </c>
      <c r="AP1122" s="652">
        <f>IF($B1122="",,SUMIFS(PerHeadcount[Month 31],PerHeadcount[exp_item],$H1122,PerHeadcount[company_name],$B1122)*AP282)</f>
        <v>0</v>
      </c>
      <c r="AQ1122" s="652">
        <f>IF($B1122="",,SUMIFS(PerHeadcount[Month 32],PerHeadcount[exp_item],$H1122,PerHeadcount[company_name],$B1122)*AQ282)</f>
        <v>0</v>
      </c>
      <c r="AR1122" s="652">
        <f>IF($B1122="",,SUMIFS(PerHeadcount[Month 33],PerHeadcount[exp_item],$H1122,PerHeadcount[company_name],$B1122)*AR282)</f>
        <v>0</v>
      </c>
      <c r="AS1122" s="652">
        <f>IF($B1122="",,SUMIFS(PerHeadcount[Month 34],PerHeadcount[exp_item],$H1122,PerHeadcount[company_name],$B1122)*AS282)</f>
        <v>0</v>
      </c>
      <c r="AT1122" s="652">
        <f>IF($B1122="",,SUMIFS(PerHeadcount[Month 35],PerHeadcount[exp_item],$H1122,PerHeadcount[company_name],$B1122)*AT282)</f>
        <v>0</v>
      </c>
      <c r="AU1122" s="652">
        <f>IF($B1122="",,SUMIFS(PerHeadcount[Month 36],PerHeadcount[exp_item],$H1122,PerHeadcount[company_name],$B1122)*AU282)</f>
        <v>0</v>
      </c>
    </row>
    <row r="1123" spans="1:52" x14ac:dyDescent="0.35">
      <c r="B1123" t="str">
        <f t="shared" ref="B1123:G1123" si="766">IF(B1018="","",B1018)</f>
        <v/>
      </c>
      <c r="C1123" t="str">
        <f t="shared" si="766"/>
        <v/>
      </c>
      <c r="D1123" t="str">
        <f t="shared" si="766"/>
        <v/>
      </c>
      <c r="E1123" t="str">
        <f t="shared" si="766"/>
        <v/>
      </c>
      <c r="F1123" t="str">
        <f t="shared" si="766"/>
        <v/>
      </c>
      <c r="G1123" t="str">
        <f t="shared" si="766"/>
        <v/>
      </c>
      <c r="H1123" t="str">
        <f t="shared" si="731"/>
        <v/>
      </c>
      <c r="J1123" t="str">
        <f>IF($H1123="","",IF(VLOOKUP(H1123,ExpItems[],2,0),H1123&amp;" - "&amp;INDEX(DivisionMapping[category_code],MATCH($D1123&amp;$C1123,DivisionMapping[dept_bu],0)),H1123))</f>
        <v/>
      </c>
      <c r="K1123" t="str">
        <f t="shared" si="734"/>
        <v/>
      </c>
      <c r="L1123" s="652">
        <f>IF($B1123="",,SUMIFS(PerHeadcount[Month 1],PerHeadcount[exp_item],$H1123,PerHeadcount[company_name],$B1123)*L283)</f>
        <v>0</v>
      </c>
      <c r="M1123" s="652">
        <f>IF($B1123="",,SUMIFS(PerHeadcount[Month 2],PerHeadcount[exp_item],$H1123,PerHeadcount[company_name],$B1123)*M283)</f>
        <v>0</v>
      </c>
      <c r="N1123" s="652">
        <f>IF($B1123="",,SUMIFS(PerHeadcount[Month 3],PerHeadcount[exp_item],$H1123,PerHeadcount[company_name],$B1123)*N283)</f>
        <v>0</v>
      </c>
      <c r="O1123" s="652">
        <f>IF($B1123="",,SUMIFS(PerHeadcount[Month 4],PerHeadcount[exp_item],$H1123,PerHeadcount[company_name],$B1123)*O283)</f>
        <v>0</v>
      </c>
      <c r="P1123" s="652">
        <f>IF($B1123="",,SUMIFS(PerHeadcount[Month 5],PerHeadcount[exp_item],$H1123,PerHeadcount[company_name],$B1123)*P283)</f>
        <v>0</v>
      </c>
      <c r="Q1123" s="652">
        <f>IF($B1123="",,SUMIFS(PerHeadcount[Month 6],PerHeadcount[exp_item],$H1123,PerHeadcount[company_name],$B1123)*Q283)</f>
        <v>0</v>
      </c>
      <c r="R1123" s="652">
        <f>IF($B1123="",,SUMIFS(PerHeadcount[Month 7],PerHeadcount[exp_item],$H1123,PerHeadcount[company_name],$B1123)*R283)</f>
        <v>0</v>
      </c>
      <c r="S1123" s="652">
        <f>IF($B1123="",,SUMIFS(PerHeadcount[Month 8],PerHeadcount[exp_item],$H1123,PerHeadcount[company_name],$B1123)*S283)</f>
        <v>0</v>
      </c>
      <c r="T1123" s="652">
        <f>IF($B1123="",,SUMIFS(PerHeadcount[Month 9],PerHeadcount[exp_item],$H1123,PerHeadcount[company_name],$B1123)*T283)</f>
        <v>0</v>
      </c>
      <c r="U1123" s="652">
        <f>IF($B1123="",,SUMIFS(PerHeadcount[Month 10],PerHeadcount[exp_item],$H1123,PerHeadcount[company_name],$B1123)*U283)</f>
        <v>0</v>
      </c>
      <c r="V1123" s="652">
        <f>IF($B1123="",,SUMIFS(PerHeadcount[Month 11],PerHeadcount[exp_item],$H1123,PerHeadcount[company_name],$B1123)*V283)</f>
        <v>0</v>
      </c>
      <c r="W1123" s="652">
        <f>IF($B1123="",,SUMIFS(PerHeadcount[Month 12],PerHeadcount[exp_item],$H1123,PerHeadcount[company_name],$B1123)*W283)</f>
        <v>0</v>
      </c>
      <c r="X1123" s="652">
        <f>IF($B1123="",,SUMIFS(PerHeadcount[Month 13],PerHeadcount[exp_item],$H1123,PerHeadcount[company_name],$B1123)*X283)</f>
        <v>0</v>
      </c>
      <c r="Y1123" s="652">
        <f>IF($B1123="",,SUMIFS(PerHeadcount[Month 14],PerHeadcount[exp_item],$H1123,PerHeadcount[company_name],$B1123)*Y283)</f>
        <v>0</v>
      </c>
      <c r="Z1123" s="652">
        <f>IF($B1123="",,SUMIFS(PerHeadcount[Month 15],PerHeadcount[exp_item],$H1123,PerHeadcount[company_name],$B1123)*Z283)</f>
        <v>0</v>
      </c>
      <c r="AA1123" s="652">
        <f>IF($B1123="",,SUMIFS(PerHeadcount[Month 16],PerHeadcount[exp_item],$H1123,PerHeadcount[company_name],$B1123)*AA283)</f>
        <v>0</v>
      </c>
      <c r="AB1123" s="652">
        <f>IF($B1123="",,SUMIFS(PerHeadcount[Month 17],PerHeadcount[exp_item],$H1123,PerHeadcount[company_name],$B1123)*AB283)</f>
        <v>0</v>
      </c>
      <c r="AC1123" s="652">
        <f>IF($B1123="",,SUMIFS(PerHeadcount[Month 18],PerHeadcount[exp_item],$H1123,PerHeadcount[company_name],$B1123)*AC283)</f>
        <v>0</v>
      </c>
      <c r="AD1123" s="652">
        <f>IF($B1123="",,SUMIFS(PerHeadcount[Month 19],PerHeadcount[exp_item],$H1123,PerHeadcount[company_name],$B1123)*AD283)</f>
        <v>0</v>
      </c>
      <c r="AE1123" s="652">
        <f>IF($B1123="",,SUMIFS(PerHeadcount[Month 20],PerHeadcount[exp_item],$H1123,PerHeadcount[company_name],$B1123)*AE283)</f>
        <v>0</v>
      </c>
      <c r="AF1123" s="652">
        <f>IF($B1123="",,SUMIFS(PerHeadcount[Month 21],PerHeadcount[exp_item],$H1123,PerHeadcount[company_name],$B1123)*AF283)</f>
        <v>0</v>
      </c>
      <c r="AG1123" s="652">
        <f>IF($B1123="",,SUMIFS(PerHeadcount[Month 22],PerHeadcount[exp_item],$H1123,PerHeadcount[company_name],$B1123)*AG283)</f>
        <v>0</v>
      </c>
      <c r="AH1123" s="652">
        <f>IF($B1123="",,SUMIFS(PerHeadcount[Month 23],PerHeadcount[exp_item],$H1123,PerHeadcount[company_name],$B1123)*AH283)</f>
        <v>0</v>
      </c>
      <c r="AI1123" s="652">
        <f>IF($B1123="",,SUMIFS(PerHeadcount[Month 24],PerHeadcount[exp_item],$H1123,PerHeadcount[company_name],$B1123)*AI283)</f>
        <v>0</v>
      </c>
      <c r="AJ1123" s="652">
        <f>IF($B1123="",,SUMIFS(PerHeadcount[Month 25],PerHeadcount[exp_item],$H1123,PerHeadcount[company_name],$B1123)*AJ283)</f>
        <v>0</v>
      </c>
      <c r="AK1123" s="652">
        <f>IF($B1123="",,SUMIFS(PerHeadcount[Month 26],PerHeadcount[exp_item],$H1123,PerHeadcount[company_name],$B1123)*AK283)</f>
        <v>0</v>
      </c>
      <c r="AL1123" s="652">
        <f>IF($B1123="",,SUMIFS(PerHeadcount[Month 27],PerHeadcount[exp_item],$H1123,PerHeadcount[company_name],$B1123)*AL283)</f>
        <v>0</v>
      </c>
      <c r="AM1123" s="652">
        <f>IF($B1123="",,SUMIFS(PerHeadcount[Month 28],PerHeadcount[exp_item],$H1123,PerHeadcount[company_name],$B1123)*AM283)</f>
        <v>0</v>
      </c>
      <c r="AN1123" s="652">
        <f>IF($B1123="",,SUMIFS(PerHeadcount[Month 29],PerHeadcount[exp_item],$H1123,PerHeadcount[company_name],$B1123)*AN283)</f>
        <v>0</v>
      </c>
      <c r="AO1123" s="652">
        <f>IF($B1123="",,SUMIFS(PerHeadcount[Month 30],PerHeadcount[exp_item],$H1123,PerHeadcount[company_name],$B1123)*AO283)</f>
        <v>0</v>
      </c>
      <c r="AP1123" s="652">
        <f>IF($B1123="",,SUMIFS(PerHeadcount[Month 31],PerHeadcount[exp_item],$H1123,PerHeadcount[company_name],$B1123)*AP283)</f>
        <v>0</v>
      </c>
      <c r="AQ1123" s="652">
        <f>IF($B1123="",,SUMIFS(PerHeadcount[Month 32],PerHeadcount[exp_item],$H1123,PerHeadcount[company_name],$B1123)*AQ283)</f>
        <v>0</v>
      </c>
      <c r="AR1123" s="652">
        <f>IF($B1123="",,SUMIFS(PerHeadcount[Month 33],PerHeadcount[exp_item],$H1123,PerHeadcount[company_name],$B1123)*AR283)</f>
        <v>0</v>
      </c>
      <c r="AS1123" s="652">
        <f>IF($B1123="",,SUMIFS(PerHeadcount[Month 34],PerHeadcount[exp_item],$H1123,PerHeadcount[company_name],$B1123)*AS283)</f>
        <v>0</v>
      </c>
      <c r="AT1123" s="652">
        <f>IF($B1123="",,SUMIFS(PerHeadcount[Month 35],PerHeadcount[exp_item],$H1123,PerHeadcount[company_name],$B1123)*AT283)</f>
        <v>0</v>
      </c>
      <c r="AU1123" s="652">
        <f>IF($B1123="",,SUMIFS(PerHeadcount[Month 36],PerHeadcount[exp_item],$H1123,PerHeadcount[company_name],$B1123)*AU283)</f>
        <v>0</v>
      </c>
    </row>
    <row r="1124" spans="1:52" x14ac:dyDescent="0.35">
      <c r="B1124" t="str">
        <f t="shared" ref="B1124:G1124" si="767">IF(B1019="","",B1019)</f>
        <v/>
      </c>
      <c r="C1124" t="str">
        <f t="shared" si="767"/>
        <v/>
      </c>
      <c r="D1124" t="str">
        <f t="shared" si="767"/>
        <v/>
      </c>
      <c r="E1124" t="str">
        <f t="shared" si="767"/>
        <v/>
      </c>
      <c r="F1124" t="str">
        <f t="shared" si="767"/>
        <v/>
      </c>
      <c r="G1124" t="str">
        <f t="shared" si="767"/>
        <v/>
      </c>
      <c r="H1124" t="str">
        <f t="shared" si="731"/>
        <v/>
      </c>
      <c r="J1124" t="str">
        <f>IF($H1124="","",IF(VLOOKUP(H1124,ExpItems[],2,0),H1124&amp;" - "&amp;INDEX(DivisionMapping[category_code],MATCH($D1124&amp;$C1124,DivisionMapping[dept_bu],0)),H1124))</f>
        <v/>
      </c>
      <c r="K1124" t="str">
        <f t="shared" si="734"/>
        <v/>
      </c>
      <c r="L1124" s="652">
        <f>IF($B1124="",,SUMIFS(PerHeadcount[Month 1],PerHeadcount[exp_item],$H1124,PerHeadcount[company_name],$B1124)*L284)</f>
        <v>0</v>
      </c>
      <c r="M1124" s="652">
        <f>IF($B1124="",,SUMIFS(PerHeadcount[Month 2],PerHeadcount[exp_item],$H1124,PerHeadcount[company_name],$B1124)*M284)</f>
        <v>0</v>
      </c>
      <c r="N1124" s="652">
        <f>IF($B1124="",,SUMIFS(PerHeadcount[Month 3],PerHeadcount[exp_item],$H1124,PerHeadcount[company_name],$B1124)*N284)</f>
        <v>0</v>
      </c>
      <c r="O1124" s="652">
        <f>IF($B1124="",,SUMIFS(PerHeadcount[Month 4],PerHeadcount[exp_item],$H1124,PerHeadcount[company_name],$B1124)*O284)</f>
        <v>0</v>
      </c>
      <c r="P1124" s="652">
        <f>IF($B1124="",,SUMIFS(PerHeadcount[Month 5],PerHeadcount[exp_item],$H1124,PerHeadcount[company_name],$B1124)*P284)</f>
        <v>0</v>
      </c>
      <c r="Q1124" s="652">
        <f>IF($B1124="",,SUMIFS(PerHeadcount[Month 6],PerHeadcount[exp_item],$H1124,PerHeadcount[company_name],$B1124)*Q284)</f>
        <v>0</v>
      </c>
      <c r="R1124" s="652">
        <f>IF($B1124="",,SUMIFS(PerHeadcount[Month 7],PerHeadcount[exp_item],$H1124,PerHeadcount[company_name],$B1124)*R284)</f>
        <v>0</v>
      </c>
      <c r="S1124" s="652">
        <f>IF($B1124="",,SUMIFS(PerHeadcount[Month 8],PerHeadcount[exp_item],$H1124,PerHeadcount[company_name],$B1124)*S284)</f>
        <v>0</v>
      </c>
      <c r="T1124" s="652">
        <f>IF($B1124="",,SUMIFS(PerHeadcount[Month 9],PerHeadcount[exp_item],$H1124,PerHeadcount[company_name],$B1124)*T284)</f>
        <v>0</v>
      </c>
      <c r="U1124" s="652">
        <f>IF($B1124="",,SUMIFS(PerHeadcount[Month 10],PerHeadcount[exp_item],$H1124,PerHeadcount[company_name],$B1124)*U284)</f>
        <v>0</v>
      </c>
      <c r="V1124" s="652">
        <f>IF($B1124="",,SUMIFS(PerHeadcount[Month 11],PerHeadcount[exp_item],$H1124,PerHeadcount[company_name],$B1124)*V284)</f>
        <v>0</v>
      </c>
      <c r="W1124" s="652">
        <f>IF($B1124="",,SUMIFS(PerHeadcount[Month 12],PerHeadcount[exp_item],$H1124,PerHeadcount[company_name],$B1124)*W284)</f>
        <v>0</v>
      </c>
      <c r="X1124" s="652">
        <f>IF($B1124="",,SUMIFS(PerHeadcount[Month 13],PerHeadcount[exp_item],$H1124,PerHeadcount[company_name],$B1124)*X284)</f>
        <v>0</v>
      </c>
      <c r="Y1124" s="652">
        <f>IF($B1124="",,SUMIFS(PerHeadcount[Month 14],PerHeadcount[exp_item],$H1124,PerHeadcount[company_name],$B1124)*Y284)</f>
        <v>0</v>
      </c>
      <c r="Z1124" s="652">
        <f>IF($B1124="",,SUMIFS(PerHeadcount[Month 15],PerHeadcount[exp_item],$H1124,PerHeadcount[company_name],$B1124)*Z284)</f>
        <v>0</v>
      </c>
      <c r="AA1124" s="652">
        <f>IF($B1124="",,SUMIFS(PerHeadcount[Month 16],PerHeadcount[exp_item],$H1124,PerHeadcount[company_name],$B1124)*AA284)</f>
        <v>0</v>
      </c>
      <c r="AB1124" s="652">
        <f>IF($B1124="",,SUMIFS(PerHeadcount[Month 17],PerHeadcount[exp_item],$H1124,PerHeadcount[company_name],$B1124)*AB284)</f>
        <v>0</v>
      </c>
      <c r="AC1124" s="652">
        <f>IF($B1124="",,SUMIFS(PerHeadcount[Month 18],PerHeadcount[exp_item],$H1124,PerHeadcount[company_name],$B1124)*AC284)</f>
        <v>0</v>
      </c>
      <c r="AD1124" s="652">
        <f>IF($B1124="",,SUMIFS(PerHeadcount[Month 19],PerHeadcount[exp_item],$H1124,PerHeadcount[company_name],$B1124)*AD284)</f>
        <v>0</v>
      </c>
      <c r="AE1124" s="652">
        <f>IF($B1124="",,SUMIFS(PerHeadcount[Month 20],PerHeadcount[exp_item],$H1124,PerHeadcount[company_name],$B1124)*AE284)</f>
        <v>0</v>
      </c>
      <c r="AF1124" s="652">
        <f>IF($B1124="",,SUMIFS(PerHeadcount[Month 21],PerHeadcount[exp_item],$H1124,PerHeadcount[company_name],$B1124)*AF284)</f>
        <v>0</v>
      </c>
      <c r="AG1124" s="652">
        <f>IF($B1124="",,SUMIFS(PerHeadcount[Month 22],PerHeadcount[exp_item],$H1124,PerHeadcount[company_name],$B1124)*AG284)</f>
        <v>0</v>
      </c>
      <c r="AH1124" s="652">
        <f>IF($B1124="",,SUMIFS(PerHeadcount[Month 23],PerHeadcount[exp_item],$H1124,PerHeadcount[company_name],$B1124)*AH284)</f>
        <v>0</v>
      </c>
      <c r="AI1124" s="652">
        <f>IF($B1124="",,SUMIFS(PerHeadcount[Month 24],PerHeadcount[exp_item],$H1124,PerHeadcount[company_name],$B1124)*AI284)</f>
        <v>0</v>
      </c>
      <c r="AJ1124" s="652">
        <f>IF($B1124="",,SUMIFS(PerHeadcount[Month 25],PerHeadcount[exp_item],$H1124,PerHeadcount[company_name],$B1124)*AJ284)</f>
        <v>0</v>
      </c>
      <c r="AK1124" s="652">
        <f>IF($B1124="",,SUMIFS(PerHeadcount[Month 26],PerHeadcount[exp_item],$H1124,PerHeadcount[company_name],$B1124)*AK284)</f>
        <v>0</v>
      </c>
      <c r="AL1124" s="652">
        <f>IF($B1124="",,SUMIFS(PerHeadcount[Month 27],PerHeadcount[exp_item],$H1124,PerHeadcount[company_name],$B1124)*AL284)</f>
        <v>0</v>
      </c>
      <c r="AM1124" s="652">
        <f>IF($B1124="",,SUMIFS(PerHeadcount[Month 28],PerHeadcount[exp_item],$H1124,PerHeadcount[company_name],$B1124)*AM284)</f>
        <v>0</v>
      </c>
      <c r="AN1124" s="652">
        <f>IF($B1124="",,SUMIFS(PerHeadcount[Month 29],PerHeadcount[exp_item],$H1124,PerHeadcount[company_name],$B1124)*AN284)</f>
        <v>0</v>
      </c>
      <c r="AO1124" s="652">
        <f>IF($B1124="",,SUMIFS(PerHeadcount[Month 30],PerHeadcount[exp_item],$H1124,PerHeadcount[company_name],$B1124)*AO284)</f>
        <v>0</v>
      </c>
      <c r="AP1124" s="652">
        <f>IF($B1124="",,SUMIFS(PerHeadcount[Month 31],PerHeadcount[exp_item],$H1124,PerHeadcount[company_name],$B1124)*AP284)</f>
        <v>0</v>
      </c>
      <c r="AQ1124" s="652">
        <f>IF($B1124="",,SUMIFS(PerHeadcount[Month 32],PerHeadcount[exp_item],$H1124,PerHeadcount[company_name],$B1124)*AQ284)</f>
        <v>0</v>
      </c>
      <c r="AR1124" s="652">
        <f>IF($B1124="",,SUMIFS(PerHeadcount[Month 33],PerHeadcount[exp_item],$H1124,PerHeadcount[company_name],$B1124)*AR284)</f>
        <v>0</v>
      </c>
      <c r="AS1124" s="652">
        <f>IF($B1124="",,SUMIFS(PerHeadcount[Month 34],PerHeadcount[exp_item],$H1124,PerHeadcount[company_name],$B1124)*AS284)</f>
        <v>0</v>
      </c>
      <c r="AT1124" s="652">
        <f>IF($B1124="",,SUMIFS(PerHeadcount[Month 35],PerHeadcount[exp_item],$H1124,PerHeadcount[company_name],$B1124)*AT284)</f>
        <v>0</v>
      </c>
      <c r="AU1124" s="652">
        <f>IF($B1124="",,SUMIFS(PerHeadcount[Month 36],PerHeadcount[exp_item],$H1124,PerHeadcount[company_name],$B1124)*AU284)</f>
        <v>0</v>
      </c>
    </row>
    <row r="1125" spans="1:52" x14ac:dyDescent="0.35">
      <c r="B1125" t="str">
        <f t="shared" ref="B1125:G1125" si="768">IF(B1020="","",B1020)</f>
        <v/>
      </c>
      <c r="C1125" t="str">
        <f t="shared" si="768"/>
        <v/>
      </c>
      <c r="D1125" t="str">
        <f t="shared" si="768"/>
        <v/>
      </c>
      <c r="E1125" t="str">
        <f t="shared" si="768"/>
        <v/>
      </c>
      <c r="F1125" t="str">
        <f t="shared" si="768"/>
        <v/>
      </c>
      <c r="G1125" t="str">
        <f t="shared" si="768"/>
        <v/>
      </c>
      <c r="H1125" t="str">
        <f t="shared" si="731"/>
        <v/>
      </c>
      <c r="J1125" t="str">
        <f>IF($H1125="","",IF(VLOOKUP(H1125,ExpItems[],2,0),H1125&amp;" - "&amp;INDEX(DivisionMapping[category_code],MATCH($D1125&amp;$C1125,DivisionMapping[dept_bu],0)),H1125))</f>
        <v/>
      </c>
      <c r="K1125" t="str">
        <f t="shared" si="734"/>
        <v/>
      </c>
      <c r="L1125" s="652">
        <f>IF($B1125="",,SUMIFS(PerHeadcount[Month 1],PerHeadcount[exp_item],$H1125,PerHeadcount[company_name],$B1125)*L285)</f>
        <v>0</v>
      </c>
      <c r="M1125" s="652">
        <f>IF($B1125="",,SUMIFS(PerHeadcount[Month 2],PerHeadcount[exp_item],$H1125,PerHeadcount[company_name],$B1125)*M285)</f>
        <v>0</v>
      </c>
      <c r="N1125" s="652">
        <f>IF($B1125="",,SUMIFS(PerHeadcount[Month 3],PerHeadcount[exp_item],$H1125,PerHeadcount[company_name],$B1125)*N285)</f>
        <v>0</v>
      </c>
      <c r="O1125" s="652">
        <f>IF($B1125="",,SUMIFS(PerHeadcount[Month 4],PerHeadcount[exp_item],$H1125,PerHeadcount[company_name],$B1125)*O285)</f>
        <v>0</v>
      </c>
      <c r="P1125" s="652">
        <f>IF($B1125="",,SUMIFS(PerHeadcount[Month 5],PerHeadcount[exp_item],$H1125,PerHeadcount[company_name],$B1125)*P285)</f>
        <v>0</v>
      </c>
      <c r="Q1125" s="652">
        <f>IF($B1125="",,SUMIFS(PerHeadcount[Month 6],PerHeadcount[exp_item],$H1125,PerHeadcount[company_name],$B1125)*Q285)</f>
        <v>0</v>
      </c>
      <c r="R1125" s="652">
        <f>IF($B1125="",,SUMIFS(PerHeadcount[Month 7],PerHeadcount[exp_item],$H1125,PerHeadcount[company_name],$B1125)*R285)</f>
        <v>0</v>
      </c>
      <c r="S1125" s="652">
        <f>IF($B1125="",,SUMIFS(PerHeadcount[Month 8],PerHeadcount[exp_item],$H1125,PerHeadcount[company_name],$B1125)*S285)</f>
        <v>0</v>
      </c>
      <c r="T1125" s="652">
        <f>IF($B1125="",,SUMIFS(PerHeadcount[Month 9],PerHeadcount[exp_item],$H1125,PerHeadcount[company_name],$B1125)*T285)</f>
        <v>0</v>
      </c>
      <c r="U1125" s="652">
        <f>IF($B1125="",,SUMIFS(PerHeadcount[Month 10],PerHeadcount[exp_item],$H1125,PerHeadcount[company_name],$B1125)*U285)</f>
        <v>0</v>
      </c>
      <c r="V1125" s="652">
        <f>IF($B1125="",,SUMIFS(PerHeadcount[Month 11],PerHeadcount[exp_item],$H1125,PerHeadcount[company_name],$B1125)*V285)</f>
        <v>0</v>
      </c>
      <c r="W1125" s="652">
        <f>IF($B1125="",,SUMIFS(PerHeadcount[Month 12],PerHeadcount[exp_item],$H1125,PerHeadcount[company_name],$B1125)*W285)</f>
        <v>0</v>
      </c>
      <c r="X1125" s="652">
        <f>IF($B1125="",,SUMIFS(PerHeadcount[Month 13],PerHeadcount[exp_item],$H1125,PerHeadcount[company_name],$B1125)*X285)</f>
        <v>0</v>
      </c>
      <c r="Y1125" s="652">
        <f>IF($B1125="",,SUMIFS(PerHeadcount[Month 14],PerHeadcount[exp_item],$H1125,PerHeadcount[company_name],$B1125)*Y285)</f>
        <v>0</v>
      </c>
      <c r="Z1125" s="652">
        <f>IF($B1125="",,SUMIFS(PerHeadcount[Month 15],PerHeadcount[exp_item],$H1125,PerHeadcount[company_name],$B1125)*Z285)</f>
        <v>0</v>
      </c>
      <c r="AA1125" s="652">
        <f>IF($B1125="",,SUMIFS(PerHeadcount[Month 16],PerHeadcount[exp_item],$H1125,PerHeadcount[company_name],$B1125)*AA285)</f>
        <v>0</v>
      </c>
      <c r="AB1125" s="652">
        <f>IF($B1125="",,SUMIFS(PerHeadcount[Month 17],PerHeadcount[exp_item],$H1125,PerHeadcount[company_name],$B1125)*AB285)</f>
        <v>0</v>
      </c>
      <c r="AC1125" s="652">
        <f>IF($B1125="",,SUMIFS(PerHeadcount[Month 18],PerHeadcount[exp_item],$H1125,PerHeadcount[company_name],$B1125)*AC285)</f>
        <v>0</v>
      </c>
      <c r="AD1125" s="652">
        <f>IF($B1125="",,SUMIFS(PerHeadcount[Month 19],PerHeadcount[exp_item],$H1125,PerHeadcount[company_name],$B1125)*AD285)</f>
        <v>0</v>
      </c>
      <c r="AE1125" s="652">
        <f>IF($B1125="",,SUMIFS(PerHeadcount[Month 20],PerHeadcount[exp_item],$H1125,PerHeadcount[company_name],$B1125)*AE285)</f>
        <v>0</v>
      </c>
      <c r="AF1125" s="652">
        <f>IF($B1125="",,SUMIFS(PerHeadcount[Month 21],PerHeadcount[exp_item],$H1125,PerHeadcount[company_name],$B1125)*AF285)</f>
        <v>0</v>
      </c>
      <c r="AG1125" s="652">
        <f>IF($B1125="",,SUMIFS(PerHeadcount[Month 22],PerHeadcount[exp_item],$H1125,PerHeadcount[company_name],$B1125)*AG285)</f>
        <v>0</v>
      </c>
      <c r="AH1125" s="652">
        <f>IF($B1125="",,SUMIFS(PerHeadcount[Month 23],PerHeadcount[exp_item],$H1125,PerHeadcount[company_name],$B1125)*AH285)</f>
        <v>0</v>
      </c>
      <c r="AI1125" s="652">
        <f>IF($B1125="",,SUMIFS(PerHeadcount[Month 24],PerHeadcount[exp_item],$H1125,PerHeadcount[company_name],$B1125)*AI285)</f>
        <v>0</v>
      </c>
      <c r="AJ1125" s="652">
        <f>IF($B1125="",,SUMIFS(PerHeadcount[Month 25],PerHeadcount[exp_item],$H1125,PerHeadcount[company_name],$B1125)*AJ285)</f>
        <v>0</v>
      </c>
      <c r="AK1125" s="652">
        <f>IF($B1125="",,SUMIFS(PerHeadcount[Month 26],PerHeadcount[exp_item],$H1125,PerHeadcount[company_name],$B1125)*AK285)</f>
        <v>0</v>
      </c>
      <c r="AL1125" s="652">
        <f>IF($B1125="",,SUMIFS(PerHeadcount[Month 27],PerHeadcount[exp_item],$H1125,PerHeadcount[company_name],$B1125)*AL285)</f>
        <v>0</v>
      </c>
      <c r="AM1125" s="652">
        <f>IF($B1125="",,SUMIFS(PerHeadcount[Month 28],PerHeadcount[exp_item],$H1125,PerHeadcount[company_name],$B1125)*AM285)</f>
        <v>0</v>
      </c>
      <c r="AN1125" s="652">
        <f>IF($B1125="",,SUMIFS(PerHeadcount[Month 29],PerHeadcount[exp_item],$H1125,PerHeadcount[company_name],$B1125)*AN285)</f>
        <v>0</v>
      </c>
      <c r="AO1125" s="652">
        <f>IF($B1125="",,SUMIFS(PerHeadcount[Month 30],PerHeadcount[exp_item],$H1125,PerHeadcount[company_name],$B1125)*AO285)</f>
        <v>0</v>
      </c>
      <c r="AP1125" s="652">
        <f>IF($B1125="",,SUMIFS(PerHeadcount[Month 31],PerHeadcount[exp_item],$H1125,PerHeadcount[company_name],$B1125)*AP285)</f>
        <v>0</v>
      </c>
      <c r="AQ1125" s="652">
        <f>IF($B1125="",,SUMIFS(PerHeadcount[Month 32],PerHeadcount[exp_item],$H1125,PerHeadcount[company_name],$B1125)*AQ285)</f>
        <v>0</v>
      </c>
      <c r="AR1125" s="652">
        <f>IF($B1125="",,SUMIFS(PerHeadcount[Month 33],PerHeadcount[exp_item],$H1125,PerHeadcount[company_name],$B1125)*AR285)</f>
        <v>0</v>
      </c>
      <c r="AS1125" s="652">
        <f>IF($B1125="",,SUMIFS(PerHeadcount[Month 34],PerHeadcount[exp_item],$H1125,PerHeadcount[company_name],$B1125)*AS285)</f>
        <v>0</v>
      </c>
      <c r="AT1125" s="652">
        <f>IF($B1125="",,SUMIFS(PerHeadcount[Month 35],PerHeadcount[exp_item],$H1125,PerHeadcount[company_name],$B1125)*AT285)</f>
        <v>0</v>
      </c>
      <c r="AU1125" s="652">
        <f>IF($B1125="",,SUMIFS(PerHeadcount[Month 36],PerHeadcount[exp_item],$H1125,PerHeadcount[company_name],$B1125)*AU285)</f>
        <v>0</v>
      </c>
    </row>
    <row r="1126" spans="1:52" x14ac:dyDescent="0.35">
      <c r="B1126" t="str">
        <f t="shared" ref="B1126:G1126" si="769">IF(B1021="","",B1021)</f>
        <v/>
      </c>
      <c r="C1126" t="str">
        <f t="shared" si="769"/>
        <v/>
      </c>
      <c r="D1126" t="str">
        <f t="shared" si="769"/>
        <v/>
      </c>
      <c r="E1126" t="str">
        <f t="shared" si="769"/>
        <v/>
      </c>
      <c r="F1126" t="str">
        <f t="shared" si="769"/>
        <v/>
      </c>
      <c r="G1126" t="str">
        <f t="shared" si="769"/>
        <v/>
      </c>
      <c r="H1126" t="str">
        <f t="shared" si="731"/>
        <v/>
      </c>
      <c r="J1126" t="str">
        <f>IF($H1126="","",IF(VLOOKUP(H1126,ExpItems[],2,0),H1126&amp;" - "&amp;INDEX(DivisionMapping[category_code],MATCH($D1126&amp;$C1126,DivisionMapping[dept_bu],0)),H1126))</f>
        <v/>
      </c>
      <c r="K1126" t="str">
        <f t="shared" si="734"/>
        <v/>
      </c>
      <c r="L1126" s="652">
        <f>IF($B1126="",,SUMIFS(PerHeadcount[Month 1],PerHeadcount[exp_item],$H1126,PerHeadcount[company_name],$B1126)*L286)</f>
        <v>0</v>
      </c>
      <c r="M1126" s="652">
        <f>IF($B1126="",,SUMIFS(PerHeadcount[Month 2],PerHeadcount[exp_item],$H1126,PerHeadcount[company_name],$B1126)*M286)</f>
        <v>0</v>
      </c>
      <c r="N1126" s="652">
        <f>IF($B1126="",,SUMIFS(PerHeadcount[Month 3],PerHeadcount[exp_item],$H1126,PerHeadcount[company_name],$B1126)*N286)</f>
        <v>0</v>
      </c>
      <c r="O1126" s="652">
        <f>IF($B1126="",,SUMIFS(PerHeadcount[Month 4],PerHeadcount[exp_item],$H1126,PerHeadcount[company_name],$B1126)*O286)</f>
        <v>0</v>
      </c>
      <c r="P1126" s="652">
        <f>IF($B1126="",,SUMIFS(PerHeadcount[Month 5],PerHeadcount[exp_item],$H1126,PerHeadcount[company_name],$B1126)*P286)</f>
        <v>0</v>
      </c>
      <c r="Q1126" s="652">
        <f>IF($B1126="",,SUMIFS(PerHeadcount[Month 6],PerHeadcount[exp_item],$H1126,PerHeadcount[company_name],$B1126)*Q286)</f>
        <v>0</v>
      </c>
      <c r="R1126" s="652">
        <f>IF($B1126="",,SUMIFS(PerHeadcount[Month 7],PerHeadcount[exp_item],$H1126,PerHeadcount[company_name],$B1126)*R286)</f>
        <v>0</v>
      </c>
      <c r="S1126" s="652">
        <f>IF($B1126="",,SUMIFS(PerHeadcount[Month 8],PerHeadcount[exp_item],$H1126,PerHeadcount[company_name],$B1126)*S286)</f>
        <v>0</v>
      </c>
      <c r="T1126" s="652">
        <f>IF($B1126="",,SUMIFS(PerHeadcount[Month 9],PerHeadcount[exp_item],$H1126,PerHeadcount[company_name],$B1126)*T286)</f>
        <v>0</v>
      </c>
      <c r="U1126" s="652">
        <f>IF($B1126="",,SUMIFS(PerHeadcount[Month 10],PerHeadcount[exp_item],$H1126,PerHeadcount[company_name],$B1126)*U286)</f>
        <v>0</v>
      </c>
      <c r="V1126" s="652">
        <f>IF($B1126="",,SUMIFS(PerHeadcount[Month 11],PerHeadcount[exp_item],$H1126,PerHeadcount[company_name],$B1126)*V286)</f>
        <v>0</v>
      </c>
      <c r="W1126" s="652">
        <f>IF($B1126="",,SUMIFS(PerHeadcount[Month 12],PerHeadcount[exp_item],$H1126,PerHeadcount[company_name],$B1126)*W286)</f>
        <v>0</v>
      </c>
      <c r="X1126" s="652">
        <f>IF($B1126="",,SUMIFS(PerHeadcount[Month 13],PerHeadcount[exp_item],$H1126,PerHeadcount[company_name],$B1126)*X286)</f>
        <v>0</v>
      </c>
      <c r="Y1126" s="652">
        <f>IF($B1126="",,SUMIFS(PerHeadcount[Month 14],PerHeadcount[exp_item],$H1126,PerHeadcount[company_name],$B1126)*Y286)</f>
        <v>0</v>
      </c>
      <c r="Z1126" s="652">
        <f>IF($B1126="",,SUMIFS(PerHeadcount[Month 15],PerHeadcount[exp_item],$H1126,PerHeadcount[company_name],$B1126)*Z286)</f>
        <v>0</v>
      </c>
      <c r="AA1126" s="652">
        <f>IF($B1126="",,SUMIFS(PerHeadcount[Month 16],PerHeadcount[exp_item],$H1126,PerHeadcount[company_name],$B1126)*AA286)</f>
        <v>0</v>
      </c>
      <c r="AB1126" s="652">
        <f>IF($B1126="",,SUMIFS(PerHeadcount[Month 17],PerHeadcount[exp_item],$H1126,PerHeadcount[company_name],$B1126)*AB286)</f>
        <v>0</v>
      </c>
      <c r="AC1126" s="652">
        <f>IF($B1126="",,SUMIFS(PerHeadcount[Month 18],PerHeadcount[exp_item],$H1126,PerHeadcount[company_name],$B1126)*AC286)</f>
        <v>0</v>
      </c>
      <c r="AD1126" s="652">
        <f>IF($B1126="",,SUMIFS(PerHeadcount[Month 19],PerHeadcount[exp_item],$H1126,PerHeadcount[company_name],$B1126)*AD286)</f>
        <v>0</v>
      </c>
      <c r="AE1126" s="652">
        <f>IF($B1126="",,SUMIFS(PerHeadcount[Month 20],PerHeadcount[exp_item],$H1126,PerHeadcount[company_name],$B1126)*AE286)</f>
        <v>0</v>
      </c>
      <c r="AF1126" s="652">
        <f>IF($B1126="",,SUMIFS(PerHeadcount[Month 21],PerHeadcount[exp_item],$H1126,PerHeadcount[company_name],$B1126)*AF286)</f>
        <v>0</v>
      </c>
      <c r="AG1126" s="652">
        <f>IF($B1126="",,SUMIFS(PerHeadcount[Month 22],PerHeadcount[exp_item],$H1126,PerHeadcount[company_name],$B1126)*AG286)</f>
        <v>0</v>
      </c>
      <c r="AH1126" s="652">
        <f>IF($B1126="",,SUMIFS(PerHeadcount[Month 23],PerHeadcount[exp_item],$H1126,PerHeadcount[company_name],$B1126)*AH286)</f>
        <v>0</v>
      </c>
      <c r="AI1126" s="652">
        <f>IF($B1126="",,SUMIFS(PerHeadcount[Month 24],PerHeadcount[exp_item],$H1126,PerHeadcount[company_name],$B1126)*AI286)</f>
        <v>0</v>
      </c>
      <c r="AJ1126" s="652">
        <f>IF($B1126="",,SUMIFS(PerHeadcount[Month 25],PerHeadcount[exp_item],$H1126,PerHeadcount[company_name],$B1126)*AJ286)</f>
        <v>0</v>
      </c>
      <c r="AK1126" s="652">
        <f>IF($B1126="",,SUMIFS(PerHeadcount[Month 26],PerHeadcount[exp_item],$H1126,PerHeadcount[company_name],$B1126)*AK286)</f>
        <v>0</v>
      </c>
      <c r="AL1126" s="652">
        <f>IF($B1126="",,SUMIFS(PerHeadcount[Month 27],PerHeadcount[exp_item],$H1126,PerHeadcount[company_name],$B1126)*AL286)</f>
        <v>0</v>
      </c>
      <c r="AM1126" s="652">
        <f>IF($B1126="",,SUMIFS(PerHeadcount[Month 28],PerHeadcount[exp_item],$H1126,PerHeadcount[company_name],$B1126)*AM286)</f>
        <v>0</v>
      </c>
      <c r="AN1126" s="652">
        <f>IF($B1126="",,SUMIFS(PerHeadcount[Month 29],PerHeadcount[exp_item],$H1126,PerHeadcount[company_name],$B1126)*AN286)</f>
        <v>0</v>
      </c>
      <c r="AO1126" s="652">
        <f>IF($B1126="",,SUMIFS(PerHeadcount[Month 30],PerHeadcount[exp_item],$H1126,PerHeadcount[company_name],$B1126)*AO286)</f>
        <v>0</v>
      </c>
      <c r="AP1126" s="652">
        <f>IF($B1126="",,SUMIFS(PerHeadcount[Month 31],PerHeadcount[exp_item],$H1126,PerHeadcount[company_name],$B1126)*AP286)</f>
        <v>0</v>
      </c>
      <c r="AQ1126" s="652">
        <f>IF($B1126="",,SUMIFS(PerHeadcount[Month 32],PerHeadcount[exp_item],$H1126,PerHeadcount[company_name],$B1126)*AQ286)</f>
        <v>0</v>
      </c>
      <c r="AR1126" s="652">
        <f>IF($B1126="",,SUMIFS(PerHeadcount[Month 33],PerHeadcount[exp_item],$H1126,PerHeadcount[company_name],$B1126)*AR286)</f>
        <v>0</v>
      </c>
      <c r="AS1126" s="652">
        <f>IF($B1126="",,SUMIFS(PerHeadcount[Month 34],PerHeadcount[exp_item],$H1126,PerHeadcount[company_name],$B1126)*AS286)</f>
        <v>0</v>
      </c>
      <c r="AT1126" s="652">
        <f>IF($B1126="",,SUMIFS(PerHeadcount[Month 35],PerHeadcount[exp_item],$H1126,PerHeadcount[company_name],$B1126)*AT286)</f>
        <v>0</v>
      </c>
      <c r="AU1126" s="652">
        <f>IF($B1126="",,SUMIFS(PerHeadcount[Month 36],PerHeadcount[exp_item],$H1126,PerHeadcount[company_name],$B1126)*AU286)</f>
        <v>0</v>
      </c>
    </row>
    <row r="1128" spans="1:52" x14ac:dyDescent="0.35">
      <c r="A1128" s="285" t="s">
        <v>1157</v>
      </c>
      <c r="B1128" s="285" t="s">
        <v>1157</v>
      </c>
      <c r="C1128" s="285" t="s">
        <v>1157</v>
      </c>
      <c r="D1128" s="285" t="s">
        <v>1157</v>
      </c>
      <c r="E1128" s="285" t="s">
        <v>1157</v>
      </c>
      <c r="F1128" s="285" t="s">
        <v>1157</v>
      </c>
      <c r="G1128" s="285" t="s">
        <v>1157</v>
      </c>
      <c r="H1128" s="285" t="s">
        <v>1157</v>
      </c>
      <c r="I1128" s="285" t="s">
        <v>1157</v>
      </c>
      <c r="J1128" s="285" t="s">
        <v>1157</v>
      </c>
      <c r="K1128" s="285" t="s">
        <v>1157</v>
      </c>
      <c r="L1128" s="285" t="s">
        <v>1157</v>
      </c>
      <c r="M1128" s="285" t="s">
        <v>1157</v>
      </c>
      <c r="N1128" s="285" t="s">
        <v>1157</v>
      </c>
      <c r="O1128" s="285" t="s">
        <v>1157</v>
      </c>
      <c r="P1128" s="285" t="s">
        <v>1157</v>
      </c>
      <c r="Q1128" s="285" t="s">
        <v>1157</v>
      </c>
      <c r="R1128" s="285" t="s">
        <v>1157</v>
      </c>
      <c r="S1128" s="285" t="s">
        <v>1157</v>
      </c>
      <c r="T1128" s="285" t="s">
        <v>1157</v>
      </c>
      <c r="U1128" s="285" t="s">
        <v>1157</v>
      </c>
      <c r="V1128" s="285" t="s">
        <v>1157</v>
      </c>
      <c r="W1128" s="285" t="s">
        <v>1157</v>
      </c>
      <c r="X1128" s="285" t="s">
        <v>1157</v>
      </c>
      <c r="Y1128" s="285" t="s">
        <v>1157</v>
      </c>
      <c r="Z1128" s="285" t="s">
        <v>1157</v>
      </c>
      <c r="AA1128" s="285" t="s">
        <v>1157</v>
      </c>
      <c r="AB1128" s="285" t="s">
        <v>1157</v>
      </c>
      <c r="AC1128" s="285" t="s">
        <v>1157</v>
      </c>
      <c r="AD1128" s="285" t="s">
        <v>1157</v>
      </c>
      <c r="AE1128" s="285" t="s">
        <v>1157</v>
      </c>
      <c r="AF1128" s="285" t="s">
        <v>1157</v>
      </c>
      <c r="AG1128" s="285" t="s">
        <v>1157</v>
      </c>
      <c r="AH1128" s="285" t="s">
        <v>1157</v>
      </c>
      <c r="AI1128" s="285" t="s">
        <v>1157</v>
      </c>
      <c r="AJ1128" s="285" t="s">
        <v>1157</v>
      </c>
      <c r="AK1128" s="285" t="s">
        <v>1157</v>
      </c>
      <c r="AL1128" s="285" t="s">
        <v>1157</v>
      </c>
      <c r="AM1128" s="285" t="s">
        <v>1157</v>
      </c>
      <c r="AN1128" s="285" t="s">
        <v>1157</v>
      </c>
      <c r="AO1128" s="285" t="s">
        <v>1157</v>
      </c>
      <c r="AP1128" s="285" t="s">
        <v>1157</v>
      </c>
      <c r="AQ1128" s="285" t="s">
        <v>1157</v>
      </c>
      <c r="AR1128" s="285" t="s">
        <v>1157</v>
      </c>
      <c r="AS1128" s="285" t="s">
        <v>1157</v>
      </c>
      <c r="AT1128" s="285" t="s">
        <v>1157</v>
      </c>
      <c r="AU1128" s="285" t="s">
        <v>1157</v>
      </c>
      <c r="AV1128" s="285" t="s">
        <v>1157</v>
      </c>
      <c r="AW1128" s="285" t="s">
        <v>1157</v>
      </c>
      <c r="AX1128" s="285" t="s">
        <v>1157</v>
      </c>
      <c r="AY1128" s="285" t="s">
        <v>1157</v>
      </c>
      <c r="AZ1128" s="285" t="s">
        <v>1157</v>
      </c>
    </row>
    <row r="1130" spans="1:52" ht="23.5" x14ac:dyDescent="0.55000000000000004">
      <c r="B1130" s="252" t="s">
        <v>35</v>
      </c>
    </row>
    <row r="1131" spans="1:52" x14ac:dyDescent="0.35">
      <c r="B1131" t="str">
        <f t="shared" ref="B1131:G1131" si="770">IF(B1026="","",B1026)</f>
        <v/>
      </c>
      <c r="C1131" t="str">
        <f t="shared" si="770"/>
        <v/>
      </c>
      <c r="D1131" t="str">
        <f t="shared" si="770"/>
        <v/>
      </c>
      <c r="E1131" t="str">
        <f t="shared" si="770"/>
        <v/>
      </c>
      <c r="F1131" t="str">
        <f t="shared" si="770"/>
        <v/>
      </c>
      <c r="G1131" t="str">
        <f t="shared" si="770"/>
        <v/>
      </c>
      <c r="H1131" t="str">
        <f t="shared" ref="H1131:H1162" si="771">IF(B1131="","",$B$1130)</f>
        <v/>
      </c>
      <c r="J1131" t="str">
        <f>IF($H1131="","",IF(VLOOKUP(H1131,ExpItems[],2,0),H1131&amp;" - "&amp;INDEX(DivisionMapping[category_code],MATCH($D1131&amp;$C1131,DivisionMapping[dept_bu],0)),H1131))</f>
        <v/>
      </c>
      <c r="K1131" t="str">
        <f>K1026</f>
        <v/>
      </c>
      <c r="L1131" s="652">
        <f>IF($B1131="",,SUMIFS(PerHeadcount[Month 1],PerHeadcount[exp_item],$H1131,PerHeadcount[company_name],$B1131)*L186)</f>
        <v>0</v>
      </c>
      <c r="M1131" s="652">
        <f>IF($B1131="",,SUMIFS(PerHeadcount[Month 2],PerHeadcount[exp_item],$H1131,PerHeadcount[company_name],$B1131)*M186)</f>
        <v>0</v>
      </c>
      <c r="N1131" s="652">
        <f>IF($B1131="",,SUMIFS(PerHeadcount[Month 3],PerHeadcount[exp_item],$H1131,PerHeadcount[company_name],$B1131)*N186)</f>
        <v>0</v>
      </c>
      <c r="O1131" s="652">
        <f>IF($B1131="",,SUMIFS(PerHeadcount[Month 4],PerHeadcount[exp_item],$H1131,PerHeadcount[company_name],$B1131)*O186)</f>
        <v>0</v>
      </c>
      <c r="P1131" s="652">
        <f>IF($B1131="",,SUMIFS(PerHeadcount[Month 5],PerHeadcount[exp_item],$H1131,PerHeadcount[company_name],$B1131)*P186)</f>
        <v>0</v>
      </c>
      <c r="Q1131" s="652">
        <f>IF($B1131="",,SUMIFS(PerHeadcount[Month 6],PerHeadcount[exp_item],$H1131,PerHeadcount[company_name],$B1131)*Q186)</f>
        <v>0</v>
      </c>
      <c r="R1131" s="652">
        <f>IF($B1131="",,SUMIFS(PerHeadcount[Month 7],PerHeadcount[exp_item],$H1131,PerHeadcount[company_name],$B1131)*R186)</f>
        <v>0</v>
      </c>
      <c r="S1131" s="652">
        <f>IF($B1131="",,SUMIFS(PerHeadcount[Month 8],PerHeadcount[exp_item],$H1131,PerHeadcount[company_name],$B1131)*S186)</f>
        <v>0</v>
      </c>
      <c r="T1131" s="652">
        <f>IF($B1131="",,SUMIFS(PerHeadcount[Month 9],PerHeadcount[exp_item],$H1131,PerHeadcount[company_name],$B1131)*T186)</f>
        <v>0</v>
      </c>
      <c r="U1131" s="652">
        <f>IF($B1131="",,SUMIFS(PerHeadcount[Month 10],PerHeadcount[exp_item],$H1131,PerHeadcount[company_name],$B1131)*U186)</f>
        <v>0</v>
      </c>
      <c r="V1131" s="652">
        <f>IF($B1131="",,SUMIFS(PerHeadcount[Month 11],PerHeadcount[exp_item],$H1131,PerHeadcount[company_name],$B1131)*V186)</f>
        <v>0</v>
      </c>
      <c r="W1131" s="652">
        <f>IF($B1131="",,SUMIFS(PerHeadcount[Month 12],PerHeadcount[exp_item],$H1131,PerHeadcount[company_name],$B1131)*W186)</f>
        <v>0</v>
      </c>
      <c r="X1131" s="652">
        <f>IF($B1131="",,SUMIFS(PerHeadcount[Month 13],PerHeadcount[exp_item],$H1131,PerHeadcount[company_name],$B1131)*X186)</f>
        <v>0</v>
      </c>
      <c r="Y1131" s="652">
        <f>IF($B1131="",,SUMIFS(PerHeadcount[Month 14],PerHeadcount[exp_item],$H1131,PerHeadcount[company_name],$B1131)*Y186)</f>
        <v>0</v>
      </c>
      <c r="Z1131" s="652">
        <f>IF($B1131="",,SUMIFS(PerHeadcount[Month 15],PerHeadcount[exp_item],$H1131,PerHeadcount[company_name],$B1131)*Z186)</f>
        <v>0</v>
      </c>
      <c r="AA1131" s="652">
        <f>IF($B1131="",,SUMIFS(PerHeadcount[Month 16],PerHeadcount[exp_item],$H1131,PerHeadcount[company_name],$B1131)*AA186)</f>
        <v>0</v>
      </c>
      <c r="AB1131" s="652">
        <f>IF($B1131="",,SUMIFS(PerHeadcount[Month 17],PerHeadcount[exp_item],$H1131,PerHeadcount[company_name],$B1131)*AB186)</f>
        <v>0</v>
      </c>
      <c r="AC1131" s="652">
        <f>IF($B1131="",,SUMIFS(PerHeadcount[Month 18],PerHeadcount[exp_item],$H1131,PerHeadcount[company_name],$B1131)*AC186)</f>
        <v>0</v>
      </c>
      <c r="AD1131" s="652">
        <f>IF($B1131="",,SUMIFS(PerHeadcount[Month 19],PerHeadcount[exp_item],$H1131,PerHeadcount[company_name],$B1131)*AD186)</f>
        <v>0</v>
      </c>
      <c r="AE1131" s="652">
        <f>IF($B1131="",,SUMIFS(PerHeadcount[Month 20],PerHeadcount[exp_item],$H1131,PerHeadcount[company_name],$B1131)*AE186)</f>
        <v>0</v>
      </c>
      <c r="AF1131" s="652">
        <f>IF($B1131="",,SUMIFS(PerHeadcount[Month 21],PerHeadcount[exp_item],$H1131,PerHeadcount[company_name],$B1131)*AF186)</f>
        <v>0</v>
      </c>
      <c r="AG1131" s="652">
        <f>IF($B1131="",,SUMIFS(PerHeadcount[Month 22],PerHeadcount[exp_item],$H1131,PerHeadcount[company_name],$B1131)*AG186)</f>
        <v>0</v>
      </c>
      <c r="AH1131" s="652">
        <f>IF($B1131="",,SUMIFS(PerHeadcount[Month 23],PerHeadcount[exp_item],$H1131,PerHeadcount[company_name],$B1131)*AH186)</f>
        <v>0</v>
      </c>
      <c r="AI1131" s="652">
        <f>IF($B1131="",,SUMIFS(PerHeadcount[Month 24],PerHeadcount[exp_item],$H1131,PerHeadcount[company_name],$B1131)*AI186)</f>
        <v>0</v>
      </c>
      <c r="AJ1131" s="652">
        <f>IF($B1131="",,SUMIFS(PerHeadcount[Month 25],PerHeadcount[exp_item],$H1131,PerHeadcount[company_name],$B1131)*AJ186)</f>
        <v>0</v>
      </c>
      <c r="AK1131" s="652">
        <f>IF($B1131="",,SUMIFS(PerHeadcount[Month 26],PerHeadcount[exp_item],$H1131,PerHeadcount[company_name],$B1131)*AK186)</f>
        <v>0</v>
      </c>
      <c r="AL1131" s="652">
        <f>IF($B1131="",,SUMIFS(PerHeadcount[Month 27],PerHeadcount[exp_item],$H1131,PerHeadcount[company_name],$B1131)*AL186)</f>
        <v>0</v>
      </c>
      <c r="AM1131" s="652">
        <f>IF($B1131="",,SUMIFS(PerHeadcount[Month 28],PerHeadcount[exp_item],$H1131,PerHeadcount[company_name],$B1131)*AM186)</f>
        <v>0</v>
      </c>
      <c r="AN1131" s="652">
        <f>IF($B1131="",,SUMIFS(PerHeadcount[Month 29],PerHeadcount[exp_item],$H1131,PerHeadcount[company_name],$B1131)*AN186)</f>
        <v>0</v>
      </c>
      <c r="AO1131" s="652">
        <f>IF($B1131="",,SUMIFS(PerHeadcount[Month 30],PerHeadcount[exp_item],$H1131,PerHeadcount[company_name],$B1131)*AO186)</f>
        <v>0</v>
      </c>
      <c r="AP1131" s="652">
        <f>IF($B1131="",,SUMIFS(PerHeadcount[Month 31],PerHeadcount[exp_item],$H1131,PerHeadcount[company_name],$B1131)*AP186)</f>
        <v>0</v>
      </c>
      <c r="AQ1131" s="652">
        <f>IF($B1131="",,SUMIFS(PerHeadcount[Month 32],PerHeadcount[exp_item],$H1131,PerHeadcount[company_name],$B1131)*AQ186)</f>
        <v>0</v>
      </c>
      <c r="AR1131" s="652">
        <f>IF($B1131="",,SUMIFS(PerHeadcount[Month 33],PerHeadcount[exp_item],$H1131,PerHeadcount[company_name],$B1131)*AR186)</f>
        <v>0</v>
      </c>
      <c r="AS1131" s="652">
        <f>IF($B1131="",,SUMIFS(PerHeadcount[Month 34],PerHeadcount[exp_item],$H1131,PerHeadcount[company_name],$B1131)*AS186)</f>
        <v>0</v>
      </c>
      <c r="AT1131" s="652">
        <f>IF($B1131="",,SUMIFS(PerHeadcount[Month 35],PerHeadcount[exp_item],$H1131,PerHeadcount[company_name],$B1131)*AT186)</f>
        <v>0</v>
      </c>
      <c r="AU1131" s="652">
        <f>IF($B1131="",,SUMIFS(PerHeadcount[Month 36],PerHeadcount[exp_item],$H1131,PerHeadcount[company_name],$B1131)*AU186)</f>
        <v>0</v>
      </c>
    </row>
    <row r="1132" spans="1:52" x14ac:dyDescent="0.35">
      <c r="B1132" t="str">
        <f t="shared" ref="B1132:B1163" si="772">IF(B1027="","",B1027)</f>
        <v/>
      </c>
      <c r="C1132" t="str">
        <f t="shared" ref="C1132:G1132" si="773">IF(C1027="","",C1027)</f>
        <v/>
      </c>
      <c r="D1132" t="str">
        <f t="shared" si="773"/>
        <v/>
      </c>
      <c r="E1132" t="str">
        <f t="shared" si="773"/>
        <v/>
      </c>
      <c r="F1132" t="str">
        <f t="shared" si="773"/>
        <v/>
      </c>
      <c r="G1132" t="str">
        <f t="shared" si="773"/>
        <v/>
      </c>
      <c r="H1132" t="str">
        <f t="shared" si="771"/>
        <v/>
      </c>
      <c r="J1132" t="str">
        <f>IF($H1132="","",IF(VLOOKUP(H1132,ExpItems[],2,0),H1132&amp;" - "&amp;INDEX(DivisionMapping[category_code],MATCH($D1132&amp;$C1132,DivisionMapping[dept_bu],0)),H1132))</f>
        <v/>
      </c>
      <c r="K1132" t="str">
        <f t="shared" ref="K1132:K1195" si="774">K1027</f>
        <v/>
      </c>
      <c r="L1132" s="652">
        <f>IF($B1132="",,SUMIFS(PerHeadcount[Month 1],PerHeadcount[exp_item],$H1132,PerHeadcount[company_name],$B1132)*L187)</f>
        <v>0</v>
      </c>
      <c r="M1132" s="652">
        <f>IF($B1132="",,SUMIFS(PerHeadcount[Month 2],PerHeadcount[exp_item],$H1132,PerHeadcount[company_name],$B1132)*M187)</f>
        <v>0</v>
      </c>
      <c r="N1132" s="652">
        <f>IF($B1132="",,SUMIFS(PerHeadcount[Month 3],PerHeadcount[exp_item],$H1132,PerHeadcount[company_name],$B1132)*N187)</f>
        <v>0</v>
      </c>
      <c r="O1132" s="652">
        <f>IF($B1132="",,SUMIFS(PerHeadcount[Month 4],PerHeadcount[exp_item],$H1132,PerHeadcount[company_name],$B1132)*O187)</f>
        <v>0</v>
      </c>
      <c r="P1132" s="652">
        <f>IF($B1132="",,SUMIFS(PerHeadcount[Month 5],PerHeadcount[exp_item],$H1132,PerHeadcount[company_name],$B1132)*P187)</f>
        <v>0</v>
      </c>
      <c r="Q1132" s="652">
        <f>IF($B1132="",,SUMIFS(PerHeadcount[Month 6],PerHeadcount[exp_item],$H1132,PerHeadcount[company_name],$B1132)*Q187)</f>
        <v>0</v>
      </c>
      <c r="R1132" s="652">
        <f>IF($B1132="",,SUMIFS(PerHeadcount[Month 7],PerHeadcount[exp_item],$H1132,PerHeadcount[company_name],$B1132)*R187)</f>
        <v>0</v>
      </c>
      <c r="S1132" s="652">
        <f>IF($B1132="",,SUMIFS(PerHeadcount[Month 8],PerHeadcount[exp_item],$H1132,PerHeadcount[company_name],$B1132)*S187)</f>
        <v>0</v>
      </c>
      <c r="T1132" s="652">
        <f>IF($B1132="",,SUMIFS(PerHeadcount[Month 9],PerHeadcount[exp_item],$H1132,PerHeadcount[company_name],$B1132)*T187)</f>
        <v>0</v>
      </c>
      <c r="U1132" s="652">
        <f>IF($B1132="",,SUMIFS(PerHeadcount[Month 10],PerHeadcount[exp_item],$H1132,PerHeadcount[company_name],$B1132)*U187)</f>
        <v>0</v>
      </c>
      <c r="V1132" s="652">
        <f>IF($B1132="",,SUMIFS(PerHeadcount[Month 11],PerHeadcount[exp_item],$H1132,PerHeadcount[company_name],$B1132)*V187)</f>
        <v>0</v>
      </c>
      <c r="W1132" s="652">
        <f>IF($B1132="",,SUMIFS(PerHeadcount[Month 12],PerHeadcount[exp_item],$H1132,PerHeadcount[company_name],$B1132)*W187)</f>
        <v>0</v>
      </c>
      <c r="X1132" s="652">
        <f>IF($B1132="",,SUMIFS(PerHeadcount[Month 13],PerHeadcount[exp_item],$H1132,PerHeadcount[company_name],$B1132)*X187)</f>
        <v>0</v>
      </c>
      <c r="Y1132" s="652">
        <f>IF($B1132="",,SUMIFS(PerHeadcount[Month 14],PerHeadcount[exp_item],$H1132,PerHeadcount[company_name],$B1132)*Y187)</f>
        <v>0</v>
      </c>
      <c r="Z1132" s="652">
        <f>IF($B1132="",,SUMIFS(PerHeadcount[Month 15],PerHeadcount[exp_item],$H1132,PerHeadcount[company_name],$B1132)*Z187)</f>
        <v>0</v>
      </c>
      <c r="AA1132" s="652">
        <f>IF($B1132="",,SUMIFS(PerHeadcount[Month 16],PerHeadcount[exp_item],$H1132,PerHeadcount[company_name],$B1132)*AA187)</f>
        <v>0</v>
      </c>
      <c r="AB1132" s="652">
        <f>IF($B1132="",,SUMIFS(PerHeadcount[Month 17],PerHeadcount[exp_item],$H1132,PerHeadcount[company_name],$B1132)*AB187)</f>
        <v>0</v>
      </c>
      <c r="AC1132" s="652">
        <f>IF($B1132="",,SUMIFS(PerHeadcount[Month 18],PerHeadcount[exp_item],$H1132,PerHeadcount[company_name],$B1132)*AC187)</f>
        <v>0</v>
      </c>
      <c r="AD1132" s="652">
        <f>IF($B1132="",,SUMIFS(PerHeadcount[Month 19],PerHeadcount[exp_item],$H1132,PerHeadcount[company_name],$B1132)*AD187)</f>
        <v>0</v>
      </c>
      <c r="AE1132" s="652">
        <f>IF($B1132="",,SUMIFS(PerHeadcount[Month 20],PerHeadcount[exp_item],$H1132,PerHeadcount[company_name],$B1132)*AE187)</f>
        <v>0</v>
      </c>
      <c r="AF1132" s="652">
        <f>IF($B1132="",,SUMIFS(PerHeadcount[Month 21],PerHeadcount[exp_item],$H1132,PerHeadcount[company_name],$B1132)*AF187)</f>
        <v>0</v>
      </c>
      <c r="AG1132" s="652">
        <f>IF($B1132="",,SUMIFS(PerHeadcount[Month 22],PerHeadcount[exp_item],$H1132,PerHeadcount[company_name],$B1132)*AG187)</f>
        <v>0</v>
      </c>
      <c r="AH1132" s="652">
        <f>IF($B1132="",,SUMIFS(PerHeadcount[Month 23],PerHeadcount[exp_item],$H1132,PerHeadcount[company_name],$B1132)*AH187)</f>
        <v>0</v>
      </c>
      <c r="AI1132" s="652">
        <f>IF($B1132="",,SUMIFS(PerHeadcount[Month 24],PerHeadcount[exp_item],$H1132,PerHeadcount[company_name],$B1132)*AI187)</f>
        <v>0</v>
      </c>
      <c r="AJ1132" s="652">
        <f>IF($B1132="",,SUMIFS(PerHeadcount[Month 25],PerHeadcount[exp_item],$H1132,PerHeadcount[company_name],$B1132)*AJ187)</f>
        <v>0</v>
      </c>
      <c r="AK1132" s="652">
        <f>IF($B1132="",,SUMIFS(PerHeadcount[Month 26],PerHeadcount[exp_item],$H1132,PerHeadcount[company_name],$B1132)*AK187)</f>
        <v>0</v>
      </c>
      <c r="AL1132" s="652">
        <f>IF($B1132="",,SUMIFS(PerHeadcount[Month 27],PerHeadcount[exp_item],$H1132,PerHeadcount[company_name],$B1132)*AL187)</f>
        <v>0</v>
      </c>
      <c r="AM1132" s="652">
        <f>IF($B1132="",,SUMIFS(PerHeadcount[Month 28],PerHeadcount[exp_item],$H1132,PerHeadcount[company_name],$B1132)*AM187)</f>
        <v>0</v>
      </c>
      <c r="AN1132" s="652">
        <f>IF($B1132="",,SUMIFS(PerHeadcount[Month 29],PerHeadcount[exp_item],$H1132,PerHeadcount[company_name],$B1132)*AN187)</f>
        <v>0</v>
      </c>
      <c r="AO1132" s="652">
        <f>IF($B1132="",,SUMIFS(PerHeadcount[Month 30],PerHeadcount[exp_item],$H1132,PerHeadcount[company_name],$B1132)*AO187)</f>
        <v>0</v>
      </c>
      <c r="AP1132" s="652">
        <f>IF($B1132="",,SUMIFS(PerHeadcount[Month 31],PerHeadcount[exp_item],$H1132,PerHeadcount[company_name],$B1132)*AP187)</f>
        <v>0</v>
      </c>
      <c r="AQ1132" s="652">
        <f>IF($B1132="",,SUMIFS(PerHeadcount[Month 32],PerHeadcount[exp_item],$H1132,PerHeadcount[company_name],$B1132)*AQ187)</f>
        <v>0</v>
      </c>
      <c r="AR1132" s="652">
        <f>IF($B1132="",,SUMIFS(PerHeadcount[Month 33],PerHeadcount[exp_item],$H1132,PerHeadcount[company_name],$B1132)*AR187)</f>
        <v>0</v>
      </c>
      <c r="AS1132" s="652">
        <f>IF($B1132="",,SUMIFS(PerHeadcount[Month 34],PerHeadcount[exp_item],$H1132,PerHeadcount[company_name],$B1132)*AS187)</f>
        <v>0</v>
      </c>
      <c r="AT1132" s="652">
        <f>IF($B1132="",,SUMIFS(PerHeadcount[Month 35],PerHeadcount[exp_item],$H1132,PerHeadcount[company_name],$B1132)*AT187)</f>
        <v>0</v>
      </c>
      <c r="AU1132" s="652">
        <f>IF($B1132="",,SUMIFS(PerHeadcount[Month 36],PerHeadcount[exp_item],$H1132,PerHeadcount[company_name],$B1132)*AU187)</f>
        <v>0</v>
      </c>
    </row>
    <row r="1133" spans="1:52" x14ac:dyDescent="0.35">
      <c r="B1133" t="str">
        <f t="shared" si="772"/>
        <v/>
      </c>
      <c r="C1133" t="str">
        <f t="shared" ref="C1133:G1133" si="775">IF(C1028="","",C1028)</f>
        <v/>
      </c>
      <c r="D1133" t="str">
        <f t="shared" si="775"/>
        <v/>
      </c>
      <c r="E1133" t="str">
        <f t="shared" si="775"/>
        <v/>
      </c>
      <c r="F1133" t="str">
        <f t="shared" si="775"/>
        <v/>
      </c>
      <c r="G1133" t="str">
        <f t="shared" si="775"/>
        <v/>
      </c>
      <c r="H1133" t="str">
        <f t="shared" si="771"/>
        <v/>
      </c>
      <c r="J1133" t="str">
        <f>IF($H1133="","",IF(VLOOKUP(H1133,ExpItems[],2,0),H1133&amp;" - "&amp;INDEX(DivisionMapping[category_code],MATCH($D1133&amp;$C1133,DivisionMapping[dept_bu],0)),H1133))</f>
        <v/>
      </c>
      <c r="K1133" t="str">
        <f t="shared" si="774"/>
        <v/>
      </c>
      <c r="L1133" s="652">
        <f>IF($B1133="",,SUMIFS(PerHeadcount[Month 1],PerHeadcount[exp_item],$H1133,PerHeadcount[company_name],$B1133)*L188)</f>
        <v>0</v>
      </c>
      <c r="M1133" s="652">
        <f>IF($B1133="",,SUMIFS(PerHeadcount[Month 2],PerHeadcount[exp_item],$H1133,PerHeadcount[company_name],$B1133)*M188)</f>
        <v>0</v>
      </c>
      <c r="N1133" s="652">
        <f>IF($B1133="",,SUMIFS(PerHeadcount[Month 3],PerHeadcount[exp_item],$H1133,PerHeadcount[company_name],$B1133)*N188)</f>
        <v>0</v>
      </c>
      <c r="O1133" s="652">
        <f>IF($B1133="",,SUMIFS(PerHeadcount[Month 4],PerHeadcount[exp_item],$H1133,PerHeadcount[company_name],$B1133)*O188)</f>
        <v>0</v>
      </c>
      <c r="P1133" s="652">
        <f>IF($B1133="",,SUMIFS(PerHeadcount[Month 5],PerHeadcount[exp_item],$H1133,PerHeadcount[company_name],$B1133)*P188)</f>
        <v>0</v>
      </c>
      <c r="Q1133" s="652">
        <f>IF($B1133="",,SUMIFS(PerHeadcount[Month 6],PerHeadcount[exp_item],$H1133,PerHeadcount[company_name],$B1133)*Q188)</f>
        <v>0</v>
      </c>
      <c r="R1133" s="652">
        <f>IF($B1133="",,SUMIFS(PerHeadcount[Month 7],PerHeadcount[exp_item],$H1133,PerHeadcount[company_name],$B1133)*R188)</f>
        <v>0</v>
      </c>
      <c r="S1133" s="652">
        <f>IF($B1133="",,SUMIFS(PerHeadcount[Month 8],PerHeadcount[exp_item],$H1133,PerHeadcount[company_name],$B1133)*S188)</f>
        <v>0</v>
      </c>
      <c r="T1133" s="652">
        <f>IF($B1133="",,SUMIFS(PerHeadcount[Month 9],PerHeadcount[exp_item],$H1133,PerHeadcount[company_name],$B1133)*T188)</f>
        <v>0</v>
      </c>
      <c r="U1133" s="652">
        <f>IF($B1133="",,SUMIFS(PerHeadcount[Month 10],PerHeadcount[exp_item],$H1133,PerHeadcount[company_name],$B1133)*U188)</f>
        <v>0</v>
      </c>
      <c r="V1133" s="652">
        <f>IF($B1133="",,SUMIFS(PerHeadcount[Month 11],PerHeadcount[exp_item],$H1133,PerHeadcount[company_name],$B1133)*V188)</f>
        <v>0</v>
      </c>
      <c r="W1133" s="652">
        <f>IF($B1133="",,SUMIFS(PerHeadcount[Month 12],PerHeadcount[exp_item],$H1133,PerHeadcount[company_name],$B1133)*W188)</f>
        <v>0</v>
      </c>
      <c r="X1133" s="652">
        <f>IF($B1133="",,SUMIFS(PerHeadcount[Month 13],PerHeadcount[exp_item],$H1133,PerHeadcount[company_name],$B1133)*X188)</f>
        <v>0</v>
      </c>
      <c r="Y1133" s="652">
        <f>IF($B1133="",,SUMIFS(PerHeadcount[Month 14],PerHeadcount[exp_item],$H1133,PerHeadcount[company_name],$B1133)*Y188)</f>
        <v>0</v>
      </c>
      <c r="Z1133" s="652">
        <f>IF($B1133="",,SUMIFS(PerHeadcount[Month 15],PerHeadcount[exp_item],$H1133,PerHeadcount[company_name],$B1133)*Z188)</f>
        <v>0</v>
      </c>
      <c r="AA1133" s="652">
        <f>IF($B1133="",,SUMIFS(PerHeadcount[Month 16],PerHeadcount[exp_item],$H1133,PerHeadcount[company_name],$B1133)*AA188)</f>
        <v>0</v>
      </c>
      <c r="AB1133" s="652">
        <f>IF($B1133="",,SUMIFS(PerHeadcount[Month 17],PerHeadcount[exp_item],$H1133,PerHeadcount[company_name],$B1133)*AB188)</f>
        <v>0</v>
      </c>
      <c r="AC1133" s="652">
        <f>IF($B1133="",,SUMIFS(PerHeadcount[Month 18],PerHeadcount[exp_item],$H1133,PerHeadcount[company_name],$B1133)*AC188)</f>
        <v>0</v>
      </c>
      <c r="AD1133" s="652">
        <f>IF($B1133="",,SUMIFS(PerHeadcount[Month 19],PerHeadcount[exp_item],$H1133,PerHeadcount[company_name],$B1133)*AD188)</f>
        <v>0</v>
      </c>
      <c r="AE1133" s="652">
        <f>IF($B1133="",,SUMIFS(PerHeadcount[Month 20],PerHeadcount[exp_item],$H1133,PerHeadcount[company_name],$B1133)*AE188)</f>
        <v>0</v>
      </c>
      <c r="AF1133" s="652">
        <f>IF($B1133="",,SUMIFS(PerHeadcount[Month 21],PerHeadcount[exp_item],$H1133,PerHeadcount[company_name],$B1133)*AF188)</f>
        <v>0</v>
      </c>
      <c r="AG1133" s="652">
        <f>IF($B1133="",,SUMIFS(PerHeadcount[Month 22],PerHeadcount[exp_item],$H1133,PerHeadcount[company_name],$B1133)*AG188)</f>
        <v>0</v>
      </c>
      <c r="AH1133" s="652">
        <f>IF($B1133="",,SUMIFS(PerHeadcount[Month 23],PerHeadcount[exp_item],$H1133,PerHeadcount[company_name],$B1133)*AH188)</f>
        <v>0</v>
      </c>
      <c r="AI1133" s="652">
        <f>IF($B1133="",,SUMIFS(PerHeadcount[Month 24],PerHeadcount[exp_item],$H1133,PerHeadcount[company_name],$B1133)*AI188)</f>
        <v>0</v>
      </c>
      <c r="AJ1133" s="652">
        <f>IF($B1133="",,SUMIFS(PerHeadcount[Month 25],PerHeadcount[exp_item],$H1133,PerHeadcount[company_name],$B1133)*AJ188)</f>
        <v>0</v>
      </c>
      <c r="AK1133" s="652">
        <f>IF($B1133="",,SUMIFS(PerHeadcount[Month 26],PerHeadcount[exp_item],$H1133,PerHeadcount[company_name],$B1133)*AK188)</f>
        <v>0</v>
      </c>
      <c r="AL1133" s="652">
        <f>IF($B1133="",,SUMIFS(PerHeadcount[Month 27],PerHeadcount[exp_item],$H1133,PerHeadcount[company_name],$B1133)*AL188)</f>
        <v>0</v>
      </c>
      <c r="AM1133" s="652">
        <f>IF($B1133="",,SUMIFS(PerHeadcount[Month 28],PerHeadcount[exp_item],$H1133,PerHeadcount[company_name],$B1133)*AM188)</f>
        <v>0</v>
      </c>
      <c r="AN1133" s="652">
        <f>IF($B1133="",,SUMIFS(PerHeadcount[Month 29],PerHeadcount[exp_item],$H1133,PerHeadcount[company_name],$B1133)*AN188)</f>
        <v>0</v>
      </c>
      <c r="AO1133" s="652">
        <f>IF($B1133="",,SUMIFS(PerHeadcount[Month 30],PerHeadcount[exp_item],$H1133,PerHeadcount[company_name],$B1133)*AO188)</f>
        <v>0</v>
      </c>
      <c r="AP1133" s="652">
        <f>IF($B1133="",,SUMIFS(PerHeadcount[Month 31],PerHeadcount[exp_item],$H1133,PerHeadcount[company_name],$B1133)*AP188)</f>
        <v>0</v>
      </c>
      <c r="AQ1133" s="652">
        <f>IF($B1133="",,SUMIFS(PerHeadcount[Month 32],PerHeadcount[exp_item],$H1133,PerHeadcount[company_name],$B1133)*AQ188)</f>
        <v>0</v>
      </c>
      <c r="AR1133" s="652">
        <f>IF($B1133="",,SUMIFS(PerHeadcount[Month 33],PerHeadcount[exp_item],$H1133,PerHeadcount[company_name],$B1133)*AR188)</f>
        <v>0</v>
      </c>
      <c r="AS1133" s="652">
        <f>IF($B1133="",,SUMIFS(PerHeadcount[Month 34],PerHeadcount[exp_item],$H1133,PerHeadcount[company_name],$B1133)*AS188)</f>
        <v>0</v>
      </c>
      <c r="AT1133" s="652">
        <f>IF($B1133="",,SUMIFS(PerHeadcount[Month 35],PerHeadcount[exp_item],$H1133,PerHeadcount[company_name],$B1133)*AT188)</f>
        <v>0</v>
      </c>
      <c r="AU1133" s="652">
        <f>IF($B1133="",,SUMIFS(PerHeadcount[Month 36],PerHeadcount[exp_item],$H1133,PerHeadcount[company_name],$B1133)*AU188)</f>
        <v>0</v>
      </c>
    </row>
    <row r="1134" spans="1:52" x14ac:dyDescent="0.35">
      <c r="B1134" t="str">
        <f t="shared" si="772"/>
        <v/>
      </c>
      <c r="C1134" t="str">
        <f t="shared" ref="C1134:G1134" si="776">IF(C1029="","",C1029)</f>
        <v/>
      </c>
      <c r="D1134" t="str">
        <f t="shared" si="776"/>
        <v/>
      </c>
      <c r="E1134" t="str">
        <f t="shared" si="776"/>
        <v/>
      </c>
      <c r="F1134" t="str">
        <f t="shared" si="776"/>
        <v/>
      </c>
      <c r="G1134" t="str">
        <f t="shared" si="776"/>
        <v/>
      </c>
      <c r="H1134" t="str">
        <f t="shared" si="771"/>
        <v/>
      </c>
      <c r="J1134" t="str">
        <f>IF($H1134="","",IF(VLOOKUP(H1134,ExpItems[],2,0),H1134&amp;" - "&amp;INDEX(DivisionMapping[category_code],MATCH($D1134&amp;$C1134,DivisionMapping[dept_bu],0)),H1134))</f>
        <v/>
      </c>
      <c r="K1134" t="str">
        <f t="shared" si="774"/>
        <v/>
      </c>
      <c r="L1134" s="652">
        <f>IF($B1134="",,SUMIFS(PerHeadcount[Month 1],PerHeadcount[exp_item],$H1134,PerHeadcount[company_name],$B1134)*L189)</f>
        <v>0</v>
      </c>
      <c r="M1134" s="652">
        <f>IF($B1134="",,SUMIFS(PerHeadcount[Month 2],PerHeadcount[exp_item],$H1134,PerHeadcount[company_name],$B1134)*M189)</f>
        <v>0</v>
      </c>
      <c r="N1134" s="652">
        <f>IF($B1134="",,SUMIFS(PerHeadcount[Month 3],PerHeadcount[exp_item],$H1134,PerHeadcount[company_name],$B1134)*N189)</f>
        <v>0</v>
      </c>
      <c r="O1134" s="652">
        <f>IF($B1134="",,SUMIFS(PerHeadcount[Month 4],PerHeadcount[exp_item],$H1134,PerHeadcount[company_name],$B1134)*O189)</f>
        <v>0</v>
      </c>
      <c r="P1134" s="652">
        <f>IF($B1134="",,SUMIFS(PerHeadcount[Month 5],PerHeadcount[exp_item],$H1134,PerHeadcount[company_name],$B1134)*P189)</f>
        <v>0</v>
      </c>
      <c r="Q1134" s="652">
        <f>IF($B1134="",,SUMIFS(PerHeadcount[Month 6],PerHeadcount[exp_item],$H1134,PerHeadcount[company_name],$B1134)*Q189)</f>
        <v>0</v>
      </c>
      <c r="R1134" s="652">
        <f>IF($B1134="",,SUMIFS(PerHeadcount[Month 7],PerHeadcount[exp_item],$H1134,PerHeadcount[company_name],$B1134)*R189)</f>
        <v>0</v>
      </c>
      <c r="S1134" s="652">
        <f>IF($B1134="",,SUMIFS(PerHeadcount[Month 8],PerHeadcount[exp_item],$H1134,PerHeadcount[company_name],$B1134)*S189)</f>
        <v>0</v>
      </c>
      <c r="T1134" s="652">
        <f>IF($B1134="",,SUMIFS(PerHeadcount[Month 9],PerHeadcount[exp_item],$H1134,PerHeadcount[company_name],$B1134)*T189)</f>
        <v>0</v>
      </c>
      <c r="U1134" s="652">
        <f>IF($B1134="",,SUMIFS(PerHeadcount[Month 10],PerHeadcount[exp_item],$H1134,PerHeadcount[company_name],$B1134)*U189)</f>
        <v>0</v>
      </c>
      <c r="V1134" s="652">
        <f>IF($B1134="",,SUMIFS(PerHeadcount[Month 11],PerHeadcount[exp_item],$H1134,PerHeadcount[company_name],$B1134)*V189)</f>
        <v>0</v>
      </c>
      <c r="W1134" s="652">
        <f>IF($B1134="",,SUMIFS(PerHeadcount[Month 12],PerHeadcount[exp_item],$H1134,PerHeadcount[company_name],$B1134)*W189)</f>
        <v>0</v>
      </c>
      <c r="X1134" s="652">
        <f>IF($B1134="",,SUMIFS(PerHeadcount[Month 13],PerHeadcount[exp_item],$H1134,PerHeadcount[company_name],$B1134)*X189)</f>
        <v>0</v>
      </c>
      <c r="Y1134" s="652">
        <f>IF($B1134="",,SUMIFS(PerHeadcount[Month 14],PerHeadcount[exp_item],$H1134,PerHeadcount[company_name],$B1134)*Y189)</f>
        <v>0</v>
      </c>
      <c r="Z1134" s="652">
        <f>IF($B1134="",,SUMIFS(PerHeadcount[Month 15],PerHeadcount[exp_item],$H1134,PerHeadcount[company_name],$B1134)*Z189)</f>
        <v>0</v>
      </c>
      <c r="AA1134" s="652">
        <f>IF($B1134="",,SUMIFS(PerHeadcount[Month 16],PerHeadcount[exp_item],$H1134,PerHeadcount[company_name],$B1134)*AA189)</f>
        <v>0</v>
      </c>
      <c r="AB1134" s="652">
        <f>IF($B1134="",,SUMIFS(PerHeadcount[Month 17],PerHeadcount[exp_item],$H1134,PerHeadcount[company_name],$B1134)*AB189)</f>
        <v>0</v>
      </c>
      <c r="AC1134" s="652">
        <f>IF($B1134="",,SUMIFS(PerHeadcount[Month 18],PerHeadcount[exp_item],$H1134,PerHeadcount[company_name],$B1134)*AC189)</f>
        <v>0</v>
      </c>
      <c r="AD1134" s="652">
        <f>IF($B1134="",,SUMIFS(PerHeadcount[Month 19],PerHeadcount[exp_item],$H1134,PerHeadcount[company_name],$B1134)*AD189)</f>
        <v>0</v>
      </c>
      <c r="AE1134" s="652">
        <f>IF($B1134="",,SUMIFS(PerHeadcount[Month 20],PerHeadcount[exp_item],$H1134,PerHeadcount[company_name],$B1134)*AE189)</f>
        <v>0</v>
      </c>
      <c r="AF1134" s="652">
        <f>IF($B1134="",,SUMIFS(PerHeadcount[Month 21],PerHeadcount[exp_item],$H1134,PerHeadcount[company_name],$B1134)*AF189)</f>
        <v>0</v>
      </c>
      <c r="AG1134" s="652">
        <f>IF($B1134="",,SUMIFS(PerHeadcount[Month 22],PerHeadcount[exp_item],$H1134,PerHeadcount[company_name],$B1134)*AG189)</f>
        <v>0</v>
      </c>
      <c r="AH1134" s="652">
        <f>IF($B1134="",,SUMIFS(PerHeadcount[Month 23],PerHeadcount[exp_item],$H1134,PerHeadcount[company_name],$B1134)*AH189)</f>
        <v>0</v>
      </c>
      <c r="AI1134" s="652">
        <f>IF($B1134="",,SUMIFS(PerHeadcount[Month 24],PerHeadcount[exp_item],$H1134,PerHeadcount[company_name],$B1134)*AI189)</f>
        <v>0</v>
      </c>
      <c r="AJ1134" s="652">
        <f>IF($B1134="",,SUMIFS(PerHeadcount[Month 25],PerHeadcount[exp_item],$H1134,PerHeadcount[company_name],$B1134)*AJ189)</f>
        <v>0</v>
      </c>
      <c r="AK1134" s="652">
        <f>IF($B1134="",,SUMIFS(PerHeadcount[Month 26],PerHeadcount[exp_item],$H1134,PerHeadcount[company_name],$B1134)*AK189)</f>
        <v>0</v>
      </c>
      <c r="AL1134" s="652">
        <f>IF($B1134="",,SUMIFS(PerHeadcount[Month 27],PerHeadcount[exp_item],$H1134,PerHeadcount[company_name],$B1134)*AL189)</f>
        <v>0</v>
      </c>
      <c r="AM1134" s="652">
        <f>IF($B1134="",,SUMIFS(PerHeadcount[Month 28],PerHeadcount[exp_item],$H1134,PerHeadcount[company_name],$B1134)*AM189)</f>
        <v>0</v>
      </c>
      <c r="AN1134" s="652">
        <f>IF($B1134="",,SUMIFS(PerHeadcount[Month 29],PerHeadcount[exp_item],$H1134,PerHeadcount[company_name],$B1134)*AN189)</f>
        <v>0</v>
      </c>
      <c r="AO1134" s="652">
        <f>IF($B1134="",,SUMIFS(PerHeadcount[Month 30],PerHeadcount[exp_item],$H1134,PerHeadcount[company_name],$B1134)*AO189)</f>
        <v>0</v>
      </c>
      <c r="AP1134" s="652">
        <f>IF($B1134="",,SUMIFS(PerHeadcount[Month 31],PerHeadcount[exp_item],$H1134,PerHeadcount[company_name],$B1134)*AP189)</f>
        <v>0</v>
      </c>
      <c r="AQ1134" s="652">
        <f>IF($B1134="",,SUMIFS(PerHeadcount[Month 32],PerHeadcount[exp_item],$H1134,PerHeadcount[company_name],$B1134)*AQ189)</f>
        <v>0</v>
      </c>
      <c r="AR1134" s="652">
        <f>IF($B1134="",,SUMIFS(PerHeadcount[Month 33],PerHeadcount[exp_item],$H1134,PerHeadcount[company_name],$B1134)*AR189)</f>
        <v>0</v>
      </c>
      <c r="AS1134" s="652">
        <f>IF($B1134="",,SUMIFS(PerHeadcount[Month 34],PerHeadcount[exp_item],$H1134,PerHeadcount[company_name],$B1134)*AS189)</f>
        <v>0</v>
      </c>
      <c r="AT1134" s="652">
        <f>IF($B1134="",,SUMIFS(PerHeadcount[Month 35],PerHeadcount[exp_item],$H1134,PerHeadcount[company_name],$B1134)*AT189)</f>
        <v>0</v>
      </c>
      <c r="AU1134" s="652">
        <f>IF($B1134="",,SUMIFS(PerHeadcount[Month 36],PerHeadcount[exp_item],$H1134,PerHeadcount[company_name],$B1134)*AU189)</f>
        <v>0</v>
      </c>
    </row>
    <row r="1135" spans="1:52" x14ac:dyDescent="0.35">
      <c r="B1135" t="str">
        <f t="shared" si="772"/>
        <v/>
      </c>
      <c r="C1135" t="str">
        <f t="shared" ref="C1135:G1135" si="777">IF(C1030="","",C1030)</f>
        <v/>
      </c>
      <c r="D1135" t="str">
        <f t="shared" si="777"/>
        <v/>
      </c>
      <c r="E1135" t="str">
        <f t="shared" si="777"/>
        <v/>
      </c>
      <c r="F1135" t="str">
        <f t="shared" si="777"/>
        <v/>
      </c>
      <c r="G1135" t="str">
        <f t="shared" si="777"/>
        <v/>
      </c>
      <c r="H1135" t="str">
        <f t="shared" si="771"/>
        <v/>
      </c>
      <c r="J1135" t="str">
        <f>IF($H1135="","",IF(VLOOKUP(H1135,ExpItems[],2,0),H1135&amp;" - "&amp;INDEX(DivisionMapping[category_code],MATCH($D1135&amp;$C1135,DivisionMapping[dept_bu],0)),H1135))</f>
        <v/>
      </c>
      <c r="K1135" t="str">
        <f t="shared" si="774"/>
        <v/>
      </c>
      <c r="L1135" s="652">
        <f>IF($B1135="",,SUMIFS(PerHeadcount[Month 1],PerHeadcount[exp_item],$H1135,PerHeadcount[company_name],$B1135)*L190)</f>
        <v>0</v>
      </c>
      <c r="M1135" s="652">
        <f>IF($B1135="",,SUMIFS(PerHeadcount[Month 2],PerHeadcount[exp_item],$H1135,PerHeadcount[company_name],$B1135)*M190)</f>
        <v>0</v>
      </c>
      <c r="N1135" s="652">
        <f>IF($B1135="",,SUMIFS(PerHeadcount[Month 3],PerHeadcount[exp_item],$H1135,PerHeadcount[company_name],$B1135)*N190)</f>
        <v>0</v>
      </c>
      <c r="O1135" s="652">
        <f>IF($B1135="",,SUMIFS(PerHeadcount[Month 4],PerHeadcount[exp_item],$H1135,PerHeadcount[company_name],$B1135)*O190)</f>
        <v>0</v>
      </c>
      <c r="P1135" s="652">
        <f>IF($B1135="",,SUMIFS(PerHeadcount[Month 5],PerHeadcount[exp_item],$H1135,PerHeadcount[company_name],$B1135)*P190)</f>
        <v>0</v>
      </c>
      <c r="Q1135" s="652">
        <f>IF($B1135="",,SUMIFS(PerHeadcount[Month 6],PerHeadcount[exp_item],$H1135,PerHeadcount[company_name],$B1135)*Q190)</f>
        <v>0</v>
      </c>
      <c r="R1135" s="652">
        <f>IF($B1135="",,SUMIFS(PerHeadcount[Month 7],PerHeadcount[exp_item],$H1135,PerHeadcount[company_name],$B1135)*R190)</f>
        <v>0</v>
      </c>
      <c r="S1135" s="652">
        <f>IF($B1135="",,SUMIFS(PerHeadcount[Month 8],PerHeadcount[exp_item],$H1135,PerHeadcount[company_name],$B1135)*S190)</f>
        <v>0</v>
      </c>
      <c r="T1135" s="652">
        <f>IF($B1135="",,SUMIFS(PerHeadcount[Month 9],PerHeadcount[exp_item],$H1135,PerHeadcount[company_name],$B1135)*T190)</f>
        <v>0</v>
      </c>
      <c r="U1135" s="652">
        <f>IF($B1135="",,SUMIFS(PerHeadcount[Month 10],PerHeadcount[exp_item],$H1135,PerHeadcount[company_name],$B1135)*U190)</f>
        <v>0</v>
      </c>
      <c r="V1135" s="652">
        <f>IF($B1135="",,SUMIFS(PerHeadcount[Month 11],PerHeadcount[exp_item],$H1135,PerHeadcount[company_name],$B1135)*V190)</f>
        <v>0</v>
      </c>
      <c r="W1135" s="652">
        <f>IF($B1135="",,SUMIFS(PerHeadcount[Month 12],PerHeadcount[exp_item],$H1135,PerHeadcount[company_name],$B1135)*W190)</f>
        <v>0</v>
      </c>
      <c r="X1135" s="652">
        <f>IF($B1135="",,SUMIFS(PerHeadcount[Month 13],PerHeadcount[exp_item],$H1135,PerHeadcount[company_name],$B1135)*X190)</f>
        <v>0</v>
      </c>
      <c r="Y1135" s="652">
        <f>IF($B1135="",,SUMIFS(PerHeadcount[Month 14],PerHeadcount[exp_item],$H1135,PerHeadcount[company_name],$B1135)*Y190)</f>
        <v>0</v>
      </c>
      <c r="Z1135" s="652">
        <f>IF($B1135="",,SUMIFS(PerHeadcount[Month 15],PerHeadcount[exp_item],$H1135,PerHeadcount[company_name],$B1135)*Z190)</f>
        <v>0</v>
      </c>
      <c r="AA1135" s="652">
        <f>IF($B1135="",,SUMIFS(PerHeadcount[Month 16],PerHeadcount[exp_item],$H1135,PerHeadcount[company_name],$B1135)*AA190)</f>
        <v>0</v>
      </c>
      <c r="AB1135" s="652">
        <f>IF($B1135="",,SUMIFS(PerHeadcount[Month 17],PerHeadcount[exp_item],$H1135,PerHeadcount[company_name],$B1135)*AB190)</f>
        <v>0</v>
      </c>
      <c r="AC1135" s="652">
        <f>IF($B1135="",,SUMIFS(PerHeadcount[Month 18],PerHeadcount[exp_item],$H1135,PerHeadcount[company_name],$B1135)*AC190)</f>
        <v>0</v>
      </c>
      <c r="AD1135" s="652">
        <f>IF($B1135="",,SUMIFS(PerHeadcount[Month 19],PerHeadcount[exp_item],$H1135,PerHeadcount[company_name],$B1135)*AD190)</f>
        <v>0</v>
      </c>
      <c r="AE1135" s="652">
        <f>IF($B1135="",,SUMIFS(PerHeadcount[Month 20],PerHeadcount[exp_item],$H1135,PerHeadcount[company_name],$B1135)*AE190)</f>
        <v>0</v>
      </c>
      <c r="AF1135" s="652">
        <f>IF($B1135="",,SUMIFS(PerHeadcount[Month 21],PerHeadcount[exp_item],$H1135,PerHeadcount[company_name],$B1135)*AF190)</f>
        <v>0</v>
      </c>
      <c r="AG1135" s="652">
        <f>IF($B1135="",,SUMIFS(PerHeadcount[Month 22],PerHeadcount[exp_item],$H1135,PerHeadcount[company_name],$B1135)*AG190)</f>
        <v>0</v>
      </c>
      <c r="AH1135" s="652">
        <f>IF($B1135="",,SUMIFS(PerHeadcount[Month 23],PerHeadcount[exp_item],$H1135,PerHeadcount[company_name],$B1135)*AH190)</f>
        <v>0</v>
      </c>
      <c r="AI1135" s="652">
        <f>IF($B1135="",,SUMIFS(PerHeadcount[Month 24],PerHeadcount[exp_item],$H1135,PerHeadcount[company_name],$B1135)*AI190)</f>
        <v>0</v>
      </c>
      <c r="AJ1135" s="652">
        <f>IF($B1135="",,SUMIFS(PerHeadcount[Month 25],PerHeadcount[exp_item],$H1135,PerHeadcount[company_name],$B1135)*AJ190)</f>
        <v>0</v>
      </c>
      <c r="AK1135" s="652">
        <f>IF($B1135="",,SUMIFS(PerHeadcount[Month 26],PerHeadcount[exp_item],$H1135,PerHeadcount[company_name],$B1135)*AK190)</f>
        <v>0</v>
      </c>
      <c r="AL1135" s="652">
        <f>IF($B1135="",,SUMIFS(PerHeadcount[Month 27],PerHeadcount[exp_item],$H1135,PerHeadcount[company_name],$B1135)*AL190)</f>
        <v>0</v>
      </c>
      <c r="AM1135" s="652">
        <f>IF($B1135="",,SUMIFS(PerHeadcount[Month 28],PerHeadcount[exp_item],$H1135,PerHeadcount[company_name],$B1135)*AM190)</f>
        <v>0</v>
      </c>
      <c r="AN1135" s="652">
        <f>IF($B1135="",,SUMIFS(PerHeadcount[Month 29],PerHeadcount[exp_item],$H1135,PerHeadcount[company_name],$B1135)*AN190)</f>
        <v>0</v>
      </c>
      <c r="AO1135" s="652">
        <f>IF($B1135="",,SUMIFS(PerHeadcount[Month 30],PerHeadcount[exp_item],$H1135,PerHeadcount[company_name],$B1135)*AO190)</f>
        <v>0</v>
      </c>
      <c r="AP1135" s="652">
        <f>IF($B1135="",,SUMIFS(PerHeadcount[Month 31],PerHeadcount[exp_item],$H1135,PerHeadcount[company_name],$B1135)*AP190)</f>
        <v>0</v>
      </c>
      <c r="AQ1135" s="652">
        <f>IF($B1135="",,SUMIFS(PerHeadcount[Month 32],PerHeadcount[exp_item],$H1135,PerHeadcount[company_name],$B1135)*AQ190)</f>
        <v>0</v>
      </c>
      <c r="AR1135" s="652">
        <f>IF($B1135="",,SUMIFS(PerHeadcount[Month 33],PerHeadcount[exp_item],$H1135,PerHeadcount[company_name],$B1135)*AR190)</f>
        <v>0</v>
      </c>
      <c r="AS1135" s="652">
        <f>IF($B1135="",,SUMIFS(PerHeadcount[Month 34],PerHeadcount[exp_item],$H1135,PerHeadcount[company_name],$B1135)*AS190)</f>
        <v>0</v>
      </c>
      <c r="AT1135" s="652">
        <f>IF($B1135="",,SUMIFS(PerHeadcount[Month 35],PerHeadcount[exp_item],$H1135,PerHeadcount[company_name],$B1135)*AT190)</f>
        <v>0</v>
      </c>
      <c r="AU1135" s="652">
        <f>IF($B1135="",,SUMIFS(PerHeadcount[Month 36],PerHeadcount[exp_item],$H1135,PerHeadcount[company_name],$B1135)*AU190)</f>
        <v>0</v>
      </c>
    </row>
    <row r="1136" spans="1:52" x14ac:dyDescent="0.35">
      <c r="B1136" t="str">
        <f t="shared" si="772"/>
        <v/>
      </c>
      <c r="C1136" t="str">
        <f t="shared" ref="C1136:G1136" si="778">IF(C1031="","",C1031)</f>
        <v/>
      </c>
      <c r="D1136" t="str">
        <f t="shared" si="778"/>
        <v/>
      </c>
      <c r="E1136" t="str">
        <f t="shared" si="778"/>
        <v/>
      </c>
      <c r="F1136" t="str">
        <f t="shared" si="778"/>
        <v/>
      </c>
      <c r="G1136" t="str">
        <f t="shared" si="778"/>
        <v/>
      </c>
      <c r="H1136" t="str">
        <f t="shared" si="771"/>
        <v/>
      </c>
      <c r="J1136" t="str">
        <f>IF($H1136="","",IF(VLOOKUP(H1136,ExpItems[],2,0),H1136&amp;" - "&amp;INDEX(DivisionMapping[category_code],MATCH($D1136&amp;$C1136,DivisionMapping[dept_bu],0)),H1136))</f>
        <v/>
      </c>
      <c r="K1136" t="str">
        <f t="shared" si="774"/>
        <v/>
      </c>
      <c r="L1136" s="652">
        <f>IF($B1136="",,SUMIFS(PerHeadcount[Month 1],PerHeadcount[exp_item],$H1136,PerHeadcount[company_name],$B1136)*L191)</f>
        <v>0</v>
      </c>
      <c r="M1136" s="652">
        <f>IF($B1136="",,SUMIFS(PerHeadcount[Month 2],PerHeadcount[exp_item],$H1136,PerHeadcount[company_name],$B1136)*M191)</f>
        <v>0</v>
      </c>
      <c r="N1136" s="652">
        <f>IF($B1136="",,SUMIFS(PerHeadcount[Month 3],PerHeadcount[exp_item],$H1136,PerHeadcount[company_name],$B1136)*N191)</f>
        <v>0</v>
      </c>
      <c r="O1136" s="652">
        <f>IF($B1136="",,SUMIFS(PerHeadcount[Month 4],PerHeadcount[exp_item],$H1136,PerHeadcount[company_name],$B1136)*O191)</f>
        <v>0</v>
      </c>
      <c r="P1136" s="652">
        <f>IF($B1136="",,SUMIFS(PerHeadcount[Month 5],PerHeadcount[exp_item],$H1136,PerHeadcount[company_name],$B1136)*P191)</f>
        <v>0</v>
      </c>
      <c r="Q1136" s="652">
        <f>IF($B1136="",,SUMIFS(PerHeadcount[Month 6],PerHeadcount[exp_item],$H1136,PerHeadcount[company_name],$B1136)*Q191)</f>
        <v>0</v>
      </c>
      <c r="R1136" s="652">
        <f>IF($B1136="",,SUMIFS(PerHeadcount[Month 7],PerHeadcount[exp_item],$H1136,PerHeadcount[company_name],$B1136)*R191)</f>
        <v>0</v>
      </c>
      <c r="S1136" s="652">
        <f>IF($B1136="",,SUMIFS(PerHeadcount[Month 8],PerHeadcount[exp_item],$H1136,PerHeadcount[company_name],$B1136)*S191)</f>
        <v>0</v>
      </c>
      <c r="T1136" s="652">
        <f>IF($B1136="",,SUMIFS(PerHeadcount[Month 9],PerHeadcount[exp_item],$H1136,PerHeadcount[company_name],$B1136)*T191)</f>
        <v>0</v>
      </c>
      <c r="U1136" s="652">
        <f>IF($B1136="",,SUMIFS(PerHeadcount[Month 10],PerHeadcount[exp_item],$H1136,PerHeadcount[company_name],$B1136)*U191)</f>
        <v>0</v>
      </c>
      <c r="V1136" s="652">
        <f>IF($B1136="",,SUMIFS(PerHeadcount[Month 11],PerHeadcount[exp_item],$H1136,PerHeadcount[company_name],$B1136)*V191)</f>
        <v>0</v>
      </c>
      <c r="W1136" s="652">
        <f>IF($B1136="",,SUMIFS(PerHeadcount[Month 12],PerHeadcount[exp_item],$H1136,PerHeadcount[company_name],$B1136)*W191)</f>
        <v>0</v>
      </c>
      <c r="X1136" s="652">
        <f>IF($B1136="",,SUMIFS(PerHeadcount[Month 13],PerHeadcount[exp_item],$H1136,PerHeadcount[company_name],$B1136)*X191)</f>
        <v>0</v>
      </c>
      <c r="Y1136" s="652">
        <f>IF($B1136="",,SUMIFS(PerHeadcount[Month 14],PerHeadcount[exp_item],$H1136,PerHeadcount[company_name],$B1136)*Y191)</f>
        <v>0</v>
      </c>
      <c r="Z1136" s="652">
        <f>IF($B1136="",,SUMIFS(PerHeadcount[Month 15],PerHeadcount[exp_item],$H1136,PerHeadcount[company_name],$B1136)*Z191)</f>
        <v>0</v>
      </c>
      <c r="AA1136" s="652">
        <f>IF($B1136="",,SUMIFS(PerHeadcount[Month 16],PerHeadcount[exp_item],$H1136,PerHeadcount[company_name],$B1136)*AA191)</f>
        <v>0</v>
      </c>
      <c r="AB1136" s="652">
        <f>IF($B1136="",,SUMIFS(PerHeadcount[Month 17],PerHeadcount[exp_item],$H1136,PerHeadcount[company_name],$B1136)*AB191)</f>
        <v>0</v>
      </c>
      <c r="AC1136" s="652">
        <f>IF($B1136="",,SUMIFS(PerHeadcount[Month 18],PerHeadcount[exp_item],$H1136,PerHeadcount[company_name],$B1136)*AC191)</f>
        <v>0</v>
      </c>
      <c r="AD1136" s="652">
        <f>IF($B1136="",,SUMIFS(PerHeadcount[Month 19],PerHeadcount[exp_item],$H1136,PerHeadcount[company_name],$B1136)*AD191)</f>
        <v>0</v>
      </c>
      <c r="AE1136" s="652">
        <f>IF($B1136="",,SUMIFS(PerHeadcount[Month 20],PerHeadcount[exp_item],$H1136,PerHeadcount[company_name],$B1136)*AE191)</f>
        <v>0</v>
      </c>
      <c r="AF1136" s="652">
        <f>IF($B1136="",,SUMIFS(PerHeadcount[Month 21],PerHeadcount[exp_item],$H1136,PerHeadcount[company_name],$B1136)*AF191)</f>
        <v>0</v>
      </c>
      <c r="AG1136" s="652">
        <f>IF($B1136="",,SUMIFS(PerHeadcount[Month 22],PerHeadcount[exp_item],$H1136,PerHeadcount[company_name],$B1136)*AG191)</f>
        <v>0</v>
      </c>
      <c r="AH1136" s="652">
        <f>IF($B1136="",,SUMIFS(PerHeadcount[Month 23],PerHeadcount[exp_item],$H1136,PerHeadcount[company_name],$B1136)*AH191)</f>
        <v>0</v>
      </c>
      <c r="AI1136" s="652">
        <f>IF($B1136="",,SUMIFS(PerHeadcount[Month 24],PerHeadcount[exp_item],$H1136,PerHeadcount[company_name],$B1136)*AI191)</f>
        <v>0</v>
      </c>
      <c r="AJ1136" s="652">
        <f>IF($B1136="",,SUMIFS(PerHeadcount[Month 25],PerHeadcount[exp_item],$H1136,PerHeadcount[company_name],$B1136)*AJ191)</f>
        <v>0</v>
      </c>
      <c r="AK1136" s="652">
        <f>IF($B1136="",,SUMIFS(PerHeadcount[Month 26],PerHeadcount[exp_item],$H1136,PerHeadcount[company_name],$B1136)*AK191)</f>
        <v>0</v>
      </c>
      <c r="AL1136" s="652">
        <f>IF($B1136="",,SUMIFS(PerHeadcount[Month 27],PerHeadcount[exp_item],$H1136,PerHeadcount[company_name],$B1136)*AL191)</f>
        <v>0</v>
      </c>
      <c r="AM1136" s="652">
        <f>IF($B1136="",,SUMIFS(PerHeadcount[Month 28],PerHeadcount[exp_item],$H1136,PerHeadcount[company_name],$B1136)*AM191)</f>
        <v>0</v>
      </c>
      <c r="AN1136" s="652">
        <f>IF($B1136="",,SUMIFS(PerHeadcount[Month 29],PerHeadcount[exp_item],$H1136,PerHeadcount[company_name],$B1136)*AN191)</f>
        <v>0</v>
      </c>
      <c r="AO1136" s="652">
        <f>IF($B1136="",,SUMIFS(PerHeadcount[Month 30],PerHeadcount[exp_item],$H1136,PerHeadcount[company_name],$B1136)*AO191)</f>
        <v>0</v>
      </c>
      <c r="AP1136" s="652">
        <f>IF($B1136="",,SUMIFS(PerHeadcount[Month 31],PerHeadcount[exp_item],$H1136,PerHeadcount[company_name],$B1136)*AP191)</f>
        <v>0</v>
      </c>
      <c r="AQ1136" s="652">
        <f>IF($B1136="",,SUMIFS(PerHeadcount[Month 32],PerHeadcount[exp_item],$H1136,PerHeadcount[company_name],$B1136)*AQ191)</f>
        <v>0</v>
      </c>
      <c r="AR1136" s="652">
        <f>IF($B1136="",,SUMIFS(PerHeadcount[Month 33],PerHeadcount[exp_item],$H1136,PerHeadcount[company_name],$B1136)*AR191)</f>
        <v>0</v>
      </c>
      <c r="AS1136" s="652">
        <f>IF($B1136="",,SUMIFS(PerHeadcount[Month 34],PerHeadcount[exp_item],$H1136,PerHeadcount[company_name],$B1136)*AS191)</f>
        <v>0</v>
      </c>
      <c r="AT1136" s="652">
        <f>IF($B1136="",,SUMIFS(PerHeadcount[Month 35],PerHeadcount[exp_item],$H1136,PerHeadcount[company_name],$B1136)*AT191)</f>
        <v>0</v>
      </c>
      <c r="AU1136" s="652">
        <f>IF($B1136="",,SUMIFS(PerHeadcount[Month 36],PerHeadcount[exp_item],$H1136,PerHeadcount[company_name],$B1136)*AU191)</f>
        <v>0</v>
      </c>
    </row>
    <row r="1137" spans="2:47" x14ac:dyDescent="0.35">
      <c r="B1137" t="str">
        <f t="shared" si="772"/>
        <v/>
      </c>
      <c r="C1137" t="str">
        <f t="shared" ref="C1137:G1137" si="779">IF(C1032="","",C1032)</f>
        <v/>
      </c>
      <c r="D1137" t="str">
        <f t="shared" si="779"/>
        <v/>
      </c>
      <c r="E1137" t="str">
        <f t="shared" si="779"/>
        <v/>
      </c>
      <c r="F1137" t="str">
        <f t="shared" si="779"/>
        <v/>
      </c>
      <c r="G1137" t="str">
        <f t="shared" si="779"/>
        <v/>
      </c>
      <c r="H1137" t="str">
        <f t="shared" si="771"/>
        <v/>
      </c>
      <c r="J1137" t="str">
        <f>IF($H1137="","",IF(VLOOKUP(H1137,ExpItems[],2,0),H1137&amp;" - "&amp;INDEX(DivisionMapping[category_code],MATCH($D1137&amp;$C1137,DivisionMapping[dept_bu],0)),H1137))</f>
        <v/>
      </c>
      <c r="K1137" t="str">
        <f t="shared" si="774"/>
        <v/>
      </c>
      <c r="L1137" s="652">
        <f>IF($B1137="",,SUMIFS(PerHeadcount[Month 1],PerHeadcount[exp_item],$H1137,PerHeadcount[company_name],$B1137)*L192)</f>
        <v>0</v>
      </c>
      <c r="M1137" s="652">
        <f>IF($B1137="",,SUMIFS(PerHeadcount[Month 2],PerHeadcount[exp_item],$H1137,PerHeadcount[company_name],$B1137)*M192)</f>
        <v>0</v>
      </c>
      <c r="N1137" s="652">
        <f>IF($B1137="",,SUMIFS(PerHeadcount[Month 3],PerHeadcount[exp_item],$H1137,PerHeadcount[company_name],$B1137)*N192)</f>
        <v>0</v>
      </c>
      <c r="O1137" s="652">
        <f>IF($B1137="",,SUMIFS(PerHeadcount[Month 4],PerHeadcount[exp_item],$H1137,PerHeadcount[company_name],$B1137)*O192)</f>
        <v>0</v>
      </c>
      <c r="P1137" s="652">
        <f>IF($B1137="",,SUMIFS(PerHeadcount[Month 5],PerHeadcount[exp_item],$H1137,PerHeadcount[company_name],$B1137)*P192)</f>
        <v>0</v>
      </c>
      <c r="Q1137" s="652">
        <f>IF($B1137="",,SUMIFS(PerHeadcount[Month 6],PerHeadcount[exp_item],$H1137,PerHeadcount[company_name],$B1137)*Q192)</f>
        <v>0</v>
      </c>
      <c r="R1137" s="652">
        <f>IF($B1137="",,SUMIFS(PerHeadcount[Month 7],PerHeadcount[exp_item],$H1137,PerHeadcount[company_name],$B1137)*R192)</f>
        <v>0</v>
      </c>
      <c r="S1137" s="652">
        <f>IF($B1137="",,SUMIFS(PerHeadcount[Month 8],PerHeadcount[exp_item],$H1137,PerHeadcount[company_name],$B1137)*S192)</f>
        <v>0</v>
      </c>
      <c r="T1137" s="652">
        <f>IF($B1137="",,SUMIFS(PerHeadcount[Month 9],PerHeadcount[exp_item],$H1137,PerHeadcount[company_name],$B1137)*T192)</f>
        <v>0</v>
      </c>
      <c r="U1137" s="652">
        <f>IF($B1137="",,SUMIFS(PerHeadcount[Month 10],PerHeadcount[exp_item],$H1137,PerHeadcount[company_name],$B1137)*U192)</f>
        <v>0</v>
      </c>
      <c r="V1137" s="652">
        <f>IF($B1137="",,SUMIFS(PerHeadcount[Month 11],PerHeadcount[exp_item],$H1137,PerHeadcount[company_name],$B1137)*V192)</f>
        <v>0</v>
      </c>
      <c r="W1137" s="652">
        <f>IF($B1137="",,SUMIFS(PerHeadcount[Month 12],PerHeadcount[exp_item],$H1137,PerHeadcount[company_name],$B1137)*W192)</f>
        <v>0</v>
      </c>
      <c r="X1137" s="652">
        <f>IF($B1137="",,SUMIFS(PerHeadcount[Month 13],PerHeadcount[exp_item],$H1137,PerHeadcount[company_name],$B1137)*X192)</f>
        <v>0</v>
      </c>
      <c r="Y1137" s="652">
        <f>IF($B1137="",,SUMIFS(PerHeadcount[Month 14],PerHeadcount[exp_item],$H1137,PerHeadcount[company_name],$B1137)*Y192)</f>
        <v>0</v>
      </c>
      <c r="Z1137" s="652">
        <f>IF($B1137="",,SUMIFS(PerHeadcount[Month 15],PerHeadcount[exp_item],$H1137,PerHeadcount[company_name],$B1137)*Z192)</f>
        <v>0</v>
      </c>
      <c r="AA1137" s="652">
        <f>IF($B1137="",,SUMIFS(PerHeadcount[Month 16],PerHeadcount[exp_item],$H1137,PerHeadcount[company_name],$B1137)*AA192)</f>
        <v>0</v>
      </c>
      <c r="AB1137" s="652">
        <f>IF($B1137="",,SUMIFS(PerHeadcount[Month 17],PerHeadcount[exp_item],$H1137,PerHeadcount[company_name],$B1137)*AB192)</f>
        <v>0</v>
      </c>
      <c r="AC1137" s="652">
        <f>IF($B1137="",,SUMIFS(PerHeadcount[Month 18],PerHeadcount[exp_item],$H1137,PerHeadcount[company_name],$B1137)*AC192)</f>
        <v>0</v>
      </c>
      <c r="AD1137" s="652">
        <f>IF($B1137="",,SUMIFS(PerHeadcount[Month 19],PerHeadcount[exp_item],$H1137,PerHeadcount[company_name],$B1137)*AD192)</f>
        <v>0</v>
      </c>
      <c r="AE1137" s="652">
        <f>IF($B1137="",,SUMIFS(PerHeadcount[Month 20],PerHeadcount[exp_item],$H1137,PerHeadcount[company_name],$B1137)*AE192)</f>
        <v>0</v>
      </c>
      <c r="AF1137" s="652">
        <f>IF($B1137="",,SUMIFS(PerHeadcount[Month 21],PerHeadcount[exp_item],$H1137,PerHeadcount[company_name],$B1137)*AF192)</f>
        <v>0</v>
      </c>
      <c r="AG1137" s="652">
        <f>IF($B1137="",,SUMIFS(PerHeadcount[Month 22],PerHeadcount[exp_item],$H1137,PerHeadcount[company_name],$B1137)*AG192)</f>
        <v>0</v>
      </c>
      <c r="AH1137" s="652">
        <f>IF($B1137="",,SUMIFS(PerHeadcount[Month 23],PerHeadcount[exp_item],$H1137,PerHeadcount[company_name],$B1137)*AH192)</f>
        <v>0</v>
      </c>
      <c r="AI1137" s="652">
        <f>IF($B1137="",,SUMIFS(PerHeadcount[Month 24],PerHeadcount[exp_item],$H1137,PerHeadcount[company_name],$B1137)*AI192)</f>
        <v>0</v>
      </c>
      <c r="AJ1137" s="652">
        <f>IF($B1137="",,SUMIFS(PerHeadcount[Month 25],PerHeadcount[exp_item],$H1137,PerHeadcount[company_name],$B1137)*AJ192)</f>
        <v>0</v>
      </c>
      <c r="AK1137" s="652">
        <f>IF($B1137="",,SUMIFS(PerHeadcount[Month 26],PerHeadcount[exp_item],$H1137,PerHeadcount[company_name],$B1137)*AK192)</f>
        <v>0</v>
      </c>
      <c r="AL1137" s="652">
        <f>IF($B1137="",,SUMIFS(PerHeadcount[Month 27],PerHeadcount[exp_item],$H1137,PerHeadcount[company_name],$B1137)*AL192)</f>
        <v>0</v>
      </c>
      <c r="AM1137" s="652">
        <f>IF($B1137="",,SUMIFS(PerHeadcount[Month 28],PerHeadcount[exp_item],$H1137,PerHeadcount[company_name],$B1137)*AM192)</f>
        <v>0</v>
      </c>
      <c r="AN1137" s="652">
        <f>IF($B1137="",,SUMIFS(PerHeadcount[Month 29],PerHeadcount[exp_item],$H1137,PerHeadcount[company_name],$B1137)*AN192)</f>
        <v>0</v>
      </c>
      <c r="AO1137" s="652">
        <f>IF($B1137="",,SUMIFS(PerHeadcount[Month 30],PerHeadcount[exp_item],$H1137,PerHeadcount[company_name],$B1137)*AO192)</f>
        <v>0</v>
      </c>
      <c r="AP1137" s="652">
        <f>IF($B1137="",,SUMIFS(PerHeadcount[Month 31],PerHeadcount[exp_item],$H1137,PerHeadcount[company_name],$B1137)*AP192)</f>
        <v>0</v>
      </c>
      <c r="AQ1137" s="652">
        <f>IF($B1137="",,SUMIFS(PerHeadcount[Month 32],PerHeadcount[exp_item],$H1137,PerHeadcount[company_name],$B1137)*AQ192)</f>
        <v>0</v>
      </c>
      <c r="AR1137" s="652">
        <f>IF($B1137="",,SUMIFS(PerHeadcount[Month 33],PerHeadcount[exp_item],$H1137,PerHeadcount[company_name],$B1137)*AR192)</f>
        <v>0</v>
      </c>
      <c r="AS1137" s="652">
        <f>IF($B1137="",,SUMIFS(PerHeadcount[Month 34],PerHeadcount[exp_item],$H1137,PerHeadcount[company_name],$B1137)*AS192)</f>
        <v>0</v>
      </c>
      <c r="AT1137" s="652">
        <f>IF($B1137="",,SUMIFS(PerHeadcount[Month 35],PerHeadcount[exp_item],$H1137,PerHeadcount[company_name],$B1137)*AT192)</f>
        <v>0</v>
      </c>
      <c r="AU1137" s="652">
        <f>IF($B1137="",,SUMIFS(PerHeadcount[Month 36],PerHeadcount[exp_item],$H1137,PerHeadcount[company_name],$B1137)*AU192)</f>
        <v>0</v>
      </c>
    </row>
    <row r="1138" spans="2:47" x14ac:dyDescent="0.35">
      <c r="B1138" t="str">
        <f t="shared" si="772"/>
        <v/>
      </c>
      <c r="C1138" t="str">
        <f t="shared" ref="C1138:G1138" si="780">IF(C1033="","",C1033)</f>
        <v/>
      </c>
      <c r="D1138" t="str">
        <f t="shared" si="780"/>
        <v/>
      </c>
      <c r="E1138" t="str">
        <f t="shared" si="780"/>
        <v/>
      </c>
      <c r="F1138" t="str">
        <f t="shared" si="780"/>
        <v/>
      </c>
      <c r="G1138" t="str">
        <f t="shared" si="780"/>
        <v/>
      </c>
      <c r="H1138" t="str">
        <f t="shared" si="771"/>
        <v/>
      </c>
      <c r="J1138" t="str">
        <f>IF($H1138="","",IF(VLOOKUP(H1138,ExpItems[],2,0),H1138&amp;" - "&amp;INDEX(DivisionMapping[category_code],MATCH($D1138&amp;$C1138,DivisionMapping[dept_bu],0)),H1138))</f>
        <v/>
      </c>
      <c r="K1138" t="str">
        <f t="shared" si="774"/>
        <v/>
      </c>
      <c r="L1138" s="652">
        <f>IF($B1138="",,SUMIFS(PerHeadcount[Month 1],PerHeadcount[exp_item],$H1138,PerHeadcount[company_name],$B1138)*L193)</f>
        <v>0</v>
      </c>
      <c r="M1138" s="652">
        <f>IF($B1138="",,SUMIFS(PerHeadcount[Month 2],PerHeadcount[exp_item],$H1138,PerHeadcount[company_name],$B1138)*M193)</f>
        <v>0</v>
      </c>
      <c r="N1138" s="652">
        <f>IF($B1138="",,SUMIFS(PerHeadcount[Month 3],PerHeadcount[exp_item],$H1138,PerHeadcount[company_name],$B1138)*N193)</f>
        <v>0</v>
      </c>
      <c r="O1138" s="652">
        <f>IF($B1138="",,SUMIFS(PerHeadcount[Month 4],PerHeadcount[exp_item],$H1138,PerHeadcount[company_name],$B1138)*O193)</f>
        <v>0</v>
      </c>
      <c r="P1138" s="652">
        <f>IF($B1138="",,SUMIFS(PerHeadcount[Month 5],PerHeadcount[exp_item],$H1138,PerHeadcount[company_name],$B1138)*P193)</f>
        <v>0</v>
      </c>
      <c r="Q1138" s="652">
        <f>IF($B1138="",,SUMIFS(PerHeadcount[Month 6],PerHeadcount[exp_item],$H1138,PerHeadcount[company_name],$B1138)*Q193)</f>
        <v>0</v>
      </c>
      <c r="R1138" s="652">
        <f>IF($B1138="",,SUMIFS(PerHeadcount[Month 7],PerHeadcount[exp_item],$H1138,PerHeadcount[company_name],$B1138)*R193)</f>
        <v>0</v>
      </c>
      <c r="S1138" s="652">
        <f>IF($B1138="",,SUMIFS(PerHeadcount[Month 8],PerHeadcount[exp_item],$H1138,PerHeadcount[company_name],$B1138)*S193)</f>
        <v>0</v>
      </c>
      <c r="T1138" s="652">
        <f>IF($B1138="",,SUMIFS(PerHeadcount[Month 9],PerHeadcount[exp_item],$H1138,PerHeadcount[company_name],$B1138)*T193)</f>
        <v>0</v>
      </c>
      <c r="U1138" s="652">
        <f>IF($B1138="",,SUMIFS(PerHeadcount[Month 10],PerHeadcount[exp_item],$H1138,PerHeadcount[company_name],$B1138)*U193)</f>
        <v>0</v>
      </c>
      <c r="V1138" s="652">
        <f>IF($B1138="",,SUMIFS(PerHeadcount[Month 11],PerHeadcount[exp_item],$H1138,PerHeadcount[company_name],$B1138)*V193)</f>
        <v>0</v>
      </c>
      <c r="W1138" s="652">
        <f>IF($B1138="",,SUMIFS(PerHeadcount[Month 12],PerHeadcount[exp_item],$H1138,PerHeadcount[company_name],$B1138)*W193)</f>
        <v>0</v>
      </c>
      <c r="X1138" s="652">
        <f>IF($B1138="",,SUMIFS(PerHeadcount[Month 13],PerHeadcount[exp_item],$H1138,PerHeadcount[company_name],$B1138)*X193)</f>
        <v>0</v>
      </c>
      <c r="Y1138" s="652">
        <f>IF($B1138="",,SUMIFS(PerHeadcount[Month 14],PerHeadcount[exp_item],$H1138,PerHeadcount[company_name],$B1138)*Y193)</f>
        <v>0</v>
      </c>
      <c r="Z1138" s="652">
        <f>IF($B1138="",,SUMIFS(PerHeadcount[Month 15],PerHeadcount[exp_item],$H1138,PerHeadcount[company_name],$B1138)*Z193)</f>
        <v>0</v>
      </c>
      <c r="AA1138" s="652">
        <f>IF($B1138="",,SUMIFS(PerHeadcount[Month 16],PerHeadcount[exp_item],$H1138,PerHeadcount[company_name],$B1138)*AA193)</f>
        <v>0</v>
      </c>
      <c r="AB1138" s="652">
        <f>IF($B1138="",,SUMIFS(PerHeadcount[Month 17],PerHeadcount[exp_item],$H1138,PerHeadcount[company_name],$B1138)*AB193)</f>
        <v>0</v>
      </c>
      <c r="AC1138" s="652">
        <f>IF($B1138="",,SUMIFS(PerHeadcount[Month 18],PerHeadcount[exp_item],$H1138,PerHeadcount[company_name],$B1138)*AC193)</f>
        <v>0</v>
      </c>
      <c r="AD1138" s="652">
        <f>IF($B1138="",,SUMIFS(PerHeadcount[Month 19],PerHeadcount[exp_item],$H1138,PerHeadcount[company_name],$B1138)*AD193)</f>
        <v>0</v>
      </c>
      <c r="AE1138" s="652">
        <f>IF($B1138="",,SUMIFS(PerHeadcount[Month 20],PerHeadcount[exp_item],$H1138,PerHeadcount[company_name],$B1138)*AE193)</f>
        <v>0</v>
      </c>
      <c r="AF1138" s="652">
        <f>IF($B1138="",,SUMIFS(PerHeadcount[Month 21],PerHeadcount[exp_item],$H1138,PerHeadcount[company_name],$B1138)*AF193)</f>
        <v>0</v>
      </c>
      <c r="AG1138" s="652">
        <f>IF($B1138="",,SUMIFS(PerHeadcount[Month 22],PerHeadcount[exp_item],$H1138,PerHeadcount[company_name],$B1138)*AG193)</f>
        <v>0</v>
      </c>
      <c r="AH1138" s="652">
        <f>IF($B1138="",,SUMIFS(PerHeadcount[Month 23],PerHeadcount[exp_item],$H1138,PerHeadcount[company_name],$B1138)*AH193)</f>
        <v>0</v>
      </c>
      <c r="AI1138" s="652">
        <f>IF($B1138="",,SUMIFS(PerHeadcount[Month 24],PerHeadcount[exp_item],$H1138,PerHeadcount[company_name],$B1138)*AI193)</f>
        <v>0</v>
      </c>
      <c r="AJ1138" s="652">
        <f>IF($B1138="",,SUMIFS(PerHeadcount[Month 25],PerHeadcount[exp_item],$H1138,PerHeadcount[company_name],$B1138)*AJ193)</f>
        <v>0</v>
      </c>
      <c r="AK1138" s="652">
        <f>IF($B1138="",,SUMIFS(PerHeadcount[Month 26],PerHeadcount[exp_item],$H1138,PerHeadcount[company_name],$B1138)*AK193)</f>
        <v>0</v>
      </c>
      <c r="AL1138" s="652">
        <f>IF($B1138="",,SUMIFS(PerHeadcount[Month 27],PerHeadcount[exp_item],$H1138,PerHeadcount[company_name],$B1138)*AL193)</f>
        <v>0</v>
      </c>
      <c r="AM1138" s="652">
        <f>IF($B1138="",,SUMIFS(PerHeadcount[Month 28],PerHeadcount[exp_item],$H1138,PerHeadcount[company_name],$B1138)*AM193)</f>
        <v>0</v>
      </c>
      <c r="AN1138" s="652">
        <f>IF($B1138="",,SUMIFS(PerHeadcount[Month 29],PerHeadcount[exp_item],$H1138,PerHeadcount[company_name],$B1138)*AN193)</f>
        <v>0</v>
      </c>
      <c r="AO1138" s="652">
        <f>IF($B1138="",,SUMIFS(PerHeadcount[Month 30],PerHeadcount[exp_item],$H1138,PerHeadcount[company_name],$B1138)*AO193)</f>
        <v>0</v>
      </c>
      <c r="AP1138" s="652">
        <f>IF($B1138="",,SUMIFS(PerHeadcount[Month 31],PerHeadcount[exp_item],$H1138,PerHeadcount[company_name],$B1138)*AP193)</f>
        <v>0</v>
      </c>
      <c r="AQ1138" s="652">
        <f>IF($B1138="",,SUMIFS(PerHeadcount[Month 32],PerHeadcount[exp_item],$H1138,PerHeadcount[company_name],$B1138)*AQ193)</f>
        <v>0</v>
      </c>
      <c r="AR1138" s="652">
        <f>IF($B1138="",,SUMIFS(PerHeadcount[Month 33],PerHeadcount[exp_item],$H1138,PerHeadcount[company_name],$B1138)*AR193)</f>
        <v>0</v>
      </c>
      <c r="AS1138" s="652">
        <f>IF($B1138="",,SUMIFS(PerHeadcount[Month 34],PerHeadcount[exp_item],$H1138,PerHeadcount[company_name],$B1138)*AS193)</f>
        <v>0</v>
      </c>
      <c r="AT1138" s="652">
        <f>IF($B1138="",,SUMIFS(PerHeadcount[Month 35],PerHeadcount[exp_item],$H1138,PerHeadcount[company_name],$B1138)*AT193)</f>
        <v>0</v>
      </c>
      <c r="AU1138" s="652">
        <f>IF($B1138="",,SUMIFS(PerHeadcount[Month 36],PerHeadcount[exp_item],$H1138,PerHeadcount[company_name],$B1138)*AU193)</f>
        <v>0</v>
      </c>
    </row>
    <row r="1139" spans="2:47" x14ac:dyDescent="0.35">
      <c r="B1139" t="str">
        <f t="shared" si="772"/>
        <v/>
      </c>
      <c r="C1139" t="str">
        <f t="shared" ref="C1139:G1139" si="781">IF(C1034="","",C1034)</f>
        <v/>
      </c>
      <c r="D1139" t="str">
        <f t="shared" si="781"/>
        <v/>
      </c>
      <c r="E1139" t="str">
        <f t="shared" si="781"/>
        <v/>
      </c>
      <c r="F1139" t="str">
        <f t="shared" si="781"/>
        <v/>
      </c>
      <c r="G1139" t="str">
        <f t="shared" si="781"/>
        <v/>
      </c>
      <c r="H1139" t="str">
        <f t="shared" si="771"/>
        <v/>
      </c>
      <c r="J1139" t="str">
        <f>IF($H1139="","",IF(VLOOKUP(H1139,ExpItems[],2,0),H1139&amp;" - "&amp;INDEX(DivisionMapping[category_code],MATCH($D1139&amp;$C1139,DivisionMapping[dept_bu],0)),H1139))</f>
        <v/>
      </c>
      <c r="K1139" t="str">
        <f t="shared" si="774"/>
        <v/>
      </c>
      <c r="L1139" s="652">
        <f>IF($B1139="",,SUMIFS(PerHeadcount[Month 1],PerHeadcount[exp_item],$H1139,PerHeadcount[company_name],$B1139)*L194)</f>
        <v>0</v>
      </c>
      <c r="M1139" s="652">
        <f>IF($B1139="",,SUMIFS(PerHeadcount[Month 2],PerHeadcount[exp_item],$H1139,PerHeadcount[company_name],$B1139)*M194)</f>
        <v>0</v>
      </c>
      <c r="N1139" s="652">
        <f>IF($B1139="",,SUMIFS(PerHeadcount[Month 3],PerHeadcount[exp_item],$H1139,PerHeadcount[company_name],$B1139)*N194)</f>
        <v>0</v>
      </c>
      <c r="O1139" s="652">
        <f>IF($B1139="",,SUMIFS(PerHeadcount[Month 4],PerHeadcount[exp_item],$H1139,PerHeadcount[company_name],$B1139)*O194)</f>
        <v>0</v>
      </c>
      <c r="P1139" s="652">
        <f>IF($B1139="",,SUMIFS(PerHeadcount[Month 5],PerHeadcount[exp_item],$H1139,PerHeadcount[company_name],$B1139)*P194)</f>
        <v>0</v>
      </c>
      <c r="Q1139" s="652">
        <f>IF($B1139="",,SUMIFS(PerHeadcount[Month 6],PerHeadcount[exp_item],$H1139,PerHeadcount[company_name],$B1139)*Q194)</f>
        <v>0</v>
      </c>
      <c r="R1139" s="652">
        <f>IF($B1139="",,SUMIFS(PerHeadcount[Month 7],PerHeadcount[exp_item],$H1139,PerHeadcount[company_name],$B1139)*R194)</f>
        <v>0</v>
      </c>
      <c r="S1139" s="652">
        <f>IF($B1139="",,SUMIFS(PerHeadcount[Month 8],PerHeadcount[exp_item],$H1139,PerHeadcount[company_name],$B1139)*S194)</f>
        <v>0</v>
      </c>
      <c r="T1139" s="652">
        <f>IF($B1139="",,SUMIFS(PerHeadcount[Month 9],PerHeadcount[exp_item],$H1139,PerHeadcount[company_name],$B1139)*T194)</f>
        <v>0</v>
      </c>
      <c r="U1139" s="652">
        <f>IF($B1139="",,SUMIFS(PerHeadcount[Month 10],PerHeadcount[exp_item],$H1139,PerHeadcount[company_name],$B1139)*U194)</f>
        <v>0</v>
      </c>
      <c r="V1139" s="652">
        <f>IF($B1139="",,SUMIFS(PerHeadcount[Month 11],PerHeadcount[exp_item],$H1139,PerHeadcount[company_name],$B1139)*V194)</f>
        <v>0</v>
      </c>
      <c r="W1139" s="652">
        <f>IF($B1139="",,SUMIFS(PerHeadcount[Month 12],PerHeadcount[exp_item],$H1139,PerHeadcount[company_name],$B1139)*W194)</f>
        <v>0</v>
      </c>
      <c r="X1139" s="652">
        <f>IF($B1139="",,SUMIFS(PerHeadcount[Month 13],PerHeadcount[exp_item],$H1139,PerHeadcount[company_name],$B1139)*X194)</f>
        <v>0</v>
      </c>
      <c r="Y1139" s="652">
        <f>IF($B1139="",,SUMIFS(PerHeadcount[Month 14],PerHeadcount[exp_item],$H1139,PerHeadcount[company_name],$B1139)*Y194)</f>
        <v>0</v>
      </c>
      <c r="Z1139" s="652">
        <f>IF($B1139="",,SUMIFS(PerHeadcount[Month 15],PerHeadcount[exp_item],$H1139,PerHeadcount[company_name],$B1139)*Z194)</f>
        <v>0</v>
      </c>
      <c r="AA1139" s="652">
        <f>IF($B1139="",,SUMIFS(PerHeadcount[Month 16],PerHeadcount[exp_item],$H1139,PerHeadcount[company_name],$B1139)*AA194)</f>
        <v>0</v>
      </c>
      <c r="AB1139" s="652">
        <f>IF($B1139="",,SUMIFS(PerHeadcount[Month 17],PerHeadcount[exp_item],$H1139,PerHeadcount[company_name],$B1139)*AB194)</f>
        <v>0</v>
      </c>
      <c r="AC1139" s="652">
        <f>IF($B1139="",,SUMIFS(PerHeadcount[Month 18],PerHeadcount[exp_item],$H1139,PerHeadcount[company_name],$B1139)*AC194)</f>
        <v>0</v>
      </c>
      <c r="AD1139" s="652">
        <f>IF($B1139="",,SUMIFS(PerHeadcount[Month 19],PerHeadcount[exp_item],$H1139,PerHeadcount[company_name],$B1139)*AD194)</f>
        <v>0</v>
      </c>
      <c r="AE1139" s="652">
        <f>IF($B1139="",,SUMIFS(PerHeadcount[Month 20],PerHeadcount[exp_item],$H1139,PerHeadcount[company_name],$B1139)*AE194)</f>
        <v>0</v>
      </c>
      <c r="AF1139" s="652">
        <f>IF($B1139="",,SUMIFS(PerHeadcount[Month 21],PerHeadcount[exp_item],$H1139,PerHeadcount[company_name],$B1139)*AF194)</f>
        <v>0</v>
      </c>
      <c r="AG1139" s="652">
        <f>IF($B1139="",,SUMIFS(PerHeadcount[Month 22],PerHeadcount[exp_item],$H1139,PerHeadcount[company_name],$B1139)*AG194)</f>
        <v>0</v>
      </c>
      <c r="AH1139" s="652">
        <f>IF($B1139="",,SUMIFS(PerHeadcount[Month 23],PerHeadcount[exp_item],$H1139,PerHeadcount[company_name],$B1139)*AH194)</f>
        <v>0</v>
      </c>
      <c r="AI1139" s="652">
        <f>IF($B1139="",,SUMIFS(PerHeadcount[Month 24],PerHeadcount[exp_item],$H1139,PerHeadcount[company_name],$B1139)*AI194)</f>
        <v>0</v>
      </c>
      <c r="AJ1139" s="652">
        <f>IF($B1139="",,SUMIFS(PerHeadcount[Month 25],PerHeadcount[exp_item],$H1139,PerHeadcount[company_name],$B1139)*AJ194)</f>
        <v>0</v>
      </c>
      <c r="AK1139" s="652">
        <f>IF($B1139="",,SUMIFS(PerHeadcount[Month 26],PerHeadcount[exp_item],$H1139,PerHeadcount[company_name],$B1139)*AK194)</f>
        <v>0</v>
      </c>
      <c r="AL1139" s="652">
        <f>IF($B1139="",,SUMIFS(PerHeadcount[Month 27],PerHeadcount[exp_item],$H1139,PerHeadcount[company_name],$B1139)*AL194)</f>
        <v>0</v>
      </c>
      <c r="AM1139" s="652">
        <f>IF($B1139="",,SUMIFS(PerHeadcount[Month 28],PerHeadcount[exp_item],$H1139,PerHeadcount[company_name],$B1139)*AM194)</f>
        <v>0</v>
      </c>
      <c r="AN1139" s="652">
        <f>IF($B1139="",,SUMIFS(PerHeadcount[Month 29],PerHeadcount[exp_item],$H1139,PerHeadcount[company_name],$B1139)*AN194)</f>
        <v>0</v>
      </c>
      <c r="AO1139" s="652">
        <f>IF($B1139="",,SUMIFS(PerHeadcount[Month 30],PerHeadcount[exp_item],$H1139,PerHeadcount[company_name],$B1139)*AO194)</f>
        <v>0</v>
      </c>
      <c r="AP1139" s="652">
        <f>IF($B1139="",,SUMIFS(PerHeadcount[Month 31],PerHeadcount[exp_item],$H1139,PerHeadcount[company_name],$B1139)*AP194)</f>
        <v>0</v>
      </c>
      <c r="AQ1139" s="652">
        <f>IF($B1139="",,SUMIFS(PerHeadcount[Month 32],PerHeadcount[exp_item],$H1139,PerHeadcount[company_name],$B1139)*AQ194)</f>
        <v>0</v>
      </c>
      <c r="AR1139" s="652">
        <f>IF($B1139="",,SUMIFS(PerHeadcount[Month 33],PerHeadcount[exp_item],$H1139,PerHeadcount[company_name],$B1139)*AR194)</f>
        <v>0</v>
      </c>
      <c r="AS1139" s="652">
        <f>IF($B1139="",,SUMIFS(PerHeadcount[Month 34],PerHeadcount[exp_item],$H1139,PerHeadcount[company_name],$B1139)*AS194)</f>
        <v>0</v>
      </c>
      <c r="AT1139" s="652">
        <f>IF($B1139="",,SUMIFS(PerHeadcount[Month 35],PerHeadcount[exp_item],$H1139,PerHeadcount[company_name],$B1139)*AT194)</f>
        <v>0</v>
      </c>
      <c r="AU1139" s="652">
        <f>IF($B1139="",,SUMIFS(PerHeadcount[Month 36],PerHeadcount[exp_item],$H1139,PerHeadcount[company_name],$B1139)*AU194)</f>
        <v>0</v>
      </c>
    </row>
    <row r="1140" spans="2:47" x14ac:dyDescent="0.35">
      <c r="B1140" t="str">
        <f t="shared" si="772"/>
        <v/>
      </c>
      <c r="C1140" t="str">
        <f t="shared" ref="C1140:G1140" si="782">IF(C1035="","",C1035)</f>
        <v/>
      </c>
      <c r="D1140" t="str">
        <f t="shared" si="782"/>
        <v/>
      </c>
      <c r="E1140" t="str">
        <f t="shared" si="782"/>
        <v/>
      </c>
      <c r="F1140" t="str">
        <f t="shared" si="782"/>
        <v/>
      </c>
      <c r="G1140" t="str">
        <f t="shared" si="782"/>
        <v/>
      </c>
      <c r="H1140" t="str">
        <f t="shared" si="771"/>
        <v/>
      </c>
      <c r="J1140" t="str">
        <f>IF($H1140="","",IF(VLOOKUP(H1140,ExpItems[],2,0),H1140&amp;" - "&amp;INDEX(DivisionMapping[category_code],MATCH($D1140&amp;$C1140,DivisionMapping[dept_bu],0)),H1140))</f>
        <v/>
      </c>
      <c r="K1140" t="str">
        <f t="shared" si="774"/>
        <v/>
      </c>
      <c r="L1140" s="652">
        <f>IF($B1140="",,SUMIFS(PerHeadcount[Month 1],PerHeadcount[exp_item],$H1140,PerHeadcount[company_name],$B1140)*L195)</f>
        <v>0</v>
      </c>
      <c r="M1140" s="652">
        <f>IF($B1140="",,SUMIFS(PerHeadcount[Month 2],PerHeadcount[exp_item],$H1140,PerHeadcount[company_name],$B1140)*M195)</f>
        <v>0</v>
      </c>
      <c r="N1140" s="652">
        <f>IF($B1140="",,SUMIFS(PerHeadcount[Month 3],PerHeadcount[exp_item],$H1140,PerHeadcount[company_name],$B1140)*N195)</f>
        <v>0</v>
      </c>
      <c r="O1140" s="652">
        <f>IF($B1140="",,SUMIFS(PerHeadcount[Month 4],PerHeadcount[exp_item],$H1140,PerHeadcount[company_name],$B1140)*O195)</f>
        <v>0</v>
      </c>
      <c r="P1140" s="652">
        <f>IF($B1140="",,SUMIFS(PerHeadcount[Month 5],PerHeadcount[exp_item],$H1140,PerHeadcount[company_name],$B1140)*P195)</f>
        <v>0</v>
      </c>
      <c r="Q1140" s="652">
        <f>IF($B1140="",,SUMIFS(PerHeadcount[Month 6],PerHeadcount[exp_item],$H1140,PerHeadcount[company_name],$B1140)*Q195)</f>
        <v>0</v>
      </c>
      <c r="R1140" s="652">
        <f>IF($B1140="",,SUMIFS(PerHeadcount[Month 7],PerHeadcount[exp_item],$H1140,PerHeadcount[company_name],$B1140)*R195)</f>
        <v>0</v>
      </c>
      <c r="S1140" s="652">
        <f>IF($B1140="",,SUMIFS(PerHeadcount[Month 8],PerHeadcount[exp_item],$H1140,PerHeadcount[company_name],$B1140)*S195)</f>
        <v>0</v>
      </c>
      <c r="T1140" s="652">
        <f>IF($B1140="",,SUMIFS(PerHeadcount[Month 9],PerHeadcount[exp_item],$H1140,PerHeadcount[company_name],$B1140)*T195)</f>
        <v>0</v>
      </c>
      <c r="U1140" s="652">
        <f>IF($B1140="",,SUMIFS(PerHeadcount[Month 10],PerHeadcount[exp_item],$H1140,PerHeadcount[company_name],$B1140)*U195)</f>
        <v>0</v>
      </c>
      <c r="V1140" s="652">
        <f>IF($B1140="",,SUMIFS(PerHeadcount[Month 11],PerHeadcount[exp_item],$H1140,PerHeadcount[company_name],$B1140)*V195)</f>
        <v>0</v>
      </c>
      <c r="W1140" s="652">
        <f>IF($B1140="",,SUMIFS(PerHeadcount[Month 12],PerHeadcount[exp_item],$H1140,PerHeadcount[company_name],$B1140)*W195)</f>
        <v>0</v>
      </c>
      <c r="X1140" s="652">
        <f>IF($B1140="",,SUMIFS(PerHeadcount[Month 13],PerHeadcount[exp_item],$H1140,PerHeadcount[company_name],$B1140)*X195)</f>
        <v>0</v>
      </c>
      <c r="Y1140" s="652">
        <f>IF($B1140="",,SUMIFS(PerHeadcount[Month 14],PerHeadcount[exp_item],$H1140,PerHeadcount[company_name],$B1140)*Y195)</f>
        <v>0</v>
      </c>
      <c r="Z1140" s="652">
        <f>IF($B1140="",,SUMIFS(PerHeadcount[Month 15],PerHeadcount[exp_item],$H1140,PerHeadcount[company_name],$B1140)*Z195)</f>
        <v>0</v>
      </c>
      <c r="AA1140" s="652">
        <f>IF($B1140="",,SUMIFS(PerHeadcount[Month 16],PerHeadcount[exp_item],$H1140,PerHeadcount[company_name],$B1140)*AA195)</f>
        <v>0</v>
      </c>
      <c r="AB1140" s="652">
        <f>IF($B1140="",,SUMIFS(PerHeadcount[Month 17],PerHeadcount[exp_item],$H1140,PerHeadcount[company_name],$B1140)*AB195)</f>
        <v>0</v>
      </c>
      <c r="AC1140" s="652">
        <f>IF($B1140="",,SUMIFS(PerHeadcount[Month 18],PerHeadcount[exp_item],$H1140,PerHeadcount[company_name],$B1140)*AC195)</f>
        <v>0</v>
      </c>
      <c r="AD1140" s="652">
        <f>IF($B1140="",,SUMIFS(PerHeadcount[Month 19],PerHeadcount[exp_item],$H1140,PerHeadcount[company_name],$B1140)*AD195)</f>
        <v>0</v>
      </c>
      <c r="AE1140" s="652">
        <f>IF($B1140="",,SUMIFS(PerHeadcount[Month 20],PerHeadcount[exp_item],$H1140,PerHeadcount[company_name],$B1140)*AE195)</f>
        <v>0</v>
      </c>
      <c r="AF1140" s="652">
        <f>IF($B1140="",,SUMIFS(PerHeadcount[Month 21],PerHeadcount[exp_item],$H1140,PerHeadcount[company_name],$B1140)*AF195)</f>
        <v>0</v>
      </c>
      <c r="AG1140" s="652">
        <f>IF($B1140="",,SUMIFS(PerHeadcount[Month 22],PerHeadcount[exp_item],$H1140,PerHeadcount[company_name],$B1140)*AG195)</f>
        <v>0</v>
      </c>
      <c r="AH1140" s="652">
        <f>IF($B1140="",,SUMIFS(PerHeadcount[Month 23],PerHeadcount[exp_item],$H1140,PerHeadcount[company_name],$B1140)*AH195)</f>
        <v>0</v>
      </c>
      <c r="AI1140" s="652">
        <f>IF($B1140="",,SUMIFS(PerHeadcount[Month 24],PerHeadcount[exp_item],$H1140,PerHeadcount[company_name],$B1140)*AI195)</f>
        <v>0</v>
      </c>
      <c r="AJ1140" s="652">
        <f>IF($B1140="",,SUMIFS(PerHeadcount[Month 25],PerHeadcount[exp_item],$H1140,PerHeadcount[company_name],$B1140)*AJ195)</f>
        <v>0</v>
      </c>
      <c r="AK1140" s="652">
        <f>IF($B1140="",,SUMIFS(PerHeadcount[Month 26],PerHeadcount[exp_item],$H1140,PerHeadcount[company_name],$B1140)*AK195)</f>
        <v>0</v>
      </c>
      <c r="AL1140" s="652">
        <f>IF($B1140="",,SUMIFS(PerHeadcount[Month 27],PerHeadcount[exp_item],$H1140,PerHeadcount[company_name],$B1140)*AL195)</f>
        <v>0</v>
      </c>
      <c r="AM1140" s="652">
        <f>IF($B1140="",,SUMIFS(PerHeadcount[Month 28],PerHeadcount[exp_item],$H1140,PerHeadcount[company_name],$B1140)*AM195)</f>
        <v>0</v>
      </c>
      <c r="AN1140" s="652">
        <f>IF($B1140="",,SUMIFS(PerHeadcount[Month 29],PerHeadcount[exp_item],$H1140,PerHeadcount[company_name],$B1140)*AN195)</f>
        <v>0</v>
      </c>
      <c r="AO1140" s="652">
        <f>IF($B1140="",,SUMIFS(PerHeadcount[Month 30],PerHeadcount[exp_item],$H1140,PerHeadcount[company_name],$B1140)*AO195)</f>
        <v>0</v>
      </c>
      <c r="AP1140" s="652">
        <f>IF($B1140="",,SUMIFS(PerHeadcount[Month 31],PerHeadcount[exp_item],$H1140,PerHeadcount[company_name],$B1140)*AP195)</f>
        <v>0</v>
      </c>
      <c r="AQ1140" s="652">
        <f>IF($B1140="",,SUMIFS(PerHeadcount[Month 32],PerHeadcount[exp_item],$H1140,PerHeadcount[company_name],$B1140)*AQ195)</f>
        <v>0</v>
      </c>
      <c r="AR1140" s="652">
        <f>IF($B1140="",,SUMIFS(PerHeadcount[Month 33],PerHeadcount[exp_item],$H1140,PerHeadcount[company_name],$B1140)*AR195)</f>
        <v>0</v>
      </c>
      <c r="AS1140" s="652">
        <f>IF($B1140="",,SUMIFS(PerHeadcount[Month 34],PerHeadcount[exp_item],$H1140,PerHeadcount[company_name],$B1140)*AS195)</f>
        <v>0</v>
      </c>
      <c r="AT1140" s="652">
        <f>IF($B1140="",,SUMIFS(PerHeadcount[Month 35],PerHeadcount[exp_item],$H1140,PerHeadcount[company_name],$B1140)*AT195)</f>
        <v>0</v>
      </c>
      <c r="AU1140" s="652">
        <f>IF($B1140="",,SUMIFS(PerHeadcount[Month 36],PerHeadcount[exp_item],$H1140,PerHeadcount[company_name],$B1140)*AU195)</f>
        <v>0</v>
      </c>
    </row>
    <row r="1141" spans="2:47" x14ac:dyDescent="0.35">
      <c r="B1141" t="str">
        <f t="shared" si="772"/>
        <v/>
      </c>
      <c r="C1141" t="str">
        <f t="shared" ref="C1141:G1141" si="783">IF(C1036="","",C1036)</f>
        <v/>
      </c>
      <c r="D1141" t="str">
        <f t="shared" si="783"/>
        <v/>
      </c>
      <c r="E1141" t="str">
        <f t="shared" si="783"/>
        <v/>
      </c>
      <c r="F1141" t="str">
        <f t="shared" si="783"/>
        <v/>
      </c>
      <c r="G1141" t="str">
        <f t="shared" si="783"/>
        <v/>
      </c>
      <c r="H1141" t="str">
        <f t="shared" si="771"/>
        <v/>
      </c>
      <c r="J1141" t="str">
        <f>IF($H1141="","",IF(VLOOKUP(H1141,ExpItems[],2,0),H1141&amp;" - "&amp;INDEX(DivisionMapping[category_code],MATCH($D1141&amp;$C1141,DivisionMapping[dept_bu],0)),H1141))</f>
        <v/>
      </c>
      <c r="K1141" t="str">
        <f t="shared" si="774"/>
        <v/>
      </c>
      <c r="L1141" s="652">
        <f>IF($B1141="",,SUMIFS(PerHeadcount[Month 1],PerHeadcount[exp_item],$H1141,PerHeadcount[company_name],$B1141)*L196)</f>
        <v>0</v>
      </c>
      <c r="M1141" s="652">
        <f>IF($B1141="",,SUMIFS(PerHeadcount[Month 2],PerHeadcount[exp_item],$H1141,PerHeadcount[company_name],$B1141)*M196)</f>
        <v>0</v>
      </c>
      <c r="N1141" s="652">
        <f>IF($B1141="",,SUMIFS(PerHeadcount[Month 3],PerHeadcount[exp_item],$H1141,PerHeadcount[company_name],$B1141)*N196)</f>
        <v>0</v>
      </c>
      <c r="O1141" s="652">
        <f>IF($B1141="",,SUMIFS(PerHeadcount[Month 4],PerHeadcount[exp_item],$H1141,PerHeadcount[company_name],$B1141)*O196)</f>
        <v>0</v>
      </c>
      <c r="P1141" s="652">
        <f>IF($B1141="",,SUMIFS(PerHeadcount[Month 5],PerHeadcount[exp_item],$H1141,PerHeadcount[company_name],$B1141)*P196)</f>
        <v>0</v>
      </c>
      <c r="Q1141" s="652">
        <f>IF($B1141="",,SUMIFS(PerHeadcount[Month 6],PerHeadcount[exp_item],$H1141,PerHeadcount[company_name],$B1141)*Q196)</f>
        <v>0</v>
      </c>
      <c r="R1141" s="652">
        <f>IF($B1141="",,SUMIFS(PerHeadcount[Month 7],PerHeadcount[exp_item],$H1141,PerHeadcount[company_name],$B1141)*R196)</f>
        <v>0</v>
      </c>
      <c r="S1141" s="652">
        <f>IF($B1141="",,SUMIFS(PerHeadcount[Month 8],PerHeadcount[exp_item],$H1141,PerHeadcount[company_name],$B1141)*S196)</f>
        <v>0</v>
      </c>
      <c r="T1141" s="652">
        <f>IF($B1141="",,SUMIFS(PerHeadcount[Month 9],PerHeadcount[exp_item],$H1141,PerHeadcount[company_name],$B1141)*T196)</f>
        <v>0</v>
      </c>
      <c r="U1141" s="652">
        <f>IF($B1141="",,SUMIFS(PerHeadcount[Month 10],PerHeadcount[exp_item],$H1141,PerHeadcount[company_name],$B1141)*U196)</f>
        <v>0</v>
      </c>
      <c r="V1141" s="652">
        <f>IF($B1141="",,SUMIFS(PerHeadcount[Month 11],PerHeadcount[exp_item],$H1141,PerHeadcount[company_name],$B1141)*V196)</f>
        <v>0</v>
      </c>
      <c r="W1141" s="652">
        <f>IF($B1141="",,SUMIFS(PerHeadcount[Month 12],PerHeadcount[exp_item],$H1141,PerHeadcount[company_name],$B1141)*W196)</f>
        <v>0</v>
      </c>
      <c r="X1141" s="652">
        <f>IF($B1141="",,SUMIFS(PerHeadcount[Month 13],PerHeadcount[exp_item],$H1141,PerHeadcount[company_name],$B1141)*X196)</f>
        <v>0</v>
      </c>
      <c r="Y1141" s="652">
        <f>IF($B1141="",,SUMIFS(PerHeadcount[Month 14],PerHeadcount[exp_item],$H1141,PerHeadcount[company_name],$B1141)*Y196)</f>
        <v>0</v>
      </c>
      <c r="Z1141" s="652">
        <f>IF($B1141="",,SUMIFS(PerHeadcount[Month 15],PerHeadcount[exp_item],$H1141,PerHeadcount[company_name],$B1141)*Z196)</f>
        <v>0</v>
      </c>
      <c r="AA1141" s="652">
        <f>IF($B1141="",,SUMIFS(PerHeadcount[Month 16],PerHeadcount[exp_item],$H1141,PerHeadcount[company_name],$B1141)*AA196)</f>
        <v>0</v>
      </c>
      <c r="AB1141" s="652">
        <f>IF($B1141="",,SUMIFS(PerHeadcount[Month 17],PerHeadcount[exp_item],$H1141,PerHeadcount[company_name],$B1141)*AB196)</f>
        <v>0</v>
      </c>
      <c r="AC1141" s="652">
        <f>IF($B1141="",,SUMIFS(PerHeadcount[Month 18],PerHeadcount[exp_item],$H1141,PerHeadcount[company_name],$B1141)*AC196)</f>
        <v>0</v>
      </c>
      <c r="AD1141" s="652">
        <f>IF($B1141="",,SUMIFS(PerHeadcount[Month 19],PerHeadcount[exp_item],$H1141,PerHeadcount[company_name],$B1141)*AD196)</f>
        <v>0</v>
      </c>
      <c r="AE1141" s="652">
        <f>IF($B1141="",,SUMIFS(PerHeadcount[Month 20],PerHeadcount[exp_item],$H1141,PerHeadcount[company_name],$B1141)*AE196)</f>
        <v>0</v>
      </c>
      <c r="AF1141" s="652">
        <f>IF($B1141="",,SUMIFS(PerHeadcount[Month 21],PerHeadcount[exp_item],$H1141,PerHeadcount[company_name],$B1141)*AF196)</f>
        <v>0</v>
      </c>
      <c r="AG1141" s="652">
        <f>IF($B1141="",,SUMIFS(PerHeadcount[Month 22],PerHeadcount[exp_item],$H1141,PerHeadcount[company_name],$B1141)*AG196)</f>
        <v>0</v>
      </c>
      <c r="AH1141" s="652">
        <f>IF($B1141="",,SUMIFS(PerHeadcount[Month 23],PerHeadcount[exp_item],$H1141,PerHeadcount[company_name],$B1141)*AH196)</f>
        <v>0</v>
      </c>
      <c r="AI1141" s="652">
        <f>IF($B1141="",,SUMIFS(PerHeadcount[Month 24],PerHeadcount[exp_item],$H1141,PerHeadcount[company_name],$B1141)*AI196)</f>
        <v>0</v>
      </c>
      <c r="AJ1141" s="652">
        <f>IF($B1141="",,SUMIFS(PerHeadcount[Month 25],PerHeadcount[exp_item],$H1141,PerHeadcount[company_name],$B1141)*AJ196)</f>
        <v>0</v>
      </c>
      <c r="AK1141" s="652">
        <f>IF($B1141="",,SUMIFS(PerHeadcount[Month 26],PerHeadcount[exp_item],$H1141,PerHeadcount[company_name],$B1141)*AK196)</f>
        <v>0</v>
      </c>
      <c r="AL1141" s="652">
        <f>IF($B1141="",,SUMIFS(PerHeadcount[Month 27],PerHeadcount[exp_item],$H1141,PerHeadcount[company_name],$B1141)*AL196)</f>
        <v>0</v>
      </c>
      <c r="AM1141" s="652">
        <f>IF($B1141="",,SUMIFS(PerHeadcount[Month 28],PerHeadcount[exp_item],$H1141,PerHeadcount[company_name],$B1141)*AM196)</f>
        <v>0</v>
      </c>
      <c r="AN1141" s="652">
        <f>IF($B1141="",,SUMIFS(PerHeadcount[Month 29],PerHeadcount[exp_item],$H1141,PerHeadcount[company_name],$B1141)*AN196)</f>
        <v>0</v>
      </c>
      <c r="AO1141" s="652">
        <f>IF($B1141="",,SUMIFS(PerHeadcount[Month 30],PerHeadcount[exp_item],$H1141,PerHeadcount[company_name],$B1141)*AO196)</f>
        <v>0</v>
      </c>
      <c r="AP1141" s="652">
        <f>IF($B1141="",,SUMIFS(PerHeadcount[Month 31],PerHeadcount[exp_item],$H1141,PerHeadcount[company_name],$B1141)*AP196)</f>
        <v>0</v>
      </c>
      <c r="AQ1141" s="652">
        <f>IF($B1141="",,SUMIFS(PerHeadcount[Month 32],PerHeadcount[exp_item],$H1141,PerHeadcount[company_name],$B1141)*AQ196)</f>
        <v>0</v>
      </c>
      <c r="AR1141" s="652">
        <f>IF($B1141="",,SUMIFS(PerHeadcount[Month 33],PerHeadcount[exp_item],$H1141,PerHeadcount[company_name],$B1141)*AR196)</f>
        <v>0</v>
      </c>
      <c r="AS1141" s="652">
        <f>IF($B1141="",,SUMIFS(PerHeadcount[Month 34],PerHeadcount[exp_item],$H1141,PerHeadcount[company_name],$B1141)*AS196)</f>
        <v>0</v>
      </c>
      <c r="AT1141" s="652">
        <f>IF($B1141="",,SUMIFS(PerHeadcount[Month 35],PerHeadcount[exp_item],$H1141,PerHeadcount[company_name],$B1141)*AT196)</f>
        <v>0</v>
      </c>
      <c r="AU1141" s="652">
        <f>IF($B1141="",,SUMIFS(PerHeadcount[Month 36],PerHeadcount[exp_item],$H1141,PerHeadcount[company_name],$B1141)*AU196)</f>
        <v>0</v>
      </c>
    </row>
    <row r="1142" spans="2:47" x14ac:dyDescent="0.35">
      <c r="B1142" t="str">
        <f t="shared" si="772"/>
        <v/>
      </c>
      <c r="C1142" t="str">
        <f t="shared" ref="C1142:G1142" si="784">IF(C1037="","",C1037)</f>
        <v/>
      </c>
      <c r="D1142" t="str">
        <f t="shared" si="784"/>
        <v/>
      </c>
      <c r="E1142" t="str">
        <f t="shared" si="784"/>
        <v/>
      </c>
      <c r="F1142" t="str">
        <f t="shared" si="784"/>
        <v/>
      </c>
      <c r="G1142" t="str">
        <f t="shared" si="784"/>
        <v/>
      </c>
      <c r="H1142" t="str">
        <f t="shared" si="771"/>
        <v/>
      </c>
      <c r="J1142" t="str">
        <f>IF($H1142="","",IF(VLOOKUP(H1142,ExpItems[],2,0),H1142&amp;" - "&amp;INDEX(DivisionMapping[category_code],MATCH($D1142&amp;$C1142,DivisionMapping[dept_bu],0)),H1142))</f>
        <v/>
      </c>
      <c r="K1142" t="str">
        <f t="shared" si="774"/>
        <v/>
      </c>
      <c r="L1142" s="652">
        <f>IF($B1142="",,SUMIFS(PerHeadcount[Month 1],PerHeadcount[exp_item],$H1142,PerHeadcount[company_name],$B1142)*L197)</f>
        <v>0</v>
      </c>
      <c r="M1142" s="652">
        <f>IF($B1142="",,SUMIFS(PerHeadcount[Month 2],PerHeadcount[exp_item],$H1142,PerHeadcount[company_name],$B1142)*M197)</f>
        <v>0</v>
      </c>
      <c r="N1142" s="652">
        <f>IF($B1142="",,SUMIFS(PerHeadcount[Month 3],PerHeadcount[exp_item],$H1142,PerHeadcount[company_name],$B1142)*N197)</f>
        <v>0</v>
      </c>
      <c r="O1142" s="652">
        <f>IF($B1142="",,SUMIFS(PerHeadcount[Month 4],PerHeadcount[exp_item],$H1142,PerHeadcount[company_name],$B1142)*O197)</f>
        <v>0</v>
      </c>
      <c r="P1142" s="652">
        <f>IF($B1142="",,SUMIFS(PerHeadcount[Month 5],PerHeadcount[exp_item],$H1142,PerHeadcount[company_name],$B1142)*P197)</f>
        <v>0</v>
      </c>
      <c r="Q1142" s="652">
        <f>IF($B1142="",,SUMIFS(PerHeadcount[Month 6],PerHeadcount[exp_item],$H1142,PerHeadcount[company_name],$B1142)*Q197)</f>
        <v>0</v>
      </c>
      <c r="R1142" s="652">
        <f>IF($B1142="",,SUMIFS(PerHeadcount[Month 7],PerHeadcount[exp_item],$H1142,PerHeadcount[company_name],$B1142)*R197)</f>
        <v>0</v>
      </c>
      <c r="S1142" s="652">
        <f>IF($B1142="",,SUMIFS(PerHeadcount[Month 8],PerHeadcount[exp_item],$H1142,PerHeadcount[company_name],$B1142)*S197)</f>
        <v>0</v>
      </c>
      <c r="T1142" s="652">
        <f>IF($B1142="",,SUMIFS(PerHeadcount[Month 9],PerHeadcount[exp_item],$H1142,PerHeadcount[company_name],$B1142)*T197)</f>
        <v>0</v>
      </c>
      <c r="U1142" s="652">
        <f>IF($B1142="",,SUMIFS(PerHeadcount[Month 10],PerHeadcount[exp_item],$H1142,PerHeadcount[company_name],$B1142)*U197)</f>
        <v>0</v>
      </c>
      <c r="V1142" s="652">
        <f>IF($B1142="",,SUMIFS(PerHeadcount[Month 11],PerHeadcount[exp_item],$H1142,PerHeadcount[company_name],$B1142)*V197)</f>
        <v>0</v>
      </c>
      <c r="W1142" s="652">
        <f>IF($B1142="",,SUMIFS(PerHeadcount[Month 12],PerHeadcount[exp_item],$H1142,PerHeadcount[company_name],$B1142)*W197)</f>
        <v>0</v>
      </c>
      <c r="X1142" s="652">
        <f>IF($B1142="",,SUMIFS(PerHeadcount[Month 13],PerHeadcount[exp_item],$H1142,PerHeadcount[company_name],$B1142)*X197)</f>
        <v>0</v>
      </c>
      <c r="Y1142" s="652">
        <f>IF($B1142="",,SUMIFS(PerHeadcount[Month 14],PerHeadcount[exp_item],$H1142,PerHeadcount[company_name],$B1142)*Y197)</f>
        <v>0</v>
      </c>
      <c r="Z1142" s="652">
        <f>IF($B1142="",,SUMIFS(PerHeadcount[Month 15],PerHeadcount[exp_item],$H1142,PerHeadcount[company_name],$B1142)*Z197)</f>
        <v>0</v>
      </c>
      <c r="AA1142" s="652">
        <f>IF($B1142="",,SUMIFS(PerHeadcount[Month 16],PerHeadcount[exp_item],$H1142,PerHeadcount[company_name],$B1142)*AA197)</f>
        <v>0</v>
      </c>
      <c r="AB1142" s="652">
        <f>IF($B1142="",,SUMIFS(PerHeadcount[Month 17],PerHeadcount[exp_item],$H1142,PerHeadcount[company_name],$B1142)*AB197)</f>
        <v>0</v>
      </c>
      <c r="AC1142" s="652">
        <f>IF($B1142="",,SUMIFS(PerHeadcount[Month 18],PerHeadcount[exp_item],$H1142,PerHeadcount[company_name],$B1142)*AC197)</f>
        <v>0</v>
      </c>
      <c r="AD1142" s="652">
        <f>IF($B1142="",,SUMIFS(PerHeadcount[Month 19],PerHeadcount[exp_item],$H1142,PerHeadcount[company_name],$B1142)*AD197)</f>
        <v>0</v>
      </c>
      <c r="AE1142" s="652">
        <f>IF($B1142="",,SUMIFS(PerHeadcount[Month 20],PerHeadcount[exp_item],$H1142,PerHeadcount[company_name],$B1142)*AE197)</f>
        <v>0</v>
      </c>
      <c r="AF1142" s="652">
        <f>IF($B1142="",,SUMIFS(PerHeadcount[Month 21],PerHeadcount[exp_item],$H1142,PerHeadcount[company_name],$B1142)*AF197)</f>
        <v>0</v>
      </c>
      <c r="AG1142" s="652">
        <f>IF($B1142="",,SUMIFS(PerHeadcount[Month 22],PerHeadcount[exp_item],$H1142,PerHeadcount[company_name],$B1142)*AG197)</f>
        <v>0</v>
      </c>
      <c r="AH1142" s="652">
        <f>IF($B1142="",,SUMIFS(PerHeadcount[Month 23],PerHeadcount[exp_item],$H1142,PerHeadcount[company_name],$B1142)*AH197)</f>
        <v>0</v>
      </c>
      <c r="AI1142" s="652">
        <f>IF($B1142="",,SUMIFS(PerHeadcount[Month 24],PerHeadcount[exp_item],$H1142,PerHeadcount[company_name],$B1142)*AI197)</f>
        <v>0</v>
      </c>
      <c r="AJ1142" s="652">
        <f>IF($B1142="",,SUMIFS(PerHeadcount[Month 25],PerHeadcount[exp_item],$H1142,PerHeadcount[company_name],$B1142)*AJ197)</f>
        <v>0</v>
      </c>
      <c r="AK1142" s="652">
        <f>IF($B1142="",,SUMIFS(PerHeadcount[Month 26],PerHeadcount[exp_item],$H1142,PerHeadcount[company_name],$B1142)*AK197)</f>
        <v>0</v>
      </c>
      <c r="AL1142" s="652">
        <f>IF($B1142="",,SUMIFS(PerHeadcount[Month 27],PerHeadcount[exp_item],$H1142,PerHeadcount[company_name],$B1142)*AL197)</f>
        <v>0</v>
      </c>
      <c r="AM1142" s="652">
        <f>IF($B1142="",,SUMIFS(PerHeadcount[Month 28],PerHeadcount[exp_item],$H1142,PerHeadcount[company_name],$B1142)*AM197)</f>
        <v>0</v>
      </c>
      <c r="AN1142" s="652">
        <f>IF($B1142="",,SUMIFS(PerHeadcount[Month 29],PerHeadcount[exp_item],$H1142,PerHeadcount[company_name],$B1142)*AN197)</f>
        <v>0</v>
      </c>
      <c r="AO1142" s="652">
        <f>IF($B1142="",,SUMIFS(PerHeadcount[Month 30],PerHeadcount[exp_item],$H1142,PerHeadcount[company_name],$B1142)*AO197)</f>
        <v>0</v>
      </c>
      <c r="AP1142" s="652">
        <f>IF($B1142="",,SUMIFS(PerHeadcount[Month 31],PerHeadcount[exp_item],$H1142,PerHeadcount[company_name],$B1142)*AP197)</f>
        <v>0</v>
      </c>
      <c r="AQ1142" s="652">
        <f>IF($B1142="",,SUMIFS(PerHeadcount[Month 32],PerHeadcount[exp_item],$H1142,PerHeadcount[company_name],$B1142)*AQ197)</f>
        <v>0</v>
      </c>
      <c r="AR1142" s="652">
        <f>IF($B1142="",,SUMIFS(PerHeadcount[Month 33],PerHeadcount[exp_item],$H1142,PerHeadcount[company_name],$B1142)*AR197)</f>
        <v>0</v>
      </c>
      <c r="AS1142" s="652">
        <f>IF($B1142="",,SUMIFS(PerHeadcount[Month 34],PerHeadcount[exp_item],$H1142,PerHeadcount[company_name],$B1142)*AS197)</f>
        <v>0</v>
      </c>
      <c r="AT1142" s="652">
        <f>IF($B1142="",,SUMIFS(PerHeadcount[Month 35],PerHeadcount[exp_item],$H1142,PerHeadcount[company_name],$B1142)*AT197)</f>
        <v>0</v>
      </c>
      <c r="AU1142" s="652">
        <f>IF($B1142="",,SUMIFS(PerHeadcount[Month 36],PerHeadcount[exp_item],$H1142,PerHeadcount[company_name],$B1142)*AU197)</f>
        <v>0</v>
      </c>
    </row>
    <row r="1143" spans="2:47" x14ac:dyDescent="0.35">
      <c r="B1143" t="str">
        <f t="shared" si="772"/>
        <v/>
      </c>
      <c r="C1143" t="str">
        <f t="shared" ref="C1143:G1143" si="785">IF(C1038="","",C1038)</f>
        <v/>
      </c>
      <c r="D1143" t="str">
        <f t="shared" si="785"/>
        <v/>
      </c>
      <c r="E1143" t="str">
        <f t="shared" si="785"/>
        <v/>
      </c>
      <c r="F1143" t="str">
        <f t="shared" si="785"/>
        <v/>
      </c>
      <c r="G1143" t="str">
        <f t="shared" si="785"/>
        <v/>
      </c>
      <c r="H1143" t="str">
        <f t="shared" si="771"/>
        <v/>
      </c>
      <c r="J1143" t="str">
        <f>IF($H1143="","",IF(VLOOKUP(H1143,ExpItems[],2,0),H1143&amp;" - "&amp;INDEX(DivisionMapping[category_code],MATCH($D1143&amp;$C1143,DivisionMapping[dept_bu],0)),H1143))</f>
        <v/>
      </c>
      <c r="K1143" t="str">
        <f t="shared" si="774"/>
        <v/>
      </c>
      <c r="L1143" s="652">
        <f>IF($B1143="",,SUMIFS(PerHeadcount[Month 1],PerHeadcount[exp_item],$H1143,PerHeadcount[company_name],$B1143)*L198)</f>
        <v>0</v>
      </c>
      <c r="M1143" s="652">
        <f>IF($B1143="",,SUMIFS(PerHeadcount[Month 2],PerHeadcount[exp_item],$H1143,PerHeadcount[company_name],$B1143)*M198)</f>
        <v>0</v>
      </c>
      <c r="N1143" s="652">
        <f>IF($B1143="",,SUMIFS(PerHeadcount[Month 3],PerHeadcount[exp_item],$H1143,PerHeadcount[company_name],$B1143)*N198)</f>
        <v>0</v>
      </c>
      <c r="O1143" s="652">
        <f>IF($B1143="",,SUMIFS(PerHeadcount[Month 4],PerHeadcount[exp_item],$H1143,PerHeadcount[company_name],$B1143)*O198)</f>
        <v>0</v>
      </c>
      <c r="P1143" s="652">
        <f>IF($B1143="",,SUMIFS(PerHeadcount[Month 5],PerHeadcount[exp_item],$H1143,PerHeadcount[company_name],$B1143)*P198)</f>
        <v>0</v>
      </c>
      <c r="Q1143" s="652">
        <f>IF($B1143="",,SUMIFS(PerHeadcount[Month 6],PerHeadcount[exp_item],$H1143,PerHeadcount[company_name],$B1143)*Q198)</f>
        <v>0</v>
      </c>
      <c r="R1143" s="652">
        <f>IF($B1143="",,SUMIFS(PerHeadcount[Month 7],PerHeadcount[exp_item],$H1143,PerHeadcount[company_name],$B1143)*R198)</f>
        <v>0</v>
      </c>
      <c r="S1143" s="652">
        <f>IF($B1143="",,SUMIFS(PerHeadcount[Month 8],PerHeadcount[exp_item],$H1143,PerHeadcount[company_name],$B1143)*S198)</f>
        <v>0</v>
      </c>
      <c r="T1143" s="652">
        <f>IF($B1143="",,SUMIFS(PerHeadcount[Month 9],PerHeadcount[exp_item],$H1143,PerHeadcount[company_name],$B1143)*T198)</f>
        <v>0</v>
      </c>
      <c r="U1143" s="652">
        <f>IF($B1143="",,SUMIFS(PerHeadcount[Month 10],PerHeadcount[exp_item],$H1143,PerHeadcount[company_name],$B1143)*U198)</f>
        <v>0</v>
      </c>
      <c r="V1143" s="652">
        <f>IF($B1143="",,SUMIFS(PerHeadcount[Month 11],PerHeadcount[exp_item],$H1143,PerHeadcount[company_name],$B1143)*V198)</f>
        <v>0</v>
      </c>
      <c r="W1143" s="652">
        <f>IF($B1143="",,SUMIFS(PerHeadcount[Month 12],PerHeadcount[exp_item],$H1143,PerHeadcount[company_name],$B1143)*W198)</f>
        <v>0</v>
      </c>
      <c r="X1143" s="652">
        <f>IF($B1143="",,SUMIFS(PerHeadcount[Month 13],PerHeadcount[exp_item],$H1143,PerHeadcount[company_name],$B1143)*X198)</f>
        <v>0</v>
      </c>
      <c r="Y1143" s="652">
        <f>IF($B1143="",,SUMIFS(PerHeadcount[Month 14],PerHeadcount[exp_item],$H1143,PerHeadcount[company_name],$B1143)*Y198)</f>
        <v>0</v>
      </c>
      <c r="Z1143" s="652">
        <f>IF($B1143="",,SUMIFS(PerHeadcount[Month 15],PerHeadcount[exp_item],$H1143,PerHeadcount[company_name],$B1143)*Z198)</f>
        <v>0</v>
      </c>
      <c r="AA1143" s="652">
        <f>IF($B1143="",,SUMIFS(PerHeadcount[Month 16],PerHeadcount[exp_item],$H1143,PerHeadcount[company_name],$B1143)*AA198)</f>
        <v>0</v>
      </c>
      <c r="AB1143" s="652">
        <f>IF($B1143="",,SUMIFS(PerHeadcount[Month 17],PerHeadcount[exp_item],$H1143,PerHeadcount[company_name],$B1143)*AB198)</f>
        <v>0</v>
      </c>
      <c r="AC1143" s="652">
        <f>IF($B1143="",,SUMIFS(PerHeadcount[Month 18],PerHeadcount[exp_item],$H1143,PerHeadcount[company_name],$B1143)*AC198)</f>
        <v>0</v>
      </c>
      <c r="AD1143" s="652">
        <f>IF($B1143="",,SUMIFS(PerHeadcount[Month 19],PerHeadcount[exp_item],$H1143,PerHeadcount[company_name],$B1143)*AD198)</f>
        <v>0</v>
      </c>
      <c r="AE1143" s="652">
        <f>IF($B1143="",,SUMIFS(PerHeadcount[Month 20],PerHeadcount[exp_item],$H1143,PerHeadcount[company_name],$B1143)*AE198)</f>
        <v>0</v>
      </c>
      <c r="AF1143" s="652">
        <f>IF($B1143="",,SUMIFS(PerHeadcount[Month 21],PerHeadcount[exp_item],$H1143,PerHeadcount[company_name],$B1143)*AF198)</f>
        <v>0</v>
      </c>
      <c r="AG1143" s="652">
        <f>IF($B1143="",,SUMIFS(PerHeadcount[Month 22],PerHeadcount[exp_item],$H1143,PerHeadcount[company_name],$B1143)*AG198)</f>
        <v>0</v>
      </c>
      <c r="AH1143" s="652">
        <f>IF($B1143="",,SUMIFS(PerHeadcount[Month 23],PerHeadcount[exp_item],$H1143,PerHeadcount[company_name],$B1143)*AH198)</f>
        <v>0</v>
      </c>
      <c r="AI1143" s="652">
        <f>IF($B1143="",,SUMIFS(PerHeadcount[Month 24],PerHeadcount[exp_item],$H1143,PerHeadcount[company_name],$B1143)*AI198)</f>
        <v>0</v>
      </c>
      <c r="AJ1143" s="652">
        <f>IF($B1143="",,SUMIFS(PerHeadcount[Month 25],PerHeadcount[exp_item],$H1143,PerHeadcount[company_name],$B1143)*AJ198)</f>
        <v>0</v>
      </c>
      <c r="AK1143" s="652">
        <f>IF($B1143="",,SUMIFS(PerHeadcount[Month 26],PerHeadcount[exp_item],$H1143,PerHeadcount[company_name],$B1143)*AK198)</f>
        <v>0</v>
      </c>
      <c r="AL1143" s="652">
        <f>IF($B1143="",,SUMIFS(PerHeadcount[Month 27],PerHeadcount[exp_item],$H1143,PerHeadcount[company_name],$B1143)*AL198)</f>
        <v>0</v>
      </c>
      <c r="AM1143" s="652">
        <f>IF($B1143="",,SUMIFS(PerHeadcount[Month 28],PerHeadcount[exp_item],$H1143,PerHeadcount[company_name],$B1143)*AM198)</f>
        <v>0</v>
      </c>
      <c r="AN1143" s="652">
        <f>IF($B1143="",,SUMIFS(PerHeadcount[Month 29],PerHeadcount[exp_item],$H1143,PerHeadcount[company_name],$B1143)*AN198)</f>
        <v>0</v>
      </c>
      <c r="AO1143" s="652">
        <f>IF($B1143="",,SUMIFS(PerHeadcount[Month 30],PerHeadcount[exp_item],$H1143,PerHeadcount[company_name],$B1143)*AO198)</f>
        <v>0</v>
      </c>
      <c r="AP1143" s="652">
        <f>IF($B1143="",,SUMIFS(PerHeadcount[Month 31],PerHeadcount[exp_item],$H1143,PerHeadcount[company_name],$B1143)*AP198)</f>
        <v>0</v>
      </c>
      <c r="AQ1143" s="652">
        <f>IF($B1143="",,SUMIFS(PerHeadcount[Month 32],PerHeadcount[exp_item],$H1143,PerHeadcount[company_name],$B1143)*AQ198)</f>
        <v>0</v>
      </c>
      <c r="AR1143" s="652">
        <f>IF($B1143="",,SUMIFS(PerHeadcount[Month 33],PerHeadcount[exp_item],$H1143,PerHeadcount[company_name],$B1143)*AR198)</f>
        <v>0</v>
      </c>
      <c r="AS1143" s="652">
        <f>IF($B1143="",,SUMIFS(PerHeadcount[Month 34],PerHeadcount[exp_item],$H1143,PerHeadcount[company_name],$B1143)*AS198)</f>
        <v>0</v>
      </c>
      <c r="AT1143" s="652">
        <f>IF($B1143="",,SUMIFS(PerHeadcount[Month 35],PerHeadcount[exp_item],$H1143,PerHeadcount[company_name],$B1143)*AT198)</f>
        <v>0</v>
      </c>
      <c r="AU1143" s="652">
        <f>IF($B1143="",,SUMIFS(PerHeadcount[Month 36],PerHeadcount[exp_item],$H1143,PerHeadcount[company_name],$B1143)*AU198)</f>
        <v>0</v>
      </c>
    </row>
    <row r="1144" spans="2:47" x14ac:dyDescent="0.35">
      <c r="B1144" t="str">
        <f t="shared" si="772"/>
        <v/>
      </c>
      <c r="C1144" t="str">
        <f t="shared" ref="C1144:G1144" si="786">IF(C1039="","",C1039)</f>
        <v/>
      </c>
      <c r="D1144" t="str">
        <f t="shared" si="786"/>
        <v/>
      </c>
      <c r="E1144" t="str">
        <f t="shared" si="786"/>
        <v/>
      </c>
      <c r="F1144" t="str">
        <f t="shared" si="786"/>
        <v/>
      </c>
      <c r="G1144" t="str">
        <f t="shared" si="786"/>
        <v/>
      </c>
      <c r="H1144" t="str">
        <f t="shared" si="771"/>
        <v/>
      </c>
      <c r="J1144" t="str">
        <f>IF($H1144="","",IF(VLOOKUP(H1144,ExpItems[],2,0),H1144&amp;" - "&amp;INDEX(DivisionMapping[category_code],MATCH($D1144&amp;$C1144,DivisionMapping[dept_bu],0)),H1144))</f>
        <v/>
      </c>
      <c r="K1144" t="str">
        <f t="shared" si="774"/>
        <v/>
      </c>
      <c r="L1144" s="652">
        <f>IF($B1144="",,SUMIFS(PerHeadcount[Month 1],PerHeadcount[exp_item],$H1144,PerHeadcount[company_name],$B1144)*L199)</f>
        <v>0</v>
      </c>
      <c r="M1144" s="652">
        <f>IF($B1144="",,SUMIFS(PerHeadcount[Month 2],PerHeadcount[exp_item],$H1144,PerHeadcount[company_name],$B1144)*M199)</f>
        <v>0</v>
      </c>
      <c r="N1144" s="652">
        <f>IF($B1144="",,SUMIFS(PerHeadcount[Month 3],PerHeadcount[exp_item],$H1144,PerHeadcount[company_name],$B1144)*N199)</f>
        <v>0</v>
      </c>
      <c r="O1144" s="652">
        <f>IF($B1144="",,SUMIFS(PerHeadcount[Month 4],PerHeadcount[exp_item],$H1144,PerHeadcount[company_name],$B1144)*O199)</f>
        <v>0</v>
      </c>
      <c r="P1144" s="652">
        <f>IF($B1144="",,SUMIFS(PerHeadcount[Month 5],PerHeadcount[exp_item],$H1144,PerHeadcount[company_name],$B1144)*P199)</f>
        <v>0</v>
      </c>
      <c r="Q1144" s="652">
        <f>IF($B1144="",,SUMIFS(PerHeadcount[Month 6],PerHeadcount[exp_item],$H1144,PerHeadcount[company_name],$B1144)*Q199)</f>
        <v>0</v>
      </c>
      <c r="R1144" s="652">
        <f>IF($B1144="",,SUMIFS(PerHeadcount[Month 7],PerHeadcount[exp_item],$H1144,PerHeadcount[company_name],$B1144)*R199)</f>
        <v>0</v>
      </c>
      <c r="S1144" s="652">
        <f>IF($B1144="",,SUMIFS(PerHeadcount[Month 8],PerHeadcount[exp_item],$H1144,PerHeadcount[company_name],$B1144)*S199)</f>
        <v>0</v>
      </c>
      <c r="T1144" s="652">
        <f>IF($B1144="",,SUMIFS(PerHeadcount[Month 9],PerHeadcount[exp_item],$H1144,PerHeadcount[company_name],$B1144)*T199)</f>
        <v>0</v>
      </c>
      <c r="U1144" s="652">
        <f>IF($B1144="",,SUMIFS(PerHeadcount[Month 10],PerHeadcount[exp_item],$H1144,PerHeadcount[company_name],$B1144)*U199)</f>
        <v>0</v>
      </c>
      <c r="V1144" s="652">
        <f>IF($B1144="",,SUMIFS(PerHeadcount[Month 11],PerHeadcount[exp_item],$H1144,PerHeadcount[company_name],$B1144)*V199)</f>
        <v>0</v>
      </c>
      <c r="W1144" s="652">
        <f>IF($B1144="",,SUMIFS(PerHeadcount[Month 12],PerHeadcount[exp_item],$H1144,PerHeadcount[company_name],$B1144)*W199)</f>
        <v>0</v>
      </c>
      <c r="X1144" s="652">
        <f>IF($B1144="",,SUMIFS(PerHeadcount[Month 13],PerHeadcount[exp_item],$H1144,PerHeadcount[company_name],$B1144)*X199)</f>
        <v>0</v>
      </c>
      <c r="Y1144" s="652">
        <f>IF($B1144="",,SUMIFS(PerHeadcount[Month 14],PerHeadcount[exp_item],$H1144,PerHeadcount[company_name],$B1144)*Y199)</f>
        <v>0</v>
      </c>
      <c r="Z1144" s="652">
        <f>IF($B1144="",,SUMIFS(PerHeadcount[Month 15],PerHeadcount[exp_item],$H1144,PerHeadcount[company_name],$B1144)*Z199)</f>
        <v>0</v>
      </c>
      <c r="AA1144" s="652">
        <f>IF($B1144="",,SUMIFS(PerHeadcount[Month 16],PerHeadcount[exp_item],$H1144,PerHeadcount[company_name],$B1144)*AA199)</f>
        <v>0</v>
      </c>
      <c r="AB1144" s="652">
        <f>IF($B1144="",,SUMIFS(PerHeadcount[Month 17],PerHeadcount[exp_item],$H1144,PerHeadcount[company_name],$B1144)*AB199)</f>
        <v>0</v>
      </c>
      <c r="AC1144" s="652">
        <f>IF($B1144="",,SUMIFS(PerHeadcount[Month 18],PerHeadcount[exp_item],$H1144,PerHeadcount[company_name],$B1144)*AC199)</f>
        <v>0</v>
      </c>
      <c r="AD1144" s="652">
        <f>IF($B1144="",,SUMIFS(PerHeadcount[Month 19],PerHeadcount[exp_item],$H1144,PerHeadcount[company_name],$B1144)*AD199)</f>
        <v>0</v>
      </c>
      <c r="AE1144" s="652">
        <f>IF($B1144="",,SUMIFS(PerHeadcount[Month 20],PerHeadcount[exp_item],$H1144,PerHeadcount[company_name],$B1144)*AE199)</f>
        <v>0</v>
      </c>
      <c r="AF1144" s="652">
        <f>IF($B1144="",,SUMIFS(PerHeadcount[Month 21],PerHeadcount[exp_item],$H1144,PerHeadcount[company_name],$B1144)*AF199)</f>
        <v>0</v>
      </c>
      <c r="AG1144" s="652">
        <f>IF($B1144="",,SUMIFS(PerHeadcount[Month 22],PerHeadcount[exp_item],$H1144,PerHeadcount[company_name],$B1144)*AG199)</f>
        <v>0</v>
      </c>
      <c r="AH1144" s="652">
        <f>IF($B1144="",,SUMIFS(PerHeadcount[Month 23],PerHeadcount[exp_item],$H1144,PerHeadcount[company_name],$B1144)*AH199)</f>
        <v>0</v>
      </c>
      <c r="AI1144" s="652">
        <f>IF($B1144="",,SUMIFS(PerHeadcount[Month 24],PerHeadcount[exp_item],$H1144,PerHeadcount[company_name],$B1144)*AI199)</f>
        <v>0</v>
      </c>
      <c r="AJ1144" s="652">
        <f>IF($B1144="",,SUMIFS(PerHeadcount[Month 25],PerHeadcount[exp_item],$H1144,PerHeadcount[company_name],$B1144)*AJ199)</f>
        <v>0</v>
      </c>
      <c r="AK1144" s="652">
        <f>IF($B1144="",,SUMIFS(PerHeadcount[Month 26],PerHeadcount[exp_item],$H1144,PerHeadcount[company_name],$B1144)*AK199)</f>
        <v>0</v>
      </c>
      <c r="AL1144" s="652">
        <f>IF($B1144="",,SUMIFS(PerHeadcount[Month 27],PerHeadcount[exp_item],$H1144,PerHeadcount[company_name],$B1144)*AL199)</f>
        <v>0</v>
      </c>
      <c r="AM1144" s="652">
        <f>IF($B1144="",,SUMIFS(PerHeadcount[Month 28],PerHeadcount[exp_item],$H1144,PerHeadcount[company_name],$B1144)*AM199)</f>
        <v>0</v>
      </c>
      <c r="AN1144" s="652">
        <f>IF($B1144="",,SUMIFS(PerHeadcount[Month 29],PerHeadcount[exp_item],$H1144,PerHeadcount[company_name],$B1144)*AN199)</f>
        <v>0</v>
      </c>
      <c r="AO1144" s="652">
        <f>IF($B1144="",,SUMIFS(PerHeadcount[Month 30],PerHeadcount[exp_item],$H1144,PerHeadcount[company_name],$B1144)*AO199)</f>
        <v>0</v>
      </c>
      <c r="AP1144" s="652">
        <f>IF($B1144="",,SUMIFS(PerHeadcount[Month 31],PerHeadcount[exp_item],$H1144,PerHeadcount[company_name],$B1144)*AP199)</f>
        <v>0</v>
      </c>
      <c r="AQ1144" s="652">
        <f>IF($B1144="",,SUMIFS(PerHeadcount[Month 32],PerHeadcount[exp_item],$H1144,PerHeadcount[company_name],$B1144)*AQ199)</f>
        <v>0</v>
      </c>
      <c r="AR1144" s="652">
        <f>IF($B1144="",,SUMIFS(PerHeadcount[Month 33],PerHeadcount[exp_item],$H1144,PerHeadcount[company_name],$B1144)*AR199)</f>
        <v>0</v>
      </c>
      <c r="AS1144" s="652">
        <f>IF($B1144="",,SUMIFS(PerHeadcount[Month 34],PerHeadcount[exp_item],$H1144,PerHeadcount[company_name],$B1144)*AS199)</f>
        <v>0</v>
      </c>
      <c r="AT1144" s="652">
        <f>IF($B1144="",,SUMIFS(PerHeadcount[Month 35],PerHeadcount[exp_item],$H1144,PerHeadcount[company_name],$B1144)*AT199)</f>
        <v>0</v>
      </c>
      <c r="AU1144" s="652">
        <f>IF($B1144="",,SUMIFS(PerHeadcount[Month 36],PerHeadcount[exp_item],$H1144,PerHeadcount[company_name],$B1144)*AU199)</f>
        <v>0</v>
      </c>
    </row>
    <row r="1145" spans="2:47" x14ac:dyDescent="0.35">
      <c r="B1145" t="str">
        <f t="shared" si="772"/>
        <v/>
      </c>
      <c r="C1145" t="str">
        <f t="shared" ref="C1145:G1145" si="787">IF(C1040="","",C1040)</f>
        <v/>
      </c>
      <c r="D1145" t="str">
        <f t="shared" si="787"/>
        <v/>
      </c>
      <c r="E1145" t="str">
        <f t="shared" si="787"/>
        <v/>
      </c>
      <c r="F1145" t="str">
        <f t="shared" si="787"/>
        <v/>
      </c>
      <c r="G1145" t="str">
        <f t="shared" si="787"/>
        <v/>
      </c>
      <c r="H1145" t="str">
        <f t="shared" si="771"/>
        <v/>
      </c>
      <c r="J1145" t="str">
        <f>IF($H1145="","",IF(VLOOKUP(H1145,ExpItems[],2,0),H1145&amp;" - "&amp;INDEX(DivisionMapping[category_code],MATCH($D1145&amp;$C1145,DivisionMapping[dept_bu],0)),H1145))</f>
        <v/>
      </c>
      <c r="K1145" t="str">
        <f t="shared" si="774"/>
        <v/>
      </c>
      <c r="L1145" s="652">
        <f>IF($B1145="",,SUMIFS(PerHeadcount[Month 1],PerHeadcount[exp_item],$H1145,PerHeadcount[company_name],$B1145)*L200)</f>
        <v>0</v>
      </c>
      <c r="M1145" s="652">
        <f>IF($B1145="",,SUMIFS(PerHeadcount[Month 2],PerHeadcount[exp_item],$H1145,PerHeadcount[company_name],$B1145)*M200)</f>
        <v>0</v>
      </c>
      <c r="N1145" s="652">
        <f>IF($B1145="",,SUMIFS(PerHeadcount[Month 3],PerHeadcount[exp_item],$H1145,PerHeadcount[company_name],$B1145)*N200)</f>
        <v>0</v>
      </c>
      <c r="O1145" s="652">
        <f>IF($B1145="",,SUMIFS(PerHeadcount[Month 4],PerHeadcount[exp_item],$H1145,PerHeadcount[company_name],$B1145)*O200)</f>
        <v>0</v>
      </c>
      <c r="P1145" s="652">
        <f>IF($B1145="",,SUMIFS(PerHeadcount[Month 5],PerHeadcount[exp_item],$H1145,PerHeadcount[company_name],$B1145)*P200)</f>
        <v>0</v>
      </c>
      <c r="Q1145" s="652">
        <f>IF($B1145="",,SUMIFS(PerHeadcount[Month 6],PerHeadcount[exp_item],$H1145,PerHeadcount[company_name],$B1145)*Q200)</f>
        <v>0</v>
      </c>
      <c r="R1145" s="652">
        <f>IF($B1145="",,SUMIFS(PerHeadcount[Month 7],PerHeadcount[exp_item],$H1145,PerHeadcount[company_name],$B1145)*R200)</f>
        <v>0</v>
      </c>
      <c r="S1145" s="652">
        <f>IF($B1145="",,SUMIFS(PerHeadcount[Month 8],PerHeadcount[exp_item],$H1145,PerHeadcount[company_name],$B1145)*S200)</f>
        <v>0</v>
      </c>
      <c r="T1145" s="652">
        <f>IF($B1145="",,SUMIFS(PerHeadcount[Month 9],PerHeadcount[exp_item],$H1145,PerHeadcount[company_name],$B1145)*T200)</f>
        <v>0</v>
      </c>
      <c r="U1145" s="652">
        <f>IF($B1145="",,SUMIFS(PerHeadcount[Month 10],PerHeadcount[exp_item],$H1145,PerHeadcount[company_name],$B1145)*U200)</f>
        <v>0</v>
      </c>
      <c r="V1145" s="652">
        <f>IF($B1145="",,SUMIFS(PerHeadcount[Month 11],PerHeadcount[exp_item],$H1145,PerHeadcount[company_name],$B1145)*V200)</f>
        <v>0</v>
      </c>
      <c r="W1145" s="652">
        <f>IF($B1145="",,SUMIFS(PerHeadcount[Month 12],PerHeadcount[exp_item],$H1145,PerHeadcount[company_name],$B1145)*W200)</f>
        <v>0</v>
      </c>
      <c r="X1145" s="652">
        <f>IF($B1145="",,SUMIFS(PerHeadcount[Month 13],PerHeadcount[exp_item],$H1145,PerHeadcount[company_name],$B1145)*X200)</f>
        <v>0</v>
      </c>
      <c r="Y1145" s="652">
        <f>IF($B1145="",,SUMIFS(PerHeadcount[Month 14],PerHeadcount[exp_item],$H1145,PerHeadcount[company_name],$B1145)*Y200)</f>
        <v>0</v>
      </c>
      <c r="Z1145" s="652">
        <f>IF($B1145="",,SUMIFS(PerHeadcount[Month 15],PerHeadcount[exp_item],$H1145,PerHeadcount[company_name],$B1145)*Z200)</f>
        <v>0</v>
      </c>
      <c r="AA1145" s="652">
        <f>IF($B1145="",,SUMIFS(PerHeadcount[Month 16],PerHeadcount[exp_item],$H1145,PerHeadcount[company_name],$B1145)*AA200)</f>
        <v>0</v>
      </c>
      <c r="AB1145" s="652">
        <f>IF($B1145="",,SUMIFS(PerHeadcount[Month 17],PerHeadcount[exp_item],$H1145,PerHeadcount[company_name],$B1145)*AB200)</f>
        <v>0</v>
      </c>
      <c r="AC1145" s="652">
        <f>IF($B1145="",,SUMIFS(PerHeadcount[Month 18],PerHeadcount[exp_item],$H1145,PerHeadcount[company_name],$B1145)*AC200)</f>
        <v>0</v>
      </c>
      <c r="AD1145" s="652">
        <f>IF($B1145="",,SUMIFS(PerHeadcount[Month 19],PerHeadcount[exp_item],$H1145,PerHeadcount[company_name],$B1145)*AD200)</f>
        <v>0</v>
      </c>
      <c r="AE1145" s="652">
        <f>IF($B1145="",,SUMIFS(PerHeadcount[Month 20],PerHeadcount[exp_item],$H1145,PerHeadcount[company_name],$B1145)*AE200)</f>
        <v>0</v>
      </c>
      <c r="AF1145" s="652">
        <f>IF($B1145="",,SUMIFS(PerHeadcount[Month 21],PerHeadcount[exp_item],$H1145,PerHeadcount[company_name],$B1145)*AF200)</f>
        <v>0</v>
      </c>
      <c r="AG1145" s="652">
        <f>IF($B1145="",,SUMIFS(PerHeadcount[Month 22],PerHeadcount[exp_item],$H1145,PerHeadcount[company_name],$B1145)*AG200)</f>
        <v>0</v>
      </c>
      <c r="AH1145" s="652">
        <f>IF($B1145="",,SUMIFS(PerHeadcount[Month 23],PerHeadcount[exp_item],$H1145,PerHeadcount[company_name],$B1145)*AH200)</f>
        <v>0</v>
      </c>
      <c r="AI1145" s="652">
        <f>IF($B1145="",,SUMIFS(PerHeadcount[Month 24],PerHeadcount[exp_item],$H1145,PerHeadcount[company_name],$B1145)*AI200)</f>
        <v>0</v>
      </c>
      <c r="AJ1145" s="652">
        <f>IF($B1145="",,SUMIFS(PerHeadcount[Month 25],PerHeadcount[exp_item],$H1145,PerHeadcount[company_name],$B1145)*AJ200)</f>
        <v>0</v>
      </c>
      <c r="AK1145" s="652">
        <f>IF($B1145="",,SUMIFS(PerHeadcount[Month 26],PerHeadcount[exp_item],$H1145,PerHeadcount[company_name],$B1145)*AK200)</f>
        <v>0</v>
      </c>
      <c r="AL1145" s="652">
        <f>IF($B1145="",,SUMIFS(PerHeadcount[Month 27],PerHeadcount[exp_item],$H1145,PerHeadcount[company_name],$B1145)*AL200)</f>
        <v>0</v>
      </c>
      <c r="AM1145" s="652">
        <f>IF($B1145="",,SUMIFS(PerHeadcount[Month 28],PerHeadcount[exp_item],$H1145,PerHeadcount[company_name],$B1145)*AM200)</f>
        <v>0</v>
      </c>
      <c r="AN1145" s="652">
        <f>IF($B1145="",,SUMIFS(PerHeadcount[Month 29],PerHeadcount[exp_item],$H1145,PerHeadcount[company_name],$B1145)*AN200)</f>
        <v>0</v>
      </c>
      <c r="AO1145" s="652">
        <f>IF($B1145="",,SUMIFS(PerHeadcount[Month 30],PerHeadcount[exp_item],$H1145,PerHeadcount[company_name],$B1145)*AO200)</f>
        <v>0</v>
      </c>
      <c r="AP1145" s="652">
        <f>IF($B1145="",,SUMIFS(PerHeadcount[Month 31],PerHeadcount[exp_item],$H1145,PerHeadcount[company_name],$B1145)*AP200)</f>
        <v>0</v>
      </c>
      <c r="AQ1145" s="652">
        <f>IF($B1145="",,SUMIFS(PerHeadcount[Month 32],PerHeadcount[exp_item],$H1145,PerHeadcount[company_name],$B1145)*AQ200)</f>
        <v>0</v>
      </c>
      <c r="AR1145" s="652">
        <f>IF($B1145="",,SUMIFS(PerHeadcount[Month 33],PerHeadcount[exp_item],$H1145,PerHeadcount[company_name],$B1145)*AR200)</f>
        <v>0</v>
      </c>
      <c r="AS1145" s="652">
        <f>IF($B1145="",,SUMIFS(PerHeadcount[Month 34],PerHeadcount[exp_item],$H1145,PerHeadcount[company_name],$B1145)*AS200)</f>
        <v>0</v>
      </c>
      <c r="AT1145" s="652">
        <f>IF($B1145="",,SUMIFS(PerHeadcount[Month 35],PerHeadcount[exp_item],$H1145,PerHeadcount[company_name],$B1145)*AT200)</f>
        <v>0</v>
      </c>
      <c r="AU1145" s="652">
        <f>IF($B1145="",,SUMIFS(PerHeadcount[Month 36],PerHeadcount[exp_item],$H1145,PerHeadcount[company_name],$B1145)*AU200)</f>
        <v>0</v>
      </c>
    </row>
    <row r="1146" spans="2:47" x14ac:dyDescent="0.35">
      <c r="B1146" t="str">
        <f t="shared" si="772"/>
        <v/>
      </c>
      <c r="C1146" t="str">
        <f t="shared" ref="C1146:G1146" si="788">IF(C1041="","",C1041)</f>
        <v/>
      </c>
      <c r="D1146" t="str">
        <f t="shared" si="788"/>
        <v/>
      </c>
      <c r="E1146" t="str">
        <f t="shared" si="788"/>
        <v/>
      </c>
      <c r="F1146" t="str">
        <f t="shared" si="788"/>
        <v/>
      </c>
      <c r="G1146" t="str">
        <f t="shared" si="788"/>
        <v/>
      </c>
      <c r="H1146" t="str">
        <f t="shared" si="771"/>
        <v/>
      </c>
      <c r="J1146" t="str">
        <f>IF($H1146="","",IF(VLOOKUP(H1146,ExpItems[],2,0),H1146&amp;" - "&amp;INDEX(DivisionMapping[category_code],MATCH($D1146&amp;$C1146,DivisionMapping[dept_bu],0)),H1146))</f>
        <v/>
      </c>
      <c r="K1146" t="str">
        <f t="shared" si="774"/>
        <v/>
      </c>
      <c r="L1146" s="652">
        <f>IF($B1146="",,SUMIFS(PerHeadcount[Month 1],PerHeadcount[exp_item],$H1146,PerHeadcount[company_name],$B1146)*L201)</f>
        <v>0</v>
      </c>
      <c r="M1146" s="652">
        <f>IF($B1146="",,SUMIFS(PerHeadcount[Month 2],PerHeadcount[exp_item],$H1146,PerHeadcount[company_name],$B1146)*M201)</f>
        <v>0</v>
      </c>
      <c r="N1146" s="652">
        <f>IF($B1146="",,SUMIFS(PerHeadcount[Month 3],PerHeadcount[exp_item],$H1146,PerHeadcount[company_name],$B1146)*N201)</f>
        <v>0</v>
      </c>
      <c r="O1146" s="652">
        <f>IF($B1146="",,SUMIFS(PerHeadcount[Month 4],PerHeadcount[exp_item],$H1146,PerHeadcount[company_name],$B1146)*O201)</f>
        <v>0</v>
      </c>
      <c r="P1146" s="652">
        <f>IF($B1146="",,SUMIFS(PerHeadcount[Month 5],PerHeadcount[exp_item],$H1146,PerHeadcount[company_name],$B1146)*P201)</f>
        <v>0</v>
      </c>
      <c r="Q1146" s="652">
        <f>IF($B1146="",,SUMIFS(PerHeadcount[Month 6],PerHeadcount[exp_item],$H1146,PerHeadcount[company_name],$B1146)*Q201)</f>
        <v>0</v>
      </c>
      <c r="R1146" s="652">
        <f>IF($B1146="",,SUMIFS(PerHeadcount[Month 7],PerHeadcount[exp_item],$H1146,PerHeadcount[company_name],$B1146)*R201)</f>
        <v>0</v>
      </c>
      <c r="S1146" s="652">
        <f>IF($B1146="",,SUMIFS(PerHeadcount[Month 8],PerHeadcount[exp_item],$H1146,PerHeadcount[company_name],$B1146)*S201)</f>
        <v>0</v>
      </c>
      <c r="T1146" s="652">
        <f>IF($B1146="",,SUMIFS(PerHeadcount[Month 9],PerHeadcount[exp_item],$H1146,PerHeadcount[company_name],$B1146)*T201)</f>
        <v>0</v>
      </c>
      <c r="U1146" s="652">
        <f>IF($B1146="",,SUMIFS(PerHeadcount[Month 10],PerHeadcount[exp_item],$H1146,PerHeadcount[company_name],$B1146)*U201)</f>
        <v>0</v>
      </c>
      <c r="V1146" s="652">
        <f>IF($B1146="",,SUMIFS(PerHeadcount[Month 11],PerHeadcount[exp_item],$H1146,PerHeadcount[company_name],$B1146)*V201)</f>
        <v>0</v>
      </c>
      <c r="W1146" s="652">
        <f>IF($B1146="",,SUMIFS(PerHeadcount[Month 12],PerHeadcount[exp_item],$H1146,PerHeadcount[company_name],$B1146)*W201)</f>
        <v>0</v>
      </c>
      <c r="X1146" s="652">
        <f>IF($B1146="",,SUMIFS(PerHeadcount[Month 13],PerHeadcount[exp_item],$H1146,PerHeadcount[company_name],$B1146)*X201)</f>
        <v>0</v>
      </c>
      <c r="Y1146" s="652">
        <f>IF($B1146="",,SUMIFS(PerHeadcount[Month 14],PerHeadcount[exp_item],$H1146,PerHeadcount[company_name],$B1146)*Y201)</f>
        <v>0</v>
      </c>
      <c r="Z1146" s="652">
        <f>IF($B1146="",,SUMIFS(PerHeadcount[Month 15],PerHeadcount[exp_item],$H1146,PerHeadcount[company_name],$B1146)*Z201)</f>
        <v>0</v>
      </c>
      <c r="AA1146" s="652">
        <f>IF($B1146="",,SUMIFS(PerHeadcount[Month 16],PerHeadcount[exp_item],$H1146,PerHeadcount[company_name],$B1146)*AA201)</f>
        <v>0</v>
      </c>
      <c r="AB1146" s="652">
        <f>IF($B1146="",,SUMIFS(PerHeadcount[Month 17],PerHeadcount[exp_item],$H1146,PerHeadcount[company_name],$B1146)*AB201)</f>
        <v>0</v>
      </c>
      <c r="AC1146" s="652">
        <f>IF($B1146="",,SUMIFS(PerHeadcount[Month 18],PerHeadcount[exp_item],$H1146,PerHeadcount[company_name],$B1146)*AC201)</f>
        <v>0</v>
      </c>
      <c r="AD1146" s="652">
        <f>IF($B1146="",,SUMIFS(PerHeadcount[Month 19],PerHeadcount[exp_item],$H1146,PerHeadcount[company_name],$B1146)*AD201)</f>
        <v>0</v>
      </c>
      <c r="AE1146" s="652">
        <f>IF($B1146="",,SUMIFS(PerHeadcount[Month 20],PerHeadcount[exp_item],$H1146,PerHeadcount[company_name],$B1146)*AE201)</f>
        <v>0</v>
      </c>
      <c r="AF1146" s="652">
        <f>IF($B1146="",,SUMIFS(PerHeadcount[Month 21],PerHeadcount[exp_item],$H1146,PerHeadcount[company_name],$B1146)*AF201)</f>
        <v>0</v>
      </c>
      <c r="AG1146" s="652">
        <f>IF($B1146="",,SUMIFS(PerHeadcount[Month 22],PerHeadcount[exp_item],$H1146,PerHeadcount[company_name],$B1146)*AG201)</f>
        <v>0</v>
      </c>
      <c r="AH1146" s="652">
        <f>IF($B1146="",,SUMIFS(PerHeadcount[Month 23],PerHeadcount[exp_item],$H1146,PerHeadcount[company_name],$B1146)*AH201)</f>
        <v>0</v>
      </c>
      <c r="AI1146" s="652">
        <f>IF($B1146="",,SUMIFS(PerHeadcount[Month 24],PerHeadcount[exp_item],$H1146,PerHeadcount[company_name],$B1146)*AI201)</f>
        <v>0</v>
      </c>
      <c r="AJ1146" s="652">
        <f>IF($B1146="",,SUMIFS(PerHeadcount[Month 25],PerHeadcount[exp_item],$H1146,PerHeadcount[company_name],$B1146)*AJ201)</f>
        <v>0</v>
      </c>
      <c r="AK1146" s="652">
        <f>IF($B1146="",,SUMIFS(PerHeadcount[Month 26],PerHeadcount[exp_item],$H1146,PerHeadcount[company_name],$B1146)*AK201)</f>
        <v>0</v>
      </c>
      <c r="AL1146" s="652">
        <f>IF($B1146="",,SUMIFS(PerHeadcount[Month 27],PerHeadcount[exp_item],$H1146,PerHeadcount[company_name],$B1146)*AL201)</f>
        <v>0</v>
      </c>
      <c r="AM1146" s="652">
        <f>IF($B1146="",,SUMIFS(PerHeadcount[Month 28],PerHeadcount[exp_item],$H1146,PerHeadcount[company_name],$B1146)*AM201)</f>
        <v>0</v>
      </c>
      <c r="AN1146" s="652">
        <f>IF($B1146="",,SUMIFS(PerHeadcount[Month 29],PerHeadcount[exp_item],$H1146,PerHeadcount[company_name],$B1146)*AN201)</f>
        <v>0</v>
      </c>
      <c r="AO1146" s="652">
        <f>IF($B1146="",,SUMIFS(PerHeadcount[Month 30],PerHeadcount[exp_item],$H1146,PerHeadcount[company_name],$B1146)*AO201)</f>
        <v>0</v>
      </c>
      <c r="AP1146" s="652">
        <f>IF($B1146="",,SUMIFS(PerHeadcount[Month 31],PerHeadcount[exp_item],$H1146,PerHeadcount[company_name],$B1146)*AP201)</f>
        <v>0</v>
      </c>
      <c r="AQ1146" s="652">
        <f>IF($B1146="",,SUMIFS(PerHeadcount[Month 32],PerHeadcount[exp_item],$H1146,PerHeadcount[company_name],$B1146)*AQ201)</f>
        <v>0</v>
      </c>
      <c r="AR1146" s="652">
        <f>IF($B1146="",,SUMIFS(PerHeadcount[Month 33],PerHeadcount[exp_item],$H1146,PerHeadcount[company_name],$B1146)*AR201)</f>
        <v>0</v>
      </c>
      <c r="AS1146" s="652">
        <f>IF($B1146="",,SUMIFS(PerHeadcount[Month 34],PerHeadcount[exp_item],$H1146,PerHeadcount[company_name],$B1146)*AS201)</f>
        <v>0</v>
      </c>
      <c r="AT1146" s="652">
        <f>IF($B1146="",,SUMIFS(PerHeadcount[Month 35],PerHeadcount[exp_item],$H1146,PerHeadcount[company_name],$B1146)*AT201)</f>
        <v>0</v>
      </c>
      <c r="AU1146" s="652">
        <f>IF($B1146="",,SUMIFS(PerHeadcount[Month 36],PerHeadcount[exp_item],$H1146,PerHeadcount[company_name],$B1146)*AU201)</f>
        <v>0</v>
      </c>
    </row>
    <row r="1147" spans="2:47" x14ac:dyDescent="0.35">
      <c r="B1147" t="str">
        <f t="shared" si="772"/>
        <v/>
      </c>
      <c r="C1147" t="str">
        <f t="shared" ref="C1147:G1147" si="789">IF(C1042="","",C1042)</f>
        <v/>
      </c>
      <c r="D1147" t="str">
        <f t="shared" si="789"/>
        <v/>
      </c>
      <c r="E1147" t="str">
        <f t="shared" si="789"/>
        <v/>
      </c>
      <c r="F1147" t="str">
        <f t="shared" si="789"/>
        <v/>
      </c>
      <c r="G1147" t="str">
        <f t="shared" si="789"/>
        <v/>
      </c>
      <c r="H1147" t="str">
        <f t="shared" si="771"/>
        <v/>
      </c>
      <c r="J1147" t="str">
        <f>IF($H1147="","",IF(VLOOKUP(H1147,ExpItems[],2,0),H1147&amp;" - "&amp;INDEX(DivisionMapping[category_code],MATCH($D1147&amp;$C1147,DivisionMapping[dept_bu],0)),H1147))</f>
        <v/>
      </c>
      <c r="K1147" t="str">
        <f t="shared" si="774"/>
        <v/>
      </c>
      <c r="L1147" s="652">
        <f>IF($B1147="",,SUMIFS(PerHeadcount[Month 1],PerHeadcount[exp_item],$H1147,PerHeadcount[company_name],$B1147)*L202)</f>
        <v>0</v>
      </c>
      <c r="M1147" s="652">
        <f>IF($B1147="",,SUMIFS(PerHeadcount[Month 2],PerHeadcount[exp_item],$H1147,PerHeadcount[company_name],$B1147)*M202)</f>
        <v>0</v>
      </c>
      <c r="N1147" s="652">
        <f>IF($B1147="",,SUMIFS(PerHeadcount[Month 3],PerHeadcount[exp_item],$H1147,PerHeadcount[company_name],$B1147)*N202)</f>
        <v>0</v>
      </c>
      <c r="O1147" s="652">
        <f>IF($B1147="",,SUMIFS(PerHeadcount[Month 4],PerHeadcount[exp_item],$H1147,PerHeadcount[company_name],$B1147)*O202)</f>
        <v>0</v>
      </c>
      <c r="P1147" s="652">
        <f>IF($B1147="",,SUMIFS(PerHeadcount[Month 5],PerHeadcount[exp_item],$H1147,PerHeadcount[company_name],$B1147)*P202)</f>
        <v>0</v>
      </c>
      <c r="Q1147" s="652">
        <f>IF($B1147="",,SUMIFS(PerHeadcount[Month 6],PerHeadcount[exp_item],$H1147,PerHeadcount[company_name],$B1147)*Q202)</f>
        <v>0</v>
      </c>
      <c r="R1147" s="652">
        <f>IF($B1147="",,SUMIFS(PerHeadcount[Month 7],PerHeadcount[exp_item],$H1147,PerHeadcount[company_name],$B1147)*R202)</f>
        <v>0</v>
      </c>
      <c r="S1147" s="652">
        <f>IF($B1147="",,SUMIFS(PerHeadcount[Month 8],PerHeadcount[exp_item],$H1147,PerHeadcount[company_name],$B1147)*S202)</f>
        <v>0</v>
      </c>
      <c r="T1147" s="652">
        <f>IF($B1147="",,SUMIFS(PerHeadcount[Month 9],PerHeadcount[exp_item],$H1147,PerHeadcount[company_name],$B1147)*T202)</f>
        <v>0</v>
      </c>
      <c r="U1147" s="652">
        <f>IF($B1147="",,SUMIFS(PerHeadcount[Month 10],PerHeadcount[exp_item],$H1147,PerHeadcount[company_name],$B1147)*U202)</f>
        <v>0</v>
      </c>
      <c r="V1147" s="652">
        <f>IF($B1147="",,SUMIFS(PerHeadcount[Month 11],PerHeadcount[exp_item],$H1147,PerHeadcount[company_name],$B1147)*V202)</f>
        <v>0</v>
      </c>
      <c r="W1147" s="652">
        <f>IF($B1147="",,SUMIFS(PerHeadcount[Month 12],PerHeadcount[exp_item],$H1147,PerHeadcount[company_name],$B1147)*W202)</f>
        <v>0</v>
      </c>
      <c r="X1147" s="652">
        <f>IF($B1147="",,SUMIFS(PerHeadcount[Month 13],PerHeadcount[exp_item],$H1147,PerHeadcount[company_name],$B1147)*X202)</f>
        <v>0</v>
      </c>
      <c r="Y1147" s="652">
        <f>IF($B1147="",,SUMIFS(PerHeadcount[Month 14],PerHeadcount[exp_item],$H1147,PerHeadcount[company_name],$B1147)*Y202)</f>
        <v>0</v>
      </c>
      <c r="Z1147" s="652">
        <f>IF($B1147="",,SUMIFS(PerHeadcount[Month 15],PerHeadcount[exp_item],$H1147,PerHeadcount[company_name],$B1147)*Z202)</f>
        <v>0</v>
      </c>
      <c r="AA1147" s="652">
        <f>IF($B1147="",,SUMIFS(PerHeadcount[Month 16],PerHeadcount[exp_item],$H1147,PerHeadcount[company_name],$B1147)*AA202)</f>
        <v>0</v>
      </c>
      <c r="AB1147" s="652">
        <f>IF($B1147="",,SUMIFS(PerHeadcount[Month 17],PerHeadcount[exp_item],$H1147,PerHeadcount[company_name],$B1147)*AB202)</f>
        <v>0</v>
      </c>
      <c r="AC1147" s="652">
        <f>IF($B1147="",,SUMIFS(PerHeadcount[Month 18],PerHeadcount[exp_item],$H1147,PerHeadcount[company_name],$B1147)*AC202)</f>
        <v>0</v>
      </c>
      <c r="AD1147" s="652">
        <f>IF($B1147="",,SUMIFS(PerHeadcount[Month 19],PerHeadcount[exp_item],$H1147,PerHeadcount[company_name],$B1147)*AD202)</f>
        <v>0</v>
      </c>
      <c r="AE1147" s="652">
        <f>IF($B1147="",,SUMIFS(PerHeadcount[Month 20],PerHeadcount[exp_item],$H1147,PerHeadcount[company_name],$B1147)*AE202)</f>
        <v>0</v>
      </c>
      <c r="AF1147" s="652">
        <f>IF($B1147="",,SUMIFS(PerHeadcount[Month 21],PerHeadcount[exp_item],$H1147,PerHeadcount[company_name],$B1147)*AF202)</f>
        <v>0</v>
      </c>
      <c r="AG1147" s="652">
        <f>IF($B1147="",,SUMIFS(PerHeadcount[Month 22],PerHeadcount[exp_item],$H1147,PerHeadcount[company_name],$B1147)*AG202)</f>
        <v>0</v>
      </c>
      <c r="AH1147" s="652">
        <f>IF($B1147="",,SUMIFS(PerHeadcount[Month 23],PerHeadcount[exp_item],$H1147,PerHeadcount[company_name],$B1147)*AH202)</f>
        <v>0</v>
      </c>
      <c r="AI1147" s="652">
        <f>IF($B1147="",,SUMIFS(PerHeadcount[Month 24],PerHeadcount[exp_item],$H1147,PerHeadcount[company_name],$B1147)*AI202)</f>
        <v>0</v>
      </c>
      <c r="AJ1147" s="652">
        <f>IF($B1147="",,SUMIFS(PerHeadcount[Month 25],PerHeadcount[exp_item],$H1147,PerHeadcount[company_name],$B1147)*AJ202)</f>
        <v>0</v>
      </c>
      <c r="AK1147" s="652">
        <f>IF($B1147="",,SUMIFS(PerHeadcount[Month 26],PerHeadcount[exp_item],$H1147,PerHeadcount[company_name],$B1147)*AK202)</f>
        <v>0</v>
      </c>
      <c r="AL1147" s="652">
        <f>IF($B1147="",,SUMIFS(PerHeadcount[Month 27],PerHeadcount[exp_item],$H1147,PerHeadcount[company_name],$B1147)*AL202)</f>
        <v>0</v>
      </c>
      <c r="AM1147" s="652">
        <f>IF($B1147="",,SUMIFS(PerHeadcount[Month 28],PerHeadcount[exp_item],$H1147,PerHeadcount[company_name],$B1147)*AM202)</f>
        <v>0</v>
      </c>
      <c r="AN1147" s="652">
        <f>IF($B1147="",,SUMIFS(PerHeadcount[Month 29],PerHeadcount[exp_item],$H1147,PerHeadcount[company_name],$B1147)*AN202)</f>
        <v>0</v>
      </c>
      <c r="AO1147" s="652">
        <f>IF($B1147="",,SUMIFS(PerHeadcount[Month 30],PerHeadcount[exp_item],$H1147,PerHeadcount[company_name],$B1147)*AO202)</f>
        <v>0</v>
      </c>
      <c r="AP1147" s="652">
        <f>IF($B1147="",,SUMIFS(PerHeadcount[Month 31],PerHeadcount[exp_item],$H1147,PerHeadcount[company_name],$B1147)*AP202)</f>
        <v>0</v>
      </c>
      <c r="AQ1147" s="652">
        <f>IF($B1147="",,SUMIFS(PerHeadcount[Month 32],PerHeadcount[exp_item],$H1147,PerHeadcount[company_name],$B1147)*AQ202)</f>
        <v>0</v>
      </c>
      <c r="AR1147" s="652">
        <f>IF($B1147="",,SUMIFS(PerHeadcount[Month 33],PerHeadcount[exp_item],$H1147,PerHeadcount[company_name],$B1147)*AR202)</f>
        <v>0</v>
      </c>
      <c r="AS1147" s="652">
        <f>IF($B1147="",,SUMIFS(PerHeadcount[Month 34],PerHeadcount[exp_item],$H1147,PerHeadcount[company_name],$B1147)*AS202)</f>
        <v>0</v>
      </c>
      <c r="AT1147" s="652">
        <f>IF($B1147="",,SUMIFS(PerHeadcount[Month 35],PerHeadcount[exp_item],$H1147,PerHeadcount[company_name],$B1147)*AT202)</f>
        <v>0</v>
      </c>
      <c r="AU1147" s="652">
        <f>IF($B1147="",,SUMIFS(PerHeadcount[Month 36],PerHeadcount[exp_item],$H1147,PerHeadcount[company_name],$B1147)*AU202)</f>
        <v>0</v>
      </c>
    </row>
    <row r="1148" spans="2:47" x14ac:dyDescent="0.35">
      <c r="B1148" t="str">
        <f t="shared" si="772"/>
        <v/>
      </c>
      <c r="C1148" t="str">
        <f t="shared" ref="C1148:G1148" si="790">IF(C1043="","",C1043)</f>
        <v/>
      </c>
      <c r="D1148" t="str">
        <f t="shared" si="790"/>
        <v/>
      </c>
      <c r="E1148" t="str">
        <f t="shared" si="790"/>
        <v/>
      </c>
      <c r="F1148" t="str">
        <f t="shared" si="790"/>
        <v/>
      </c>
      <c r="G1148" t="str">
        <f t="shared" si="790"/>
        <v/>
      </c>
      <c r="H1148" t="str">
        <f t="shared" si="771"/>
        <v/>
      </c>
      <c r="J1148" t="str">
        <f>IF($H1148="","",IF(VLOOKUP(H1148,ExpItems[],2,0),H1148&amp;" - "&amp;INDEX(DivisionMapping[category_code],MATCH($D1148&amp;$C1148,DivisionMapping[dept_bu],0)),H1148))</f>
        <v/>
      </c>
      <c r="K1148" t="str">
        <f t="shared" si="774"/>
        <v/>
      </c>
      <c r="L1148" s="652">
        <f>IF($B1148="",,SUMIFS(PerHeadcount[Month 1],PerHeadcount[exp_item],$H1148,PerHeadcount[company_name],$B1148)*L203)</f>
        <v>0</v>
      </c>
      <c r="M1148" s="652">
        <f>IF($B1148="",,SUMIFS(PerHeadcount[Month 2],PerHeadcount[exp_item],$H1148,PerHeadcount[company_name],$B1148)*M203)</f>
        <v>0</v>
      </c>
      <c r="N1148" s="652">
        <f>IF($B1148="",,SUMIFS(PerHeadcount[Month 3],PerHeadcount[exp_item],$H1148,PerHeadcount[company_name],$B1148)*N203)</f>
        <v>0</v>
      </c>
      <c r="O1148" s="652">
        <f>IF($B1148="",,SUMIFS(PerHeadcount[Month 4],PerHeadcount[exp_item],$H1148,PerHeadcount[company_name],$B1148)*O203)</f>
        <v>0</v>
      </c>
      <c r="P1148" s="652">
        <f>IF($B1148="",,SUMIFS(PerHeadcount[Month 5],PerHeadcount[exp_item],$H1148,PerHeadcount[company_name],$B1148)*P203)</f>
        <v>0</v>
      </c>
      <c r="Q1148" s="652">
        <f>IF($B1148="",,SUMIFS(PerHeadcount[Month 6],PerHeadcount[exp_item],$H1148,PerHeadcount[company_name],$B1148)*Q203)</f>
        <v>0</v>
      </c>
      <c r="R1148" s="652">
        <f>IF($B1148="",,SUMIFS(PerHeadcount[Month 7],PerHeadcount[exp_item],$H1148,PerHeadcount[company_name],$B1148)*R203)</f>
        <v>0</v>
      </c>
      <c r="S1148" s="652">
        <f>IF($B1148="",,SUMIFS(PerHeadcount[Month 8],PerHeadcount[exp_item],$H1148,PerHeadcount[company_name],$B1148)*S203)</f>
        <v>0</v>
      </c>
      <c r="T1148" s="652">
        <f>IF($B1148="",,SUMIFS(PerHeadcount[Month 9],PerHeadcount[exp_item],$H1148,PerHeadcount[company_name],$B1148)*T203)</f>
        <v>0</v>
      </c>
      <c r="U1148" s="652">
        <f>IF($B1148="",,SUMIFS(PerHeadcount[Month 10],PerHeadcount[exp_item],$H1148,PerHeadcount[company_name],$B1148)*U203)</f>
        <v>0</v>
      </c>
      <c r="V1148" s="652">
        <f>IF($B1148="",,SUMIFS(PerHeadcount[Month 11],PerHeadcount[exp_item],$H1148,PerHeadcount[company_name],$B1148)*V203)</f>
        <v>0</v>
      </c>
      <c r="W1148" s="652">
        <f>IF($B1148="",,SUMIFS(PerHeadcount[Month 12],PerHeadcount[exp_item],$H1148,PerHeadcount[company_name],$B1148)*W203)</f>
        <v>0</v>
      </c>
      <c r="X1148" s="652">
        <f>IF($B1148="",,SUMIFS(PerHeadcount[Month 13],PerHeadcount[exp_item],$H1148,PerHeadcount[company_name],$B1148)*X203)</f>
        <v>0</v>
      </c>
      <c r="Y1148" s="652">
        <f>IF($B1148="",,SUMIFS(PerHeadcount[Month 14],PerHeadcount[exp_item],$H1148,PerHeadcount[company_name],$B1148)*Y203)</f>
        <v>0</v>
      </c>
      <c r="Z1148" s="652">
        <f>IF($B1148="",,SUMIFS(PerHeadcount[Month 15],PerHeadcount[exp_item],$H1148,PerHeadcount[company_name],$B1148)*Z203)</f>
        <v>0</v>
      </c>
      <c r="AA1148" s="652">
        <f>IF($B1148="",,SUMIFS(PerHeadcount[Month 16],PerHeadcount[exp_item],$H1148,PerHeadcount[company_name],$B1148)*AA203)</f>
        <v>0</v>
      </c>
      <c r="AB1148" s="652">
        <f>IF($B1148="",,SUMIFS(PerHeadcount[Month 17],PerHeadcount[exp_item],$H1148,PerHeadcount[company_name],$B1148)*AB203)</f>
        <v>0</v>
      </c>
      <c r="AC1148" s="652">
        <f>IF($B1148="",,SUMIFS(PerHeadcount[Month 18],PerHeadcount[exp_item],$H1148,PerHeadcount[company_name],$B1148)*AC203)</f>
        <v>0</v>
      </c>
      <c r="AD1148" s="652">
        <f>IF($B1148="",,SUMIFS(PerHeadcount[Month 19],PerHeadcount[exp_item],$H1148,PerHeadcount[company_name],$B1148)*AD203)</f>
        <v>0</v>
      </c>
      <c r="AE1148" s="652">
        <f>IF($B1148="",,SUMIFS(PerHeadcount[Month 20],PerHeadcount[exp_item],$H1148,PerHeadcount[company_name],$B1148)*AE203)</f>
        <v>0</v>
      </c>
      <c r="AF1148" s="652">
        <f>IF($B1148="",,SUMIFS(PerHeadcount[Month 21],PerHeadcount[exp_item],$H1148,PerHeadcount[company_name],$B1148)*AF203)</f>
        <v>0</v>
      </c>
      <c r="AG1148" s="652">
        <f>IF($B1148="",,SUMIFS(PerHeadcount[Month 22],PerHeadcount[exp_item],$H1148,PerHeadcount[company_name],$B1148)*AG203)</f>
        <v>0</v>
      </c>
      <c r="AH1148" s="652">
        <f>IF($B1148="",,SUMIFS(PerHeadcount[Month 23],PerHeadcount[exp_item],$H1148,PerHeadcount[company_name],$B1148)*AH203)</f>
        <v>0</v>
      </c>
      <c r="AI1148" s="652">
        <f>IF($B1148="",,SUMIFS(PerHeadcount[Month 24],PerHeadcount[exp_item],$H1148,PerHeadcount[company_name],$B1148)*AI203)</f>
        <v>0</v>
      </c>
      <c r="AJ1148" s="652">
        <f>IF($B1148="",,SUMIFS(PerHeadcount[Month 25],PerHeadcount[exp_item],$H1148,PerHeadcount[company_name],$B1148)*AJ203)</f>
        <v>0</v>
      </c>
      <c r="AK1148" s="652">
        <f>IF($B1148="",,SUMIFS(PerHeadcount[Month 26],PerHeadcount[exp_item],$H1148,PerHeadcount[company_name],$B1148)*AK203)</f>
        <v>0</v>
      </c>
      <c r="AL1148" s="652">
        <f>IF($B1148="",,SUMIFS(PerHeadcount[Month 27],PerHeadcount[exp_item],$H1148,PerHeadcount[company_name],$B1148)*AL203)</f>
        <v>0</v>
      </c>
      <c r="AM1148" s="652">
        <f>IF($B1148="",,SUMIFS(PerHeadcount[Month 28],PerHeadcount[exp_item],$H1148,PerHeadcount[company_name],$B1148)*AM203)</f>
        <v>0</v>
      </c>
      <c r="AN1148" s="652">
        <f>IF($B1148="",,SUMIFS(PerHeadcount[Month 29],PerHeadcount[exp_item],$H1148,PerHeadcount[company_name],$B1148)*AN203)</f>
        <v>0</v>
      </c>
      <c r="AO1148" s="652">
        <f>IF($B1148="",,SUMIFS(PerHeadcount[Month 30],PerHeadcount[exp_item],$H1148,PerHeadcount[company_name],$B1148)*AO203)</f>
        <v>0</v>
      </c>
      <c r="AP1148" s="652">
        <f>IF($B1148="",,SUMIFS(PerHeadcount[Month 31],PerHeadcount[exp_item],$H1148,PerHeadcount[company_name],$B1148)*AP203)</f>
        <v>0</v>
      </c>
      <c r="AQ1148" s="652">
        <f>IF($B1148="",,SUMIFS(PerHeadcount[Month 32],PerHeadcount[exp_item],$H1148,PerHeadcount[company_name],$B1148)*AQ203)</f>
        <v>0</v>
      </c>
      <c r="AR1148" s="652">
        <f>IF($B1148="",,SUMIFS(PerHeadcount[Month 33],PerHeadcount[exp_item],$H1148,PerHeadcount[company_name],$B1148)*AR203)</f>
        <v>0</v>
      </c>
      <c r="AS1148" s="652">
        <f>IF($B1148="",,SUMIFS(PerHeadcount[Month 34],PerHeadcount[exp_item],$H1148,PerHeadcount[company_name],$B1148)*AS203)</f>
        <v>0</v>
      </c>
      <c r="AT1148" s="652">
        <f>IF($B1148="",,SUMIFS(PerHeadcount[Month 35],PerHeadcount[exp_item],$H1148,PerHeadcount[company_name],$B1148)*AT203)</f>
        <v>0</v>
      </c>
      <c r="AU1148" s="652">
        <f>IF($B1148="",,SUMIFS(PerHeadcount[Month 36],PerHeadcount[exp_item],$H1148,PerHeadcount[company_name],$B1148)*AU203)</f>
        <v>0</v>
      </c>
    </row>
    <row r="1149" spans="2:47" x14ac:dyDescent="0.35">
      <c r="B1149" t="str">
        <f t="shared" si="772"/>
        <v/>
      </c>
      <c r="C1149" t="str">
        <f t="shared" ref="C1149:G1149" si="791">IF(C1044="","",C1044)</f>
        <v/>
      </c>
      <c r="D1149" t="str">
        <f t="shared" si="791"/>
        <v/>
      </c>
      <c r="E1149" t="str">
        <f t="shared" si="791"/>
        <v/>
      </c>
      <c r="F1149" t="str">
        <f t="shared" si="791"/>
        <v/>
      </c>
      <c r="G1149" t="str">
        <f t="shared" si="791"/>
        <v/>
      </c>
      <c r="H1149" t="str">
        <f t="shared" si="771"/>
        <v/>
      </c>
      <c r="J1149" t="str">
        <f>IF($H1149="","",IF(VLOOKUP(H1149,ExpItems[],2,0),H1149&amp;" - "&amp;INDEX(DivisionMapping[category_code],MATCH($D1149&amp;$C1149,DivisionMapping[dept_bu],0)),H1149))</f>
        <v/>
      </c>
      <c r="K1149" t="str">
        <f t="shared" si="774"/>
        <v/>
      </c>
      <c r="L1149" s="652">
        <f>IF($B1149="",,SUMIFS(PerHeadcount[Month 1],PerHeadcount[exp_item],$H1149,PerHeadcount[company_name],$B1149)*L204)</f>
        <v>0</v>
      </c>
      <c r="M1149" s="652">
        <f>IF($B1149="",,SUMIFS(PerHeadcount[Month 2],PerHeadcount[exp_item],$H1149,PerHeadcount[company_name],$B1149)*M204)</f>
        <v>0</v>
      </c>
      <c r="N1149" s="652">
        <f>IF($B1149="",,SUMIFS(PerHeadcount[Month 3],PerHeadcount[exp_item],$H1149,PerHeadcount[company_name],$B1149)*N204)</f>
        <v>0</v>
      </c>
      <c r="O1149" s="652">
        <f>IF($B1149="",,SUMIFS(PerHeadcount[Month 4],PerHeadcount[exp_item],$H1149,PerHeadcount[company_name],$B1149)*O204)</f>
        <v>0</v>
      </c>
      <c r="P1149" s="652">
        <f>IF($B1149="",,SUMIFS(PerHeadcount[Month 5],PerHeadcount[exp_item],$H1149,PerHeadcount[company_name],$B1149)*P204)</f>
        <v>0</v>
      </c>
      <c r="Q1149" s="652">
        <f>IF($B1149="",,SUMIFS(PerHeadcount[Month 6],PerHeadcount[exp_item],$H1149,PerHeadcount[company_name],$B1149)*Q204)</f>
        <v>0</v>
      </c>
      <c r="R1149" s="652">
        <f>IF($B1149="",,SUMIFS(PerHeadcount[Month 7],PerHeadcount[exp_item],$H1149,PerHeadcount[company_name],$B1149)*R204)</f>
        <v>0</v>
      </c>
      <c r="S1149" s="652">
        <f>IF($B1149="",,SUMIFS(PerHeadcount[Month 8],PerHeadcount[exp_item],$H1149,PerHeadcount[company_name],$B1149)*S204)</f>
        <v>0</v>
      </c>
      <c r="T1149" s="652">
        <f>IF($B1149="",,SUMIFS(PerHeadcount[Month 9],PerHeadcount[exp_item],$H1149,PerHeadcount[company_name],$B1149)*T204)</f>
        <v>0</v>
      </c>
      <c r="U1149" s="652">
        <f>IF($B1149="",,SUMIFS(PerHeadcount[Month 10],PerHeadcount[exp_item],$H1149,PerHeadcount[company_name],$B1149)*U204)</f>
        <v>0</v>
      </c>
      <c r="V1149" s="652">
        <f>IF($B1149="",,SUMIFS(PerHeadcount[Month 11],PerHeadcount[exp_item],$H1149,PerHeadcount[company_name],$B1149)*V204)</f>
        <v>0</v>
      </c>
      <c r="W1149" s="652">
        <f>IF($B1149="",,SUMIFS(PerHeadcount[Month 12],PerHeadcount[exp_item],$H1149,PerHeadcount[company_name],$B1149)*W204)</f>
        <v>0</v>
      </c>
      <c r="X1149" s="652">
        <f>IF($B1149="",,SUMIFS(PerHeadcount[Month 13],PerHeadcount[exp_item],$H1149,PerHeadcount[company_name],$B1149)*X204)</f>
        <v>0</v>
      </c>
      <c r="Y1149" s="652">
        <f>IF($B1149="",,SUMIFS(PerHeadcount[Month 14],PerHeadcount[exp_item],$H1149,PerHeadcount[company_name],$B1149)*Y204)</f>
        <v>0</v>
      </c>
      <c r="Z1149" s="652">
        <f>IF($B1149="",,SUMIFS(PerHeadcount[Month 15],PerHeadcount[exp_item],$H1149,PerHeadcount[company_name],$B1149)*Z204)</f>
        <v>0</v>
      </c>
      <c r="AA1149" s="652">
        <f>IF($B1149="",,SUMIFS(PerHeadcount[Month 16],PerHeadcount[exp_item],$H1149,PerHeadcount[company_name],$B1149)*AA204)</f>
        <v>0</v>
      </c>
      <c r="AB1149" s="652">
        <f>IF($B1149="",,SUMIFS(PerHeadcount[Month 17],PerHeadcount[exp_item],$H1149,PerHeadcount[company_name],$B1149)*AB204)</f>
        <v>0</v>
      </c>
      <c r="AC1149" s="652">
        <f>IF($B1149="",,SUMIFS(PerHeadcount[Month 18],PerHeadcount[exp_item],$H1149,PerHeadcount[company_name],$B1149)*AC204)</f>
        <v>0</v>
      </c>
      <c r="AD1149" s="652">
        <f>IF($B1149="",,SUMIFS(PerHeadcount[Month 19],PerHeadcount[exp_item],$H1149,PerHeadcount[company_name],$B1149)*AD204)</f>
        <v>0</v>
      </c>
      <c r="AE1149" s="652">
        <f>IF($B1149="",,SUMIFS(PerHeadcount[Month 20],PerHeadcount[exp_item],$H1149,PerHeadcount[company_name],$B1149)*AE204)</f>
        <v>0</v>
      </c>
      <c r="AF1149" s="652">
        <f>IF($B1149="",,SUMIFS(PerHeadcount[Month 21],PerHeadcount[exp_item],$H1149,PerHeadcount[company_name],$B1149)*AF204)</f>
        <v>0</v>
      </c>
      <c r="AG1149" s="652">
        <f>IF($B1149="",,SUMIFS(PerHeadcount[Month 22],PerHeadcount[exp_item],$H1149,PerHeadcount[company_name],$B1149)*AG204)</f>
        <v>0</v>
      </c>
      <c r="AH1149" s="652">
        <f>IF($B1149="",,SUMIFS(PerHeadcount[Month 23],PerHeadcount[exp_item],$H1149,PerHeadcount[company_name],$B1149)*AH204)</f>
        <v>0</v>
      </c>
      <c r="AI1149" s="652">
        <f>IF($B1149="",,SUMIFS(PerHeadcount[Month 24],PerHeadcount[exp_item],$H1149,PerHeadcount[company_name],$B1149)*AI204)</f>
        <v>0</v>
      </c>
      <c r="AJ1149" s="652">
        <f>IF($B1149="",,SUMIFS(PerHeadcount[Month 25],PerHeadcount[exp_item],$H1149,PerHeadcount[company_name],$B1149)*AJ204)</f>
        <v>0</v>
      </c>
      <c r="AK1149" s="652">
        <f>IF($B1149="",,SUMIFS(PerHeadcount[Month 26],PerHeadcount[exp_item],$H1149,PerHeadcount[company_name],$B1149)*AK204)</f>
        <v>0</v>
      </c>
      <c r="AL1149" s="652">
        <f>IF($B1149="",,SUMIFS(PerHeadcount[Month 27],PerHeadcount[exp_item],$H1149,PerHeadcount[company_name],$B1149)*AL204)</f>
        <v>0</v>
      </c>
      <c r="AM1149" s="652">
        <f>IF($B1149="",,SUMIFS(PerHeadcount[Month 28],PerHeadcount[exp_item],$H1149,PerHeadcount[company_name],$B1149)*AM204)</f>
        <v>0</v>
      </c>
      <c r="AN1149" s="652">
        <f>IF($B1149="",,SUMIFS(PerHeadcount[Month 29],PerHeadcount[exp_item],$H1149,PerHeadcount[company_name],$B1149)*AN204)</f>
        <v>0</v>
      </c>
      <c r="AO1149" s="652">
        <f>IF($B1149="",,SUMIFS(PerHeadcount[Month 30],PerHeadcount[exp_item],$H1149,PerHeadcount[company_name],$B1149)*AO204)</f>
        <v>0</v>
      </c>
      <c r="AP1149" s="652">
        <f>IF($B1149="",,SUMIFS(PerHeadcount[Month 31],PerHeadcount[exp_item],$H1149,PerHeadcount[company_name],$B1149)*AP204)</f>
        <v>0</v>
      </c>
      <c r="AQ1149" s="652">
        <f>IF($B1149="",,SUMIFS(PerHeadcount[Month 32],PerHeadcount[exp_item],$H1149,PerHeadcount[company_name],$B1149)*AQ204)</f>
        <v>0</v>
      </c>
      <c r="AR1149" s="652">
        <f>IF($B1149="",,SUMIFS(PerHeadcount[Month 33],PerHeadcount[exp_item],$H1149,PerHeadcount[company_name],$B1149)*AR204)</f>
        <v>0</v>
      </c>
      <c r="AS1149" s="652">
        <f>IF($B1149="",,SUMIFS(PerHeadcount[Month 34],PerHeadcount[exp_item],$H1149,PerHeadcount[company_name],$B1149)*AS204)</f>
        <v>0</v>
      </c>
      <c r="AT1149" s="652">
        <f>IF($B1149="",,SUMIFS(PerHeadcount[Month 35],PerHeadcount[exp_item],$H1149,PerHeadcount[company_name],$B1149)*AT204)</f>
        <v>0</v>
      </c>
      <c r="AU1149" s="652">
        <f>IF($B1149="",,SUMIFS(PerHeadcount[Month 36],PerHeadcount[exp_item],$H1149,PerHeadcount[company_name],$B1149)*AU204)</f>
        <v>0</v>
      </c>
    </row>
    <row r="1150" spans="2:47" x14ac:dyDescent="0.35">
      <c r="B1150" t="str">
        <f t="shared" si="772"/>
        <v/>
      </c>
      <c r="C1150" t="str">
        <f t="shared" ref="C1150:G1150" si="792">IF(C1045="","",C1045)</f>
        <v/>
      </c>
      <c r="D1150" t="str">
        <f t="shared" si="792"/>
        <v/>
      </c>
      <c r="E1150" t="str">
        <f t="shared" si="792"/>
        <v/>
      </c>
      <c r="F1150" t="str">
        <f t="shared" si="792"/>
        <v/>
      </c>
      <c r="G1150" t="str">
        <f t="shared" si="792"/>
        <v/>
      </c>
      <c r="H1150" t="str">
        <f t="shared" si="771"/>
        <v/>
      </c>
      <c r="J1150" t="str">
        <f>IF($H1150="","",IF(VLOOKUP(H1150,ExpItems[],2,0),H1150&amp;" - "&amp;INDEX(DivisionMapping[category_code],MATCH($D1150&amp;$C1150,DivisionMapping[dept_bu],0)),H1150))</f>
        <v/>
      </c>
      <c r="K1150" t="str">
        <f t="shared" si="774"/>
        <v/>
      </c>
      <c r="L1150" s="652">
        <f>IF($B1150="",,SUMIFS(PerHeadcount[Month 1],PerHeadcount[exp_item],$H1150,PerHeadcount[company_name],$B1150)*L205)</f>
        <v>0</v>
      </c>
      <c r="M1150" s="652">
        <f>IF($B1150="",,SUMIFS(PerHeadcount[Month 2],PerHeadcount[exp_item],$H1150,PerHeadcount[company_name],$B1150)*M205)</f>
        <v>0</v>
      </c>
      <c r="N1150" s="652">
        <f>IF($B1150="",,SUMIFS(PerHeadcount[Month 3],PerHeadcount[exp_item],$H1150,PerHeadcount[company_name],$B1150)*N205)</f>
        <v>0</v>
      </c>
      <c r="O1150" s="652">
        <f>IF($B1150="",,SUMIFS(PerHeadcount[Month 4],PerHeadcount[exp_item],$H1150,PerHeadcount[company_name],$B1150)*O205)</f>
        <v>0</v>
      </c>
      <c r="P1150" s="652">
        <f>IF($B1150="",,SUMIFS(PerHeadcount[Month 5],PerHeadcount[exp_item],$H1150,PerHeadcount[company_name],$B1150)*P205)</f>
        <v>0</v>
      </c>
      <c r="Q1150" s="652">
        <f>IF($B1150="",,SUMIFS(PerHeadcount[Month 6],PerHeadcount[exp_item],$H1150,PerHeadcount[company_name],$B1150)*Q205)</f>
        <v>0</v>
      </c>
      <c r="R1150" s="652">
        <f>IF($B1150="",,SUMIFS(PerHeadcount[Month 7],PerHeadcount[exp_item],$H1150,PerHeadcount[company_name],$B1150)*R205)</f>
        <v>0</v>
      </c>
      <c r="S1150" s="652">
        <f>IF($B1150="",,SUMIFS(PerHeadcount[Month 8],PerHeadcount[exp_item],$H1150,PerHeadcount[company_name],$B1150)*S205)</f>
        <v>0</v>
      </c>
      <c r="T1150" s="652">
        <f>IF($B1150="",,SUMIFS(PerHeadcount[Month 9],PerHeadcount[exp_item],$H1150,PerHeadcount[company_name],$B1150)*T205)</f>
        <v>0</v>
      </c>
      <c r="U1150" s="652">
        <f>IF($B1150="",,SUMIFS(PerHeadcount[Month 10],PerHeadcount[exp_item],$H1150,PerHeadcount[company_name],$B1150)*U205)</f>
        <v>0</v>
      </c>
      <c r="V1150" s="652">
        <f>IF($B1150="",,SUMIFS(PerHeadcount[Month 11],PerHeadcount[exp_item],$H1150,PerHeadcount[company_name],$B1150)*V205)</f>
        <v>0</v>
      </c>
      <c r="W1150" s="652">
        <f>IF($B1150="",,SUMIFS(PerHeadcount[Month 12],PerHeadcount[exp_item],$H1150,PerHeadcount[company_name],$B1150)*W205)</f>
        <v>0</v>
      </c>
      <c r="X1150" s="652">
        <f>IF($B1150="",,SUMIFS(PerHeadcount[Month 13],PerHeadcount[exp_item],$H1150,PerHeadcount[company_name],$B1150)*X205)</f>
        <v>0</v>
      </c>
      <c r="Y1150" s="652">
        <f>IF($B1150="",,SUMIFS(PerHeadcount[Month 14],PerHeadcount[exp_item],$H1150,PerHeadcount[company_name],$B1150)*Y205)</f>
        <v>0</v>
      </c>
      <c r="Z1150" s="652">
        <f>IF($B1150="",,SUMIFS(PerHeadcount[Month 15],PerHeadcount[exp_item],$H1150,PerHeadcount[company_name],$B1150)*Z205)</f>
        <v>0</v>
      </c>
      <c r="AA1150" s="652">
        <f>IF($B1150="",,SUMIFS(PerHeadcount[Month 16],PerHeadcount[exp_item],$H1150,PerHeadcount[company_name],$B1150)*AA205)</f>
        <v>0</v>
      </c>
      <c r="AB1150" s="652">
        <f>IF($B1150="",,SUMIFS(PerHeadcount[Month 17],PerHeadcount[exp_item],$H1150,PerHeadcount[company_name],$B1150)*AB205)</f>
        <v>0</v>
      </c>
      <c r="AC1150" s="652">
        <f>IF($B1150="",,SUMIFS(PerHeadcount[Month 18],PerHeadcount[exp_item],$H1150,PerHeadcount[company_name],$B1150)*AC205)</f>
        <v>0</v>
      </c>
      <c r="AD1150" s="652">
        <f>IF($B1150="",,SUMIFS(PerHeadcount[Month 19],PerHeadcount[exp_item],$H1150,PerHeadcount[company_name],$B1150)*AD205)</f>
        <v>0</v>
      </c>
      <c r="AE1150" s="652">
        <f>IF($B1150="",,SUMIFS(PerHeadcount[Month 20],PerHeadcount[exp_item],$H1150,PerHeadcount[company_name],$B1150)*AE205)</f>
        <v>0</v>
      </c>
      <c r="AF1150" s="652">
        <f>IF($B1150="",,SUMIFS(PerHeadcount[Month 21],PerHeadcount[exp_item],$H1150,PerHeadcount[company_name],$B1150)*AF205)</f>
        <v>0</v>
      </c>
      <c r="AG1150" s="652">
        <f>IF($B1150="",,SUMIFS(PerHeadcount[Month 22],PerHeadcount[exp_item],$H1150,PerHeadcount[company_name],$B1150)*AG205)</f>
        <v>0</v>
      </c>
      <c r="AH1150" s="652">
        <f>IF($B1150="",,SUMIFS(PerHeadcount[Month 23],PerHeadcount[exp_item],$H1150,PerHeadcount[company_name],$B1150)*AH205)</f>
        <v>0</v>
      </c>
      <c r="AI1150" s="652">
        <f>IF($B1150="",,SUMIFS(PerHeadcount[Month 24],PerHeadcount[exp_item],$H1150,PerHeadcount[company_name],$B1150)*AI205)</f>
        <v>0</v>
      </c>
      <c r="AJ1150" s="652">
        <f>IF($B1150="",,SUMIFS(PerHeadcount[Month 25],PerHeadcount[exp_item],$H1150,PerHeadcount[company_name],$B1150)*AJ205)</f>
        <v>0</v>
      </c>
      <c r="AK1150" s="652">
        <f>IF($B1150="",,SUMIFS(PerHeadcount[Month 26],PerHeadcount[exp_item],$H1150,PerHeadcount[company_name],$B1150)*AK205)</f>
        <v>0</v>
      </c>
      <c r="AL1150" s="652">
        <f>IF($B1150="",,SUMIFS(PerHeadcount[Month 27],PerHeadcount[exp_item],$H1150,PerHeadcount[company_name],$B1150)*AL205)</f>
        <v>0</v>
      </c>
      <c r="AM1150" s="652">
        <f>IF($B1150="",,SUMIFS(PerHeadcount[Month 28],PerHeadcount[exp_item],$H1150,PerHeadcount[company_name],$B1150)*AM205)</f>
        <v>0</v>
      </c>
      <c r="AN1150" s="652">
        <f>IF($B1150="",,SUMIFS(PerHeadcount[Month 29],PerHeadcount[exp_item],$H1150,PerHeadcount[company_name],$B1150)*AN205)</f>
        <v>0</v>
      </c>
      <c r="AO1150" s="652">
        <f>IF($B1150="",,SUMIFS(PerHeadcount[Month 30],PerHeadcount[exp_item],$H1150,PerHeadcount[company_name],$B1150)*AO205)</f>
        <v>0</v>
      </c>
      <c r="AP1150" s="652">
        <f>IF($B1150="",,SUMIFS(PerHeadcount[Month 31],PerHeadcount[exp_item],$H1150,PerHeadcount[company_name],$B1150)*AP205)</f>
        <v>0</v>
      </c>
      <c r="AQ1150" s="652">
        <f>IF($B1150="",,SUMIFS(PerHeadcount[Month 32],PerHeadcount[exp_item],$H1150,PerHeadcount[company_name],$B1150)*AQ205)</f>
        <v>0</v>
      </c>
      <c r="AR1150" s="652">
        <f>IF($B1150="",,SUMIFS(PerHeadcount[Month 33],PerHeadcount[exp_item],$H1150,PerHeadcount[company_name],$B1150)*AR205)</f>
        <v>0</v>
      </c>
      <c r="AS1150" s="652">
        <f>IF($B1150="",,SUMIFS(PerHeadcount[Month 34],PerHeadcount[exp_item],$H1150,PerHeadcount[company_name],$B1150)*AS205)</f>
        <v>0</v>
      </c>
      <c r="AT1150" s="652">
        <f>IF($B1150="",,SUMIFS(PerHeadcount[Month 35],PerHeadcount[exp_item],$H1150,PerHeadcount[company_name],$B1150)*AT205)</f>
        <v>0</v>
      </c>
      <c r="AU1150" s="652">
        <f>IF($B1150="",,SUMIFS(PerHeadcount[Month 36],PerHeadcount[exp_item],$H1150,PerHeadcount[company_name],$B1150)*AU205)</f>
        <v>0</v>
      </c>
    </row>
    <row r="1151" spans="2:47" x14ac:dyDescent="0.35">
      <c r="B1151" t="str">
        <f t="shared" si="772"/>
        <v/>
      </c>
      <c r="C1151" t="str">
        <f t="shared" ref="C1151:G1151" si="793">IF(C1046="","",C1046)</f>
        <v/>
      </c>
      <c r="D1151" t="str">
        <f t="shared" si="793"/>
        <v/>
      </c>
      <c r="E1151" t="str">
        <f t="shared" si="793"/>
        <v/>
      </c>
      <c r="F1151" t="str">
        <f t="shared" si="793"/>
        <v/>
      </c>
      <c r="G1151" t="str">
        <f t="shared" si="793"/>
        <v/>
      </c>
      <c r="H1151" t="str">
        <f t="shared" si="771"/>
        <v/>
      </c>
      <c r="J1151" t="str">
        <f>IF($H1151="","",IF(VLOOKUP(H1151,ExpItems[],2,0),H1151&amp;" - "&amp;INDEX(DivisionMapping[category_code],MATCH($D1151&amp;$C1151,DivisionMapping[dept_bu],0)),H1151))</f>
        <v/>
      </c>
      <c r="K1151" t="str">
        <f t="shared" si="774"/>
        <v/>
      </c>
      <c r="L1151" s="652">
        <f>IF($B1151="",,SUMIFS(PerHeadcount[Month 1],PerHeadcount[exp_item],$H1151,PerHeadcount[company_name],$B1151)*L206)</f>
        <v>0</v>
      </c>
      <c r="M1151" s="652">
        <f>IF($B1151="",,SUMIFS(PerHeadcount[Month 2],PerHeadcount[exp_item],$H1151,PerHeadcount[company_name],$B1151)*M206)</f>
        <v>0</v>
      </c>
      <c r="N1151" s="652">
        <f>IF($B1151="",,SUMIFS(PerHeadcount[Month 3],PerHeadcount[exp_item],$H1151,PerHeadcount[company_name],$B1151)*N206)</f>
        <v>0</v>
      </c>
      <c r="O1151" s="652">
        <f>IF($B1151="",,SUMIFS(PerHeadcount[Month 4],PerHeadcount[exp_item],$H1151,PerHeadcount[company_name],$B1151)*O206)</f>
        <v>0</v>
      </c>
      <c r="P1151" s="652">
        <f>IF($B1151="",,SUMIFS(PerHeadcount[Month 5],PerHeadcount[exp_item],$H1151,PerHeadcount[company_name],$B1151)*P206)</f>
        <v>0</v>
      </c>
      <c r="Q1151" s="652">
        <f>IF($B1151="",,SUMIFS(PerHeadcount[Month 6],PerHeadcount[exp_item],$H1151,PerHeadcount[company_name],$B1151)*Q206)</f>
        <v>0</v>
      </c>
      <c r="R1151" s="652">
        <f>IF($B1151="",,SUMIFS(PerHeadcount[Month 7],PerHeadcount[exp_item],$H1151,PerHeadcount[company_name],$B1151)*R206)</f>
        <v>0</v>
      </c>
      <c r="S1151" s="652">
        <f>IF($B1151="",,SUMIFS(PerHeadcount[Month 8],PerHeadcount[exp_item],$H1151,PerHeadcount[company_name],$B1151)*S206)</f>
        <v>0</v>
      </c>
      <c r="T1151" s="652">
        <f>IF($B1151="",,SUMIFS(PerHeadcount[Month 9],PerHeadcount[exp_item],$H1151,PerHeadcount[company_name],$B1151)*T206)</f>
        <v>0</v>
      </c>
      <c r="U1151" s="652">
        <f>IF($B1151="",,SUMIFS(PerHeadcount[Month 10],PerHeadcount[exp_item],$H1151,PerHeadcount[company_name],$B1151)*U206)</f>
        <v>0</v>
      </c>
      <c r="V1151" s="652">
        <f>IF($B1151="",,SUMIFS(PerHeadcount[Month 11],PerHeadcount[exp_item],$H1151,PerHeadcount[company_name],$B1151)*V206)</f>
        <v>0</v>
      </c>
      <c r="W1151" s="652">
        <f>IF($B1151="",,SUMIFS(PerHeadcount[Month 12],PerHeadcount[exp_item],$H1151,PerHeadcount[company_name],$B1151)*W206)</f>
        <v>0</v>
      </c>
      <c r="X1151" s="652">
        <f>IF($B1151="",,SUMIFS(PerHeadcount[Month 13],PerHeadcount[exp_item],$H1151,PerHeadcount[company_name],$B1151)*X206)</f>
        <v>0</v>
      </c>
      <c r="Y1151" s="652">
        <f>IF($B1151="",,SUMIFS(PerHeadcount[Month 14],PerHeadcount[exp_item],$H1151,PerHeadcount[company_name],$B1151)*Y206)</f>
        <v>0</v>
      </c>
      <c r="Z1151" s="652">
        <f>IF($B1151="",,SUMIFS(PerHeadcount[Month 15],PerHeadcount[exp_item],$H1151,PerHeadcount[company_name],$B1151)*Z206)</f>
        <v>0</v>
      </c>
      <c r="AA1151" s="652">
        <f>IF($B1151="",,SUMIFS(PerHeadcount[Month 16],PerHeadcount[exp_item],$H1151,PerHeadcount[company_name],$B1151)*AA206)</f>
        <v>0</v>
      </c>
      <c r="AB1151" s="652">
        <f>IF($B1151="",,SUMIFS(PerHeadcount[Month 17],PerHeadcount[exp_item],$H1151,PerHeadcount[company_name],$B1151)*AB206)</f>
        <v>0</v>
      </c>
      <c r="AC1151" s="652">
        <f>IF($B1151="",,SUMIFS(PerHeadcount[Month 18],PerHeadcount[exp_item],$H1151,PerHeadcount[company_name],$B1151)*AC206)</f>
        <v>0</v>
      </c>
      <c r="AD1151" s="652">
        <f>IF($B1151="",,SUMIFS(PerHeadcount[Month 19],PerHeadcount[exp_item],$H1151,PerHeadcount[company_name],$B1151)*AD206)</f>
        <v>0</v>
      </c>
      <c r="AE1151" s="652">
        <f>IF($B1151="",,SUMIFS(PerHeadcount[Month 20],PerHeadcount[exp_item],$H1151,PerHeadcount[company_name],$B1151)*AE206)</f>
        <v>0</v>
      </c>
      <c r="AF1151" s="652">
        <f>IF($B1151="",,SUMIFS(PerHeadcount[Month 21],PerHeadcount[exp_item],$H1151,PerHeadcount[company_name],$B1151)*AF206)</f>
        <v>0</v>
      </c>
      <c r="AG1151" s="652">
        <f>IF($B1151="",,SUMIFS(PerHeadcount[Month 22],PerHeadcount[exp_item],$H1151,PerHeadcount[company_name],$B1151)*AG206)</f>
        <v>0</v>
      </c>
      <c r="AH1151" s="652">
        <f>IF($B1151="",,SUMIFS(PerHeadcount[Month 23],PerHeadcount[exp_item],$H1151,PerHeadcount[company_name],$B1151)*AH206)</f>
        <v>0</v>
      </c>
      <c r="AI1151" s="652">
        <f>IF($B1151="",,SUMIFS(PerHeadcount[Month 24],PerHeadcount[exp_item],$H1151,PerHeadcount[company_name],$B1151)*AI206)</f>
        <v>0</v>
      </c>
      <c r="AJ1151" s="652">
        <f>IF($B1151="",,SUMIFS(PerHeadcount[Month 25],PerHeadcount[exp_item],$H1151,PerHeadcount[company_name],$B1151)*AJ206)</f>
        <v>0</v>
      </c>
      <c r="AK1151" s="652">
        <f>IF($B1151="",,SUMIFS(PerHeadcount[Month 26],PerHeadcount[exp_item],$H1151,PerHeadcount[company_name],$B1151)*AK206)</f>
        <v>0</v>
      </c>
      <c r="AL1151" s="652">
        <f>IF($B1151="",,SUMIFS(PerHeadcount[Month 27],PerHeadcount[exp_item],$H1151,PerHeadcount[company_name],$B1151)*AL206)</f>
        <v>0</v>
      </c>
      <c r="AM1151" s="652">
        <f>IF($B1151="",,SUMIFS(PerHeadcount[Month 28],PerHeadcount[exp_item],$H1151,PerHeadcount[company_name],$B1151)*AM206)</f>
        <v>0</v>
      </c>
      <c r="AN1151" s="652">
        <f>IF($B1151="",,SUMIFS(PerHeadcount[Month 29],PerHeadcount[exp_item],$H1151,PerHeadcount[company_name],$B1151)*AN206)</f>
        <v>0</v>
      </c>
      <c r="AO1151" s="652">
        <f>IF($B1151="",,SUMIFS(PerHeadcount[Month 30],PerHeadcount[exp_item],$H1151,PerHeadcount[company_name],$B1151)*AO206)</f>
        <v>0</v>
      </c>
      <c r="AP1151" s="652">
        <f>IF($B1151="",,SUMIFS(PerHeadcount[Month 31],PerHeadcount[exp_item],$H1151,PerHeadcount[company_name],$B1151)*AP206)</f>
        <v>0</v>
      </c>
      <c r="AQ1151" s="652">
        <f>IF($B1151="",,SUMIFS(PerHeadcount[Month 32],PerHeadcount[exp_item],$H1151,PerHeadcount[company_name],$B1151)*AQ206)</f>
        <v>0</v>
      </c>
      <c r="AR1151" s="652">
        <f>IF($B1151="",,SUMIFS(PerHeadcount[Month 33],PerHeadcount[exp_item],$H1151,PerHeadcount[company_name],$B1151)*AR206)</f>
        <v>0</v>
      </c>
      <c r="AS1151" s="652">
        <f>IF($B1151="",,SUMIFS(PerHeadcount[Month 34],PerHeadcount[exp_item],$H1151,PerHeadcount[company_name],$B1151)*AS206)</f>
        <v>0</v>
      </c>
      <c r="AT1151" s="652">
        <f>IF($B1151="",,SUMIFS(PerHeadcount[Month 35],PerHeadcount[exp_item],$H1151,PerHeadcount[company_name],$B1151)*AT206)</f>
        <v>0</v>
      </c>
      <c r="AU1151" s="652">
        <f>IF($B1151="",,SUMIFS(PerHeadcount[Month 36],PerHeadcount[exp_item],$H1151,PerHeadcount[company_name],$B1151)*AU206)</f>
        <v>0</v>
      </c>
    </row>
    <row r="1152" spans="2:47" x14ac:dyDescent="0.35">
      <c r="B1152" t="str">
        <f t="shared" si="772"/>
        <v/>
      </c>
      <c r="C1152" t="str">
        <f t="shared" ref="C1152:G1152" si="794">IF(C1047="","",C1047)</f>
        <v/>
      </c>
      <c r="D1152" t="str">
        <f t="shared" si="794"/>
        <v/>
      </c>
      <c r="E1152" t="str">
        <f t="shared" si="794"/>
        <v/>
      </c>
      <c r="F1152" t="str">
        <f t="shared" si="794"/>
        <v/>
      </c>
      <c r="G1152" t="str">
        <f t="shared" si="794"/>
        <v/>
      </c>
      <c r="H1152" t="str">
        <f t="shared" si="771"/>
        <v/>
      </c>
      <c r="J1152" t="str">
        <f>IF($H1152="","",IF(VLOOKUP(H1152,ExpItems[],2,0),H1152&amp;" - "&amp;INDEX(DivisionMapping[category_code],MATCH($D1152&amp;$C1152,DivisionMapping[dept_bu],0)),H1152))</f>
        <v/>
      </c>
      <c r="K1152" t="str">
        <f t="shared" si="774"/>
        <v/>
      </c>
      <c r="L1152" s="652">
        <f>IF($B1152="",,SUMIFS(PerHeadcount[Month 1],PerHeadcount[exp_item],$H1152,PerHeadcount[company_name],$B1152)*L207)</f>
        <v>0</v>
      </c>
      <c r="M1152" s="652">
        <f>IF($B1152="",,SUMIFS(PerHeadcount[Month 2],PerHeadcount[exp_item],$H1152,PerHeadcount[company_name],$B1152)*M207)</f>
        <v>0</v>
      </c>
      <c r="N1152" s="652">
        <f>IF($B1152="",,SUMIFS(PerHeadcount[Month 3],PerHeadcount[exp_item],$H1152,PerHeadcount[company_name],$B1152)*N207)</f>
        <v>0</v>
      </c>
      <c r="O1152" s="652">
        <f>IF($B1152="",,SUMIFS(PerHeadcount[Month 4],PerHeadcount[exp_item],$H1152,PerHeadcount[company_name],$B1152)*O207)</f>
        <v>0</v>
      </c>
      <c r="P1152" s="652">
        <f>IF($B1152="",,SUMIFS(PerHeadcount[Month 5],PerHeadcount[exp_item],$H1152,PerHeadcount[company_name],$B1152)*P207)</f>
        <v>0</v>
      </c>
      <c r="Q1152" s="652">
        <f>IF($B1152="",,SUMIFS(PerHeadcount[Month 6],PerHeadcount[exp_item],$H1152,PerHeadcount[company_name],$B1152)*Q207)</f>
        <v>0</v>
      </c>
      <c r="R1152" s="652">
        <f>IF($B1152="",,SUMIFS(PerHeadcount[Month 7],PerHeadcount[exp_item],$H1152,PerHeadcount[company_name],$B1152)*R207)</f>
        <v>0</v>
      </c>
      <c r="S1152" s="652">
        <f>IF($B1152="",,SUMIFS(PerHeadcount[Month 8],PerHeadcount[exp_item],$H1152,PerHeadcount[company_name],$B1152)*S207)</f>
        <v>0</v>
      </c>
      <c r="T1152" s="652">
        <f>IF($B1152="",,SUMIFS(PerHeadcount[Month 9],PerHeadcount[exp_item],$H1152,PerHeadcount[company_name],$B1152)*T207)</f>
        <v>0</v>
      </c>
      <c r="U1152" s="652">
        <f>IF($B1152="",,SUMIFS(PerHeadcount[Month 10],PerHeadcount[exp_item],$H1152,PerHeadcount[company_name],$B1152)*U207)</f>
        <v>0</v>
      </c>
      <c r="V1152" s="652">
        <f>IF($B1152="",,SUMIFS(PerHeadcount[Month 11],PerHeadcount[exp_item],$H1152,PerHeadcount[company_name],$B1152)*V207)</f>
        <v>0</v>
      </c>
      <c r="W1152" s="652">
        <f>IF($B1152="",,SUMIFS(PerHeadcount[Month 12],PerHeadcount[exp_item],$H1152,PerHeadcount[company_name],$B1152)*W207)</f>
        <v>0</v>
      </c>
      <c r="X1152" s="652">
        <f>IF($B1152="",,SUMIFS(PerHeadcount[Month 13],PerHeadcount[exp_item],$H1152,PerHeadcount[company_name],$B1152)*X207)</f>
        <v>0</v>
      </c>
      <c r="Y1152" s="652">
        <f>IF($B1152="",,SUMIFS(PerHeadcount[Month 14],PerHeadcount[exp_item],$H1152,PerHeadcount[company_name],$B1152)*Y207)</f>
        <v>0</v>
      </c>
      <c r="Z1152" s="652">
        <f>IF($B1152="",,SUMIFS(PerHeadcount[Month 15],PerHeadcount[exp_item],$H1152,PerHeadcount[company_name],$B1152)*Z207)</f>
        <v>0</v>
      </c>
      <c r="AA1152" s="652">
        <f>IF($B1152="",,SUMIFS(PerHeadcount[Month 16],PerHeadcount[exp_item],$H1152,PerHeadcount[company_name],$B1152)*AA207)</f>
        <v>0</v>
      </c>
      <c r="AB1152" s="652">
        <f>IF($B1152="",,SUMIFS(PerHeadcount[Month 17],PerHeadcount[exp_item],$H1152,PerHeadcount[company_name],$B1152)*AB207)</f>
        <v>0</v>
      </c>
      <c r="AC1152" s="652">
        <f>IF($B1152="",,SUMIFS(PerHeadcount[Month 18],PerHeadcount[exp_item],$H1152,PerHeadcount[company_name],$B1152)*AC207)</f>
        <v>0</v>
      </c>
      <c r="AD1152" s="652">
        <f>IF($B1152="",,SUMIFS(PerHeadcount[Month 19],PerHeadcount[exp_item],$H1152,PerHeadcount[company_name],$B1152)*AD207)</f>
        <v>0</v>
      </c>
      <c r="AE1152" s="652">
        <f>IF($B1152="",,SUMIFS(PerHeadcount[Month 20],PerHeadcount[exp_item],$H1152,PerHeadcount[company_name],$B1152)*AE207)</f>
        <v>0</v>
      </c>
      <c r="AF1152" s="652">
        <f>IF($B1152="",,SUMIFS(PerHeadcount[Month 21],PerHeadcount[exp_item],$H1152,PerHeadcount[company_name],$B1152)*AF207)</f>
        <v>0</v>
      </c>
      <c r="AG1152" s="652">
        <f>IF($B1152="",,SUMIFS(PerHeadcount[Month 22],PerHeadcount[exp_item],$H1152,PerHeadcount[company_name],$B1152)*AG207)</f>
        <v>0</v>
      </c>
      <c r="AH1152" s="652">
        <f>IF($B1152="",,SUMIFS(PerHeadcount[Month 23],PerHeadcount[exp_item],$H1152,PerHeadcount[company_name],$B1152)*AH207)</f>
        <v>0</v>
      </c>
      <c r="AI1152" s="652">
        <f>IF($B1152="",,SUMIFS(PerHeadcount[Month 24],PerHeadcount[exp_item],$H1152,PerHeadcount[company_name],$B1152)*AI207)</f>
        <v>0</v>
      </c>
      <c r="AJ1152" s="652">
        <f>IF($B1152="",,SUMIFS(PerHeadcount[Month 25],PerHeadcount[exp_item],$H1152,PerHeadcount[company_name],$B1152)*AJ207)</f>
        <v>0</v>
      </c>
      <c r="AK1152" s="652">
        <f>IF($B1152="",,SUMIFS(PerHeadcount[Month 26],PerHeadcount[exp_item],$H1152,PerHeadcount[company_name],$B1152)*AK207)</f>
        <v>0</v>
      </c>
      <c r="AL1152" s="652">
        <f>IF($B1152="",,SUMIFS(PerHeadcount[Month 27],PerHeadcount[exp_item],$H1152,PerHeadcount[company_name],$B1152)*AL207)</f>
        <v>0</v>
      </c>
      <c r="AM1152" s="652">
        <f>IF($B1152="",,SUMIFS(PerHeadcount[Month 28],PerHeadcount[exp_item],$H1152,PerHeadcount[company_name],$B1152)*AM207)</f>
        <v>0</v>
      </c>
      <c r="AN1152" s="652">
        <f>IF($B1152="",,SUMIFS(PerHeadcount[Month 29],PerHeadcount[exp_item],$H1152,PerHeadcount[company_name],$B1152)*AN207)</f>
        <v>0</v>
      </c>
      <c r="AO1152" s="652">
        <f>IF($B1152="",,SUMIFS(PerHeadcount[Month 30],PerHeadcount[exp_item],$H1152,PerHeadcount[company_name],$B1152)*AO207)</f>
        <v>0</v>
      </c>
      <c r="AP1152" s="652">
        <f>IF($B1152="",,SUMIFS(PerHeadcount[Month 31],PerHeadcount[exp_item],$H1152,PerHeadcount[company_name],$B1152)*AP207)</f>
        <v>0</v>
      </c>
      <c r="AQ1152" s="652">
        <f>IF($B1152="",,SUMIFS(PerHeadcount[Month 32],PerHeadcount[exp_item],$H1152,PerHeadcount[company_name],$B1152)*AQ207)</f>
        <v>0</v>
      </c>
      <c r="AR1152" s="652">
        <f>IF($B1152="",,SUMIFS(PerHeadcount[Month 33],PerHeadcount[exp_item],$H1152,PerHeadcount[company_name],$B1152)*AR207)</f>
        <v>0</v>
      </c>
      <c r="AS1152" s="652">
        <f>IF($B1152="",,SUMIFS(PerHeadcount[Month 34],PerHeadcount[exp_item],$H1152,PerHeadcount[company_name],$B1152)*AS207)</f>
        <v>0</v>
      </c>
      <c r="AT1152" s="652">
        <f>IF($B1152="",,SUMIFS(PerHeadcount[Month 35],PerHeadcount[exp_item],$H1152,PerHeadcount[company_name],$B1152)*AT207)</f>
        <v>0</v>
      </c>
      <c r="AU1152" s="652">
        <f>IF($B1152="",,SUMIFS(PerHeadcount[Month 36],PerHeadcount[exp_item],$H1152,PerHeadcount[company_name],$B1152)*AU207)</f>
        <v>0</v>
      </c>
    </row>
    <row r="1153" spans="2:47" x14ac:dyDescent="0.35">
      <c r="B1153" t="str">
        <f t="shared" si="772"/>
        <v/>
      </c>
      <c r="C1153" t="str">
        <f t="shared" ref="C1153:G1153" si="795">IF(C1048="","",C1048)</f>
        <v/>
      </c>
      <c r="D1153" t="str">
        <f t="shared" si="795"/>
        <v/>
      </c>
      <c r="E1153" t="str">
        <f t="shared" si="795"/>
        <v/>
      </c>
      <c r="F1153" t="str">
        <f t="shared" si="795"/>
        <v/>
      </c>
      <c r="G1153" t="str">
        <f t="shared" si="795"/>
        <v/>
      </c>
      <c r="H1153" t="str">
        <f t="shared" si="771"/>
        <v/>
      </c>
      <c r="J1153" t="str">
        <f>IF($H1153="","",IF(VLOOKUP(H1153,ExpItems[],2,0),H1153&amp;" - "&amp;INDEX(DivisionMapping[category_code],MATCH($D1153&amp;$C1153,DivisionMapping[dept_bu],0)),H1153))</f>
        <v/>
      </c>
      <c r="K1153" t="str">
        <f t="shared" si="774"/>
        <v/>
      </c>
      <c r="L1153" s="652">
        <f>IF($B1153="",,SUMIFS(PerHeadcount[Month 1],PerHeadcount[exp_item],$H1153,PerHeadcount[company_name],$B1153)*L208)</f>
        <v>0</v>
      </c>
      <c r="M1153" s="652">
        <f>IF($B1153="",,SUMIFS(PerHeadcount[Month 2],PerHeadcount[exp_item],$H1153,PerHeadcount[company_name],$B1153)*M208)</f>
        <v>0</v>
      </c>
      <c r="N1153" s="652">
        <f>IF($B1153="",,SUMIFS(PerHeadcount[Month 3],PerHeadcount[exp_item],$H1153,PerHeadcount[company_name],$B1153)*N208)</f>
        <v>0</v>
      </c>
      <c r="O1153" s="652">
        <f>IF($B1153="",,SUMIFS(PerHeadcount[Month 4],PerHeadcount[exp_item],$H1153,PerHeadcount[company_name],$B1153)*O208)</f>
        <v>0</v>
      </c>
      <c r="P1153" s="652">
        <f>IF($B1153="",,SUMIFS(PerHeadcount[Month 5],PerHeadcount[exp_item],$H1153,PerHeadcount[company_name],$B1153)*P208)</f>
        <v>0</v>
      </c>
      <c r="Q1153" s="652">
        <f>IF($B1153="",,SUMIFS(PerHeadcount[Month 6],PerHeadcount[exp_item],$H1153,PerHeadcount[company_name],$B1153)*Q208)</f>
        <v>0</v>
      </c>
      <c r="R1153" s="652">
        <f>IF($B1153="",,SUMIFS(PerHeadcount[Month 7],PerHeadcount[exp_item],$H1153,PerHeadcount[company_name],$B1153)*R208)</f>
        <v>0</v>
      </c>
      <c r="S1153" s="652">
        <f>IF($B1153="",,SUMIFS(PerHeadcount[Month 8],PerHeadcount[exp_item],$H1153,PerHeadcount[company_name],$B1153)*S208)</f>
        <v>0</v>
      </c>
      <c r="T1153" s="652">
        <f>IF($B1153="",,SUMIFS(PerHeadcount[Month 9],PerHeadcount[exp_item],$H1153,PerHeadcount[company_name],$B1153)*T208)</f>
        <v>0</v>
      </c>
      <c r="U1153" s="652">
        <f>IF($B1153="",,SUMIFS(PerHeadcount[Month 10],PerHeadcount[exp_item],$H1153,PerHeadcount[company_name],$B1153)*U208)</f>
        <v>0</v>
      </c>
      <c r="V1153" s="652">
        <f>IF($B1153="",,SUMIFS(PerHeadcount[Month 11],PerHeadcount[exp_item],$H1153,PerHeadcount[company_name],$B1153)*V208)</f>
        <v>0</v>
      </c>
      <c r="W1153" s="652">
        <f>IF($B1153="",,SUMIFS(PerHeadcount[Month 12],PerHeadcount[exp_item],$H1153,PerHeadcount[company_name],$B1153)*W208)</f>
        <v>0</v>
      </c>
      <c r="X1153" s="652">
        <f>IF($B1153="",,SUMIFS(PerHeadcount[Month 13],PerHeadcount[exp_item],$H1153,PerHeadcount[company_name],$B1153)*X208)</f>
        <v>0</v>
      </c>
      <c r="Y1153" s="652">
        <f>IF($B1153="",,SUMIFS(PerHeadcount[Month 14],PerHeadcount[exp_item],$H1153,PerHeadcount[company_name],$B1153)*Y208)</f>
        <v>0</v>
      </c>
      <c r="Z1153" s="652">
        <f>IF($B1153="",,SUMIFS(PerHeadcount[Month 15],PerHeadcount[exp_item],$H1153,PerHeadcount[company_name],$B1153)*Z208)</f>
        <v>0</v>
      </c>
      <c r="AA1153" s="652">
        <f>IF($B1153="",,SUMIFS(PerHeadcount[Month 16],PerHeadcount[exp_item],$H1153,PerHeadcount[company_name],$B1153)*AA208)</f>
        <v>0</v>
      </c>
      <c r="AB1153" s="652">
        <f>IF($B1153="",,SUMIFS(PerHeadcount[Month 17],PerHeadcount[exp_item],$H1153,PerHeadcount[company_name],$B1153)*AB208)</f>
        <v>0</v>
      </c>
      <c r="AC1153" s="652">
        <f>IF($B1153="",,SUMIFS(PerHeadcount[Month 18],PerHeadcount[exp_item],$H1153,PerHeadcount[company_name],$B1153)*AC208)</f>
        <v>0</v>
      </c>
      <c r="AD1153" s="652">
        <f>IF($B1153="",,SUMIFS(PerHeadcount[Month 19],PerHeadcount[exp_item],$H1153,PerHeadcount[company_name],$B1153)*AD208)</f>
        <v>0</v>
      </c>
      <c r="AE1153" s="652">
        <f>IF($B1153="",,SUMIFS(PerHeadcount[Month 20],PerHeadcount[exp_item],$H1153,PerHeadcount[company_name],$B1153)*AE208)</f>
        <v>0</v>
      </c>
      <c r="AF1153" s="652">
        <f>IF($B1153="",,SUMIFS(PerHeadcount[Month 21],PerHeadcount[exp_item],$H1153,PerHeadcount[company_name],$B1153)*AF208)</f>
        <v>0</v>
      </c>
      <c r="AG1153" s="652">
        <f>IF($B1153="",,SUMIFS(PerHeadcount[Month 22],PerHeadcount[exp_item],$H1153,PerHeadcount[company_name],$B1153)*AG208)</f>
        <v>0</v>
      </c>
      <c r="AH1153" s="652">
        <f>IF($B1153="",,SUMIFS(PerHeadcount[Month 23],PerHeadcount[exp_item],$H1153,PerHeadcount[company_name],$B1153)*AH208)</f>
        <v>0</v>
      </c>
      <c r="AI1153" s="652">
        <f>IF($B1153="",,SUMIFS(PerHeadcount[Month 24],PerHeadcount[exp_item],$H1153,PerHeadcount[company_name],$B1153)*AI208)</f>
        <v>0</v>
      </c>
      <c r="AJ1153" s="652">
        <f>IF($B1153="",,SUMIFS(PerHeadcount[Month 25],PerHeadcount[exp_item],$H1153,PerHeadcount[company_name],$B1153)*AJ208)</f>
        <v>0</v>
      </c>
      <c r="AK1153" s="652">
        <f>IF($B1153="",,SUMIFS(PerHeadcount[Month 26],PerHeadcount[exp_item],$H1153,PerHeadcount[company_name],$B1153)*AK208)</f>
        <v>0</v>
      </c>
      <c r="AL1153" s="652">
        <f>IF($B1153="",,SUMIFS(PerHeadcount[Month 27],PerHeadcount[exp_item],$H1153,PerHeadcount[company_name],$B1153)*AL208)</f>
        <v>0</v>
      </c>
      <c r="AM1153" s="652">
        <f>IF($B1153="",,SUMIFS(PerHeadcount[Month 28],PerHeadcount[exp_item],$H1153,PerHeadcount[company_name],$B1153)*AM208)</f>
        <v>0</v>
      </c>
      <c r="AN1153" s="652">
        <f>IF($B1153="",,SUMIFS(PerHeadcount[Month 29],PerHeadcount[exp_item],$H1153,PerHeadcount[company_name],$B1153)*AN208)</f>
        <v>0</v>
      </c>
      <c r="AO1153" s="652">
        <f>IF($B1153="",,SUMIFS(PerHeadcount[Month 30],PerHeadcount[exp_item],$H1153,PerHeadcount[company_name],$B1153)*AO208)</f>
        <v>0</v>
      </c>
      <c r="AP1153" s="652">
        <f>IF($B1153="",,SUMIFS(PerHeadcount[Month 31],PerHeadcount[exp_item],$H1153,PerHeadcount[company_name],$B1153)*AP208)</f>
        <v>0</v>
      </c>
      <c r="AQ1153" s="652">
        <f>IF($B1153="",,SUMIFS(PerHeadcount[Month 32],PerHeadcount[exp_item],$H1153,PerHeadcount[company_name],$B1153)*AQ208)</f>
        <v>0</v>
      </c>
      <c r="AR1153" s="652">
        <f>IF($B1153="",,SUMIFS(PerHeadcount[Month 33],PerHeadcount[exp_item],$H1153,PerHeadcount[company_name],$B1153)*AR208)</f>
        <v>0</v>
      </c>
      <c r="AS1153" s="652">
        <f>IF($B1153="",,SUMIFS(PerHeadcount[Month 34],PerHeadcount[exp_item],$H1153,PerHeadcount[company_name],$B1153)*AS208)</f>
        <v>0</v>
      </c>
      <c r="AT1153" s="652">
        <f>IF($B1153="",,SUMIFS(PerHeadcount[Month 35],PerHeadcount[exp_item],$H1153,PerHeadcount[company_name],$B1153)*AT208)</f>
        <v>0</v>
      </c>
      <c r="AU1153" s="652">
        <f>IF($B1153="",,SUMIFS(PerHeadcount[Month 36],PerHeadcount[exp_item],$H1153,PerHeadcount[company_name],$B1153)*AU208)</f>
        <v>0</v>
      </c>
    </row>
    <row r="1154" spans="2:47" x14ac:dyDescent="0.35">
      <c r="B1154" t="str">
        <f t="shared" si="772"/>
        <v/>
      </c>
      <c r="C1154" t="str">
        <f t="shared" ref="C1154:G1154" si="796">IF(C1049="","",C1049)</f>
        <v/>
      </c>
      <c r="D1154" t="str">
        <f t="shared" si="796"/>
        <v/>
      </c>
      <c r="E1154" t="str">
        <f t="shared" si="796"/>
        <v/>
      </c>
      <c r="F1154" t="str">
        <f t="shared" si="796"/>
        <v/>
      </c>
      <c r="G1154" t="str">
        <f t="shared" si="796"/>
        <v/>
      </c>
      <c r="H1154" t="str">
        <f t="shared" si="771"/>
        <v/>
      </c>
      <c r="J1154" t="str">
        <f>IF($H1154="","",IF(VLOOKUP(H1154,ExpItems[],2,0),H1154&amp;" - "&amp;INDEX(DivisionMapping[category_code],MATCH($D1154&amp;$C1154,DivisionMapping[dept_bu],0)),H1154))</f>
        <v/>
      </c>
      <c r="K1154" t="str">
        <f t="shared" si="774"/>
        <v/>
      </c>
      <c r="L1154" s="652">
        <f>IF($B1154="",,SUMIFS(PerHeadcount[Month 1],PerHeadcount[exp_item],$H1154,PerHeadcount[company_name],$B1154)*L209)</f>
        <v>0</v>
      </c>
      <c r="M1154" s="652">
        <f>IF($B1154="",,SUMIFS(PerHeadcount[Month 2],PerHeadcount[exp_item],$H1154,PerHeadcount[company_name],$B1154)*M209)</f>
        <v>0</v>
      </c>
      <c r="N1154" s="652">
        <f>IF($B1154="",,SUMIFS(PerHeadcount[Month 3],PerHeadcount[exp_item],$H1154,PerHeadcount[company_name],$B1154)*N209)</f>
        <v>0</v>
      </c>
      <c r="O1154" s="652">
        <f>IF($B1154="",,SUMIFS(PerHeadcount[Month 4],PerHeadcount[exp_item],$H1154,PerHeadcount[company_name],$B1154)*O209)</f>
        <v>0</v>
      </c>
      <c r="P1154" s="652">
        <f>IF($B1154="",,SUMIFS(PerHeadcount[Month 5],PerHeadcount[exp_item],$H1154,PerHeadcount[company_name],$B1154)*P209)</f>
        <v>0</v>
      </c>
      <c r="Q1154" s="652">
        <f>IF($B1154="",,SUMIFS(PerHeadcount[Month 6],PerHeadcount[exp_item],$H1154,PerHeadcount[company_name],$B1154)*Q209)</f>
        <v>0</v>
      </c>
      <c r="R1154" s="652">
        <f>IF($B1154="",,SUMIFS(PerHeadcount[Month 7],PerHeadcount[exp_item],$H1154,PerHeadcount[company_name],$B1154)*R209)</f>
        <v>0</v>
      </c>
      <c r="S1154" s="652">
        <f>IF($B1154="",,SUMIFS(PerHeadcount[Month 8],PerHeadcount[exp_item],$H1154,PerHeadcount[company_name],$B1154)*S209)</f>
        <v>0</v>
      </c>
      <c r="T1154" s="652">
        <f>IF($B1154="",,SUMIFS(PerHeadcount[Month 9],PerHeadcount[exp_item],$H1154,PerHeadcount[company_name],$B1154)*T209)</f>
        <v>0</v>
      </c>
      <c r="U1154" s="652">
        <f>IF($B1154="",,SUMIFS(PerHeadcount[Month 10],PerHeadcount[exp_item],$H1154,PerHeadcount[company_name],$B1154)*U209)</f>
        <v>0</v>
      </c>
      <c r="V1154" s="652">
        <f>IF($B1154="",,SUMIFS(PerHeadcount[Month 11],PerHeadcount[exp_item],$H1154,PerHeadcount[company_name],$B1154)*V209)</f>
        <v>0</v>
      </c>
      <c r="W1154" s="652">
        <f>IF($B1154="",,SUMIFS(PerHeadcount[Month 12],PerHeadcount[exp_item],$H1154,PerHeadcount[company_name],$B1154)*W209)</f>
        <v>0</v>
      </c>
      <c r="X1154" s="652">
        <f>IF($B1154="",,SUMIFS(PerHeadcount[Month 13],PerHeadcount[exp_item],$H1154,PerHeadcount[company_name],$B1154)*X209)</f>
        <v>0</v>
      </c>
      <c r="Y1154" s="652">
        <f>IF($B1154="",,SUMIFS(PerHeadcount[Month 14],PerHeadcount[exp_item],$H1154,PerHeadcount[company_name],$B1154)*Y209)</f>
        <v>0</v>
      </c>
      <c r="Z1154" s="652">
        <f>IF($B1154="",,SUMIFS(PerHeadcount[Month 15],PerHeadcount[exp_item],$H1154,PerHeadcount[company_name],$B1154)*Z209)</f>
        <v>0</v>
      </c>
      <c r="AA1154" s="652">
        <f>IF($B1154="",,SUMIFS(PerHeadcount[Month 16],PerHeadcount[exp_item],$H1154,PerHeadcount[company_name],$B1154)*AA209)</f>
        <v>0</v>
      </c>
      <c r="AB1154" s="652">
        <f>IF($B1154="",,SUMIFS(PerHeadcount[Month 17],PerHeadcount[exp_item],$H1154,PerHeadcount[company_name],$B1154)*AB209)</f>
        <v>0</v>
      </c>
      <c r="AC1154" s="652">
        <f>IF($B1154="",,SUMIFS(PerHeadcount[Month 18],PerHeadcount[exp_item],$H1154,PerHeadcount[company_name],$B1154)*AC209)</f>
        <v>0</v>
      </c>
      <c r="AD1154" s="652">
        <f>IF($B1154="",,SUMIFS(PerHeadcount[Month 19],PerHeadcount[exp_item],$H1154,PerHeadcount[company_name],$B1154)*AD209)</f>
        <v>0</v>
      </c>
      <c r="AE1154" s="652">
        <f>IF($B1154="",,SUMIFS(PerHeadcount[Month 20],PerHeadcount[exp_item],$H1154,PerHeadcount[company_name],$B1154)*AE209)</f>
        <v>0</v>
      </c>
      <c r="AF1154" s="652">
        <f>IF($B1154="",,SUMIFS(PerHeadcount[Month 21],PerHeadcount[exp_item],$H1154,PerHeadcount[company_name],$B1154)*AF209)</f>
        <v>0</v>
      </c>
      <c r="AG1154" s="652">
        <f>IF($B1154="",,SUMIFS(PerHeadcount[Month 22],PerHeadcount[exp_item],$H1154,PerHeadcount[company_name],$B1154)*AG209)</f>
        <v>0</v>
      </c>
      <c r="AH1154" s="652">
        <f>IF($B1154="",,SUMIFS(PerHeadcount[Month 23],PerHeadcount[exp_item],$H1154,PerHeadcount[company_name],$B1154)*AH209)</f>
        <v>0</v>
      </c>
      <c r="AI1154" s="652">
        <f>IF($B1154="",,SUMIFS(PerHeadcount[Month 24],PerHeadcount[exp_item],$H1154,PerHeadcount[company_name],$B1154)*AI209)</f>
        <v>0</v>
      </c>
      <c r="AJ1154" s="652">
        <f>IF($B1154="",,SUMIFS(PerHeadcount[Month 25],PerHeadcount[exp_item],$H1154,PerHeadcount[company_name],$B1154)*AJ209)</f>
        <v>0</v>
      </c>
      <c r="AK1154" s="652">
        <f>IF($B1154="",,SUMIFS(PerHeadcount[Month 26],PerHeadcount[exp_item],$H1154,PerHeadcount[company_name],$B1154)*AK209)</f>
        <v>0</v>
      </c>
      <c r="AL1154" s="652">
        <f>IF($B1154="",,SUMIFS(PerHeadcount[Month 27],PerHeadcount[exp_item],$H1154,PerHeadcount[company_name],$B1154)*AL209)</f>
        <v>0</v>
      </c>
      <c r="AM1154" s="652">
        <f>IF($B1154="",,SUMIFS(PerHeadcount[Month 28],PerHeadcount[exp_item],$H1154,PerHeadcount[company_name],$B1154)*AM209)</f>
        <v>0</v>
      </c>
      <c r="AN1154" s="652">
        <f>IF($B1154="",,SUMIFS(PerHeadcount[Month 29],PerHeadcount[exp_item],$H1154,PerHeadcount[company_name],$B1154)*AN209)</f>
        <v>0</v>
      </c>
      <c r="AO1154" s="652">
        <f>IF($B1154="",,SUMIFS(PerHeadcount[Month 30],PerHeadcount[exp_item],$H1154,PerHeadcount[company_name],$B1154)*AO209)</f>
        <v>0</v>
      </c>
      <c r="AP1154" s="652">
        <f>IF($B1154="",,SUMIFS(PerHeadcount[Month 31],PerHeadcount[exp_item],$H1154,PerHeadcount[company_name],$B1154)*AP209)</f>
        <v>0</v>
      </c>
      <c r="AQ1154" s="652">
        <f>IF($B1154="",,SUMIFS(PerHeadcount[Month 32],PerHeadcount[exp_item],$H1154,PerHeadcount[company_name],$B1154)*AQ209)</f>
        <v>0</v>
      </c>
      <c r="AR1154" s="652">
        <f>IF($B1154="",,SUMIFS(PerHeadcount[Month 33],PerHeadcount[exp_item],$H1154,PerHeadcount[company_name],$B1154)*AR209)</f>
        <v>0</v>
      </c>
      <c r="AS1154" s="652">
        <f>IF($B1154="",,SUMIFS(PerHeadcount[Month 34],PerHeadcount[exp_item],$H1154,PerHeadcount[company_name],$B1154)*AS209)</f>
        <v>0</v>
      </c>
      <c r="AT1154" s="652">
        <f>IF($B1154="",,SUMIFS(PerHeadcount[Month 35],PerHeadcount[exp_item],$H1154,PerHeadcount[company_name],$B1154)*AT209)</f>
        <v>0</v>
      </c>
      <c r="AU1154" s="652">
        <f>IF($B1154="",,SUMIFS(PerHeadcount[Month 36],PerHeadcount[exp_item],$H1154,PerHeadcount[company_name],$B1154)*AU209)</f>
        <v>0</v>
      </c>
    </row>
    <row r="1155" spans="2:47" x14ac:dyDescent="0.35">
      <c r="B1155" t="str">
        <f t="shared" si="772"/>
        <v/>
      </c>
      <c r="C1155" t="str">
        <f t="shared" ref="C1155:G1155" si="797">IF(C1050="","",C1050)</f>
        <v/>
      </c>
      <c r="D1155" t="str">
        <f t="shared" si="797"/>
        <v/>
      </c>
      <c r="E1155" t="str">
        <f t="shared" si="797"/>
        <v/>
      </c>
      <c r="F1155" t="str">
        <f t="shared" si="797"/>
        <v/>
      </c>
      <c r="G1155" t="str">
        <f t="shared" si="797"/>
        <v/>
      </c>
      <c r="H1155" t="str">
        <f t="shared" si="771"/>
        <v/>
      </c>
      <c r="J1155" t="str">
        <f>IF($H1155="","",IF(VLOOKUP(H1155,ExpItems[],2,0),H1155&amp;" - "&amp;INDEX(DivisionMapping[category_code],MATCH($D1155&amp;$C1155,DivisionMapping[dept_bu],0)),H1155))</f>
        <v/>
      </c>
      <c r="K1155" t="str">
        <f t="shared" si="774"/>
        <v/>
      </c>
      <c r="L1155" s="652">
        <f>IF($B1155="",,SUMIFS(PerHeadcount[Month 1],PerHeadcount[exp_item],$H1155,PerHeadcount[company_name],$B1155)*L210)</f>
        <v>0</v>
      </c>
      <c r="M1155" s="652">
        <f>IF($B1155="",,SUMIFS(PerHeadcount[Month 2],PerHeadcount[exp_item],$H1155,PerHeadcount[company_name],$B1155)*M210)</f>
        <v>0</v>
      </c>
      <c r="N1155" s="652">
        <f>IF($B1155="",,SUMIFS(PerHeadcount[Month 3],PerHeadcount[exp_item],$H1155,PerHeadcount[company_name],$B1155)*N210)</f>
        <v>0</v>
      </c>
      <c r="O1155" s="652">
        <f>IF($B1155="",,SUMIFS(PerHeadcount[Month 4],PerHeadcount[exp_item],$H1155,PerHeadcount[company_name],$B1155)*O210)</f>
        <v>0</v>
      </c>
      <c r="P1155" s="652">
        <f>IF($B1155="",,SUMIFS(PerHeadcount[Month 5],PerHeadcount[exp_item],$H1155,PerHeadcount[company_name],$B1155)*P210)</f>
        <v>0</v>
      </c>
      <c r="Q1155" s="652">
        <f>IF($B1155="",,SUMIFS(PerHeadcount[Month 6],PerHeadcount[exp_item],$H1155,PerHeadcount[company_name],$B1155)*Q210)</f>
        <v>0</v>
      </c>
      <c r="R1155" s="652">
        <f>IF($B1155="",,SUMIFS(PerHeadcount[Month 7],PerHeadcount[exp_item],$H1155,PerHeadcount[company_name],$B1155)*R210)</f>
        <v>0</v>
      </c>
      <c r="S1155" s="652">
        <f>IF($B1155="",,SUMIFS(PerHeadcount[Month 8],PerHeadcount[exp_item],$H1155,PerHeadcount[company_name],$B1155)*S210)</f>
        <v>0</v>
      </c>
      <c r="T1155" s="652">
        <f>IF($B1155="",,SUMIFS(PerHeadcount[Month 9],PerHeadcount[exp_item],$H1155,PerHeadcount[company_name],$B1155)*T210)</f>
        <v>0</v>
      </c>
      <c r="U1155" s="652">
        <f>IF($B1155="",,SUMIFS(PerHeadcount[Month 10],PerHeadcount[exp_item],$H1155,PerHeadcount[company_name],$B1155)*U210)</f>
        <v>0</v>
      </c>
      <c r="V1155" s="652">
        <f>IF($B1155="",,SUMIFS(PerHeadcount[Month 11],PerHeadcount[exp_item],$H1155,PerHeadcount[company_name],$B1155)*V210)</f>
        <v>0</v>
      </c>
      <c r="W1155" s="652">
        <f>IF($B1155="",,SUMIFS(PerHeadcount[Month 12],PerHeadcount[exp_item],$H1155,PerHeadcount[company_name],$B1155)*W210)</f>
        <v>0</v>
      </c>
      <c r="X1155" s="652">
        <f>IF($B1155="",,SUMIFS(PerHeadcount[Month 13],PerHeadcount[exp_item],$H1155,PerHeadcount[company_name],$B1155)*X210)</f>
        <v>0</v>
      </c>
      <c r="Y1155" s="652">
        <f>IF($B1155="",,SUMIFS(PerHeadcount[Month 14],PerHeadcount[exp_item],$H1155,PerHeadcount[company_name],$B1155)*Y210)</f>
        <v>0</v>
      </c>
      <c r="Z1155" s="652">
        <f>IF($B1155="",,SUMIFS(PerHeadcount[Month 15],PerHeadcount[exp_item],$H1155,PerHeadcount[company_name],$B1155)*Z210)</f>
        <v>0</v>
      </c>
      <c r="AA1155" s="652">
        <f>IF($B1155="",,SUMIFS(PerHeadcount[Month 16],PerHeadcount[exp_item],$H1155,PerHeadcount[company_name],$B1155)*AA210)</f>
        <v>0</v>
      </c>
      <c r="AB1155" s="652">
        <f>IF($B1155="",,SUMIFS(PerHeadcount[Month 17],PerHeadcount[exp_item],$H1155,PerHeadcount[company_name],$B1155)*AB210)</f>
        <v>0</v>
      </c>
      <c r="AC1155" s="652">
        <f>IF($B1155="",,SUMIFS(PerHeadcount[Month 18],PerHeadcount[exp_item],$H1155,PerHeadcount[company_name],$B1155)*AC210)</f>
        <v>0</v>
      </c>
      <c r="AD1155" s="652">
        <f>IF($B1155="",,SUMIFS(PerHeadcount[Month 19],PerHeadcount[exp_item],$H1155,PerHeadcount[company_name],$B1155)*AD210)</f>
        <v>0</v>
      </c>
      <c r="AE1155" s="652">
        <f>IF($B1155="",,SUMIFS(PerHeadcount[Month 20],PerHeadcount[exp_item],$H1155,PerHeadcount[company_name],$B1155)*AE210)</f>
        <v>0</v>
      </c>
      <c r="AF1155" s="652">
        <f>IF($B1155="",,SUMIFS(PerHeadcount[Month 21],PerHeadcount[exp_item],$H1155,PerHeadcount[company_name],$B1155)*AF210)</f>
        <v>0</v>
      </c>
      <c r="AG1155" s="652">
        <f>IF($B1155="",,SUMIFS(PerHeadcount[Month 22],PerHeadcount[exp_item],$H1155,PerHeadcount[company_name],$B1155)*AG210)</f>
        <v>0</v>
      </c>
      <c r="AH1155" s="652">
        <f>IF($B1155="",,SUMIFS(PerHeadcount[Month 23],PerHeadcount[exp_item],$H1155,PerHeadcount[company_name],$B1155)*AH210)</f>
        <v>0</v>
      </c>
      <c r="AI1155" s="652">
        <f>IF($B1155="",,SUMIFS(PerHeadcount[Month 24],PerHeadcount[exp_item],$H1155,PerHeadcount[company_name],$B1155)*AI210)</f>
        <v>0</v>
      </c>
      <c r="AJ1155" s="652">
        <f>IF($B1155="",,SUMIFS(PerHeadcount[Month 25],PerHeadcount[exp_item],$H1155,PerHeadcount[company_name],$B1155)*AJ210)</f>
        <v>0</v>
      </c>
      <c r="AK1155" s="652">
        <f>IF($B1155="",,SUMIFS(PerHeadcount[Month 26],PerHeadcount[exp_item],$H1155,PerHeadcount[company_name],$B1155)*AK210)</f>
        <v>0</v>
      </c>
      <c r="AL1155" s="652">
        <f>IF($B1155="",,SUMIFS(PerHeadcount[Month 27],PerHeadcount[exp_item],$H1155,PerHeadcount[company_name],$B1155)*AL210)</f>
        <v>0</v>
      </c>
      <c r="AM1155" s="652">
        <f>IF($B1155="",,SUMIFS(PerHeadcount[Month 28],PerHeadcount[exp_item],$H1155,PerHeadcount[company_name],$B1155)*AM210)</f>
        <v>0</v>
      </c>
      <c r="AN1155" s="652">
        <f>IF($B1155="",,SUMIFS(PerHeadcount[Month 29],PerHeadcount[exp_item],$H1155,PerHeadcount[company_name],$B1155)*AN210)</f>
        <v>0</v>
      </c>
      <c r="AO1155" s="652">
        <f>IF($B1155="",,SUMIFS(PerHeadcount[Month 30],PerHeadcount[exp_item],$H1155,PerHeadcount[company_name],$B1155)*AO210)</f>
        <v>0</v>
      </c>
      <c r="AP1155" s="652">
        <f>IF($B1155="",,SUMIFS(PerHeadcount[Month 31],PerHeadcount[exp_item],$H1155,PerHeadcount[company_name],$B1155)*AP210)</f>
        <v>0</v>
      </c>
      <c r="AQ1155" s="652">
        <f>IF($B1155="",,SUMIFS(PerHeadcount[Month 32],PerHeadcount[exp_item],$H1155,PerHeadcount[company_name],$B1155)*AQ210)</f>
        <v>0</v>
      </c>
      <c r="AR1155" s="652">
        <f>IF($B1155="",,SUMIFS(PerHeadcount[Month 33],PerHeadcount[exp_item],$H1155,PerHeadcount[company_name],$B1155)*AR210)</f>
        <v>0</v>
      </c>
      <c r="AS1155" s="652">
        <f>IF($B1155="",,SUMIFS(PerHeadcount[Month 34],PerHeadcount[exp_item],$H1155,PerHeadcount[company_name],$B1155)*AS210)</f>
        <v>0</v>
      </c>
      <c r="AT1155" s="652">
        <f>IF($B1155="",,SUMIFS(PerHeadcount[Month 35],PerHeadcount[exp_item],$H1155,PerHeadcount[company_name],$B1155)*AT210)</f>
        <v>0</v>
      </c>
      <c r="AU1155" s="652">
        <f>IF($B1155="",,SUMIFS(PerHeadcount[Month 36],PerHeadcount[exp_item],$H1155,PerHeadcount[company_name],$B1155)*AU210)</f>
        <v>0</v>
      </c>
    </row>
    <row r="1156" spans="2:47" x14ac:dyDescent="0.35">
      <c r="B1156" t="str">
        <f t="shared" si="772"/>
        <v/>
      </c>
      <c r="C1156" t="str">
        <f t="shared" ref="C1156:G1156" si="798">IF(C1051="","",C1051)</f>
        <v/>
      </c>
      <c r="D1156" t="str">
        <f t="shared" si="798"/>
        <v/>
      </c>
      <c r="E1156" t="str">
        <f t="shared" si="798"/>
        <v/>
      </c>
      <c r="F1156" t="str">
        <f t="shared" si="798"/>
        <v/>
      </c>
      <c r="G1156" t="str">
        <f t="shared" si="798"/>
        <v/>
      </c>
      <c r="H1156" t="str">
        <f t="shared" si="771"/>
        <v/>
      </c>
      <c r="J1156" t="str">
        <f>IF($H1156="","",IF(VLOOKUP(H1156,ExpItems[],2,0),H1156&amp;" - "&amp;INDEX(DivisionMapping[category_code],MATCH($D1156&amp;$C1156,DivisionMapping[dept_bu],0)),H1156))</f>
        <v/>
      </c>
      <c r="K1156" t="str">
        <f t="shared" si="774"/>
        <v/>
      </c>
      <c r="L1156" s="652">
        <f>IF($B1156="",,SUMIFS(PerHeadcount[Month 1],PerHeadcount[exp_item],$H1156,PerHeadcount[company_name],$B1156)*L211)</f>
        <v>0</v>
      </c>
      <c r="M1156" s="652">
        <f>IF($B1156="",,SUMIFS(PerHeadcount[Month 2],PerHeadcount[exp_item],$H1156,PerHeadcount[company_name],$B1156)*M211)</f>
        <v>0</v>
      </c>
      <c r="N1156" s="652">
        <f>IF($B1156="",,SUMIFS(PerHeadcount[Month 3],PerHeadcount[exp_item],$H1156,PerHeadcount[company_name],$B1156)*N211)</f>
        <v>0</v>
      </c>
      <c r="O1156" s="652">
        <f>IF($B1156="",,SUMIFS(PerHeadcount[Month 4],PerHeadcount[exp_item],$H1156,PerHeadcount[company_name],$B1156)*O211)</f>
        <v>0</v>
      </c>
      <c r="P1156" s="652">
        <f>IF($B1156="",,SUMIFS(PerHeadcount[Month 5],PerHeadcount[exp_item],$H1156,PerHeadcount[company_name],$B1156)*P211)</f>
        <v>0</v>
      </c>
      <c r="Q1156" s="652">
        <f>IF($B1156="",,SUMIFS(PerHeadcount[Month 6],PerHeadcount[exp_item],$H1156,PerHeadcount[company_name],$B1156)*Q211)</f>
        <v>0</v>
      </c>
      <c r="R1156" s="652">
        <f>IF($B1156="",,SUMIFS(PerHeadcount[Month 7],PerHeadcount[exp_item],$H1156,PerHeadcount[company_name],$B1156)*R211)</f>
        <v>0</v>
      </c>
      <c r="S1156" s="652">
        <f>IF($B1156="",,SUMIFS(PerHeadcount[Month 8],PerHeadcount[exp_item],$H1156,PerHeadcount[company_name],$B1156)*S211)</f>
        <v>0</v>
      </c>
      <c r="T1156" s="652">
        <f>IF($B1156="",,SUMIFS(PerHeadcount[Month 9],PerHeadcount[exp_item],$H1156,PerHeadcount[company_name],$B1156)*T211)</f>
        <v>0</v>
      </c>
      <c r="U1156" s="652">
        <f>IF($B1156="",,SUMIFS(PerHeadcount[Month 10],PerHeadcount[exp_item],$H1156,PerHeadcount[company_name],$B1156)*U211)</f>
        <v>0</v>
      </c>
      <c r="V1156" s="652">
        <f>IF($B1156="",,SUMIFS(PerHeadcount[Month 11],PerHeadcount[exp_item],$H1156,PerHeadcount[company_name],$B1156)*V211)</f>
        <v>0</v>
      </c>
      <c r="W1156" s="652">
        <f>IF($B1156="",,SUMIFS(PerHeadcount[Month 12],PerHeadcount[exp_item],$H1156,PerHeadcount[company_name],$B1156)*W211)</f>
        <v>0</v>
      </c>
      <c r="X1156" s="652">
        <f>IF($B1156="",,SUMIFS(PerHeadcount[Month 13],PerHeadcount[exp_item],$H1156,PerHeadcount[company_name],$B1156)*X211)</f>
        <v>0</v>
      </c>
      <c r="Y1156" s="652">
        <f>IF($B1156="",,SUMIFS(PerHeadcount[Month 14],PerHeadcount[exp_item],$H1156,PerHeadcount[company_name],$B1156)*Y211)</f>
        <v>0</v>
      </c>
      <c r="Z1156" s="652">
        <f>IF($B1156="",,SUMIFS(PerHeadcount[Month 15],PerHeadcount[exp_item],$H1156,PerHeadcount[company_name],$B1156)*Z211)</f>
        <v>0</v>
      </c>
      <c r="AA1156" s="652">
        <f>IF($B1156="",,SUMIFS(PerHeadcount[Month 16],PerHeadcount[exp_item],$H1156,PerHeadcount[company_name],$B1156)*AA211)</f>
        <v>0</v>
      </c>
      <c r="AB1156" s="652">
        <f>IF($B1156="",,SUMIFS(PerHeadcount[Month 17],PerHeadcount[exp_item],$H1156,PerHeadcount[company_name],$B1156)*AB211)</f>
        <v>0</v>
      </c>
      <c r="AC1156" s="652">
        <f>IF($B1156="",,SUMIFS(PerHeadcount[Month 18],PerHeadcount[exp_item],$H1156,PerHeadcount[company_name],$B1156)*AC211)</f>
        <v>0</v>
      </c>
      <c r="AD1156" s="652">
        <f>IF($B1156="",,SUMIFS(PerHeadcount[Month 19],PerHeadcount[exp_item],$H1156,PerHeadcount[company_name],$B1156)*AD211)</f>
        <v>0</v>
      </c>
      <c r="AE1156" s="652">
        <f>IF($B1156="",,SUMIFS(PerHeadcount[Month 20],PerHeadcount[exp_item],$H1156,PerHeadcount[company_name],$B1156)*AE211)</f>
        <v>0</v>
      </c>
      <c r="AF1156" s="652">
        <f>IF($B1156="",,SUMIFS(PerHeadcount[Month 21],PerHeadcount[exp_item],$H1156,PerHeadcount[company_name],$B1156)*AF211)</f>
        <v>0</v>
      </c>
      <c r="AG1156" s="652">
        <f>IF($B1156="",,SUMIFS(PerHeadcount[Month 22],PerHeadcount[exp_item],$H1156,PerHeadcount[company_name],$B1156)*AG211)</f>
        <v>0</v>
      </c>
      <c r="AH1156" s="652">
        <f>IF($B1156="",,SUMIFS(PerHeadcount[Month 23],PerHeadcount[exp_item],$H1156,PerHeadcount[company_name],$B1156)*AH211)</f>
        <v>0</v>
      </c>
      <c r="AI1156" s="652">
        <f>IF($B1156="",,SUMIFS(PerHeadcount[Month 24],PerHeadcount[exp_item],$H1156,PerHeadcount[company_name],$B1156)*AI211)</f>
        <v>0</v>
      </c>
      <c r="AJ1156" s="652">
        <f>IF($B1156="",,SUMIFS(PerHeadcount[Month 25],PerHeadcount[exp_item],$H1156,PerHeadcount[company_name],$B1156)*AJ211)</f>
        <v>0</v>
      </c>
      <c r="AK1156" s="652">
        <f>IF($B1156="",,SUMIFS(PerHeadcount[Month 26],PerHeadcount[exp_item],$H1156,PerHeadcount[company_name],$B1156)*AK211)</f>
        <v>0</v>
      </c>
      <c r="AL1156" s="652">
        <f>IF($B1156="",,SUMIFS(PerHeadcount[Month 27],PerHeadcount[exp_item],$H1156,PerHeadcount[company_name],$B1156)*AL211)</f>
        <v>0</v>
      </c>
      <c r="AM1156" s="652">
        <f>IF($B1156="",,SUMIFS(PerHeadcount[Month 28],PerHeadcount[exp_item],$H1156,PerHeadcount[company_name],$B1156)*AM211)</f>
        <v>0</v>
      </c>
      <c r="AN1156" s="652">
        <f>IF($B1156="",,SUMIFS(PerHeadcount[Month 29],PerHeadcount[exp_item],$H1156,PerHeadcount[company_name],$B1156)*AN211)</f>
        <v>0</v>
      </c>
      <c r="AO1156" s="652">
        <f>IF($B1156="",,SUMIFS(PerHeadcount[Month 30],PerHeadcount[exp_item],$H1156,PerHeadcount[company_name],$B1156)*AO211)</f>
        <v>0</v>
      </c>
      <c r="AP1156" s="652">
        <f>IF($B1156="",,SUMIFS(PerHeadcount[Month 31],PerHeadcount[exp_item],$H1156,PerHeadcount[company_name],$B1156)*AP211)</f>
        <v>0</v>
      </c>
      <c r="AQ1156" s="652">
        <f>IF($B1156="",,SUMIFS(PerHeadcount[Month 32],PerHeadcount[exp_item],$H1156,PerHeadcount[company_name],$B1156)*AQ211)</f>
        <v>0</v>
      </c>
      <c r="AR1156" s="652">
        <f>IF($B1156="",,SUMIFS(PerHeadcount[Month 33],PerHeadcount[exp_item],$H1156,PerHeadcount[company_name],$B1156)*AR211)</f>
        <v>0</v>
      </c>
      <c r="AS1156" s="652">
        <f>IF($B1156="",,SUMIFS(PerHeadcount[Month 34],PerHeadcount[exp_item],$H1156,PerHeadcount[company_name],$B1156)*AS211)</f>
        <v>0</v>
      </c>
      <c r="AT1156" s="652">
        <f>IF($B1156="",,SUMIFS(PerHeadcount[Month 35],PerHeadcount[exp_item],$H1156,PerHeadcount[company_name],$B1156)*AT211)</f>
        <v>0</v>
      </c>
      <c r="AU1156" s="652">
        <f>IF($B1156="",,SUMIFS(PerHeadcount[Month 36],PerHeadcount[exp_item],$H1156,PerHeadcount[company_name],$B1156)*AU211)</f>
        <v>0</v>
      </c>
    </row>
    <row r="1157" spans="2:47" x14ac:dyDescent="0.35">
      <c r="B1157" t="str">
        <f t="shared" si="772"/>
        <v/>
      </c>
      <c r="C1157" t="str">
        <f t="shared" ref="C1157:G1157" si="799">IF(C1052="","",C1052)</f>
        <v/>
      </c>
      <c r="D1157" t="str">
        <f t="shared" si="799"/>
        <v/>
      </c>
      <c r="E1157" t="str">
        <f t="shared" si="799"/>
        <v/>
      </c>
      <c r="F1157" t="str">
        <f t="shared" si="799"/>
        <v/>
      </c>
      <c r="G1157" t="str">
        <f t="shared" si="799"/>
        <v/>
      </c>
      <c r="H1157" t="str">
        <f t="shared" si="771"/>
        <v/>
      </c>
      <c r="J1157" t="str">
        <f>IF($H1157="","",IF(VLOOKUP(H1157,ExpItems[],2,0),H1157&amp;" - "&amp;INDEX(DivisionMapping[category_code],MATCH($D1157&amp;$C1157,DivisionMapping[dept_bu],0)),H1157))</f>
        <v/>
      </c>
      <c r="K1157" t="str">
        <f t="shared" si="774"/>
        <v/>
      </c>
      <c r="L1157" s="652">
        <f>IF($B1157="",,SUMIFS(PerHeadcount[Month 1],PerHeadcount[exp_item],$H1157,PerHeadcount[company_name],$B1157)*L212)</f>
        <v>0</v>
      </c>
      <c r="M1157" s="652">
        <f>IF($B1157="",,SUMIFS(PerHeadcount[Month 2],PerHeadcount[exp_item],$H1157,PerHeadcount[company_name],$B1157)*M212)</f>
        <v>0</v>
      </c>
      <c r="N1157" s="652">
        <f>IF($B1157="",,SUMIFS(PerHeadcount[Month 3],PerHeadcount[exp_item],$H1157,PerHeadcount[company_name],$B1157)*N212)</f>
        <v>0</v>
      </c>
      <c r="O1157" s="652">
        <f>IF($B1157="",,SUMIFS(PerHeadcount[Month 4],PerHeadcount[exp_item],$H1157,PerHeadcount[company_name],$B1157)*O212)</f>
        <v>0</v>
      </c>
      <c r="P1157" s="652">
        <f>IF($B1157="",,SUMIFS(PerHeadcount[Month 5],PerHeadcount[exp_item],$H1157,PerHeadcount[company_name],$B1157)*P212)</f>
        <v>0</v>
      </c>
      <c r="Q1157" s="652">
        <f>IF($B1157="",,SUMIFS(PerHeadcount[Month 6],PerHeadcount[exp_item],$H1157,PerHeadcount[company_name],$B1157)*Q212)</f>
        <v>0</v>
      </c>
      <c r="R1157" s="652">
        <f>IF($B1157="",,SUMIFS(PerHeadcount[Month 7],PerHeadcount[exp_item],$H1157,PerHeadcount[company_name],$B1157)*R212)</f>
        <v>0</v>
      </c>
      <c r="S1157" s="652">
        <f>IF($B1157="",,SUMIFS(PerHeadcount[Month 8],PerHeadcount[exp_item],$H1157,PerHeadcount[company_name],$B1157)*S212)</f>
        <v>0</v>
      </c>
      <c r="T1157" s="652">
        <f>IF($B1157="",,SUMIFS(PerHeadcount[Month 9],PerHeadcount[exp_item],$H1157,PerHeadcount[company_name],$B1157)*T212)</f>
        <v>0</v>
      </c>
      <c r="U1157" s="652">
        <f>IF($B1157="",,SUMIFS(PerHeadcount[Month 10],PerHeadcount[exp_item],$H1157,PerHeadcount[company_name],$B1157)*U212)</f>
        <v>0</v>
      </c>
      <c r="V1157" s="652">
        <f>IF($B1157="",,SUMIFS(PerHeadcount[Month 11],PerHeadcount[exp_item],$H1157,PerHeadcount[company_name],$B1157)*V212)</f>
        <v>0</v>
      </c>
      <c r="W1157" s="652">
        <f>IF($B1157="",,SUMIFS(PerHeadcount[Month 12],PerHeadcount[exp_item],$H1157,PerHeadcount[company_name],$B1157)*W212)</f>
        <v>0</v>
      </c>
      <c r="X1157" s="652">
        <f>IF($B1157="",,SUMIFS(PerHeadcount[Month 13],PerHeadcount[exp_item],$H1157,PerHeadcount[company_name],$B1157)*X212)</f>
        <v>0</v>
      </c>
      <c r="Y1157" s="652">
        <f>IF($B1157="",,SUMIFS(PerHeadcount[Month 14],PerHeadcount[exp_item],$H1157,PerHeadcount[company_name],$B1157)*Y212)</f>
        <v>0</v>
      </c>
      <c r="Z1157" s="652">
        <f>IF($B1157="",,SUMIFS(PerHeadcount[Month 15],PerHeadcount[exp_item],$H1157,PerHeadcount[company_name],$B1157)*Z212)</f>
        <v>0</v>
      </c>
      <c r="AA1157" s="652">
        <f>IF($B1157="",,SUMIFS(PerHeadcount[Month 16],PerHeadcount[exp_item],$H1157,PerHeadcount[company_name],$B1157)*AA212)</f>
        <v>0</v>
      </c>
      <c r="AB1157" s="652">
        <f>IF($B1157="",,SUMIFS(PerHeadcount[Month 17],PerHeadcount[exp_item],$H1157,PerHeadcount[company_name],$B1157)*AB212)</f>
        <v>0</v>
      </c>
      <c r="AC1157" s="652">
        <f>IF($B1157="",,SUMIFS(PerHeadcount[Month 18],PerHeadcount[exp_item],$H1157,PerHeadcount[company_name],$B1157)*AC212)</f>
        <v>0</v>
      </c>
      <c r="AD1157" s="652">
        <f>IF($B1157="",,SUMIFS(PerHeadcount[Month 19],PerHeadcount[exp_item],$H1157,PerHeadcount[company_name],$B1157)*AD212)</f>
        <v>0</v>
      </c>
      <c r="AE1157" s="652">
        <f>IF($B1157="",,SUMIFS(PerHeadcount[Month 20],PerHeadcount[exp_item],$H1157,PerHeadcount[company_name],$B1157)*AE212)</f>
        <v>0</v>
      </c>
      <c r="AF1157" s="652">
        <f>IF($B1157="",,SUMIFS(PerHeadcount[Month 21],PerHeadcount[exp_item],$H1157,PerHeadcount[company_name],$B1157)*AF212)</f>
        <v>0</v>
      </c>
      <c r="AG1157" s="652">
        <f>IF($B1157="",,SUMIFS(PerHeadcount[Month 22],PerHeadcount[exp_item],$H1157,PerHeadcount[company_name],$B1157)*AG212)</f>
        <v>0</v>
      </c>
      <c r="AH1157" s="652">
        <f>IF($B1157="",,SUMIFS(PerHeadcount[Month 23],PerHeadcount[exp_item],$H1157,PerHeadcount[company_name],$B1157)*AH212)</f>
        <v>0</v>
      </c>
      <c r="AI1157" s="652">
        <f>IF($B1157="",,SUMIFS(PerHeadcount[Month 24],PerHeadcount[exp_item],$H1157,PerHeadcount[company_name],$B1157)*AI212)</f>
        <v>0</v>
      </c>
      <c r="AJ1157" s="652">
        <f>IF($B1157="",,SUMIFS(PerHeadcount[Month 25],PerHeadcount[exp_item],$H1157,PerHeadcount[company_name],$B1157)*AJ212)</f>
        <v>0</v>
      </c>
      <c r="AK1157" s="652">
        <f>IF($B1157="",,SUMIFS(PerHeadcount[Month 26],PerHeadcount[exp_item],$H1157,PerHeadcount[company_name],$B1157)*AK212)</f>
        <v>0</v>
      </c>
      <c r="AL1157" s="652">
        <f>IF($B1157="",,SUMIFS(PerHeadcount[Month 27],PerHeadcount[exp_item],$H1157,PerHeadcount[company_name],$B1157)*AL212)</f>
        <v>0</v>
      </c>
      <c r="AM1157" s="652">
        <f>IF($B1157="",,SUMIFS(PerHeadcount[Month 28],PerHeadcount[exp_item],$H1157,PerHeadcount[company_name],$B1157)*AM212)</f>
        <v>0</v>
      </c>
      <c r="AN1157" s="652">
        <f>IF($B1157="",,SUMIFS(PerHeadcount[Month 29],PerHeadcount[exp_item],$H1157,PerHeadcount[company_name],$B1157)*AN212)</f>
        <v>0</v>
      </c>
      <c r="AO1157" s="652">
        <f>IF($B1157="",,SUMIFS(PerHeadcount[Month 30],PerHeadcount[exp_item],$H1157,PerHeadcount[company_name],$B1157)*AO212)</f>
        <v>0</v>
      </c>
      <c r="AP1157" s="652">
        <f>IF($B1157="",,SUMIFS(PerHeadcount[Month 31],PerHeadcount[exp_item],$H1157,PerHeadcount[company_name],$B1157)*AP212)</f>
        <v>0</v>
      </c>
      <c r="AQ1157" s="652">
        <f>IF($B1157="",,SUMIFS(PerHeadcount[Month 32],PerHeadcount[exp_item],$H1157,PerHeadcount[company_name],$B1157)*AQ212)</f>
        <v>0</v>
      </c>
      <c r="AR1157" s="652">
        <f>IF($B1157="",,SUMIFS(PerHeadcount[Month 33],PerHeadcount[exp_item],$H1157,PerHeadcount[company_name],$B1157)*AR212)</f>
        <v>0</v>
      </c>
      <c r="AS1157" s="652">
        <f>IF($B1157="",,SUMIFS(PerHeadcount[Month 34],PerHeadcount[exp_item],$H1157,PerHeadcount[company_name],$B1157)*AS212)</f>
        <v>0</v>
      </c>
      <c r="AT1157" s="652">
        <f>IF($B1157="",,SUMIFS(PerHeadcount[Month 35],PerHeadcount[exp_item],$H1157,PerHeadcount[company_name],$B1157)*AT212)</f>
        <v>0</v>
      </c>
      <c r="AU1157" s="652">
        <f>IF($B1157="",,SUMIFS(PerHeadcount[Month 36],PerHeadcount[exp_item],$H1157,PerHeadcount[company_name],$B1157)*AU212)</f>
        <v>0</v>
      </c>
    </row>
    <row r="1158" spans="2:47" x14ac:dyDescent="0.35">
      <c r="B1158" t="str">
        <f t="shared" si="772"/>
        <v/>
      </c>
      <c r="C1158" t="str">
        <f t="shared" ref="C1158:G1158" si="800">IF(C1053="","",C1053)</f>
        <v/>
      </c>
      <c r="D1158" t="str">
        <f t="shared" si="800"/>
        <v/>
      </c>
      <c r="E1158" t="str">
        <f t="shared" si="800"/>
        <v/>
      </c>
      <c r="F1158" t="str">
        <f t="shared" si="800"/>
        <v/>
      </c>
      <c r="G1158" t="str">
        <f t="shared" si="800"/>
        <v/>
      </c>
      <c r="H1158" t="str">
        <f t="shared" si="771"/>
        <v/>
      </c>
      <c r="J1158" t="str">
        <f>IF($H1158="","",IF(VLOOKUP(H1158,ExpItems[],2,0),H1158&amp;" - "&amp;INDEX(DivisionMapping[category_code],MATCH($D1158&amp;$C1158,DivisionMapping[dept_bu],0)),H1158))</f>
        <v/>
      </c>
      <c r="K1158" t="str">
        <f t="shared" si="774"/>
        <v/>
      </c>
      <c r="L1158" s="652">
        <f>IF($B1158="",,SUMIFS(PerHeadcount[Month 1],PerHeadcount[exp_item],$H1158,PerHeadcount[company_name],$B1158)*L213)</f>
        <v>0</v>
      </c>
      <c r="M1158" s="652">
        <f>IF($B1158="",,SUMIFS(PerHeadcount[Month 2],PerHeadcount[exp_item],$H1158,PerHeadcount[company_name],$B1158)*M213)</f>
        <v>0</v>
      </c>
      <c r="N1158" s="652">
        <f>IF($B1158="",,SUMIFS(PerHeadcount[Month 3],PerHeadcount[exp_item],$H1158,PerHeadcount[company_name],$B1158)*N213)</f>
        <v>0</v>
      </c>
      <c r="O1158" s="652">
        <f>IF($B1158="",,SUMIFS(PerHeadcount[Month 4],PerHeadcount[exp_item],$H1158,PerHeadcount[company_name],$B1158)*O213)</f>
        <v>0</v>
      </c>
      <c r="P1158" s="652">
        <f>IF($B1158="",,SUMIFS(PerHeadcount[Month 5],PerHeadcount[exp_item],$H1158,PerHeadcount[company_name],$B1158)*P213)</f>
        <v>0</v>
      </c>
      <c r="Q1158" s="652">
        <f>IF($B1158="",,SUMIFS(PerHeadcount[Month 6],PerHeadcount[exp_item],$H1158,PerHeadcount[company_name],$B1158)*Q213)</f>
        <v>0</v>
      </c>
      <c r="R1158" s="652">
        <f>IF($B1158="",,SUMIFS(PerHeadcount[Month 7],PerHeadcount[exp_item],$H1158,PerHeadcount[company_name],$B1158)*R213)</f>
        <v>0</v>
      </c>
      <c r="S1158" s="652">
        <f>IF($B1158="",,SUMIFS(PerHeadcount[Month 8],PerHeadcount[exp_item],$H1158,PerHeadcount[company_name],$B1158)*S213)</f>
        <v>0</v>
      </c>
      <c r="T1158" s="652">
        <f>IF($B1158="",,SUMIFS(PerHeadcount[Month 9],PerHeadcount[exp_item],$H1158,PerHeadcount[company_name],$B1158)*T213)</f>
        <v>0</v>
      </c>
      <c r="U1158" s="652">
        <f>IF($B1158="",,SUMIFS(PerHeadcount[Month 10],PerHeadcount[exp_item],$H1158,PerHeadcount[company_name],$B1158)*U213)</f>
        <v>0</v>
      </c>
      <c r="V1158" s="652">
        <f>IF($B1158="",,SUMIFS(PerHeadcount[Month 11],PerHeadcount[exp_item],$H1158,PerHeadcount[company_name],$B1158)*V213)</f>
        <v>0</v>
      </c>
      <c r="W1158" s="652">
        <f>IF($B1158="",,SUMIFS(PerHeadcount[Month 12],PerHeadcount[exp_item],$H1158,PerHeadcount[company_name],$B1158)*W213)</f>
        <v>0</v>
      </c>
      <c r="X1158" s="652">
        <f>IF($B1158="",,SUMIFS(PerHeadcount[Month 13],PerHeadcount[exp_item],$H1158,PerHeadcount[company_name],$B1158)*X213)</f>
        <v>0</v>
      </c>
      <c r="Y1158" s="652">
        <f>IF($B1158="",,SUMIFS(PerHeadcount[Month 14],PerHeadcount[exp_item],$H1158,PerHeadcount[company_name],$B1158)*Y213)</f>
        <v>0</v>
      </c>
      <c r="Z1158" s="652">
        <f>IF($B1158="",,SUMIFS(PerHeadcount[Month 15],PerHeadcount[exp_item],$H1158,PerHeadcount[company_name],$B1158)*Z213)</f>
        <v>0</v>
      </c>
      <c r="AA1158" s="652">
        <f>IF($B1158="",,SUMIFS(PerHeadcount[Month 16],PerHeadcount[exp_item],$H1158,PerHeadcount[company_name],$B1158)*AA213)</f>
        <v>0</v>
      </c>
      <c r="AB1158" s="652">
        <f>IF($B1158="",,SUMIFS(PerHeadcount[Month 17],PerHeadcount[exp_item],$H1158,PerHeadcount[company_name],$B1158)*AB213)</f>
        <v>0</v>
      </c>
      <c r="AC1158" s="652">
        <f>IF($B1158="",,SUMIFS(PerHeadcount[Month 18],PerHeadcount[exp_item],$H1158,PerHeadcount[company_name],$B1158)*AC213)</f>
        <v>0</v>
      </c>
      <c r="AD1158" s="652">
        <f>IF($B1158="",,SUMIFS(PerHeadcount[Month 19],PerHeadcount[exp_item],$H1158,PerHeadcount[company_name],$B1158)*AD213)</f>
        <v>0</v>
      </c>
      <c r="AE1158" s="652">
        <f>IF($B1158="",,SUMIFS(PerHeadcount[Month 20],PerHeadcount[exp_item],$H1158,PerHeadcount[company_name],$B1158)*AE213)</f>
        <v>0</v>
      </c>
      <c r="AF1158" s="652">
        <f>IF($B1158="",,SUMIFS(PerHeadcount[Month 21],PerHeadcount[exp_item],$H1158,PerHeadcount[company_name],$B1158)*AF213)</f>
        <v>0</v>
      </c>
      <c r="AG1158" s="652">
        <f>IF($B1158="",,SUMIFS(PerHeadcount[Month 22],PerHeadcount[exp_item],$H1158,PerHeadcount[company_name],$B1158)*AG213)</f>
        <v>0</v>
      </c>
      <c r="AH1158" s="652">
        <f>IF($B1158="",,SUMIFS(PerHeadcount[Month 23],PerHeadcount[exp_item],$H1158,PerHeadcount[company_name],$B1158)*AH213)</f>
        <v>0</v>
      </c>
      <c r="AI1158" s="652">
        <f>IF($B1158="",,SUMIFS(PerHeadcount[Month 24],PerHeadcount[exp_item],$H1158,PerHeadcount[company_name],$B1158)*AI213)</f>
        <v>0</v>
      </c>
      <c r="AJ1158" s="652">
        <f>IF($B1158="",,SUMIFS(PerHeadcount[Month 25],PerHeadcount[exp_item],$H1158,PerHeadcount[company_name],$B1158)*AJ213)</f>
        <v>0</v>
      </c>
      <c r="AK1158" s="652">
        <f>IF($B1158="",,SUMIFS(PerHeadcount[Month 26],PerHeadcount[exp_item],$H1158,PerHeadcount[company_name],$B1158)*AK213)</f>
        <v>0</v>
      </c>
      <c r="AL1158" s="652">
        <f>IF($B1158="",,SUMIFS(PerHeadcount[Month 27],PerHeadcount[exp_item],$H1158,PerHeadcount[company_name],$B1158)*AL213)</f>
        <v>0</v>
      </c>
      <c r="AM1158" s="652">
        <f>IF($B1158="",,SUMIFS(PerHeadcount[Month 28],PerHeadcount[exp_item],$H1158,PerHeadcount[company_name],$B1158)*AM213)</f>
        <v>0</v>
      </c>
      <c r="AN1158" s="652">
        <f>IF($B1158="",,SUMIFS(PerHeadcount[Month 29],PerHeadcount[exp_item],$H1158,PerHeadcount[company_name],$B1158)*AN213)</f>
        <v>0</v>
      </c>
      <c r="AO1158" s="652">
        <f>IF($B1158="",,SUMIFS(PerHeadcount[Month 30],PerHeadcount[exp_item],$H1158,PerHeadcount[company_name],$B1158)*AO213)</f>
        <v>0</v>
      </c>
      <c r="AP1158" s="652">
        <f>IF($B1158="",,SUMIFS(PerHeadcount[Month 31],PerHeadcount[exp_item],$H1158,PerHeadcount[company_name],$B1158)*AP213)</f>
        <v>0</v>
      </c>
      <c r="AQ1158" s="652">
        <f>IF($B1158="",,SUMIFS(PerHeadcount[Month 32],PerHeadcount[exp_item],$H1158,PerHeadcount[company_name],$B1158)*AQ213)</f>
        <v>0</v>
      </c>
      <c r="AR1158" s="652">
        <f>IF($B1158="",,SUMIFS(PerHeadcount[Month 33],PerHeadcount[exp_item],$H1158,PerHeadcount[company_name],$B1158)*AR213)</f>
        <v>0</v>
      </c>
      <c r="AS1158" s="652">
        <f>IF($B1158="",,SUMIFS(PerHeadcount[Month 34],PerHeadcount[exp_item],$H1158,PerHeadcount[company_name],$B1158)*AS213)</f>
        <v>0</v>
      </c>
      <c r="AT1158" s="652">
        <f>IF($B1158="",,SUMIFS(PerHeadcount[Month 35],PerHeadcount[exp_item],$H1158,PerHeadcount[company_name],$B1158)*AT213)</f>
        <v>0</v>
      </c>
      <c r="AU1158" s="652">
        <f>IF($B1158="",,SUMIFS(PerHeadcount[Month 36],PerHeadcount[exp_item],$H1158,PerHeadcount[company_name],$B1158)*AU213)</f>
        <v>0</v>
      </c>
    </row>
    <row r="1159" spans="2:47" x14ac:dyDescent="0.35">
      <c r="B1159" t="str">
        <f t="shared" si="772"/>
        <v/>
      </c>
      <c r="C1159" t="str">
        <f t="shared" ref="C1159:G1159" si="801">IF(C1054="","",C1054)</f>
        <v/>
      </c>
      <c r="D1159" t="str">
        <f t="shared" si="801"/>
        <v/>
      </c>
      <c r="E1159" t="str">
        <f t="shared" si="801"/>
        <v/>
      </c>
      <c r="F1159" t="str">
        <f t="shared" si="801"/>
        <v/>
      </c>
      <c r="G1159" t="str">
        <f t="shared" si="801"/>
        <v/>
      </c>
      <c r="H1159" t="str">
        <f t="shared" si="771"/>
        <v/>
      </c>
      <c r="J1159" t="str">
        <f>IF($H1159="","",IF(VLOOKUP(H1159,ExpItems[],2,0),H1159&amp;" - "&amp;INDEX(DivisionMapping[category_code],MATCH($D1159&amp;$C1159,DivisionMapping[dept_bu],0)),H1159))</f>
        <v/>
      </c>
      <c r="K1159" t="str">
        <f t="shared" si="774"/>
        <v/>
      </c>
      <c r="L1159" s="652">
        <f>IF($B1159="",,SUMIFS(PerHeadcount[Month 1],PerHeadcount[exp_item],$H1159,PerHeadcount[company_name],$B1159)*L214)</f>
        <v>0</v>
      </c>
      <c r="M1159" s="652">
        <f>IF($B1159="",,SUMIFS(PerHeadcount[Month 2],PerHeadcount[exp_item],$H1159,PerHeadcount[company_name],$B1159)*M214)</f>
        <v>0</v>
      </c>
      <c r="N1159" s="652">
        <f>IF($B1159="",,SUMIFS(PerHeadcount[Month 3],PerHeadcount[exp_item],$H1159,PerHeadcount[company_name],$B1159)*N214)</f>
        <v>0</v>
      </c>
      <c r="O1159" s="652">
        <f>IF($B1159="",,SUMIFS(PerHeadcount[Month 4],PerHeadcount[exp_item],$H1159,PerHeadcount[company_name],$B1159)*O214)</f>
        <v>0</v>
      </c>
      <c r="P1159" s="652">
        <f>IF($B1159="",,SUMIFS(PerHeadcount[Month 5],PerHeadcount[exp_item],$H1159,PerHeadcount[company_name],$B1159)*P214)</f>
        <v>0</v>
      </c>
      <c r="Q1159" s="652">
        <f>IF($B1159="",,SUMIFS(PerHeadcount[Month 6],PerHeadcount[exp_item],$H1159,PerHeadcount[company_name],$B1159)*Q214)</f>
        <v>0</v>
      </c>
      <c r="R1159" s="652">
        <f>IF($B1159="",,SUMIFS(PerHeadcount[Month 7],PerHeadcount[exp_item],$H1159,PerHeadcount[company_name],$B1159)*R214)</f>
        <v>0</v>
      </c>
      <c r="S1159" s="652">
        <f>IF($B1159="",,SUMIFS(PerHeadcount[Month 8],PerHeadcount[exp_item],$H1159,PerHeadcount[company_name],$B1159)*S214)</f>
        <v>0</v>
      </c>
      <c r="T1159" s="652">
        <f>IF($B1159="",,SUMIFS(PerHeadcount[Month 9],PerHeadcount[exp_item],$H1159,PerHeadcount[company_name],$B1159)*T214)</f>
        <v>0</v>
      </c>
      <c r="U1159" s="652">
        <f>IF($B1159="",,SUMIFS(PerHeadcount[Month 10],PerHeadcount[exp_item],$H1159,PerHeadcount[company_name],$B1159)*U214)</f>
        <v>0</v>
      </c>
      <c r="V1159" s="652">
        <f>IF($B1159="",,SUMIFS(PerHeadcount[Month 11],PerHeadcount[exp_item],$H1159,PerHeadcount[company_name],$B1159)*V214)</f>
        <v>0</v>
      </c>
      <c r="W1159" s="652">
        <f>IF($B1159="",,SUMIFS(PerHeadcount[Month 12],PerHeadcount[exp_item],$H1159,PerHeadcount[company_name],$B1159)*W214)</f>
        <v>0</v>
      </c>
      <c r="X1159" s="652">
        <f>IF($B1159="",,SUMIFS(PerHeadcount[Month 13],PerHeadcount[exp_item],$H1159,PerHeadcount[company_name],$B1159)*X214)</f>
        <v>0</v>
      </c>
      <c r="Y1159" s="652">
        <f>IF($B1159="",,SUMIFS(PerHeadcount[Month 14],PerHeadcount[exp_item],$H1159,PerHeadcount[company_name],$B1159)*Y214)</f>
        <v>0</v>
      </c>
      <c r="Z1159" s="652">
        <f>IF($B1159="",,SUMIFS(PerHeadcount[Month 15],PerHeadcount[exp_item],$H1159,PerHeadcount[company_name],$B1159)*Z214)</f>
        <v>0</v>
      </c>
      <c r="AA1159" s="652">
        <f>IF($B1159="",,SUMIFS(PerHeadcount[Month 16],PerHeadcount[exp_item],$H1159,PerHeadcount[company_name],$B1159)*AA214)</f>
        <v>0</v>
      </c>
      <c r="AB1159" s="652">
        <f>IF($B1159="",,SUMIFS(PerHeadcount[Month 17],PerHeadcount[exp_item],$H1159,PerHeadcount[company_name],$B1159)*AB214)</f>
        <v>0</v>
      </c>
      <c r="AC1159" s="652">
        <f>IF($B1159="",,SUMIFS(PerHeadcount[Month 18],PerHeadcount[exp_item],$H1159,PerHeadcount[company_name],$B1159)*AC214)</f>
        <v>0</v>
      </c>
      <c r="AD1159" s="652">
        <f>IF($B1159="",,SUMIFS(PerHeadcount[Month 19],PerHeadcount[exp_item],$H1159,PerHeadcount[company_name],$B1159)*AD214)</f>
        <v>0</v>
      </c>
      <c r="AE1159" s="652">
        <f>IF($B1159="",,SUMIFS(PerHeadcount[Month 20],PerHeadcount[exp_item],$H1159,PerHeadcount[company_name],$B1159)*AE214)</f>
        <v>0</v>
      </c>
      <c r="AF1159" s="652">
        <f>IF($B1159="",,SUMIFS(PerHeadcount[Month 21],PerHeadcount[exp_item],$H1159,PerHeadcount[company_name],$B1159)*AF214)</f>
        <v>0</v>
      </c>
      <c r="AG1159" s="652">
        <f>IF($B1159="",,SUMIFS(PerHeadcount[Month 22],PerHeadcount[exp_item],$H1159,PerHeadcount[company_name],$B1159)*AG214)</f>
        <v>0</v>
      </c>
      <c r="AH1159" s="652">
        <f>IF($B1159="",,SUMIFS(PerHeadcount[Month 23],PerHeadcount[exp_item],$H1159,PerHeadcount[company_name],$B1159)*AH214)</f>
        <v>0</v>
      </c>
      <c r="AI1159" s="652">
        <f>IF($B1159="",,SUMIFS(PerHeadcount[Month 24],PerHeadcount[exp_item],$H1159,PerHeadcount[company_name],$B1159)*AI214)</f>
        <v>0</v>
      </c>
      <c r="AJ1159" s="652">
        <f>IF($B1159="",,SUMIFS(PerHeadcount[Month 25],PerHeadcount[exp_item],$H1159,PerHeadcount[company_name],$B1159)*AJ214)</f>
        <v>0</v>
      </c>
      <c r="AK1159" s="652">
        <f>IF($B1159="",,SUMIFS(PerHeadcount[Month 26],PerHeadcount[exp_item],$H1159,PerHeadcount[company_name],$B1159)*AK214)</f>
        <v>0</v>
      </c>
      <c r="AL1159" s="652">
        <f>IF($B1159="",,SUMIFS(PerHeadcount[Month 27],PerHeadcount[exp_item],$H1159,PerHeadcount[company_name],$B1159)*AL214)</f>
        <v>0</v>
      </c>
      <c r="AM1159" s="652">
        <f>IF($B1159="",,SUMIFS(PerHeadcount[Month 28],PerHeadcount[exp_item],$H1159,PerHeadcount[company_name],$B1159)*AM214)</f>
        <v>0</v>
      </c>
      <c r="AN1159" s="652">
        <f>IF($B1159="",,SUMIFS(PerHeadcount[Month 29],PerHeadcount[exp_item],$H1159,PerHeadcount[company_name],$B1159)*AN214)</f>
        <v>0</v>
      </c>
      <c r="AO1159" s="652">
        <f>IF($B1159="",,SUMIFS(PerHeadcount[Month 30],PerHeadcount[exp_item],$H1159,PerHeadcount[company_name],$B1159)*AO214)</f>
        <v>0</v>
      </c>
      <c r="AP1159" s="652">
        <f>IF($B1159="",,SUMIFS(PerHeadcount[Month 31],PerHeadcount[exp_item],$H1159,PerHeadcount[company_name],$B1159)*AP214)</f>
        <v>0</v>
      </c>
      <c r="AQ1159" s="652">
        <f>IF($B1159="",,SUMIFS(PerHeadcount[Month 32],PerHeadcount[exp_item],$H1159,PerHeadcount[company_name],$B1159)*AQ214)</f>
        <v>0</v>
      </c>
      <c r="AR1159" s="652">
        <f>IF($B1159="",,SUMIFS(PerHeadcount[Month 33],PerHeadcount[exp_item],$H1159,PerHeadcount[company_name],$B1159)*AR214)</f>
        <v>0</v>
      </c>
      <c r="AS1159" s="652">
        <f>IF($B1159="",,SUMIFS(PerHeadcount[Month 34],PerHeadcount[exp_item],$H1159,PerHeadcount[company_name],$B1159)*AS214)</f>
        <v>0</v>
      </c>
      <c r="AT1159" s="652">
        <f>IF($B1159="",,SUMIFS(PerHeadcount[Month 35],PerHeadcount[exp_item],$H1159,PerHeadcount[company_name],$B1159)*AT214)</f>
        <v>0</v>
      </c>
      <c r="AU1159" s="652">
        <f>IF($B1159="",,SUMIFS(PerHeadcount[Month 36],PerHeadcount[exp_item],$H1159,PerHeadcount[company_name],$B1159)*AU214)</f>
        <v>0</v>
      </c>
    </row>
    <row r="1160" spans="2:47" x14ac:dyDescent="0.35">
      <c r="B1160" t="str">
        <f t="shared" si="772"/>
        <v/>
      </c>
      <c r="C1160" t="str">
        <f t="shared" ref="C1160:G1160" si="802">IF(C1055="","",C1055)</f>
        <v/>
      </c>
      <c r="D1160" t="str">
        <f t="shared" si="802"/>
        <v/>
      </c>
      <c r="E1160" t="str">
        <f t="shared" si="802"/>
        <v/>
      </c>
      <c r="F1160" t="str">
        <f t="shared" si="802"/>
        <v/>
      </c>
      <c r="G1160" t="str">
        <f t="shared" si="802"/>
        <v/>
      </c>
      <c r="H1160" t="str">
        <f t="shared" si="771"/>
        <v/>
      </c>
      <c r="J1160" t="str">
        <f>IF($H1160="","",IF(VLOOKUP(H1160,ExpItems[],2,0),H1160&amp;" - "&amp;INDEX(DivisionMapping[category_code],MATCH($D1160&amp;$C1160,DivisionMapping[dept_bu],0)),H1160))</f>
        <v/>
      </c>
      <c r="K1160" t="str">
        <f t="shared" si="774"/>
        <v/>
      </c>
      <c r="L1160" s="652">
        <f>IF($B1160="",,SUMIFS(PerHeadcount[Month 1],PerHeadcount[exp_item],$H1160,PerHeadcount[company_name],$B1160)*L215)</f>
        <v>0</v>
      </c>
      <c r="M1160" s="652">
        <f>IF($B1160="",,SUMIFS(PerHeadcount[Month 2],PerHeadcount[exp_item],$H1160,PerHeadcount[company_name],$B1160)*M215)</f>
        <v>0</v>
      </c>
      <c r="N1160" s="652">
        <f>IF($B1160="",,SUMIFS(PerHeadcount[Month 3],PerHeadcount[exp_item],$H1160,PerHeadcount[company_name],$B1160)*N215)</f>
        <v>0</v>
      </c>
      <c r="O1160" s="652">
        <f>IF($B1160="",,SUMIFS(PerHeadcount[Month 4],PerHeadcount[exp_item],$H1160,PerHeadcount[company_name],$B1160)*O215)</f>
        <v>0</v>
      </c>
      <c r="P1160" s="652">
        <f>IF($B1160="",,SUMIFS(PerHeadcount[Month 5],PerHeadcount[exp_item],$H1160,PerHeadcount[company_name],$B1160)*P215)</f>
        <v>0</v>
      </c>
      <c r="Q1160" s="652">
        <f>IF($B1160="",,SUMIFS(PerHeadcount[Month 6],PerHeadcount[exp_item],$H1160,PerHeadcount[company_name],$B1160)*Q215)</f>
        <v>0</v>
      </c>
      <c r="R1160" s="652">
        <f>IF($B1160="",,SUMIFS(PerHeadcount[Month 7],PerHeadcount[exp_item],$H1160,PerHeadcount[company_name],$B1160)*R215)</f>
        <v>0</v>
      </c>
      <c r="S1160" s="652">
        <f>IF($B1160="",,SUMIFS(PerHeadcount[Month 8],PerHeadcount[exp_item],$H1160,PerHeadcount[company_name],$B1160)*S215)</f>
        <v>0</v>
      </c>
      <c r="T1160" s="652">
        <f>IF($B1160="",,SUMIFS(PerHeadcount[Month 9],PerHeadcount[exp_item],$H1160,PerHeadcount[company_name],$B1160)*T215)</f>
        <v>0</v>
      </c>
      <c r="U1160" s="652">
        <f>IF($B1160="",,SUMIFS(PerHeadcount[Month 10],PerHeadcount[exp_item],$H1160,PerHeadcount[company_name],$B1160)*U215)</f>
        <v>0</v>
      </c>
      <c r="V1160" s="652">
        <f>IF($B1160="",,SUMIFS(PerHeadcount[Month 11],PerHeadcount[exp_item],$H1160,PerHeadcount[company_name],$B1160)*V215)</f>
        <v>0</v>
      </c>
      <c r="W1160" s="652">
        <f>IF($B1160="",,SUMIFS(PerHeadcount[Month 12],PerHeadcount[exp_item],$H1160,PerHeadcount[company_name],$B1160)*W215)</f>
        <v>0</v>
      </c>
      <c r="X1160" s="652">
        <f>IF($B1160="",,SUMIFS(PerHeadcount[Month 13],PerHeadcount[exp_item],$H1160,PerHeadcount[company_name],$B1160)*X215)</f>
        <v>0</v>
      </c>
      <c r="Y1160" s="652">
        <f>IF($B1160="",,SUMIFS(PerHeadcount[Month 14],PerHeadcount[exp_item],$H1160,PerHeadcount[company_name],$B1160)*Y215)</f>
        <v>0</v>
      </c>
      <c r="Z1160" s="652">
        <f>IF($B1160="",,SUMIFS(PerHeadcount[Month 15],PerHeadcount[exp_item],$H1160,PerHeadcount[company_name],$B1160)*Z215)</f>
        <v>0</v>
      </c>
      <c r="AA1160" s="652">
        <f>IF($B1160="",,SUMIFS(PerHeadcount[Month 16],PerHeadcount[exp_item],$H1160,PerHeadcount[company_name],$B1160)*AA215)</f>
        <v>0</v>
      </c>
      <c r="AB1160" s="652">
        <f>IF($B1160="",,SUMIFS(PerHeadcount[Month 17],PerHeadcount[exp_item],$H1160,PerHeadcount[company_name],$B1160)*AB215)</f>
        <v>0</v>
      </c>
      <c r="AC1160" s="652">
        <f>IF($B1160="",,SUMIFS(PerHeadcount[Month 18],PerHeadcount[exp_item],$H1160,PerHeadcount[company_name],$B1160)*AC215)</f>
        <v>0</v>
      </c>
      <c r="AD1160" s="652">
        <f>IF($B1160="",,SUMIFS(PerHeadcount[Month 19],PerHeadcount[exp_item],$H1160,PerHeadcount[company_name],$B1160)*AD215)</f>
        <v>0</v>
      </c>
      <c r="AE1160" s="652">
        <f>IF($B1160="",,SUMIFS(PerHeadcount[Month 20],PerHeadcount[exp_item],$H1160,PerHeadcount[company_name],$B1160)*AE215)</f>
        <v>0</v>
      </c>
      <c r="AF1160" s="652">
        <f>IF($B1160="",,SUMIFS(PerHeadcount[Month 21],PerHeadcount[exp_item],$H1160,PerHeadcount[company_name],$B1160)*AF215)</f>
        <v>0</v>
      </c>
      <c r="AG1160" s="652">
        <f>IF($B1160="",,SUMIFS(PerHeadcount[Month 22],PerHeadcount[exp_item],$H1160,PerHeadcount[company_name],$B1160)*AG215)</f>
        <v>0</v>
      </c>
      <c r="AH1160" s="652">
        <f>IF($B1160="",,SUMIFS(PerHeadcount[Month 23],PerHeadcount[exp_item],$H1160,PerHeadcount[company_name],$B1160)*AH215)</f>
        <v>0</v>
      </c>
      <c r="AI1160" s="652">
        <f>IF($B1160="",,SUMIFS(PerHeadcount[Month 24],PerHeadcount[exp_item],$H1160,PerHeadcount[company_name],$B1160)*AI215)</f>
        <v>0</v>
      </c>
      <c r="AJ1160" s="652">
        <f>IF($B1160="",,SUMIFS(PerHeadcount[Month 25],PerHeadcount[exp_item],$H1160,PerHeadcount[company_name],$B1160)*AJ215)</f>
        <v>0</v>
      </c>
      <c r="AK1160" s="652">
        <f>IF($B1160="",,SUMIFS(PerHeadcount[Month 26],PerHeadcount[exp_item],$H1160,PerHeadcount[company_name],$B1160)*AK215)</f>
        <v>0</v>
      </c>
      <c r="AL1160" s="652">
        <f>IF($B1160="",,SUMIFS(PerHeadcount[Month 27],PerHeadcount[exp_item],$H1160,PerHeadcount[company_name],$B1160)*AL215)</f>
        <v>0</v>
      </c>
      <c r="AM1160" s="652">
        <f>IF($B1160="",,SUMIFS(PerHeadcount[Month 28],PerHeadcount[exp_item],$H1160,PerHeadcount[company_name],$B1160)*AM215)</f>
        <v>0</v>
      </c>
      <c r="AN1160" s="652">
        <f>IF($B1160="",,SUMIFS(PerHeadcount[Month 29],PerHeadcount[exp_item],$H1160,PerHeadcount[company_name],$B1160)*AN215)</f>
        <v>0</v>
      </c>
      <c r="AO1160" s="652">
        <f>IF($B1160="",,SUMIFS(PerHeadcount[Month 30],PerHeadcount[exp_item],$H1160,PerHeadcount[company_name],$B1160)*AO215)</f>
        <v>0</v>
      </c>
      <c r="AP1160" s="652">
        <f>IF($B1160="",,SUMIFS(PerHeadcount[Month 31],PerHeadcount[exp_item],$H1160,PerHeadcount[company_name],$B1160)*AP215)</f>
        <v>0</v>
      </c>
      <c r="AQ1160" s="652">
        <f>IF($B1160="",,SUMIFS(PerHeadcount[Month 32],PerHeadcount[exp_item],$H1160,PerHeadcount[company_name],$B1160)*AQ215)</f>
        <v>0</v>
      </c>
      <c r="AR1160" s="652">
        <f>IF($B1160="",,SUMIFS(PerHeadcount[Month 33],PerHeadcount[exp_item],$H1160,PerHeadcount[company_name],$B1160)*AR215)</f>
        <v>0</v>
      </c>
      <c r="AS1160" s="652">
        <f>IF($B1160="",,SUMIFS(PerHeadcount[Month 34],PerHeadcount[exp_item],$H1160,PerHeadcount[company_name],$B1160)*AS215)</f>
        <v>0</v>
      </c>
      <c r="AT1160" s="652">
        <f>IF($B1160="",,SUMIFS(PerHeadcount[Month 35],PerHeadcount[exp_item],$H1160,PerHeadcount[company_name],$B1160)*AT215)</f>
        <v>0</v>
      </c>
      <c r="AU1160" s="652">
        <f>IF($B1160="",,SUMIFS(PerHeadcount[Month 36],PerHeadcount[exp_item],$H1160,PerHeadcount[company_name],$B1160)*AU215)</f>
        <v>0</v>
      </c>
    </row>
    <row r="1161" spans="2:47" x14ac:dyDescent="0.35">
      <c r="B1161" t="str">
        <f t="shared" si="772"/>
        <v/>
      </c>
      <c r="C1161" t="str">
        <f t="shared" ref="C1161:G1161" si="803">IF(C1056="","",C1056)</f>
        <v/>
      </c>
      <c r="D1161" t="str">
        <f t="shared" si="803"/>
        <v/>
      </c>
      <c r="E1161" t="str">
        <f t="shared" si="803"/>
        <v/>
      </c>
      <c r="F1161" t="str">
        <f t="shared" si="803"/>
        <v/>
      </c>
      <c r="G1161" t="str">
        <f t="shared" si="803"/>
        <v/>
      </c>
      <c r="H1161" t="str">
        <f t="shared" si="771"/>
        <v/>
      </c>
      <c r="J1161" t="str">
        <f>IF($H1161="","",IF(VLOOKUP(H1161,ExpItems[],2,0),H1161&amp;" - "&amp;INDEX(DivisionMapping[category_code],MATCH($D1161&amp;$C1161,DivisionMapping[dept_bu],0)),H1161))</f>
        <v/>
      </c>
      <c r="K1161" t="str">
        <f t="shared" si="774"/>
        <v/>
      </c>
      <c r="L1161" s="652">
        <f>IF($B1161="",,SUMIFS(PerHeadcount[Month 1],PerHeadcount[exp_item],$H1161,PerHeadcount[company_name],$B1161)*L216)</f>
        <v>0</v>
      </c>
      <c r="M1161" s="652">
        <f>IF($B1161="",,SUMIFS(PerHeadcount[Month 2],PerHeadcount[exp_item],$H1161,PerHeadcount[company_name],$B1161)*M216)</f>
        <v>0</v>
      </c>
      <c r="N1161" s="652">
        <f>IF($B1161="",,SUMIFS(PerHeadcount[Month 3],PerHeadcount[exp_item],$H1161,PerHeadcount[company_name],$B1161)*N216)</f>
        <v>0</v>
      </c>
      <c r="O1161" s="652">
        <f>IF($B1161="",,SUMIFS(PerHeadcount[Month 4],PerHeadcount[exp_item],$H1161,PerHeadcount[company_name],$B1161)*O216)</f>
        <v>0</v>
      </c>
      <c r="P1161" s="652">
        <f>IF($B1161="",,SUMIFS(PerHeadcount[Month 5],PerHeadcount[exp_item],$H1161,PerHeadcount[company_name],$B1161)*P216)</f>
        <v>0</v>
      </c>
      <c r="Q1161" s="652">
        <f>IF($B1161="",,SUMIFS(PerHeadcount[Month 6],PerHeadcount[exp_item],$H1161,PerHeadcount[company_name],$B1161)*Q216)</f>
        <v>0</v>
      </c>
      <c r="R1161" s="652">
        <f>IF($B1161="",,SUMIFS(PerHeadcount[Month 7],PerHeadcount[exp_item],$H1161,PerHeadcount[company_name],$B1161)*R216)</f>
        <v>0</v>
      </c>
      <c r="S1161" s="652">
        <f>IF($B1161="",,SUMIFS(PerHeadcount[Month 8],PerHeadcount[exp_item],$H1161,PerHeadcount[company_name],$B1161)*S216)</f>
        <v>0</v>
      </c>
      <c r="T1161" s="652">
        <f>IF($B1161="",,SUMIFS(PerHeadcount[Month 9],PerHeadcount[exp_item],$H1161,PerHeadcount[company_name],$B1161)*T216)</f>
        <v>0</v>
      </c>
      <c r="U1161" s="652">
        <f>IF($B1161="",,SUMIFS(PerHeadcount[Month 10],PerHeadcount[exp_item],$H1161,PerHeadcount[company_name],$B1161)*U216)</f>
        <v>0</v>
      </c>
      <c r="V1161" s="652">
        <f>IF($B1161="",,SUMIFS(PerHeadcount[Month 11],PerHeadcount[exp_item],$H1161,PerHeadcount[company_name],$B1161)*V216)</f>
        <v>0</v>
      </c>
      <c r="W1161" s="652">
        <f>IF($B1161="",,SUMIFS(PerHeadcount[Month 12],PerHeadcount[exp_item],$H1161,PerHeadcount[company_name],$B1161)*W216)</f>
        <v>0</v>
      </c>
      <c r="X1161" s="652">
        <f>IF($B1161="",,SUMIFS(PerHeadcount[Month 13],PerHeadcount[exp_item],$H1161,PerHeadcount[company_name],$B1161)*X216)</f>
        <v>0</v>
      </c>
      <c r="Y1161" s="652">
        <f>IF($B1161="",,SUMIFS(PerHeadcount[Month 14],PerHeadcount[exp_item],$H1161,PerHeadcount[company_name],$B1161)*Y216)</f>
        <v>0</v>
      </c>
      <c r="Z1161" s="652">
        <f>IF($B1161="",,SUMIFS(PerHeadcount[Month 15],PerHeadcount[exp_item],$H1161,PerHeadcount[company_name],$B1161)*Z216)</f>
        <v>0</v>
      </c>
      <c r="AA1161" s="652">
        <f>IF($B1161="",,SUMIFS(PerHeadcount[Month 16],PerHeadcount[exp_item],$H1161,PerHeadcount[company_name],$B1161)*AA216)</f>
        <v>0</v>
      </c>
      <c r="AB1161" s="652">
        <f>IF($B1161="",,SUMIFS(PerHeadcount[Month 17],PerHeadcount[exp_item],$H1161,PerHeadcount[company_name],$B1161)*AB216)</f>
        <v>0</v>
      </c>
      <c r="AC1161" s="652">
        <f>IF($B1161="",,SUMIFS(PerHeadcount[Month 18],PerHeadcount[exp_item],$H1161,PerHeadcount[company_name],$B1161)*AC216)</f>
        <v>0</v>
      </c>
      <c r="AD1161" s="652">
        <f>IF($B1161="",,SUMIFS(PerHeadcount[Month 19],PerHeadcount[exp_item],$H1161,PerHeadcount[company_name],$B1161)*AD216)</f>
        <v>0</v>
      </c>
      <c r="AE1161" s="652">
        <f>IF($B1161="",,SUMIFS(PerHeadcount[Month 20],PerHeadcount[exp_item],$H1161,PerHeadcount[company_name],$B1161)*AE216)</f>
        <v>0</v>
      </c>
      <c r="AF1161" s="652">
        <f>IF($B1161="",,SUMIFS(PerHeadcount[Month 21],PerHeadcount[exp_item],$H1161,PerHeadcount[company_name],$B1161)*AF216)</f>
        <v>0</v>
      </c>
      <c r="AG1161" s="652">
        <f>IF($B1161="",,SUMIFS(PerHeadcount[Month 22],PerHeadcount[exp_item],$H1161,PerHeadcount[company_name],$B1161)*AG216)</f>
        <v>0</v>
      </c>
      <c r="AH1161" s="652">
        <f>IF($B1161="",,SUMIFS(PerHeadcount[Month 23],PerHeadcount[exp_item],$H1161,PerHeadcount[company_name],$B1161)*AH216)</f>
        <v>0</v>
      </c>
      <c r="AI1161" s="652">
        <f>IF($B1161="",,SUMIFS(PerHeadcount[Month 24],PerHeadcount[exp_item],$H1161,PerHeadcount[company_name],$B1161)*AI216)</f>
        <v>0</v>
      </c>
      <c r="AJ1161" s="652">
        <f>IF($B1161="",,SUMIFS(PerHeadcount[Month 25],PerHeadcount[exp_item],$H1161,PerHeadcount[company_name],$B1161)*AJ216)</f>
        <v>0</v>
      </c>
      <c r="AK1161" s="652">
        <f>IF($B1161="",,SUMIFS(PerHeadcount[Month 26],PerHeadcount[exp_item],$H1161,PerHeadcount[company_name],$B1161)*AK216)</f>
        <v>0</v>
      </c>
      <c r="AL1161" s="652">
        <f>IF($B1161="",,SUMIFS(PerHeadcount[Month 27],PerHeadcount[exp_item],$H1161,PerHeadcount[company_name],$B1161)*AL216)</f>
        <v>0</v>
      </c>
      <c r="AM1161" s="652">
        <f>IF($B1161="",,SUMIFS(PerHeadcount[Month 28],PerHeadcount[exp_item],$H1161,PerHeadcount[company_name],$B1161)*AM216)</f>
        <v>0</v>
      </c>
      <c r="AN1161" s="652">
        <f>IF($B1161="",,SUMIFS(PerHeadcount[Month 29],PerHeadcount[exp_item],$H1161,PerHeadcount[company_name],$B1161)*AN216)</f>
        <v>0</v>
      </c>
      <c r="AO1161" s="652">
        <f>IF($B1161="",,SUMIFS(PerHeadcount[Month 30],PerHeadcount[exp_item],$H1161,PerHeadcount[company_name],$B1161)*AO216)</f>
        <v>0</v>
      </c>
      <c r="AP1161" s="652">
        <f>IF($B1161="",,SUMIFS(PerHeadcount[Month 31],PerHeadcount[exp_item],$H1161,PerHeadcount[company_name],$B1161)*AP216)</f>
        <v>0</v>
      </c>
      <c r="AQ1161" s="652">
        <f>IF($B1161="",,SUMIFS(PerHeadcount[Month 32],PerHeadcount[exp_item],$H1161,PerHeadcount[company_name],$B1161)*AQ216)</f>
        <v>0</v>
      </c>
      <c r="AR1161" s="652">
        <f>IF($B1161="",,SUMIFS(PerHeadcount[Month 33],PerHeadcount[exp_item],$H1161,PerHeadcount[company_name],$B1161)*AR216)</f>
        <v>0</v>
      </c>
      <c r="AS1161" s="652">
        <f>IF($B1161="",,SUMIFS(PerHeadcount[Month 34],PerHeadcount[exp_item],$H1161,PerHeadcount[company_name],$B1161)*AS216)</f>
        <v>0</v>
      </c>
      <c r="AT1161" s="652">
        <f>IF($B1161="",,SUMIFS(PerHeadcount[Month 35],PerHeadcount[exp_item],$H1161,PerHeadcount[company_name],$B1161)*AT216)</f>
        <v>0</v>
      </c>
      <c r="AU1161" s="652">
        <f>IF($B1161="",,SUMIFS(PerHeadcount[Month 36],PerHeadcount[exp_item],$H1161,PerHeadcount[company_name],$B1161)*AU216)</f>
        <v>0</v>
      </c>
    </row>
    <row r="1162" spans="2:47" x14ac:dyDescent="0.35">
      <c r="B1162" t="str">
        <f t="shared" si="772"/>
        <v/>
      </c>
      <c r="C1162" t="str">
        <f t="shared" ref="C1162:G1162" si="804">IF(C1057="","",C1057)</f>
        <v/>
      </c>
      <c r="D1162" t="str">
        <f t="shared" si="804"/>
        <v/>
      </c>
      <c r="E1162" t="str">
        <f t="shared" si="804"/>
        <v/>
      </c>
      <c r="F1162" t="str">
        <f t="shared" si="804"/>
        <v/>
      </c>
      <c r="G1162" t="str">
        <f t="shared" si="804"/>
        <v/>
      </c>
      <c r="H1162" t="str">
        <f t="shared" si="771"/>
        <v/>
      </c>
      <c r="J1162" t="str">
        <f>IF($H1162="","",IF(VLOOKUP(H1162,ExpItems[],2,0),H1162&amp;" - "&amp;INDEX(DivisionMapping[category_code],MATCH($D1162&amp;$C1162,DivisionMapping[dept_bu],0)),H1162))</f>
        <v/>
      </c>
      <c r="K1162" t="str">
        <f t="shared" si="774"/>
        <v/>
      </c>
      <c r="L1162" s="652">
        <f>IF($B1162="",,SUMIFS(PerHeadcount[Month 1],PerHeadcount[exp_item],$H1162,PerHeadcount[company_name],$B1162)*L217)</f>
        <v>0</v>
      </c>
      <c r="M1162" s="652">
        <f>IF($B1162="",,SUMIFS(PerHeadcount[Month 2],PerHeadcount[exp_item],$H1162,PerHeadcount[company_name],$B1162)*M217)</f>
        <v>0</v>
      </c>
      <c r="N1162" s="652">
        <f>IF($B1162="",,SUMIFS(PerHeadcount[Month 3],PerHeadcount[exp_item],$H1162,PerHeadcount[company_name],$B1162)*N217)</f>
        <v>0</v>
      </c>
      <c r="O1162" s="652">
        <f>IF($B1162="",,SUMIFS(PerHeadcount[Month 4],PerHeadcount[exp_item],$H1162,PerHeadcount[company_name],$B1162)*O217)</f>
        <v>0</v>
      </c>
      <c r="P1162" s="652">
        <f>IF($B1162="",,SUMIFS(PerHeadcount[Month 5],PerHeadcount[exp_item],$H1162,PerHeadcount[company_name],$B1162)*P217)</f>
        <v>0</v>
      </c>
      <c r="Q1162" s="652">
        <f>IF($B1162="",,SUMIFS(PerHeadcount[Month 6],PerHeadcount[exp_item],$H1162,PerHeadcount[company_name],$B1162)*Q217)</f>
        <v>0</v>
      </c>
      <c r="R1162" s="652">
        <f>IF($B1162="",,SUMIFS(PerHeadcount[Month 7],PerHeadcount[exp_item],$H1162,PerHeadcount[company_name],$B1162)*R217)</f>
        <v>0</v>
      </c>
      <c r="S1162" s="652">
        <f>IF($B1162="",,SUMIFS(PerHeadcount[Month 8],PerHeadcount[exp_item],$H1162,PerHeadcount[company_name],$B1162)*S217)</f>
        <v>0</v>
      </c>
      <c r="T1162" s="652">
        <f>IF($B1162="",,SUMIFS(PerHeadcount[Month 9],PerHeadcount[exp_item],$H1162,PerHeadcount[company_name],$B1162)*T217)</f>
        <v>0</v>
      </c>
      <c r="U1162" s="652">
        <f>IF($B1162="",,SUMIFS(PerHeadcount[Month 10],PerHeadcount[exp_item],$H1162,PerHeadcount[company_name],$B1162)*U217)</f>
        <v>0</v>
      </c>
      <c r="V1162" s="652">
        <f>IF($B1162="",,SUMIFS(PerHeadcount[Month 11],PerHeadcount[exp_item],$H1162,PerHeadcount[company_name],$B1162)*V217)</f>
        <v>0</v>
      </c>
      <c r="W1162" s="652">
        <f>IF($B1162="",,SUMIFS(PerHeadcount[Month 12],PerHeadcount[exp_item],$H1162,PerHeadcount[company_name],$B1162)*W217)</f>
        <v>0</v>
      </c>
      <c r="X1162" s="652">
        <f>IF($B1162="",,SUMIFS(PerHeadcount[Month 13],PerHeadcount[exp_item],$H1162,PerHeadcount[company_name],$B1162)*X217)</f>
        <v>0</v>
      </c>
      <c r="Y1162" s="652">
        <f>IF($B1162="",,SUMIFS(PerHeadcount[Month 14],PerHeadcount[exp_item],$H1162,PerHeadcount[company_name],$B1162)*Y217)</f>
        <v>0</v>
      </c>
      <c r="Z1162" s="652">
        <f>IF($B1162="",,SUMIFS(PerHeadcount[Month 15],PerHeadcount[exp_item],$H1162,PerHeadcount[company_name],$B1162)*Z217)</f>
        <v>0</v>
      </c>
      <c r="AA1162" s="652">
        <f>IF($B1162="",,SUMIFS(PerHeadcount[Month 16],PerHeadcount[exp_item],$H1162,PerHeadcount[company_name],$B1162)*AA217)</f>
        <v>0</v>
      </c>
      <c r="AB1162" s="652">
        <f>IF($B1162="",,SUMIFS(PerHeadcount[Month 17],PerHeadcount[exp_item],$H1162,PerHeadcount[company_name],$B1162)*AB217)</f>
        <v>0</v>
      </c>
      <c r="AC1162" s="652">
        <f>IF($B1162="",,SUMIFS(PerHeadcount[Month 18],PerHeadcount[exp_item],$H1162,PerHeadcount[company_name],$B1162)*AC217)</f>
        <v>0</v>
      </c>
      <c r="AD1162" s="652">
        <f>IF($B1162="",,SUMIFS(PerHeadcount[Month 19],PerHeadcount[exp_item],$H1162,PerHeadcount[company_name],$B1162)*AD217)</f>
        <v>0</v>
      </c>
      <c r="AE1162" s="652">
        <f>IF($B1162="",,SUMIFS(PerHeadcount[Month 20],PerHeadcount[exp_item],$H1162,PerHeadcount[company_name],$B1162)*AE217)</f>
        <v>0</v>
      </c>
      <c r="AF1162" s="652">
        <f>IF($B1162="",,SUMIFS(PerHeadcount[Month 21],PerHeadcount[exp_item],$H1162,PerHeadcount[company_name],$B1162)*AF217)</f>
        <v>0</v>
      </c>
      <c r="AG1162" s="652">
        <f>IF($B1162="",,SUMIFS(PerHeadcount[Month 22],PerHeadcount[exp_item],$H1162,PerHeadcount[company_name],$B1162)*AG217)</f>
        <v>0</v>
      </c>
      <c r="AH1162" s="652">
        <f>IF($B1162="",,SUMIFS(PerHeadcount[Month 23],PerHeadcount[exp_item],$H1162,PerHeadcount[company_name],$B1162)*AH217)</f>
        <v>0</v>
      </c>
      <c r="AI1162" s="652">
        <f>IF($B1162="",,SUMIFS(PerHeadcount[Month 24],PerHeadcount[exp_item],$H1162,PerHeadcount[company_name],$B1162)*AI217)</f>
        <v>0</v>
      </c>
      <c r="AJ1162" s="652">
        <f>IF($B1162="",,SUMIFS(PerHeadcount[Month 25],PerHeadcount[exp_item],$H1162,PerHeadcount[company_name],$B1162)*AJ217)</f>
        <v>0</v>
      </c>
      <c r="AK1162" s="652">
        <f>IF($B1162="",,SUMIFS(PerHeadcount[Month 26],PerHeadcount[exp_item],$H1162,PerHeadcount[company_name],$B1162)*AK217)</f>
        <v>0</v>
      </c>
      <c r="AL1162" s="652">
        <f>IF($B1162="",,SUMIFS(PerHeadcount[Month 27],PerHeadcount[exp_item],$H1162,PerHeadcount[company_name],$B1162)*AL217)</f>
        <v>0</v>
      </c>
      <c r="AM1162" s="652">
        <f>IF($B1162="",,SUMIFS(PerHeadcount[Month 28],PerHeadcount[exp_item],$H1162,PerHeadcount[company_name],$B1162)*AM217)</f>
        <v>0</v>
      </c>
      <c r="AN1162" s="652">
        <f>IF($B1162="",,SUMIFS(PerHeadcount[Month 29],PerHeadcount[exp_item],$H1162,PerHeadcount[company_name],$B1162)*AN217)</f>
        <v>0</v>
      </c>
      <c r="AO1162" s="652">
        <f>IF($B1162="",,SUMIFS(PerHeadcount[Month 30],PerHeadcount[exp_item],$H1162,PerHeadcount[company_name],$B1162)*AO217)</f>
        <v>0</v>
      </c>
      <c r="AP1162" s="652">
        <f>IF($B1162="",,SUMIFS(PerHeadcount[Month 31],PerHeadcount[exp_item],$H1162,PerHeadcount[company_name],$B1162)*AP217)</f>
        <v>0</v>
      </c>
      <c r="AQ1162" s="652">
        <f>IF($B1162="",,SUMIFS(PerHeadcount[Month 32],PerHeadcount[exp_item],$H1162,PerHeadcount[company_name],$B1162)*AQ217)</f>
        <v>0</v>
      </c>
      <c r="AR1162" s="652">
        <f>IF($B1162="",,SUMIFS(PerHeadcount[Month 33],PerHeadcount[exp_item],$H1162,PerHeadcount[company_name],$B1162)*AR217)</f>
        <v>0</v>
      </c>
      <c r="AS1162" s="652">
        <f>IF($B1162="",,SUMIFS(PerHeadcount[Month 34],PerHeadcount[exp_item],$H1162,PerHeadcount[company_name],$B1162)*AS217)</f>
        <v>0</v>
      </c>
      <c r="AT1162" s="652">
        <f>IF($B1162="",,SUMIFS(PerHeadcount[Month 35],PerHeadcount[exp_item],$H1162,PerHeadcount[company_name],$B1162)*AT217)</f>
        <v>0</v>
      </c>
      <c r="AU1162" s="652">
        <f>IF($B1162="",,SUMIFS(PerHeadcount[Month 36],PerHeadcount[exp_item],$H1162,PerHeadcount[company_name],$B1162)*AU217)</f>
        <v>0</v>
      </c>
    </row>
    <row r="1163" spans="2:47" x14ac:dyDescent="0.35">
      <c r="B1163" t="str">
        <f t="shared" si="772"/>
        <v/>
      </c>
      <c r="C1163" t="str">
        <f t="shared" ref="C1163:G1163" si="805">IF(C1058="","",C1058)</f>
        <v/>
      </c>
      <c r="D1163" t="str">
        <f t="shared" si="805"/>
        <v/>
      </c>
      <c r="E1163" t="str">
        <f t="shared" si="805"/>
        <v/>
      </c>
      <c r="F1163" t="str">
        <f t="shared" si="805"/>
        <v/>
      </c>
      <c r="G1163" t="str">
        <f t="shared" si="805"/>
        <v/>
      </c>
      <c r="H1163" t="str">
        <f t="shared" ref="H1163:H1194" si="806">IF(B1163="","",$B$1130)</f>
        <v/>
      </c>
      <c r="J1163" t="str">
        <f>IF($H1163="","",IF(VLOOKUP(H1163,ExpItems[],2,0),H1163&amp;" - "&amp;INDEX(DivisionMapping[category_code],MATCH($D1163&amp;$C1163,DivisionMapping[dept_bu],0)),H1163))</f>
        <v/>
      </c>
      <c r="K1163" t="str">
        <f t="shared" si="774"/>
        <v/>
      </c>
      <c r="L1163" s="652">
        <f>IF($B1163="",,SUMIFS(PerHeadcount[Month 1],PerHeadcount[exp_item],$H1163,PerHeadcount[company_name],$B1163)*L218)</f>
        <v>0</v>
      </c>
      <c r="M1163" s="652">
        <f>IF($B1163="",,SUMIFS(PerHeadcount[Month 2],PerHeadcount[exp_item],$H1163,PerHeadcount[company_name],$B1163)*M218)</f>
        <v>0</v>
      </c>
      <c r="N1163" s="652">
        <f>IF($B1163="",,SUMIFS(PerHeadcount[Month 3],PerHeadcount[exp_item],$H1163,PerHeadcount[company_name],$B1163)*N218)</f>
        <v>0</v>
      </c>
      <c r="O1163" s="652">
        <f>IF($B1163="",,SUMIFS(PerHeadcount[Month 4],PerHeadcount[exp_item],$H1163,PerHeadcount[company_name],$B1163)*O218)</f>
        <v>0</v>
      </c>
      <c r="P1163" s="652">
        <f>IF($B1163="",,SUMIFS(PerHeadcount[Month 5],PerHeadcount[exp_item],$H1163,PerHeadcount[company_name],$B1163)*P218)</f>
        <v>0</v>
      </c>
      <c r="Q1163" s="652">
        <f>IF($B1163="",,SUMIFS(PerHeadcount[Month 6],PerHeadcount[exp_item],$H1163,PerHeadcount[company_name],$B1163)*Q218)</f>
        <v>0</v>
      </c>
      <c r="R1163" s="652">
        <f>IF($B1163="",,SUMIFS(PerHeadcount[Month 7],PerHeadcount[exp_item],$H1163,PerHeadcount[company_name],$B1163)*R218)</f>
        <v>0</v>
      </c>
      <c r="S1163" s="652">
        <f>IF($B1163="",,SUMIFS(PerHeadcount[Month 8],PerHeadcount[exp_item],$H1163,PerHeadcount[company_name],$B1163)*S218)</f>
        <v>0</v>
      </c>
      <c r="T1163" s="652">
        <f>IF($B1163="",,SUMIFS(PerHeadcount[Month 9],PerHeadcount[exp_item],$H1163,PerHeadcount[company_name],$B1163)*T218)</f>
        <v>0</v>
      </c>
      <c r="U1163" s="652">
        <f>IF($B1163="",,SUMIFS(PerHeadcount[Month 10],PerHeadcount[exp_item],$H1163,PerHeadcount[company_name],$B1163)*U218)</f>
        <v>0</v>
      </c>
      <c r="V1163" s="652">
        <f>IF($B1163="",,SUMIFS(PerHeadcount[Month 11],PerHeadcount[exp_item],$H1163,PerHeadcount[company_name],$B1163)*V218)</f>
        <v>0</v>
      </c>
      <c r="W1163" s="652">
        <f>IF($B1163="",,SUMIFS(PerHeadcount[Month 12],PerHeadcount[exp_item],$H1163,PerHeadcount[company_name],$B1163)*W218)</f>
        <v>0</v>
      </c>
      <c r="X1163" s="652">
        <f>IF($B1163="",,SUMIFS(PerHeadcount[Month 13],PerHeadcount[exp_item],$H1163,PerHeadcount[company_name],$B1163)*X218)</f>
        <v>0</v>
      </c>
      <c r="Y1163" s="652">
        <f>IF($B1163="",,SUMIFS(PerHeadcount[Month 14],PerHeadcount[exp_item],$H1163,PerHeadcount[company_name],$B1163)*Y218)</f>
        <v>0</v>
      </c>
      <c r="Z1163" s="652">
        <f>IF($B1163="",,SUMIFS(PerHeadcount[Month 15],PerHeadcount[exp_item],$H1163,PerHeadcount[company_name],$B1163)*Z218)</f>
        <v>0</v>
      </c>
      <c r="AA1163" s="652">
        <f>IF($B1163="",,SUMIFS(PerHeadcount[Month 16],PerHeadcount[exp_item],$H1163,PerHeadcount[company_name],$B1163)*AA218)</f>
        <v>0</v>
      </c>
      <c r="AB1163" s="652">
        <f>IF($B1163="",,SUMIFS(PerHeadcount[Month 17],PerHeadcount[exp_item],$H1163,PerHeadcount[company_name],$B1163)*AB218)</f>
        <v>0</v>
      </c>
      <c r="AC1163" s="652">
        <f>IF($B1163="",,SUMIFS(PerHeadcount[Month 18],PerHeadcount[exp_item],$H1163,PerHeadcount[company_name],$B1163)*AC218)</f>
        <v>0</v>
      </c>
      <c r="AD1163" s="652">
        <f>IF($B1163="",,SUMIFS(PerHeadcount[Month 19],PerHeadcount[exp_item],$H1163,PerHeadcount[company_name],$B1163)*AD218)</f>
        <v>0</v>
      </c>
      <c r="AE1163" s="652">
        <f>IF($B1163="",,SUMIFS(PerHeadcount[Month 20],PerHeadcount[exp_item],$H1163,PerHeadcount[company_name],$B1163)*AE218)</f>
        <v>0</v>
      </c>
      <c r="AF1163" s="652">
        <f>IF($B1163="",,SUMIFS(PerHeadcount[Month 21],PerHeadcount[exp_item],$H1163,PerHeadcount[company_name],$B1163)*AF218)</f>
        <v>0</v>
      </c>
      <c r="AG1163" s="652">
        <f>IF($B1163="",,SUMIFS(PerHeadcount[Month 22],PerHeadcount[exp_item],$H1163,PerHeadcount[company_name],$B1163)*AG218)</f>
        <v>0</v>
      </c>
      <c r="AH1163" s="652">
        <f>IF($B1163="",,SUMIFS(PerHeadcount[Month 23],PerHeadcount[exp_item],$H1163,PerHeadcount[company_name],$B1163)*AH218)</f>
        <v>0</v>
      </c>
      <c r="AI1163" s="652">
        <f>IF($B1163="",,SUMIFS(PerHeadcount[Month 24],PerHeadcount[exp_item],$H1163,PerHeadcount[company_name],$B1163)*AI218)</f>
        <v>0</v>
      </c>
      <c r="AJ1163" s="652">
        <f>IF($B1163="",,SUMIFS(PerHeadcount[Month 25],PerHeadcount[exp_item],$H1163,PerHeadcount[company_name],$B1163)*AJ218)</f>
        <v>0</v>
      </c>
      <c r="AK1163" s="652">
        <f>IF($B1163="",,SUMIFS(PerHeadcount[Month 26],PerHeadcount[exp_item],$H1163,PerHeadcount[company_name],$B1163)*AK218)</f>
        <v>0</v>
      </c>
      <c r="AL1163" s="652">
        <f>IF($B1163="",,SUMIFS(PerHeadcount[Month 27],PerHeadcount[exp_item],$H1163,PerHeadcount[company_name],$B1163)*AL218)</f>
        <v>0</v>
      </c>
      <c r="AM1163" s="652">
        <f>IF($B1163="",,SUMIFS(PerHeadcount[Month 28],PerHeadcount[exp_item],$H1163,PerHeadcount[company_name],$B1163)*AM218)</f>
        <v>0</v>
      </c>
      <c r="AN1163" s="652">
        <f>IF($B1163="",,SUMIFS(PerHeadcount[Month 29],PerHeadcount[exp_item],$H1163,PerHeadcount[company_name],$B1163)*AN218)</f>
        <v>0</v>
      </c>
      <c r="AO1163" s="652">
        <f>IF($B1163="",,SUMIFS(PerHeadcount[Month 30],PerHeadcount[exp_item],$H1163,PerHeadcount[company_name],$B1163)*AO218)</f>
        <v>0</v>
      </c>
      <c r="AP1163" s="652">
        <f>IF($B1163="",,SUMIFS(PerHeadcount[Month 31],PerHeadcount[exp_item],$H1163,PerHeadcount[company_name],$B1163)*AP218)</f>
        <v>0</v>
      </c>
      <c r="AQ1163" s="652">
        <f>IF($B1163="",,SUMIFS(PerHeadcount[Month 32],PerHeadcount[exp_item],$H1163,PerHeadcount[company_name],$B1163)*AQ218)</f>
        <v>0</v>
      </c>
      <c r="AR1163" s="652">
        <f>IF($B1163="",,SUMIFS(PerHeadcount[Month 33],PerHeadcount[exp_item],$H1163,PerHeadcount[company_name],$B1163)*AR218)</f>
        <v>0</v>
      </c>
      <c r="AS1163" s="652">
        <f>IF($B1163="",,SUMIFS(PerHeadcount[Month 34],PerHeadcount[exp_item],$H1163,PerHeadcount[company_name],$B1163)*AS218)</f>
        <v>0</v>
      </c>
      <c r="AT1163" s="652">
        <f>IF($B1163="",,SUMIFS(PerHeadcount[Month 35],PerHeadcount[exp_item],$H1163,PerHeadcount[company_name],$B1163)*AT218)</f>
        <v>0</v>
      </c>
      <c r="AU1163" s="652">
        <f>IF($B1163="",,SUMIFS(PerHeadcount[Month 36],PerHeadcount[exp_item],$H1163,PerHeadcount[company_name],$B1163)*AU218)</f>
        <v>0</v>
      </c>
    </row>
    <row r="1164" spans="2:47" x14ac:dyDescent="0.35">
      <c r="B1164" t="str">
        <f t="shared" ref="B1164:B1195" si="807">IF(B1059="","",B1059)</f>
        <v/>
      </c>
      <c r="C1164" t="str">
        <f t="shared" ref="C1164:G1164" si="808">IF(C1059="","",C1059)</f>
        <v/>
      </c>
      <c r="D1164" t="str">
        <f t="shared" si="808"/>
        <v/>
      </c>
      <c r="E1164" t="str">
        <f t="shared" si="808"/>
        <v/>
      </c>
      <c r="F1164" t="str">
        <f t="shared" si="808"/>
        <v/>
      </c>
      <c r="G1164" t="str">
        <f t="shared" si="808"/>
        <v/>
      </c>
      <c r="H1164" t="str">
        <f t="shared" si="806"/>
        <v/>
      </c>
      <c r="J1164" t="str">
        <f>IF($H1164="","",IF(VLOOKUP(H1164,ExpItems[],2,0),H1164&amp;" - "&amp;INDEX(DivisionMapping[category_code],MATCH($D1164&amp;$C1164,DivisionMapping[dept_bu],0)),H1164))</f>
        <v/>
      </c>
      <c r="K1164" t="str">
        <f t="shared" si="774"/>
        <v/>
      </c>
      <c r="L1164" s="652">
        <f>IF($B1164="",,SUMIFS(PerHeadcount[Month 1],PerHeadcount[exp_item],$H1164,PerHeadcount[company_name],$B1164)*L219)</f>
        <v>0</v>
      </c>
      <c r="M1164" s="652">
        <f>IF($B1164="",,SUMIFS(PerHeadcount[Month 2],PerHeadcount[exp_item],$H1164,PerHeadcount[company_name],$B1164)*M219)</f>
        <v>0</v>
      </c>
      <c r="N1164" s="652">
        <f>IF($B1164="",,SUMIFS(PerHeadcount[Month 3],PerHeadcount[exp_item],$H1164,PerHeadcount[company_name],$B1164)*N219)</f>
        <v>0</v>
      </c>
      <c r="O1164" s="652">
        <f>IF($B1164="",,SUMIFS(PerHeadcount[Month 4],PerHeadcount[exp_item],$H1164,PerHeadcount[company_name],$B1164)*O219)</f>
        <v>0</v>
      </c>
      <c r="P1164" s="652">
        <f>IF($B1164="",,SUMIFS(PerHeadcount[Month 5],PerHeadcount[exp_item],$H1164,PerHeadcount[company_name],$B1164)*P219)</f>
        <v>0</v>
      </c>
      <c r="Q1164" s="652">
        <f>IF($B1164="",,SUMIFS(PerHeadcount[Month 6],PerHeadcount[exp_item],$H1164,PerHeadcount[company_name],$B1164)*Q219)</f>
        <v>0</v>
      </c>
      <c r="R1164" s="652">
        <f>IF($B1164="",,SUMIFS(PerHeadcount[Month 7],PerHeadcount[exp_item],$H1164,PerHeadcount[company_name],$B1164)*R219)</f>
        <v>0</v>
      </c>
      <c r="S1164" s="652">
        <f>IF($B1164="",,SUMIFS(PerHeadcount[Month 8],PerHeadcount[exp_item],$H1164,PerHeadcount[company_name],$B1164)*S219)</f>
        <v>0</v>
      </c>
      <c r="T1164" s="652">
        <f>IF($B1164="",,SUMIFS(PerHeadcount[Month 9],PerHeadcount[exp_item],$H1164,PerHeadcount[company_name],$B1164)*T219)</f>
        <v>0</v>
      </c>
      <c r="U1164" s="652">
        <f>IF($B1164="",,SUMIFS(PerHeadcount[Month 10],PerHeadcount[exp_item],$H1164,PerHeadcount[company_name],$B1164)*U219)</f>
        <v>0</v>
      </c>
      <c r="V1164" s="652">
        <f>IF($B1164="",,SUMIFS(PerHeadcount[Month 11],PerHeadcount[exp_item],$H1164,PerHeadcount[company_name],$B1164)*V219)</f>
        <v>0</v>
      </c>
      <c r="W1164" s="652">
        <f>IF($B1164="",,SUMIFS(PerHeadcount[Month 12],PerHeadcount[exp_item],$H1164,PerHeadcount[company_name],$B1164)*W219)</f>
        <v>0</v>
      </c>
      <c r="X1164" s="652">
        <f>IF($B1164="",,SUMIFS(PerHeadcount[Month 13],PerHeadcount[exp_item],$H1164,PerHeadcount[company_name],$B1164)*X219)</f>
        <v>0</v>
      </c>
      <c r="Y1164" s="652">
        <f>IF($B1164="",,SUMIFS(PerHeadcount[Month 14],PerHeadcount[exp_item],$H1164,PerHeadcount[company_name],$B1164)*Y219)</f>
        <v>0</v>
      </c>
      <c r="Z1164" s="652">
        <f>IF($B1164="",,SUMIFS(PerHeadcount[Month 15],PerHeadcount[exp_item],$H1164,PerHeadcount[company_name],$B1164)*Z219)</f>
        <v>0</v>
      </c>
      <c r="AA1164" s="652">
        <f>IF($B1164="",,SUMIFS(PerHeadcount[Month 16],PerHeadcount[exp_item],$H1164,PerHeadcount[company_name],$B1164)*AA219)</f>
        <v>0</v>
      </c>
      <c r="AB1164" s="652">
        <f>IF($B1164="",,SUMIFS(PerHeadcount[Month 17],PerHeadcount[exp_item],$H1164,PerHeadcount[company_name],$B1164)*AB219)</f>
        <v>0</v>
      </c>
      <c r="AC1164" s="652">
        <f>IF($B1164="",,SUMIFS(PerHeadcount[Month 18],PerHeadcount[exp_item],$H1164,PerHeadcount[company_name],$B1164)*AC219)</f>
        <v>0</v>
      </c>
      <c r="AD1164" s="652">
        <f>IF($B1164="",,SUMIFS(PerHeadcount[Month 19],PerHeadcount[exp_item],$H1164,PerHeadcount[company_name],$B1164)*AD219)</f>
        <v>0</v>
      </c>
      <c r="AE1164" s="652">
        <f>IF($B1164="",,SUMIFS(PerHeadcount[Month 20],PerHeadcount[exp_item],$H1164,PerHeadcount[company_name],$B1164)*AE219)</f>
        <v>0</v>
      </c>
      <c r="AF1164" s="652">
        <f>IF($B1164="",,SUMIFS(PerHeadcount[Month 21],PerHeadcount[exp_item],$H1164,PerHeadcount[company_name],$B1164)*AF219)</f>
        <v>0</v>
      </c>
      <c r="AG1164" s="652">
        <f>IF($B1164="",,SUMIFS(PerHeadcount[Month 22],PerHeadcount[exp_item],$H1164,PerHeadcount[company_name],$B1164)*AG219)</f>
        <v>0</v>
      </c>
      <c r="AH1164" s="652">
        <f>IF($B1164="",,SUMIFS(PerHeadcount[Month 23],PerHeadcount[exp_item],$H1164,PerHeadcount[company_name],$B1164)*AH219)</f>
        <v>0</v>
      </c>
      <c r="AI1164" s="652">
        <f>IF($B1164="",,SUMIFS(PerHeadcount[Month 24],PerHeadcount[exp_item],$H1164,PerHeadcount[company_name],$B1164)*AI219)</f>
        <v>0</v>
      </c>
      <c r="AJ1164" s="652">
        <f>IF($B1164="",,SUMIFS(PerHeadcount[Month 25],PerHeadcount[exp_item],$H1164,PerHeadcount[company_name],$B1164)*AJ219)</f>
        <v>0</v>
      </c>
      <c r="AK1164" s="652">
        <f>IF($B1164="",,SUMIFS(PerHeadcount[Month 26],PerHeadcount[exp_item],$H1164,PerHeadcount[company_name],$B1164)*AK219)</f>
        <v>0</v>
      </c>
      <c r="AL1164" s="652">
        <f>IF($B1164="",,SUMIFS(PerHeadcount[Month 27],PerHeadcount[exp_item],$H1164,PerHeadcount[company_name],$B1164)*AL219)</f>
        <v>0</v>
      </c>
      <c r="AM1164" s="652">
        <f>IF($B1164="",,SUMIFS(PerHeadcount[Month 28],PerHeadcount[exp_item],$H1164,PerHeadcount[company_name],$B1164)*AM219)</f>
        <v>0</v>
      </c>
      <c r="AN1164" s="652">
        <f>IF($B1164="",,SUMIFS(PerHeadcount[Month 29],PerHeadcount[exp_item],$H1164,PerHeadcount[company_name],$B1164)*AN219)</f>
        <v>0</v>
      </c>
      <c r="AO1164" s="652">
        <f>IF($B1164="",,SUMIFS(PerHeadcount[Month 30],PerHeadcount[exp_item],$H1164,PerHeadcount[company_name],$B1164)*AO219)</f>
        <v>0</v>
      </c>
      <c r="AP1164" s="652">
        <f>IF($B1164="",,SUMIFS(PerHeadcount[Month 31],PerHeadcount[exp_item],$H1164,PerHeadcount[company_name],$B1164)*AP219)</f>
        <v>0</v>
      </c>
      <c r="AQ1164" s="652">
        <f>IF($B1164="",,SUMIFS(PerHeadcount[Month 32],PerHeadcount[exp_item],$H1164,PerHeadcount[company_name],$B1164)*AQ219)</f>
        <v>0</v>
      </c>
      <c r="AR1164" s="652">
        <f>IF($B1164="",,SUMIFS(PerHeadcount[Month 33],PerHeadcount[exp_item],$H1164,PerHeadcount[company_name],$B1164)*AR219)</f>
        <v>0</v>
      </c>
      <c r="AS1164" s="652">
        <f>IF($B1164="",,SUMIFS(PerHeadcount[Month 34],PerHeadcount[exp_item],$H1164,PerHeadcount[company_name],$B1164)*AS219)</f>
        <v>0</v>
      </c>
      <c r="AT1164" s="652">
        <f>IF($B1164="",,SUMIFS(PerHeadcount[Month 35],PerHeadcount[exp_item],$H1164,PerHeadcount[company_name],$B1164)*AT219)</f>
        <v>0</v>
      </c>
      <c r="AU1164" s="652">
        <f>IF($B1164="",,SUMIFS(PerHeadcount[Month 36],PerHeadcount[exp_item],$H1164,PerHeadcount[company_name],$B1164)*AU219)</f>
        <v>0</v>
      </c>
    </row>
    <row r="1165" spans="2:47" x14ac:dyDescent="0.35">
      <c r="B1165" t="str">
        <f t="shared" si="807"/>
        <v/>
      </c>
      <c r="C1165" t="str">
        <f t="shared" ref="C1165:G1165" si="809">IF(C1060="","",C1060)</f>
        <v/>
      </c>
      <c r="D1165" t="str">
        <f t="shared" si="809"/>
        <v/>
      </c>
      <c r="E1165" t="str">
        <f t="shared" si="809"/>
        <v/>
      </c>
      <c r="F1165" t="str">
        <f t="shared" si="809"/>
        <v/>
      </c>
      <c r="G1165" t="str">
        <f t="shared" si="809"/>
        <v/>
      </c>
      <c r="H1165" t="str">
        <f t="shared" si="806"/>
        <v/>
      </c>
      <c r="J1165" t="str">
        <f>IF($H1165="","",IF(VLOOKUP(H1165,ExpItems[],2,0),H1165&amp;" - "&amp;INDEX(DivisionMapping[category_code],MATCH($D1165&amp;$C1165,DivisionMapping[dept_bu],0)),H1165))</f>
        <v/>
      </c>
      <c r="K1165" t="str">
        <f t="shared" si="774"/>
        <v/>
      </c>
      <c r="L1165" s="652">
        <f>IF($B1165="",,SUMIFS(PerHeadcount[Month 1],PerHeadcount[exp_item],$H1165,PerHeadcount[company_name],$B1165)*L220)</f>
        <v>0</v>
      </c>
      <c r="M1165" s="652">
        <f>IF($B1165="",,SUMIFS(PerHeadcount[Month 2],PerHeadcount[exp_item],$H1165,PerHeadcount[company_name],$B1165)*M220)</f>
        <v>0</v>
      </c>
      <c r="N1165" s="652">
        <f>IF($B1165="",,SUMIFS(PerHeadcount[Month 3],PerHeadcount[exp_item],$H1165,PerHeadcount[company_name],$B1165)*N220)</f>
        <v>0</v>
      </c>
      <c r="O1165" s="652">
        <f>IF($B1165="",,SUMIFS(PerHeadcount[Month 4],PerHeadcount[exp_item],$H1165,PerHeadcount[company_name],$B1165)*O220)</f>
        <v>0</v>
      </c>
      <c r="P1165" s="652">
        <f>IF($B1165="",,SUMIFS(PerHeadcount[Month 5],PerHeadcount[exp_item],$H1165,PerHeadcount[company_name],$B1165)*P220)</f>
        <v>0</v>
      </c>
      <c r="Q1165" s="652">
        <f>IF($B1165="",,SUMIFS(PerHeadcount[Month 6],PerHeadcount[exp_item],$H1165,PerHeadcount[company_name],$B1165)*Q220)</f>
        <v>0</v>
      </c>
      <c r="R1165" s="652">
        <f>IF($B1165="",,SUMIFS(PerHeadcount[Month 7],PerHeadcount[exp_item],$H1165,PerHeadcount[company_name],$B1165)*R220)</f>
        <v>0</v>
      </c>
      <c r="S1165" s="652">
        <f>IF($B1165="",,SUMIFS(PerHeadcount[Month 8],PerHeadcount[exp_item],$H1165,PerHeadcount[company_name],$B1165)*S220)</f>
        <v>0</v>
      </c>
      <c r="T1165" s="652">
        <f>IF($B1165="",,SUMIFS(PerHeadcount[Month 9],PerHeadcount[exp_item],$H1165,PerHeadcount[company_name],$B1165)*T220)</f>
        <v>0</v>
      </c>
      <c r="U1165" s="652">
        <f>IF($B1165="",,SUMIFS(PerHeadcount[Month 10],PerHeadcount[exp_item],$H1165,PerHeadcount[company_name],$B1165)*U220)</f>
        <v>0</v>
      </c>
      <c r="V1165" s="652">
        <f>IF($B1165="",,SUMIFS(PerHeadcount[Month 11],PerHeadcount[exp_item],$H1165,PerHeadcount[company_name],$B1165)*V220)</f>
        <v>0</v>
      </c>
      <c r="W1165" s="652">
        <f>IF($B1165="",,SUMIFS(PerHeadcount[Month 12],PerHeadcount[exp_item],$H1165,PerHeadcount[company_name],$B1165)*W220)</f>
        <v>0</v>
      </c>
      <c r="X1165" s="652">
        <f>IF($B1165="",,SUMIFS(PerHeadcount[Month 13],PerHeadcount[exp_item],$H1165,PerHeadcount[company_name],$B1165)*X220)</f>
        <v>0</v>
      </c>
      <c r="Y1165" s="652">
        <f>IF($B1165="",,SUMIFS(PerHeadcount[Month 14],PerHeadcount[exp_item],$H1165,PerHeadcount[company_name],$B1165)*Y220)</f>
        <v>0</v>
      </c>
      <c r="Z1165" s="652">
        <f>IF($B1165="",,SUMIFS(PerHeadcount[Month 15],PerHeadcount[exp_item],$H1165,PerHeadcount[company_name],$B1165)*Z220)</f>
        <v>0</v>
      </c>
      <c r="AA1165" s="652">
        <f>IF($B1165="",,SUMIFS(PerHeadcount[Month 16],PerHeadcount[exp_item],$H1165,PerHeadcount[company_name],$B1165)*AA220)</f>
        <v>0</v>
      </c>
      <c r="AB1165" s="652">
        <f>IF($B1165="",,SUMIFS(PerHeadcount[Month 17],PerHeadcount[exp_item],$H1165,PerHeadcount[company_name],$B1165)*AB220)</f>
        <v>0</v>
      </c>
      <c r="AC1165" s="652">
        <f>IF($B1165="",,SUMIFS(PerHeadcount[Month 18],PerHeadcount[exp_item],$H1165,PerHeadcount[company_name],$B1165)*AC220)</f>
        <v>0</v>
      </c>
      <c r="AD1165" s="652">
        <f>IF($B1165="",,SUMIFS(PerHeadcount[Month 19],PerHeadcount[exp_item],$H1165,PerHeadcount[company_name],$B1165)*AD220)</f>
        <v>0</v>
      </c>
      <c r="AE1165" s="652">
        <f>IF($B1165="",,SUMIFS(PerHeadcount[Month 20],PerHeadcount[exp_item],$H1165,PerHeadcount[company_name],$B1165)*AE220)</f>
        <v>0</v>
      </c>
      <c r="AF1165" s="652">
        <f>IF($B1165="",,SUMIFS(PerHeadcount[Month 21],PerHeadcount[exp_item],$H1165,PerHeadcount[company_name],$B1165)*AF220)</f>
        <v>0</v>
      </c>
      <c r="AG1165" s="652">
        <f>IF($B1165="",,SUMIFS(PerHeadcount[Month 22],PerHeadcount[exp_item],$H1165,PerHeadcount[company_name],$B1165)*AG220)</f>
        <v>0</v>
      </c>
      <c r="AH1165" s="652">
        <f>IF($B1165="",,SUMIFS(PerHeadcount[Month 23],PerHeadcount[exp_item],$H1165,PerHeadcount[company_name],$B1165)*AH220)</f>
        <v>0</v>
      </c>
      <c r="AI1165" s="652">
        <f>IF($B1165="",,SUMIFS(PerHeadcount[Month 24],PerHeadcount[exp_item],$H1165,PerHeadcount[company_name],$B1165)*AI220)</f>
        <v>0</v>
      </c>
      <c r="AJ1165" s="652">
        <f>IF($B1165="",,SUMIFS(PerHeadcount[Month 25],PerHeadcount[exp_item],$H1165,PerHeadcount[company_name],$B1165)*AJ220)</f>
        <v>0</v>
      </c>
      <c r="AK1165" s="652">
        <f>IF($B1165="",,SUMIFS(PerHeadcount[Month 26],PerHeadcount[exp_item],$H1165,PerHeadcount[company_name],$B1165)*AK220)</f>
        <v>0</v>
      </c>
      <c r="AL1165" s="652">
        <f>IF($B1165="",,SUMIFS(PerHeadcount[Month 27],PerHeadcount[exp_item],$H1165,PerHeadcount[company_name],$B1165)*AL220)</f>
        <v>0</v>
      </c>
      <c r="AM1165" s="652">
        <f>IF($B1165="",,SUMIFS(PerHeadcount[Month 28],PerHeadcount[exp_item],$H1165,PerHeadcount[company_name],$B1165)*AM220)</f>
        <v>0</v>
      </c>
      <c r="AN1165" s="652">
        <f>IF($B1165="",,SUMIFS(PerHeadcount[Month 29],PerHeadcount[exp_item],$H1165,PerHeadcount[company_name],$B1165)*AN220)</f>
        <v>0</v>
      </c>
      <c r="AO1165" s="652">
        <f>IF($B1165="",,SUMIFS(PerHeadcount[Month 30],PerHeadcount[exp_item],$H1165,PerHeadcount[company_name],$B1165)*AO220)</f>
        <v>0</v>
      </c>
      <c r="AP1165" s="652">
        <f>IF($B1165="",,SUMIFS(PerHeadcount[Month 31],PerHeadcount[exp_item],$H1165,PerHeadcount[company_name],$B1165)*AP220)</f>
        <v>0</v>
      </c>
      <c r="AQ1165" s="652">
        <f>IF($B1165="",,SUMIFS(PerHeadcount[Month 32],PerHeadcount[exp_item],$H1165,PerHeadcount[company_name],$B1165)*AQ220)</f>
        <v>0</v>
      </c>
      <c r="AR1165" s="652">
        <f>IF($B1165="",,SUMIFS(PerHeadcount[Month 33],PerHeadcount[exp_item],$H1165,PerHeadcount[company_name],$B1165)*AR220)</f>
        <v>0</v>
      </c>
      <c r="AS1165" s="652">
        <f>IF($B1165="",,SUMIFS(PerHeadcount[Month 34],PerHeadcount[exp_item],$H1165,PerHeadcount[company_name],$B1165)*AS220)</f>
        <v>0</v>
      </c>
      <c r="AT1165" s="652">
        <f>IF($B1165="",,SUMIFS(PerHeadcount[Month 35],PerHeadcount[exp_item],$H1165,PerHeadcount[company_name],$B1165)*AT220)</f>
        <v>0</v>
      </c>
      <c r="AU1165" s="652">
        <f>IF($B1165="",,SUMIFS(PerHeadcount[Month 36],PerHeadcount[exp_item],$H1165,PerHeadcount[company_name],$B1165)*AU220)</f>
        <v>0</v>
      </c>
    </row>
    <row r="1166" spans="2:47" x14ac:dyDescent="0.35">
      <c r="B1166" t="str">
        <f t="shared" si="807"/>
        <v/>
      </c>
      <c r="C1166" t="str">
        <f t="shared" ref="C1166:G1166" si="810">IF(C1061="","",C1061)</f>
        <v/>
      </c>
      <c r="D1166" t="str">
        <f t="shared" si="810"/>
        <v/>
      </c>
      <c r="E1166" t="str">
        <f t="shared" si="810"/>
        <v/>
      </c>
      <c r="F1166" t="str">
        <f t="shared" si="810"/>
        <v/>
      </c>
      <c r="G1166" t="str">
        <f t="shared" si="810"/>
        <v/>
      </c>
      <c r="H1166" t="str">
        <f t="shared" si="806"/>
        <v/>
      </c>
      <c r="J1166" t="str">
        <f>IF($H1166="","",IF(VLOOKUP(H1166,ExpItems[],2,0),H1166&amp;" - "&amp;INDEX(DivisionMapping[category_code],MATCH($D1166&amp;$C1166,DivisionMapping[dept_bu],0)),H1166))</f>
        <v/>
      </c>
      <c r="K1166" t="str">
        <f t="shared" si="774"/>
        <v/>
      </c>
      <c r="L1166" s="652">
        <f>IF($B1166="",,SUMIFS(PerHeadcount[Month 1],PerHeadcount[exp_item],$H1166,PerHeadcount[company_name],$B1166)*L221)</f>
        <v>0</v>
      </c>
      <c r="M1166" s="652">
        <f>IF($B1166="",,SUMIFS(PerHeadcount[Month 2],PerHeadcount[exp_item],$H1166,PerHeadcount[company_name],$B1166)*M221)</f>
        <v>0</v>
      </c>
      <c r="N1166" s="652">
        <f>IF($B1166="",,SUMIFS(PerHeadcount[Month 3],PerHeadcount[exp_item],$H1166,PerHeadcount[company_name],$B1166)*N221)</f>
        <v>0</v>
      </c>
      <c r="O1166" s="652">
        <f>IF($B1166="",,SUMIFS(PerHeadcount[Month 4],PerHeadcount[exp_item],$H1166,PerHeadcount[company_name],$B1166)*O221)</f>
        <v>0</v>
      </c>
      <c r="P1166" s="652">
        <f>IF($B1166="",,SUMIFS(PerHeadcount[Month 5],PerHeadcount[exp_item],$H1166,PerHeadcount[company_name],$B1166)*P221)</f>
        <v>0</v>
      </c>
      <c r="Q1166" s="652">
        <f>IF($B1166="",,SUMIFS(PerHeadcount[Month 6],PerHeadcount[exp_item],$H1166,PerHeadcount[company_name],$B1166)*Q221)</f>
        <v>0</v>
      </c>
      <c r="R1166" s="652">
        <f>IF($B1166="",,SUMIFS(PerHeadcount[Month 7],PerHeadcount[exp_item],$H1166,PerHeadcount[company_name],$B1166)*R221)</f>
        <v>0</v>
      </c>
      <c r="S1166" s="652">
        <f>IF($B1166="",,SUMIFS(PerHeadcount[Month 8],PerHeadcount[exp_item],$H1166,PerHeadcount[company_name],$B1166)*S221)</f>
        <v>0</v>
      </c>
      <c r="T1166" s="652">
        <f>IF($B1166="",,SUMIFS(PerHeadcount[Month 9],PerHeadcount[exp_item],$H1166,PerHeadcount[company_name],$B1166)*T221)</f>
        <v>0</v>
      </c>
      <c r="U1166" s="652">
        <f>IF($B1166="",,SUMIFS(PerHeadcount[Month 10],PerHeadcount[exp_item],$H1166,PerHeadcount[company_name],$B1166)*U221)</f>
        <v>0</v>
      </c>
      <c r="V1166" s="652">
        <f>IF($B1166="",,SUMIFS(PerHeadcount[Month 11],PerHeadcount[exp_item],$H1166,PerHeadcount[company_name],$B1166)*V221)</f>
        <v>0</v>
      </c>
      <c r="W1166" s="652">
        <f>IF($B1166="",,SUMIFS(PerHeadcount[Month 12],PerHeadcount[exp_item],$H1166,PerHeadcount[company_name],$B1166)*W221)</f>
        <v>0</v>
      </c>
      <c r="X1166" s="652">
        <f>IF($B1166="",,SUMIFS(PerHeadcount[Month 13],PerHeadcount[exp_item],$H1166,PerHeadcount[company_name],$B1166)*X221)</f>
        <v>0</v>
      </c>
      <c r="Y1166" s="652">
        <f>IF($B1166="",,SUMIFS(PerHeadcount[Month 14],PerHeadcount[exp_item],$H1166,PerHeadcount[company_name],$B1166)*Y221)</f>
        <v>0</v>
      </c>
      <c r="Z1166" s="652">
        <f>IF($B1166="",,SUMIFS(PerHeadcount[Month 15],PerHeadcount[exp_item],$H1166,PerHeadcount[company_name],$B1166)*Z221)</f>
        <v>0</v>
      </c>
      <c r="AA1166" s="652">
        <f>IF($B1166="",,SUMIFS(PerHeadcount[Month 16],PerHeadcount[exp_item],$H1166,PerHeadcount[company_name],$B1166)*AA221)</f>
        <v>0</v>
      </c>
      <c r="AB1166" s="652">
        <f>IF($B1166="",,SUMIFS(PerHeadcount[Month 17],PerHeadcount[exp_item],$H1166,PerHeadcount[company_name],$B1166)*AB221)</f>
        <v>0</v>
      </c>
      <c r="AC1166" s="652">
        <f>IF($B1166="",,SUMIFS(PerHeadcount[Month 18],PerHeadcount[exp_item],$H1166,PerHeadcount[company_name],$B1166)*AC221)</f>
        <v>0</v>
      </c>
      <c r="AD1166" s="652">
        <f>IF($B1166="",,SUMIFS(PerHeadcount[Month 19],PerHeadcount[exp_item],$H1166,PerHeadcount[company_name],$B1166)*AD221)</f>
        <v>0</v>
      </c>
      <c r="AE1166" s="652">
        <f>IF($B1166="",,SUMIFS(PerHeadcount[Month 20],PerHeadcount[exp_item],$H1166,PerHeadcount[company_name],$B1166)*AE221)</f>
        <v>0</v>
      </c>
      <c r="AF1166" s="652">
        <f>IF($B1166="",,SUMIFS(PerHeadcount[Month 21],PerHeadcount[exp_item],$H1166,PerHeadcount[company_name],$B1166)*AF221)</f>
        <v>0</v>
      </c>
      <c r="AG1166" s="652">
        <f>IF($B1166="",,SUMIFS(PerHeadcount[Month 22],PerHeadcount[exp_item],$H1166,PerHeadcount[company_name],$B1166)*AG221)</f>
        <v>0</v>
      </c>
      <c r="AH1166" s="652">
        <f>IF($B1166="",,SUMIFS(PerHeadcount[Month 23],PerHeadcount[exp_item],$H1166,PerHeadcount[company_name],$B1166)*AH221)</f>
        <v>0</v>
      </c>
      <c r="AI1166" s="652">
        <f>IF($B1166="",,SUMIFS(PerHeadcount[Month 24],PerHeadcount[exp_item],$H1166,PerHeadcount[company_name],$B1166)*AI221)</f>
        <v>0</v>
      </c>
      <c r="AJ1166" s="652">
        <f>IF($B1166="",,SUMIFS(PerHeadcount[Month 25],PerHeadcount[exp_item],$H1166,PerHeadcount[company_name],$B1166)*AJ221)</f>
        <v>0</v>
      </c>
      <c r="AK1166" s="652">
        <f>IF($B1166="",,SUMIFS(PerHeadcount[Month 26],PerHeadcount[exp_item],$H1166,PerHeadcount[company_name],$B1166)*AK221)</f>
        <v>0</v>
      </c>
      <c r="AL1166" s="652">
        <f>IF($B1166="",,SUMIFS(PerHeadcount[Month 27],PerHeadcount[exp_item],$H1166,PerHeadcount[company_name],$B1166)*AL221)</f>
        <v>0</v>
      </c>
      <c r="AM1166" s="652">
        <f>IF($B1166="",,SUMIFS(PerHeadcount[Month 28],PerHeadcount[exp_item],$H1166,PerHeadcount[company_name],$B1166)*AM221)</f>
        <v>0</v>
      </c>
      <c r="AN1166" s="652">
        <f>IF($B1166="",,SUMIFS(PerHeadcount[Month 29],PerHeadcount[exp_item],$H1166,PerHeadcount[company_name],$B1166)*AN221)</f>
        <v>0</v>
      </c>
      <c r="AO1166" s="652">
        <f>IF($B1166="",,SUMIFS(PerHeadcount[Month 30],PerHeadcount[exp_item],$H1166,PerHeadcount[company_name],$B1166)*AO221)</f>
        <v>0</v>
      </c>
      <c r="AP1166" s="652">
        <f>IF($B1166="",,SUMIFS(PerHeadcount[Month 31],PerHeadcount[exp_item],$H1166,PerHeadcount[company_name],$B1166)*AP221)</f>
        <v>0</v>
      </c>
      <c r="AQ1166" s="652">
        <f>IF($B1166="",,SUMIFS(PerHeadcount[Month 32],PerHeadcount[exp_item],$H1166,PerHeadcount[company_name],$B1166)*AQ221)</f>
        <v>0</v>
      </c>
      <c r="AR1166" s="652">
        <f>IF($B1166="",,SUMIFS(PerHeadcount[Month 33],PerHeadcount[exp_item],$H1166,PerHeadcount[company_name],$B1166)*AR221)</f>
        <v>0</v>
      </c>
      <c r="AS1166" s="652">
        <f>IF($B1166="",,SUMIFS(PerHeadcount[Month 34],PerHeadcount[exp_item],$H1166,PerHeadcount[company_name],$B1166)*AS221)</f>
        <v>0</v>
      </c>
      <c r="AT1166" s="652">
        <f>IF($B1166="",,SUMIFS(PerHeadcount[Month 35],PerHeadcount[exp_item],$H1166,PerHeadcount[company_name],$B1166)*AT221)</f>
        <v>0</v>
      </c>
      <c r="AU1166" s="652">
        <f>IF($B1166="",,SUMIFS(PerHeadcount[Month 36],PerHeadcount[exp_item],$H1166,PerHeadcount[company_name],$B1166)*AU221)</f>
        <v>0</v>
      </c>
    </row>
    <row r="1167" spans="2:47" x14ac:dyDescent="0.35">
      <c r="B1167" t="str">
        <f t="shared" si="807"/>
        <v/>
      </c>
      <c r="C1167" t="str">
        <f t="shared" ref="C1167:G1167" si="811">IF(C1062="","",C1062)</f>
        <v/>
      </c>
      <c r="D1167" t="str">
        <f t="shared" si="811"/>
        <v/>
      </c>
      <c r="E1167" t="str">
        <f t="shared" si="811"/>
        <v/>
      </c>
      <c r="F1167" t="str">
        <f t="shared" si="811"/>
        <v/>
      </c>
      <c r="G1167" t="str">
        <f t="shared" si="811"/>
        <v/>
      </c>
      <c r="H1167" t="str">
        <f t="shared" si="806"/>
        <v/>
      </c>
      <c r="J1167" t="str">
        <f>IF($H1167="","",IF(VLOOKUP(H1167,ExpItems[],2,0),H1167&amp;" - "&amp;INDEX(DivisionMapping[category_code],MATCH($D1167&amp;$C1167,DivisionMapping[dept_bu],0)),H1167))</f>
        <v/>
      </c>
      <c r="K1167" t="str">
        <f t="shared" si="774"/>
        <v/>
      </c>
      <c r="L1167" s="652">
        <f>IF($B1167="",,SUMIFS(PerHeadcount[Month 1],PerHeadcount[exp_item],$H1167,PerHeadcount[company_name],$B1167)*L222)</f>
        <v>0</v>
      </c>
      <c r="M1167" s="652">
        <f>IF($B1167="",,SUMIFS(PerHeadcount[Month 2],PerHeadcount[exp_item],$H1167,PerHeadcount[company_name],$B1167)*M222)</f>
        <v>0</v>
      </c>
      <c r="N1167" s="652">
        <f>IF($B1167="",,SUMIFS(PerHeadcount[Month 3],PerHeadcount[exp_item],$H1167,PerHeadcount[company_name],$B1167)*N222)</f>
        <v>0</v>
      </c>
      <c r="O1167" s="652">
        <f>IF($B1167="",,SUMIFS(PerHeadcount[Month 4],PerHeadcount[exp_item],$H1167,PerHeadcount[company_name],$B1167)*O222)</f>
        <v>0</v>
      </c>
      <c r="P1167" s="652">
        <f>IF($B1167="",,SUMIFS(PerHeadcount[Month 5],PerHeadcount[exp_item],$H1167,PerHeadcount[company_name],$B1167)*P222)</f>
        <v>0</v>
      </c>
      <c r="Q1167" s="652">
        <f>IF($B1167="",,SUMIFS(PerHeadcount[Month 6],PerHeadcount[exp_item],$H1167,PerHeadcount[company_name],$B1167)*Q222)</f>
        <v>0</v>
      </c>
      <c r="R1167" s="652">
        <f>IF($B1167="",,SUMIFS(PerHeadcount[Month 7],PerHeadcount[exp_item],$H1167,PerHeadcount[company_name],$B1167)*R222)</f>
        <v>0</v>
      </c>
      <c r="S1167" s="652">
        <f>IF($B1167="",,SUMIFS(PerHeadcount[Month 8],PerHeadcount[exp_item],$H1167,PerHeadcount[company_name],$B1167)*S222)</f>
        <v>0</v>
      </c>
      <c r="T1167" s="652">
        <f>IF($B1167="",,SUMIFS(PerHeadcount[Month 9],PerHeadcount[exp_item],$H1167,PerHeadcount[company_name],$B1167)*T222)</f>
        <v>0</v>
      </c>
      <c r="U1167" s="652">
        <f>IF($B1167="",,SUMIFS(PerHeadcount[Month 10],PerHeadcount[exp_item],$H1167,PerHeadcount[company_name],$B1167)*U222)</f>
        <v>0</v>
      </c>
      <c r="V1167" s="652">
        <f>IF($B1167="",,SUMIFS(PerHeadcount[Month 11],PerHeadcount[exp_item],$H1167,PerHeadcount[company_name],$B1167)*V222)</f>
        <v>0</v>
      </c>
      <c r="W1167" s="652">
        <f>IF($B1167="",,SUMIFS(PerHeadcount[Month 12],PerHeadcount[exp_item],$H1167,PerHeadcount[company_name],$B1167)*W222)</f>
        <v>0</v>
      </c>
      <c r="X1167" s="652">
        <f>IF($B1167="",,SUMIFS(PerHeadcount[Month 13],PerHeadcount[exp_item],$H1167,PerHeadcount[company_name],$B1167)*X222)</f>
        <v>0</v>
      </c>
      <c r="Y1167" s="652">
        <f>IF($B1167="",,SUMIFS(PerHeadcount[Month 14],PerHeadcount[exp_item],$H1167,PerHeadcount[company_name],$B1167)*Y222)</f>
        <v>0</v>
      </c>
      <c r="Z1167" s="652">
        <f>IF($B1167="",,SUMIFS(PerHeadcount[Month 15],PerHeadcount[exp_item],$H1167,PerHeadcount[company_name],$B1167)*Z222)</f>
        <v>0</v>
      </c>
      <c r="AA1167" s="652">
        <f>IF($B1167="",,SUMIFS(PerHeadcount[Month 16],PerHeadcount[exp_item],$H1167,PerHeadcount[company_name],$B1167)*AA222)</f>
        <v>0</v>
      </c>
      <c r="AB1167" s="652">
        <f>IF($B1167="",,SUMIFS(PerHeadcount[Month 17],PerHeadcount[exp_item],$H1167,PerHeadcount[company_name],$B1167)*AB222)</f>
        <v>0</v>
      </c>
      <c r="AC1167" s="652">
        <f>IF($B1167="",,SUMIFS(PerHeadcount[Month 18],PerHeadcount[exp_item],$H1167,PerHeadcount[company_name],$B1167)*AC222)</f>
        <v>0</v>
      </c>
      <c r="AD1167" s="652">
        <f>IF($B1167="",,SUMIFS(PerHeadcount[Month 19],PerHeadcount[exp_item],$H1167,PerHeadcount[company_name],$B1167)*AD222)</f>
        <v>0</v>
      </c>
      <c r="AE1167" s="652">
        <f>IF($B1167="",,SUMIFS(PerHeadcount[Month 20],PerHeadcount[exp_item],$H1167,PerHeadcount[company_name],$B1167)*AE222)</f>
        <v>0</v>
      </c>
      <c r="AF1167" s="652">
        <f>IF($B1167="",,SUMIFS(PerHeadcount[Month 21],PerHeadcount[exp_item],$H1167,PerHeadcount[company_name],$B1167)*AF222)</f>
        <v>0</v>
      </c>
      <c r="AG1167" s="652">
        <f>IF($B1167="",,SUMIFS(PerHeadcount[Month 22],PerHeadcount[exp_item],$H1167,PerHeadcount[company_name],$B1167)*AG222)</f>
        <v>0</v>
      </c>
      <c r="AH1167" s="652">
        <f>IF($B1167="",,SUMIFS(PerHeadcount[Month 23],PerHeadcount[exp_item],$H1167,PerHeadcount[company_name],$B1167)*AH222)</f>
        <v>0</v>
      </c>
      <c r="AI1167" s="652">
        <f>IF($B1167="",,SUMIFS(PerHeadcount[Month 24],PerHeadcount[exp_item],$H1167,PerHeadcount[company_name],$B1167)*AI222)</f>
        <v>0</v>
      </c>
      <c r="AJ1167" s="652">
        <f>IF($B1167="",,SUMIFS(PerHeadcount[Month 25],PerHeadcount[exp_item],$H1167,PerHeadcount[company_name],$B1167)*AJ222)</f>
        <v>0</v>
      </c>
      <c r="AK1167" s="652">
        <f>IF($B1167="",,SUMIFS(PerHeadcount[Month 26],PerHeadcount[exp_item],$H1167,PerHeadcount[company_name],$B1167)*AK222)</f>
        <v>0</v>
      </c>
      <c r="AL1167" s="652">
        <f>IF($B1167="",,SUMIFS(PerHeadcount[Month 27],PerHeadcount[exp_item],$H1167,PerHeadcount[company_name],$B1167)*AL222)</f>
        <v>0</v>
      </c>
      <c r="AM1167" s="652">
        <f>IF($B1167="",,SUMIFS(PerHeadcount[Month 28],PerHeadcount[exp_item],$H1167,PerHeadcount[company_name],$B1167)*AM222)</f>
        <v>0</v>
      </c>
      <c r="AN1167" s="652">
        <f>IF($B1167="",,SUMIFS(PerHeadcount[Month 29],PerHeadcount[exp_item],$H1167,PerHeadcount[company_name],$B1167)*AN222)</f>
        <v>0</v>
      </c>
      <c r="AO1167" s="652">
        <f>IF($B1167="",,SUMIFS(PerHeadcount[Month 30],PerHeadcount[exp_item],$H1167,PerHeadcount[company_name],$B1167)*AO222)</f>
        <v>0</v>
      </c>
      <c r="AP1167" s="652">
        <f>IF($B1167="",,SUMIFS(PerHeadcount[Month 31],PerHeadcount[exp_item],$H1167,PerHeadcount[company_name],$B1167)*AP222)</f>
        <v>0</v>
      </c>
      <c r="AQ1167" s="652">
        <f>IF($B1167="",,SUMIFS(PerHeadcount[Month 32],PerHeadcount[exp_item],$H1167,PerHeadcount[company_name],$B1167)*AQ222)</f>
        <v>0</v>
      </c>
      <c r="AR1167" s="652">
        <f>IF($B1167="",,SUMIFS(PerHeadcount[Month 33],PerHeadcount[exp_item],$H1167,PerHeadcount[company_name],$B1167)*AR222)</f>
        <v>0</v>
      </c>
      <c r="AS1167" s="652">
        <f>IF($B1167="",,SUMIFS(PerHeadcount[Month 34],PerHeadcount[exp_item],$H1167,PerHeadcount[company_name],$B1167)*AS222)</f>
        <v>0</v>
      </c>
      <c r="AT1167" s="652">
        <f>IF($B1167="",,SUMIFS(PerHeadcount[Month 35],PerHeadcount[exp_item],$H1167,PerHeadcount[company_name],$B1167)*AT222)</f>
        <v>0</v>
      </c>
      <c r="AU1167" s="652">
        <f>IF($B1167="",,SUMIFS(PerHeadcount[Month 36],PerHeadcount[exp_item],$H1167,PerHeadcount[company_name],$B1167)*AU222)</f>
        <v>0</v>
      </c>
    </row>
    <row r="1168" spans="2:47" x14ac:dyDescent="0.35">
      <c r="B1168" t="str">
        <f t="shared" si="807"/>
        <v/>
      </c>
      <c r="C1168" t="str">
        <f t="shared" ref="C1168:G1168" si="812">IF(C1063="","",C1063)</f>
        <v/>
      </c>
      <c r="D1168" t="str">
        <f t="shared" si="812"/>
        <v/>
      </c>
      <c r="E1168" t="str">
        <f t="shared" si="812"/>
        <v/>
      </c>
      <c r="F1168" t="str">
        <f t="shared" si="812"/>
        <v/>
      </c>
      <c r="G1168" t="str">
        <f t="shared" si="812"/>
        <v/>
      </c>
      <c r="H1168" t="str">
        <f t="shared" si="806"/>
        <v/>
      </c>
      <c r="J1168" t="str">
        <f>IF($H1168="","",IF(VLOOKUP(H1168,ExpItems[],2,0),H1168&amp;" - "&amp;INDEX(DivisionMapping[category_code],MATCH($D1168&amp;$C1168,DivisionMapping[dept_bu],0)),H1168))</f>
        <v/>
      </c>
      <c r="K1168" t="str">
        <f t="shared" si="774"/>
        <v/>
      </c>
      <c r="L1168" s="652">
        <f>IF($B1168="",,SUMIFS(PerHeadcount[Month 1],PerHeadcount[exp_item],$H1168,PerHeadcount[company_name],$B1168)*L223)</f>
        <v>0</v>
      </c>
      <c r="M1168" s="652">
        <f>IF($B1168="",,SUMIFS(PerHeadcount[Month 2],PerHeadcount[exp_item],$H1168,PerHeadcount[company_name],$B1168)*M223)</f>
        <v>0</v>
      </c>
      <c r="N1168" s="652">
        <f>IF($B1168="",,SUMIFS(PerHeadcount[Month 3],PerHeadcount[exp_item],$H1168,PerHeadcount[company_name],$B1168)*N223)</f>
        <v>0</v>
      </c>
      <c r="O1168" s="652">
        <f>IF($B1168="",,SUMIFS(PerHeadcount[Month 4],PerHeadcount[exp_item],$H1168,PerHeadcount[company_name],$B1168)*O223)</f>
        <v>0</v>
      </c>
      <c r="P1168" s="652">
        <f>IF($B1168="",,SUMIFS(PerHeadcount[Month 5],PerHeadcount[exp_item],$H1168,PerHeadcount[company_name],$B1168)*P223)</f>
        <v>0</v>
      </c>
      <c r="Q1168" s="652">
        <f>IF($B1168="",,SUMIFS(PerHeadcount[Month 6],PerHeadcount[exp_item],$H1168,PerHeadcount[company_name],$B1168)*Q223)</f>
        <v>0</v>
      </c>
      <c r="R1168" s="652">
        <f>IF($B1168="",,SUMIFS(PerHeadcount[Month 7],PerHeadcount[exp_item],$H1168,PerHeadcount[company_name],$B1168)*R223)</f>
        <v>0</v>
      </c>
      <c r="S1168" s="652">
        <f>IF($B1168="",,SUMIFS(PerHeadcount[Month 8],PerHeadcount[exp_item],$H1168,PerHeadcount[company_name],$B1168)*S223)</f>
        <v>0</v>
      </c>
      <c r="T1168" s="652">
        <f>IF($B1168="",,SUMIFS(PerHeadcount[Month 9],PerHeadcount[exp_item],$H1168,PerHeadcount[company_name],$B1168)*T223)</f>
        <v>0</v>
      </c>
      <c r="U1168" s="652">
        <f>IF($B1168="",,SUMIFS(PerHeadcount[Month 10],PerHeadcount[exp_item],$H1168,PerHeadcount[company_name],$B1168)*U223)</f>
        <v>0</v>
      </c>
      <c r="V1168" s="652">
        <f>IF($B1168="",,SUMIFS(PerHeadcount[Month 11],PerHeadcount[exp_item],$H1168,PerHeadcount[company_name],$B1168)*V223)</f>
        <v>0</v>
      </c>
      <c r="W1168" s="652">
        <f>IF($B1168="",,SUMIFS(PerHeadcount[Month 12],PerHeadcount[exp_item],$H1168,PerHeadcount[company_name],$B1168)*W223)</f>
        <v>0</v>
      </c>
      <c r="X1168" s="652">
        <f>IF($B1168="",,SUMIFS(PerHeadcount[Month 13],PerHeadcount[exp_item],$H1168,PerHeadcount[company_name],$B1168)*X223)</f>
        <v>0</v>
      </c>
      <c r="Y1168" s="652">
        <f>IF($B1168="",,SUMIFS(PerHeadcount[Month 14],PerHeadcount[exp_item],$H1168,PerHeadcount[company_name],$B1168)*Y223)</f>
        <v>0</v>
      </c>
      <c r="Z1168" s="652">
        <f>IF($B1168="",,SUMIFS(PerHeadcount[Month 15],PerHeadcount[exp_item],$H1168,PerHeadcount[company_name],$B1168)*Z223)</f>
        <v>0</v>
      </c>
      <c r="AA1168" s="652">
        <f>IF($B1168="",,SUMIFS(PerHeadcount[Month 16],PerHeadcount[exp_item],$H1168,PerHeadcount[company_name],$B1168)*AA223)</f>
        <v>0</v>
      </c>
      <c r="AB1168" s="652">
        <f>IF($B1168="",,SUMIFS(PerHeadcount[Month 17],PerHeadcount[exp_item],$H1168,PerHeadcount[company_name],$B1168)*AB223)</f>
        <v>0</v>
      </c>
      <c r="AC1168" s="652">
        <f>IF($B1168="",,SUMIFS(PerHeadcount[Month 18],PerHeadcount[exp_item],$H1168,PerHeadcount[company_name],$B1168)*AC223)</f>
        <v>0</v>
      </c>
      <c r="AD1168" s="652">
        <f>IF($B1168="",,SUMIFS(PerHeadcount[Month 19],PerHeadcount[exp_item],$H1168,PerHeadcount[company_name],$B1168)*AD223)</f>
        <v>0</v>
      </c>
      <c r="AE1168" s="652">
        <f>IF($B1168="",,SUMIFS(PerHeadcount[Month 20],PerHeadcount[exp_item],$H1168,PerHeadcount[company_name],$B1168)*AE223)</f>
        <v>0</v>
      </c>
      <c r="AF1168" s="652">
        <f>IF($B1168="",,SUMIFS(PerHeadcount[Month 21],PerHeadcount[exp_item],$H1168,PerHeadcount[company_name],$B1168)*AF223)</f>
        <v>0</v>
      </c>
      <c r="AG1168" s="652">
        <f>IF($B1168="",,SUMIFS(PerHeadcount[Month 22],PerHeadcount[exp_item],$H1168,PerHeadcount[company_name],$B1168)*AG223)</f>
        <v>0</v>
      </c>
      <c r="AH1168" s="652">
        <f>IF($B1168="",,SUMIFS(PerHeadcount[Month 23],PerHeadcount[exp_item],$H1168,PerHeadcount[company_name],$B1168)*AH223)</f>
        <v>0</v>
      </c>
      <c r="AI1168" s="652">
        <f>IF($B1168="",,SUMIFS(PerHeadcount[Month 24],PerHeadcount[exp_item],$H1168,PerHeadcount[company_name],$B1168)*AI223)</f>
        <v>0</v>
      </c>
      <c r="AJ1168" s="652">
        <f>IF($B1168="",,SUMIFS(PerHeadcount[Month 25],PerHeadcount[exp_item],$H1168,PerHeadcount[company_name],$B1168)*AJ223)</f>
        <v>0</v>
      </c>
      <c r="AK1168" s="652">
        <f>IF($B1168="",,SUMIFS(PerHeadcount[Month 26],PerHeadcount[exp_item],$H1168,PerHeadcount[company_name],$B1168)*AK223)</f>
        <v>0</v>
      </c>
      <c r="AL1168" s="652">
        <f>IF($B1168="",,SUMIFS(PerHeadcount[Month 27],PerHeadcount[exp_item],$H1168,PerHeadcount[company_name],$B1168)*AL223)</f>
        <v>0</v>
      </c>
      <c r="AM1168" s="652">
        <f>IF($B1168="",,SUMIFS(PerHeadcount[Month 28],PerHeadcount[exp_item],$H1168,PerHeadcount[company_name],$B1168)*AM223)</f>
        <v>0</v>
      </c>
      <c r="AN1168" s="652">
        <f>IF($B1168="",,SUMIFS(PerHeadcount[Month 29],PerHeadcount[exp_item],$H1168,PerHeadcount[company_name],$B1168)*AN223)</f>
        <v>0</v>
      </c>
      <c r="AO1168" s="652">
        <f>IF($B1168="",,SUMIFS(PerHeadcount[Month 30],PerHeadcount[exp_item],$H1168,PerHeadcount[company_name],$B1168)*AO223)</f>
        <v>0</v>
      </c>
      <c r="AP1168" s="652">
        <f>IF($B1168="",,SUMIFS(PerHeadcount[Month 31],PerHeadcount[exp_item],$H1168,PerHeadcount[company_name],$B1168)*AP223)</f>
        <v>0</v>
      </c>
      <c r="AQ1168" s="652">
        <f>IF($B1168="",,SUMIFS(PerHeadcount[Month 32],PerHeadcount[exp_item],$H1168,PerHeadcount[company_name],$B1168)*AQ223)</f>
        <v>0</v>
      </c>
      <c r="AR1168" s="652">
        <f>IF($B1168="",,SUMIFS(PerHeadcount[Month 33],PerHeadcount[exp_item],$H1168,PerHeadcount[company_name],$B1168)*AR223)</f>
        <v>0</v>
      </c>
      <c r="AS1168" s="652">
        <f>IF($B1168="",,SUMIFS(PerHeadcount[Month 34],PerHeadcount[exp_item],$H1168,PerHeadcount[company_name],$B1168)*AS223)</f>
        <v>0</v>
      </c>
      <c r="AT1168" s="652">
        <f>IF($B1168="",,SUMIFS(PerHeadcount[Month 35],PerHeadcount[exp_item],$H1168,PerHeadcount[company_name],$B1168)*AT223)</f>
        <v>0</v>
      </c>
      <c r="AU1168" s="652">
        <f>IF($B1168="",,SUMIFS(PerHeadcount[Month 36],PerHeadcount[exp_item],$H1168,PerHeadcount[company_name],$B1168)*AU223)</f>
        <v>0</v>
      </c>
    </row>
    <row r="1169" spans="2:47" x14ac:dyDescent="0.35">
      <c r="B1169" t="str">
        <f t="shared" si="807"/>
        <v/>
      </c>
      <c r="C1169" t="str">
        <f t="shared" ref="C1169:G1169" si="813">IF(C1064="","",C1064)</f>
        <v/>
      </c>
      <c r="D1169" t="str">
        <f t="shared" si="813"/>
        <v/>
      </c>
      <c r="E1169" t="str">
        <f t="shared" si="813"/>
        <v/>
      </c>
      <c r="F1169" t="str">
        <f t="shared" si="813"/>
        <v/>
      </c>
      <c r="G1169" t="str">
        <f t="shared" si="813"/>
        <v/>
      </c>
      <c r="H1169" t="str">
        <f t="shared" si="806"/>
        <v/>
      </c>
      <c r="J1169" t="str">
        <f>IF($H1169="","",IF(VLOOKUP(H1169,ExpItems[],2,0),H1169&amp;" - "&amp;INDEX(DivisionMapping[category_code],MATCH($D1169&amp;$C1169,DivisionMapping[dept_bu],0)),H1169))</f>
        <v/>
      </c>
      <c r="K1169" t="str">
        <f t="shared" si="774"/>
        <v/>
      </c>
      <c r="L1169" s="652">
        <f>IF($B1169="",,SUMIFS(PerHeadcount[Month 1],PerHeadcount[exp_item],$H1169,PerHeadcount[company_name],$B1169)*L224)</f>
        <v>0</v>
      </c>
      <c r="M1169" s="652">
        <f>IF($B1169="",,SUMIFS(PerHeadcount[Month 2],PerHeadcount[exp_item],$H1169,PerHeadcount[company_name],$B1169)*M224)</f>
        <v>0</v>
      </c>
      <c r="N1169" s="652">
        <f>IF($B1169="",,SUMIFS(PerHeadcount[Month 3],PerHeadcount[exp_item],$H1169,PerHeadcount[company_name],$B1169)*N224)</f>
        <v>0</v>
      </c>
      <c r="O1169" s="652">
        <f>IF($B1169="",,SUMIFS(PerHeadcount[Month 4],PerHeadcount[exp_item],$H1169,PerHeadcount[company_name],$B1169)*O224)</f>
        <v>0</v>
      </c>
      <c r="P1169" s="652">
        <f>IF($B1169="",,SUMIFS(PerHeadcount[Month 5],PerHeadcount[exp_item],$H1169,PerHeadcount[company_name],$B1169)*P224)</f>
        <v>0</v>
      </c>
      <c r="Q1169" s="652">
        <f>IF($B1169="",,SUMIFS(PerHeadcount[Month 6],PerHeadcount[exp_item],$H1169,PerHeadcount[company_name],$B1169)*Q224)</f>
        <v>0</v>
      </c>
      <c r="R1169" s="652">
        <f>IF($B1169="",,SUMIFS(PerHeadcount[Month 7],PerHeadcount[exp_item],$H1169,PerHeadcount[company_name],$B1169)*R224)</f>
        <v>0</v>
      </c>
      <c r="S1169" s="652">
        <f>IF($B1169="",,SUMIFS(PerHeadcount[Month 8],PerHeadcount[exp_item],$H1169,PerHeadcount[company_name],$B1169)*S224)</f>
        <v>0</v>
      </c>
      <c r="T1169" s="652">
        <f>IF($B1169="",,SUMIFS(PerHeadcount[Month 9],PerHeadcount[exp_item],$H1169,PerHeadcount[company_name],$B1169)*T224)</f>
        <v>0</v>
      </c>
      <c r="U1169" s="652">
        <f>IF($B1169="",,SUMIFS(PerHeadcount[Month 10],PerHeadcount[exp_item],$H1169,PerHeadcount[company_name],$B1169)*U224)</f>
        <v>0</v>
      </c>
      <c r="V1169" s="652">
        <f>IF($B1169="",,SUMIFS(PerHeadcount[Month 11],PerHeadcount[exp_item],$H1169,PerHeadcount[company_name],$B1169)*V224)</f>
        <v>0</v>
      </c>
      <c r="W1169" s="652">
        <f>IF($B1169="",,SUMIFS(PerHeadcount[Month 12],PerHeadcount[exp_item],$H1169,PerHeadcount[company_name],$B1169)*W224)</f>
        <v>0</v>
      </c>
      <c r="X1169" s="652">
        <f>IF($B1169="",,SUMIFS(PerHeadcount[Month 13],PerHeadcount[exp_item],$H1169,PerHeadcount[company_name],$B1169)*X224)</f>
        <v>0</v>
      </c>
      <c r="Y1169" s="652">
        <f>IF($B1169="",,SUMIFS(PerHeadcount[Month 14],PerHeadcount[exp_item],$H1169,PerHeadcount[company_name],$B1169)*Y224)</f>
        <v>0</v>
      </c>
      <c r="Z1169" s="652">
        <f>IF($B1169="",,SUMIFS(PerHeadcount[Month 15],PerHeadcount[exp_item],$H1169,PerHeadcount[company_name],$B1169)*Z224)</f>
        <v>0</v>
      </c>
      <c r="AA1169" s="652">
        <f>IF($B1169="",,SUMIFS(PerHeadcount[Month 16],PerHeadcount[exp_item],$H1169,PerHeadcount[company_name],$B1169)*AA224)</f>
        <v>0</v>
      </c>
      <c r="AB1169" s="652">
        <f>IF($B1169="",,SUMIFS(PerHeadcount[Month 17],PerHeadcount[exp_item],$H1169,PerHeadcount[company_name],$B1169)*AB224)</f>
        <v>0</v>
      </c>
      <c r="AC1169" s="652">
        <f>IF($B1169="",,SUMIFS(PerHeadcount[Month 18],PerHeadcount[exp_item],$H1169,PerHeadcount[company_name],$B1169)*AC224)</f>
        <v>0</v>
      </c>
      <c r="AD1169" s="652">
        <f>IF($B1169="",,SUMIFS(PerHeadcount[Month 19],PerHeadcount[exp_item],$H1169,PerHeadcount[company_name],$B1169)*AD224)</f>
        <v>0</v>
      </c>
      <c r="AE1169" s="652">
        <f>IF($B1169="",,SUMIFS(PerHeadcount[Month 20],PerHeadcount[exp_item],$H1169,PerHeadcount[company_name],$B1169)*AE224)</f>
        <v>0</v>
      </c>
      <c r="AF1169" s="652">
        <f>IF($B1169="",,SUMIFS(PerHeadcount[Month 21],PerHeadcount[exp_item],$H1169,PerHeadcount[company_name],$B1169)*AF224)</f>
        <v>0</v>
      </c>
      <c r="AG1169" s="652">
        <f>IF($B1169="",,SUMIFS(PerHeadcount[Month 22],PerHeadcount[exp_item],$H1169,PerHeadcount[company_name],$B1169)*AG224)</f>
        <v>0</v>
      </c>
      <c r="AH1169" s="652">
        <f>IF($B1169="",,SUMIFS(PerHeadcount[Month 23],PerHeadcount[exp_item],$H1169,PerHeadcount[company_name],$B1169)*AH224)</f>
        <v>0</v>
      </c>
      <c r="AI1169" s="652">
        <f>IF($B1169="",,SUMIFS(PerHeadcount[Month 24],PerHeadcount[exp_item],$H1169,PerHeadcount[company_name],$B1169)*AI224)</f>
        <v>0</v>
      </c>
      <c r="AJ1169" s="652">
        <f>IF($B1169="",,SUMIFS(PerHeadcount[Month 25],PerHeadcount[exp_item],$H1169,PerHeadcount[company_name],$B1169)*AJ224)</f>
        <v>0</v>
      </c>
      <c r="AK1169" s="652">
        <f>IF($B1169="",,SUMIFS(PerHeadcount[Month 26],PerHeadcount[exp_item],$H1169,PerHeadcount[company_name],$B1169)*AK224)</f>
        <v>0</v>
      </c>
      <c r="AL1169" s="652">
        <f>IF($B1169="",,SUMIFS(PerHeadcount[Month 27],PerHeadcount[exp_item],$H1169,PerHeadcount[company_name],$B1169)*AL224)</f>
        <v>0</v>
      </c>
      <c r="AM1169" s="652">
        <f>IF($B1169="",,SUMIFS(PerHeadcount[Month 28],PerHeadcount[exp_item],$H1169,PerHeadcount[company_name],$B1169)*AM224)</f>
        <v>0</v>
      </c>
      <c r="AN1169" s="652">
        <f>IF($B1169="",,SUMIFS(PerHeadcount[Month 29],PerHeadcount[exp_item],$H1169,PerHeadcount[company_name],$B1169)*AN224)</f>
        <v>0</v>
      </c>
      <c r="AO1169" s="652">
        <f>IF($B1169="",,SUMIFS(PerHeadcount[Month 30],PerHeadcount[exp_item],$H1169,PerHeadcount[company_name],$B1169)*AO224)</f>
        <v>0</v>
      </c>
      <c r="AP1169" s="652">
        <f>IF($B1169="",,SUMIFS(PerHeadcount[Month 31],PerHeadcount[exp_item],$H1169,PerHeadcount[company_name],$B1169)*AP224)</f>
        <v>0</v>
      </c>
      <c r="AQ1169" s="652">
        <f>IF($B1169="",,SUMIFS(PerHeadcount[Month 32],PerHeadcount[exp_item],$H1169,PerHeadcount[company_name],$B1169)*AQ224)</f>
        <v>0</v>
      </c>
      <c r="AR1169" s="652">
        <f>IF($B1169="",,SUMIFS(PerHeadcount[Month 33],PerHeadcount[exp_item],$H1169,PerHeadcount[company_name],$B1169)*AR224)</f>
        <v>0</v>
      </c>
      <c r="AS1169" s="652">
        <f>IF($B1169="",,SUMIFS(PerHeadcount[Month 34],PerHeadcount[exp_item],$H1169,PerHeadcount[company_name],$B1169)*AS224)</f>
        <v>0</v>
      </c>
      <c r="AT1169" s="652">
        <f>IF($B1169="",,SUMIFS(PerHeadcount[Month 35],PerHeadcount[exp_item],$H1169,PerHeadcount[company_name],$B1169)*AT224)</f>
        <v>0</v>
      </c>
      <c r="AU1169" s="652">
        <f>IF($B1169="",,SUMIFS(PerHeadcount[Month 36],PerHeadcount[exp_item],$H1169,PerHeadcount[company_name],$B1169)*AU224)</f>
        <v>0</v>
      </c>
    </row>
    <row r="1170" spans="2:47" x14ac:dyDescent="0.35">
      <c r="B1170" t="str">
        <f t="shared" si="807"/>
        <v/>
      </c>
      <c r="C1170" t="str">
        <f t="shared" ref="C1170:G1170" si="814">IF(C1065="","",C1065)</f>
        <v/>
      </c>
      <c r="D1170" t="str">
        <f t="shared" si="814"/>
        <v/>
      </c>
      <c r="E1170" t="str">
        <f t="shared" si="814"/>
        <v/>
      </c>
      <c r="F1170" t="str">
        <f t="shared" si="814"/>
        <v/>
      </c>
      <c r="G1170" t="str">
        <f t="shared" si="814"/>
        <v/>
      </c>
      <c r="H1170" t="str">
        <f t="shared" si="806"/>
        <v/>
      </c>
      <c r="J1170" t="str">
        <f>IF($H1170="","",IF(VLOOKUP(H1170,ExpItems[],2,0),H1170&amp;" - "&amp;INDEX(DivisionMapping[category_code],MATCH($D1170&amp;$C1170,DivisionMapping[dept_bu],0)),H1170))</f>
        <v/>
      </c>
      <c r="K1170" t="str">
        <f t="shared" si="774"/>
        <v/>
      </c>
      <c r="L1170" s="652">
        <f>IF($B1170="",,SUMIFS(PerHeadcount[Month 1],PerHeadcount[exp_item],$H1170,PerHeadcount[company_name],$B1170)*L225)</f>
        <v>0</v>
      </c>
      <c r="M1170" s="652">
        <f>IF($B1170="",,SUMIFS(PerHeadcount[Month 2],PerHeadcount[exp_item],$H1170,PerHeadcount[company_name],$B1170)*M225)</f>
        <v>0</v>
      </c>
      <c r="N1170" s="652">
        <f>IF($B1170="",,SUMIFS(PerHeadcount[Month 3],PerHeadcount[exp_item],$H1170,PerHeadcount[company_name],$B1170)*N225)</f>
        <v>0</v>
      </c>
      <c r="O1170" s="652">
        <f>IF($B1170="",,SUMIFS(PerHeadcount[Month 4],PerHeadcount[exp_item],$H1170,PerHeadcount[company_name],$B1170)*O225)</f>
        <v>0</v>
      </c>
      <c r="P1170" s="652">
        <f>IF($B1170="",,SUMIFS(PerHeadcount[Month 5],PerHeadcount[exp_item],$H1170,PerHeadcount[company_name],$B1170)*P225)</f>
        <v>0</v>
      </c>
      <c r="Q1170" s="652">
        <f>IF($B1170="",,SUMIFS(PerHeadcount[Month 6],PerHeadcount[exp_item],$H1170,PerHeadcount[company_name],$B1170)*Q225)</f>
        <v>0</v>
      </c>
      <c r="R1170" s="652">
        <f>IF($B1170="",,SUMIFS(PerHeadcount[Month 7],PerHeadcount[exp_item],$H1170,PerHeadcount[company_name],$B1170)*R225)</f>
        <v>0</v>
      </c>
      <c r="S1170" s="652">
        <f>IF($B1170="",,SUMIFS(PerHeadcount[Month 8],PerHeadcount[exp_item],$H1170,PerHeadcount[company_name],$B1170)*S225)</f>
        <v>0</v>
      </c>
      <c r="T1170" s="652">
        <f>IF($B1170="",,SUMIFS(PerHeadcount[Month 9],PerHeadcount[exp_item],$H1170,PerHeadcount[company_name],$B1170)*T225)</f>
        <v>0</v>
      </c>
      <c r="U1170" s="652">
        <f>IF($B1170="",,SUMIFS(PerHeadcount[Month 10],PerHeadcount[exp_item],$H1170,PerHeadcount[company_name],$B1170)*U225)</f>
        <v>0</v>
      </c>
      <c r="V1170" s="652">
        <f>IF($B1170="",,SUMIFS(PerHeadcount[Month 11],PerHeadcount[exp_item],$H1170,PerHeadcount[company_name],$B1170)*V225)</f>
        <v>0</v>
      </c>
      <c r="W1170" s="652">
        <f>IF($B1170="",,SUMIFS(PerHeadcount[Month 12],PerHeadcount[exp_item],$H1170,PerHeadcount[company_name],$B1170)*W225)</f>
        <v>0</v>
      </c>
      <c r="X1170" s="652">
        <f>IF($B1170="",,SUMIFS(PerHeadcount[Month 13],PerHeadcount[exp_item],$H1170,PerHeadcount[company_name],$B1170)*X225)</f>
        <v>0</v>
      </c>
      <c r="Y1170" s="652">
        <f>IF($B1170="",,SUMIFS(PerHeadcount[Month 14],PerHeadcount[exp_item],$H1170,PerHeadcount[company_name],$B1170)*Y225)</f>
        <v>0</v>
      </c>
      <c r="Z1170" s="652">
        <f>IF($B1170="",,SUMIFS(PerHeadcount[Month 15],PerHeadcount[exp_item],$H1170,PerHeadcount[company_name],$B1170)*Z225)</f>
        <v>0</v>
      </c>
      <c r="AA1170" s="652">
        <f>IF($B1170="",,SUMIFS(PerHeadcount[Month 16],PerHeadcount[exp_item],$H1170,PerHeadcount[company_name],$B1170)*AA225)</f>
        <v>0</v>
      </c>
      <c r="AB1170" s="652">
        <f>IF($B1170="",,SUMIFS(PerHeadcount[Month 17],PerHeadcount[exp_item],$H1170,PerHeadcount[company_name],$B1170)*AB225)</f>
        <v>0</v>
      </c>
      <c r="AC1170" s="652">
        <f>IF($B1170="",,SUMIFS(PerHeadcount[Month 18],PerHeadcount[exp_item],$H1170,PerHeadcount[company_name],$B1170)*AC225)</f>
        <v>0</v>
      </c>
      <c r="AD1170" s="652">
        <f>IF($B1170="",,SUMIFS(PerHeadcount[Month 19],PerHeadcount[exp_item],$H1170,PerHeadcount[company_name],$B1170)*AD225)</f>
        <v>0</v>
      </c>
      <c r="AE1170" s="652">
        <f>IF($B1170="",,SUMIFS(PerHeadcount[Month 20],PerHeadcount[exp_item],$H1170,PerHeadcount[company_name],$B1170)*AE225)</f>
        <v>0</v>
      </c>
      <c r="AF1170" s="652">
        <f>IF($B1170="",,SUMIFS(PerHeadcount[Month 21],PerHeadcount[exp_item],$H1170,PerHeadcount[company_name],$B1170)*AF225)</f>
        <v>0</v>
      </c>
      <c r="AG1170" s="652">
        <f>IF($B1170="",,SUMIFS(PerHeadcount[Month 22],PerHeadcount[exp_item],$H1170,PerHeadcount[company_name],$B1170)*AG225)</f>
        <v>0</v>
      </c>
      <c r="AH1170" s="652">
        <f>IF($B1170="",,SUMIFS(PerHeadcount[Month 23],PerHeadcount[exp_item],$H1170,PerHeadcount[company_name],$B1170)*AH225)</f>
        <v>0</v>
      </c>
      <c r="AI1170" s="652">
        <f>IF($B1170="",,SUMIFS(PerHeadcount[Month 24],PerHeadcount[exp_item],$H1170,PerHeadcount[company_name],$B1170)*AI225)</f>
        <v>0</v>
      </c>
      <c r="AJ1170" s="652">
        <f>IF($B1170="",,SUMIFS(PerHeadcount[Month 25],PerHeadcount[exp_item],$H1170,PerHeadcount[company_name],$B1170)*AJ225)</f>
        <v>0</v>
      </c>
      <c r="AK1170" s="652">
        <f>IF($B1170="",,SUMIFS(PerHeadcount[Month 26],PerHeadcount[exp_item],$H1170,PerHeadcount[company_name],$B1170)*AK225)</f>
        <v>0</v>
      </c>
      <c r="AL1170" s="652">
        <f>IF($B1170="",,SUMIFS(PerHeadcount[Month 27],PerHeadcount[exp_item],$H1170,PerHeadcount[company_name],$B1170)*AL225)</f>
        <v>0</v>
      </c>
      <c r="AM1170" s="652">
        <f>IF($B1170="",,SUMIFS(PerHeadcount[Month 28],PerHeadcount[exp_item],$H1170,PerHeadcount[company_name],$B1170)*AM225)</f>
        <v>0</v>
      </c>
      <c r="AN1170" s="652">
        <f>IF($B1170="",,SUMIFS(PerHeadcount[Month 29],PerHeadcount[exp_item],$H1170,PerHeadcount[company_name],$B1170)*AN225)</f>
        <v>0</v>
      </c>
      <c r="AO1170" s="652">
        <f>IF($B1170="",,SUMIFS(PerHeadcount[Month 30],PerHeadcount[exp_item],$H1170,PerHeadcount[company_name],$B1170)*AO225)</f>
        <v>0</v>
      </c>
      <c r="AP1170" s="652">
        <f>IF($B1170="",,SUMIFS(PerHeadcount[Month 31],PerHeadcount[exp_item],$H1170,PerHeadcount[company_name],$B1170)*AP225)</f>
        <v>0</v>
      </c>
      <c r="AQ1170" s="652">
        <f>IF($B1170="",,SUMIFS(PerHeadcount[Month 32],PerHeadcount[exp_item],$H1170,PerHeadcount[company_name],$B1170)*AQ225)</f>
        <v>0</v>
      </c>
      <c r="AR1170" s="652">
        <f>IF($B1170="",,SUMIFS(PerHeadcount[Month 33],PerHeadcount[exp_item],$H1170,PerHeadcount[company_name],$B1170)*AR225)</f>
        <v>0</v>
      </c>
      <c r="AS1170" s="652">
        <f>IF($B1170="",,SUMIFS(PerHeadcount[Month 34],PerHeadcount[exp_item],$H1170,PerHeadcount[company_name],$B1170)*AS225)</f>
        <v>0</v>
      </c>
      <c r="AT1170" s="652">
        <f>IF($B1170="",,SUMIFS(PerHeadcount[Month 35],PerHeadcount[exp_item],$H1170,PerHeadcount[company_name],$B1170)*AT225)</f>
        <v>0</v>
      </c>
      <c r="AU1170" s="652">
        <f>IF($B1170="",,SUMIFS(PerHeadcount[Month 36],PerHeadcount[exp_item],$H1170,PerHeadcount[company_name],$B1170)*AU225)</f>
        <v>0</v>
      </c>
    </row>
    <row r="1171" spans="2:47" x14ac:dyDescent="0.35">
      <c r="B1171" t="str">
        <f t="shared" si="807"/>
        <v/>
      </c>
      <c r="C1171" t="str">
        <f t="shared" ref="C1171:G1171" si="815">IF(C1066="","",C1066)</f>
        <v/>
      </c>
      <c r="D1171" t="str">
        <f t="shared" si="815"/>
        <v/>
      </c>
      <c r="E1171" t="str">
        <f t="shared" si="815"/>
        <v/>
      </c>
      <c r="F1171" t="str">
        <f t="shared" si="815"/>
        <v/>
      </c>
      <c r="G1171" t="str">
        <f t="shared" si="815"/>
        <v/>
      </c>
      <c r="H1171" t="str">
        <f t="shared" si="806"/>
        <v/>
      </c>
      <c r="J1171" t="str">
        <f>IF($H1171="","",IF(VLOOKUP(H1171,ExpItems[],2,0),H1171&amp;" - "&amp;INDEX(DivisionMapping[category_code],MATCH($D1171&amp;$C1171,DivisionMapping[dept_bu],0)),H1171))</f>
        <v/>
      </c>
      <c r="K1171" t="str">
        <f t="shared" si="774"/>
        <v/>
      </c>
      <c r="L1171" s="652">
        <f>IF($B1171="",,SUMIFS(PerHeadcount[Month 1],PerHeadcount[exp_item],$H1171,PerHeadcount[company_name],$B1171)*L226)</f>
        <v>0</v>
      </c>
      <c r="M1171" s="652">
        <f>IF($B1171="",,SUMIFS(PerHeadcount[Month 2],PerHeadcount[exp_item],$H1171,PerHeadcount[company_name],$B1171)*M226)</f>
        <v>0</v>
      </c>
      <c r="N1171" s="652">
        <f>IF($B1171="",,SUMIFS(PerHeadcount[Month 3],PerHeadcount[exp_item],$H1171,PerHeadcount[company_name],$B1171)*N226)</f>
        <v>0</v>
      </c>
      <c r="O1171" s="652">
        <f>IF($B1171="",,SUMIFS(PerHeadcount[Month 4],PerHeadcount[exp_item],$H1171,PerHeadcount[company_name],$B1171)*O226)</f>
        <v>0</v>
      </c>
      <c r="P1171" s="652">
        <f>IF($B1171="",,SUMIFS(PerHeadcount[Month 5],PerHeadcount[exp_item],$H1171,PerHeadcount[company_name],$B1171)*P226)</f>
        <v>0</v>
      </c>
      <c r="Q1171" s="652">
        <f>IF($B1171="",,SUMIFS(PerHeadcount[Month 6],PerHeadcount[exp_item],$H1171,PerHeadcount[company_name],$B1171)*Q226)</f>
        <v>0</v>
      </c>
      <c r="R1171" s="652">
        <f>IF($B1171="",,SUMIFS(PerHeadcount[Month 7],PerHeadcount[exp_item],$H1171,PerHeadcount[company_name],$B1171)*R226)</f>
        <v>0</v>
      </c>
      <c r="S1171" s="652">
        <f>IF($B1171="",,SUMIFS(PerHeadcount[Month 8],PerHeadcount[exp_item],$H1171,PerHeadcount[company_name],$B1171)*S226)</f>
        <v>0</v>
      </c>
      <c r="T1171" s="652">
        <f>IF($B1171="",,SUMIFS(PerHeadcount[Month 9],PerHeadcount[exp_item],$H1171,PerHeadcount[company_name],$B1171)*T226)</f>
        <v>0</v>
      </c>
      <c r="U1171" s="652">
        <f>IF($B1171="",,SUMIFS(PerHeadcount[Month 10],PerHeadcount[exp_item],$H1171,PerHeadcount[company_name],$B1171)*U226)</f>
        <v>0</v>
      </c>
      <c r="V1171" s="652">
        <f>IF($B1171="",,SUMIFS(PerHeadcount[Month 11],PerHeadcount[exp_item],$H1171,PerHeadcount[company_name],$B1171)*V226)</f>
        <v>0</v>
      </c>
      <c r="W1171" s="652">
        <f>IF($B1171="",,SUMIFS(PerHeadcount[Month 12],PerHeadcount[exp_item],$H1171,PerHeadcount[company_name],$B1171)*W226)</f>
        <v>0</v>
      </c>
      <c r="X1171" s="652">
        <f>IF($B1171="",,SUMIFS(PerHeadcount[Month 13],PerHeadcount[exp_item],$H1171,PerHeadcount[company_name],$B1171)*X226)</f>
        <v>0</v>
      </c>
      <c r="Y1171" s="652">
        <f>IF($B1171="",,SUMIFS(PerHeadcount[Month 14],PerHeadcount[exp_item],$H1171,PerHeadcount[company_name],$B1171)*Y226)</f>
        <v>0</v>
      </c>
      <c r="Z1171" s="652">
        <f>IF($B1171="",,SUMIFS(PerHeadcount[Month 15],PerHeadcount[exp_item],$H1171,PerHeadcount[company_name],$B1171)*Z226)</f>
        <v>0</v>
      </c>
      <c r="AA1171" s="652">
        <f>IF($B1171="",,SUMIFS(PerHeadcount[Month 16],PerHeadcount[exp_item],$H1171,PerHeadcount[company_name],$B1171)*AA226)</f>
        <v>0</v>
      </c>
      <c r="AB1171" s="652">
        <f>IF($B1171="",,SUMIFS(PerHeadcount[Month 17],PerHeadcount[exp_item],$H1171,PerHeadcount[company_name],$B1171)*AB226)</f>
        <v>0</v>
      </c>
      <c r="AC1171" s="652">
        <f>IF($B1171="",,SUMIFS(PerHeadcount[Month 18],PerHeadcount[exp_item],$H1171,PerHeadcount[company_name],$B1171)*AC226)</f>
        <v>0</v>
      </c>
      <c r="AD1171" s="652">
        <f>IF($B1171="",,SUMIFS(PerHeadcount[Month 19],PerHeadcount[exp_item],$H1171,PerHeadcount[company_name],$B1171)*AD226)</f>
        <v>0</v>
      </c>
      <c r="AE1171" s="652">
        <f>IF($B1171="",,SUMIFS(PerHeadcount[Month 20],PerHeadcount[exp_item],$H1171,PerHeadcount[company_name],$B1171)*AE226)</f>
        <v>0</v>
      </c>
      <c r="AF1171" s="652">
        <f>IF($B1171="",,SUMIFS(PerHeadcount[Month 21],PerHeadcount[exp_item],$H1171,PerHeadcount[company_name],$B1171)*AF226)</f>
        <v>0</v>
      </c>
      <c r="AG1171" s="652">
        <f>IF($B1171="",,SUMIFS(PerHeadcount[Month 22],PerHeadcount[exp_item],$H1171,PerHeadcount[company_name],$B1171)*AG226)</f>
        <v>0</v>
      </c>
      <c r="AH1171" s="652">
        <f>IF($B1171="",,SUMIFS(PerHeadcount[Month 23],PerHeadcount[exp_item],$H1171,PerHeadcount[company_name],$B1171)*AH226)</f>
        <v>0</v>
      </c>
      <c r="AI1171" s="652">
        <f>IF($B1171="",,SUMIFS(PerHeadcount[Month 24],PerHeadcount[exp_item],$H1171,PerHeadcount[company_name],$B1171)*AI226)</f>
        <v>0</v>
      </c>
      <c r="AJ1171" s="652">
        <f>IF($B1171="",,SUMIFS(PerHeadcount[Month 25],PerHeadcount[exp_item],$H1171,PerHeadcount[company_name],$B1171)*AJ226)</f>
        <v>0</v>
      </c>
      <c r="AK1171" s="652">
        <f>IF($B1171="",,SUMIFS(PerHeadcount[Month 26],PerHeadcount[exp_item],$H1171,PerHeadcount[company_name],$B1171)*AK226)</f>
        <v>0</v>
      </c>
      <c r="AL1171" s="652">
        <f>IF($B1171="",,SUMIFS(PerHeadcount[Month 27],PerHeadcount[exp_item],$H1171,PerHeadcount[company_name],$B1171)*AL226)</f>
        <v>0</v>
      </c>
      <c r="AM1171" s="652">
        <f>IF($B1171="",,SUMIFS(PerHeadcount[Month 28],PerHeadcount[exp_item],$H1171,PerHeadcount[company_name],$B1171)*AM226)</f>
        <v>0</v>
      </c>
      <c r="AN1171" s="652">
        <f>IF($B1171="",,SUMIFS(PerHeadcount[Month 29],PerHeadcount[exp_item],$H1171,PerHeadcount[company_name],$B1171)*AN226)</f>
        <v>0</v>
      </c>
      <c r="AO1171" s="652">
        <f>IF($B1171="",,SUMIFS(PerHeadcount[Month 30],PerHeadcount[exp_item],$H1171,PerHeadcount[company_name],$B1171)*AO226)</f>
        <v>0</v>
      </c>
      <c r="AP1171" s="652">
        <f>IF($B1171="",,SUMIFS(PerHeadcount[Month 31],PerHeadcount[exp_item],$H1171,PerHeadcount[company_name],$B1171)*AP226)</f>
        <v>0</v>
      </c>
      <c r="AQ1171" s="652">
        <f>IF($B1171="",,SUMIFS(PerHeadcount[Month 32],PerHeadcount[exp_item],$H1171,PerHeadcount[company_name],$B1171)*AQ226)</f>
        <v>0</v>
      </c>
      <c r="AR1171" s="652">
        <f>IF($B1171="",,SUMIFS(PerHeadcount[Month 33],PerHeadcount[exp_item],$H1171,PerHeadcount[company_name],$B1171)*AR226)</f>
        <v>0</v>
      </c>
      <c r="AS1171" s="652">
        <f>IF($B1171="",,SUMIFS(PerHeadcount[Month 34],PerHeadcount[exp_item],$H1171,PerHeadcount[company_name],$B1171)*AS226)</f>
        <v>0</v>
      </c>
      <c r="AT1171" s="652">
        <f>IF($B1171="",,SUMIFS(PerHeadcount[Month 35],PerHeadcount[exp_item],$H1171,PerHeadcount[company_name],$B1171)*AT226)</f>
        <v>0</v>
      </c>
      <c r="AU1171" s="652">
        <f>IF($B1171="",,SUMIFS(PerHeadcount[Month 36],PerHeadcount[exp_item],$H1171,PerHeadcount[company_name],$B1171)*AU226)</f>
        <v>0</v>
      </c>
    </row>
    <row r="1172" spans="2:47" x14ac:dyDescent="0.35">
      <c r="B1172" t="str">
        <f t="shared" si="807"/>
        <v/>
      </c>
      <c r="C1172" t="str">
        <f t="shared" ref="C1172:G1172" si="816">IF(C1067="","",C1067)</f>
        <v/>
      </c>
      <c r="D1172" t="str">
        <f t="shared" si="816"/>
        <v/>
      </c>
      <c r="E1172" t="str">
        <f t="shared" si="816"/>
        <v/>
      </c>
      <c r="F1172" t="str">
        <f t="shared" si="816"/>
        <v/>
      </c>
      <c r="G1172" t="str">
        <f t="shared" si="816"/>
        <v/>
      </c>
      <c r="H1172" t="str">
        <f t="shared" si="806"/>
        <v/>
      </c>
      <c r="J1172" t="str">
        <f>IF($H1172="","",IF(VLOOKUP(H1172,ExpItems[],2,0),H1172&amp;" - "&amp;INDEX(DivisionMapping[category_code],MATCH($D1172&amp;$C1172,DivisionMapping[dept_bu],0)),H1172))</f>
        <v/>
      </c>
      <c r="K1172" t="str">
        <f t="shared" si="774"/>
        <v/>
      </c>
      <c r="L1172" s="652">
        <f>IF($B1172="",,SUMIFS(PerHeadcount[Month 1],PerHeadcount[exp_item],$H1172,PerHeadcount[company_name],$B1172)*L227)</f>
        <v>0</v>
      </c>
      <c r="M1172" s="652">
        <f>IF($B1172="",,SUMIFS(PerHeadcount[Month 2],PerHeadcount[exp_item],$H1172,PerHeadcount[company_name],$B1172)*M227)</f>
        <v>0</v>
      </c>
      <c r="N1172" s="652">
        <f>IF($B1172="",,SUMIFS(PerHeadcount[Month 3],PerHeadcount[exp_item],$H1172,PerHeadcount[company_name],$B1172)*N227)</f>
        <v>0</v>
      </c>
      <c r="O1172" s="652">
        <f>IF($B1172="",,SUMIFS(PerHeadcount[Month 4],PerHeadcount[exp_item],$H1172,PerHeadcount[company_name],$B1172)*O227)</f>
        <v>0</v>
      </c>
      <c r="P1172" s="652">
        <f>IF($B1172="",,SUMIFS(PerHeadcount[Month 5],PerHeadcount[exp_item],$H1172,PerHeadcount[company_name],$B1172)*P227)</f>
        <v>0</v>
      </c>
      <c r="Q1172" s="652">
        <f>IF($B1172="",,SUMIFS(PerHeadcount[Month 6],PerHeadcount[exp_item],$H1172,PerHeadcount[company_name],$B1172)*Q227)</f>
        <v>0</v>
      </c>
      <c r="R1172" s="652">
        <f>IF($B1172="",,SUMIFS(PerHeadcount[Month 7],PerHeadcount[exp_item],$H1172,PerHeadcount[company_name],$B1172)*R227)</f>
        <v>0</v>
      </c>
      <c r="S1172" s="652">
        <f>IF($B1172="",,SUMIFS(PerHeadcount[Month 8],PerHeadcount[exp_item],$H1172,PerHeadcount[company_name],$B1172)*S227)</f>
        <v>0</v>
      </c>
      <c r="T1172" s="652">
        <f>IF($B1172="",,SUMIFS(PerHeadcount[Month 9],PerHeadcount[exp_item],$H1172,PerHeadcount[company_name],$B1172)*T227)</f>
        <v>0</v>
      </c>
      <c r="U1172" s="652">
        <f>IF($B1172="",,SUMIFS(PerHeadcount[Month 10],PerHeadcount[exp_item],$H1172,PerHeadcount[company_name],$B1172)*U227)</f>
        <v>0</v>
      </c>
      <c r="V1172" s="652">
        <f>IF($B1172="",,SUMIFS(PerHeadcount[Month 11],PerHeadcount[exp_item],$H1172,PerHeadcount[company_name],$B1172)*V227)</f>
        <v>0</v>
      </c>
      <c r="W1172" s="652">
        <f>IF($B1172="",,SUMIFS(PerHeadcount[Month 12],PerHeadcount[exp_item],$H1172,PerHeadcount[company_name],$B1172)*W227)</f>
        <v>0</v>
      </c>
      <c r="X1172" s="652">
        <f>IF($B1172="",,SUMIFS(PerHeadcount[Month 13],PerHeadcount[exp_item],$H1172,PerHeadcount[company_name],$B1172)*X227)</f>
        <v>0</v>
      </c>
      <c r="Y1172" s="652">
        <f>IF($B1172="",,SUMIFS(PerHeadcount[Month 14],PerHeadcount[exp_item],$H1172,PerHeadcount[company_name],$B1172)*Y227)</f>
        <v>0</v>
      </c>
      <c r="Z1172" s="652">
        <f>IF($B1172="",,SUMIFS(PerHeadcount[Month 15],PerHeadcount[exp_item],$H1172,PerHeadcount[company_name],$B1172)*Z227)</f>
        <v>0</v>
      </c>
      <c r="AA1172" s="652">
        <f>IF($B1172="",,SUMIFS(PerHeadcount[Month 16],PerHeadcount[exp_item],$H1172,PerHeadcount[company_name],$B1172)*AA227)</f>
        <v>0</v>
      </c>
      <c r="AB1172" s="652">
        <f>IF($B1172="",,SUMIFS(PerHeadcount[Month 17],PerHeadcount[exp_item],$H1172,PerHeadcount[company_name],$B1172)*AB227)</f>
        <v>0</v>
      </c>
      <c r="AC1172" s="652">
        <f>IF($B1172="",,SUMIFS(PerHeadcount[Month 18],PerHeadcount[exp_item],$H1172,PerHeadcount[company_name],$B1172)*AC227)</f>
        <v>0</v>
      </c>
      <c r="AD1172" s="652">
        <f>IF($B1172="",,SUMIFS(PerHeadcount[Month 19],PerHeadcount[exp_item],$H1172,PerHeadcount[company_name],$B1172)*AD227)</f>
        <v>0</v>
      </c>
      <c r="AE1172" s="652">
        <f>IF($B1172="",,SUMIFS(PerHeadcount[Month 20],PerHeadcount[exp_item],$H1172,PerHeadcount[company_name],$B1172)*AE227)</f>
        <v>0</v>
      </c>
      <c r="AF1172" s="652">
        <f>IF($B1172="",,SUMIFS(PerHeadcount[Month 21],PerHeadcount[exp_item],$H1172,PerHeadcount[company_name],$B1172)*AF227)</f>
        <v>0</v>
      </c>
      <c r="AG1172" s="652">
        <f>IF($B1172="",,SUMIFS(PerHeadcount[Month 22],PerHeadcount[exp_item],$H1172,PerHeadcount[company_name],$B1172)*AG227)</f>
        <v>0</v>
      </c>
      <c r="AH1172" s="652">
        <f>IF($B1172="",,SUMIFS(PerHeadcount[Month 23],PerHeadcount[exp_item],$H1172,PerHeadcount[company_name],$B1172)*AH227)</f>
        <v>0</v>
      </c>
      <c r="AI1172" s="652">
        <f>IF($B1172="",,SUMIFS(PerHeadcount[Month 24],PerHeadcount[exp_item],$H1172,PerHeadcount[company_name],$B1172)*AI227)</f>
        <v>0</v>
      </c>
      <c r="AJ1172" s="652">
        <f>IF($B1172="",,SUMIFS(PerHeadcount[Month 25],PerHeadcount[exp_item],$H1172,PerHeadcount[company_name],$B1172)*AJ227)</f>
        <v>0</v>
      </c>
      <c r="AK1172" s="652">
        <f>IF($B1172="",,SUMIFS(PerHeadcount[Month 26],PerHeadcount[exp_item],$H1172,PerHeadcount[company_name],$B1172)*AK227)</f>
        <v>0</v>
      </c>
      <c r="AL1172" s="652">
        <f>IF($B1172="",,SUMIFS(PerHeadcount[Month 27],PerHeadcount[exp_item],$H1172,PerHeadcount[company_name],$B1172)*AL227)</f>
        <v>0</v>
      </c>
      <c r="AM1172" s="652">
        <f>IF($B1172="",,SUMIFS(PerHeadcount[Month 28],PerHeadcount[exp_item],$H1172,PerHeadcount[company_name],$B1172)*AM227)</f>
        <v>0</v>
      </c>
      <c r="AN1172" s="652">
        <f>IF($B1172="",,SUMIFS(PerHeadcount[Month 29],PerHeadcount[exp_item],$H1172,PerHeadcount[company_name],$B1172)*AN227)</f>
        <v>0</v>
      </c>
      <c r="AO1172" s="652">
        <f>IF($B1172="",,SUMIFS(PerHeadcount[Month 30],PerHeadcount[exp_item],$H1172,PerHeadcount[company_name],$B1172)*AO227)</f>
        <v>0</v>
      </c>
      <c r="AP1172" s="652">
        <f>IF($B1172="",,SUMIFS(PerHeadcount[Month 31],PerHeadcount[exp_item],$H1172,PerHeadcount[company_name],$B1172)*AP227)</f>
        <v>0</v>
      </c>
      <c r="AQ1172" s="652">
        <f>IF($B1172="",,SUMIFS(PerHeadcount[Month 32],PerHeadcount[exp_item],$H1172,PerHeadcount[company_name],$B1172)*AQ227)</f>
        <v>0</v>
      </c>
      <c r="AR1172" s="652">
        <f>IF($B1172="",,SUMIFS(PerHeadcount[Month 33],PerHeadcount[exp_item],$H1172,PerHeadcount[company_name],$B1172)*AR227)</f>
        <v>0</v>
      </c>
      <c r="AS1172" s="652">
        <f>IF($B1172="",,SUMIFS(PerHeadcount[Month 34],PerHeadcount[exp_item],$H1172,PerHeadcount[company_name],$B1172)*AS227)</f>
        <v>0</v>
      </c>
      <c r="AT1172" s="652">
        <f>IF($B1172="",,SUMIFS(PerHeadcount[Month 35],PerHeadcount[exp_item],$H1172,PerHeadcount[company_name],$B1172)*AT227)</f>
        <v>0</v>
      </c>
      <c r="AU1172" s="652">
        <f>IF($B1172="",,SUMIFS(PerHeadcount[Month 36],PerHeadcount[exp_item],$H1172,PerHeadcount[company_name],$B1172)*AU227)</f>
        <v>0</v>
      </c>
    </row>
    <row r="1173" spans="2:47" x14ac:dyDescent="0.35">
      <c r="B1173" t="str">
        <f t="shared" si="807"/>
        <v/>
      </c>
      <c r="C1173" t="str">
        <f t="shared" ref="C1173:G1173" si="817">IF(C1068="","",C1068)</f>
        <v/>
      </c>
      <c r="D1173" t="str">
        <f t="shared" si="817"/>
        <v/>
      </c>
      <c r="E1173" t="str">
        <f t="shared" si="817"/>
        <v/>
      </c>
      <c r="F1173" t="str">
        <f t="shared" si="817"/>
        <v/>
      </c>
      <c r="G1173" t="str">
        <f t="shared" si="817"/>
        <v/>
      </c>
      <c r="H1173" t="str">
        <f t="shared" si="806"/>
        <v/>
      </c>
      <c r="J1173" t="str">
        <f>IF($H1173="","",IF(VLOOKUP(H1173,ExpItems[],2,0),H1173&amp;" - "&amp;INDEX(DivisionMapping[category_code],MATCH($D1173&amp;$C1173,DivisionMapping[dept_bu],0)),H1173))</f>
        <v/>
      </c>
      <c r="K1173" t="str">
        <f t="shared" si="774"/>
        <v/>
      </c>
      <c r="L1173" s="652">
        <f>IF($B1173="",,SUMIFS(PerHeadcount[Month 1],PerHeadcount[exp_item],$H1173,PerHeadcount[company_name],$B1173)*L228)</f>
        <v>0</v>
      </c>
      <c r="M1173" s="652">
        <f>IF($B1173="",,SUMIFS(PerHeadcount[Month 2],PerHeadcount[exp_item],$H1173,PerHeadcount[company_name],$B1173)*M228)</f>
        <v>0</v>
      </c>
      <c r="N1173" s="652">
        <f>IF($B1173="",,SUMIFS(PerHeadcount[Month 3],PerHeadcount[exp_item],$H1173,PerHeadcount[company_name],$B1173)*N228)</f>
        <v>0</v>
      </c>
      <c r="O1173" s="652">
        <f>IF($B1173="",,SUMIFS(PerHeadcount[Month 4],PerHeadcount[exp_item],$H1173,PerHeadcount[company_name],$B1173)*O228)</f>
        <v>0</v>
      </c>
      <c r="P1173" s="652">
        <f>IF($B1173="",,SUMIFS(PerHeadcount[Month 5],PerHeadcount[exp_item],$H1173,PerHeadcount[company_name],$B1173)*P228)</f>
        <v>0</v>
      </c>
      <c r="Q1173" s="652">
        <f>IF($B1173="",,SUMIFS(PerHeadcount[Month 6],PerHeadcount[exp_item],$H1173,PerHeadcount[company_name],$B1173)*Q228)</f>
        <v>0</v>
      </c>
      <c r="R1173" s="652">
        <f>IF($B1173="",,SUMIFS(PerHeadcount[Month 7],PerHeadcount[exp_item],$H1173,PerHeadcount[company_name],$B1173)*R228)</f>
        <v>0</v>
      </c>
      <c r="S1173" s="652">
        <f>IF($B1173="",,SUMIFS(PerHeadcount[Month 8],PerHeadcount[exp_item],$H1173,PerHeadcount[company_name],$B1173)*S228)</f>
        <v>0</v>
      </c>
      <c r="T1173" s="652">
        <f>IF($B1173="",,SUMIFS(PerHeadcount[Month 9],PerHeadcount[exp_item],$H1173,PerHeadcount[company_name],$B1173)*T228)</f>
        <v>0</v>
      </c>
      <c r="U1173" s="652">
        <f>IF($B1173="",,SUMIFS(PerHeadcount[Month 10],PerHeadcount[exp_item],$H1173,PerHeadcount[company_name],$B1173)*U228)</f>
        <v>0</v>
      </c>
      <c r="V1173" s="652">
        <f>IF($B1173="",,SUMIFS(PerHeadcount[Month 11],PerHeadcount[exp_item],$H1173,PerHeadcount[company_name],$B1173)*V228)</f>
        <v>0</v>
      </c>
      <c r="W1173" s="652">
        <f>IF($B1173="",,SUMIFS(PerHeadcount[Month 12],PerHeadcount[exp_item],$H1173,PerHeadcount[company_name],$B1173)*W228)</f>
        <v>0</v>
      </c>
      <c r="X1173" s="652">
        <f>IF($B1173="",,SUMIFS(PerHeadcount[Month 13],PerHeadcount[exp_item],$H1173,PerHeadcount[company_name],$B1173)*X228)</f>
        <v>0</v>
      </c>
      <c r="Y1173" s="652">
        <f>IF($B1173="",,SUMIFS(PerHeadcount[Month 14],PerHeadcount[exp_item],$H1173,PerHeadcount[company_name],$B1173)*Y228)</f>
        <v>0</v>
      </c>
      <c r="Z1173" s="652">
        <f>IF($B1173="",,SUMIFS(PerHeadcount[Month 15],PerHeadcount[exp_item],$H1173,PerHeadcount[company_name],$B1173)*Z228)</f>
        <v>0</v>
      </c>
      <c r="AA1173" s="652">
        <f>IF($B1173="",,SUMIFS(PerHeadcount[Month 16],PerHeadcount[exp_item],$H1173,PerHeadcount[company_name],$B1173)*AA228)</f>
        <v>0</v>
      </c>
      <c r="AB1173" s="652">
        <f>IF($B1173="",,SUMIFS(PerHeadcount[Month 17],PerHeadcount[exp_item],$H1173,PerHeadcount[company_name],$B1173)*AB228)</f>
        <v>0</v>
      </c>
      <c r="AC1173" s="652">
        <f>IF($B1173="",,SUMIFS(PerHeadcount[Month 18],PerHeadcount[exp_item],$H1173,PerHeadcount[company_name],$B1173)*AC228)</f>
        <v>0</v>
      </c>
      <c r="AD1173" s="652">
        <f>IF($B1173="",,SUMIFS(PerHeadcount[Month 19],PerHeadcount[exp_item],$H1173,PerHeadcount[company_name],$B1173)*AD228)</f>
        <v>0</v>
      </c>
      <c r="AE1173" s="652">
        <f>IF($B1173="",,SUMIFS(PerHeadcount[Month 20],PerHeadcount[exp_item],$H1173,PerHeadcount[company_name],$B1173)*AE228)</f>
        <v>0</v>
      </c>
      <c r="AF1173" s="652">
        <f>IF($B1173="",,SUMIFS(PerHeadcount[Month 21],PerHeadcount[exp_item],$H1173,PerHeadcount[company_name],$B1173)*AF228)</f>
        <v>0</v>
      </c>
      <c r="AG1173" s="652">
        <f>IF($B1173="",,SUMIFS(PerHeadcount[Month 22],PerHeadcount[exp_item],$H1173,PerHeadcount[company_name],$B1173)*AG228)</f>
        <v>0</v>
      </c>
      <c r="AH1173" s="652">
        <f>IF($B1173="",,SUMIFS(PerHeadcount[Month 23],PerHeadcount[exp_item],$H1173,PerHeadcount[company_name],$B1173)*AH228)</f>
        <v>0</v>
      </c>
      <c r="AI1173" s="652">
        <f>IF($B1173="",,SUMIFS(PerHeadcount[Month 24],PerHeadcount[exp_item],$H1173,PerHeadcount[company_name],$B1173)*AI228)</f>
        <v>0</v>
      </c>
      <c r="AJ1173" s="652">
        <f>IF($B1173="",,SUMIFS(PerHeadcount[Month 25],PerHeadcount[exp_item],$H1173,PerHeadcount[company_name],$B1173)*AJ228)</f>
        <v>0</v>
      </c>
      <c r="AK1173" s="652">
        <f>IF($B1173="",,SUMIFS(PerHeadcount[Month 26],PerHeadcount[exp_item],$H1173,PerHeadcount[company_name],$B1173)*AK228)</f>
        <v>0</v>
      </c>
      <c r="AL1173" s="652">
        <f>IF($B1173="",,SUMIFS(PerHeadcount[Month 27],PerHeadcount[exp_item],$H1173,PerHeadcount[company_name],$B1173)*AL228)</f>
        <v>0</v>
      </c>
      <c r="AM1173" s="652">
        <f>IF($B1173="",,SUMIFS(PerHeadcount[Month 28],PerHeadcount[exp_item],$H1173,PerHeadcount[company_name],$B1173)*AM228)</f>
        <v>0</v>
      </c>
      <c r="AN1173" s="652">
        <f>IF($B1173="",,SUMIFS(PerHeadcount[Month 29],PerHeadcount[exp_item],$H1173,PerHeadcount[company_name],$B1173)*AN228)</f>
        <v>0</v>
      </c>
      <c r="AO1173" s="652">
        <f>IF($B1173="",,SUMIFS(PerHeadcount[Month 30],PerHeadcount[exp_item],$H1173,PerHeadcount[company_name],$B1173)*AO228)</f>
        <v>0</v>
      </c>
      <c r="AP1173" s="652">
        <f>IF($B1173="",,SUMIFS(PerHeadcount[Month 31],PerHeadcount[exp_item],$H1173,PerHeadcount[company_name],$B1173)*AP228)</f>
        <v>0</v>
      </c>
      <c r="AQ1173" s="652">
        <f>IF($B1173="",,SUMIFS(PerHeadcount[Month 32],PerHeadcount[exp_item],$H1173,PerHeadcount[company_name],$B1173)*AQ228)</f>
        <v>0</v>
      </c>
      <c r="AR1173" s="652">
        <f>IF($B1173="",,SUMIFS(PerHeadcount[Month 33],PerHeadcount[exp_item],$H1173,PerHeadcount[company_name],$B1173)*AR228)</f>
        <v>0</v>
      </c>
      <c r="AS1173" s="652">
        <f>IF($B1173="",,SUMIFS(PerHeadcount[Month 34],PerHeadcount[exp_item],$H1173,PerHeadcount[company_name],$B1173)*AS228)</f>
        <v>0</v>
      </c>
      <c r="AT1173" s="652">
        <f>IF($B1173="",,SUMIFS(PerHeadcount[Month 35],PerHeadcount[exp_item],$H1173,PerHeadcount[company_name],$B1173)*AT228)</f>
        <v>0</v>
      </c>
      <c r="AU1173" s="652">
        <f>IF($B1173="",,SUMIFS(PerHeadcount[Month 36],PerHeadcount[exp_item],$H1173,PerHeadcount[company_name],$B1173)*AU228)</f>
        <v>0</v>
      </c>
    </row>
    <row r="1174" spans="2:47" x14ac:dyDescent="0.35">
      <c r="B1174" t="str">
        <f t="shared" si="807"/>
        <v/>
      </c>
      <c r="C1174" t="str">
        <f t="shared" ref="C1174:G1174" si="818">IF(C1069="","",C1069)</f>
        <v/>
      </c>
      <c r="D1174" t="str">
        <f t="shared" si="818"/>
        <v/>
      </c>
      <c r="E1174" t="str">
        <f t="shared" si="818"/>
        <v/>
      </c>
      <c r="F1174" t="str">
        <f t="shared" si="818"/>
        <v/>
      </c>
      <c r="G1174" t="str">
        <f t="shared" si="818"/>
        <v/>
      </c>
      <c r="H1174" t="str">
        <f t="shared" si="806"/>
        <v/>
      </c>
      <c r="J1174" t="str">
        <f>IF($H1174="","",IF(VLOOKUP(H1174,ExpItems[],2,0),H1174&amp;" - "&amp;INDEX(DivisionMapping[category_code],MATCH($D1174&amp;$C1174,DivisionMapping[dept_bu],0)),H1174))</f>
        <v/>
      </c>
      <c r="K1174" t="str">
        <f t="shared" si="774"/>
        <v/>
      </c>
      <c r="L1174" s="652">
        <f>IF($B1174="",,SUMIFS(PerHeadcount[Month 1],PerHeadcount[exp_item],$H1174,PerHeadcount[company_name],$B1174)*L229)</f>
        <v>0</v>
      </c>
      <c r="M1174" s="652">
        <f>IF($B1174="",,SUMIFS(PerHeadcount[Month 2],PerHeadcount[exp_item],$H1174,PerHeadcount[company_name],$B1174)*M229)</f>
        <v>0</v>
      </c>
      <c r="N1174" s="652">
        <f>IF($B1174="",,SUMIFS(PerHeadcount[Month 3],PerHeadcount[exp_item],$H1174,PerHeadcount[company_name],$B1174)*N229)</f>
        <v>0</v>
      </c>
      <c r="O1174" s="652">
        <f>IF($B1174="",,SUMIFS(PerHeadcount[Month 4],PerHeadcount[exp_item],$H1174,PerHeadcount[company_name],$B1174)*O229)</f>
        <v>0</v>
      </c>
      <c r="P1174" s="652">
        <f>IF($B1174="",,SUMIFS(PerHeadcount[Month 5],PerHeadcount[exp_item],$H1174,PerHeadcount[company_name],$B1174)*P229)</f>
        <v>0</v>
      </c>
      <c r="Q1174" s="652">
        <f>IF($B1174="",,SUMIFS(PerHeadcount[Month 6],PerHeadcount[exp_item],$H1174,PerHeadcount[company_name],$B1174)*Q229)</f>
        <v>0</v>
      </c>
      <c r="R1174" s="652">
        <f>IF($B1174="",,SUMIFS(PerHeadcount[Month 7],PerHeadcount[exp_item],$H1174,PerHeadcount[company_name],$B1174)*R229)</f>
        <v>0</v>
      </c>
      <c r="S1174" s="652">
        <f>IF($B1174="",,SUMIFS(PerHeadcount[Month 8],PerHeadcount[exp_item],$H1174,PerHeadcount[company_name],$B1174)*S229)</f>
        <v>0</v>
      </c>
      <c r="T1174" s="652">
        <f>IF($B1174="",,SUMIFS(PerHeadcount[Month 9],PerHeadcount[exp_item],$H1174,PerHeadcount[company_name],$B1174)*T229)</f>
        <v>0</v>
      </c>
      <c r="U1174" s="652">
        <f>IF($B1174="",,SUMIFS(PerHeadcount[Month 10],PerHeadcount[exp_item],$H1174,PerHeadcount[company_name],$B1174)*U229)</f>
        <v>0</v>
      </c>
      <c r="V1174" s="652">
        <f>IF($B1174="",,SUMIFS(PerHeadcount[Month 11],PerHeadcount[exp_item],$H1174,PerHeadcount[company_name],$B1174)*V229)</f>
        <v>0</v>
      </c>
      <c r="W1174" s="652">
        <f>IF($B1174="",,SUMIFS(PerHeadcount[Month 12],PerHeadcount[exp_item],$H1174,PerHeadcount[company_name],$B1174)*W229)</f>
        <v>0</v>
      </c>
      <c r="X1174" s="652">
        <f>IF($B1174="",,SUMIFS(PerHeadcount[Month 13],PerHeadcount[exp_item],$H1174,PerHeadcount[company_name],$B1174)*X229)</f>
        <v>0</v>
      </c>
      <c r="Y1174" s="652">
        <f>IF($B1174="",,SUMIFS(PerHeadcount[Month 14],PerHeadcount[exp_item],$H1174,PerHeadcount[company_name],$B1174)*Y229)</f>
        <v>0</v>
      </c>
      <c r="Z1174" s="652">
        <f>IF($B1174="",,SUMIFS(PerHeadcount[Month 15],PerHeadcount[exp_item],$H1174,PerHeadcount[company_name],$B1174)*Z229)</f>
        <v>0</v>
      </c>
      <c r="AA1174" s="652">
        <f>IF($B1174="",,SUMIFS(PerHeadcount[Month 16],PerHeadcount[exp_item],$H1174,PerHeadcount[company_name],$B1174)*AA229)</f>
        <v>0</v>
      </c>
      <c r="AB1174" s="652">
        <f>IF($B1174="",,SUMIFS(PerHeadcount[Month 17],PerHeadcount[exp_item],$H1174,PerHeadcount[company_name],$B1174)*AB229)</f>
        <v>0</v>
      </c>
      <c r="AC1174" s="652">
        <f>IF($B1174="",,SUMIFS(PerHeadcount[Month 18],PerHeadcount[exp_item],$H1174,PerHeadcount[company_name],$B1174)*AC229)</f>
        <v>0</v>
      </c>
      <c r="AD1174" s="652">
        <f>IF($B1174="",,SUMIFS(PerHeadcount[Month 19],PerHeadcount[exp_item],$H1174,PerHeadcount[company_name],$B1174)*AD229)</f>
        <v>0</v>
      </c>
      <c r="AE1174" s="652">
        <f>IF($B1174="",,SUMIFS(PerHeadcount[Month 20],PerHeadcount[exp_item],$H1174,PerHeadcount[company_name],$B1174)*AE229)</f>
        <v>0</v>
      </c>
      <c r="AF1174" s="652">
        <f>IF($B1174="",,SUMIFS(PerHeadcount[Month 21],PerHeadcount[exp_item],$H1174,PerHeadcount[company_name],$B1174)*AF229)</f>
        <v>0</v>
      </c>
      <c r="AG1174" s="652">
        <f>IF($B1174="",,SUMIFS(PerHeadcount[Month 22],PerHeadcount[exp_item],$H1174,PerHeadcount[company_name],$B1174)*AG229)</f>
        <v>0</v>
      </c>
      <c r="AH1174" s="652">
        <f>IF($B1174="",,SUMIFS(PerHeadcount[Month 23],PerHeadcount[exp_item],$H1174,PerHeadcount[company_name],$B1174)*AH229)</f>
        <v>0</v>
      </c>
      <c r="AI1174" s="652">
        <f>IF($B1174="",,SUMIFS(PerHeadcount[Month 24],PerHeadcount[exp_item],$H1174,PerHeadcount[company_name],$B1174)*AI229)</f>
        <v>0</v>
      </c>
      <c r="AJ1174" s="652">
        <f>IF($B1174="",,SUMIFS(PerHeadcount[Month 25],PerHeadcount[exp_item],$H1174,PerHeadcount[company_name],$B1174)*AJ229)</f>
        <v>0</v>
      </c>
      <c r="AK1174" s="652">
        <f>IF($B1174="",,SUMIFS(PerHeadcount[Month 26],PerHeadcount[exp_item],$H1174,PerHeadcount[company_name],$B1174)*AK229)</f>
        <v>0</v>
      </c>
      <c r="AL1174" s="652">
        <f>IF($B1174="",,SUMIFS(PerHeadcount[Month 27],PerHeadcount[exp_item],$H1174,PerHeadcount[company_name],$B1174)*AL229)</f>
        <v>0</v>
      </c>
      <c r="AM1174" s="652">
        <f>IF($B1174="",,SUMIFS(PerHeadcount[Month 28],PerHeadcount[exp_item],$H1174,PerHeadcount[company_name],$B1174)*AM229)</f>
        <v>0</v>
      </c>
      <c r="AN1174" s="652">
        <f>IF($B1174="",,SUMIFS(PerHeadcount[Month 29],PerHeadcount[exp_item],$H1174,PerHeadcount[company_name],$B1174)*AN229)</f>
        <v>0</v>
      </c>
      <c r="AO1174" s="652">
        <f>IF($B1174="",,SUMIFS(PerHeadcount[Month 30],PerHeadcount[exp_item],$H1174,PerHeadcount[company_name],$B1174)*AO229)</f>
        <v>0</v>
      </c>
      <c r="AP1174" s="652">
        <f>IF($B1174="",,SUMIFS(PerHeadcount[Month 31],PerHeadcount[exp_item],$H1174,PerHeadcount[company_name],$B1174)*AP229)</f>
        <v>0</v>
      </c>
      <c r="AQ1174" s="652">
        <f>IF($B1174="",,SUMIFS(PerHeadcount[Month 32],PerHeadcount[exp_item],$H1174,PerHeadcount[company_name],$B1174)*AQ229)</f>
        <v>0</v>
      </c>
      <c r="AR1174" s="652">
        <f>IF($B1174="",,SUMIFS(PerHeadcount[Month 33],PerHeadcount[exp_item],$H1174,PerHeadcount[company_name],$B1174)*AR229)</f>
        <v>0</v>
      </c>
      <c r="AS1174" s="652">
        <f>IF($B1174="",,SUMIFS(PerHeadcount[Month 34],PerHeadcount[exp_item],$H1174,PerHeadcount[company_name],$B1174)*AS229)</f>
        <v>0</v>
      </c>
      <c r="AT1174" s="652">
        <f>IF($B1174="",,SUMIFS(PerHeadcount[Month 35],PerHeadcount[exp_item],$H1174,PerHeadcount[company_name],$B1174)*AT229)</f>
        <v>0</v>
      </c>
      <c r="AU1174" s="652">
        <f>IF($B1174="",,SUMIFS(PerHeadcount[Month 36],PerHeadcount[exp_item],$H1174,PerHeadcount[company_name],$B1174)*AU229)</f>
        <v>0</v>
      </c>
    </row>
    <row r="1175" spans="2:47" x14ac:dyDescent="0.35">
      <c r="B1175" t="str">
        <f t="shared" si="807"/>
        <v/>
      </c>
      <c r="C1175" t="str">
        <f t="shared" ref="C1175:G1175" si="819">IF(C1070="","",C1070)</f>
        <v/>
      </c>
      <c r="D1175" t="str">
        <f t="shared" si="819"/>
        <v/>
      </c>
      <c r="E1175" t="str">
        <f t="shared" si="819"/>
        <v/>
      </c>
      <c r="F1175" t="str">
        <f t="shared" si="819"/>
        <v/>
      </c>
      <c r="G1175" t="str">
        <f t="shared" si="819"/>
        <v/>
      </c>
      <c r="H1175" t="str">
        <f t="shared" si="806"/>
        <v/>
      </c>
      <c r="J1175" t="str">
        <f>IF($H1175="","",IF(VLOOKUP(H1175,ExpItems[],2,0),H1175&amp;" - "&amp;INDEX(DivisionMapping[category_code],MATCH($D1175&amp;$C1175,DivisionMapping[dept_bu],0)),H1175))</f>
        <v/>
      </c>
      <c r="K1175" t="str">
        <f t="shared" si="774"/>
        <v/>
      </c>
      <c r="L1175" s="652">
        <f>IF($B1175="",,SUMIFS(PerHeadcount[Month 1],PerHeadcount[exp_item],$H1175,PerHeadcount[company_name],$B1175)*L230)</f>
        <v>0</v>
      </c>
      <c r="M1175" s="652">
        <f>IF($B1175="",,SUMIFS(PerHeadcount[Month 2],PerHeadcount[exp_item],$H1175,PerHeadcount[company_name],$B1175)*M230)</f>
        <v>0</v>
      </c>
      <c r="N1175" s="652">
        <f>IF($B1175="",,SUMIFS(PerHeadcount[Month 3],PerHeadcount[exp_item],$H1175,PerHeadcount[company_name],$B1175)*N230)</f>
        <v>0</v>
      </c>
      <c r="O1175" s="652">
        <f>IF($B1175="",,SUMIFS(PerHeadcount[Month 4],PerHeadcount[exp_item],$H1175,PerHeadcount[company_name],$B1175)*O230)</f>
        <v>0</v>
      </c>
      <c r="P1175" s="652">
        <f>IF($B1175="",,SUMIFS(PerHeadcount[Month 5],PerHeadcount[exp_item],$H1175,PerHeadcount[company_name],$B1175)*P230)</f>
        <v>0</v>
      </c>
      <c r="Q1175" s="652">
        <f>IF($B1175="",,SUMIFS(PerHeadcount[Month 6],PerHeadcount[exp_item],$H1175,PerHeadcount[company_name],$B1175)*Q230)</f>
        <v>0</v>
      </c>
      <c r="R1175" s="652">
        <f>IF($B1175="",,SUMIFS(PerHeadcount[Month 7],PerHeadcount[exp_item],$H1175,PerHeadcount[company_name],$B1175)*R230)</f>
        <v>0</v>
      </c>
      <c r="S1175" s="652">
        <f>IF($B1175="",,SUMIFS(PerHeadcount[Month 8],PerHeadcount[exp_item],$H1175,PerHeadcount[company_name],$B1175)*S230)</f>
        <v>0</v>
      </c>
      <c r="T1175" s="652">
        <f>IF($B1175="",,SUMIFS(PerHeadcount[Month 9],PerHeadcount[exp_item],$H1175,PerHeadcount[company_name],$B1175)*T230)</f>
        <v>0</v>
      </c>
      <c r="U1175" s="652">
        <f>IF($B1175="",,SUMIFS(PerHeadcount[Month 10],PerHeadcount[exp_item],$H1175,PerHeadcount[company_name],$B1175)*U230)</f>
        <v>0</v>
      </c>
      <c r="V1175" s="652">
        <f>IF($B1175="",,SUMIFS(PerHeadcount[Month 11],PerHeadcount[exp_item],$H1175,PerHeadcount[company_name],$B1175)*V230)</f>
        <v>0</v>
      </c>
      <c r="W1175" s="652">
        <f>IF($B1175="",,SUMIFS(PerHeadcount[Month 12],PerHeadcount[exp_item],$H1175,PerHeadcount[company_name],$B1175)*W230)</f>
        <v>0</v>
      </c>
      <c r="X1175" s="652">
        <f>IF($B1175="",,SUMIFS(PerHeadcount[Month 13],PerHeadcount[exp_item],$H1175,PerHeadcount[company_name],$B1175)*X230)</f>
        <v>0</v>
      </c>
      <c r="Y1175" s="652">
        <f>IF($B1175="",,SUMIFS(PerHeadcount[Month 14],PerHeadcount[exp_item],$H1175,PerHeadcount[company_name],$B1175)*Y230)</f>
        <v>0</v>
      </c>
      <c r="Z1175" s="652">
        <f>IF($B1175="",,SUMIFS(PerHeadcount[Month 15],PerHeadcount[exp_item],$H1175,PerHeadcount[company_name],$B1175)*Z230)</f>
        <v>0</v>
      </c>
      <c r="AA1175" s="652">
        <f>IF($B1175="",,SUMIFS(PerHeadcount[Month 16],PerHeadcount[exp_item],$H1175,PerHeadcount[company_name],$B1175)*AA230)</f>
        <v>0</v>
      </c>
      <c r="AB1175" s="652">
        <f>IF($B1175="",,SUMIFS(PerHeadcount[Month 17],PerHeadcount[exp_item],$H1175,PerHeadcount[company_name],$B1175)*AB230)</f>
        <v>0</v>
      </c>
      <c r="AC1175" s="652">
        <f>IF($B1175="",,SUMIFS(PerHeadcount[Month 18],PerHeadcount[exp_item],$H1175,PerHeadcount[company_name],$B1175)*AC230)</f>
        <v>0</v>
      </c>
      <c r="AD1175" s="652">
        <f>IF($B1175="",,SUMIFS(PerHeadcount[Month 19],PerHeadcount[exp_item],$H1175,PerHeadcount[company_name],$B1175)*AD230)</f>
        <v>0</v>
      </c>
      <c r="AE1175" s="652">
        <f>IF($B1175="",,SUMIFS(PerHeadcount[Month 20],PerHeadcount[exp_item],$H1175,PerHeadcount[company_name],$B1175)*AE230)</f>
        <v>0</v>
      </c>
      <c r="AF1175" s="652">
        <f>IF($B1175="",,SUMIFS(PerHeadcount[Month 21],PerHeadcount[exp_item],$H1175,PerHeadcount[company_name],$B1175)*AF230)</f>
        <v>0</v>
      </c>
      <c r="AG1175" s="652">
        <f>IF($B1175="",,SUMIFS(PerHeadcount[Month 22],PerHeadcount[exp_item],$H1175,PerHeadcount[company_name],$B1175)*AG230)</f>
        <v>0</v>
      </c>
      <c r="AH1175" s="652">
        <f>IF($B1175="",,SUMIFS(PerHeadcount[Month 23],PerHeadcount[exp_item],$H1175,PerHeadcount[company_name],$B1175)*AH230)</f>
        <v>0</v>
      </c>
      <c r="AI1175" s="652">
        <f>IF($B1175="",,SUMIFS(PerHeadcount[Month 24],PerHeadcount[exp_item],$H1175,PerHeadcount[company_name],$B1175)*AI230)</f>
        <v>0</v>
      </c>
      <c r="AJ1175" s="652">
        <f>IF($B1175="",,SUMIFS(PerHeadcount[Month 25],PerHeadcount[exp_item],$H1175,PerHeadcount[company_name],$B1175)*AJ230)</f>
        <v>0</v>
      </c>
      <c r="AK1175" s="652">
        <f>IF($B1175="",,SUMIFS(PerHeadcount[Month 26],PerHeadcount[exp_item],$H1175,PerHeadcount[company_name],$B1175)*AK230)</f>
        <v>0</v>
      </c>
      <c r="AL1175" s="652">
        <f>IF($B1175="",,SUMIFS(PerHeadcount[Month 27],PerHeadcount[exp_item],$H1175,PerHeadcount[company_name],$B1175)*AL230)</f>
        <v>0</v>
      </c>
      <c r="AM1175" s="652">
        <f>IF($B1175="",,SUMIFS(PerHeadcount[Month 28],PerHeadcount[exp_item],$H1175,PerHeadcount[company_name],$B1175)*AM230)</f>
        <v>0</v>
      </c>
      <c r="AN1175" s="652">
        <f>IF($B1175="",,SUMIFS(PerHeadcount[Month 29],PerHeadcount[exp_item],$H1175,PerHeadcount[company_name],$B1175)*AN230)</f>
        <v>0</v>
      </c>
      <c r="AO1175" s="652">
        <f>IF($B1175="",,SUMIFS(PerHeadcount[Month 30],PerHeadcount[exp_item],$H1175,PerHeadcount[company_name],$B1175)*AO230)</f>
        <v>0</v>
      </c>
      <c r="AP1175" s="652">
        <f>IF($B1175="",,SUMIFS(PerHeadcount[Month 31],PerHeadcount[exp_item],$H1175,PerHeadcount[company_name],$B1175)*AP230)</f>
        <v>0</v>
      </c>
      <c r="AQ1175" s="652">
        <f>IF($B1175="",,SUMIFS(PerHeadcount[Month 32],PerHeadcount[exp_item],$H1175,PerHeadcount[company_name],$B1175)*AQ230)</f>
        <v>0</v>
      </c>
      <c r="AR1175" s="652">
        <f>IF($B1175="",,SUMIFS(PerHeadcount[Month 33],PerHeadcount[exp_item],$H1175,PerHeadcount[company_name],$B1175)*AR230)</f>
        <v>0</v>
      </c>
      <c r="AS1175" s="652">
        <f>IF($B1175="",,SUMIFS(PerHeadcount[Month 34],PerHeadcount[exp_item],$H1175,PerHeadcount[company_name],$B1175)*AS230)</f>
        <v>0</v>
      </c>
      <c r="AT1175" s="652">
        <f>IF($B1175="",,SUMIFS(PerHeadcount[Month 35],PerHeadcount[exp_item],$H1175,PerHeadcount[company_name],$B1175)*AT230)</f>
        <v>0</v>
      </c>
      <c r="AU1175" s="652">
        <f>IF($B1175="",,SUMIFS(PerHeadcount[Month 36],PerHeadcount[exp_item],$H1175,PerHeadcount[company_name],$B1175)*AU230)</f>
        <v>0</v>
      </c>
    </row>
    <row r="1176" spans="2:47" x14ac:dyDescent="0.35">
      <c r="B1176" t="str">
        <f t="shared" si="807"/>
        <v/>
      </c>
      <c r="C1176" t="str">
        <f t="shared" ref="C1176:G1176" si="820">IF(C1071="","",C1071)</f>
        <v/>
      </c>
      <c r="D1176" t="str">
        <f t="shared" si="820"/>
        <v/>
      </c>
      <c r="E1176" t="str">
        <f t="shared" si="820"/>
        <v/>
      </c>
      <c r="F1176" t="str">
        <f t="shared" si="820"/>
        <v/>
      </c>
      <c r="G1176" t="str">
        <f t="shared" si="820"/>
        <v/>
      </c>
      <c r="H1176" t="str">
        <f t="shared" si="806"/>
        <v/>
      </c>
      <c r="J1176" t="str">
        <f>IF($H1176="","",IF(VLOOKUP(H1176,ExpItems[],2,0),H1176&amp;" - "&amp;INDEX(DivisionMapping[category_code],MATCH($D1176&amp;$C1176,DivisionMapping[dept_bu],0)),H1176))</f>
        <v/>
      </c>
      <c r="K1176" t="str">
        <f t="shared" si="774"/>
        <v/>
      </c>
      <c r="L1176" s="652">
        <f>IF($B1176="",,SUMIFS(PerHeadcount[Month 1],PerHeadcount[exp_item],$H1176,PerHeadcount[company_name],$B1176)*L231)</f>
        <v>0</v>
      </c>
      <c r="M1176" s="652">
        <f>IF($B1176="",,SUMIFS(PerHeadcount[Month 2],PerHeadcount[exp_item],$H1176,PerHeadcount[company_name],$B1176)*M231)</f>
        <v>0</v>
      </c>
      <c r="N1176" s="652">
        <f>IF($B1176="",,SUMIFS(PerHeadcount[Month 3],PerHeadcount[exp_item],$H1176,PerHeadcount[company_name],$B1176)*N231)</f>
        <v>0</v>
      </c>
      <c r="O1176" s="652">
        <f>IF($B1176="",,SUMIFS(PerHeadcount[Month 4],PerHeadcount[exp_item],$H1176,PerHeadcount[company_name],$B1176)*O231)</f>
        <v>0</v>
      </c>
      <c r="P1176" s="652">
        <f>IF($B1176="",,SUMIFS(PerHeadcount[Month 5],PerHeadcount[exp_item],$H1176,PerHeadcount[company_name],$B1176)*P231)</f>
        <v>0</v>
      </c>
      <c r="Q1176" s="652">
        <f>IF($B1176="",,SUMIFS(PerHeadcount[Month 6],PerHeadcount[exp_item],$H1176,PerHeadcount[company_name],$B1176)*Q231)</f>
        <v>0</v>
      </c>
      <c r="R1176" s="652">
        <f>IF($B1176="",,SUMIFS(PerHeadcount[Month 7],PerHeadcount[exp_item],$H1176,PerHeadcount[company_name],$B1176)*R231)</f>
        <v>0</v>
      </c>
      <c r="S1176" s="652">
        <f>IF($B1176="",,SUMIFS(PerHeadcount[Month 8],PerHeadcount[exp_item],$H1176,PerHeadcount[company_name],$B1176)*S231)</f>
        <v>0</v>
      </c>
      <c r="T1176" s="652">
        <f>IF($B1176="",,SUMIFS(PerHeadcount[Month 9],PerHeadcount[exp_item],$H1176,PerHeadcount[company_name],$B1176)*T231)</f>
        <v>0</v>
      </c>
      <c r="U1176" s="652">
        <f>IF($B1176="",,SUMIFS(PerHeadcount[Month 10],PerHeadcount[exp_item],$H1176,PerHeadcount[company_name],$B1176)*U231)</f>
        <v>0</v>
      </c>
      <c r="V1176" s="652">
        <f>IF($B1176="",,SUMIFS(PerHeadcount[Month 11],PerHeadcount[exp_item],$H1176,PerHeadcount[company_name],$B1176)*V231)</f>
        <v>0</v>
      </c>
      <c r="W1176" s="652">
        <f>IF($B1176="",,SUMIFS(PerHeadcount[Month 12],PerHeadcount[exp_item],$H1176,PerHeadcount[company_name],$B1176)*W231)</f>
        <v>0</v>
      </c>
      <c r="X1176" s="652">
        <f>IF($B1176="",,SUMIFS(PerHeadcount[Month 13],PerHeadcount[exp_item],$H1176,PerHeadcount[company_name],$B1176)*X231)</f>
        <v>0</v>
      </c>
      <c r="Y1176" s="652">
        <f>IF($B1176="",,SUMIFS(PerHeadcount[Month 14],PerHeadcount[exp_item],$H1176,PerHeadcount[company_name],$B1176)*Y231)</f>
        <v>0</v>
      </c>
      <c r="Z1176" s="652">
        <f>IF($B1176="",,SUMIFS(PerHeadcount[Month 15],PerHeadcount[exp_item],$H1176,PerHeadcount[company_name],$B1176)*Z231)</f>
        <v>0</v>
      </c>
      <c r="AA1176" s="652">
        <f>IF($B1176="",,SUMIFS(PerHeadcount[Month 16],PerHeadcount[exp_item],$H1176,PerHeadcount[company_name],$B1176)*AA231)</f>
        <v>0</v>
      </c>
      <c r="AB1176" s="652">
        <f>IF($B1176="",,SUMIFS(PerHeadcount[Month 17],PerHeadcount[exp_item],$H1176,PerHeadcount[company_name],$B1176)*AB231)</f>
        <v>0</v>
      </c>
      <c r="AC1176" s="652">
        <f>IF($B1176="",,SUMIFS(PerHeadcount[Month 18],PerHeadcount[exp_item],$H1176,PerHeadcount[company_name],$B1176)*AC231)</f>
        <v>0</v>
      </c>
      <c r="AD1176" s="652">
        <f>IF($B1176="",,SUMIFS(PerHeadcount[Month 19],PerHeadcount[exp_item],$H1176,PerHeadcount[company_name],$B1176)*AD231)</f>
        <v>0</v>
      </c>
      <c r="AE1176" s="652">
        <f>IF($B1176="",,SUMIFS(PerHeadcount[Month 20],PerHeadcount[exp_item],$H1176,PerHeadcount[company_name],$B1176)*AE231)</f>
        <v>0</v>
      </c>
      <c r="AF1176" s="652">
        <f>IF($B1176="",,SUMIFS(PerHeadcount[Month 21],PerHeadcount[exp_item],$H1176,PerHeadcount[company_name],$B1176)*AF231)</f>
        <v>0</v>
      </c>
      <c r="AG1176" s="652">
        <f>IF($B1176="",,SUMIFS(PerHeadcount[Month 22],PerHeadcount[exp_item],$H1176,PerHeadcount[company_name],$B1176)*AG231)</f>
        <v>0</v>
      </c>
      <c r="AH1176" s="652">
        <f>IF($B1176="",,SUMIFS(PerHeadcount[Month 23],PerHeadcount[exp_item],$H1176,PerHeadcount[company_name],$B1176)*AH231)</f>
        <v>0</v>
      </c>
      <c r="AI1176" s="652">
        <f>IF($B1176="",,SUMIFS(PerHeadcount[Month 24],PerHeadcount[exp_item],$H1176,PerHeadcount[company_name],$B1176)*AI231)</f>
        <v>0</v>
      </c>
      <c r="AJ1176" s="652">
        <f>IF($B1176="",,SUMIFS(PerHeadcount[Month 25],PerHeadcount[exp_item],$H1176,PerHeadcount[company_name],$B1176)*AJ231)</f>
        <v>0</v>
      </c>
      <c r="AK1176" s="652">
        <f>IF($B1176="",,SUMIFS(PerHeadcount[Month 26],PerHeadcount[exp_item],$H1176,PerHeadcount[company_name],$B1176)*AK231)</f>
        <v>0</v>
      </c>
      <c r="AL1176" s="652">
        <f>IF($B1176="",,SUMIFS(PerHeadcount[Month 27],PerHeadcount[exp_item],$H1176,PerHeadcount[company_name],$B1176)*AL231)</f>
        <v>0</v>
      </c>
      <c r="AM1176" s="652">
        <f>IF($B1176="",,SUMIFS(PerHeadcount[Month 28],PerHeadcount[exp_item],$H1176,PerHeadcount[company_name],$B1176)*AM231)</f>
        <v>0</v>
      </c>
      <c r="AN1176" s="652">
        <f>IF($B1176="",,SUMIFS(PerHeadcount[Month 29],PerHeadcount[exp_item],$H1176,PerHeadcount[company_name],$B1176)*AN231)</f>
        <v>0</v>
      </c>
      <c r="AO1176" s="652">
        <f>IF($B1176="",,SUMIFS(PerHeadcount[Month 30],PerHeadcount[exp_item],$H1176,PerHeadcount[company_name],$B1176)*AO231)</f>
        <v>0</v>
      </c>
      <c r="AP1176" s="652">
        <f>IF($B1176="",,SUMIFS(PerHeadcount[Month 31],PerHeadcount[exp_item],$H1176,PerHeadcount[company_name],$B1176)*AP231)</f>
        <v>0</v>
      </c>
      <c r="AQ1176" s="652">
        <f>IF($B1176="",,SUMIFS(PerHeadcount[Month 32],PerHeadcount[exp_item],$H1176,PerHeadcount[company_name],$B1176)*AQ231)</f>
        <v>0</v>
      </c>
      <c r="AR1176" s="652">
        <f>IF($B1176="",,SUMIFS(PerHeadcount[Month 33],PerHeadcount[exp_item],$H1176,PerHeadcount[company_name],$B1176)*AR231)</f>
        <v>0</v>
      </c>
      <c r="AS1176" s="652">
        <f>IF($B1176="",,SUMIFS(PerHeadcount[Month 34],PerHeadcount[exp_item],$H1176,PerHeadcount[company_name],$B1176)*AS231)</f>
        <v>0</v>
      </c>
      <c r="AT1176" s="652">
        <f>IF($B1176="",,SUMIFS(PerHeadcount[Month 35],PerHeadcount[exp_item],$H1176,PerHeadcount[company_name],$B1176)*AT231)</f>
        <v>0</v>
      </c>
      <c r="AU1176" s="652">
        <f>IF($B1176="",,SUMIFS(PerHeadcount[Month 36],PerHeadcount[exp_item],$H1176,PerHeadcount[company_name],$B1176)*AU231)</f>
        <v>0</v>
      </c>
    </row>
    <row r="1177" spans="2:47" x14ac:dyDescent="0.35">
      <c r="B1177" t="str">
        <f t="shared" si="807"/>
        <v/>
      </c>
      <c r="C1177" t="str">
        <f t="shared" ref="C1177:G1177" si="821">IF(C1072="","",C1072)</f>
        <v/>
      </c>
      <c r="D1177" t="str">
        <f t="shared" si="821"/>
        <v/>
      </c>
      <c r="E1177" t="str">
        <f t="shared" si="821"/>
        <v/>
      </c>
      <c r="F1177" t="str">
        <f t="shared" si="821"/>
        <v/>
      </c>
      <c r="G1177" t="str">
        <f t="shared" si="821"/>
        <v/>
      </c>
      <c r="H1177" t="str">
        <f t="shared" si="806"/>
        <v/>
      </c>
      <c r="J1177" t="str">
        <f>IF($H1177="","",IF(VLOOKUP(H1177,ExpItems[],2,0),H1177&amp;" - "&amp;INDEX(DivisionMapping[category_code],MATCH($D1177&amp;$C1177,DivisionMapping[dept_bu],0)),H1177))</f>
        <v/>
      </c>
      <c r="K1177" t="str">
        <f t="shared" si="774"/>
        <v/>
      </c>
      <c r="L1177" s="652">
        <f>IF($B1177="",,SUMIFS(PerHeadcount[Month 1],PerHeadcount[exp_item],$H1177,PerHeadcount[company_name],$B1177)*L232)</f>
        <v>0</v>
      </c>
      <c r="M1177" s="652">
        <f>IF($B1177="",,SUMIFS(PerHeadcount[Month 2],PerHeadcount[exp_item],$H1177,PerHeadcount[company_name],$B1177)*M232)</f>
        <v>0</v>
      </c>
      <c r="N1177" s="652">
        <f>IF($B1177="",,SUMIFS(PerHeadcount[Month 3],PerHeadcount[exp_item],$H1177,PerHeadcount[company_name],$B1177)*N232)</f>
        <v>0</v>
      </c>
      <c r="O1177" s="652">
        <f>IF($B1177="",,SUMIFS(PerHeadcount[Month 4],PerHeadcount[exp_item],$H1177,PerHeadcount[company_name],$B1177)*O232)</f>
        <v>0</v>
      </c>
      <c r="P1177" s="652">
        <f>IF($B1177="",,SUMIFS(PerHeadcount[Month 5],PerHeadcount[exp_item],$H1177,PerHeadcount[company_name],$B1177)*P232)</f>
        <v>0</v>
      </c>
      <c r="Q1177" s="652">
        <f>IF($B1177="",,SUMIFS(PerHeadcount[Month 6],PerHeadcount[exp_item],$H1177,PerHeadcount[company_name],$B1177)*Q232)</f>
        <v>0</v>
      </c>
      <c r="R1177" s="652">
        <f>IF($B1177="",,SUMIFS(PerHeadcount[Month 7],PerHeadcount[exp_item],$H1177,PerHeadcount[company_name],$B1177)*R232)</f>
        <v>0</v>
      </c>
      <c r="S1177" s="652">
        <f>IF($B1177="",,SUMIFS(PerHeadcount[Month 8],PerHeadcount[exp_item],$H1177,PerHeadcount[company_name],$B1177)*S232)</f>
        <v>0</v>
      </c>
      <c r="T1177" s="652">
        <f>IF($B1177="",,SUMIFS(PerHeadcount[Month 9],PerHeadcount[exp_item],$H1177,PerHeadcount[company_name],$B1177)*T232)</f>
        <v>0</v>
      </c>
      <c r="U1177" s="652">
        <f>IF($B1177="",,SUMIFS(PerHeadcount[Month 10],PerHeadcount[exp_item],$H1177,PerHeadcount[company_name],$B1177)*U232)</f>
        <v>0</v>
      </c>
      <c r="V1177" s="652">
        <f>IF($B1177="",,SUMIFS(PerHeadcount[Month 11],PerHeadcount[exp_item],$H1177,PerHeadcount[company_name],$B1177)*V232)</f>
        <v>0</v>
      </c>
      <c r="W1177" s="652">
        <f>IF($B1177="",,SUMIFS(PerHeadcount[Month 12],PerHeadcount[exp_item],$H1177,PerHeadcount[company_name],$B1177)*W232)</f>
        <v>0</v>
      </c>
      <c r="X1177" s="652">
        <f>IF($B1177="",,SUMIFS(PerHeadcount[Month 13],PerHeadcount[exp_item],$H1177,PerHeadcount[company_name],$B1177)*X232)</f>
        <v>0</v>
      </c>
      <c r="Y1177" s="652">
        <f>IF($B1177="",,SUMIFS(PerHeadcount[Month 14],PerHeadcount[exp_item],$H1177,PerHeadcount[company_name],$B1177)*Y232)</f>
        <v>0</v>
      </c>
      <c r="Z1177" s="652">
        <f>IF($B1177="",,SUMIFS(PerHeadcount[Month 15],PerHeadcount[exp_item],$H1177,PerHeadcount[company_name],$B1177)*Z232)</f>
        <v>0</v>
      </c>
      <c r="AA1177" s="652">
        <f>IF($B1177="",,SUMIFS(PerHeadcount[Month 16],PerHeadcount[exp_item],$H1177,PerHeadcount[company_name],$B1177)*AA232)</f>
        <v>0</v>
      </c>
      <c r="AB1177" s="652">
        <f>IF($B1177="",,SUMIFS(PerHeadcount[Month 17],PerHeadcount[exp_item],$H1177,PerHeadcount[company_name],$B1177)*AB232)</f>
        <v>0</v>
      </c>
      <c r="AC1177" s="652">
        <f>IF($B1177="",,SUMIFS(PerHeadcount[Month 18],PerHeadcount[exp_item],$H1177,PerHeadcount[company_name],$B1177)*AC232)</f>
        <v>0</v>
      </c>
      <c r="AD1177" s="652">
        <f>IF($B1177="",,SUMIFS(PerHeadcount[Month 19],PerHeadcount[exp_item],$H1177,PerHeadcount[company_name],$B1177)*AD232)</f>
        <v>0</v>
      </c>
      <c r="AE1177" s="652">
        <f>IF($B1177="",,SUMIFS(PerHeadcount[Month 20],PerHeadcount[exp_item],$H1177,PerHeadcount[company_name],$B1177)*AE232)</f>
        <v>0</v>
      </c>
      <c r="AF1177" s="652">
        <f>IF($B1177="",,SUMIFS(PerHeadcount[Month 21],PerHeadcount[exp_item],$H1177,PerHeadcount[company_name],$B1177)*AF232)</f>
        <v>0</v>
      </c>
      <c r="AG1177" s="652">
        <f>IF($B1177="",,SUMIFS(PerHeadcount[Month 22],PerHeadcount[exp_item],$H1177,PerHeadcount[company_name],$B1177)*AG232)</f>
        <v>0</v>
      </c>
      <c r="AH1177" s="652">
        <f>IF($B1177="",,SUMIFS(PerHeadcount[Month 23],PerHeadcount[exp_item],$H1177,PerHeadcount[company_name],$B1177)*AH232)</f>
        <v>0</v>
      </c>
      <c r="AI1177" s="652">
        <f>IF($B1177="",,SUMIFS(PerHeadcount[Month 24],PerHeadcount[exp_item],$H1177,PerHeadcount[company_name],$B1177)*AI232)</f>
        <v>0</v>
      </c>
      <c r="AJ1177" s="652">
        <f>IF($B1177="",,SUMIFS(PerHeadcount[Month 25],PerHeadcount[exp_item],$H1177,PerHeadcount[company_name],$B1177)*AJ232)</f>
        <v>0</v>
      </c>
      <c r="AK1177" s="652">
        <f>IF($B1177="",,SUMIFS(PerHeadcount[Month 26],PerHeadcount[exp_item],$H1177,PerHeadcount[company_name],$B1177)*AK232)</f>
        <v>0</v>
      </c>
      <c r="AL1177" s="652">
        <f>IF($B1177="",,SUMIFS(PerHeadcount[Month 27],PerHeadcount[exp_item],$H1177,PerHeadcount[company_name],$B1177)*AL232)</f>
        <v>0</v>
      </c>
      <c r="AM1177" s="652">
        <f>IF($B1177="",,SUMIFS(PerHeadcount[Month 28],PerHeadcount[exp_item],$H1177,PerHeadcount[company_name],$B1177)*AM232)</f>
        <v>0</v>
      </c>
      <c r="AN1177" s="652">
        <f>IF($B1177="",,SUMIFS(PerHeadcount[Month 29],PerHeadcount[exp_item],$H1177,PerHeadcount[company_name],$B1177)*AN232)</f>
        <v>0</v>
      </c>
      <c r="AO1177" s="652">
        <f>IF($B1177="",,SUMIFS(PerHeadcount[Month 30],PerHeadcount[exp_item],$H1177,PerHeadcount[company_name],$B1177)*AO232)</f>
        <v>0</v>
      </c>
      <c r="AP1177" s="652">
        <f>IF($B1177="",,SUMIFS(PerHeadcount[Month 31],PerHeadcount[exp_item],$H1177,PerHeadcount[company_name],$B1177)*AP232)</f>
        <v>0</v>
      </c>
      <c r="AQ1177" s="652">
        <f>IF($B1177="",,SUMIFS(PerHeadcount[Month 32],PerHeadcount[exp_item],$H1177,PerHeadcount[company_name],$B1177)*AQ232)</f>
        <v>0</v>
      </c>
      <c r="AR1177" s="652">
        <f>IF($B1177="",,SUMIFS(PerHeadcount[Month 33],PerHeadcount[exp_item],$H1177,PerHeadcount[company_name],$B1177)*AR232)</f>
        <v>0</v>
      </c>
      <c r="AS1177" s="652">
        <f>IF($B1177="",,SUMIFS(PerHeadcount[Month 34],PerHeadcount[exp_item],$H1177,PerHeadcount[company_name],$B1177)*AS232)</f>
        <v>0</v>
      </c>
      <c r="AT1177" s="652">
        <f>IF($B1177="",,SUMIFS(PerHeadcount[Month 35],PerHeadcount[exp_item],$H1177,PerHeadcount[company_name],$B1177)*AT232)</f>
        <v>0</v>
      </c>
      <c r="AU1177" s="652">
        <f>IF($B1177="",,SUMIFS(PerHeadcount[Month 36],PerHeadcount[exp_item],$H1177,PerHeadcount[company_name],$B1177)*AU232)</f>
        <v>0</v>
      </c>
    </row>
    <row r="1178" spans="2:47" x14ac:dyDescent="0.35">
      <c r="B1178" t="str">
        <f t="shared" si="807"/>
        <v/>
      </c>
      <c r="C1178" t="str">
        <f t="shared" ref="C1178:G1178" si="822">IF(C1073="","",C1073)</f>
        <v/>
      </c>
      <c r="D1178" t="str">
        <f t="shared" si="822"/>
        <v/>
      </c>
      <c r="E1178" t="str">
        <f t="shared" si="822"/>
        <v/>
      </c>
      <c r="F1178" t="str">
        <f t="shared" si="822"/>
        <v/>
      </c>
      <c r="G1178" t="str">
        <f t="shared" si="822"/>
        <v/>
      </c>
      <c r="H1178" t="str">
        <f t="shared" si="806"/>
        <v/>
      </c>
      <c r="J1178" t="str">
        <f>IF($H1178="","",IF(VLOOKUP(H1178,ExpItems[],2,0),H1178&amp;" - "&amp;INDEX(DivisionMapping[category_code],MATCH($D1178&amp;$C1178,DivisionMapping[dept_bu],0)),H1178))</f>
        <v/>
      </c>
      <c r="K1178" t="str">
        <f t="shared" si="774"/>
        <v/>
      </c>
      <c r="L1178" s="652">
        <f>IF($B1178="",,SUMIFS(PerHeadcount[Month 1],PerHeadcount[exp_item],$H1178,PerHeadcount[company_name],$B1178)*L233)</f>
        <v>0</v>
      </c>
      <c r="M1178" s="652">
        <f>IF($B1178="",,SUMIFS(PerHeadcount[Month 2],PerHeadcount[exp_item],$H1178,PerHeadcount[company_name],$B1178)*M233)</f>
        <v>0</v>
      </c>
      <c r="N1178" s="652">
        <f>IF($B1178="",,SUMIFS(PerHeadcount[Month 3],PerHeadcount[exp_item],$H1178,PerHeadcount[company_name],$B1178)*N233)</f>
        <v>0</v>
      </c>
      <c r="O1178" s="652">
        <f>IF($B1178="",,SUMIFS(PerHeadcount[Month 4],PerHeadcount[exp_item],$H1178,PerHeadcount[company_name],$B1178)*O233)</f>
        <v>0</v>
      </c>
      <c r="P1178" s="652">
        <f>IF($B1178="",,SUMIFS(PerHeadcount[Month 5],PerHeadcount[exp_item],$H1178,PerHeadcount[company_name],$B1178)*P233)</f>
        <v>0</v>
      </c>
      <c r="Q1178" s="652">
        <f>IF($B1178="",,SUMIFS(PerHeadcount[Month 6],PerHeadcount[exp_item],$H1178,PerHeadcount[company_name],$B1178)*Q233)</f>
        <v>0</v>
      </c>
      <c r="R1178" s="652">
        <f>IF($B1178="",,SUMIFS(PerHeadcount[Month 7],PerHeadcount[exp_item],$H1178,PerHeadcount[company_name],$B1178)*R233)</f>
        <v>0</v>
      </c>
      <c r="S1178" s="652">
        <f>IF($B1178="",,SUMIFS(PerHeadcount[Month 8],PerHeadcount[exp_item],$H1178,PerHeadcount[company_name],$B1178)*S233)</f>
        <v>0</v>
      </c>
      <c r="T1178" s="652">
        <f>IF($B1178="",,SUMIFS(PerHeadcount[Month 9],PerHeadcount[exp_item],$H1178,PerHeadcount[company_name],$B1178)*T233)</f>
        <v>0</v>
      </c>
      <c r="U1178" s="652">
        <f>IF($B1178="",,SUMIFS(PerHeadcount[Month 10],PerHeadcount[exp_item],$H1178,PerHeadcount[company_name],$B1178)*U233)</f>
        <v>0</v>
      </c>
      <c r="V1178" s="652">
        <f>IF($B1178="",,SUMIFS(PerHeadcount[Month 11],PerHeadcount[exp_item],$H1178,PerHeadcount[company_name],$B1178)*V233)</f>
        <v>0</v>
      </c>
      <c r="W1178" s="652">
        <f>IF($B1178="",,SUMIFS(PerHeadcount[Month 12],PerHeadcount[exp_item],$H1178,PerHeadcount[company_name],$B1178)*W233)</f>
        <v>0</v>
      </c>
      <c r="X1178" s="652">
        <f>IF($B1178="",,SUMIFS(PerHeadcount[Month 13],PerHeadcount[exp_item],$H1178,PerHeadcount[company_name],$B1178)*X233)</f>
        <v>0</v>
      </c>
      <c r="Y1178" s="652">
        <f>IF($B1178="",,SUMIFS(PerHeadcount[Month 14],PerHeadcount[exp_item],$H1178,PerHeadcount[company_name],$B1178)*Y233)</f>
        <v>0</v>
      </c>
      <c r="Z1178" s="652">
        <f>IF($B1178="",,SUMIFS(PerHeadcount[Month 15],PerHeadcount[exp_item],$H1178,PerHeadcount[company_name],$B1178)*Z233)</f>
        <v>0</v>
      </c>
      <c r="AA1178" s="652">
        <f>IF($B1178="",,SUMIFS(PerHeadcount[Month 16],PerHeadcount[exp_item],$H1178,PerHeadcount[company_name],$B1178)*AA233)</f>
        <v>0</v>
      </c>
      <c r="AB1178" s="652">
        <f>IF($B1178="",,SUMIFS(PerHeadcount[Month 17],PerHeadcount[exp_item],$H1178,PerHeadcount[company_name],$B1178)*AB233)</f>
        <v>0</v>
      </c>
      <c r="AC1178" s="652">
        <f>IF($B1178="",,SUMIFS(PerHeadcount[Month 18],PerHeadcount[exp_item],$H1178,PerHeadcount[company_name],$B1178)*AC233)</f>
        <v>0</v>
      </c>
      <c r="AD1178" s="652">
        <f>IF($B1178="",,SUMIFS(PerHeadcount[Month 19],PerHeadcount[exp_item],$H1178,PerHeadcount[company_name],$B1178)*AD233)</f>
        <v>0</v>
      </c>
      <c r="AE1178" s="652">
        <f>IF($B1178="",,SUMIFS(PerHeadcount[Month 20],PerHeadcount[exp_item],$H1178,PerHeadcount[company_name],$B1178)*AE233)</f>
        <v>0</v>
      </c>
      <c r="AF1178" s="652">
        <f>IF($B1178="",,SUMIFS(PerHeadcount[Month 21],PerHeadcount[exp_item],$H1178,PerHeadcount[company_name],$B1178)*AF233)</f>
        <v>0</v>
      </c>
      <c r="AG1178" s="652">
        <f>IF($B1178="",,SUMIFS(PerHeadcount[Month 22],PerHeadcount[exp_item],$H1178,PerHeadcount[company_name],$B1178)*AG233)</f>
        <v>0</v>
      </c>
      <c r="AH1178" s="652">
        <f>IF($B1178="",,SUMIFS(PerHeadcount[Month 23],PerHeadcount[exp_item],$H1178,PerHeadcount[company_name],$B1178)*AH233)</f>
        <v>0</v>
      </c>
      <c r="AI1178" s="652">
        <f>IF($B1178="",,SUMIFS(PerHeadcount[Month 24],PerHeadcount[exp_item],$H1178,PerHeadcount[company_name],$B1178)*AI233)</f>
        <v>0</v>
      </c>
      <c r="AJ1178" s="652">
        <f>IF($B1178="",,SUMIFS(PerHeadcount[Month 25],PerHeadcount[exp_item],$H1178,PerHeadcount[company_name],$B1178)*AJ233)</f>
        <v>0</v>
      </c>
      <c r="AK1178" s="652">
        <f>IF($B1178="",,SUMIFS(PerHeadcount[Month 26],PerHeadcount[exp_item],$H1178,PerHeadcount[company_name],$B1178)*AK233)</f>
        <v>0</v>
      </c>
      <c r="AL1178" s="652">
        <f>IF($B1178="",,SUMIFS(PerHeadcount[Month 27],PerHeadcount[exp_item],$H1178,PerHeadcount[company_name],$B1178)*AL233)</f>
        <v>0</v>
      </c>
      <c r="AM1178" s="652">
        <f>IF($B1178="",,SUMIFS(PerHeadcount[Month 28],PerHeadcount[exp_item],$H1178,PerHeadcount[company_name],$B1178)*AM233)</f>
        <v>0</v>
      </c>
      <c r="AN1178" s="652">
        <f>IF($B1178="",,SUMIFS(PerHeadcount[Month 29],PerHeadcount[exp_item],$H1178,PerHeadcount[company_name],$B1178)*AN233)</f>
        <v>0</v>
      </c>
      <c r="AO1178" s="652">
        <f>IF($B1178="",,SUMIFS(PerHeadcount[Month 30],PerHeadcount[exp_item],$H1178,PerHeadcount[company_name],$B1178)*AO233)</f>
        <v>0</v>
      </c>
      <c r="AP1178" s="652">
        <f>IF($B1178="",,SUMIFS(PerHeadcount[Month 31],PerHeadcount[exp_item],$H1178,PerHeadcount[company_name],$B1178)*AP233)</f>
        <v>0</v>
      </c>
      <c r="AQ1178" s="652">
        <f>IF($B1178="",,SUMIFS(PerHeadcount[Month 32],PerHeadcount[exp_item],$H1178,PerHeadcount[company_name],$B1178)*AQ233)</f>
        <v>0</v>
      </c>
      <c r="AR1178" s="652">
        <f>IF($B1178="",,SUMIFS(PerHeadcount[Month 33],PerHeadcount[exp_item],$H1178,PerHeadcount[company_name],$B1178)*AR233)</f>
        <v>0</v>
      </c>
      <c r="AS1178" s="652">
        <f>IF($B1178="",,SUMIFS(PerHeadcount[Month 34],PerHeadcount[exp_item],$H1178,PerHeadcount[company_name],$B1178)*AS233)</f>
        <v>0</v>
      </c>
      <c r="AT1178" s="652">
        <f>IF($B1178="",,SUMIFS(PerHeadcount[Month 35],PerHeadcount[exp_item],$H1178,PerHeadcount[company_name],$B1178)*AT233)</f>
        <v>0</v>
      </c>
      <c r="AU1178" s="652">
        <f>IF($B1178="",,SUMIFS(PerHeadcount[Month 36],PerHeadcount[exp_item],$H1178,PerHeadcount[company_name],$B1178)*AU233)</f>
        <v>0</v>
      </c>
    </row>
    <row r="1179" spans="2:47" x14ac:dyDescent="0.35">
      <c r="B1179" t="str">
        <f t="shared" si="807"/>
        <v/>
      </c>
      <c r="C1179" t="str">
        <f t="shared" ref="C1179:G1179" si="823">IF(C1074="","",C1074)</f>
        <v/>
      </c>
      <c r="D1179" t="str">
        <f t="shared" si="823"/>
        <v/>
      </c>
      <c r="E1179" t="str">
        <f t="shared" si="823"/>
        <v/>
      </c>
      <c r="F1179" t="str">
        <f t="shared" si="823"/>
        <v/>
      </c>
      <c r="G1179" t="str">
        <f t="shared" si="823"/>
        <v/>
      </c>
      <c r="H1179" t="str">
        <f t="shared" si="806"/>
        <v/>
      </c>
      <c r="J1179" t="str">
        <f>IF($H1179="","",IF(VLOOKUP(H1179,ExpItems[],2,0),H1179&amp;" - "&amp;INDEX(DivisionMapping[category_code],MATCH($D1179&amp;$C1179,DivisionMapping[dept_bu],0)),H1179))</f>
        <v/>
      </c>
      <c r="K1179" t="str">
        <f t="shared" si="774"/>
        <v/>
      </c>
      <c r="L1179" s="652">
        <f>IF($B1179="",,SUMIFS(PerHeadcount[Month 1],PerHeadcount[exp_item],$H1179,PerHeadcount[company_name],$B1179)*L234)</f>
        <v>0</v>
      </c>
      <c r="M1179" s="652">
        <f>IF($B1179="",,SUMIFS(PerHeadcount[Month 2],PerHeadcount[exp_item],$H1179,PerHeadcount[company_name],$B1179)*M234)</f>
        <v>0</v>
      </c>
      <c r="N1179" s="652">
        <f>IF($B1179="",,SUMIFS(PerHeadcount[Month 3],PerHeadcount[exp_item],$H1179,PerHeadcount[company_name],$B1179)*N234)</f>
        <v>0</v>
      </c>
      <c r="O1179" s="652">
        <f>IF($B1179="",,SUMIFS(PerHeadcount[Month 4],PerHeadcount[exp_item],$H1179,PerHeadcount[company_name],$B1179)*O234)</f>
        <v>0</v>
      </c>
      <c r="P1179" s="652">
        <f>IF($B1179="",,SUMIFS(PerHeadcount[Month 5],PerHeadcount[exp_item],$H1179,PerHeadcount[company_name],$B1179)*P234)</f>
        <v>0</v>
      </c>
      <c r="Q1179" s="652">
        <f>IF($B1179="",,SUMIFS(PerHeadcount[Month 6],PerHeadcount[exp_item],$H1179,PerHeadcount[company_name],$B1179)*Q234)</f>
        <v>0</v>
      </c>
      <c r="R1179" s="652">
        <f>IF($B1179="",,SUMIFS(PerHeadcount[Month 7],PerHeadcount[exp_item],$H1179,PerHeadcount[company_name],$B1179)*R234)</f>
        <v>0</v>
      </c>
      <c r="S1179" s="652">
        <f>IF($B1179="",,SUMIFS(PerHeadcount[Month 8],PerHeadcount[exp_item],$H1179,PerHeadcount[company_name],$B1179)*S234)</f>
        <v>0</v>
      </c>
      <c r="T1179" s="652">
        <f>IF($B1179="",,SUMIFS(PerHeadcount[Month 9],PerHeadcount[exp_item],$H1179,PerHeadcount[company_name],$B1179)*T234)</f>
        <v>0</v>
      </c>
      <c r="U1179" s="652">
        <f>IF($B1179="",,SUMIFS(PerHeadcount[Month 10],PerHeadcount[exp_item],$H1179,PerHeadcount[company_name],$B1179)*U234)</f>
        <v>0</v>
      </c>
      <c r="V1179" s="652">
        <f>IF($B1179="",,SUMIFS(PerHeadcount[Month 11],PerHeadcount[exp_item],$H1179,PerHeadcount[company_name],$B1179)*V234)</f>
        <v>0</v>
      </c>
      <c r="W1179" s="652">
        <f>IF($B1179="",,SUMIFS(PerHeadcount[Month 12],PerHeadcount[exp_item],$H1179,PerHeadcount[company_name],$B1179)*W234)</f>
        <v>0</v>
      </c>
      <c r="X1179" s="652">
        <f>IF($B1179="",,SUMIFS(PerHeadcount[Month 13],PerHeadcount[exp_item],$H1179,PerHeadcount[company_name],$B1179)*X234)</f>
        <v>0</v>
      </c>
      <c r="Y1179" s="652">
        <f>IF($B1179="",,SUMIFS(PerHeadcount[Month 14],PerHeadcount[exp_item],$H1179,PerHeadcount[company_name],$B1179)*Y234)</f>
        <v>0</v>
      </c>
      <c r="Z1179" s="652">
        <f>IF($B1179="",,SUMIFS(PerHeadcount[Month 15],PerHeadcount[exp_item],$H1179,PerHeadcount[company_name],$B1179)*Z234)</f>
        <v>0</v>
      </c>
      <c r="AA1179" s="652">
        <f>IF($B1179="",,SUMIFS(PerHeadcount[Month 16],PerHeadcount[exp_item],$H1179,PerHeadcount[company_name],$B1179)*AA234)</f>
        <v>0</v>
      </c>
      <c r="AB1179" s="652">
        <f>IF($B1179="",,SUMIFS(PerHeadcount[Month 17],PerHeadcount[exp_item],$H1179,PerHeadcount[company_name],$B1179)*AB234)</f>
        <v>0</v>
      </c>
      <c r="AC1179" s="652">
        <f>IF($B1179="",,SUMIFS(PerHeadcount[Month 18],PerHeadcount[exp_item],$H1179,PerHeadcount[company_name],$B1179)*AC234)</f>
        <v>0</v>
      </c>
      <c r="AD1179" s="652">
        <f>IF($B1179="",,SUMIFS(PerHeadcount[Month 19],PerHeadcount[exp_item],$H1179,PerHeadcount[company_name],$B1179)*AD234)</f>
        <v>0</v>
      </c>
      <c r="AE1179" s="652">
        <f>IF($B1179="",,SUMIFS(PerHeadcount[Month 20],PerHeadcount[exp_item],$H1179,PerHeadcount[company_name],$B1179)*AE234)</f>
        <v>0</v>
      </c>
      <c r="AF1179" s="652">
        <f>IF($B1179="",,SUMIFS(PerHeadcount[Month 21],PerHeadcount[exp_item],$H1179,PerHeadcount[company_name],$B1179)*AF234)</f>
        <v>0</v>
      </c>
      <c r="AG1179" s="652">
        <f>IF($B1179="",,SUMIFS(PerHeadcount[Month 22],PerHeadcount[exp_item],$H1179,PerHeadcount[company_name],$B1179)*AG234)</f>
        <v>0</v>
      </c>
      <c r="AH1179" s="652">
        <f>IF($B1179="",,SUMIFS(PerHeadcount[Month 23],PerHeadcount[exp_item],$H1179,PerHeadcount[company_name],$B1179)*AH234)</f>
        <v>0</v>
      </c>
      <c r="AI1179" s="652">
        <f>IF($B1179="",,SUMIFS(PerHeadcount[Month 24],PerHeadcount[exp_item],$H1179,PerHeadcount[company_name],$B1179)*AI234)</f>
        <v>0</v>
      </c>
      <c r="AJ1179" s="652">
        <f>IF($B1179="",,SUMIFS(PerHeadcount[Month 25],PerHeadcount[exp_item],$H1179,PerHeadcount[company_name],$B1179)*AJ234)</f>
        <v>0</v>
      </c>
      <c r="AK1179" s="652">
        <f>IF($B1179="",,SUMIFS(PerHeadcount[Month 26],PerHeadcount[exp_item],$H1179,PerHeadcount[company_name],$B1179)*AK234)</f>
        <v>0</v>
      </c>
      <c r="AL1179" s="652">
        <f>IF($B1179="",,SUMIFS(PerHeadcount[Month 27],PerHeadcount[exp_item],$H1179,PerHeadcount[company_name],$B1179)*AL234)</f>
        <v>0</v>
      </c>
      <c r="AM1179" s="652">
        <f>IF($B1179="",,SUMIFS(PerHeadcount[Month 28],PerHeadcount[exp_item],$H1179,PerHeadcount[company_name],$B1179)*AM234)</f>
        <v>0</v>
      </c>
      <c r="AN1179" s="652">
        <f>IF($B1179="",,SUMIFS(PerHeadcount[Month 29],PerHeadcount[exp_item],$H1179,PerHeadcount[company_name],$B1179)*AN234)</f>
        <v>0</v>
      </c>
      <c r="AO1179" s="652">
        <f>IF($B1179="",,SUMIFS(PerHeadcount[Month 30],PerHeadcount[exp_item],$H1179,PerHeadcount[company_name],$B1179)*AO234)</f>
        <v>0</v>
      </c>
      <c r="AP1179" s="652">
        <f>IF($B1179="",,SUMIFS(PerHeadcount[Month 31],PerHeadcount[exp_item],$H1179,PerHeadcount[company_name],$B1179)*AP234)</f>
        <v>0</v>
      </c>
      <c r="AQ1179" s="652">
        <f>IF($B1179="",,SUMIFS(PerHeadcount[Month 32],PerHeadcount[exp_item],$H1179,PerHeadcount[company_name],$B1179)*AQ234)</f>
        <v>0</v>
      </c>
      <c r="AR1179" s="652">
        <f>IF($B1179="",,SUMIFS(PerHeadcount[Month 33],PerHeadcount[exp_item],$H1179,PerHeadcount[company_name],$B1179)*AR234)</f>
        <v>0</v>
      </c>
      <c r="AS1179" s="652">
        <f>IF($B1179="",,SUMIFS(PerHeadcount[Month 34],PerHeadcount[exp_item],$H1179,PerHeadcount[company_name],$B1179)*AS234)</f>
        <v>0</v>
      </c>
      <c r="AT1179" s="652">
        <f>IF($B1179="",,SUMIFS(PerHeadcount[Month 35],PerHeadcount[exp_item],$H1179,PerHeadcount[company_name],$B1179)*AT234)</f>
        <v>0</v>
      </c>
      <c r="AU1179" s="652">
        <f>IF($B1179="",,SUMIFS(PerHeadcount[Month 36],PerHeadcount[exp_item],$H1179,PerHeadcount[company_name],$B1179)*AU234)</f>
        <v>0</v>
      </c>
    </row>
    <row r="1180" spans="2:47" x14ac:dyDescent="0.35">
      <c r="B1180" t="str">
        <f t="shared" si="807"/>
        <v/>
      </c>
      <c r="C1180" t="str">
        <f t="shared" ref="C1180:G1180" si="824">IF(C1075="","",C1075)</f>
        <v/>
      </c>
      <c r="D1180" t="str">
        <f t="shared" si="824"/>
        <v/>
      </c>
      <c r="E1180" t="str">
        <f t="shared" si="824"/>
        <v/>
      </c>
      <c r="F1180" t="str">
        <f t="shared" si="824"/>
        <v/>
      </c>
      <c r="G1180" t="str">
        <f t="shared" si="824"/>
        <v/>
      </c>
      <c r="H1180" t="str">
        <f t="shared" si="806"/>
        <v/>
      </c>
      <c r="J1180" t="str">
        <f>IF($H1180="","",IF(VLOOKUP(H1180,ExpItems[],2,0),H1180&amp;" - "&amp;INDEX(DivisionMapping[category_code],MATCH($D1180&amp;$C1180,DivisionMapping[dept_bu],0)),H1180))</f>
        <v/>
      </c>
      <c r="K1180" t="str">
        <f t="shared" si="774"/>
        <v/>
      </c>
      <c r="L1180" s="652">
        <f>IF($B1180="",,SUMIFS(PerHeadcount[Month 1],PerHeadcount[exp_item],$H1180,PerHeadcount[company_name],$B1180)*L235)</f>
        <v>0</v>
      </c>
      <c r="M1180" s="652">
        <f>IF($B1180="",,SUMIFS(PerHeadcount[Month 2],PerHeadcount[exp_item],$H1180,PerHeadcount[company_name],$B1180)*M235)</f>
        <v>0</v>
      </c>
      <c r="N1180" s="652">
        <f>IF($B1180="",,SUMIFS(PerHeadcount[Month 3],PerHeadcount[exp_item],$H1180,PerHeadcount[company_name],$B1180)*N235)</f>
        <v>0</v>
      </c>
      <c r="O1180" s="652">
        <f>IF($B1180="",,SUMIFS(PerHeadcount[Month 4],PerHeadcount[exp_item],$H1180,PerHeadcount[company_name],$B1180)*O235)</f>
        <v>0</v>
      </c>
      <c r="P1180" s="652">
        <f>IF($B1180="",,SUMIFS(PerHeadcount[Month 5],PerHeadcount[exp_item],$H1180,PerHeadcount[company_name],$B1180)*P235)</f>
        <v>0</v>
      </c>
      <c r="Q1180" s="652">
        <f>IF($B1180="",,SUMIFS(PerHeadcount[Month 6],PerHeadcount[exp_item],$H1180,PerHeadcount[company_name],$B1180)*Q235)</f>
        <v>0</v>
      </c>
      <c r="R1180" s="652">
        <f>IF($B1180="",,SUMIFS(PerHeadcount[Month 7],PerHeadcount[exp_item],$H1180,PerHeadcount[company_name],$B1180)*R235)</f>
        <v>0</v>
      </c>
      <c r="S1180" s="652">
        <f>IF($B1180="",,SUMIFS(PerHeadcount[Month 8],PerHeadcount[exp_item],$H1180,PerHeadcount[company_name],$B1180)*S235)</f>
        <v>0</v>
      </c>
      <c r="T1180" s="652">
        <f>IF($B1180="",,SUMIFS(PerHeadcount[Month 9],PerHeadcount[exp_item],$H1180,PerHeadcount[company_name],$B1180)*T235)</f>
        <v>0</v>
      </c>
      <c r="U1180" s="652">
        <f>IF($B1180="",,SUMIFS(PerHeadcount[Month 10],PerHeadcount[exp_item],$H1180,PerHeadcount[company_name],$B1180)*U235)</f>
        <v>0</v>
      </c>
      <c r="V1180" s="652">
        <f>IF($B1180="",,SUMIFS(PerHeadcount[Month 11],PerHeadcount[exp_item],$H1180,PerHeadcount[company_name],$B1180)*V235)</f>
        <v>0</v>
      </c>
      <c r="W1180" s="652">
        <f>IF($B1180="",,SUMIFS(PerHeadcount[Month 12],PerHeadcount[exp_item],$H1180,PerHeadcount[company_name],$B1180)*W235)</f>
        <v>0</v>
      </c>
      <c r="X1180" s="652">
        <f>IF($B1180="",,SUMIFS(PerHeadcount[Month 13],PerHeadcount[exp_item],$H1180,PerHeadcount[company_name],$B1180)*X235)</f>
        <v>0</v>
      </c>
      <c r="Y1180" s="652">
        <f>IF($B1180="",,SUMIFS(PerHeadcount[Month 14],PerHeadcount[exp_item],$H1180,PerHeadcount[company_name],$B1180)*Y235)</f>
        <v>0</v>
      </c>
      <c r="Z1180" s="652">
        <f>IF($B1180="",,SUMIFS(PerHeadcount[Month 15],PerHeadcount[exp_item],$H1180,PerHeadcount[company_name],$B1180)*Z235)</f>
        <v>0</v>
      </c>
      <c r="AA1180" s="652">
        <f>IF($B1180="",,SUMIFS(PerHeadcount[Month 16],PerHeadcount[exp_item],$H1180,PerHeadcount[company_name],$B1180)*AA235)</f>
        <v>0</v>
      </c>
      <c r="AB1180" s="652">
        <f>IF($B1180="",,SUMIFS(PerHeadcount[Month 17],PerHeadcount[exp_item],$H1180,PerHeadcount[company_name],$B1180)*AB235)</f>
        <v>0</v>
      </c>
      <c r="AC1180" s="652">
        <f>IF($B1180="",,SUMIFS(PerHeadcount[Month 18],PerHeadcount[exp_item],$H1180,PerHeadcount[company_name],$B1180)*AC235)</f>
        <v>0</v>
      </c>
      <c r="AD1180" s="652">
        <f>IF($B1180="",,SUMIFS(PerHeadcount[Month 19],PerHeadcount[exp_item],$H1180,PerHeadcount[company_name],$B1180)*AD235)</f>
        <v>0</v>
      </c>
      <c r="AE1180" s="652">
        <f>IF($B1180="",,SUMIFS(PerHeadcount[Month 20],PerHeadcount[exp_item],$H1180,PerHeadcount[company_name],$B1180)*AE235)</f>
        <v>0</v>
      </c>
      <c r="AF1180" s="652">
        <f>IF($B1180="",,SUMIFS(PerHeadcount[Month 21],PerHeadcount[exp_item],$H1180,PerHeadcount[company_name],$B1180)*AF235)</f>
        <v>0</v>
      </c>
      <c r="AG1180" s="652">
        <f>IF($B1180="",,SUMIFS(PerHeadcount[Month 22],PerHeadcount[exp_item],$H1180,PerHeadcount[company_name],$B1180)*AG235)</f>
        <v>0</v>
      </c>
      <c r="AH1180" s="652">
        <f>IF($B1180="",,SUMIFS(PerHeadcount[Month 23],PerHeadcount[exp_item],$H1180,PerHeadcount[company_name],$B1180)*AH235)</f>
        <v>0</v>
      </c>
      <c r="AI1180" s="652">
        <f>IF($B1180="",,SUMIFS(PerHeadcount[Month 24],PerHeadcount[exp_item],$H1180,PerHeadcount[company_name],$B1180)*AI235)</f>
        <v>0</v>
      </c>
      <c r="AJ1180" s="652">
        <f>IF($B1180="",,SUMIFS(PerHeadcount[Month 25],PerHeadcount[exp_item],$H1180,PerHeadcount[company_name],$B1180)*AJ235)</f>
        <v>0</v>
      </c>
      <c r="AK1180" s="652">
        <f>IF($B1180="",,SUMIFS(PerHeadcount[Month 26],PerHeadcount[exp_item],$H1180,PerHeadcount[company_name],$B1180)*AK235)</f>
        <v>0</v>
      </c>
      <c r="AL1180" s="652">
        <f>IF($B1180="",,SUMIFS(PerHeadcount[Month 27],PerHeadcount[exp_item],$H1180,PerHeadcount[company_name],$B1180)*AL235)</f>
        <v>0</v>
      </c>
      <c r="AM1180" s="652">
        <f>IF($B1180="",,SUMIFS(PerHeadcount[Month 28],PerHeadcount[exp_item],$H1180,PerHeadcount[company_name],$B1180)*AM235)</f>
        <v>0</v>
      </c>
      <c r="AN1180" s="652">
        <f>IF($B1180="",,SUMIFS(PerHeadcount[Month 29],PerHeadcount[exp_item],$H1180,PerHeadcount[company_name],$B1180)*AN235)</f>
        <v>0</v>
      </c>
      <c r="AO1180" s="652">
        <f>IF($B1180="",,SUMIFS(PerHeadcount[Month 30],PerHeadcount[exp_item],$H1180,PerHeadcount[company_name],$B1180)*AO235)</f>
        <v>0</v>
      </c>
      <c r="AP1180" s="652">
        <f>IF($B1180="",,SUMIFS(PerHeadcount[Month 31],PerHeadcount[exp_item],$H1180,PerHeadcount[company_name],$B1180)*AP235)</f>
        <v>0</v>
      </c>
      <c r="AQ1180" s="652">
        <f>IF($B1180="",,SUMIFS(PerHeadcount[Month 32],PerHeadcount[exp_item],$H1180,PerHeadcount[company_name],$B1180)*AQ235)</f>
        <v>0</v>
      </c>
      <c r="AR1180" s="652">
        <f>IF($B1180="",,SUMIFS(PerHeadcount[Month 33],PerHeadcount[exp_item],$H1180,PerHeadcount[company_name],$B1180)*AR235)</f>
        <v>0</v>
      </c>
      <c r="AS1180" s="652">
        <f>IF($B1180="",,SUMIFS(PerHeadcount[Month 34],PerHeadcount[exp_item],$H1180,PerHeadcount[company_name],$B1180)*AS235)</f>
        <v>0</v>
      </c>
      <c r="AT1180" s="652">
        <f>IF($B1180="",,SUMIFS(PerHeadcount[Month 35],PerHeadcount[exp_item],$H1180,PerHeadcount[company_name],$B1180)*AT235)</f>
        <v>0</v>
      </c>
      <c r="AU1180" s="652">
        <f>IF($B1180="",,SUMIFS(PerHeadcount[Month 36],PerHeadcount[exp_item],$H1180,PerHeadcount[company_name],$B1180)*AU235)</f>
        <v>0</v>
      </c>
    </row>
    <row r="1181" spans="2:47" x14ac:dyDescent="0.35">
      <c r="B1181" t="str">
        <f t="shared" si="807"/>
        <v/>
      </c>
      <c r="C1181" t="str">
        <f t="shared" ref="C1181:G1181" si="825">IF(C1076="","",C1076)</f>
        <v/>
      </c>
      <c r="D1181" t="str">
        <f t="shared" si="825"/>
        <v/>
      </c>
      <c r="E1181" t="str">
        <f t="shared" si="825"/>
        <v/>
      </c>
      <c r="F1181" t="str">
        <f t="shared" si="825"/>
        <v/>
      </c>
      <c r="G1181" t="str">
        <f t="shared" si="825"/>
        <v/>
      </c>
      <c r="H1181" t="str">
        <f t="shared" si="806"/>
        <v/>
      </c>
      <c r="J1181" t="str">
        <f>IF($H1181="","",IF(VLOOKUP(H1181,ExpItems[],2,0),H1181&amp;" - "&amp;INDEX(DivisionMapping[category_code],MATCH($D1181&amp;$C1181,DivisionMapping[dept_bu],0)),H1181))</f>
        <v/>
      </c>
      <c r="K1181" t="str">
        <f t="shared" si="774"/>
        <v/>
      </c>
      <c r="L1181" s="652">
        <f>IF($B1181="",,SUMIFS(PerHeadcount[Month 1],PerHeadcount[exp_item],$H1181,PerHeadcount[company_name],$B1181)*L236)</f>
        <v>0</v>
      </c>
      <c r="M1181" s="652">
        <f>IF($B1181="",,SUMIFS(PerHeadcount[Month 2],PerHeadcount[exp_item],$H1181,PerHeadcount[company_name],$B1181)*M236)</f>
        <v>0</v>
      </c>
      <c r="N1181" s="652">
        <f>IF($B1181="",,SUMIFS(PerHeadcount[Month 3],PerHeadcount[exp_item],$H1181,PerHeadcount[company_name],$B1181)*N236)</f>
        <v>0</v>
      </c>
      <c r="O1181" s="652">
        <f>IF($B1181="",,SUMIFS(PerHeadcount[Month 4],PerHeadcount[exp_item],$H1181,PerHeadcount[company_name],$B1181)*O236)</f>
        <v>0</v>
      </c>
      <c r="P1181" s="652">
        <f>IF($B1181="",,SUMIFS(PerHeadcount[Month 5],PerHeadcount[exp_item],$H1181,PerHeadcount[company_name],$B1181)*P236)</f>
        <v>0</v>
      </c>
      <c r="Q1181" s="652">
        <f>IF($B1181="",,SUMIFS(PerHeadcount[Month 6],PerHeadcount[exp_item],$H1181,PerHeadcount[company_name],$B1181)*Q236)</f>
        <v>0</v>
      </c>
      <c r="R1181" s="652">
        <f>IF($B1181="",,SUMIFS(PerHeadcount[Month 7],PerHeadcount[exp_item],$H1181,PerHeadcount[company_name],$B1181)*R236)</f>
        <v>0</v>
      </c>
      <c r="S1181" s="652">
        <f>IF($B1181="",,SUMIFS(PerHeadcount[Month 8],PerHeadcount[exp_item],$H1181,PerHeadcount[company_name],$B1181)*S236)</f>
        <v>0</v>
      </c>
      <c r="T1181" s="652">
        <f>IF($B1181="",,SUMIFS(PerHeadcount[Month 9],PerHeadcount[exp_item],$H1181,PerHeadcount[company_name],$B1181)*T236)</f>
        <v>0</v>
      </c>
      <c r="U1181" s="652">
        <f>IF($B1181="",,SUMIFS(PerHeadcount[Month 10],PerHeadcount[exp_item],$H1181,PerHeadcount[company_name],$B1181)*U236)</f>
        <v>0</v>
      </c>
      <c r="V1181" s="652">
        <f>IF($B1181="",,SUMIFS(PerHeadcount[Month 11],PerHeadcount[exp_item],$H1181,PerHeadcount[company_name],$B1181)*V236)</f>
        <v>0</v>
      </c>
      <c r="W1181" s="652">
        <f>IF($B1181="",,SUMIFS(PerHeadcount[Month 12],PerHeadcount[exp_item],$H1181,PerHeadcount[company_name],$B1181)*W236)</f>
        <v>0</v>
      </c>
      <c r="X1181" s="652">
        <f>IF($B1181="",,SUMIFS(PerHeadcount[Month 13],PerHeadcount[exp_item],$H1181,PerHeadcount[company_name],$B1181)*X236)</f>
        <v>0</v>
      </c>
      <c r="Y1181" s="652">
        <f>IF($B1181="",,SUMIFS(PerHeadcount[Month 14],PerHeadcount[exp_item],$H1181,PerHeadcount[company_name],$B1181)*Y236)</f>
        <v>0</v>
      </c>
      <c r="Z1181" s="652">
        <f>IF($B1181="",,SUMIFS(PerHeadcount[Month 15],PerHeadcount[exp_item],$H1181,PerHeadcount[company_name],$B1181)*Z236)</f>
        <v>0</v>
      </c>
      <c r="AA1181" s="652">
        <f>IF($B1181="",,SUMIFS(PerHeadcount[Month 16],PerHeadcount[exp_item],$H1181,PerHeadcount[company_name],$B1181)*AA236)</f>
        <v>0</v>
      </c>
      <c r="AB1181" s="652">
        <f>IF($B1181="",,SUMIFS(PerHeadcount[Month 17],PerHeadcount[exp_item],$H1181,PerHeadcount[company_name],$B1181)*AB236)</f>
        <v>0</v>
      </c>
      <c r="AC1181" s="652">
        <f>IF($B1181="",,SUMIFS(PerHeadcount[Month 18],PerHeadcount[exp_item],$H1181,PerHeadcount[company_name],$B1181)*AC236)</f>
        <v>0</v>
      </c>
      <c r="AD1181" s="652">
        <f>IF($B1181="",,SUMIFS(PerHeadcount[Month 19],PerHeadcount[exp_item],$H1181,PerHeadcount[company_name],$B1181)*AD236)</f>
        <v>0</v>
      </c>
      <c r="AE1181" s="652">
        <f>IF($B1181="",,SUMIFS(PerHeadcount[Month 20],PerHeadcount[exp_item],$H1181,PerHeadcount[company_name],$B1181)*AE236)</f>
        <v>0</v>
      </c>
      <c r="AF1181" s="652">
        <f>IF($B1181="",,SUMIFS(PerHeadcount[Month 21],PerHeadcount[exp_item],$H1181,PerHeadcount[company_name],$B1181)*AF236)</f>
        <v>0</v>
      </c>
      <c r="AG1181" s="652">
        <f>IF($B1181="",,SUMIFS(PerHeadcount[Month 22],PerHeadcount[exp_item],$H1181,PerHeadcount[company_name],$B1181)*AG236)</f>
        <v>0</v>
      </c>
      <c r="AH1181" s="652">
        <f>IF($B1181="",,SUMIFS(PerHeadcount[Month 23],PerHeadcount[exp_item],$H1181,PerHeadcount[company_name],$B1181)*AH236)</f>
        <v>0</v>
      </c>
      <c r="AI1181" s="652">
        <f>IF($B1181="",,SUMIFS(PerHeadcount[Month 24],PerHeadcount[exp_item],$H1181,PerHeadcount[company_name],$B1181)*AI236)</f>
        <v>0</v>
      </c>
      <c r="AJ1181" s="652">
        <f>IF($B1181="",,SUMIFS(PerHeadcount[Month 25],PerHeadcount[exp_item],$H1181,PerHeadcount[company_name],$B1181)*AJ236)</f>
        <v>0</v>
      </c>
      <c r="AK1181" s="652">
        <f>IF($B1181="",,SUMIFS(PerHeadcount[Month 26],PerHeadcount[exp_item],$H1181,PerHeadcount[company_name],$B1181)*AK236)</f>
        <v>0</v>
      </c>
      <c r="AL1181" s="652">
        <f>IF($B1181="",,SUMIFS(PerHeadcount[Month 27],PerHeadcount[exp_item],$H1181,PerHeadcount[company_name],$B1181)*AL236)</f>
        <v>0</v>
      </c>
      <c r="AM1181" s="652">
        <f>IF($B1181="",,SUMIFS(PerHeadcount[Month 28],PerHeadcount[exp_item],$H1181,PerHeadcount[company_name],$B1181)*AM236)</f>
        <v>0</v>
      </c>
      <c r="AN1181" s="652">
        <f>IF($B1181="",,SUMIFS(PerHeadcount[Month 29],PerHeadcount[exp_item],$H1181,PerHeadcount[company_name],$B1181)*AN236)</f>
        <v>0</v>
      </c>
      <c r="AO1181" s="652">
        <f>IF($B1181="",,SUMIFS(PerHeadcount[Month 30],PerHeadcount[exp_item],$H1181,PerHeadcount[company_name],$B1181)*AO236)</f>
        <v>0</v>
      </c>
      <c r="AP1181" s="652">
        <f>IF($B1181="",,SUMIFS(PerHeadcount[Month 31],PerHeadcount[exp_item],$H1181,PerHeadcount[company_name],$B1181)*AP236)</f>
        <v>0</v>
      </c>
      <c r="AQ1181" s="652">
        <f>IF($B1181="",,SUMIFS(PerHeadcount[Month 32],PerHeadcount[exp_item],$H1181,PerHeadcount[company_name],$B1181)*AQ236)</f>
        <v>0</v>
      </c>
      <c r="AR1181" s="652">
        <f>IF($B1181="",,SUMIFS(PerHeadcount[Month 33],PerHeadcount[exp_item],$H1181,PerHeadcount[company_name],$B1181)*AR236)</f>
        <v>0</v>
      </c>
      <c r="AS1181" s="652">
        <f>IF($B1181="",,SUMIFS(PerHeadcount[Month 34],PerHeadcount[exp_item],$H1181,PerHeadcount[company_name],$B1181)*AS236)</f>
        <v>0</v>
      </c>
      <c r="AT1181" s="652">
        <f>IF($B1181="",,SUMIFS(PerHeadcount[Month 35],PerHeadcount[exp_item],$H1181,PerHeadcount[company_name],$B1181)*AT236)</f>
        <v>0</v>
      </c>
      <c r="AU1181" s="652">
        <f>IF($B1181="",,SUMIFS(PerHeadcount[Month 36],PerHeadcount[exp_item],$H1181,PerHeadcount[company_name],$B1181)*AU236)</f>
        <v>0</v>
      </c>
    </row>
    <row r="1182" spans="2:47" x14ac:dyDescent="0.35">
      <c r="B1182" t="str">
        <f t="shared" si="807"/>
        <v/>
      </c>
      <c r="C1182" t="str">
        <f t="shared" ref="C1182:G1182" si="826">IF(C1077="","",C1077)</f>
        <v/>
      </c>
      <c r="D1182" t="str">
        <f t="shared" si="826"/>
        <v/>
      </c>
      <c r="E1182" t="str">
        <f t="shared" si="826"/>
        <v/>
      </c>
      <c r="F1182" t="str">
        <f t="shared" si="826"/>
        <v/>
      </c>
      <c r="G1182" t="str">
        <f t="shared" si="826"/>
        <v/>
      </c>
      <c r="H1182" t="str">
        <f t="shared" si="806"/>
        <v/>
      </c>
      <c r="J1182" t="str">
        <f>IF($H1182="","",IF(VLOOKUP(H1182,ExpItems[],2,0),H1182&amp;" - "&amp;INDEX(DivisionMapping[category_code],MATCH($D1182&amp;$C1182,DivisionMapping[dept_bu],0)),H1182))</f>
        <v/>
      </c>
      <c r="K1182" t="str">
        <f t="shared" si="774"/>
        <v/>
      </c>
      <c r="L1182" s="652">
        <f>IF($B1182="",,SUMIFS(PerHeadcount[Month 1],PerHeadcount[exp_item],$H1182,PerHeadcount[company_name],$B1182)*L237)</f>
        <v>0</v>
      </c>
      <c r="M1182" s="652">
        <f>IF($B1182="",,SUMIFS(PerHeadcount[Month 2],PerHeadcount[exp_item],$H1182,PerHeadcount[company_name],$B1182)*M237)</f>
        <v>0</v>
      </c>
      <c r="N1182" s="652">
        <f>IF($B1182="",,SUMIFS(PerHeadcount[Month 3],PerHeadcount[exp_item],$H1182,PerHeadcount[company_name],$B1182)*N237)</f>
        <v>0</v>
      </c>
      <c r="O1182" s="652">
        <f>IF($B1182="",,SUMIFS(PerHeadcount[Month 4],PerHeadcount[exp_item],$H1182,PerHeadcount[company_name],$B1182)*O237)</f>
        <v>0</v>
      </c>
      <c r="P1182" s="652">
        <f>IF($B1182="",,SUMIFS(PerHeadcount[Month 5],PerHeadcount[exp_item],$H1182,PerHeadcount[company_name],$B1182)*P237)</f>
        <v>0</v>
      </c>
      <c r="Q1182" s="652">
        <f>IF($B1182="",,SUMIFS(PerHeadcount[Month 6],PerHeadcount[exp_item],$H1182,PerHeadcount[company_name],$B1182)*Q237)</f>
        <v>0</v>
      </c>
      <c r="R1182" s="652">
        <f>IF($B1182="",,SUMIFS(PerHeadcount[Month 7],PerHeadcount[exp_item],$H1182,PerHeadcount[company_name],$B1182)*R237)</f>
        <v>0</v>
      </c>
      <c r="S1182" s="652">
        <f>IF($B1182="",,SUMIFS(PerHeadcount[Month 8],PerHeadcount[exp_item],$H1182,PerHeadcount[company_name],$B1182)*S237)</f>
        <v>0</v>
      </c>
      <c r="T1182" s="652">
        <f>IF($B1182="",,SUMIFS(PerHeadcount[Month 9],PerHeadcount[exp_item],$H1182,PerHeadcount[company_name],$B1182)*T237)</f>
        <v>0</v>
      </c>
      <c r="U1182" s="652">
        <f>IF($B1182="",,SUMIFS(PerHeadcount[Month 10],PerHeadcount[exp_item],$H1182,PerHeadcount[company_name],$B1182)*U237)</f>
        <v>0</v>
      </c>
      <c r="V1182" s="652">
        <f>IF($B1182="",,SUMIFS(PerHeadcount[Month 11],PerHeadcount[exp_item],$H1182,PerHeadcount[company_name],$B1182)*V237)</f>
        <v>0</v>
      </c>
      <c r="W1182" s="652">
        <f>IF($B1182="",,SUMIFS(PerHeadcount[Month 12],PerHeadcount[exp_item],$H1182,PerHeadcount[company_name],$B1182)*W237)</f>
        <v>0</v>
      </c>
      <c r="X1182" s="652">
        <f>IF($B1182="",,SUMIFS(PerHeadcount[Month 13],PerHeadcount[exp_item],$H1182,PerHeadcount[company_name],$B1182)*X237)</f>
        <v>0</v>
      </c>
      <c r="Y1182" s="652">
        <f>IF($B1182="",,SUMIFS(PerHeadcount[Month 14],PerHeadcount[exp_item],$H1182,PerHeadcount[company_name],$B1182)*Y237)</f>
        <v>0</v>
      </c>
      <c r="Z1182" s="652">
        <f>IF($B1182="",,SUMIFS(PerHeadcount[Month 15],PerHeadcount[exp_item],$H1182,PerHeadcount[company_name],$B1182)*Z237)</f>
        <v>0</v>
      </c>
      <c r="AA1182" s="652">
        <f>IF($B1182="",,SUMIFS(PerHeadcount[Month 16],PerHeadcount[exp_item],$H1182,PerHeadcount[company_name],$B1182)*AA237)</f>
        <v>0</v>
      </c>
      <c r="AB1182" s="652">
        <f>IF($B1182="",,SUMIFS(PerHeadcount[Month 17],PerHeadcount[exp_item],$H1182,PerHeadcount[company_name],$B1182)*AB237)</f>
        <v>0</v>
      </c>
      <c r="AC1182" s="652">
        <f>IF($B1182="",,SUMIFS(PerHeadcount[Month 18],PerHeadcount[exp_item],$H1182,PerHeadcount[company_name],$B1182)*AC237)</f>
        <v>0</v>
      </c>
      <c r="AD1182" s="652">
        <f>IF($B1182="",,SUMIFS(PerHeadcount[Month 19],PerHeadcount[exp_item],$H1182,PerHeadcount[company_name],$B1182)*AD237)</f>
        <v>0</v>
      </c>
      <c r="AE1182" s="652">
        <f>IF($B1182="",,SUMIFS(PerHeadcount[Month 20],PerHeadcount[exp_item],$H1182,PerHeadcount[company_name],$B1182)*AE237)</f>
        <v>0</v>
      </c>
      <c r="AF1182" s="652">
        <f>IF($B1182="",,SUMIFS(PerHeadcount[Month 21],PerHeadcount[exp_item],$H1182,PerHeadcount[company_name],$B1182)*AF237)</f>
        <v>0</v>
      </c>
      <c r="AG1182" s="652">
        <f>IF($B1182="",,SUMIFS(PerHeadcount[Month 22],PerHeadcount[exp_item],$H1182,PerHeadcount[company_name],$B1182)*AG237)</f>
        <v>0</v>
      </c>
      <c r="AH1182" s="652">
        <f>IF($B1182="",,SUMIFS(PerHeadcount[Month 23],PerHeadcount[exp_item],$H1182,PerHeadcount[company_name],$B1182)*AH237)</f>
        <v>0</v>
      </c>
      <c r="AI1182" s="652">
        <f>IF($B1182="",,SUMIFS(PerHeadcount[Month 24],PerHeadcount[exp_item],$H1182,PerHeadcount[company_name],$B1182)*AI237)</f>
        <v>0</v>
      </c>
      <c r="AJ1182" s="652">
        <f>IF($B1182="",,SUMIFS(PerHeadcount[Month 25],PerHeadcount[exp_item],$H1182,PerHeadcount[company_name],$B1182)*AJ237)</f>
        <v>0</v>
      </c>
      <c r="AK1182" s="652">
        <f>IF($B1182="",,SUMIFS(PerHeadcount[Month 26],PerHeadcount[exp_item],$H1182,PerHeadcount[company_name],$B1182)*AK237)</f>
        <v>0</v>
      </c>
      <c r="AL1182" s="652">
        <f>IF($B1182="",,SUMIFS(PerHeadcount[Month 27],PerHeadcount[exp_item],$H1182,PerHeadcount[company_name],$B1182)*AL237)</f>
        <v>0</v>
      </c>
      <c r="AM1182" s="652">
        <f>IF($B1182="",,SUMIFS(PerHeadcount[Month 28],PerHeadcount[exp_item],$H1182,PerHeadcount[company_name],$B1182)*AM237)</f>
        <v>0</v>
      </c>
      <c r="AN1182" s="652">
        <f>IF($B1182="",,SUMIFS(PerHeadcount[Month 29],PerHeadcount[exp_item],$H1182,PerHeadcount[company_name],$B1182)*AN237)</f>
        <v>0</v>
      </c>
      <c r="AO1182" s="652">
        <f>IF($B1182="",,SUMIFS(PerHeadcount[Month 30],PerHeadcount[exp_item],$H1182,PerHeadcount[company_name],$B1182)*AO237)</f>
        <v>0</v>
      </c>
      <c r="AP1182" s="652">
        <f>IF($B1182="",,SUMIFS(PerHeadcount[Month 31],PerHeadcount[exp_item],$H1182,PerHeadcount[company_name],$B1182)*AP237)</f>
        <v>0</v>
      </c>
      <c r="AQ1182" s="652">
        <f>IF($B1182="",,SUMIFS(PerHeadcount[Month 32],PerHeadcount[exp_item],$H1182,PerHeadcount[company_name],$B1182)*AQ237)</f>
        <v>0</v>
      </c>
      <c r="AR1182" s="652">
        <f>IF($B1182="",,SUMIFS(PerHeadcount[Month 33],PerHeadcount[exp_item],$H1182,PerHeadcount[company_name],$B1182)*AR237)</f>
        <v>0</v>
      </c>
      <c r="AS1182" s="652">
        <f>IF($B1182="",,SUMIFS(PerHeadcount[Month 34],PerHeadcount[exp_item],$H1182,PerHeadcount[company_name],$B1182)*AS237)</f>
        <v>0</v>
      </c>
      <c r="AT1182" s="652">
        <f>IF($B1182="",,SUMIFS(PerHeadcount[Month 35],PerHeadcount[exp_item],$H1182,PerHeadcount[company_name],$B1182)*AT237)</f>
        <v>0</v>
      </c>
      <c r="AU1182" s="652">
        <f>IF($B1182="",,SUMIFS(PerHeadcount[Month 36],PerHeadcount[exp_item],$H1182,PerHeadcount[company_name],$B1182)*AU237)</f>
        <v>0</v>
      </c>
    </row>
    <row r="1183" spans="2:47" x14ac:dyDescent="0.35">
      <c r="B1183" t="str">
        <f t="shared" si="807"/>
        <v/>
      </c>
      <c r="C1183" t="str">
        <f t="shared" ref="C1183:G1183" si="827">IF(C1078="","",C1078)</f>
        <v/>
      </c>
      <c r="D1183" t="str">
        <f t="shared" si="827"/>
        <v/>
      </c>
      <c r="E1183" t="str">
        <f t="shared" si="827"/>
        <v/>
      </c>
      <c r="F1183" t="str">
        <f t="shared" si="827"/>
        <v/>
      </c>
      <c r="G1183" t="str">
        <f t="shared" si="827"/>
        <v/>
      </c>
      <c r="H1183" t="str">
        <f t="shared" si="806"/>
        <v/>
      </c>
      <c r="J1183" t="str">
        <f>IF($H1183="","",IF(VLOOKUP(H1183,ExpItems[],2,0),H1183&amp;" - "&amp;INDEX(DivisionMapping[category_code],MATCH($D1183&amp;$C1183,DivisionMapping[dept_bu],0)),H1183))</f>
        <v/>
      </c>
      <c r="K1183" t="str">
        <f t="shared" si="774"/>
        <v/>
      </c>
      <c r="L1183" s="652">
        <f>IF($B1183="",,SUMIFS(PerHeadcount[Month 1],PerHeadcount[exp_item],$H1183,PerHeadcount[company_name],$B1183)*L238)</f>
        <v>0</v>
      </c>
      <c r="M1183" s="652">
        <f>IF($B1183="",,SUMIFS(PerHeadcount[Month 2],PerHeadcount[exp_item],$H1183,PerHeadcount[company_name],$B1183)*M238)</f>
        <v>0</v>
      </c>
      <c r="N1183" s="652">
        <f>IF($B1183="",,SUMIFS(PerHeadcount[Month 3],PerHeadcount[exp_item],$H1183,PerHeadcount[company_name],$B1183)*N238)</f>
        <v>0</v>
      </c>
      <c r="O1183" s="652">
        <f>IF($B1183="",,SUMIFS(PerHeadcount[Month 4],PerHeadcount[exp_item],$H1183,PerHeadcount[company_name],$B1183)*O238)</f>
        <v>0</v>
      </c>
      <c r="P1183" s="652">
        <f>IF($B1183="",,SUMIFS(PerHeadcount[Month 5],PerHeadcount[exp_item],$H1183,PerHeadcount[company_name],$B1183)*P238)</f>
        <v>0</v>
      </c>
      <c r="Q1183" s="652">
        <f>IF($B1183="",,SUMIFS(PerHeadcount[Month 6],PerHeadcount[exp_item],$H1183,PerHeadcount[company_name],$B1183)*Q238)</f>
        <v>0</v>
      </c>
      <c r="R1183" s="652">
        <f>IF($B1183="",,SUMIFS(PerHeadcount[Month 7],PerHeadcount[exp_item],$H1183,PerHeadcount[company_name],$B1183)*R238)</f>
        <v>0</v>
      </c>
      <c r="S1183" s="652">
        <f>IF($B1183="",,SUMIFS(PerHeadcount[Month 8],PerHeadcount[exp_item],$H1183,PerHeadcount[company_name],$B1183)*S238)</f>
        <v>0</v>
      </c>
      <c r="T1183" s="652">
        <f>IF($B1183="",,SUMIFS(PerHeadcount[Month 9],PerHeadcount[exp_item],$H1183,PerHeadcount[company_name],$B1183)*T238)</f>
        <v>0</v>
      </c>
      <c r="U1183" s="652">
        <f>IF($B1183="",,SUMIFS(PerHeadcount[Month 10],PerHeadcount[exp_item],$H1183,PerHeadcount[company_name],$B1183)*U238)</f>
        <v>0</v>
      </c>
      <c r="V1183" s="652">
        <f>IF($B1183="",,SUMIFS(PerHeadcount[Month 11],PerHeadcount[exp_item],$H1183,PerHeadcount[company_name],$B1183)*V238)</f>
        <v>0</v>
      </c>
      <c r="W1183" s="652">
        <f>IF($B1183="",,SUMIFS(PerHeadcount[Month 12],PerHeadcount[exp_item],$H1183,PerHeadcount[company_name],$B1183)*W238)</f>
        <v>0</v>
      </c>
      <c r="X1183" s="652">
        <f>IF($B1183="",,SUMIFS(PerHeadcount[Month 13],PerHeadcount[exp_item],$H1183,PerHeadcount[company_name],$B1183)*X238)</f>
        <v>0</v>
      </c>
      <c r="Y1183" s="652">
        <f>IF($B1183="",,SUMIFS(PerHeadcount[Month 14],PerHeadcount[exp_item],$H1183,PerHeadcount[company_name],$B1183)*Y238)</f>
        <v>0</v>
      </c>
      <c r="Z1183" s="652">
        <f>IF($B1183="",,SUMIFS(PerHeadcount[Month 15],PerHeadcount[exp_item],$H1183,PerHeadcount[company_name],$B1183)*Z238)</f>
        <v>0</v>
      </c>
      <c r="AA1183" s="652">
        <f>IF($B1183="",,SUMIFS(PerHeadcount[Month 16],PerHeadcount[exp_item],$H1183,PerHeadcount[company_name],$B1183)*AA238)</f>
        <v>0</v>
      </c>
      <c r="AB1183" s="652">
        <f>IF($B1183="",,SUMIFS(PerHeadcount[Month 17],PerHeadcount[exp_item],$H1183,PerHeadcount[company_name],$B1183)*AB238)</f>
        <v>0</v>
      </c>
      <c r="AC1183" s="652">
        <f>IF($B1183="",,SUMIFS(PerHeadcount[Month 18],PerHeadcount[exp_item],$H1183,PerHeadcount[company_name],$B1183)*AC238)</f>
        <v>0</v>
      </c>
      <c r="AD1183" s="652">
        <f>IF($B1183="",,SUMIFS(PerHeadcount[Month 19],PerHeadcount[exp_item],$H1183,PerHeadcount[company_name],$B1183)*AD238)</f>
        <v>0</v>
      </c>
      <c r="AE1183" s="652">
        <f>IF($B1183="",,SUMIFS(PerHeadcount[Month 20],PerHeadcount[exp_item],$H1183,PerHeadcount[company_name],$B1183)*AE238)</f>
        <v>0</v>
      </c>
      <c r="AF1183" s="652">
        <f>IF($B1183="",,SUMIFS(PerHeadcount[Month 21],PerHeadcount[exp_item],$H1183,PerHeadcount[company_name],$B1183)*AF238)</f>
        <v>0</v>
      </c>
      <c r="AG1183" s="652">
        <f>IF($B1183="",,SUMIFS(PerHeadcount[Month 22],PerHeadcount[exp_item],$H1183,PerHeadcount[company_name],$B1183)*AG238)</f>
        <v>0</v>
      </c>
      <c r="AH1183" s="652">
        <f>IF($B1183="",,SUMIFS(PerHeadcount[Month 23],PerHeadcount[exp_item],$H1183,PerHeadcount[company_name],$B1183)*AH238)</f>
        <v>0</v>
      </c>
      <c r="AI1183" s="652">
        <f>IF($B1183="",,SUMIFS(PerHeadcount[Month 24],PerHeadcount[exp_item],$H1183,PerHeadcount[company_name],$B1183)*AI238)</f>
        <v>0</v>
      </c>
      <c r="AJ1183" s="652">
        <f>IF($B1183="",,SUMIFS(PerHeadcount[Month 25],PerHeadcount[exp_item],$H1183,PerHeadcount[company_name],$B1183)*AJ238)</f>
        <v>0</v>
      </c>
      <c r="AK1183" s="652">
        <f>IF($B1183="",,SUMIFS(PerHeadcount[Month 26],PerHeadcount[exp_item],$H1183,PerHeadcount[company_name],$B1183)*AK238)</f>
        <v>0</v>
      </c>
      <c r="AL1183" s="652">
        <f>IF($B1183="",,SUMIFS(PerHeadcount[Month 27],PerHeadcount[exp_item],$H1183,PerHeadcount[company_name],$B1183)*AL238)</f>
        <v>0</v>
      </c>
      <c r="AM1183" s="652">
        <f>IF($B1183="",,SUMIFS(PerHeadcount[Month 28],PerHeadcount[exp_item],$H1183,PerHeadcount[company_name],$B1183)*AM238)</f>
        <v>0</v>
      </c>
      <c r="AN1183" s="652">
        <f>IF($B1183="",,SUMIFS(PerHeadcount[Month 29],PerHeadcount[exp_item],$H1183,PerHeadcount[company_name],$B1183)*AN238)</f>
        <v>0</v>
      </c>
      <c r="AO1183" s="652">
        <f>IF($B1183="",,SUMIFS(PerHeadcount[Month 30],PerHeadcount[exp_item],$H1183,PerHeadcount[company_name],$B1183)*AO238)</f>
        <v>0</v>
      </c>
      <c r="AP1183" s="652">
        <f>IF($B1183="",,SUMIFS(PerHeadcount[Month 31],PerHeadcount[exp_item],$H1183,PerHeadcount[company_name],$B1183)*AP238)</f>
        <v>0</v>
      </c>
      <c r="AQ1183" s="652">
        <f>IF($B1183="",,SUMIFS(PerHeadcount[Month 32],PerHeadcount[exp_item],$H1183,PerHeadcount[company_name],$B1183)*AQ238)</f>
        <v>0</v>
      </c>
      <c r="AR1183" s="652">
        <f>IF($B1183="",,SUMIFS(PerHeadcount[Month 33],PerHeadcount[exp_item],$H1183,PerHeadcount[company_name],$B1183)*AR238)</f>
        <v>0</v>
      </c>
      <c r="AS1183" s="652">
        <f>IF($B1183="",,SUMIFS(PerHeadcount[Month 34],PerHeadcount[exp_item],$H1183,PerHeadcount[company_name],$B1183)*AS238)</f>
        <v>0</v>
      </c>
      <c r="AT1183" s="652">
        <f>IF($B1183="",,SUMIFS(PerHeadcount[Month 35],PerHeadcount[exp_item],$H1183,PerHeadcount[company_name],$B1183)*AT238)</f>
        <v>0</v>
      </c>
      <c r="AU1183" s="652">
        <f>IF($B1183="",,SUMIFS(PerHeadcount[Month 36],PerHeadcount[exp_item],$H1183,PerHeadcount[company_name],$B1183)*AU238)</f>
        <v>0</v>
      </c>
    </row>
    <row r="1184" spans="2:47" x14ac:dyDescent="0.35">
      <c r="B1184" t="str">
        <f t="shared" si="807"/>
        <v/>
      </c>
      <c r="C1184" t="str">
        <f t="shared" ref="C1184:G1184" si="828">IF(C1079="","",C1079)</f>
        <v/>
      </c>
      <c r="D1184" t="str">
        <f t="shared" si="828"/>
        <v/>
      </c>
      <c r="E1184" t="str">
        <f t="shared" si="828"/>
        <v/>
      </c>
      <c r="F1184" t="str">
        <f t="shared" si="828"/>
        <v/>
      </c>
      <c r="G1184" t="str">
        <f t="shared" si="828"/>
        <v/>
      </c>
      <c r="H1184" t="str">
        <f t="shared" si="806"/>
        <v/>
      </c>
      <c r="J1184" t="str">
        <f>IF($H1184="","",IF(VLOOKUP(H1184,ExpItems[],2,0),H1184&amp;" - "&amp;INDEX(DivisionMapping[category_code],MATCH($D1184&amp;$C1184,DivisionMapping[dept_bu],0)),H1184))</f>
        <v/>
      </c>
      <c r="K1184" t="str">
        <f t="shared" si="774"/>
        <v/>
      </c>
      <c r="L1184" s="652">
        <f>IF($B1184="",,SUMIFS(PerHeadcount[Month 1],PerHeadcount[exp_item],$H1184,PerHeadcount[company_name],$B1184)*L239)</f>
        <v>0</v>
      </c>
      <c r="M1184" s="652">
        <f>IF($B1184="",,SUMIFS(PerHeadcount[Month 2],PerHeadcount[exp_item],$H1184,PerHeadcount[company_name],$B1184)*M239)</f>
        <v>0</v>
      </c>
      <c r="N1184" s="652">
        <f>IF($B1184="",,SUMIFS(PerHeadcount[Month 3],PerHeadcount[exp_item],$H1184,PerHeadcount[company_name],$B1184)*N239)</f>
        <v>0</v>
      </c>
      <c r="O1184" s="652">
        <f>IF($B1184="",,SUMIFS(PerHeadcount[Month 4],PerHeadcount[exp_item],$H1184,PerHeadcount[company_name],$B1184)*O239)</f>
        <v>0</v>
      </c>
      <c r="P1184" s="652">
        <f>IF($B1184="",,SUMIFS(PerHeadcount[Month 5],PerHeadcount[exp_item],$H1184,PerHeadcount[company_name],$B1184)*P239)</f>
        <v>0</v>
      </c>
      <c r="Q1184" s="652">
        <f>IF($B1184="",,SUMIFS(PerHeadcount[Month 6],PerHeadcount[exp_item],$H1184,PerHeadcount[company_name],$B1184)*Q239)</f>
        <v>0</v>
      </c>
      <c r="R1184" s="652">
        <f>IF($B1184="",,SUMIFS(PerHeadcount[Month 7],PerHeadcount[exp_item],$H1184,PerHeadcount[company_name],$B1184)*R239)</f>
        <v>0</v>
      </c>
      <c r="S1184" s="652">
        <f>IF($B1184="",,SUMIFS(PerHeadcount[Month 8],PerHeadcount[exp_item],$H1184,PerHeadcount[company_name],$B1184)*S239)</f>
        <v>0</v>
      </c>
      <c r="T1184" s="652">
        <f>IF($B1184="",,SUMIFS(PerHeadcount[Month 9],PerHeadcount[exp_item],$H1184,PerHeadcount[company_name],$B1184)*T239)</f>
        <v>0</v>
      </c>
      <c r="U1184" s="652">
        <f>IF($B1184="",,SUMIFS(PerHeadcount[Month 10],PerHeadcount[exp_item],$H1184,PerHeadcount[company_name],$B1184)*U239)</f>
        <v>0</v>
      </c>
      <c r="V1184" s="652">
        <f>IF($B1184="",,SUMIFS(PerHeadcount[Month 11],PerHeadcount[exp_item],$H1184,PerHeadcount[company_name],$B1184)*V239)</f>
        <v>0</v>
      </c>
      <c r="W1184" s="652">
        <f>IF($B1184="",,SUMIFS(PerHeadcount[Month 12],PerHeadcount[exp_item],$H1184,PerHeadcount[company_name],$B1184)*W239)</f>
        <v>0</v>
      </c>
      <c r="X1184" s="652">
        <f>IF($B1184="",,SUMIFS(PerHeadcount[Month 13],PerHeadcount[exp_item],$H1184,PerHeadcount[company_name],$B1184)*X239)</f>
        <v>0</v>
      </c>
      <c r="Y1184" s="652">
        <f>IF($B1184="",,SUMIFS(PerHeadcount[Month 14],PerHeadcount[exp_item],$H1184,PerHeadcount[company_name],$B1184)*Y239)</f>
        <v>0</v>
      </c>
      <c r="Z1184" s="652">
        <f>IF($B1184="",,SUMIFS(PerHeadcount[Month 15],PerHeadcount[exp_item],$H1184,PerHeadcount[company_name],$B1184)*Z239)</f>
        <v>0</v>
      </c>
      <c r="AA1184" s="652">
        <f>IF($B1184="",,SUMIFS(PerHeadcount[Month 16],PerHeadcount[exp_item],$H1184,PerHeadcount[company_name],$B1184)*AA239)</f>
        <v>0</v>
      </c>
      <c r="AB1184" s="652">
        <f>IF($B1184="",,SUMIFS(PerHeadcount[Month 17],PerHeadcount[exp_item],$H1184,PerHeadcount[company_name],$B1184)*AB239)</f>
        <v>0</v>
      </c>
      <c r="AC1184" s="652">
        <f>IF($B1184="",,SUMIFS(PerHeadcount[Month 18],PerHeadcount[exp_item],$H1184,PerHeadcount[company_name],$B1184)*AC239)</f>
        <v>0</v>
      </c>
      <c r="AD1184" s="652">
        <f>IF($B1184="",,SUMIFS(PerHeadcount[Month 19],PerHeadcount[exp_item],$H1184,PerHeadcount[company_name],$B1184)*AD239)</f>
        <v>0</v>
      </c>
      <c r="AE1184" s="652">
        <f>IF($B1184="",,SUMIFS(PerHeadcount[Month 20],PerHeadcount[exp_item],$H1184,PerHeadcount[company_name],$B1184)*AE239)</f>
        <v>0</v>
      </c>
      <c r="AF1184" s="652">
        <f>IF($B1184="",,SUMIFS(PerHeadcount[Month 21],PerHeadcount[exp_item],$H1184,PerHeadcount[company_name],$B1184)*AF239)</f>
        <v>0</v>
      </c>
      <c r="AG1184" s="652">
        <f>IF($B1184="",,SUMIFS(PerHeadcount[Month 22],PerHeadcount[exp_item],$H1184,PerHeadcount[company_name],$B1184)*AG239)</f>
        <v>0</v>
      </c>
      <c r="AH1184" s="652">
        <f>IF($B1184="",,SUMIFS(PerHeadcount[Month 23],PerHeadcount[exp_item],$H1184,PerHeadcount[company_name],$B1184)*AH239)</f>
        <v>0</v>
      </c>
      <c r="AI1184" s="652">
        <f>IF($B1184="",,SUMIFS(PerHeadcount[Month 24],PerHeadcount[exp_item],$H1184,PerHeadcount[company_name],$B1184)*AI239)</f>
        <v>0</v>
      </c>
      <c r="AJ1184" s="652">
        <f>IF($B1184="",,SUMIFS(PerHeadcount[Month 25],PerHeadcount[exp_item],$H1184,PerHeadcount[company_name],$B1184)*AJ239)</f>
        <v>0</v>
      </c>
      <c r="AK1184" s="652">
        <f>IF($B1184="",,SUMIFS(PerHeadcount[Month 26],PerHeadcount[exp_item],$H1184,PerHeadcount[company_name],$B1184)*AK239)</f>
        <v>0</v>
      </c>
      <c r="AL1184" s="652">
        <f>IF($B1184="",,SUMIFS(PerHeadcount[Month 27],PerHeadcount[exp_item],$H1184,PerHeadcount[company_name],$B1184)*AL239)</f>
        <v>0</v>
      </c>
      <c r="AM1184" s="652">
        <f>IF($B1184="",,SUMIFS(PerHeadcount[Month 28],PerHeadcount[exp_item],$H1184,PerHeadcount[company_name],$B1184)*AM239)</f>
        <v>0</v>
      </c>
      <c r="AN1184" s="652">
        <f>IF($B1184="",,SUMIFS(PerHeadcount[Month 29],PerHeadcount[exp_item],$H1184,PerHeadcount[company_name],$B1184)*AN239)</f>
        <v>0</v>
      </c>
      <c r="AO1184" s="652">
        <f>IF($B1184="",,SUMIFS(PerHeadcount[Month 30],PerHeadcount[exp_item],$H1184,PerHeadcount[company_name],$B1184)*AO239)</f>
        <v>0</v>
      </c>
      <c r="AP1184" s="652">
        <f>IF($B1184="",,SUMIFS(PerHeadcount[Month 31],PerHeadcount[exp_item],$H1184,PerHeadcount[company_name],$B1184)*AP239)</f>
        <v>0</v>
      </c>
      <c r="AQ1184" s="652">
        <f>IF($B1184="",,SUMIFS(PerHeadcount[Month 32],PerHeadcount[exp_item],$H1184,PerHeadcount[company_name],$B1184)*AQ239)</f>
        <v>0</v>
      </c>
      <c r="AR1184" s="652">
        <f>IF($B1184="",,SUMIFS(PerHeadcount[Month 33],PerHeadcount[exp_item],$H1184,PerHeadcount[company_name],$B1184)*AR239)</f>
        <v>0</v>
      </c>
      <c r="AS1184" s="652">
        <f>IF($B1184="",,SUMIFS(PerHeadcount[Month 34],PerHeadcount[exp_item],$H1184,PerHeadcount[company_name],$B1184)*AS239)</f>
        <v>0</v>
      </c>
      <c r="AT1184" s="652">
        <f>IF($B1184="",,SUMIFS(PerHeadcount[Month 35],PerHeadcount[exp_item],$H1184,PerHeadcount[company_name],$B1184)*AT239)</f>
        <v>0</v>
      </c>
      <c r="AU1184" s="652">
        <f>IF($B1184="",,SUMIFS(PerHeadcount[Month 36],PerHeadcount[exp_item],$H1184,PerHeadcount[company_name],$B1184)*AU239)</f>
        <v>0</v>
      </c>
    </row>
    <row r="1185" spans="2:47" x14ac:dyDescent="0.35">
      <c r="B1185" t="str">
        <f t="shared" si="807"/>
        <v/>
      </c>
      <c r="C1185" t="str">
        <f t="shared" ref="C1185:G1185" si="829">IF(C1080="","",C1080)</f>
        <v/>
      </c>
      <c r="D1185" t="str">
        <f t="shared" si="829"/>
        <v/>
      </c>
      <c r="E1185" t="str">
        <f t="shared" si="829"/>
        <v/>
      </c>
      <c r="F1185" t="str">
        <f t="shared" si="829"/>
        <v/>
      </c>
      <c r="G1185" t="str">
        <f t="shared" si="829"/>
        <v/>
      </c>
      <c r="H1185" t="str">
        <f t="shared" si="806"/>
        <v/>
      </c>
      <c r="J1185" t="str">
        <f>IF($H1185="","",IF(VLOOKUP(H1185,ExpItems[],2,0),H1185&amp;" - "&amp;INDEX(DivisionMapping[category_code],MATCH($D1185&amp;$C1185,DivisionMapping[dept_bu],0)),H1185))</f>
        <v/>
      </c>
      <c r="K1185" t="str">
        <f t="shared" si="774"/>
        <v/>
      </c>
      <c r="L1185" s="652">
        <f>IF($B1185="",,SUMIFS(PerHeadcount[Month 1],PerHeadcount[exp_item],$H1185,PerHeadcount[company_name],$B1185)*L240)</f>
        <v>0</v>
      </c>
      <c r="M1185" s="652">
        <f>IF($B1185="",,SUMIFS(PerHeadcount[Month 2],PerHeadcount[exp_item],$H1185,PerHeadcount[company_name],$B1185)*M240)</f>
        <v>0</v>
      </c>
      <c r="N1185" s="652">
        <f>IF($B1185="",,SUMIFS(PerHeadcount[Month 3],PerHeadcount[exp_item],$H1185,PerHeadcount[company_name],$B1185)*N240)</f>
        <v>0</v>
      </c>
      <c r="O1185" s="652">
        <f>IF($B1185="",,SUMIFS(PerHeadcount[Month 4],PerHeadcount[exp_item],$H1185,PerHeadcount[company_name],$B1185)*O240)</f>
        <v>0</v>
      </c>
      <c r="P1185" s="652">
        <f>IF($B1185="",,SUMIFS(PerHeadcount[Month 5],PerHeadcount[exp_item],$H1185,PerHeadcount[company_name],$B1185)*P240)</f>
        <v>0</v>
      </c>
      <c r="Q1185" s="652">
        <f>IF($B1185="",,SUMIFS(PerHeadcount[Month 6],PerHeadcount[exp_item],$H1185,PerHeadcount[company_name],$B1185)*Q240)</f>
        <v>0</v>
      </c>
      <c r="R1185" s="652">
        <f>IF($B1185="",,SUMIFS(PerHeadcount[Month 7],PerHeadcount[exp_item],$H1185,PerHeadcount[company_name],$B1185)*R240)</f>
        <v>0</v>
      </c>
      <c r="S1185" s="652">
        <f>IF($B1185="",,SUMIFS(PerHeadcount[Month 8],PerHeadcount[exp_item],$H1185,PerHeadcount[company_name],$B1185)*S240)</f>
        <v>0</v>
      </c>
      <c r="T1185" s="652">
        <f>IF($B1185="",,SUMIFS(PerHeadcount[Month 9],PerHeadcount[exp_item],$H1185,PerHeadcount[company_name],$B1185)*T240)</f>
        <v>0</v>
      </c>
      <c r="U1185" s="652">
        <f>IF($B1185="",,SUMIFS(PerHeadcount[Month 10],PerHeadcount[exp_item],$H1185,PerHeadcount[company_name],$B1185)*U240)</f>
        <v>0</v>
      </c>
      <c r="V1185" s="652">
        <f>IF($B1185="",,SUMIFS(PerHeadcount[Month 11],PerHeadcount[exp_item],$H1185,PerHeadcount[company_name],$B1185)*V240)</f>
        <v>0</v>
      </c>
      <c r="W1185" s="652">
        <f>IF($B1185="",,SUMIFS(PerHeadcount[Month 12],PerHeadcount[exp_item],$H1185,PerHeadcount[company_name],$B1185)*W240)</f>
        <v>0</v>
      </c>
      <c r="X1185" s="652">
        <f>IF($B1185="",,SUMIFS(PerHeadcount[Month 13],PerHeadcount[exp_item],$H1185,PerHeadcount[company_name],$B1185)*X240)</f>
        <v>0</v>
      </c>
      <c r="Y1185" s="652">
        <f>IF($B1185="",,SUMIFS(PerHeadcount[Month 14],PerHeadcount[exp_item],$H1185,PerHeadcount[company_name],$B1185)*Y240)</f>
        <v>0</v>
      </c>
      <c r="Z1185" s="652">
        <f>IF($B1185="",,SUMIFS(PerHeadcount[Month 15],PerHeadcount[exp_item],$H1185,PerHeadcount[company_name],$B1185)*Z240)</f>
        <v>0</v>
      </c>
      <c r="AA1185" s="652">
        <f>IF($B1185="",,SUMIFS(PerHeadcount[Month 16],PerHeadcount[exp_item],$H1185,PerHeadcount[company_name],$B1185)*AA240)</f>
        <v>0</v>
      </c>
      <c r="AB1185" s="652">
        <f>IF($B1185="",,SUMIFS(PerHeadcount[Month 17],PerHeadcount[exp_item],$H1185,PerHeadcount[company_name],$B1185)*AB240)</f>
        <v>0</v>
      </c>
      <c r="AC1185" s="652">
        <f>IF($B1185="",,SUMIFS(PerHeadcount[Month 18],PerHeadcount[exp_item],$H1185,PerHeadcount[company_name],$B1185)*AC240)</f>
        <v>0</v>
      </c>
      <c r="AD1185" s="652">
        <f>IF($B1185="",,SUMIFS(PerHeadcount[Month 19],PerHeadcount[exp_item],$H1185,PerHeadcount[company_name],$B1185)*AD240)</f>
        <v>0</v>
      </c>
      <c r="AE1185" s="652">
        <f>IF($B1185="",,SUMIFS(PerHeadcount[Month 20],PerHeadcount[exp_item],$H1185,PerHeadcount[company_name],$B1185)*AE240)</f>
        <v>0</v>
      </c>
      <c r="AF1185" s="652">
        <f>IF($B1185="",,SUMIFS(PerHeadcount[Month 21],PerHeadcount[exp_item],$H1185,PerHeadcount[company_name],$B1185)*AF240)</f>
        <v>0</v>
      </c>
      <c r="AG1185" s="652">
        <f>IF($B1185="",,SUMIFS(PerHeadcount[Month 22],PerHeadcount[exp_item],$H1185,PerHeadcount[company_name],$B1185)*AG240)</f>
        <v>0</v>
      </c>
      <c r="AH1185" s="652">
        <f>IF($B1185="",,SUMIFS(PerHeadcount[Month 23],PerHeadcount[exp_item],$H1185,PerHeadcount[company_name],$B1185)*AH240)</f>
        <v>0</v>
      </c>
      <c r="AI1185" s="652">
        <f>IF($B1185="",,SUMIFS(PerHeadcount[Month 24],PerHeadcount[exp_item],$H1185,PerHeadcount[company_name],$B1185)*AI240)</f>
        <v>0</v>
      </c>
      <c r="AJ1185" s="652">
        <f>IF($B1185="",,SUMIFS(PerHeadcount[Month 25],PerHeadcount[exp_item],$H1185,PerHeadcount[company_name],$B1185)*AJ240)</f>
        <v>0</v>
      </c>
      <c r="AK1185" s="652">
        <f>IF($B1185="",,SUMIFS(PerHeadcount[Month 26],PerHeadcount[exp_item],$H1185,PerHeadcount[company_name],$B1185)*AK240)</f>
        <v>0</v>
      </c>
      <c r="AL1185" s="652">
        <f>IF($B1185="",,SUMIFS(PerHeadcount[Month 27],PerHeadcount[exp_item],$H1185,PerHeadcount[company_name],$B1185)*AL240)</f>
        <v>0</v>
      </c>
      <c r="AM1185" s="652">
        <f>IF($B1185="",,SUMIFS(PerHeadcount[Month 28],PerHeadcount[exp_item],$H1185,PerHeadcount[company_name],$B1185)*AM240)</f>
        <v>0</v>
      </c>
      <c r="AN1185" s="652">
        <f>IF($B1185="",,SUMIFS(PerHeadcount[Month 29],PerHeadcount[exp_item],$H1185,PerHeadcount[company_name],$B1185)*AN240)</f>
        <v>0</v>
      </c>
      <c r="AO1185" s="652">
        <f>IF($B1185="",,SUMIFS(PerHeadcount[Month 30],PerHeadcount[exp_item],$H1185,PerHeadcount[company_name],$B1185)*AO240)</f>
        <v>0</v>
      </c>
      <c r="AP1185" s="652">
        <f>IF($B1185="",,SUMIFS(PerHeadcount[Month 31],PerHeadcount[exp_item],$H1185,PerHeadcount[company_name],$B1185)*AP240)</f>
        <v>0</v>
      </c>
      <c r="AQ1185" s="652">
        <f>IF($B1185="",,SUMIFS(PerHeadcount[Month 32],PerHeadcount[exp_item],$H1185,PerHeadcount[company_name],$B1185)*AQ240)</f>
        <v>0</v>
      </c>
      <c r="AR1185" s="652">
        <f>IF($B1185="",,SUMIFS(PerHeadcount[Month 33],PerHeadcount[exp_item],$H1185,PerHeadcount[company_name],$B1185)*AR240)</f>
        <v>0</v>
      </c>
      <c r="AS1185" s="652">
        <f>IF($B1185="",,SUMIFS(PerHeadcount[Month 34],PerHeadcount[exp_item],$H1185,PerHeadcount[company_name],$B1185)*AS240)</f>
        <v>0</v>
      </c>
      <c r="AT1185" s="652">
        <f>IF($B1185="",,SUMIFS(PerHeadcount[Month 35],PerHeadcount[exp_item],$H1185,PerHeadcount[company_name],$B1185)*AT240)</f>
        <v>0</v>
      </c>
      <c r="AU1185" s="652">
        <f>IF($B1185="",,SUMIFS(PerHeadcount[Month 36],PerHeadcount[exp_item],$H1185,PerHeadcount[company_name],$B1185)*AU240)</f>
        <v>0</v>
      </c>
    </row>
    <row r="1186" spans="2:47" x14ac:dyDescent="0.35">
      <c r="B1186" t="str">
        <f t="shared" si="807"/>
        <v/>
      </c>
      <c r="C1186" t="str">
        <f t="shared" ref="C1186:G1186" si="830">IF(C1081="","",C1081)</f>
        <v/>
      </c>
      <c r="D1186" t="str">
        <f t="shared" si="830"/>
        <v/>
      </c>
      <c r="E1186" t="str">
        <f t="shared" si="830"/>
        <v/>
      </c>
      <c r="F1186" t="str">
        <f t="shared" si="830"/>
        <v/>
      </c>
      <c r="G1186" t="str">
        <f t="shared" si="830"/>
        <v/>
      </c>
      <c r="H1186" t="str">
        <f t="shared" si="806"/>
        <v/>
      </c>
      <c r="J1186" t="str">
        <f>IF($H1186="","",IF(VLOOKUP(H1186,ExpItems[],2,0),H1186&amp;" - "&amp;INDEX(DivisionMapping[category_code],MATCH($D1186&amp;$C1186,DivisionMapping[dept_bu],0)),H1186))</f>
        <v/>
      </c>
      <c r="K1186" t="str">
        <f t="shared" si="774"/>
        <v/>
      </c>
      <c r="L1186" s="652">
        <f>IF($B1186="",,SUMIFS(PerHeadcount[Month 1],PerHeadcount[exp_item],$H1186,PerHeadcount[company_name],$B1186)*L241)</f>
        <v>0</v>
      </c>
      <c r="M1186" s="652">
        <f>IF($B1186="",,SUMIFS(PerHeadcount[Month 2],PerHeadcount[exp_item],$H1186,PerHeadcount[company_name],$B1186)*M241)</f>
        <v>0</v>
      </c>
      <c r="N1186" s="652">
        <f>IF($B1186="",,SUMIFS(PerHeadcount[Month 3],PerHeadcount[exp_item],$H1186,PerHeadcount[company_name],$B1186)*N241)</f>
        <v>0</v>
      </c>
      <c r="O1186" s="652">
        <f>IF($B1186="",,SUMIFS(PerHeadcount[Month 4],PerHeadcount[exp_item],$H1186,PerHeadcount[company_name],$B1186)*O241)</f>
        <v>0</v>
      </c>
      <c r="P1186" s="652">
        <f>IF($B1186="",,SUMIFS(PerHeadcount[Month 5],PerHeadcount[exp_item],$H1186,PerHeadcount[company_name],$B1186)*P241)</f>
        <v>0</v>
      </c>
      <c r="Q1186" s="652">
        <f>IF($B1186="",,SUMIFS(PerHeadcount[Month 6],PerHeadcount[exp_item],$H1186,PerHeadcount[company_name],$B1186)*Q241)</f>
        <v>0</v>
      </c>
      <c r="R1186" s="652">
        <f>IF($B1186="",,SUMIFS(PerHeadcount[Month 7],PerHeadcount[exp_item],$H1186,PerHeadcount[company_name],$B1186)*R241)</f>
        <v>0</v>
      </c>
      <c r="S1186" s="652">
        <f>IF($B1186="",,SUMIFS(PerHeadcount[Month 8],PerHeadcount[exp_item],$H1186,PerHeadcount[company_name],$B1186)*S241)</f>
        <v>0</v>
      </c>
      <c r="T1186" s="652">
        <f>IF($B1186="",,SUMIFS(PerHeadcount[Month 9],PerHeadcount[exp_item],$H1186,PerHeadcount[company_name],$B1186)*T241)</f>
        <v>0</v>
      </c>
      <c r="U1186" s="652">
        <f>IF($B1186="",,SUMIFS(PerHeadcount[Month 10],PerHeadcount[exp_item],$H1186,PerHeadcount[company_name],$B1186)*U241)</f>
        <v>0</v>
      </c>
      <c r="V1186" s="652">
        <f>IF($B1186="",,SUMIFS(PerHeadcount[Month 11],PerHeadcount[exp_item],$H1186,PerHeadcount[company_name],$B1186)*V241)</f>
        <v>0</v>
      </c>
      <c r="W1186" s="652">
        <f>IF($B1186="",,SUMIFS(PerHeadcount[Month 12],PerHeadcount[exp_item],$H1186,PerHeadcount[company_name],$B1186)*W241)</f>
        <v>0</v>
      </c>
      <c r="X1186" s="652">
        <f>IF($B1186="",,SUMIFS(PerHeadcount[Month 13],PerHeadcount[exp_item],$H1186,PerHeadcount[company_name],$B1186)*X241)</f>
        <v>0</v>
      </c>
      <c r="Y1186" s="652">
        <f>IF($B1186="",,SUMIFS(PerHeadcount[Month 14],PerHeadcount[exp_item],$H1186,PerHeadcount[company_name],$B1186)*Y241)</f>
        <v>0</v>
      </c>
      <c r="Z1186" s="652">
        <f>IF($B1186="",,SUMIFS(PerHeadcount[Month 15],PerHeadcount[exp_item],$H1186,PerHeadcount[company_name],$B1186)*Z241)</f>
        <v>0</v>
      </c>
      <c r="AA1186" s="652">
        <f>IF($B1186="",,SUMIFS(PerHeadcount[Month 16],PerHeadcount[exp_item],$H1186,PerHeadcount[company_name],$B1186)*AA241)</f>
        <v>0</v>
      </c>
      <c r="AB1186" s="652">
        <f>IF($B1186="",,SUMIFS(PerHeadcount[Month 17],PerHeadcount[exp_item],$H1186,PerHeadcount[company_name],$B1186)*AB241)</f>
        <v>0</v>
      </c>
      <c r="AC1186" s="652">
        <f>IF($B1186="",,SUMIFS(PerHeadcount[Month 18],PerHeadcount[exp_item],$H1186,PerHeadcount[company_name],$B1186)*AC241)</f>
        <v>0</v>
      </c>
      <c r="AD1186" s="652">
        <f>IF($B1186="",,SUMIFS(PerHeadcount[Month 19],PerHeadcount[exp_item],$H1186,PerHeadcount[company_name],$B1186)*AD241)</f>
        <v>0</v>
      </c>
      <c r="AE1186" s="652">
        <f>IF($B1186="",,SUMIFS(PerHeadcount[Month 20],PerHeadcount[exp_item],$H1186,PerHeadcount[company_name],$B1186)*AE241)</f>
        <v>0</v>
      </c>
      <c r="AF1186" s="652">
        <f>IF($B1186="",,SUMIFS(PerHeadcount[Month 21],PerHeadcount[exp_item],$H1186,PerHeadcount[company_name],$B1186)*AF241)</f>
        <v>0</v>
      </c>
      <c r="AG1186" s="652">
        <f>IF($B1186="",,SUMIFS(PerHeadcount[Month 22],PerHeadcount[exp_item],$H1186,PerHeadcount[company_name],$B1186)*AG241)</f>
        <v>0</v>
      </c>
      <c r="AH1186" s="652">
        <f>IF($B1186="",,SUMIFS(PerHeadcount[Month 23],PerHeadcount[exp_item],$H1186,PerHeadcount[company_name],$B1186)*AH241)</f>
        <v>0</v>
      </c>
      <c r="AI1186" s="652">
        <f>IF($B1186="",,SUMIFS(PerHeadcount[Month 24],PerHeadcount[exp_item],$H1186,PerHeadcount[company_name],$B1186)*AI241)</f>
        <v>0</v>
      </c>
      <c r="AJ1186" s="652">
        <f>IF($B1186="",,SUMIFS(PerHeadcount[Month 25],PerHeadcount[exp_item],$H1186,PerHeadcount[company_name],$B1186)*AJ241)</f>
        <v>0</v>
      </c>
      <c r="AK1186" s="652">
        <f>IF($B1186="",,SUMIFS(PerHeadcount[Month 26],PerHeadcount[exp_item],$H1186,PerHeadcount[company_name],$B1186)*AK241)</f>
        <v>0</v>
      </c>
      <c r="AL1186" s="652">
        <f>IF($B1186="",,SUMIFS(PerHeadcount[Month 27],PerHeadcount[exp_item],$H1186,PerHeadcount[company_name],$B1186)*AL241)</f>
        <v>0</v>
      </c>
      <c r="AM1186" s="652">
        <f>IF($B1186="",,SUMIFS(PerHeadcount[Month 28],PerHeadcount[exp_item],$H1186,PerHeadcount[company_name],$B1186)*AM241)</f>
        <v>0</v>
      </c>
      <c r="AN1186" s="652">
        <f>IF($B1186="",,SUMIFS(PerHeadcount[Month 29],PerHeadcount[exp_item],$H1186,PerHeadcount[company_name],$B1186)*AN241)</f>
        <v>0</v>
      </c>
      <c r="AO1186" s="652">
        <f>IF($B1186="",,SUMIFS(PerHeadcount[Month 30],PerHeadcount[exp_item],$H1186,PerHeadcount[company_name],$B1186)*AO241)</f>
        <v>0</v>
      </c>
      <c r="AP1186" s="652">
        <f>IF($B1186="",,SUMIFS(PerHeadcount[Month 31],PerHeadcount[exp_item],$H1186,PerHeadcount[company_name],$B1186)*AP241)</f>
        <v>0</v>
      </c>
      <c r="AQ1186" s="652">
        <f>IF($B1186="",,SUMIFS(PerHeadcount[Month 32],PerHeadcount[exp_item],$H1186,PerHeadcount[company_name],$B1186)*AQ241)</f>
        <v>0</v>
      </c>
      <c r="AR1186" s="652">
        <f>IF($B1186="",,SUMIFS(PerHeadcount[Month 33],PerHeadcount[exp_item],$H1186,PerHeadcount[company_name],$B1186)*AR241)</f>
        <v>0</v>
      </c>
      <c r="AS1186" s="652">
        <f>IF($B1186="",,SUMIFS(PerHeadcount[Month 34],PerHeadcount[exp_item],$H1186,PerHeadcount[company_name],$B1186)*AS241)</f>
        <v>0</v>
      </c>
      <c r="AT1186" s="652">
        <f>IF($B1186="",,SUMIFS(PerHeadcount[Month 35],PerHeadcount[exp_item],$H1186,PerHeadcount[company_name],$B1186)*AT241)</f>
        <v>0</v>
      </c>
      <c r="AU1186" s="652">
        <f>IF($B1186="",,SUMIFS(PerHeadcount[Month 36],PerHeadcount[exp_item],$H1186,PerHeadcount[company_name],$B1186)*AU241)</f>
        <v>0</v>
      </c>
    </row>
    <row r="1187" spans="2:47" x14ac:dyDescent="0.35">
      <c r="B1187" t="str">
        <f t="shared" si="807"/>
        <v/>
      </c>
      <c r="C1187" t="str">
        <f t="shared" ref="C1187:G1187" si="831">IF(C1082="","",C1082)</f>
        <v/>
      </c>
      <c r="D1187" t="str">
        <f t="shared" si="831"/>
        <v/>
      </c>
      <c r="E1187" t="str">
        <f t="shared" si="831"/>
        <v/>
      </c>
      <c r="F1187" t="str">
        <f t="shared" si="831"/>
        <v/>
      </c>
      <c r="G1187" t="str">
        <f t="shared" si="831"/>
        <v/>
      </c>
      <c r="H1187" t="str">
        <f t="shared" si="806"/>
        <v/>
      </c>
      <c r="J1187" t="str">
        <f>IF($H1187="","",IF(VLOOKUP(H1187,ExpItems[],2,0),H1187&amp;" - "&amp;INDEX(DivisionMapping[category_code],MATCH($D1187&amp;$C1187,DivisionMapping[dept_bu],0)),H1187))</f>
        <v/>
      </c>
      <c r="K1187" t="str">
        <f t="shared" si="774"/>
        <v/>
      </c>
      <c r="L1187" s="652">
        <f>IF($B1187="",,SUMIFS(PerHeadcount[Month 1],PerHeadcount[exp_item],$H1187,PerHeadcount[company_name],$B1187)*L242)</f>
        <v>0</v>
      </c>
      <c r="M1187" s="652">
        <f>IF($B1187="",,SUMIFS(PerHeadcount[Month 2],PerHeadcount[exp_item],$H1187,PerHeadcount[company_name],$B1187)*M242)</f>
        <v>0</v>
      </c>
      <c r="N1187" s="652">
        <f>IF($B1187="",,SUMIFS(PerHeadcount[Month 3],PerHeadcount[exp_item],$H1187,PerHeadcount[company_name],$B1187)*N242)</f>
        <v>0</v>
      </c>
      <c r="O1187" s="652">
        <f>IF($B1187="",,SUMIFS(PerHeadcount[Month 4],PerHeadcount[exp_item],$H1187,PerHeadcount[company_name],$B1187)*O242)</f>
        <v>0</v>
      </c>
      <c r="P1187" s="652">
        <f>IF($B1187="",,SUMIFS(PerHeadcount[Month 5],PerHeadcount[exp_item],$H1187,PerHeadcount[company_name],$B1187)*P242)</f>
        <v>0</v>
      </c>
      <c r="Q1187" s="652">
        <f>IF($B1187="",,SUMIFS(PerHeadcount[Month 6],PerHeadcount[exp_item],$H1187,PerHeadcount[company_name],$B1187)*Q242)</f>
        <v>0</v>
      </c>
      <c r="R1187" s="652">
        <f>IF($B1187="",,SUMIFS(PerHeadcount[Month 7],PerHeadcount[exp_item],$H1187,PerHeadcount[company_name],$B1187)*R242)</f>
        <v>0</v>
      </c>
      <c r="S1187" s="652">
        <f>IF($B1187="",,SUMIFS(PerHeadcount[Month 8],PerHeadcount[exp_item],$H1187,PerHeadcount[company_name],$B1187)*S242)</f>
        <v>0</v>
      </c>
      <c r="T1187" s="652">
        <f>IF($B1187="",,SUMIFS(PerHeadcount[Month 9],PerHeadcount[exp_item],$H1187,PerHeadcount[company_name],$B1187)*T242)</f>
        <v>0</v>
      </c>
      <c r="U1187" s="652">
        <f>IF($B1187="",,SUMIFS(PerHeadcount[Month 10],PerHeadcount[exp_item],$H1187,PerHeadcount[company_name],$B1187)*U242)</f>
        <v>0</v>
      </c>
      <c r="V1187" s="652">
        <f>IF($B1187="",,SUMIFS(PerHeadcount[Month 11],PerHeadcount[exp_item],$H1187,PerHeadcount[company_name],$B1187)*V242)</f>
        <v>0</v>
      </c>
      <c r="W1187" s="652">
        <f>IF($B1187="",,SUMIFS(PerHeadcount[Month 12],PerHeadcount[exp_item],$H1187,PerHeadcount[company_name],$B1187)*W242)</f>
        <v>0</v>
      </c>
      <c r="X1187" s="652">
        <f>IF($B1187="",,SUMIFS(PerHeadcount[Month 13],PerHeadcount[exp_item],$H1187,PerHeadcount[company_name],$B1187)*X242)</f>
        <v>0</v>
      </c>
      <c r="Y1187" s="652">
        <f>IF($B1187="",,SUMIFS(PerHeadcount[Month 14],PerHeadcount[exp_item],$H1187,PerHeadcount[company_name],$B1187)*Y242)</f>
        <v>0</v>
      </c>
      <c r="Z1187" s="652">
        <f>IF($B1187="",,SUMIFS(PerHeadcount[Month 15],PerHeadcount[exp_item],$H1187,PerHeadcount[company_name],$B1187)*Z242)</f>
        <v>0</v>
      </c>
      <c r="AA1187" s="652">
        <f>IF($B1187="",,SUMIFS(PerHeadcount[Month 16],PerHeadcount[exp_item],$H1187,PerHeadcount[company_name],$B1187)*AA242)</f>
        <v>0</v>
      </c>
      <c r="AB1187" s="652">
        <f>IF($B1187="",,SUMIFS(PerHeadcount[Month 17],PerHeadcount[exp_item],$H1187,PerHeadcount[company_name],$B1187)*AB242)</f>
        <v>0</v>
      </c>
      <c r="AC1187" s="652">
        <f>IF($B1187="",,SUMIFS(PerHeadcount[Month 18],PerHeadcount[exp_item],$H1187,PerHeadcount[company_name],$B1187)*AC242)</f>
        <v>0</v>
      </c>
      <c r="AD1187" s="652">
        <f>IF($B1187="",,SUMIFS(PerHeadcount[Month 19],PerHeadcount[exp_item],$H1187,PerHeadcount[company_name],$B1187)*AD242)</f>
        <v>0</v>
      </c>
      <c r="AE1187" s="652">
        <f>IF($B1187="",,SUMIFS(PerHeadcount[Month 20],PerHeadcount[exp_item],$H1187,PerHeadcount[company_name],$B1187)*AE242)</f>
        <v>0</v>
      </c>
      <c r="AF1187" s="652">
        <f>IF($B1187="",,SUMIFS(PerHeadcount[Month 21],PerHeadcount[exp_item],$H1187,PerHeadcount[company_name],$B1187)*AF242)</f>
        <v>0</v>
      </c>
      <c r="AG1187" s="652">
        <f>IF($B1187="",,SUMIFS(PerHeadcount[Month 22],PerHeadcount[exp_item],$H1187,PerHeadcount[company_name],$B1187)*AG242)</f>
        <v>0</v>
      </c>
      <c r="AH1187" s="652">
        <f>IF($B1187="",,SUMIFS(PerHeadcount[Month 23],PerHeadcount[exp_item],$H1187,PerHeadcount[company_name],$B1187)*AH242)</f>
        <v>0</v>
      </c>
      <c r="AI1187" s="652">
        <f>IF($B1187="",,SUMIFS(PerHeadcount[Month 24],PerHeadcount[exp_item],$H1187,PerHeadcount[company_name],$B1187)*AI242)</f>
        <v>0</v>
      </c>
      <c r="AJ1187" s="652">
        <f>IF($B1187="",,SUMIFS(PerHeadcount[Month 25],PerHeadcount[exp_item],$H1187,PerHeadcount[company_name],$B1187)*AJ242)</f>
        <v>0</v>
      </c>
      <c r="AK1187" s="652">
        <f>IF($B1187="",,SUMIFS(PerHeadcount[Month 26],PerHeadcount[exp_item],$H1187,PerHeadcount[company_name],$B1187)*AK242)</f>
        <v>0</v>
      </c>
      <c r="AL1187" s="652">
        <f>IF($B1187="",,SUMIFS(PerHeadcount[Month 27],PerHeadcount[exp_item],$H1187,PerHeadcount[company_name],$B1187)*AL242)</f>
        <v>0</v>
      </c>
      <c r="AM1187" s="652">
        <f>IF($B1187="",,SUMIFS(PerHeadcount[Month 28],PerHeadcount[exp_item],$H1187,PerHeadcount[company_name],$B1187)*AM242)</f>
        <v>0</v>
      </c>
      <c r="AN1187" s="652">
        <f>IF($B1187="",,SUMIFS(PerHeadcount[Month 29],PerHeadcount[exp_item],$H1187,PerHeadcount[company_name],$B1187)*AN242)</f>
        <v>0</v>
      </c>
      <c r="AO1187" s="652">
        <f>IF($B1187="",,SUMIFS(PerHeadcount[Month 30],PerHeadcount[exp_item],$H1187,PerHeadcount[company_name],$B1187)*AO242)</f>
        <v>0</v>
      </c>
      <c r="AP1187" s="652">
        <f>IF($B1187="",,SUMIFS(PerHeadcount[Month 31],PerHeadcount[exp_item],$H1187,PerHeadcount[company_name],$B1187)*AP242)</f>
        <v>0</v>
      </c>
      <c r="AQ1187" s="652">
        <f>IF($B1187="",,SUMIFS(PerHeadcount[Month 32],PerHeadcount[exp_item],$H1187,PerHeadcount[company_name],$B1187)*AQ242)</f>
        <v>0</v>
      </c>
      <c r="AR1187" s="652">
        <f>IF($B1187="",,SUMIFS(PerHeadcount[Month 33],PerHeadcount[exp_item],$H1187,PerHeadcount[company_name],$B1187)*AR242)</f>
        <v>0</v>
      </c>
      <c r="AS1187" s="652">
        <f>IF($B1187="",,SUMIFS(PerHeadcount[Month 34],PerHeadcount[exp_item],$H1187,PerHeadcount[company_name],$B1187)*AS242)</f>
        <v>0</v>
      </c>
      <c r="AT1187" s="652">
        <f>IF($B1187="",,SUMIFS(PerHeadcount[Month 35],PerHeadcount[exp_item],$H1187,PerHeadcount[company_name],$B1187)*AT242)</f>
        <v>0</v>
      </c>
      <c r="AU1187" s="652">
        <f>IF($B1187="",,SUMIFS(PerHeadcount[Month 36],PerHeadcount[exp_item],$H1187,PerHeadcount[company_name],$B1187)*AU242)</f>
        <v>0</v>
      </c>
    </row>
    <row r="1188" spans="2:47" x14ac:dyDescent="0.35">
      <c r="B1188" t="str">
        <f t="shared" si="807"/>
        <v/>
      </c>
      <c r="C1188" t="str">
        <f t="shared" ref="C1188:G1188" si="832">IF(C1083="","",C1083)</f>
        <v/>
      </c>
      <c r="D1188" t="str">
        <f t="shared" si="832"/>
        <v/>
      </c>
      <c r="E1188" t="str">
        <f t="shared" si="832"/>
        <v/>
      </c>
      <c r="F1188" t="str">
        <f t="shared" si="832"/>
        <v/>
      </c>
      <c r="G1188" t="str">
        <f t="shared" si="832"/>
        <v/>
      </c>
      <c r="H1188" t="str">
        <f t="shared" si="806"/>
        <v/>
      </c>
      <c r="J1188" t="str">
        <f>IF($H1188="","",IF(VLOOKUP(H1188,ExpItems[],2,0),H1188&amp;" - "&amp;INDEX(DivisionMapping[category_code],MATCH($D1188&amp;$C1188,DivisionMapping[dept_bu],0)),H1188))</f>
        <v/>
      </c>
      <c r="K1188" t="str">
        <f t="shared" si="774"/>
        <v/>
      </c>
      <c r="L1188" s="652">
        <f>IF($B1188="",,SUMIFS(PerHeadcount[Month 1],PerHeadcount[exp_item],$H1188,PerHeadcount[company_name],$B1188)*L243)</f>
        <v>0</v>
      </c>
      <c r="M1188" s="652">
        <f>IF($B1188="",,SUMIFS(PerHeadcount[Month 2],PerHeadcount[exp_item],$H1188,PerHeadcount[company_name],$B1188)*M243)</f>
        <v>0</v>
      </c>
      <c r="N1188" s="652">
        <f>IF($B1188="",,SUMIFS(PerHeadcount[Month 3],PerHeadcount[exp_item],$H1188,PerHeadcount[company_name],$B1188)*N243)</f>
        <v>0</v>
      </c>
      <c r="O1188" s="652">
        <f>IF($B1188="",,SUMIFS(PerHeadcount[Month 4],PerHeadcount[exp_item],$H1188,PerHeadcount[company_name],$B1188)*O243)</f>
        <v>0</v>
      </c>
      <c r="P1188" s="652">
        <f>IF($B1188="",,SUMIFS(PerHeadcount[Month 5],PerHeadcount[exp_item],$H1188,PerHeadcount[company_name],$B1188)*P243)</f>
        <v>0</v>
      </c>
      <c r="Q1188" s="652">
        <f>IF($B1188="",,SUMIFS(PerHeadcount[Month 6],PerHeadcount[exp_item],$H1188,PerHeadcount[company_name],$B1188)*Q243)</f>
        <v>0</v>
      </c>
      <c r="R1188" s="652">
        <f>IF($B1188="",,SUMIFS(PerHeadcount[Month 7],PerHeadcount[exp_item],$H1188,PerHeadcount[company_name],$B1188)*R243)</f>
        <v>0</v>
      </c>
      <c r="S1188" s="652">
        <f>IF($B1188="",,SUMIFS(PerHeadcount[Month 8],PerHeadcount[exp_item],$H1188,PerHeadcount[company_name],$B1188)*S243)</f>
        <v>0</v>
      </c>
      <c r="T1188" s="652">
        <f>IF($B1188="",,SUMIFS(PerHeadcount[Month 9],PerHeadcount[exp_item],$H1188,PerHeadcount[company_name],$B1188)*T243)</f>
        <v>0</v>
      </c>
      <c r="U1188" s="652">
        <f>IF($B1188="",,SUMIFS(PerHeadcount[Month 10],PerHeadcount[exp_item],$H1188,PerHeadcount[company_name],$B1188)*U243)</f>
        <v>0</v>
      </c>
      <c r="V1188" s="652">
        <f>IF($B1188="",,SUMIFS(PerHeadcount[Month 11],PerHeadcount[exp_item],$H1188,PerHeadcount[company_name],$B1188)*V243)</f>
        <v>0</v>
      </c>
      <c r="W1188" s="652">
        <f>IF($B1188="",,SUMIFS(PerHeadcount[Month 12],PerHeadcount[exp_item],$H1188,PerHeadcount[company_name],$B1188)*W243)</f>
        <v>0</v>
      </c>
      <c r="X1188" s="652">
        <f>IF($B1188="",,SUMIFS(PerHeadcount[Month 13],PerHeadcount[exp_item],$H1188,PerHeadcount[company_name],$B1188)*X243)</f>
        <v>0</v>
      </c>
      <c r="Y1188" s="652">
        <f>IF($B1188="",,SUMIFS(PerHeadcount[Month 14],PerHeadcount[exp_item],$H1188,PerHeadcount[company_name],$B1188)*Y243)</f>
        <v>0</v>
      </c>
      <c r="Z1188" s="652">
        <f>IF($B1188="",,SUMIFS(PerHeadcount[Month 15],PerHeadcount[exp_item],$H1188,PerHeadcount[company_name],$B1188)*Z243)</f>
        <v>0</v>
      </c>
      <c r="AA1188" s="652">
        <f>IF($B1188="",,SUMIFS(PerHeadcount[Month 16],PerHeadcount[exp_item],$H1188,PerHeadcount[company_name],$B1188)*AA243)</f>
        <v>0</v>
      </c>
      <c r="AB1188" s="652">
        <f>IF($B1188="",,SUMIFS(PerHeadcount[Month 17],PerHeadcount[exp_item],$H1188,PerHeadcount[company_name],$B1188)*AB243)</f>
        <v>0</v>
      </c>
      <c r="AC1188" s="652">
        <f>IF($B1188="",,SUMIFS(PerHeadcount[Month 18],PerHeadcount[exp_item],$H1188,PerHeadcount[company_name],$B1188)*AC243)</f>
        <v>0</v>
      </c>
      <c r="AD1188" s="652">
        <f>IF($B1188="",,SUMIFS(PerHeadcount[Month 19],PerHeadcount[exp_item],$H1188,PerHeadcount[company_name],$B1188)*AD243)</f>
        <v>0</v>
      </c>
      <c r="AE1188" s="652">
        <f>IF($B1188="",,SUMIFS(PerHeadcount[Month 20],PerHeadcount[exp_item],$H1188,PerHeadcount[company_name],$B1188)*AE243)</f>
        <v>0</v>
      </c>
      <c r="AF1188" s="652">
        <f>IF($B1188="",,SUMIFS(PerHeadcount[Month 21],PerHeadcount[exp_item],$H1188,PerHeadcount[company_name],$B1188)*AF243)</f>
        <v>0</v>
      </c>
      <c r="AG1188" s="652">
        <f>IF($B1188="",,SUMIFS(PerHeadcount[Month 22],PerHeadcount[exp_item],$H1188,PerHeadcount[company_name],$B1188)*AG243)</f>
        <v>0</v>
      </c>
      <c r="AH1188" s="652">
        <f>IF($B1188="",,SUMIFS(PerHeadcount[Month 23],PerHeadcount[exp_item],$H1188,PerHeadcount[company_name],$B1188)*AH243)</f>
        <v>0</v>
      </c>
      <c r="AI1188" s="652">
        <f>IF($B1188="",,SUMIFS(PerHeadcount[Month 24],PerHeadcount[exp_item],$H1188,PerHeadcount[company_name],$B1188)*AI243)</f>
        <v>0</v>
      </c>
      <c r="AJ1188" s="652">
        <f>IF($B1188="",,SUMIFS(PerHeadcount[Month 25],PerHeadcount[exp_item],$H1188,PerHeadcount[company_name],$B1188)*AJ243)</f>
        <v>0</v>
      </c>
      <c r="AK1188" s="652">
        <f>IF($B1188="",,SUMIFS(PerHeadcount[Month 26],PerHeadcount[exp_item],$H1188,PerHeadcount[company_name],$B1188)*AK243)</f>
        <v>0</v>
      </c>
      <c r="AL1188" s="652">
        <f>IF($B1188="",,SUMIFS(PerHeadcount[Month 27],PerHeadcount[exp_item],$H1188,PerHeadcount[company_name],$B1188)*AL243)</f>
        <v>0</v>
      </c>
      <c r="AM1188" s="652">
        <f>IF($B1188="",,SUMIFS(PerHeadcount[Month 28],PerHeadcount[exp_item],$H1188,PerHeadcount[company_name],$B1188)*AM243)</f>
        <v>0</v>
      </c>
      <c r="AN1188" s="652">
        <f>IF($B1188="",,SUMIFS(PerHeadcount[Month 29],PerHeadcount[exp_item],$H1188,PerHeadcount[company_name],$B1188)*AN243)</f>
        <v>0</v>
      </c>
      <c r="AO1188" s="652">
        <f>IF($B1188="",,SUMIFS(PerHeadcount[Month 30],PerHeadcount[exp_item],$H1188,PerHeadcount[company_name],$B1188)*AO243)</f>
        <v>0</v>
      </c>
      <c r="AP1188" s="652">
        <f>IF($B1188="",,SUMIFS(PerHeadcount[Month 31],PerHeadcount[exp_item],$H1188,PerHeadcount[company_name],$B1188)*AP243)</f>
        <v>0</v>
      </c>
      <c r="AQ1188" s="652">
        <f>IF($B1188="",,SUMIFS(PerHeadcount[Month 32],PerHeadcount[exp_item],$H1188,PerHeadcount[company_name],$B1188)*AQ243)</f>
        <v>0</v>
      </c>
      <c r="AR1188" s="652">
        <f>IF($B1188="",,SUMIFS(PerHeadcount[Month 33],PerHeadcount[exp_item],$H1188,PerHeadcount[company_name],$B1188)*AR243)</f>
        <v>0</v>
      </c>
      <c r="AS1188" s="652">
        <f>IF($B1188="",,SUMIFS(PerHeadcount[Month 34],PerHeadcount[exp_item],$H1188,PerHeadcount[company_name],$B1188)*AS243)</f>
        <v>0</v>
      </c>
      <c r="AT1188" s="652">
        <f>IF($B1188="",,SUMIFS(PerHeadcount[Month 35],PerHeadcount[exp_item],$H1188,PerHeadcount[company_name],$B1188)*AT243)</f>
        <v>0</v>
      </c>
      <c r="AU1188" s="652">
        <f>IF($B1188="",,SUMIFS(PerHeadcount[Month 36],PerHeadcount[exp_item],$H1188,PerHeadcount[company_name],$B1188)*AU243)</f>
        <v>0</v>
      </c>
    </row>
    <row r="1189" spans="2:47" x14ac:dyDescent="0.35">
      <c r="B1189" t="str">
        <f t="shared" si="807"/>
        <v/>
      </c>
      <c r="C1189" t="str">
        <f t="shared" ref="C1189:G1189" si="833">IF(C1084="","",C1084)</f>
        <v/>
      </c>
      <c r="D1189" t="str">
        <f t="shared" si="833"/>
        <v/>
      </c>
      <c r="E1189" t="str">
        <f t="shared" si="833"/>
        <v/>
      </c>
      <c r="F1189" t="str">
        <f t="shared" si="833"/>
        <v/>
      </c>
      <c r="G1189" t="str">
        <f t="shared" si="833"/>
        <v/>
      </c>
      <c r="H1189" t="str">
        <f t="shared" si="806"/>
        <v/>
      </c>
      <c r="J1189" t="str">
        <f>IF($H1189="","",IF(VLOOKUP(H1189,ExpItems[],2,0),H1189&amp;" - "&amp;INDEX(DivisionMapping[category_code],MATCH($D1189&amp;$C1189,DivisionMapping[dept_bu],0)),H1189))</f>
        <v/>
      </c>
      <c r="K1189" t="str">
        <f t="shared" si="774"/>
        <v/>
      </c>
      <c r="L1189" s="652">
        <f>IF($B1189="",,SUMIFS(PerHeadcount[Month 1],PerHeadcount[exp_item],$H1189,PerHeadcount[company_name],$B1189)*L244)</f>
        <v>0</v>
      </c>
      <c r="M1189" s="652">
        <f>IF($B1189="",,SUMIFS(PerHeadcount[Month 2],PerHeadcount[exp_item],$H1189,PerHeadcount[company_name],$B1189)*M244)</f>
        <v>0</v>
      </c>
      <c r="N1189" s="652">
        <f>IF($B1189="",,SUMIFS(PerHeadcount[Month 3],PerHeadcount[exp_item],$H1189,PerHeadcount[company_name],$B1189)*N244)</f>
        <v>0</v>
      </c>
      <c r="O1189" s="652">
        <f>IF($B1189="",,SUMIFS(PerHeadcount[Month 4],PerHeadcount[exp_item],$H1189,PerHeadcount[company_name],$B1189)*O244)</f>
        <v>0</v>
      </c>
      <c r="P1189" s="652">
        <f>IF($B1189="",,SUMIFS(PerHeadcount[Month 5],PerHeadcount[exp_item],$H1189,PerHeadcount[company_name],$B1189)*P244)</f>
        <v>0</v>
      </c>
      <c r="Q1189" s="652">
        <f>IF($B1189="",,SUMIFS(PerHeadcount[Month 6],PerHeadcount[exp_item],$H1189,PerHeadcount[company_name],$B1189)*Q244)</f>
        <v>0</v>
      </c>
      <c r="R1189" s="652">
        <f>IF($B1189="",,SUMIFS(PerHeadcount[Month 7],PerHeadcount[exp_item],$H1189,PerHeadcount[company_name],$B1189)*R244)</f>
        <v>0</v>
      </c>
      <c r="S1189" s="652">
        <f>IF($B1189="",,SUMIFS(PerHeadcount[Month 8],PerHeadcount[exp_item],$H1189,PerHeadcount[company_name],$B1189)*S244)</f>
        <v>0</v>
      </c>
      <c r="T1189" s="652">
        <f>IF($B1189="",,SUMIFS(PerHeadcount[Month 9],PerHeadcount[exp_item],$H1189,PerHeadcount[company_name],$B1189)*T244)</f>
        <v>0</v>
      </c>
      <c r="U1189" s="652">
        <f>IF($B1189="",,SUMIFS(PerHeadcount[Month 10],PerHeadcount[exp_item],$H1189,PerHeadcount[company_name],$B1189)*U244)</f>
        <v>0</v>
      </c>
      <c r="V1189" s="652">
        <f>IF($B1189="",,SUMIFS(PerHeadcount[Month 11],PerHeadcount[exp_item],$H1189,PerHeadcount[company_name],$B1189)*V244)</f>
        <v>0</v>
      </c>
      <c r="W1189" s="652">
        <f>IF($B1189="",,SUMIFS(PerHeadcount[Month 12],PerHeadcount[exp_item],$H1189,PerHeadcount[company_name],$B1189)*W244)</f>
        <v>0</v>
      </c>
      <c r="X1189" s="652">
        <f>IF($B1189="",,SUMIFS(PerHeadcount[Month 13],PerHeadcount[exp_item],$H1189,PerHeadcount[company_name],$B1189)*X244)</f>
        <v>0</v>
      </c>
      <c r="Y1189" s="652">
        <f>IF($B1189="",,SUMIFS(PerHeadcount[Month 14],PerHeadcount[exp_item],$H1189,PerHeadcount[company_name],$B1189)*Y244)</f>
        <v>0</v>
      </c>
      <c r="Z1189" s="652">
        <f>IF($B1189="",,SUMIFS(PerHeadcount[Month 15],PerHeadcount[exp_item],$H1189,PerHeadcount[company_name],$B1189)*Z244)</f>
        <v>0</v>
      </c>
      <c r="AA1189" s="652">
        <f>IF($B1189="",,SUMIFS(PerHeadcount[Month 16],PerHeadcount[exp_item],$H1189,PerHeadcount[company_name],$B1189)*AA244)</f>
        <v>0</v>
      </c>
      <c r="AB1189" s="652">
        <f>IF($B1189="",,SUMIFS(PerHeadcount[Month 17],PerHeadcount[exp_item],$H1189,PerHeadcount[company_name],$B1189)*AB244)</f>
        <v>0</v>
      </c>
      <c r="AC1189" s="652">
        <f>IF($B1189="",,SUMIFS(PerHeadcount[Month 18],PerHeadcount[exp_item],$H1189,PerHeadcount[company_name],$B1189)*AC244)</f>
        <v>0</v>
      </c>
      <c r="AD1189" s="652">
        <f>IF($B1189="",,SUMIFS(PerHeadcount[Month 19],PerHeadcount[exp_item],$H1189,PerHeadcount[company_name],$B1189)*AD244)</f>
        <v>0</v>
      </c>
      <c r="AE1189" s="652">
        <f>IF($B1189="",,SUMIFS(PerHeadcount[Month 20],PerHeadcount[exp_item],$H1189,PerHeadcount[company_name],$B1189)*AE244)</f>
        <v>0</v>
      </c>
      <c r="AF1189" s="652">
        <f>IF($B1189="",,SUMIFS(PerHeadcount[Month 21],PerHeadcount[exp_item],$H1189,PerHeadcount[company_name],$B1189)*AF244)</f>
        <v>0</v>
      </c>
      <c r="AG1189" s="652">
        <f>IF($B1189="",,SUMIFS(PerHeadcount[Month 22],PerHeadcount[exp_item],$H1189,PerHeadcount[company_name],$B1189)*AG244)</f>
        <v>0</v>
      </c>
      <c r="AH1189" s="652">
        <f>IF($B1189="",,SUMIFS(PerHeadcount[Month 23],PerHeadcount[exp_item],$H1189,PerHeadcount[company_name],$B1189)*AH244)</f>
        <v>0</v>
      </c>
      <c r="AI1189" s="652">
        <f>IF($B1189="",,SUMIFS(PerHeadcount[Month 24],PerHeadcount[exp_item],$H1189,PerHeadcount[company_name],$B1189)*AI244)</f>
        <v>0</v>
      </c>
      <c r="AJ1189" s="652">
        <f>IF($B1189="",,SUMIFS(PerHeadcount[Month 25],PerHeadcount[exp_item],$H1189,PerHeadcount[company_name],$B1189)*AJ244)</f>
        <v>0</v>
      </c>
      <c r="AK1189" s="652">
        <f>IF($B1189="",,SUMIFS(PerHeadcount[Month 26],PerHeadcount[exp_item],$H1189,PerHeadcount[company_name],$B1189)*AK244)</f>
        <v>0</v>
      </c>
      <c r="AL1189" s="652">
        <f>IF($B1189="",,SUMIFS(PerHeadcount[Month 27],PerHeadcount[exp_item],$H1189,PerHeadcount[company_name],$B1189)*AL244)</f>
        <v>0</v>
      </c>
      <c r="AM1189" s="652">
        <f>IF($B1189="",,SUMIFS(PerHeadcount[Month 28],PerHeadcount[exp_item],$H1189,PerHeadcount[company_name],$B1189)*AM244)</f>
        <v>0</v>
      </c>
      <c r="AN1189" s="652">
        <f>IF($B1189="",,SUMIFS(PerHeadcount[Month 29],PerHeadcount[exp_item],$H1189,PerHeadcount[company_name],$B1189)*AN244)</f>
        <v>0</v>
      </c>
      <c r="AO1189" s="652">
        <f>IF($B1189="",,SUMIFS(PerHeadcount[Month 30],PerHeadcount[exp_item],$H1189,PerHeadcount[company_name],$B1189)*AO244)</f>
        <v>0</v>
      </c>
      <c r="AP1189" s="652">
        <f>IF($B1189="",,SUMIFS(PerHeadcount[Month 31],PerHeadcount[exp_item],$H1189,PerHeadcount[company_name],$B1189)*AP244)</f>
        <v>0</v>
      </c>
      <c r="AQ1189" s="652">
        <f>IF($B1189="",,SUMIFS(PerHeadcount[Month 32],PerHeadcount[exp_item],$H1189,PerHeadcount[company_name],$B1189)*AQ244)</f>
        <v>0</v>
      </c>
      <c r="AR1189" s="652">
        <f>IF($B1189="",,SUMIFS(PerHeadcount[Month 33],PerHeadcount[exp_item],$H1189,PerHeadcount[company_name],$B1189)*AR244)</f>
        <v>0</v>
      </c>
      <c r="AS1189" s="652">
        <f>IF($B1189="",,SUMIFS(PerHeadcount[Month 34],PerHeadcount[exp_item],$H1189,PerHeadcount[company_name],$B1189)*AS244)</f>
        <v>0</v>
      </c>
      <c r="AT1189" s="652">
        <f>IF($B1189="",,SUMIFS(PerHeadcount[Month 35],PerHeadcount[exp_item],$H1189,PerHeadcount[company_name],$B1189)*AT244)</f>
        <v>0</v>
      </c>
      <c r="AU1189" s="652">
        <f>IF($B1189="",,SUMIFS(PerHeadcount[Month 36],PerHeadcount[exp_item],$H1189,PerHeadcount[company_name],$B1189)*AU244)</f>
        <v>0</v>
      </c>
    </row>
    <row r="1190" spans="2:47" x14ac:dyDescent="0.35">
      <c r="B1190" t="str">
        <f t="shared" si="807"/>
        <v/>
      </c>
      <c r="C1190" t="str">
        <f t="shared" ref="C1190:G1190" si="834">IF(C1085="","",C1085)</f>
        <v/>
      </c>
      <c r="D1190" t="str">
        <f t="shared" si="834"/>
        <v/>
      </c>
      <c r="E1190" t="str">
        <f t="shared" si="834"/>
        <v/>
      </c>
      <c r="F1190" t="str">
        <f t="shared" si="834"/>
        <v/>
      </c>
      <c r="G1190" t="str">
        <f t="shared" si="834"/>
        <v/>
      </c>
      <c r="H1190" t="str">
        <f t="shared" si="806"/>
        <v/>
      </c>
      <c r="J1190" t="str">
        <f>IF($H1190="","",IF(VLOOKUP(H1190,ExpItems[],2,0),H1190&amp;" - "&amp;INDEX(DivisionMapping[category_code],MATCH($D1190&amp;$C1190,DivisionMapping[dept_bu],0)),H1190))</f>
        <v/>
      </c>
      <c r="K1190" t="str">
        <f t="shared" si="774"/>
        <v/>
      </c>
      <c r="L1190" s="652">
        <f>IF($B1190="",,SUMIFS(PerHeadcount[Month 1],PerHeadcount[exp_item],$H1190,PerHeadcount[company_name],$B1190)*L245)</f>
        <v>0</v>
      </c>
      <c r="M1190" s="652">
        <f>IF($B1190="",,SUMIFS(PerHeadcount[Month 2],PerHeadcount[exp_item],$H1190,PerHeadcount[company_name],$B1190)*M245)</f>
        <v>0</v>
      </c>
      <c r="N1190" s="652">
        <f>IF($B1190="",,SUMIFS(PerHeadcount[Month 3],PerHeadcount[exp_item],$H1190,PerHeadcount[company_name],$B1190)*N245)</f>
        <v>0</v>
      </c>
      <c r="O1190" s="652">
        <f>IF($B1190="",,SUMIFS(PerHeadcount[Month 4],PerHeadcount[exp_item],$H1190,PerHeadcount[company_name],$B1190)*O245)</f>
        <v>0</v>
      </c>
      <c r="P1190" s="652">
        <f>IF($B1190="",,SUMIFS(PerHeadcount[Month 5],PerHeadcount[exp_item],$H1190,PerHeadcount[company_name],$B1190)*P245)</f>
        <v>0</v>
      </c>
      <c r="Q1190" s="652">
        <f>IF($B1190="",,SUMIFS(PerHeadcount[Month 6],PerHeadcount[exp_item],$H1190,PerHeadcount[company_name],$B1190)*Q245)</f>
        <v>0</v>
      </c>
      <c r="R1190" s="652">
        <f>IF($B1190="",,SUMIFS(PerHeadcount[Month 7],PerHeadcount[exp_item],$H1190,PerHeadcount[company_name],$B1190)*R245)</f>
        <v>0</v>
      </c>
      <c r="S1190" s="652">
        <f>IF($B1190="",,SUMIFS(PerHeadcount[Month 8],PerHeadcount[exp_item],$H1190,PerHeadcount[company_name],$B1190)*S245)</f>
        <v>0</v>
      </c>
      <c r="T1190" s="652">
        <f>IF($B1190="",,SUMIFS(PerHeadcount[Month 9],PerHeadcount[exp_item],$H1190,PerHeadcount[company_name],$B1190)*T245)</f>
        <v>0</v>
      </c>
      <c r="U1190" s="652">
        <f>IF($B1190="",,SUMIFS(PerHeadcount[Month 10],PerHeadcount[exp_item],$H1190,PerHeadcount[company_name],$B1190)*U245)</f>
        <v>0</v>
      </c>
      <c r="V1190" s="652">
        <f>IF($B1190="",,SUMIFS(PerHeadcount[Month 11],PerHeadcount[exp_item],$H1190,PerHeadcount[company_name],$B1190)*V245)</f>
        <v>0</v>
      </c>
      <c r="W1190" s="652">
        <f>IF($B1190="",,SUMIFS(PerHeadcount[Month 12],PerHeadcount[exp_item],$H1190,PerHeadcount[company_name],$B1190)*W245)</f>
        <v>0</v>
      </c>
      <c r="X1190" s="652">
        <f>IF($B1190="",,SUMIFS(PerHeadcount[Month 13],PerHeadcount[exp_item],$H1190,PerHeadcount[company_name],$B1190)*X245)</f>
        <v>0</v>
      </c>
      <c r="Y1190" s="652">
        <f>IF($B1190="",,SUMIFS(PerHeadcount[Month 14],PerHeadcount[exp_item],$H1190,PerHeadcount[company_name],$B1190)*Y245)</f>
        <v>0</v>
      </c>
      <c r="Z1190" s="652">
        <f>IF($B1190="",,SUMIFS(PerHeadcount[Month 15],PerHeadcount[exp_item],$H1190,PerHeadcount[company_name],$B1190)*Z245)</f>
        <v>0</v>
      </c>
      <c r="AA1190" s="652">
        <f>IF($B1190="",,SUMIFS(PerHeadcount[Month 16],PerHeadcount[exp_item],$H1190,PerHeadcount[company_name],$B1190)*AA245)</f>
        <v>0</v>
      </c>
      <c r="AB1190" s="652">
        <f>IF($B1190="",,SUMIFS(PerHeadcount[Month 17],PerHeadcount[exp_item],$H1190,PerHeadcount[company_name],$B1190)*AB245)</f>
        <v>0</v>
      </c>
      <c r="AC1190" s="652">
        <f>IF($B1190="",,SUMIFS(PerHeadcount[Month 18],PerHeadcount[exp_item],$H1190,PerHeadcount[company_name],$B1190)*AC245)</f>
        <v>0</v>
      </c>
      <c r="AD1190" s="652">
        <f>IF($B1190="",,SUMIFS(PerHeadcount[Month 19],PerHeadcount[exp_item],$H1190,PerHeadcount[company_name],$B1190)*AD245)</f>
        <v>0</v>
      </c>
      <c r="AE1190" s="652">
        <f>IF($B1190="",,SUMIFS(PerHeadcount[Month 20],PerHeadcount[exp_item],$H1190,PerHeadcount[company_name],$B1190)*AE245)</f>
        <v>0</v>
      </c>
      <c r="AF1190" s="652">
        <f>IF($B1190="",,SUMIFS(PerHeadcount[Month 21],PerHeadcount[exp_item],$H1190,PerHeadcount[company_name],$B1190)*AF245)</f>
        <v>0</v>
      </c>
      <c r="AG1190" s="652">
        <f>IF($B1190="",,SUMIFS(PerHeadcount[Month 22],PerHeadcount[exp_item],$H1190,PerHeadcount[company_name],$B1190)*AG245)</f>
        <v>0</v>
      </c>
      <c r="AH1190" s="652">
        <f>IF($B1190="",,SUMIFS(PerHeadcount[Month 23],PerHeadcount[exp_item],$H1190,PerHeadcount[company_name],$B1190)*AH245)</f>
        <v>0</v>
      </c>
      <c r="AI1190" s="652">
        <f>IF($B1190="",,SUMIFS(PerHeadcount[Month 24],PerHeadcount[exp_item],$H1190,PerHeadcount[company_name],$B1190)*AI245)</f>
        <v>0</v>
      </c>
      <c r="AJ1190" s="652">
        <f>IF($B1190="",,SUMIFS(PerHeadcount[Month 25],PerHeadcount[exp_item],$H1190,PerHeadcount[company_name],$B1190)*AJ245)</f>
        <v>0</v>
      </c>
      <c r="AK1190" s="652">
        <f>IF($B1190="",,SUMIFS(PerHeadcount[Month 26],PerHeadcount[exp_item],$H1190,PerHeadcount[company_name],$B1190)*AK245)</f>
        <v>0</v>
      </c>
      <c r="AL1190" s="652">
        <f>IF($B1190="",,SUMIFS(PerHeadcount[Month 27],PerHeadcount[exp_item],$H1190,PerHeadcount[company_name],$B1190)*AL245)</f>
        <v>0</v>
      </c>
      <c r="AM1190" s="652">
        <f>IF($B1190="",,SUMIFS(PerHeadcount[Month 28],PerHeadcount[exp_item],$H1190,PerHeadcount[company_name],$B1190)*AM245)</f>
        <v>0</v>
      </c>
      <c r="AN1190" s="652">
        <f>IF($B1190="",,SUMIFS(PerHeadcount[Month 29],PerHeadcount[exp_item],$H1190,PerHeadcount[company_name],$B1190)*AN245)</f>
        <v>0</v>
      </c>
      <c r="AO1190" s="652">
        <f>IF($B1190="",,SUMIFS(PerHeadcount[Month 30],PerHeadcount[exp_item],$H1190,PerHeadcount[company_name],$B1190)*AO245)</f>
        <v>0</v>
      </c>
      <c r="AP1190" s="652">
        <f>IF($B1190="",,SUMIFS(PerHeadcount[Month 31],PerHeadcount[exp_item],$H1190,PerHeadcount[company_name],$B1190)*AP245)</f>
        <v>0</v>
      </c>
      <c r="AQ1190" s="652">
        <f>IF($B1190="",,SUMIFS(PerHeadcount[Month 32],PerHeadcount[exp_item],$H1190,PerHeadcount[company_name],$B1190)*AQ245)</f>
        <v>0</v>
      </c>
      <c r="AR1190" s="652">
        <f>IF($B1190="",,SUMIFS(PerHeadcount[Month 33],PerHeadcount[exp_item],$H1190,PerHeadcount[company_name],$B1190)*AR245)</f>
        <v>0</v>
      </c>
      <c r="AS1190" s="652">
        <f>IF($B1190="",,SUMIFS(PerHeadcount[Month 34],PerHeadcount[exp_item],$H1190,PerHeadcount[company_name],$B1190)*AS245)</f>
        <v>0</v>
      </c>
      <c r="AT1190" s="652">
        <f>IF($B1190="",,SUMIFS(PerHeadcount[Month 35],PerHeadcount[exp_item],$H1190,PerHeadcount[company_name],$B1190)*AT245)</f>
        <v>0</v>
      </c>
      <c r="AU1190" s="652">
        <f>IF($B1190="",,SUMIFS(PerHeadcount[Month 36],PerHeadcount[exp_item],$H1190,PerHeadcount[company_name],$B1190)*AU245)</f>
        <v>0</v>
      </c>
    </row>
    <row r="1191" spans="2:47" x14ac:dyDescent="0.35">
      <c r="B1191" t="str">
        <f t="shared" si="807"/>
        <v/>
      </c>
      <c r="C1191" t="str">
        <f t="shared" ref="C1191:G1191" si="835">IF(C1086="","",C1086)</f>
        <v/>
      </c>
      <c r="D1191" t="str">
        <f t="shared" si="835"/>
        <v/>
      </c>
      <c r="E1191" t="str">
        <f t="shared" si="835"/>
        <v/>
      </c>
      <c r="F1191" t="str">
        <f t="shared" si="835"/>
        <v/>
      </c>
      <c r="G1191" t="str">
        <f t="shared" si="835"/>
        <v/>
      </c>
      <c r="H1191" t="str">
        <f t="shared" si="806"/>
        <v/>
      </c>
      <c r="J1191" t="str">
        <f>IF($H1191="","",IF(VLOOKUP(H1191,ExpItems[],2,0),H1191&amp;" - "&amp;INDEX(DivisionMapping[category_code],MATCH($D1191&amp;$C1191,DivisionMapping[dept_bu],0)),H1191))</f>
        <v/>
      </c>
      <c r="K1191" t="str">
        <f t="shared" si="774"/>
        <v/>
      </c>
      <c r="L1191" s="652">
        <f>IF($B1191="",,SUMIFS(PerHeadcount[Month 1],PerHeadcount[exp_item],$H1191,PerHeadcount[company_name],$B1191)*L246)</f>
        <v>0</v>
      </c>
      <c r="M1191" s="652">
        <f>IF($B1191="",,SUMIFS(PerHeadcount[Month 2],PerHeadcount[exp_item],$H1191,PerHeadcount[company_name],$B1191)*M246)</f>
        <v>0</v>
      </c>
      <c r="N1191" s="652">
        <f>IF($B1191="",,SUMIFS(PerHeadcount[Month 3],PerHeadcount[exp_item],$H1191,PerHeadcount[company_name],$B1191)*N246)</f>
        <v>0</v>
      </c>
      <c r="O1191" s="652">
        <f>IF($B1191="",,SUMIFS(PerHeadcount[Month 4],PerHeadcount[exp_item],$H1191,PerHeadcount[company_name],$B1191)*O246)</f>
        <v>0</v>
      </c>
      <c r="P1191" s="652">
        <f>IF($B1191="",,SUMIFS(PerHeadcount[Month 5],PerHeadcount[exp_item],$H1191,PerHeadcount[company_name],$B1191)*P246)</f>
        <v>0</v>
      </c>
      <c r="Q1191" s="652">
        <f>IF($B1191="",,SUMIFS(PerHeadcount[Month 6],PerHeadcount[exp_item],$H1191,PerHeadcount[company_name],$B1191)*Q246)</f>
        <v>0</v>
      </c>
      <c r="R1191" s="652">
        <f>IF($B1191="",,SUMIFS(PerHeadcount[Month 7],PerHeadcount[exp_item],$H1191,PerHeadcount[company_name],$B1191)*R246)</f>
        <v>0</v>
      </c>
      <c r="S1191" s="652">
        <f>IF($B1191="",,SUMIFS(PerHeadcount[Month 8],PerHeadcount[exp_item],$H1191,PerHeadcount[company_name],$B1191)*S246)</f>
        <v>0</v>
      </c>
      <c r="T1191" s="652">
        <f>IF($B1191="",,SUMIFS(PerHeadcount[Month 9],PerHeadcount[exp_item],$H1191,PerHeadcount[company_name],$B1191)*T246)</f>
        <v>0</v>
      </c>
      <c r="U1191" s="652">
        <f>IF($B1191="",,SUMIFS(PerHeadcount[Month 10],PerHeadcount[exp_item],$H1191,PerHeadcount[company_name],$B1191)*U246)</f>
        <v>0</v>
      </c>
      <c r="V1191" s="652">
        <f>IF($B1191="",,SUMIFS(PerHeadcount[Month 11],PerHeadcount[exp_item],$H1191,PerHeadcount[company_name],$B1191)*V246)</f>
        <v>0</v>
      </c>
      <c r="W1191" s="652">
        <f>IF($B1191="",,SUMIFS(PerHeadcount[Month 12],PerHeadcount[exp_item],$H1191,PerHeadcount[company_name],$B1191)*W246)</f>
        <v>0</v>
      </c>
      <c r="X1191" s="652">
        <f>IF($B1191="",,SUMIFS(PerHeadcount[Month 13],PerHeadcount[exp_item],$H1191,PerHeadcount[company_name],$B1191)*X246)</f>
        <v>0</v>
      </c>
      <c r="Y1191" s="652">
        <f>IF($B1191="",,SUMIFS(PerHeadcount[Month 14],PerHeadcount[exp_item],$H1191,PerHeadcount[company_name],$B1191)*Y246)</f>
        <v>0</v>
      </c>
      <c r="Z1191" s="652">
        <f>IF($B1191="",,SUMIFS(PerHeadcount[Month 15],PerHeadcount[exp_item],$H1191,PerHeadcount[company_name],$B1191)*Z246)</f>
        <v>0</v>
      </c>
      <c r="AA1191" s="652">
        <f>IF($B1191="",,SUMIFS(PerHeadcount[Month 16],PerHeadcount[exp_item],$H1191,PerHeadcount[company_name],$B1191)*AA246)</f>
        <v>0</v>
      </c>
      <c r="AB1191" s="652">
        <f>IF($B1191="",,SUMIFS(PerHeadcount[Month 17],PerHeadcount[exp_item],$H1191,PerHeadcount[company_name],$B1191)*AB246)</f>
        <v>0</v>
      </c>
      <c r="AC1191" s="652">
        <f>IF($B1191="",,SUMIFS(PerHeadcount[Month 18],PerHeadcount[exp_item],$H1191,PerHeadcount[company_name],$B1191)*AC246)</f>
        <v>0</v>
      </c>
      <c r="AD1191" s="652">
        <f>IF($B1191="",,SUMIFS(PerHeadcount[Month 19],PerHeadcount[exp_item],$H1191,PerHeadcount[company_name],$B1191)*AD246)</f>
        <v>0</v>
      </c>
      <c r="AE1191" s="652">
        <f>IF($B1191="",,SUMIFS(PerHeadcount[Month 20],PerHeadcount[exp_item],$H1191,PerHeadcount[company_name],$B1191)*AE246)</f>
        <v>0</v>
      </c>
      <c r="AF1191" s="652">
        <f>IF($B1191="",,SUMIFS(PerHeadcount[Month 21],PerHeadcount[exp_item],$H1191,PerHeadcount[company_name],$B1191)*AF246)</f>
        <v>0</v>
      </c>
      <c r="AG1191" s="652">
        <f>IF($B1191="",,SUMIFS(PerHeadcount[Month 22],PerHeadcount[exp_item],$H1191,PerHeadcount[company_name],$B1191)*AG246)</f>
        <v>0</v>
      </c>
      <c r="AH1191" s="652">
        <f>IF($B1191="",,SUMIFS(PerHeadcount[Month 23],PerHeadcount[exp_item],$H1191,PerHeadcount[company_name],$B1191)*AH246)</f>
        <v>0</v>
      </c>
      <c r="AI1191" s="652">
        <f>IF($B1191="",,SUMIFS(PerHeadcount[Month 24],PerHeadcount[exp_item],$H1191,PerHeadcount[company_name],$B1191)*AI246)</f>
        <v>0</v>
      </c>
      <c r="AJ1191" s="652">
        <f>IF($B1191="",,SUMIFS(PerHeadcount[Month 25],PerHeadcount[exp_item],$H1191,PerHeadcount[company_name],$B1191)*AJ246)</f>
        <v>0</v>
      </c>
      <c r="AK1191" s="652">
        <f>IF($B1191="",,SUMIFS(PerHeadcount[Month 26],PerHeadcount[exp_item],$H1191,PerHeadcount[company_name],$B1191)*AK246)</f>
        <v>0</v>
      </c>
      <c r="AL1191" s="652">
        <f>IF($B1191="",,SUMIFS(PerHeadcount[Month 27],PerHeadcount[exp_item],$H1191,PerHeadcount[company_name],$B1191)*AL246)</f>
        <v>0</v>
      </c>
      <c r="AM1191" s="652">
        <f>IF($B1191="",,SUMIFS(PerHeadcount[Month 28],PerHeadcount[exp_item],$H1191,PerHeadcount[company_name],$B1191)*AM246)</f>
        <v>0</v>
      </c>
      <c r="AN1191" s="652">
        <f>IF($B1191="",,SUMIFS(PerHeadcount[Month 29],PerHeadcount[exp_item],$H1191,PerHeadcount[company_name],$B1191)*AN246)</f>
        <v>0</v>
      </c>
      <c r="AO1191" s="652">
        <f>IF($B1191="",,SUMIFS(PerHeadcount[Month 30],PerHeadcount[exp_item],$H1191,PerHeadcount[company_name],$B1191)*AO246)</f>
        <v>0</v>
      </c>
      <c r="AP1191" s="652">
        <f>IF($B1191="",,SUMIFS(PerHeadcount[Month 31],PerHeadcount[exp_item],$H1191,PerHeadcount[company_name],$B1191)*AP246)</f>
        <v>0</v>
      </c>
      <c r="AQ1191" s="652">
        <f>IF($B1191="",,SUMIFS(PerHeadcount[Month 32],PerHeadcount[exp_item],$H1191,PerHeadcount[company_name],$B1191)*AQ246)</f>
        <v>0</v>
      </c>
      <c r="AR1191" s="652">
        <f>IF($B1191="",,SUMIFS(PerHeadcount[Month 33],PerHeadcount[exp_item],$H1191,PerHeadcount[company_name],$B1191)*AR246)</f>
        <v>0</v>
      </c>
      <c r="AS1191" s="652">
        <f>IF($B1191="",,SUMIFS(PerHeadcount[Month 34],PerHeadcount[exp_item],$H1191,PerHeadcount[company_name],$B1191)*AS246)</f>
        <v>0</v>
      </c>
      <c r="AT1191" s="652">
        <f>IF($B1191="",,SUMIFS(PerHeadcount[Month 35],PerHeadcount[exp_item],$H1191,PerHeadcount[company_name],$B1191)*AT246)</f>
        <v>0</v>
      </c>
      <c r="AU1191" s="652">
        <f>IF($B1191="",,SUMIFS(PerHeadcount[Month 36],PerHeadcount[exp_item],$H1191,PerHeadcount[company_name],$B1191)*AU246)</f>
        <v>0</v>
      </c>
    </row>
    <row r="1192" spans="2:47" x14ac:dyDescent="0.35">
      <c r="B1192" t="str">
        <f t="shared" si="807"/>
        <v/>
      </c>
      <c r="C1192" t="str">
        <f t="shared" ref="C1192:G1192" si="836">IF(C1087="","",C1087)</f>
        <v/>
      </c>
      <c r="D1192" t="str">
        <f t="shared" si="836"/>
        <v/>
      </c>
      <c r="E1192" t="str">
        <f t="shared" si="836"/>
        <v/>
      </c>
      <c r="F1192" t="str">
        <f t="shared" si="836"/>
        <v/>
      </c>
      <c r="G1192" t="str">
        <f t="shared" si="836"/>
        <v/>
      </c>
      <c r="H1192" t="str">
        <f t="shared" si="806"/>
        <v/>
      </c>
      <c r="J1192" t="str">
        <f>IF($H1192="","",IF(VLOOKUP(H1192,ExpItems[],2,0),H1192&amp;" - "&amp;INDEX(DivisionMapping[category_code],MATCH($D1192&amp;$C1192,DivisionMapping[dept_bu],0)),H1192))</f>
        <v/>
      </c>
      <c r="K1192" t="str">
        <f t="shared" si="774"/>
        <v/>
      </c>
      <c r="L1192" s="652">
        <f>IF($B1192="",,SUMIFS(PerHeadcount[Month 1],PerHeadcount[exp_item],$H1192,PerHeadcount[company_name],$B1192)*L247)</f>
        <v>0</v>
      </c>
      <c r="M1192" s="652">
        <f>IF($B1192="",,SUMIFS(PerHeadcount[Month 2],PerHeadcount[exp_item],$H1192,PerHeadcount[company_name],$B1192)*M247)</f>
        <v>0</v>
      </c>
      <c r="N1192" s="652">
        <f>IF($B1192="",,SUMIFS(PerHeadcount[Month 3],PerHeadcount[exp_item],$H1192,PerHeadcount[company_name],$B1192)*N247)</f>
        <v>0</v>
      </c>
      <c r="O1192" s="652">
        <f>IF($B1192="",,SUMIFS(PerHeadcount[Month 4],PerHeadcount[exp_item],$H1192,PerHeadcount[company_name],$B1192)*O247)</f>
        <v>0</v>
      </c>
      <c r="P1192" s="652">
        <f>IF($B1192="",,SUMIFS(PerHeadcount[Month 5],PerHeadcount[exp_item],$H1192,PerHeadcount[company_name],$B1192)*P247)</f>
        <v>0</v>
      </c>
      <c r="Q1192" s="652">
        <f>IF($B1192="",,SUMIFS(PerHeadcount[Month 6],PerHeadcount[exp_item],$H1192,PerHeadcount[company_name],$B1192)*Q247)</f>
        <v>0</v>
      </c>
      <c r="R1192" s="652">
        <f>IF($B1192="",,SUMIFS(PerHeadcount[Month 7],PerHeadcount[exp_item],$H1192,PerHeadcount[company_name],$B1192)*R247)</f>
        <v>0</v>
      </c>
      <c r="S1192" s="652">
        <f>IF($B1192="",,SUMIFS(PerHeadcount[Month 8],PerHeadcount[exp_item],$H1192,PerHeadcount[company_name],$B1192)*S247)</f>
        <v>0</v>
      </c>
      <c r="T1192" s="652">
        <f>IF($B1192="",,SUMIFS(PerHeadcount[Month 9],PerHeadcount[exp_item],$H1192,PerHeadcount[company_name],$B1192)*T247)</f>
        <v>0</v>
      </c>
      <c r="U1192" s="652">
        <f>IF($B1192="",,SUMIFS(PerHeadcount[Month 10],PerHeadcount[exp_item],$H1192,PerHeadcount[company_name],$B1192)*U247)</f>
        <v>0</v>
      </c>
      <c r="V1192" s="652">
        <f>IF($B1192="",,SUMIFS(PerHeadcount[Month 11],PerHeadcount[exp_item],$H1192,PerHeadcount[company_name],$B1192)*V247)</f>
        <v>0</v>
      </c>
      <c r="W1192" s="652">
        <f>IF($B1192="",,SUMIFS(PerHeadcount[Month 12],PerHeadcount[exp_item],$H1192,PerHeadcount[company_name],$B1192)*W247)</f>
        <v>0</v>
      </c>
      <c r="X1192" s="652">
        <f>IF($B1192="",,SUMIFS(PerHeadcount[Month 13],PerHeadcount[exp_item],$H1192,PerHeadcount[company_name],$B1192)*X247)</f>
        <v>0</v>
      </c>
      <c r="Y1192" s="652">
        <f>IF($B1192="",,SUMIFS(PerHeadcount[Month 14],PerHeadcount[exp_item],$H1192,PerHeadcount[company_name],$B1192)*Y247)</f>
        <v>0</v>
      </c>
      <c r="Z1192" s="652">
        <f>IF($B1192="",,SUMIFS(PerHeadcount[Month 15],PerHeadcount[exp_item],$H1192,PerHeadcount[company_name],$B1192)*Z247)</f>
        <v>0</v>
      </c>
      <c r="AA1192" s="652">
        <f>IF($B1192="",,SUMIFS(PerHeadcount[Month 16],PerHeadcount[exp_item],$H1192,PerHeadcount[company_name],$B1192)*AA247)</f>
        <v>0</v>
      </c>
      <c r="AB1192" s="652">
        <f>IF($B1192="",,SUMIFS(PerHeadcount[Month 17],PerHeadcount[exp_item],$H1192,PerHeadcount[company_name],$B1192)*AB247)</f>
        <v>0</v>
      </c>
      <c r="AC1192" s="652">
        <f>IF($B1192="",,SUMIFS(PerHeadcount[Month 18],PerHeadcount[exp_item],$H1192,PerHeadcount[company_name],$B1192)*AC247)</f>
        <v>0</v>
      </c>
      <c r="AD1192" s="652">
        <f>IF($B1192="",,SUMIFS(PerHeadcount[Month 19],PerHeadcount[exp_item],$H1192,PerHeadcount[company_name],$B1192)*AD247)</f>
        <v>0</v>
      </c>
      <c r="AE1192" s="652">
        <f>IF($B1192="",,SUMIFS(PerHeadcount[Month 20],PerHeadcount[exp_item],$H1192,PerHeadcount[company_name],$B1192)*AE247)</f>
        <v>0</v>
      </c>
      <c r="AF1192" s="652">
        <f>IF($B1192="",,SUMIFS(PerHeadcount[Month 21],PerHeadcount[exp_item],$H1192,PerHeadcount[company_name],$B1192)*AF247)</f>
        <v>0</v>
      </c>
      <c r="AG1192" s="652">
        <f>IF($B1192="",,SUMIFS(PerHeadcount[Month 22],PerHeadcount[exp_item],$H1192,PerHeadcount[company_name],$B1192)*AG247)</f>
        <v>0</v>
      </c>
      <c r="AH1192" s="652">
        <f>IF($B1192="",,SUMIFS(PerHeadcount[Month 23],PerHeadcount[exp_item],$H1192,PerHeadcount[company_name],$B1192)*AH247)</f>
        <v>0</v>
      </c>
      <c r="AI1192" s="652">
        <f>IF($B1192="",,SUMIFS(PerHeadcount[Month 24],PerHeadcount[exp_item],$H1192,PerHeadcount[company_name],$B1192)*AI247)</f>
        <v>0</v>
      </c>
      <c r="AJ1192" s="652">
        <f>IF($B1192="",,SUMIFS(PerHeadcount[Month 25],PerHeadcount[exp_item],$H1192,PerHeadcount[company_name],$B1192)*AJ247)</f>
        <v>0</v>
      </c>
      <c r="AK1192" s="652">
        <f>IF($B1192="",,SUMIFS(PerHeadcount[Month 26],PerHeadcount[exp_item],$H1192,PerHeadcount[company_name],$B1192)*AK247)</f>
        <v>0</v>
      </c>
      <c r="AL1192" s="652">
        <f>IF($B1192="",,SUMIFS(PerHeadcount[Month 27],PerHeadcount[exp_item],$H1192,PerHeadcount[company_name],$B1192)*AL247)</f>
        <v>0</v>
      </c>
      <c r="AM1192" s="652">
        <f>IF($B1192="",,SUMIFS(PerHeadcount[Month 28],PerHeadcount[exp_item],$H1192,PerHeadcount[company_name],$B1192)*AM247)</f>
        <v>0</v>
      </c>
      <c r="AN1192" s="652">
        <f>IF($B1192="",,SUMIFS(PerHeadcount[Month 29],PerHeadcount[exp_item],$H1192,PerHeadcount[company_name],$B1192)*AN247)</f>
        <v>0</v>
      </c>
      <c r="AO1192" s="652">
        <f>IF($B1192="",,SUMIFS(PerHeadcount[Month 30],PerHeadcount[exp_item],$H1192,PerHeadcount[company_name],$B1192)*AO247)</f>
        <v>0</v>
      </c>
      <c r="AP1192" s="652">
        <f>IF($B1192="",,SUMIFS(PerHeadcount[Month 31],PerHeadcount[exp_item],$H1192,PerHeadcount[company_name],$B1192)*AP247)</f>
        <v>0</v>
      </c>
      <c r="AQ1192" s="652">
        <f>IF($B1192="",,SUMIFS(PerHeadcount[Month 32],PerHeadcount[exp_item],$H1192,PerHeadcount[company_name],$B1192)*AQ247)</f>
        <v>0</v>
      </c>
      <c r="AR1192" s="652">
        <f>IF($B1192="",,SUMIFS(PerHeadcount[Month 33],PerHeadcount[exp_item],$H1192,PerHeadcount[company_name],$B1192)*AR247)</f>
        <v>0</v>
      </c>
      <c r="AS1192" s="652">
        <f>IF($B1192="",,SUMIFS(PerHeadcount[Month 34],PerHeadcount[exp_item],$H1192,PerHeadcount[company_name],$B1192)*AS247)</f>
        <v>0</v>
      </c>
      <c r="AT1192" s="652">
        <f>IF($B1192="",,SUMIFS(PerHeadcount[Month 35],PerHeadcount[exp_item],$H1192,PerHeadcount[company_name],$B1192)*AT247)</f>
        <v>0</v>
      </c>
      <c r="AU1192" s="652">
        <f>IF($B1192="",,SUMIFS(PerHeadcount[Month 36],PerHeadcount[exp_item],$H1192,PerHeadcount[company_name],$B1192)*AU247)</f>
        <v>0</v>
      </c>
    </row>
    <row r="1193" spans="2:47" x14ac:dyDescent="0.35">
      <c r="B1193" t="str">
        <f t="shared" si="807"/>
        <v/>
      </c>
      <c r="C1193" t="str">
        <f t="shared" ref="C1193:G1193" si="837">IF(C1088="","",C1088)</f>
        <v/>
      </c>
      <c r="D1193" t="str">
        <f t="shared" si="837"/>
        <v/>
      </c>
      <c r="E1193" t="str">
        <f t="shared" si="837"/>
        <v/>
      </c>
      <c r="F1193" t="str">
        <f t="shared" si="837"/>
        <v/>
      </c>
      <c r="G1193" t="str">
        <f t="shared" si="837"/>
        <v/>
      </c>
      <c r="H1193" t="str">
        <f t="shared" si="806"/>
        <v/>
      </c>
      <c r="J1193" t="str">
        <f>IF($H1193="","",IF(VLOOKUP(H1193,ExpItems[],2,0),H1193&amp;" - "&amp;INDEX(DivisionMapping[category_code],MATCH($D1193&amp;$C1193,DivisionMapping[dept_bu],0)),H1193))</f>
        <v/>
      </c>
      <c r="K1193" t="str">
        <f t="shared" si="774"/>
        <v/>
      </c>
      <c r="L1193" s="652">
        <f>IF($B1193="",,SUMIFS(PerHeadcount[Month 1],PerHeadcount[exp_item],$H1193,PerHeadcount[company_name],$B1193)*L248)</f>
        <v>0</v>
      </c>
      <c r="M1193" s="652">
        <f>IF($B1193="",,SUMIFS(PerHeadcount[Month 2],PerHeadcount[exp_item],$H1193,PerHeadcount[company_name],$B1193)*M248)</f>
        <v>0</v>
      </c>
      <c r="N1193" s="652">
        <f>IF($B1193="",,SUMIFS(PerHeadcount[Month 3],PerHeadcount[exp_item],$H1193,PerHeadcount[company_name],$B1193)*N248)</f>
        <v>0</v>
      </c>
      <c r="O1193" s="652">
        <f>IF($B1193="",,SUMIFS(PerHeadcount[Month 4],PerHeadcount[exp_item],$H1193,PerHeadcount[company_name],$B1193)*O248)</f>
        <v>0</v>
      </c>
      <c r="P1193" s="652">
        <f>IF($B1193="",,SUMIFS(PerHeadcount[Month 5],PerHeadcount[exp_item],$H1193,PerHeadcount[company_name],$B1193)*P248)</f>
        <v>0</v>
      </c>
      <c r="Q1193" s="652">
        <f>IF($B1193="",,SUMIFS(PerHeadcount[Month 6],PerHeadcount[exp_item],$H1193,PerHeadcount[company_name],$B1193)*Q248)</f>
        <v>0</v>
      </c>
      <c r="R1193" s="652">
        <f>IF($B1193="",,SUMIFS(PerHeadcount[Month 7],PerHeadcount[exp_item],$H1193,PerHeadcount[company_name],$B1193)*R248)</f>
        <v>0</v>
      </c>
      <c r="S1193" s="652">
        <f>IF($B1193="",,SUMIFS(PerHeadcount[Month 8],PerHeadcount[exp_item],$H1193,PerHeadcount[company_name],$B1193)*S248)</f>
        <v>0</v>
      </c>
      <c r="T1193" s="652">
        <f>IF($B1193="",,SUMIFS(PerHeadcount[Month 9],PerHeadcount[exp_item],$H1193,PerHeadcount[company_name],$B1193)*T248)</f>
        <v>0</v>
      </c>
      <c r="U1193" s="652">
        <f>IF($B1193="",,SUMIFS(PerHeadcount[Month 10],PerHeadcount[exp_item],$H1193,PerHeadcount[company_name],$B1193)*U248)</f>
        <v>0</v>
      </c>
      <c r="V1193" s="652">
        <f>IF($B1193="",,SUMIFS(PerHeadcount[Month 11],PerHeadcount[exp_item],$H1193,PerHeadcount[company_name],$B1193)*V248)</f>
        <v>0</v>
      </c>
      <c r="W1193" s="652">
        <f>IF($B1193="",,SUMIFS(PerHeadcount[Month 12],PerHeadcount[exp_item],$H1193,PerHeadcount[company_name],$B1193)*W248)</f>
        <v>0</v>
      </c>
      <c r="X1193" s="652">
        <f>IF($B1193="",,SUMIFS(PerHeadcount[Month 13],PerHeadcount[exp_item],$H1193,PerHeadcount[company_name],$B1193)*X248)</f>
        <v>0</v>
      </c>
      <c r="Y1193" s="652">
        <f>IF($B1193="",,SUMIFS(PerHeadcount[Month 14],PerHeadcount[exp_item],$H1193,PerHeadcount[company_name],$B1193)*Y248)</f>
        <v>0</v>
      </c>
      <c r="Z1193" s="652">
        <f>IF($B1193="",,SUMIFS(PerHeadcount[Month 15],PerHeadcount[exp_item],$H1193,PerHeadcount[company_name],$B1193)*Z248)</f>
        <v>0</v>
      </c>
      <c r="AA1193" s="652">
        <f>IF($B1193="",,SUMIFS(PerHeadcount[Month 16],PerHeadcount[exp_item],$H1193,PerHeadcount[company_name],$B1193)*AA248)</f>
        <v>0</v>
      </c>
      <c r="AB1193" s="652">
        <f>IF($B1193="",,SUMIFS(PerHeadcount[Month 17],PerHeadcount[exp_item],$H1193,PerHeadcount[company_name],$B1193)*AB248)</f>
        <v>0</v>
      </c>
      <c r="AC1193" s="652">
        <f>IF($B1193="",,SUMIFS(PerHeadcount[Month 18],PerHeadcount[exp_item],$H1193,PerHeadcount[company_name],$B1193)*AC248)</f>
        <v>0</v>
      </c>
      <c r="AD1193" s="652">
        <f>IF($B1193="",,SUMIFS(PerHeadcount[Month 19],PerHeadcount[exp_item],$H1193,PerHeadcount[company_name],$B1193)*AD248)</f>
        <v>0</v>
      </c>
      <c r="AE1193" s="652">
        <f>IF($B1193="",,SUMIFS(PerHeadcount[Month 20],PerHeadcount[exp_item],$H1193,PerHeadcount[company_name],$B1193)*AE248)</f>
        <v>0</v>
      </c>
      <c r="AF1193" s="652">
        <f>IF($B1193="",,SUMIFS(PerHeadcount[Month 21],PerHeadcount[exp_item],$H1193,PerHeadcount[company_name],$B1193)*AF248)</f>
        <v>0</v>
      </c>
      <c r="AG1193" s="652">
        <f>IF($B1193="",,SUMIFS(PerHeadcount[Month 22],PerHeadcount[exp_item],$H1193,PerHeadcount[company_name],$B1193)*AG248)</f>
        <v>0</v>
      </c>
      <c r="AH1193" s="652">
        <f>IF($B1193="",,SUMIFS(PerHeadcount[Month 23],PerHeadcount[exp_item],$H1193,PerHeadcount[company_name],$B1193)*AH248)</f>
        <v>0</v>
      </c>
      <c r="AI1193" s="652">
        <f>IF($B1193="",,SUMIFS(PerHeadcount[Month 24],PerHeadcount[exp_item],$H1193,PerHeadcount[company_name],$B1193)*AI248)</f>
        <v>0</v>
      </c>
      <c r="AJ1193" s="652">
        <f>IF($B1193="",,SUMIFS(PerHeadcount[Month 25],PerHeadcount[exp_item],$H1193,PerHeadcount[company_name],$B1193)*AJ248)</f>
        <v>0</v>
      </c>
      <c r="AK1193" s="652">
        <f>IF($B1193="",,SUMIFS(PerHeadcount[Month 26],PerHeadcount[exp_item],$H1193,PerHeadcount[company_name],$B1193)*AK248)</f>
        <v>0</v>
      </c>
      <c r="AL1193" s="652">
        <f>IF($B1193="",,SUMIFS(PerHeadcount[Month 27],PerHeadcount[exp_item],$H1193,PerHeadcount[company_name],$B1193)*AL248)</f>
        <v>0</v>
      </c>
      <c r="AM1193" s="652">
        <f>IF($B1193="",,SUMIFS(PerHeadcount[Month 28],PerHeadcount[exp_item],$H1193,PerHeadcount[company_name],$B1193)*AM248)</f>
        <v>0</v>
      </c>
      <c r="AN1193" s="652">
        <f>IF($B1193="",,SUMIFS(PerHeadcount[Month 29],PerHeadcount[exp_item],$H1193,PerHeadcount[company_name],$B1193)*AN248)</f>
        <v>0</v>
      </c>
      <c r="AO1193" s="652">
        <f>IF($B1193="",,SUMIFS(PerHeadcount[Month 30],PerHeadcount[exp_item],$H1193,PerHeadcount[company_name],$B1193)*AO248)</f>
        <v>0</v>
      </c>
      <c r="AP1193" s="652">
        <f>IF($B1193="",,SUMIFS(PerHeadcount[Month 31],PerHeadcount[exp_item],$H1193,PerHeadcount[company_name],$B1193)*AP248)</f>
        <v>0</v>
      </c>
      <c r="AQ1193" s="652">
        <f>IF($B1193="",,SUMIFS(PerHeadcount[Month 32],PerHeadcount[exp_item],$H1193,PerHeadcount[company_name],$B1193)*AQ248)</f>
        <v>0</v>
      </c>
      <c r="AR1193" s="652">
        <f>IF($B1193="",,SUMIFS(PerHeadcount[Month 33],PerHeadcount[exp_item],$H1193,PerHeadcount[company_name],$B1193)*AR248)</f>
        <v>0</v>
      </c>
      <c r="AS1193" s="652">
        <f>IF($B1193="",,SUMIFS(PerHeadcount[Month 34],PerHeadcount[exp_item],$H1193,PerHeadcount[company_name],$B1193)*AS248)</f>
        <v>0</v>
      </c>
      <c r="AT1193" s="652">
        <f>IF($B1193="",,SUMIFS(PerHeadcount[Month 35],PerHeadcount[exp_item],$H1193,PerHeadcount[company_name],$B1193)*AT248)</f>
        <v>0</v>
      </c>
      <c r="AU1193" s="652">
        <f>IF($B1193="",,SUMIFS(PerHeadcount[Month 36],PerHeadcount[exp_item],$H1193,PerHeadcount[company_name],$B1193)*AU248)</f>
        <v>0</v>
      </c>
    </row>
    <row r="1194" spans="2:47" x14ac:dyDescent="0.35">
      <c r="B1194" t="str">
        <f t="shared" si="807"/>
        <v/>
      </c>
      <c r="C1194" t="str">
        <f t="shared" ref="C1194:G1194" si="838">IF(C1089="","",C1089)</f>
        <v/>
      </c>
      <c r="D1194" t="str">
        <f t="shared" si="838"/>
        <v/>
      </c>
      <c r="E1194" t="str">
        <f t="shared" si="838"/>
        <v/>
      </c>
      <c r="F1194" t="str">
        <f t="shared" si="838"/>
        <v/>
      </c>
      <c r="G1194" t="str">
        <f t="shared" si="838"/>
        <v/>
      </c>
      <c r="H1194" t="str">
        <f t="shared" si="806"/>
        <v/>
      </c>
      <c r="J1194" t="str">
        <f>IF($H1194="","",IF(VLOOKUP(H1194,ExpItems[],2,0),H1194&amp;" - "&amp;INDEX(DivisionMapping[category_code],MATCH($D1194&amp;$C1194,DivisionMapping[dept_bu],0)),H1194))</f>
        <v/>
      </c>
      <c r="K1194" t="str">
        <f t="shared" si="774"/>
        <v/>
      </c>
      <c r="L1194" s="652">
        <f>IF($B1194="",,SUMIFS(PerHeadcount[Month 1],PerHeadcount[exp_item],$H1194,PerHeadcount[company_name],$B1194)*L249)</f>
        <v>0</v>
      </c>
      <c r="M1194" s="652">
        <f>IF($B1194="",,SUMIFS(PerHeadcount[Month 2],PerHeadcount[exp_item],$H1194,PerHeadcount[company_name],$B1194)*M249)</f>
        <v>0</v>
      </c>
      <c r="N1194" s="652">
        <f>IF($B1194="",,SUMIFS(PerHeadcount[Month 3],PerHeadcount[exp_item],$H1194,PerHeadcount[company_name],$B1194)*N249)</f>
        <v>0</v>
      </c>
      <c r="O1194" s="652">
        <f>IF($B1194="",,SUMIFS(PerHeadcount[Month 4],PerHeadcount[exp_item],$H1194,PerHeadcount[company_name],$B1194)*O249)</f>
        <v>0</v>
      </c>
      <c r="P1194" s="652">
        <f>IF($B1194="",,SUMIFS(PerHeadcount[Month 5],PerHeadcount[exp_item],$H1194,PerHeadcount[company_name],$B1194)*P249)</f>
        <v>0</v>
      </c>
      <c r="Q1194" s="652">
        <f>IF($B1194="",,SUMIFS(PerHeadcount[Month 6],PerHeadcount[exp_item],$H1194,PerHeadcount[company_name],$B1194)*Q249)</f>
        <v>0</v>
      </c>
      <c r="R1194" s="652">
        <f>IF($B1194="",,SUMIFS(PerHeadcount[Month 7],PerHeadcount[exp_item],$H1194,PerHeadcount[company_name],$B1194)*R249)</f>
        <v>0</v>
      </c>
      <c r="S1194" s="652">
        <f>IF($B1194="",,SUMIFS(PerHeadcount[Month 8],PerHeadcount[exp_item],$H1194,PerHeadcount[company_name],$B1194)*S249)</f>
        <v>0</v>
      </c>
      <c r="T1194" s="652">
        <f>IF($B1194="",,SUMIFS(PerHeadcount[Month 9],PerHeadcount[exp_item],$H1194,PerHeadcount[company_name],$B1194)*T249)</f>
        <v>0</v>
      </c>
      <c r="U1194" s="652">
        <f>IF($B1194="",,SUMIFS(PerHeadcount[Month 10],PerHeadcount[exp_item],$H1194,PerHeadcount[company_name],$B1194)*U249)</f>
        <v>0</v>
      </c>
      <c r="V1194" s="652">
        <f>IF($B1194="",,SUMIFS(PerHeadcount[Month 11],PerHeadcount[exp_item],$H1194,PerHeadcount[company_name],$B1194)*V249)</f>
        <v>0</v>
      </c>
      <c r="W1194" s="652">
        <f>IF($B1194="",,SUMIFS(PerHeadcount[Month 12],PerHeadcount[exp_item],$H1194,PerHeadcount[company_name],$B1194)*W249)</f>
        <v>0</v>
      </c>
      <c r="X1194" s="652">
        <f>IF($B1194="",,SUMIFS(PerHeadcount[Month 13],PerHeadcount[exp_item],$H1194,PerHeadcount[company_name],$B1194)*X249)</f>
        <v>0</v>
      </c>
      <c r="Y1194" s="652">
        <f>IF($B1194="",,SUMIFS(PerHeadcount[Month 14],PerHeadcount[exp_item],$H1194,PerHeadcount[company_name],$B1194)*Y249)</f>
        <v>0</v>
      </c>
      <c r="Z1194" s="652">
        <f>IF($B1194="",,SUMIFS(PerHeadcount[Month 15],PerHeadcount[exp_item],$H1194,PerHeadcount[company_name],$B1194)*Z249)</f>
        <v>0</v>
      </c>
      <c r="AA1194" s="652">
        <f>IF($B1194="",,SUMIFS(PerHeadcount[Month 16],PerHeadcount[exp_item],$H1194,PerHeadcount[company_name],$B1194)*AA249)</f>
        <v>0</v>
      </c>
      <c r="AB1194" s="652">
        <f>IF($B1194="",,SUMIFS(PerHeadcount[Month 17],PerHeadcount[exp_item],$H1194,PerHeadcount[company_name],$B1194)*AB249)</f>
        <v>0</v>
      </c>
      <c r="AC1194" s="652">
        <f>IF($B1194="",,SUMIFS(PerHeadcount[Month 18],PerHeadcount[exp_item],$H1194,PerHeadcount[company_name],$B1194)*AC249)</f>
        <v>0</v>
      </c>
      <c r="AD1194" s="652">
        <f>IF($B1194="",,SUMIFS(PerHeadcount[Month 19],PerHeadcount[exp_item],$H1194,PerHeadcount[company_name],$B1194)*AD249)</f>
        <v>0</v>
      </c>
      <c r="AE1194" s="652">
        <f>IF($B1194="",,SUMIFS(PerHeadcount[Month 20],PerHeadcount[exp_item],$H1194,PerHeadcount[company_name],$B1194)*AE249)</f>
        <v>0</v>
      </c>
      <c r="AF1194" s="652">
        <f>IF($B1194="",,SUMIFS(PerHeadcount[Month 21],PerHeadcount[exp_item],$H1194,PerHeadcount[company_name],$B1194)*AF249)</f>
        <v>0</v>
      </c>
      <c r="AG1194" s="652">
        <f>IF($B1194="",,SUMIFS(PerHeadcount[Month 22],PerHeadcount[exp_item],$H1194,PerHeadcount[company_name],$B1194)*AG249)</f>
        <v>0</v>
      </c>
      <c r="AH1194" s="652">
        <f>IF($B1194="",,SUMIFS(PerHeadcount[Month 23],PerHeadcount[exp_item],$H1194,PerHeadcount[company_name],$B1194)*AH249)</f>
        <v>0</v>
      </c>
      <c r="AI1194" s="652">
        <f>IF($B1194="",,SUMIFS(PerHeadcount[Month 24],PerHeadcount[exp_item],$H1194,PerHeadcount[company_name],$B1194)*AI249)</f>
        <v>0</v>
      </c>
      <c r="AJ1194" s="652">
        <f>IF($B1194="",,SUMIFS(PerHeadcount[Month 25],PerHeadcount[exp_item],$H1194,PerHeadcount[company_name],$B1194)*AJ249)</f>
        <v>0</v>
      </c>
      <c r="AK1194" s="652">
        <f>IF($B1194="",,SUMIFS(PerHeadcount[Month 26],PerHeadcount[exp_item],$H1194,PerHeadcount[company_name],$B1194)*AK249)</f>
        <v>0</v>
      </c>
      <c r="AL1194" s="652">
        <f>IF($B1194="",,SUMIFS(PerHeadcount[Month 27],PerHeadcount[exp_item],$H1194,PerHeadcount[company_name],$B1194)*AL249)</f>
        <v>0</v>
      </c>
      <c r="AM1194" s="652">
        <f>IF($B1194="",,SUMIFS(PerHeadcount[Month 28],PerHeadcount[exp_item],$H1194,PerHeadcount[company_name],$B1194)*AM249)</f>
        <v>0</v>
      </c>
      <c r="AN1194" s="652">
        <f>IF($B1194="",,SUMIFS(PerHeadcount[Month 29],PerHeadcount[exp_item],$H1194,PerHeadcount[company_name],$B1194)*AN249)</f>
        <v>0</v>
      </c>
      <c r="AO1194" s="652">
        <f>IF($B1194="",,SUMIFS(PerHeadcount[Month 30],PerHeadcount[exp_item],$H1194,PerHeadcount[company_name],$B1194)*AO249)</f>
        <v>0</v>
      </c>
      <c r="AP1194" s="652">
        <f>IF($B1194="",,SUMIFS(PerHeadcount[Month 31],PerHeadcount[exp_item],$H1194,PerHeadcount[company_name],$B1194)*AP249)</f>
        <v>0</v>
      </c>
      <c r="AQ1194" s="652">
        <f>IF($B1194="",,SUMIFS(PerHeadcount[Month 32],PerHeadcount[exp_item],$H1194,PerHeadcount[company_name],$B1194)*AQ249)</f>
        <v>0</v>
      </c>
      <c r="AR1194" s="652">
        <f>IF($B1194="",,SUMIFS(PerHeadcount[Month 33],PerHeadcount[exp_item],$H1194,PerHeadcount[company_name],$B1194)*AR249)</f>
        <v>0</v>
      </c>
      <c r="AS1194" s="652">
        <f>IF($B1194="",,SUMIFS(PerHeadcount[Month 34],PerHeadcount[exp_item],$H1194,PerHeadcount[company_name],$B1194)*AS249)</f>
        <v>0</v>
      </c>
      <c r="AT1194" s="652">
        <f>IF($B1194="",,SUMIFS(PerHeadcount[Month 35],PerHeadcount[exp_item],$H1194,PerHeadcount[company_name],$B1194)*AT249)</f>
        <v>0</v>
      </c>
      <c r="AU1194" s="652">
        <f>IF($B1194="",,SUMIFS(PerHeadcount[Month 36],PerHeadcount[exp_item],$H1194,PerHeadcount[company_name],$B1194)*AU249)</f>
        <v>0</v>
      </c>
    </row>
    <row r="1195" spans="2:47" x14ac:dyDescent="0.35">
      <c r="B1195" t="str">
        <f t="shared" si="807"/>
        <v/>
      </c>
      <c r="C1195" t="str">
        <f t="shared" ref="C1195:G1195" si="839">IF(C1090="","",C1090)</f>
        <v/>
      </c>
      <c r="D1195" t="str">
        <f t="shared" si="839"/>
        <v/>
      </c>
      <c r="E1195" t="str">
        <f t="shared" si="839"/>
        <v/>
      </c>
      <c r="F1195" t="str">
        <f t="shared" si="839"/>
        <v/>
      </c>
      <c r="G1195" t="str">
        <f t="shared" si="839"/>
        <v/>
      </c>
      <c r="H1195" t="str">
        <f t="shared" ref="H1195:H1231" si="840">IF(B1195="","",$B$1130)</f>
        <v/>
      </c>
      <c r="J1195" t="str">
        <f>IF($H1195="","",IF(VLOOKUP(H1195,ExpItems[],2,0),H1195&amp;" - "&amp;INDEX(DivisionMapping[category_code],MATCH($D1195&amp;$C1195,DivisionMapping[dept_bu],0)),H1195))</f>
        <v/>
      </c>
      <c r="K1195" t="str">
        <f t="shared" si="774"/>
        <v/>
      </c>
      <c r="L1195" s="652">
        <f>IF($B1195="",,SUMIFS(PerHeadcount[Month 1],PerHeadcount[exp_item],$H1195,PerHeadcount[company_name],$B1195)*L250)</f>
        <v>0</v>
      </c>
      <c r="M1195" s="652">
        <f>IF($B1195="",,SUMIFS(PerHeadcount[Month 2],PerHeadcount[exp_item],$H1195,PerHeadcount[company_name],$B1195)*M250)</f>
        <v>0</v>
      </c>
      <c r="N1195" s="652">
        <f>IF($B1195="",,SUMIFS(PerHeadcount[Month 3],PerHeadcount[exp_item],$H1195,PerHeadcount[company_name],$B1195)*N250)</f>
        <v>0</v>
      </c>
      <c r="O1195" s="652">
        <f>IF($B1195="",,SUMIFS(PerHeadcount[Month 4],PerHeadcount[exp_item],$H1195,PerHeadcount[company_name],$B1195)*O250)</f>
        <v>0</v>
      </c>
      <c r="P1195" s="652">
        <f>IF($B1195="",,SUMIFS(PerHeadcount[Month 5],PerHeadcount[exp_item],$H1195,PerHeadcount[company_name],$B1195)*P250)</f>
        <v>0</v>
      </c>
      <c r="Q1195" s="652">
        <f>IF($B1195="",,SUMIFS(PerHeadcount[Month 6],PerHeadcount[exp_item],$H1195,PerHeadcount[company_name],$B1195)*Q250)</f>
        <v>0</v>
      </c>
      <c r="R1195" s="652">
        <f>IF($B1195="",,SUMIFS(PerHeadcount[Month 7],PerHeadcount[exp_item],$H1195,PerHeadcount[company_name],$B1195)*R250)</f>
        <v>0</v>
      </c>
      <c r="S1195" s="652">
        <f>IF($B1195="",,SUMIFS(PerHeadcount[Month 8],PerHeadcount[exp_item],$H1195,PerHeadcount[company_name],$B1195)*S250)</f>
        <v>0</v>
      </c>
      <c r="T1195" s="652">
        <f>IF($B1195="",,SUMIFS(PerHeadcount[Month 9],PerHeadcount[exp_item],$H1195,PerHeadcount[company_name],$B1195)*T250)</f>
        <v>0</v>
      </c>
      <c r="U1195" s="652">
        <f>IF($B1195="",,SUMIFS(PerHeadcount[Month 10],PerHeadcount[exp_item],$H1195,PerHeadcount[company_name],$B1195)*U250)</f>
        <v>0</v>
      </c>
      <c r="V1195" s="652">
        <f>IF($B1195="",,SUMIFS(PerHeadcount[Month 11],PerHeadcount[exp_item],$H1195,PerHeadcount[company_name],$B1195)*V250)</f>
        <v>0</v>
      </c>
      <c r="W1195" s="652">
        <f>IF($B1195="",,SUMIFS(PerHeadcount[Month 12],PerHeadcount[exp_item],$H1195,PerHeadcount[company_name],$B1195)*W250)</f>
        <v>0</v>
      </c>
      <c r="X1195" s="652">
        <f>IF($B1195="",,SUMIFS(PerHeadcount[Month 13],PerHeadcount[exp_item],$H1195,PerHeadcount[company_name],$B1195)*X250)</f>
        <v>0</v>
      </c>
      <c r="Y1195" s="652">
        <f>IF($B1195="",,SUMIFS(PerHeadcount[Month 14],PerHeadcount[exp_item],$H1195,PerHeadcount[company_name],$B1195)*Y250)</f>
        <v>0</v>
      </c>
      <c r="Z1195" s="652">
        <f>IF($B1195="",,SUMIFS(PerHeadcount[Month 15],PerHeadcount[exp_item],$H1195,PerHeadcount[company_name],$B1195)*Z250)</f>
        <v>0</v>
      </c>
      <c r="AA1195" s="652">
        <f>IF($B1195="",,SUMIFS(PerHeadcount[Month 16],PerHeadcount[exp_item],$H1195,PerHeadcount[company_name],$B1195)*AA250)</f>
        <v>0</v>
      </c>
      <c r="AB1195" s="652">
        <f>IF($B1195="",,SUMIFS(PerHeadcount[Month 17],PerHeadcount[exp_item],$H1195,PerHeadcount[company_name],$B1195)*AB250)</f>
        <v>0</v>
      </c>
      <c r="AC1195" s="652">
        <f>IF($B1195="",,SUMIFS(PerHeadcount[Month 18],PerHeadcount[exp_item],$H1195,PerHeadcount[company_name],$B1195)*AC250)</f>
        <v>0</v>
      </c>
      <c r="AD1195" s="652">
        <f>IF($B1195="",,SUMIFS(PerHeadcount[Month 19],PerHeadcount[exp_item],$H1195,PerHeadcount[company_name],$B1195)*AD250)</f>
        <v>0</v>
      </c>
      <c r="AE1195" s="652">
        <f>IF($B1195="",,SUMIFS(PerHeadcount[Month 20],PerHeadcount[exp_item],$H1195,PerHeadcount[company_name],$B1195)*AE250)</f>
        <v>0</v>
      </c>
      <c r="AF1195" s="652">
        <f>IF($B1195="",,SUMIFS(PerHeadcount[Month 21],PerHeadcount[exp_item],$H1195,PerHeadcount[company_name],$B1195)*AF250)</f>
        <v>0</v>
      </c>
      <c r="AG1195" s="652">
        <f>IF($B1195="",,SUMIFS(PerHeadcount[Month 22],PerHeadcount[exp_item],$H1195,PerHeadcount[company_name],$B1195)*AG250)</f>
        <v>0</v>
      </c>
      <c r="AH1195" s="652">
        <f>IF($B1195="",,SUMIFS(PerHeadcount[Month 23],PerHeadcount[exp_item],$H1195,PerHeadcount[company_name],$B1195)*AH250)</f>
        <v>0</v>
      </c>
      <c r="AI1195" s="652">
        <f>IF($B1195="",,SUMIFS(PerHeadcount[Month 24],PerHeadcount[exp_item],$H1195,PerHeadcount[company_name],$B1195)*AI250)</f>
        <v>0</v>
      </c>
      <c r="AJ1195" s="652">
        <f>IF($B1195="",,SUMIFS(PerHeadcount[Month 25],PerHeadcount[exp_item],$H1195,PerHeadcount[company_name],$B1195)*AJ250)</f>
        <v>0</v>
      </c>
      <c r="AK1195" s="652">
        <f>IF($B1195="",,SUMIFS(PerHeadcount[Month 26],PerHeadcount[exp_item],$H1195,PerHeadcount[company_name],$B1195)*AK250)</f>
        <v>0</v>
      </c>
      <c r="AL1195" s="652">
        <f>IF($B1195="",,SUMIFS(PerHeadcount[Month 27],PerHeadcount[exp_item],$H1195,PerHeadcount[company_name],$B1195)*AL250)</f>
        <v>0</v>
      </c>
      <c r="AM1195" s="652">
        <f>IF($B1195="",,SUMIFS(PerHeadcount[Month 28],PerHeadcount[exp_item],$H1195,PerHeadcount[company_name],$B1195)*AM250)</f>
        <v>0</v>
      </c>
      <c r="AN1195" s="652">
        <f>IF($B1195="",,SUMIFS(PerHeadcount[Month 29],PerHeadcount[exp_item],$H1195,PerHeadcount[company_name],$B1195)*AN250)</f>
        <v>0</v>
      </c>
      <c r="AO1195" s="652">
        <f>IF($B1195="",,SUMIFS(PerHeadcount[Month 30],PerHeadcount[exp_item],$H1195,PerHeadcount[company_name],$B1195)*AO250)</f>
        <v>0</v>
      </c>
      <c r="AP1195" s="652">
        <f>IF($B1195="",,SUMIFS(PerHeadcount[Month 31],PerHeadcount[exp_item],$H1195,PerHeadcount[company_name],$B1195)*AP250)</f>
        <v>0</v>
      </c>
      <c r="AQ1195" s="652">
        <f>IF($B1195="",,SUMIFS(PerHeadcount[Month 32],PerHeadcount[exp_item],$H1195,PerHeadcount[company_name],$B1195)*AQ250)</f>
        <v>0</v>
      </c>
      <c r="AR1195" s="652">
        <f>IF($B1195="",,SUMIFS(PerHeadcount[Month 33],PerHeadcount[exp_item],$H1195,PerHeadcount[company_name],$B1195)*AR250)</f>
        <v>0</v>
      </c>
      <c r="AS1195" s="652">
        <f>IF($B1195="",,SUMIFS(PerHeadcount[Month 34],PerHeadcount[exp_item],$H1195,PerHeadcount[company_name],$B1195)*AS250)</f>
        <v>0</v>
      </c>
      <c r="AT1195" s="652">
        <f>IF($B1195="",,SUMIFS(PerHeadcount[Month 35],PerHeadcount[exp_item],$H1195,PerHeadcount[company_name],$B1195)*AT250)</f>
        <v>0</v>
      </c>
      <c r="AU1195" s="652">
        <f>IF($B1195="",,SUMIFS(PerHeadcount[Month 36],PerHeadcount[exp_item],$H1195,PerHeadcount[company_name],$B1195)*AU250)</f>
        <v>0</v>
      </c>
    </row>
    <row r="1196" spans="2:47" x14ac:dyDescent="0.35">
      <c r="B1196" t="str">
        <f t="shared" ref="B1196:B1215" si="841">IF(B1091="","",B1091)</f>
        <v/>
      </c>
      <c r="C1196" t="str">
        <f t="shared" ref="C1196:G1196" si="842">IF(C1091="","",C1091)</f>
        <v/>
      </c>
      <c r="D1196" t="str">
        <f t="shared" si="842"/>
        <v/>
      </c>
      <c r="E1196" t="str">
        <f t="shared" si="842"/>
        <v/>
      </c>
      <c r="F1196" t="str">
        <f t="shared" si="842"/>
        <v/>
      </c>
      <c r="G1196" t="str">
        <f t="shared" si="842"/>
        <v/>
      </c>
      <c r="H1196" t="str">
        <f t="shared" si="840"/>
        <v/>
      </c>
      <c r="J1196" t="str">
        <f>IF($H1196="","",IF(VLOOKUP(H1196,ExpItems[],2,0),H1196&amp;" - "&amp;INDEX(DivisionMapping[category_code],MATCH($D1196&amp;$C1196,DivisionMapping[dept_bu],0)),H1196))</f>
        <v/>
      </c>
      <c r="K1196" t="str">
        <f t="shared" ref="K1196:K1231" si="843">K1091</f>
        <v/>
      </c>
      <c r="L1196" s="652">
        <f>IF($B1196="",,SUMIFS(PerHeadcount[Month 1],PerHeadcount[exp_item],$H1196,PerHeadcount[company_name],$B1196)*L251)</f>
        <v>0</v>
      </c>
      <c r="M1196" s="652">
        <f>IF($B1196="",,SUMIFS(PerHeadcount[Month 2],PerHeadcount[exp_item],$H1196,PerHeadcount[company_name],$B1196)*M251)</f>
        <v>0</v>
      </c>
      <c r="N1196" s="652">
        <f>IF($B1196="",,SUMIFS(PerHeadcount[Month 3],PerHeadcount[exp_item],$H1196,PerHeadcount[company_name],$B1196)*N251)</f>
        <v>0</v>
      </c>
      <c r="O1196" s="652">
        <f>IF($B1196="",,SUMIFS(PerHeadcount[Month 4],PerHeadcount[exp_item],$H1196,PerHeadcount[company_name],$B1196)*O251)</f>
        <v>0</v>
      </c>
      <c r="P1196" s="652">
        <f>IF($B1196="",,SUMIFS(PerHeadcount[Month 5],PerHeadcount[exp_item],$H1196,PerHeadcount[company_name],$B1196)*P251)</f>
        <v>0</v>
      </c>
      <c r="Q1196" s="652">
        <f>IF($B1196="",,SUMIFS(PerHeadcount[Month 6],PerHeadcount[exp_item],$H1196,PerHeadcount[company_name],$B1196)*Q251)</f>
        <v>0</v>
      </c>
      <c r="R1196" s="652">
        <f>IF($B1196="",,SUMIFS(PerHeadcount[Month 7],PerHeadcount[exp_item],$H1196,PerHeadcount[company_name],$B1196)*R251)</f>
        <v>0</v>
      </c>
      <c r="S1196" s="652">
        <f>IF($B1196="",,SUMIFS(PerHeadcount[Month 8],PerHeadcount[exp_item],$H1196,PerHeadcount[company_name],$B1196)*S251)</f>
        <v>0</v>
      </c>
      <c r="T1196" s="652">
        <f>IF($B1196="",,SUMIFS(PerHeadcount[Month 9],PerHeadcount[exp_item],$H1196,PerHeadcount[company_name],$B1196)*T251)</f>
        <v>0</v>
      </c>
      <c r="U1196" s="652">
        <f>IF($B1196="",,SUMIFS(PerHeadcount[Month 10],PerHeadcount[exp_item],$H1196,PerHeadcount[company_name],$B1196)*U251)</f>
        <v>0</v>
      </c>
      <c r="V1196" s="652">
        <f>IF($B1196="",,SUMIFS(PerHeadcount[Month 11],PerHeadcount[exp_item],$H1196,PerHeadcount[company_name],$B1196)*V251)</f>
        <v>0</v>
      </c>
      <c r="W1196" s="652">
        <f>IF($B1196="",,SUMIFS(PerHeadcount[Month 12],PerHeadcount[exp_item],$H1196,PerHeadcount[company_name],$B1196)*W251)</f>
        <v>0</v>
      </c>
      <c r="X1196" s="652">
        <f>IF($B1196="",,SUMIFS(PerHeadcount[Month 13],PerHeadcount[exp_item],$H1196,PerHeadcount[company_name],$B1196)*X251)</f>
        <v>0</v>
      </c>
      <c r="Y1196" s="652">
        <f>IF($B1196="",,SUMIFS(PerHeadcount[Month 14],PerHeadcount[exp_item],$H1196,PerHeadcount[company_name],$B1196)*Y251)</f>
        <v>0</v>
      </c>
      <c r="Z1196" s="652">
        <f>IF($B1196="",,SUMIFS(PerHeadcount[Month 15],PerHeadcount[exp_item],$H1196,PerHeadcount[company_name],$B1196)*Z251)</f>
        <v>0</v>
      </c>
      <c r="AA1196" s="652">
        <f>IF($B1196="",,SUMIFS(PerHeadcount[Month 16],PerHeadcount[exp_item],$H1196,PerHeadcount[company_name],$B1196)*AA251)</f>
        <v>0</v>
      </c>
      <c r="AB1196" s="652">
        <f>IF($B1196="",,SUMIFS(PerHeadcount[Month 17],PerHeadcount[exp_item],$H1196,PerHeadcount[company_name],$B1196)*AB251)</f>
        <v>0</v>
      </c>
      <c r="AC1196" s="652">
        <f>IF($B1196="",,SUMIFS(PerHeadcount[Month 18],PerHeadcount[exp_item],$H1196,PerHeadcount[company_name],$B1196)*AC251)</f>
        <v>0</v>
      </c>
      <c r="AD1196" s="652">
        <f>IF($B1196="",,SUMIFS(PerHeadcount[Month 19],PerHeadcount[exp_item],$H1196,PerHeadcount[company_name],$B1196)*AD251)</f>
        <v>0</v>
      </c>
      <c r="AE1196" s="652">
        <f>IF($B1196="",,SUMIFS(PerHeadcount[Month 20],PerHeadcount[exp_item],$H1196,PerHeadcount[company_name],$B1196)*AE251)</f>
        <v>0</v>
      </c>
      <c r="AF1196" s="652">
        <f>IF($B1196="",,SUMIFS(PerHeadcount[Month 21],PerHeadcount[exp_item],$H1196,PerHeadcount[company_name],$B1196)*AF251)</f>
        <v>0</v>
      </c>
      <c r="AG1196" s="652">
        <f>IF($B1196="",,SUMIFS(PerHeadcount[Month 22],PerHeadcount[exp_item],$H1196,PerHeadcount[company_name],$B1196)*AG251)</f>
        <v>0</v>
      </c>
      <c r="AH1196" s="652">
        <f>IF($B1196="",,SUMIFS(PerHeadcount[Month 23],PerHeadcount[exp_item],$H1196,PerHeadcount[company_name],$B1196)*AH251)</f>
        <v>0</v>
      </c>
      <c r="AI1196" s="652">
        <f>IF($B1196="",,SUMIFS(PerHeadcount[Month 24],PerHeadcount[exp_item],$H1196,PerHeadcount[company_name],$B1196)*AI251)</f>
        <v>0</v>
      </c>
      <c r="AJ1196" s="652">
        <f>IF($B1196="",,SUMIFS(PerHeadcount[Month 25],PerHeadcount[exp_item],$H1196,PerHeadcount[company_name],$B1196)*AJ251)</f>
        <v>0</v>
      </c>
      <c r="AK1196" s="652">
        <f>IF($B1196="",,SUMIFS(PerHeadcount[Month 26],PerHeadcount[exp_item],$H1196,PerHeadcount[company_name],$B1196)*AK251)</f>
        <v>0</v>
      </c>
      <c r="AL1196" s="652">
        <f>IF($B1196="",,SUMIFS(PerHeadcount[Month 27],PerHeadcount[exp_item],$H1196,PerHeadcount[company_name],$B1196)*AL251)</f>
        <v>0</v>
      </c>
      <c r="AM1196" s="652">
        <f>IF($B1196="",,SUMIFS(PerHeadcount[Month 28],PerHeadcount[exp_item],$H1196,PerHeadcount[company_name],$B1196)*AM251)</f>
        <v>0</v>
      </c>
      <c r="AN1196" s="652">
        <f>IF($B1196="",,SUMIFS(PerHeadcount[Month 29],PerHeadcount[exp_item],$H1196,PerHeadcount[company_name],$B1196)*AN251)</f>
        <v>0</v>
      </c>
      <c r="AO1196" s="652">
        <f>IF($B1196="",,SUMIFS(PerHeadcount[Month 30],PerHeadcount[exp_item],$H1196,PerHeadcount[company_name],$B1196)*AO251)</f>
        <v>0</v>
      </c>
      <c r="AP1196" s="652">
        <f>IF($B1196="",,SUMIFS(PerHeadcount[Month 31],PerHeadcount[exp_item],$H1196,PerHeadcount[company_name],$B1196)*AP251)</f>
        <v>0</v>
      </c>
      <c r="AQ1196" s="652">
        <f>IF($B1196="",,SUMIFS(PerHeadcount[Month 32],PerHeadcount[exp_item],$H1196,PerHeadcount[company_name],$B1196)*AQ251)</f>
        <v>0</v>
      </c>
      <c r="AR1196" s="652">
        <f>IF($B1196="",,SUMIFS(PerHeadcount[Month 33],PerHeadcount[exp_item],$H1196,PerHeadcount[company_name],$B1196)*AR251)</f>
        <v>0</v>
      </c>
      <c r="AS1196" s="652">
        <f>IF($B1196="",,SUMIFS(PerHeadcount[Month 34],PerHeadcount[exp_item],$H1196,PerHeadcount[company_name],$B1196)*AS251)</f>
        <v>0</v>
      </c>
      <c r="AT1196" s="652">
        <f>IF($B1196="",,SUMIFS(PerHeadcount[Month 35],PerHeadcount[exp_item],$H1196,PerHeadcount[company_name],$B1196)*AT251)</f>
        <v>0</v>
      </c>
      <c r="AU1196" s="652">
        <f>IF($B1196="",,SUMIFS(PerHeadcount[Month 36],PerHeadcount[exp_item],$H1196,PerHeadcount[company_name],$B1196)*AU251)</f>
        <v>0</v>
      </c>
    </row>
    <row r="1197" spans="2:47" x14ac:dyDescent="0.35">
      <c r="B1197" t="str">
        <f t="shared" si="841"/>
        <v/>
      </c>
      <c r="C1197" t="str">
        <f t="shared" ref="C1197:G1197" si="844">IF(C1092="","",C1092)</f>
        <v/>
      </c>
      <c r="D1197" t="str">
        <f t="shared" si="844"/>
        <v/>
      </c>
      <c r="E1197" t="str">
        <f t="shared" si="844"/>
        <v/>
      </c>
      <c r="F1197" t="str">
        <f t="shared" si="844"/>
        <v/>
      </c>
      <c r="G1197" t="str">
        <f t="shared" si="844"/>
        <v/>
      </c>
      <c r="H1197" t="str">
        <f t="shared" si="840"/>
        <v/>
      </c>
      <c r="J1197" t="str">
        <f>IF($H1197="","",IF(VLOOKUP(H1197,ExpItems[],2,0),H1197&amp;" - "&amp;INDEX(DivisionMapping[category_code],MATCH($D1197&amp;$C1197,DivisionMapping[dept_bu],0)),H1197))</f>
        <v/>
      </c>
      <c r="K1197" t="str">
        <f t="shared" si="843"/>
        <v/>
      </c>
      <c r="L1197" s="652">
        <f>IF($B1197="",,SUMIFS(PerHeadcount[Month 1],PerHeadcount[exp_item],$H1197,PerHeadcount[company_name],$B1197)*L252)</f>
        <v>0</v>
      </c>
      <c r="M1197" s="652">
        <f>IF($B1197="",,SUMIFS(PerHeadcount[Month 2],PerHeadcount[exp_item],$H1197,PerHeadcount[company_name],$B1197)*M252)</f>
        <v>0</v>
      </c>
      <c r="N1197" s="652">
        <f>IF($B1197="",,SUMIFS(PerHeadcount[Month 3],PerHeadcount[exp_item],$H1197,PerHeadcount[company_name],$B1197)*N252)</f>
        <v>0</v>
      </c>
      <c r="O1197" s="652">
        <f>IF($B1197="",,SUMIFS(PerHeadcount[Month 4],PerHeadcount[exp_item],$H1197,PerHeadcount[company_name],$B1197)*O252)</f>
        <v>0</v>
      </c>
      <c r="P1197" s="652">
        <f>IF($B1197="",,SUMIFS(PerHeadcount[Month 5],PerHeadcount[exp_item],$H1197,PerHeadcount[company_name],$B1197)*P252)</f>
        <v>0</v>
      </c>
      <c r="Q1197" s="652">
        <f>IF($B1197="",,SUMIFS(PerHeadcount[Month 6],PerHeadcount[exp_item],$H1197,PerHeadcount[company_name],$B1197)*Q252)</f>
        <v>0</v>
      </c>
      <c r="R1197" s="652">
        <f>IF($B1197="",,SUMIFS(PerHeadcount[Month 7],PerHeadcount[exp_item],$H1197,PerHeadcount[company_name],$B1197)*R252)</f>
        <v>0</v>
      </c>
      <c r="S1197" s="652">
        <f>IF($B1197="",,SUMIFS(PerHeadcount[Month 8],PerHeadcount[exp_item],$H1197,PerHeadcount[company_name],$B1197)*S252)</f>
        <v>0</v>
      </c>
      <c r="T1197" s="652">
        <f>IF($B1197="",,SUMIFS(PerHeadcount[Month 9],PerHeadcount[exp_item],$H1197,PerHeadcount[company_name],$B1197)*T252)</f>
        <v>0</v>
      </c>
      <c r="U1197" s="652">
        <f>IF($B1197="",,SUMIFS(PerHeadcount[Month 10],PerHeadcount[exp_item],$H1197,PerHeadcount[company_name],$B1197)*U252)</f>
        <v>0</v>
      </c>
      <c r="V1197" s="652">
        <f>IF($B1197="",,SUMIFS(PerHeadcount[Month 11],PerHeadcount[exp_item],$H1197,PerHeadcount[company_name],$B1197)*V252)</f>
        <v>0</v>
      </c>
      <c r="W1197" s="652">
        <f>IF($B1197="",,SUMIFS(PerHeadcount[Month 12],PerHeadcount[exp_item],$H1197,PerHeadcount[company_name],$B1197)*W252)</f>
        <v>0</v>
      </c>
      <c r="X1197" s="652">
        <f>IF($B1197="",,SUMIFS(PerHeadcount[Month 13],PerHeadcount[exp_item],$H1197,PerHeadcount[company_name],$B1197)*X252)</f>
        <v>0</v>
      </c>
      <c r="Y1197" s="652">
        <f>IF($B1197="",,SUMIFS(PerHeadcount[Month 14],PerHeadcount[exp_item],$H1197,PerHeadcount[company_name],$B1197)*Y252)</f>
        <v>0</v>
      </c>
      <c r="Z1197" s="652">
        <f>IF($B1197="",,SUMIFS(PerHeadcount[Month 15],PerHeadcount[exp_item],$H1197,PerHeadcount[company_name],$B1197)*Z252)</f>
        <v>0</v>
      </c>
      <c r="AA1197" s="652">
        <f>IF($B1197="",,SUMIFS(PerHeadcount[Month 16],PerHeadcount[exp_item],$H1197,PerHeadcount[company_name],$B1197)*AA252)</f>
        <v>0</v>
      </c>
      <c r="AB1197" s="652">
        <f>IF($B1197="",,SUMIFS(PerHeadcount[Month 17],PerHeadcount[exp_item],$H1197,PerHeadcount[company_name],$B1197)*AB252)</f>
        <v>0</v>
      </c>
      <c r="AC1197" s="652">
        <f>IF($B1197="",,SUMIFS(PerHeadcount[Month 18],PerHeadcount[exp_item],$H1197,PerHeadcount[company_name],$B1197)*AC252)</f>
        <v>0</v>
      </c>
      <c r="AD1197" s="652">
        <f>IF($B1197="",,SUMIFS(PerHeadcount[Month 19],PerHeadcount[exp_item],$H1197,PerHeadcount[company_name],$B1197)*AD252)</f>
        <v>0</v>
      </c>
      <c r="AE1197" s="652">
        <f>IF($B1197="",,SUMIFS(PerHeadcount[Month 20],PerHeadcount[exp_item],$H1197,PerHeadcount[company_name],$B1197)*AE252)</f>
        <v>0</v>
      </c>
      <c r="AF1197" s="652">
        <f>IF($B1197="",,SUMIFS(PerHeadcount[Month 21],PerHeadcount[exp_item],$H1197,PerHeadcount[company_name],$B1197)*AF252)</f>
        <v>0</v>
      </c>
      <c r="AG1197" s="652">
        <f>IF($B1197="",,SUMIFS(PerHeadcount[Month 22],PerHeadcount[exp_item],$H1197,PerHeadcount[company_name],$B1197)*AG252)</f>
        <v>0</v>
      </c>
      <c r="AH1197" s="652">
        <f>IF($B1197="",,SUMIFS(PerHeadcount[Month 23],PerHeadcount[exp_item],$H1197,PerHeadcount[company_name],$B1197)*AH252)</f>
        <v>0</v>
      </c>
      <c r="AI1197" s="652">
        <f>IF($B1197="",,SUMIFS(PerHeadcount[Month 24],PerHeadcount[exp_item],$H1197,PerHeadcount[company_name],$B1197)*AI252)</f>
        <v>0</v>
      </c>
      <c r="AJ1197" s="652">
        <f>IF($B1197="",,SUMIFS(PerHeadcount[Month 25],PerHeadcount[exp_item],$H1197,PerHeadcount[company_name],$B1197)*AJ252)</f>
        <v>0</v>
      </c>
      <c r="AK1197" s="652">
        <f>IF($B1197="",,SUMIFS(PerHeadcount[Month 26],PerHeadcount[exp_item],$H1197,PerHeadcount[company_name],$B1197)*AK252)</f>
        <v>0</v>
      </c>
      <c r="AL1197" s="652">
        <f>IF($B1197="",,SUMIFS(PerHeadcount[Month 27],PerHeadcount[exp_item],$H1197,PerHeadcount[company_name],$B1197)*AL252)</f>
        <v>0</v>
      </c>
      <c r="AM1197" s="652">
        <f>IF($B1197="",,SUMIFS(PerHeadcount[Month 28],PerHeadcount[exp_item],$H1197,PerHeadcount[company_name],$B1197)*AM252)</f>
        <v>0</v>
      </c>
      <c r="AN1197" s="652">
        <f>IF($B1197="",,SUMIFS(PerHeadcount[Month 29],PerHeadcount[exp_item],$H1197,PerHeadcount[company_name],$B1197)*AN252)</f>
        <v>0</v>
      </c>
      <c r="AO1197" s="652">
        <f>IF($B1197="",,SUMIFS(PerHeadcount[Month 30],PerHeadcount[exp_item],$H1197,PerHeadcount[company_name],$B1197)*AO252)</f>
        <v>0</v>
      </c>
      <c r="AP1197" s="652">
        <f>IF($B1197="",,SUMIFS(PerHeadcount[Month 31],PerHeadcount[exp_item],$H1197,PerHeadcount[company_name],$B1197)*AP252)</f>
        <v>0</v>
      </c>
      <c r="AQ1197" s="652">
        <f>IF($B1197="",,SUMIFS(PerHeadcount[Month 32],PerHeadcount[exp_item],$H1197,PerHeadcount[company_name],$B1197)*AQ252)</f>
        <v>0</v>
      </c>
      <c r="AR1197" s="652">
        <f>IF($B1197="",,SUMIFS(PerHeadcount[Month 33],PerHeadcount[exp_item],$H1197,PerHeadcount[company_name],$B1197)*AR252)</f>
        <v>0</v>
      </c>
      <c r="AS1197" s="652">
        <f>IF($B1197="",,SUMIFS(PerHeadcount[Month 34],PerHeadcount[exp_item],$H1197,PerHeadcount[company_name],$B1197)*AS252)</f>
        <v>0</v>
      </c>
      <c r="AT1197" s="652">
        <f>IF($B1197="",,SUMIFS(PerHeadcount[Month 35],PerHeadcount[exp_item],$H1197,PerHeadcount[company_name],$B1197)*AT252)</f>
        <v>0</v>
      </c>
      <c r="AU1197" s="652">
        <f>IF($B1197="",,SUMIFS(PerHeadcount[Month 36],PerHeadcount[exp_item],$H1197,PerHeadcount[company_name],$B1197)*AU252)</f>
        <v>0</v>
      </c>
    </row>
    <row r="1198" spans="2:47" x14ac:dyDescent="0.35">
      <c r="B1198" t="str">
        <f t="shared" si="841"/>
        <v/>
      </c>
      <c r="C1198" t="str">
        <f t="shared" ref="C1198:G1198" si="845">IF(C1093="","",C1093)</f>
        <v/>
      </c>
      <c r="D1198" t="str">
        <f t="shared" si="845"/>
        <v/>
      </c>
      <c r="E1198" t="str">
        <f t="shared" si="845"/>
        <v/>
      </c>
      <c r="F1198" t="str">
        <f t="shared" si="845"/>
        <v/>
      </c>
      <c r="G1198" t="str">
        <f t="shared" si="845"/>
        <v/>
      </c>
      <c r="H1198" t="str">
        <f t="shared" si="840"/>
        <v/>
      </c>
      <c r="J1198" t="str">
        <f>IF($H1198="","",IF(VLOOKUP(H1198,ExpItems[],2,0),H1198&amp;" - "&amp;INDEX(DivisionMapping[category_code],MATCH($D1198&amp;$C1198,DivisionMapping[dept_bu],0)),H1198))</f>
        <v/>
      </c>
      <c r="K1198" t="str">
        <f t="shared" si="843"/>
        <v/>
      </c>
      <c r="L1198" s="652">
        <f>IF($B1198="",,SUMIFS(PerHeadcount[Month 1],PerHeadcount[exp_item],$H1198,PerHeadcount[company_name],$B1198)*L253)</f>
        <v>0</v>
      </c>
      <c r="M1198" s="652">
        <f>IF($B1198="",,SUMIFS(PerHeadcount[Month 2],PerHeadcount[exp_item],$H1198,PerHeadcount[company_name],$B1198)*M253)</f>
        <v>0</v>
      </c>
      <c r="N1198" s="652">
        <f>IF($B1198="",,SUMIFS(PerHeadcount[Month 3],PerHeadcount[exp_item],$H1198,PerHeadcount[company_name],$B1198)*N253)</f>
        <v>0</v>
      </c>
      <c r="O1198" s="652">
        <f>IF($B1198="",,SUMIFS(PerHeadcount[Month 4],PerHeadcount[exp_item],$H1198,PerHeadcount[company_name],$B1198)*O253)</f>
        <v>0</v>
      </c>
      <c r="P1198" s="652">
        <f>IF($B1198="",,SUMIFS(PerHeadcount[Month 5],PerHeadcount[exp_item],$H1198,PerHeadcount[company_name],$B1198)*P253)</f>
        <v>0</v>
      </c>
      <c r="Q1198" s="652">
        <f>IF($B1198="",,SUMIFS(PerHeadcount[Month 6],PerHeadcount[exp_item],$H1198,PerHeadcount[company_name],$B1198)*Q253)</f>
        <v>0</v>
      </c>
      <c r="R1198" s="652">
        <f>IF($B1198="",,SUMIFS(PerHeadcount[Month 7],PerHeadcount[exp_item],$H1198,PerHeadcount[company_name],$B1198)*R253)</f>
        <v>0</v>
      </c>
      <c r="S1198" s="652">
        <f>IF($B1198="",,SUMIFS(PerHeadcount[Month 8],PerHeadcount[exp_item],$H1198,PerHeadcount[company_name],$B1198)*S253)</f>
        <v>0</v>
      </c>
      <c r="T1198" s="652">
        <f>IF($B1198="",,SUMIFS(PerHeadcount[Month 9],PerHeadcount[exp_item],$H1198,PerHeadcount[company_name],$B1198)*T253)</f>
        <v>0</v>
      </c>
      <c r="U1198" s="652">
        <f>IF($B1198="",,SUMIFS(PerHeadcount[Month 10],PerHeadcount[exp_item],$H1198,PerHeadcount[company_name],$B1198)*U253)</f>
        <v>0</v>
      </c>
      <c r="V1198" s="652">
        <f>IF($B1198="",,SUMIFS(PerHeadcount[Month 11],PerHeadcount[exp_item],$H1198,PerHeadcount[company_name],$B1198)*V253)</f>
        <v>0</v>
      </c>
      <c r="W1198" s="652">
        <f>IF($B1198="",,SUMIFS(PerHeadcount[Month 12],PerHeadcount[exp_item],$H1198,PerHeadcount[company_name],$B1198)*W253)</f>
        <v>0</v>
      </c>
      <c r="X1198" s="652">
        <f>IF($B1198="",,SUMIFS(PerHeadcount[Month 13],PerHeadcount[exp_item],$H1198,PerHeadcount[company_name],$B1198)*X253)</f>
        <v>0</v>
      </c>
      <c r="Y1198" s="652">
        <f>IF($B1198="",,SUMIFS(PerHeadcount[Month 14],PerHeadcount[exp_item],$H1198,PerHeadcount[company_name],$B1198)*Y253)</f>
        <v>0</v>
      </c>
      <c r="Z1198" s="652">
        <f>IF($B1198="",,SUMIFS(PerHeadcount[Month 15],PerHeadcount[exp_item],$H1198,PerHeadcount[company_name],$B1198)*Z253)</f>
        <v>0</v>
      </c>
      <c r="AA1198" s="652">
        <f>IF($B1198="",,SUMIFS(PerHeadcount[Month 16],PerHeadcount[exp_item],$H1198,PerHeadcount[company_name],$B1198)*AA253)</f>
        <v>0</v>
      </c>
      <c r="AB1198" s="652">
        <f>IF($B1198="",,SUMIFS(PerHeadcount[Month 17],PerHeadcount[exp_item],$H1198,PerHeadcount[company_name],$B1198)*AB253)</f>
        <v>0</v>
      </c>
      <c r="AC1198" s="652">
        <f>IF($B1198="",,SUMIFS(PerHeadcount[Month 18],PerHeadcount[exp_item],$H1198,PerHeadcount[company_name],$B1198)*AC253)</f>
        <v>0</v>
      </c>
      <c r="AD1198" s="652">
        <f>IF($B1198="",,SUMIFS(PerHeadcount[Month 19],PerHeadcount[exp_item],$H1198,PerHeadcount[company_name],$B1198)*AD253)</f>
        <v>0</v>
      </c>
      <c r="AE1198" s="652">
        <f>IF($B1198="",,SUMIFS(PerHeadcount[Month 20],PerHeadcount[exp_item],$H1198,PerHeadcount[company_name],$B1198)*AE253)</f>
        <v>0</v>
      </c>
      <c r="AF1198" s="652">
        <f>IF($B1198="",,SUMIFS(PerHeadcount[Month 21],PerHeadcount[exp_item],$H1198,PerHeadcount[company_name],$B1198)*AF253)</f>
        <v>0</v>
      </c>
      <c r="AG1198" s="652">
        <f>IF($B1198="",,SUMIFS(PerHeadcount[Month 22],PerHeadcount[exp_item],$H1198,PerHeadcount[company_name],$B1198)*AG253)</f>
        <v>0</v>
      </c>
      <c r="AH1198" s="652">
        <f>IF($B1198="",,SUMIFS(PerHeadcount[Month 23],PerHeadcount[exp_item],$H1198,PerHeadcount[company_name],$B1198)*AH253)</f>
        <v>0</v>
      </c>
      <c r="AI1198" s="652">
        <f>IF($B1198="",,SUMIFS(PerHeadcount[Month 24],PerHeadcount[exp_item],$H1198,PerHeadcount[company_name],$B1198)*AI253)</f>
        <v>0</v>
      </c>
      <c r="AJ1198" s="652">
        <f>IF($B1198="",,SUMIFS(PerHeadcount[Month 25],PerHeadcount[exp_item],$H1198,PerHeadcount[company_name],$B1198)*AJ253)</f>
        <v>0</v>
      </c>
      <c r="AK1198" s="652">
        <f>IF($B1198="",,SUMIFS(PerHeadcount[Month 26],PerHeadcount[exp_item],$H1198,PerHeadcount[company_name],$B1198)*AK253)</f>
        <v>0</v>
      </c>
      <c r="AL1198" s="652">
        <f>IF($B1198="",,SUMIFS(PerHeadcount[Month 27],PerHeadcount[exp_item],$H1198,PerHeadcount[company_name],$B1198)*AL253)</f>
        <v>0</v>
      </c>
      <c r="AM1198" s="652">
        <f>IF($B1198="",,SUMIFS(PerHeadcount[Month 28],PerHeadcount[exp_item],$H1198,PerHeadcount[company_name],$B1198)*AM253)</f>
        <v>0</v>
      </c>
      <c r="AN1198" s="652">
        <f>IF($B1198="",,SUMIFS(PerHeadcount[Month 29],PerHeadcount[exp_item],$H1198,PerHeadcount[company_name],$B1198)*AN253)</f>
        <v>0</v>
      </c>
      <c r="AO1198" s="652">
        <f>IF($B1198="",,SUMIFS(PerHeadcount[Month 30],PerHeadcount[exp_item],$H1198,PerHeadcount[company_name],$B1198)*AO253)</f>
        <v>0</v>
      </c>
      <c r="AP1198" s="652">
        <f>IF($B1198="",,SUMIFS(PerHeadcount[Month 31],PerHeadcount[exp_item],$H1198,PerHeadcount[company_name],$B1198)*AP253)</f>
        <v>0</v>
      </c>
      <c r="AQ1198" s="652">
        <f>IF($B1198="",,SUMIFS(PerHeadcount[Month 32],PerHeadcount[exp_item],$H1198,PerHeadcount[company_name],$B1198)*AQ253)</f>
        <v>0</v>
      </c>
      <c r="AR1198" s="652">
        <f>IF($B1198="",,SUMIFS(PerHeadcount[Month 33],PerHeadcount[exp_item],$H1198,PerHeadcount[company_name],$B1198)*AR253)</f>
        <v>0</v>
      </c>
      <c r="AS1198" s="652">
        <f>IF($B1198="",,SUMIFS(PerHeadcount[Month 34],PerHeadcount[exp_item],$H1198,PerHeadcount[company_name],$B1198)*AS253)</f>
        <v>0</v>
      </c>
      <c r="AT1198" s="652">
        <f>IF($B1198="",,SUMIFS(PerHeadcount[Month 35],PerHeadcount[exp_item],$H1198,PerHeadcount[company_name],$B1198)*AT253)</f>
        <v>0</v>
      </c>
      <c r="AU1198" s="652">
        <f>IF($B1198="",,SUMIFS(PerHeadcount[Month 36],PerHeadcount[exp_item],$H1198,PerHeadcount[company_name],$B1198)*AU253)</f>
        <v>0</v>
      </c>
    </row>
    <row r="1199" spans="2:47" x14ac:dyDescent="0.35">
      <c r="B1199" t="str">
        <f t="shared" si="841"/>
        <v/>
      </c>
      <c r="C1199" t="str">
        <f t="shared" ref="C1199:G1199" si="846">IF(C1094="","",C1094)</f>
        <v/>
      </c>
      <c r="D1199" t="str">
        <f t="shared" si="846"/>
        <v/>
      </c>
      <c r="E1199" t="str">
        <f t="shared" si="846"/>
        <v/>
      </c>
      <c r="F1199" t="str">
        <f t="shared" si="846"/>
        <v/>
      </c>
      <c r="G1199" t="str">
        <f t="shared" si="846"/>
        <v/>
      </c>
      <c r="H1199" t="str">
        <f t="shared" si="840"/>
        <v/>
      </c>
      <c r="J1199" t="str">
        <f>IF($H1199="","",IF(VLOOKUP(H1199,ExpItems[],2,0),H1199&amp;" - "&amp;INDEX(DivisionMapping[category_code],MATCH($D1199&amp;$C1199,DivisionMapping[dept_bu],0)),H1199))</f>
        <v/>
      </c>
      <c r="K1199" t="str">
        <f t="shared" si="843"/>
        <v/>
      </c>
      <c r="L1199" s="652">
        <f>IF($B1199="",,SUMIFS(PerHeadcount[Month 1],PerHeadcount[exp_item],$H1199,PerHeadcount[company_name],$B1199)*L254)</f>
        <v>0</v>
      </c>
      <c r="M1199" s="652">
        <f>IF($B1199="",,SUMIFS(PerHeadcount[Month 2],PerHeadcount[exp_item],$H1199,PerHeadcount[company_name],$B1199)*M254)</f>
        <v>0</v>
      </c>
      <c r="N1199" s="652">
        <f>IF($B1199="",,SUMIFS(PerHeadcount[Month 3],PerHeadcount[exp_item],$H1199,PerHeadcount[company_name],$B1199)*N254)</f>
        <v>0</v>
      </c>
      <c r="O1199" s="652">
        <f>IF($B1199="",,SUMIFS(PerHeadcount[Month 4],PerHeadcount[exp_item],$H1199,PerHeadcount[company_name],$B1199)*O254)</f>
        <v>0</v>
      </c>
      <c r="P1199" s="652">
        <f>IF($B1199="",,SUMIFS(PerHeadcount[Month 5],PerHeadcount[exp_item],$H1199,PerHeadcount[company_name],$B1199)*P254)</f>
        <v>0</v>
      </c>
      <c r="Q1199" s="652">
        <f>IF($B1199="",,SUMIFS(PerHeadcount[Month 6],PerHeadcount[exp_item],$H1199,PerHeadcount[company_name],$B1199)*Q254)</f>
        <v>0</v>
      </c>
      <c r="R1199" s="652">
        <f>IF($B1199="",,SUMIFS(PerHeadcount[Month 7],PerHeadcount[exp_item],$H1199,PerHeadcount[company_name],$B1199)*R254)</f>
        <v>0</v>
      </c>
      <c r="S1199" s="652">
        <f>IF($B1199="",,SUMIFS(PerHeadcount[Month 8],PerHeadcount[exp_item],$H1199,PerHeadcount[company_name],$B1199)*S254)</f>
        <v>0</v>
      </c>
      <c r="T1199" s="652">
        <f>IF($B1199="",,SUMIFS(PerHeadcount[Month 9],PerHeadcount[exp_item],$H1199,PerHeadcount[company_name],$B1199)*T254)</f>
        <v>0</v>
      </c>
      <c r="U1199" s="652">
        <f>IF($B1199="",,SUMIFS(PerHeadcount[Month 10],PerHeadcount[exp_item],$H1199,PerHeadcount[company_name],$B1199)*U254)</f>
        <v>0</v>
      </c>
      <c r="V1199" s="652">
        <f>IF($B1199="",,SUMIFS(PerHeadcount[Month 11],PerHeadcount[exp_item],$H1199,PerHeadcount[company_name],$B1199)*V254)</f>
        <v>0</v>
      </c>
      <c r="W1199" s="652">
        <f>IF($B1199="",,SUMIFS(PerHeadcount[Month 12],PerHeadcount[exp_item],$H1199,PerHeadcount[company_name],$B1199)*W254)</f>
        <v>0</v>
      </c>
      <c r="X1199" s="652">
        <f>IF($B1199="",,SUMIFS(PerHeadcount[Month 13],PerHeadcount[exp_item],$H1199,PerHeadcount[company_name],$B1199)*X254)</f>
        <v>0</v>
      </c>
      <c r="Y1199" s="652">
        <f>IF($B1199="",,SUMIFS(PerHeadcount[Month 14],PerHeadcount[exp_item],$H1199,PerHeadcount[company_name],$B1199)*Y254)</f>
        <v>0</v>
      </c>
      <c r="Z1199" s="652">
        <f>IF($B1199="",,SUMIFS(PerHeadcount[Month 15],PerHeadcount[exp_item],$H1199,PerHeadcount[company_name],$B1199)*Z254)</f>
        <v>0</v>
      </c>
      <c r="AA1199" s="652">
        <f>IF($B1199="",,SUMIFS(PerHeadcount[Month 16],PerHeadcount[exp_item],$H1199,PerHeadcount[company_name],$B1199)*AA254)</f>
        <v>0</v>
      </c>
      <c r="AB1199" s="652">
        <f>IF($B1199="",,SUMIFS(PerHeadcount[Month 17],PerHeadcount[exp_item],$H1199,PerHeadcount[company_name],$B1199)*AB254)</f>
        <v>0</v>
      </c>
      <c r="AC1199" s="652">
        <f>IF($B1199="",,SUMIFS(PerHeadcount[Month 18],PerHeadcount[exp_item],$H1199,PerHeadcount[company_name],$B1199)*AC254)</f>
        <v>0</v>
      </c>
      <c r="AD1199" s="652">
        <f>IF($B1199="",,SUMIFS(PerHeadcount[Month 19],PerHeadcount[exp_item],$H1199,PerHeadcount[company_name],$B1199)*AD254)</f>
        <v>0</v>
      </c>
      <c r="AE1199" s="652">
        <f>IF($B1199="",,SUMIFS(PerHeadcount[Month 20],PerHeadcount[exp_item],$H1199,PerHeadcount[company_name],$B1199)*AE254)</f>
        <v>0</v>
      </c>
      <c r="AF1199" s="652">
        <f>IF($B1199="",,SUMIFS(PerHeadcount[Month 21],PerHeadcount[exp_item],$H1199,PerHeadcount[company_name],$B1199)*AF254)</f>
        <v>0</v>
      </c>
      <c r="AG1199" s="652">
        <f>IF($B1199="",,SUMIFS(PerHeadcount[Month 22],PerHeadcount[exp_item],$H1199,PerHeadcount[company_name],$B1199)*AG254)</f>
        <v>0</v>
      </c>
      <c r="AH1199" s="652">
        <f>IF($B1199="",,SUMIFS(PerHeadcount[Month 23],PerHeadcount[exp_item],$H1199,PerHeadcount[company_name],$B1199)*AH254)</f>
        <v>0</v>
      </c>
      <c r="AI1199" s="652">
        <f>IF($B1199="",,SUMIFS(PerHeadcount[Month 24],PerHeadcount[exp_item],$H1199,PerHeadcount[company_name],$B1199)*AI254)</f>
        <v>0</v>
      </c>
      <c r="AJ1199" s="652">
        <f>IF($B1199="",,SUMIFS(PerHeadcount[Month 25],PerHeadcount[exp_item],$H1199,PerHeadcount[company_name],$B1199)*AJ254)</f>
        <v>0</v>
      </c>
      <c r="AK1199" s="652">
        <f>IF($B1199="",,SUMIFS(PerHeadcount[Month 26],PerHeadcount[exp_item],$H1199,PerHeadcount[company_name],$B1199)*AK254)</f>
        <v>0</v>
      </c>
      <c r="AL1199" s="652">
        <f>IF($B1199="",,SUMIFS(PerHeadcount[Month 27],PerHeadcount[exp_item],$H1199,PerHeadcount[company_name],$B1199)*AL254)</f>
        <v>0</v>
      </c>
      <c r="AM1199" s="652">
        <f>IF($B1199="",,SUMIFS(PerHeadcount[Month 28],PerHeadcount[exp_item],$H1199,PerHeadcount[company_name],$B1199)*AM254)</f>
        <v>0</v>
      </c>
      <c r="AN1199" s="652">
        <f>IF($B1199="",,SUMIFS(PerHeadcount[Month 29],PerHeadcount[exp_item],$H1199,PerHeadcount[company_name],$B1199)*AN254)</f>
        <v>0</v>
      </c>
      <c r="AO1199" s="652">
        <f>IF($B1199="",,SUMIFS(PerHeadcount[Month 30],PerHeadcount[exp_item],$H1199,PerHeadcount[company_name],$B1199)*AO254)</f>
        <v>0</v>
      </c>
      <c r="AP1199" s="652">
        <f>IF($B1199="",,SUMIFS(PerHeadcount[Month 31],PerHeadcount[exp_item],$H1199,PerHeadcount[company_name],$B1199)*AP254)</f>
        <v>0</v>
      </c>
      <c r="AQ1199" s="652">
        <f>IF($B1199="",,SUMIFS(PerHeadcount[Month 32],PerHeadcount[exp_item],$H1199,PerHeadcount[company_name],$B1199)*AQ254)</f>
        <v>0</v>
      </c>
      <c r="AR1199" s="652">
        <f>IF($B1199="",,SUMIFS(PerHeadcount[Month 33],PerHeadcount[exp_item],$H1199,PerHeadcount[company_name],$B1199)*AR254)</f>
        <v>0</v>
      </c>
      <c r="AS1199" s="652">
        <f>IF($B1199="",,SUMIFS(PerHeadcount[Month 34],PerHeadcount[exp_item],$H1199,PerHeadcount[company_name],$B1199)*AS254)</f>
        <v>0</v>
      </c>
      <c r="AT1199" s="652">
        <f>IF($B1199="",,SUMIFS(PerHeadcount[Month 35],PerHeadcount[exp_item],$H1199,PerHeadcount[company_name],$B1199)*AT254)</f>
        <v>0</v>
      </c>
      <c r="AU1199" s="652">
        <f>IF($B1199="",,SUMIFS(PerHeadcount[Month 36],PerHeadcount[exp_item],$H1199,PerHeadcount[company_name],$B1199)*AU254)</f>
        <v>0</v>
      </c>
    </row>
    <row r="1200" spans="2:47" x14ac:dyDescent="0.35">
      <c r="B1200" t="str">
        <f t="shared" si="841"/>
        <v/>
      </c>
      <c r="C1200" t="str">
        <f t="shared" ref="C1200:G1200" si="847">IF(C1095="","",C1095)</f>
        <v/>
      </c>
      <c r="D1200" t="str">
        <f t="shared" si="847"/>
        <v/>
      </c>
      <c r="E1200" t="str">
        <f t="shared" si="847"/>
        <v/>
      </c>
      <c r="F1200" t="str">
        <f t="shared" si="847"/>
        <v/>
      </c>
      <c r="G1200" t="str">
        <f t="shared" si="847"/>
        <v/>
      </c>
      <c r="H1200" t="str">
        <f t="shared" si="840"/>
        <v/>
      </c>
      <c r="J1200" t="str">
        <f>IF($H1200="","",IF(VLOOKUP(H1200,ExpItems[],2,0),H1200&amp;" - "&amp;INDEX(DivisionMapping[category_code],MATCH($D1200&amp;$C1200,DivisionMapping[dept_bu],0)),H1200))</f>
        <v/>
      </c>
      <c r="K1200" t="str">
        <f t="shared" si="843"/>
        <v/>
      </c>
      <c r="L1200" s="652">
        <f>IF($B1200="",,SUMIFS(PerHeadcount[Month 1],PerHeadcount[exp_item],$H1200,PerHeadcount[company_name],$B1200)*L255)</f>
        <v>0</v>
      </c>
      <c r="M1200" s="652">
        <f>IF($B1200="",,SUMIFS(PerHeadcount[Month 2],PerHeadcount[exp_item],$H1200,PerHeadcount[company_name],$B1200)*M255)</f>
        <v>0</v>
      </c>
      <c r="N1200" s="652">
        <f>IF($B1200="",,SUMIFS(PerHeadcount[Month 3],PerHeadcount[exp_item],$H1200,PerHeadcount[company_name],$B1200)*N255)</f>
        <v>0</v>
      </c>
      <c r="O1200" s="652">
        <f>IF($B1200="",,SUMIFS(PerHeadcount[Month 4],PerHeadcount[exp_item],$H1200,PerHeadcount[company_name],$B1200)*O255)</f>
        <v>0</v>
      </c>
      <c r="P1200" s="652">
        <f>IF($B1200="",,SUMIFS(PerHeadcount[Month 5],PerHeadcount[exp_item],$H1200,PerHeadcount[company_name],$B1200)*P255)</f>
        <v>0</v>
      </c>
      <c r="Q1200" s="652">
        <f>IF($B1200="",,SUMIFS(PerHeadcount[Month 6],PerHeadcount[exp_item],$H1200,PerHeadcount[company_name],$B1200)*Q255)</f>
        <v>0</v>
      </c>
      <c r="R1200" s="652">
        <f>IF($B1200="",,SUMIFS(PerHeadcount[Month 7],PerHeadcount[exp_item],$H1200,PerHeadcount[company_name],$B1200)*R255)</f>
        <v>0</v>
      </c>
      <c r="S1200" s="652">
        <f>IF($B1200="",,SUMIFS(PerHeadcount[Month 8],PerHeadcount[exp_item],$H1200,PerHeadcount[company_name],$B1200)*S255)</f>
        <v>0</v>
      </c>
      <c r="T1200" s="652">
        <f>IF($B1200="",,SUMIFS(PerHeadcount[Month 9],PerHeadcount[exp_item],$H1200,PerHeadcount[company_name],$B1200)*T255)</f>
        <v>0</v>
      </c>
      <c r="U1200" s="652">
        <f>IF($B1200="",,SUMIFS(PerHeadcount[Month 10],PerHeadcount[exp_item],$H1200,PerHeadcount[company_name],$B1200)*U255)</f>
        <v>0</v>
      </c>
      <c r="V1200" s="652">
        <f>IF($B1200="",,SUMIFS(PerHeadcount[Month 11],PerHeadcount[exp_item],$H1200,PerHeadcount[company_name],$B1200)*V255)</f>
        <v>0</v>
      </c>
      <c r="W1200" s="652">
        <f>IF($B1200="",,SUMIFS(PerHeadcount[Month 12],PerHeadcount[exp_item],$H1200,PerHeadcount[company_name],$B1200)*W255)</f>
        <v>0</v>
      </c>
      <c r="X1200" s="652">
        <f>IF($B1200="",,SUMIFS(PerHeadcount[Month 13],PerHeadcount[exp_item],$H1200,PerHeadcount[company_name],$B1200)*X255)</f>
        <v>0</v>
      </c>
      <c r="Y1200" s="652">
        <f>IF($B1200="",,SUMIFS(PerHeadcount[Month 14],PerHeadcount[exp_item],$H1200,PerHeadcount[company_name],$B1200)*Y255)</f>
        <v>0</v>
      </c>
      <c r="Z1200" s="652">
        <f>IF($B1200="",,SUMIFS(PerHeadcount[Month 15],PerHeadcount[exp_item],$H1200,PerHeadcount[company_name],$B1200)*Z255)</f>
        <v>0</v>
      </c>
      <c r="AA1200" s="652">
        <f>IF($B1200="",,SUMIFS(PerHeadcount[Month 16],PerHeadcount[exp_item],$H1200,PerHeadcount[company_name],$B1200)*AA255)</f>
        <v>0</v>
      </c>
      <c r="AB1200" s="652">
        <f>IF($B1200="",,SUMIFS(PerHeadcount[Month 17],PerHeadcount[exp_item],$H1200,PerHeadcount[company_name],$B1200)*AB255)</f>
        <v>0</v>
      </c>
      <c r="AC1200" s="652">
        <f>IF($B1200="",,SUMIFS(PerHeadcount[Month 18],PerHeadcount[exp_item],$H1200,PerHeadcount[company_name],$B1200)*AC255)</f>
        <v>0</v>
      </c>
      <c r="AD1200" s="652">
        <f>IF($B1200="",,SUMIFS(PerHeadcount[Month 19],PerHeadcount[exp_item],$H1200,PerHeadcount[company_name],$B1200)*AD255)</f>
        <v>0</v>
      </c>
      <c r="AE1200" s="652">
        <f>IF($B1200="",,SUMIFS(PerHeadcount[Month 20],PerHeadcount[exp_item],$H1200,PerHeadcount[company_name],$B1200)*AE255)</f>
        <v>0</v>
      </c>
      <c r="AF1200" s="652">
        <f>IF($B1200="",,SUMIFS(PerHeadcount[Month 21],PerHeadcount[exp_item],$H1200,PerHeadcount[company_name],$B1200)*AF255)</f>
        <v>0</v>
      </c>
      <c r="AG1200" s="652">
        <f>IF($B1200="",,SUMIFS(PerHeadcount[Month 22],PerHeadcount[exp_item],$H1200,PerHeadcount[company_name],$B1200)*AG255)</f>
        <v>0</v>
      </c>
      <c r="AH1200" s="652">
        <f>IF($B1200="",,SUMIFS(PerHeadcount[Month 23],PerHeadcount[exp_item],$H1200,PerHeadcount[company_name],$B1200)*AH255)</f>
        <v>0</v>
      </c>
      <c r="AI1200" s="652">
        <f>IF($B1200="",,SUMIFS(PerHeadcount[Month 24],PerHeadcount[exp_item],$H1200,PerHeadcount[company_name],$B1200)*AI255)</f>
        <v>0</v>
      </c>
      <c r="AJ1200" s="652">
        <f>IF($B1200="",,SUMIFS(PerHeadcount[Month 25],PerHeadcount[exp_item],$H1200,PerHeadcount[company_name],$B1200)*AJ255)</f>
        <v>0</v>
      </c>
      <c r="AK1200" s="652">
        <f>IF($B1200="",,SUMIFS(PerHeadcount[Month 26],PerHeadcount[exp_item],$H1200,PerHeadcount[company_name],$B1200)*AK255)</f>
        <v>0</v>
      </c>
      <c r="AL1200" s="652">
        <f>IF($B1200="",,SUMIFS(PerHeadcount[Month 27],PerHeadcount[exp_item],$H1200,PerHeadcount[company_name],$B1200)*AL255)</f>
        <v>0</v>
      </c>
      <c r="AM1200" s="652">
        <f>IF($B1200="",,SUMIFS(PerHeadcount[Month 28],PerHeadcount[exp_item],$H1200,PerHeadcount[company_name],$B1200)*AM255)</f>
        <v>0</v>
      </c>
      <c r="AN1200" s="652">
        <f>IF($B1200="",,SUMIFS(PerHeadcount[Month 29],PerHeadcount[exp_item],$H1200,PerHeadcount[company_name],$B1200)*AN255)</f>
        <v>0</v>
      </c>
      <c r="AO1200" s="652">
        <f>IF($B1200="",,SUMIFS(PerHeadcount[Month 30],PerHeadcount[exp_item],$H1200,PerHeadcount[company_name],$B1200)*AO255)</f>
        <v>0</v>
      </c>
      <c r="AP1200" s="652">
        <f>IF($B1200="",,SUMIFS(PerHeadcount[Month 31],PerHeadcount[exp_item],$H1200,PerHeadcount[company_name],$B1200)*AP255)</f>
        <v>0</v>
      </c>
      <c r="AQ1200" s="652">
        <f>IF($B1200="",,SUMIFS(PerHeadcount[Month 32],PerHeadcount[exp_item],$H1200,PerHeadcount[company_name],$B1200)*AQ255)</f>
        <v>0</v>
      </c>
      <c r="AR1200" s="652">
        <f>IF($B1200="",,SUMIFS(PerHeadcount[Month 33],PerHeadcount[exp_item],$H1200,PerHeadcount[company_name],$B1200)*AR255)</f>
        <v>0</v>
      </c>
      <c r="AS1200" s="652">
        <f>IF($B1200="",,SUMIFS(PerHeadcount[Month 34],PerHeadcount[exp_item],$H1200,PerHeadcount[company_name],$B1200)*AS255)</f>
        <v>0</v>
      </c>
      <c r="AT1200" s="652">
        <f>IF($B1200="",,SUMIFS(PerHeadcount[Month 35],PerHeadcount[exp_item],$H1200,PerHeadcount[company_name],$B1200)*AT255)</f>
        <v>0</v>
      </c>
      <c r="AU1200" s="652">
        <f>IF($B1200="",,SUMIFS(PerHeadcount[Month 36],PerHeadcount[exp_item],$H1200,PerHeadcount[company_name],$B1200)*AU255)</f>
        <v>0</v>
      </c>
    </row>
    <row r="1201" spans="2:47" x14ac:dyDescent="0.35">
      <c r="B1201" t="str">
        <f t="shared" si="841"/>
        <v/>
      </c>
      <c r="C1201" t="str">
        <f t="shared" ref="C1201:G1201" si="848">IF(C1096="","",C1096)</f>
        <v/>
      </c>
      <c r="D1201" t="str">
        <f t="shared" si="848"/>
        <v/>
      </c>
      <c r="E1201" t="str">
        <f t="shared" si="848"/>
        <v/>
      </c>
      <c r="F1201" t="str">
        <f t="shared" si="848"/>
        <v/>
      </c>
      <c r="G1201" t="str">
        <f t="shared" si="848"/>
        <v/>
      </c>
      <c r="H1201" t="str">
        <f t="shared" si="840"/>
        <v/>
      </c>
      <c r="J1201" t="str">
        <f>IF($H1201="","",IF(VLOOKUP(H1201,ExpItems[],2,0),H1201&amp;" - "&amp;INDEX(DivisionMapping[category_code],MATCH($D1201&amp;$C1201,DivisionMapping[dept_bu],0)),H1201))</f>
        <v/>
      </c>
      <c r="K1201" t="str">
        <f t="shared" si="843"/>
        <v/>
      </c>
      <c r="L1201" s="652">
        <f>IF($B1201="",,SUMIFS(PerHeadcount[Month 1],PerHeadcount[exp_item],$H1201,PerHeadcount[company_name],$B1201)*L256)</f>
        <v>0</v>
      </c>
      <c r="M1201" s="652">
        <f>IF($B1201="",,SUMIFS(PerHeadcount[Month 2],PerHeadcount[exp_item],$H1201,PerHeadcount[company_name],$B1201)*M256)</f>
        <v>0</v>
      </c>
      <c r="N1201" s="652">
        <f>IF($B1201="",,SUMIFS(PerHeadcount[Month 3],PerHeadcount[exp_item],$H1201,PerHeadcount[company_name],$B1201)*N256)</f>
        <v>0</v>
      </c>
      <c r="O1201" s="652">
        <f>IF($B1201="",,SUMIFS(PerHeadcount[Month 4],PerHeadcount[exp_item],$H1201,PerHeadcount[company_name],$B1201)*O256)</f>
        <v>0</v>
      </c>
      <c r="P1201" s="652">
        <f>IF($B1201="",,SUMIFS(PerHeadcount[Month 5],PerHeadcount[exp_item],$H1201,PerHeadcount[company_name],$B1201)*P256)</f>
        <v>0</v>
      </c>
      <c r="Q1201" s="652">
        <f>IF($B1201="",,SUMIFS(PerHeadcount[Month 6],PerHeadcount[exp_item],$H1201,PerHeadcount[company_name],$B1201)*Q256)</f>
        <v>0</v>
      </c>
      <c r="R1201" s="652">
        <f>IF($B1201="",,SUMIFS(PerHeadcount[Month 7],PerHeadcount[exp_item],$H1201,PerHeadcount[company_name],$B1201)*R256)</f>
        <v>0</v>
      </c>
      <c r="S1201" s="652">
        <f>IF($B1201="",,SUMIFS(PerHeadcount[Month 8],PerHeadcount[exp_item],$H1201,PerHeadcount[company_name],$B1201)*S256)</f>
        <v>0</v>
      </c>
      <c r="T1201" s="652">
        <f>IF($B1201="",,SUMIFS(PerHeadcount[Month 9],PerHeadcount[exp_item],$H1201,PerHeadcount[company_name],$B1201)*T256)</f>
        <v>0</v>
      </c>
      <c r="U1201" s="652">
        <f>IF($B1201="",,SUMIFS(PerHeadcount[Month 10],PerHeadcount[exp_item],$H1201,PerHeadcount[company_name],$B1201)*U256)</f>
        <v>0</v>
      </c>
      <c r="V1201" s="652">
        <f>IF($B1201="",,SUMIFS(PerHeadcount[Month 11],PerHeadcount[exp_item],$H1201,PerHeadcount[company_name],$B1201)*V256)</f>
        <v>0</v>
      </c>
      <c r="W1201" s="652">
        <f>IF($B1201="",,SUMIFS(PerHeadcount[Month 12],PerHeadcount[exp_item],$H1201,PerHeadcount[company_name],$B1201)*W256)</f>
        <v>0</v>
      </c>
      <c r="X1201" s="652">
        <f>IF($B1201="",,SUMIFS(PerHeadcount[Month 13],PerHeadcount[exp_item],$H1201,PerHeadcount[company_name],$B1201)*X256)</f>
        <v>0</v>
      </c>
      <c r="Y1201" s="652">
        <f>IF($B1201="",,SUMIFS(PerHeadcount[Month 14],PerHeadcount[exp_item],$H1201,PerHeadcount[company_name],$B1201)*Y256)</f>
        <v>0</v>
      </c>
      <c r="Z1201" s="652">
        <f>IF($B1201="",,SUMIFS(PerHeadcount[Month 15],PerHeadcount[exp_item],$H1201,PerHeadcount[company_name],$B1201)*Z256)</f>
        <v>0</v>
      </c>
      <c r="AA1201" s="652">
        <f>IF($B1201="",,SUMIFS(PerHeadcount[Month 16],PerHeadcount[exp_item],$H1201,PerHeadcount[company_name],$B1201)*AA256)</f>
        <v>0</v>
      </c>
      <c r="AB1201" s="652">
        <f>IF($B1201="",,SUMIFS(PerHeadcount[Month 17],PerHeadcount[exp_item],$H1201,PerHeadcount[company_name],$B1201)*AB256)</f>
        <v>0</v>
      </c>
      <c r="AC1201" s="652">
        <f>IF($B1201="",,SUMIFS(PerHeadcount[Month 18],PerHeadcount[exp_item],$H1201,PerHeadcount[company_name],$B1201)*AC256)</f>
        <v>0</v>
      </c>
      <c r="AD1201" s="652">
        <f>IF($B1201="",,SUMIFS(PerHeadcount[Month 19],PerHeadcount[exp_item],$H1201,PerHeadcount[company_name],$B1201)*AD256)</f>
        <v>0</v>
      </c>
      <c r="AE1201" s="652">
        <f>IF($B1201="",,SUMIFS(PerHeadcount[Month 20],PerHeadcount[exp_item],$H1201,PerHeadcount[company_name],$B1201)*AE256)</f>
        <v>0</v>
      </c>
      <c r="AF1201" s="652">
        <f>IF($B1201="",,SUMIFS(PerHeadcount[Month 21],PerHeadcount[exp_item],$H1201,PerHeadcount[company_name],$B1201)*AF256)</f>
        <v>0</v>
      </c>
      <c r="AG1201" s="652">
        <f>IF($B1201="",,SUMIFS(PerHeadcount[Month 22],PerHeadcount[exp_item],$H1201,PerHeadcount[company_name],$B1201)*AG256)</f>
        <v>0</v>
      </c>
      <c r="AH1201" s="652">
        <f>IF($B1201="",,SUMIFS(PerHeadcount[Month 23],PerHeadcount[exp_item],$H1201,PerHeadcount[company_name],$B1201)*AH256)</f>
        <v>0</v>
      </c>
      <c r="AI1201" s="652">
        <f>IF($B1201="",,SUMIFS(PerHeadcount[Month 24],PerHeadcount[exp_item],$H1201,PerHeadcount[company_name],$B1201)*AI256)</f>
        <v>0</v>
      </c>
      <c r="AJ1201" s="652">
        <f>IF($B1201="",,SUMIFS(PerHeadcount[Month 25],PerHeadcount[exp_item],$H1201,PerHeadcount[company_name],$B1201)*AJ256)</f>
        <v>0</v>
      </c>
      <c r="AK1201" s="652">
        <f>IF($B1201="",,SUMIFS(PerHeadcount[Month 26],PerHeadcount[exp_item],$H1201,PerHeadcount[company_name],$B1201)*AK256)</f>
        <v>0</v>
      </c>
      <c r="AL1201" s="652">
        <f>IF($B1201="",,SUMIFS(PerHeadcount[Month 27],PerHeadcount[exp_item],$H1201,PerHeadcount[company_name],$B1201)*AL256)</f>
        <v>0</v>
      </c>
      <c r="AM1201" s="652">
        <f>IF($B1201="",,SUMIFS(PerHeadcount[Month 28],PerHeadcount[exp_item],$H1201,PerHeadcount[company_name],$B1201)*AM256)</f>
        <v>0</v>
      </c>
      <c r="AN1201" s="652">
        <f>IF($B1201="",,SUMIFS(PerHeadcount[Month 29],PerHeadcount[exp_item],$H1201,PerHeadcount[company_name],$B1201)*AN256)</f>
        <v>0</v>
      </c>
      <c r="AO1201" s="652">
        <f>IF($B1201="",,SUMIFS(PerHeadcount[Month 30],PerHeadcount[exp_item],$H1201,PerHeadcount[company_name],$B1201)*AO256)</f>
        <v>0</v>
      </c>
      <c r="AP1201" s="652">
        <f>IF($B1201="",,SUMIFS(PerHeadcount[Month 31],PerHeadcount[exp_item],$H1201,PerHeadcount[company_name],$B1201)*AP256)</f>
        <v>0</v>
      </c>
      <c r="AQ1201" s="652">
        <f>IF($B1201="",,SUMIFS(PerHeadcount[Month 32],PerHeadcount[exp_item],$H1201,PerHeadcount[company_name],$B1201)*AQ256)</f>
        <v>0</v>
      </c>
      <c r="AR1201" s="652">
        <f>IF($B1201="",,SUMIFS(PerHeadcount[Month 33],PerHeadcount[exp_item],$H1201,PerHeadcount[company_name],$B1201)*AR256)</f>
        <v>0</v>
      </c>
      <c r="AS1201" s="652">
        <f>IF($B1201="",,SUMIFS(PerHeadcount[Month 34],PerHeadcount[exp_item],$H1201,PerHeadcount[company_name],$B1201)*AS256)</f>
        <v>0</v>
      </c>
      <c r="AT1201" s="652">
        <f>IF($B1201="",,SUMIFS(PerHeadcount[Month 35],PerHeadcount[exp_item],$H1201,PerHeadcount[company_name],$B1201)*AT256)</f>
        <v>0</v>
      </c>
      <c r="AU1201" s="652">
        <f>IF($B1201="",,SUMIFS(PerHeadcount[Month 36],PerHeadcount[exp_item],$H1201,PerHeadcount[company_name],$B1201)*AU256)</f>
        <v>0</v>
      </c>
    </row>
    <row r="1202" spans="2:47" x14ac:dyDescent="0.35">
      <c r="B1202" t="str">
        <f t="shared" si="841"/>
        <v/>
      </c>
      <c r="C1202" t="str">
        <f t="shared" ref="C1202:G1202" si="849">IF(C1097="","",C1097)</f>
        <v/>
      </c>
      <c r="D1202" t="str">
        <f t="shared" si="849"/>
        <v/>
      </c>
      <c r="E1202" t="str">
        <f t="shared" si="849"/>
        <v/>
      </c>
      <c r="F1202" t="str">
        <f t="shared" si="849"/>
        <v/>
      </c>
      <c r="G1202" t="str">
        <f t="shared" si="849"/>
        <v/>
      </c>
      <c r="H1202" t="str">
        <f t="shared" si="840"/>
        <v/>
      </c>
      <c r="J1202" t="str">
        <f>IF($H1202="","",IF(VLOOKUP(H1202,ExpItems[],2,0),H1202&amp;" - "&amp;INDEX(DivisionMapping[category_code],MATCH($D1202&amp;$C1202,DivisionMapping[dept_bu],0)),H1202))</f>
        <v/>
      </c>
      <c r="K1202" t="str">
        <f t="shared" si="843"/>
        <v/>
      </c>
      <c r="L1202" s="652">
        <f>IF($B1202="",,SUMIFS(PerHeadcount[Month 1],PerHeadcount[exp_item],$H1202,PerHeadcount[company_name],$B1202)*L257)</f>
        <v>0</v>
      </c>
      <c r="M1202" s="652">
        <f>IF($B1202="",,SUMIFS(PerHeadcount[Month 2],PerHeadcount[exp_item],$H1202,PerHeadcount[company_name],$B1202)*M257)</f>
        <v>0</v>
      </c>
      <c r="N1202" s="652">
        <f>IF($B1202="",,SUMIFS(PerHeadcount[Month 3],PerHeadcount[exp_item],$H1202,PerHeadcount[company_name],$B1202)*N257)</f>
        <v>0</v>
      </c>
      <c r="O1202" s="652">
        <f>IF($B1202="",,SUMIFS(PerHeadcount[Month 4],PerHeadcount[exp_item],$H1202,PerHeadcount[company_name],$B1202)*O257)</f>
        <v>0</v>
      </c>
      <c r="P1202" s="652">
        <f>IF($B1202="",,SUMIFS(PerHeadcount[Month 5],PerHeadcount[exp_item],$H1202,PerHeadcount[company_name],$B1202)*P257)</f>
        <v>0</v>
      </c>
      <c r="Q1202" s="652">
        <f>IF($B1202="",,SUMIFS(PerHeadcount[Month 6],PerHeadcount[exp_item],$H1202,PerHeadcount[company_name],$B1202)*Q257)</f>
        <v>0</v>
      </c>
      <c r="R1202" s="652">
        <f>IF($B1202="",,SUMIFS(PerHeadcount[Month 7],PerHeadcount[exp_item],$H1202,PerHeadcount[company_name],$B1202)*R257)</f>
        <v>0</v>
      </c>
      <c r="S1202" s="652">
        <f>IF($B1202="",,SUMIFS(PerHeadcount[Month 8],PerHeadcount[exp_item],$H1202,PerHeadcount[company_name],$B1202)*S257)</f>
        <v>0</v>
      </c>
      <c r="T1202" s="652">
        <f>IF($B1202="",,SUMIFS(PerHeadcount[Month 9],PerHeadcount[exp_item],$H1202,PerHeadcount[company_name],$B1202)*T257)</f>
        <v>0</v>
      </c>
      <c r="U1202" s="652">
        <f>IF($B1202="",,SUMIFS(PerHeadcount[Month 10],PerHeadcount[exp_item],$H1202,PerHeadcount[company_name],$B1202)*U257)</f>
        <v>0</v>
      </c>
      <c r="V1202" s="652">
        <f>IF($B1202="",,SUMIFS(PerHeadcount[Month 11],PerHeadcount[exp_item],$H1202,PerHeadcount[company_name],$B1202)*V257)</f>
        <v>0</v>
      </c>
      <c r="W1202" s="652">
        <f>IF($B1202="",,SUMIFS(PerHeadcount[Month 12],PerHeadcount[exp_item],$H1202,PerHeadcount[company_name],$B1202)*W257)</f>
        <v>0</v>
      </c>
      <c r="X1202" s="652">
        <f>IF($B1202="",,SUMIFS(PerHeadcount[Month 13],PerHeadcount[exp_item],$H1202,PerHeadcount[company_name],$B1202)*X257)</f>
        <v>0</v>
      </c>
      <c r="Y1202" s="652">
        <f>IF($B1202="",,SUMIFS(PerHeadcount[Month 14],PerHeadcount[exp_item],$H1202,PerHeadcount[company_name],$B1202)*Y257)</f>
        <v>0</v>
      </c>
      <c r="Z1202" s="652">
        <f>IF($B1202="",,SUMIFS(PerHeadcount[Month 15],PerHeadcount[exp_item],$H1202,PerHeadcount[company_name],$B1202)*Z257)</f>
        <v>0</v>
      </c>
      <c r="AA1202" s="652">
        <f>IF($B1202="",,SUMIFS(PerHeadcount[Month 16],PerHeadcount[exp_item],$H1202,PerHeadcount[company_name],$B1202)*AA257)</f>
        <v>0</v>
      </c>
      <c r="AB1202" s="652">
        <f>IF($B1202="",,SUMIFS(PerHeadcount[Month 17],PerHeadcount[exp_item],$H1202,PerHeadcount[company_name],$B1202)*AB257)</f>
        <v>0</v>
      </c>
      <c r="AC1202" s="652">
        <f>IF($B1202="",,SUMIFS(PerHeadcount[Month 18],PerHeadcount[exp_item],$H1202,PerHeadcount[company_name],$B1202)*AC257)</f>
        <v>0</v>
      </c>
      <c r="AD1202" s="652">
        <f>IF($B1202="",,SUMIFS(PerHeadcount[Month 19],PerHeadcount[exp_item],$H1202,PerHeadcount[company_name],$B1202)*AD257)</f>
        <v>0</v>
      </c>
      <c r="AE1202" s="652">
        <f>IF($B1202="",,SUMIFS(PerHeadcount[Month 20],PerHeadcount[exp_item],$H1202,PerHeadcount[company_name],$B1202)*AE257)</f>
        <v>0</v>
      </c>
      <c r="AF1202" s="652">
        <f>IF($B1202="",,SUMIFS(PerHeadcount[Month 21],PerHeadcount[exp_item],$H1202,PerHeadcount[company_name],$B1202)*AF257)</f>
        <v>0</v>
      </c>
      <c r="AG1202" s="652">
        <f>IF($B1202="",,SUMIFS(PerHeadcount[Month 22],PerHeadcount[exp_item],$H1202,PerHeadcount[company_name],$B1202)*AG257)</f>
        <v>0</v>
      </c>
      <c r="AH1202" s="652">
        <f>IF($B1202="",,SUMIFS(PerHeadcount[Month 23],PerHeadcount[exp_item],$H1202,PerHeadcount[company_name],$B1202)*AH257)</f>
        <v>0</v>
      </c>
      <c r="AI1202" s="652">
        <f>IF($B1202="",,SUMIFS(PerHeadcount[Month 24],PerHeadcount[exp_item],$H1202,PerHeadcount[company_name],$B1202)*AI257)</f>
        <v>0</v>
      </c>
      <c r="AJ1202" s="652">
        <f>IF($B1202="",,SUMIFS(PerHeadcount[Month 25],PerHeadcount[exp_item],$H1202,PerHeadcount[company_name],$B1202)*AJ257)</f>
        <v>0</v>
      </c>
      <c r="AK1202" s="652">
        <f>IF($B1202="",,SUMIFS(PerHeadcount[Month 26],PerHeadcount[exp_item],$H1202,PerHeadcount[company_name],$B1202)*AK257)</f>
        <v>0</v>
      </c>
      <c r="AL1202" s="652">
        <f>IF($B1202="",,SUMIFS(PerHeadcount[Month 27],PerHeadcount[exp_item],$H1202,PerHeadcount[company_name],$B1202)*AL257)</f>
        <v>0</v>
      </c>
      <c r="AM1202" s="652">
        <f>IF($B1202="",,SUMIFS(PerHeadcount[Month 28],PerHeadcount[exp_item],$H1202,PerHeadcount[company_name],$B1202)*AM257)</f>
        <v>0</v>
      </c>
      <c r="AN1202" s="652">
        <f>IF($B1202="",,SUMIFS(PerHeadcount[Month 29],PerHeadcount[exp_item],$H1202,PerHeadcount[company_name],$B1202)*AN257)</f>
        <v>0</v>
      </c>
      <c r="AO1202" s="652">
        <f>IF($B1202="",,SUMIFS(PerHeadcount[Month 30],PerHeadcount[exp_item],$H1202,PerHeadcount[company_name],$B1202)*AO257)</f>
        <v>0</v>
      </c>
      <c r="AP1202" s="652">
        <f>IF($B1202="",,SUMIFS(PerHeadcount[Month 31],PerHeadcount[exp_item],$H1202,PerHeadcount[company_name],$B1202)*AP257)</f>
        <v>0</v>
      </c>
      <c r="AQ1202" s="652">
        <f>IF($B1202="",,SUMIFS(PerHeadcount[Month 32],PerHeadcount[exp_item],$H1202,PerHeadcount[company_name],$B1202)*AQ257)</f>
        <v>0</v>
      </c>
      <c r="AR1202" s="652">
        <f>IF($B1202="",,SUMIFS(PerHeadcount[Month 33],PerHeadcount[exp_item],$H1202,PerHeadcount[company_name],$B1202)*AR257)</f>
        <v>0</v>
      </c>
      <c r="AS1202" s="652">
        <f>IF($B1202="",,SUMIFS(PerHeadcount[Month 34],PerHeadcount[exp_item],$H1202,PerHeadcount[company_name],$B1202)*AS257)</f>
        <v>0</v>
      </c>
      <c r="AT1202" s="652">
        <f>IF($B1202="",,SUMIFS(PerHeadcount[Month 35],PerHeadcount[exp_item],$H1202,PerHeadcount[company_name],$B1202)*AT257)</f>
        <v>0</v>
      </c>
      <c r="AU1202" s="652">
        <f>IF($B1202="",,SUMIFS(PerHeadcount[Month 36],PerHeadcount[exp_item],$H1202,PerHeadcount[company_name],$B1202)*AU257)</f>
        <v>0</v>
      </c>
    </row>
    <row r="1203" spans="2:47" x14ac:dyDescent="0.35">
      <c r="B1203" t="str">
        <f t="shared" si="841"/>
        <v/>
      </c>
      <c r="C1203" t="str">
        <f t="shared" ref="C1203:G1203" si="850">IF(C1098="","",C1098)</f>
        <v/>
      </c>
      <c r="D1203" t="str">
        <f t="shared" si="850"/>
        <v/>
      </c>
      <c r="E1203" t="str">
        <f t="shared" si="850"/>
        <v/>
      </c>
      <c r="F1203" t="str">
        <f t="shared" si="850"/>
        <v/>
      </c>
      <c r="G1203" t="str">
        <f t="shared" si="850"/>
        <v/>
      </c>
      <c r="H1203" t="str">
        <f t="shared" si="840"/>
        <v/>
      </c>
      <c r="J1203" t="str">
        <f>IF($H1203="","",IF(VLOOKUP(H1203,ExpItems[],2,0),H1203&amp;" - "&amp;INDEX(DivisionMapping[category_code],MATCH($D1203&amp;$C1203,DivisionMapping[dept_bu],0)),H1203))</f>
        <v/>
      </c>
      <c r="K1203" t="str">
        <f t="shared" si="843"/>
        <v/>
      </c>
      <c r="L1203" s="652">
        <f>IF($B1203="",,SUMIFS(PerHeadcount[Month 1],PerHeadcount[exp_item],$H1203,PerHeadcount[company_name],$B1203)*L258)</f>
        <v>0</v>
      </c>
      <c r="M1203" s="652">
        <f>IF($B1203="",,SUMIFS(PerHeadcount[Month 2],PerHeadcount[exp_item],$H1203,PerHeadcount[company_name],$B1203)*M258)</f>
        <v>0</v>
      </c>
      <c r="N1203" s="652">
        <f>IF($B1203="",,SUMIFS(PerHeadcount[Month 3],PerHeadcount[exp_item],$H1203,PerHeadcount[company_name],$B1203)*N258)</f>
        <v>0</v>
      </c>
      <c r="O1203" s="652">
        <f>IF($B1203="",,SUMIFS(PerHeadcount[Month 4],PerHeadcount[exp_item],$H1203,PerHeadcount[company_name],$B1203)*O258)</f>
        <v>0</v>
      </c>
      <c r="P1203" s="652">
        <f>IF($B1203="",,SUMIFS(PerHeadcount[Month 5],PerHeadcount[exp_item],$H1203,PerHeadcount[company_name],$B1203)*P258)</f>
        <v>0</v>
      </c>
      <c r="Q1203" s="652">
        <f>IF($B1203="",,SUMIFS(PerHeadcount[Month 6],PerHeadcount[exp_item],$H1203,PerHeadcount[company_name],$B1203)*Q258)</f>
        <v>0</v>
      </c>
      <c r="R1203" s="652">
        <f>IF($B1203="",,SUMIFS(PerHeadcount[Month 7],PerHeadcount[exp_item],$H1203,PerHeadcount[company_name],$B1203)*R258)</f>
        <v>0</v>
      </c>
      <c r="S1203" s="652">
        <f>IF($B1203="",,SUMIFS(PerHeadcount[Month 8],PerHeadcount[exp_item],$H1203,PerHeadcount[company_name],$B1203)*S258)</f>
        <v>0</v>
      </c>
      <c r="T1203" s="652">
        <f>IF($B1203="",,SUMIFS(PerHeadcount[Month 9],PerHeadcount[exp_item],$H1203,PerHeadcount[company_name],$B1203)*T258)</f>
        <v>0</v>
      </c>
      <c r="U1203" s="652">
        <f>IF($B1203="",,SUMIFS(PerHeadcount[Month 10],PerHeadcount[exp_item],$H1203,PerHeadcount[company_name],$B1203)*U258)</f>
        <v>0</v>
      </c>
      <c r="V1203" s="652">
        <f>IF($B1203="",,SUMIFS(PerHeadcount[Month 11],PerHeadcount[exp_item],$H1203,PerHeadcount[company_name],$B1203)*V258)</f>
        <v>0</v>
      </c>
      <c r="W1203" s="652">
        <f>IF($B1203="",,SUMIFS(PerHeadcount[Month 12],PerHeadcount[exp_item],$H1203,PerHeadcount[company_name],$B1203)*W258)</f>
        <v>0</v>
      </c>
      <c r="X1203" s="652">
        <f>IF($B1203="",,SUMIFS(PerHeadcount[Month 13],PerHeadcount[exp_item],$H1203,PerHeadcount[company_name],$B1203)*X258)</f>
        <v>0</v>
      </c>
      <c r="Y1203" s="652">
        <f>IF($B1203="",,SUMIFS(PerHeadcount[Month 14],PerHeadcount[exp_item],$H1203,PerHeadcount[company_name],$B1203)*Y258)</f>
        <v>0</v>
      </c>
      <c r="Z1203" s="652">
        <f>IF($B1203="",,SUMIFS(PerHeadcount[Month 15],PerHeadcount[exp_item],$H1203,PerHeadcount[company_name],$B1203)*Z258)</f>
        <v>0</v>
      </c>
      <c r="AA1203" s="652">
        <f>IF($B1203="",,SUMIFS(PerHeadcount[Month 16],PerHeadcount[exp_item],$H1203,PerHeadcount[company_name],$B1203)*AA258)</f>
        <v>0</v>
      </c>
      <c r="AB1203" s="652">
        <f>IF($B1203="",,SUMIFS(PerHeadcount[Month 17],PerHeadcount[exp_item],$H1203,PerHeadcount[company_name],$B1203)*AB258)</f>
        <v>0</v>
      </c>
      <c r="AC1203" s="652">
        <f>IF($B1203="",,SUMIFS(PerHeadcount[Month 18],PerHeadcount[exp_item],$H1203,PerHeadcount[company_name],$B1203)*AC258)</f>
        <v>0</v>
      </c>
      <c r="AD1203" s="652">
        <f>IF($B1203="",,SUMIFS(PerHeadcount[Month 19],PerHeadcount[exp_item],$H1203,PerHeadcount[company_name],$B1203)*AD258)</f>
        <v>0</v>
      </c>
      <c r="AE1203" s="652">
        <f>IF($B1203="",,SUMIFS(PerHeadcount[Month 20],PerHeadcount[exp_item],$H1203,PerHeadcount[company_name],$B1203)*AE258)</f>
        <v>0</v>
      </c>
      <c r="AF1203" s="652">
        <f>IF($B1203="",,SUMIFS(PerHeadcount[Month 21],PerHeadcount[exp_item],$H1203,PerHeadcount[company_name],$B1203)*AF258)</f>
        <v>0</v>
      </c>
      <c r="AG1203" s="652">
        <f>IF($B1203="",,SUMIFS(PerHeadcount[Month 22],PerHeadcount[exp_item],$H1203,PerHeadcount[company_name],$B1203)*AG258)</f>
        <v>0</v>
      </c>
      <c r="AH1203" s="652">
        <f>IF($B1203="",,SUMIFS(PerHeadcount[Month 23],PerHeadcount[exp_item],$H1203,PerHeadcount[company_name],$B1203)*AH258)</f>
        <v>0</v>
      </c>
      <c r="AI1203" s="652">
        <f>IF($B1203="",,SUMIFS(PerHeadcount[Month 24],PerHeadcount[exp_item],$H1203,PerHeadcount[company_name],$B1203)*AI258)</f>
        <v>0</v>
      </c>
      <c r="AJ1203" s="652">
        <f>IF($B1203="",,SUMIFS(PerHeadcount[Month 25],PerHeadcount[exp_item],$H1203,PerHeadcount[company_name],$B1203)*AJ258)</f>
        <v>0</v>
      </c>
      <c r="AK1203" s="652">
        <f>IF($B1203="",,SUMIFS(PerHeadcount[Month 26],PerHeadcount[exp_item],$H1203,PerHeadcount[company_name],$B1203)*AK258)</f>
        <v>0</v>
      </c>
      <c r="AL1203" s="652">
        <f>IF($B1203="",,SUMIFS(PerHeadcount[Month 27],PerHeadcount[exp_item],$H1203,PerHeadcount[company_name],$B1203)*AL258)</f>
        <v>0</v>
      </c>
      <c r="AM1203" s="652">
        <f>IF($B1203="",,SUMIFS(PerHeadcount[Month 28],PerHeadcount[exp_item],$H1203,PerHeadcount[company_name],$B1203)*AM258)</f>
        <v>0</v>
      </c>
      <c r="AN1203" s="652">
        <f>IF($B1203="",,SUMIFS(PerHeadcount[Month 29],PerHeadcount[exp_item],$H1203,PerHeadcount[company_name],$B1203)*AN258)</f>
        <v>0</v>
      </c>
      <c r="AO1203" s="652">
        <f>IF($B1203="",,SUMIFS(PerHeadcount[Month 30],PerHeadcount[exp_item],$H1203,PerHeadcount[company_name],$B1203)*AO258)</f>
        <v>0</v>
      </c>
      <c r="AP1203" s="652">
        <f>IF($B1203="",,SUMIFS(PerHeadcount[Month 31],PerHeadcount[exp_item],$H1203,PerHeadcount[company_name],$B1203)*AP258)</f>
        <v>0</v>
      </c>
      <c r="AQ1203" s="652">
        <f>IF($B1203="",,SUMIFS(PerHeadcount[Month 32],PerHeadcount[exp_item],$H1203,PerHeadcount[company_name],$B1203)*AQ258)</f>
        <v>0</v>
      </c>
      <c r="AR1203" s="652">
        <f>IF($B1203="",,SUMIFS(PerHeadcount[Month 33],PerHeadcount[exp_item],$H1203,PerHeadcount[company_name],$B1203)*AR258)</f>
        <v>0</v>
      </c>
      <c r="AS1203" s="652">
        <f>IF($B1203="",,SUMIFS(PerHeadcount[Month 34],PerHeadcount[exp_item],$H1203,PerHeadcount[company_name],$B1203)*AS258)</f>
        <v>0</v>
      </c>
      <c r="AT1203" s="652">
        <f>IF($B1203="",,SUMIFS(PerHeadcount[Month 35],PerHeadcount[exp_item],$H1203,PerHeadcount[company_name],$B1203)*AT258)</f>
        <v>0</v>
      </c>
      <c r="AU1203" s="652">
        <f>IF($B1203="",,SUMIFS(PerHeadcount[Month 36],PerHeadcount[exp_item],$H1203,PerHeadcount[company_name],$B1203)*AU258)</f>
        <v>0</v>
      </c>
    </row>
    <row r="1204" spans="2:47" x14ac:dyDescent="0.35">
      <c r="B1204" t="str">
        <f t="shared" si="841"/>
        <v/>
      </c>
      <c r="C1204" t="str">
        <f t="shared" ref="C1204:G1204" si="851">IF(C1099="","",C1099)</f>
        <v/>
      </c>
      <c r="D1204" t="str">
        <f t="shared" si="851"/>
        <v/>
      </c>
      <c r="E1204" t="str">
        <f t="shared" si="851"/>
        <v/>
      </c>
      <c r="F1204" t="str">
        <f t="shared" si="851"/>
        <v/>
      </c>
      <c r="G1204" t="str">
        <f t="shared" si="851"/>
        <v/>
      </c>
      <c r="H1204" t="str">
        <f t="shared" si="840"/>
        <v/>
      </c>
      <c r="J1204" t="str">
        <f>IF($H1204="","",IF(VLOOKUP(H1204,ExpItems[],2,0),H1204&amp;" - "&amp;INDEX(DivisionMapping[category_code],MATCH($D1204&amp;$C1204,DivisionMapping[dept_bu],0)),H1204))</f>
        <v/>
      </c>
      <c r="K1204" t="str">
        <f t="shared" si="843"/>
        <v/>
      </c>
      <c r="L1204" s="652">
        <f>IF($B1204="",,SUMIFS(PerHeadcount[Month 1],PerHeadcount[exp_item],$H1204,PerHeadcount[company_name],$B1204)*L259)</f>
        <v>0</v>
      </c>
      <c r="M1204" s="652">
        <f>IF($B1204="",,SUMIFS(PerHeadcount[Month 2],PerHeadcount[exp_item],$H1204,PerHeadcount[company_name],$B1204)*M259)</f>
        <v>0</v>
      </c>
      <c r="N1204" s="652">
        <f>IF($B1204="",,SUMIFS(PerHeadcount[Month 3],PerHeadcount[exp_item],$H1204,PerHeadcount[company_name],$B1204)*N259)</f>
        <v>0</v>
      </c>
      <c r="O1204" s="652">
        <f>IF($B1204="",,SUMIFS(PerHeadcount[Month 4],PerHeadcount[exp_item],$H1204,PerHeadcount[company_name],$B1204)*O259)</f>
        <v>0</v>
      </c>
      <c r="P1204" s="652">
        <f>IF($B1204="",,SUMIFS(PerHeadcount[Month 5],PerHeadcount[exp_item],$H1204,PerHeadcount[company_name],$B1204)*P259)</f>
        <v>0</v>
      </c>
      <c r="Q1204" s="652">
        <f>IF($B1204="",,SUMIFS(PerHeadcount[Month 6],PerHeadcount[exp_item],$H1204,PerHeadcount[company_name],$B1204)*Q259)</f>
        <v>0</v>
      </c>
      <c r="R1204" s="652">
        <f>IF($B1204="",,SUMIFS(PerHeadcount[Month 7],PerHeadcount[exp_item],$H1204,PerHeadcount[company_name],$B1204)*R259)</f>
        <v>0</v>
      </c>
      <c r="S1204" s="652">
        <f>IF($B1204="",,SUMIFS(PerHeadcount[Month 8],PerHeadcount[exp_item],$H1204,PerHeadcount[company_name],$B1204)*S259)</f>
        <v>0</v>
      </c>
      <c r="T1204" s="652">
        <f>IF($B1204="",,SUMIFS(PerHeadcount[Month 9],PerHeadcount[exp_item],$H1204,PerHeadcount[company_name],$B1204)*T259)</f>
        <v>0</v>
      </c>
      <c r="U1204" s="652">
        <f>IF($B1204="",,SUMIFS(PerHeadcount[Month 10],PerHeadcount[exp_item],$H1204,PerHeadcount[company_name],$B1204)*U259)</f>
        <v>0</v>
      </c>
      <c r="V1204" s="652">
        <f>IF($B1204="",,SUMIFS(PerHeadcount[Month 11],PerHeadcount[exp_item],$H1204,PerHeadcount[company_name],$B1204)*V259)</f>
        <v>0</v>
      </c>
      <c r="W1204" s="652">
        <f>IF($B1204="",,SUMIFS(PerHeadcount[Month 12],PerHeadcount[exp_item],$H1204,PerHeadcount[company_name],$B1204)*W259)</f>
        <v>0</v>
      </c>
      <c r="X1204" s="652">
        <f>IF($B1204="",,SUMIFS(PerHeadcount[Month 13],PerHeadcount[exp_item],$H1204,PerHeadcount[company_name],$B1204)*X259)</f>
        <v>0</v>
      </c>
      <c r="Y1204" s="652">
        <f>IF($B1204="",,SUMIFS(PerHeadcount[Month 14],PerHeadcount[exp_item],$H1204,PerHeadcount[company_name],$B1204)*Y259)</f>
        <v>0</v>
      </c>
      <c r="Z1204" s="652">
        <f>IF($B1204="",,SUMIFS(PerHeadcount[Month 15],PerHeadcount[exp_item],$H1204,PerHeadcount[company_name],$B1204)*Z259)</f>
        <v>0</v>
      </c>
      <c r="AA1204" s="652">
        <f>IF($B1204="",,SUMIFS(PerHeadcount[Month 16],PerHeadcount[exp_item],$H1204,PerHeadcount[company_name],$B1204)*AA259)</f>
        <v>0</v>
      </c>
      <c r="AB1204" s="652">
        <f>IF($B1204="",,SUMIFS(PerHeadcount[Month 17],PerHeadcount[exp_item],$H1204,PerHeadcount[company_name],$B1204)*AB259)</f>
        <v>0</v>
      </c>
      <c r="AC1204" s="652">
        <f>IF($B1204="",,SUMIFS(PerHeadcount[Month 18],PerHeadcount[exp_item],$H1204,PerHeadcount[company_name],$B1204)*AC259)</f>
        <v>0</v>
      </c>
      <c r="AD1204" s="652">
        <f>IF($B1204="",,SUMIFS(PerHeadcount[Month 19],PerHeadcount[exp_item],$H1204,PerHeadcount[company_name],$B1204)*AD259)</f>
        <v>0</v>
      </c>
      <c r="AE1204" s="652">
        <f>IF($B1204="",,SUMIFS(PerHeadcount[Month 20],PerHeadcount[exp_item],$H1204,PerHeadcount[company_name],$B1204)*AE259)</f>
        <v>0</v>
      </c>
      <c r="AF1204" s="652">
        <f>IF($B1204="",,SUMIFS(PerHeadcount[Month 21],PerHeadcount[exp_item],$H1204,PerHeadcount[company_name],$B1204)*AF259)</f>
        <v>0</v>
      </c>
      <c r="AG1204" s="652">
        <f>IF($B1204="",,SUMIFS(PerHeadcount[Month 22],PerHeadcount[exp_item],$H1204,PerHeadcount[company_name],$B1204)*AG259)</f>
        <v>0</v>
      </c>
      <c r="AH1204" s="652">
        <f>IF($B1204="",,SUMIFS(PerHeadcount[Month 23],PerHeadcount[exp_item],$H1204,PerHeadcount[company_name],$B1204)*AH259)</f>
        <v>0</v>
      </c>
      <c r="AI1204" s="652">
        <f>IF($B1204="",,SUMIFS(PerHeadcount[Month 24],PerHeadcount[exp_item],$H1204,PerHeadcount[company_name],$B1204)*AI259)</f>
        <v>0</v>
      </c>
      <c r="AJ1204" s="652">
        <f>IF($B1204="",,SUMIFS(PerHeadcount[Month 25],PerHeadcount[exp_item],$H1204,PerHeadcount[company_name],$B1204)*AJ259)</f>
        <v>0</v>
      </c>
      <c r="AK1204" s="652">
        <f>IF($B1204="",,SUMIFS(PerHeadcount[Month 26],PerHeadcount[exp_item],$H1204,PerHeadcount[company_name],$B1204)*AK259)</f>
        <v>0</v>
      </c>
      <c r="AL1204" s="652">
        <f>IF($B1204="",,SUMIFS(PerHeadcount[Month 27],PerHeadcount[exp_item],$H1204,PerHeadcount[company_name],$B1204)*AL259)</f>
        <v>0</v>
      </c>
      <c r="AM1204" s="652">
        <f>IF($B1204="",,SUMIFS(PerHeadcount[Month 28],PerHeadcount[exp_item],$H1204,PerHeadcount[company_name],$B1204)*AM259)</f>
        <v>0</v>
      </c>
      <c r="AN1204" s="652">
        <f>IF($B1204="",,SUMIFS(PerHeadcount[Month 29],PerHeadcount[exp_item],$H1204,PerHeadcount[company_name],$B1204)*AN259)</f>
        <v>0</v>
      </c>
      <c r="AO1204" s="652">
        <f>IF($B1204="",,SUMIFS(PerHeadcount[Month 30],PerHeadcount[exp_item],$H1204,PerHeadcount[company_name],$B1204)*AO259)</f>
        <v>0</v>
      </c>
      <c r="AP1204" s="652">
        <f>IF($B1204="",,SUMIFS(PerHeadcount[Month 31],PerHeadcount[exp_item],$H1204,PerHeadcount[company_name],$B1204)*AP259)</f>
        <v>0</v>
      </c>
      <c r="AQ1204" s="652">
        <f>IF($B1204="",,SUMIFS(PerHeadcount[Month 32],PerHeadcount[exp_item],$H1204,PerHeadcount[company_name],$B1204)*AQ259)</f>
        <v>0</v>
      </c>
      <c r="AR1204" s="652">
        <f>IF($B1204="",,SUMIFS(PerHeadcount[Month 33],PerHeadcount[exp_item],$H1204,PerHeadcount[company_name],$B1204)*AR259)</f>
        <v>0</v>
      </c>
      <c r="AS1204" s="652">
        <f>IF($B1204="",,SUMIFS(PerHeadcount[Month 34],PerHeadcount[exp_item],$H1204,PerHeadcount[company_name],$B1204)*AS259)</f>
        <v>0</v>
      </c>
      <c r="AT1204" s="652">
        <f>IF($B1204="",,SUMIFS(PerHeadcount[Month 35],PerHeadcount[exp_item],$H1204,PerHeadcount[company_name],$B1204)*AT259)</f>
        <v>0</v>
      </c>
      <c r="AU1204" s="652">
        <f>IF($B1204="",,SUMIFS(PerHeadcount[Month 36],PerHeadcount[exp_item],$H1204,PerHeadcount[company_name],$B1204)*AU259)</f>
        <v>0</v>
      </c>
    </row>
    <row r="1205" spans="2:47" x14ac:dyDescent="0.35">
      <c r="B1205" t="str">
        <f t="shared" si="841"/>
        <v/>
      </c>
      <c r="C1205" t="str">
        <f t="shared" ref="C1205:G1205" si="852">IF(C1100="","",C1100)</f>
        <v/>
      </c>
      <c r="D1205" t="str">
        <f t="shared" si="852"/>
        <v/>
      </c>
      <c r="E1205" t="str">
        <f t="shared" si="852"/>
        <v/>
      </c>
      <c r="F1205" t="str">
        <f t="shared" si="852"/>
        <v/>
      </c>
      <c r="G1205" t="str">
        <f t="shared" si="852"/>
        <v/>
      </c>
      <c r="H1205" t="str">
        <f t="shared" si="840"/>
        <v/>
      </c>
      <c r="J1205" t="str">
        <f>IF($H1205="","",IF(VLOOKUP(H1205,ExpItems[],2,0),H1205&amp;" - "&amp;INDEX(DivisionMapping[category_code],MATCH($D1205&amp;$C1205,DivisionMapping[dept_bu],0)),H1205))</f>
        <v/>
      </c>
      <c r="K1205" t="str">
        <f t="shared" si="843"/>
        <v/>
      </c>
      <c r="L1205" s="652">
        <f>IF($B1205="",,SUMIFS(PerHeadcount[Month 1],PerHeadcount[exp_item],$H1205,PerHeadcount[company_name],$B1205)*L260)</f>
        <v>0</v>
      </c>
      <c r="M1205" s="652">
        <f>IF($B1205="",,SUMIFS(PerHeadcount[Month 2],PerHeadcount[exp_item],$H1205,PerHeadcount[company_name],$B1205)*M260)</f>
        <v>0</v>
      </c>
      <c r="N1205" s="652">
        <f>IF($B1205="",,SUMIFS(PerHeadcount[Month 3],PerHeadcount[exp_item],$H1205,PerHeadcount[company_name],$B1205)*N260)</f>
        <v>0</v>
      </c>
      <c r="O1205" s="652">
        <f>IF($B1205="",,SUMIFS(PerHeadcount[Month 4],PerHeadcount[exp_item],$H1205,PerHeadcount[company_name],$B1205)*O260)</f>
        <v>0</v>
      </c>
      <c r="P1205" s="652">
        <f>IF($B1205="",,SUMIFS(PerHeadcount[Month 5],PerHeadcount[exp_item],$H1205,PerHeadcount[company_name],$B1205)*P260)</f>
        <v>0</v>
      </c>
      <c r="Q1205" s="652">
        <f>IF($B1205="",,SUMIFS(PerHeadcount[Month 6],PerHeadcount[exp_item],$H1205,PerHeadcount[company_name],$B1205)*Q260)</f>
        <v>0</v>
      </c>
      <c r="R1205" s="652">
        <f>IF($B1205="",,SUMIFS(PerHeadcount[Month 7],PerHeadcount[exp_item],$H1205,PerHeadcount[company_name],$B1205)*R260)</f>
        <v>0</v>
      </c>
      <c r="S1205" s="652">
        <f>IF($B1205="",,SUMIFS(PerHeadcount[Month 8],PerHeadcount[exp_item],$H1205,PerHeadcount[company_name],$B1205)*S260)</f>
        <v>0</v>
      </c>
      <c r="T1205" s="652">
        <f>IF($B1205="",,SUMIFS(PerHeadcount[Month 9],PerHeadcount[exp_item],$H1205,PerHeadcount[company_name],$B1205)*T260)</f>
        <v>0</v>
      </c>
      <c r="U1205" s="652">
        <f>IF($B1205="",,SUMIFS(PerHeadcount[Month 10],PerHeadcount[exp_item],$H1205,PerHeadcount[company_name],$B1205)*U260)</f>
        <v>0</v>
      </c>
      <c r="V1205" s="652">
        <f>IF($B1205="",,SUMIFS(PerHeadcount[Month 11],PerHeadcount[exp_item],$H1205,PerHeadcount[company_name],$B1205)*V260)</f>
        <v>0</v>
      </c>
      <c r="W1205" s="652">
        <f>IF($B1205="",,SUMIFS(PerHeadcount[Month 12],PerHeadcount[exp_item],$H1205,PerHeadcount[company_name],$B1205)*W260)</f>
        <v>0</v>
      </c>
      <c r="X1205" s="652">
        <f>IF($B1205="",,SUMIFS(PerHeadcount[Month 13],PerHeadcount[exp_item],$H1205,PerHeadcount[company_name],$B1205)*X260)</f>
        <v>0</v>
      </c>
      <c r="Y1205" s="652">
        <f>IF($B1205="",,SUMIFS(PerHeadcount[Month 14],PerHeadcount[exp_item],$H1205,PerHeadcount[company_name],$B1205)*Y260)</f>
        <v>0</v>
      </c>
      <c r="Z1205" s="652">
        <f>IF($B1205="",,SUMIFS(PerHeadcount[Month 15],PerHeadcount[exp_item],$H1205,PerHeadcount[company_name],$B1205)*Z260)</f>
        <v>0</v>
      </c>
      <c r="AA1205" s="652">
        <f>IF($B1205="",,SUMIFS(PerHeadcount[Month 16],PerHeadcount[exp_item],$H1205,PerHeadcount[company_name],$B1205)*AA260)</f>
        <v>0</v>
      </c>
      <c r="AB1205" s="652">
        <f>IF($B1205="",,SUMIFS(PerHeadcount[Month 17],PerHeadcount[exp_item],$H1205,PerHeadcount[company_name],$B1205)*AB260)</f>
        <v>0</v>
      </c>
      <c r="AC1205" s="652">
        <f>IF($B1205="",,SUMIFS(PerHeadcount[Month 18],PerHeadcount[exp_item],$H1205,PerHeadcount[company_name],$B1205)*AC260)</f>
        <v>0</v>
      </c>
      <c r="AD1205" s="652">
        <f>IF($B1205="",,SUMIFS(PerHeadcount[Month 19],PerHeadcount[exp_item],$H1205,PerHeadcount[company_name],$B1205)*AD260)</f>
        <v>0</v>
      </c>
      <c r="AE1205" s="652">
        <f>IF($B1205="",,SUMIFS(PerHeadcount[Month 20],PerHeadcount[exp_item],$H1205,PerHeadcount[company_name],$B1205)*AE260)</f>
        <v>0</v>
      </c>
      <c r="AF1205" s="652">
        <f>IF($B1205="",,SUMIFS(PerHeadcount[Month 21],PerHeadcount[exp_item],$H1205,PerHeadcount[company_name],$B1205)*AF260)</f>
        <v>0</v>
      </c>
      <c r="AG1205" s="652">
        <f>IF($B1205="",,SUMIFS(PerHeadcount[Month 22],PerHeadcount[exp_item],$H1205,PerHeadcount[company_name],$B1205)*AG260)</f>
        <v>0</v>
      </c>
      <c r="AH1205" s="652">
        <f>IF($B1205="",,SUMIFS(PerHeadcount[Month 23],PerHeadcount[exp_item],$H1205,PerHeadcount[company_name],$B1205)*AH260)</f>
        <v>0</v>
      </c>
      <c r="AI1205" s="652">
        <f>IF($B1205="",,SUMIFS(PerHeadcount[Month 24],PerHeadcount[exp_item],$H1205,PerHeadcount[company_name],$B1205)*AI260)</f>
        <v>0</v>
      </c>
      <c r="AJ1205" s="652">
        <f>IF($B1205="",,SUMIFS(PerHeadcount[Month 25],PerHeadcount[exp_item],$H1205,PerHeadcount[company_name],$B1205)*AJ260)</f>
        <v>0</v>
      </c>
      <c r="AK1205" s="652">
        <f>IF($B1205="",,SUMIFS(PerHeadcount[Month 26],PerHeadcount[exp_item],$H1205,PerHeadcount[company_name],$B1205)*AK260)</f>
        <v>0</v>
      </c>
      <c r="AL1205" s="652">
        <f>IF($B1205="",,SUMIFS(PerHeadcount[Month 27],PerHeadcount[exp_item],$H1205,PerHeadcount[company_name],$B1205)*AL260)</f>
        <v>0</v>
      </c>
      <c r="AM1205" s="652">
        <f>IF($B1205="",,SUMIFS(PerHeadcount[Month 28],PerHeadcount[exp_item],$H1205,PerHeadcount[company_name],$B1205)*AM260)</f>
        <v>0</v>
      </c>
      <c r="AN1205" s="652">
        <f>IF($B1205="",,SUMIFS(PerHeadcount[Month 29],PerHeadcount[exp_item],$H1205,PerHeadcount[company_name],$B1205)*AN260)</f>
        <v>0</v>
      </c>
      <c r="AO1205" s="652">
        <f>IF($B1205="",,SUMIFS(PerHeadcount[Month 30],PerHeadcount[exp_item],$H1205,PerHeadcount[company_name],$B1205)*AO260)</f>
        <v>0</v>
      </c>
      <c r="AP1205" s="652">
        <f>IF($B1205="",,SUMIFS(PerHeadcount[Month 31],PerHeadcount[exp_item],$H1205,PerHeadcount[company_name],$B1205)*AP260)</f>
        <v>0</v>
      </c>
      <c r="AQ1205" s="652">
        <f>IF($B1205="",,SUMIFS(PerHeadcount[Month 32],PerHeadcount[exp_item],$H1205,PerHeadcount[company_name],$B1205)*AQ260)</f>
        <v>0</v>
      </c>
      <c r="AR1205" s="652">
        <f>IF($B1205="",,SUMIFS(PerHeadcount[Month 33],PerHeadcount[exp_item],$H1205,PerHeadcount[company_name],$B1205)*AR260)</f>
        <v>0</v>
      </c>
      <c r="AS1205" s="652">
        <f>IF($B1205="",,SUMIFS(PerHeadcount[Month 34],PerHeadcount[exp_item],$H1205,PerHeadcount[company_name],$B1205)*AS260)</f>
        <v>0</v>
      </c>
      <c r="AT1205" s="652">
        <f>IF($B1205="",,SUMIFS(PerHeadcount[Month 35],PerHeadcount[exp_item],$H1205,PerHeadcount[company_name],$B1205)*AT260)</f>
        <v>0</v>
      </c>
      <c r="AU1205" s="652">
        <f>IF($B1205="",,SUMIFS(PerHeadcount[Month 36],PerHeadcount[exp_item],$H1205,PerHeadcount[company_name],$B1205)*AU260)</f>
        <v>0</v>
      </c>
    </row>
    <row r="1206" spans="2:47" x14ac:dyDescent="0.35">
      <c r="B1206" t="str">
        <f t="shared" si="841"/>
        <v/>
      </c>
      <c r="C1206" t="str">
        <f t="shared" ref="C1206:G1206" si="853">IF(C1101="","",C1101)</f>
        <v/>
      </c>
      <c r="D1206" t="str">
        <f t="shared" si="853"/>
        <v/>
      </c>
      <c r="E1206" t="str">
        <f t="shared" si="853"/>
        <v/>
      </c>
      <c r="F1206" t="str">
        <f t="shared" si="853"/>
        <v/>
      </c>
      <c r="G1206" t="str">
        <f t="shared" si="853"/>
        <v/>
      </c>
      <c r="H1206" t="str">
        <f t="shared" si="840"/>
        <v/>
      </c>
      <c r="J1206" t="str">
        <f>IF($H1206="","",IF(VLOOKUP(H1206,ExpItems[],2,0),H1206&amp;" - "&amp;INDEX(DivisionMapping[category_code],MATCH($D1206&amp;$C1206,DivisionMapping[dept_bu],0)),H1206))</f>
        <v/>
      </c>
      <c r="K1206" t="str">
        <f t="shared" si="843"/>
        <v/>
      </c>
      <c r="L1206" s="652">
        <f>IF($B1206="",,SUMIFS(PerHeadcount[Month 1],PerHeadcount[exp_item],$H1206,PerHeadcount[company_name],$B1206)*L261)</f>
        <v>0</v>
      </c>
      <c r="M1206" s="652">
        <f>IF($B1206="",,SUMIFS(PerHeadcount[Month 2],PerHeadcount[exp_item],$H1206,PerHeadcount[company_name],$B1206)*M261)</f>
        <v>0</v>
      </c>
      <c r="N1206" s="652">
        <f>IF($B1206="",,SUMIFS(PerHeadcount[Month 3],PerHeadcount[exp_item],$H1206,PerHeadcount[company_name],$B1206)*N261)</f>
        <v>0</v>
      </c>
      <c r="O1206" s="652">
        <f>IF($B1206="",,SUMIFS(PerHeadcount[Month 4],PerHeadcount[exp_item],$H1206,PerHeadcount[company_name],$B1206)*O261)</f>
        <v>0</v>
      </c>
      <c r="P1206" s="652">
        <f>IF($B1206="",,SUMIFS(PerHeadcount[Month 5],PerHeadcount[exp_item],$H1206,PerHeadcount[company_name],$B1206)*P261)</f>
        <v>0</v>
      </c>
      <c r="Q1206" s="652">
        <f>IF($B1206="",,SUMIFS(PerHeadcount[Month 6],PerHeadcount[exp_item],$H1206,PerHeadcount[company_name],$B1206)*Q261)</f>
        <v>0</v>
      </c>
      <c r="R1206" s="652">
        <f>IF($B1206="",,SUMIFS(PerHeadcount[Month 7],PerHeadcount[exp_item],$H1206,PerHeadcount[company_name],$B1206)*R261)</f>
        <v>0</v>
      </c>
      <c r="S1206" s="652">
        <f>IF($B1206="",,SUMIFS(PerHeadcount[Month 8],PerHeadcount[exp_item],$H1206,PerHeadcount[company_name],$B1206)*S261)</f>
        <v>0</v>
      </c>
      <c r="T1206" s="652">
        <f>IF($B1206="",,SUMIFS(PerHeadcount[Month 9],PerHeadcount[exp_item],$H1206,PerHeadcount[company_name],$B1206)*T261)</f>
        <v>0</v>
      </c>
      <c r="U1206" s="652">
        <f>IF($B1206="",,SUMIFS(PerHeadcount[Month 10],PerHeadcount[exp_item],$H1206,PerHeadcount[company_name],$B1206)*U261)</f>
        <v>0</v>
      </c>
      <c r="V1206" s="652">
        <f>IF($B1206="",,SUMIFS(PerHeadcount[Month 11],PerHeadcount[exp_item],$H1206,PerHeadcount[company_name],$B1206)*V261)</f>
        <v>0</v>
      </c>
      <c r="W1206" s="652">
        <f>IF($B1206="",,SUMIFS(PerHeadcount[Month 12],PerHeadcount[exp_item],$H1206,PerHeadcount[company_name],$B1206)*W261)</f>
        <v>0</v>
      </c>
      <c r="X1206" s="652">
        <f>IF($B1206="",,SUMIFS(PerHeadcount[Month 13],PerHeadcount[exp_item],$H1206,PerHeadcount[company_name],$B1206)*X261)</f>
        <v>0</v>
      </c>
      <c r="Y1206" s="652">
        <f>IF($B1206="",,SUMIFS(PerHeadcount[Month 14],PerHeadcount[exp_item],$H1206,PerHeadcount[company_name],$B1206)*Y261)</f>
        <v>0</v>
      </c>
      <c r="Z1206" s="652">
        <f>IF($B1206="",,SUMIFS(PerHeadcount[Month 15],PerHeadcount[exp_item],$H1206,PerHeadcount[company_name],$B1206)*Z261)</f>
        <v>0</v>
      </c>
      <c r="AA1206" s="652">
        <f>IF($B1206="",,SUMIFS(PerHeadcount[Month 16],PerHeadcount[exp_item],$H1206,PerHeadcount[company_name],$B1206)*AA261)</f>
        <v>0</v>
      </c>
      <c r="AB1206" s="652">
        <f>IF($B1206="",,SUMIFS(PerHeadcount[Month 17],PerHeadcount[exp_item],$H1206,PerHeadcount[company_name],$B1206)*AB261)</f>
        <v>0</v>
      </c>
      <c r="AC1206" s="652">
        <f>IF($B1206="",,SUMIFS(PerHeadcount[Month 18],PerHeadcount[exp_item],$H1206,PerHeadcount[company_name],$B1206)*AC261)</f>
        <v>0</v>
      </c>
      <c r="AD1206" s="652">
        <f>IF($B1206="",,SUMIFS(PerHeadcount[Month 19],PerHeadcount[exp_item],$H1206,PerHeadcount[company_name],$B1206)*AD261)</f>
        <v>0</v>
      </c>
      <c r="AE1206" s="652">
        <f>IF($B1206="",,SUMIFS(PerHeadcount[Month 20],PerHeadcount[exp_item],$H1206,PerHeadcount[company_name],$B1206)*AE261)</f>
        <v>0</v>
      </c>
      <c r="AF1206" s="652">
        <f>IF($B1206="",,SUMIFS(PerHeadcount[Month 21],PerHeadcount[exp_item],$H1206,PerHeadcount[company_name],$B1206)*AF261)</f>
        <v>0</v>
      </c>
      <c r="AG1206" s="652">
        <f>IF($B1206="",,SUMIFS(PerHeadcount[Month 22],PerHeadcount[exp_item],$H1206,PerHeadcount[company_name],$B1206)*AG261)</f>
        <v>0</v>
      </c>
      <c r="AH1206" s="652">
        <f>IF($B1206="",,SUMIFS(PerHeadcount[Month 23],PerHeadcount[exp_item],$H1206,PerHeadcount[company_name],$B1206)*AH261)</f>
        <v>0</v>
      </c>
      <c r="AI1206" s="652">
        <f>IF($B1206="",,SUMIFS(PerHeadcount[Month 24],PerHeadcount[exp_item],$H1206,PerHeadcount[company_name],$B1206)*AI261)</f>
        <v>0</v>
      </c>
      <c r="AJ1206" s="652">
        <f>IF($B1206="",,SUMIFS(PerHeadcount[Month 25],PerHeadcount[exp_item],$H1206,PerHeadcount[company_name],$B1206)*AJ261)</f>
        <v>0</v>
      </c>
      <c r="AK1206" s="652">
        <f>IF($B1206="",,SUMIFS(PerHeadcount[Month 26],PerHeadcount[exp_item],$H1206,PerHeadcount[company_name],$B1206)*AK261)</f>
        <v>0</v>
      </c>
      <c r="AL1206" s="652">
        <f>IF($B1206="",,SUMIFS(PerHeadcount[Month 27],PerHeadcount[exp_item],$H1206,PerHeadcount[company_name],$B1206)*AL261)</f>
        <v>0</v>
      </c>
      <c r="AM1206" s="652">
        <f>IF($B1206="",,SUMIFS(PerHeadcount[Month 28],PerHeadcount[exp_item],$H1206,PerHeadcount[company_name],$B1206)*AM261)</f>
        <v>0</v>
      </c>
      <c r="AN1206" s="652">
        <f>IF($B1206="",,SUMIFS(PerHeadcount[Month 29],PerHeadcount[exp_item],$H1206,PerHeadcount[company_name],$B1206)*AN261)</f>
        <v>0</v>
      </c>
      <c r="AO1206" s="652">
        <f>IF($B1206="",,SUMIFS(PerHeadcount[Month 30],PerHeadcount[exp_item],$H1206,PerHeadcount[company_name],$B1206)*AO261)</f>
        <v>0</v>
      </c>
      <c r="AP1206" s="652">
        <f>IF($B1206="",,SUMIFS(PerHeadcount[Month 31],PerHeadcount[exp_item],$H1206,PerHeadcount[company_name],$B1206)*AP261)</f>
        <v>0</v>
      </c>
      <c r="AQ1206" s="652">
        <f>IF($B1206="",,SUMIFS(PerHeadcount[Month 32],PerHeadcount[exp_item],$H1206,PerHeadcount[company_name],$B1206)*AQ261)</f>
        <v>0</v>
      </c>
      <c r="AR1206" s="652">
        <f>IF($B1206="",,SUMIFS(PerHeadcount[Month 33],PerHeadcount[exp_item],$H1206,PerHeadcount[company_name],$B1206)*AR261)</f>
        <v>0</v>
      </c>
      <c r="AS1206" s="652">
        <f>IF($B1206="",,SUMIFS(PerHeadcount[Month 34],PerHeadcount[exp_item],$H1206,PerHeadcount[company_name],$B1206)*AS261)</f>
        <v>0</v>
      </c>
      <c r="AT1206" s="652">
        <f>IF($B1206="",,SUMIFS(PerHeadcount[Month 35],PerHeadcount[exp_item],$H1206,PerHeadcount[company_name],$B1206)*AT261)</f>
        <v>0</v>
      </c>
      <c r="AU1206" s="652">
        <f>IF($B1206="",,SUMIFS(PerHeadcount[Month 36],PerHeadcount[exp_item],$H1206,PerHeadcount[company_name],$B1206)*AU261)</f>
        <v>0</v>
      </c>
    </row>
    <row r="1207" spans="2:47" x14ac:dyDescent="0.35">
      <c r="B1207" t="str">
        <f t="shared" si="841"/>
        <v/>
      </c>
      <c r="C1207" t="str">
        <f t="shared" ref="C1207:G1207" si="854">IF(C1102="","",C1102)</f>
        <v/>
      </c>
      <c r="D1207" t="str">
        <f t="shared" si="854"/>
        <v/>
      </c>
      <c r="E1207" t="str">
        <f t="shared" si="854"/>
        <v/>
      </c>
      <c r="F1207" t="str">
        <f t="shared" si="854"/>
        <v/>
      </c>
      <c r="G1207" t="str">
        <f t="shared" si="854"/>
        <v/>
      </c>
      <c r="H1207" t="str">
        <f t="shared" si="840"/>
        <v/>
      </c>
      <c r="J1207" t="str">
        <f>IF($H1207="","",IF(VLOOKUP(H1207,ExpItems[],2,0),H1207&amp;" - "&amp;INDEX(DivisionMapping[category_code],MATCH($D1207&amp;$C1207,DivisionMapping[dept_bu],0)),H1207))</f>
        <v/>
      </c>
      <c r="K1207" t="str">
        <f t="shared" si="843"/>
        <v/>
      </c>
      <c r="L1207" s="652">
        <f>IF($B1207="",,SUMIFS(PerHeadcount[Month 1],PerHeadcount[exp_item],$H1207,PerHeadcount[company_name],$B1207)*L262)</f>
        <v>0</v>
      </c>
      <c r="M1207" s="652">
        <f>IF($B1207="",,SUMIFS(PerHeadcount[Month 2],PerHeadcount[exp_item],$H1207,PerHeadcount[company_name],$B1207)*M262)</f>
        <v>0</v>
      </c>
      <c r="N1207" s="652">
        <f>IF($B1207="",,SUMIFS(PerHeadcount[Month 3],PerHeadcount[exp_item],$H1207,PerHeadcount[company_name],$B1207)*N262)</f>
        <v>0</v>
      </c>
      <c r="O1207" s="652">
        <f>IF($B1207="",,SUMIFS(PerHeadcount[Month 4],PerHeadcount[exp_item],$H1207,PerHeadcount[company_name],$B1207)*O262)</f>
        <v>0</v>
      </c>
      <c r="P1207" s="652">
        <f>IF($B1207="",,SUMIFS(PerHeadcount[Month 5],PerHeadcount[exp_item],$H1207,PerHeadcount[company_name],$B1207)*P262)</f>
        <v>0</v>
      </c>
      <c r="Q1207" s="652">
        <f>IF($B1207="",,SUMIFS(PerHeadcount[Month 6],PerHeadcount[exp_item],$H1207,PerHeadcount[company_name],$B1207)*Q262)</f>
        <v>0</v>
      </c>
      <c r="R1207" s="652">
        <f>IF($B1207="",,SUMIFS(PerHeadcount[Month 7],PerHeadcount[exp_item],$H1207,PerHeadcount[company_name],$B1207)*R262)</f>
        <v>0</v>
      </c>
      <c r="S1207" s="652">
        <f>IF($B1207="",,SUMIFS(PerHeadcount[Month 8],PerHeadcount[exp_item],$H1207,PerHeadcount[company_name],$B1207)*S262)</f>
        <v>0</v>
      </c>
      <c r="T1207" s="652">
        <f>IF($B1207="",,SUMIFS(PerHeadcount[Month 9],PerHeadcount[exp_item],$H1207,PerHeadcount[company_name],$B1207)*T262)</f>
        <v>0</v>
      </c>
      <c r="U1207" s="652">
        <f>IF($B1207="",,SUMIFS(PerHeadcount[Month 10],PerHeadcount[exp_item],$H1207,PerHeadcount[company_name],$B1207)*U262)</f>
        <v>0</v>
      </c>
      <c r="V1207" s="652">
        <f>IF($B1207="",,SUMIFS(PerHeadcount[Month 11],PerHeadcount[exp_item],$H1207,PerHeadcount[company_name],$B1207)*V262)</f>
        <v>0</v>
      </c>
      <c r="W1207" s="652">
        <f>IF($B1207="",,SUMIFS(PerHeadcount[Month 12],PerHeadcount[exp_item],$H1207,PerHeadcount[company_name],$B1207)*W262)</f>
        <v>0</v>
      </c>
      <c r="X1207" s="652">
        <f>IF($B1207="",,SUMIFS(PerHeadcount[Month 13],PerHeadcount[exp_item],$H1207,PerHeadcount[company_name],$B1207)*X262)</f>
        <v>0</v>
      </c>
      <c r="Y1207" s="652">
        <f>IF($B1207="",,SUMIFS(PerHeadcount[Month 14],PerHeadcount[exp_item],$H1207,PerHeadcount[company_name],$B1207)*Y262)</f>
        <v>0</v>
      </c>
      <c r="Z1207" s="652">
        <f>IF($B1207="",,SUMIFS(PerHeadcount[Month 15],PerHeadcount[exp_item],$H1207,PerHeadcount[company_name],$B1207)*Z262)</f>
        <v>0</v>
      </c>
      <c r="AA1207" s="652">
        <f>IF($B1207="",,SUMIFS(PerHeadcount[Month 16],PerHeadcount[exp_item],$H1207,PerHeadcount[company_name],$B1207)*AA262)</f>
        <v>0</v>
      </c>
      <c r="AB1207" s="652">
        <f>IF($B1207="",,SUMIFS(PerHeadcount[Month 17],PerHeadcount[exp_item],$H1207,PerHeadcount[company_name],$B1207)*AB262)</f>
        <v>0</v>
      </c>
      <c r="AC1207" s="652">
        <f>IF($B1207="",,SUMIFS(PerHeadcount[Month 18],PerHeadcount[exp_item],$H1207,PerHeadcount[company_name],$B1207)*AC262)</f>
        <v>0</v>
      </c>
      <c r="AD1207" s="652">
        <f>IF($B1207="",,SUMIFS(PerHeadcount[Month 19],PerHeadcount[exp_item],$H1207,PerHeadcount[company_name],$B1207)*AD262)</f>
        <v>0</v>
      </c>
      <c r="AE1207" s="652">
        <f>IF($B1207="",,SUMIFS(PerHeadcount[Month 20],PerHeadcount[exp_item],$H1207,PerHeadcount[company_name],$B1207)*AE262)</f>
        <v>0</v>
      </c>
      <c r="AF1207" s="652">
        <f>IF($B1207="",,SUMIFS(PerHeadcount[Month 21],PerHeadcount[exp_item],$H1207,PerHeadcount[company_name],$B1207)*AF262)</f>
        <v>0</v>
      </c>
      <c r="AG1207" s="652">
        <f>IF($B1207="",,SUMIFS(PerHeadcount[Month 22],PerHeadcount[exp_item],$H1207,PerHeadcount[company_name],$B1207)*AG262)</f>
        <v>0</v>
      </c>
      <c r="AH1207" s="652">
        <f>IF($B1207="",,SUMIFS(PerHeadcount[Month 23],PerHeadcount[exp_item],$H1207,PerHeadcount[company_name],$B1207)*AH262)</f>
        <v>0</v>
      </c>
      <c r="AI1207" s="652">
        <f>IF($B1207="",,SUMIFS(PerHeadcount[Month 24],PerHeadcount[exp_item],$H1207,PerHeadcount[company_name],$B1207)*AI262)</f>
        <v>0</v>
      </c>
      <c r="AJ1207" s="652">
        <f>IF($B1207="",,SUMIFS(PerHeadcount[Month 25],PerHeadcount[exp_item],$H1207,PerHeadcount[company_name],$B1207)*AJ262)</f>
        <v>0</v>
      </c>
      <c r="AK1207" s="652">
        <f>IF($B1207="",,SUMIFS(PerHeadcount[Month 26],PerHeadcount[exp_item],$H1207,PerHeadcount[company_name],$B1207)*AK262)</f>
        <v>0</v>
      </c>
      <c r="AL1207" s="652">
        <f>IF($B1207="",,SUMIFS(PerHeadcount[Month 27],PerHeadcount[exp_item],$H1207,PerHeadcount[company_name],$B1207)*AL262)</f>
        <v>0</v>
      </c>
      <c r="AM1207" s="652">
        <f>IF($B1207="",,SUMIFS(PerHeadcount[Month 28],PerHeadcount[exp_item],$H1207,PerHeadcount[company_name],$B1207)*AM262)</f>
        <v>0</v>
      </c>
      <c r="AN1207" s="652">
        <f>IF($B1207="",,SUMIFS(PerHeadcount[Month 29],PerHeadcount[exp_item],$H1207,PerHeadcount[company_name],$B1207)*AN262)</f>
        <v>0</v>
      </c>
      <c r="AO1207" s="652">
        <f>IF($B1207="",,SUMIFS(PerHeadcount[Month 30],PerHeadcount[exp_item],$H1207,PerHeadcount[company_name],$B1207)*AO262)</f>
        <v>0</v>
      </c>
      <c r="AP1207" s="652">
        <f>IF($B1207="",,SUMIFS(PerHeadcount[Month 31],PerHeadcount[exp_item],$H1207,PerHeadcount[company_name],$B1207)*AP262)</f>
        <v>0</v>
      </c>
      <c r="AQ1207" s="652">
        <f>IF($B1207="",,SUMIFS(PerHeadcount[Month 32],PerHeadcount[exp_item],$H1207,PerHeadcount[company_name],$B1207)*AQ262)</f>
        <v>0</v>
      </c>
      <c r="AR1207" s="652">
        <f>IF($B1207="",,SUMIFS(PerHeadcount[Month 33],PerHeadcount[exp_item],$H1207,PerHeadcount[company_name],$B1207)*AR262)</f>
        <v>0</v>
      </c>
      <c r="AS1207" s="652">
        <f>IF($B1207="",,SUMIFS(PerHeadcount[Month 34],PerHeadcount[exp_item],$H1207,PerHeadcount[company_name],$B1207)*AS262)</f>
        <v>0</v>
      </c>
      <c r="AT1207" s="652">
        <f>IF($B1207="",,SUMIFS(PerHeadcount[Month 35],PerHeadcount[exp_item],$H1207,PerHeadcount[company_name],$B1207)*AT262)</f>
        <v>0</v>
      </c>
      <c r="AU1207" s="652">
        <f>IF($B1207="",,SUMIFS(PerHeadcount[Month 36],PerHeadcount[exp_item],$H1207,PerHeadcount[company_name],$B1207)*AU262)</f>
        <v>0</v>
      </c>
    </row>
    <row r="1208" spans="2:47" x14ac:dyDescent="0.35">
      <c r="B1208" t="str">
        <f t="shared" si="841"/>
        <v/>
      </c>
      <c r="C1208" t="str">
        <f t="shared" ref="C1208:G1208" si="855">IF(C1103="","",C1103)</f>
        <v/>
      </c>
      <c r="D1208" t="str">
        <f t="shared" si="855"/>
        <v/>
      </c>
      <c r="E1208" t="str">
        <f t="shared" si="855"/>
        <v/>
      </c>
      <c r="F1208" t="str">
        <f t="shared" si="855"/>
        <v/>
      </c>
      <c r="G1208" t="str">
        <f t="shared" si="855"/>
        <v/>
      </c>
      <c r="H1208" t="str">
        <f t="shared" si="840"/>
        <v/>
      </c>
      <c r="J1208" t="str">
        <f>IF($H1208="","",IF(VLOOKUP(H1208,ExpItems[],2,0),H1208&amp;" - "&amp;INDEX(DivisionMapping[category_code],MATCH($D1208&amp;$C1208,DivisionMapping[dept_bu],0)),H1208))</f>
        <v/>
      </c>
      <c r="K1208" t="str">
        <f t="shared" si="843"/>
        <v/>
      </c>
      <c r="L1208" s="652">
        <f>IF($B1208="",,SUMIFS(PerHeadcount[Month 1],PerHeadcount[exp_item],$H1208,PerHeadcount[company_name],$B1208)*L263)</f>
        <v>0</v>
      </c>
      <c r="M1208" s="652">
        <f>IF($B1208="",,SUMIFS(PerHeadcount[Month 2],PerHeadcount[exp_item],$H1208,PerHeadcount[company_name],$B1208)*M263)</f>
        <v>0</v>
      </c>
      <c r="N1208" s="652">
        <f>IF($B1208="",,SUMIFS(PerHeadcount[Month 3],PerHeadcount[exp_item],$H1208,PerHeadcount[company_name],$B1208)*N263)</f>
        <v>0</v>
      </c>
      <c r="O1208" s="652">
        <f>IF($B1208="",,SUMIFS(PerHeadcount[Month 4],PerHeadcount[exp_item],$H1208,PerHeadcount[company_name],$B1208)*O263)</f>
        <v>0</v>
      </c>
      <c r="P1208" s="652">
        <f>IF($B1208="",,SUMIFS(PerHeadcount[Month 5],PerHeadcount[exp_item],$H1208,PerHeadcount[company_name],$B1208)*P263)</f>
        <v>0</v>
      </c>
      <c r="Q1208" s="652">
        <f>IF($B1208="",,SUMIFS(PerHeadcount[Month 6],PerHeadcount[exp_item],$H1208,PerHeadcount[company_name],$B1208)*Q263)</f>
        <v>0</v>
      </c>
      <c r="R1208" s="652">
        <f>IF($B1208="",,SUMIFS(PerHeadcount[Month 7],PerHeadcount[exp_item],$H1208,PerHeadcount[company_name],$B1208)*R263)</f>
        <v>0</v>
      </c>
      <c r="S1208" s="652">
        <f>IF($B1208="",,SUMIFS(PerHeadcount[Month 8],PerHeadcount[exp_item],$H1208,PerHeadcount[company_name],$B1208)*S263)</f>
        <v>0</v>
      </c>
      <c r="T1208" s="652">
        <f>IF($B1208="",,SUMIFS(PerHeadcount[Month 9],PerHeadcount[exp_item],$H1208,PerHeadcount[company_name],$B1208)*T263)</f>
        <v>0</v>
      </c>
      <c r="U1208" s="652">
        <f>IF($B1208="",,SUMIFS(PerHeadcount[Month 10],PerHeadcount[exp_item],$H1208,PerHeadcount[company_name],$B1208)*U263)</f>
        <v>0</v>
      </c>
      <c r="V1208" s="652">
        <f>IF($B1208="",,SUMIFS(PerHeadcount[Month 11],PerHeadcount[exp_item],$H1208,PerHeadcount[company_name],$B1208)*V263)</f>
        <v>0</v>
      </c>
      <c r="W1208" s="652">
        <f>IF($B1208="",,SUMIFS(PerHeadcount[Month 12],PerHeadcount[exp_item],$H1208,PerHeadcount[company_name],$B1208)*W263)</f>
        <v>0</v>
      </c>
      <c r="X1208" s="652">
        <f>IF($B1208="",,SUMIFS(PerHeadcount[Month 13],PerHeadcount[exp_item],$H1208,PerHeadcount[company_name],$B1208)*X263)</f>
        <v>0</v>
      </c>
      <c r="Y1208" s="652">
        <f>IF($B1208="",,SUMIFS(PerHeadcount[Month 14],PerHeadcount[exp_item],$H1208,PerHeadcount[company_name],$B1208)*Y263)</f>
        <v>0</v>
      </c>
      <c r="Z1208" s="652">
        <f>IF($B1208="",,SUMIFS(PerHeadcount[Month 15],PerHeadcount[exp_item],$H1208,PerHeadcount[company_name],$B1208)*Z263)</f>
        <v>0</v>
      </c>
      <c r="AA1208" s="652">
        <f>IF($B1208="",,SUMIFS(PerHeadcount[Month 16],PerHeadcount[exp_item],$H1208,PerHeadcount[company_name],$B1208)*AA263)</f>
        <v>0</v>
      </c>
      <c r="AB1208" s="652">
        <f>IF($B1208="",,SUMIFS(PerHeadcount[Month 17],PerHeadcount[exp_item],$H1208,PerHeadcount[company_name],$B1208)*AB263)</f>
        <v>0</v>
      </c>
      <c r="AC1208" s="652">
        <f>IF($B1208="",,SUMIFS(PerHeadcount[Month 18],PerHeadcount[exp_item],$H1208,PerHeadcount[company_name],$B1208)*AC263)</f>
        <v>0</v>
      </c>
      <c r="AD1208" s="652">
        <f>IF($B1208="",,SUMIFS(PerHeadcount[Month 19],PerHeadcount[exp_item],$H1208,PerHeadcount[company_name],$B1208)*AD263)</f>
        <v>0</v>
      </c>
      <c r="AE1208" s="652">
        <f>IF($B1208="",,SUMIFS(PerHeadcount[Month 20],PerHeadcount[exp_item],$H1208,PerHeadcount[company_name],$B1208)*AE263)</f>
        <v>0</v>
      </c>
      <c r="AF1208" s="652">
        <f>IF($B1208="",,SUMIFS(PerHeadcount[Month 21],PerHeadcount[exp_item],$H1208,PerHeadcount[company_name],$B1208)*AF263)</f>
        <v>0</v>
      </c>
      <c r="AG1208" s="652">
        <f>IF($B1208="",,SUMIFS(PerHeadcount[Month 22],PerHeadcount[exp_item],$H1208,PerHeadcount[company_name],$B1208)*AG263)</f>
        <v>0</v>
      </c>
      <c r="AH1208" s="652">
        <f>IF($B1208="",,SUMIFS(PerHeadcount[Month 23],PerHeadcount[exp_item],$H1208,PerHeadcount[company_name],$B1208)*AH263)</f>
        <v>0</v>
      </c>
      <c r="AI1208" s="652">
        <f>IF($B1208="",,SUMIFS(PerHeadcount[Month 24],PerHeadcount[exp_item],$H1208,PerHeadcount[company_name],$B1208)*AI263)</f>
        <v>0</v>
      </c>
      <c r="AJ1208" s="652">
        <f>IF($B1208="",,SUMIFS(PerHeadcount[Month 25],PerHeadcount[exp_item],$H1208,PerHeadcount[company_name],$B1208)*AJ263)</f>
        <v>0</v>
      </c>
      <c r="AK1208" s="652">
        <f>IF($B1208="",,SUMIFS(PerHeadcount[Month 26],PerHeadcount[exp_item],$H1208,PerHeadcount[company_name],$B1208)*AK263)</f>
        <v>0</v>
      </c>
      <c r="AL1208" s="652">
        <f>IF($B1208="",,SUMIFS(PerHeadcount[Month 27],PerHeadcount[exp_item],$H1208,PerHeadcount[company_name],$B1208)*AL263)</f>
        <v>0</v>
      </c>
      <c r="AM1208" s="652">
        <f>IF($B1208="",,SUMIFS(PerHeadcount[Month 28],PerHeadcount[exp_item],$H1208,PerHeadcount[company_name],$B1208)*AM263)</f>
        <v>0</v>
      </c>
      <c r="AN1208" s="652">
        <f>IF($B1208="",,SUMIFS(PerHeadcount[Month 29],PerHeadcount[exp_item],$H1208,PerHeadcount[company_name],$B1208)*AN263)</f>
        <v>0</v>
      </c>
      <c r="AO1208" s="652">
        <f>IF($B1208="",,SUMIFS(PerHeadcount[Month 30],PerHeadcount[exp_item],$H1208,PerHeadcount[company_name],$B1208)*AO263)</f>
        <v>0</v>
      </c>
      <c r="AP1208" s="652">
        <f>IF($B1208="",,SUMIFS(PerHeadcount[Month 31],PerHeadcount[exp_item],$H1208,PerHeadcount[company_name],$B1208)*AP263)</f>
        <v>0</v>
      </c>
      <c r="AQ1208" s="652">
        <f>IF($B1208="",,SUMIFS(PerHeadcount[Month 32],PerHeadcount[exp_item],$H1208,PerHeadcount[company_name],$B1208)*AQ263)</f>
        <v>0</v>
      </c>
      <c r="AR1208" s="652">
        <f>IF($B1208="",,SUMIFS(PerHeadcount[Month 33],PerHeadcount[exp_item],$H1208,PerHeadcount[company_name],$B1208)*AR263)</f>
        <v>0</v>
      </c>
      <c r="AS1208" s="652">
        <f>IF($B1208="",,SUMIFS(PerHeadcount[Month 34],PerHeadcount[exp_item],$H1208,PerHeadcount[company_name],$B1208)*AS263)</f>
        <v>0</v>
      </c>
      <c r="AT1208" s="652">
        <f>IF($B1208="",,SUMIFS(PerHeadcount[Month 35],PerHeadcount[exp_item],$H1208,PerHeadcount[company_name],$B1208)*AT263)</f>
        <v>0</v>
      </c>
      <c r="AU1208" s="652">
        <f>IF($B1208="",,SUMIFS(PerHeadcount[Month 36],PerHeadcount[exp_item],$H1208,PerHeadcount[company_name],$B1208)*AU263)</f>
        <v>0</v>
      </c>
    </row>
    <row r="1209" spans="2:47" x14ac:dyDescent="0.35">
      <c r="B1209" t="str">
        <f t="shared" si="841"/>
        <v/>
      </c>
      <c r="C1209" t="str">
        <f t="shared" ref="C1209:G1209" si="856">IF(C1104="","",C1104)</f>
        <v/>
      </c>
      <c r="D1209" t="str">
        <f t="shared" si="856"/>
        <v/>
      </c>
      <c r="E1209" t="str">
        <f t="shared" si="856"/>
        <v/>
      </c>
      <c r="F1209" t="str">
        <f t="shared" si="856"/>
        <v/>
      </c>
      <c r="G1209" t="str">
        <f t="shared" si="856"/>
        <v/>
      </c>
      <c r="H1209" t="str">
        <f t="shared" si="840"/>
        <v/>
      </c>
      <c r="J1209" t="str">
        <f>IF($H1209="","",IF(VLOOKUP(H1209,ExpItems[],2,0),H1209&amp;" - "&amp;INDEX(DivisionMapping[category_code],MATCH($D1209&amp;$C1209,DivisionMapping[dept_bu],0)),H1209))</f>
        <v/>
      </c>
      <c r="K1209" t="str">
        <f t="shared" si="843"/>
        <v/>
      </c>
      <c r="L1209" s="652">
        <f>IF($B1209="",,SUMIFS(PerHeadcount[Month 1],PerHeadcount[exp_item],$H1209,PerHeadcount[company_name],$B1209)*L264)</f>
        <v>0</v>
      </c>
      <c r="M1209" s="652">
        <f>IF($B1209="",,SUMIFS(PerHeadcount[Month 2],PerHeadcount[exp_item],$H1209,PerHeadcount[company_name],$B1209)*M264)</f>
        <v>0</v>
      </c>
      <c r="N1209" s="652">
        <f>IF($B1209="",,SUMIFS(PerHeadcount[Month 3],PerHeadcount[exp_item],$H1209,PerHeadcount[company_name],$B1209)*N264)</f>
        <v>0</v>
      </c>
      <c r="O1209" s="652">
        <f>IF($B1209="",,SUMIFS(PerHeadcount[Month 4],PerHeadcount[exp_item],$H1209,PerHeadcount[company_name],$B1209)*O264)</f>
        <v>0</v>
      </c>
      <c r="P1209" s="652">
        <f>IF($B1209="",,SUMIFS(PerHeadcount[Month 5],PerHeadcount[exp_item],$H1209,PerHeadcount[company_name],$B1209)*P264)</f>
        <v>0</v>
      </c>
      <c r="Q1209" s="652">
        <f>IF($B1209="",,SUMIFS(PerHeadcount[Month 6],PerHeadcount[exp_item],$H1209,PerHeadcount[company_name],$B1209)*Q264)</f>
        <v>0</v>
      </c>
      <c r="R1209" s="652">
        <f>IF($B1209="",,SUMIFS(PerHeadcount[Month 7],PerHeadcount[exp_item],$H1209,PerHeadcount[company_name],$B1209)*R264)</f>
        <v>0</v>
      </c>
      <c r="S1209" s="652">
        <f>IF($B1209="",,SUMIFS(PerHeadcount[Month 8],PerHeadcount[exp_item],$H1209,PerHeadcount[company_name],$B1209)*S264)</f>
        <v>0</v>
      </c>
      <c r="T1209" s="652">
        <f>IF($B1209="",,SUMIFS(PerHeadcount[Month 9],PerHeadcount[exp_item],$H1209,PerHeadcount[company_name],$B1209)*T264)</f>
        <v>0</v>
      </c>
      <c r="U1209" s="652">
        <f>IF($B1209="",,SUMIFS(PerHeadcount[Month 10],PerHeadcount[exp_item],$H1209,PerHeadcount[company_name],$B1209)*U264)</f>
        <v>0</v>
      </c>
      <c r="V1209" s="652">
        <f>IF($B1209="",,SUMIFS(PerHeadcount[Month 11],PerHeadcount[exp_item],$H1209,PerHeadcount[company_name],$B1209)*V264)</f>
        <v>0</v>
      </c>
      <c r="W1209" s="652">
        <f>IF($B1209="",,SUMIFS(PerHeadcount[Month 12],PerHeadcount[exp_item],$H1209,PerHeadcount[company_name],$B1209)*W264)</f>
        <v>0</v>
      </c>
      <c r="X1209" s="652">
        <f>IF($B1209="",,SUMIFS(PerHeadcount[Month 13],PerHeadcount[exp_item],$H1209,PerHeadcount[company_name],$B1209)*X264)</f>
        <v>0</v>
      </c>
      <c r="Y1209" s="652">
        <f>IF($B1209="",,SUMIFS(PerHeadcount[Month 14],PerHeadcount[exp_item],$H1209,PerHeadcount[company_name],$B1209)*Y264)</f>
        <v>0</v>
      </c>
      <c r="Z1209" s="652">
        <f>IF($B1209="",,SUMIFS(PerHeadcount[Month 15],PerHeadcount[exp_item],$H1209,PerHeadcount[company_name],$B1209)*Z264)</f>
        <v>0</v>
      </c>
      <c r="AA1209" s="652">
        <f>IF($B1209="",,SUMIFS(PerHeadcount[Month 16],PerHeadcount[exp_item],$H1209,PerHeadcount[company_name],$B1209)*AA264)</f>
        <v>0</v>
      </c>
      <c r="AB1209" s="652">
        <f>IF($B1209="",,SUMIFS(PerHeadcount[Month 17],PerHeadcount[exp_item],$H1209,PerHeadcount[company_name],$B1209)*AB264)</f>
        <v>0</v>
      </c>
      <c r="AC1209" s="652">
        <f>IF($B1209="",,SUMIFS(PerHeadcount[Month 18],PerHeadcount[exp_item],$H1209,PerHeadcount[company_name],$B1209)*AC264)</f>
        <v>0</v>
      </c>
      <c r="AD1209" s="652">
        <f>IF($B1209="",,SUMIFS(PerHeadcount[Month 19],PerHeadcount[exp_item],$H1209,PerHeadcount[company_name],$B1209)*AD264)</f>
        <v>0</v>
      </c>
      <c r="AE1209" s="652">
        <f>IF($B1209="",,SUMIFS(PerHeadcount[Month 20],PerHeadcount[exp_item],$H1209,PerHeadcount[company_name],$B1209)*AE264)</f>
        <v>0</v>
      </c>
      <c r="AF1209" s="652">
        <f>IF($B1209="",,SUMIFS(PerHeadcount[Month 21],PerHeadcount[exp_item],$H1209,PerHeadcount[company_name],$B1209)*AF264)</f>
        <v>0</v>
      </c>
      <c r="AG1209" s="652">
        <f>IF($B1209="",,SUMIFS(PerHeadcount[Month 22],PerHeadcount[exp_item],$H1209,PerHeadcount[company_name],$B1209)*AG264)</f>
        <v>0</v>
      </c>
      <c r="AH1209" s="652">
        <f>IF($B1209="",,SUMIFS(PerHeadcount[Month 23],PerHeadcount[exp_item],$H1209,PerHeadcount[company_name],$B1209)*AH264)</f>
        <v>0</v>
      </c>
      <c r="AI1209" s="652">
        <f>IF($B1209="",,SUMIFS(PerHeadcount[Month 24],PerHeadcount[exp_item],$H1209,PerHeadcount[company_name],$B1209)*AI264)</f>
        <v>0</v>
      </c>
      <c r="AJ1209" s="652">
        <f>IF($B1209="",,SUMIFS(PerHeadcount[Month 25],PerHeadcount[exp_item],$H1209,PerHeadcount[company_name],$B1209)*AJ264)</f>
        <v>0</v>
      </c>
      <c r="AK1209" s="652">
        <f>IF($B1209="",,SUMIFS(PerHeadcount[Month 26],PerHeadcount[exp_item],$H1209,PerHeadcount[company_name],$B1209)*AK264)</f>
        <v>0</v>
      </c>
      <c r="AL1209" s="652">
        <f>IF($B1209="",,SUMIFS(PerHeadcount[Month 27],PerHeadcount[exp_item],$H1209,PerHeadcount[company_name],$B1209)*AL264)</f>
        <v>0</v>
      </c>
      <c r="AM1209" s="652">
        <f>IF($B1209="",,SUMIFS(PerHeadcount[Month 28],PerHeadcount[exp_item],$H1209,PerHeadcount[company_name],$B1209)*AM264)</f>
        <v>0</v>
      </c>
      <c r="AN1209" s="652">
        <f>IF($B1209="",,SUMIFS(PerHeadcount[Month 29],PerHeadcount[exp_item],$H1209,PerHeadcount[company_name],$B1209)*AN264)</f>
        <v>0</v>
      </c>
      <c r="AO1209" s="652">
        <f>IF($B1209="",,SUMIFS(PerHeadcount[Month 30],PerHeadcount[exp_item],$H1209,PerHeadcount[company_name],$B1209)*AO264)</f>
        <v>0</v>
      </c>
      <c r="AP1209" s="652">
        <f>IF($B1209="",,SUMIFS(PerHeadcount[Month 31],PerHeadcount[exp_item],$H1209,PerHeadcount[company_name],$B1209)*AP264)</f>
        <v>0</v>
      </c>
      <c r="AQ1209" s="652">
        <f>IF($B1209="",,SUMIFS(PerHeadcount[Month 32],PerHeadcount[exp_item],$H1209,PerHeadcount[company_name],$B1209)*AQ264)</f>
        <v>0</v>
      </c>
      <c r="AR1209" s="652">
        <f>IF($B1209="",,SUMIFS(PerHeadcount[Month 33],PerHeadcount[exp_item],$H1209,PerHeadcount[company_name],$B1209)*AR264)</f>
        <v>0</v>
      </c>
      <c r="AS1209" s="652">
        <f>IF($B1209="",,SUMIFS(PerHeadcount[Month 34],PerHeadcount[exp_item],$H1209,PerHeadcount[company_name],$B1209)*AS264)</f>
        <v>0</v>
      </c>
      <c r="AT1209" s="652">
        <f>IF($B1209="",,SUMIFS(PerHeadcount[Month 35],PerHeadcount[exp_item],$H1209,PerHeadcount[company_name],$B1209)*AT264)</f>
        <v>0</v>
      </c>
      <c r="AU1209" s="652">
        <f>IF($B1209="",,SUMIFS(PerHeadcount[Month 36],PerHeadcount[exp_item],$H1209,PerHeadcount[company_name],$B1209)*AU264)</f>
        <v>0</v>
      </c>
    </row>
    <row r="1210" spans="2:47" x14ac:dyDescent="0.35">
      <c r="B1210" t="str">
        <f t="shared" si="841"/>
        <v/>
      </c>
      <c r="C1210" t="str">
        <f t="shared" ref="C1210:G1210" si="857">IF(C1105="","",C1105)</f>
        <v/>
      </c>
      <c r="D1210" t="str">
        <f t="shared" si="857"/>
        <v/>
      </c>
      <c r="E1210" t="str">
        <f t="shared" si="857"/>
        <v/>
      </c>
      <c r="F1210" t="str">
        <f t="shared" si="857"/>
        <v/>
      </c>
      <c r="G1210" t="str">
        <f t="shared" si="857"/>
        <v/>
      </c>
      <c r="H1210" t="str">
        <f t="shared" si="840"/>
        <v/>
      </c>
      <c r="J1210" t="str">
        <f>IF($H1210="","",IF(VLOOKUP(H1210,ExpItems[],2,0),H1210&amp;" - "&amp;INDEX(DivisionMapping[category_code],MATCH($D1210&amp;$C1210,DivisionMapping[dept_bu],0)),H1210))</f>
        <v/>
      </c>
      <c r="K1210" t="str">
        <f t="shared" si="843"/>
        <v/>
      </c>
      <c r="L1210" s="652">
        <f>IF($B1210="",,SUMIFS(PerHeadcount[Month 1],PerHeadcount[exp_item],$H1210,PerHeadcount[company_name],$B1210)*L265)</f>
        <v>0</v>
      </c>
      <c r="M1210" s="652">
        <f>IF($B1210="",,SUMIFS(PerHeadcount[Month 2],PerHeadcount[exp_item],$H1210,PerHeadcount[company_name],$B1210)*M265)</f>
        <v>0</v>
      </c>
      <c r="N1210" s="652">
        <f>IF($B1210="",,SUMIFS(PerHeadcount[Month 3],PerHeadcount[exp_item],$H1210,PerHeadcount[company_name],$B1210)*N265)</f>
        <v>0</v>
      </c>
      <c r="O1210" s="652">
        <f>IF($B1210="",,SUMIFS(PerHeadcount[Month 4],PerHeadcount[exp_item],$H1210,PerHeadcount[company_name],$B1210)*O265)</f>
        <v>0</v>
      </c>
      <c r="P1210" s="652">
        <f>IF($B1210="",,SUMIFS(PerHeadcount[Month 5],PerHeadcount[exp_item],$H1210,PerHeadcount[company_name],$B1210)*P265)</f>
        <v>0</v>
      </c>
      <c r="Q1210" s="652">
        <f>IF($B1210="",,SUMIFS(PerHeadcount[Month 6],PerHeadcount[exp_item],$H1210,PerHeadcount[company_name],$B1210)*Q265)</f>
        <v>0</v>
      </c>
      <c r="R1210" s="652">
        <f>IF($B1210="",,SUMIFS(PerHeadcount[Month 7],PerHeadcount[exp_item],$H1210,PerHeadcount[company_name],$B1210)*R265)</f>
        <v>0</v>
      </c>
      <c r="S1210" s="652">
        <f>IF($B1210="",,SUMIFS(PerHeadcount[Month 8],PerHeadcount[exp_item],$H1210,PerHeadcount[company_name],$B1210)*S265)</f>
        <v>0</v>
      </c>
      <c r="T1210" s="652">
        <f>IF($B1210="",,SUMIFS(PerHeadcount[Month 9],PerHeadcount[exp_item],$H1210,PerHeadcount[company_name],$B1210)*T265)</f>
        <v>0</v>
      </c>
      <c r="U1210" s="652">
        <f>IF($B1210="",,SUMIFS(PerHeadcount[Month 10],PerHeadcount[exp_item],$H1210,PerHeadcount[company_name],$B1210)*U265)</f>
        <v>0</v>
      </c>
      <c r="V1210" s="652">
        <f>IF($B1210="",,SUMIFS(PerHeadcount[Month 11],PerHeadcount[exp_item],$H1210,PerHeadcount[company_name],$B1210)*V265)</f>
        <v>0</v>
      </c>
      <c r="W1210" s="652">
        <f>IF($B1210="",,SUMIFS(PerHeadcount[Month 12],PerHeadcount[exp_item],$H1210,PerHeadcount[company_name],$B1210)*W265)</f>
        <v>0</v>
      </c>
      <c r="X1210" s="652">
        <f>IF($B1210="",,SUMIFS(PerHeadcount[Month 13],PerHeadcount[exp_item],$H1210,PerHeadcount[company_name],$B1210)*X265)</f>
        <v>0</v>
      </c>
      <c r="Y1210" s="652">
        <f>IF($B1210="",,SUMIFS(PerHeadcount[Month 14],PerHeadcount[exp_item],$H1210,PerHeadcount[company_name],$B1210)*Y265)</f>
        <v>0</v>
      </c>
      <c r="Z1210" s="652">
        <f>IF($B1210="",,SUMIFS(PerHeadcount[Month 15],PerHeadcount[exp_item],$H1210,PerHeadcount[company_name],$B1210)*Z265)</f>
        <v>0</v>
      </c>
      <c r="AA1210" s="652">
        <f>IF($B1210="",,SUMIFS(PerHeadcount[Month 16],PerHeadcount[exp_item],$H1210,PerHeadcount[company_name],$B1210)*AA265)</f>
        <v>0</v>
      </c>
      <c r="AB1210" s="652">
        <f>IF($B1210="",,SUMIFS(PerHeadcount[Month 17],PerHeadcount[exp_item],$H1210,PerHeadcount[company_name],$B1210)*AB265)</f>
        <v>0</v>
      </c>
      <c r="AC1210" s="652">
        <f>IF($B1210="",,SUMIFS(PerHeadcount[Month 18],PerHeadcount[exp_item],$H1210,PerHeadcount[company_name],$B1210)*AC265)</f>
        <v>0</v>
      </c>
      <c r="AD1210" s="652">
        <f>IF($B1210="",,SUMIFS(PerHeadcount[Month 19],PerHeadcount[exp_item],$H1210,PerHeadcount[company_name],$B1210)*AD265)</f>
        <v>0</v>
      </c>
      <c r="AE1210" s="652">
        <f>IF($B1210="",,SUMIFS(PerHeadcount[Month 20],PerHeadcount[exp_item],$H1210,PerHeadcount[company_name],$B1210)*AE265)</f>
        <v>0</v>
      </c>
      <c r="AF1210" s="652">
        <f>IF($B1210="",,SUMIFS(PerHeadcount[Month 21],PerHeadcount[exp_item],$H1210,PerHeadcount[company_name],$B1210)*AF265)</f>
        <v>0</v>
      </c>
      <c r="AG1210" s="652">
        <f>IF($B1210="",,SUMIFS(PerHeadcount[Month 22],PerHeadcount[exp_item],$H1210,PerHeadcount[company_name],$B1210)*AG265)</f>
        <v>0</v>
      </c>
      <c r="AH1210" s="652">
        <f>IF($B1210="",,SUMIFS(PerHeadcount[Month 23],PerHeadcount[exp_item],$H1210,PerHeadcount[company_name],$B1210)*AH265)</f>
        <v>0</v>
      </c>
      <c r="AI1210" s="652">
        <f>IF($B1210="",,SUMIFS(PerHeadcount[Month 24],PerHeadcount[exp_item],$H1210,PerHeadcount[company_name],$B1210)*AI265)</f>
        <v>0</v>
      </c>
      <c r="AJ1210" s="652">
        <f>IF($B1210="",,SUMIFS(PerHeadcount[Month 25],PerHeadcount[exp_item],$H1210,PerHeadcount[company_name],$B1210)*AJ265)</f>
        <v>0</v>
      </c>
      <c r="AK1210" s="652">
        <f>IF($B1210="",,SUMIFS(PerHeadcount[Month 26],PerHeadcount[exp_item],$H1210,PerHeadcount[company_name],$B1210)*AK265)</f>
        <v>0</v>
      </c>
      <c r="AL1210" s="652">
        <f>IF($B1210="",,SUMIFS(PerHeadcount[Month 27],PerHeadcount[exp_item],$H1210,PerHeadcount[company_name],$B1210)*AL265)</f>
        <v>0</v>
      </c>
      <c r="AM1210" s="652">
        <f>IF($B1210="",,SUMIFS(PerHeadcount[Month 28],PerHeadcount[exp_item],$H1210,PerHeadcount[company_name],$B1210)*AM265)</f>
        <v>0</v>
      </c>
      <c r="AN1210" s="652">
        <f>IF($B1210="",,SUMIFS(PerHeadcount[Month 29],PerHeadcount[exp_item],$H1210,PerHeadcount[company_name],$B1210)*AN265)</f>
        <v>0</v>
      </c>
      <c r="AO1210" s="652">
        <f>IF($B1210="",,SUMIFS(PerHeadcount[Month 30],PerHeadcount[exp_item],$H1210,PerHeadcount[company_name],$B1210)*AO265)</f>
        <v>0</v>
      </c>
      <c r="AP1210" s="652">
        <f>IF($B1210="",,SUMIFS(PerHeadcount[Month 31],PerHeadcount[exp_item],$H1210,PerHeadcount[company_name],$B1210)*AP265)</f>
        <v>0</v>
      </c>
      <c r="AQ1210" s="652">
        <f>IF($B1210="",,SUMIFS(PerHeadcount[Month 32],PerHeadcount[exp_item],$H1210,PerHeadcount[company_name],$B1210)*AQ265)</f>
        <v>0</v>
      </c>
      <c r="AR1210" s="652">
        <f>IF($B1210="",,SUMIFS(PerHeadcount[Month 33],PerHeadcount[exp_item],$H1210,PerHeadcount[company_name],$B1210)*AR265)</f>
        <v>0</v>
      </c>
      <c r="AS1210" s="652">
        <f>IF($B1210="",,SUMIFS(PerHeadcount[Month 34],PerHeadcount[exp_item],$H1210,PerHeadcount[company_name],$B1210)*AS265)</f>
        <v>0</v>
      </c>
      <c r="AT1210" s="652">
        <f>IF($B1210="",,SUMIFS(PerHeadcount[Month 35],PerHeadcount[exp_item],$H1210,PerHeadcount[company_name],$B1210)*AT265)</f>
        <v>0</v>
      </c>
      <c r="AU1210" s="652">
        <f>IF($B1210="",,SUMIFS(PerHeadcount[Month 36],PerHeadcount[exp_item],$H1210,PerHeadcount[company_name],$B1210)*AU265)</f>
        <v>0</v>
      </c>
    </row>
    <row r="1211" spans="2:47" x14ac:dyDescent="0.35">
      <c r="B1211" t="str">
        <f t="shared" si="841"/>
        <v/>
      </c>
      <c r="C1211" t="str">
        <f t="shared" ref="C1211:G1211" si="858">IF(C1106="","",C1106)</f>
        <v/>
      </c>
      <c r="D1211" t="str">
        <f t="shared" si="858"/>
        <v/>
      </c>
      <c r="E1211" t="str">
        <f t="shared" si="858"/>
        <v/>
      </c>
      <c r="F1211" t="str">
        <f t="shared" si="858"/>
        <v/>
      </c>
      <c r="G1211" t="str">
        <f t="shared" si="858"/>
        <v/>
      </c>
      <c r="H1211" t="str">
        <f t="shared" si="840"/>
        <v/>
      </c>
      <c r="J1211" t="str">
        <f>IF($H1211="","",IF(VLOOKUP(H1211,ExpItems[],2,0),H1211&amp;" - "&amp;INDEX(DivisionMapping[category_code],MATCH($D1211&amp;$C1211,DivisionMapping[dept_bu],0)),H1211))</f>
        <v/>
      </c>
      <c r="K1211" t="str">
        <f t="shared" si="843"/>
        <v/>
      </c>
      <c r="L1211" s="652">
        <f>IF($B1211="",,SUMIFS(PerHeadcount[Month 1],PerHeadcount[exp_item],$H1211,PerHeadcount[company_name],$B1211)*L266)</f>
        <v>0</v>
      </c>
      <c r="M1211" s="652">
        <f>IF($B1211="",,SUMIFS(PerHeadcount[Month 2],PerHeadcount[exp_item],$H1211,PerHeadcount[company_name],$B1211)*M266)</f>
        <v>0</v>
      </c>
      <c r="N1211" s="652">
        <f>IF($B1211="",,SUMIFS(PerHeadcount[Month 3],PerHeadcount[exp_item],$H1211,PerHeadcount[company_name],$B1211)*N266)</f>
        <v>0</v>
      </c>
      <c r="O1211" s="652">
        <f>IF($B1211="",,SUMIFS(PerHeadcount[Month 4],PerHeadcount[exp_item],$H1211,PerHeadcount[company_name],$B1211)*O266)</f>
        <v>0</v>
      </c>
      <c r="P1211" s="652">
        <f>IF($B1211="",,SUMIFS(PerHeadcount[Month 5],PerHeadcount[exp_item],$H1211,PerHeadcount[company_name],$B1211)*P266)</f>
        <v>0</v>
      </c>
      <c r="Q1211" s="652">
        <f>IF($B1211="",,SUMIFS(PerHeadcount[Month 6],PerHeadcount[exp_item],$H1211,PerHeadcount[company_name],$B1211)*Q266)</f>
        <v>0</v>
      </c>
      <c r="R1211" s="652">
        <f>IF($B1211="",,SUMIFS(PerHeadcount[Month 7],PerHeadcount[exp_item],$H1211,PerHeadcount[company_name],$B1211)*R266)</f>
        <v>0</v>
      </c>
      <c r="S1211" s="652">
        <f>IF($B1211="",,SUMIFS(PerHeadcount[Month 8],PerHeadcount[exp_item],$H1211,PerHeadcount[company_name],$B1211)*S266)</f>
        <v>0</v>
      </c>
      <c r="T1211" s="652">
        <f>IF($B1211="",,SUMIFS(PerHeadcount[Month 9],PerHeadcount[exp_item],$H1211,PerHeadcount[company_name],$B1211)*T266)</f>
        <v>0</v>
      </c>
      <c r="U1211" s="652">
        <f>IF($B1211="",,SUMIFS(PerHeadcount[Month 10],PerHeadcount[exp_item],$H1211,PerHeadcount[company_name],$B1211)*U266)</f>
        <v>0</v>
      </c>
      <c r="V1211" s="652">
        <f>IF($B1211="",,SUMIFS(PerHeadcount[Month 11],PerHeadcount[exp_item],$H1211,PerHeadcount[company_name],$B1211)*V266)</f>
        <v>0</v>
      </c>
      <c r="W1211" s="652">
        <f>IF($B1211="",,SUMIFS(PerHeadcount[Month 12],PerHeadcount[exp_item],$H1211,PerHeadcount[company_name],$B1211)*W266)</f>
        <v>0</v>
      </c>
      <c r="X1211" s="652">
        <f>IF($B1211="",,SUMIFS(PerHeadcount[Month 13],PerHeadcount[exp_item],$H1211,PerHeadcount[company_name],$B1211)*X266)</f>
        <v>0</v>
      </c>
      <c r="Y1211" s="652">
        <f>IF($B1211="",,SUMIFS(PerHeadcount[Month 14],PerHeadcount[exp_item],$H1211,PerHeadcount[company_name],$B1211)*Y266)</f>
        <v>0</v>
      </c>
      <c r="Z1211" s="652">
        <f>IF($B1211="",,SUMIFS(PerHeadcount[Month 15],PerHeadcount[exp_item],$H1211,PerHeadcount[company_name],$B1211)*Z266)</f>
        <v>0</v>
      </c>
      <c r="AA1211" s="652">
        <f>IF($B1211="",,SUMIFS(PerHeadcount[Month 16],PerHeadcount[exp_item],$H1211,PerHeadcount[company_name],$B1211)*AA266)</f>
        <v>0</v>
      </c>
      <c r="AB1211" s="652">
        <f>IF($B1211="",,SUMIFS(PerHeadcount[Month 17],PerHeadcount[exp_item],$H1211,PerHeadcount[company_name],$B1211)*AB266)</f>
        <v>0</v>
      </c>
      <c r="AC1211" s="652">
        <f>IF($B1211="",,SUMIFS(PerHeadcount[Month 18],PerHeadcount[exp_item],$H1211,PerHeadcount[company_name],$B1211)*AC266)</f>
        <v>0</v>
      </c>
      <c r="AD1211" s="652">
        <f>IF($B1211="",,SUMIFS(PerHeadcount[Month 19],PerHeadcount[exp_item],$H1211,PerHeadcount[company_name],$B1211)*AD266)</f>
        <v>0</v>
      </c>
      <c r="AE1211" s="652">
        <f>IF($B1211="",,SUMIFS(PerHeadcount[Month 20],PerHeadcount[exp_item],$H1211,PerHeadcount[company_name],$B1211)*AE266)</f>
        <v>0</v>
      </c>
      <c r="AF1211" s="652">
        <f>IF($B1211="",,SUMIFS(PerHeadcount[Month 21],PerHeadcount[exp_item],$H1211,PerHeadcount[company_name],$B1211)*AF266)</f>
        <v>0</v>
      </c>
      <c r="AG1211" s="652">
        <f>IF($B1211="",,SUMIFS(PerHeadcount[Month 22],PerHeadcount[exp_item],$H1211,PerHeadcount[company_name],$B1211)*AG266)</f>
        <v>0</v>
      </c>
      <c r="AH1211" s="652">
        <f>IF($B1211="",,SUMIFS(PerHeadcount[Month 23],PerHeadcount[exp_item],$H1211,PerHeadcount[company_name],$B1211)*AH266)</f>
        <v>0</v>
      </c>
      <c r="AI1211" s="652">
        <f>IF($B1211="",,SUMIFS(PerHeadcount[Month 24],PerHeadcount[exp_item],$H1211,PerHeadcount[company_name],$B1211)*AI266)</f>
        <v>0</v>
      </c>
      <c r="AJ1211" s="652">
        <f>IF($B1211="",,SUMIFS(PerHeadcount[Month 25],PerHeadcount[exp_item],$H1211,PerHeadcount[company_name],$B1211)*AJ266)</f>
        <v>0</v>
      </c>
      <c r="AK1211" s="652">
        <f>IF($B1211="",,SUMIFS(PerHeadcount[Month 26],PerHeadcount[exp_item],$H1211,PerHeadcount[company_name],$B1211)*AK266)</f>
        <v>0</v>
      </c>
      <c r="AL1211" s="652">
        <f>IF($B1211="",,SUMIFS(PerHeadcount[Month 27],PerHeadcount[exp_item],$H1211,PerHeadcount[company_name],$B1211)*AL266)</f>
        <v>0</v>
      </c>
      <c r="AM1211" s="652">
        <f>IF($B1211="",,SUMIFS(PerHeadcount[Month 28],PerHeadcount[exp_item],$H1211,PerHeadcount[company_name],$B1211)*AM266)</f>
        <v>0</v>
      </c>
      <c r="AN1211" s="652">
        <f>IF($B1211="",,SUMIFS(PerHeadcount[Month 29],PerHeadcount[exp_item],$H1211,PerHeadcount[company_name],$B1211)*AN266)</f>
        <v>0</v>
      </c>
      <c r="AO1211" s="652">
        <f>IF($B1211="",,SUMIFS(PerHeadcount[Month 30],PerHeadcount[exp_item],$H1211,PerHeadcount[company_name],$B1211)*AO266)</f>
        <v>0</v>
      </c>
      <c r="AP1211" s="652">
        <f>IF($B1211="",,SUMIFS(PerHeadcount[Month 31],PerHeadcount[exp_item],$H1211,PerHeadcount[company_name],$B1211)*AP266)</f>
        <v>0</v>
      </c>
      <c r="AQ1211" s="652">
        <f>IF($B1211="",,SUMIFS(PerHeadcount[Month 32],PerHeadcount[exp_item],$H1211,PerHeadcount[company_name],$B1211)*AQ266)</f>
        <v>0</v>
      </c>
      <c r="AR1211" s="652">
        <f>IF($B1211="",,SUMIFS(PerHeadcount[Month 33],PerHeadcount[exp_item],$H1211,PerHeadcount[company_name],$B1211)*AR266)</f>
        <v>0</v>
      </c>
      <c r="AS1211" s="652">
        <f>IF($B1211="",,SUMIFS(PerHeadcount[Month 34],PerHeadcount[exp_item],$H1211,PerHeadcount[company_name],$B1211)*AS266)</f>
        <v>0</v>
      </c>
      <c r="AT1211" s="652">
        <f>IF($B1211="",,SUMIFS(PerHeadcount[Month 35],PerHeadcount[exp_item],$H1211,PerHeadcount[company_name],$B1211)*AT266)</f>
        <v>0</v>
      </c>
      <c r="AU1211" s="652">
        <f>IF($B1211="",,SUMIFS(PerHeadcount[Month 36],PerHeadcount[exp_item],$H1211,PerHeadcount[company_name],$B1211)*AU266)</f>
        <v>0</v>
      </c>
    </row>
    <row r="1212" spans="2:47" x14ac:dyDescent="0.35">
      <c r="B1212" t="str">
        <f t="shared" si="841"/>
        <v/>
      </c>
      <c r="C1212" t="str">
        <f t="shared" ref="C1212:G1212" si="859">IF(C1107="","",C1107)</f>
        <v/>
      </c>
      <c r="D1212" t="str">
        <f t="shared" si="859"/>
        <v/>
      </c>
      <c r="E1212" t="str">
        <f t="shared" si="859"/>
        <v/>
      </c>
      <c r="F1212" t="str">
        <f t="shared" si="859"/>
        <v/>
      </c>
      <c r="G1212" t="str">
        <f t="shared" si="859"/>
        <v/>
      </c>
      <c r="H1212" t="str">
        <f t="shared" si="840"/>
        <v/>
      </c>
      <c r="J1212" t="str">
        <f>IF($H1212="","",IF(VLOOKUP(H1212,ExpItems[],2,0),H1212&amp;" - "&amp;INDEX(DivisionMapping[category_code],MATCH($D1212&amp;$C1212,DivisionMapping[dept_bu],0)),H1212))</f>
        <v/>
      </c>
      <c r="K1212" t="str">
        <f t="shared" si="843"/>
        <v/>
      </c>
      <c r="L1212" s="652">
        <f>IF($B1212="",,SUMIFS(PerHeadcount[Month 1],PerHeadcount[exp_item],$H1212,PerHeadcount[company_name],$B1212)*L267)</f>
        <v>0</v>
      </c>
      <c r="M1212" s="652">
        <f>IF($B1212="",,SUMIFS(PerHeadcount[Month 2],PerHeadcount[exp_item],$H1212,PerHeadcount[company_name],$B1212)*M267)</f>
        <v>0</v>
      </c>
      <c r="N1212" s="652">
        <f>IF($B1212="",,SUMIFS(PerHeadcount[Month 3],PerHeadcount[exp_item],$H1212,PerHeadcount[company_name],$B1212)*N267)</f>
        <v>0</v>
      </c>
      <c r="O1212" s="652">
        <f>IF($B1212="",,SUMIFS(PerHeadcount[Month 4],PerHeadcount[exp_item],$H1212,PerHeadcount[company_name],$B1212)*O267)</f>
        <v>0</v>
      </c>
      <c r="P1212" s="652">
        <f>IF($B1212="",,SUMIFS(PerHeadcount[Month 5],PerHeadcount[exp_item],$H1212,PerHeadcount[company_name],$B1212)*P267)</f>
        <v>0</v>
      </c>
      <c r="Q1212" s="652">
        <f>IF($B1212="",,SUMIFS(PerHeadcount[Month 6],PerHeadcount[exp_item],$H1212,PerHeadcount[company_name],$B1212)*Q267)</f>
        <v>0</v>
      </c>
      <c r="R1212" s="652">
        <f>IF($B1212="",,SUMIFS(PerHeadcount[Month 7],PerHeadcount[exp_item],$H1212,PerHeadcount[company_name],$B1212)*R267)</f>
        <v>0</v>
      </c>
      <c r="S1212" s="652">
        <f>IF($B1212="",,SUMIFS(PerHeadcount[Month 8],PerHeadcount[exp_item],$H1212,PerHeadcount[company_name],$B1212)*S267)</f>
        <v>0</v>
      </c>
      <c r="T1212" s="652">
        <f>IF($B1212="",,SUMIFS(PerHeadcount[Month 9],PerHeadcount[exp_item],$H1212,PerHeadcount[company_name],$B1212)*T267)</f>
        <v>0</v>
      </c>
      <c r="U1212" s="652">
        <f>IF($B1212="",,SUMIFS(PerHeadcount[Month 10],PerHeadcount[exp_item],$H1212,PerHeadcount[company_name],$B1212)*U267)</f>
        <v>0</v>
      </c>
      <c r="V1212" s="652">
        <f>IF($B1212="",,SUMIFS(PerHeadcount[Month 11],PerHeadcount[exp_item],$H1212,PerHeadcount[company_name],$B1212)*V267)</f>
        <v>0</v>
      </c>
      <c r="W1212" s="652">
        <f>IF($B1212="",,SUMIFS(PerHeadcount[Month 12],PerHeadcount[exp_item],$H1212,PerHeadcount[company_name],$B1212)*W267)</f>
        <v>0</v>
      </c>
      <c r="X1212" s="652">
        <f>IF($B1212="",,SUMIFS(PerHeadcount[Month 13],PerHeadcount[exp_item],$H1212,PerHeadcount[company_name],$B1212)*X267)</f>
        <v>0</v>
      </c>
      <c r="Y1212" s="652">
        <f>IF($B1212="",,SUMIFS(PerHeadcount[Month 14],PerHeadcount[exp_item],$H1212,PerHeadcount[company_name],$B1212)*Y267)</f>
        <v>0</v>
      </c>
      <c r="Z1212" s="652">
        <f>IF($B1212="",,SUMIFS(PerHeadcount[Month 15],PerHeadcount[exp_item],$H1212,PerHeadcount[company_name],$B1212)*Z267)</f>
        <v>0</v>
      </c>
      <c r="AA1212" s="652">
        <f>IF($B1212="",,SUMIFS(PerHeadcount[Month 16],PerHeadcount[exp_item],$H1212,PerHeadcount[company_name],$B1212)*AA267)</f>
        <v>0</v>
      </c>
      <c r="AB1212" s="652">
        <f>IF($B1212="",,SUMIFS(PerHeadcount[Month 17],PerHeadcount[exp_item],$H1212,PerHeadcount[company_name],$B1212)*AB267)</f>
        <v>0</v>
      </c>
      <c r="AC1212" s="652">
        <f>IF($B1212="",,SUMIFS(PerHeadcount[Month 18],PerHeadcount[exp_item],$H1212,PerHeadcount[company_name],$B1212)*AC267)</f>
        <v>0</v>
      </c>
      <c r="AD1212" s="652">
        <f>IF($B1212="",,SUMIFS(PerHeadcount[Month 19],PerHeadcount[exp_item],$H1212,PerHeadcount[company_name],$B1212)*AD267)</f>
        <v>0</v>
      </c>
      <c r="AE1212" s="652">
        <f>IF($B1212="",,SUMIFS(PerHeadcount[Month 20],PerHeadcount[exp_item],$H1212,PerHeadcount[company_name],$B1212)*AE267)</f>
        <v>0</v>
      </c>
      <c r="AF1212" s="652">
        <f>IF($B1212="",,SUMIFS(PerHeadcount[Month 21],PerHeadcount[exp_item],$H1212,PerHeadcount[company_name],$B1212)*AF267)</f>
        <v>0</v>
      </c>
      <c r="AG1212" s="652">
        <f>IF($B1212="",,SUMIFS(PerHeadcount[Month 22],PerHeadcount[exp_item],$H1212,PerHeadcount[company_name],$B1212)*AG267)</f>
        <v>0</v>
      </c>
      <c r="AH1212" s="652">
        <f>IF($B1212="",,SUMIFS(PerHeadcount[Month 23],PerHeadcount[exp_item],$H1212,PerHeadcount[company_name],$B1212)*AH267)</f>
        <v>0</v>
      </c>
      <c r="AI1212" s="652">
        <f>IF($B1212="",,SUMIFS(PerHeadcount[Month 24],PerHeadcount[exp_item],$H1212,PerHeadcount[company_name],$B1212)*AI267)</f>
        <v>0</v>
      </c>
      <c r="AJ1212" s="652">
        <f>IF($B1212="",,SUMIFS(PerHeadcount[Month 25],PerHeadcount[exp_item],$H1212,PerHeadcount[company_name],$B1212)*AJ267)</f>
        <v>0</v>
      </c>
      <c r="AK1212" s="652">
        <f>IF($B1212="",,SUMIFS(PerHeadcount[Month 26],PerHeadcount[exp_item],$H1212,PerHeadcount[company_name],$B1212)*AK267)</f>
        <v>0</v>
      </c>
      <c r="AL1212" s="652">
        <f>IF($B1212="",,SUMIFS(PerHeadcount[Month 27],PerHeadcount[exp_item],$H1212,PerHeadcount[company_name],$B1212)*AL267)</f>
        <v>0</v>
      </c>
      <c r="AM1212" s="652">
        <f>IF($B1212="",,SUMIFS(PerHeadcount[Month 28],PerHeadcount[exp_item],$H1212,PerHeadcount[company_name],$B1212)*AM267)</f>
        <v>0</v>
      </c>
      <c r="AN1212" s="652">
        <f>IF($B1212="",,SUMIFS(PerHeadcount[Month 29],PerHeadcount[exp_item],$H1212,PerHeadcount[company_name],$B1212)*AN267)</f>
        <v>0</v>
      </c>
      <c r="AO1212" s="652">
        <f>IF($B1212="",,SUMIFS(PerHeadcount[Month 30],PerHeadcount[exp_item],$H1212,PerHeadcount[company_name],$B1212)*AO267)</f>
        <v>0</v>
      </c>
      <c r="AP1212" s="652">
        <f>IF($B1212="",,SUMIFS(PerHeadcount[Month 31],PerHeadcount[exp_item],$H1212,PerHeadcount[company_name],$B1212)*AP267)</f>
        <v>0</v>
      </c>
      <c r="AQ1212" s="652">
        <f>IF($B1212="",,SUMIFS(PerHeadcount[Month 32],PerHeadcount[exp_item],$H1212,PerHeadcount[company_name],$B1212)*AQ267)</f>
        <v>0</v>
      </c>
      <c r="AR1212" s="652">
        <f>IF($B1212="",,SUMIFS(PerHeadcount[Month 33],PerHeadcount[exp_item],$H1212,PerHeadcount[company_name],$B1212)*AR267)</f>
        <v>0</v>
      </c>
      <c r="AS1212" s="652">
        <f>IF($B1212="",,SUMIFS(PerHeadcount[Month 34],PerHeadcount[exp_item],$H1212,PerHeadcount[company_name],$B1212)*AS267)</f>
        <v>0</v>
      </c>
      <c r="AT1212" s="652">
        <f>IF($B1212="",,SUMIFS(PerHeadcount[Month 35],PerHeadcount[exp_item],$H1212,PerHeadcount[company_name],$B1212)*AT267)</f>
        <v>0</v>
      </c>
      <c r="AU1212" s="652">
        <f>IF($B1212="",,SUMIFS(PerHeadcount[Month 36],PerHeadcount[exp_item],$H1212,PerHeadcount[company_name],$B1212)*AU267)</f>
        <v>0</v>
      </c>
    </row>
    <row r="1213" spans="2:47" x14ac:dyDescent="0.35">
      <c r="B1213" t="str">
        <f t="shared" si="841"/>
        <v/>
      </c>
      <c r="C1213" t="str">
        <f t="shared" ref="C1213:G1213" si="860">IF(C1108="","",C1108)</f>
        <v/>
      </c>
      <c r="D1213" t="str">
        <f t="shared" si="860"/>
        <v/>
      </c>
      <c r="E1213" t="str">
        <f t="shared" si="860"/>
        <v/>
      </c>
      <c r="F1213" t="str">
        <f t="shared" si="860"/>
        <v/>
      </c>
      <c r="G1213" t="str">
        <f t="shared" si="860"/>
        <v/>
      </c>
      <c r="H1213" t="str">
        <f t="shared" si="840"/>
        <v/>
      </c>
      <c r="J1213" t="str">
        <f>IF($H1213="","",IF(VLOOKUP(H1213,ExpItems[],2,0),H1213&amp;" - "&amp;INDEX(DivisionMapping[category_code],MATCH($D1213&amp;$C1213,DivisionMapping[dept_bu],0)),H1213))</f>
        <v/>
      </c>
      <c r="K1213" t="str">
        <f t="shared" si="843"/>
        <v/>
      </c>
      <c r="L1213" s="652">
        <f>IF($B1213="",,SUMIFS(PerHeadcount[Month 1],PerHeadcount[exp_item],$H1213,PerHeadcount[company_name],$B1213)*L268)</f>
        <v>0</v>
      </c>
      <c r="M1213" s="652">
        <f>IF($B1213="",,SUMIFS(PerHeadcount[Month 2],PerHeadcount[exp_item],$H1213,PerHeadcount[company_name],$B1213)*M268)</f>
        <v>0</v>
      </c>
      <c r="N1213" s="652">
        <f>IF($B1213="",,SUMIFS(PerHeadcount[Month 3],PerHeadcount[exp_item],$H1213,PerHeadcount[company_name],$B1213)*N268)</f>
        <v>0</v>
      </c>
      <c r="O1213" s="652">
        <f>IF($B1213="",,SUMIFS(PerHeadcount[Month 4],PerHeadcount[exp_item],$H1213,PerHeadcount[company_name],$B1213)*O268)</f>
        <v>0</v>
      </c>
      <c r="P1213" s="652">
        <f>IF($B1213="",,SUMIFS(PerHeadcount[Month 5],PerHeadcount[exp_item],$H1213,PerHeadcount[company_name],$B1213)*P268)</f>
        <v>0</v>
      </c>
      <c r="Q1213" s="652">
        <f>IF($B1213="",,SUMIFS(PerHeadcount[Month 6],PerHeadcount[exp_item],$H1213,PerHeadcount[company_name],$B1213)*Q268)</f>
        <v>0</v>
      </c>
      <c r="R1213" s="652">
        <f>IF($B1213="",,SUMIFS(PerHeadcount[Month 7],PerHeadcount[exp_item],$H1213,PerHeadcount[company_name],$B1213)*R268)</f>
        <v>0</v>
      </c>
      <c r="S1213" s="652">
        <f>IF($B1213="",,SUMIFS(PerHeadcount[Month 8],PerHeadcount[exp_item],$H1213,PerHeadcount[company_name],$B1213)*S268)</f>
        <v>0</v>
      </c>
      <c r="T1213" s="652">
        <f>IF($B1213="",,SUMIFS(PerHeadcount[Month 9],PerHeadcount[exp_item],$H1213,PerHeadcount[company_name],$B1213)*T268)</f>
        <v>0</v>
      </c>
      <c r="U1213" s="652">
        <f>IF($B1213="",,SUMIFS(PerHeadcount[Month 10],PerHeadcount[exp_item],$H1213,PerHeadcount[company_name],$B1213)*U268)</f>
        <v>0</v>
      </c>
      <c r="V1213" s="652">
        <f>IF($B1213="",,SUMIFS(PerHeadcount[Month 11],PerHeadcount[exp_item],$H1213,PerHeadcount[company_name],$B1213)*V268)</f>
        <v>0</v>
      </c>
      <c r="W1213" s="652">
        <f>IF($B1213="",,SUMIFS(PerHeadcount[Month 12],PerHeadcount[exp_item],$H1213,PerHeadcount[company_name],$B1213)*W268)</f>
        <v>0</v>
      </c>
      <c r="X1213" s="652">
        <f>IF($B1213="",,SUMIFS(PerHeadcount[Month 13],PerHeadcount[exp_item],$H1213,PerHeadcount[company_name],$B1213)*X268)</f>
        <v>0</v>
      </c>
      <c r="Y1213" s="652">
        <f>IF($B1213="",,SUMIFS(PerHeadcount[Month 14],PerHeadcount[exp_item],$H1213,PerHeadcount[company_name],$B1213)*Y268)</f>
        <v>0</v>
      </c>
      <c r="Z1213" s="652">
        <f>IF($B1213="",,SUMIFS(PerHeadcount[Month 15],PerHeadcount[exp_item],$H1213,PerHeadcount[company_name],$B1213)*Z268)</f>
        <v>0</v>
      </c>
      <c r="AA1213" s="652">
        <f>IF($B1213="",,SUMIFS(PerHeadcount[Month 16],PerHeadcount[exp_item],$H1213,PerHeadcount[company_name],$B1213)*AA268)</f>
        <v>0</v>
      </c>
      <c r="AB1213" s="652">
        <f>IF($B1213="",,SUMIFS(PerHeadcount[Month 17],PerHeadcount[exp_item],$H1213,PerHeadcount[company_name],$B1213)*AB268)</f>
        <v>0</v>
      </c>
      <c r="AC1213" s="652">
        <f>IF($B1213="",,SUMIFS(PerHeadcount[Month 18],PerHeadcount[exp_item],$H1213,PerHeadcount[company_name],$B1213)*AC268)</f>
        <v>0</v>
      </c>
      <c r="AD1213" s="652">
        <f>IF($B1213="",,SUMIFS(PerHeadcount[Month 19],PerHeadcount[exp_item],$H1213,PerHeadcount[company_name],$B1213)*AD268)</f>
        <v>0</v>
      </c>
      <c r="AE1213" s="652">
        <f>IF($B1213="",,SUMIFS(PerHeadcount[Month 20],PerHeadcount[exp_item],$H1213,PerHeadcount[company_name],$B1213)*AE268)</f>
        <v>0</v>
      </c>
      <c r="AF1213" s="652">
        <f>IF($B1213="",,SUMIFS(PerHeadcount[Month 21],PerHeadcount[exp_item],$H1213,PerHeadcount[company_name],$B1213)*AF268)</f>
        <v>0</v>
      </c>
      <c r="AG1213" s="652">
        <f>IF($B1213="",,SUMIFS(PerHeadcount[Month 22],PerHeadcount[exp_item],$H1213,PerHeadcount[company_name],$B1213)*AG268)</f>
        <v>0</v>
      </c>
      <c r="AH1213" s="652">
        <f>IF($B1213="",,SUMIFS(PerHeadcount[Month 23],PerHeadcount[exp_item],$H1213,PerHeadcount[company_name],$B1213)*AH268)</f>
        <v>0</v>
      </c>
      <c r="AI1213" s="652">
        <f>IF($B1213="",,SUMIFS(PerHeadcount[Month 24],PerHeadcount[exp_item],$H1213,PerHeadcount[company_name],$B1213)*AI268)</f>
        <v>0</v>
      </c>
      <c r="AJ1213" s="652">
        <f>IF($B1213="",,SUMIFS(PerHeadcount[Month 25],PerHeadcount[exp_item],$H1213,PerHeadcount[company_name],$B1213)*AJ268)</f>
        <v>0</v>
      </c>
      <c r="AK1213" s="652">
        <f>IF($B1213="",,SUMIFS(PerHeadcount[Month 26],PerHeadcount[exp_item],$H1213,PerHeadcount[company_name],$B1213)*AK268)</f>
        <v>0</v>
      </c>
      <c r="AL1213" s="652">
        <f>IF($B1213="",,SUMIFS(PerHeadcount[Month 27],PerHeadcount[exp_item],$H1213,PerHeadcount[company_name],$B1213)*AL268)</f>
        <v>0</v>
      </c>
      <c r="AM1213" s="652">
        <f>IF($B1213="",,SUMIFS(PerHeadcount[Month 28],PerHeadcount[exp_item],$H1213,PerHeadcount[company_name],$B1213)*AM268)</f>
        <v>0</v>
      </c>
      <c r="AN1213" s="652">
        <f>IF($B1213="",,SUMIFS(PerHeadcount[Month 29],PerHeadcount[exp_item],$H1213,PerHeadcount[company_name],$B1213)*AN268)</f>
        <v>0</v>
      </c>
      <c r="AO1213" s="652">
        <f>IF($B1213="",,SUMIFS(PerHeadcount[Month 30],PerHeadcount[exp_item],$H1213,PerHeadcount[company_name],$B1213)*AO268)</f>
        <v>0</v>
      </c>
      <c r="AP1213" s="652">
        <f>IF($B1213="",,SUMIFS(PerHeadcount[Month 31],PerHeadcount[exp_item],$H1213,PerHeadcount[company_name],$B1213)*AP268)</f>
        <v>0</v>
      </c>
      <c r="AQ1213" s="652">
        <f>IF($B1213="",,SUMIFS(PerHeadcount[Month 32],PerHeadcount[exp_item],$H1213,PerHeadcount[company_name],$B1213)*AQ268)</f>
        <v>0</v>
      </c>
      <c r="AR1213" s="652">
        <f>IF($B1213="",,SUMIFS(PerHeadcount[Month 33],PerHeadcount[exp_item],$H1213,PerHeadcount[company_name],$B1213)*AR268)</f>
        <v>0</v>
      </c>
      <c r="AS1213" s="652">
        <f>IF($B1213="",,SUMIFS(PerHeadcount[Month 34],PerHeadcount[exp_item],$H1213,PerHeadcount[company_name],$B1213)*AS268)</f>
        <v>0</v>
      </c>
      <c r="AT1213" s="652">
        <f>IF($B1213="",,SUMIFS(PerHeadcount[Month 35],PerHeadcount[exp_item],$H1213,PerHeadcount[company_name],$B1213)*AT268)</f>
        <v>0</v>
      </c>
      <c r="AU1213" s="652">
        <f>IF($B1213="",,SUMIFS(PerHeadcount[Month 36],PerHeadcount[exp_item],$H1213,PerHeadcount[company_name],$B1213)*AU268)</f>
        <v>0</v>
      </c>
    </row>
    <row r="1214" spans="2:47" x14ac:dyDescent="0.35">
      <c r="B1214" t="str">
        <f t="shared" si="841"/>
        <v/>
      </c>
      <c r="C1214" t="str">
        <f t="shared" ref="C1214:G1214" si="861">IF(C1109="","",C1109)</f>
        <v/>
      </c>
      <c r="D1214" t="str">
        <f t="shared" si="861"/>
        <v/>
      </c>
      <c r="E1214" t="str">
        <f t="shared" si="861"/>
        <v/>
      </c>
      <c r="F1214" t="str">
        <f t="shared" si="861"/>
        <v/>
      </c>
      <c r="G1214" t="str">
        <f t="shared" si="861"/>
        <v/>
      </c>
      <c r="H1214" t="str">
        <f t="shared" si="840"/>
        <v/>
      </c>
      <c r="J1214" t="str">
        <f>IF($H1214="","",IF(VLOOKUP(H1214,ExpItems[],2,0),H1214&amp;" - "&amp;INDEX(DivisionMapping[category_code],MATCH($D1214&amp;$C1214,DivisionMapping[dept_bu],0)),H1214))</f>
        <v/>
      </c>
      <c r="K1214" t="str">
        <f t="shared" si="843"/>
        <v/>
      </c>
      <c r="L1214" s="652">
        <f>IF($B1214="",,SUMIFS(PerHeadcount[Month 1],PerHeadcount[exp_item],$H1214,PerHeadcount[company_name],$B1214)*L269)</f>
        <v>0</v>
      </c>
      <c r="M1214" s="652">
        <f>IF($B1214="",,SUMIFS(PerHeadcount[Month 2],PerHeadcount[exp_item],$H1214,PerHeadcount[company_name],$B1214)*M269)</f>
        <v>0</v>
      </c>
      <c r="N1214" s="652">
        <f>IF($B1214="",,SUMIFS(PerHeadcount[Month 3],PerHeadcount[exp_item],$H1214,PerHeadcount[company_name],$B1214)*N269)</f>
        <v>0</v>
      </c>
      <c r="O1214" s="652">
        <f>IF($B1214="",,SUMIFS(PerHeadcount[Month 4],PerHeadcount[exp_item],$H1214,PerHeadcount[company_name],$B1214)*O269)</f>
        <v>0</v>
      </c>
      <c r="P1214" s="652">
        <f>IF($B1214="",,SUMIFS(PerHeadcount[Month 5],PerHeadcount[exp_item],$H1214,PerHeadcount[company_name],$B1214)*P269)</f>
        <v>0</v>
      </c>
      <c r="Q1214" s="652">
        <f>IF($B1214="",,SUMIFS(PerHeadcount[Month 6],PerHeadcount[exp_item],$H1214,PerHeadcount[company_name],$B1214)*Q269)</f>
        <v>0</v>
      </c>
      <c r="R1214" s="652">
        <f>IF($B1214="",,SUMIFS(PerHeadcount[Month 7],PerHeadcount[exp_item],$H1214,PerHeadcount[company_name],$B1214)*R269)</f>
        <v>0</v>
      </c>
      <c r="S1214" s="652">
        <f>IF($B1214="",,SUMIFS(PerHeadcount[Month 8],PerHeadcount[exp_item],$H1214,PerHeadcount[company_name],$B1214)*S269)</f>
        <v>0</v>
      </c>
      <c r="T1214" s="652">
        <f>IF($B1214="",,SUMIFS(PerHeadcount[Month 9],PerHeadcount[exp_item],$H1214,PerHeadcount[company_name],$B1214)*T269)</f>
        <v>0</v>
      </c>
      <c r="U1214" s="652">
        <f>IF($B1214="",,SUMIFS(PerHeadcount[Month 10],PerHeadcount[exp_item],$H1214,PerHeadcount[company_name],$B1214)*U269)</f>
        <v>0</v>
      </c>
      <c r="V1214" s="652">
        <f>IF($B1214="",,SUMIFS(PerHeadcount[Month 11],PerHeadcount[exp_item],$H1214,PerHeadcount[company_name],$B1214)*V269)</f>
        <v>0</v>
      </c>
      <c r="W1214" s="652">
        <f>IF($B1214="",,SUMIFS(PerHeadcount[Month 12],PerHeadcount[exp_item],$H1214,PerHeadcount[company_name],$B1214)*W269)</f>
        <v>0</v>
      </c>
      <c r="X1214" s="652">
        <f>IF($B1214="",,SUMIFS(PerHeadcount[Month 13],PerHeadcount[exp_item],$H1214,PerHeadcount[company_name],$B1214)*X269)</f>
        <v>0</v>
      </c>
      <c r="Y1214" s="652">
        <f>IF($B1214="",,SUMIFS(PerHeadcount[Month 14],PerHeadcount[exp_item],$H1214,PerHeadcount[company_name],$B1214)*Y269)</f>
        <v>0</v>
      </c>
      <c r="Z1214" s="652">
        <f>IF($B1214="",,SUMIFS(PerHeadcount[Month 15],PerHeadcount[exp_item],$H1214,PerHeadcount[company_name],$B1214)*Z269)</f>
        <v>0</v>
      </c>
      <c r="AA1214" s="652">
        <f>IF($B1214="",,SUMIFS(PerHeadcount[Month 16],PerHeadcount[exp_item],$H1214,PerHeadcount[company_name],$B1214)*AA269)</f>
        <v>0</v>
      </c>
      <c r="AB1214" s="652">
        <f>IF($B1214="",,SUMIFS(PerHeadcount[Month 17],PerHeadcount[exp_item],$H1214,PerHeadcount[company_name],$B1214)*AB269)</f>
        <v>0</v>
      </c>
      <c r="AC1214" s="652">
        <f>IF($B1214="",,SUMIFS(PerHeadcount[Month 18],PerHeadcount[exp_item],$H1214,PerHeadcount[company_name],$B1214)*AC269)</f>
        <v>0</v>
      </c>
      <c r="AD1214" s="652">
        <f>IF($B1214="",,SUMIFS(PerHeadcount[Month 19],PerHeadcount[exp_item],$H1214,PerHeadcount[company_name],$B1214)*AD269)</f>
        <v>0</v>
      </c>
      <c r="AE1214" s="652">
        <f>IF($B1214="",,SUMIFS(PerHeadcount[Month 20],PerHeadcount[exp_item],$H1214,PerHeadcount[company_name],$B1214)*AE269)</f>
        <v>0</v>
      </c>
      <c r="AF1214" s="652">
        <f>IF($B1214="",,SUMIFS(PerHeadcount[Month 21],PerHeadcount[exp_item],$H1214,PerHeadcount[company_name],$B1214)*AF269)</f>
        <v>0</v>
      </c>
      <c r="AG1214" s="652">
        <f>IF($B1214="",,SUMIFS(PerHeadcount[Month 22],PerHeadcount[exp_item],$H1214,PerHeadcount[company_name],$B1214)*AG269)</f>
        <v>0</v>
      </c>
      <c r="AH1214" s="652">
        <f>IF($B1214="",,SUMIFS(PerHeadcount[Month 23],PerHeadcount[exp_item],$H1214,PerHeadcount[company_name],$B1214)*AH269)</f>
        <v>0</v>
      </c>
      <c r="AI1214" s="652">
        <f>IF($B1214="",,SUMIFS(PerHeadcount[Month 24],PerHeadcount[exp_item],$H1214,PerHeadcount[company_name],$B1214)*AI269)</f>
        <v>0</v>
      </c>
      <c r="AJ1214" s="652">
        <f>IF($B1214="",,SUMIFS(PerHeadcount[Month 25],PerHeadcount[exp_item],$H1214,PerHeadcount[company_name],$B1214)*AJ269)</f>
        <v>0</v>
      </c>
      <c r="AK1214" s="652">
        <f>IF($B1214="",,SUMIFS(PerHeadcount[Month 26],PerHeadcount[exp_item],$H1214,PerHeadcount[company_name],$B1214)*AK269)</f>
        <v>0</v>
      </c>
      <c r="AL1214" s="652">
        <f>IF($B1214="",,SUMIFS(PerHeadcount[Month 27],PerHeadcount[exp_item],$H1214,PerHeadcount[company_name],$B1214)*AL269)</f>
        <v>0</v>
      </c>
      <c r="AM1214" s="652">
        <f>IF($B1214="",,SUMIFS(PerHeadcount[Month 28],PerHeadcount[exp_item],$H1214,PerHeadcount[company_name],$B1214)*AM269)</f>
        <v>0</v>
      </c>
      <c r="AN1214" s="652">
        <f>IF($B1214="",,SUMIFS(PerHeadcount[Month 29],PerHeadcount[exp_item],$H1214,PerHeadcount[company_name],$B1214)*AN269)</f>
        <v>0</v>
      </c>
      <c r="AO1214" s="652">
        <f>IF($B1214="",,SUMIFS(PerHeadcount[Month 30],PerHeadcount[exp_item],$H1214,PerHeadcount[company_name],$B1214)*AO269)</f>
        <v>0</v>
      </c>
      <c r="AP1214" s="652">
        <f>IF($B1214="",,SUMIFS(PerHeadcount[Month 31],PerHeadcount[exp_item],$H1214,PerHeadcount[company_name],$B1214)*AP269)</f>
        <v>0</v>
      </c>
      <c r="AQ1214" s="652">
        <f>IF($B1214="",,SUMIFS(PerHeadcount[Month 32],PerHeadcount[exp_item],$H1214,PerHeadcount[company_name],$B1214)*AQ269)</f>
        <v>0</v>
      </c>
      <c r="AR1214" s="652">
        <f>IF($B1214="",,SUMIFS(PerHeadcount[Month 33],PerHeadcount[exp_item],$H1214,PerHeadcount[company_name],$B1214)*AR269)</f>
        <v>0</v>
      </c>
      <c r="AS1214" s="652">
        <f>IF($B1214="",,SUMIFS(PerHeadcount[Month 34],PerHeadcount[exp_item],$H1214,PerHeadcount[company_name],$B1214)*AS269)</f>
        <v>0</v>
      </c>
      <c r="AT1214" s="652">
        <f>IF($B1214="",,SUMIFS(PerHeadcount[Month 35],PerHeadcount[exp_item],$H1214,PerHeadcount[company_name],$B1214)*AT269)</f>
        <v>0</v>
      </c>
      <c r="AU1214" s="652">
        <f>IF($B1214="",,SUMIFS(PerHeadcount[Month 36],PerHeadcount[exp_item],$H1214,PerHeadcount[company_name],$B1214)*AU269)</f>
        <v>0</v>
      </c>
    </row>
    <row r="1215" spans="2:47" x14ac:dyDescent="0.35">
      <c r="B1215" t="str">
        <f t="shared" si="841"/>
        <v/>
      </c>
      <c r="C1215" t="str">
        <f t="shared" ref="C1215:G1215" si="862">IF(C1110="","",C1110)</f>
        <v/>
      </c>
      <c r="D1215" t="str">
        <f t="shared" si="862"/>
        <v/>
      </c>
      <c r="E1215" t="str">
        <f t="shared" si="862"/>
        <v/>
      </c>
      <c r="F1215" t="str">
        <f t="shared" si="862"/>
        <v/>
      </c>
      <c r="G1215" t="str">
        <f t="shared" si="862"/>
        <v/>
      </c>
      <c r="H1215" t="str">
        <f t="shared" si="840"/>
        <v/>
      </c>
      <c r="J1215" t="str">
        <f>IF($H1215="","",IF(VLOOKUP(H1215,ExpItems[],2,0),H1215&amp;" - "&amp;INDEX(DivisionMapping[category_code],MATCH($D1215&amp;$C1215,DivisionMapping[dept_bu],0)),H1215))</f>
        <v/>
      </c>
      <c r="K1215" t="str">
        <f t="shared" si="843"/>
        <v/>
      </c>
      <c r="L1215" s="652">
        <f>IF($B1215="",,SUMIFS(PerHeadcount[Month 1],PerHeadcount[exp_item],$H1215,PerHeadcount[company_name],$B1215)*L270)</f>
        <v>0</v>
      </c>
      <c r="M1215" s="652">
        <f>IF($B1215="",,SUMIFS(PerHeadcount[Month 2],PerHeadcount[exp_item],$H1215,PerHeadcount[company_name],$B1215)*M270)</f>
        <v>0</v>
      </c>
      <c r="N1215" s="652">
        <f>IF($B1215="",,SUMIFS(PerHeadcount[Month 3],PerHeadcount[exp_item],$H1215,PerHeadcount[company_name],$B1215)*N270)</f>
        <v>0</v>
      </c>
      <c r="O1215" s="652">
        <f>IF($B1215="",,SUMIFS(PerHeadcount[Month 4],PerHeadcount[exp_item],$H1215,PerHeadcount[company_name],$B1215)*O270)</f>
        <v>0</v>
      </c>
      <c r="P1215" s="652">
        <f>IF($B1215="",,SUMIFS(PerHeadcount[Month 5],PerHeadcount[exp_item],$H1215,PerHeadcount[company_name],$B1215)*P270)</f>
        <v>0</v>
      </c>
      <c r="Q1215" s="652">
        <f>IF($B1215="",,SUMIFS(PerHeadcount[Month 6],PerHeadcount[exp_item],$H1215,PerHeadcount[company_name],$B1215)*Q270)</f>
        <v>0</v>
      </c>
      <c r="R1215" s="652">
        <f>IF($B1215="",,SUMIFS(PerHeadcount[Month 7],PerHeadcount[exp_item],$H1215,PerHeadcount[company_name],$B1215)*R270)</f>
        <v>0</v>
      </c>
      <c r="S1215" s="652">
        <f>IF($B1215="",,SUMIFS(PerHeadcount[Month 8],PerHeadcount[exp_item],$H1215,PerHeadcount[company_name],$B1215)*S270)</f>
        <v>0</v>
      </c>
      <c r="T1215" s="652">
        <f>IF($B1215="",,SUMIFS(PerHeadcount[Month 9],PerHeadcount[exp_item],$H1215,PerHeadcount[company_name],$B1215)*T270)</f>
        <v>0</v>
      </c>
      <c r="U1215" s="652">
        <f>IF($B1215="",,SUMIFS(PerHeadcount[Month 10],PerHeadcount[exp_item],$H1215,PerHeadcount[company_name],$B1215)*U270)</f>
        <v>0</v>
      </c>
      <c r="V1215" s="652">
        <f>IF($B1215="",,SUMIFS(PerHeadcount[Month 11],PerHeadcount[exp_item],$H1215,PerHeadcount[company_name],$B1215)*V270)</f>
        <v>0</v>
      </c>
      <c r="W1215" s="652">
        <f>IF($B1215="",,SUMIFS(PerHeadcount[Month 12],PerHeadcount[exp_item],$H1215,PerHeadcount[company_name],$B1215)*W270)</f>
        <v>0</v>
      </c>
      <c r="X1215" s="652">
        <f>IF($B1215="",,SUMIFS(PerHeadcount[Month 13],PerHeadcount[exp_item],$H1215,PerHeadcount[company_name],$B1215)*X270)</f>
        <v>0</v>
      </c>
      <c r="Y1215" s="652">
        <f>IF($B1215="",,SUMIFS(PerHeadcount[Month 14],PerHeadcount[exp_item],$H1215,PerHeadcount[company_name],$B1215)*Y270)</f>
        <v>0</v>
      </c>
      <c r="Z1215" s="652">
        <f>IF($B1215="",,SUMIFS(PerHeadcount[Month 15],PerHeadcount[exp_item],$H1215,PerHeadcount[company_name],$B1215)*Z270)</f>
        <v>0</v>
      </c>
      <c r="AA1215" s="652">
        <f>IF($B1215="",,SUMIFS(PerHeadcount[Month 16],PerHeadcount[exp_item],$H1215,PerHeadcount[company_name],$B1215)*AA270)</f>
        <v>0</v>
      </c>
      <c r="AB1215" s="652">
        <f>IF($B1215="",,SUMIFS(PerHeadcount[Month 17],PerHeadcount[exp_item],$H1215,PerHeadcount[company_name],$B1215)*AB270)</f>
        <v>0</v>
      </c>
      <c r="AC1215" s="652">
        <f>IF($B1215="",,SUMIFS(PerHeadcount[Month 18],PerHeadcount[exp_item],$H1215,PerHeadcount[company_name],$B1215)*AC270)</f>
        <v>0</v>
      </c>
      <c r="AD1215" s="652">
        <f>IF($B1215="",,SUMIFS(PerHeadcount[Month 19],PerHeadcount[exp_item],$H1215,PerHeadcount[company_name],$B1215)*AD270)</f>
        <v>0</v>
      </c>
      <c r="AE1215" s="652">
        <f>IF($B1215="",,SUMIFS(PerHeadcount[Month 20],PerHeadcount[exp_item],$H1215,PerHeadcount[company_name],$B1215)*AE270)</f>
        <v>0</v>
      </c>
      <c r="AF1215" s="652">
        <f>IF($B1215="",,SUMIFS(PerHeadcount[Month 21],PerHeadcount[exp_item],$H1215,PerHeadcount[company_name],$B1215)*AF270)</f>
        <v>0</v>
      </c>
      <c r="AG1215" s="652">
        <f>IF($B1215="",,SUMIFS(PerHeadcount[Month 22],PerHeadcount[exp_item],$H1215,PerHeadcount[company_name],$B1215)*AG270)</f>
        <v>0</v>
      </c>
      <c r="AH1215" s="652">
        <f>IF($B1215="",,SUMIFS(PerHeadcount[Month 23],PerHeadcount[exp_item],$H1215,PerHeadcount[company_name],$B1215)*AH270)</f>
        <v>0</v>
      </c>
      <c r="AI1215" s="652">
        <f>IF($B1215="",,SUMIFS(PerHeadcount[Month 24],PerHeadcount[exp_item],$H1215,PerHeadcount[company_name],$B1215)*AI270)</f>
        <v>0</v>
      </c>
      <c r="AJ1215" s="652">
        <f>IF($B1215="",,SUMIFS(PerHeadcount[Month 25],PerHeadcount[exp_item],$H1215,PerHeadcount[company_name],$B1215)*AJ270)</f>
        <v>0</v>
      </c>
      <c r="AK1215" s="652">
        <f>IF($B1215="",,SUMIFS(PerHeadcount[Month 26],PerHeadcount[exp_item],$H1215,PerHeadcount[company_name],$B1215)*AK270)</f>
        <v>0</v>
      </c>
      <c r="AL1215" s="652">
        <f>IF($B1215="",,SUMIFS(PerHeadcount[Month 27],PerHeadcount[exp_item],$H1215,PerHeadcount[company_name],$B1215)*AL270)</f>
        <v>0</v>
      </c>
      <c r="AM1215" s="652">
        <f>IF($B1215="",,SUMIFS(PerHeadcount[Month 28],PerHeadcount[exp_item],$H1215,PerHeadcount[company_name],$B1215)*AM270)</f>
        <v>0</v>
      </c>
      <c r="AN1215" s="652">
        <f>IF($B1215="",,SUMIFS(PerHeadcount[Month 29],PerHeadcount[exp_item],$H1215,PerHeadcount[company_name],$B1215)*AN270)</f>
        <v>0</v>
      </c>
      <c r="AO1215" s="652">
        <f>IF($B1215="",,SUMIFS(PerHeadcount[Month 30],PerHeadcount[exp_item],$H1215,PerHeadcount[company_name],$B1215)*AO270)</f>
        <v>0</v>
      </c>
      <c r="AP1215" s="652">
        <f>IF($B1215="",,SUMIFS(PerHeadcount[Month 31],PerHeadcount[exp_item],$H1215,PerHeadcount[company_name],$B1215)*AP270)</f>
        <v>0</v>
      </c>
      <c r="AQ1215" s="652">
        <f>IF($B1215="",,SUMIFS(PerHeadcount[Month 32],PerHeadcount[exp_item],$H1215,PerHeadcount[company_name],$B1215)*AQ270)</f>
        <v>0</v>
      </c>
      <c r="AR1215" s="652">
        <f>IF($B1215="",,SUMIFS(PerHeadcount[Month 33],PerHeadcount[exp_item],$H1215,PerHeadcount[company_name],$B1215)*AR270)</f>
        <v>0</v>
      </c>
      <c r="AS1215" s="652">
        <f>IF($B1215="",,SUMIFS(PerHeadcount[Month 34],PerHeadcount[exp_item],$H1215,PerHeadcount[company_name],$B1215)*AS270)</f>
        <v>0</v>
      </c>
      <c r="AT1215" s="652">
        <f>IF($B1215="",,SUMIFS(PerHeadcount[Month 35],PerHeadcount[exp_item],$H1215,PerHeadcount[company_name],$B1215)*AT270)</f>
        <v>0</v>
      </c>
      <c r="AU1215" s="652">
        <f>IF($B1215="",,SUMIFS(PerHeadcount[Month 36],PerHeadcount[exp_item],$H1215,PerHeadcount[company_name],$B1215)*AU270)</f>
        <v>0</v>
      </c>
    </row>
    <row r="1216" spans="2:47" x14ac:dyDescent="0.35">
      <c r="B1216" t="str">
        <f t="shared" ref="B1216:G1216" si="863">IF(B1111="","",B1111)</f>
        <v/>
      </c>
      <c r="C1216" t="str">
        <f t="shared" si="863"/>
        <v/>
      </c>
      <c r="D1216" t="str">
        <f t="shared" si="863"/>
        <v/>
      </c>
      <c r="E1216" t="str">
        <f t="shared" si="863"/>
        <v/>
      </c>
      <c r="F1216" t="str">
        <f t="shared" si="863"/>
        <v/>
      </c>
      <c r="G1216" t="str">
        <f t="shared" si="863"/>
        <v/>
      </c>
      <c r="H1216" t="str">
        <f t="shared" si="840"/>
        <v/>
      </c>
      <c r="J1216" t="str">
        <f>IF($H1216="","",IF(VLOOKUP(H1216,ExpItems[],2,0),H1216&amp;" - "&amp;INDEX(DivisionMapping[category_code],MATCH($D1216&amp;$C1216,DivisionMapping[dept_bu],0)),H1216))</f>
        <v/>
      </c>
      <c r="K1216" t="str">
        <f t="shared" si="843"/>
        <v/>
      </c>
      <c r="L1216" s="652">
        <f>IF($B1216="",,SUMIFS(PerHeadcount[Month 1],PerHeadcount[exp_item],$H1216,PerHeadcount[company_name],$B1216)*L271)</f>
        <v>0</v>
      </c>
      <c r="M1216" s="652">
        <f>IF($B1216="",,SUMIFS(PerHeadcount[Month 2],PerHeadcount[exp_item],$H1216,PerHeadcount[company_name],$B1216)*M271)</f>
        <v>0</v>
      </c>
      <c r="N1216" s="652">
        <f>IF($B1216="",,SUMIFS(PerHeadcount[Month 3],PerHeadcount[exp_item],$H1216,PerHeadcount[company_name],$B1216)*N271)</f>
        <v>0</v>
      </c>
      <c r="O1216" s="652">
        <f>IF($B1216="",,SUMIFS(PerHeadcount[Month 4],PerHeadcount[exp_item],$H1216,PerHeadcount[company_name],$B1216)*O271)</f>
        <v>0</v>
      </c>
      <c r="P1216" s="652">
        <f>IF($B1216="",,SUMIFS(PerHeadcount[Month 5],PerHeadcount[exp_item],$H1216,PerHeadcount[company_name],$B1216)*P271)</f>
        <v>0</v>
      </c>
      <c r="Q1216" s="652">
        <f>IF($B1216="",,SUMIFS(PerHeadcount[Month 6],PerHeadcount[exp_item],$H1216,PerHeadcount[company_name],$B1216)*Q271)</f>
        <v>0</v>
      </c>
      <c r="R1216" s="652">
        <f>IF($B1216="",,SUMIFS(PerHeadcount[Month 7],PerHeadcount[exp_item],$H1216,PerHeadcount[company_name],$B1216)*R271)</f>
        <v>0</v>
      </c>
      <c r="S1216" s="652">
        <f>IF($B1216="",,SUMIFS(PerHeadcount[Month 8],PerHeadcount[exp_item],$H1216,PerHeadcount[company_name],$B1216)*S271)</f>
        <v>0</v>
      </c>
      <c r="T1216" s="652">
        <f>IF($B1216="",,SUMIFS(PerHeadcount[Month 9],PerHeadcount[exp_item],$H1216,PerHeadcount[company_name],$B1216)*T271)</f>
        <v>0</v>
      </c>
      <c r="U1216" s="652">
        <f>IF($B1216="",,SUMIFS(PerHeadcount[Month 10],PerHeadcount[exp_item],$H1216,PerHeadcount[company_name],$B1216)*U271)</f>
        <v>0</v>
      </c>
      <c r="V1216" s="652">
        <f>IF($B1216="",,SUMIFS(PerHeadcount[Month 11],PerHeadcount[exp_item],$H1216,PerHeadcount[company_name],$B1216)*V271)</f>
        <v>0</v>
      </c>
      <c r="W1216" s="652">
        <f>IF($B1216="",,SUMIFS(PerHeadcount[Month 12],PerHeadcount[exp_item],$H1216,PerHeadcount[company_name],$B1216)*W271)</f>
        <v>0</v>
      </c>
      <c r="X1216" s="652">
        <f>IF($B1216="",,SUMIFS(PerHeadcount[Month 13],PerHeadcount[exp_item],$H1216,PerHeadcount[company_name],$B1216)*X271)</f>
        <v>0</v>
      </c>
      <c r="Y1216" s="652">
        <f>IF($B1216="",,SUMIFS(PerHeadcount[Month 14],PerHeadcount[exp_item],$H1216,PerHeadcount[company_name],$B1216)*Y271)</f>
        <v>0</v>
      </c>
      <c r="Z1216" s="652">
        <f>IF($B1216="",,SUMIFS(PerHeadcount[Month 15],PerHeadcount[exp_item],$H1216,PerHeadcount[company_name],$B1216)*Z271)</f>
        <v>0</v>
      </c>
      <c r="AA1216" s="652">
        <f>IF($B1216="",,SUMIFS(PerHeadcount[Month 16],PerHeadcount[exp_item],$H1216,PerHeadcount[company_name],$B1216)*AA271)</f>
        <v>0</v>
      </c>
      <c r="AB1216" s="652">
        <f>IF($B1216="",,SUMIFS(PerHeadcount[Month 17],PerHeadcount[exp_item],$H1216,PerHeadcount[company_name],$B1216)*AB271)</f>
        <v>0</v>
      </c>
      <c r="AC1216" s="652">
        <f>IF($B1216="",,SUMIFS(PerHeadcount[Month 18],PerHeadcount[exp_item],$H1216,PerHeadcount[company_name],$B1216)*AC271)</f>
        <v>0</v>
      </c>
      <c r="AD1216" s="652">
        <f>IF($B1216="",,SUMIFS(PerHeadcount[Month 19],PerHeadcount[exp_item],$H1216,PerHeadcount[company_name],$B1216)*AD271)</f>
        <v>0</v>
      </c>
      <c r="AE1216" s="652">
        <f>IF($B1216="",,SUMIFS(PerHeadcount[Month 20],PerHeadcount[exp_item],$H1216,PerHeadcount[company_name],$B1216)*AE271)</f>
        <v>0</v>
      </c>
      <c r="AF1216" s="652">
        <f>IF($B1216="",,SUMIFS(PerHeadcount[Month 21],PerHeadcount[exp_item],$H1216,PerHeadcount[company_name],$B1216)*AF271)</f>
        <v>0</v>
      </c>
      <c r="AG1216" s="652">
        <f>IF($B1216="",,SUMIFS(PerHeadcount[Month 22],PerHeadcount[exp_item],$H1216,PerHeadcount[company_name],$B1216)*AG271)</f>
        <v>0</v>
      </c>
      <c r="AH1216" s="652">
        <f>IF($B1216="",,SUMIFS(PerHeadcount[Month 23],PerHeadcount[exp_item],$H1216,PerHeadcount[company_name],$B1216)*AH271)</f>
        <v>0</v>
      </c>
      <c r="AI1216" s="652">
        <f>IF($B1216="",,SUMIFS(PerHeadcount[Month 24],PerHeadcount[exp_item],$H1216,PerHeadcount[company_name],$B1216)*AI271)</f>
        <v>0</v>
      </c>
      <c r="AJ1216" s="652">
        <f>IF($B1216="",,SUMIFS(PerHeadcount[Month 25],PerHeadcount[exp_item],$H1216,PerHeadcount[company_name],$B1216)*AJ271)</f>
        <v>0</v>
      </c>
      <c r="AK1216" s="652">
        <f>IF($B1216="",,SUMIFS(PerHeadcount[Month 26],PerHeadcount[exp_item],$H1216,PerHeadcount[company_name],$B1216)*AK271)</f>
        <v>0</v>
      </c>
      <c r="AL1216" s="652">
        <f>IF($B1216="",,SUMIFS(PerHeadcount[Month 27],PerHeadcount[exp_item],$H1216,PerHeadcount[company_name],$B1216)*AL271)</f>
        <v>0</v>
      </c>
      <c r="AM1216" s="652">
        <f>IF($B1216="",,SUMIFS(PerHeadcount[Month 28],PerHeadcount[exp_item],$H1216,PerHeadcount[company_name],$B1216)*AM271)</f>
        <v>0</v>
      </c>
      <c r="AN1216" s="652">
        <f>IF($B1216="",,SUMIFS(PerHeadcount[Month 29],PerHeadcount[exp_item],$H1216,PerHeadcount[company_name],$B1216)*AN271)</f>
        <v>0</v>
      </c>
      <c r="AO1216" s="652">
        <f>IF($B1216="",,SUMIFS(PerHeadcount[Month 30],PerHeadcount[exp_item],$H1216,PerHeadcount[company_name],$B1216)*AO271)</f>
        <v>0</v>
      </c>
      <c r="AP1216" s="652">
        <f>IF($B1216="",,SUMIFS(PerHeadcount[Month 31],PerHeadcount[exp_item],$H1216,PerHeadcount[company_name],$B1216)*AP271)</f>
        <v>0</v>
      </c>
      <c r="AQ1216" s="652">
        <f>IF($B1216="",,SUMIFS(PerHeadcount[Month 32],PerHeadcount[exp_item],$H1216,PerHeadcount[company_name],$B1216)*AQ271)</f>
        <v>0</v>
      </c>
      <c r="AR1216" s="652">
        <f>IF($B1216="",,SUMIFS(PerHeadcount[Month 33],PerHeadcount[exp_item],$H1216,PerHeadcount[company_name],$B1216)*AR271)</f>
        <v>0</v>
      </c>
      <c r="AS1216" s="652">
        <f>IF($B1216="",,SUMIFS(PerHeadcount[Month 34],PerHeadcount[exp_item],$H1216,PerHeadcount[company_name],$B1216)*AS271)</f>
        <v>0</v>
      </c>
      <c r="AT1216" s="652">
        <f>IF($B1216="",,SUMIFS(PerHeadcount[Month 35],PerHeadcount[exp_item],$H1216,PerHeadcount[company_name],$B1216)*AT271)</f>
        <v>0</v>
      </c>
      <c r="AU1216" s="652">
        <f>IF($B1216="",,SUMIFS(PerHeadcount[Month 36],PerHeadcount[exp_item],$H1216,PerHeadcount[company_name],$B1216)*AU271)</f>
        <v>0</v>
      </c>
    </row>
    <row r="1217" spans="2:47" x14ac:dyDescent="0.35">
      <c r="B1217" t="str">
        <f t="shared" ref="B1217:G1217" si="864">IF(B1112="","",B1112)</f>
        <v/>
      </c>
      <c r="C1217" t="str">
        <f t="shared" si="864"/>
        <v/>
      </c>
      <c r="D1217" t="str">
        <f t="shared" si="864"/>
        <v/>
      </c>
      <c r="E1217" t="str">
        <f t="shared" si="864"/>
        <v/>
      </c>
      <c r="F1217" t="str">
        <f t="shared" si="864"/>
        <v/>
      </c>
      <c r="G1217" t="str">
        <f t="shared" si="864"/>
        <v/>
      </c>
      <c r="H1217" t="str">
        <f t="shared" si="840"/>
        <v/>
      </c>
      <c r="J1217" t="str">
        <f>IF($H1217="","",IF(VLOOKUP(H1217,ExpItems[],2,0),H1217&amp;" - "&amp;INDEX(DivisionMapping[category_code],MATCH($D1217&amp;$C1217,DivisionMapping[dept_bu],0)),H1217))</f>
        <v/>
      </c>
      <c r="K1217" t="str">
        <f t="shared" si="843"/>
        <v/>
      </c>
      <c r="L1217" s="652">
        <f>IF($B1217="",,SUMIFS(PerHeadcount[Month 1],PerHeadcount[exp_item],$H1217,PerHeadcount[company_name],$B1217)*L272)</f>
        <v>0</v>
      </c>
      <c r="M1217" s="652">
        <f>IF($B1217="",,SUMIFS(PerHeadcount[Month 2],PerHeadcount[exp_item],$H1217,PerHeadcount[company_name],$B1217)*M272)</f>
        <v>0</v>
      </c>
      <c r="N1217" s="652">
        <f>IF($B1217="",,SUMIFS(PerHeadcount[Month 3],PerHeadcount[exp_item],$H1217,PerHeadcount[company_name],$B1217)*N272)</f>
        <v>0</v>
      </c>
      <c r="O1217" s="652">
        <f>IF($B1217="",,SUMIFS(PerHeadcount[Month 4],PerHeadcount[exp_item],$H1217,PerHeadcount[company_name],$B1217)*O272)</f>
        <v>0</v>
      </c>
      <c r="P1217" s="652">
        <f>IF($B1217="",,SUMIFS(PerHeadcount[Month 5],PerHeadcount[exp_item],$H1217,PerHeadcount[company_name],$B1217)*P272)</f>
        <v>0</v>
      </c>
      <c r="Q1217" s="652">
        <f>IF($B1217="",,SUMIFS(PerHeadcount[Month 6],PerHeadcount[exp_item],$H1217,PerHeadcount[company_name],$B1217)*Q272)</f>
        <v>0</v>
      </c>
      <c r="R1217" s="652">
        <f>IF($B1217="",,SUMIFS(PerHeadcount[Month 7],PerHeadcount[exp_item],$H1217,PerHeadcount[company_name],$B1217)*R272)</f>
        <v>0</v>
      </c>
      <c r="S1217" s="652">
        <f>IF($B1217="",,SUMIFS(PerHeadcount[Month 8],PerHeadcount[exp_item],$H1217,PerHeadcount[company_name],$B1217)*S272)</f>
        <v>0</v>
      </c>
      <c r="T1217" s="652">
        <f>IF($B1217="",,SUMIFS(PerHeadcount[Month 9],PerHeadcount[exp_item],$H1217,PerHeadcount[company_name],$B1217)*T272)</f>
        <v>0</v>
      </c>
      <c r="U1217" s="652">
        <f>IF($B1217="",,SUMIFS(PerHeadcount[Month 10],PerHeadcount[exp_item],$H1217,PerHeadcount[company_name],$B1217)*U272)</f>
        <v>0</v>
      </c>
      <c r="V1217" s="652">
        <f>IF($B1217="",,SUMIFS(PerHeadcount[Month 11],PerHeadcount[exp_item],$H1217,PerHeadcount[company_name],$B1217)*V272)</f>
        <v>0</v>
      </c>
      <c r="W1217" s="652">
        <f>IF($B1217="",,SUMIFS(PerHeadcount[Month 12],PerHeadcount[exp_item],$H1217,PerHeadcount[company_name],$B1217)*W272)</f>
        <v>0</v>
      </c>
      <c r="X1217" s="652">
        <f>IF($B1217="",,SUMIFS(PerHeadcount[Month 13],PerHeadcount[exp_item],$H1217,PerHeadcount[company_name],$B1217)*X272)</f>
        <v>0</v>
      </c>
      <c r="Y1217" s="652">
        <f>IF($B1217="",,SUMIFS(PerHeadcount[Month 14],PerHeadcount[exp_item],$H1217,PerHeadcount[company_name],$B1217)*Y272)</f>
        <v>0</v>
      </c>
      <c r="Z1217" s="652">
        <f>IF($B1217="",,SUMIFS(PerHeadcount[Month 15],PerHeadcount[exp_item],$H1217,PerHeadcount[company_name],$B1217)*Z272)</f>
        <v>0</v>
      </c>
      <c r="AA1217" s="652">
        <f>IF($B1217="",,SUMIFS(PerHeadcount[Month 16],PerHeadcount[exp_item],$H1217,PerHeadcount[company_name],$B1217)*AA272)</f>
        <v>0</v>
      </c>
      <c r="AB1217" s="652">
        <f>IF($B1217="",,SUMIFS(PerHeadcount[Month 17],PerHeadcount[exp_item],$H1217,PerHeadcount[company_name],$B1217)*AB272)</f>
        <v>0</v>
      </c>
      <c r="AC1217" s="652">
        <f>IF($B1217="",,SUMIFS(PerHeadcount[Month 18],PerHeadcount[exp_item],$H1217,PerHeadcount[company_name],$B1217)*AC272)</f>
        <v>0</v>
      </c>
      <c r="AD1217" s="652">
        <f>IF($B1217="",,SUMIFS(PerHeadcount[Month 19],PerHeadcount[exp_item],$H1217,PerHeadcount[company_name],$B1217)*AD272)</f>
        <v>0</v>
      </c>
      <c r="AE1217" s="652">
        <f>IF($B1217="",,SUMIFS(PerHeadcount[Month 20],PerHeadcount[exp_item],$H1217,PerHeadcount[company_name],$B1217)*AE272)</f>
        <v>0</v>
      </c>
      <c r="AF1217" s="652">
        <f>IF($B1217="",,SUMIFS(PerHeadcount[Month 21],PerHeadcount[exp_item],$H1217,PerHeadcount[company_name],$B1217)*AF272)</f>
        <v>0</v>
      </c>
      <c r="AG1217" s="652">
        <f>IF($B1217="",,SUMIFS(PerHeadcount[Month 22],PerHeadcount[exp_item],$H1217,PerHeadcount[company_name],$B1217)*AG272)</f>
        <v>0</v>
      </c>
      <c r="AH1217" s="652">
        <f>IF($B1217="",,SUMIFS(PerHeadcount[Month 23],PerHeadcount[exp_item],$H1217,PerHeadcount[company_name],$B1217)*AH272)</f>
        <v>0</v>
      </c>
      <c r="AI1217" s="652">
        <f>IF($B1217="",,SUMIFS(PerHeadcount[Month 24],PerHeadcount[exp_item],$H1217,PerHeadcount[company_name],$B1217)*AI272)</f>
        <v>0</v>
      </c>
      <c r="AJ1217" s="652">
        <f>IF($B1217="",,SUMIFS(PerHeadcount[Month 25],PerHeadcount[exp_item],$H1217,PerHeadcount[company_name],$B1217)*AJ272)</f>
        <v>0</v>
      </c>
      <c r="AK1217" s="652">
        <f>IF($B1217="",,SUMIFS(PerHeadcount[Month 26],PerHeadcount[exp_item],$H1217,PerHeadcount[company_name],$B1217)*AK272)</f>
        <v>0</v>
      </c>
      <c r="AL1217" s="652">
        <f>IF($B1217="",,SUMIFS(PerHeadcount[Month 27],PerHeadcount[exp_item],$H1217,PerHeadcount[company_name],$B1217)*AL272)</f>
        <v>0</v>
      </c>
      <c r="AM1217" s="652">
        <f>IF($B1217="",,SUMIFS(PerHeadcount[Month 28],PerHeadcount[exp_item],$H1217,PerHeadcount[company_name],$B1217)*AM272)</f>
        <v>0</v>
      </c>
      <c r="AN1217" s="652">
        <f>IF($B1217="",,SUMIFS(PerHeadcount[Month 29],PerHeadcount[exp_item],$H1217,PerHeadcount[company_name],$B1217)*AN272)</f>
        <v>0</v>
      </c>
      <c r="AO1217" s="652">
        <f>IF($B1217="",,SUMIFS(PerHeadcount[Month 30],PerHeadcount[exp_item],$H1217,PerHeadcount[company_name],$B1217)*AO272)</f>
        <v>0</v>
      </c>
      <c r="AP1217" s="652">
        <f>IF($B1217="",,SUMIFS(PerHeadcount[Month 31],PerHeadcount[exp_item],$H1217,PerHeadcount[company_name],$B1217)*AP272)</f>
        <v>0</v>
      </c>
      <c r="AQ1217" s="652">
        <f>IF($B1217="",,SUMIFS(PerHeadcount[Month 32],PerHeadcount[exp_item],$H1217,PerHeadcount[company_name],$B1217)*AQ272)</f>
        <v>0</v>
      </c>
      <c r="AR1217" s="652">
        <f>IF($B1217="",,SUMIFS(PerHeadcount[Month 33],PerHeadcount[exp_item],$H1217,PerHeadcount[company_name],$B1217)*AR272)</f>
        <v>0</v>
      </c>
      <c r="AS1217" s="652">
        <f>IF($B1217="",,SUMIFS(PerHeadcount[Month 34],PerHeadcount[exp_item],$H1217,PerHeadcount[company_name],$B1217)*AS272)</f>
        <v>0</v>
      </c>
      <c r="AT1217" s="652">
        <f>IF($B1217="",,SUMIFS(PerHeadcount[Month 35],PerHeadcount[exp_item],$H1217,PerHeadcount[company_name],$B1217)*AT272)</f>
        <v>0</v>
      </c>
      <c r="AU1217" s="652">
        <f>IF($B1217="",,SUMIFS(PerHeadcount[Month 36],PerHeadcount[exp_item],$H1217,PerHeadcount[company_name],$B1217)*AU272)</f>
        <v>0</v>
      </c>
    </row>
    <row r="1218" spans="2:47" x14ac:dyDescent="0.35">
      <c r="B1218" t="str">
        <f t="shared" ref="B1218:G1218" si="865">IF(B1113="","",B1113)</f>
        <v/>
      </c>
      <c r="C1218" t="str">
        <f t="shared" si="865"/>
        <v/>
      </c>
      <c r="D1218" t="str">
        <f t="shared" si="865"/>
        <v/>
      </c>
      <c r="E1218" t="str">
        <f t="shared" si="865"/>
        <v/>
      </c>
      <c r="F1218" t="str">
        <f t="shared" si="865"/>
        <v/>
      </c>
      <c r="G1218" t="str">
        <f t="shared" si="865"/>
        <v/>
      </c>
      <c r="H1218" t="str">
        <f t="shared" si="840"/>
        <v/>
      </c>
      <c r="J1218" t="str">
        <f>IF($H1218="","",IF(VLOOKUP(H1218,ExpItems[],2,0),H1218&amp;" - "&amp;INDEX(DivisionMapping[category_code],MATCH($D1218&amp;$C1218,DivisionMapping[dept_bu],0)),H1218))</f>
        <v/>
      </c>
      <c r="K1218" t="str">
        <f t="shared" si="843"/>
        <v/>
      </c>
      <c r="L1218" s="652">
        <f>IF($B1218="",,SUMIFS(PerHeadcount[Month 1],PerHeadcount[exp_item],$H1218,PerHeadcount[company_name],$B1218)*L273)</f>
        <v>0</v>
      </c>
      <c r="M1218" s="652">
        <f>IF($B1218="",,SUMIFS(PerHeadcount[Month 2],PerHeadcount[exp_item],$H1218,PerHeadcount[company_name],$B1218)*M273)</f>
        <v>0</v>
      </c>
      <c r="N1218" s="652">
        <f>IF($B1218="",,SUMIFS(PerHeadcount[Month 3],PerHeadcount[exp_item],$H1218,PerHeadcount[company_name],$B1218)*N273)</f>
        <v>0</v>
      </c>
      <c r="O1218" s="652">
        <f>IF($B1218="",,SUMIFS(PerHeadcount[Month 4],PerHeadcount[exp_item],$H1218,PerHeadcount[company_name],$B1218)*O273)</f>
        <v>0</v>
      </c>
      <c r="P1218" s="652">
        <f>IF($B1218="",,SUMIFS(PerHeadcount[Month 5],PerHeadcount[exp_item],$H1218,PerHeadcount[company_name],$B1218)*P273)</f>
        <v>0</v>
      </c>
      <c r="Q1218" s="652">
        <f>IF($B1218="",,SUMIFS(PerHeadcount[Month 6],PerHeadcount[exp_item],$H1218,PerHeadcount[company_name],$B1218)*Q273)</f>
        <v>0</v>
      </c>
      <c r="R1218" s="652">
        <f>IF($B1218="",,SUMIFS(PerHeadcount[Month 7],PerHeadcount[exp_item],$H1218,PerHeadcount[company_name],$B1218)*R273)</f>
        <v>0</v>
      </c>
      <c r="S1218" s="652">
        <f>IF($B1218="",,SUMIFS(PerHeadcount[Month 8],PerHeadcount[exp_item],$H1218,PerHeadcount[company_name],$B1218)*S273)</f>
        <v>0</v>
      </c>
      <c r="T1218" s="652">
        <f>IF($B1218="",,SUMIFS(PerHeadcount[Month 9],PerHeadcount[exp_item],$H1218,PerHeadcount[company_name],$B1218)*T273)</f>
        <v>0</v>
      </c>
      <c r="U1218" s="652">
        <f>IF($B1218="",,SUMIFS(PerHeadcount[Month 10],PerHeadcount[exp_item],$H1218,PerHeadcount[company_name],$B1218)*U273)</f>
        <v>0</v>
      </c>
      <c r="V1218" s="652">
        <f>IF($B1218="",,SUMIFS(PerHeadcount[Month 11],PerHeadcount[exp_item],$H1218,PerHeadcount[company_name],$B1218)*V273)</f>
        <v>0</v>
      </c>
      <c r="W1218" s="652">
        <f>IF($B1218="",,SUMIFS(PerHeadcount[Month 12],PerHeadcount[exp_item],$H1218,PerHeadcount[company_name],$B1218)*W273)</f>
        <v>0</v>
      </c>
      <c r="X1218" s="652">
        <f>IF($B1218="",,SUMIFS(PerHeadcount[Month 13],PerHeadcount[exp_item],$H1218,PerHeadcount[company_name],$B1218)*X273)</f>
        <v>0</v>
      </c>
      <c r="Y1218" s="652">
        <f>IF($B1218="",,SUMIFS(PerHeadcount[Month 14],PerHeadcount[exp_item],$H1218,PerHeadcount[company_name],$B1218)*Y273)</f>
        <v>0</v>
      </c>
      <c r="Z1218" s="652">
        <f>IF($B1218="",,SUMIFS(PerHeadcount[Month 15],PerHeadcount[exp_item],$H1218,PerHeadcount[company_name],$B1218)*Z273)</f>
        <v>0</v>
      </c>
      <c r="AA1218" s="652">
        <f>IF($B1218="",,SUMIFS(PerHeadcount[Month 16],PerHeadcount[exp_item],$H1218,PerHeadcount[company_name],$B1218)*AA273)</f>
        <v>0</v>
      </c>
      <c r="AB1218" s="652">
        <f>IF($B1218="",,SUMIFS(PerHeadcount[Month 17],PerHeadcount[exp_item],$H1218,PerHeadcount[company_name],$B1218)*AB273)</f>
        <v>0</v>
      </c>
      <c r="AC1218" s="652">
        <f>IF($B1218="",,SUMIFS(PerHeadcount[Month 18],PerHeadcount[exp_item],$H1218,PerHeadcount[company_name],$B1218)*AC273)</f>
        <v>0</v>
      </c>
      <c r="AD1218" s="652">
        <f>IF($B1218="",,SUMIFS(PerHeadcount[Month 19],PerHeadcount[exp_item],$H1218,PerHeadcount[company_name],$B1218)*AD273)</f>
        <v>0</v>
      </c>
      <c r="AE1218" s="652">
        <f>IF($B1218="",,SUMIFS(PerHeadcount[Month 20],PerHeadcount[exp_item],$H1218,PerHeadcount[company_name],$B1218)*AE273)</f>
        <v>0</v>
      </c>
      <c r="AF1218" s="652">
        <f>IF($B1218="",,SUMIFS(PerHeadcount[Month 21],PerHeadcount[exp_item],$H1218,PerHeadcount[company_name],$B1218)*AF273)</f>
        <v>0</v>
      </c>
      <c r="AG1218" s="652">
        <f>IF($B1218="",,SUMIFS(PerHeadcount[Month 22],PerHeadcount[exp_item],$H1218,PerHeadcount[company_name],$B1218)*AG273)</f>
        <v>0</v>
      </c>
      <c r="AH1218" s="652">
        <f>IF($B1218="",,SUMIFS(PerHeadcount[Month 23],PerHeadcount[exp_item],$H1218,PerHeadcount[company_name],$B1218)*AH273)</f>
        <v>0</v>
      </c>
      <c r="AI1218" s="652">
        <f>IF($B1218="",,SUMIFS(PerHeadcount[Month 24],PerHeadcount[exp_item],$H1218,PerHeadcount[company_name],$B1218)*AI273)</f>
        <v>0</v>
      </c>
      <c r="AJ1218" s="652">
        <f>IF($B1218="",,SUMIFS(PerHeadcount[Month 25],PerHeadcount[exp_item],$H1218,PerHeadcount[company_name],$B1218)*AJ273)</f>
        <v>0</v>
      </c>
      <c r="AK1218" s="652">
        <f>IF($B1218="",,SUMIFS(PerHeadcount[Month 26],PerHeadcount[exp_item],$H1218,PerHeadcount[company_name],$B1218)*AK273)</f>
        <v>0</v>
      </c>
      <c r="AL1218" s="652">
        <f>IF($B1218="",,SUMIFS(PerHeadcount[Month 27],PerHeadcount[exp_item],$H1218,PerHeadcount[company_name],$B1218)*AL273)</f>
        <v>0</v>
      </c>
      <c r="AM1218" s="652">
        <f>IF($B1218="",,SUMIFS(PerHeadcount[Month 28],PerHeadcount[exp_item],$H1218,PerHeadcount[company_name],$B1218)*AM273)</f>
        <v>0</v>
      </c>
      <c r="AN1218" s="652">
        <f>IF($B1218="",,SUMIFS(PerHeadcount[Month 29],PerHeadcount[exp_item],$H1218,PerHeadcount[company_name],$B1218)*AN273)</f>
        <v>0</v>
      </c>
      <c r="AO1218" s="652">
        <f>IF($B1218="",,SUMIFS(PerHeadcount[Month 30],PerHeadcount[exp_item],$H1218,PerHeadcount[company_name],$B1218)*AO273)</f>
        <v>0</v>
      </c>
      <c r="AP1218" s="652">
        <f>IF($B1218="",,SUMIFS(PerHeadcount[Month 31],PerHeadcount[exp_item],$H1218,PerHeadcount[company_name],$B1218)*AP273)</f>
        <v>0</v>
      </c>
      <c r="AQ1218" s="652">
        <f>IF($B1218="",,SUMIFS(PerHeadcount[Month 32],PerHeadcount[exp_item],$H1218,PerHeadcount[company_name],$B1218)*AQ273)</f>
        <v>0</v>
      </c>
      <c r="AR1218" s="652">
        <f>IF($B1218="",,SUMIFS(PerHeadcount[Month 33],PerHeadcount[exp_item],$H1218,PerHeadcount[company_name],$B1218)*AR273)</f>
        <v>0</v>
      </c>
      <c r="AS1218" s="652">
        <f>IF($B1218="",,SUMIFS(PerHeadcount[Month 34],PerHeadcount[exp_item],$H1218,PerHeadcount[company_name],$B1218)*AS273)</f>
        <v>0</v>
      </c>
      <c r="AT1218" s="652">
        <f>IF($B1218="",,SUMIFS(PerHeadcount[Month 35],PerHeadcount[exp_item],$H1218,PerHeadcount[company_name],$B1218)*AT273)</f>
        <v>0</v>
      </c>
      <c r="AU1218" s="652">
        <f>IF($B1218="",,SUMIFS(PerHeadcount[Month 36],PerHeadcount[exp_item],$H1218,PerHeadcount[company_name],$B1218)*AU273)</f>
        <v>0</v>
      </c>
    </row>
    <row r="1219" spans="2:47" x14ac:dyDescent="0.35">
      <c r="B1219" t="str">
        <f t="shared" ref="B1219:G1219" si="866">IF(B1114="","",B1114)</f>
        <v/>
      </c>
      <c r="C1219" t="str">
        <f t="shared" si="866"/>
        <v/>
      </c>
      <c r="D1219" t="str">
        <f t="shared" si="866"/>
        <v/>
      </c>
      <c r="E1219" t="str">
        <f t="shared" si="866"/>
        <v/>
      </c>
      <c r="F1219" t="str">
        <f t="shared" si="866"/>
        <v/>
      </c>
      <c r="G1219" t="str">
        <f t="shared" si="866"/>
        <v/>
      </c>
      <c r="H1219" t="str">
        <f t="shared" si="840"/>
        <v/>
      </c>
      <c r="J1219" t="str">
        <f>IF($H1219="","",IF(VLOOKUP(H1219,ExpItems[],2,0),H1219&amp;" - "&amp;INDEX(DivisionMapping[category_code],MATCH($D1219&amp;$C1219,DivisionMapping[dept_bu],0)),H1219))</f>
        <v/>
      </c>
      <c r="K1219" t="str">
        <f t="shared" si="843"/>
        <v/>
      </c>
      <c r="L1219" s="652">
        <f>IF($B1219="",,SUMIFS(PerHeadcount[Month 1],PerHeadcount[exp_item],$H1219,PerHeadcount[company_name],$B1219)*L274)</f>
        <v>0</v>
      </c>
      <c r="M1219" s="652">
        <f>IF($B1219="",,SUMIFS(PerHeadcount[Month 2],PerHeadcount[exp_item],$H1219,PerHeadcount[company_name],$B1219)*M274)</f>
        <v>0</v>
      </c>
      <c r="N1219" s="652">
        <f>IF($B1219="",,SUMIFS(PerHeadcount[Month 3],PerHeadcount[exp_item],$H1219,PerHeadcount[company_name],$B1219)*N274)</f>
        <v>0</v>
      </c>
      <c r="O1219" s="652">
        <f>IF($B1219="",,SUMIFS(PerHeadcount[Month 4],PerHeadcount[exp_item],$H1219,PerHeadcount[company_name],$B1219)*O274)</f>
        <v>0</v>
      </c>
      <c r="P1219" s="652">
        <f>IF($B1219="",,SUMIFS(PerHeadcount[Month 5],PerHeadcount[exp_item],$H1219,PerHeadcount[company_name],$B1219)*P274)</f>
        <v>0</v>
      </c>
      <c r="Q1219" s="652">
        <f>IF($B1219="",,SUMIFS(PerHeadcount[Month 6],PerHeadcount[exp_item],$H1219,PerHeadcount[company_name],$B1219)*Q274)</f>
        <v>0</v>
      </c>
      <c r="R1219" s="652">
        <f>IF($B1219="",,SUMIFS(PerHeadcount[Month 7],PerHeadcount[exp_item],$H1219,PerHeadcount[company_name],$B1219)*R274)</f>
        <v>0</v>
      </c>
      <c r="S1219" s="652">
        <f>IF($B1219="",,SUMIFS(PerHeadcount[Month 8],PerHeadcount[exp_item],$H1219,PerHeadcount[company_name],$B1219)*S274)</f>
        <v>0</v>
      </c>
      <c r="T1219" s="652">
        <f>IF($B1219="",,SUMIFS(PerHeadcount[Month 9],PerHeadcount[exp_item],$H1219,PerHeadcount[company_name],$B1219)*T274)</f>
        <v>0</v>
      </c>
      <c r="U1219" s="652">
        <f>IF($B1219="",,SUMIFS(PerHeadcount[Month 10],PerHeadcount[exp_item],$H1219,PerHeadcount[company_name],$B1219)*U274)</f>
        <v>0</v>
      </c>
      <c r="V1219" s="652">
        <f>IF($B1219="",,SUMIFS(PerHeadcount[Month 11],PerHeadcount[exp_item],$H1219,PerHeadcount[company_name],$B1219)*V274)</f>
        <v>0</v>
      </c>
      <c r="W1219" s="652">
        <f>IF($B1219="",,SUMIFS(PerHeadcount[Month 12],PerHeadcount[exp_item],$H1219,PerHeadcount[company_name],$B1219)*W274)</f>
        <v>0</v>
      </c>
      <c r="X1219" s="652">
        <f>IF($B1219="",,SUMIFS(PerHeadcount[Month 13],PerHeadcount[exp_item],$H1219,PerHeadcount[company_name],$B1219)*X274)</f>
        <v>0</v>
      </c>
      <c r="Y1219" s="652">
        <f>IF($B1219="",,SUMIFS(PerHeadcount[Month 14],PerHeadcount[exp_item],$H1219,PerHeadcount[company_name],$B1219)*Y274)</f>
        <v>0</v>
      </c>
      <c r="Z1219" s="652">
        <f>IF($B1219="",,SUMIFS(PerHeadcount[Month 15],PerHeadcount[exp_item],$H1219,PerHeadcount[company_name],$B1219)*Z274)</f>
        <v>0</v>
      </c>
      <c r="AA1219" s="652">
        <f>IF($B1219="",,SUMIFS(PerHeadcount[Month 16],PerHeadcount[exp_item],$H1219,PerHeadcount[company_name],$B1219)*AA274)</f>
        <v>0</v>
      </c>
      <c r="AB1219" s="652">
        <f>IF($B1219="",,SUMIFS(PerHeadcount[Month 17],PerHeadcount[exp_item],$H1219,PerHeadcount[company_name],$B1219)*AB274)</f>
        <v>0</v>
      </c>
      <c r="AC1219" s="652">
        <f>IF($B1219="",,SUMIFS(PerHeadcount[Month 18],PerHeadcount[exp_item],$H1219,PerHeadcount[company_name],$B1219)*AC274)</f>
        <v>0</v>
      </c>
      <c r="AD1219" s="652">
        <f>IF($B1219="",,SUMIFS(PerHeadcount[Month 19],PerHeadcount[exp_item],$H1219,PerHeadcount[company_name],$B1219)*AD274)</f>
        <v>0</v>
      </c>
      <c r="AE1219" s="652">
        <f>IF($B1219="",,SUMIFS(PerHeadcount[Month 20],PerHeadcount[exp_item],$H1219,PerHeadcount[company_name],$B1219)*AE274)</f>
        <v>0</v>
      </c>
      <c r="AF1219" s="652">
        <f>IF($B1219="",,SUMIFS(PerHeadcount[Month 21],PerHeadcount[exp_item],$H1219,PerHeadcount[company_name],$B1219)*AF274)</f>
        <v>0</v>
      </c>
      <c r="AG1219" s="652">
        <f>IF($B1219="",,SUMIFS(PerHeadcount[Month 22],PerHeadcount[exp_item],$H1219,PerHeadcount[company_name],$B1219)*AG274)</f>
        <v>0</v>
      </c>
      <c r="AH1219" s="652">
        <f>IF($B1219="",,SUMIFS(PerHeadcount[Month 23],PerHeadcount[exp_item],$H1219,PerHeadcount[company_name],$B1219)*AH274)</f>
        <v>0</v>
      </c>
      <c r="AI1219" s="652">
        <f>IF($B1219="",,SUMIFS(PerHeadcount[Month 24],PerHeadcount[exp_item],$H1219,PerHeadcount[company_name],$B1219)*AI274)</f>
        <v>0</v>
      </c>
      <c r="AJ1219" s="652">
        <f>IF($B1219="",,SUMIFS(PerHeadcount[Month 25],PerHeadcount[exp_item],$H1219,PerHeadcount[company_name],$B1219)*AJ274)</f>
        <v>0</v>
      </c>
      <c r="AK1219" s="652">
        <f>IF($B1219="",,SUMIFS(PerHeadcount[Month 26],PerHeadcount[exp_item],$H1219,PerHeadcount[company_name],$B1219)*AK274)</f>
        <v>0</v>
      </c>
      <c r="AL1219" s="652">
        <f>IF($B1219="",,SUMIFS(PerHeadcount[Month 27],PerHeadcount[exp_item],$H1219,PerHeadcount[company_name],$B1219)*AL274)</f>
        <v>0</v>
      </c>
      <c r="AM1219" s="652">
        <f>IF($B1219="",,SUMIFS(PerHeadcount[Month 28],PerHeadcount[exp_item],$H1219,PerHeadcount[company_name],$B1219)*AM274)</f>
        <v>0</v>
      </c>
      <c r="AN1219" s="652">
        <f>IF($B1219="",,SUMIFS(PerHeadcount[Month 29],PerHeadcount[exp_item],$H1219,PerHeadcount[company_name],$B1219)*AN274)</f>
        <v>0</v>
      </c>
      <c r="AO1219" s="652">
        <f>IF($B1219="",,SUMIFS(PerHeadcount[Month 30],PerHeadcount[exp_item],$H1219,PerHeadcount[company_name],$B1219)*AO274)</f>
        <v>0</v>
      </c>
      <c r="AP1219" s="652">
        <f>IF($B1219="",,SUMIFS(PerHeadcount[Month 31],PerHeadcount[exp_item],$H1219,PerHeadcount[company_name],$B1219)*AP274)</f>
        <v>0</v>
      </c>
      <c r="AQ1219" s="652">
        <f>IF($B1219="",,SUMIFS(PerHeadcount[Month 32],PerHeadcount[exp_item],$H1219,PerHeadcount[company_name],$B1219)*AQ274)</f>
        <v>0</v>
      </c>
      <c r="AR1219" s="652">
        <f>IF($B1219="",,SUMIFS(PerHeadcount[Month 33],PerHeadcount[exp_item],$H1219,PerHeadcount[company_name],$B1219)*AR274)</f>
        <v>0</v>
      </c>
      <c r="AS1219" s="652">
        <f>IF($B1219="",,SUMIFS(PerHeadcount[Month 34],PerHeadcount[exp_item],$H1219,PerHeadcount[company_name],$B1219)*AS274)</f>
        <v>0</v>
      </c>
      <c r="AT1219" s="652">
        <f>IF($B1219="",,SUMIFS(PerHeadcount[Month 35],PerHeadcount[exp_item],$H1219,PerHeadcount[company_name],$B1219)*AT274)</f>
        <v>0</v>
      </c>
      <c r="AU1219" s="652">
        <f>IF($B1219="",,SUMIFS(PerHeadcount[Month 36],PerHeadcount[exp_item],$H1219,PerHeadcount[company_name],$B1219)*AU274)</f>
        <v>0</v>
      </c>
    </row>
    <row r="1220" spans="2:47" x14ac:dyDescent="0.35">
      <c r="B1220" t="str">
        <f t="shared" ref="B1220:G1220" si="867">IF(B1115="","",B1115)</f>
        <v/>
      </c>
      <c r="C1220" t="str">
        <f t="shared" si="867"/>
        <v/>
      </c>
      <c r="D1220" t="str">
        <f t="shared" si="867"/>
        <v/>
      </c>
      <c r="E1220" t="str">
        <f t="shared" si="867"/>
        <v/>
      </c>
      <c r="F1220" t="str">
        <f t="shared" si="867"/>
        <v/>
      </c>
      <c r="G1220" t="str">
        <f t="shared" si="867"/>
        <v/>
      </c>
      <c r="H1220" t="str">
        <f t="shared" si="840"/>
        <v/>
      </c>
      <c r="J1220" t="str">
        <f>IF($H1220="","",IF(VLOOKUP(H1220,ExpItems[],2,0),H1220&amp;" - "&amp;INDEX(DivisionMapping[category_code],MATCH($D1220&amp;$C1220,DivisionMapping[dept_bu],0)),H1220))</f>
        <v/>
      </c>
      <c r="K1220" t="str">
        <f t="shared" si="843"/>
        <v/>
      </c>
      <c r="L1220" s="652">
        <f>IF($B1220="",,SUMIFS(PerHeadcount[Month 1],PerHeadcount[exp_item],$H1220,PerHeadcount[company_name],$B1220)*L275)</f>
        <v>0</v>
      </c>
      <c r="M1220" s="652">
        <f>IF($B1220="",,SUMIFS(PerHeadcount[Month 2],PerHeadcount[exp_item],$H1220,PerHeadcount[company_name],$B1220)*M275)</f>
        <v>0</v>
      </c>
      <c r="N1220" s="652">
        <f>IF($B1220="",,SUMIFS(PerHeadcount[Month 3],PerHeadcount[exp_item],$H1220,PerHeadcount[company_name],$B1220)*N275)</f>
        <v>0</v>
      </c>
      <c r="O1220" s="652">
        <f>IF($B1220="",,SUMIFS(PerHeadcount[Month 4],PerHeadcount[exp_item],$H1220,PerHeadcount[company_name],$B1220)*O275)</f>
        <v>0</v>
      </c>
      <c r="P1220" s="652">
        <f>IF($B1220="",,SUMIFS(PerHeadcount[Month 5],PerHeadcount[exp_item],$H1220,PerHeadcount[company_name],$B1220)*P275)</f>
        <v>0</v>
      </c>
      <c r="Q1220" s="652">
        <f>IF($B1220="",,SUMIFS(PerHeadcount[Month 6],PerHeadcount[exp_item],$H1220,PerHeadcount[company_name],$B1220)*Q275)</f>
        <v>0</v>
      </c>
      <c r="R1220" s="652">
        <f>IF($B1220="",,SUMIFS(PerHeadcount[Month 7],PerHeadcount[exp_item],$H1220,PerHeadcount[company_name],$B1220)*R275)</f>
        <v>0</v>
      </c>
      <c r="S1220" s="652">
        <f>IF($B1220="",,SUMIFS(PerHeadcount[Month 8],PerHeadcount[exp_item],$H1220,PerHeadcount[company_name],$B1220)*S275)</f>
        <v>0</v>
      </c>
      <c r="T1220" s="652">
        <f>IF($B1220="",,SUMIFS(PerHeadcount[Month 9],PerHeadcount[exp_item],$H1220,PerHeadcount[company_name],$B1220)*T275)</f>
        <v>0</v>
      </c>
      <c r="U1220" s="652">
        <f>IF($B1220="",,SUMIFS(PerHeadcount[Month 10],PerHeadcount[exp_item],$H1220,PerHeadcount[company_name],$B1220)*U275)</f>
        <v>0</v>
      </c>
      <c r="V1220" s="652">
        <f>IF($B1220="",,SUMIFS(PerHeadcount[Month 11],PerHeadcount[exp_item],$H1220,PerHeadcount[company_name],$B1220)*V275)</f>
        <v>0</v>
      </c>
      <c r="W1220" s="652">
        <f>IF($B1220="",,SUMIFS(PerHeadcount[Month 12],PerHeadcount[exp_item],$H1220,PerHeadcount[company_name],$B1220)*W275)</f>
        <v>0</v>
      </c>
      <c r="X1220" s="652">
        <f>IF($B1220="",,SUMIFS(PerHeadcount[Month 13],PerHeadcount[exp_item],$H1220,PerHeadcount[company_name],$B1220)*X275)</f>
        <v>0</v>
      </c>
      <c r="Y1220" s="652">
        <f>IF($B1220="",,SUMIFS(PerHeadcount[Month 14],PerHeadcount[exp_item],$H1220,PerHeadcount[company_name],$B1220)*Y275)</f>
        <v>0</v>
      </c>
      <c r="Z1220" s="652">
        <f>IF($B1220="",,SUMIFS(PerHeadcount[Month 15],PerHeadcount[exp_item],$H1220,PerHeadcount[company_name],$B1220)*Z275)</f>
        <v>0</v>
      </c>
      <c r="AA1220" s="652">
        <f>IF($B1220="",,SUMIFS(PerHeadcount[Month 16],PerHeadcount[exp_item],$H1220,PerHeadcount[company_name],$B1220)*AA275)</f>
        <v>0</v>
      </c>
      <c r="AB1220" s="652">
        <f>IF($B1220="",,SUMIFS(PerHeadcount[Month 17],PerHeadcount[exp_item],$H1220,PerHeadcount[company_name],$B1220)*AB275)</f>
        <v>0</v>
      </c>
      <c r="AC1220" s="652">
        <f>IF($B1220="",,SUMIFS(PerHeadcount[Month 18],PerHeadcount[exp_item],$H1220,PerHeadcount[company_name],$B1220)*AC275)</f>
        <v>0</v>
      </c>
      <c r="AD1220" s="652">
        <f>IF($B1220="",,SUMIFS(PerHeadcount[Month 19],PerHeadcount[exp_item],$H1220,PerHeadcount[company_name],$B1220)*AD275)</f>
        <v>0</v>
      </c>
      <c r="AE1220" s="652">
        <f>IF($B1220="",,SUMIFS(PerHeadcount[Month 20],PerHeadcount[exp_item],$H1220,PerHeadcount[company_name],$B1220)*AE275)</f>
        <v>0</v>
      </c>
      <c r="AF1220" s="652">
        <f>IF($B1220="",,SUMIFS(PerHeadcount[Month 21],PerHeadcount[exp_item],$H1220,PerHeadcount[company_name],$B1220)*AF275)</f>
        <v>0</v>
      </c>
      <c r="AG1220" s="652">
        <f>IF($B1220="",,SUMIFS(PerHeadcount[Month 22],PerHeadcount[exp_item],$H1220,PerHeadcount[company_name],$B1220)*AG275)</f>
        <v>0</v>
      </c>
      <c r="AH1220" s="652">
        <f>IF($B1220="",,SUMIFS(PerHeadcount[Month 23],PerHeadcount[exp_item],$H1220,PerHeadcount[company_name],$B1220)*AH275)</f>
        <v>0</v>
      </c>
      <c r="AI1220" s="652">
        <f>IF($B1220="",,SUMIFS(PerHeadcount[Month 24],PerHeadcount[exp_item],$H1220,PerHeadcount[company_name],$B1220)*AI275)</f>
        <v>0</v>
      </c>
      <c r="AJ1220" s="652">
        <f>IF($B1220="",,SUMIFS(PerHeadcount[Month 25],PerHeadcount[exp_item],$H1220,PerHeadcount[company_name],$B1220)*AJ275)</f>
        <v>0</v>
      </c>
      <c r="AK1220" s="652">
        <f>IF($B1220="",,SUMIFS(PerHeadcount[Month 26],PerHeadcount[exp_item],$H1220,PerHeadcount[company_name],$B1220)*AK275)</f>
        <v>0</v>
      </c>
      <c r="AL1220" s="652">
        <f>IF($B1220="",,SUMIFS(PerHeadcount[Month 27],PerHeadcount[exp_item],$H1220,PerHeadcount[company_name],$B1220)*AL275)</f>
        <v>0</v>
      </c>
      <c r="AM1220" s="652">
        <f>IF($B1220="",,SUMIFS(PerHeadcount[Month 28],PerHeadcount[exp_item],$H1220,PerHeadcount[company_name],$B1220)*AM275)</f>
        <v>0</v>
      </c>
      <c r="AN1220" s="652">
        <f>IF($B1220="",,SUMIFS(PerHeadcount[Month 29],PerHeadcount[exp_item],$H1220,PerHeadcount[company_name],$B1220)*AN275)</f>
        <v>0</v>
      </c>
      <c r="AO1220" s="652">
        <f>IF($B1220="",,SUMIFS(PerHeadcount[Month 30],PerHeadcount[exp_item],$H1220,PerHeadcount[company_name],$B1220)*AO275)</f>
        <v>0</v>
      </c>
      <c r="AP1220" s="652">
        <f>IF($B1220="",,SUMIFS(PerHeadcount[Month 31],PerHeadcount[exp_item],$H1220,PerHeadcount[company_name],$B1220)*AP275)</f>
        <v>0</v>
      </c>
      <c r="AQ1220" s="652">
        <f>IF($B1220="",,SUMIFS(PerHeadcount[Month 32],PerHeadcount[exp_item],$H1220,PerHeadcount[company_name],$B1220)*AQ275)</f>
        <v>0</v>
      </c>
      <c r="AR1220" s="652">
        <f>IF($B1220="",,SUMIFS(PerHeadcount[Month 33],PerHeadcount[exp_item],$H1220,PerHeadcount[company_name],$B1220)*AR275)</f>
        <v>0</v>
      </c>
      <c r="AS1220" s="652">
        <f>IF($B1220="",,SUMIFS(PerHeadcount[Month 34],PerHeadcount[exp_item],$H1220,PerHeadcount[company_name],$B1220)*AS275)</f>
        <v>0</v>
      </c>
      <c r="AT1220" s="652">
        <f>IF($B1220="",,SUMIFS(PerHeadcount[Month 35],PerHeadcount[exp_item],$H1220,PerHeadcount[company_name],$B1220)*AT275)</f>
        <v>0</v>
      </c>
      <c r="AU1220" s="652">
        <f>IF($B1220="",,SUMIFS(PerHeadcount[Month 36],PerHeadcount[exp_item],$H1220,PerHeadcount[company_name],$B1220)*AU275)</f>
        <v>0</v>
      </c>
    </row>
    <row r="1221" spans="2:47" x14ac:dyDescent="0.35">
      <c r="B1221" t="str">
        <f t="shared" ref="B1221:G1221" si="868">IF(B1116="","",B1116)</f>
        <v/>
      </c>
      <c r="C1221" t="str">
        <f t="shared" si="868"/>
        <v/>
      </c>
      <c r="D1221" t="str">
        <f t="shared" si="868"/>
        <v/>
      </c>
      <c r="E1221" t="str">
        <f t="shared" si="868"/>
        <v/>
      </c>
      <c r="F1221" t="str">
        <f t="shared" si="868"/>
        <v/>
      </c>
      <c r="G1221" t="str">
        <f t="shared" si="868"/>
        <v/>
      </c>
      <c r="H1221" t="str">
        <f t="shared" si="840"/>
        <v/>
      </c>
      <c r="J1221" t="str">
        <f>IF($H1221="","",IF(VLOOKUP(H1221,ExpItems[],2,0),H1221&amp;" - "&amp;INDEX(DivisionMapping[category_code],MATCH($D1221&amp;$C1221,DivisionMapping[dept_bu],0)),H1221))</f>
        <v/>
      </c>
      <c r="K1221" t="str">
        <f t="shared" si="843"/>
        <v/>
      </c>
      <c r="L1221" s="652">
        <f>IF($B1221="",,SUMIFS(PerHeadcount[Month 1],PerHeadcount[exp_item],$H1221,PerHeadcount[company_name],$B1221)*L276)</f>
        <v>0</v>
      </c>
      <c r="M1221" s="652">
        <f>IF($B1221="",,SUMIFS(PerHeadcount[Month 2],PerHeadcount[exp_item],$H1221,PerHeadcount[company_name],$B1221)*M276)</f>
        <v>0</v>
      </c>
      <c r="N1221" s="652">
        <f>IF($B1221="",,SUMIFS(PerHeadcount[Month 3],PerHeadcount[exp_item],$H1221,PerHeadcount[company_name],$B1221)*N276)</f>
        <v>0</v>
      </c>
      <c r="O1221" s="652">
        <f>IF($B1221="",,SUMIFS(PerHeadcount[Month 4],PerHeadcount[exp_item],$H1221,PerHeadcount[company_name],$B1221)*O276)</f>
        <v>0</v>
      </c>
      <c r="P1221" s="652">
        <f>IF($B1221="",,SUMIFS(PerHeadcount[Month 5],PerHeadcount[exp_item],$H1221,PerHeadcount[company_name],$B1221)*P276)</f>
        <v>0</v>
      </c>
      <c r="Q1221" s="652">
        <f>IF($B1221="",,SUMIFS(PerHeadcount[Month 6],PerHeadcount[exp_item],$H1221,PerHeadcount[company_name],$B1221)*Q276)</f>
        <v>0</v>
      </c>
      <c r="R1221" s="652">
        <f>IF($B1221="",,SUMIFS(PerHeadcount[Month 7],PerHeadcount[exp_item],$H1221,PerHeadcount[company_name],$B1221)*R276)</f>
        <v>0</v>
      </c>
      <c r="S1221" s="652">
        <f>IF($B1221="",,SUMIFS(PerHeadcount[Month 8],PerHeadcount[exp_item],$H1221,PerHeadcount[company_name],$B1221)*S276)</f>
        <v>0</v>
      </c>
      <c r="T1221" s="652">
        <f>IF($B1221="",,SUMIFS(PerHeadcount[Month 9],PerHeadcount[exp_item],$H1221,PerHeadcount[company_name],$B1221)*T276)</f>
        <v>0</v>
      </c>
      <c r="U1221" s="652">
        <f>IF($B1221="",,SUMIFS(PerHeadcount[Month 10],PerHeadcount[exp_item],$H1221,PerHeadcount[company_name],$B1221)*U276)</f>
        <v>0</v>
      </c>
      <c r="V1221" s="652">
        <f>IF($B1221="",,SUMIFS(PerHeadcount[Month 11],PerHeadcount[exp_item],$H1221,PerHeadcount[company_name],$B1221)*V276)</f>
        <v>0</v>
      </c>
      <c r="W1221" s="652">
        <f>IF($B1221="",,SUMIFS(PerHeadcount[Month 12],PerHeadcount[exp_item],$H1221,PerHeadcount[company_name],$B1221)*W276)</f>
        <v>0</v>
      </c>
      <c r="X1221" s="652">
        <f>IF($B1221="",,SUMIFS(PerHeadcount[Month 13],PerHeadcount[exp_item],$H1221,PerHeadcount[company_name],$B1221)*X276)</f>
        <v>0</v>
      </c>
      <c r="Y1221" s="652">
        <f>IF($B1221="",,SUMIFS(PerHeadcount[Month 14],PerHeadcount[exp_item],$H1221,PerHeadcount[company_name],$B1221)*Y276)</f>
        <v>0</v>
      </c>
      <c r="Z1221" s="652">
        <f>IF($B1221="",,SUMIFS(PerHeadcount[Month 15],PerHeadcount[exp_item],$H1221,PerHeadcount[company_name],$B1221)*Z276)</f>
        <v>0</v>
      </c>
      <c r="AA1221" s="652">
        <f>IF($B1221="",,SUMIFS(PerHeadcount[Month 16],PerHeadcount[exp_item],$H1221,PerHeadcount[company_name],$B1221)*AA276)</f>
        <v>0</v>
      </c>
      <c r="AB1221" s="652">
        <f>IF($B1221="",,SUMIFS(PerHeadcount[Month 17],PerHeadcount[exp_item],$H1221,PerHeadcount[company_name],$B1221)*AB276)</f>
        <v>0</v>
      </c>
      <c r="AC1221" s="652">
        <f>IF($B1221="",,SUMIFS(PerHeadcount[Month 18],PerHeadcount[exp_item],$H1221,PerHeadcount[company_name],$B1221)*AC276)</f>
        <v>0</v>
      </c>
      <c r="AD1221" s="652">
        <f>IF($B1221="",,SUMIFS(PerHeadcount[Month 19],PerHeadcount[exp_item],$H1221,PerHeadcount[company_name],$B1221)*AD276)</f>
        <v>0</v>
      </c>
      <c r="AE1221" s="652">
        <f>IF($B1221="",,SUMIFS(PerHeadcount[Month 20],PerHeadcount[exp_item],$H1221,PerHeadcount[company_name],$B1221)*AE276)</f>
        <v>0</v>
      </c>
      <c r="AF1221" s="652">
        <f>IF($B1221="",,SUMIFS(PerHeadcount[Month 21],PerHeadcount[exp_item],$H1221,PerHeadcount[company_name],$B1221)*AF276)</f>
        <v>0</v>
      </c>
      <c r="AG1221" s="652">
        <f>IF($B1221="",,SUMIFS(PerHeadcount[Month 22],PerHeadcount[exp_item],$H1221,PerHeadcount[company_name],$B1221)*AG276)</f>
        <v>0</v>
      </c>
      <c r="AH1221" s="652">
        <f>IF($B1221="",,SUMIFS(PerHeadcount[Month 23],PerHeadcount[exp_item],$H1221,PerHeadcount[company_name],$B1221)*AH276)</f>
        <v>0</v>
      </c>
      <c r="AI1221" s="652">
        <f>IF($B1221="",,SUMIFS(PerHeadcount[Month 24],PerHeadcount[exp_item],$H1221,PerHeadcount[company_name],$B1221)*AI276)</f>
        <v>0</v>
      </c>
      <c r="AJ1221" s="652">
        <f>IF($B1221="",,SUMIFS(PerHeadcount[Month 25],PerHeadcount[exp_item],$H1221,PerHeadcount[company_name],$B1221)*AJ276)</f>
        <v>0</v>
      </c>
      <c r="AK1221" s="652">
        <f>IF($B1221="",,SUMIFS(PerHeadcount[Month 26],PerHeadcount[exp_item],$H1221,PerHeadcount[company_name],$B1221)*AK276)</f>
        <v>0</v>
      </c>
      <c r="AL1221" s="652">
        <f>IF($B1221="",,SUMIFS(PerHeadcount[Month 27],PerHeadcount[exp_item],$H1221,PerHeadcount[company_name],$B1221)*AL276)</f>
        <v>0</v>
      </c>
      <c r="AM1221" s="652">
        <f>IF($B1221="",,SUMIFS(PerHeadcount[Month 28],PerHeadcount[exp_item],$H1221,PerHeadcount[company_name],$B1221)*AM276)</f>
        <v>0</v>
      </c>
      <c r="AN1221" s="652">
        <f>IF($B1221="",,SUMIFS(PerHeadcount[Month 29],PerHeadcount[exp_item],$H1221,PerHeadcount[company_name],$B1221)*AN276)</f>
        <v>0</v>
      </c>
      <c r="AO1221" s="652">
        <f>IF($B1221="",,SUMIFS(PerHeadcount[Month 30],PerHeadcount[exp_item],$H1221,PerHeadcount[company_name],$B1221)*AO276)</f>
        <v>0</v>
      </c>
      <c r="AP1221" s="652">
        <f>IF($B1221="",,SUMIFS(PerHeadcount[Month 31],PerHeadcount[exp_item],$H1221,PerHeadcount[company_name],$B1221)*AP276)</f>
        <v>0</v>
      </c>
      <c r="AQ1221" s="652">
        <f>IF($B1221="",,SUMIFS(PerHeadcount[Month 32],PerHeadcount[exp_item],$H1221,PerHeadcount[company_name],$B1221)*AQ276)</f>
        <v>0</v>
      </c>
      <c r="AR1221" s="652">
        <f>IF($B1221="",,SUMIFS(PerHeadcount[Month 33],PerHeadcount[exp_item],$H1221,PerHeadcount[company_name],$B1221)*AR276)</f>
        <v>0</v>
      </c>
      <c r="AS1221" s="652">
        <f>IF($B1221="",,SUMIFS(PerHeadcount[Month 34],PerHeadcount[exp_item],$H1221,PerHeadcount[company_name],$B1221)*AS276)</f>
        <v>0</v>
      </c>
      <c r="AT1221" s="652">
        <f>IF($B1221="",,SUMIFS(PerHeadcount[Month 35],PerHeadcount[exp_item],$H1221,PerHeadcount[company_name],$B1221)*AT276)</f>
        <v>0</v>
      </c>
      <c r="AU1221" s="652">
        <f>IF($B1221="",,SUMIFS(PerHeadcount[Month 36],PerHeadcount[exp_item],$H1221,PerHeadcount[company_name],$B1221)*AU276)</f>
        <v>0</v>
      </c>
    </row>
    <row r="1222" spans="2:47" x14ac:dyDescent="0.35">
      <c r="B1222" t="str">
        <f t="shared" ref="B1222:G1222" si="869">IF(B1117="","",B1117)</f>
        <v/>
      </c>
      <c r="C1222" t="str">
        <f t="shared" si="869"/>
        <v/>
      </c>
      <c r="D1222" t="str">
        <f t="shared" si="869"/>
        <v/>
      </c>
      <c r="E1222" t="str">
        <f t="shared" si="869"/>
        <v/>
      </c>
      <c r="F1222" t="str">
        <f t="shared" si="869"/>
        <v/>
      </c>
      <c r="G1222" t="str">
        <f t="shared" si="869"/>
        <v/>
      </c>
      <c r="H1222" t="str">
        <f t="shared" si="840"/>
        <v/>
      </c>
      <c r="J1222" t="str">
        <f>IF($H1222="","",IF(VLOOKUP(H1222,ExpItems[],2,0),H1222&amp;" - "&amp;INDEX(DivisionMapping[category_code],MATCH($D1222&amp;$C1222,DivisionMapping[dept_bu],0)),H1222))</f>
        <v/>
      </c>
      <c r="K1222" t="str">
        <f t="shared" si="843"/>
        <v/>
      </c>
      <c r="L1222" s="652">
        <f>IF($B1222="",,SUMIFS(PerHeadcount[Month 1],PerHeadcount[exp_item],$H1222,PerHeadcount[company_name],$B1222)*L277)</f>
        <v>0</v>
      </c>
      <c r="M1222" s="652">
        <f>IF($B1222="",,SUMIFS(PerHeadcount[Month 2],PerHeadcount[exp_item],$H1222,PerHeadcount[company_name],$B1222)*M277)</f>
        <v>0</v>
      </c>
      <c r="N1222" s="652">
        <f>IF($B1222="",,SUMIFS(PerHeadcount[Month 3],PerHeadcount[exp_item],$H1222,PerHeadcount[company_name],$B1222)*N277)</f>
        <v>0</v>
      </c>
      <c r="O1222" s="652">
        <f>IF($B1222="",,SUMIFS(PerHeadcount[Month 4],PerHeadcount[exp_item],$H1222,PerHeadcount[company_name],$B1222)*O277)</f>
        <v>0</v>
      </c>
      <c r="P1222" s="652">
        <f>IF($B1222="",,SUMIFS(PerHeadcount[Month 5],PerHeadcount[exp_item],$H1222,PerHeadcount[company_name],$B1222)*P277)</f>
        <v>0</v>
      </c>
      <c r="Q1222" s="652">
        <f>IF($B1222="",,SUMIFS(PerHeadcount[Month 6],PerHeadcount[exp_item],$H1222,PerHeadcount[company_name],$B1222)*Q277)</f>
        <v>0</v>
      </c>
      <c r="R1222" s="652">
        <f>IF($B1222="",,SUMIFS(PerHeadcount[Month 7],PerHeadcount[exp_item],$H1222,PerHeadcount[company_name],$B1222)*R277)</f>
        <v>0</v>
      </c>
      <c r="S1222" s="652">
        <f>IF($B1222="",,SUMIFS(PerHeadcount[Month 8],PerHeadcount[exp_item],$H1222,PerHeadcount[company_name],$B1222)*S277)</f>
        <v>0</v>
      </c>
      <c r="T1222" s="652">
        <f>IF($B1222="",,SUMIFS(PerHeadcount[Month 9],PerHeadcount[exp_item],$H1222,PerHeadcount[company_name],$B1222)*T277)</f>
        <v>0</v>
      </c>
      <c r="U1222" s="652">
        <f>IF($B1222="",,SUMIFS(PerHeadcount[Month 10],PerHeadcount[exp_item],$H1222,PerHeadcount[company_name],$B1222)*U277)</f>
        <v>0</v>
      </c>
      <c r="V1222" s="652">
        <f>IF($B1222="",,SUMIFS(PerHeadcount[Month 11],PerHeadcount[exp_item],$H1222,PerHeadcount[company_name],$B1222)*V277)</f>
        <v>0</v>
      </c>
      <c r="W1222" s="652">
        <f>IF($B1222="",,SUMIFS(PerHeadcount[Month 12],PerHeadcount[exp_item],$H1222,PerHeadcount[company_name],$B1222)*W277)</f>
        <v>0</v>
      </c>
      <c r="X1222" s="652">
        <f>IF($B1222="",,SUMIFS(PerHeadcount[Month 13],PerHeadcount[exp_item],$H1222,PerHeadcount[company_name],$B1222)*X277)</f>
        <v>0</v>
      </c>
      <c r="Y1222" s="652">
        <f>IF($B1222="",,SUMIFS(PerHeadcount[Month 14],PerHeadcount[exp_item],$H1222,PerHeadcount[company_name],$B1222)*Y277)</f>
        <v>0</v>
      </c>
      <c r="Z1222" s="652">
        <f>IF($B1222="",,SUMIFS(PerHeadcount[Month 15],PerHeadcount[exp_item],$H1222,PerHeadcount[company_name],$B1222)*Z277)</f>
        <v>0</v>
      </c>
      <c r="AA1222" s="652">
        <f>IF($B1222="",,SUMIFS(PerHeadcount[Month 16],PerHeadcount[exp_item],$H1222,PerHeadcount[company_name],$B1222)*AA277)</f>
        <v>0</v>
      </c>
      <c r="AB1222" s="652">
        <f>IF($B1222="",,SUMIFS(PerHeadcount[Month 17],PerHeadcount[exp_item],$H1222,PerHeadcount[company_name],$B1222)*AB277)</f>
        <v>0</v>
      </c>
      <c r="AC1222" s="652">
        <f>IF($B1222="",,SUMIFS(PerHeadcount[Month 18],PerHeadcount[exp_item],$H1222,PerHeadcount[company_name],$B1222)*AC277)</f>
        <v>0</v>
      </c>
      <c r="AD1222" s="652">
        <f>IF($B1222="",,SUMIFS(PerHeadcount[Month 19],PerHeadcount[exp_item],$H1222,PerHeadcount[company_name],$B1222)*AD277)</f>
        <v>0</v>
      </c>
      <c r="AE1222" s="652">
        <f>IF($B1222="",,SUMIFS(PerHeadcount[Month 20],PerHeadcount[exp_item],$H1222,PerHeadcount[company_name],$B1222)*AE277)</f>
        <v>0</v>
      </c>
      <c r="AF1222" s="652">
        <f>IF($B1222="",,SUMIFS(PerHeadcount[Month 21],PerHeadcount[exp_item],$H1222,PerHeadcount[company_name],$B1222)*AF277)</f>
        <v>0</v>
      </c>
      <c r="AG1222" s="652">
        <f>IF($B1222="",,SUMIFS(PerHeadcount[Month 22],PerHeadcount[exp_item],$H1222,PerHeadcount[company_name],$B1222)*AG277)</f>
        <v>0</v>
      </c>
      <c r="AH1222" s="652">
        <f>IF($B1222="",,SUMIFS(PerHeadcount[Month 23],PerHeadcount[exp_item],$H1222,PerHeadcount[company_name],$B1222)*AH277)</f>
        <v>0</v>
      </c>
      <c r="AI1222" s="652">
        <f>IF($B1222="",,SUMIFS(PerHeadcount[Month 24],PerHeadcount[exp_item],$H1222,PerHeadcount[company_name],$B1222)*AI277)</f>
        <v>0</v>
      </c>
      <c r="AJ1222" s="652">
        <f>IF($B1222="",,SUMIFS(PerHeadcount[Month 25],PerHeadcount[exp_item],$H1222,PerHeadcount[company_name],$B1222)*AJ277)</f>
        <v>0</v>
      </c>
      <c r="AK1222" s="652">
        <f>IF($B1222="",,SUMIFS(PerHeadcount[Month 26],PerHeadcount[exp_item],$H1222,PerHeadcount[company_name],$B1222)*AK277)</f>
        <v>0</v>
      </c>
      <c r="AL1222" s="652">
        <f>IF($B1222="",,SUMIFS(PerHeadcount[Month 27],PerHeadcount[exp_item],$H1222,PerHeadcount[company_name],$B1222)*AL277)</f>
        <v>0</v>
      </c>
      <c r="AM1222" s="652">
        <f>IF($B1222="",,SUMIFS(PerHeadcount[Month 28],PerHeadcount[exp_item],$H1222,PerHeadcount[company_name],$B1222)*AM277)</f>
        <v>0</v>
      </c>
      <c r="AN1222" s="652">
        <f>IF($B1222="",,SUMIFS(PerHeadcount[Month 29],PerHeadcount[exp_item],$H1222,PerHeadcount[company_name],$B1222)*AN277)</f>
        <v>0</v>
      </c>
      <c r="AO1222" s="652">
        <f>IF($B1222="",,SUMIFS(PerHeadcount[Month 30],PerHeadcount[exp_item],$H1222,PerHeadcount[company_name],$B1222)*AO277)</f>
        <v>0</v>
      </c>
      <c r="AP1222" s="652">
        <f>IF($B1222="",,SUMIFS(PerHeadcount[Month 31],PerHeadcount[exp_item],$H1222,PerHeadcount[company_name],$B1222)*AP277)</f>
        <v>0</v>
      </c>
      <c r="AQ1222" s="652">
        <f>IF($B1222="",,SUMIFS(PerHeadcount[Month 32],PerHeadcount[exp_item],$H1222,PerHeadcount[company_name],$B1222)*AQ277)</f>
        <v>0</v>
      </c>
      <c r="AR1222" s="652">
        <f>IF($B1222="",,SUMIFS(PerHeadcount[Month 33],PerHeadcount[exp_item],$H1222,PerHeadcount[company_name],$B1222)*AR277)</f>
        <v>0</v>
      </c>
      <c r="AS1222" s="652">
        <f>IF($B1222="",,SUMIFS(PerHeadcount[Month 34],PerHeadcount[exp_item],$H1222,PerHeadcount[company_name],$B1222)*AS277)</f>
        <v>0</v>
      </c>
      <c r="AT1222" s="652">
        <f>IF($B1222="",,SUMIFS(PerHeadcount[Month 35],PerHeadcount[exp_item],$H1222,PerHeadcount[company_name],$B1222)*AT277)</f>
        <v>0</v>
      </c>
      <c r="AU1222" s="652">
        <f>IF($B1222="",,SUMIFS(PerHeadcount[Month 36],PerHeadcount[exp_item],$H1222,PerHeadcount[company_name],$B1222)*AU277)</f>
        <v>0</v>
      </c>
    </row>
    <row r="1223" spans="2:47" x14ac:dyDescent="0.35">
      <c r="B1223" t="str">
        <f t="shared" ref="B1223:G1223" si="870">IF(B1118="","",B1118)</f>
        <v/>
      </c>
      <c r="C1223" t="str">
        <f t="shared" si="870"/>
        <v/>
      </c>
      <c r="D1223" t="str">
        <f t="shared" si="870"/>
        <v/>
      </c>
      <c r="E1223" t="str">
        <f t="shared" si="870"/>
        <v/>
      </c>
      <c r="F1223" t="str">
        <f t="shared" si="870"/>
        <v/>
      </c>
      <c r="G1223" t="str">
        <f t="shared" si="870"/>
        <v/>
      </c>
      <c r="H1223" t="str">
        <f t="shared" si="840"/>
        <v/>
      </c>
      <c r="J1223" t="str">
        <f>IF($H1223="","",IF(VLOOKUP(H1223,ExpItems[],2,0),H1223&amp;" - "&amp;INDEX(DivisionMapping[category_code],MATCH($D1223&amp;$C1223,DivisionMapping[dept_bu],0)),H1223))</f>
        <v/>
      </c>
      <c r="K1223" t="str">
        <f t="shared" si="843"/>
        <v/>
      </c>
      <c r="L1223" s="652">
        <f>IF($B1223="",,SUMIFS(PerHeadcount[Month 1],PerHeadcount[exp_item],$H1223,PerHeadcount[company_name],$B1223)*L278)</f>
        <v>0</v>
      </c>
      <c r="M1223" s="652">
        <f>IF($B1223="",,SUMIFS(PerHeadcount[Month 2],PerHeadcount[exp_item],$H1223,PerHeadcount[company_name],$B1223)*M278)</f>
        <v>0</v>
      </c>
      <c r="N1223" s="652">
        <f>IF($B1223="",,SUMIFS(PerHeadcount[Month 3],PerHeadcount[exp_item],$H1223,PerHeadcount[company_name],$B1223)*N278)</f>
        <v>0</v>
      </c>
      <c r="O1223" s="652">
        <f>IF($B1223="",,SUMIFS(PerHeadcount[Month 4],PerHeadcount[exp_item],$H1223,PerHeadcount[company_name],$B1223)*O278)</f>
        <v>0</v>
      </c>
      <c r="P1223" s="652">
        <f>IF($B1223="",,SUMIFS(PerHeadcount[Month 5],PerHeadcount[exp_item],$H1223,PerHeadcount[company_name],$B1223)*P278)</f>
        <v>0</v>
      </c>
      <c r="Q1223" s="652">
        <f>IF($B1223="",,SUMIFS(PerHeadcount[Month 6],PerHeadcount[exp_item],$H1223,PerHeadcount[company_name],$B1223)*Q278)</f>
        <v>0</v>
      </c>
      <c r="R1223" s="652">
        <f>IF($B1223="",,SUMIFS(PerHeadcount[Month 7],PerHeadcount[exp_item],$H1223,PerHeadcount[company_name],$B1223)*R278)</f>
        <v>0</v>
      </c>
      <c r="S1223" s="652">
        <f>IF($B1223="",,SUMIFS(PerHeadcount[Month 8],PerHeadcount[exp_item],$H1223,PerHeadcount[company_name],$B1223)*S278)</f>
        <v>0</v>
      </c>
      <c r="T1223" s="652">
        <f>IF($B1223="",,SUMIFS(PerHeadcount[Month 9],PerHeadcount[exp_item],$H1223,PerHeadcount[company_name],$B1223)*T278)</f>
        <v>0</v>
      </c>
      <c r="U1223" s="652">
        <f>IF($B1223="",,SUMIFS(PerHeadcount[Month 10],PerHeadcount[exp_item],$H1223,PerHeadcount[company_name],$B1223)*U278)</f>
        <v>0</v>
      </c>
      <c r="V1223" s="652">
        <f>IF($B1223="",,SUMIFS(PerHeadcount[Month 11],PerHeadcount[exp_item],$H1223,PerHeadcount[company_name],$B1223)*V278)</f>
        <v>0</v>
      </c>
      <c r="W1223" s="652">
        <f>IF($B1223="",,SUMIFS(PerHeadcount[Month 12],PerHeadcount[exp_item],$H1223,PerHeadcount[company_name],$B1223)*W278)</f>
        <v>0</v>
      </c>
      <c r="X1223" s="652">
        <f>IF($B1223="",,SUMIFS(PerHeadcount[Month 13],PerHeadcount[exp_item],$H1223,PerHeadcount[company_name],$B1223)*X278)</f>
        <v>0</v>
      </c>
      <c r="Y1223" s="652">
        <f>IF($B1223="",,SUMIFS(PerHeadcount[Month 14],PerHeadcount[exp_item],$H1223,PerHeadcount[company_name],$B1223)*Y278)</f>
        <v>0</v>
      </c>
      <c r="Z1223" s="652">
        <f>IF($B1223="",,SUMIFS(PerHeadcount[Month 15],PerHeadcount[exp_item],$H1223,PerHeadcount[company_name],$B1223)*Z278)</f>
        <v>0</v>
      </c>
      <c r="AA1223" s="652">
        <f>IF($B1223="",,SUMIFS(PerHeadcount[Month 16],PerHeadcount[exp_item],$H1223,PerHeadcount[company_name],$B1223)*AA278)</f>
        <v>0</v>
      </c>
      <c r="AB1223" s="652">
        <f>IF($B1223="",,SUMIFS(PerHeadcount[Month 17],PerHeadcount[exp_item],$H1223,PerHeadcount[company_name],$B1223)*AB278)</f>
        <v>0</v>
      </c>
      <c r="AC1223" s="652">
        <f>IF($B1223="",,SUMIFS(PerHeadcount[Month 18],PerHeadcount[exp_item],$H1223,PerHeadcount[company_name],$B1223)*AC278)</f>
        <v>0</v>
      </c>
      <c r="AD1223" s="652">
        <f>IF($B1223="",,SUMIFS(PerHeadcount[Month 19],PerHeadcount[exp_item],$H1223,PerHeadcount[company_name],$B1223)*AD278)</f>
        <v>0</v>
      </c>
      <c r="AE1223" s="652">
        <f>IF($B1223="",,SUMIFS(PerHeadcount[Month 20],PerHeadcount[exp_item],$H1223,PerHeadcount[company_name],$B1223)*AE278)</f>
        <v>0</v>
      </c>
      <c r="AF1223" s="652">
        <f>IF($B1223="",,SUMIFS(PerHeadcount[Month 21],PerHeadcount[exp_item],$H1223,PerHeadcount[company_name],$B1223)*AF278)</f>
        <v>0</v>
      </c>
      <c r="AG1223" s="652">
        <f>IF($B1223="",,SUMIFS(PerHeadcount[Month 22],PerHeadcount[exp_item],$H1223,PerHeadcount[company_name],$B1223)*AG278)</f>
        <v>0</v>
      </c>
      <c r="AH1223" s="652">
        <f>IF($B1223="",,SUMIFS(PerHeadcount[Month 23],PerHeadcount[exp_item],$H1223,PerHeadcount[company_name],$B1223)*AH278)</f>
        <v>0</v>
      </c>
      <c r="AI1223" s="652">
        <f>IF($B1223="",,SUMIFS(PerHeadcount[Month 24],PerHeadcount[exp_item],$H1223,PerHeadcount[company_name],$B1223)*AI278)</f>
        <v>0</v>
      </c>
      <c r="AJ1223" s="652">
        <f>IF($B1223="",,SUMIFS(PerHeadcount[Month 25],PerHeadcount[exp_item],$H1223,PerHeadcount[company_name],$B1223)*AJ278)</f>
        <v>0</v>
      </c>
      <c r="AK1223" s="652">
        <f>IF($B1223="",,SUMIFS(PerHeadcount[Month 26],PerHeadcount[exp_item],$H1223,PerHeadcount[company_name],$B1223)*AK278)</f>
        <v>0</v>
      </c>
      <c r="AL1223" s="652">
        <f>IF($B1223="",,SUMIFS(PerHeadcount[Month 27],PerHeadcount[exp_item],$H1223,PerHeadcount[company_name],$B1223)*AL278)</f>
        <v>0</v>
      </c>
      <c r="AM1223" s="652">
        <f>IF($B1223="",,SUMIFS(PerHeadcount[Month 28],PerHeadcount[exp_item],$H1223,PerHeadcount[company_name],$B1223)*AM278)</f>
        <v>0</v>
      </c>
      <c r="AN1223" s="652">
        <f>IF($B1223="",,SUMIFS(PerHeadcount[Month 29],PerHeadcount[exp_item],$H1223,PerHeadcount[company_name],$B1223)*AN278)</f>
        <v>0</v>
      </c>
      <c r="AO1223" s="652">
        <f>IF($B1223="",,SUMIFS(PerHeadcount[Month 30],PerHeadcount[exp_item],$H1223,PerHeadcount[company_name],$B1223)*AO278)</f>
        <v>0</v>
      </c>
      <c r="AP1223" s="652">
        <f>IF($B1223="",,SUMIFS(PerHeadcount[Month 31],PerHeadcount[exp_item],$H1223,PerHeadcount[company_name],$B1223)*AP278)</f>
        <v>0</v>
      </c>
      <c r="AQ1223" s="652">
        <f>IF($B1223="",,SUMIFS(PerHeadcount[Month 32],PerHeadcount[exp_item],$H1223,PerHeadcount[company_name],$B1223)*AQ278)</f>
        <v>0</v>
      </c>
      <c r="AR1223" s="652">
        <f>IF($B1223="",,SUMIFS(PerHeadcount[Month 33],PerHeadcount[exp_item],$H1223,PerHeadcount[company_name],$B1223)*AR278)</f>
        <v>0</v>
      </c>
      <c r="AS1223" s="652">
        <f>IF($B1223="",,SUMIFS(PerHeadcount[Month 34],PerHeadcount[exp_item],$H1223,PerHeadcount[company_name],$B1223)*AS278)</f>
        <v>0</v>
      </c>
      <c r="AT1223" s="652">
        <f>IF($B1223="",,SUMIFS(PerHeadcount[Month 35],PerHeadcount[exp_item],$H1223,PerHeadcount[company_name],$B1223)*AT278)</f>
        <v>0</v>
      </c>
      <c r="AU1223" s="652">
        <f>IF($B1223="",,SUMIFS(PerHeadcount[Month 36],PerHeadcount[exp_item],$H1223,PerHeadcount[company_name],$B1223)*AU278)</f>
        <v>0</v>
      </c>
    </row>
    <row r="1224" spans="2:47" x14ac:dyDescent="0.35">
      <c r="B1224" t="str">
        <f t="shared" ref="B1224:G1224" si="871">IF(B1119="","",B1119)</f>
        <v/>
      </c>
      <c r="C1224" t="str">
        <f t="shared" si="871"/>
        <v/>
      </c>
      <c r="D1224" t="str">
        <f t="shared" si="871"/>
        <v/>
      </c>
      <c r="E1224" t="str">
        <f t="shared" si="871"/>
        <v/>
      </c>
      <c r="F1224" t="str">
        <f t="shared" si="871"/>
        <v/>
      </c>
      <c r="G1224" t="str">
        <f t="shared" si="871"/>
        <v/>
      </c>
      <c r="H1224" t="str">
        <f t="shared" si="840"/>
        <v/>
      </c>
      <c r="J1224" t="str">
        <f>IF($H1224="","",IF(VLOOKUP(H1224,ExpItems[],2,0),H1224&amp;" - "&amp;INDEX(DivisionMapping[category_code],MATCH($D1224&amp;$C1224,DivisionMapping[dept_bu],0)),H1224))</f>
        <v/>
      </c>
      <c r="K1224" t="str">
        <f t="shared" si="843"/>
        <v/>
      </c>
      <c r="L1224" s="652">
        <f>IF($B1224="",,SUMIFS(PerHeadcount[Month 1],PerHeadcount[exp_item],$H1224,PerHeadcount[company_name],$B1224)*L279)</f>
        <v>0</v>
      </c>
      <c r="M1224" s="652">
        <f>IF($B1224="",,SUMIFS(PerHeadcount[Month 2],PerHeadcount[exp_item],$H1224,PerHeadcount[company_name],$B1224)*M279)</f>
        <v>0</v>
      </c>
      <c r="N1224" s="652">
        <f>IF($B1224="",,SUMIFS(PerHeadcount[Month 3],PerHeadcount[exp_item],$H1224,PerHeadcount[company_name],$B1224)*N279)</f>
        <v>0</v>
      </c>
      <c r="O1224" s="652">
        <f>IF($B1224="",,SUMIFS(PerHeadcount[Month 4],PerHeadcount[exp_item],$H1224,PerHeadcount[company_name],$B1224)*O279)</f>
        <v>0</v>
      </c>
      <c r="P1224" s="652">
        <f>IF($B1224="",,SUMIFS(PerHeadcount[Month 5],PerHeadcount[exp_item],$H1224,PerHeadcount[company_name],$B1224)*P279)</f>
        <v>0</v>
      </c>
      <c r="Q1224" s="652">
        <f>IF($B1224="",,SUMIFS(PerHeadcount[Month 6],PerHeadcount[exp_item],$H1224,PerHeadcount[company_name],$B1224)*Q279)</f>
        <v>0</v>
      </c>
      <c r="R1224" s="652">
        <f>IF($B1224="",,SUMIFS(PerHeadcount[Month 7],PerHeadcount[exp_item],$H1224,PerHeadcount[company_name],$B1224)*R279)</f>
        <v>0</v>
      </c>
      <c r="S1224" s="652">
        <f>IF($B1224="",,SUMIFS(PerHeadcount[Month 8],PerHeadcount[exp_item],$H1224,PerHeadcount[company_name],$B1224)*S279)</f>
        <v>0</v>
      </c>
      <c r="T1224" s="652">
        <f>IF($B1224="",,SUMIFS(PerHeadcount[Month 9],PerHeadcount[exp_item],$H1224,PerHeadcount[company_name],$B1224)*T279)</f>
        <v>0</v>
      </c>
      <c r="U1224" s="652">
        <f>IF($B1224="",,SUMIFS(PerHeadcount[Month 10],PerHeadcount[exp_item],$H1224,PerHeadcount[company_name],$B1224)*U279)</f>
        <v>0</v>
      </c>
      <c r="V1224" s="652">
        <f>IF($B1224="",,SUMIFS(PerHeadcount[Month 11],PerHeadcount[exp_item],$H1224,PerHeadcount[company_name],$B1224)*V279)</f>
        <v>0</v>
      </c>
      <c r="W1224" s="652">
        <f>IF($B1224="",,SUMIFS(PerHeadcount[Month 12],PerHeadcount[exp_item],$H1224,PerHeadcount[company_name],$B1224)*W279)</f>
        <v>0</v>
      </c>
      <c r="X1224" s="652">
        <f>IF($B1224="",,SUMIFS(PerHeadcount[Month 13],PerHeadcount[exp_item],$H1224,PerHeadcount[company_name],$B1224)*X279)</f>
        <v>0</v>
      </c>
      <c r="Y1224" s="652">
        <f>IF($B1224="",,SUMIFS(PerHeadcount[Month 14],PerHeadcount[exp_item],$H1224,PerHeadcount[company_name],$B1224)*Y279)</f>
        <v>0</v>
      </c>
      <c r="Z1224" s="652">
        <f>IF($B1224="",,SUMIFS(PerHeadcount[Month 15],PerHeadcount[exp_item],$H1224,PerHeadcount[company_name],$B1224)*Z279)</f>
        <v>0</v>
      </c>
      <c r="AA1224" s="652">
        <f>IF($B1224="",,SUMIFS(PerHeadcount[Month 16],PerHeadcount[exp_item],$H1224,PerHeadcount[company_name],$B1224)*AA279)</f>
        <v>0</v>
      </c>
      <c r="AB1224" s="652">
        <f>IF($B1224="",,SUMIFS(PerHeadcount[Month 17],PerHeadcount[exp_item],$H1224,PerHeadcount[company_name],$B1224)*AB279)</f>
        <v>0</v>
      </c>
      <c r="AC1224" s="652">
        <f>IF($B1224="",,SUMIFS(PerHeadcount[Month 18],PerHeadcount[exp_item],$H1224,PerHeadcount[company_name],$B1224)*AC279)</f>
        <v>0</v>
      </c>
      <c r="AD1224" s="652">
        <f>IF($B1224="",,SUMIFS(PerHeadcount[Month 19],PerHeadcount[exp_item],$H1224,PerHeadcount[company_name],$B1224)*AD279)</f>
        <v>0</v>
      </c>
      <c r="AE1224" s="652">
        <f>IF($B1224="",,SUMIFS(PerHeadcount[Month 20],PerHeadcount[exp_item],$H1224,PerHeadcount[company_name],$B1224)*AE279)</f>
        <v>0</v>
      </c>
      <c r="AF1224" s="652">
        <f>IF($B1224="",,SUMIFS(PerHeadcount[Month 21],PerHeadcount[exp_item],$H1224,PerHeadcount[company_name],$B1224)*AF279)</f>
        <v>0</v>
      </c>
      <c r="AG1224" s="652">
        <f>IF($B1224="",,SUMIFS(PerHeadcount[Month 22],PerHeadcount[exp_item],$H1224,PerHeadcount[company_name],$B1224)*AG279)</f>
        <v>0</v>
      </c>
      <c r="AH1224" s="652">
        <f>IF($B1224="",,SUMIFS(PerHeadcount[Month 23],PerHeadcount[exp_item],$H1224,PerHeadcount[company_name],$B1224)*AH279)</f>
        <v>0</v>
      </c>
      <c r="AI1224" s="652">
        <f>IF($B1224="",,SUMIFS(PerHeadcount[Month 24],PerHeadcount[exp_item],$H1224,PerHeadcount[company_name],$B1224)*AI279)</f>
        <v>0</v>
      </c>
      <c r="AJ1224" s="652">
        <f>IF($B1224="",,SUMIFS(PerHeadcount[Month 25],PerHeadcount[exp_item],$H1224,PerHeadcount[company_name],$B1224)*AJ279)</f>
        <v>0</v>
      </c>
      <c r="AK1224" s="652">
        <f>IF($B1224="",,SUMIFS(PerHeadcount[Month 26],PerHeadcount[exp_item],$H1224,PerHeadcount[company_name],$B1224)*AK279)</f>
        <v>0</v>
      </c>
      <c r="AL1224" s="652">
        <f>IF($B1224="",,SUMIFS(PerHeadcount[Month 27],PerHeadcount[exp_item],$H1224,PerHeadcount[company_name],$B1224)*AL279)</f>
        <v>0</v>
      </c>
      <c r="AM1224" s="652">
        <f>IF($B1224="",,SUMIFS(PerHeadcount[Month 28],PerHeadcount[exp_item],$H1224,PerHeadcount[company_name],$B1224)*AM279)</f>
        <v>0</v>
      </c>
      <c r="AN1224" s="652">
        <f>IF($B1224="",,SUMIFS(PerHeadcount[Month 29],PerHeadcount[exp_item],$H1224,PerHeadcount[company_name],$B1224)*AN279)</f>
        <v>0</v>
      </c>
      <c r="AO1224" s="652">
        <f>IF($B1224="",,SUMIFS(PerHeadcount[Month 30],PerHeadcount[exp_item],$H1224,PerHeadcount[company_name],$B1224)*AO279)</f>
        <v>0</v>
      </c>
      <c r="AP1224" s="652">
        <f>IF($B1224="",,SUMIFS(PerHeadcount[Month 31],PerHeadcount[exp_item],$H1224,PerHeadcount[company_name],$B1224)*AP279)</f>
        <v>0</v>
      </c>
      <c r="AQ1224" s="652">
        <f>IF($B1224="",,SUMIFS(PerHeadcount[Month 32],PerHeadcount[exp_item],$H1224,PerHeadcount[company_name],$B1224)*AQ279)</f>
        <v>0</v>
      </c>
      <c r="AR1224" s="652">
        <f>IF($B1224="",,SUMIFS(PerHeadcount[Month 33],PerHeadcount[exp_item],$H1224,PerHeadcount[company_name],$B1224)*AR279)</f>
        <v>0</v>
      </c>
      <c r="AS1224" s="652">
        <f>IF($B1224="",,SUMIFS(PerHeadcount[Month 34],PerHeadcount[exp_item],$H1224,PerHeadcount[company_name],$B1224)*AS279)</f>
        <v>0</v>
      </c>
      <c r="AT1224" s="652">
        <f>IF($B1224="",,SUMIFS(PerHeadcount[Month 35],PerHeadcount[exp_item],$H1224,PerHeadcount[company_name],$B1224)*AT279)</f>
        <v>0</v>
      </c>
      <c r="AU1224" s="652">
        <f>IF($B1224="",,SUMIFS(PerHeadcount[Month 36],PerHeadcount[exp_item],$H1224,PerHeadcount[company_name],$B1224)*AU279)</f>
        <v>0</v>
      </c>
    </row>
    <row r="1225" spans="2:47" x14ac:dyDescent="0.35">
      <c r="B1225" t="str">
        <f t="shared" ref="B1225:G1225" si="872">IF(B1120="","",B1120)</f>
        <v/>
      </c>
      <c r="C1225" t="str">
        <f t="shared" si="872"/>
        <v/>
      </c>
      <c r="D1225" t="str">
        <f t="shared" si="872"/>
        <v/>
      </c>
      <c r="E1225" t="str">
        <f t="shared" si="872"/>
        <v/>
      </c>
      <c r="F1225" t="str">
        <f t="shared" si="872"/>
        <v/>
      </c>
      <c r="G1225" t="str">
        <f t="shared" si="872"/>
        <v/>
      </c>
      <c r="H1225" t="str">
        <f t="shared" si="840"/>
        <v/>
      </c>
      <c r="J1225" t="str">
        <f>IF($H1225="","",IF(VLOOKUP(H1225,ExpItems[],2,0),H1225&amp;" - "&amp;INDEX(DivisionMapping[category_code],MATCH($D1225&amp;$C1225,DivisionMapping[dept_bu],0)),H1225))</f>
        <v/>
      </c>
      <c r="K1225" t="str">
        <f t="shared" si="843"/>
        <v/>
      </c>
      <c r="L1225" s="652">
        <f>IF($B1225="",,SUMIFS(PerHeadcount[Month 1],PerHeadcount[exp_item],$H1225,PerHeadcount[company_name],$B1225)*L280)</f>
        <v>0</v>
      </c>
      <c r="M1225" s="652">
        <f>IF($B1225="",,SUMIFS(PerHeadcount[Month 2],PerHeadcount[exp_item],$H1225,PerHeadcount[company_name],$B1225)*M280)</f>
        <v>0</v>
      </c>
      <c r="N1225" s="652">
        <f>IF($B1225="",,SUMIFS(PerHeadcount[Month 3],PerHeadcount[exp_item],$H1225,PerHeadcount[company_name],$B1225)*N280)</f>
        <v>0</v>
      </c>
      <c r="O1225" s="652">
        <f>IF($B1225="",,SUMIFS(PerHeadcount[Month 4],PerHeadcount[exp_item],$H1225,PerHeadcount[company_name],$B1225)*O280)</f>
        <v>0</v>
      </c>
      <c r="P1225" s="652">
        <f>IF($B1225="",,SUMIFS(PerHeadcount[Month 5],PerHeadcount[exp_item],$H1225,PerHeadcount[company_name],$B1225)*P280)</f>
        <v>0</v>
      </c>
      <c r="Q1225" s="652">
        <f>IF($B1225="",,SUMIFS(PerHeadcount[Month 6],PerHeadcount[exp_item],$H1225,PerHeadcount[company_name],$B1225)*Q280)</f>
        <v>0</v>
      </c>
      <c r="R1225" s="652">
        <f>IF($B1225="",,SUMIFS(PerHeadcount[Month 7],PerHeadcount[exp_item],$H1225,PerHeadcount[company_name],$B1225)*R280)</f>
        <v>0</v>
      </c>
      <c r="S1225" s="652">
        <f>IF($B1225="",,SUMIFS(PerHeadcount[Month 8],PerHeadcount[exp_item],$H1225,PerHeadcount[company_name],$B1225)*S280)</f>
        <v>0</v>
      </c>
      <c r="T1225" s="652">
        <f>IF($B1225="",,SUMIFS(PerHeadcount[Month 9],PerHeadcount[exp_item],$H1225,PerHeadcount[company_name],$B1225)*T280)</f>
        <v>0</v>
      </c>
      <c r="U1225" s="652">
        <f>IF($B1225="",,SUMIFS(PerHeadcount[Month 10],PerHeadcount[exp_item],$H1225,PerHeadcount[company_name],$B1225)*U280)</f>
        <v>0</v>
      </c>
      <c r="V1225" s="652">
        <f>IF($B1225="",,SUMIFS(PerHeadcount[Month 11],PerHeadcount[exp_item],$H1225,PerHeadcount[company_name],$B1225)*V280)</f>
        <v>0</v>
      </c>
      <c r="W1225" s="652">
        <f>IF($B1225="",,SUMIFS(PerHeadcount[Month 12],PerHeadcount[exp_item],$H1225,PerHeadcount[company_name],$B1225)*W280)</f>
        <v>0</v>
      </c>
      <c r="X1225" s="652">
        <f>IF($B1225="",,SUMIFS(PerHeadcount[Month 13],PerHeadcount[exp_item],$H1225,PerHeadcount[company_name],$B1225)*X280)</f>
        <v>0</v>
      </c>
      <c r="Y1225" s="652">
        <f>IF($B1225="",,SUMIFS(PerHeadcount[Month 14],PerHeadcount[exp_item],$H1225,PerHeadcount[company_name],$B1225)*Y280)</f>
        <v>0</v>
      </c>
      <c r="Z1225" s="652">
        <f>IF($B1225="",,SUMIFS(PerHeadcount[Month 15],PerHeadcount[exp_item],$H1225,PerHeadcount[company_name],$B1225)*Z280)</f>
        <v>0</v>
      </c>
      <c r="AA1225" s="652">
        <f>IF($B1225="",,SUMIFS(PerHeadcount[Month 16],PerHeadcount[exp_item],$H1225,PerHeadcount[company_name],$B1225)*AA280)</f>
        <v>0</v>
      </c>
      <c r="AB1225" s="652">
        <f>IF($B1225="",,SUMIFS(PerHeadcount[Month 17],PerHeadcount[exp_item],$H1225,PerHeadcount[company_name],$B1225)*AB280)</f>
        <v>0</v>
      </c>
      <c r="AC1225" s="652">
        <f>IF($B1225="",,SUMIFS(PerHeadcount[Month 18],PerHeadcount[exp_item],$H1225,PerHeadcount[company_name],$B1225)*AC280)</f>
        <v>0</v>
      </c>
      <c r="AD1225" s="652">
        <f>IF($B1225="",,SUMIFS(PerHeadcount[Month 19],PerHeadcount[exp_item],$H1225,PerHeadcount[company_name],$B1225)*AD280)</f>
        <v>0</v>
      </c>
      <c r="AE1225" s="652">
        <f>IF($B1225="",,SUMIFS(PerHeadcount[Month 20],PerHeadcount[exp_item],$H1225,PerHeadcount[company_name],$B1225)*AE280)</f>
        <v>0</v>
      </c>
      <c r="AF1225" s="652">
        <f>IF($B1225="",,SUMIFS(PerHeadcount[Month 21],PerHeadcount[exp_item],$H1225,PerHeadcount[company_name],$B1225)*AF280)</f>
        <v>0</v>
      </c>
      <c r="AG1225" s="652">
        <f>IF($B1225="",,SUMIFS(PerHeadcount[Month 22],PerHeadcount[exp_item],$H1225,PerHeadcount[company_name],$B1225)*AG280)</f>
        <v>0</v>
      </c>
      <c r="AH1225" s="652">
        <f>IF($B1225="",,SUMIFS(PerHeadcount[Month 23],PerHeadcount[exp_item],$H1225,PerHeadcount[company_name],$B1225)*AH280)</f>
        <v>0</v>
      </c>
      <c r="AI1225" s="652">
        <f>IF($B1225="",,SUMIFS(PerHeadcount[Month 24],PerHeadcount[exp_item],$H1225,PerHeadcount[company_name],$B1225)*AI280)</f>
        <v>0</v>
      </c>
      <c r="AJ1225" s="652">
        <f>IF($B1225="",,SUMIFS(PerHeadcount[Month 25],PerHeadcount[exp_item],$H1225,PerHeadcount[company_name],$B1225)*AJ280)</f>
        <v>0</v>
      </c>
      <c r="AK1225" s="652">
        <f>IF($B1225="",,SUMIFS(PerHeadcount[Month 26],PerHeadcount[exp_item],$H1225,PerHeadcount[company_name],$B1225)*AK280)</f>
        <v>0</v>
      </c>
      <c r="AL1225" s="652">
        <f>IF($B1225="",,SUMIFS(PerHeadcount[Month 27],PerHeadcount[exp_item],$H1225,PerHeadcount[company_name],$B1225)*AL280)</f>
        <v>0</v>
      </c>
      <c r="AM1225" s="652">
        <f>IF($B1225="",,SUMIFS(PerHeadcount[Month 28],PerHeadcount[exp_item],$H1225,PerHeadcount[company_name],$B1225)*AM280)</f>
        <v>0</v>
      </c>
      <c r="AN1225" s="652">
        <f>IF($B1225="",,SUMIFS(PerHeadcount[Month 29],PerHeadcount[exp_item],$H1225,PerHeadcount[company_name],$B1225)*AN280)</f>
        <v>0</v>
      </c>
      <c r="AO1225" s="652">
        <f>IF($B1225="",,SUMIFS(PerHeadcount[Month 30],PerHeadcount[exp_item],$H1225,PerHeadcount[company_name],$B1225)*AO280)</f>
        <v>0</v>
      </c>
      <c r="AP1225" s="652">
        <f>IF($B1225="",,SUMIFS(PerHeadcount[Month 31],PerHeadcount[exp_item],$H1225,PerHeadcount[company_name],$B1225)*AP280)</f>
        <v>0</v>
      </c>
      <c r="AQ1225" s="652">
        <f>IF($B1225="",,SUMIFS(PerHeadcount[Month 32],PerHeadcount[exp_item],$H1225,PerHeadcount[company_name],$B1225)*AQ280)</f>
        <v>0</v>
      </c>
      <c r="AR1225" s="652">
        <f>IF($B1225="",,SUMIFS(PerHeadcount[Month 33],PerHeadcount[exp_item],$H1225,PerHeadcount[company_name],$B1225)*AR280)</f>
        <v>0</v>
      </c>
      <c r="AS1225" s="652">
        <f>IF($B1225="",,SUMIFS(PerHeadcount[Month 34],PerHeadcount[exp_item],$H1225,PerHeadcount[company_name],$B1225)*AS280)</f>
        <v>0</v>
      </c>
      <c r="AT1225" s="652">
        <f>IF($B1225="",,SUMIFS(PerHeadcount[Month 35],PerHeadcount[exp_item],$H1225,PerHeadcount[company_name],$B1225)*AT280)</f>
        <v>0</v>
      </c>
      <c r="AU1225" s="652">
        <f>IF($B1225="",,SUMIFS(PerHeadcount[Month 36],PerHeadcount[exp_item],$H1225,PerHeadcount[company_name],$B1225)*AU280)</f>
        <v>0</v>
      </c>
    </row>
    <row r="1226" spans="2:47" x14ac:dyDescent="0.35">
      <c r="B1226" t="str">
        <f t="shared" ref="B1226:G1226" si="873">IF(B1121="","",B1121)</f>
        <v/>
      </c>
      <c r="C1226" t="str">
        <f t="shared" si="873"/>
        <v/>
      </c>
      <c r="D1226" t="str">
        <f t="shared" si="873"/>
        <v/>
      </c>
      <c r="E1226" t="str">
        <f t="shared" si="873"/>
        <v/>
      </c>
      <c r="F1226" t="str">
        <f t="shared" si="873"/>
        <v/>
      </c>
      <c r="G1226" t="str">
        <f t="shared" si="873"/>
        <v/>
      </c>
      <c r="H1226" t="str">
        <f t="shared" si="840"/>
        <v/>
      </c>
      <c r="J1226" t="str">
        <f>IF($H1226="","",IF(VLOOKUP(H1226,ExpItems[],2,0),H1226&amp;" - "&amp;INDEX(DivisionMapping[category_code],MATCH($D1226&amp;$C1226,DivisionMapping[dept_bu],0)),H1226))</f>
        <v/>
      </c>
      <c r="K1226" t="str">
        <f t="shared" si="843"/>
        <v/>
      </c>
      <c r="L1226" s="652">
        <f>IF($B1226="",,SUMIFS(PerHeadcount[Month 1],PerHeadcount[exp_item],$H1226,PerHeadcount[company_name],$B1226)*L281)</f>
        <v>0</v>
      </c>
      <c r="M1226" s="652">
        <f>IF($B1226="",,SUMIFS(PerHeadcount[Month 2],PerHeadcount[exp_item],$H1226,PerHeadcount[company_name],$B1226)*M281)</f>
        <v>0</v>
      </c>
      <c r="N1226" s="652">
        <f>IF($B1226="",,SUMIFS(PerHeadcount[Month 3],PerHeadcount[exp_item],$H1226,PerHeadcount[company_name],$B1226)*N281)</f>
        <v>0</v>
      </c>
      <c r="O1226" s="652">
        <f>IF($B1226="",,SUMIFS(PerHeadcount[Month 4],PerHeadcount[exp_item],$H1226,PerHeadcount[company_name],$B1226)*O281)</f>
        <v>0</v>
      </c>
      <c r="P1226" s="652">
        <f>IF($B1226="",,SUMIFS(PerHeadcount[Month 5],PerHeadcount[exp_item],$H1226,PerHeadcount[company_name],$B1226)*P281)</f>
        <v>0</v>
      </c>
      <c r="Q1226" s="652">
        <f>IF($B1226="",,SUMIFS(PerHeadcount[Month 6],PerHeadcount[exp_item],$H1226,PerHeadcount[company_name],$B1226)*Q281)</f>
        <v>0</v>
      </c>
      <c r="R1226" s="652">
        <f>IF($B1226="",,SUMIFS(PerHeadcount[Month 7],PerHeadcount[exp_item],$H1226,PerHeadcount[company_name],$B1226)*R281)</f>
        <v>0</v>
      </c>
      <c r="S1226" s="652">
        <f>IF($B1226="",,SUMIFS(PerHeadcount[Month 8],PerHeadcount[exp_item],$H1226,PerHeadcount[company_name],$B1226)*S281)</f>
        <v>0</v>
      </c>
      <c r="T1226" s="652">
        <f>IF($B1226="",,SUMIFS(PerHeadcount[Month 9],PerHeadcount[exp_item],$H1226,PerHeadcount[company_name],$B1226)*T281)</f>
        <v>0</v>
      </c>
      <c r="U1226" s="652">
        <f>IF($B1226="",,SUMIFS(PerHeadcount[Month 10],PerHeadcount[exp_item],$H1226,PerHeadcount[company_name],$B1226)*U281)</f>
        <v>0</v>
      </c>
      <c r="V1226" s="652">
        <f>IF($B1226="",,SUMIFS(PerHeadcount[Month 11],PerHeadcount[exp_item],$H1226,PerHeadcount[company_name],$B1226)*V281)</f>
        <v>0</v>
      </c>
      <c r="W1226" s="652">
        <f>IF($B1226="",,SUMIFS(PerHeadcount[Month 12],PerHeadcount[exp_item],$H1226,PerHeadcount[company_name],$B1226)*W281)</f>
        <v>0</v>
      </c>
      <c r="X1226" s="652">
        <f>IF($B1226="",,SUMIFS(PerHeadcount[Month 13],PerHeadcount[exp_item],$H1226,PerHeadcount[company_name],$B1226)*X281)</f>
        <v>0</v>
      </c>
      <c r="Y1226" s="652">
        <f>IF($B1226="",,SUMIFS(PerHeadcount[Month 14],PerHeadcount[exp_item],$H1226,PerHeadcount[company_name],$B1226)*Y281)</f>
        <v>0</v>
      </c>
      <c r="Z1226" s="652">
        <f>IF($B1226="",,SUMIFS(PerHeadcount[Month 15],PerHeadcount[exp_item],$H1226,PerHeadcount[company_name],$B1226)*Z281)</f>
        <v>0</v>
      </c>
      <c r="AA1226" s="652">
        <f>IF($B1226="",,SUMIFS(PerHeadcount[Month 16],PerHeadcount[exp_item],$H1226,PerHeadcount[company_name],$B1226)*AA281)</f>
        <v>0</v>
      </c>
      <c r="AB1226" s="652">
        <f>IF($B1226="",,SUMIFS(PerHeadcount[Month 17],PerHeadcount[exp_item],$H1226,PerHeadcount[company_name],$B1226)*AB281)</f>
        <v>0</v>
      </c>
      <c r="AC1226" s="652">
        <f>IF($B1226="",,SUMIFS(PerHeadcount[Month 18],PerHeadcount[exp_item],$H1226,PerHeadcount[company_name],$B1226)*AC281)</f>
        <v>0</v>
      </c>
      <c r="AD1226" s="652">
        <f>IF($B1226="",,SUMIFS(PerHeadcount[Month 19],PerHeadcount[exp_item],$H1226,PerHeadcount[company_name],$B1226)*AD281)</f>
        <v>0</v>
      </c>
      <c r="AE1226" s="652">
        <f>IF($B1226="",,SUMIFS(PerHeadcount[Month 20],PerHeadcount[exp_item],$H1226,PerHeadcount[company_name],$B1226)*AE281)</f>
        <v>0</v>
      </c>
      <c r="AF1226" s="652">
        <f>IF($B1226="",,SUMIFS(PerHeadcount[Month 21],PerHeadcount[exp_item],$H1226,PerHeadcount[company_name],$B1226)*AF281)</f>
        <v>0</v>
      </c>
      <c r="AG1226" s="652">
        <f>IF($B1226="",,SUMIFS(PerHeadcount[Month 22],PerHeadcount[exp_item],$H1226,PerHeadcount[company_name],$B1226)*AG281)</f>
        <v>0</v>
      </c>
      <c r="AH1226" s="652">
        <f>IF($B1226="",,SUMIFS(PerHeadcount[Month 23],PerHeadcount[exp_item],$H1226,PerHeadcount[company_name],$B1226)*AH281)</f>
        <v>0</v>
      </c>
      <c r="AI1226" s="652">
        <f>IF($B1226="",,SUMIFS(PerHeadcount[Month 24],PerHeadcount[exp_item],$H1226,PerHeadcount[company_name],$B1226)*AI281)</f>
        <v>0</v>
      </c>
      <c r="AJ1226" s="652">
        <f>IF($B1226="",,SUMIFS(PerHeadcount[Month 25],PerHeadcount[exp_item],$H1226,PerHeadcount[company_name],$B1226)*AJ281)</f>
        <v>0</v>
      </c>
      <c r="AK1226" s="652">
        <f>IF($B1226="",,SUMIFS(PerHeadcount[Month 26],PerHeadcount[exp_item],$H1226,PerHeadcount[company_name],$B1226)*AK281)</f>
        <v>0</v>
      </c>
      <c r="AL1226" s="652">
        <f>IF($B1226="",,SUMIFS(PerHeadcount[Month 27],PerHeadcount[exp_item],$H1226,PerHeadcount[company_name],$B1226)*AL281)</f>
        <v>0</v>
      </c>
      <c r="AM1226" s="652">
        <f>IF($B1226="",,SUMIFS(PerHeadcount[Month 28],PerHeadcount[exp_item],$H1226,PerHeadcount[company_name],$B1226)*AM281)</f>
        <v>0</v>
      </c>
      <c r="AN1226" s="652">
        <f>IF($B1226="",,SUMIFS(PerHeadcount[Month 29],PerHeadcount[exp_item],$H1226,PerHeadcount[company_name],$B1226)*AN281)</f>
        <v>0</v>
      </c>
      <c r="AO1226" s="652">
        <f>IF($B1226="",,SUMIFS(PerHeadcount[Month 30],PerHeadcount[exp_item],$H1226,PerHeadcount[company_name],$B1226)*AO281)</f>
        <v>0</v>
      </c>
      <c r="AP1226" s="652">
        <f>IF($B1226="",,SUMIFS(PerHeadcount[Month 31],PerHeadcount[exp_item],$H1226,PerHeadcount[company_name],$B1226)*AP281)</f>
        <v>0</v>
      </c>
      <c r="AQ1226" s="652">
        <f>IF($B1226="",,SUMIFS(PerHeadcount[Month 32],PerHeadcount[exp_item],$H1226,PerHeadcount[company_name],$B1226)*AQ281)</f>
        <v>0</v>
      </c>
      <c r="AR1226" s="652">
        <f>IF($B1226="",,SUMIFS(PerHeadcount[Month 33],PerHeadcount[exp_item],$H1226,PerHeadcount[company_name],$B1226)*AR281)</f>
        <v>0</v>
      </c>
      <c r="AS1226" s="652">
        <f>IF($B1226="",,SUMIFS(PerHeadcount[Month 34],PerHeadcount[exp_item],$H1226,PerHeadcount[company_name],$B1226)*AS281)</f>
        <v>0</v>
      </c>
      <c r="AT1226" s="652">
        <f>IF($B1226="",,SUMIFS(PerHeadcount[Month 35],PerHeadcount[exp_item],$H1226,PerHeadcount[company_name],$B1226)*AT281)</f>
        <v>0</v>
      </c>
      <c r="AU1226" s="652">
        <f>IF($B1226="",,SUMIFS(PerHeadcount[Month 36],PerHeadcount[exp_item],$H1226,PerHeadcount[company_name],$B1226)*AU281)</f>
        <v>0</v>
      </c>
    </row>
    <row r="1227" spans="2:47" x14ac:dyDescent="0.35">
      <c r="B1227" t="str">
        <f t="shared" ref="B1227:G1227" si="874">IF(B1122="","",B1122)</f>
        <v/>
      </c>
      <c r="C1227" t="str">
        <f t="shared" si="874"/>
        <v/>
      </c>
      <c r="D1227" t="str">
        <f t="shared" si="874"/>
        <v/>
      </c>
      <c r="E1227" t="str">
        <f t="shared" si="874"/>
        <v/>
      </c>
      <c r="F1227" t="str">
        <f t="shared" si="874"/>
        <v/>
      </c>
      <c r="G1227" t="str">
        <f t="shared" si="874"/>
        <v/>
      </c>
      <c r="H1227" t="str">
        <f t="shared" si="840"/>
        <v/>
      </c>
      <c r="J1227" t="str">
        <f>IF($H1227="","",IF(VLOOKUP(H1227,ExpItems[],2,0),H1227&amp;" - "&amp;INDEX(DivisionMapping[category_code],MATCH($D1227&amp;$C1227,DivisionMapping[dept_bu],0)),H1227))</f>
        <v/>
      </c>
      <c r="K1227" t="str">
        <f t="shared" si="843"/>
        <v/>
      </c>
      <c r="L1227" s="652">
        <f>IF($B1227="",,SUMIFS(PerHeadcount[Month 1],PerHeadcount[exp_item],$H1227,PerHeadcount[company_name],$B1227)*L282)</f>
        <v>0</v>
      </c>
      <c r="M1227" s="652">
        <f>IF($B1227="",,SUMIFS(PerHeadcount[Month 2],PerHeadcount[exp_item],$H1227,PerHeadcount[company_name],$B1227)*M282)</f>
        <v>0</v>
      </c>
      <c r="N1227" s="652">
        <f>IF($B1227="",,SUMIFS(PerHeadcount[Month 3],PerHeadcount[exp_item],$H1227,PerHeadcount[company_name],$B1227)*N282)</f>
        <v>0</v>
      </c>
      <c r="O1227" s="652">
        <f>IF($B1227="",,SUMIFS(PerHeadcount[Month 4],PerHeadcount[exp_item],$H1227,PerHeadcount[company_name],$B1227)*O282)</f>
        <v>0</v>
      </c>
      <c r="P1227" s="652">
        <f>IF($B1227="",,SUMIFS(PerHeadcount[Month 5],PerHeadcount[exp_item],$H1227,PerHeadcount[company_name],$B1227)*P282)</f>
        <v>0</v>
      </c>
      <c r="Q1227" s="652">
        <f>IF($B1227="",,SUMIFS(PerHeadcount[Month 6],PerHeadcount[exp_item],$H1227,PerHeadcount[company_name],$B1227)*Q282)</f>
        <v>0</v>
      </c>
      <c r="R1227" s="652">
        <f>IF($B1227="",,SUMIFS(PerHeadcount[Month 7],PerHeadcount[exp_item],$H1227,PerHeadcount[company_name],$B1227)*R282)</f>
        <v>0</v>
      </c>
      <c r="S1227" s="652">
        <f>IF($B1227="",,SUMIFS(PerHeadcount[Month 8],PerHeadcount[exp_item],$H1227,PerHeadcount[company_name],$B1227)*S282)</f>
        <v>0</v>
      </c>
      <c r="T1227" s="652">
        <f>IF($B1227="",,SUMIFS(PerHeadcount[Month 9],PerHeadcount[exp_item],$H1227,PerHeadcount[company_name],$B1227)*T282)</f>
        <v>0</v>
      </c>
      <c r="U1227" s="652">
        <f>IF($B1227="",,SUMIFS(PerHeadcount[Month 10],PerHeadcount[exp_item],$H1227,PerHeadcount[company_name],$B1227)*U282)</f>
        <v>0</v>
      </c>
      <c r="V1227" s="652">
        <f>IF($B1227="",,SUMIFS(PerHeadcount[Month 11],PerHeadcount[exp_item],$H1227,PerHeadcount[company_name],$B1227)*V282)</f>
        <v>0</v>
      </c>
      <c r="W1227" s="652">
        <f>IF($B1227="",,SUMIFS(PerHeadcount[Month 12],PerHeadcount[exp_item],$H1227,PerHeadcount[company_name],$B1227)*W282)</f>
        <v>0</v>
      </c>
      <c r="X1227" s="652">
        <f>IF($B1227="",,SUMIFS(PerHeadcount[Month 13],PerHeadcount[exp_item],$H1227,PerHeadcount[company_name],$B1227)*X282)</f>
        <v>0</v>
      </c>
      <c r="Y1227" s="652">
        <f>IF($B1227="",,SUMIFS(PerHeadcount[Month 14],PerHeadcount[exp_item],$H1227,PerHeadcount[company_name],$B1227)*Y282)</f>
        <v>0</v>
      </c>
      <c r="Z1227" s="652">
        <f>IF($B1227="",,SUMIFS(PerHeadcount[Month 15],PerHeadcount[exp_item],$H1227,PerHeadcount[company_name],$B1227)*Z282)</f>
        <v>0</v>
      </c>
      <c r="AA1227" s="652">
        <f>IF($B1227="",,SUMIFS(PerHeadcount[Month 16],PerHeadcount[exp_item],$H1227,PerHeadcount[company_name],$B1227)*AA282)</f>
        <v>0</v>
      </c>
      <c r="AB1227" s="652">
        <f>IF($B1227="",,SUMIFS(PerHeadcount[Month 17],PerHeadcount[exp_item],$H1227,PerHeadcount[company_name],$B1227)*AB282)</f>
        <v>0</v>
      </c>
      <c r="AC1227" s="652">
        <f>IF($B1227="",,SUMIFS(PerHeadcount[Month 18],PerHeadcount[exp_item],$H1227,PerHeadcount[company_name],$B1227)*AC282)</f>
        <v>0</v>
      </c>
      <c r="AD1227" s="652">
        <f>IF($B1227="",,SUMIFS(PerHeadcount[Month 19],PerHeadcount[exp_item],$H1227,PerHeadcount[company_name],$B1227)*AD282)</f>
        <v>0</v>
      </c>
      <c r="AE1227" s="652">
        <f>IF($B1227="",,SUMIFS(PerHeadcount[Month 20],PerHeadcount[exp_item],$H1227,PerHeadcount[company_name],$B1227)*AE282)</f>
        <v>0</v>
      </c>
      <c r="AF1227" s="652">
        <f>IF($B1227="",,SUMIFS(PerHeadcount[Month 21],PerHeadcount[exp_item],$H1227,PerHeadcount[company_name],$B1227)*AF282)</f>
        <v>0</v>
      </c>
      <c r="AG1227" s="652">
        <f>IF($B1227="",,SUMIFS(PerHeadcount[Month 22],PerHeadcount[exp_item],$H1227,PerHeadcount[company_name],$B1227)*AG282)</f>
        <v>0</v>
      </c>
      <c r="AH1227" s="652">
        <f>IF($B1227="",,SUMIFS(PerHeadcount[Month 23],PerHeadcount[exp_item],$H1227,PerHeadcount[company_name],$B1227)*AH282)</f>
        <v>0</v>
      </c>
      <c r="AI1227" s="652">
        <f>IF($B1227="",,SUMIFS(PerHeadcount[Month 24],PerHeadcount[exp_item],$H1227,PerHeadcount[company_name],$B1227)*AI282)</f>
        <v>0</v>
      </c>
      <c r="AJ1227" s="652">
        <f>IF($B1227="",,SUMIFS(PerHeadcount[Month 25],PerHeadcount[exp_item],$H1227,PerHeadcount[company_name],$B1227)*AJ282)</f>
        <v>0</v>
      </c>
      <c r="AK1227" s="652">
        <f>IF($B1227="",,SUMIFS(PerHeadcount[Month 26],PerHeadcount[exp_item],$H1227,PerHeadcount[company_name],$B1227)*AK282)</f>
        <v>0</v>
      </c>
      <c r="AL1227" s="652">
        <f>IF($B1227="",,SUMIFS(PerHeadcount[Month 27],PerHeadcount[exp_item],$H1227,PerHeadcount[company_name],$B1227)*AL282)</f>
        <v>0</v>
      </c>
      <c r="AM1227" s="652">
        <f>IF($B1227="",,SUMIFS(PerHeadcount[Month 28],PerHeadcount[exp_item],$H1227,PerHeadcount[company_name],$B1227)*AM282)</f>
        <v>0</v>
      </c>
      <c r="AN1227" s="652">
        <f>IF($B1227="",,SUMIFS(PerHeadcount[Month 29],PerHeadcount[exp_item],$H1227,PerHeadcount[company_name],$B1227)*AN282)</f>
        <v>0</v>
      </c>
      <c r="AO1227" s="652">
        <f>IF($B1227="",,SUMIFS(PerHeadcount[Month 30],PerHeadcount[exp_item],$H1227,PerHeadcount[company_name],$B1227)*AO282)</f>
        <v>0</v>
      </c>
      <c r="AP1227" s="652">
        <f>IF($B1227="",,SUMIFS(PerHeadcount[Month 31],PerHeadcount[exp_item],$H1227,PerHeadcount[company_name],$B1227)*AP282)</f>
        <v>0</v>
      </c>
      <c r="AQ1227" s="652">
        <f>IF($B1227="",,SUMIFS(PerHeadcount[Month 32],PerHeadcount[exp_item],$H1227,PerHeadcount[company_name],$B1227)*AQ282)</f>
        <v>0</v>
      </c>
      <c r="AR1227" s="652">
        <f>IF($B1227="",,SUMIFS(PerHeadcount[Month 33],PerHeadcount[exp_item],$H1227,PerHeadcount[company_name],$B1227)*AR282)</f>
        <v>0</v>
      </c>
      <c r="AS1227" s="652">
        <f>IF($B1227="",,SUMIFS(PerHeadcount[Month 34],PerHeadcount[exp_item],$H1227,PerHeadcount[company_name],$B1227)*AS282)</f>
        <v>0</v>
      </c>
      <c r="AT1227" s="652">
        <f>IF($B1227="",,SUMIFS(PerHeadcount[Month 35],PerHeadcount[exp_item],$H1227,PerHeadcount[company_name],$B1227)*AT282)</f>
        <v>0</v>
      </c>
      <c r="AU1227" s="652">
        <f>IF($B1227="",,SUMIFS(PerHeadcount[Month 36],PerHeadcount[exp_item],$H1227,PerHeadcount[company_name],$B1227)*AU282)</f>
        <v>0</v>
      </c>
    </row>
    <row r="1228" spans="2:47" x14ac:dyDescent="0.35">
      <c r="B1228" t="str">
        <f t="shared" ref="B1228:G1228" si="875">IF(B1123="","",B1123)</f>
        <v/>
      </c>
      <c r="C1228" t="str">
        <f t="shared" si="875"/>
        <v/>
      </c>
      <c r="D1228" t="str">
        <f t="shared" si="875"/>
        <v/>
      </c>
      <c r="E1228" t="str">
        <f t="shared" si="875"/>
        <v/>
      </c>
      <c r="F1228" t="str">
        <f t="shared" si="875"/>
        <v/>
      </c>
      <c r="G1228" t="str">
        <f t="shared" si="875"/>
        <v/>
      </c>
      <c r="H1228" t="str">
        <f t="shared" si="840"/>
        <v/>
      </c>
      <c r="J1228" t="str">
        <f>IF($H1228="","",IF(VLOOKUP(H1228,ExpItems[],2,0),H1228&amp;" - "&amp;INDEX(DivisionMapping[category_code],MATCH($D1228&amp;$C1228,DivisionMapping[dept_bu],0)),H1228))</f>
        <v/>
      </c>
      <c r="K1228" t="str">
        <f t="shared" si="843"/>
        <v/>
      </c>
      <c r="L1228" s="652">
        <f>IF($B1228="",,SUMIFS(PerHeadcount[Month 1],PerHeadcount[exp_item],$H1228,PerHeadcount[company_name],$B1228)*L283)</f>
        <v>0</v>
      </c>
      <c r="M1228" s="652">
        <f>IF($B1228="",,SUMIFS(PerHeadcount[Month 2],PerHeadcount[exp_item],$H1228,PerHeadcount[company_name],$B1228)*M283)</f>
        <v>0</v>
      </c>
      <c r="N1228" s="652">
        <f>IF($B1228="",,SUMIFS(PerHeadcount[Month 3],PerHeadcount[exp_item],$H1228,PerHeadcount[company_name],$B1228)*N283)</f>
        <v>0</v>
      </c>
      <c r="O1228" s="652">
        <f>IF($B1228="",,SUMIFS(PerHeadcount[Month 4],PerHeadcount[exp_item],$H1228,PerHeadcount[company_name],$B1228)*O283)</f>
        <v>0</v>
      </c>
      <c r="P1228" s="652">
        <f>IF($B1228="",,SUMIFS(PerHeadcount[Month 5],PerHeadcount[exp_item],$H1228,PerHeadcount[company_name],$B1228)*P283)</f>
        <v>0</v>
      </c>
      <c r="Q1228" s="652">
        <f>IF($B1228="",,SUMIFS(PerHeadcount[Month 6],PerHeadcount[exp_item],$H1228,PerHeadcount[company_name],$B1228)*Q283)</f>
        <v>0</v>
      </c>
      <c r="R1228" s="652">
        <f>IF($B1228="",,SUMIFS(PerHeadcount[Month 7],PerHeadcount[exp_item],$H1228,PerHeadcount[company_name],$B1228)*R283)</f>
        <v>0</v>
      </c>
      <c r="S1228" s="652">
        <f>IF($B1228="",,SUMIFS(PerHeadcount[Month 8],PerHeadcount[exp_item],$H1228,PerHeadcount[company_name],$B1228)*S283)</f>
        <v>0</v>
      </c>
      <c r="T1228" s="652">
        <f>IF($B1228="",,SUMIFS(PerHeadcount[Month 9],PerHeadcount[exp_item],$H1228,PerHeadcount[company_name],$B1228)*T283)</f>
        <v>0</v>
      </c>
      <c r="U1228" s="652">
        <f>IF($B1228="",,SUMIFS(PerHeadcount[Month 10],PerHeadcount[exp_item],$H1228,PerHeadcount[company_name],$B1228)*U283)</f>
        <v>0</v>
      </c>
      <c r="V1228" s="652">
        <f>IF($B1228="",,SUMIFS(PerHeadcount[Month 11],PerHeadcount[exp_item],$H1228,PerHeadcount[company_name],$B1228)*V283)</f>
        <v>0</v>
      </c>
      <c r="W1228" s="652">
        <f>IF($B1228="",,SUMIFS(PerHeadcount[Month 12],PerHeadcount[exp_item],$H1228,PerHeadcount[company_name],$B1228)*W283)</f>
        <v>0</v>
      </c>
      <c r="X1228" s="652">
        <f>IF($B1228="",,SUMIFS(PerHeadcount[Month 13],PerHeadcount[exp_item],$H1228,PerHeadcount[company_name],$B1228)*X283)</f>
        <v>0</v>
      </c>
      <c r="Y1228" s="652">
        <f>IF($B1228="",,SUMIFS(PerHeadcount[Month 14],PerHeadcount[exp_item],$H1228,PerHeadcount[company_name],$B1228)*Y283)</f>
        <v>0</v>
      </c>
      <c r="Z1228" s="652">
        <f>IF($B1228="",,SUMIFS(PerHeadcount[Month 15],PerHeadcount[exp_item],$H1228,PerHeadcount[company_name],$B1228)*Z283)</f>
        <v>0</v>
      </c>
      <c r="AA1228" s="652">
        <f>IF($B1228="",,SUMIFS(PerHeadcount[Month 16],PerHeadcount[exp_item],$H1228,PerHeadcount[company_name],$B1228)*AA283)</f>
        <v>0</v>
      </c>
      <c r="AB1228" s="652">
        <f>IF($B1228="",,SUMIFS(PerHeadcount[Month 17],PerHeadcount[exp_item],$H1228,PerHeadcount[company_name],$B1228)*AB283)</f>
        <v>0</v>
      </c>
      <c r="AC1228" s="652">
        <f>IF($B1228="",,SUMIFS(PerHeadcount[Month 18],PerHeadcount[exp_item],$H1228,PerHeadcount[company_name],$B1228)*AC283)</f>
        <v>0</v>
      </c>
      <c r="AD1228" s="652">
        <f>IF($B1228="",,SUMIFS(PerHeadcount[Month 19],PerHeadcount[exp_item],$H1228,PerHeadcount[company_name],$B1228)*AD283)</f>
        <v>0</v>
      </c>
      <c r="AE1228" s="652">
        <f>IF($B1228="",,SUMIFS(PerHeadcount[Month 20],PerHeadcount[exp_item],$H1228,PerHeadcount[company_name],$B1228)*AE283)</f>
        <v>0</v>
      </c>
      <c r="AF1228" s="652">
        <f>IF($B1228="",,SUMIFS(PerHeadcount[Month 21],PerHeadcount[exp_item],$H1228,PerHeadcount[company_name],$B1228)*AF283)</f>
        <v>0</v>
      </c>
      <c r="AG1228" s="652">
        <f>IF($B1228="",,SUMIFS(PerHeadcount[Month 22],PerHeadcount[exp_item],$H1228,PerHeadcount[company_name],$B1228)*AG283)</f>
        <v>0</v>
      </c>
      <c r="AH1228" s="652">
        <f>IF($B1228="",,SUMIFS(PerHeadcount[Month 23],PerHeadcount[exp_item],$H1228,PerHeadcount[company_name],$B1228)*AH283)</f>
        <v>0</v>
      </c>
      <c r="AI1228" s="652">
        <f>IF($B1228="",,SUMIFS(PerHeadcount[Month 24],PerHeadcount[exp_item],$H1228,PerHeadcount[company_name],$B1228)*AI283)</f>
        <v>0</v>
      </c>
      <c r="AJ1228" s="652">
        <f>IF($B1228="",,SUMIFS(PerHeadcount[Month 25],PerHeadcount[exp_item],$H1228,PerHeadcount[company_name],$B1228)*AJ283)</f>
        <v>0</v>
      </c>
      <c r="AK1228" s="652">
        <f>IF($B1228="",,SUMIFS(PerHeadcount[Month 26],PerHeadcount[exp_item],$H1228,PerHeadcount[company_name],$B1228)*AK283)</f>
        <v>0</v>
      </c>
      <c r="AL1228" s="652">
        <f>IF($B1228="",,SUMIFS(PerHeadcount[Month 27],PerHeadcount[exp_item],$H1228,PerHeadcount[company_name],$B1228)*AL283)</f>
        <v>0</v>
      </c>
      <c r="AM1228" s="652">
        <f>IF($B1228="",,SUMIFS(PerHeadcount[Month 28],PerHeadcount[exp_item],$H1228,PerHeadcount[company_name],$B1228)*AM283)</f>
        <v>0</v>
      </c>
      <c r="AN1228" s="652">
        <f>IF($B1228="",,SUMIFS(PerHeadcount[Month 29],PerHeadcount[exp_item],$H1228,PerHeadcount[company_name],$B1228)*AN283)</f>
        <v>0</v>
      </c>
      <c r="AO1228" s="652">
        <f>IF($B1228="",,SUMIFS(PerHeadcount[Month 30],PerHeadcount[exp_item],$H1228,PerHeadcount[company_name],$B1228)*AO283)</f>
        <v>0</v>
      </c>
      <c r="AP1228" s="652">
        <f>IF($B1228="",,SUMIFS(PerHeadcount[Month 31],PerHeadcount[exp_item],$H1228,PerHeadcount[company_name],$B1228)*AP283)</f>
        <v>0</v>
      </c>
      <c r="AQ1228" s="652">
        <f>IF($B1228="",,SUMIFS(PerHeadcount[Month 32],PerHeadcount[exp_item],$H1228,PerHeadcount[company_name],$B1228)*AQ283)</f>
        <v>0</v>
      </c>
      <c r="AR1228" s="652">
        <f>IF($B1228="",,SUMIFS(PerHeadcount[Month 33],PerHeadcount[exp_item],$H1228,PerHeadcount[company_name],$B1228)*AR283)</f>
        <v>0</v>
      </c>
      <c r="AS1228" s="652">
        <f>IF($B1228="",,SUMIFS(PerHeadcount[Month 34],PerHeadcount[exp_item],$H1228,PerHeadcount[company_name],$B1228)*AS283)</f>
        <v>0</v>
      </c>
      <c r="AT1228" s="652">
        <f>IF($B1228="",,SUMIFS(PerHeadcount[Month 35],PerHeadcount[exp_item],$H1228,PerHeadcount[company_name],$B1228)*AT283)</f>
        <v>0</v>
      </c>
      <c r="AU1228" s="652">
        <f>IF($B1228="",,SUMIFS(PerHeadcount[Month 36],PerHeadcount[exp_item],$H1228,PerHeadcount[company_name],$B1228)*AU283)</f>
        <v>0</v>
      </c>
    </row>
    <row r="1229" spans="2:47" x14ac:dyDescent="0.35">
      <c r="B1229" t="str">
        <f t="shared" ref="B1229:G1229" si="876">IF(B1124="","",B1124)</f>
        <v/>
      </c>
      <c r="C1229" t="str">
        <f t="shared" si="876"/>
        <v/>
      </c>
      <c r="D1229" t="str">
        <f t="shared" si="876"/>
        <v/>
      </c>
      <c r="E1229" t="str">
        <f t="shared" si="876"/>
        <v/>
      </c>
      <c r="F1229" t="str">
        <f t="shared" si="876"/>
        <v/>
      </c>
      <c r="G1229" t="str">
        <f t="shared" si="876"/>
        <v/>
      </c>
      <c r="H1229" t="str">
        <f t="shared" si="840"/>
        <v/>
      </c>
      <c r="J1229" t="str">
        <f>IF($H1229="","",IF(VLOOKUP(H1229,ExpItems[],2,0),H1229&amp;" - "&amp;INDEX(DivisionMapping[category_code],MATCH($D1229&amp;$C1229,DivisionMapping[dept_bu],0)),H1229))</f>
        <v/>
      </c>
      <c r="K1229" t="str">
        <f t="shared" si="843"/>
        <v/>
      </c>
      <c r="L1229" s="652">
        <f>IF($B1229="",,SUMIFS(PerHeadcount[Month 1],PerHeadcount[exp_item],$H1229,PerHeadcount[company_name],$B1229)*L284)</f>
        <v>0</v>
      </c>
      <c r="M1229" s="652">
        <f>IF($B1229="",,SUMIFS(PerHeadcount[Month 2],PerHeadcount[exp_item],$H1229,PerHeadcount[company_name],$B1229)*M284)</f>
        <v>0</v>
      </c>
      <c r="N1229" s="652">
        <f>IF($B1229="",,SUMIFS(PerHeadcount[Month 3],PerHeadcount[exp_item],$H1229,PerHeadcount[company_name],$B1229)*N284)</f>
        <v>0</v>
      </c>
      <c r="O1229" s="652">
        <f>IF($B1229="",,SUMIFS(PerHeadcount[Month 4],PerHeadcount[exp_item],$H1229,PerHeadcount[company_name],$B1229)*O284)</f>
        <v>0</v>
      </c>
      <c r="P1229" s="652">
        <f>IF($B1229="",,SUMIFS(PerHeadcount[Month 5],PerHeadcount[exp_item],$H1229,PerHeadcount[company_name],$B1229)*P284)</f>
        <v>0</v>
      </c>
      <c r="Q1229" s="652">
        <f>IF($B1229="",,SUMIFS(PerHeadcount[Month 6],PerHeadcount[exp_item],$H1229,PerHeadcount[company_name],$B1229)*Q284)</f>
        <v>0</v>
      </c>
      <c r="R1229" s="652">
        <f>IF($B1229="",,SUMIFS(PerHeadcount[Month 7],PerHeadcount[exp_item],$H1229,PerHeadcount[company_name],$B1229)*R284)</f>
        <v>0</v>
      </c>
      <c r="S1229" s="652">
        <f>IF($B1229="",,SUMIFS(PerHeadcount[Month 8],PerHeadcount[exp_item],$H1229,PerHeadcount[company_name],$B1229)*S284)</f>
        <v>0</v>
      </c>
      <c r="T1229" s="652">
        <f>IF($B1229="",,SUMIFS(PerHeadcount[Month 9],PerHeadcount[exp_item],$H1229,PerHeadcount[company_name],$B1229)*T284)</f>
        <v>0</v>
      </c>
      <c r="U1229" s="652">
        <f>IF($B1229="",,SUMIFS(PerHeadcount[Month 10],PerHeadcount[exp_item],$H1229,PerHeadcount[company_name],$B1229)*U284)</f>
        <v>0</v>
      </c>
      <c r="V1229" s="652">
        <f>IF($B1229="",,SUMIFS(PerHeadcount[Month 11],PerHeadcount[exp_item],$H1229,PerHeadcount[company_name],$B1229)*V284)</f>
        <v>0</v>
      </c>
      <c r="W1229" s="652">
        <f>IF($B1229="",,SUMIFS(PerHeadcount[Month 12],PerHeadcount[exp_item],$H1229,PerHeadcount[company_name],$B1229)*W284)</f>
        <v>0</v>
      </c>
      <c r="X1229" s="652">
        <f>IF($B1229="",,SUMIFS(PerHeadcount[Month 13],PerHeadcount[exp_item],$H1229,PerHeadcount[company_name],$B1229)*X284)</f>
        <v>0</v>
      </c>
      <c r="Y1229" s="652">
        <f>IF($B1229="",,SUMIFS(PerHeadcount[Month 14],PerHeadcount[exp_item],$H1229,PerHeadcount[company_name],$B1229)*Y284)</f>
        <v>0</v>
      </c>
      <c r="Z1229" s="652">
        <f>IF($B1229="",,SUMIFS(PerHeadcount[Month 15],PerHeadcount[exp_item],$H1229,PerHeadcount[company_name],$B1229)*Z284)</f>
        <v>0</v>
      </c>
      <c r="AA1229" s="652">
        <f>IF($B1229="",,SUMIFS(PerHeadcount[Month 16],PerHeadcount[exp_item],$H1229,PerHeadcount[company_name],$B1229)*AA284)</f>
        <v>0</v>
      </c>
      <c r="AB1229" s="652">
        <f>IF($B1229="",,SUMIFS(PerHeadcount[Month 17],PerHeadcount[exp_item],$H1229,PerHeadcount[company_name],$B1229)*AB284)</f>
        <v>0</v>
      </c>
      <c r="AC1229" s="652">
        <f>IF($B1229="",,SUMIFS(PerHeadcount[Month 18],PerHeadcount[exp_item],$H1229,PerHeadcount[company_name],$B1229)*AC284)</f>
        <v>0</v>
      </c>
      <c r="AD1229" s="652">
        <f>IF($B1229="",,SUMIFS(PerHeadcount[Month 19],PerHeadcount[exp_item],$H1229,PerHeadcount[company_name],$B1229)*AD284)</f>
        <v>0</v>
      </c>
      <c r="AE1229" s="652">
        <f>IF($B1229="",,SUMIFS(PerHeadcount[Month 20],PerHeadcount[exp_item],$H1229,PerHeadcount[company_name],$B1229)*AE284)</f>
        <v>0</v>
      </c>
      <c r="AF1229" s="652">
        <f>IF($B1229="",,SUMIFS(PerHeadcount[Month 21],PerHeadcount[exp_item],$H1229,PerHeadcount[company_name],$B1229)*AF284)</f>
        <v>0</v>
      </c>
      <c r="AG1229" s="652">
        <f>IF($B1229="",,SUMIFS(PerHeadcount[Month 22],PerHeadcount[exp_item],$H1229,PerHeadcount[company_name],$B1229)*AG284)</f>
        <v>0</v>
      </c>
      <c r="AH1229" s="652">
        <f>IF($B1229="",,SUMIFS(PerHeadcount[Month 23],PerHeadcount[exp_item],$H1229,PerHeadcount[company_name],$B1229)*AH284)</f>
        <v>0</v>
      </c>
      <c r="AI1229" s="652">
        <f>IF($B1229="",,SUMIFS(PerHeadcount[Month 24],PerHeadcount[exp_item],$H1229,PerHeadcount[company_name],$B1229)*AI284)</f>
        <v>0</v>
      </c>
      <c r="AJ1229" s="652">
        <f>IF($B1229="",,SUMIFS(PerHeadcount[Month 25],PerHeadcount[exp_item],$H1229,PerHeadcount[company_name],$B1229)*AJ284)</f>
        <v>0</v>
      </c>
      <c r="AK1229" s="652">
        <f>IF($B1229="",,SUMIFS(PerHeadcount[Month 26],PerHeadcount[exp_item],$H1229,PerHeadcount[company_name],$B1229)*AK284)</f>
        <v>0</v>
      </c>
      <c r="AL1229" s="652">
        <f>IF($B1229="",,SUMIFS(PerHeadcount[Month 27],PerHeadcount[exp_item],$H1229,PerHeadcount[company_name],$B1229)*AL284)</f>
        <v>0</v>
      </c>
      <c r="AM1229" s="652">
        <f>IF($B1229="",,SUMIFS(PerHeadcount[Month 28],PerHeadcount[exp_item],$H1229,PerHeadcount[company_name],$B1229)*AM284)</f>
        <v>0</v>
      </c>
      <c r="AN1229" s="652">
        <f>IF($B1229="",,SUMIFS(PerHeadcount[Month 29],PerHeadcount[exp_item],$H1229,PerHeadcount[company_name],$B1229)*AN284)</f>
        <v>0</v>
      </c>
      <c r="AO1229" s="652">
        <f>IF($B1229="",,SUMIFS(PerHeadcount[Month 30],PerHeadcount[exp_item],$H1229,PerHeadcount[company_name],$B1229)*AO284)</f>
        <v>0</v>
      </c>
      <c r="AP1229" s="652">
        <f>IF($B1229="",,SUMIFS(PerHeadcount[Month 31],PerHeadcount[exp_item],$H1229,PerHeadcount[company_name],$B1229)*AP284)</f>
        <v>0</v>
      </c>
      <c r="AQ1229" s="652">
        <f>IF($B1229="",,SUMIFS(PerHeadcount[Month 32],PerHeadcount[exp_item],$H1229,PerHeadcount[company_name],$B1229)*AQ284)</f>
        <v>0</v>
      </c>
      <c r="AR1229" s="652">
        <f>IF($B1229="",,SUMIFS(PerHeadcount[Month 33],PerHeadcount[exp_item],$H1229,PerHeadcount[company_name],$B1229)*AR284)</f>
        <v>0</v>
      </c>
      <c r="AS1229" s="652">
        <f>IF($B1229="",,SUMIFS(PerHeadcount[Month 34],PerHeadcount[exp_item],$H1229,PerHeadcount[company_name],$B1229)*AS284)</f>
        <v>0</v>
      </c>
      <c r="AT1229" s="652">
        <f>IF($B1229="",,SUMIFS(PerHeadcount[Month 35],PerHeadcount[exp_item],$H1229,PerHeadcount[company_name],$B1229)*AT284)</f>
        <v>0</v>
      </c>
      <c r="AU1229" s="652">
        <f>IF($B1229="",,SUMIFS(PerHeadcount[Month 36],PerHeadcount[exp_item],$H1229,PerHeadcount[company_name],$B1229)*AU284)</f>
        <v>0</v>
      </c>
    </row>
    <row r="1230" spans="2:47" x14ac:dyDescent="0.35">
      <c r="B1230" t="str">
        <f t="shared" ref="B1230:G1230" si="877">IF(B1125="","",B1125)</f>
        <v/>
      </c>
      <c r="C1230" t="str">
        <f t="shared" si="877"/>
        <v/>
      </c>
      <c r="D1230" t="str">
        <f t="shared" si="877"/>
        <v/>
      </c>
      <c r="E1230" t="str">
        <f t="shared" si="877"/>
        <v/>
      </c>
      <c r="F1230" t="str">
        <f t="shared" si="877"/>
        <v/>
      </c>
      <c r="G1230" t="str">
        <f t="shared" si="877"/>
        <v/>
      </c>
      <c r="H1230" t="str">
        <f t="shared" si="840"/>
        <v/>
      </c>
      <c r="J1230" t="str">
        <f>IF($H1230="","",IF(VLOOKUP(H1230,ExpItems[],2,0),H1230&amp;" - "&amp;INDEX(DivisionMapping[category_code],MATCH($D1230&amp;$C1230,DivisionMapping[dept_bu],0)),H1230))</f>
        <v/>
      </c>
      <c r="K1230" t="str">
        <f t="shared" si="843"/>
        <v/>
      </c>
      <c r="L1230" s="652">
        <f>IF($B1230="",,SUMIFS(PerHeadcount[Month 1],PerHeadcount[exp_item],$H1230,PerHeadcount[company_name],$B1230)*L285)</f>
        <v>0</v>
      </c>
      <c r="M1230" s="652">
        <f>IF($B1230="",,SUMIFS(PerHeadcount[Month 2],PerHeadcount[exp_item],$H1230,PerHeadcount[company_name],$B1230)*M285)</f>
        <v>0</v>
      </c>
      <c r="N1230" s="652">
        <f>IF($B1230="",,SUMIFS(PerHeadcount[Month 3],PerHeadcount[exp_item],$H1230,PerHeadcount[company_name],$B1230)*N285)</f>
        <v>0</v>
      </c>
      <c r="O1230" s="652">
        <f>IF($B1230="",,SUMIFS(PerHeadcount[Month 4],PerHeadcount[exp_item],$H1230,PerHeadcount[company_name],$B1230)*O285)</f>
        <v>0</v>
      </c>
      <c r="P1230" s="652">
        <f>IF($B1230="",,SUMIFS(PerHeadcount[Month 5],PerHeadcount[exp_item],$H1230,PerHeadcount[company_name],$B1230)*P285)</f>
        <v>0</v>
      </c>
      <c r="Q1230" s="652">
        <f>IF($B1230="",,SUMIFS(PerHeadcount[Month 6],PerHeadcount[exp_item],$H1230,PerHeadcount[company_name],$B1230)*Q285)</f>
        <v>0</v>
      </c>
      <c r="R1230" s="652">
        <f>IF($B1230="",,SUMIFS(PerHeadcount[Month 7],PerHeadcount[exp_item],$H1230,PerHeadcount[company_name],$B1230)*R285)</f>
        <v>0</v>
      </c>
      <c r="S1230" s="652">
        <f>IF($B1230="",,SUMIFS(PerHeadcount[Month 8],PerHeadcount[exp_item],$H1230,PerHeadcount[company_name],$B1230)*S285)</f>
        <v>0</v>
      </c>
      <c r="T1230" s="652">
        <f>IF($B1230="",,SUMIFS(PerHeadcount[Month 9],PerHeadcount[exp_item],$H1230,PerHeadcount[company_name],$B1230)*T285)</f>
        <v>0</v>
      </c>
      <c r="U1230" s="652">
        <f>IF($B1230="",,SUMIFS(PerHeadcount[Month 10],PerHeadcount[exp_item],$H1230,PerHeadcount[company_name],$B1230)*U285)</f>
        <v>0</v>
      </c>
      <c r="V1230" s="652">
        <f>IF($B1230="",,SUMIFS(PerHeadcount[Month 11],PerHeadcount[exp_item],$H1230,PerHeadcount[company_name],$B1230)*V285)</f>
        <v>0</v>
      </c>
      <c r="W1230" s="652">
        <f>IF($B1230="",,SUMIFS(PerHeadcount[Month 12],PerHeadcount[exp_item],$H1230,PerHeadcount[company_name],$B1230)*W285)</f>
        <v>0</v>
      </c>
      <c r="X1230" s="652">
        <f>IF($B1230="",,SUMIFS(PerHeadcount[Month 13],PerHeadcount[exp_item],$H1230,PerHeadcount[company_name],$B1230)*X285)</f>
        <v>0</v>
      </c>
      <c r="Y1230" s="652">
        <f>IF($B1230="",,SUMIFS(PerHeadcount[Month 14],PerHeadcount[exp_item],$H1230,PerHeadcount[company_name],$B1230)*Y285)</f>
        <v>0</v>
      </c>
      <c r="Z1230" s="652">
        <f>IF($B1230="",,SUMIFS(PerHeadcount[Month 15],PerHeadcount[exp_item],$H1230,PerHeadcount[company_name],$B1230)*Z285)</f>
        <v>0</v>
      </c>
      <c r="AA1230" s="652">
        <f>IF($B1230="",,SUMIFS(PerHeadcount[Month 16],PerHeadcount[exp_item],$H1230,PerHeadcount[company_name],$B1230)*AA285)</f>
        <v>0</v>
      </c>
      <c r="AB1230" s="652">
        <f>IF($B1230="",,SUMIFS(PerHeadcount[Month 17],PerHeadcount[exp_item],$H1230,PerHeadcount[company_name],$B1230)*AB285)</f>
        <v>0</v>
      </c>
      <c r="AC1230" s="652">
        <f>IF($B1230="",,SUMIFS(PerHeadcount[Month 18],PerHeadcount[exp_item],$H1230,PerHeadcount[company_name],$B1230)*AC285)</f>
        <v>0</v>
      </c>
      <c r="AD1230" s="652">
        <f>IF($B1230="",,SUMIFS(PerHeadcount[Month 19],PerHeadcount[exp_item],$H1230,PerHeadcount[company_name],$B1230)*AD285)</f>
        <v>0</v>
      </c>
      <c r="AE1230" s="652">
        <f>IF($B1230="",,SUMIFS(PerHeadcount[Month 20],PerHeadcount[exp_item],$H1230,PerHeadcount[company_name],$B1230)*AE285)</f>
        <v>0</v>
      </c>
      <c r="AF1230" s="652">
        <f>IF($B1230="",,SUMIFS(PerHeadcount[Month 21],PerHeadcount[exp_item],$H1230,PerHeadcount[company_name],$B1230)*AF285)</f>
        <v>0</v>
      </c>
      <c r="AG1230" s="652">
        <f>IF($B1230="",,SUMIFS(PerHeadcount[Month 22],PerHeadcount[exp_item],$H1230,PerHeadcount[company_name],$B1230)*AG285)</f>
        <v>0</v>
      </c>
      <c r="AH1230" s="652">
        <f>IF($B1230="",,SUMIFS(PerHeadcount[Month 23],PerHeadcount[exp_item],$H1230,PerHeadcount[company_name],$B1230)*AH285)</f>
        <v>0</v>
      </c>
      <c r="AI1230" s="652">
        <f>IF($B1230="",,SUMIFS(PerHeadcount[Month 24],PerHeadcount[exp_item],$H1230,PerHeadcount[company_name],$B1230)*AI285)</f>
        <v>0</v>
      </c>
      <c r="AJ1230" s="652">
        <f>IF($B1230="",,SUMIFS(PerHeadcount[Month 25],PerHeadcount[exp_item],$H1230,PerHeadcount[company_name],$B1230)*AJ285)</f>
        <v>0</v>
      </c>
      <c r="AK1230" s="652">
        <f>IF($B1230="",,SUMIFS(PerHeadcount[Month 26],PerHeadcount[exp_item],$H1230,PerHeadcount[company_name],$B1230)*AK285)</f>
        <v>0</v>
      </c>
      <c r="AL1230" s="652">
        <f>IF($B1230="",,SUMIFS(PerHeadcount[Month 27],PerHeadcount[exp_item],$H1230,PerHeadcount[company_name],$B1230)*AL285)</f>
        <v>0</v>
      </c>
      <c r="AM1230" s="652">
        <f>IF($B1230="",,SUMIFS(PerHeadcount[Month 28],PerHeadcount[exp_item],$H1230,PerHeadcount[company_name],$B1230)*AM285)</f>
        <v>0</v>
      </c>
      <c r="AN1230" s="652">
        <f>IF($B1230="",,SUMIFS(PerHeadcount[Month 29],PerHeadcount[exp_item],$H1230,PerHeadcount[company_name],$B1230)*AN285)</f>
        <v>0</v>
      </c>
      <c r="AO1230" s="652">
        <f>IF($B1230="",,SUMIFS(PerHeadcount[Month 30],PerHeadcount[exp_item],$H1230,PerHeadcount[company_name],$B1230)*AO285)</f>
        <v>0</v>
      </c>
      <c r="AP1230" s="652">
        <f>IF($B1230="",,SUMIFS(PerHeadcount[Month 31],PerHeadcount[exp_item],$H1230,PerHeadcount[company_name],$B1230)*AP285)</f>
        <v>0</v>
      </c>
      <c r="AQ1230" s="652">
        <f>IF($B1230="",,SUMIFS(PerHeadcount[Month 32],PerHeadcount[exp_item],$H1230,PerHeadcount[company_name],$B1230)*AQ285)</f>
        <v>0</v>
      </c>
      <c r="AR1230" s="652">
        <f>IF($B1230="",,SUMIFS(PerHeadcount[Month 33],PerHeadcount[exp_item],$H1230,PerHeadcount[company_name],$B1230)*AR285)</f>
        <v>0</v>
      </c>
      <c r="AS1230" s="652">
        <f>IF($B1230="",,SUMIFS(PerHeadcount[Month 34],PerHeadcount[exp_item],$H1230,PerHeadcount[company_name],$B1230)*AS285)</f>
        <v>0</v>
      </c>
      <c r="AT1230" s="652">
        <f>IF($B1230="",,SUMIFS(PerHeadcount[Month 35],PerHeadcount[exp_item],$H1230,PerHeadcount[company_name],$B1230)*AT285)</f>
        <v>0</v>
      </c>
      <c r="AU1230" s="652">
        <f>IF($B1230="",,SUMIFS(PerHeadcount[Month 36],PerHeadcount[exp_item],$H1230,PerHeadcount[company_name],$B1230)*AU285)</f>
        <v>0</v>
      </c>
    </row>
    <row r="1231" spans="2:47" x14ac:dyDescent="0.35">
      <c r="B1231" t="str">
        <f t="shared" ref="B1231:G1231" si="878">IF(B1126="","",B1126)</f>
        <v/>
      </c>
      <c r="C1231" t="str">
        <f t="shared" si="878"/>
        <v/>
      </c>
      <c r="D1231" t="str">
        <f t="shared" si="878"/>
        <v/>
      </c>
      <c r="E1231" t="str">
        <f t="shared" si="878"/>
        <v/>
      </c>
      <c r="F1231" t="str">
        <f t="shared" si="878"/>
        <v/>
      </c>
      <c r="G1231" t="str">
        <f t="shared" si="878"/>
        <v/>
      </c>
      <c r="H1231" t="str">
        <f t="shared" si="840"/>
        <v/>
      </c>
      <c r="J1231" t="str">
        <f>IF($H1231="","",IF(VLOOKUP(H1231,ExpItems[],2,0),H1231&amp;" - "&amp;INDEX(DivisionMapping[category_code],MATCH($D1231&amp;$C1231,DivisionMapping[dept_bu],0)),H1231))</f>
        <v/>
      </c>
      <c r="K1231" t="str">
        <f t="shared" si="843"/>
        <v/>
      </c>
      <c r="L1231" s="652">
        <f>IF($B1231="",,SUMIFS(PerHeadcount[Month 1],PerHeadcount[exp_item],$H1231,PerHeadcount[company_name],$B1231)*L286)</f>
        <v>0</v>
      </c>
      <c r="M1231" s="652">
        <f>IF($B1231="",,SUMIFS(PerHeadcount[Month 2],PerHeadcount[exp_item],$H1231,PerHeadcount[company_name],$B1231)*M286)</f>
        <v>0</v>
      </c>
      <c r="N1231" s="652">
        <f>IF($B1231="",,SUMIFS(PerHeadcount[Month 3],PerHeadcount[exp_item],$H1231,PerHeadcount[company_name],$B1231)*N286)</f>
        <v>0</v>
      </c>
      <c r="O1231" s="652">
        <f>IF($B1231="",,SUMIFS(PerHeadcount[Month 4],PerHeadcount[exp_item],$H1231,PerHeadcount[company_name],$B1231)*O286)</f>
        <v>0</v>
      </c>
      <c r="P1231" s="652">
        <f>IF($B1231="",,SUMIFS(PerHeadcount[Month 5],PerHeadcount[exp_item],$H1231,PerHeadcount[company_name],$B1231)*P286)</f>
        <v>0</v>
      </c>
      <c r="Q1231" s="652">
        <f>IF($B1231="",,SUMIFS(PerHeadcount[Month 6],PerHeadcount[exp_item],$H1231,PerHeadcount[company_name],$B1231)*Q286)</f>
        <v>0</v>
      </c>
      <c r="R1231" s="652">
        <f>IF($B1231="",,SUMIFS(PerHeadcount[Month 7],PerHeadcount[exp_item],$H1231,PerHeadcount[company_name],$B1231)*R286)</f>
        <v>0</v>
      </c>
      <c r="S1231" s="652">
        <f>IF($B1231="",,SUMIFS(PerHeadcount[Month 8],PerHeadcount[exp_item],$H1231,PerHeadcount[company_name],$B1231)*S286)</f>
        <v>0</v>
      </c>
      <c r="T1231" s="652">
        <f>IF($B1231="",,SUMIFS(PerHeadcount[Month 9],PerHeadcount[exp_item],$H1231,PerHeadcount[company_name],$B1231)*T286)</f>
        <v>0</v>
      </c>
      <c r="U1231" s="652">
        <f>IF($B1231="",,SUMIFS(PerHeadcount[Month 10],PerHeadcount[exp_item],$H1231,PerHeadcount[company_name],$B1231)*U286)</f>
        <v>0</v>
      </c>
      <c r="V1231" s="652">
        <f>IF($B1231="",,SUMIFS(PerHeadcount[Month 11],PerHeadcount[exp_item],$H1231,PerHeadcount[company_name],$B1231)*V286)</f>
        <v>0</v>
      </c>
      <c r="W1231" s="652">
        <f>IF($B1231="",,SUMIFS(PerHeadcount[Month 12],PerHeadcount[exp_item],$H1231,PerHeadcount[company_name],$B1231)*W286)</f>
        <v>0</v>
      </c>
      <c r="X1231" s="652">
        <f>IF($B1231="",,SUMIFS(PerHeadcount[Month 13],PerHeadcount[exp_item],$H1231,PerHeadcount[company_name],$B1231)*X286)</f>
        <v>0</v>
      </c>
      <c r="Y1231" s="652">
        <f>IF($B1231="",,SUMIFS(PerHeadcount[Month 14],PerHeadcount[exp_item],$H1231,PerHeadcount[company_name],$B1231)*Y286)</f>
        <v>0</v>
      </c>
      <c r="Z1231" s="652">
        <f>IF($B1231="",,SUMIFS(PerHeadcount[Month 15],PerHeadcount[exp_item],$H1231,PerHeadcount[company_name],$B1231)*Z286)</f>
        <v>0</v>
      </c>
      <c r="AA1231" s="652">
        <f>IF($B1231="",,SUMIFS(PerHeadcount[Month 16],PerHeadcount[exp_item],$H1231,PerHeadcount[company_name],$B1231)*AA286)</f>
        <v>0</v>
      </c>
      <c r="AB1231" s="652">
        <f>IF($B1231="",,SUMIFS(PerHeadcount[Month 17],PerHeadcount[exp_item],$H1231,PerHeadcount[company_name],$B1231)*AB286)</f>
        <v>0</v>
      </c>
      <c r="AC1231" s="652">
        <f>IF($B1231="",,SUMIFS(PerHeadcount[Month 18],PerHeadcount[exp_item],$H1231,PerHeadcount[company_name],$B1231)*AC286)</f>
        <v>0</v>
      </c>
      <c r="AD1231" s="652">
        <f>IF($B1231="",,SUMIFS(PerHeadcount[Month 19],PerHeadcount[exp_item],$H1231,PerHeadcount[company_name],$B1231)*AD286)</f>
        <v>0</v>
      </c>
      <c r="AE1231" s="652">
        <f>IF($B1231="",,SUMIFS(PerHeadcount[Month 20],PerHeadcount[exp_item],$H1231,PerHeadcount[company_name],$B1231)*AE286)</f>
        <v>0</v>
      </c>
      <c r="AF1231" s="652">
        <f>IF($B1231="",,SUMIFS(PerHeadcount[Month 21],PerHeadcount[exp_item],$H1231,PerHeadcount[company_name],$B1231)*AF286)</f>
        <v>0</v>
      </c>
      <c r="AG1231" s="652">
        <f>IF($B1231="",,SUMIFS(PerHeadcount[Month 22],PerHeadcount[exp_item],$H1231,PerHeadcount[company_name],$B1231)*AG286)</f>
        <v>0</v>
      </c>
      <c r="AH1231" s="652">
        <f>IF($B1231="",,SUMIFS(PerHeadcount[Month 23],PerHeadcount[exp_item],$H1231,PerHeadcount[company_name],$B1231)*AH286)</f>
        <v>0</v>
      </c>
      <c r="AI1231" s="652">
        <f>IF($B1231="",,SUMIFS(PerHeadcount[Month 24],PerHeadcount[exp_item],$H1231,PerHeadcount[company_name],$B1231)*AI286)</f>
        <v>0</v>
      </c>
      <c r="AJ1231" s="652">
        <f>IF($B1231="",,SUMIFS(PerHeadcount[Month 25],PerHeadcount[exp_item],$H1231,PerHeadcount[company_name],$B1231)*AJ286)</f>
        <v>0</v>
      </c>
      <c r="AK1231" s="652">
        <f>IF($B1231="",,SUMIFS(PerHeadcount[Month 26],PerHeadcount[exp_item],$H1231,PerHeadcount[company_name],$B1231)*AK286)</f>
        <v>0</v>
      </c>
      <c r="AL1231" s="652">
        <f>IF($B1231="",,SUMIFS(PerHeadcount[Month 27],PerHeadcount[exp_item],$H1231,PerHeadcount[company_name],$B1231)*AL286)</f>
        <v>0</v>
      </c>
      <c r="AM1231" s="652">
        <f>IF($B1231="",,SUMIFS(PerHeadcount[Month 28],PerHeadcount[exp_item],$H1231,PerHeadcount[company_name],$B1231)*AM286)</f>
        <v>0</v>
      </c>
      <c r="AN1231" s="652">
        <f>IF($B1231="",,SUMIFS(PerHeadcount[Month 29],PerHeadcount[exp_item],$H1231,PerHeadcount[company_name],$B1231)*AN286)</f>
        <v>0</v>
      </c>
      <c r="AO1231" s="652">
        <f>IF($B1231="",,SUMIFS(PerHeadcount[Month 30],PerHeadcount[exp_item],$H1231,PerHeadcount[company_name],$B1231)*AO286)</f>
        <v>0</v>
      </c>
      <c r="AP1231" s="652">
        <f>IF($B1231="",,SUMIFS(PerHeadcount[Month 31],PerHeadcount[exp_item],$H1231,PerHeadcount[company_name],$B1231)*AP286)</f>
        <v>0</v>
      </c>
      <c r="AQ1231" s="652">
        <f>IF($B1231="",,SUMIFS(PerHeadcount[Month 32],PerHeadcount[exp_item],$H1231,PerHeadcount[company_name],$B1231)*AQ286)</f>
        <v>0</v>
      </c>
      <c r="AR1231" s="652">
        <f>IF($B1231="",,SUMIFS(PerHeadcount[Month 33],PerHeadcount[exp_item],$H1231,PerHeadcount[company_name],$B1231)*AR286)</f>
        <v>0</v>
      </c>
      <c r="AS1231" s="652">
        <f>IF($B1231="",,SUMIFS(PerHeadcount[Month 34],PerHeadcount[exp_item],$H1231,PerHeadcount[company_name],$B1231)*AS286)</f>
        <v>0</v>
      </c>
      <c r="AT1231" s="652">
        <f>IF($B1231="",,SUMIFS(PerHeadcount[Month 35],PerHeadcount[exp_item],$H1231,PerHeadcount[company_name],$B1231)*AT286)</f>
        <v>0</v>
      </c>
      <c r="AU1231" s="652">
        <f>IF($B1231="",,SUMIFS(PerHeadcount[Month 36],PerHeadcount[exp_item],$H1231,PerHeadcount[company_name],$B1231)*AU286)</f>
        <v>0</v>
      </c>
    </row>
    <row r="1233" spans="1:52" x14ac:dyDescent="0.35">
      <c r="A1233" s="285" t="s">
        <v>1157</v>
      </c>
      <c r="B1233" s="285" t="s">
        <v>1157</v>
      </c>
      <c r="C1233" s="285" t="s">
        <v>1157</v>
      </c>
      <c r="D1233" s="285" t="s">
        <v>1157</v>
      </c>
      <c r="E1233" s="285" t="s">
        <v>1157</v>
      </c>
      <c r="F1233" s="285" t="s">
        <v>1157</v>
      </c>
      <c r="G1233" s="285" t="s">
        <v>1157</v>
      </c>
      <c r="H1233" s="285" t="s">
        <v>1157</v>
      </c>
      <c r="I1233" s="285" t="s">
        <v>1157</v>
      </c>
      <c r="J1233" s="285" t="s">
        <v>1157</v>
      </c>
      <c r="K1233" s="285" t="s">
        <v>1157</v>
      </c>
      <c r="L1233" s="285" t="s">
        <v>1157</v>
      </c>
      <c r="M1233" s="285" t="s">
        <v>1157</v>
      </c>
      <c r="N1233" s="285" t="s">
        <v>1157</v>
      </c>
      <c r="O1233" s="285" t="s">
        <v>1157</v>
      </c>
      <c r="P1233" s="285" t="s">
        <v>1157</v>
      </c>
      <c r="Q1233" s="285" t="s">
        <v>1157</v>
      </c>
      <c r="R1233" s="285" t="s">
        <v>1157</v>
      </c>
      <c r="S1233" s="285" t="s">
        <v>1157</v>
      </c>
      <c r="T1233" s="285" t="s">
        <v>1157</v>
      </c>
      <c r="U1233" s="285" t="s">
        <v>1157</v>
      </c>
      <c r="V1233" s="285" t="s">
        <v>1157</v>
      </c>
      <c r="W1233" s="285" t="s">
        <v>1157</v>
      </c>
      <c r="X1233" s="285" t="s">
        <v>1157</v>
      </c>
      <c r="Y1233" s="285" t="s">
        <v>1157</v>
      </c>
      <c r="Z1233" s="285" t="s">
        <v>1157</v>
      </c>
      <c r="AA1233" s="285" t="s">
        <v>1157</v>
      </c>
      <c r="AB1233" s="285" t="s">
        <v>1157</v>
      </c>
      <c r="AC1233" s="285" t="s">
        <v>1157</v>
      </c>
      <c r="AD1233" s="285" t="s">
        <v>1157</v>
      </c>
      <c r="AE1233" s="285" t="s">
        <v>1157</v>
      </c>
      <c r="AF1233" s="285" t="s">
        <v>1157</v>
      </c>
      <c r="AG1233" s="285" t="s">
        <v>1157</v>
      </c>
      <c r="AH1233" s="285" t="s">
        <v>1157</v>
      </c>
      <c r="AI1233" s="285" t="s">
        <v>1157</v>
      </c>
      <c r="AJ1233" s="285" t="s">
        <v>1157</v>
      </c>
      <c r="AK1233" s="285" t="s">
        <v>1157</v>
      </c>
      <c r="AL1233" s="285" t="s">
        <v>1157</v>
      </c>
      <c r="AM1233" s="285" t="s">
        <v>1157</v>
      </c>
      <c r="AN1233" s="285" t="s">
        <v>1157</v>
      </c>
      <c r="AO1233" s="285" t="s">
        <v>1157</v>
      </c>
      <c r="AP1233" s="285" t="s">
        <v>1157</v>
      </c>
      <c r="AQ1233" s="285" t="s">
        <v>1157</v>
      </c>
      <c r="AR1233" s="285" t="s">
        <v>1157</v>
      </c>
      <c r="AS1233" s="285" t="s">
        <v>1157</v>
      </c>
      <c r="AT1233" s="285" t="s">
        <v>1157</v>
      </c>
      <c r="AU1233" s="285" t="s">
        <v>1157</v>
      </c>
      <c r="AV1233" s="285" t="s">
        <v>1157</v>
      </c>
      <c r="AW1233" s="285" t="s">
        <v>1157</v>
      </c>
      <c r="AX1233" s="285" t="s">
        <v>1157</v>
      </c>
      <c r="AY1233" s="285" t="s">
        <v>1157</v>
      </c>
      <c r="AZ1233" s="285" t="s">
        <v>1157</v>
      </c>
    </row>
    <row r="1235" spans="1:52" ht="23.5" x14ac:dyDescent="0.55000000000000004">
      <c r="B1235" s="252" t="s">
        <v>29</v>
      </c>
    </row>
    <row r="1236" spans="1:52" x14ac:dyDescent="0.35">
      <c r="B1236" t="str">
        <f t="shared" ref="B1236:G1236" si="879">IF(B1131="","",B1131)</f>
        <v/>
      </c>
      <c r="C1236" t="str">
        <f t="shared" si="879"/>
        <v/>
      </c>
      <c r="D1236" t="str">
        <f t="shared" si="879"/>
        <v/>
      </c>
      <c r="E1236" t="str">
        <f t="shared" si="879"/>
        <v/>
      </c>
      <c r="F1236" t="str">
        <f t="shared" si="879"/>
        <v/>
      </c>
      <c r="G1236" t="str">
        <f t="shared" si="879"/>
        <v/>
      </c>
      <c r="H1236" t="str">
        <f t="shared" ref="H1236:H1267" si="880">IF(B1236="","",$B$1235)</f>
        <v/>
      </c>
      <c r="J1236" t="str">
        <f>IF($H1236="","",IF(VLOOKUP(H1236,ExpItems[],2,0),H1236&amp;" - "&amp;INDEX(DivisionMapping[category_code],MATCH($D1236&amp;$C1236,DivisionMapping[dept_bu],0)),H1236))</f>
        <v/>
      </c>
      <c r="K1236" t="str">
        <f>K1131</f>
        <v/>
      </c>
      <c r="L1236" s="652">
        <f>IF($B1236="",,SUMIFS(PerHeadcount[Month 1],PerHeadcount[exp_item],$H1236,PerHeadcount[company_name],$B1236)*L186)</f>
        <v>0</v>
      </c>
      <c r="M1236" s="652">
        <f>IF($B1236="",,SUMIFS(PerHeadcount[Month 2],PerHeadcount[exp_item],$H1236,PerHeadcount[company_name],$B1236)*M186)</f>
        <v>0</v>
      </c>
      <c r="N1236" s="652">
        <f>IF($B1236="",,SUMIFS(PerHeadcount[Month 3],PerHeadcount[exp_item],$H1236,PerHeadcount[company_name],$B1236)*N186)</f>
        <v>0</v>
      </c>
      <c r="O1236" s="652">
        <f>IF($B1236="",,SUMIFS(PerHeadcount[Month 4],PerHeadcount[exp_item],$H1236,PerHeadcount[company_name],$B1236)*O186)</f>
        <v>0</v>
      </c>
      <c r="P1236" s="652">
        <f>IF($B1236="",,SUMIFS(PerHeadcount[Month 5],PerHeadcount[exp_item],$H1236,PerHeadcount[company_name],$B1236)*P186)</f>
        <v>0</v>
      </c>
      <c r="Q1236" s="652">
        <f>IF($B1236="",,SUMIFS(PerHeadcount[Month 6],PerHeadcount[exp_item],$H1236,PerHeadcount[company_name],$B1236)*Q186)</f>
        <v>0</v>
      </c>
      <c r="R1236" s="652">
        <f>IF($B1236="",,SUMIFS(PerHeadcount[Month 7],PerHeadcount[exp_item],$H1236,PerHeadcount[company_name],$B1236)*R186)</f>
        <v>0</v>
      </c>
      <c r="S1236" s="652">
        <f>IF($B1236="",,SUMIFS(PerHeadcount[Month 8],PerHeadcount[exp_item],$H1236,PerHeadcount[company_name],$B1236)*S186)</f>
        <v>0</v>
      </c>
      <c r="T1236" s="652">
        <f>IF($B1236="",,SUMIFS(PerHeadcount[Month 9],PerHeadcount[exp_item],$H1236,PerHeadcount[company_name],$B1236)*T186)</f>
        <v>0</v>
      </c>
      <c r="U1236" s="652">
        <f>IF($B1236="",,SUMIFS(PerHeadcount[Month 10],PerHeadcount[exp_item],$H1236,PerHeadcount[company_name],$B1236)*U186)</f>
        <v>0</v>
      </c>
      <c r="V1236" s="652">
        <f>IF($B1236="",,SUMIFS(PerHeadcount[Month 11],PerHeadcount[exp_item],$H1236,PerHeadcount[company_name],$B1236)*V186)</f>
        <v>0</v>
      </c>
      <c r="W1236" s="652">
        <f>IF($B1236="",,SUMIFS(PerHeadcount[Month 12],PerHeadcount[exp_item],$H1236,PerHeadcount[company_name],$B1236)*W186)</f>
        <v>0</v>
      </c>
      <c r="X1236" s="652">
        <f>IF($B1236="",,SUMIFS(PerHeadcount[Month 13],PerHeadcount[exp_item],$H1236,PerHeadcount[company_name],$B1236)*X186)</f>
        <v>0</v>
      </c>
      <c r="Y1236" s="652">
        <f>IF($B1236="",,SUMIFS(PerHeadcount[Month 14],PerHeadcount[exp_item],$H1236,PerHeadcount[company_name],$B1236)*Y186)</f>
        <v>0</v>
      </c>
      <c r="Z1236" s="652">
        <f>IF($B1236="",,SUMIFS(PerHeadcount[Month 15],PerHeadcount[exp_item],$H1236,PerHeadcount[company_name],$B1236)*Z186)</f>
        <v>0</v>
      </c>
      <c r="AA1236" s="652">
        <f>IF($B1236="",,SUMIFS(PerHeadcount[Month 16],PerHeadcount[exp_item],$H1236,PerHeadcount[company_name],$B1236)*AA186)</f>
        <v>0</v>
      </c>
      <c r="AB1236" s="652">
        <f>IF($B1236="",,SUMIFS(PerHeadcount[Month 17],PerHeadcount[exp_item],$H1236,PerHeadcount[company_name],$B1236)*AB186)</f>
        <v>0</v>
      </c>
      <c r="AC1236" s="652">
        <f>IF($B1236="",,SUMIFS(PerHeadcount[Month 18],PerHeadcount[exp_item],$H1236,PerHeadcount[company_name],$B1236)*AC186)</f>
        <v>0</v>
      </c>
      <c r="AD1236" s="652">
        <f>IF($B1236="",,SUMIFS(PerHeadcount[Month 19],PerHeadcount[exp_item],$H1236,PerHeadcount[company_name],$B1236)*AD186)</f>
        <v>0</v>
      </c>
      <c r="AE1236" s="652">
        <f>IF($B1236="",,SUMIFS(PerHeadcount[Month 20],PerHeadcount[exp_item],$H1236,PerHeadcount[company_name],$B1236)*AE186)</f>
        <v>0</v>
      </c>
      <c r="AF1236" s="652">
        <f>IF($B1236="",,SUMIFS(PerHeadcount[Month 21],PerHeadcount[exp_item],$H1236,PerHeadcount[company_name],$B1236)*AF186)</f>
        <v>0</v>
      </c>
      <c r="AG1236" s="652">
        <f>IF($B1236="",,SUMIFS(PerHeadcount[Month 22],PerHeadcount[exp_item],$H1236,PerHeadcount[company_name],$B1236)*AG186)</f>
        <v>0</v>
      </c>
      <c r="AH1236" s="652">
        <f>IF($B1236="",,SUMIFS(PerHeadcount[Month 23],PerHeadcount[exp_item],$H1236,PerHeadcount[company_name],$B1236)*AH186)</f>
        <v>0</v>
      </c>
      <c r="AI1236" s="652">
        <f>IF($B1236="",,SUMIFS(PerHeadcount[Month 24],PerHeadcount[exp_item],$H1236,PerHeadcount[company_name],$B1236)*AI186)</f>
        <v>0</v>
      </c>
      <c r="AJ1236" s="652">
        <f>IF($B1236="",,SUMIFS(PerHeadcount[Month 25],PerHeadcount[exp_item],$H1236,PerHeadcount[company_name],$B1236)*AJ186)</f>
        <v>0</v>
      </c>
      <c r="AK1236" s="652">
        <f>IF($B1236="",,SUMIFS(PerHeadcount[Month 26],PerHeadcount[exp_item],$H1236,PerHeadcount[company_name],$B1236)*AK186)</f>
        <v>0</v>
      </c>
      <c r="AL1236" s="652">
        <f>IF($B1236="",,SUMIFS(PerHeadcount[Month 27],PerHeadcount[exp_item],$H1236,PerHeadcount[company_name],$B1236)*AL186)</f>
        <v>0</v>
      </c>
      <c r="AM1236" s="652">
        <f>IF($B1236="",,SUMIFS(PerHeadcount[Month 28],PerHeadcount[exp_item],$H1236,PerHeadcount[company_name],$B1236)*AM186)</f>
        <v>0</v>
      </c>
      <c r="AN1236" s="652">
        <f>IF($B1236="",,SUMIFS(PerHeadcount[Month 29],PerHeadcount[exp_item],$H1236,PerHeadcount[company_name],$B1236)*AN186)</f>
        <v>0</v>
      </c>
      <c r="AO1236" s="652">
        <f>IF($B1236="",,SUMIFS(PerHeadcount[Month 30],PerHeadcount[exp_item],$H1236,PerHeadcount[company_name],$B1236)*AO186)</f>
        <v>0</v>
      </c>
      <c r="AP1236" s="652">
        <f>IF($B1236="",,SUMIFS(PerHeadcount[Month 31],PerHeadcount[exp_item],$H1236,PerHeadcount[company_name],$B1236)*AP186)</f>
        <v>0</v>
      </c>
      <c r="AQ1236" s="652">
        <f>IF($B1236="",,SUMIFS(PerHeadcount[Month 32],PerHeadcount[exp_item],$H1236,PerHeadcount[company_name],$B1236)*AQ186)</f>
        <v>0</v>
      </c>
      <c r="AR1236" s="652">
        <f>IF($B1236="",,SUMIFS(PerHeadcount[Month 33],PerHeadcount[exp_item],$H1236,PerHeadcount[company_name],$B1236)*AR186)</f>
        <v>0</v>
      </c>
      <c r="AS1236" s="652">
        <f>IF($B1236="",,SUMIFS(PerHeadcount[Month 34],PerHeadcount[exp_item],$H1236,PerHeadcount[company_name],$B1236)*AS186)</f>
        <v>0</v>
      </c>
      <c r="AT1236" s="652">
        <f>IF($B1236="",,SUMIFS(PerHeadcount[Month 35],PerHeadcount[exp_item],$H1236,PerHeadcount[company_name],$B1236)*AT186)</f>
        <v>0</v>
      </c>
      <c r="AU1236" s="652">
        <f>IF($B1236="",,SUMIFS(PerHeadcount[Month 36],PerHeadcount[exp_item],$H1236,PerHeadcount[company_name],$B1236)*AU186)</f>
        <v>0</v>
      </c>
    </row>
    <row r="1237" spans="1:52" x14ac:dyDescent="0.35">
      <c r="B1237" t="str">
        <f t="shared" ref="B1237:B1268" si="881">IF(B1132="","",B1132)</f>
        <v/>
      </c>
      <c r="C1237" t="str">
        <f t="shared" ref="C1237:G1237" si="882">IF(C1132="","",C1132)</f>
        <v/>
      </c>
      <c r="D1237" t="str">
        <f t="shared" si="882"/>
        <v/>
      </c>
      <c r="E1237" t="str">
        <f t="shared" si="882"/>
        <v/>
      </c>
      <c r="F1237" t="str">
        <f t="shared" si="882"/>
        <v/>
      </c>
      <c r="G1237" t="str">
        <f t="shared" si="882"/>
        <v/>
      </c>
      <c r="H1237" t="str">
        <f t="shared" si="880"/>
        <v/>
      </c>
      <c r="J1237" t="str">
        <f>IF($H1237="","",IF(VLOOKUP(H1237,ExpItems[],2,0),H1237&amp;" - "&amp;INDEX(DivisionMapping[category_code],MATCH($D1237&amp;$C1237,DivisionMapping[dept_bu],0)),H1237))</f>
        <v/>
      </c>
      <c r="K1237" t="str">
        <f t="shared" ref="K1237:K1300" si="883">K1132</f>
        <v/>
      </c>
      <c r="L1237" s="652">
        <f>IF($B1237="",,SUMIFS(PerHeadcount[Month 1],PerHeadcount[exp_item],$H1237,PerHeadcount[company_name],$B1237)*L187)</f>
        <v>0</v>
      </c>
      <c r="M1237" s="652">
        <f>IF($B1237="",,SUMIFS(PerHeadcount[Month 2],PerHeadcount[exp_item],$H1237,PerHeadcount[company_name],$B1237)*M187)</f>
        <v>0</v>
      </c>
      <c r="N1237" s="652">
        <f>IF($B1237="",,SUMIFS(PerHeadcount[Month 3],PerHeadcount[exp_item],$H1237,PerHeadcount[company_name],$B1237)*N187)</f>
        <v>0</v>
      </c>
      <c r="O1237" s="652">
        <f>IF($B1237="",,SUMIFS(PerHeadcount[Month 4],PerHeadcount[exp_item],$H1237,PerHeadcount[company_name],$B1237)*O187)</f>
        <v>0</v>
      </c>
      <c r="P1237" s="652">
        <f>IF($B1237="",,SUMIFS(PerHeadcount[Month 5],PerHeadcount[exp_item],$H1237,PerHeadcount[company_name],$B1237)*P187)</f>
        <v>0</v>
      </c>
      <c r="Q1237" s="652">
        <f>IF($B1237="",,SUMIFS(PerHeadcount[Month 6],PerHeadcount[exp_item],$H1237,PerHeadcount[company_name],$B1237)*Q187)</f>
        <v>0</v>
      </c>
      <c r="R1237" s="652">
        <f>IF($B1237="",,SUMIFS(PerHeadcount[Month 7],PerHeadcount[exp_item],$H1237,PerHeadcount[company_name],$B1237)*R187)</f>
        <v>0</v>
      </c>
      <c r="S1237" s="652">
        <f>IF($B1237="",,SUMIFS(PerHeadcount[Month 8],PerHeadcount[exp_item],$H1237,PerHeadcount[company_name],$B1237)*S187)</f>
        <v>0</v>
      </c>
      <c r="T1237" s="652">
        <f>IF($B1237="",,SUMIFS(PerHeadcount[Month 9],PerHeadcount[exp_item],$H1237,PerHeadcount[company_name],$B1237)*T187)</f>
        <v>0</v>
      </c>
      <c r="U1237" s="652">
        <f>IF($B1237="",,SUMIFS(PerHeadcount[Month 10],PerHeadcount[exp_item],$H1237,PerHeadcount[company_name],$B1237)*U187)</f>
        <v>0</v>
      </c>
      <c r="V1237" s="652">
        <f>IF($B1237="",,SUMIFS(PerHeadcount[Month 11],PerHeadcount[exp_item],$H1237,PerHeadcount[company_name],$B1237)*V187)</f>
        <v>0</v>
      </c>
      <c r="W1237" s="652">
        <f>IF($B1237="",,SUMIFS(PerHeadcount[Month 12],PerHeadcount[exp_item],$H1237,PerHeadcount[company_name],$B1237)*W187)</f>
        <v>0</v>
      </c>
      <c r="X1237" s="652">
        <f>IF($B1237="",,SUMIFS(PerHeadcount[Month 13],PerHeadcount[exp_item],$H1237,PerHeadcount[company_name],$B1237)*X187)</f>
        <v>0</v>
      </c>
      <c r="Y1237" s="652">
        <f>IF($B1237="",,SUMIFS(PerHeadcount[Month 14],PerHeadcount[exp_item],$H1237,PerHeadcount[company_name],$B1237)*Y187)</f>
        <v>0</v>
      </c>
      <c r="Z1237" s="652">
        <f>IF($B1237="",,SUMIFS(PerHeadcount[Month 15],PerHeadcount[exp_item],$H1237,PerHeadcount[company_name],$B1237)*Z187)</f>
        <v>0</v>
      </c>
      <c r="AA1237" s="652">
        <f>IF($B1237="",,SUMIFS(PerHeadcount[Month 16],PerHeadcount[exp_item],$H1237,PerHeadcount[company_name],$B1237)*AA187)</f>
        <v>0</v>
      </c>
      <c r="AB1237" s="652">
        <f>IF($B1237="",,SUMIFS(PerHeadcount[Month 17],PerHeadcount[exp_item],$H1237,PerHeadcount[company_name],$B1237)*AB187)</f>
        <v>0</v>
      </c>
      <c r="AC1237" s="652">
        <f>IF($B1237="",,SUMIFS(PerHeadcount[Month 18],PerHeadcount[exp_item],$H1237,PerHeadcount[company_name],$B1237)*AC187)</f>
        <v>0</v>
      </c>
      <c r="AD1237" s="652">
        <f>IF($B1237="",,SUMIFS(PerHeadcount[Month 19],PerHeadcount[exp_item],$H1237,PerHeadcount[company_name],$B1237)*AD187)</f>
        <v>0</v>
      </c>
      <c r="AE1237" s="652">
        <f>IF($B1237="",,SUMIFS(PerHeadcount[Month 20],PerHeadcount[exp_item],$H1237,PerHeadcount[company_name],$B1237)*AE187)</f>
        <v>0</v>
      </c>
      <c r="AF1237" s="652">
        <f>IF($B1237="",,SUMIFS(PerHeadcount[Month 21],PerHeadcount[exp_item],$H1237,PerHeadcount[company_name],$B1237)*AF187)</f>
        <v>0</v>
      </c>
      <c r="AG1237" s="652">
        <f>IF($B1237="",,SUMIFS(PerHeadcount[Month 22],PerHeadcount[exp_item],$H1237,PerHeadcount[company_name],$B1237)*AG187)</f>
        <v>0</v>
      </c>
      <c r="AH1237" s="652">
        <f>IF($B1237="",,SUMIFS(PerHeadcount[Month 23],PerHeadcount[exp_item],$H1237,PerHeadcount[company_name],$B1237)*AH187)</f>
        <v>0</v>
      </c>
      <c r="AI1237" s="652">
        <f>IF($B1237="",,SUMIFS(PerHeadcount[Month 24],PerHeadcount[exp_item],$H1237,PerHeadcount[company_name],$B1237)*AI187)</f>
        <v>0</v>
      </c>
      <c r="AJ1237" s="652">
        <f>IF($B1237="",,SUMIFS(PerHeadcount[Month 25],PerHeadcount[exp_item],$H1237,PerHeadcount[company_name],$B1237)*AJ187)</f>
        <v>0</v>
      </c>
      <c r="AK1237" s="652">
        <f>IF($B1237="",,SUMIFS(PerHeadcount[Month 26],PerHeadcount[exp_item],$H1237,PerHeadcount[company_name],$B1237)*AK187)</f>
        <v>0</v>
      </c>
      <c r="AL1237" s="652">
        <f>IF($B1237="",,SUMIFS(PerHeadcount[Month 27],PerHeadcount[exp_item],$H1237,PerHeadcount[company_name],$B1237)*AL187)</f>
        <v>0</v>
      </c>
      <c r="AM1237" s="652">
        <f>IF($B1237="",,SUMIFS(PerHeadcount[Month 28],PerHeadcount[exp_item],$H1237,PerHeadcount[company_name],$B1237)*AM187)</f>
        <v>0</v>
      </c>
      <c r="AN1237" s="652">
        <f>IF($B1237="",,SUMIFS(PerHeadcount[Month 29],PerHeadcount[exp_item],$H1237,PerHeadcount[company_name],$B1237)*AN187)</f>
        <v>0</v>
      </c>
      <c r="AO1237" s="652">
        <f>IF($B1237="",,SUMIFS(PerHeadcount[Month 30],PerHeadcount[exp_item],$H1237,PerHeadcount[company_name],$B1237)*AO187)</f>
        <v>0</v>
      </c>
      <c r="AP1237" s="652">
        <f>IF($B1237="",,SUMIFS(PerHeadcount[Month 31],PerHeadcount[exp_item],$H1237,PerHeadcount[company_name],$B1237)*AP187)</f>
        <v>0</v>
      </c>
      <c r="AQ1237" s="652">
        <f>IF($B1237="",,SUMIFS(PerHeadcount[Month 32],PerHeadcount[exp_item],$H1237,PerHeadcount[company_name],$B1237)*AQ187)</f>
        <v>0</v>
      </c>
      <c r="AR1237" s="652">
        <f>IF($B1237="",,SUMIFS(PerHeadcount[Month 33],PerHeadcount[exp_item],$H1237,PerHeadcount[company_name],$B1237)*AR187)</f>
        <v>0</v>
      </c>
      <c r="AS1237" s="652">
        <f>IF($B1237="",,SUMIFS(PerHeadcount[Month 34],PerHeadcount[exp_item],$H1237,PerHeadcount[company_name],$B1237)*AS187)</f>
        <v>0</v>
      </c>
      <c r="AT1237" s="652">
        <f>IF($B1237="",,SUMIFS(PerHeadcount[Month 35],PerHeadcount[exp_item],$H1237,PerHeadcount[company_name],$B1237)*AT187)</f>
        <v>0</v>
      </c>
      <c r="AU1237" s="652">
        <f>IF($B1237="",,SUMIFS(PerHeadcount[Month 36],PerHeadcount[exp_item],$H1237,PerHeadcount[company_name],$B1237)*AU187)</f>
        <v>0</v>
      </c>
    </row>
    <row r="1238" spans="1:52" x14ac:dyDescent="0.35">
      <c r="B1238" t="str">
        <f t="shared" si="881"/>
        <v/>
      </c>
      <c r="C1238" t="str">
        <f t="shared" ref="C1238:G1238" si="884">IF(C1133="","",C1133)</f>
        <v/>
      </c>
      <c r="D1238" t="str">
        <f t="shared" si="884"/>
        <v/>
      </c>
      <c r="E1238" t="str">
        <f t="shared" si="884"/>
        <v/>
      </c>
      <c r="F1238" t="str">
        <f t="shared" si="884"/>
        <v/>
      </c>
      <c r="G1238" t="str">
        <f t="shared" si="884"/>
        <v/>
      </c>
      <c r="H1238" t="str">
        <f t="shared" si="880"/>
        <v/>
      </c>
      <c r="J1238" t="str">
        <f>IF($H1238="","",IF(VLOOKUP(H1238,ExpItems[],2,0),H1238&amp;" - "&amp;INDEX(DivisionMapping[category_code],MATCH($D1238&amp;$C1238,DivisionMapping[dept_bu],0)),H1238))</f>
        <v/>
      </c>
      <c r="K1238" t="str">
        <f t="shared" si="883"/>
        <v/>
      </c>
      <c r="L1238" s="652">
        <f>IF($B1238="",,SUMIFS(PerHeadcount[Month 1],PerHeadcount[exp_item],$H1238,PerHeadcount[company_name],$B1238)*L188)</f>
        <v>0</v>
      </c>
      <c r="M1238" s="652">
        <f>IF($B1238="",,SUMIFS(PerHeadcount[Month 2],PerHeadcount[exp_item],$H1238,PerHeadcount[company_name],$B1238)*M188)</f>
        <v>0</v>
      </c>
      <c r="N1238" s="652">
        <f>IF($B1238="",,SUMIFS(PerHeadcount[Month 3],PerHeadcount[exp_item],$H1238,PerHeadcount[company_name],$B1238)*N188)</f>
        <v>0</v>
      </c>
      <c r="O1238" s="652">
        <f>IF($B1238="",,SUMIFS(PerHeadcount[Month 4],PerHeadcount[exp_item],$H1238,PerHeadcount[company_name],$B1238)*O188)</f>
        <v>0</v>
      </c>
      <c r="P1238" s="652">
        <f>IF($B1238="",,SUMIFS(PerHeadcount[Month 5],PerHeadcount[exp_item],$H1238,PerHeadcount[company_name],$B1238)*P188)</f>
        <v>0</v>
      </c>
      <c r="Q1238" s="652">
        <f>IF($B1238="",,SUMIFS(PerHeadcount[Month 6],PerHeadcount[exp_item],$H1238,PerHeadcount[company_name],$B1238)*Q188)</f>
        <v>0</v>
      </c>
      <c r="R1238" s="652">
        <f>IF($B1238="",,SUMIFS(PerHeadcount[Month 7],PerHeadcount[exp_item],$H1238,PerHeadcount[company_name],$B1238)*R188)</f>
        <v>0</v>
      </c>
      <c r="S1238" s="652">
        <f>IF($B1238="",,SUMIFS(PerHeadcount[Month 8],PerHeadcount[exp_item],$H1238,PerHeadcount[company_name],$B1238)*S188)</f>
        <v>0</v>
      </c>
      <c r="T1238" s="652">
        <f>IF($B1238="",,SUMIFS(PerHeadcount[Month 9],PerHeadcount[exp_item],$H1238,PerHeadcount[company_name],$B1238)*T188)</f>
        <v>0</v>
      </c>
      <c r="U1238" s="652">
        <f>IF($B1238="",,SUMIFS(PerHeadcount[Month 10],PerHeadcount[exp_item],$H1238,PerHeadcount[company_name],$B1238)*U188)</f>
        <v>0</v>
      </c>
      <c r="V1238" s="652">
        <f>IF($B1238="",,SUMIFS(PerHeadcount[Month 11],PerHeadcount[exp_item],$H1238,PerHeadcount[company_name],$B1238)*V188)</f>
        <v>0</v>
      </c>
      <c r="W1238" s="652">
        <f>IF($B1238="",,SUMIFS(PerHeadcount[Month 12],PerHeadcount[exp_item],$H1238,PerHeadcount[company_name],$B1238)*W188)</f>
        <v>0</v>
      </c>
      <c r="X1238" s="652">
        <f>IF($B1238="",,SUMIFS(PerHeadcount[Month 13],PerHeadcount[exp_item],$H1238,PerHeadcount[company_name],$B1238)*X188)</f>
        <v>0</v>
      </c>
      <c r="Y1238" s="652">
        <f>IF($B1238="",,SUMIFS(PerHeadcount[Month 14],PerHeadcount[exp_item],$H1238,PerHeadcount[company_name],$B1238)*Y188)</f>
        <v>0</v>
      </c>
      <c r="Z1238" s="652">
        <f>IF($B1238="",,SUMIFS(PerHeadcount[Month 15],PerHeadcount[exp_item],$H1238,PerHeadcount[company_name],$B1238)*Z188)</f>
        <v>0</v>
      </c>
      <c r="AA1238" s="652">
        <f>IF($B1238="",,SUMIFS(PerHeadcount[Month 16],PerHeadcount[exp_item],$H1238,PerHeadcount[company_name],$B1238)*AA188)</f>
        <v>0</v>
      </c>
      <c r="AB1238" s="652">
        <f>IF($B1238="",,SUMIFS(PerHeadcount[Month 17],PerHeadcount[exp_item],$H1238,PerHeadcount[company_name],$B1238)*AB188)</f>
        <v>0</v>
      </c>
      <c r="AC1238" s="652">
        <f>IF($B1238="",,SUMIFS(PerHeadcount[Month 18],PerHeadcount[exp_item],$H1238,PerHeadcount[company_name],$B1238)*AC188)</f>
        <v>0</v>
      </c>
      <c r="AD1238" s="652">
        <f>IF($B1238="",,SUMIFS(PerHeadcount[Month 19],PerHeadcount[exp_item],$H1238,PerHeadcount[company_name],$B1238)*AD188)</f>
        <v>0</v>
      </c>
      <c r="AE1238" s="652">
        <f>IF($B1238="",,SUMIFS(PerHeadcount[Month 20],PerHeadcount[exp_item],$H1238,PerHeadcount[company_name],$B1238)*AE188)</f>
        <v>0</v>
      </c>
      <c r="AF1238" s="652">
        <f>IF($B1238="",,SUMIFS(PerHeadcount[Month 21],PerHeadcount[exp_item],$H1238,PerHeadcount[company_name],$B1238)*AF188)</f>
        <v>0</v>
      </c>
      <c r="AG1238" s="652">
        <f>IF($B1238="",,SUMIFS(PerHeadcount[Month 22],PerHeadcount[exp_item],$H1238,PerHeadcount[company_name],$B1238)*AG188)</f>
        <v>0</v>
      </c>
      <c r="AH1238" s="652">
        <f>IF($B1238="",,SUMIFS(PerHeadcount[Month 23],PerHeadcount[exp_item],$H1238,PerHeadcount[company_name],$B1238)*AH188)</f>
        <v>0</v>
      </c>
      <c r="AI1238" s="652">
        <f>IF($B1238="",,SUMIFS(PerHeadcount[Month 24],PerHeadcount[exp_item],$H1238,PerHeadcount[company_name],$B1238)*AI188)</f>
        <v>0</v>
      </c>
      <c r="AJ1238" s="652">
        <f>IF($B1238="",,SUMIFS(PerHeadcount[Month 25],PerHeadcount[exp_item],$H1238,PerHeadcount[company_name],$B1238)*AJ188)</f>
        <v>0</v>
      </c>
      <c r="AK1238" s="652">
        <f>IF($B1238="",,SUMIFS(PerHeadcount[Month 26],PerHeadcount[exp_item],$H1238,PerHeadcount[company_name],$B1238)*AK188)</f>
        <v>0</v>
      </c>
      <c r="AL1238" s="652">
        <f>IF($B1238="",,SUMIFS(PerHeadcount[Month 27],PerHeadcount[exp_item],$H1238,PerHeadcount[company_name],$B1238)*AL188)</f>
        <v>0</v>
      </c>
      <c r="AM1238" s="652">
        <f>IF($B1238="",,SUMIFS(PerHeadcount[Month 28],PerHeadcount[exp_item],$H1238,PerHeadcount[company_name],$B1238)*AM188)</f>
        <v>0</v>
      </c>
      <c r="AN1238" s="652">
        <f>IF($B1238="",,SUMIFS(PerHeadcount[Month 29],PerHeadcount[exp_item],$H1238,PerHeadcount[company_name],$B1238)*AN188)</f>
        <v>0</v>
      </c>
      <c r="AO1238" s="652">
        <f>IF($B1238="",,SUMIFS(PerHeadcount[Month 30],PerHeadcount[exp_item],$H1238,PerHeadcount[company_name],$B1238)*AO188)</f>
        <v>0</v>
      </c>
      <c r="AP1238" s="652">
        <f>IF($B1238="",,SUMIFS(PerHeadcount[Month 31],PerHeadcount[exp_item],$H1238,PerHeadcount[company_name],$B1238)*AP188)</f>
        <v>0</v>
      </c>
      <c r="AQ1238" s="652">
        <f>IF($B1238="",,SUMIFS(PerHeadcount[Month 32],PerHeadcount[exp_item],$H1238,PerHeadcount[company_name],$B1238)*AQ188)</f>
        <v>0</v>
      </c>
      <c r="AR1238" s="652">
        <f>IF($B1238="",,SUMIFS(PerHeadcount[Month 33],PerHeadcount[exp_item],$H1238,PerHeadcount[company_name],$B1238)*AR188)</f>
        <v>0</v>
      </c>
      <c r="AS1238" s="652">
        <f>IF($B1238="",,SUMIFS(PerHeadcount[Month 34],PerHeadcount[exp_item],$H1238,PerHeadcount[company_name],$B1238)*AS188)</f>
        <v>0</v>
      </c>
      <c r="AT1238" s="652">
        <f>IF($B1238="",,SUMIFS(PerHeadcount[Month 35],PerHeadcount[exp_item],$H1238,PerHeadcount[company_name],$B1238)*AT188)</f>
        <v>0</v>
      </c>
      <c r="AU1238" s="652">
        <f>IF($B1238="",,SUMIFS(PerHeadcount[Month 36],PerHeadcount[exp_item],$H1238,PerHeadcount[company_name],$B1238)*AU188)</f>
        <v>0</v>
      </c>
    </row>
    <row r="1239" spans="1:52" x14ac:dyDescent="0.35">
      <c r="B1239" t="str">
        <f t="shared" si="881"/>
        <v/>
      </c>
      <c r="C1239" t="str">
        <f t="shared" ref="C1239:G1239" si="885">IF(C1134="","",C1134)</f>
        <v/>
      </c>
      <c r="D1239" t="str">
        <f t="shared" si="885"/>
        <v/>
      </c>
      <c r="E1239" t="str">
        <f t="shared" si="885"/>
        <v/>
      </c>
      <c r="F1239" t="str">
        <f t="shared" si="885"/>
        <v/>
      </c>
      <c r="G1239" t="str">
        <f t="shared" si="885"/>
        <v/>
      </c>
      <c r="H1239" t="str">
        <f t="shared" si="880"/>
        <v/>
      </c>
      <c r="J1239" t="str">
        <f>IF($H1239="","",IF(VLOOKUP(H1239,ExpItems[],2,0),H1239&amp;" - "&amp;INDEX(DivisionMapping[category_code],MATCH($D1239&amp;$C1239,DivisionMapping[dept_bu],0)),H1239))</f>
        <v/>
      </c>
      <c r="K1239" t="str">
        <f t="shared" si="883"/>
        <v/>
      </c>
      <c r="L1239" s="652">
        <f>IF($B1239="",,SUMIFS(PerHeadcount[Month 1],PerHeadcount[exp_item],$H1239,PerHeadcount[company_name],$B1239)*L189)</f>
        <v>0</v>
      </c>
      <c r="M1239" s="652">
        <f>IF($B1239="",,SUMIFS(PerHeadcount[Month 2],PerHeadcount[exp_item],$H1239,PerHeadcount[company_name],$B1239)*M189)</f>
        <v>0</v>
      </c>
      <c r="N1239" s="652">
        <f>IF($B1239="",,SUMIFS(PerHeadcount[Month 3],PerHeadcount[exp_item],$H1239,PerHeadcount[company_name],$B1239)*N189)</f>
        <v>0</v>
      </c>
      <c r="O1239" s="652">
        <f>IF($B1239="",,SUMIFS(PerHeadcount[Month 4],PerHeadcount[exp_item],$H1239,PerHeadcount[company_name],$B1239)*O189)</f>
        <v>0</v>
      </c>
      <c r="P1239" s="652">
        <f>IF($B1239="",,SUMIFS(PerHeadcount[Month 5],PerHeadcount[exp_item],$H1239,PerHeadcount[company_name],$B1239)*P189)</f>
        <v>0</v>
      </c>
      <c r="Q1239" s="652">
        <f>IF($B1239="",,SUMIFS(PerHeadcount[Month 6],PerHeadcount[exp_item],$H1239,PerHeadcount[company_name],$B1239)*Q189)</f>
        <v>0</v>
      </c>
      <c r="R1239" s="652">
        <f>IF($B1239="",,SUMIFS(PerHeadcount[Month 7],PerHeadcount[exp_item],$H1239,PerHeadcount[company_name],$B1239)*R189)</f>
        <v>0</v>
      </c>
      <c r="S1239" s="652">
        <f>IF($B1239="",,SUMIFS(PerHeadcount[Month 8],PerHeadcount[exp_item],$H1239,PerHeadcount[company_name],$B1239)*S189)</f>
        <v>0</v>
      </c>
      <c r="T1239" s="652">
        <f>IF($B1239="",,SUMIFS(PerHeadcount[Month 9],PerHeadcount[exp_item],$H1239,PerHeadcount[company_name],$B1239)*T189)</f>
        <v>0</v>
      </c>
      <c r="U1239" s="652">
        <f>IF($B1239="",,SUMIFS(PerHeadcount[Month 10],PerHeadcount[exp_item],$H1239,PerHeadcount[company_name],$B1239)*U189)</f>
        <v>0</v>
      </c>
      <c r="V1239" s="652">
        <f>IF($B1239="",,SUMIFS(PerHeadcount[Month 11],PerHeadcount[exp_item],$H1239,PerHeadcount[company_name],$B1239)*V189)</f>
        <v>0</v>
      </c>
      <c r="W1239" s="652">
        <f>IF($B1239="",,SUMIFS(PerHeadcount[Month 12],PerHeadcount[exp_item],$H1239,PerHeadcount[company_name],$B1239)*W189)</f>
        <v>0</v>
      </c>
      <c r="X1239" s="652">
        <f>IF($B1239="",,SUMIFS(PerHeadcount[Month 13],PerHeadcount[exp_item],$H1239,PerHeadcount[company_name],$B1239)*X189)</f>
        <v>0</v>
      </c>
      <c r="Y1239" s="652">
        <f>IF($B1239="",,SUMIFS(PerHeadcount[Month 14],PerHeadcount[exp_item],$H1239,PerHeadcount[company_name],$B1239)*Y189)</f>
        <v>0</v>
      </c>
      <c r="Z1239" s="652">
        <f>IF($B1239="",,SUMIFS(PerHeadcount[Month 15],PerHeadcount[exp_item],$H1239,PerHeadcount[company_name],$B1239)*Z189)</f>
        <v>0</v>
      </c>
      <c r="AA1239" s="652">
        <f>IF($B1239="",,SUMIFS(PerHeadcount[Month 16],PerHeadcount[exp_item],$H1239,PerHeadcount[company_name],$B1239)*AA189)</f>
        <v>0</v>
      </c>
      <c r="AB1239" s="652">
        <f>IF($B1239="",,SUMIFS(PerHeadcount[Month 17],PerHeadcount[exp_item],$H1239,PerHeadcount[company_name],$B1239)*AB189)</f>
        <v>0</v>
      </c>
      <c r="AC1239" s="652">
        <f>IF($B1239="",,SUMIFS(PerHeadcount[Month 18],PerHeadcount[exp_item],$H1239,PerHeadcount[company_name],$B1239)*AC189)</f>
        <v>0</v>
      </c>
      <c r="AD1239" s="652">
        <f>IF($B1239="",,SUMIFS(PerHeadcount[Month 19],PerHeadcount[exp_item],$H1239,PerHeadcount[company_name],$B1239)*AD189)</f>
        <v>0</v>
      </c>
      <c r="AE1239" s="652">
        <f>IF($B1239="",,SUMIFS(PerHeadcount[Month 20],PerHeadcount[exp_item],$H1239,PerHeadcount[company_name],$B1239)*AE189)</f>
        <v>0</v>
      </c>
      <c r="AF1239" s="652">
        <f>IF($B1239="",,SUMIFS(PerHeadcount[Month 21],PerHeadcount[exp_item],$H1239,PerHeadcount[company_name],$B1239)*AF189)</f>
        <v>0</v>
      </c>
      <c r="AG1239" s="652">
        <f>IF($B1239="",,SUMIFS(PerHeadcount[Month 22],PerHeadcount[exp_item],$H1239,PerHeadcount[company_name],$B1239)*AG189)</f>
        <v>0</v>
      </c>
      <c r="AH1239" s="652">
        <f>IF($B1239="",,SUMIFS(PerHeadcount[Month 23],PerHeadcount[exp_item],$H1239,PerHeadcount[company_name],$B1239)*AH189)</f>
        <v>0</v>
      </c>
      <c r="AI1239" s="652">
        <f>IF($B1239="",,SUMIFS(PerHeadcount[Month 24],PerHeadcount[exp_item],$H1239,PerHeadcount[company_name],$B1239)*AI189)</f>
        <v>0</v>
      </c>
      <c r="AJ1239" s="652">
        <f>IF($B1239="",,SUMIFS(PerHeadcount[Month 25],PerHeadcount[exp_item],$H1239,PerHeadcount[company_name],$B1239)*AJ189)</f>
        <v>0</v>
      </c>
      <c r="AK1239" s="652">
        <f>IF($B1239="",,SUMIFS(PerHeadcount[Month 26],PerHeadcount[exp_item],$H1239,PerHeadcount[company_name],$B1239)*AK189)</f>
        <v>0</v>
      </c>
      <c r="AL1239" s="652">
        <f>IF($B1239="",,SUMIFS(PerHeadcount[Month 27],PerHeadcount[exp_item],$H1239,PerHeadcount[company_name],$B1239)*AL189)</f>
        <v>0</v>
      </c>
      <c r="AM1239" s="652">
        <f>IF($B1239="",,SUMIFS(PerHeadcount[Month 28],PerHeadcount[exp_item],$H1239,PerHeadcount[company_name],$B1239)*AM189)</f>
        <v>0</v>
      </c>
      <c r="AN1239" s="652">
        <f>IF($B1239="",,SUMIFS(PerHeadcount[Month 29],PerHeadcount[exp_item],$H1239,PerHeadcount[company_name],$B1239)*AN189)</f>
        <v>0</v>
      </c>
      <c r="AO1239" s="652">
        <f>IF($B1239="",,SUMIFS(PerHeadcount[Month 30],PerHeadcount[exp_item],$H1239,PerHeadcount[company_name],$B1239)*AO189)</f>
        <v>0</v>
      </c>
      <c r="AP1239" s="652">
        <f>IF($B1239="",,SUMIFS(PerHeadcount[Month 31],PerHeadcount[exp_item],$H1239,PerHeadcount[company_name],$B1239)*AP189)</f>
        <v>0</v>
      </c>
      <c r="AQ1239" s="652">
        <f>IF($B1239="",,SUMIFS(PerHeadcount[Month 32],PerHeadcount[exp_item],$H1239,PerHeadcount[company_name],$B1239)*AQ189)</f>
        <v>0</v>
      </c>
      <c r="AR1239" s="652">
        <f>IF($B1239="",,SUMIFS(PerHeadcount[Month 33],PerHeadcount[exp_item],$H1239,PerHeadcount[company_name],$B1239)*AR189)</f>
        <v>0</v>
      </c>
      <c r="AS1239" s="652">
        <f>IF($B1239="",,SUMIFS(PerHeadcount[Month 34],PerHeadcount[exp_item],$H1239,PerHeadcount[company_name],$B1239)*AS189)</f>
        <v>0</v>
      </c>
      <c r="AT1239" s="652">
        <f>IF($B1239="",,SUMIFS(PerHeadcount[Month 35],PerHeadcount[exp_item],$H1239,PerHeadcount[company_name],$B1239)*AT189)</f>
        <v>0</v>
      </c>
      <c r="AU1239" s="652">
        <f>IF($B1239="",,SUMIFS(PerHeadcount[Month 36],PerHeadcount[exp_item],$H1239,PerHeadcount[company_name],$B1239)*AU189)</f>
        <v>0</v>
      </c>
    </row>
    <row r="1240" spans="1:52" x14ac:dyDescent="0.35">
      <c r="B1240" t="str">
        <f t="shared" si="881"/>
        <v/>
      </c>
      <c r="C1240" t="str">
        <f t="shared" ref="C1240:G1240" si="886">IF(C1135="","",C1135)</f>
        <v/>
      </c>
      <c r="D1240" t="str">
        <f t="shared" si="886"/>
        <v/>
      </c>
      <c r="E1240" t="str">
        <f t="shared" si="886"/>
        <v/>
      </c>
      <c r="F1240" t="str">
        <f t="shared" si="886"/>
        <v/>
      </c>
      <c r="G1240" t="str">
        <f t="shared" si="886"/>
        <v/>
      </c>
      <c r="H1240" t="str">
        <f t="shared" si="880"/>
        <v/>
      </c>
      <c r="J1240" t="str">
        <f>IF($H1240="","",IF(VLOOKUP(H1240,ExpItems[],2,0),H1240&amp;" - "&amp;INDEX(DivisionMapping[category_code],MATCH($D1240&amp;$C1240,DivisionMapping[dept_bu],0)),H1240))</f>
        <v/>
      </c>
      <c r="K1240" t="str">
        <f t="shared" si="883"/>
        <v/>
      </c>
      <c r="L1240" s="652">
        <f>IF($B1240="",,SUMIFS(PerHeadcount[Month 1],PerHeadcount[exp_item],$H1240,PerHeadcount[company_name],$B1240)*L190)</f>
        <v>0</v>
      </c>
      <c r="M1240" s="652">
        <f>IF($B1240="",,SUMIFS(PerHeadcount[Month 2],PerHeadcount[exp_item],$H1240,PerHeadcount[company_name],$B1240)*M190)</f>
        <v>0</v>
      </c>
      <c r="N1240" s="652">
        <f>IF($B1240="",,SUMIFS(PerHeadcount[Month 3],PerHeadcount[exp_item],$H1240,PerHeadcount[company_name],$B1240)*N190)</f>
        <v>0</v>
      </c>
      <c r="O1240" s="652">
        <f>IF($B1240="",,SUMIFS(PerHeadcount[Month 4],PerHeadcount[exp_item],$H1240,PerHeadcount[company_name],$B1240)*O190)</f>
        <v>0</v>
      </c>
      <c r="P1240" s="652">
        <f>IF($B1240="",,SUMIFS(PerHeadcount[Month 5],PerHeadcount[exp_item],$H1240,PerHeadcount[company_name],$B1240)*P190)</f>
        <v>0</v>
      </c>
      <c r="Q1240" s="652">
        <f>IF($B1240="",,SUMIFS(PerHeadcount[Month 6],PerHeadcount[exp_item],$H1240,PerHeadcount[company_name],$B1240)*Q190)</f>
        <v>0</v>
      </c>
      <c r="R1240" s="652">
        <f>IF($B1240="",,SUMIFS(PerHeadcount[Month 7],PerHeadcount[exp_item],$H1240,PerHeadcount[company_name],$B1240)*R190)</f>
        <v>0</v>
      </c>
      <c r="S1240" s="652">
        <f>IF($B1240="",,SUMIFS(PerHeadcount[Month 8],PerHeadcount[exp_item],$H1240,PerHeadcount[company_name],$B1240)*S190)</f>
        <v>0</v>
      </c>
      <c r="T1240" s="652">
        <f>IF($B1240="",,SUMIFS(PerHeadcount[Month 9],PerHeadcount[exp_item],$H1240,PerHeadcount[company_name],$B1240)*T190)</f>
        <v>0</v>
      </c>
      <c r="U1240" s="652">
        <f>IF($B1240="",,SUMIFS(PerHeadcount[Month 10],PerHeadcount[exp_item],$H1240,PerHeadcount[company_name],$B1240)*U190)</f>
        <v>0</v>
      </c>
      <c r="V1240" s="652">
        <f>IF($B1240="",,SUMIFS(PerHeadcount[Month 11],PerHeadcount[exp_item],$H1240,PerHeadcount[company_name],$B1240)*V190)</f>
        <v>0</v>
      </c>
      <c r="W1240" s="652">
        <f>IF($B1240="",,SUMIFS(PerHeadcount[Month 12],PerHeadcount[exp_item],$H1240,PerHeadcount[company_name],$B1240)*W190)</f>
        <v>0</v>
      </c>
      <c r="X1240" s="652">
        <f>IF($B1240="",,SUMIFS(PerHeadcount[Month 13],PerHeadcount[exp_item],$H1240,PerHeadcount[company_name],$B1240)*X190)</f>
        <v>0</v>
      </c>
      <c r="Y1240" s="652">
        <f>IF($B1240="",,SUMIFS(PerHeadcount[Month 14],PerHeadcount[exp_item],$H1240,PerHeadcount[company_name],$B1240)*Y190)</f>
        <v>0</v>
      </c>
      <c r="Z1240" s="652">
        <f>IF($B1240="",,SUMIFS(PerHeadcount[Month 15],PerHeadcount[exp_item],$H1240,PerHeadcount[company_name],$B1240)*Z190)</f>
        <v>0</v>
      </c>
      <c r="AA1240" s="652">
        <f>IF($B1240="",,SUMIFS(PerHeadcount[Month 16],PerHeadcount[exp_item],$H1240,PerHeadcount[company_name],$B1240)*AA190)</f>
        <v>0</v>
      </c>
      <c r="AB1240" s="652">
        <f>IF($B1240="",,SUMIFS(PerHeadcount[Month 17],PerHeadcount[exp_item],$H1240,PerHeadcount[company_name],$B1240)*AB190)</f>
        <v>0</v>
      </c>
      <c r="AC1240" s="652">
        <f>IF($B1240="",,SUMIFS(PerHeadcount[Month 18],PerHeadcount[exp_item],$H1240,PerHeadcount[company_name],$B1240)*AC190)</f>
        <v>0</v>
      </c>
      <c r="AD1240" s="652">
        <f>IF($B1240="",,SUMIFS(PerHeadcount[Month 19],PerHeadcount[exp_item],$H1240,PerHeadcount[company_name],$B1240)*AD190)</f>
        <v>0</v>
      </c>
      <c r="AE1240" s="652">
        <f>IF($B1240="",,SUMIFS(PerHeadcount[Month 20],PerHeadcount[exp_item],$H1240,PerHeadcount[company_name],$B1240)*AE190)</f>
        <v>0</v>
      </c>
      <c r="AF1240" s="652">
        <f>IF($B1240="",,SUMIFS(PerHeadcount[Month 21],PerHeadcount[exp_item],$H1240,PerHeadcount[company_name],$B1240)*AF190)</f>
        <v>0</v>
      </c>
      <c r="AG1240" s="652">
        <f>IF($B1240="",,SUMIFS(PerHeadcount[Month 22],PerHeadcount[exp_item],$H1240,PerHeadcount[company_name],$B1240)*AG190)</f>
        <v>0</v>
      </c>
      <c r="AH1240" s="652">
        <f>IF($B1240="",,SUMIFS(PerHeadcount[Month 23],PerHeadcount[exp_item],$H1240,PerHeadcount[company_name],$B1240)*AH190)</f>
        <v>0</v>
      </c>
      <c r="AI1240" s="652">
        <f>IF($B1240="",,SUMIFS(PerHeadcount[Month 24],PerHeadcount[exp_item],$H1240,PerHeadcount[company_name],$B1240)*AI190)</f>
        <v>0</v>
      </c>
      <c r="AJ1240" s="652">
        <f>IF($B1240="",,SUMIFS(PerHeadcount[Month 25],PerHeadcount[exp_item],$H1240,PerHeadcount[company_name],$B1240)*AJ190)</f>
        <v>0</v>
      </c>
      <c r="AK1240" s="652">
        <f>IF($B1240="",,SUMIFS(PerHeadcount[Month 26],PerHeadcount[exp_item],$H1240,PerHeadcount[company_name],$B1240)*AK190)</f>
        <v>0</v>
      </c>
      <c r="AL1240" s="652">
        <f>IF($B1240="",,SUMIFS(PerHeadcount[Month 27],PerHeadcount[exp_item],$H1240,PerHeadcount[company_name],$B1240)*AL190)</f>
        <v>0</v>
      </c>
      <c r="AM1240" s="652">
        <f>IF($B1240="",,SUMIFS(PerHeadcount[Month 28],PerHeadcount[exp_item],$H1240,PerHeadcount[company_name],$B1240)*AM190)</f>
        <v>0</v>
      </c>
      <c r="AN1240" s="652">
        <f>IF($B1240="",,SUMIFS(PerHeadcount[Month 29],PerHeadcount[exp_item],$H1240,PerHeadcount[company_name],$B1240)*AN190)</f>
        <v>0</v>
      </c>
      <c r="AO1240" s="652">
        <f>IF($B1240="",,SUMIFS(PerHeadcount[Month 30],PerHeadcount[exp_item],$H1240,PerHeadcount[company_name],$B1240)*AO190)</f>
        <v>0</v>
      </c>
      <c r="AP1240" s="652">
        <f>IF($B1240="",,SUMIFS(PerHeadcount[Month 31],PerHeadcount[exp_item],$H1240,PerHeadcount[company_name],$B1240)*AP190)</f>
        <v>0</v>
      </c>
      <c r="AQ1240" s="652">
        <f>IF($B1240="",,SUMIFS(PerHeadcount[Month 32],PerHeadcount[exp_item],$H1240,PerHeadcount[company_name],$B1240)*AQ190)</f>
        <v>0</v>
      </c>
      <c r="AR1240" s="652">
        <f>IF($B1240="",,SUMIFS(PerHeadcount[Month 33],PerHeadcount[exp_item],$H1240,PerHeadcount[company_name],$B1240)*AR190)</f>
        <v>0</v>
      </c>
      <c r="AS1240" s="652">
        <f>IF($B1240="",,SUMIFS(PerHeadcount[Month 34],PerHeadcount[exp_item],$H1240,PerHeadcount[company_name],$B1240)*AS190)</f>
        <v>0</v>
      </c>
      <c r="AT1240" s="652">
        <f>IF($B1240="",,SUMIFS(PerHeadcount[Month 35],PerHeadcount[exp_item],$H1240,PerHeadcount[company_name],$B1240)*AT190)</f>
        <v>0</v>
      </c>
      <c r="AU1240" s="652">
        <f>IF($B1240="",,SUMIFS(PerHeadcount[Month 36],PerHeadcount[exp_item],$H1240,PerHeadcount[company_name],$B1240)*AU190)</f>
        <v>0</v>
      </c>
    </row>
    <row r="1241" spans="1:52" x14ac:dyDescent="0.35">
      <c r="B1241" t="str">
        <f t="shared" si="881"/>
        <v/>
      </c>
      <c r="C1241" t="str">
        <f t="shared" ref="C1241:G1241" si="887">IF(C1136="","",C1136)</f>
        <v/>
      </c>
      <c r="D1241" t="str">
        <f t="shared" si="887"/>
        <v/>
      </c>
      <c r="E1241" t="str">
        <f t="shared" si="887"/>
        <v/>
      </c>
      <c r="F1241" t="str">
        <f t="shared" si="887"/>
        <v/>
      </c>
      <c r="G1241" t="str">
        <f t="shared" si="887"/>
        <v/>
      </c>
      <c r="H1241" t="str">
        <f t="shared" si="880"/>
        <v/>
      </c>
      <c r="J1241" t="str">
        <f>IF($H1241="","",IF(VLOOKUP(H1241,ExpItems[],2,0),H1241&amp;" - "&amp;INDEX(DivisionMapping[category_code],MATCH($D1241&amp;$C1241,DivisionMapping[dept_bu],0)),H1241))</f>
        <v/>
      </c>
      <c r="K1241" t="str">
        <f t="shared" si="883"/>
        <v/>
      </c>
      <c r="L1241" s="652">
        <f>IF($B1241="",,SUMIFS(PerHeadcount[Month 1],PerHeadcount[exp_item],$H1241,PerHeadcount[company_name],$B1241)*L191)</f>
        <v>0</v>
      </c>
      <c r="M1241" s="652">
        <f>IF($B1241="",,SUMIFS(PerHeadcount[Month 2],PerHeadcount[exp_item],$H1241,PerHeadcount[company_name],$B1241)*M191)</f>
        <v>0</v>
      </c>
      <c r="N1241" s="652">
        <f>IF($B1241="",,SUMIFS(PerHeadcount[Month 3],PerHeadcount[exp_item],$H1241,PerHeadcount[company_name],$B1241)*N191)</f>
        <v>0</v>
      </c>
      <c r="O1241" s="652">
        <f>IF($B1241="",,SUMIFS(PerHeadcount[Month 4],PerHeadcount[exp_item],$H1241,PerHeadcount[company_name],$B1241)*O191)</f>
        <v>0</v>
      </c>
      <c r="P1241" s="652">
        <f>IF($B1241="",,SUMIFS(PerHeadcount[Month 5],PerHeadcount[exp_item],$H1241,PerHeadcount[company_name],$B1241)*P191)</f>
        <v>0</v>
      </c>
      <c r="Q1241" s="652">
        <f>IF($B1241="",,SUMIFS(PerHeadcount[Month 6],PerHeadcount[exp_item],$H1241,PerHeadcount[company_name],$B1241)*Q191)</f>
        <v>0</v>
      </c>
      <c r="R1241" s="652">
        <f>IF($B1241="",,SUMIFS(PerHeadcount[Month 7],PerHeadcount[exp_item],$H1241,PerHeadcount[company_name],$B1241)*R191)</f>
        <v>0</v>
      </c>
      <c r="S1241" s="652">
        <f>IF($B1241="",,SUMIFS(PerHeadcount[Month 8],PerHeadcount[exp_item],$H1241,PerHeadcount[company_name],$B1241)*S191)</f>
        <v>0</v>
      </c>
      <c r="T1241" s="652">
        <f>IF($B1241="",,SUMIFS(PerHeadcount[Month 9],PerHeadcount[exp_item],$H1241,PerHeadcount[company_name],$B1241)*T191)</f>
        <v>0</v>
      </c>
      <c r="U1241" s="652">
        <f>IF($B1241="",,SUMIFS(PerHeadcount[Month 10],PerHeadcount[exp_item],$H1241,PerHeadcount[company_name],$B1241)*U191)</f>
        <v>0</v>
      </c>
      <c r="V1241" s="652">
        <f>IF($B1241="",,SUMIFS(PerHeadcount[Month 11],PerHeadcount[exp_item],$H1241,PerHeadcount[company_name],$B1241)*V191)</f>
        <v>0</v>
      </c>
      <c r="W1241" s="652">
        <f>IF($B1241="",,SUMIFS(PerHeadcount[Month 12],PerHeadcount[exp_item],$H1241,PerHeadcount[company_name],$B1241)*W191)</f>
        <v>0</v>
      </c>
      <c r="X1241" s="652">
        <f>IF($B1241="",,SUMIFS(PerHeadcount[Month 13],PerHeadcount[exp_item],$H1241,PerHeadcount[company_name],$B1241)*X191)</f>
        <v>0</v>
      </c>
      <c r="Y1241" s="652">
        <f>IF($B1241="",,SUMIFS(PerHeadcount[Month 14],PerHeadcount[exp_item],$H1241,PerHeadcount[company_name],$B1241)*Y191)</f>
        <v>0</v>
      </c>
      <c r="Z1241" s="652">
        <f>IF($B1241="",,SUMIFS(PerHeadcount[Month 15],PerHeadcount[exp_item],$H1241,PerHeadcount[company_name],$B1241)*Z191)</f>
        <v>0</v>
      </c>
      <c r="AA1241" s="652">
        <f>IF($B1241="",,SUMIFS(PerHeadcount[Month 16],PerHeadcount[exp_item],$H1241,PerHeadcount[company_name],$B1241)*AA191)</f>
        <v>0</v>
      </c>
      <c r="AB1241" s="652">
        <f>IF($B1241="",,SUMIFS(PerHeadcount[Month 17],PerHeadcount[exp_item],$H1241,PerHeadcount[company_name],$B1241)*AB191)</f>
        <v>0</v>
      </c>
      <c r="AC1241" s="652">
        <f>IF($B1241="",,SUMIFS(PerHeadcount[Month 18],PerHeadcount[exp_item],$H1241,PerHeadcount[company_name],$B1241)*AC191)</f>
        <v>0</v>
      </c>
      <c r="AD1241" s="652">
        <f>IF($B1241="",,SUMIFS(PerHeadcount[Month 19],PerHeadcount[exp_item],$H1241,PerHeadcount[company_name],$B1241)*AD191)</f>
        <v>0</v>
      </c>
      <c r="AE1241" s="652">
        <f>IF($B1241="",,SUMIFS(PerHeadcount[Month 20],PerHeadcount[exp_item],$H1241,PerHeadcount[company_name],$B1241)*AE191)</f>
        <v>0</v>
      </c>
      <c r="AF1241" s="652">
        <f>IF($B1241="",,SUMIFS(PerHeadcount[Month 21],PerHeadcount[exp_item],$H1241,PerHeadcount[company_name],$B1241)*AF191)</f>
        <v>0</v>
      </c>
      <c r="AG1241" s="652">
        <f>IF($B1241="",,SUMIFS(PerHeadcount[Month 22],PerHeadcount[exp_item],$H1241,PerHeadcount[company_name],$B1241)*AG191)</f>
        <v>0</v>
      </c>
      <c r="AH1241" s="652">
        <f>IF($B1241="",,SUMIFS(PerHeadcount[Month 23],PerHeadcount[exp_item],$H1241,PerHeadcount[company_name],$B1241)*AH191)</f>
        <v>0</v>
      </c>
      <c r="AI1241" s="652">
        <f>IF($B1241="",,SUMIFS(PerHeadcount[Month 24],PerHeadcount[exp_item],$H1241,PerHeadcount[company_name],$B1241)*AI191)</f>
        <v>0</v>
      </c>
      <c r="AJ1241" s="652">
        <f>IF($B1241="",,SUMIFS(PerHeadcount[Month 25],PerHeadcount[exp_item],$H1241,PerHeadcount[company_name],$B1241)*AJ191)</f>
        <v>0</v>
      </c>
      <c r="AK1241" s="652">
        <f>IF($B1241="",,SUMIFS(PerHeadcount[Month 26],PerHeadcount[exp_item],$H1241,PerHeadcount[company_name],$B1241)*AK191)</f>
        <v>0</v>
      </c>
      <c r="AL1241" s="652">
        <f>IF($B1241="",,SUMIFS(PerHeadcount[Month 27],PerHeadcount[exp_item],$H1241,PerHeadcount[company_name],$B1241)*AL191)</f>
        <v>0</v>
      </c>
      <c r="AM1241" s="652">
        <f>IF($B1241="",,SUMIFS(PerHeadcount[Month 28],PerHeadcount[exp_item],$H1241,PerHeadcount[company_name],$B1241)*AM191)</f>
        <v>0</v>
      </c>
      <c r="AN1241" s="652">
        <f>IF($B1241="",,SUMIFS(PerHeadcount[Month 29],PerHeadcount[exp_item],$H1241,PerHeadcount[company_name],$B1241)*AN191)</f>
        <v>0</v>
      </c>
      <c r="AO1241" s="652">
        <f>IF($B1241="",,SUMIFS(PerHeadcount[Month 30],PerHeadcount[exp_item],$H1241,PerHeadcount[company_name],$B1241)*AO191)</f>
        <v>0</v>
      </c>
      <c r="AP1241" s="652">
        <f>IF($B1241="",,SUMIFS(PerHeadcount[Month 31],PerHeadcount[exp_item],$H1241,PerHeadcount[company_name],$B1241)*AP191)</f>
        <v>0</v>
      </c>
      <c r="AQ1241" s="652">
        <f>IF($B1241="",,SUMIFS(PerHeadcount[Month 32],PerHeadcount[exp_item],$H1241,PerHeadcount[company_name],$B1241)*AQ191)</f>
        <v>0</v>
      </c>
      <c r="AR1241" s="652">
        <f>IF($B1241="",,SUMIFS(PerHeadcount[Month 33],PerHeadcount[exp_item],$H1241,PerHeadcount[company_name],$B1241)*AR191)</f>
        <v>0</v>
      </c>
      <c r="AS1241" s="652">
        <f>IF($B1241="",,SUMIFS(PerHeadcount[Month 34],PerHeadcount[exp_item],$H1241,PerHeadcount[company_name],$B1241)*AS191)</f>
        <v>0</v>
      </c>
      <c r="AT1241" s="652">
        <f>IF($B1241="",,SUMIFS(PerHeadcount[Month 35],PerHeadcount[exp_item],$H1241,PerHeadcount[company_name],$B1241)*AT191)</f>
        <v>0</v>
      </c>
      <c r="AU1241" s="652">
        <f>IF($B1241="",,SUMIFS(PerHeadcount[Month 36],PerHeadcount[exp_item],$H1241,PerHeadcount[company_name],$B1241)*AU191)</f>
        <v>0</v>
      </c>
    </row>
    <row r="1242" spans="1:52" x14ac:dyDescent="0.35">
      <c r="B1242" t="str">
        <f t="shared" si="881"/>
        <v/>
      </c>
      <c r="C1242" t="str">
        <f t="shared" ref="C1242:G1242" si="888">IF(C1137="","",C1137)</f>
        <v/>
      </c>
      <c r="D1242" t="str">
        <f t="shared" si="888"/>
        <v/>
      </c>
      <c r="E1242" t="str">
        <f t="shared" si="888"/>
        <v/>
      </c>
      <c r="F1242" t="str">
        <f t="shared" si="888"/>
        <v/>
      </c>
      <c r="G1242" t="str">
        <f t="shared" si="888"/>
        <v/>
      </c>
      <c r="H1242" t="str">
        <f t="shared" si="880"/>
        <v/>
      </c>
      <c r="J1242" t="str">
        <f>IF($H1242="","",IF(VLOOKUP(H1242,ExpItems[],2,0),H1242&amp;" - "&amp;INDEX(DivisionMapping[category_code],MATCH($D1242&amp;$C1242,DivisionMapping[dept_bu],0)),H1242))</f>
        <v/>
      </c>
      <c r="K1242" t="str">
        <f t="shared" si="883"/>
        <v/>
      </c>
      <c r="L1242" s="652">
        <f>IF($B1242="",,SUMIFS(PerHeadcount[Month 1],PerHeadcount[exp_item],$H1242,PerHeadcount[company_name],$B1242)*L192)</f>
        <v>0</v>
      </c>
      <c r="M1242" s="652">
        <f>IF($B1242="",,SUMIFS(PerHeadcount[Month 2],PerHeadcount[exp_item],$H1242,PerHeadcount[company_name],$B1242)*M192)</f>
        <v>0</v>
      </c>
      <c r="N1242" s="652">
        <f>IF($B1242="",,SUMIFS(PerHeadcount[Month 3],PerHeadcount[exp_item],$H1242,PerHeadcount[company_name],$B1242)*N192)</f>
        <v>0</v>
      </c>
      <c r="O1242" s="652">
        <f>IF($B1242="",,SUMIFS(PerHeadcount[Month 4],PerHeadcount[exp_item],$H1242,PerHeadcount[company_name],$B1242)*O192)</f>
        <v>0</v>
      </c>
      <c r="P1242" s="652">
        <f>IF($B1242="",,SUMIFS(PerHeadcount[Month 5],PerHeadcount[exp_item],$H1242,PerHeadcount[company_name],$B1242)*P192)</f>
        <v>0</v>
      </c>
      <c r="Q1242" s="652">
        <f>IF($B1242="",,SUMIFS(PerHeadcount[Month 6],PerHeadcount[exp_item],$H1242,PerHeadcount[company_name],$B1242)*Q192)</f>
        <v>0</v>
      </c>
      <c r="R1242" s="652">
        <f>IF($B1242="",,SUMIFS(PerHeadcount[Month 7],PerHeadcount[exp_item],$H1242,PerHeadcount[company_name],$B1242)*R192)</f>
        <v>0</v>
      </c>
      <c r="S1242" s="652">
        <f>IF($B1242="",,SUMIFS(PerHeadcount[Month 8],PerHeadcount[exp_item],$H1242,PerHeadcount[company_name],$B1242)*S192)</f>
        <v>0</v>
      </c>
      <c r="T1242" s="652">
        <f>IF($B1242="",,SUMIFS(PerHeadcount[Month 9],PerHeadcount[exp_item],$H1242,PerHeadcount[company_name],$B1242)*T192)</f>
        <v>0</v>
      </c>
      <c r="U1242" s="652">
        <f>IF($B1242="",,SUMIFS(PerHeadcount[Month 10],PerHeadcount[exp_item],$H1242,PerHeadcount[company_name],$B1242)*U192)</f>
        <v>0</v>
      </c>
      <c r="V1242" s="652">
        <f>IF($B1242="",,SUMIFS(PerHeadcount[Month 11],PerHeadcount[exp_item],$H1242,PerHeadcount[company_name],$B1242)*V192)</f>
        <v>0</v>
      </c>
      <c r="W1242" s="652">
        <f>IF($B1242="",,SUMIFS(PerHeadcount[Month 12],PerHeadcount[exp_item],$H1242,PerHeadcount[company_name],$B1242)*W192)</f>
        <v>0</v>
      </c>
      <c r="X1242" s="652">
        <f>IF($B1242="",,SUMIFS(PerHeadcount[Month 13],PerHeadcount[exp_item],$H1242,PerHeadcount[company_name],$B1242)*X192)</f>
        <v>0</v>
      </c>
      <c r="Y1242" s="652">
        <f>IF($B1242="",,SUMIFS(PerHeadcount[Month 14],PerHeadcount[exp_item],$H1242,PerHeadcount[company_name],$B1242)*Y192)</f>
        <v>0</v>
      </c>
      <c r="Z1242" s="652">
        <f>IF($B1242="",,SUMIFS(PerHeadcount[Month 15],PerHeadcount[exp_item],$H1242,PerHeadcount[company_name],$B1242)*Z192)</f>
        <v>0</v>
      </c>
      <c r="AA1242" s="652">
        <f>IF($B1242="",,SUMIFS(PerHeadcount[Month 16],PerHeadcount[exp_item],$H1242,PerHeadcount[company_name],$B1242)*AA192)</f>
        <v>0</v>
      </c>
      <c r="AB1242" s="652">
        <f>IF($B1242="",,SUMIFS(PerHeadcount[Month 17],PerHeadcount[exp_item],$H1242,PerHeadcount[company_name],$B1242)*AB192)</f>
        <v>0</v>
      </c>
      <c r="AC1242" s="652">
        <f>IF($B1242="",,SUMIFS(PerHeadcount[Month 18],PerHeadcount[exp_item],$H1242,PerHeadcount[company_name],$B1242)*AC192)</f>
        <v>0</v>
      </c>
      <c r="AD1242" s="652">
        <f>IF($B1242="",,SUMIFS(PerHeadcount[Month 19],PerHeadcount[exp_item],$H1242,PerHeadcount[company_name],$B1242)*AD192)</f>
        <v>0</v>
      </c>
      <c r="AE1242" s="652">
        <f>IF($B1242="",,SUMIFS(PerHeadcount[Month 20],PerHeadcount[exp_item],$H1242,PerHeadcount[company_name],$B1242)*AE192)</f>
        <v>0</v>
      </c>
      <c r="AF1242" s="652">
        <f>IF($B1242="",,SUMIFS(PerHeadcount[Month 21],PerHeadcount[exp_item],$H1242,PerHeadcount[company_name],$B1242)*AF192)</f>
        <v>0</v>
      </c>
      <c r="AG1242" s="652">
        <f>IF($B1242="",,SUMIFS(PerHeadcount[Month 22],PerHeadcount[exp_item],$H1242,PerHeadcount[company_name],$B1242)*AG192)</f>
        <v>0</v>
      </c>
      <c r="AH1242" s="652">
        <f>IF($B1242="",,SUMIFS(PerHeadcount[Month 23],PerHeadcount[exp_item],$H1242,PerHeadcount[company_name],$B1242)*AH192)</f>
        <v>0</v>
      </c>
      <c r="AI1242" s="652">
        <f>IF($B1242="",,SUMIFS(PerHeadcount[Month 24],PerHeadcount[exp_item],$H1242,PerHeadcount[company_name],$B1242)*AI192)</f>
        <v>0</v>
      </c>
      <c r="AJ1242" s="652">
        <f>IF($B1242="",,SUMIFS(PerHeadcount[Month 25],PerHeadcount[exp_item],$H1242,PerHeadcount[company_name],$B1242)*AJ192)</f>
        <v>0</v>
      </c>
      <c r="AK1242" s="652">
        <f>IF($B1242="",,SUMIFS(PerHeadcount[Month 26],PerHeadcount[exp_item],$H1242,PerHeadcount[company_name],$B1242)*AK192)</f>
        <v>0</v>
      </c>
      <c r="AL1242" s="652">
        <f>IF($B1242="",,SUMIFS(PerHeadcount[Month 27],PerHeadcount[exp_item],$H1242,PerHeadcount[company_name],$B1242)*AL192)</f>
        <v>0</v>
      </c>
      <c r="AM1242" s="652">
        <f>IF($B1242="",,SUMIFS(PerHeadcount[Month 28],PerHeadcount[exp_item],$H1242,PerHeadcount[company_name],$B1242)*AM192)</f>
        <v>0</v>
      </c>
      <c r="AN1242" s="652">
        <f>IF($B1242="",,SUMIFS(PerHeadcount[Month 29],PerHeadcount[exp_item],$H1242,PerHeadcount[company_name],$B1242)*AN192)</f>
        <v>0</v>
      </c>
      <c r="AO1242" s="652">
        <f>IF($B1242="",,SUMIFS(PerHeadcount[Month 30],PerHeadcount[exp_item],$H1242,PerHeadcount[company_name],$B1242)*AO192)</f>
        <v>0</v>
      </c>
      <c r="AP1242" s="652">
        <f>IF($B1242="",,SUMIFS(PerHeadcount[Month 31],PerHeadcount[exp_item],$H1242,PerHeadcount[company_name],$B1242)*AP192)</f>
        <v>0</v>
      </c>
      <c r="AQ1242" s="652">
        <f>IF($B1242="",,SUMIFS(PerHeadcount[Month 32],PerHeadcount[exp_item],$H1242,PerHeadcount[company_name],$B1242)*AQ192)</f>
        <v>0</v>
      </c>
      <c r="AR1242" s="652">
        <f>IF($B1242="",,SUMIFS(PerHeadcount[Month 33],PerHeadcount[exp_item],$H1242,PerHeadcount[company_name],$B1242)*AR192)</f>
        <v>0</v>
      </c>
      <c r="AS1242" s="652">
        <f>IF($B1242="",,SUMIFS(PerHeadcount[Month 34],PerHeadcount[exp_item],$H1242,PerHeadcount[company_name],$B1242)*AS192)</f>
        <v>0</v>
      </c>
      <c r="AT1242" s="652">
        <f>IF($B1242="",,SUMIFS(PerHeadcount[Month 35],PerHeadcount[exp_item],$H1242,PerHeadcount[company_name],$B1242)*AT192)</f>
        <v>0</v>
      </c>
      <c r="AU1242" s="652">
        <f>IF($B1242="",,SUMIFS(PerHeadcount[Month 36],PerHeadcount[exp_item],$H1242,PerHeadcount[company_name],$B1242)*AU192)</f>
        <v>0</v>
      </c>
    </row>
    <row r="1243" spans="1:52" x14ac:dyDescent="0.35">
      <c r="B1243" t="str">
        <f t="shared" si="881"/>
        <v/>
      </c>
      <c r="C1243" t="str">
        <f t="shared" ref="C1243:G1243" si="889">IF(C1138="","",C1138)</f>
        <v/>
      </c>
      <c r="D1243" t="str">
        <f t="shared" si="889"/>
        <v/>
      </c>
      <c r="E1243" t="str">
        <f t="shared" si="889"/>
        <v/>
      </c>
      <c r="F1243" t="str">
        <f t="shared" si="889"/>
        <v/>
      </c>
      <c r="G1243" t="str">
        <f t="shared" si="889"/>
        <v/>
      </c>
      <c r="H1243" t="str">
        <f t="shared" si="880"/>
        <v/>
      </c>
      <c r="J1243" t="str">
        <f>IF($H1243="","",IF(VLOOKUP(H1243,ExpItems[],2,0),H1243&amp;" - "&amp;INDEX(DivisionMapping[category_code],MATCH($D1243&amp;$C1243,DivisionMapping[dept_bu],0)),H1243))</f>
        <v/>
      </c>
      <c r="K1243" t="str">
        <f t="shared" si="883"/>
        <v/>
      </c>
      <c r="L1243" s="652">
        <f>IF($B1243="",,SUMIFS(PerHeadcount[Month 1],PerHeadcount[exp_item],$H1243,PerHeadcount[company_name],$B1243)*L193)</f>
        <v>0</v>
      </c>
      <c r="M1243" s="652">
        <f>IF($B1243="",,SUMIFS(PerHeadcount[Month 2],PerHeadcount[exp_item],$H1243,PerHeadcount[company_name],$B1243)*M193)</f>
        <v>0</v>
      </c>
      <c r="N1243" s="652">
        <f>IF($B1243="",,SUMIFS(PerHeadcount[Month 3],PerHeadcount[exp_item],$H1243,PerHeadcount[company_name],$B1243)*N193)</f>
        <v>0</v>
      </c>
      <c r="O1243" s="652">
        <f>IF($B1243="",,SUMIFS(PerHeadcount[Month 4],PerHeadcount[exp_item],$H1243,PerHeadcount[company_name],$B1243)*O193)</f>
        <v>0</v>
      </c>
      <c r="P1243" s="652">
        <f>IF($B1243="",,SUMIFS(PerHeadcount[Month 5],PerHeadcount[exp_item],$H1243,PerHeadcount[company_name],$B1243)*P193)</f>
        <v>0</v>
      </c>
      <c r="Q1243" s="652">
        <f>IF($B1243="",,SUMIFS(PerHeadcount[Month 6],PerHeadcount[exp_item],$H1243,PerHeadcount[company_name],$B1243)*Q193)</f>
        <v>0</v>
      </c>
      <c r="R1243" s="652">
        <f>IF($B1243="",,SUMIFS(PerHeadcount[Month 7],PerHeadcount[exp_item],$H1243,PerHeadcount[company_name],$B1243)*R193)</f>
        <v>0</v>
      </c>
      <c r="S1243" s="652">
        <f>IF($B1243="",,SUMIFS(PerHeadcount[Month 8],PerHeadcount[exp_item],$H1243,PerHeadcount[company_name],$B1243)*S193)</f>
        <v>0</v>
      </c>
      <c r="T1243" s="652">
        <f>IF($B1243="",,SUMIFS(PerHeadcount[Month 9],PerHeadcount[exp_item],$H1243,PerHeadcount[company_name],$B1243)*T193)</f>
        <v>0</v>
      </c>
      <c r="U1243" s="652">
        <f>IF($B1243="",,SUMIFS(PerHeadcount[Month 10],PerHeadcount[exp_item],$H1243,PerHeadcount[company_name],$B1243)*U193)</f>
        <v>0</v>
      </c>
      <c r="V1243" s="652">
        <f>IF($B1243="",,SUMIFS(PerHeadcount[Month 11],PerHeadcount[exp_item],$H1243,PerHeadcount[company_name],$B1243)*V193)</f>
        <v>0</v>
      </c>
      <c r="W1243" s="652">
        <f>IF($B1243="",,SUMIFS(PerHeadcount[Month 12],PerHeadcount[exp_item],$H1243,PerHeadcount[company_name],$B1243)*W193)</f>
        <v>0</v>
      </c>
      <c r="X1243" s="652">
        <f>IF($B1243="",,SUMIFS(PerHeadcount[Month 13],PerHeadcount[exp_item],$H1243,PerHeadcount[company_name],$B1243)*X193)</f>
        <v>0</v>
      </c>
      <c r="Y1243" s="652">
        <f>IF($B1243="",,SUMIFS(PerHeadcount[Month 14],PerHeadcount[exp_item],$H1243,PerHeadcount[company_name],$B1243)*Y193)</f>
        <v>0</v>
      </c>
      <c r="Z1243" s="652">
        <f>IF($B1243="",,SUMIFS(PerHeadcount[Month 15],PerHeadcount[exp_item],$H1243,PerHeadcount[company_name],$B1243)*Z193)</f>
        <v>0</v>
      </c>
      <c r="AA1243" s="652">
        <f>IF($B1243="",,SUMIFS(PerHeadcount[Month 16],PerHeadcount[exp_item],$H1243,PerHeadcount[company_name],$B1243)*AA193)</f>
        <v>0</v>
      </c>
      <c r="AB1243" s="652">
        <f>IF($B1243="",,SUMIFS(PerHeadcount[Month 17],PerHeadcount[exp_item],$H1243,PerHeadcount[company_name],$B1243)*AB193)</f>
        <v>0</v>
      </c>
      <c r="AC1243" s="652">
        <f>IF($B1243="",,SUMIFS(PerHeadcount[Month 18],PerHeadcount[exp_item],$H1243,PerHeadcount[company_name],$B1243)*AC193)</f>
        <v>0</v>
      </c>
      <c r="AD1243" s="652">
        <f>IF($B1243="",,SUMIFS(PerHeadcount[Month 19],PerHeadcount[exp_item],$H1243,PerHeadcount[company_name],$B1243)*AD193)</f>
        <v>0</v>
      </c>
      <c r="AE1243" s="652">
        <f>IF($B1243="",,SUMIFS(PerHeadcount[Month 20],PerHeadcount[exp_item],$H1243,PerHeadcount[company_name],$B1243)*AE193)</f>
        <v>0</v>
      </c>
      <c r="AF1243" s="652">
        <f>IF($B1243="",,SUMIFS(PerHeadcount[Month 21],PerHeadcount[exp_item],$H1243,PerHeadcount[company_name],$B1243)*AF193)</f>
        <v>0</v>
      </c>
      <c r="AG1243" s="652">
        <f>IF($B1243="",,SUMIFS(PerHeadcount[Month 22],PerHeadcount[exp_item],$H1243,PerHeadcount[company_name],$B1243)*AG193)</f>
        <v>0</v>
      </c>
      <c r="AH1243" s="652">
        <f>IF($B1243="",,SUMIFS(PerHeadcount[Month 23],PerHeadcount[exp_item],$H1243,PerHeadcount[company_name],$B1243)*AH193)</f>
        <v>0</v>
      </c>
      <c r="AI1243" s="652">
        <f>IF($B1243="",,SUMIFS(PerHeadcount[Month 24],PerHeadcount[exp_item],$H1243,PerHeadcount[company_name],$B1243)*AI193)</f>
        <v>0</v>
      </c>
      <c r="AJ1243" s="652">
        <f>IF($B1243="",,SUMIFS(PerHeadcount[Month 25],PerHeadcount[exp_item],$H1243,PerHeadcount[company_name],$B1243)*AJ193)</f>
        <v>0</v>
      </c>
      <c r="AK1243" s="652">
        <f>IF($B1243="",,SUMIFS(PerHeadcount[Month 26],PerHeadcount[exp_item],$H1243,PerHeadcount[company_name],$B1243)*AK193)</f>
        <v>0</v>
      </c>
      <c r="AL1243" s="652">
        <f>IF($B1243="",,SUMIFS(PerHeadcount[Month 27],PerHeadcount[exp_item],$H1243,PerHeadcount[company_name],$B1243)*AL193)</f>
        <v>0</v>
      </c>
      <c r="AM1243" s="652">
        <f>IF($B1243="",,SUMIFS(PerHeadcount[Month 28],PerHeadcount[exp_item],$H1243,PerHeadcount[company_name],$B1243)*AM193)</f>
        <v>0</v>
      </c>
      <c r="AN1243" s="652">
        <f>IF($B1243="",,SUMIFS(PerHeadcount[Month 29],PerHeadcount[exp_item],$H1243,PerHeadcount[company_name],$B1243)*AN193)</f>
        <v>0</v>
      </c>
      <c r="AO1243" s="652">
        <f>IF($B1243="",,SUMIFS(PerHeadcount[Month 30],PerHeadcount[exp_item],$H1243,PerHeadcount[company_name],$B1243)*AO193)</f>
        <v>0</v>
      </c>
      <c r="AP1243" s="652">
        <f>IF($B1243="",,SUMIFS(PerHeadcount[Month 31],PerHeadcount[exp_item],$H1243,PerHeadcount[company_name],$B1243)*AP193)</f>
        <v>0</v>
      </c>
      <c r="AQ1243" s="652">
        <f>IF($B1243="",,SUMIFS(PerHeadcount[Month 32],PerHeadcount[exp_item],$H1243,PerHeadcount[company_name],$B1243)*AQ193)</f>
        <v>0</v>
      </c>
      <c r="AR1243" s="652">
        <f>IF($B1243="",,SUMIFS(PerHeadcount[Month 33],PerHeadcount[exp_item],$H1243,PerHeadcount[company_name],$B1243)*AR193)</f>
        <v>0</v>
      </c>
      <c r="AS1243" s="652">
        <f>IF($B1243="",,SUMIFS(PerHeadcount[Month 34],PerHeadcount[exp_item],$H1243,PerHeadcount[company_name],$B1243)*AS193)</f>
        <v>0</v>
      </c>
      <c r="AT1243" s="652">
        <f>IF($B1243="",,SUMIFS(PerHeadcount[Month 35],PerHeadcount[exp_item],$H1243,PerHeadcount[company_name],$B1243)*AT193)</f>
        <v>0</v>
      </c>
      <c r="AU1243" s="652">
        <f>IF($B1243="",,SUMIFS(PerHeadcount[Month 36],PerHeadcount[exp_item],$H1243,PerHeadcount[company_name],$B1243)*AU193)</f>
        <v>0</v>
      </c>
    </row>
    <row r="1244" spans="1:52" x14ac:dyDescent="0.35">
      <c r="B1244" t="str">
        <f t="shared" si="881"/>
        <v/>
      </c>
      <c r="C1244" t="str">
        <f t="shared" ref="C1244:G1244" si="890">IF(C1139="","",C1139)</f>
        <v/>
      </c>
      <c r="D1244" t="str">
        <f t="shared" si="890"/>
        <v/>
      </c>
      <c r="E1244" t="str">
        <f t="shared" si="890"/>
        <v/>
      </c>
      <c r="F1244" t="str">
        <f t="shared" si="890"/>
        <v/>
      </c>
      <c r="G1244" t="str">
        <f t="shared" si="890"/>
        <v/>
      </c>
      <c r="H1244" t="str">
        <f t="shared" si="880"/>
        <v/>
      </c>
      <c r="J1244" t="str">
        <f>IF($H1244="","",IF(VLOOKUP(H1244,ExpItems[],2,0),H1244&amp;" - "&amp;INDEX(DivisionMapping[category_code],MATCH($D1244&amp;$C1244,DivisionMapping[dept_bu],0)),H1244))</f>
        <v/>
      </c>
      <c r="K1244" t="str">
        <f t="shared" si="883"/>
        <v/>
      </c>
      <c r="L1244" s="652">
        <f>IF($B1244="",,SUMIFS(PerHeadcount[Month 1],PerHeadcount[exp_item],$H1244,PerHeadcount[company_name],$B1244)*L194)</f>
        <v>0</v>
      </c>
      <c r="M1244" s="652">
        <f>IF($B1244="",,SUMIFS(PerHeadcount[Month 2],PerHeadcount[exp_item],$H1244,PerHeadcount[company_name],$B1244)*M194)</f>
        <v>0</v>
      </c>
      <c r="N1244" s="652">
        <f>IF($B1244="",,SUMIFS(PerHeadcount[Month 3],PerHeadcount[exp_item],$H1244,PerHeadcount[company_name],$B1244)*N194)</f>
        <v>0</v>
      </c>
      <c r="O1244" s="652">
        <f>IF($B1244="",,SUMIFS(PerHeadcount[Month 4],PerHeadcount[exp_item],$H1244,PerHeadcount[company_name],$B1244)*O194)</f>
        <v>0</v>
      </c>
      <c r="P1244" s="652">
        <f>IF($B1244="",,SUMIFS(PerHeadcount[Month 5],PerHeadcount[exp_item],$H1244,PerHeadcount[company_name],$B1244)*P194)</f>
        <v>0</v>
      </c>
      <c r="Q1244" s="652">
        <f>IF($B1244="",,SUMIFS(PerHeadcount[Month 6],PerHeadcount[exp_item],$H1244,PerHeadcount[company_name],$B1244)*Q194)</f>
        <v>0</v>
      </c>
      <c r="R1244" s="652">
        <f>IF($B1244="",,SUMIFS(PerHeadcount[Month 7],PerHeadcount[exp_item],$H1244,PerHeadcount[company_name],$B1244)*R194)</f>
        <v>0</v>
      </c>
      <c r="S1244" s="652">
        <f>IF($B1244="",,SUMIFS(PerHeadcount[Month 8],PerHeadcount[exp_item],$H1244,PerHeadcount[company_name],$B1244)*S194)</f>
        <v>0</v>
      </c>
      <c r="T1244" s="652">
        <f>IF($B1244="",,SUMIFS(PerHeadcount[Month 9],PerHeadcount[exp_item],$H1244,PerHeadcount[company_name],$B1244)*T194)</f>
        <v>0</v>
      </c>
      <c r="U1244" s="652">
        <f>IF($B1244="",,SUMIFS(PerHeadcount[Month 10],PerHeadcount[exp_item],$H1244,PerHeadcount[company_name],$B1244)*U194)</f>
        <v>0</v>
      </c>
      <c r="V1244" s="652">
        <f>IF($B1244="",,SUMIFS(PerHeadcount[Month 11],PerHeadcount[exp_item],$H1244,PerHeadcount[company_name],$B1244)*V194)</f>
        <v>0</v>
      </c>
      <c r="W1244" s="652">
        <f>IF($B1244="",,SUMIFS(PerHeadcount[Month 12],PerHeadcount[exp_item],$H1244,PerHeadcount[company_name],$B1244)*W194)</f>
        <v>0</v>
      </c>
      <c r="X1244" s="652">
        <f>IF($B1244="",,SUMIFS(PerHeadcount[Month 13],PerHeadcount[exp_item],$H1244,PerHeadcount[company_name],$B1244)*X194)</f>
        <v>0</v>
      </c>
      <c r="Y1244" s="652">
        <f>IF($B1244="",,SUMIFS(PerHeadcount[Month 14],PerHeadcount[exp_item],$H1244,PerHeadcount[company_name],$B1244)*Y194)</f>
        <v>0</v>
      </c>
      <c r="Z1244" s="652">
        <f>IF($B1244="",,SUMIFS(PerHeadcount[Month 15],PerHeadcount[exp_item],$H1244,PerHeadcount[company_name],$B1244)*Z194)</f>
        <v>0</v>
      </c>
      <c r="AA1244" s="652">
        <f>IF($B1244="",,SUMIFS(PerHeadcount[Month 16],PerHeadcount[exp_item],$H1244,PerHeadcount[company_name],$B1244)*AA194)</f>
        <v>0</v>
      </c>
      <c r="AB1244" s="652">
        <f>IF($B1244="",,SUMIFS(PerHeadcount[Month 17],PerHeadcount[exp_item],$H1244,PerHeadcount[company_name],$B1244)*AB194)</f>
        <v>0</v>
      </c>
      <c r="AC1244" s="652">
        <f>IF($B1244="",,SUMIFS(PerHeadcount[Month 18],PerHeadcount[exp_item],$H1244,PerHeadcount[company_name],$B1244)*AC194)</f>
        <v>0</v>
      </c>
      <c r="AD1244" s="652">
        <f>IF($B1244="",,SUMIFS(PerHeadcount[Month 19],PerHeadcount[exp_item],$H1244,PerHeadcount[company_name],$B1244)*AD194)</f>
        <v>0</v>
      </c>
      <c r="AE1244" s="652">
        <f>IF($B1244="",,SUMIFS(PerHeadcount[Month 20],PerHeadcount[exp_item],$H1244,PerHeadcount[company_name],$B1244)*AE194)</f>
        <v>0</v>
      </c>
      <c r="AF1244" s="652">
        <f>IF($B1244="",,SUMIFS(PerHeadcount[Month 21],PerHeadcount[exp_item],$H1244,PerHeadcount[company_name],$B1244)*AF194)</f>
        <v>0</v>
      </c>
      <c r="AG1244" s="652">
        <f>IF($B1244="",,SUMIFS(PerHeadcount[Month 22],PerHeadcount[exp_item],$H1244,PerHeadcount[company_name],$B1244)*AG194)</f>
        <v>0</v>
      </c>
      <c r="AH1244" s="652">
        <f>IF($B1244="",,SUMIFS(PerHeadcount[Month 23],PerHeadcount[exp_item],$H1244,PerHeadcount[company_name],$B1244)*AH194)</f>
        <v>0</v>
      </c>
      <c r="AI1244" s="652">
        <f>IF($B1244="",,SUMIFS(PerHeadcount[Month 24],PerHeadcount[exp_item],$H1244,PerHeadcount[company_name],$B1244)*AI194)</f>
        <v>0</v>
      </c>
      <c r="AJ1244" s="652">
        <f>IF($B1244="",,SUMIFS(PerHeadcount[Month 25],PerHeadcount[exp_item],$H1244,PerHeadcount[company_name],$B1244)*AJ194)</f>
        <v>0</v>
      </c>
      <c r="AK1244" s="652">
        <f>IF($B1244="",,SUMIFS(PerHeadcount[Month 26],PerHeadcount[exp_item],$H1244,PerHeadcount[company_name],$B1244)*AK194)</f>
        <v>0</v>
      </c>
      <c r="AL1244" s="652">
        <f>IF($B1244="",,SUMIFS(PerHeadcount[Month 27],PerHeadcount[exp_item],$H1244,PerHeadcount[company_name],$B1244)*AL194)</f>
        <v>0</v>
      </c>
      <c r="AM1244" s="652">
        <f>IF($B1244="",,SUMIFS(PerHeadcount[Month 28],PerHeadcount[exp_item],$H1244,PerHeadcount[company_name],$B1244)*AM194)</f>
        <v>0</v>
      </c>
      <c r="AN1244" s="652">
        <f>IF($B1244="",,SUMIFS(PerHeadcount[Month 29],PerHeadcount[exp_item],$H1244,PerHeadcount[company_name],$B1244)*AN194)</f>
        <v>0</v>
      </c>
      <c r="AO1244" s="652">
        <f>IF($B1244="",,SUMIFS(PerHeadcount[Month 30],PerHeadcount[exp_item],$H1244,PerHeadcount[company_name],$B1244)*AO194)</f>
        <v>0</v>
      </c>
      <c r="AP1244" s="652">
        <f>IF($B1244="",,SUMIFS(PerHeadcount[Month 31],PerHeadcount[exp_item],$H1244,PerHeadcount[company_name],$B1244)*AP194)</f>
        <v>0</v>
      </c>
      <c r="AQ1244" s="652">
        <f>IF($B1244="",,SUMIFS(PerHeadcount[Month 32],PerHeadcount[exp_item],$H1244,PerHeadcount[company_name],$B1244)*AQ194)</f>
        <v>0</v>
      </c>
      <c r="AR1244" s="652">
        <f>IF($B1244="",,SUMIFS(PerHeadcount[Month 33],PerHeadcount[exp_item],$H1244,PerHeadcount[company_name],$B1244)*AR194)</f>
        <v>0</v>
      </c>
      <c r="AS1244" s="652">
        <f>IF($B1244="",,SUMIFS(PerHeadcount[Month 34],PerHeadcount[exp_item],$H1244,PerHeadcount[company_name],$B1244)*AS194)</f>
        <v>0</v>
      </c>
      <c r="AT1244" s="652">
        <f>IF($B1244="",,SUMIFS(PerHeadcount[Month 35],PerHeadcount[exp_item],$H1244,PerHeadcount[company_name],$B1244)*AT194)</f>
        <v>0</v>
      </c>
      <c r="AU1244" s="652">
        <f>IF($B1244="",,SUMIFS(PerHeadcount[Month 36],PerHeadcount[exp_item],$H1244,PerHeadcount[company_name],$B1244)*AU194)</f>
        <v>0</v>
      </c>
    </row>
    <row r="1245" spans="1:52" x14ac:dyDescent="0.35">
      <c r="B1245" t="str">
        <f t="shared" si="881"/>
        <v/>
      </c>
      <c r="C1245" t="str">
        <f t="shared" ref="C1245:G1245" si="891">IF(C1140="","",C1140)</f>
        <v/>
      </c>
      <c r="D1245" t="str">
        <f t="shared" si="891"/>
        <v/>
      </c>
      <c r="E1245" t="str">
        <f t="shared" si="891"/>
        <v/>
      </c>
      <c r="F1245" t="str">
        <f t="shared" si="891"/>
        <v/>
      </c>
      <c r="G1245" t="str">
        <f t="shared" si="891"/>
        <v/>
      </c>
      <c r="H1245" t="str">
        <f t="shared" si="880"/>
        <v/>
      </c>
      <c r="J1245" t="str">
        <f>IF($H1245="","",IF(VLOOKUP(H1245,ExpItems[],2,0),H1245&amp;" - "&amp;INDEX(DivisionMapping[category_code],MATCH($D1245&amp;$C1245,DivisionMapping[dept_bu],0)),H1245))</f>
        <v/>
      </c>
      <c r="K1245" t="str">
        <f t="shared" si="883"/>
        <v/>
      </c>
      <c r="L1245" s="652">
        <f>IF($B1245="",,SUMIFS(PerHeadcount[Month 1],PerHeadcount[exp_item],$H1245,PerHeadcount[company_name],$B1245)*L195)</f>
        <v>0</v>
      </c>
      <c r="M1245" s="652">
        <f>IF($B1245="",,SUMIFS(PerHeadcount[Month 2],PerHeadcount[exp_item],$H1245,PerHeadcount[company_name],$B1245)*M195)</f>
        <v>0</v>
      </c>
      <c r="N1245" s="652">
        <f>IF($B1245="",,SUMIFS(PerHeadcount[Month 3],PerHeadcount[exp_item],$H1245,PerHeadcount[company_name],$B1245)*N195)</f>
        <v>0</v>
      </c>
      <c r="O1245" s="652">
        <f>IF($B1245="",,SUMIFS(PerHeadcount[Month 4],PerHeadcount[exp_item],$H1245,PerHeadcount[company_name],$B1245)*O195)</f>
        <v>0</v>
      </c>
      <c r="P1245" s="652">
        <f>IF($B1245="",,SUMIFS(PerHeadcount[Month 5],PerHeadcount[exp_item],$H1245,PerHeadcount[company_name],$B1245)*P195)</f>
        <v>0</v>
      </c>
      <c r="Q1245" s="652">
        <f>IF($B1245="",,SUMIFS(PerHeadcount[Month 6],PerHeadcount[exp_item],$H1245,PerHeadcount[company_name],$B1245)*Q195)</f>
        <v>0</v>
      </c>
      <c r="R1245" s="652">
        <f>IF($B1245="",,SUMIFS(PerHeadcount[Month 7],PerHeadcount[exp_item],$H1245,PerHeadcount[company_name],$B1245)*R195)</f>
        <v>0</v>
      </c>
      <c r="S1245" s="652">
        <f>IF($B1245="",,SUMIFS(PerHeadcount[Month 8],PerHeadcount[exp_item],$H1245,PerHeadcount[company_name],$B1245)*S195)</f>
        <v>0</v>
      </c>
      <c r="T1245" s="652">
        <f>IF($B1245="",,SUMIFS(PerHeadcount[Month 9],PerHeadcount[exp_item],$H1245,PerHeadcount[company_name],$B1245)*T195)</f>
        <v>0</v>
      </c>
      <c r="U1245" s="652">
        <f>IF($B1245="",,SUMIFS(PerHeadcount[Month 10],PerHeadcount[exp_item],$H1245,PerHeadcount[company_name],$B1245)*U195)</f>
        <v>0</v>
      </c>
      <c r="V1245" s="652">
        <f>IF($B1245="",,SUMIFS(PerHeadcount[Month 11],PerHeadcount[exp_item],$H1245,PerHeadcount[company_name],$B1245)*V195)</f>
        <v>0</v>
      </c>
      <c r="W1245" s="652">
        <f>IF($B1245="",,SUMIFS(PerHeadcount[Month 12],PerHeadcount[exp_item],$H1245,PerHeadcount[company_name],$B1245)*W195)</f>
        <v>0</v>
      </c>
      <c r="X1245" s="652">
        <f>IF($B1245="",,SUMIFS(PerHeadcount[Month 13],PerHeadcount[exp_item],$H1245,PerHeadcount[company_name],$B1245)*X195)</f>
        <v>0</v>
      </c>
      <c r="Y1245" s="652">
        <f>IF($B1245="",,SUMIFS(PerHeadcount[Month 14],PerHeadcount[exp_item],$H1245,PerHeadcount[company_name],$B1245)*Y195)</f>
        <v>0</v>
      </c>
      <c r="Z1245" s="652">
        <f>IF($B1245="",,SUMIFS(PerHeadcount[Month 15],PerHeadcount[exp_item],$H1245,PerHeadcount[company_name],$B1245)*Z195)</f>
        <v>0</v>
      </c>
      <c r="AA1245" s="652">
        <f>IF($B1245="",,SUMIFS(PerHeadcount[Month 16],PerHeadcount[exp_item],$H1245,PerHeadcount[company_name],$B1245)*AA195)</f>
        <v>0</v>
      </c>
      <c r="AB1245" s="652">
        <f>IF($B1245="",,SUMIFS(PerHeadcount[Month 17],PerHeadcount[exp_item],$H1245,PerHeadcount[company_name],$B1245)*AB195)</f>
        <v>0</v>
      </c>
      <c r="AC1245" s="652">
        <f>IF($B1245="",,SUMIFS(PerHeadcount[Month 18],PerHeadcount[exp_item],$H1245,PerHeadcount[company_name],$B1245)*AC195)</f>
        <v>0</v>
      </c>
      <c r="AD1245" s="652">
        <f>IF($B1245="",,SUMIFS(PerHeadcount[Month 19],PerHeadcount[exp_item],$H1245,PerHeadcount[company_name],$B1245)*AD195)</f>
        <v>0</v>
      </c>
      <c r="AE1245" s="652">
        <f>IF($B1245="",,SUMIFS(PerHeadcount[Month 20],PerHeadcount[exp_item],$H1245,PerHeadcount[company_name],$B1245)*AE195)</f>
        <v>0</v>
      </c>
      <c r="AF1245" s="652">
        <f>IF($B1245="",,SUMIFS(PerHeadcount[Month 21],PerHeadcount[exp_item],$H1245,PerHeadcount[company_name],$B1245)*AF195)</f>
        <v>0</v>
      </c>
      <c r="AG1245" s="652">
        <f>IF($B1245="",,SUMIFS(PerHeadcount[Month 22],PerHeadcount[exp_item],$H1245,PerHeadcount[company_name],$B1245)*AG195)</f>
        <v>0</v>
      </c>
      <c r="AH1245" s="652">
        <f>IF($B1245="",,SUMIFS(PerHeadcount[Month 23],PerHeadcount[exp_item],$H1245,PerHeadcount[company_name],$B1245)*AH195)</f>
        <v>0</v>
      </c>
      <c r="AI1245" s="652">
        <f>IF($B1245="",,SUMIFS(PerHeadcount[Month 24],PerHeadcount[exp_item],$H1245,PerHeadcount[company_name],$B1245)*AI195)</f>
        <v>0</v>
      </c>
      <c r="AJ1245" s="652">
        <f>IF($B1245="",,SUMIFS(PerHeadcount[Month 25],PerHeadcount[exp_item],$H1245,PerHeadcount[company_name],$B1245)*AJ195)</f>
        <v>0</v>
      </c>
      <c r="AK1245" s="652">
        <f>IF($B1245="",,SUMIFS(PerHeadcount[Month 26],PerHeadcount[exp_item],$H1245,PerHeadcount[company_name],$B1245)*AK195)</f>
        <v>0</v>
      </c>
      <c r="AL1245" s="652">
        <f>IF($B1245="",,SUMIFS(PerHeadcount[Month 27],PerHeadcount[exp_item],$H1245,PerHeadcount[company_name],$B1245)*AL195)</f>
        <v>0</v>
      </c>
      <c r="AM1245" s="652">
        <f>IF($B1245="",,SUMIFS(PerHeadcount[Month 28],PerHeadcount[exp_item],$H1245,PerHeadcount[company_name],$B1245)*AM195)</f>
        <v>0</v>
      </c>
      <c r="AN1245" s="652">
        <f>IF($B1245="",,SUMIFS(PerHeadcount[Month 29],PerHeadcount[exp_item],$H1245,PerHeadcount[company_name],$B1245)*AN195)</f>
        <v>0</v>
      </c>
      <c r="AO1245" s="652">
        <f>IF($B1245="",,SUMIFS(PerHeadcount[Month 30],PerHeadcount[exp_item],$H1245,PerHeadcount[company_name],$B1245)*AO195)</f>
        <v>0</v>
      </c>
      <c r="AP1245" s="652">
        <f>IF($B1245="",,SUMIFS(PerHeadcount[Month 31],PerHeadcount[exp_item],$H1245,PerHeadcount[company_name],$B1245)*AP195)</f>
        <v>0</v>
      </c>
      <c r="AQ1245" s="652">
        <f>IF($B1245="",,SUMIFS(PerHeadcount[Month 32],PerHeadcount[exp_item],$H1245,PerHeadcount[company_name],$B1245)*AQ195)</f>
        <v>0</v>
      </c>
      <c r="AR1245" s="652">
        <f>IF($B1245="",,SUMIFS(PerHeadcount[Month 33],PerHeadcount[exp_item],$H1245,PerHeadcount[company_name],$B1245)*AR195)</f>
        <v>0</v>
      </c>
      <c r="AS1245" s="652">
        <f>IF($B1245="",,SUMIFS(PerHeadcount[Month 34],PerHeadcount[exp_item],$H1245,PerHeadcount[company_name],$B1245)*AS195)</f>
        <v>0</v>
      </c>
      <c r="AT1245" s="652">
        <f>IF($B1245="",,SUMIFS(PerHeadcount[Month 35],PerHeadcount[exp_item],$H1245,PerHeadcount[company_name],$B1245)*AT195)</f>
        <v>0</v>
      </c>
      <c r="AU1245" s="652">
        <f>IF($B1245="",,SUMIFS(PerHeadcount[Month 36],PerHeadcount[exp_item],$H1245,PerHeadcount[company_name],$B1245)*AU195)</f>
        <v>0</v>
      </c>
    </row>
    <row r="1246" spans="1:52" x14ac:dyDescent="0.35">
      <c r="B1246" t="str">
        <f t="shared" si="881"/>
        <v/>
      </c>
      <c r="C1246" t="str">
        <f t="shared" ref="C1246:G1246" si="892">IF(C1141="","",C1141)</f>
        <v/>
      </c>
      <c r="D1246" t="str">
        <f t="shared" si="892"/>
        <v/>
      </c>
      <c r="E1246" t="str">
        <f t="shared" si="892"/>
        <v/>
      </c>
      <c r="F1246" t="str">
        <f t="shared" si="892"/>
        <v/>
      </c>
      <c r="G1246" t="str">
        <f t="shared" si="892"/>
        <v/>
      </c>
      <c r="H1246" t="str">
        <f t="shared" si="880"/>
        <v/>
      </c>
      <c r="J1246" t="str">
        <f>IF($H1246="","",IF(VLOOKUP(H1246,ExpItems[],2,0),H1246&amp;" - "&amp;INDEX(DivisionMapping[category_code],MATCH($D1246&amp;$C1246,DivisionMapping[dept_bu],0)),H1246))</f>
        <v/>
      </c>
      <c r="K1246" t="str">
        <f t="shared" si="883"/>
        <v/>
      </c>
      <c r="L1246" s="652">
        <f>IF($B1246="",,SUMIFS(PerHeadcount[Month 1],PerHeadcount[exp_item],$H1246,PerHeadcount[company_name],$B1246)*L196)</f>
        <v>0</v>
      </c>
      <c r="M1246" s="652">
        <f>IF($B1246="",,SUMIFS(PerHeadcount[Month 2],PerHeadcount[exp_item],$H1246,PerHeadcount[company_name],$B1246)*M196)</f>
        <v>0</v>
      </c>
      <c r="N1246" s="652">
        <f>IF($B1246="",,SUMIFS(PerHeadcount[Month 3],PerHeadcount[exp_item],$H1246,PerHeadcount[company_name],$B1246)*N196)</f>
        <v>0</v>
      </c>
      <c r="O1246" s="652">
        <f>IF($B1246="",,SUMIFS(PerHeadcount[Month 4],PerHeadcount[exp_item],$H1246,PerHeadcount[company_name],$B1246)*O196)</f>
        <v>0</v>
      </c>
      <c r="P1246" s="652">
        <f>IF($B1246="",,SUMIFS(PerHeadcount[Month 5],PerHeadcount[exp_item],$H1246,PerHeadcount[company_name],$B1246)*P196)</f>
        <v>0</v>
      </c>
      <c r="Q1246" s="652">
        <f>IF($B1246="",,SUMIFS(PerHeadcount[Month 6],PerHeadcount[exp_item],$H1246,PerHeadcount[company_name],$B1246)*Q196)</f>
        <v>0</v>
      </c>
      <c r="R1246" s="652">
        <f>IF($B1246="",,SUMIFS(PerHeadcount[Month 7],PerHeadcount[exp_item],$H1246,PerHeadcount[company_name],$B1246)*R196)</f>
        <v>0</v>
      </c>
      <c r="S1246" s="652">
        <f>IF($B1246="",,SUMIFS(PerHeadcount[Month 8],PerHeadcount[exp_item],$H1246,PerHeadcount[company_name],$B1246)*S196)</f>
        <v>0</v>
      </c>
      <c r="T1246" s="652">
        <f>IF($B1246="",,SUMIFS(PerHeadcount[Month 9],PerHeadcount[exp_item],$H1246,PerHeadcount[company_name],$B1246)*T196)</f>
        <v>0</v>
      </c>
      <c r="U1246" s="652">
        <f>IF($B1246="",,SUMIFS(PerHeadcount[Month 10],PerHeadcount[exp_item],$H1246,PerHeadcount[company_name],$B1246)*U196)</f>
        <v>0</v>
      </c>
      <c r="V1246" s="652">
        <f>IF($B1246="",,SUMIFS(PerHeadcount[Month 11],PerHeadcount[exp_item],$H1246,PerHeadcount[company_name],$B1246)*V196)</f>
        <v>0</v>
      </c>
      <c r="W1246" s="652">
        <f>IF($B1246="",,SUMIFS(PerHeadcount[Month 12],PerHeadcount[exp_item],$H1246,PerHeadcount[company_name],$B1246)*W196)</f>
        <v>0</v>
      </c>
      <c r="X1246" s="652">
        <f>IF($B1246="",,SUMIFS(PerHeadcount[Month 13],PerHeadcount[exp_item],$H1246,PerHeadcount[company_name],$B1246)*X196)</f>
        <v>0</v>
      </c>
      <c r="Y1246" s="652">
        <f>IF($B1246="",,SUMIFS(PerHeadcount[Month 14],PerHeadcount[exp_item],$H1246,PerHeadcount[company_name],$B1246)*Y196)</f>
        <v>0</v>
      </c>
      <c r="Z1246" s="652">
        <f>IF($B1246="",,SUMIFS(PerHeadcount[Month 15],PerHeadcount[exp_item],$H1246,PerHeadcount[company_name],$B1246)*Z196)</f>
        <v>0</v>
      </c>
      <c r="AA1246" s="652">
        <f>IF($B1246="",,SUMIFS(PerHeadcount[Month 16],PerHeadcount[exp_item],$H1246,PerHeadcount[company_name],$B1246)*AA196)</f>
        <v>0</v>
      </c>
      <c r="AB1246" s="652">
        <f>IF($B1246="",,SUMIFS(PerHeadcount[Month 17],PerHeadcount[exp_item],$H1246,PerHeadcount[company_name],$B1246)*AB196)</f>
        <v>0</v>
      </c>
      <c r="AC1246" s="652">
        <f>IF($B1246="",,SUMIFS(PerHeadcount[Month 18],PerHeadcount[exp_item],$H1246,PerHeadcount[company_name],$B1246)*AC196)</f>
        <v>0</v>
      </c>
      <c r="AD1246" s="652">
        <f>IF($B1246="",,SUMIFS(PerHeadcount[Month 19],PerHeadcount[exp_item],$H1246,PerHeadcount[company_name],$B1246)*AD196)</f>
        <v>0</v>
      </c>
      <c r="AE1246" s="652">
        <f>IF($B1246="",,SUMIFS(PerHeadcount[Month 20],PerHeadcount[exp_item],$H1246,PerHeadcount[company_name],$B1246)*AE196)</f>
        <v>0</v>
      </c>
      <c r="AF1246" s="652">
        <f>IF($B1246="",,SUMIFS(PerHeadcount[Month 21],PerHeadcount[exp_item],$H1246,PerHeadcount[company_name],$B1246)*AF196)</f>
        <v>0</v>
      </c>
      <c r="AG1246" s="652">
        <f>IF($B1246="",,SUMIFS(PerHeadcount[Month 22],PerHeadcount[exp_item],$H1246,PerHeadcount[company_name],$B1246)*AG196)</f>
        <v>0</v>
      </c>
      <c r="AH1246" s="652">
        <f>IF($B1246="",,SUMIFS(PerHeadcount[Month 23],PerHeadcount[exp_item],$H1246,PerHeadcount[company_name],$B1246)*AH196)</f>
        <v>0</v>
      </c>
      <c r="AI1246" s="652">
        <f>IF($B1246="",,SUMIFS(PerHeadcount[Month 24],PerHeadcount[exp_item],$H1246,PerHeadcount[company_name],$B1246)*AI196)</f>
        <v>0</v>
      </c>
      <c r="AJ1246" s="652">
        <f>IF($B1246="",,SUMIFS(PerHeadcount[Month 25],PerHeadcount[exp_item],$H1246,PerHeadcount[company_name],$B1246)*AJ196)</f>
        <v>0</v>
      </c>
      <c r="AK1246" s="652">
        <f>IF($B1246="",,SUMIFS(PerHeadcount[Month 26],PerHeadcount[exp_item],$H1246,PerHeadcount[company_name],$B1246)*AK196)</f>
        <v>0</v>
      </c>
      <c r="AL1246" s="652">
        <f>IF($B1246="",,SUMIFS(PerHeadcount[Month 27],PerHeadcount[exp_item],$H1246,PerHeadcount[company_name],$B1246)*AL196)</f>
        <v>0</v>
      </c>
      <c r="AM1246" s="652">
        <f>IF($B1246="",,SUMIFS(PerHeadcount[Month 28],PerHeadcount[exp_item],$H1246,PerHeadcount[company_name],$B1246)*AM196)</f>
        <v>0</v>
      </c>
      <c r="AN1246" s="652">
        <f>IF($B1246="",,SUMIFS(PerHeadcount[Month 29],PerHeadcount[exp_item],$H1246,PerHeadcount[company_name],$B1246)*AN196)</f>
        <v>0</v>
      </c>
      <c r="AO1246" s="652">
        <f>IF($B1246="",,SUMIFS(PerHeadcount[Month 30],PerHeadcount[exp_item],$H1246,PerHeadcount[company_name],$B1246)*AO196)</f>
        <v>0</v>
      </c>
      <c r="AP1246" s="652">
        <f>IF($B1246="",,SUMIFS(PerHeadcount[Month 31],PerHeadcount[exp_item],$H1246,PerHeadcount[company_name],$B1246)*AP196)</f>
        <v>0</v>
      </c>
      <c r="AQ1246" s="652">
        <f>IF($B1246="",,SUMIFS(PerHeadcount[Month 32],PerHeadcount[exp_item],$H1246,PerHeadcount[company_name],$B1246)*AQ196)</f>
        <v>0</v>
      </c>
      <c r="AR1246" s="652">
        <f>IF($B1246="",,SUMIFS(PerHeadcount[Month 33],PerHeadcount[exp_item],$H1246,PerHeadcount[company_name],$B1246)*AR196)</f>
        <v>0</v>
      </c>
      <c r="AS1246" s="652">
        <f>IF($B1246="",,SUMIFS(PerHeadcount[Month 34],PerHeadcount[exp_item],$H1246,PerHeadcount[company_name],$B1246)*AS196)</f>
        <v>0</v>
      </c>
      <c r="AT1246" s="652">
        <f>IF($B1246="",,SUMIFS(PerHeadcount[Month 35],PerHeadcount[exp_item],$H1246,PerHeadcount[company_name],$B1246)*AT196)</f>
        <v>0</v>
      </c>
      <c r="AU1246" s="652">
        <f>IF($B1246="",,SUMIFS(PerHeadcount[Month 36],PerHeadcount[exp_item],$H1246,PerHeadcount[company_name],$B1246)*AU196)</f>
        <v>0</v>
      </c>
    </row>
    <row r="1247" spans="1:52" x14ac:dyDescent="0.35">
      <c r="B1247" t="str">
        <f t="shared" si="881"/>
        <v/>
      </c>
      <c r="C1247" t="str">
        <f t="shared" ref="C1247:G1247" si="893">IF(C1142="","",C1142)</f>
        <v/>
      </c>
      <c r="D1247" t="str">
        <f t="shared" si="893"/>
        <v/>
      </c>
      <c r="E1247" t="str">
        <f t="shared" si="893"/>
        <v/>
      </c>
      <c r="F1247" t="str">
        <f t="shared" si="893"/>
        <v/>
      </c>
      <c r="G1247" t="str">
        <f t="shared" si="893"/>
        <v/>
      </c>
      <c r="H1247" t="str">
        <f t="shared" si="880"/>
        <v/>
      </c>
      <c r="J1247" t="str">
        <f>IF($H1247="","",IF(VLOOKUP(H1247,ExpItems[],2,0),H1247&amp;" - "&amp;INDEX(DivisionMapping[category_code],MATCH($D1247&amp;$C1247,DivisionMapping[dept_bu],0)),H1247))</f>
        <v/>
      </c>
      <c r="K1247" t="str">
        <f t="shared" si="883"/>
        <v/>
      </c>
      <c r="L1247" s="652">
        <f>IF($B1247="",,SUMIFS(PerHeadcount[Month 1],PerHeadcount[exp_item],$H1247,PerHeadcount[company_name],$B1247)*L197)</f>
        <v>0</v>
      </c>
      <c r="M1247" s="652">
        <f>IF($B1247="",,SUMIFS(PerHeadcount[Month 2],PerHeadcount[exp_item],$H1247,PerHeadcount[company_name],$B1247)*M197)</f>
        <v>0</v>
      </c>
      <c r="N1247" s="652">
        <f>IF($B1247="",,SUMIFS(PerHeadcount[Month 3],PerHeadcount[exp_item],$H1247,PerHeadcount[company_name],$B1247)*N197)</f>
        <v>0</v>
      </c>
      <c r="O1247" s="652">
        <f>IF($B1247="",,SUMIFS(PerHeadcount[Month 4],PerHeadcount[exp_item],$H1247,PerHeadcount[company_name],$B1247)*O197)</f>
        <v>0</v>
      </c>
      <c r="P1247" s="652">
        <f>IF($B1247="",,SUMIFS(PerHeadcount[Month 5],PerHeadcount[exp_item],$H1247,PerHeadcount[company_name],$B1247)*P197)</f>
        <v>0</v>
      </c>
      <c r="Q1247" s="652">
        <f>IF($B1247="",,SUMIFS(PerHeadcount[Month 6],PerHeadcount[exp_item],$H1247,PerHeadcount[company_name],$B1247)*Q197)</f>
        <v>0</v>
      </c>
      <c r="R1247" s="652">
        <f>IF($B1247="",,SUMIFS(PerHeadcount[Month 7],PerHeadcount[exp_item],$H1247,PerHeadcount[company_name],$B1247)*R197)</f>
        <v>0</v>
      </c>
      <c r="S1247" s="652">
        <f>IF($B1247="",,SUMIFS(PerHeadcount[Month 8],PerHeadcount[exp_item],$H1247,PerHeadcount[company_name],$B1247)*S197)</f>
        <v>0</v>
      </c>
      <c r="T1247" s="652">
        <f>IF($B1247="",,SUMIFS(PerHeadcount[Month 9],PerHeadcount[exp_item],$H1247,PerHeadcount[company_name],$B1247)*T197)</f>
        <v>0</v>
      </c>
      <c r="U1247" s="652">
        <f>IF($B1247="",,SUMIFS(PerHeadcount[Month 10],PerHeadcount[exp_item],$H1247,PerHeadcount[company_name],$B1247)*U197)</f>
        <v>0</v>
      </c>
      <c r="V1247" s="652">
        <f>IF($B1247="",,SUMIFS(PerHeadcount[Month 11],PerHeadcount[exp_item],$H1247,PerHeadcount[company_name],$B1247)*V197)</f>
        <v>0</v>
      </c>
      <c r="W1247" s="652">
        <f>IF($B1247="",,SUMIFS(PerHeadcount[Month 12],PerHeadcount[exp_item],$H1247,PerHeadcount[company_name],$B1247)*W197)</f>
        <v>0</v>
      </c>
      <c r="X1247" s="652">
        <f>IF($B1247="",,SUMIFS(PerHeadcount[Month 13],PerHeadcount[exp_item],$H1247,PerHeadcount[company_name],$B1247)*X197)</f>
        <v>0</v>
      </c>
      <c r="Y1247" s="652">
        <f>IF($B1247="",,SUMIFS(PerHeadcount[Month 14],PerHeadcount[exp_item],$H1247,PerHeadcount[company_name],$B1247)*Y197)</f>
        <v>0</v>
      </c>
      <c r="Z1247" s="652">
        <f>IF($B1247="",,SUMIFS(PerHeadcount[Month 15],PerHeadcount[exp_item],$H1247,PerHeadcount[company_name],$B1247)*Z197)</f>
        <v>0</v>
      </c>
      <c r="AA1247" s="652">
        <f>IF($B1247="",,SUMIFS(PerHeadcount[Month 16],PerHeadcount[exp_item],$H1247,PerHeadcount[company_name],$B1247)*AA197)</f>
        <v>0</v>
      </c>
      <c r="AB1247" s="652">
        <f>IF($B1247="",,SUMIFS(PerHeadcount[Month 17],PerHeadcount[exp_item],$H1247,PerHeadcount[company_name],$B1247)*AB197)</f>
        <v>0</v>
      </c>
      <c r="AC1247" s="652">
        <f>IF($B1247="",,SUMIFS(PerHeadcount[Month 18],PerHeadcount[exp_item],$H1247,PerHeadcount[company_name],$B1247)*AC197)</f>
        <v>0</v>
      </c>
      <c r="AD1247" s="652">
        <f>IF($B1247="",,SUMIFS(PerHeadcount[Month 19],PerHeadcount[exp_item],$H1247,PerHeadcount[company_name],$B1247)*AD197)</f>
        <v>0</v>
      </c>
      <c r="AE1247" s="652">
        <f>IF($B1247="",,SUMIFS(PerHeadcount[Month 20],PerHeadcount[exp_item],$H1247,PerHeadcount[company_name],$B1247)*AE197)</f>
        <v>0</v>
      </c>
      <c r="AF1247" s="652">
        <f>IF($B1247="",,SUMIFS(PerHeadcount[Month 21],PerHeadcount[exp_item],$H1247,PerHeadcount[company_name],$B1247)*AF197)</f>
        <v>0</v>
      </c>
      <c r="AG1247" s="652">
        <f>IF($B1247="",,SUMIFS(PerHeadcount[Month 22],PerHeadcount[exp_item],$H1247,PerHeadcount[company_name],$B1247)*AG197)</f>
        <v>0</v>
      </c>
      <c r="AH1247" s="652">
        <f>IF($B1247="",,SUMIFS(PerHeadcount[Month 23],PerHeadcount[exp_item],$H1247,PerHeadcount[company_name],$B1247)*AH197)</f>
        <v>0</v>
      </c>
      <c r="AI1247" s="652">
        <f>IF($B1247="",,SUMIFS(PerHeadcount[Month 24],PerHeadcount[exp_item],$H1247,PerHeadcount[company_name],$B1247)*AI197)</f>
        <v>0</v>
      </c>
      <c r="AJ1247" s="652">
        <f>IF($B1247="",,SUMIFS(PerHeadcount[Month 25],PerHeadcount[exp_item],$H1247,PerHeadcount[company_name],$B1247)*AJ197)</f>
        <v>0</v>
      </c>
      <c r="AK1247" s="652">
        <f>IF($B1247="",,SUMIFS(PerHeadcount[Month 26],PerHeadcount[exp_item],$H1247,PerHeadcount[company_name],$B1247)*AK197)</f>
        <v>0</v>
      </c>
      <c r="AL1247" s="652">
        <f>IF($B1247="",,SUMIFS(PerHeadcount[Month 27],PerHeadcount[exp_item],$H1247,PerHeadcount[company_name],$B1247)*AL197)</f>
        <v>0</v>
      </c>
      <c r="AM1247" s="652">
        <f>IF($B1247="",,SUMIFS(PerHeadcount[Month 28],PerHeadcount[exp_item],$H1247,PerHeadcount[company_name],$B1247)*AM197)</f>
        <v>0</v>
      </c>
      <c r="AN1247" s="652">
        <f>IF($B1247="",,SUMIFS(PerHeadcount[Month 29],PerHeadcount[exp_item],$H1247,PerHeadcount[company_name],$B1247)*AN197)</f>
        <v>0</v>
      </c>
      <c r="AO1247" s="652">
        <f>IF($B1247="",,SUMIFS(PerHeadcount[Month 30],PerHeadcount[exp_item],$H1247,PerHeadcount[company_name],$B1247)*AO197)</f>
        <v>0</v>
      </c>
      <c r="AP1247" s="652">
        <f>IF($B1247="",,SUMIFS(PerHeadcount[Month 31],PerHeadcount[exp_item],$H1247,PerHeadcount[company_name],$B1247)*AP197)</f>
        <v>0</v>
      </c>
      <c r="AQ1247" s="652">
        <f>IF($B1247="",,SUMIFS(PerHeadcount[Month 32],PerHeadcount[exp_item],$H1247,PerHeadcount[company_name],$B1247)*AQ197)</f>
        <v>0</v>
      </c>
      <c r="AR1247" s="652">
        <f>IF($B1247="",,SUMIFS(PerHeadcount[Month 33],PerHeadcount[exp_item],$H1247,PerHeadcount[company_name],$B1247)*AR197)</f>
        <v>0</v>
      </c>
      <c r="AS1247" s="652">
        <f>IF($B1247="",,SUMIFS(PerHeadcount[Month 34],PerHeadcount[exp_item],$H1247,PerHeadcount[company_name],$B1247)*AS197)</f>
        <v>0</v>
      </c>
      <c r="AT1247" s="652">
        <f>IF($B1247="",,SUMIFS(PerHeadcount[Month 35],PerHeadcount[exp_item],$H1247,PerHeadcount[company_name],$B1247)*AT197)</f>
        <v>0</v>
      </c>
      <c r="AU1247" s="652">
        <f>IF($B1247="",,SUMIFS(PerHeadcount[Month 36],PerHeadcount[exp_item],$H1247,PerHeadcount[company_name],$B1247)*AU197)</f>
        <v>0</v>
      </c>
    </row>
    <row r="1248" spans="1:52" x14ac:dyDescent="0.35">
      <c r="B1248" t="str">
        <f t="shared" si="881"/>
        <v/>
      </c>
      <c r="C1248" t="str">
        <f t="shared" ref="C1248:G1248" si="894">IF(C1143="","",C1143)</f>
        <v/>
      </c>
      <c r="D1248" t="str">
        <f t="shared" si="894"/>
        <v/>
      </c>
      <c r="E1248" t="str">
        <f t="shared" si="894"/>
        <v/>
      </c>
      <c r="F1248" t="str">
        <f t="shared" si="894"/>
        <v/>
      </c>
      <c r="G1248" t="str">
        <f t="shared" si="894"/>
        <v/>
      </c>
      <c r="H1248" t="str">
        <f t="shared" si="880"/>
        <v/>
      </c>
      <c r="J1248" t="str">
        <f>IF($H1248="","",IF(VLOOKUP(H1248,ExpItems[],2,0),H1248&amp;" - "&amp;INDEX(DivisionMapping[category_code],MATCH($D1248&amp;$C1248,DivisionMapping[dept_bu],0)),H1248))</f>
        <v/>
      </c>
      <c r="K1248" t="str">
        <f t="shared" si="883"/>
        <v/>
      </c>
      <c r="L1248" s="652">
        <f>IF($B1248="",,SUMIFS(PerHeadcount[Month 1],PerHeadcount[exp_item],$H1248,PerHeadcount[company_name],$B1248)*L198)</f>
        <v>0</v>
      </c>
      <c r="M1248" s="652">
        <f>IF($B1248="",,SUMIFS(PerHeadcount[Month 2],PerHeadcount[exp_item],$H1248,PerHeadcount[company_name],$B1248)*M198)</f>
        <v>0</v>
      </c>
      <c r="N1248" s="652">
        <f>IF($B1248="",,SUMIFS(PerHeadcount[Month 3],PerHeadcount[exp_item],$H1248,PerHeadcount[company_name],$B1248)*N198)</f>
        <v>0</v>
      </c>
      <c r="O1248" s="652">
        <f>IF($B1248="",,SUMIFS(PerHeadcount[Month 4],PerHeadcount[exp_item],$H1248,PerHeadcount[company_name],$B1248)*O198)</f>
        <v>0</v>
      </c>
      <c r="P1248" s="652">
        <f>IF($B1248="",,SUMIFS(PerHeadcount[Month 5],PerHeadcount[exp_item],$H1248,PerHeadcount[company_name],$B1248)*P198)</f>
        <v>0</v>
      </c>
      <c r="Q1248" s="652">
        <f>IF($B1248="",,SUMIFS(PerHeadcount[Month 6],PerHeadcount[exp_item],$H1248,PerHeadcount[company_name],$B1248)*Q198)</f>
        <v>0</v>
      </c>
      <c r="R1248" s="652">
        <f>IF($B1248="",,SUMIFS(PerHeadcount[Month 7],PerHeadcount[exp_item],$H1248,PerHeadcount[company_name],$B1248)*R198)</f>
        <v>0</v>
      </c>
      <c r="S1248" s="652">
        <f>IF($B1248="",,SUMIFS(PerHeadcount[Month 8],PerHeadcount[exp_item],$H1248,PerHeadcount[company_name],$B1248)*S198)</f>
        <v>0</v>
      </c>
      <c r="T1248" s="652">
        <f>IF($B1248="",,SUMIFS(PerHeadcount[Month 9],PerHeadcount[exp_item],$H1248,PerHeadcount[company_name],$B1248)*T198)</f>
        <v>0</v>
      </c>
      <c r="U1248" s="652">
        <f>IF($B1248="",,SUMIFS(PerHeadcount[Month 10],PerHeadcount[exp_item],$H1248,PerHeadcount[company_name],$B1248)*U198)</f>
        <v>0</v>
      </c>
      <c r="V1248" s="652">
        <f>IF($B1248="",,SUMIFS(PerHeadcount[Month 11],PerHeadcount[exp_item],$H1248,PerHeadcount[company_name],$B1248)*V198)</f>
        <v>0</v>
      </c>
      <c r="W1248" s="652">
        <f>IF($B1248="",,SUMIFS(PerHeadcount[Month 12],PerHeadcount[exp_item],$H1248,PerHeadcount[company_name],$B1248)*W198)</f>
        <v>0</v>
      </c>
      <c r="X1248" s="652">
        <f>IF($B1248="",,SUMIFS(PerHeadcount[Month 13],PerHeadcount[exp_item],$H1248,PerHeadcount[company_name],$B1248)*X198)</f>
        <v>0</v>
      </c>
      <c r="Y1248" s="652">
        <f>IF($B1248="",,SUMIFS(PerHeadcount[Month 14],PerHeadcount[exp_item],$H1248,PerHeadcount[company_name],$B1248)*Y198)</f>
        <v>0</v>
      </c>
      <c r="Z1248" s="652">
        <f>IF($B1248="",,SUMIFS(PerHeadcount[Month 15],PerHeadcount[exp_item],$H1248,PerHeadcount[company_name],$B1248)*Z198)</f>
        <v>0</v>
      </c>
      <c r="AA1248" s="652">
        <f>IF($B1248="",,SUMIFS(PerHeadcount[Month 16],PerHeadcount[exp_item],$H1248,PerHeadcount[company_name],$B1248)*AA198)</f>
        <v>0</v>
      </c>
      <c r="AB1248" s="652">
        <f>IF($B1248="",,SUMIFS(PerHeadcount[Month 17],PerHeadcount[exp_item],$H1248,PerHeadcount[company_name],$B1248)*AB198)</f>
        <v>0</v>
      </c>
      <c r="AC1248" s="652">
        <f>IF($B1248="",,SUMIFS(PerHeadcount[Month 18],PerHeadcount[exp_item],$H1248,PerHeadcount[company_name],$B1248)*AC198)</f>
        <v>0</v>
      </c>
      <c r="AD1248" s="652">
        <f>IF($B1248="",,SUMIFS(PerHeadcount[Month 19],PerHeadcount[exp_item],$H1248,PerHeadcount[company_name],$B1248)*AD198)</f>
        <v>0</v>
      </c>
      <c r="AE1248" s="652">
        <f>IF($B1248="",,SUMIFS(PerHeadcount[Month 20],PerHeadcount[exp_item],$H1248,PerHeadcount[company_name],$B1248)*AE198)</f>
        <v>0</v>
      </c>
      <c r="AF1248" s="652">
        <f>IF($B1248="",,SUMIFS(PerHeadcount[Month 21],PerHeadcount[exp_item],$H1248,PerHeadcount[company_name],$B1248)*AF198)</f>
        <v>0</v>
      </c>
      <c r="AG1248" s="652">
        <f>IF($B1248="",,SUMIFS(PerHeadcount[Month 22],PerHeadcount[exp_item],$H1248,PerHeadcount[company_name],$B1248)*AG198)</f>
        <v>0</v>
      </c>
      <c r="AH1248" s="652">
        <f>IF($B1248="",,SUMIFS(PerHeadcount[Month 23],PerHeadcount[exp_item],$H1248,PerHeadcount[company_name],$B1248)*AH198)</f>
        <v>0</v>
      </c>
      <c r="AI1248" s="652">
        <f>IF($B1248="",,SUMIFS(PerHeadcount[Month 24],PerHeadcount[exp_item],$H1248,PerHeadcount[company_name],$B1248)*AI198)</f>
        <v>0</v>
      </c>
      <c r="AJ1248" s="652">
        <f>IF($B1248="",,SUMIFS(PerHeadcount[Month 25],PerHeadcount[exp_item],$H1248,PerHeadcount[company_name],$B1248)*AJ198)</f>
        <v>0</v>
      </c>
      <c r="AK1248" s="652">
        <f>IF($B1248="",,SUMIFS(PerHeadcount[Month 26],PerHeadcount[exp_item],$H1248,PerHeadcount[company_name],$B1248)*AK198)</f>
        <v>0</v>
      </c>
      <c r="AL1248" s="652">
        <f>IF($B1248="",,SUMIFS(PerHeadcount[Month 27],PerHeadcount[exp_item],$H1248,PerHeadcount[company_name],$B1248)*AL198)</f>
        <v>0</v>
      </c>
      <c r="AM1248" s="652">
        <f>IF($B1248="",,SUMIFS(PerHeadcount[Month 28],PerHeadcount[exp_item],$H1248,PerHeadcount[company_name],$B1248)*AM198)</f>
        <v>0</v>
      </c>
      <c r="AN1248" s="652">
        <f>IF($B1248="",,SUMIFS(PerHeadcount[Month 29],PerHeadcount[exp_item],$H1248,PerHeadcount[company_name],$B1248)*AN198)</f>
        <v>0</v>
      </c>
      <c r="AO1248" s="652">
        <f>IF($B1248="",,SUMIFS(PerHeadcount[Month 30],PerHeadcount[exp_item],$H1248,PerHeadcount[company_name],$B1248)*AO198)</f>
        <v>0</v>
      </c>
      <c r="AP1248" s="652">
        <f>IF($B1248="",,SUMIFS(PerHeadcount[Month 31],PerHeadcount[exp_item],$H1248,PerHeadcount[company_name],$B1248)*AP198)</f>
        <v>0</v>
      </c>
      <c r="AQ1248" s="652">
        <f>IF($B1248="",,SUMIFS(PerHeadcount[Month 32],PerHeadcount[exp_item],$H1248,PerHeadcount[company_name],$B1248)*AQ198)</f>
        <v>0</v>
      </c>
      <c r="AR1248" s="652">
        <f>IF($B1248="",,SUMIFS(PerHeadcount[Month 33],PerHeadcount[exp_item],$H1248,PerHeadcount[company_name],$B1248)*AR198)</f>
        <v>0</v>
      </c>
      <c r="AS1248" s="652">
        <f>IF($B1248="",,SUMIFS(PerHeadcount[Month 34],PerHeadcount[exp_item],$H1248,PerHeadcount[company_name],$B1248)*AS198)</f>
        <v>0</v>
      </c>
      <c r="AT1248" s="652">
        <f>IF($B1248="",,SUMIFS(PerHeadcount[Month 35],PerHeadcount[exp_item],$H1248,PerHeadcount[company_name],$B1248)*AT198)</f>
        <v>0</v>
      </c>
      <c r="AU1248" s="652">
        <f>IF($B1248="",,SUMIFS(PerHeadcount[Month 36],PerHeadcount[exp_item],$H1248,PerHeadcount[company_name],$B1248)*AU198)</f>
        <v>0</v>
      </c>
    </row>
    <row r="1249" spans="2:47" x14ac:dyDescent="0.35">
      <c r="B1249" t="str">
        <f t="shared" si="881"/>
        <v/>
      </c>
      <c r="C1249" t="str">
        <f t="shared" ref="C1249:G1249" si="895">IF(C1144="","",C1144)</f>
        <v/>
      </c>
      <c r="D1249" t="str">
        <f t="shared" si="895"/>
        <v/>
      </c>
      <c r="E1249" t="str">
        <f t="shared" si="895"/>
        <v/>
      </c>
      <c r="F1249" t="str">
        <f t="shared" si="895"/>
        <v/>
      </c>
      <c r="G1249" t="str">
        <f t="shared" si="895"/>
        <v/>
      </c>
      <c r="H1249" t="str">
        <f t="shared" si="880"/>
        <v/>
      </c>
      <c r="J1249" t="str">
        <f>IF($H1249="","",IF(VLOOKUP(H1249,ExpItems[],2,0),H1249&amp;" - "&amp;INDEX(DivisionMapping[category_code],MATCH($D1249&amp;$C1249,DivisionMapping[dept_bu],0)),H1249))</f>
        <v/>
      </c>
      <c r="K1249" t="str">
        <f t="shared" si="883"/>
        <v/>
      </c>
      <c r="L1249" s="652">
        <f>IF($B1249="",,SUMIFS(PerHeadcount[Month 1],PerHeadcount[exp_item],$H1249,PerHeadcount[company_name],$B1249)*L199)</f>
        <v>0</v>
      </c>
      <c r="M1249" s="652">
        <f>IF($B1249="",,SUMIFS(PerHeadcount[Month 2],PerHeadcount[exp_item],$H1249,PerHeadcount[company_name],$B1249)*M199)</f>
        <v>0</v>
      </c>
      <c r="N1249" s="652">
        <f>IF($B1249="",,SUMIFS(PerHeadcount[Month 3],PerHeadcount[exp_item],$H1249,PerHeadcount[company_name],$B1249)*N199)</f>
        <v>0</v>
      </c>
      <c r="O1249" s="652">
        <f>IF($B1249="",,SUMIFS(PerHeadcount[Month 4],PerHeadcount[exp_item],$H1249,PerHeadcount[company_name],$B1249)*O199)</f>
        <v>0</v>
      </c>
      <c r="P1249" s="652">
        <f>IF($B1249="",,SUMIFS(PerHeadcount[Month 5],PerHeadcount[exp_item],$H1249,PerHeadcount[company_name],$B1249)*P199)</f>
        <v>0</v>
      </c>
      <c r="Q1249" s="652">
        <f>IF($B1249="",,SUMIFS(PerHeadcount[Month 6],PerHeadcount[exp_item],$H1249,PerHeadcount[company_name],$B1249)*Q199)</f>
        <v>0</v>
      </c>
      <c r="R1249" s="652">
        <f>IF($B1249="",,SUMIFS(PerHeadcount[Month 7],PerHeadcount[exp_item],$H1249,PerHeadcount[company_name],$B1249)*R199)</f>
        <v>0</v>
      </c>
      <c r="S1249" s="652">
        <f>IF($B1249="",,SUMIFS(PerHeadcount[Month 8],PerHeadcount[exp_item],$H1249,PerHeadcount[company_name],$B1249)*S199)</f>
        <v>0</v>
      </c>
      <c r="T1249" s="652">
        <f>IF($B1249="",,SUMIFS(PerHeadcount[Month 9],PerHeadcount[exp_item],$H1249,PerHeadcount[company_name],$B1249)*T199)</f>
        <v>0</v>
      </c>
      <c r="U1249" s="652">
        <f>IF($B1249="",,SUMIFS(PerHeadcount[Month 10],PerHeadcount[exp_item],$H1249,PerHeadcount[company_name],$B1249)*U199)</f>
        <v>0</v>
      </c>
      <c r="V1249" s="652">
        <f>IF($B1249="",,SUMIFS(PerHeadcount[Month 11],PerHeadcount[exp_item],$H1249,PerHeadcount[company_name],$B1249)*V199)</f>
        <v>0</v>
      </c>
      <c r="W1249" s="652">
        <f>IF($B1249="",,SUMIFS(PerHeadcount[Month 12],PerHeadcount[exp_item],$H1249,PerHeadcount[company_name],$B1249)*W199)</f>
        <v>0</v>
      </c>
      <c r="X1249" s="652">
        <f>IF($B1249="",,SUMIFS(PerHeadcount[Month 13],PerHeadcount[exp_item],$H1249,PerHeadcount[company_name],$B1249)*X199)</f>
        <v>0</v>
      </c>
      <c r="Y1249" s="652">
        <f>IF($B1249="",,SUMIFS(PerHeadcount[Month 14],PerHeadcount[exp_item],$H1249,PerHeadcount[company_name],$B1249)*Y199)</f>
        <v>0</v>
      </c>
      <c r="Z1249" s="652">
        <f>IF($B1249="",,SUMIFS(PerHeadcount[Month 15],PerHeadcount[exp_item],$H1249,PerHeadcount[company_name],$B1249)*Z199)</f>
        <v>0</v>
      </c>
      <c r="AA1249" s="652">
        <f>IF($B1249="",,SUMIFS(PerHeadcount[Month 16],PerHeadcount[exp_item],$H1249,PerHeadcount[company_name],$B1249)*AA199)</f>
        <v>0</v>
      </c>
      <c r="AB1249" s="652">
        <f>IF($B1249="",,SUMIFS(PerHeadcount[Month 17],PerHeadcount[exp_item],$H1249,PerHeadcount[company_name],$B1249)*AB199)</f>
        <v>0</v>
      </c>
      <c r="AC1249" s="652">
        <f>IF($B1249="",,SUMIFS(PerHeadcount[Month 18],PerHeadcount[exp_item],$H1249,PerHeadcount[company_name],$B1249)*AC199)</f>
        <v>0</v>
      </c>
      <c r="AD1249" s="652">
        <f>IF($B1249="",,SUMIFS(PerHeadcount[Month 19],PerHeadcount[exp_item],$H1249,PerHeadcount[company_name],$B1249)*AD199)</f>
        <v>0</v>
      </c>
      <c r="AE1249" s="652">
        <f>IF($B1249="",,SUMIFS(PerHeadcount[Month 20],PerHeadcount[exp_item],$H1249,PerHeadcount[company_name],$B1249)*AE199)</f>
        <v>0</v>
      </c>
      <c r="AF1249" s="652">
        <f>IF($B1249="",,SUMIFS(PerHeadcount[Month 21],PerHeadcount[exp_item],$H1249,PerHeadcount[company_name],$B1249)*AF199)</f>
        <v>0</v>
      </c>
      <c r="AG1249" s="652">
        <f>IF($B1249="",,SUMIFS(PerHeadcount[Month 22],PerHeadcount[exp_item],$H1249,PerHeadcount[company_name],$B1249)*AG199)</f>
        <v>0</v>
      </c>
      <c r="AH1249" s="652">
        <f>IF($B1249="",,SUMIFS(PerHeadcount[Month 23],PerHeadcount[exp_item],$H1249,PerHeadcount[company_name],$B1249)*AH199)</f>
        <v>0</v>
      </c>
      <c r="AI1249" s="652">
        <f>IF($B1249="",,SUMIFS(PerHeadcount[Month 24],PerHeadcount[exp_item],$H1249,PerHeadcount[company_name],$B1249)*AI199)</f>
        <v>0</v>
      </c>
      <c r="AJ1249" s="652">
        <f>IF($B1249="",,SUMIFS(PerHeadcount[Month 25],PerHeadcount[exp_item],$H1249,PerHeadcount[company_name],$B1249)*AJ199)</f>
        <v>0</v>
      </c>
      <c r="AK1249" s="652">
        <f>IF($B1249="",,SUMIFS(PerHeadcount[Month 26],PerHeadcount[exp_item],$H1249,PerHeadcount[company_name],$B1249)*AK199)</f>
        <v>0</v>
      </c>
      <c r="AL1249" s="652">
        <f>IF($B1249="",,SUMIFS(PerHeadcount[Month 27],PerHeadcount[exp_item],$H1249,PerHeadcount[company_name],$B1249)*AL199)</f>
        <v>0</v>
      </c>
      <c r="AM1249" s="652">
        <f>IF($B1249="",,SUMIFS(PerHeadcount[Month 28],PerHeadcount[exp_item],$H1249,PerHeadcount[company_name],$B1249)*AM199)</f>
        <v>0</v>
      </c>
      <c r="AN1249" s="652">
        <f>IF($B1249="",,SUMIFS(PerHeadcount[Month 29],PerHeadcount[exp_item],$H1249,PerHeadcount[company_name],$B1249)*AN199)</f>
        <v>0</v>
      </c>
      <c r="AO1249" s="652">
        <f>IF($B1249="",,SUMIFS(PerHeadcount[Month 30],PerHeadcount[exp_item],$H1249,PerHeadcount[company_name],$B1249)*AO199)</f>
        <v>0</v>
      </c>
      <c r="AP1249" s="652">
        <f>IF($B1249="",,SUMIFS(PerHeadcount[Month 31],PerHeadcount[exp_item],$H1249,PerHeadcount[company_name],$B1249)*AP199)</f>
        <v>0</v>
      </c>
      <c r="AQ1249" s="652">
        <f>IF($B1249="",,SUMIFS(PerHeadcount[Month 32],PerHeadcount[exp_item],$H1249,PerHeadcount[company_name],$B1249)*AQ199)</f>
        <v>0</v>
      </c>
      <c r="AR1249" s="652">
        <f>IF($B1249="",,SUMIFS(PerHeadcount[Month 33],PerHeadcount[exp_item],$H1249,PerHeadcount[company_name],$B1249)*AR199)</f>
        <v>0</v>
      </c>
      <c r="AS1249" s="652">
        <f>IF($B1249="",,SUMIFS(PerHeadcount[Month 34],PerHeadcount[exp_item],$H1249,PerHeadcount[company_name],$B1249)*AS199)</f>
        <v>0</v>
      </c>
      <c r="AT1249" s="652">
        <f>IF($B1249="",,SUMIFS(PerHeadcount[Month 35],PerHeadcount[exp_item],$H1249,PerHeadcount[company_name],$B1249)*AT199)</f>
        <v>0</v>
      </c>
      <c r="AU1249" s="652">
        <f>IF($B1249="",,SUMIFS(PerHeadcount[Month 36],PerHeadcount[exp_item],$H1249,PerHeadcount[company_name],$B1249)*AU199)</f>
        <v>0</v>
      </c>
    </row>
    <row r="1250" spans="2:47" x14ac:dyDescent="0.35">
      <c r="B1250" t="str">
        <f t="shared" si="881"/>
        <v/>
      </c>
      <c r="C1250" t="str">
        <f t="shared" ref="C1250:G1250" si="896">IF(C1145="","",C1145)</f>
        <v/>
      </c>
      <c r="D1250" t="str">
        <f t="shared" si="896"/>
        <v/>
      </c>
      <c r="E1250" t="str">
        <f t="shared" si="896"/>
        <v/>
      </c>
      <c r="F1250" t="str">
        <f t="shared" si="896"/>
        <v/>
      </c>
      <c r="G1250" t="str">
        <f t="shared" si="896"/>
        <v/>
      </c>
      <c r="H1250" t="str">
        <f t="shared" si="880"/>
        <v/>
      </c>
      <c r="J1250" t="str">
        <f>IF($H1250="","",IF(VLOOKUP(H1250,ExpItems[],2,0),H1250&amp;" - "&amp;INDEX(DivisionMapping[category_code],MATCH($D1250&amp;$C1250,DivisionMapping[dept_bu],0)),H1250))</f>
        <v/>
      </c>
      <c r="K1250" t="str">
        <f t="shared" si="883"/>
        <v/>
      </c>
      <c r="L1250" s="652">
        <f>IF($B1250="",,SUMIFS(PerHeadcount[Month 1],PerHeadcount[exp_item],$H1250,PerHeadcount[company_name],$B1250)*L200)</f>
        <v>0</v>
      </c>
      <c r="M1250" s="652">
        <f>IF($B1250="",,SUMIFS(PerHeadcount[Month 2],PerHeadcount[exp_item],$H1250,PerHeadcount[company_name],$B1250)*M200)</f>
        <v>0</v>
      </c>
      <c r="N1250" s="652">
        <f>IF($B1250="",,SUMIFS(PerHeadcount[Month 3],PerHeadcount[exp_item],$H1250,PerHeadcount[company_name],$B1250)*N200)</f>
        <v>0</v>
      </c>
      <c r="O1250" s="652">
        <f>IF($B1250="",,SUMIFS(PerHeadcount[Month 4],PerHeadcount[exp_item],$H1250,PerHeadcount[company_name],$B1250)*O200)</f>
        <v>0</v>
      </c>
      <c r="P1250" s="652">
        <f>IF($B1250="",,SUMIFS(PerHeadcount[Month 5],PerHeadcount[exp_item],$H1250,PerHeadcount[company_name],$B1250)*P200)</f>
        <v>0</v>
      </c>
      <c r="Q1250" s="652">
        <f>IF($B1250="",,SUMIFS(PerHeadcount[Month 6],PerHeadcount[exp_item],$H1250,PerHeadcount[company_name],$B1250)*Q200)</f>
        <v>0</v>
      </c>
      <c r="R1250" s="652">
        <f>IF($B1250="",,SUMIFS(PerHeadcount[Month 7],PerHeadcount[exp_item],$H1250,PerHeadcount[company_name],$B1250)*R200)</f>
        <v>0</v>
      </c>
      <c r="S1250" s="652">
        <f>IF($B1250="",,SUMIFS(PerHeadcount[Month 8],PerHeadcount[exp_item],$H1250,PerHeadcount[company_name],$B1250)*S200)</f>
        <v>0</v>
      </c>
      <c r="T1250" s="652">
        <f>IF($B1250="",,SUMIFS(PerHeadcount[Month 9],PerHeadcount[exp_item],$H1250,PerHeadcount[company_name],$B1250)*T200)</f>
        <v>0</v>
      </c>
      <c r="U1250" s="652">
        <f>IF($B1250="",,SUMIFS(PerHeadcount[Month 10],PerHeadcount[exp_item],$H1250,PerHeadcount[company_name],$B1250)*U200)</f>
        <v>0</v>
      </c>
      <c r="V1250" s="652">
        <f>IF($B1250="",,SUMIFS(PerHeadcount[Month 11],PerHeadcount[exp_item],$H1250,PerHeadcount[company_name],$B1250)*V200)</f>
        <v>0</v>
      </c>
      <c r="W1250" s="652">
        <f>IF($B1250="",,SUMIFS(PerHeadcount[Month 12],PerHeadcount[exp_item],$H1250,PerHeadcount[company_name],$B1250)*W200)</f>
        <v>0</v>
      </c>
      <c r="X1250" s="652">
        <f>IF($B1250="",,SUMIFS(PerHeadcount[Month 13],PerHeadcount[exp_item],$H1250,PerHeadcount[company_name],$B1250)*X200)</f>
        <v>0</v>
      </c>
      <c r="Y1250" s="652">
        <f>IF($B1250="",,SUMIFS(PerHeadcount[Month 14],PerHeadcount[exp_item],$H1250,PerHeadcount[company_name],$B1250)*Y200)</f>
        <v>0</v>
      </c>
      <c r="Z1250" s="652">
        <f>IF($B1250="",,SUMIFS(PerHeadcount[Month 15],PerHeadcount[exp_item],$H1250,PerHeadcount[company_name],$B1250)*Z200)</f>
        <v>0</v>
      </c>
      <c r="AA1250" s="652">
        <f>IF($B1250="",,SUMIFS(PerHeadcount[Month 16],PerHeadcount[exp_item],$H1250,PerHeadcount[company_name],$B1250)*AA200)</f>
        <v>0</v>
      </c>
      <c r="AB1250" s="652">
        <f>IF($B1250="",,SUMIFS(PerHeadcount[Month 17],PerHeadcount[exp_item],$H1250,PerHeadcount[company_name],$B1250)*AB200)</f>
        <v>0</v>
      </c>
      <c r="AC1250" s="652">
        <f>IF($B1250="",,SUMIFS(PerHeadcount[Month 18],PerHeadcount[exp_item],$H1250,PerHeadcount[company_name],$B1250)*AC200)</f>
        <v>0</v>
      </c>
      <c r="AD1250" s="652">
        <f>IF($B1250="",,SUMIFS(PerHeadcount[Month 19],PerHeadcount[exp_item],$H1250,PerHeadcount[company_name],$B1250)*AD200)</f>
        <v>0</v>
      </c>
      <c r="AE1250" s="652">
        <f>IF($B1250="",,SUMIFS(PerHeadcount[Month 20],PerHeadcount[exp_item],$H1250,PerHeadcount[company_name],$B1250)*AE200)</f>
        <v>0</v>
      </c>
      <c r="AF1250" s="652">
        <f>IF($B1250="",,SUMIFS(PerHeadcount[Month 21],PerHeadcount[exp_item],$H1250,PerHeadcount[company_name],$B1250)*AF200)</f>
        <v>0</v>
      </c>
      <c r="AG1250" s="652">
        <f>IF($B1250="",,SUMIFS(PerHeadcount[Month 22],PerHeadcount[exp_item],$H1250,PerHeadcount[company_name],$B1250)*AG200)</f>
        <v>0</v>
      </c>
      <c r="AH1250" s="652">
        <f>IF($B1250="",,SUMIFS(PerHeadcount[Month 23],PerHeadcount[exp_item],$H1250,PerHeadcount[company_name],$B1250)*AH200)</f>
        <v>0</v>
      </c>
      <c r="AI1250" s="652">
        <f>IF($B1250="",,SUMIFS(PerHeadcount[Month 24],PerHeadcount[exp_item],$H1250,PerHeadcount[company_name],$B1250)*AI200)</f>
        <v>0</v>
      </c>
      <c r="AJ1250" s="652">
        <f>IF($B1250="",,SUMIFS(PerHeadcount[Month 25],PerHeadcount[exp_item],$H1250,PerHeadcount[company_name],$B1250)*AJ200)</f>
        <v>0</v>
      </c>
      <c r="AK1250" s="652">
        <f>IF($B1250="",,SUMIFS(PerHeadcount[Month 26],PerHeadcount[exp_item],$H1250,PerHeadcount[company_name],$B1250)*AK200)</f>
        <v>0</v>
      </c>
      <c r="AL1250" s="652">
        <f>IF($B1250="",,SUMIFS(PerHeadcount[Month 27],PerHeadcount[exp_item],$H1250,PerHeadcount[company_name],$B1250)*AL200)</f>
        <v>0</v>
      </c>
      <c r="AM1250" s="652">
        <f>IF($B1250="",,SUMIFS(PerHeadcount[Month 28],PerHeadcount[exp_item],$H1250,PerHeadcount[company_name],$B1250)*AM200)</f>
        <v>0</v>
      </c>
      <c r="AN1250" s="652">
        <f>IF($B1250="",,SUMIFS(PerHeadcount[Month 29],PerHeadcount[exp_item],$H1250,PerHeadcount[company_name],$B1250)*AN200)</f>
        <v>0</v>
      </c>
      <c r="AO1250" s="652">
        <f>IF($B1250="",,SUMIFS(PerHeadcount[Month 30],PerHeadcount[exp_item],$H1250,PerHeadcount[company_name],$B1250)*AO200)</f>
        <v>0</v>
      </c>
      <c r="AP1250" s="652">
        <f>IF($B1250="",,SUMIFS(PerHeadcount[Month 31],PerHeadcount[exp_item],$H1250,PerHeadcount[company_name],$B1250)*AP200)</f>
        <v>0</v>
      </c>
      <c r="AQ1250" s="652">
        <f>IF($B1250="",,SUMIFS(PerHeadcount[Month 32],PerHeadcount[exp_item],$H1250,PerHeadcount[company_name],$B1250)*AQ200)</f>
        <v>0</v>
      </c>
      <c r="AR1250" s="652">
        <f>IF($B1250="",,SUMIFS(PerHeadcount[Month 33],PerHeadcount[exp_item],$H1250,PerHeadcount[company_name],$B1250)*AR200)</f>
        <v>0</v>
      </c>
      <c r="AS1250" s="652">
        <f>IF($B1250="",,SUMIFS(PerHeadcount[Month 34],PerHeadcount[exp_item],$H1250,PerHeadcount[company_name],$B1250)*AS200)</f>
        <v>0</v>
      </c>
      <c r="AT1250" s="652">
        <f>IF($B1250="",,SUMIFS(PerHeadcount[Month 35],PerHeadcount[exp_item],$H1250,PerHeadcount[company_name],$B1250)*AT200)</f>
        <v>0</v>
      </c>
      <c r="AU1250" s="652">
        <f>IF($B1250="",,SUMIFS(PerHeadcount[Month 36],PerHeadcount[exp_item],$H1250,PerHeadcount[company_name],$B1250)*AU200)</f>
        <v>0</v>
      </c>
    </row>
    <row r="1251" spans="2:47" x14ac:dyDescent="0.35">
      <c r="B1251" t="str">
        <f t="shared" si="881"/>
        <v/>
      </c>
      <c r="C1251" t="str">
        <f t="shared" ref="C1251:G1251" si="897">IF(C1146="","",C1146)</f>
        <v/>
      </c>
      <c r="D1251" t="str">
        <f t="shared" si="897"/>
        <v/>
      </c>
      <c r="E1251" t="str">
        <f t="shared" si="897"/>
        <v/>
      </c>
      <c r="F1251" t="str">
        <f t="shared" si="897"/>
        <v/>
      </c>
      <c r="G1251" t="str">
        <f t="shared" si="897"/>
        <v/>
      </c>
      <c r="H1251" t="str">
        <f t="shared" si="880"/>
        <v/>
      </c>
      <c r="J1251" t="str">
        <f>IF($H1251="","",IF(VLOOKUP(H1251,ExpItems[],2,0),H1251&amp;" - "&amp;INDEX(DivisionMapping[category_code],MATCH($D1251&amp;$C1251,DivisionMapping[dept_bu],0)),H1251))</f>
        <v/>
      </c>
      <c r="K1251" t="str">
        <f t="shared" si="883"/>
        <v/>
      </c>
      <c r="L1251" s="652">
        <f>IF($B1251="",,SUMIFS(PerHeadcount[Month 1],PerHeadcount[exp_item],$H1251,PerHeadcount[company_name],$B1251)*L201)</f>
        <v>0</v>
      </c>
      <c r="M1251" s="652">
        <f>IF($B1251="",,SUMIFS(PerHeadcount[Month 2],PerHeadcount[exp_item],$H1251,PerHeadcount[company_name],$B1251)*M201)</f>
        <v>0</v>
      </c>
      <c r="N1251" s="652">
        <f>IF($B1251="",,SUMIFS(PerHeadcount[Month 3],PerHeadcount[exp_item],$H1251,PerHeadcount[company_name],$B1251)*N201)</f>
        <v>0</v>
      </c>
      <c r="O1251" s="652">
        <f>IF($B1251="",,SUMIFS(PerHeadcount[Month 4],PerHeadcount[exp_item],$H1251,PerHeadcount[company_name],$B1251)*O201)</f>
        <v>0</v>
      </c>
      <c r="P1251" s="652">
        <f>IF($B1251="",,SUMIFS(PerHeadcount[Month 5],PerHeadcount[exp_item],$H1251,PerHeadcount[company_name],$B1251)*P201)</f>
        <v>0</v>
      </c>
      <c r="Q1251" s="652">
        <f>IF($B1251="",,SUMIFS(PerHeadcount[Month 6],PerHeadcount[exp_item],$H1251,PerHeadcount[company_name],$B1251)*Q201)</f>
        <v>0</v>
      </c>
      <c r="R1251" s="652">
        <f>IF($B1251="",,SUMIFS(PerHeadcount[Month 7],PerHeadcount[exp_item],$H1251,PerHeadcount[company_name],$B1251)*R201)</f>
        <v>0</v>
      </c>
      <c r="S1251" s="652">
        <f>IF($B1251="",,SUMIFS(PerHeadcount[Month 8],PerHeadcount[exp_item],$H1251,PerHeadcount[company_name],$B1251)*S201)</f>
        <v>0</v>
      </c>
      <c r="T1251" s="652">
        <f>IF($B1251="",,SUMIFS(PerHeadcount[Month 9],PerHeadcount[exp_item],$H1251,PerHeadcount[company_name],$B1251)*T201)</f>
        <v>0</v>
      </c>
      <c r="U1251" s="652">
        <f>IF($B1251="",,SUMIFS(PerHeadcount[Month 10],PerHeadcount[exp_item],$H1251,PerHeadcount[company_name],$B1251)*U201)</f>
        <v>0</v>
      </c>
      <c r="V1251" s="652">
        <f>IF($B1251="",,SUMIFS(PerHeadcount[Month 11],PerHeadcount[exp_item],$H1251,PerHeadcount[company_name],$B1251)*V201)</f>
        <v>0</v>
      </c>
      <c r="W1251" s="652">
        <f>IF($B1251="",,SUMIFS(PerHeadcount[Month 12],PerHeadcount[exp_item],$H1251,PerHeadcount[company_name],$B1251)*W201)</f>
        <v>0</v>
      </c>
      <c r="X1251" s="652">
        <f>IF($B1251="",,SUMIFS(PerHeadcount[Month 13],PerHeadcount[exp_item],$H1251,PerHeadcount[company_name],$B1251)*X201)</f>
        <v>0</v>
      </c>
      <c r="Y1251" s="652">
        <f>IF($B1251="",,SUMIFS(PerHeadcount[Month 14],PerHeadcount[exp_item],$H1251,PerHeadcount[company_name],$B1251)*Y201)</f>
        <v>0</v>
      </c>
      <c r="Z1251" s="652">
        <f>IF($B1251="",,SUMIFS(PerHeadcount[Month 15],PerHeadcount[exp_item],$H1251,PerHeadcount[company_name],$B1251)*Z201)</f>
        <v>0</v>
      </c>
      <c r="AA1251" s="652">
        <f>IF($B1251="",,SUMIFS(PerHeadcount[Month 16],PerHeadcount[exp_item],$H1251,PerHeadcount[company_name],$B1251)*AA201)</f>
        <v>0</v>
      </c>
      <c r="AB1251" s="652">
        <f>IF($B1251="",,SUMIFS(PerHeadcount[Month 17],PerHeadcount[exp_item],$H1251,PerHeadcount[company_name],$B1251)*AB201)</f>
        <v>0</v>
      </c>
      <c r="AC1251" s="652">
        <f>IF($B1251="",,SUMIFS(PerHeadcount[Month 18],PerHeadcount[exp_item],$H1251,PerHeadcount[company_name],$B1251)*AC201)</f>
        <v>0</v>
      </c>
      <c r="AD1251" s="652">
        <f>IF($B1251="",,SUMIFS(PerHeadcount[Month 19],PerHeadcount[exp_item],$H1251,PerHeadcount[company_name],$B1251)*AD201)</f>
        <v>0</v>
      </c>
      <c r="AE1251" s="652">
        <f>IF($B1251="",,SUMIFS(PerHeadcount[Month 20],PerHeadcount[exp_item],$H1251,PerHeadcount[company_name],$B1251)*AE201)</f>
        <v>0</v>
      </c>
      <c r="AF1251" s="652">
        <f>IF($B1251="",,SUMIFS(PerHeadcount[Month 21],PerHeadcount[exp_item],$H1251,PerHeadcount[company_name],$B1251)*AF201)</f>
        <v>0</v>
      </c>
      <c r="AG1251" s="652">
        <f>IF($B1251="",,SUMIFS(PerHeadcount[Month 22],PerHeadcount[exp_item],$H1251,PerHeadcount[company_name],$B1251)*AG201)</f>
        <v>0</v>
      </c>
      <c r="AH1251" s="652">
        <f>IF($B1251="",,SUMIFS(PerHeadcount[Month 23],PerHeadcount[exp_item],$H1251,PerHeadcount[company_name],$B1251)*AH201)</f>
        <v>0</v>
      </c>
      <c r="AI1251" s="652">
        <f>IF($B1251="",,SUMIFS(PerHeadcount[Month 24],PerHeadcount[exp_item],$H1251,PerHeadcount[company_name],$B1251)*AI201)</f>
        <v>0</v>
      </c>
      <c r="AJ1251" s="652">
        <f>IF($B1251="",,SUMIFS(PerHeadcount[Month 25],PerHeadcount[exp_item],$H1251,PerHeadcount[company_name],$B1251)*AJ201)</f>
        <v>0</v>
      </c>
      <c r="AK1251" s="652">
        <f>IF($B1251="",,SUMIFS(PerHeadcount[Month 26],PerHeadcount[exp_item],$H1251,PerHeadcount[company_name],$B1251)*AK201)</f>
        <v>0</v>
      </c>
      <c r="AL1251" s="652">
        <f>IF($B1251="",,SUMIFS(PerHeadcount[Month 27],PerHeadcount[exp_item],$H1251,PerHeadcount[company_name],$B1251)*AL201)</f>
        <v>0</v>
      </c>
      <c r="AM1251" s="652">
        <f>IF($B1251="",,SUMIFS(PerHeadcount[Month 28],PerHeadcount[exp_item],$H1251,PerHeadcount[company_name],$B1251)*AM201)</f>
        <v>0</v>
      </c>
      <c r="AN1251" s="652">
        <f>IF($B1251="",,SUMIFS(PerHeadcount[Month 29],PerHeadcount[exp_item],$H1251,PerHeadcount[company_name],$B1251)*AN201)</f>
        <v>0</v>
      </c>
      <c r="AO1251" s="652">
        <f>IF($B1251="",,SUMIFS(PerHeadcount[Month 30],PerHeadcount[exp_item],$H1251,PerHeadcount[company_name],$B1251)*AO201)</f>
        <v>0</v>
      </c>
      <c r="AP1251" s="652">
        <f>IF($B1251="",,SUMIFS(PerHeadcount[Month 31],PerHeadcount[exp_item],$H1251,PerHeadcount[company_name],$B1251)*AP201)</f>
        <v>0</v>
      </c>
      <c r="AQ1251" s="652">
        <f>IF($B1251="",,SUMIFS(PerHeadcount[Month 32],PerHeadcount[exp_item],$H1251,PerHeadcount[company_name],$B1251)*AQ201)</f>
        <v>0</v>
      </c>
      <c r="AR1251" s="652">
        <f>IF($B1251="",,SUMIFS(PerHeadcount[Month 33],PerHeadcount[exp_item],$H1251,PerHeadcount[company_name],$B1251)*AR201)</f>
        <v>0</v>
      </c>
      <c r="AS1251" s="652">
        <f>IF($B1251="",,SUMIFS(PerHeadcount[Month 34],PerHeadcount[exp_item],$H1251,PerHeadcount[company_name],$B1251)*AS201)</f>
        <v>0</v>
      </c>
      <c r="AT1251" s="652">
        <f>IF($B1251="",,SUMIFS(PerHeadcount[Month 35],PerHeadcount[exp_item],$H1251,PerHeadcount[company_name],$B1251)*AT201)</f>
        <v>0</v>
      </c>
      <c r="AU1251" s="652">
        <f>IF($B1251="",,SUMIFS(PerHeadcount[Month 36],PerHeadcount[exp_item],$H1251,PerHeadcount[company_name],$B1251)*AU201)</f>
        <v>0</v>
      </c>
    </row>
    <row r="1252" spans="2:47" x14ac:dyDescent="0.35">
      <c r="B1252" t="str">
        <f t="shared" si="881"/>
        <v/>
      </c>
      <c r="C1252" t="str">
        <f t="shared" ref="C1252:G1252" si="898">IF(C1147="","",C1147)</f>
        <v/>
      </c>
      <c r="D1252" t="str">
        <f t="shared" si="898"/>
        <v/>
      </c>
      <c r="E1252" t="str">
        <f t="shared" si="898"/>
        <v/>
      </c>
      <c r="F1252" t="str">
        <f t="shared" si="898"/>
        <v/>
      </c>
      <c r="G1252" t="str">
        <f t="shared" si="898"/>
        <v/>
      </c>
      <c r="H1252" t="str">
        <f t="shared" si="880"/>
        <v/>
      </c>
      <c r="J1252" t="str">
        <f>IF($H1252="","",IF(VLOOKUP(H1252,ExpItems[],2,0),H1252&amp;" - "&amp;INDEX(DivisionMapping[category_code],MATCH($D1252&amp;$C1252,DivisionMapping[dept_bu],0)),H1252))</f>
        <v/>
      </c>
      <c r="K1252" t="str">
        <f t="shared" si="883"/>
        <v/>
      </c>
      <c r="L1252" s="652">
        <f>IF($B1252="",,SUMIFS(PerHeadcount[Month 1],PerHeadcount[exp_item],$H1252,PerHeadcount[company_name],$B1252)*L202)</f>
        <v>0</v>
      </c>
      <c r="M1252" s="652">
        <f>IF($B1252="",,SUMIFS(PerHeadcount[Month 2],PerHeadcount[exp_item],$H1252,PerHeadcount[company_name],$B1252)*M202)</f>
        <v>0</v>
      </c>
      <c r="N1252" s="652">
        <f>IF($B1252="",,SUMIFS(PerHeadcount[Month 3],PerHeadcount[exp_item],$H1252,PerHeadcount[company_name],$B1252)*N202)</f>
        <v>0</v>
      </c>
      <c r="O1252" s="652">
        <f>IF($B1252="",,SUMIFS(PerHeadcount[Month 4],PerHeadcount[exp_item],$H1252,PerHeadcount[company_name],$B1252)*O202)</f>
        <v>0</v>
      </c>
      <c r="P1252" s="652">
        <f>IF($B1252="",,SUMIFS(PerHeadcount[Month 5],PerHeadcount[exp_item],$H1252,PerHeadcount[company_name],$B1252)*P202)</f>
        <v>0</v>
      </c>
      <c r="Q1252" s="652">
        <f>IF($B1252="",,SUMIFS(PerHeadcount[Month 6],PerHeadcount[exp_item],$H1252,PerHeadcount[company_name],$B1252)*Q202)</f>
        <v>0</v>
      </c>
      <c r="R1252" s="652">
        <f>IF($B1252="",,SUMIFS(PerHeadcount[Month 7],PerHeadcount[exp_item],$H1252,PerHeadcount[company_name],$B1252)*R202)</f>
        <v>0</v>
      </c>
      <c r="S1252" s="652">
        <f>IF($B1252="",,SUMIFS(PerHeadcount[Month 8],PerHeadcount[exp_item],$H1252,PerHeadcount[company_name],$B1252)*S202)</f>
        <v>0</v>
      </c>
      <c r="T1252" s="652">
        <f>IF($B1252="",,SUMIFS(PerHeadcount[Month 9],PerHeadcount[exp_item],$H1252,PerHeadcount[company_name],$B1252)*T202)</f>
        <v>0</v>
      </c>
      <c r="U1252" s="652">
        <f>IF($B1252="",,SUMIFS(PerHeadcount[Month 10],PerHeadcount[exp_item],$H1252,PerHeadcount[company_name],$B1252)*U202)</f>
        <v>0</v>
      </c>
      <c r="V1252" s="652">
        <f>IF($B1252="",,SUMIFS(PerHeadcount[Month 11],PerHeadcount[exp_item],$H1252,PerHeadcount[company_name],$B1252)*V202)</f>
        <v>0</v>
      </c>
      <c r="W1252" s="652">
        <f>IF($B1252="",,SUMIFS(PerHeadcount[Month 12],PerHeadcount[exp_item],$H1252,PerHeadcount[company_name],$B1252)*W202)</f>
        <v>0</v>
      </c>
      <c r="X1252" s="652">
        <f>IF($B1252="",,SUMIFS(PerHeadcount[Month 13],PerHeadcount[exp_item],$H1252,PerHeadcount[company_name],$B1252)*X202)</f>
        <v>0</v>
      </c>
      <c r="Y1252" s="652">
        <f>IF($B1252="",,SUMIFS(PerHeadcount[Month 14],PerHeadcount[exp_item],$H1252,PerHeadcount[company_name],$B1252)*Y202)</f>
        <v>0</v>
      </c>
      <c r="Z1252" s="652">
        <f>IF($B1252="",,SUMIFS(PerHeadcount[Month 15],PerHeadcount[exp_item],$H1252,PerHeadcount[company_name],$B1252)*Z202)</f>
        <v>0</v>
      </c>
      <c r="AA1252" s="652">
        <f>IF($B1252="",,SUMIFS(PerHeadcount[Month 16],PerHeadcount[exp_item],$H1252,PerHeadcount[company_name],$B1252)*AA202)</f>
        <v>0</v>
      </c>
      <c r="AB1252" s="652">
        <f>IF($B1252="",,SUMIFS(PerHeadcount[Month 17],PerHeadcount[exp_item],$H1252,PerHeadcount[company_name],$B1252)*AB202)</f>
        <v>0</v>
      </c>
      <c r="AC1252" s="652">
        <f>IF($B1252="",,SUMIFS(PerHeadcount[Month 18],PerHeadcount[exp_item],$H1252,PerHeadcount[company_name],$B1252)*AC202)</f>
        <v>0</v>
      </c>
      <c r="AD1252" s="652">
        <f>IF($B1252="",,SUMIFS(PerHeadcount[Month 19],PerHeadcount[exp_item],$H1252,PerHeadcount[company_name],$B1252)*AD202)</f>
        <v>0</v>
      </c>
      <c r="AE1252" s="652">
        <f>IF($B1252="",,SUMIFS(PerHeadcount[Month 20],PerHeadcount[exp_item],$H1252,PerHeadcount[company_name],$B1252)*AE202)</f>
        <v>0</v>
      </c>
      <c r="AF1252" s="652">
        <f>IF($B1252="",,SUMIFS(PerHeadcount[Month 21],PerHeadcount[exp_item],$H1252,PerHeadcount[company_name],$B1252)*AF202)</f>
        <v>0</v>
      </c>
      <c r="AG1252" s="652">
        <f>IF($B1252="",,SUMIFS(PerHeadcount[Month 22],PerHeadcount[exp_item],$H1252,PerHeadcount[company_name],$B1252)*AG202)</f>
        <v>0</v>
      </c>
      <c r="AH1252" s="652">
        <f>IF($B1252="",,SUMIFS(PerHeadcount[Month 23],PerHeadcount[exp_item],$H1252,PerHeadcount[company_name],$B1252)*AH202)</f>
        <v>0</v>
      </c>
      <c r="AI1252" s="652">
        <f>IF($B1252="",,SUMIFS(PerHeadcount[Month 24],PerHeadcount[exp_item],$H1252,PerHeadcount[company_name],$B1252)*AI202)</f>
        <v>0</v>
      </c>
      <c r="AJ1252" s="652">
        <f>IF($B1252="",,SUMIFS(PerHeadcount[Month 25],PerHeadcount[exp_item],$H1252,PerHeadcount[company_name],$B1252)*AJ202)</f>
        <v>0</v>
      </c>
      <c r="AK1252" s="652">
        <f>IF($B1252="",,SUMIFS(PerHeadcount[Month 26],PerHeadcount[exp_item],$H1252,PerHeadcount[company_name],$B1252)*AK202)</f>
        <v>0</v>
      </c>
      <c r="AL1252" s="652">
        <f>IF($B1252="",,SUMIFS(PerHeadcount[Month 27],PerHeadcount[exp_item],$H1252,PerHeadcount[company_name],$B1252)*AL202)</f>
        <v>0</v>
      </c>
      <c r="AM1252" s="652">
        <f>IF($B1252="",,SUMIFS(PerHeadcount[Month 28],PerHeadcount[exp_item],$H1252,PerHeadcount[company_name],$B1252)*AM202)</f>
        <v>0</v>
      </c>
      <c r="AN1252" s="652">
        <f>IF($B1252="",,SUMIFS(PerHeadcount[Month 29],PerHeadcount[exp_item],$H1252,PerHeadcount[company_name],$B1252)*AN202)</f>
        <v>0</v>
      </c>
      <c r="AO1252" s="652">
        <f>IF($B1252="",,SUMIFS(PerHeadcount[Month 30],PerHeadcount[exp_item],$H1252,PerHeadcount[company_name],$B1252)*AO202)</f>
        <v>0</v>
      </c>
      <c r="AP1252" s="652">
        <f>IF($B1252="",,SUMIFS(PerHeadcount[Month 31],PerHeadcount[exp_item],$H1252,PerHeadcount[company_name],$B1252)*AP202)</f>
        <v>0</v>
      </c>
      <c r="AQ1252" s="652">
        <f>IF($B1252="",,SUMIFS(PerHeadcount[Month 32],PerHeadcount[exp_item],$H1252,PerHeadcount[company_name],$B1252)*AQ202)</f>
        <v>0</v>
      </c>
      <c r="AR1252" s="652">
        <f>IF($B1252="",,SUMIFS(PerHeadcount[Month 33],PerHeadcount[exp_item],$H1252,PerHeadcount[company_name],$B1252)*AR202)</f>
        <v>0</v>
      </c>
      <c r="AS1252" s="652">
        <f>IF($B1252="",,SUMIFS(PerHeadcount[Month 34],PerHeadcount[exp_item],$H1252,PerHeadcount[company_name],$B1252)*AS202)</f>
        <v>0</v>
      </c>
      <c r="AT1252" s="652">
        <f>IF($B1252="",,SUMIFS(PerHeadcount[Month 35],PerHeadcount[exp_item],$H1252,PerHeadcount[company_name],$B1252)*AT202)</f>
        <v>0</v>
      </c>
      <c r="AU1252" s="652">
        <f>IF($B1252="",,SUMIFS(PerHeadcount[Month 36],PerHeadcount[exp_item],$H1252,PerHeadcount[company_name],$B1252)*AU202)</f>
        <v>0</v>
      </c>
    </row>
    <row r="1253" spans="2:47" x14ac:dyDescent="0.35">
      <c r="B1253" t="str">
        <f t="shared" si="881"/>
        <v/>
      </c>
      <c r="C1253" t="str">
        <f t="shared" ref="C1253:G1253" si="899">IF(C1148="","",C1148)</f>
        <v/>
      </c>
      <c r="D1253" t="str">
        <f t="shared" si="899"/>
        <v/>
      </c>
      <c r="E1253" t="str">
        <f t="shared" si="899"/>
        <v/>
      </c>
      <c r="F1253" t="str">
        <f t="shared" si="899"/>
        <v/>
      </c>
      <c r="G1253" t="str">
        <f t="shared" si="899"/>
        <v/>
      </c>
      <c r="H1253" t="str">
        <f t="shared" si="880"/>
        <v/>
      </c>
      <c r="J1253" t="str">
        <f>IF($H1253="","",IF(VLOOKUP(H1253,ExpItems[],2,0),H1253&amp;" - "&amp;INDEX(DivisionMapping[category_code],MATCH($D1253&amp;$C1253,DivisionMapping[dept_bu],0)),H1253))</f>
        <v/>
      </c>
      <c r="K1253" t="str">
        <f t="shared" si="883"/>
        <v/>
      </c>
      <c r="L1253" s="652">
        <f>IF($B1253="",,SUMIFS(PerHeadcount[Month 1],PerHeadcount[exp_item],$H1253,PerHeadcount[company_name],$B1253)*L203)</f>
        <v>0</v>
      </c>
      <c r="M1253" s="652">
        <f>IF($B1253="",,SUMIFS(PerHeadcount[Month 2],PerHeadcount[exp_item],$H1253,PerHeadcount[company_name],$B1253)*M203)</f>
        <v>0</v>
      </c>
      <c r="N1253" s="652">
        <f>IF($B1253="",,SUMIFS(PerHeadcount[Month 3],PerHeadcount[exp_item],$H1253,PerHeadcount[company_name],$B1253)*N203)</f>
        <v>0</v>
      </c>
      <c r="O1253" s="652">
        <f>IF($B1253="",,SUMIFS(PerHeadcount[Month 4],PerHeadcount[exp_item],$H1253,PerHeadcount[company_name],$B1253)*O203)</f>
        <v>0</v>
      </c>
      <c r="P1253" s="652">
        <f>IF($B1253="",,SUMIFS(PerHeadcount[Month 5],PerHeadcount[exp_item],$H1253,PerHeadcount[company_name],$B1253)*P203)</f>
        <v>0</v>
      </c>
      <c r="Q1253" s="652">
        <f>IF($B1253="",,SUMIFS(PerHeadcount[Month 6],PerHeadcount[exp_item],$H1253,PerHeadcount[company_name],$B1253)*Q203)</f>
        <v>0</v>
      </c>
      <c r="R1253" s="652">
        <f>IF($B1253="",,SUMIFS(PerHeadcount[Month 7],PerHeadcount[exp_item],$H1253,PerHeadcount[company_name],$B1253)*R203)</f>
        <v>0</v>
      </c>
      <c r="S1253" s="652">
        <f>IF($B1253="",,SUMIFS(PerHeadcount[Month 8],PerHeadcount[exp_item],$H1253,PerHeadcount[company_name],$B1253)*S203)</f>
        <v>0</v>
      </c>
      <c r="T1253" s="652">
        <f>IF($B1253="",,SUMIFS(PerHeadcount[Month 9],PerHeadcount[exp_item],$H1253,PerHeadcount[company_name],$B1253)*T203)</f>
        <v>0</v>
      </c>
      <c r="U1253" s="652">
        <f>IF($B1253="",,SUMIFS(PerHeadcount[Month 10],PerHeadcount[exp_item],$H1253,PerHeadcount[company_name],$B1253)*U203)</f>
        <v>0</v>
      </c>
      <c r="V1253" s="652">
        <f>IF($B1253="",,SUMIFS(PerHeadcount[Month 11],PerHeadcount[exp_item],$H1253,PerHeadcount[company_name],$B1253)*V203)</f>
        <v>0</v>
      </c>
      <c r="W1253" s="652">
        <f>IF($B1253="",,SUMIFS(PerHeadcount[Month 12],PerHeadcount[exp_item],$H1253,PerHeadcount[company_name],$B1253)*W203)</f>
        <v>0</v>
      </c>
      <c r="X1253" s="652">
        <f>IF($B1253="",,SUMIFS(PerHeadcount[Month 13],PerHeadcount[exp_item],$H1253,PerHeadcount[company_name],$B1253)*X203)</f>
        <v>0</v>
      </c>
      <c r="Y1253" s="652">
        <f>IF($B1253="",,SUMIFS(PerHeadcount[Month 14],PerHeadcount[exp_item],$H1253,PerHeadcount[company_name],$B1253)*Y203)</f>
        <v>0</v>
      </c>
      <c r="Z1253" s="652">
        <f>IF($B1253="",,SUMIFS(PerHeadcount[Month 15],PerHeadcount[exp_item],$H1253,PerHeadcount[company_name],$B1253)*Z203)</f>
        <v>0</v>
      </c>
      <c r="AA1253" s="652">
        <f>IF($B1253="",,SUMIFS(PerHeadcount[Month 16],PerHeadcount[exp_item],$H1253,PerHeadcount[company_name],$B1253)*AA203)</f>
        <v>0</v>
      </c>
      <c r="AB1253" s="652">
        <f>IF($B1253="",,SUMIFS(PerHeadcount[Month 17],PerHeadcount[exp_item],$H1253,PerHeadcount[company_name],$B1253)*AB203)</f>
        <v>0</v>
      </c>
      <c r="AC1253" s="652">
        <f>IF($B1253="",,SUMIFS(PerHeadcount[Month 18],PerHeadcount[exp_item],$H1253,PerHeadcount[company_name],$B1253)*AC203)</f>
        <v>0</v>
      </c>
      <c r="AD1253" s="652">
        <f>IF($B1253="",,SUMIFS(PerHeadcount[Month 19],PerHeadcount[exp_item],$H1253,PerHeadcount[company_name],$B1253)*AD203)</f>
        <v>0</v>
      </c>
      <c r="AE1253" s="652">
        <f>IF($B1253="",,SUMIFS(PerHeadcount[Month 20],PerHeadcount[exp_item],$H1253,PerHeadcount[company_name],$B1253)*AE203)</f>
        <v>0</v>
      </c>
      <c r="AF1253" s="652">
        <f>IF($B1253="",,SUMIFS(PerHeadcount[Month 21],PerHeadcount[exp_item],$H1253,PerHeadcount[company_name],$B1253)*AF203)</f>
        <v>0</v>
      </c>
      <c r="AG1253" s="652">
        <f>IF($B1253="",,SUMIFS(PerHeadcount[Month 22],PerHeadcount[exp_item],$H1253,PerHeadcount[company_name],$B1253)*AG203)</f>
        <v>0</v>
      </c>
      <c r="AH1253" s="652">
        <f>IF($B1253="",,SUMIFS(PerHeadcount[Month 23],PerHeadcount[exp_item],$H1253,PerHeadcount[company_name],$B1253)*AH203)</f>
        <v>0</v>
      </c>
      <c r="AI1253" s="652">
        <f>IF($B1253="",,SUMIFS(PerHeadcount[Month 24],PerHeadcount[exp_item],$H1253,PerHeadcount[company_name],$B1253)*AI203)</f>
        <v>0</v>
      </c>
      <c r="AJ1253" s="652">
        <f>IF($B1253="",,SUMIFS(PerHeadcount[Month 25],PerHeadcount[exp_item],$H1253,PerHeadcount[company_name],$B1253)*AJ203)</f>
        <v>0</v>
      </c>
      <c r="AK1253" s="652">
        <f>IF($B1253="",,SUMIFS(PerHeadcount[Month 26],PerHeadcount[exp_item],$H1253,PerHeadcount[company_name],$B1253)*AK203)</f>
        <v>0</v>
      </c>
      <c r="AL1253" s="652">
        <f>IF($B1253="",,SUMIFS(PerHeadcount[Month 27],PerHeadcount[exp_item],$H1253,PerHeadcount[company_name],$B1253)*AL203)</f>
        <v>0</v>
      </c>
      <c r="AM1253" s="652">
        <f>IF($B1253="",,SUMIFS(PerHeadcount[Month 28],PerHeadcount[exp_item],$H1253,PerHeadcount[company_name],$B1253)*AM203)</f>
        <v>0</v>
      </c>
      <c r="AN1253" s="652">
        <f>IF($B1253="",,SUMIFS(PerHeadcount[Month 29],PerHeadcount[exp_item],$H1253,PerHeadcount[company_name],$B1253)*AN203)</f>
        <v>0</v>
      </c>
      <c r="AO1253" s="652">
        <f>IF($B1253="",,SUMIFS(PerHeadcount[Month 30],PerHeadcount[exp_item],$H1253,PerHeadcount[company_name],$B1253)*AO203)</f>
        <v>0</v>
      </c>
      <c r="AP1253" s="652">
        <f>IF($B1253="",,SUMIFS(PerHeadcount[Month 31],PerHeadcount[exp_item],$H1253,PerHeadcount[company_name],$B1253)*AP203)</f>
        <v>0</v>
      </c>
      <c r="AQ1253" s="652">
        <f>IF($B1253="",,SUMIFS(PerHeadcount[Month 32],PerHeadcount[exp_item],$H1253,PerHeadcount[company_name],$B1253)*AQ203)</f>
        <v>0</v>
      </c>
      <c r="AR1253" s="652">
        <f>IF($B1253="",,SUMIFS(PerHeadcount[Month 33],PerHeadcount[exp_item],$H1253,PerHeadcount[company_name],$B1253)*AR203)</f>
        <v>0</v>
      </c>
      <c r="AS1253" s="652">
        <f>IF($B1253="",,SUMIFS(PerHeadcount[Month 34],PerHeadcount[exp_item],$H1253,PerHeadcount[company_name],$B1253)*AS203)</f>
        <v>0</v>
      </c>
      <c r="AT1253" s="652">
        <f>IF($B1253="",,SUMIFS(PerHeadcount[Month 35],PerHeadcount[exp_item],$H1253,PerHeadcount[company_name],$B1253)*AT203)</f>
        <v>0</v>
      </c>
      <c r="AU1253" s="652">
        <f>IF($B1253="",,SUMIFS(PerHeadcount[Month 36],PerHeadcount[exp_item],$H1253,PerHeadcount[company_name],$B1253)*AU203)</f>
        <v>0</v>
      </c>
    </row>
    <row r="1254" spans="2:47" x14ac:dyDescent="0.35">
      <c r="B1254" t="str">
        <f t="shared" si="881"/>
        <v/>
      </c>
      <c r="C1254" t="str">
        <f t="shared" ref="C1254:G1254" si="900">IF(C1149="","",C1149)</f>
        <v/>
      </c>
      <c r="D1254" t="str">
        <f t="shared" si="900"/>
        <v/>
      </c>
      <c r="E1254" t="str">
        <f t="shared" si="900"/>
        <v/>
      </c>
      <c r="F1254" t="str">
        <f t="shared" si="900"/>
        <v/>
      </c>
      <c r="G1254" t="str">
        <f t="shared" si="900"/>
        <v/>
      </c>
      <c r="H1254" t="str">
        <f t="shared" si="880"/>
        <v/>
      </c>
      <c r="J1254" t="str">
        <f>IF($H1254="","",IF(VLOOKUP(H1254,ExpItems[],2,0),H1254&amp;" - "&amp;INDEX(DivisionMapping[category_code],MATCH($D1254&amp;$C1254,DivisionMapping[dept_bu],0)),H1254))</f>
        <v/>
      </c>
      <c r="K1254" t="str">
        <f t="shared" si="883"/>
        <v/>
      </c>
      <c r="L1254" s="652">
        <f>IF($B1254="",,SUMIFS(PerHeadcount[Month 1],PerHeadcount[exp_item],$H1254,PerHeadcount[company_name],$B1254)*L204)</f>
        <v>0</v>
      </c>
      <c r="M1254" s="652">
        <f>IF($B1254="",,SUMIFS(PerHeadcount[Month 2],PerHeadcount[exp_item],$H1254,PerHeadcount[company_name],$B1254)*M204)</f>
        <v>0</v>
      </c>
      <c r="N1254" s="652">
        <f>IF($B1254="",,SUMIFS(PerHeadcount[Month 3],PerHeadcount[exp_item],$H1254,PerHeadcount[company_name],$B1254)*N204)</f>
        <v>0</v>
      </c>
      <c r="O1254" s="652">
        <f>IF($B1254="",,SUMIFS(PerHeadcount[Month 4],PerHeadcount[exp_item],$H1254,PerHeadcount[company_name],$B1254)*O204)</f>
        <v>0</v>
      </c>
      <c r="P1254" s="652">
        <f>IF($B1254="",,SUMIFS(PerHeadcount[Month 5],PerHeadcount[exp_item],$H1254,PerHeadcount[company_name],$B1254)*P204)</f>
        <v>0</v>
      </c>
      <c r="Q1254" s="652">
        <f>IF($B1254="",,SUMIFS(PerHeadcount[Month 6],PerHeadcount[exp_item],$H1254,PerHeadcount[company_name],$B1254)*Q204)</f>
        <v>0</v>
      </c>
      <c r="R1254" s="652">
        <f>IF($B1254="",,SUMIFS(PerHeadcount[Month 7],PerHeadcount[exp_item],$H1254,PerHeadcount[company_name],$B1254)*R204)</f>
        <v>0</v>
      </c>
      <c r="S1254" s="652">
        <f>IF($B1254="",,SUMIFS(PerHeadcount[Month 8],PerHeadcount[exp_item],$H1254,PerHeadcount[company_name],$B1254)*S204)</f>
        <v>0</v>
      </c>
      <c r="T1254" s="652">
        <f>IF($B1254="",,SUMIFS(PerHeadcount[Month 9],PerHeadcount[exp_item],$H1254,PerHeadcount[company_name],$B1254)*T204)</f>
        <v>0</v>
      </c>
      <c r="U1254" s="652">
        <f>IF($B1254="",,SUMIFS(PerHeadcount[Month 10],PerHeadcount[exp_item],$H1254,PerHeadcount[company_name],$B1254)*U204)</f>
        <v>0</v>
      </c>
      <c r="V1254" s="652">
        <f>IF($B1254="",,SUMIFS(PerHeadcount[Month 11],PerHeadcount[exp_item],$H1254,PerHeadcount[company_name],$B1254)*V204)</f>
        <v>0</v>
      </c>
      <c r="W1254" s="652">
        <f>IF($B1254="",,SUMIFS(PerHeadcount[Month 12],PerHeadcount[exp_item],$H1254,PerHeadcount[company_name],$B1254)*W204)</f>
        <v>0</v>
      </c>
      <c r="X1254" s="652">
        <f>IF($B1254="",,SUMIFS(PerHeadcount[Month 13],PerHeadcount[exp_item],$H1254,PerHeadcount[company_name],$B1254)*X204)</f>
        <v>0</v>
      </c>
      <c r="Y1254" s="652">
        <f>IF($B1254="",,SUMIFS(PerHeadcount[Month 14],PerHeadcount[exp_item],$H1254,PerHeadcount[company_name],$B1254)*Y204)</f>
        <v>0</v>
      </c>
      <c r="Z1254" s="652">
        <f>IF($B1254="",,SUMIFS(PerHeadcount[Month 15],PerHeadcount[exp_item],$H1254,PerHeadcount[company_name],$B1254)*Z204)</f>
        <v>0</v>
      </c>
      <c r="AA1254" s="652">
        <f>IF($B1254="",,SUMIFS(PerHeadcount[Month 16],PerHeadcount[exp_item],$H1254,PerHeadcount[company_name],$B1254)*AA204)</f>
        <v>0</v>
      </c>
      <c r="AB1254" s="652">
        <f>IF($B1254="",,SUMIFS(PerHeadcount[Month 17],PerHeadcount[exp_item],$H1254,PerHeadcount[company_name],$B1254)*AB204)</f>
        <v>0</v>
      </c>
      <c r="AC1254" s="652">
        <f>IF($B1254="",,SUMIFS(PerHeadcount[Month 18],PerHeadcount[exp_item],$H1254,PerHeadcount[company_name],$B1254)*AC204)</f>
        <v>0</v>
      </c>
      <c r="AD1254" s="652">
        <f>IF($B1254="",,SUMIFS(PerHeadcount[Month 19],PerHeadcount[exp_item],$H1254,PerHeadcount[company_name],$B1254)*AD204)</f>
        <v>0</v>
      </c>
      <c r="AE1254" s="652">
        <f>IF($B1254="",,SUMIFS(PerHeadcount[Month 20],PerHeadcount[exp_item],$H1254,PerHeadcount[company_name],$B1254)*AE204)</f>
        <v>0</v>
      </c>
      <c r="AF1254" s="652">
        <f>IF($B1254="",,SUMIFS(PerHeadcount[Month 21],PerHeadcount[exp_item],$H1254,PerHeadcount[company_name],$B1254)*AF204)</f>
        <v>0</v>
      </c>
      <c r="AG1254" s="652">
        <f>IF($B1254="",,SUMIFS(PerHeadcount[Month 22],PerHeadcount[exp_item],$H1254,PerHeadcount[company_name],$B1254)*AG204)</f>
        <v>0</v>
      </c>
      <c r="AH1254" s="652">
        <f>IF($B1254="",,SUMIFS(PerHeadcount[Month 23],PerHeadcount[exp_item],$H1254,PerHeadcount[company_name],$B1254)*AH204)</f>
        <v>0</v>
      </c>
      <c r="AI1254" s="652">
        <f>IF($B1254="",,SUMIFS(PerHeadcount[Month 24],PerHeadcount[exp_item],$H1254,PerHeadcount[company_name],$B1254)*AI204)</f>
        <v>0</v>
      </c>
      <c r="AJ1254" s="652">
        <f>IF($B1254="",,SUMIFS(PerHeadcount[Month 25],PerHeadcount[exp_item],$H1254,PerHeadcount[company_name],$B1254)*AJ204)</f>
        <v>0</v>
      </c>
      <c r="AK1254" s="652">
        <f>IF($B1254="",,SUMIFS(PerHeadcount[Month 26],PerHeadcount[exp_item],$H1254,PerHeadcount[company_name],$B1254)*AK204)</f>
        <v>0</v>
      </c>
      <c r="AL1254" s="652">
        <f>IF($B1254="",,SUMIFS(PerHeadcount[Month 27],PerHeadcount[exp_item],$H1254,PerHeadcount[company_name],$B1254)*AL204)</f>
        <v>0</v>
      </c>
      <c r="AM1254" s="652">
        <f>IF($B1254="",,SUMIFS(PerHeadcount[Month 28],PerHeadcount[exp_item],$H1254,PerHeadcount[company_name],$B1254)*AM204)</f>
        <v>0</v>
      </c>
      <c r="AN1254" s="652">
        <f>IF($B1254="",,SUMIFS(PerHeadcount[Month 29],PerHeadcount[exp_item],$H1254,PerHeadcount[company_name],$B1254)*AN204)</f>
        <v>0</v>
      </c>
      <c r="AO1254" s="652">
        <f>IF($B1254="",,SUMIFS(PerHeadcount[Month 30],PerHeadcount[exp_item],$H1254,PerHeadcount[company_name],$B1254)*AO204)</f>
        <v>0</v>
      </c>
      <c r="AP1254" s="652">
        <f>IF($B1254="",,SUMIFS(PerHeadcount[Month 31],PerHeadcount[exp_item],$H1254,PerHeadcount[company_name],$B1254)*AP204)</f>
        <v>0</v>
      </c>
      <c r="AQ1254" s="652">
        <f>IF($B1254="",,SUMIFS(PerHeadcount[Month 32],PerHeadcount[exp_item],$H1254,PerHeadcount[company_name],$B1254)*AQ204)</f>
        <v>0</v>
      </c>
      <c r="AR1254" s="652">
        <f>IF($B1254="",,SUMIFS(PerHeadcount[Month 33],PerHeadcount[exp_item],$H1254,PerHeadcount[company_name],$B1254)*AR204)</f>
        <v>0</v>
      </c>
      <c r="AS1254" s="652">
        <f>IF($B1254="",,SUMIFS(PerHeadcount[Month 34],PerHeadcount[exp_item],$H1254,PerHeadcount[company_name],$B1254)*AS204)</f>
        <v>0</v>
      </c>
      <c r="AT1254" s="652">
        <f>IF($B1254="",,SUMIFS(PerHeadcount[Month 35],PerHeadcount[exp_item],$H1254,PerHeadcount[company_name],$B1254)*AT204)</f>
        <v>0</v>
      </c>
      <c r="AU1254" s="652">
        <f>IF($B1254="",,SUMIFS(PerHeadcount[Month 36],PerHeadcount[exp_item],$H1254,PerHeadcount[company_name],$B1254)*AU204)</f>
        <v>0</v>
      </c>
    </row>
    <row r="1255" spans="2:47" x14ac:dyDescent="0.35">
      <c r="B1255" t="str">
        <f t="shared" si="881"/>
        <v/>
      </c>
      <c r="C1255" t="str">
        <f t="shared" ref="C1255:G1255" si="901">IF(C1150="","",C1150)</f>
        <v/>
      </c>
      <c r="D1255" t="str">
        <f t="shared" si="901"/>
        <v/>
      </c>
      <c r="E1255" t="str">
        <f t="shared" si="901"/>
        <v/>
      </c>
      <c r="F1255" t="str">
        <f t="shared" si="901"/>
        <v/>
      </c>
      <c r="G1255" t="str">
        <f t="shared" si="901"/>
        <v/>
      </c>
      <c r="H1255" t="str">
        <f t="shared" si="880"/>
        <v/>
      </c>
      <c r="J1255" t="str">
        <f>IF($H1255="","",IF(VLOOKUP(H1255,ExpItems[],2,0),H1255&amp;" - "&amp;INDEX(DivisionMapping[category_code],MATCH($D1255&amp;$C1255,DivisionMapping[dept_bu],0)),H1255))</f>
        <v/>
      </c>
      <c r="K1255" t="str">
        <f t="shared" si="883"/>
        <v/>
      </c>
      <c r="L1255" s="652">
        <f>IF($B1255="",,SUMIFS(PerHeadcount[Month 1],PerHeadcount[exp_item],$H1255,PerHeadcount[company_name],$B1255)*L205)</f>
        <v>0</v>
      </c>
      <c r="M1255" s="652">
        <f>IF($B1255="",,SUMIFS(PerHeadcount[Month 2],PerHeadcount[exp_item],$H1255,PerHeadcount[company_name],$B1255)*M205)</f>
        <v>0</v>
      </c>
      <c r="N1255" s="652">
        <f>IF($B1255="",,SUMIFS(PerHeadcount[Month 3],PerHeadcount[exp_item],$H1255,PerHeadcount[company_name],$B1255)*N205)</f>
        <v>0</v>
      </c>
      <c r="O1255" s="652">
        <f>IF($B1255="",,SUMIFS(PerHeadcount[Month 4],PerHeadcount[exp_item],$H1255,PerHeadcount[company_name],$B1255)*O205)</f>
        <v>0</v>
      </c>
      <c r="P1255" s="652">
        <f>IF($B1255="",,SUMIFS(PerHeadcount[Month 5],PerHeadcount[exp_item],$H1255,PerHeadcount[company_name],$B1255)*P205)</f>
        <v>0</v>
      </c>
      <c r="Q1255" s="652">
        <f>IF($B1255="",,SUMIFS(PerHeadcount[Month 6],PerHeadcount[exp_item],$H1255,PerHeadcount[company_name],$B1255)*Q205)</f>
        <v>0</v>
      </c>
      <c r="R1255" s="652">
        <f>IF($B1255="",,SUMIFS(PerHeadcount[Month 7],PerHeadcount[exp_item],$H1255,PerHeadcount[company_name],$B1255)*R205)</f>
        <v>0</v>
      </c>
      <c r="S1255" s="652">
        <f>IF($B1255="",,SUMIFS(PerHeadcount[Month 8],PerHeadcount[exp_item],$H1255,PerHeadcount[company_name],$B1255)*S205)</f>
        <v>0</v>
      </c>
      <c r="T1255" s="652">
        <f>IF($B1255="",,SUMIFS(PerHeadcount[Month 9],PerHeadcount[exp_item],$H1255,PerHeadcount[company_name],$B1255)*T205)</f>
        <v>0</v>
      </c>
      <c r="U1255" s="652">
        <f>IF($B1255="",,SUMIFS(PerHeadcount[Month 10],PerHeadcount[exp_item],$H1255,PerHeadcount[company_name],$B1255)*U205)</f>
        <v>0</v>
      </c>
      <c r="V1255" s="652">
        <f>IF($B1255="",,SUMIFS(PerHeadcount[Month 11],PerHeadcount[exp_item],$H1255,PerHeadcount[company_name],$B1255)*V205)</f>
        <v>0</v>
      </c>
      <c r="W1255" s="652">
        <f>IF($B1255="",,SUMIFS(PerHeadcount[Month 12],PerHeadcount[exp_item],$H1255,PerHeadcount[company_name],$B1255)*W205)</f>
        <v>0</v>
      </c>
      <c r="X1255" s="652">
        <f>IF($B1255="",,SUMIFS(PerHeadcount[Month 13],PerHeadcount[exp_item],$H1255,PerHeadcount[company_name],$B1255)*X205)</f>
        <v>0</v>
      </c>
      <c r="Y1255" s="652">
        <f>IF($B1255="",,SUMIFS(PerHeadcount[Month 14],PerHeadcount[exp_item],$H1255,PerHeadcount[company_name],$B1255)*Y205)</f>
        <v>0</v>
      </c>
      <c r="Z1255" s="652">
        <f>IF($B1255="",,SUMIFS(PerHeadcount[Month 15],PerHeadcount[exp_item],$H1255,PerHeadcount[company_name],$B1255)*Z205)</f>
        <v>0</v>
      </c>
      <c r="AA1255" s="652">
        <f>IF($B1255="",,SUMIFS(PerHeadcount[Month 16],PerHeadcount[exp_item],$H1255,PerHeadcount[company_name],$B1255)*AA205)</f>
        <v>0</v>
      </c>
      <c r="AB1255" s="652">
        <f>IF($B1255="",,SUMIFS(PerHeadcount[Month 17],PerHeadcount[exp_item],$H1255,PerHeadcount[company_name],$B1255)*AB205)</f>
        <v>0</v>
      </c>
      <c r="AC1255" s="652">
        <f>IF($B1255="",,SUMIFS(PerHeadcount[Month 18],PerHeadcount[exp_item],$H1255,PerHeadcount[company_name],$B1255)*AC205)</f>
        <v>0</v>
      </c>
      <c r="AD1255" s="652">
        <f>IF($B1255="",,SUMIFS(PerHeadcount[Month 19],PerHeadcount[exp_item],$H1255,PerHeadcount[company_name],$B1255)*AD205)</f>
        <v>0</v>
      </c>
      <c r="AE1255" s="652">
        <f>IF($B1255="",,SUMIFS(PerHeadcount[Month 20],PerHeadcount[exp_item],$H1255,PerHeadcount[company_name],$B1255)*AE205)</f>
        <v>0</v>
      </c>
      <c r="AF1255" s="652">
        <f>IF($B1255="",,SUMIFS(PerHeadcount[Month 21],PerHeadcount[exp_item],$H1255,PerHeadcount[company_name],$B1255)*AF205)</f>
        <v>0</v>
      </c>
      <c r="AG1255" s="652">
        <f>IF($B1255="",,SUMIFS(PerHeadcount[Month 22],PerHeadcount[exp_item],$H1255,PerHeadcount[company_name],$B1255)*AG205)</f>
        <v>0</v>
      </c>
      <c r="AH1255" s="652">
        <f>IF($B1255="",,SUMIFS(PerHeadcount[Month 23],PerHeadcount[exp_item],$H1255,PerHeadcount[company_name],$B1255)*AH205)</f>
        <v>0</v>
      </c>
      <c r="AI1255" s="652">
        <f>IF($B1255="",,SUMIFS(PerHeadcount[Month 24],PerHeadcount[exp_item],$H1255,PerHeadcount[company_name],$B1255)*AI205)</f>
        <v>0</v>
      </c>
      <c r="AJ1255" s="652">
        <f>IF($B1255="",,SUMIFS(PerHeadcount[Month 25],PerHeadcount[exp_item],$H1255,PerHeadcount[company_name],$B1255)*AJ205)</f>
        <v>0</v>
      </c>
      <c r="AK1255" s="652">
        <f>IF($B1255="",,SUMIFS(PerHeadcount[Month 26],PerHeadcount[exp_item],$H1255,PerHeadcount[company_name],$B1255)*AK205)</f>
        <v>0</v>
      </c>
      <c r="AL1255" s="652">
        <f>IF($B1255="",,SUMIFS(PerHeadcount[Month 27],PerHeadcount[exp_item],$H1255,PerHeadcount[company_name],$B1255)*AL205)</f>
        <v>0</v>
      </c>
      <c r="AM1255" s="652">
        <f>IF($B1255="",,SUMIFS(PerHeadcount[Month 28],PerHeadcount[exp_item],$H1255,PerHeadcount[company_name],$B1255)*AM205)</f>
        <v>0</v>
      </c>
      <c r="AN1255" s="652">
        <f>IF($B1255="",,SUMIFS(PerHeadcount[Month 29],PerHeadcount[exp_item],$H1255,PerHeadcount[company_name],$B1255)*AN205)</f>
        <v>0</v>
      </c>
      <c r="AO1255" s="652">
        <f>IF($B1255="",,SUMIFS(PerHeadcount[Month 30],PerHeadcount[exp_item],$H1255,PerHeadcount[company_name],$B1255)*AO205)</f>
        <v>0</v>
      </c>
      <c r="AP1255" s="652">
        <f>IF($B1255="",,SUMIFS(PerHeadcount[Month 31],PerHeadcount[exp_item],$H1255,PerHeadcount[company_name],$B1255)*AP205)</f>
        <v>0</v>
      </c>
      <c r="AQ1255" s="652">
        <f>IF($B1255="",,SUMIFS(PerHeadcount[Month 32],PerHeadcount[exp_item],$H1255,PerHeadcount[company_name],$B1255)*AQ205)</f>
        <v>0</v>
      </c>
      <c r="AR1255" s="652">
        <f>IF($B1255="",,SUMIFS(PerHeadcount[Month 33],PerHeadcount[exp_item],$H1255,PerHeadcount[company_name],$B1255)*AR205)</f>
        <v>0</v>
      </c>
      <c r="AS1255" s="652">
        <f>IF($B1255="",,SUMIFS(PerHeadcount[Month 34],PerHeadcount[exp_item],$H1255,PerHeadcount[company_name],$B1255)*AS205)</f>
        <v>0</v>
      </c>
      <c r="AT1255" s="652">
        <f>IF($B1255="",,SUMIFS(PerHeadcount[Month 35],PerHeadcount[exp_item],$H1255,PerHeadcount[company_name],$B1255)*AT205)</f>
        <v>0</v>
      </c>
      <c r="AU1255" s="652">
        <f>IF($B1255="",,SUMIFS(PerHeadcount[Month 36],PerHeadcount[exp_item],$H1255,PerHeadcount[company_name],$B1255)*AU205)</f>
        <v>0</v>
      </c>
    </row>
    <row r="1256" spans="2:47" x14ac:dyDescent="0.35">
      <c r="B1256" t="str">
        <f t="shared" si="881"/>
        <v/>
      </c>
      <c r="C1256" t="str">
        <f t="shared" ref="C1256:G1256" si="902">IF(C1151="","",C1151)</f>
        <v/>
      </c>
      <c r="D1256" t="str">
        <f t="shared" si="902"/>
        <v/>
      </c>
      <c r="E1256" t="str">
        <f t="shared" si="902"/>
        <v/>
      </c>
      <c r="F1256" t="str">
        <f t="shared" si="902"/>
        <v/>
      </c>
      <c r="G1256" t="str">
        <f t="shared" si="902"/>
        <v/>
      </c>
      <c r="H1256" t="str">
        <f t="shared" si="880"/>
        <v/>
      </c>
      <c r="J1256" t="str">
        <f>IF($H1256="","",IF(VLOOKUP(H1256,ExpItems[],2,0),H1256&amp;" - "&amp;INDEX(DivisionMapping[category_code],MATCH($D1256&amp;$C1256,DivisionMapping[dept_bu],0)),H1256))</f>
        <v/>
      </c>
      <c r="K1256" t="str">
        <f t="shared" si="883"/>
        <v/>
      </c>
      <c r="L1256" s="652">
        <f>IF($B1256="",,SUMIFS(PerHeadcount[Month 1],PerHeadcount[exp_item],$H1256,PerHeadcount[company_name],$B1256)*L206)</f>
        <v>0</v>
      </c>
      <c r="M1256" s="652">
        <f>IF($B1256="",,SUMIFS(PerHeadcount[Month 2],PerHeadcount[exp_item],$H1256,PerHeadcount[company_name],$B1256)*M206)</f>
        <v>0</v>
      </c>
      <c r="N1256" s="652">
        <f>IF($B1256="",,SUMIFS(PerHeadcount[Month 3],PerHeadcount[exp_item],$H1256,PerHeadcount[company_name],$B1256)*N206)</f>
        <v>0</v>
      </c>
      <c r="O1256" s="652">
        <f>IF($B1256="",,SUMIFS(PerHeadcount[Month 4],PerHeadcount[exp_item],$H1256,PerHeadcount[company_name],$B1256)*O206)</f>
        <v>0</v>
      </c>
      <c r="P1256" s="652">
        <f>IF($B1256="",,SUMIFS(PerHeadcount[Month 5],PerHeadcount[exp_item],$H1256,PerHeadcount[company_name],$B1256)*P206)</f>
        <v>0</v>
      </c>
      <c r="Q1256" s="652">
        <f>IF($B1256="",,SUMIFS(PerHeadcount[Month 6],PerHeadcount[exp_item],$H1256,PerHeadcount[company_name],$B1256)*Q206)</f>
        <v>0</v>
      </c>
      <c r="R1256" s="652">
        <f>IF($B1256="",,SUMIFS(PerHeadcount[Month 7],PerHeadcount[exp_item],$H1256,PerHeadcount[company_name],$B1256)*R206)</f>
        <v>0</v>
      </c>
      <c r="S1256" s="652">
        <f>IF($B1256="",,SUMIFS(PerHeadcount[Month 8],PerHeadcount[exp_item],$H1256,PerHeadcount[company_name],$B1256)*S206)</f>
        <v>0</v>
      </c>
      <c r="T1256" s="652">
        <f>IF($B1256="",,SUMIFS(PerHeadcount[Month 9],PerHeadcount[exp_item],$H1256,PerHeadcount[company_name],$B1256)*T206)</f>
        <v>0</v>
      </c>
      <c r="U1256" s="652">
        <f>IF($B1256="",,SUMIFS(PerHeadcount[Month 10],PerHeadcount[exp_item],$H1256,PerHeadcount[company_name],$B1256)*U206)</f>
        <v>0</v>
      </c>
      <c r="V1256" s="652">
        <f>IF($B1256="",,SUMIFS(PerHeadcount[Month 11],PerHeadcount[exp_item],$H1256,PerHeadcount[company_name],$B1256)*V206)</f>
        <v>0</v>
      </c>
      <c r="W1256" s="652">
        <f>IF($B1256="",,SUMIFS(PerHeadcount[Month 12],PerHeadcount[exp_item],$H1256,PerHeadcount[company_name],$B1256)*W206)</f>
        <v>0</v>
      </c>
      <c r="X1256" s="652">
        <f>IF($B1256="",,SUMIFS(PerHeadcount[Month 13],PerHeadcount[exp_item],$H1256,PerHeadcount[company_name],$B1256)*X206)</f>
        <v>0</v>
      </c>
      <c r="Y1256" s="652">
        <f>IF($B1256="",,SUMIFS(PerHeadcount[Month 14],PerHeadcount[exp_item],$H1256,PerHeadcount[company_name],$B1256)*Y206)</f>
        <v>0</v>
      </c>
      <c r="Z1256" s="652">
        <f>IF($B1256="",,SUMIFS(PerHeadcount[Month 15],PerHeadcount[exp_item],$H1256,PerHeadcount[company_name],$B1256)*Z206)</f>
        <v>0</v>
      </c>
      <c r="AA1256" s="652">
        <f>IF($B1256="",,SUMIFS(PerHeadcount[Month 16],PerHeadcount[exp_item],$H1256,PerHeadcount[company_name],$B1256)*AA206)</f>
        <v>0</v>
      </c>
      <c r="AB1256" s="652">
        <f>IF($B1256="",,SUMIFS(PerHeadcount[Month 17],PerHeadcount[exp_item],$H1256,PerHeadcount[company_name],$B1256)*AB206)</f>
        <v>0</v>
      </c>
      <c r="AC1256" s="652">
        <f>IF($B1256="",,SUMIFS(PerHeadcount[Month 18],PerHeadcount[exp_item],$H1256,PerHeadcount[company_name],$B1256)*AC206)</f>
        <v>0</v>
      </c>
      <c r="AD1256" s="652">
        <f>IF($B1256="",,SUMIFS(PerHeadcount[Month 19],PerHeadcount[exp_item],$H1256,PerHeadcount[company_name],$B1256)*AD206)</f>
        <v>0</v>
      </c>
      <c r="AE1256" s="652">
        <f>IF($B1256="",,SUMIFS(PerHeadcount[Month 20],PerHeadcount[exp_item],$H1256,PerHeadcount[company_name],$B1256)*AE206)</f>
        <v>0</v>
      </c>
      <c r="AF1256" s="652">
        <f>IF($B1256="",,SUMIFS(PerHeadcount[Month 21],PerHeadcount[exp_item],$H1256,PerHeadcount[company_name],$B1256)*AF206)</f>
        <v>0</v>
      </c>
      <c r="AG1256" s="652">
        <f>IF($B1256="",,SUMIFS(PerHeadcount[Month 22],PerHeadcount[exp_item],$H1256,PerHeadcount[company_name],$B1256)*AG206)</f>
        <v>0</v>
      </c>
      <c r="AH1256" s="652">
        <f>IF($B1256="",,SUMIFS(PerHeadcount[Month 23],PerHeadcount[exp_item],$H1256,PerHeadcount[company_name],$B1256)*AH206)</f>
        <v>0</v>
      </c>
      <c r="AI1256" s="652">
        <f>IF($B1256="",,SUMIFS(PerHeadcount[Month 24],PerHeadcount[exp_item],$H1256,PerHeadcount[company_name],$B1256)*AI206)</f>
        <v>0</v>
      </c>
      <c r="AJ1256" s="652">
        <f>IF($B1256="",,SUMIFS(PerHeadcount[Month 25],PerHeadcount[exp_item],$H1256,PerHeadcount[company_name],$B1256)*AJ206)</f>
        <v>0</v>
      </c>
      <c r="AK1256" s="652">
        <f>IF($B1256="",,SUMIFS(PerHeadcount[Month 26],PerHeadcount[exp_item],$H1256,PerHeadcount[company_name],$B1256)*AK206)</f>
        <v>0</v>
      </c>
      <c r="AL1256" s="652">
        <f>IF($B1256="",,SUMIFS(PerHeadcount[Month 27],PerHeadcount[exp_item],$H1256,PerHeadcount[company_name],$B1256)*AL206)</f>
        <v>0</v>
      </c>
      <c r="AM1256" s="652">
        <f>IF($B1256="",,SUMIFS(PerHeadcount[Month 28],PerHeadcount[exp_item],$H1256,PerHeadcount[company_name],$B1256)*AM206)</f>
        <v>0</v>
      </c>
      <c r="AN1256" s="652">
        <f>IF($B1256="",,SUMIFS(PerHeadcount[Month 29],PerHeadcount[exp_item],$H1256,PerHeadcount[company_name],$B1256)*AN206)</f>
        <v>0</v>
      </c>
      <c r="AO1256" s="652">
        <f>IF($B1256="",,SUMIFS(PerHeadcount[Month 30],PerHeadcount[exp_item],$H1256,PerHeadcount[company_name],$B1256)*AO206)</f>
        <v>0</v>
      </c>
      <c r="AP1256" s="652">
        <f>IF($B1256="",,SUMIFS(PerHeadcount[Month 31],PerHeadcount[exp_item],$H1256,PerHeadcount[company_name],$B1256)*AP206)</f>
        <v>0</v>
      </c>
      <c r="AQ1256" s="652">
        <f>IF($B1256="",,SUMIFS(PerHeadcount[Month 32],PerHeadcount[exp_item],$H1256,PerHeadcount[company_name],$B1256)*AQ206)</f>
        <v>0</v>
      </c>
      <c r="AR1256" s="652">
        <f>IF($B1256="",,SUMIFS(PerHeadcount[Month 33],PerHeadcount[exp_item],$H1256,PerHeadcount[company_name],$B1256)*AR206)</f>
        <v>0</v>
      </c>
      <c r="AS1256" s="652">
        <f>IF($B1256="",,SUMIFS(PerHeadcount[Month 34],PerHeadcount[exp_item],$H1256,PerHeadcount[company_name],$B1256)*AS206)</f>
        <v>0</v>
      </c>
      <c r="AT1256" s="652">
        <f>IF($B1256="",,SUMIFS(PerHeadcount[Month 35],PerHeadcount[exp_item],$H1256,PerHeadcount[company_name],$B1256)*AT206)</f>
        <v>0</v>
      </c>
      <c r="AU1256" s="652">
        <f>IF($B1256="",,SUMIFS(PerHeadcount[Month 36],PerHeadcount[exp_item],$H1256,PerHeadcount[company_name],$B1256)*AU206)</f>
        <v>0</v>
      </c>
    </row>
    <row r="1257" spans="2:47" x14ac:dyDescent="0.35">
      <c r="B1257" t="str">
        <f t="shared" si="881"/>
        <v/>
      </c>
      <c r="C1257" t="str">
        <f t="shared" ref="C1257:G1257" si="903">IF(C1152="","",C1152)</f>
        <v/>
      </c>
      <c r="D1257" t="str">
        <f t="shared" si="903"/>
        <v/>
      </c>
      <c r="E1257" t="str">
        <f t="shared" si="903"/>
        <v/>
      </c>
      <c r="F1257" t="str">
        <f t="shared" si="903"/>
        <v/>
      </c>
      <c r="G1257" t="str">
        <f t="shared" si="903"/>
        <v/>
      </c>
      <c r="H1257" t="str">
        <f t="shared" si="880"/>
        <v/>
      </c>
      <c r="J1257" t="str">
        <f>IF($H1257="","",IF(VLOOKUP(H1257,ExpItems[],2,0),H1257&amp;" - "&amp;INDEX(DivisionMapping[category_code],MATCH($D1257&amp;$C1257,DivisionMapping[dept_bu],0)),H1257))</f>
        <v/>
      </c>
      <c r="K1257" t="str">
        <f t="shared" si="883"/>
        <v/>
      </c>
      <c r="L1257" s="652">
        <f>IF($B1257="",,SUMIFS(PerHeadcount[Month 1],PerHeadcount[exp_item],$H1257,PerHeadcount[company_name],$B1257)*L207)</f>
        <v>0</v>
      </c>
      <c r="M1257" s="652">
        <f>IF($B1257="",,SUMIFS(PerHeadcount[Month 2],PerHeadcount[exp_item],$H1257,PerHeadcount[company_name],$B1257)*M207)</f>
        <v>0</v>
      </c>
      <c r="N1257" s="652">
        <f>IF($B1257="",,SUMIFS(PerHeadcount[Month 3],PerHeadcount[exp_item],$H1257,PerHeadcount[company_name],$B1257)*N207)</f>
        <v>0</v>
      </c>
      <c r="O1257" s="652">
        <f>IF($B1257="",,SUMIFS(PerHeadcount[Month 4],PerHeadcount[exp_item],$H1257,PerHeadcount[company_name],$B1257)*O207)</f>
        <v>0</v>
      </c>
      <c r="P1257" s="652">
        <f>IF($B1257="",,SUMIFS(PerHeadcount[Month 5],PerHeadcount[exp_item],$H1257,PerHeadcount[company_name],$B1257)*P207)</f>
        <v>0</v>
      </c>
      <c r="Q1257" s="652">
        <f>IF($B1257="",,SUMIFS(PerHeadcount[Month 6],PerHeadcount[exp_item],$H1257,PerHeadcount[company_name],$B1257)*Q207)</f>
        <v>0</v>
      </c>
      <c r="R1257" s="652">
        <f>IF($B1257="",,SUMIFS(PerHeadcount[Month 7],PerHeadcount[exp_item],$H1257,PerHeadcount[company_name],$B1257)*R207)</f>
        <v>0</v>
      </c>
      <c r="S1257" s="652">
        <f>IF($B1257="",,SUMIFS(PerHeadcount[Month 8],PerHeadcount[exp_item],$H1257,PerHeadcount[company_name],$B1257)*S207)</f>
        <v>0</v>
      </c>
      <c r="T1257" s="652">
        <f>IF($B1257="",,SUMIFS(PerHeadcount[Month 9],PerHeadcount[exp_item],$H1257,PerHeadcount[company_name],$B1257)*T207)</f>
        <v>0</v>
      </c>
      <c r="U1257" s="652">
        <f>IF($B1257="",,SUMIFS(PerHeadcount[Month 10],PerHeadcount[exp_item],$H1257,PerHeadcount[company_name],$B1257)*U207)</f>
        <v>0</v>
      </c>
      <c r="V1257" s="652">
        <f>IF($B1257="",,SUMIFS(PerHeadcount[Month 11],PerHeadcount[exp_item],$H1257,PerHeadcount[company_name],$B1257)*V207)</f>
        <v>0</v>
      </c>
      <c r="W1257" s="652">
        <f>IF($B1257="",,SUMIFS(PerHeadcount[Month 12],PerHeadcount[exp_item],$H1257,PerHeadcount[company_name],$B1257)*W207)</f>
        <v>0</v>
      </c>
      <c r="X1257" s="652">
        <f>IF($B1257="",,SUMIFS(PerHeadcount[Month 13],PerHeadcount[exp_item],$H1257,PerHeadcount[company_name],$B1257)*X207)</f>
        <v>0</v>
      </c>
      <c r="Y1257" s="652">
        <f>IF($B1257="",,SUMIFS(PerHeadcount[Month 14],PerHeadcount[exp_item],$H1257,PerHeadcount[company_name],$B1257)*Y207)</f>
        <v>0</v>
      </c>
      <c r="Z1257" s="652">
        <f>IF($B1257="",,SUMIFS(PerHeadcount[Month 15],PerHeadcount[exp_item],$H1257,PerHeadcount[company_name],$B1257)*Z207)</f>
        <v>0</v>
      </c>
      <c r="AA1257" s="652">
        <f>IF($B1257="",,SUMIFS(PerHeadcount[Month 16],PerHeadcount[exp_item],$H1257,PerHeadcount[company_name],$B1257)*AA207)</f>
        <v>0</v>
      </c>
      <c r="AB1257" s="652">
        <f>IF($B1257="",,SUMIFS(PerHeadcount[Month 17],PerHeadcount[exp_item],$H1257,PerHeadcount[company_name],$B1257)*AB207)</f>
        <v>0</v>
      </c>
      <c r="AC1257" s="652">
        <f>IF($B1257="",,SUMIFS(PerHeadcount[Month 18],PerHeadcount[exp_item],$H1257,PerHeadcount[company_name],$B1257)*AC207)</f>
        <v>0</v>
      </c>
      <c r="AD1257" s="652">
        <f>IF($B1257="",,SUMIFS(PerHeadcount[Month 19],PerHeadcount[exp_item],$H1257,PerHeadcount[company_name],$B1257)*AD207)</f>
        <v>0</v>
      </c>
      <c r="AE1257" s="652">
        <f>IF($B1257="",,SUMIFS(PerHeadcount[Month 20],PerHeadcount[exp_item],$H1257,PerHeadcount[company_name],$B1257)*AE207)</f>
        <v>0</v>
      </c>
      <c r="AF1257" s="652">
        <f>IF($B1257="",,SUMIFS(PerHeadcount[Month 21],PerHeadcount[exp_item],$H1257,PerHeadcount[company_name],$B1257)*AF207)</f>
        <v>0</v>
      </c>
      <c r="AG1257" s="652">
        <f>IF($B1257="",,SUMIFS(PerHeadcount[Month 22],PerHeadcount[exp_item],$H1257,PerHeadcount[company_name],$B1257)*AG207)</f>
        <v>0</v>
      </c>
      <c r="AH1257" s="652">
        <f>IF($B1257="",,SUMIFS(PerHeadcount[Month 23],PerHeadcount[exp_item],$H1257,PerHeadcount[company_name],$B1257)*AH207)</f>
        <v>0</v>
      </c>
      <c r="AI1257" s="652">
        <f>IF($B1257="",,SUMIFS(PerHeadcount[Month 24],PerHeadcount[exp_item],$H1257,PerHeadcount[company_name],$B1257)*AI207)</f>
        <v>0</v>
      </c>
      <c r="AJ1257" s="652">
        <f>IF($B1257="",,SUMIFS(PerHeadcount[Month 25],PerHeadcount[exp_item],$H1257,PerHeadcount[company_name],$B1257)*AJ207)</f>
        <v>0</v>
      </c>
      <c r="AK1257" s="652">
        <f>IF($B1257="",,SUMIFS(PerHeadcount[Month 26],PerHeadcount[exp_item],$H1257,PerHeadcount[company_name],$B1257)*AK207)</f>
        <v>0</v>
      </c>
      <c r="AL1257" s="652">
        <f>IF($B1257="",,SUMIFS(PerHeadcount[Month 27],PerHeadcount[exp_item],$H1257,PerHeadcount[company_name],$B1257)*AL207)</f>
        <v>0</v>
      </c>
      <c r="AM1257" s="652">
        <f>IF($B1257="",,SUMIFS(PerHeadcount[Month 28],PerHeadcount[exp_item],$H1257,PerHeadcount[company_name],$B1257)*AM207)</f>
        <v>0</v>
      </c>
      <c r="AN1257" s="652">
        <f>IF($B1257="",,SUMIFS(PerHeadcount[Month 29],PerHeadcount[exp_item],$H1257,PerHeadcount[company_name],$B1257)*AN207)</f>
        <v>0</v>
      </c>
      <c r="AO1257" s="652">
        <f>IF($B1257="",,SUMIFS(PerHeadcount[Month 30],PerHeadcount[exp_item],$H1257,PerHeadcount[company_name],$B1257)*AO207)</f>
        <v>0</v>
      </c>
      <c r="AP1257" s="652">
        <f>IF($B1257="",,SUMIFS(PerHeadcount[Month 31],PerHeadcount[exp_item],$H1257,PerHeadcount[company_name],$B1257)*AP207)</f>
        <v>0</v>
      </c>
      <c r="AQ1257" s="652">
        <f>IF($B1257="",,SUMIFS(PerHeadcount[Month 32],PerHeadcount[exp_item],$H1257,PerHeadcount[company_name],$B1257)*AQ207)</f>
        <v>0</v>
      </c>
      <c r="AR1257" s="652">
        <f>IF($B1257="",,SUMIFS(PerHeadcount[Month 33],PerHeadcount[exp_item],$H1257,PerHeadcount[company_name],$B1257)*AR207)</f>
        <v>0</v>
      </c>
      <c r="AS1257" s="652">
        <f>IF($B1257="",,SUMIFS(PerHeadcount[Month 34],PerHeadcount[exp_item],$H1257,PerHeadcount[company_name],$B1257)*AS207)</f>
        <v>0</v>
      </c>
      <c r="AT1257" s="652">
        <f>IF($B1257="",,SUMIFS(PerHeadcount[Month 35],PerHeadcount[exp_item],$H1257,PerHeadcount[company_name],$B1257)*AT207)</f>
        <v>0</v>
      </c>
      <c r="AU1257" s="652">
        <f>IF($B1257="",,SUMIFS(PerHeadcount[Month 36],PerHeadcount[exp_item],$H1257,PerHeadcount[company_name],$B1257)*AU207)</f>
        <v>0</v>
      </c>
    </row>
    <row r="1258" spans="2:47" x14ac:dyDescent="0.35">
      <c r="B1258" t="str">
        <f t="shared" si="881"/>
        <v/>
      </c>
      <c r="C1258" t="str">
        <f t="shared" ref="C1258:G1258" si="904">IF(C1153="","",C1153)</f>
        <v/>
      </c>
      <c r="D1258" t="str">
        <f t="shared" si="904"/>
        <v/>
      </c>
      <c r="E1258" t="str">
        <f t="shared" si="904"/>
        <v/>
      </c>
      <c r="F1258" t="str">
        <f t="shared" si="904"/>
        <v/>
      </c>
      <c r="G1258" t="str">
        <f t="shared" si="904"/>
        <v/>
      </c>
      <c r="H1258" t="str">
        <f t="shared" si="880"/>
        <v/>
      </c>
      <c r="J1258" t="str">
        <f>IF($H1258="","",IF(VLOOKUP(H1258,ExpItems[],2,0),H1258&amp;" - "&amp;INDEX(DivisionMapping[category_code],MATCH($D1258&amp;$C1258,DivisionMapping[dept_bu],0)),H1258))</f>
        <v/>
      </c>
      <c r="K1258" t="str">
        <f t="shared" si="883"/>
        <v/>
      </c>
      <c r="L1258" s="652">
        <f>IF($B1258="",,SUMIFS(PerHeadcount[Month 1],PerHeadcount[exp_item],$H1258,PerHeadcount[company_name],$B1258)*L208)</f>
        <v>0</v>
      </c>
      <c r="M1258" s="652">
        <f>IF($B1258="",,SUMIFS(PerHeadcount[Month 2],PerHeadcount[exp_item],$H1258,PerHeadcount[company_name],$B1258)*M208)</f>
        <v>0</v>
      </c>
      <c r="N1258" s="652">
        <f>IF($B1258="",,SUMIFS(PerHeadcount[Month 3],PerHeadcount[exp_item],$H1258,PerHeadcount[company_name],$B1258)*N208)</f>
        <v>0</v>
      </c>
      <c r="O1258" s="652">
        <f>IF($B1258="",,SUMIFS(PerHeadcount[Month 4],PerHeadcount[exp_item],$H1258,PerHeadcount[company_name],$B1258)*O208)</f>
        <v>0</v>
      </c>
      <c r="P1258" s="652">
        <f>IF($B1258="",,SUMIFS(PerHeadcount[Month 5],PerHeadcount[exp_item],$H1258,PerHeadcount[company_name],$B1258)*P208)</f>
        <v>0</v>
      </c>
      <c r="Q1258" s="652">
        <f>IF($B1258="",,SUMIFS(PerHeadcount[Month 6],PerHeadcount[exp_item],$H1258,PerHeadcount[company_name],$B1258)*Q208)</f>
        <v>0</v>
      </c>
      <c r="R1258" s="652">
        <f>IF($B1258="",,SUMIFS(PerHeadcount[Month 7],PerHeadcount[exp_item],$H1258,PerHeadcount[company_name],$B1258)*R208)</f>
        <v>0</v>
      </c>
      <c r="S1258" s="652">
        <f>IF($B1258="",,SUMIFS(PerHeadcount[Month 8],PerHeadcount[exp_item],$H1258,PerHeadcount[company_name],$B1258)*S208)</f>
        <v>0</v>
      </c>
      <c r="T1258" s="652">
        <f>IF($B1258="",,SUMIFS(PerHeadcount[Month 9],PerHeadcount[exp_item],$H1258,PerHeadcount[company_name],$B1258)*T208)</f>
        <v>0</v>
      </c>
      <c r="U1258" s="652">
        <f>IF($B1258="",,SUMIFS(PerHeadcount[Month 10],PerHeadcount[exp_item],$H1258,PerHeadcount[company_name],$B1258)*U208)</f>
        <v>0</v>
      </c>
      <c r="V1258" s="652">
        <f>IF($B1258="",,SUMIFS(PerHeadcount[Month 11],PerHeadcount[exp_item],$H1258,PerHeadcount[company_name],$B1258)*V208)</f>
        <v>0</v>
      </c>
      <c r="W1258" s="652">
        <f>IF($B1258="",,SUMIFS(PerHeadcount[Month 12],PerHeadcount[exp_item],$H1258,PerHeadcount[company_name],$B1258)*W208)</f>
        <v>0</v>
      </c>
      <c r="X1258" s="652">
        <f>IF($B1258="",,SUMIFS(PerHeadcount[Month 13],PerHeadcount[exp_item],$H1258,PerHeadcount[company_name],$B1258)*X208)</f>
        <v>0</v>
      </c>
      <c r="Y1258" s="652">
        <f>IF($B1258="",,SUMIFS(PerHeadcount[Month 14],PerHeadcount[exp_item],$H1258,PerHeadcount[company_name],$B1258)*Y208)</f>
        <v>0</v>
      </c>
      <c r="Z1258" s="652">
        <f>IF($B1258="",,SUMIFS(PerHeadcount[Month 15],PerHeadcount[exp_item],$H1258,PerHeadcount[company_name],$B1258)*Z208)</f>
        <v>0</v>
      </c>
      <c r="AA1258" s="652">
        <f>IF($B1258="",,SUMIFS(PerHeadcount[Month 16],PerHeadcount[exp_item],$H1258,PerHeadcount[company_name],$B1258)*AA208)</f>
        <v>0</v>
      </c>
      <c r="AB1258" s="652">
        <f>IF($B1258="",,SUMIFS(PerHeadcount[Month 17],PerHeadcount[exp_item],$H1258,PerHeadcount[company_name],$B1258)*AB208)</f>
        <v>0</v>
      </c>
      <c r="AC1258" s="652">
        <f>IF($B1258="",,SUMIFS(PerHeadcount[Month 18],PerHeadcount[exp_item],$H1258,PerHeadcount[company_name],$B1258)*AC208)</f>
        <v>0</v>
      </c>
      <c r="AD1258" s="652">
        <f>IF($B1258="",,SUMIFS(PerHeadcount[Month 19],PerHeadcount[exp_item],$H1258,PerHeadcount[company_name],$B1258)*AD208)</f>
        <v>0</v>
      </c>
      <c r="AE1258" s="652">
        <f>IF($B1258="",,SUMIFS(PerHeadcount[Month 20],PerHeadcount[exp_item],$H1258,PerHeadcount[company_name],$B1258)*AE208)</f>
        <v>0</v>
      </c>
      <c r="AF1258" s="652">
        <f>IF($B1258="",,SUMIFS(PerHeadcount[Month 21],PerHeadcount[exp_item],$H1258,PerHeadcount[company_name],$B1258)*AF208)</f>
        <v>0</v>
      </c>
      <c r="AG1258" s="652">
        <f>IF($B1258="",,SUMIFS(PerHeadcount[Month 22],PerHeadcount[exp_item],$H1258,PerHeadcount[company_name],$B1258)*AG208)</f>
        <v>0</v>
      </c>
      <c r="AH1258" s="652">
        <f>IF($B1258="",,SUMIFS(PerHeadcount[Month 23],PerHeadcount[exp_item],$H1258,PerHeadcount[company_name],$B1258)*AH208)</f>
        <v>0</v>
      </c>
      <c r="AI1258" s="652">
        <f>IF($B1258="",,SUMIFS(PerHeadcount[Month 24],PerHeadcount[exp_item],$H1258,PerHeadcount[company_name],$B1258)*AI208)</f>
        <v>0</v>
      </c>
      <c r="AJ1258" s="652">
        <f>IF($B1258="",,SUMIFS(PerHeadcount[Month 25],PerHeadcount[exp_item],$H1258,PerHeadcount[company_name],$B1258)*AJ208)</f>
        <v>0</v>
      </c>
      <c r="AK1258" s="652">
        <f>IF($B1258="",,SUMIFS(PerHeadcount[Month 26],PerHeadcount[exp_item],$H1258,PerHeadcount[company_name],$B1258)*AK208)</f>
        <v>0</v>
      </c>
      <c r="AL1258" s="652">
        <f>IF($B1258="",,SUMIFS(PerHeadcount[Month 27],PerHeadcount[exp_item],$H1258,PerHeadcount[company_name],$B1258)*AL208)</f>
        <v>0</v>
      </c>
      <c r="AM1258" s="652">
        <f>IF($B1258="",,SUMIFS(PerHeadcount[Month 28],PerHeadcount[exp_item],$H1258,PerHeadcount[company_name],$B1258)*AM208)</f>
        <v>0</v>
      </c>
      <c r="AN1258" s="652">
        <f>IF($B1258="",,SUMIFS(PerHeadcount[Month 29],PerHeadcount[exp_item],$H1258,PerHeadcount[company_name],$B1258)*AN208)</f>
        <v>0</v>
      </c>
      <c r="AO1258" s="652">
        <f>IF($B1258="",,SUMIFS(PerHeadcount[Month 30],PerHeadcount[exp_item],$H1258,PerHeadcount[company_name],$B1258)*AO208)</f>
        <v>0</v>
      </c>
      <c r="AP1258" s="652">
        <f>IF($B1258="",,SUMIFS(PerHeadcount[Month 31],PerHeadcount[exp_item],$H1258,PerHeadcount[company_name],$B1258)*AP208)</f>
        <v>0</v>
      </c>
      <c r="AQ1258" s="652">
        <f>IF($B1258="",,SUMIFS(PerHeadcount[Month 32],PerHeadcount[exp_item],$H1258,PerHeadcount[company_name],$B1258)*AQ208)</f>
        <v>0</v>
      </c>
      <c r="AR1258" s="652">
        <f>IF($B1258="",,SUMIFS(PerHeadcount[Month 33],PerHeadcount[exp_item],$H1258,PerHeadcount[company_name],$B1258)*AR208)</f>
        <v>0</v>
      </c>
      <c r="AS1258" s="652">
        <f>IF($B1258="",,SUMIFS(PerHeadcount[Month 34],PerHeadcount[exp_item],$H1258,PerHeadcount[company_name],$B1258)*AS208)</f>
        <v>0</v>
      </c>
      <c r="AT1258" s="652">
        <f>IF($B1258="",,SUMIFS(PerHeadcount[Month 35],PerHeadcount[exp_item],$H1258,PerHeadcount[company_name],$B1258)*AT208)</f>
        <v>0</v>
      </c>
      <c r="AU1258" s="652">
        <f>IF($B1258="",,SUMIFS(PerHeadcount[Month 36],PerHeadcount[exp_item],$H1258,PerHeadcount[company_name],$B1258)*AU208)</f>
        <v>0</v>
      </c>
    </row>
    <row r="1259" spans="2:47" x14ac:dyDescent="0.35">
      <c r="B1259" t="str">
        <f t="shared" si="881"/>
        <v/>
      </c>
      <c r="C1259" t="str">
        <f t="shared" ref="C1259:G1259" si="905">IF(C1154="","",C1154)</f>
        <v/>
      </c>
      <c r="D1259" t="str">
        <f t="shared" si="905"/>
        <v/>
      </c>
      <c r="E1259" t="str">
        <f t="shared" si="905"/>
        <v/>
      </c>
      <c r="F1259" t="str">
        <f t="shared" si="905"/>
        <v/>
      </c>
      <c r="G1259" t="str">
        <f t="shared" si="905"/>
        <v/>
      </c>
      <c r="H1259" t="str">
        <f t="shared" si="880"/>
        <v/>
      </c>
      <c r="J1259" t="str">
        <f>IF($H1259="","",IF(VLOOKUP(H1259,ExpItems[],2,0),H1259&amp;" - "&amp;INDEX(DivisionMapping[category_code],MATCH($D1259&amp;$C1259,DivisionMapping[dept_bu],0)),H1259))</f>
        <v/>
      </c>
      <c r="K1259" t="str">
        <f t="shared" si="883"/>
        <v/>
      </c>
      <c r="L1259" s="652">
        <f>IF($B1259="",,SUMIFS(PerHeadcount[Month 1],PerHeadcount[exp_item],$H1259,PerHeadcount[company_name],$B1259)*L209)</f>
        <v>0</v>
      </c>
      <c r="M1259" s="652">
        <f>IF($B1259="",,SUMIFS(PerHeadcount[Month 2],PerHeadcount[exp_item],$H1259,PerHeadcount[company_name],$B1259)*M209)</f>
        <v>0</v>
      </c>
      <c r="N1259" s="652">
        <f>IF($B1259="",,SUMIFS(PerHeadcount[Month 3],PerHeadcount[exp_item],$H1259,PerHeadcount[company_name],$B1259)*N209)</f>
        <v>0</v>
      </c>
      <c r="O1259" s="652">
        <f>IF($B1259="",,SUMIFS(PerHeadcount[Month 4],PerHeadcount[exp_item],$H1259,PerHeadcount[company_name],$B1259)*O209)</f>
        <v>0</v>
      </c>
      <c r="P1259" s="652">
        <f>IF($B1259="",,SUMIFS(PerHeadcount[Month 5],PerHeadcount[exp_item],$H1259,PerHeadcount[company_name],$B1259)*P209)</f>
        <v>0</v>
      </c>
      <c r="Q1259" s="652">
        <f>IF($B1259="",,SUMIFS(PerHeadcount[Month 6],PerHeadcount[exp_item],$H1259,PerHeadcount[company_name],$B1259)*Q209)</f>
        <v>0</v>
      </c>
      <c r="R1259" s="652">
        <f>IF($B1259="",,SUMIFS(PerHeadcount[Month 7],PerHeadcount[exp_item],$H1259,PerHeadcount[company_name],$B1259)*R209)</f>
        <v>0</v>
      </c>
      <c r="S1259" s="652">
        <f>IF($B1259="",,SUMIFS(PerHeadcount[Month 8],PerHeadcount[exp_item],$H1259,PerHeadcount[company_name],$B1259)*S209)</f>
        <v>0</v>
      </c>
      <c r="T1259" s="652">
        <f>IF($B1259="",,SUMIFS(PerHeadcount[Month 9],PerHeadcount[exp_item],$H1259,PerHeadcount[company_name],$B1259)*T209)</f>
        <v>0</v>
      </c>
      <c r="U1259" s="652">
        <f>IF($B1259="",,SUMIFS(PerHeadcount[Month 10],PerHeadcount[exp_item],$H1259,PerHeadcount[company_name],$B1259)*U209)</f>
        <v>0</v>
      </c>
      <c r="V1259" s="652">
        <f>IF($B1259="",,SUMIFS(PerHeadcount[Month 11],PerHeadcount[exp_item],$H1259,PerHeadcount[company_name],$B1259)*V209)</f>
        <v>0</v>
      </c>
      <c r="W1259" s="652">
        <f>IF($B1259="",,SUMIFS(PerHeadcount[Month 12],PerHeadcount[exp_item],$H1259,PerHeadcount[company_name],$B1259)*W209)</f>
        <v>0</v>
      </c>
      <c r="X1259" s="652">
        <f>IF($B1259="",,SUMIFS(PerHeadcount[Month 13],PerHeadcount[exp_item],$H1259,PerHeadcount[company_name],$B1259)*X209)</f>
        <v>0</v>
      </c>
      <c r="Y1259" s="652">
        <f>IF($B1259="",,SUMIFS(PerHeadcount[Month 14],PerHeadcount[exp_item],$H1259,PerHeadcount[company_name],$B1259)*Y209)</f>
        <v>0</v>
      </c>
      <c r="Z1259" s="652">
        <f>IF($B1259="",,SUMIFS(PerHeadcount[Month 15],PerHeadcount[exp_item],$H1259,PerHeadcount[company_name],$B1259)*Z209)</f>
        <v>0</v>
      </c>
      <c r="AA1259" s="652">
        <f>IF($B1259="",,SUMIFS(PerHeadcount[Month 16],PerHeadcount[exp_item],$H1259,PerHeadcount[company_name],$B1259)*AA209)</f>
        <v>0</v>
      </c>
      <c r="AB1259" s="652">
        <f>IF($B1259="",,SUMIFS(PerHeadcount[Month 17],PerHeadcount[exp_item],$H1259,PerHeadcount[company_name],$B1259)*AB209)</f>
        <v>0</v>
      </c>
      <c r="AC1259" s="652">
        <f>IF($B1259="",,SUMIFS(PerHeadcount[Month 18],PerHeadcount[exp_item],$H1259,PerHeadcount[company_name],$B1259)*AC209)</f>
        <v>0</v>
      </c>
      <c r="AD1259" s="652">
        <f>IF($B1259="",,SUMIFS(PerHeadcount[Month 19],PerHeadcount[exp_item],$H1259,PerHeadcount[company_name],$B1259)*AD209)</f>
        <v>0</v>
      </c>
      <c r="AE1259" s="652">
        <f>IF($B1259="",,SUMIFS(PerHeadcount[Month 20],PerHeadcount[exp_item],$H1259,PerHeadcount[company_name],$B1259)*AE209)</f>
        <v>0</v>
      </c>
      <c r="AF1259" s="652">
        <f>IF($B1259="",,SUMIFS(PerHeadcount[Month 21],PerHeadcount[exp_item],$H1259,PerHeadcount[company_name],$B1259)*AF209)</f>
        <v>0</v>
      </c>
      <c r="AG1259" s="652">
        <f>IF($B1259="",,SUMIFS(PerHeadcount[Month 22],PerHeadcount[exp_item],$H1259,PerHeadcount[company_name],$B1259)*AG209)</f>
        <v>0</v>
      </c>
      <c r="AH1259" s="652">
        <f>IF($B1259="",,SUMIFS(PerHeadcount[Month 23],PerHeadcount[exp_item],$H1259,PerHeadcount[company_name],$B1259)*AH209)</f>
        <v>0</v>
      </c>
      <c r="AI1259" s="652">
        <f>IF($B1259="",,SUMIFS(PerHeadcount[Month 24],PerHeadcount[exp_item],$H1259,PerHeadcount[company_name],$B1259)*AI209)</f>
        <v>0</v>
      </c>
      <c r="AJ1259" s="652">
        <f>IF($B1259="",,SUMIFS(PerHeadcount[Month 25],PerHeadcount[exp_item],$H1259,PerHeadcount[company_name],$B1259)*AJ209)</f>
        <v>0</v>
      </c>
      <c r="AK1259" s="652">
        <f>IF($B1259="",,SUMIFS(PerHeadcount[Month 26],PerHeadcount[exp_item],$H1259,PerHeadcount[company_name],$B1259)*AK209)</f>
        <v>0</v>
      </c>
      <c r="AL1259" s="652">
        <f>IF($B1259="",,SUMIFS(PerHeadcount[Month 27],PerHeadcount[exp_item],$H1259,PerHeadcount[company_name],$B1259)*AL209)</f>
        <v>0</v>
      </c>
      <c r="AM1259" s="652">
        <f>IF($B1259="",,SUMIFS(PerHeadcount[Month 28],PerHeadcount[exp_item],$H1259,PerHeadcount[company_name],$B1259)*AM209)</f>
        <v>0</v>
      </c>
      <c r="AN1259" s="652">
        <f>IF($B1259="",,SUMIFS(PerHeadcount[Month 29],PerHeadcount[exp_item],$H1259,PerHeadcount[company_name],$B1259)*AN209)</f>
        <v>0</v>
      </c>
      <c r="AO1259" s="652">
        <f>IF($B1259="",,SUMIFS(PerHeadcount[Month 30],PerHeadcount[exp_item],$H1259,PerHeadcount[company_name],$B1259)*AO209)</f>
        <v>0</v>
      </c>
      <c r="AP1259" s="652">
        <f>IF($B1259="",,SUMIFS(PerHeadcount[Month 31],PerHeadcount[exp_item],$H1259,PerHeadcount[company_name],$B1259)*AP209)</f>
        <v>0</v>
      </c>
      <c r="AQ1259" s="652">
        <f>IF($B1259="",,SUMIFS(PerHeadcount[Month 32],PerHeadcount[exp_item],$H1259,PerHeadcount[company_name],$B1259)*AQ209)</f>
        <v>0</v>
      </c>
      <c r="AR1259" s="652">
        <f>IF($B1259="",,SUMIFS(PerHeadcount[Month 33],PerHeadcount[exp_item],$H1259,PerHeadcount[company_name],$B1259)*AR209)</f>
        <v>0</v>
      </c>
      <c r="AS1259" s="652">
        <f>IF($B1259="",,SUMIFS(PerHeadcount[Month 34],PerHeadcount[exp_item],$H1259,PerHeadcount[company_name],$B1259)*AS209)</f>
        <v>0</v>
      </c>
      <c r="AT1259" s="652">
        <f>IF($B1259="",,SUMIFS(PerHeadcount[Month 35],PerHeadcount[exp_item],$H1259,PerHeadcount[company_name],$B1259)*AT209)</f>
        <v>0</v>
      </c>
      <c r="AU1259" s="652">
        <f>IF($B1259="",,SUMIFS(PerHeadcount[Month 36],PerHeadcount[exp_item],$H1259,PerHeadcount[company_name],$B1259)*AU209)</f>
        <v>0</v>
      </c>
    </row>
    <row r="1260" spans="2:47" x14ac:dyDescent="0.35">
      <c r="B1260" t="str">
        <f t="shared" si="881"/>
        <v/>
      </c>
      <c r="C1260" t="str">
        <f t="shared" ref="C1260:G1260" si="906">IF(C1155="","",C1155)</f>
        <v/>
      </c>
      <c r="D1260" t="str">
        <f t="shared" si="906"/>
        <v/>
      </c>
      <c r="E1260" t="str">
        <f t="shared" si="906"/>
        <v/>
      </c>
      <c r="F1260" t="str">
        <f t="shared" si="906"/>
        <v/>
      </c>
      <c r="G1260" t="str">
        <f t="shared" si="906"/>
        <v/>
      </c>
      <c r="H1260" t="str">
        <f t="shared" si="880"/>
        <v/>
      </c>
      <c r="J1260" t="str">
        <f>IF($H1260="","",IF(VLOOKUP(H1260,ExpItems[],2,0),H1260&amp;" - "&amp;INDEX(DivisionMapping[category_code],MATCH($D1260&amp;$C1260,DivisionMapping[dept_bu],0)),H1260))</f>
        <v/>
      </c>
      <c r="K1260" t="str">
        <f t="shared" si="883"/>
        <v/>
      </c>
      <c r="L1260" s="652">
        <f>IF($B1260="",,SUMIFS(PerHeadcount[Month 1],PerHeadcount[exp_item],$H1260,PerHeadcount[company_name],$B1260)*L210)</f>
        <v>0</v>
      </c>
      <c r="M1260" s="652">
        <f>IF($B1260="",,SUMIFS(PerHeadcount[Month 2],PerHeadcount[exp_item],$H1260,PerHeadcount[company_name],$B1260)*M210)</f>
        <v>0</v>
      </c>
      <c r="N1260" s="652">
        <f>IF($B1260="",,SUMIFS(PerHeadcount[Month 3],PerHeadcount[exp_item],$H1260,PerHeadcount[company_name],$B1260)*N210)</f>
        <v>0</v>
      </c>
      <c r="O1260" s="652">
        <f>IF($B1260="",,SUMIFS(PerHeadcount[Month 4],PerHeadcount[exp_item],$H1260,PerHeadcount[company_name],$B1260)*O210)</f>
        <v>0</v>
      </c>
      <c r="P1260" s="652">
        <f>IF($B1260="",,SUMIFS(PerHeadcount[Month 5],PerHeadcount[exp_item],$H1260,PerHeadcount[company_name],$B1260)*P210)</f>
        <v>0</v>
      </c>
      <c r="Q1260" s="652">
        <f>IF($B1260="",,SUMIFS(PerHeadcount[Month 6],PerHeadcount[exp_item],$H1260,PerHeadcount[company_name],$B1260)*Q210)</f>
        <v>0</v>
      </c>
      <c r="R1260" s="652">
        <f>IF($B1260="",,SUMIFS(PerHeadcount[Month 7],PerHeadcount[exp_item],$H1260,PerHeadcount[company_name],$B1260)*R210)</f>
        <v>0</v>
      </c>
      <c r="S1260" s="652">
        <f>IF($B1260="",,SUMIFS(PerHeadcount[Month 8],PerHeadcount[exp_item],$H1260,PerHeadcount[company_name],$B1260)*S210)</f>
        <v>0</v>
      </c>
      <c r="T1260" s="652">
        <f>IF($B1260="",,SUMIFS(PerHeadcount[Month 9],PerHeadcount[exp_item],$H1260,PerHeadcount[company_name],$B1260)*T210)</f>
        <v>0</v>
      </c>
      <c r="U1260" s="652">
        <f>IF($B1260="",,SUMIFS(PerHeadcount[Month 10],PerHeadcount[exp_item],$H1260,PerHeadcount[company_name],$B1260)*U210)</f>
        <v>0</v>
      </c>
      <c r="V1260" s="652">
        <f>IF($B1260="",,SUMIFS(PerHeadcount[Month 11],PerHeadcount[exp_item],$H1260,PerHeadcount[company_name],$B1260)*V210)</f>
        <v>0</v>
      </c>
      <c r="W1260" s="652">
        <f>IF($B1260="",,SUMIFS(PerHeadcount[Month 12],PerHeadcount[exp_item],$H1260,PerHeadcount[company_name],$B1260)*W210)</f>
        <v>0</v>
      </c>
      <c r="X1260" s="652">
        <f>IF($B1260="",,SUMIFS(PerHeadcount[Month 13],PerHeadcount[exp_item],$H1260,PerHeadcount[company_name],$B1260)*X210)</f>
        <v>0</v>
      </c>
      <c r="Y1260" s="652">
        <f>IF($B1260="",,SUMIFS(PerHeadcount[Month 14],PerHeadcount[exp_item],$H1260,PerHeadcount[company_name],$B1260)*Y210)</f>
        <v>0</v>
      </c>
      <c r="Z1260" s="652">
        <f>IF($B1260="",,SUMIFS(PerHeadcount[Month 15],PerHeadcount[exp_item],$H1260,PerHeadcount[company_name],$B1260)*Z210)</f>
        <v>0</v>
      </c>
      <c r="AA1260" s="652">
        <f>IF($B1260="",,SUMIFS(PerHeadcount[Month 16],PerHeadcount[exp_item],$H1260,PerHeadcount[company_name],$B1260)*AA210)</f>
        <v>0</v>
      </c>
      <c r="AB1260" s="652">
        <f>IF($B1260="",,SUMIFS(PerHeadcount[Month 17],PerHeadcount[exp_item],$H1260,PerHeadcount[company_name],$B1260)*AB210)</f>
        <v>0</v>
      </c>
      <c r="AC1260" s="652">
        <f>IF($B1260="",,SUMIFS(PerHeadcount[Month 18],PerHeadcount[exp_item],$H1260,PerHeadcount[company_name],$B1260)*AC210)</f>
        <v>0</v>
      </c>
      <c r="AD1260" s="652">
        <f>IF($B1260="",,SUMIFS(PerHeadcount[Month 19],PerHeadcount[exp_item],$H1260,PerHeadcount[company_name],$B1260)*AD210)</f>
        <v>0</v>
      </c>
      <c r="AE1260" s="652">
        <f>IF($B1260="",,SUMIFS(PerHeadcount[Month 20],PerHeadcount[exp_item],$H1260,PerHeadcount[company_name],$B1260)*AE210)</f>
        <v>0</v>
      </c>
      <c r="AF1260" s="652">
        <f>IF($B1260="",,SUMIFS(PerHeadcount[Month 21],PerHeadcount[exp_item],$H1260,PerHeadcount[company_name],$B1260)*AF210)</f>
        <v>0</v>
      </c>
      <c r="AG1260" s="652">
        <f>IF($B1260="",,SUMIFS(PerHeadcount[Month 22],PerHeadcount[exp_item],$H1260,PerHeadcount[company_name],$B1260)*AG210)</f>
        <v>0</v>
      </c>
      <c r="AH1260" s="652">
        <f>IF($B1260="",,SUMIFS(PerHeadcount[Month 23],PerHeadcount[exp_item],$H1260,PerHeadcount[company_name],$B1260)*AH210)</f>
        <v>0</v>
      </c>
      <c r="AI1260" s="652">
        <f>IF($B1260="",,SUMIFS(PerHeadcount[Month 24],PerHeadcount[exp_item],$H1260,PerHeadcount[company_name],$B1260)*AI210)</f>
        <v>0</v>
      </c>
      <c r="AJ1260" s="652">
        <f>IF($B1260="",,SUMIFS(PerHeadcount[Month 25],PerHeadcount[exp_item],$H1260,PerHeadcount[company_name],$B1260)*AJ210)</f>
        <v>0</v>
      </c>
      <c r="AK1260" s="652">
        <f>IF($B1260="",,SUMIFS(PerHeadcount[Month 26],PerHeadcount[exp_item],$H1260,PerHeadcount[company_name],$B1260)*AK210)</f>
        <v>0</v>
      </c>
      <c r="AL1260" s="652">
        <f>IF($B1260="",,SUMIFS(PerHeadcount[Month 27],PerHeadcount[exp_item],$H1260,PerHeadcount[company_name],$B1260)*AL210)</f>
        <v>0</v>
      </c>
      <c r="AM1260" s="652">
        <f>IF($B1260="",,SUMIFS(PerHeadcount[Month 28],PerHeadcount[exp_item],$H1260,PerHeadcount[company_name],$B1260)*AM210)</f>
        <v>0</v>
      </c>
      <c r="AN1260" s="652">
        <f>IF($B1260="",,SUMIFS(PerHeadcount[Month 29],PerHeadcount[exp_item],$H1260,PerHeadcount[company_name],$B1260)*AN210)</f>
        <v>0</v>
      </c>
      <c r="AO1260" s="652">
        <f>IF($B1260="",,SUMIFS(PerHeadcount[Month 30],PerHeadcount[exp_item],$H1260,PerHeadcount[company_name],$B1260)*AO210)</f>
        <v>0</v>
      </c>
      <c r="AP1260" s="652">
        <f>IF($B1260="",,SUMIFS(PerHeadcount[Month 31],PerHeadcount[exp_item],$H1260,PerHeadcount[company_name],$B1260)*AP210)</f>
        <v>0</v>
      </c>
      <c r="AQ1260" s="652">
        <f>IF($B1260="",,SUMIFS(PerHeadcount[Month 32],PerHeadcount[exp_item],$H1260,PerHeadcount[company_name],$B1260)*AQ210)</f>
        <v>0</v>
      </c>
      <c r="AR1260" s="652">
        <f>IF($B1260="",,SUMIFS(PerHeadcount[Month 33],PerHeadcount[exp_item],$H1260,PerHeadcount[company_name],$B1260)*AR210)</f>
        <v>0</v>
      </c>
      <c r="AS1260" s="652">
        <f>IF($B1260="",,SUMIFS(PerHeadcount[Month 34],PerHeadcount[exp_item],$H1260,PerHeadcount[company_name],$B1260)*AS210)</f>
        <v>0</v>
      </c>
      <c r="AT1260" s="652">
        <f>IF($B1260="",,SUMIFS(PerHeadcount[Month 35],PerHeadcount[exp_item],$H1260,PerHeadcount[company_name],$B1260)*AT210)</f>
        <v>0</v>
      </c>
      <c r="AU1260" s="652">
        <f>IF($B1260="",,SUMIFS(PerHeadcount[Month 36],PerHeadcount[exp_item],$H1260,PerHeadcount[company_name],$B1260)*AU210)</f>
        <v>0</v>
      </c>
    </row>
    <row r="1261" spans="2:47" x14ac:dyDescent="0.35">
      <c r="B1261" t="str">
        <f t="shared" si="881"/>
        <v/>
      </c>
      <c r="C1261" t="str">
        <f t="shared" ref="C1261:G1261" si="907">IF(C1156="","",C1156)</f>
        <v/>
      </c>
      <c r="D1261" t="str">
        <f t="shared" si="907"/>
        <v/>
      </c>
      <c r="E1261" t="str">
        <f t="shared" si="907"/>
        <v/>
      </c>
      <c r="F1261" t="str">
        <f t="shared" si="907"/>
        <v/>
      </c>
      <c r="G1261" t="str">
        <f t="shared" si="907"/>
        <v/>
      </c>
      <c r="H1261" t="str">
        <f t="shared" si="880"/>
        <v/>
      </c>
      <c r="J1261" t="str">
        <f>IF($H1261="","",IF(VLOOKUP(H1261,ExpItems[],2,0),H1261&amp;" - "&amp;INDEX(DivisionMapping[category_code],MATCH($D1261&amp;$C1261,DivisionMapping[dept_bu],0)),H1261))</f>
        <v/>
      </c>
      <c r="K1261" t="str">
        <f t="shared" si="883"/>
        <v/>
      </c>
      <c r="L1261" s="652">
        <f>IF($B1261="",,SUMIFS(PerHeadcount[Month 1],PerHeadcount[exp_item],$H1261,PerHeadcount[company_name],$B1261)*L211)</f>
        <v>0</v>
      </c>
      <c r="M1261" s="652">
        <f>IF($B1261="",,SUMIFS(PerHeadcount[Month 2],PerHeadcount[exp_item],$H1261,PerHeadcount[company_name],$B1261)*M211)</f>
        <v>0</v>
      </c>
      <c r="N1261" s="652">
        <f>IF($B1261="",,SUMIFS(PerHeadcount[Month 3],PerHeadcount[exp_item],$H1261,PerHeadcount[company_name],$B1261)*N211)</f>
        <v>0</v>
      </c>
      <c r="O1261" s="652">
        <f>IF($B1261="",,SUMIFS(PerHeadcount[Month 4],PerHeadcount[exp_item],$H1261,PerHeadcount[company_name],$B1261)*O211)</f>
        <v>0</v>
      </c>
      <c r="P1261" s="652">
        <f>IF($B1261="",,SUMIFS(PerHeadcount[Month 5],PerHeadcount[exp_item],$H1261,PerHeadcount[company_name],$B1261)*P211)</f>
        <v>0</v>
      </c>
      <c r="Q1261" s="652">
        <f>IF($B1261="",,SUMIFS(PerHeadcount[Month 6],PerHeadcount[exp_item],$H1261,PerHeadcount[company_name],$B1261)*Q211)</f>
        <v>0</v>
      </c>
      <c r="R1261" s="652">
        <f>IF($B1261="",,SUMIFS(PerHeadcount[Month 7],PerHeadcount[exp_item],$H1261,PerHeadcount[company_name],$B1261)*R211)</f>
        <v>0</v>
      </c>
      <c r="S1261" s="652">
        <f>IF($B1261="",,SUMIFS(PerHeadcount[Month 8],PerHeadcount[exp_item],$H1261,PerHeadcount[company_name],$B1261)*S211)</f>
        <v>0</v>
      </c>
      <c r="T1261" s="652">
        <f>IF($B1261="",,SUMIFS(PerHeadcount[Month 9],PerHeadcount[exp_item],$H1261,PerHeadcount[company_name],$B1261)*T211)</f>
        <v>0</v>
      </c>
      <c r="U1261" s="652">
        <f>IF($B1261="",,SUMIFS(PerHeadcount[Month 10],PerHeadcount[exp_item],$H1261,PerHeadcount[company_name],$B1261)*U211)</f>
        <v>0</v>
      </c>
      <c r="V1261" s="652">
        <f>IF($B1261="",,SUMIFS(PerHeadcount[Month 11],PerHeadcount[exp_item],$H1261,PerHeadcount[company_name],$B1261)*V211)</f>
        <v>0</v>
      </c>
      <c r="W1261" s="652">
        <f>IF($B1261="",,SUMIFS(PerHeadcount[Month 12],PerHeadcount[exp_item],$H1261,PerHeadcount[company_name],$B1261)*W211)</f>
        <v>0</v>
      </c>
      <c r="X1261" s="652">
        <f>IF($B1261="",,SUMIFS(PerHeadcount[Month 13],PerHeadcount[exp_item],$H1261,PerHeadcount[company_name],$B1261)*X211)</f>
        <v>0</v>
      </c>
      <c r="Y1261" s="652">
        <f>IF($B1261="",,SUMIFS(PerHeadcount[Month 14],PerHeadcount[exp_item],$H1261,PerHeadcount[company_name],$B1261)*Y211)</f>
        <v>0</v>
      </c>
      <c r="Z1261" s="652">
        <f>IF($B1261="",,SUMIFS(PerHeadcount[Month 15],PerHeadcount[exp_item],$H1261,PerHeadcount[company_name],$B1261)*Z211)</f>
        <v>0</v>
      </c>
      <c r="AA1261" s="652">
        <f>IF($B1261="",,SUMIFS(PerHeadcount[Month 16],PerHeadcount[exp_item],$H1261,PerHeadcount[company_name],$B1261)*AA211)</f>
        <v>0</v>
      </c>
      <c r="AB1261" s="652">
        <f>IF($B1261="",,SUMIFS(PerHeadcount[Month 17],PerHeadcount[exp_item],$H1261,PerHeadcount[company_name],$B1261)*AB211)</f>
        <v>0</v>
      </c>
      <c r="AC1261" s="652">
        <f>IF($B1261="",,SUMIFS(PerHeadcount[Month 18],PerHeadcount[exp_item],$H1261,PerHeadcount[company_name],$B1261)*AC211)</f>
        <v>0</v>
      </c>
      <c r="AD1261" s="652">
        <f>IF($B1261="",,SUMIFS(PerHeadcount[Month 19],PerHeadcount[exp_item],$H1261,PerHeadcount[company_name],$B1261)*AD211)</f>
        <v>0</v>
      </c>
      <c r="AE1261" s="652">
        <f>IF($B1261="",,SUMIFS(PerHeadcount[Month 20],PerHeadcount[exp_item],$H1261,PerHeadcount[company_name],$B1261)*AE211)</f>
        <v>0</v>
      </c>
      <c r="AF1261" s="652">
        <f>IF($B1261="",,SUMIFS(PerHeadcount[Month 21],PerHeadcount[exp_item],$H1261,PerHeadcount[company_name],$B1261)*AF211)</f>
        <v>0</v>
      </c>
      <c r="AG1261" s="652">
        <f>IF($B1261="",,SUMIFS(PerHeadcount[Month 22],PerHeadcount[exp_item],$H1261,PerHeadcount[company_name],$B1261)*AG211)</f>
        <v>0</v>
      </c>
      <c r="AH1261" s="652">
        <f>IF($B1261="",,SUMIFS(PerHeadcount[Month 23],PerHeadcount[exp_item],$H1261,PerHeadcount[company_name],$B1261)*AH211)</f>
        <v>0</v>
      </c>
      <c r="AI1261" s="652">
        <f>IF($B1261="",,SUMIFS(PerHeadcount[Month 24],PerHeadcount[exp_item],$H1261,PerHeadcount[company_name],$B1261)*AI211)</f>
        <v>0</v>
      </c>
      <c r="AJ1261" s="652">
        <f>IF($B1261="",,SUMIFS(PerHeadcount[Month 25],PerHeadcount[exp_item],$H1261,PerHeadcount[company_name],$B1261)*AJ211)</f>
        <v>0</v>
      </c>
      <c r="AK1261" s="652">
        <f>IF($B1261="",,SUMIFS(PerHeadcount[Month 26],PerHeadcount[exp_item],$H1261,PerHeadcount[company_name],$B1261)*AK211)</f>
        <v>0</v>
      </c>
      <c r="AL1261" s="652">
        <f>IF($B1261="",,SUMIFS(PerHeadcount[Month 27],PerHeadcount[exp_item],$H1261,PerHeadcount[company_name],$B1261)*AL211)</f>
        <v>0</v>
      </c>
      <c r="AM1261" s="652">
        <f>IF($B1261="",,SUMIFS(PerHeadcount[Month 28],PerHeadcount[exp_item],$H1261,PerHeadcount[company_name],$B1261)*AM211)</f>
        <v>0</v>
      </c>
      <c r="AN1261" s="652">
        <f>IF($B1261="",,SUMIFS(PerHeadcount[Month 29],PerHeadcount[exp_item],$H1261,PerHeadcount[company_name],$B1261)*AN211)</f>
        <v>0</v>
      </c>
      <c r="AO1261" s="652">
        <f>IF($B1261="",,SUMIFS(PerHeadcount[Month 30],PerHeadcount[exp_item],$H1261,PerHeadcount[company_name],$B1261)*AO211)</f>
        <v>0</v>
      </c>
      <c r="AP1261" s="652">
        <f>IF($B1261="",,SUMIFS(PerHeadcount[Month 31],PerHeadcount[exp_item],$H1261,PerHeadcount[company_name],$B1261)*AP211)</f>
        <v>0</v>
      </c>
      <c r="AQ1261" s="652">
        <f>IF($B1261="",,SUMIFS(PerHeadcount[Month 32],PerHeadcount[exp_item],$H1261,PerHeadcount[company_name],$B1261)*AQ211)</f>
        <v>0</v>
      </c>
      <c r="AR1261" s="652">
        <f>IF($B1261="",,SUMIFS(PerHeadcount[Month 33],PerHeadcount[exp_item],$H1261,PerHeadcount[company_name],$B1261)*AR211)</f>
        <v>0</v>
      </c>
      <c r="AS1261" s="652">
        <f>IF($B1261="",,SUMIFS(PerHeadcount[Month 34],PerHeadcount[exp_item],$H1261,PerHeadcount[company_name],$B1261)*AS211)</f>
        <v>0</v>
      </c>
      <c r="AT1261" s="652">
        <f>IF($B1261="",,SUMIFS(PerHeadcount[Month 35],PerHeadcount[exp_item],$H1261,PerHeadcount[company_name],$B1261)*AT211)</f>
        <v>0</v>
      </c>
      <c r="AU1261" s="652">
        <f>IF($B1261="",,SUMIFS(PerHeadcount[Month 36],PerHeadcount[exp_item],$H1261,PerHeadcount[company_name],$B1261)*AU211)</f>
        <v>0</v>
      </c>
    </row>
    <row r="1262" spans="2:47" x14ac:dyDescent="0.35">
      <c r="B1262" t="str">
        <f t="shared" si="881"/>
        <v/>
      </c>
      <c r="C1262" t="str">
        <f t="shared" ref="C1262:G1262" si="908">IF(C1157="","",C1157)</f>
        <v/>
      </c>
      <c r="D1262" t="str">
        <f t="shared" si="908"/>
        <v/>
      </c>
      <c r="E1262" t="str">
        <f t="shared" si="908"/>
        <v/>
      </c>
      <c r="F1262" t="str">
        <f t="shared" si="908"/>
        <v/>
      </c>
      <c r="G1262" t="str">
        <f t="shared" si="908"/>
        <v/>
      </c>
      <c r="H1262" t="str">
        <f t="shared" si="880"/>
        <v/>
      </c>
      <c r="J1262" t="str">
        <f>IF($H1262="","",IF(VLOOKUP(H1262,ExpItems[],2,0),H1262&amp;" - "&amp;INDEX(DivisionMapping[category_code],MATCH($D1262&amp;$C1262,DivisionMapping[dept_bu],0)),H1262))</f>
        <v/>
      </c>
      <c r="K1262" t="str">
        <f t="shared" si="883"/>
        <v/>
      </c>
      <c r="L1262" s="652">
        <f>IF($B1262="",,SUMIFS(PerHeadcount[Month 1],PerHeadcount[exp_item],$H1262,PerHeadcount[company_name],$B1262)*L212)</f>
        <v>0</v>
      </c>
      <c r="M1262" s="652">
        <f>IF($B1262="",,SUMIFS(PerHeadcount[Month 2],PerHeadcount[exp_item],$H1262,PerHeadcount[company_name],$B1262)*M212)</f>
        <v>0</v>
      </c>
      <c r="N1262" s="652">
        <f>IF($B1262="",,SUMIFS(PerHeadcount[Month 3],PerHeadcount[exp_item],$H1262,PerHeadcount[company_name],$B1262)*N212)</f>
        <v>0</v>
      </c>
      <c r="O1262" s="652">
        <f>IF($B1262="",,SUMIFS(PerHeadcount[Month 4],PerHeadcount[exp_item],$H1262,PerHeadcount[company_name],$B1262)*O212)</f>
        <v>0</v>
      </c>
      <c r="P1262" s="652">
        <f>IF($B1262="",,SUMIFS(PerHeadcount[Month 5],PerHeadcount[exp_item],$H1262,PerHeadcount[company_name],$B1262)*P212)</f>
        <v>0</v>
      </c>
      <c r="Q1262" s="652">
        <f>IF($B1262="",,SUMIFS(PerHeadcount[Month 6],PerHeadcount[exp_item],$H1262,PerHeadcount[company_name],$B1262)*Q212)</f>
        <v>0</v>
      </c>
      <c r="R1262" s="652">
        <f>IF($B1262="",,SUMIFS(PerHeadcount[Month 7],PerHeadcount[exp_item],$H1262,PerHeadcount[company_name],$B1262)*R212)</f>
        <v>0</v>
      </c>
      <c r="S1262" s="652">
        <f>IF($B1262="",,SUMIFS(PerHeadcount[Month 8],PerHeadcount[exp_item],$H1262,PerHeadcount[company_name],$B1262)*S212)</f>
        <v>0</v>
      </c>
      <c r="T1262" s="652">
        <f>IF($B1262="",,SUMIFS(PerHeadcount[Month 9],PerHeadcount[exp_item],$H1262,PerHeadcount[company_name],$B1262)*T212)</f>
        <v>0</v>
      </c>
      <c r="U1262" s="652">
        <f>IF($B1262="",,SUMIFS(PerHeadcount[Month 10],PerHeadcount[exp_item],$H1262,PerHeadcount[company_name],$B1262)*U212)</f>
        <v>0</v>
      </c>
      <c r="V1262" s="652">
        <f>IF($B1262="",,SUMIFS(PerHeadcount[Month 11],PerHeadcount[exp_item],$H1262,PerHeadcount[company_name],$B1262)*V212)</f>
        <v>0</v>
      </c>
      <c r="W1262" s="652">
        <f>IF($B1262="",,SUMIFS(PerHeadcount[Month 12],PerHeadcount[exp_item],$H1262,PerHeadcount[company_name],$B1262)*W212)</f>
        <v>0</v>
      </c>
      <c r="X1262" s="652">
        <f>IF($B1262="",,SUMIFS(PerHeadcount[Month 13],PerHeadcount[exp_item],$H1262,PerHeadcount[company_name],$B1262)*X212)</f>
        <v>0</v>
      </c>
      <c r="Y1262" s="652">
        <f>IF($B1262="",,SUMIFS(PerHeadcount[Month 14],PerHeadcount[exp_item],$H1262,PerHeadcount[company_name],$B1262)*Y212)</f>
        <v>0</v>
      </c>
      <c r="Z1262" s="652">
        <f>IF($B1262="",,SUMIFS(PerHeadcount[Month 15],PerHeadcount[exp_item],$H1262,PerHeadcount[company_name],$B1262)*Z212)</f>
        <v>0</v>
      </c>
      <c r="AA1262" s="652">
        <f>IF($B1262="",,SUMIFS(PerHeadcount[Month 16],PerHeadcount[exp_item],$H1262,PerHeadcount[company_name],$B1262)*AA212)</f>
        <v>0</v>
      </c>
      <c r="AB1262" s="652">
        <f>IF($B1262="",,SUMIFS(PerHeadcount[Month 17],PerHeadcount[exp_item],$H1262,PerHeadcount[company_name],$B1262)*AB212)</f>
        <v>0</v>
      </c>
      <c r="AC1262" s="652">
        <f>IF($B1262="",,SUMIFS(PerHeadcount[Month 18],PerHeadcount[exp_item],$H1262,PerHeadcount[company_name],$B1262)*AC212)</f>
        <v>0</v>
      </c>
      <c r="AD1262" s="652">
        <f>IF($B1262="",,SUMIFS(PerHeadcount[Month 19],PerHeadcount[exp_item],$H1262,PerHeadcount[company_name],$B1262)*AD212)</f>
        <v>0</v>
      </c>
      <c r="AE1262" s="652">
        <f>IF($B1262="",,SUMIFS(PerHeadcount[Month 20],PerHeadcount[exp_item],$H1262,PerHeadcount[company_name],$B1262)*AE212)</f>
        <v>0</v>
      </c>
      <c r="AF1262" s="652">
        <f>IF($B1262="",,SUMIFS(PerHeadcount[Month 21],PerHeadcount[exp_item],$H1262,PerHeadcount[company_name],$B1262)*AF212)</f>
        <v>0</v>
      </c>
      <c r="AG1262" s="652">
        <f>IF($B1262="",,SUMIFS(PerHeadcount[Month 22],PerHeadcount[exp_item],$H1262,PerHeadcount[company_name],$B1262)*AG212)</f>
        <v>0</v>
      </c>
      <c r="AH1262" s="652">
        <f>IF($B1262="",,SUMIFS(PerHeadcount[Month 23],PerHeadcount[exp_item],$H1262,PerHeadcount[company_name],$B1262)*AH212)</f>
        <v>0</v>
      </c>
      <c r="AI1262" s="652">
        <f>IF($B1262="",,SUMIFS(PerHeadcount[Month 24],PerHeadcount[exp_item],$H1262,PerHeadcount[company_name],$B1262)*AI212)</f>
        <v>0</v>
      </c>
      <c r="AJ1262" s="652">
        <f>IF($B1262="",,SUMIFS(PerHeadcount[Month 25],PerHeadcount[exp_item],$H1262,PerHeadcount[company_name],$B1262)*AJ212)</f>
        <v>0</v>
      </c>
      <c r="AK1262" s="652">
        <f>IF($B1262="",,SUMIFS(PerHeadcount[Month 26],PerHeadcount[exp_item],$H1262,PerHeadcount[company_name],$B1262)*AK212)</f>
        <v>0</v>
      </c>
      <c r="AL1262" s="652">
        <f>IF($B1262="",,SUMIFS(PerHeadcount[Month 27],PerHeadcount[exp_item],$H1262,PerHeadcount[company_name],$B1262)*AL212)</f>
        <v>0</v>
      </c>
      <c r="AM1262" s="652">
        <f>IF($B1262="",,SUMIFS(PerHeadcount[Month 28],PerHeadcount[exp_item],$H1262,PerHeadcount[company_name],$B1262)*AM212)</f>
        <v>0</v>
      </c>
      <c r="AN1262" s="652">
        <f>IF($B1262="",,SUMIFS(PerHeadcount[Month 29],PerHeadcount[exp_item],$H1262,PerHeadcount[company_name],$B1262)*AN212)</f>
        <v>0</v>
      </c>
      <c r="AO1262" s="652">
        <f>IF($B1262="",,SUMIFS(PerHeadcount[Month 30],PerHeadcount[exp_item],$H1262,PerHeadcount[company_name],$B1262)*AO212)</f>
        <v>0</v>
      </c>
      <c r="AP1262" s="652">
        <f>IF($B1262="",,SUMIFS(PerHeadcount[Month 31],PerHeadcount[exp_item],$H1262,PerHeadcount[company_name],$B1262)*AP212)</f>
        <v>0</v>
      </c>
      <c r="AQ1262" s="652">
        <f>IF($B1262="",,SUMIFS(PerHeadcount[Month 32],PerHeadcount[exp_item],$H1262,PerHeadcount[company_name],$B1262)*AQ212)</f>
        <v>0</v>
      </c>
      <c r="AR1262" s="652">
        <f>IF($B1262="",,SUMIFS(PerHeadcount[Month 33],PerHeadcount[exp_item],$H1262,PerHeadcount[company_name],$B1262)*AR212)</f>
        <v>0</v>
      </c>
      <c r="AS1262" s="652">
        <f>IF($B1262="",,SUMIFS(PerHeadcount[Month 34],PerHeadcount[exp_item],$H1262,PerHeadcount[company_name],$B1262)*AS212)</f>
        <v>0</v>
      </c>
      <c r="AT1262" s="652">
        <f>IF($B1262="",,SUMIFS(PerHeadcount[Month 35],PerHeadcount[exp_item],$H1262,PerHeadcount[company_name],$B1262)*AT212)</f>
        <v>0</v>
      </c>
      <c r="AU1262" s="652">
        <f>IF($B1262="",,SUMIFS(PerHeadcount[Month 36],PerHeadcount[exp_item],$H1262,PerHeadcount[company_name],$B1262)*AU212)</f>
        <v>0</v>
      </c>
    </row>
    <row r="1263" spans="2:47" x14ac:dyDescent="0.35">
      <c r="B1263" t="str">
        <f t="shared" si="881"/>
        <v/>
      </c>
      <c r="C1263" t="str">
        <f t="shared" ref="C1263:G1263" si="909">IF(C1158="","",C1158)</f>
        <v/>
      </c>
      <c r="D1263" t="str">
        <f t="shared" si="909"/>
        <v/>
      </c>
      <c r="E1263" t="str">
        <f t="shared" si="909"/>
        <v/>
      </c>
      <c r="F1263" t="str">
        <f t="shared" si="909"/>
        <v/>
      </c>
      <c r="G1263" t="str">
        <f t="shared" si="909"/>
        <v/>
      </c>
      <c r="H1263" t="str">
        <f t="shared" si="880"/>
        <v/>
      </c>
      <c r="J1263" t="str">
        <f>IF($H1263="","",IF(VLOOKUP(H1263,ExpItems[],2,0),H1263&amp;" - "&amp;INDEX(DivisionMapping[category_code],MATCH($D1263&amp;$C1263,DivisionMapping[dept_bu],0)),H1263))</f>
        <v/>
      </c>
      <c r="K1263" t="str">
        <f t="shared" si="883"/>
        <v/>
      </c>
      <c r="L1263" s="652">
        <f>IF($B1263="",,SUMIFS(PerHeadcount[Month 1],PerHeadcount[exp_item],$H1263,PerHeadcount[company_name],$B1263)*L213)</f>
        <v>0</v>
      </c>
      <c r="M1263" s="652">
        <f>IF($B1263="",,SUMIFS(PerHeadcount[Month 2],PerHeadcount[exp_item],$H1263,PerHeadcount[company_name],$B1263)*M213)</f>
        <v>0</v>
      </c>
      <c r="N1263" s="652">
        <f>IF($B1263="",,SUMIFS(PerHeadcount[Month 3],PerHeadcount[exp_item],$H1263,PerHeadcount[company_name],$B1263)*N213)</f>
        <v>0</v>
      </c>
      <c r="O1263" s="652">
        <f>IF($B1263="",,SUMIFS(PerHeadcount[Month 4],PerHeadcount[exp_item],$H1263,PerHeadcount[company_name],$B1263)*O213)</f>
        <v>0</v>
      </c>
      <c r="P1263" s="652">
        <f>IF($B1263="",,SUMIFS(PerHeadcount[Month 5],PerHeadcount[exp_item],$H1263,PerHeadcount[company_name],$B1263)*P213)</f>
        <v>0</v>
      </c>
      <c r="Q1263" s="652">
        <f>IF($B1263="",,SUMIFS(PerHeadcount[Month 6],PerHeadcount[exp_item],$H1263,PerHeadcount[company_name],$B1263)*Q213)</f>
        <v>0</v>
      </c>
      <c r="R1263" s="652">
        <f>IF($B1263="",,SUMIFS(PerHeadcount[Month 7],PerHeadcount[exp_item],$H1263,PerHeadcount[company_name],$B1263)*R213)</f>
        <v>0</v>
      </c>
      <c r="S1263" s="652">
        <f>IF($B1263="",,SUMIFS(PerHeadcount[Month 8],PerHeadcount[exp_item],$H1263,PerHeadcount[company_name],$B1263)*S213)</f>
        <v>0</v>
      </c>
      <c r="T1263" s="652">
        <f>IF($B1263="",,SUMIFS(PerHeadcount[Month 9],PerHeadcount[exp_item],$H1263,PerHeadcount[company_name],$B1263)*T213)</f>
        <v>0</v>
      </c>
      <c r="U1263" s="652">
        <f>IF($B1263="",,SUMIFS(PerHeadcount[Month 10],PerHeadcount[exp_item],$H1263,PerHeadcount[company_name],$B1263)*U213)</f>
        <v>0</v>
      </c>
      <c r="V1263" s="652">
        <f>IF($B1263="",,SUMIFS(PerHeadcount[Month 11],PerHeadcount[exp_item],$H1263,PerHeadcount[company_name],$B1263)*V213)</f>
        <v>0</v>
      </c>
      <c r="W1263" s="652">
        <f>IF($B1263="",,SUMIFS(PerHeadcount[Month 12],PerHeadcount[exp_item],$H1263,PerHeadcount[company_name],$B1263)*W213)</f>
        <v>0</v>
      </c>
      <c r="X1263" s="652">
        <f>IF($B1263="",,SUMIFS(PerHeadcount[Month 13],PerHeadcount[exp_item],$H1263,PerHeadcount[company_name],$B1263)*X213)</f>
        <v>0</v>
      </c>
      <c r="Y1263" s="652">
        <f>IF($B1263="",,SUMIFS(PerHeadcount[Month 14],PerHeadcount[exp_item],$H1263,PerHeadcount[company_name],$B1263)*Y213)</f>
        <v>0</v>
      </c>
      <c r="Z1263" s="652">
        <f>IF($B1263="",,SUMIFS(PerHeadcount[Month 15],PerHeadcount[exp_item],$H1263,PerHeadcount[company_name],$B1263)*Z213)</f>
        <v>0</v>
      </c>
      <c r="AA1263" s="652">
        <f>IF($B1263="",,SUMIFS(PerHeadcount[Month 16],PerHeadcount[exp_item],$H1263,PerHeadcount[company_name],$B1263)*AA213)</f>
        <v>0</v>
      </c>
      <c r="AB1263" s="652">
        <f>IF($B1263="",,SUMIFS(PerHeadcount[Month 17],PerHeadcount[exp_item],$H1263,PerHeadcount[company_name],$B1263)*AB213)</f>
        <v>0</v>
      </c>
      <c r="AC1263" s="652">
        <f>IF($B1263="",,SUMIFS(PerHeadcount[Month 18],PerHeadcount[exp_item],$H1263,PerHeadcount[company_name],$B1263)*AC213)</f>
        <v>0</v>
      </c>
      <c r="AD1263" s="652">
        <f>IF($B1263="",,SUMIFS(PerHeadcount[Month 19],PerHeadcount[exp_item],$H1263,PerHeadcount[company_name],$B1263)*AD213)</f>
        <v>0</v>
      </c>
      <c r="AE1263" s="652">
        <f>IF($B1263="",,SUMIFS(PerHeadcount[Month 20],PerHeadcount[exp_item],$H1263,PerHeadcount[company_name],$B1263)*AE213)</f>
        <v>0</v>
      </c>
      <c r="AF1263" s="652">
        <f>IF($B1263="",,SUMIFS(PerHeadcount[Month 21],PerHeadcount[exp_item],$H1263,PerHeadcount[company_name],$B1263)*AF213)</f>
        <v>0</v>
      </c>
      <c r="AG1263" s="652">
        <f>IF($B1263="",,SUMIFS(PerHeadcount[Month 22],PerHeadcount[exp_item],$H1263,PerHeadcount[company_name],$B1263)*AG213)</f>
        <v>0</v>
      </c>
      <c r="AH1263" s="652">
        <f>IF($B1263="",,SUMIFS(PerHeadcount[Month 23],PerHeadcount[exp_item],$H1263,PerHeadcount[company_name],$B1263)*AH213)</f>
        <v>0</v>
      </c>
      <c r="AI1263" s="652">
        <f>IF($B1263="",,SUMIFS(PerHeadcount[Month 24],PerHeadcount[exp_item],$H1263,PerHeadcount[company_name],$B1263)*AI213)</f>
        <v>0</v>
      </c>
      <c r="AJ1263" s="652">
        <f>IF($B1263="",,SUMIFS(PerHeadcount[Month 25],PerHeadcount[exp_item],$H1263,PerHeadcount[company_name],$B1263)*AJ213)</f>
        <v>0</v>
      </c>
      <c r="AK1263" s="652">
        <f>IF($B1263="",,SUMIFS(PerHeadcount[Month 26],PerHeadcount[exp_item],$H1263,PerHeadcount[company_name],$B1263)*AK213)</f>
        <v>0</v>
      </c>
      <c r="AL1263" s="652">
        <f>IF($B1263="",,SUMIFS(PerHeadcount[Month 27],PerHeadcount[exp_item],$H1263,PerHeadcount[company_name],$B1263)*AL213)</f>
        <v>0</v>
      </c>
      <c r="AM1263" s="652">
        <f>IF($B1263="",,SUMIFS(PerHeadcount[Month 28],PerHeadcount[exp_item],$H1263,PerHeadcount[company_name],$B1263)*AM213)</f>
        <v>0</v>
      </c>
      <c r="AN1263" s="652">
        <f>IF($B1263="",,SUMIFS(PerHeadcount[Month 29],PerHeadcount[exp_item],$H1263,PerHeadcount[company_name],$B1263)*AN213)</f>
        <v>0</v>
      </c>
      <c r="AO1263" s="652">
        <f>IF($B1263="",,SUMIFS(PerHeadcount[Month 30],PerHeadcount[exp_item],$H1263,PerHeadcount[company_name],$B1263)*AO213)</f>
        <v>0</v>
      </c>
      <c r="AP1263" s="652">
        <f>IF($B1263="",,SUMIFS(PerHeadcount[Month 31],PerHeadcount[exp_item],$H1263,PerHeadcount[company_name],$B1263)*AP213)</f>
        <v>0</v>
      </c>
      <c r="AQ1263" s="652">
        <f>IF($B1263="",,SUMIFS(PerHeadcount[Month 32],PerHeadcount[exp_item],$H1263,PerHeadcount[company_name],$B1263)*AQ213)</f>
        <v>0</v>
      </c>
      <c r="AR1263" s="652">
        <f>IF($B1263="",,SUMIFS(PerHeadcount[Month 33],PerHeadcount[exp_item],$H1263,PerHeadcount[company_name],$B1263)*AR213)</f>
        <v>0</v>
      </c>
      <c r="AS1263" s="652">
        <f>IF($B1263="",,SUMIFS(PerHeadcount[Month 34],PerHeadcount[exp_item],$H1263,PerHeadcount[company_name],$B1263)*AS213)</f>
        <v>0</v>
      </c>
      <c r="AT1263" s="652">
        <f>IF($B1263="",,SUMIFS(PerHeadcount[Month 35],PerHeadcount[exp_item],$H1263,PerHeadcount[company_name],$B1263)*AT213)</f>
        <v>0</v>
      </c>
      <c r="AU1263" s="652">
        <f>IF($B1263="",,SUMIFS(PerHeadcount[Month 36],PerHeadcount[exp_item],$H1263,PerHeadcount[company_name],$B1263)*AU213)</f>
        <v>0</v>
      </c>
    </row>
    <row r="1264" spans="2:47" x14ac:dyDescent="0.35">
      <c r="B1264" t="str">
        <f t="shared" si="881"/>
        <v/>
      </c>
      <c r="C1264" t="str">
        <f t="shared" ref="C1264:G1264" si="910">IF(C1159="","",C1159)</f>
        <v/>
      </c>
      <c r="D1264" t="str">
        <f t="shared" si="910"/>
        <v/>
      </c>
      <c r="E1264" t="str">
        <f t="shared" si="910"/>
        <v/>
      </c>
      <c r="F1264" t="str">
        <f t="shared" si="910"/>
        <v/>
      </c>
      <c r="G1264" t="str">
        <f t="shared" si="910"/>
        <v/>
      </c>
      <c r="H1264" t="str">
        <f t="shared" si="880"/>
        <v/>
      </c>
      <c r="J1264" t="str">
        <f>IF($H1264="","",IF(VLOOKUP(H1264,ExpItems[],2,0),H1264&amp;" - "&amp;INDEX(DivisionMapping[category_code],MATCH($D1264&amp;$C1264,DivisionMapping[dept_bu],0)),H1264))</f>
        <v/>
      </c>
      <c r="K1264" t="str">
        <f t="shared" si="883"/>
        <v/>
      </c>
      <c r="L1264" s="652">
        <f>IF($B1264="",,SUMIFS(PerHeadcount[Month 1],PerHeadcount[exp_item],$H1264,PerHeadcount[company_name],$B1264)*L214)</f>
        <v>0</v>
      </c>
      <c r="M1264" s="652">
        <f>IF($B1264="",,SUMIFS(PerHeadcount[Month 2],PerHeadcount[exp_item],$H1264,PerHeadcount[company_name],$B1264)*M214)</f>
        <v>0</v>
      </c>
      <c r="N1264" s="652">
        <f>IF($B1264="",,SUMIFS(PerHeadcount[Month 3],PerHeadcount[exp_item],$H1264,PerHeadcount[company_name],$B1264)*N214)</f>
        <v>0</v>
      </c>
      <c r="O1264" s="652">
        <f>IF($B1264="",,SUMIFS(PerHeadcount[Month 4],PerHeadcount[exp_item],$H1264,PerHeadcount[company_name],$B1264)*O214)</f>
        <v>0</v>
      </c>
      <c r="P1264" s="652">
        <f>IF($B1264="",,SUMIFS(PerHeadcount[Month 5],PerHeadcount[exp_item],$H1264,PerHeadcount[company_name],$B1264)*P214)</f>
        <v>0</v>
      </c>
      <c r="Q1264" s="652">
        <f>IF($B1264="",,SUMIFS(PerHeadcount[Month 6],PerHeadcount[exp_item],$H1264,PerHeadcount[company_name],$B1264)*Q214)</f>
        <v>0</v>
      </c>
      <c r="R1264" s="652">
        <f>IF($B1264="",,SUMIFS(PerHeadcount[Month 7],PerHeadcount[exp_item],$H1264,PerHeadcount[company_name],$B1264)*R214)</f>
        <v>0</v>
      </c>
      <c r="S1264" s="652">
        <f>IF($B1264="",,SUMIFS(PerHeadcount[Month 8],PerHeadcount[exp_item],$H1264,PerHeadcount[company_name],$B1264)*S214)</f>
        <v>0</v>
      </c>
      <c r="T1264" s="652">
        <f>IF($B1264="",,SUMIFS(PerHeadcount[Month 9],PerHeadcount[exp_item],$H1264,PerHeadcount[company_name],$B1264)*T214)</f>
        <v>0</v>
      </c>
      <c r="U1264" s="652">
        <f>IF($B1264="",,SUMIFS(PerHeadcount[Month 10],PerHeadcount[exp_item],$H1264,PerHeadcount[company_name],$B1264)*U214)</f>
        <v>0</v>
      </c>
      <c r="V1264" s="652">
        <f>IF($B1264="",,SUMIFS(PerHeadcount[Month 11],PerHeadcount[exp_item],$H1264,PerHeadcount[company_name],$B1264)*V214)</f>
        <v>0</v>
      </c>
      <c r="W1264" s="652">
        <f>IF($B1264="",,SUMIFS(PerHeadcount[Month 12],PerHeadcount[exp_item],$H1264,PerHeadcount[company_name],$B1264)*W214)</f>
        <v>0</v>
      </c>
      <c r="X1264" s="652">
        <f>IF($B1264="",,SUMIFS(PerHeadcount[Month 13],PerHeadcount[exp_item],$H1264,PerHeadcount[company_name],$B1264)*X214)</f>
        <v>0</v>
      </c>
      <c r="Y1264" s="652">
        <f>IF($B1264="",,SUMIFS(PerHeadcount[Month 14],PerHeadcount[exp_item],$H1264,PerHeadcount[company_name],$B1264)*Y214)</f>
        <v>0</v>
      </c>
      <c r="Z1264" s="652">
        <f>IF($B1264="",,SUMIFS(PerHeadcount[Month 15],PerHeadcount[exp_item],$H1264,PerHeadcount[company_name],$B1264)*Z214)</f>
        <v>0</v>
      </c>
      <c r="AA1264" s="652">
        <f>IF($B1264="",,SUMIFS(PerHeadcount[Month 16],PerHeadcount[exp_item],$H1264,PerHeadcount[company_name],$B1264)*AA214)</f>
        <v>0</v>
      </c>
      <c r="AB1264" s="652">
        <f>IF($B1264="",,SUMIFS(PerHeadcount[Month 17],PerHeadcount[exp_item],$H1264,PerHeadcount[company_name],$B1264)*AB214)</f>
        <v>0</v>
      </c>
      <c r="AC1264" s="652">
        <f>IF($B1264="",,SUMIFS(PerHeadcount[Month 18],PerHeadcount[exp_item],$H1264,PerHeadcount[company_name],$B1264)*AC214)</f>
        <v>0</v>
      </c>
      <c r="AD1264" s="652">
        <f>IF($B1264="",,SUMIFS(PerHeadcount[Month 19],PerHeadcount[exp_item],$H1264,PerHeadcount[company_name],$B1264)*AD214)</f>
        <v>0</v>
      </c>
      <c r="AE1264" s="652">
        <f>IF($B1264="",,SUMIFS(PerHeadcount[Month 20],PerHeadcount[exp_item],$H1264,PerHeadcount[company_name],$B1264)*AE214)</f>
        <v>0</v>
      </c>
      <c r="AF1264" s="652">
        <f>IF($B1264="",,SUMIFS(PerHeadcount[Month 21],PerHeadcount[exp_item],$H1264,PerHeadcount[company_name],$B1264)*AF214)</f>
        <v>0</v>
      </c>
      <c r="AG1264" s="652">
        <f>IF($B1264="",,SUMIFS(PerHeadcount[Month 22],PerHeadcount[exp_item],$H1264,PerHeadcount[company_name],$B1264)*AG214)</f>
        <v>0</v>
      </c>
      <c r="AH1264" s="652">
        <f>IF($B1264="",,SUMIFS(PerHeadcount[Month 23],PerHeadcount[exp_item],$H1264,PerHeadcount[company_name],$B1264)*AH214)</f>
        <v>0</v>
      </c>
      <c r="AI1264" s="652">
        <f>IF($B1264="",,SUMIFS(PerHeadcount[Month 24],PerHeadcount[exp_item],$H1264,PerHeadcount[company_name],$B1264)*AI214)</f>
        <v>0</v>
      </c>
      <c r="AJ1264" s="652">
        <f>IF($B1264="",,SUMIFS(PerHeadcount[Month 25],PerHeadcount[exp_item],$H1264,PerHeadcount[company_name],$B1264)*AJ214)</f>
        <v>0</v>
      </c>
      <c r="AK1264" s="652">
        <f>IF($B1264="",,SUMIFS(PerHeadcount[Month 26],PerHeadcount[exp_item],$H1264,PerHeadcount[company_name],$B1264)*AK214)</f>
        <v>0</v>
      </c>
      <c r="AL1264" s="652">
        <f>IF($B1264="",,SUMIFS(PerHeadcount[Month 27],PerHeadcount[exp_item],$H1264,PerHeadcount[company_name],$B1264)*AL214)</f>
        <v>0</v>
      </c>
      <c r="AM1264" s="652">
        <f>IF($B1264="",,SUMIFS(PerHeadcount[Month 28],PerHeadcount[exp_item],$H1264,PerHeadcount[company_name],$B1264)*AM214)</f>
        <v>0</v>
      </c>
      <c r="AN1264" s="652">
        <f>IF($B1264="",,SUMIFS(PerHeadcount[Month 29],PerHeadcount[exp_item],$H1264,PerHeadcount[company_name],$B1264)*AN214)</f>
        <v>0</v>
      </c>
      <c r="AO1264" s="652">
        <f>IF($B1264="",,SUMIFS(PerHeadcount[Month 30],PerHeadcount[exp_item],$H1264,PerHeadcount[company_name],$B1264)*AO214)</f>
        <v>0</v>
      </c>
      <c r="AP1264" s="652">
        <f>IF($B1264="",,SUMIFS(PerHeadcount[Month 31],PerHeadcount[exp_item],$H1264,PerHeadcount[company_name],$B1264)*AP214)</f>
        <v>0</v>
      </c>
      <c r="AQ1264" s="652">
        <f>IF($B1264="",,SUMIFS(PerHeadcount[Month 32],PerHeadcount[exp_item],$H1264,PerHeadcount[company_name],$B1264)*AQ214)</f>
        <v>0</v>
      </c>
      <c r="AR1264" s="652">
        <f>IF($B1264="",,SUMIFS(PerHeadcount[Month 33],PerHeadcount[exp_item],$H1264,PerHeadcount[company_name],$B1264)*AR214)</f>
        <v>0</v>
      </c>
      <c r="AS1264" s="652">
        <f>IF($B1264="",,SUMIFS(PerHeadcount[Month 34],PerHeadcount[exp_item],$H1264,PerHeadcount[company_name],$B1264)*AS214)</f>
        <v>0</v>
      </c>
      <c r="AT1264" s="652">
        <f>IF($B1264="",,SUMIFS(PerHeadcount[Month 35],PerHeadcount[exp_item],$H1264,PerHeadcount[company_name],$B1264)*AT214)</f>
        <v>0</v>
      </c>
      <c r="AU1264" s="652">
        <f>IF($B1264="",,SUMIFS(PerHeadcount[Month 36],PerHeadcount[exp_item],$H1264,PerHeadcount[company_name],$B1264)*AU214)</f>
        <v>0</v>
      </c>
    </row>
    <row r="1265" spans="2:47" x14ac:dyDescent="0.35">
      <c r="B1265" t="str">
        <f t="shared" si="881"/>
        <v/>
      </c>
      <c r="C1265" t="str">
        <f t="shared" ref="C1265:G1265" si="911">IF(C1160="","",C1160)</f>
        <v/>
      </c>
      <c r="D1265" t="str">
        <f t="shared" si="911"/>
        <v/>
      </c>
      <c r="E1265" t="str">
        <f t="shared" si="911"/>
        <v/>
      </c>
      <c r="F1265" t="str">
        <f t="shared" si="911"/>
        <v/>
      </c>
      <c r="G1265" t="str">
        <f t="shared" si="911"/>
        <v/>
      </c>
      <c r="H1265" t="str">
        <f t="shared" si="880"/>
        <v/>
      </c>
      <c r="J1265" t="str">
        <f>IF($H1265="","",IF(VLOOKUP(H1265,ExpItems[],2,0),H1265&amp;" - "&amp;INDEX(DivisionMapping[category_code],MATCH($D1265&amp;$C1265,DivisionMapping[dept_bu],0)),H1265))</f>
        <v/>
      </c>
      <c r="K1265" t="str">
        <f t="shared" si="883"/>
        <v/>
      </c>
      <c r="L1265" s="652">
        <f>IF($B1265="",,SUMIFS(PerHeadcount[Month 1],PerHeadcount[exp_item],$H1265,PerHeadcount[company_name],$B1265)*L215)</f>
        <v>0</v>
      </c>
      <c r="M1265" s="652">
        <f>IF($B1265="",,SUMIFS(PerHeadcount[Month 2],PerHeadcount[exp_item],$H1265,PerHeadcount[company_name],$B1265)*M215)</f>
        <v>0</v>
      </c>
      <c r="N1265" s="652">
        <f>IF($B1265="",,SUMIFS(PerHeadcount[Month 3],PerHeadcount[exp_item],$H1265,PerHeadcount[company_name],$B1265)*N215)</f>
        <v>0</v>
      </c>
      <c r="O1265" s="652">
        <f>IF($B1265="",,SUMIFS(PerHeadcount[Month 4],PerHeadcount[exp_item],$H1265,PerHeadcount[company_name],$B1265)*O215)</f>
        <v>0</v>
      </c>
      <c r="P1265" s="652">
        <f>IF($B1265="",,SUMIFS(PerHeadcount[Month 5],PerHeadcount[exp_item],$H1265,PerHeadcount[company_name],$B1265)*P215)</f>
        <v>0</v>
      </c>
      <c r="Q1265" s="652">
        <f>IF($B1265="",,SUMIFS(PerHeadcount[Month 6],PerHeadcount[exp_item],$H1265,PerHeadcount[company_name],$B1265)*Q215)</f>
        <v>0</v>
      </c>
      <c r="R1265" s="652">
        <f>IF($B1265="",,SUMIFS(PerHeadcount[Month 7],PerHeadcount[exp_item],$H1265,PerHeadcount[company_name],$B1265)*R215)</f>
        <v>0</v>
      </c>
      <c r="S1265" s="652">
        <f>IF($B1265="",,SUMIFS(PerHeadcount[Month 8],PerHeadcount[exp_item],$H1265,PerHeadcount[company_name],$B1265)*S215)</f>
        <v>0</v>
      </c>
      <c r="T1265" s="652">
        <f>IF($B1265="",,SUMIFS(PerHeadcount[Month 9],PerHeadcount[exp_item],$H1265,PerHeadcount[company_name],$B1265)*T215)</f>
        <v>0</v>
      </c>
      <c r="U1265" s="652">
        <f>IF($B1265="",,SUMIFS(PerHeadcount[Month 10],PerHeadcount[exp_item],$H1265,PerHeadcount[company_name],$B1265)*U215)</f>
        <v>0</v>
      </c>
      <c r="V1265" s="652">
        <f>IF($B1265="",,SUMIFS(PerHeadcount[Month 11],PerHeadcount[exp_item],$H1265,PerHeadcount[company_name],$B1265)*V215)</f>
        <v>0</v>
      </c>
      <c r="W1265" s="652">
        <f>IF($B1265="",,SUMIFS(PerHeadcount[Month 12],PerHeadcount[exp_item],$H1265,PerHeadcount[company_name],$B1265)*W215)</f>
        <v>0</v>
      </c>
      <c r="X1265" s="652">
        <f>IF($B1265="",,SUMIFS(PerHeadcount[Month 13],PerHeadcount[exp_item],$H1265,PerHeadcount[company_name],$B1265)*X215)</f>
        <v>0</v>
      </c>
      <c r="Y1265" s="652">
        <f>IF($B1265="",,SUMIFS(PerHeadcount[Month 14],PerHeadcount[exp_item],$H1265,PerHeadcount[company_name],$B1265)*Y215)</f>
        <v>0</v>
      </c>
      <c r="Z1265" s="652">
        <f>IF($B1265="",,SUMIFS(PerHeadcount[Month 15],PerHeadcount[exp_item],$H1265,PerHeadcount[company_name],$B1265)*Z215)</f>
        <v>0</v>
      </c>
      <c r="AA1265" s="652">
        <f>IF($B1265="",,SUMIFS(PerHeadcount[Month 16],PerHeadcount[exp_item],$H1265,PerHeadcount[company_name],$B1265)*AA215)</f>
        <v>0</v>
      </c>
      <c r="AB1265" s="652">
        <f>IF($B1265="",,SUMIFS(PerHeadcount[Month 17],PerHeadcount[exp_item],$H1265,PerHeadcount[company_name],$B1265)*AB215)</f>
        <v>0</v>
      </c>
      <c r="AC1265" s="652">
        <f>IF($B1265="",,SUMIFS(PerHeadcount[Month 18],PerHeadcount[exp_item],$H1265,PerHeadcount[company_name],$B1265)*AC215)</f>
        <v>0</v>
      </c>
      <c r="AD1265" s="652">
        <f>IF($B1265="",,SUMIFS(PerHeadcount[Month 19],PerHeadcount[exp_item],$H1265,PerHeadcount[company_name],$B1265)*AD215)</f>
        <v>0</v>
      </c>
      <c r="AE1265" s="652">
        <f>IF($B1265="",,SUMIFS(PerHeadcount[Month 20],PerHeadcount[exp_item],$H1265,PerHeadcount[company_name],$B1265)*AE215)</f>
        <v>0</v>
      </c>
      <c r="AF1265" s="652">
        <f>IF($B1265="",,SUMIFS(PerHeadcount[Month 21],PerHeadcount[exp_item],$H1265,PerHeadcount[company_name],$B1265)*AF215)</f>
        <v>0</v>
      </c>
      <c r="AG1265" s="652">
        <f>IF($B1265="",,SUMIFS(PerHeadcount[Month 22],PerHeadcount[exp_item],$H1265,PerHeadcount[company_name],$B1265)*AG215)</f>
        <v>0</v>
      </c>
      <c r="AH1265" s="652">
        <f>IF($B1265="",,SUMIFS(PerHeadcount[Month 23],PerHeadcount[exp_item],$H1265,PerHeadcount[company_name],$B1265)*AH215)</f>
        <v>0</v>
      </c>
      <c r="AI1265" s="652">
        <f>IF($B1265="",,SUMIFS(PerHeadcount[Month 24],PerHeadcount[exp_item],$H1265,PerHeadcount[company_name],$B1265)*AI215)</f>
        <v>0</v>
      </c>
      <c r="AJ1265" s="652">
        <f>IF($B1265="",,SUMIFS(PerHeadcount[Month 25],PerHeadcount[exp_item],$H1265,PerHeadcount[company_name],$B1265)*AJ215)</f>
        <v>0</v>
      </c>
      <c r="AK1265" s="652">
        <f>IF($B1265="",,SUMIFS(PerHeadcount[Month 26],PerHeadcount[exp_item],$H1265,PerHeadcount[company_name],$B1265)*AK215)</f>
        <v>0</v>
      </c>
      <c r="AL1265" s="652">
        <f>IF($B1265="",,SUMIFS(PerHeadcount[Month 27],PerHeadcount[exp_item],$H1265,PerHeadcount[company_name],$B1265)*AL215)</f>
        <v>0</v>
      </c>
      <c r="AM1265" s="652">
        <f>IF($B1265="",,SUMIFS(PerHeadcount[Month 28],PerHeadcount[exp_item],$H1265,PerHeadcount[company_name],$B1265)*AM215)</f>
        <v>0</v>
      </c>
      <c r="AN1265" s="652">
        <f>IF($B1265="",,SUMIFS(PerHeadcount[Month 29],PerHeadcount[exp_item],$H1265,PerHeadcount[company_name],$B1265)*AN215)</f>
        <v>0</v>
      </c>
      <c r="AO1265" s="652">
        <f>IF($B1265="",,SUMIFS(PerHeadcount[Month 30],PerHeadcount[exp_item],$H1265,PerHeadcount[company_name],$B1265)*AO215)</f>
        <v>0</v>
      </c>
      <c r="AP1265" s="652">
        <f>IF($B1265="",,SUMIFS(PerHeadcount[Month 31],PerHeadcount[exp_item],$H1265,PerHeadcount[company_name],$B1265)*AP215)</f>
        <v>0</v>
      </c>
      <c r="AQ1265" s="652">
        <f>IF($B1265="",,SUMIFS(PerHeadcount[Month 32],PerHeadcount[exp_item],$H1265,PerHeadcount[company_name],$B1265)*AQ215)</f>
        <v>0</v>
      </c>
      <c r="AR1265" s="652">
        <f>IF($B1265="",,SUMIFS(PerHeadcount[Month 33],PerHeadcount[exp_item],$H1265,PerHeadcount[company_name],$B1265)*AR215)</f>
        <v>0</v>
      </c>
      <c r="AS1265" s="652">
        <f>IF($B1265="",,SUMIFS(PerHeadcount[Month 34],PerHeadcount[exp_item],$H1265,PerHeadcount[company_name],$B1265)*AS215)</f>
        <v>0</v>
      </c>
      <c r="AT1265" s="652">
        <f>IF($B1265="",,SUMIFS(PerHeadcount[Month 35],PerHeadcount[exp_item],$H1265,PerHeadcount[company_name],$B1265)*AT215)</f>
        <v>0</v>
      </c>
      <c r="AU1265" s="652">
        <f>IF($B1265="",,SUMIFS(PerHeadcount[Month 36],PerHeadcount[exp_item],$H1265,PerHeadcount[company_name],$B1265)*AU215)</f>
        <v>0</v>
      </c>
    </row>
    <row r="1266" spans="2:47" x14ac:dyDescent="0.35">
      <c r="B1266" t="str">
        <f t="shared" si="881"/>
        <v/>
      </c>
      <c r="C1266" t="str">
        <f t="shared" ref="C1266:G1266" si="912">IF(C1161="","",C1161)</f>
        <v/>
      </c>
      <c r="D1266" t="str">
        <f t="shared" si="912"/>
        <v/>
      </c>
      <c r="E1266" t="str">
        <f t="shared" si="912"/>
        <v/>
      </c>
      <c r="F1266" t="str">
        <f t="shared" si="912"/>
        <v/>
      </c>
      <c r="G1266" t="str">
        <f t="shared" si="912"/>
        <v/>
      </c>
      <c r="H1266" t="str">
        <f t="shared" si="880"/>
        <v/>
      </c>
      <c r="J1266" t="str">
        <f>IF($H1266="","",IF(VLOOKUP(H1266,ExpItems[],2,0),H1266&amp;" - "&amp;INDEX(DivisionMapping[category_code],MATCH($D1266&amp;$C1266,DivisionMapping[dept_bu],0)),H1266))</f>
        <v/>
      </c>
      <c r="K1266" t="str">
        <f t="shared" si="883"/>
        <v/>
      </c>
      <c r="L1266" s="652">
        <f>IF($B1266="",,SUMIFS(PerHeadcount[Month 1],PerHeadcount[exp_item],$H1266,PerHeadcount[company_name],$B1266)*L216)</f>
        <v>0</v>
      </c>
      <c r="M1266" s="652">
        <f>IF($B1266="",,SUMIFS(PerHeadcount[Month 2],PerHeadcount[exp_item],$H1266,PerHeadcount[company_name],$B1266)*M216)</f>
        <v>0</v>
      </c>
      <c r="N1266" s="652">
        <f>IF($B1266="",,SUMIFS(PerHeadcount[Month 3],PerHeadcount[exp_item],$H1266,PerHeadcount[company_name],$B1266)*N216)</f>
        <v>0</v>
      </c>
      <c r="O1266" s="652">
        <f>IF($B1266="",,SUMIFS(PerHeadcount[Month 4],PerHeadcount[exp_item],$H1266,PerHeadcount[company_name],$B1266)*O216)</f>
        <v>0</v>
      </c>
      <c r="P1266" s="652">
        <f>IF($B1266="",,SUMIFS(PerHeadcount[Month 5],PerHeadcount[exp_item],$H1266,PerHeadcount[company_name],$B1266)*P216)</f>
        <v>0</v>
      </c>
      <c r="Q1266" s="652">
        <f>IF($B1266="",,SUMIFS(PerHeadcount[Month 6],PerHeadcount[exp_item],$H1266,PerHeadcount[company_name],$B1266)*Q216)</f>
        <v>0</v>
      </c>
      <c r="R1266" s="652">
        <f>IF($B1266="",,SUMIFS(PerHeadcount[Month 7],PerHeadcount[exp_item],$H1266,PerHeadcount[company_name],$B1266)*R216)</f>
        <v>0</v>
      </c>
      <c r="S1266" s="652">
        <f>IF($B1266="",,SUMIFS(PerHeadcount[Month 8],PerHeadcount[exp_item],$H1266,PerHeadcount[company_name],$B1266)*S216)</f>
        <v>0</v>
      </c>
      <c r="T1266" s="652">
        <f>IF($B1266="",,SUMIFS(PerHeadcount[Month 9],PerHeadcount[exp_item],$H1266,PerHeadcount[company_name],$B1266)*T216)</f>
        <v>0</v>
      </c>
      <c r="U1266" s="652">
        <f>IF($B1266="",,SUMIFS(PerHeadcount[Month 10],PerHeadcount[exp_item],$H1266,PerHeadcount[company_name],$B1266)*U216)</f>
        <v>0</v>
      </c>
      <c r="V1266" s="652">
        <f>IF($B1266="",,SUMIFS(PerHeadcount[Month 11],PerHeadcount[exp_item],$H1266,PerHeadcount[company_name],$B1266)*V216)</f>
        <v>0</v>
      </c>
      <c r="W1266" s="652">
        <f>IF($B1266="",,SUMIFS(PerHeadcount[Month 12],PerHeadcount[exp_item],$H1266,PerHeadcount[company_name],$B1266)*W216)</f>
        <v>0</v>
      </c>
      <c r="X1266" s="652">
        <f>IF($B1266="",,SUMIFS(PerHeadcount[Month 13],PerHeadcount[exp_item],$H1266,PerHeadcount[company_name],$B1266)*X216)</f>
        <v>0</v>
      </c>
      <c r="Y1266" s="652">
        <f>IF($B1266="",,SUMIFS(PerHeadcount[Month 14],PerHeadcount[exp_item],$H1266,PerHeadcount[company_name],$B1266)*Y216)</f>
        <v>0</v>
      </c>
      <c r="Z1266" s="652">
        <f>IF($B1266="",,SUMIFS(PerHeadcount[Month 15],PerHeadcount[exp_item],$H1266,PerHeadcount[company_name],$B1266)*Z216)</f>
        <v>0</v>
      </c>
      <c r="AA1266" s="652">
        <f>IF($B1266="",,SUMIFS(PerHeadcount[Month 16],PerHeadcount[exp_item],$H1266,PerHeadcount[company_name],$B1266)*AA216)</f>
        <v>0</v>
      </c>
      <c r="AB1266" s="652">
        <f>IF($B1266="",,SUMIFS(PerHeadcount[Month 17],PerHeadcount[exp_item],$H1266,PerHeadcount[company_name],$B1266)*AB216)</f>
        <v>0</v>
      </c>
      <c r="AC1266" s="652">
        <f>IF($B1266="",,SUMIFS(PerHeadcount[Month 18],PerHeadcount[exp_item],$H1266,PerHeadcount[company_name],$B1266)*AC216)</f>
        <v>0</v>
      </c>
      <c r="AD1266" s="652">
        <f>IF($B1266="",,SUMIFS(PerHeadcount[Month 19],PerHeadcount[exp_item],$H1266,PerHeadcount[company_name],$B1266)*AD216)</f>
        <v>0</v>
      </c>
      <c r="AE1266" s="652">
        <f>IF($B1266="",,SUMIFS(PerHeadcount[Month 20],PerHeadcount[exp_item],$H1266,PerHeadcount[company_name],$B1266)*AE216)</f>
        <v>0</v>
      </c>
      <c r="AF1266" s="652">
        <f>IF($B1266="",,SUMIFS(PerHeadcount[Month 21],PerHeadcount[exp_item],$H1266,PerHeadcount[company_name],$B1266)*AF216)</f>
        <v>0</v>
      </c>
      <c r="AG1266" s="652">
        <f>IF($B1266="",,SUMIFS(PerHeadcount[Month 22],PerHeadcount[exp_item],$H1266,PerHeadcount[company_name],$B1266)*AG216)</f>
        <v>0</v>
      </c>
      <c r="AH1266" s="652">
        <f>IF($B1266="",,SUMIFS(PerHeadcount[Month 23],PerHeadcount[exp_item],$H1266,PerHeadcount[company_name],$B1266)*AH216)</f>
        <v>0</v>
      </c>
      <c r="AI1266" s="652">
        <f>IF($B1266="",,SUMIFS(PerHeadcount[Month 24],PerHeadcount[exp_item],$H1266,PerHeadcount[company_name],$B1266)*AI216)</f>
        <v>0</v>
      </c>
      <c r="AJ1266" s="652">
        <f>IF($B1266="",,SUMIFS(PerHeadcount[Month 25],PerHeadcount[exp_item],$H1266,PerHeadcount[company_name],$B1266)*AJ216)</f>
        <v>0</v>
      </c>
      <c r="AK1266" s="652">
        <f>IF($B1266="",,SUMIFS(PerHeadcount[Month 26],PerHeadcount[exp_item],$H1266,PerHeadcount[company_name],$B1266)*AK216)</f>
        <v>0</v>
      </c>
      <c r="AL1266" s="652">
        <f>IF($B1266="",,SUMIFS(PerHeadcount[Month 27],PerHeadcount[exp_item],$H1266,PerHeadcount[company_name],$B1266)*AL216)</f>
        <v>0</v>
      </c>
      <c r="AM1266" s="652">
        <f>IF($B1266="",,SUMIFS(PerHeadcount[Month 28],PerHeadcount[exp_item],$H1266,PerHeadcount[company_name],$B1266)*AM216)</f>
        <v>0</v>
      </c>
      <c r="AN1266" s="652">
        <f>IF($B1266="",,SUMIFS(PerHeadcount[Month 29],PerHeadcount[exp_item],$H1266,PerHeadcount[company_name],$B1266)*AN216)</f>
        <v>0</v>
      </c>
      <c r="AO1266" s="652">
        <f>IF($B1266="",,SUMIFS(PerHeadcount[Month 30],PerHeadcount[exp_item],$H1266,PerHeadcount[company_name],$B1266)*AO216)</f>
        <v>0</v>
      </c>
      <c r="AP1266" s="652">
        <f>IF($B1266="",,SUMIFS(PerHeadcount[Month 31],PerHeadcount[exp_item],$H1266,PerHeadcount[company_name],$B1266)*AP216)</f>
        <v>0</v>
      </c>
      <c r="AQ1266" s="652">
        <f>IF($B1266="",,SUMIFS(PerHeadcount[Month 32],PerHeadcount[exp_item],$H1266,PerHeadcount[company_name],$B1266)*AQ216)</f>
        <v>0</v>
      </c>
      <c r="AR1266" s="652">
        <f>IF($B1266="",,SUMIFS(PerHeadcount[Month 33],PerHeadcount[exp_item],$H1266,PerHeadcount[company_name],$B1266)*AR216)</f>
        <v>0</v>
      </c>
      <c r="AS1266" s="652">
        <f>IF($B1266="",,SUMIFS(PerHeadcount[Month 34],PerHeadcount[exp_item],$H1266,PerHeadcount[company_name],$B1266)*AS216)</f>
        <v>0</v>
      </c>
      <c r="AT1266" s="652">
        <f>IF($B1266="",,SUMIFS(PerHeadcount[Month 35],PerHeadcount[exp_item],$H1266,PerHeadcount[company_name],$B1266)*AT216)</f>
        <v>0</v>
      </c>
      <c r="AU1266" s="652">
        <f>IF($B1266="",,SUMIFS(PerHeadcount[Month 36],PerHeadcount[exp_item],$H1266,PerHeadcount[company_name],$B1266)*AU216)</f>
        <v>0</v>
      </c>
    </row>
    <row r="1267" spans="2:47" x14ac:dyDescent="0.35">
      <c r="B1267" t="str">
        <f t="shared" si="881"/>
        <v/>
      </c>
      <c r="C1267" t="str">
        <f t="shared" ref="C1267:G1267" si="913">IF(C1162="","",C1162)</f>
        <v/>
      </c>
      <c r="D1267" t="str">
        <f t="shared" si="913"/>
        <v/>
      </c>
      <c r="E1267" t="str">
        <f t="shared" si="913"/>
        <v/>
      </c>
      <c r="F1267" t="str">
        <f t="shared" si="913"/>
        <v/>
      </c>
      <c r="G1267" t="str">
        <f t="shared" si="913"/>
        <v/>
      </c>
      <c r="H1267" t="str">
        <f t="shared" si="880"/>
        <v/>
      </c>
      <c r="J1267" t="str">
        <f>IF($H1267="","",IF(VLOOKUP(H1267,ExpItems[],2,0),H1267&amp;" - "&amp;INDEX(DivisionMapping[category_code],MATCH($D1267&amp;$C1267,DivisionMapping[dept_bu],0)),H1267))</f>
        <v/>
      </c>
      <c r="K1267" t="str">
        <f t="shared" si="883"/>
        <v/>
      </c>
      <c r="L1267" s="652">
        <f>IF($B1267="",,SUMIFS(PerHeadcount[Month 1],PerHeadcount[exp_item],$H1267,PerHeadcount[company_name],$B1267)*L217)</f>
        <v>0</v>
      </c>
      <c r="M1267" s="652">
        <f>IF($B1267="",,SUMIFS(PerHeadcount[Month 2],PerHeadcount[exp_item],$H1267,PerHeadcount[company_name],$B1267)*M217)</f>
        <v>0</v>
      </c>
      <c r="N1267" s="652">
        <f>IF($B1267="",,SUMIFS(PerHeadcount[Month 3],PerHeadcount[exp_item],$H1267,PerHeadcount[company_name],$B1267)*N217)</f>
        <v>0</v>
      </c>
      <c r="O1267" s="652">
        <f>IF($B1267="",,SUMIFS(PerHeadcount[Month 4],PerHeadcount[exp_item],$H1267,PerHeadcount[company_name],$B1267)*O217)</f>
        <v>0</v>
      </c>
      <c r="P1267" s="652">
        <f>IF($B1267="",,SUMIFS(PerHeadcount[Month 5],PerHeadcount[exp_item],$H1267,PerHeadcount[company_name],$B1267)*P217)</f>
        <v>0</v>
      </c>
      <c r="Q1267" s="652">
        <f>IF($B1267="",,SUMIFS(PerHeadcount[Month 6],PerHeadcount[exp_item],$H1267,PerHeadcount[company_name],$B1267)*Q217)</f>
        <v>0</v>
      </c>
      <c r="R1267" s="652">
        <f>IF($B1267="",,SUMIFS(PerHeadcount[Month 7],PerHeadcount[exp_item],$H1267,PerHeadcount[company_name],$B1267)*R217)</f>
        <v>0</v>
      </c>
      <c r="S1267" s="652">
        <f>IF($B1267="",,SUMIFS(PerHeadcount[Month 8],PerHeadcount[exp_item],$H1267,PerHeadcount[company_name],$B1267)*S217)</f>
        <v>0</v>
      </c>
      <c r="T1267" s="652">
        <f>IF($B1267="",,SUMIFS(PerHeadcount[Month 9],PerHeadcount[exp_item],$H1267,PerHeadcount[company_name],$B1267)*T217)</f>
        <v>0</v>
      </c>
      <c r="U1267" s="652">
        <f>IF($B1267="",,SUMIFS(PerHeadcount[Month 10],PerHeadcount[exp_item],$H1267,PerHeadcount[company_name],$B1267)*U217)</f>
        <v>0</v>
      </c>
      <c r="V1267" s="652">
        <f>IF($B1267="",,SUMIFS(PerHeadcount[Month 11],PerHeadcount[exp_item],$H1267,PerHeadcount[company_name],$B1267)*V217)</f>
        <v>0</v>
      </c>
      <c r="W1267" s="652">
        <f>IF($B1267="",,SUMIFS(PerHeadcount[Month 12],PerHeadcount[exp_item],$H1267,PerHeadcount[company_name],$B1267)*W217)</f>
        <v>0</v>
      </c>
      <c r="X1267" s="652">
        <f>IF($B1267="",,SUMIFS(PerHeadcount[Month 13],PerHeadcount[exp_item],$H1267,PerHeadcount[company_name],$B1267)*X217)</f>
        <v>0</v>
      </c>
      <c r="Y1267" s="652">
        <f>IF($B1267="",,SUMIFS(PerHeadcount[Month 14],PerHeadcount[exp_item],$H1267,PerHeadcount[company_name],$B1267)*Y217)</f>
        <v>0</v>
      </c>
      <c r="Z1267" s="652">
        <f>IF($B1267="",,SUMIFS(PerHeadcount[Month 15],PerHeadcount[exp_item],$H1267,PerHeadcount[company_name],$B1267)*Z217)</f>
        <v>0</v>
      </c>
      <c r="AA1267" s="652">
        <f>IF($B1267="",,SUMIFS(PerHeadcount[Month 16],PerHeadcount[exp_item],$H1267,PerHeadcount[company_name],$B1267)*AA217)</f>
        <v>0</v>
      </c>
      <c r="AB1267" s="652">
        <f>IF($B1267="",,SUMIFS(PerHeadcount[Month 17],PerHeadcount[exp_item],$H1267,PerHeadcount[company_name],$B1267)*AB217)</f>
        <v>0</v>
      </c>
      <c r="AC1267" s="652">
        <f>IF($B1267="",,SUMIFS(PerHeadcount[Month 18],PerHeadcount[exp_item],$H1267,PerHeadcount[company_name],$B1267)*AC217)</f>
        <v>0</v>
      </c>
      <c r="AD1267" s="652">
        <f>IF($B1267="",,SUMIFS(PerHeadcount[Month 19],PerHeadcount[exp_item],$H1267,PerHeadcount[company_name],$B1267)*AD217)</f>
        <v>0</v>
      </c>
      <c r="AE1267" s="652">
        <f>IF($B1267="",,SUMIFS(PerHeadcount[Month 20],PerHeadcount[exp_item],$H1267,PerHeadcount[company_name],$B1267)*AE217)</f>
        <v>0</v>
      </c>
      <c r="AF1267" s="652">
        <f>IF($B1267="",,SUMIFS(PerHeadcount[Month 21],PerHeadcount[exp_item],$H1267,PerHeadcount[company_name],$B1267)*AF217)</f>
        <v>0</v>
      </c>
      <c r="AG1267" s="652">
        <f>IF($B1267="",,SUMIFS(PerHeadcount[Month 22],PerHeadcount[exp_item],$H1267,PerHeadcount[company_name],$B1267)*AG217)</f>
        <v>0</v>
      </c>
      <c r="AH1267" s="652">
        <f>IF($B1267="",,SUMIFS(PerHeadcount[Month 23],PerHeadcount[exp_item],$H1267,PerHeadcount[company_name],$B1267)*AH217)</f>
        <v>0</v>
      </c>
      <c r="AI1267" s="652">
        <f>IF($B1267="",,SUMIFS(PerHeadcount[Month 24],PerHeadcount[exp_item],$H1267,PerHeadcount[company_name],$B1267)*AI217)</f>
        <v>0</v>
      </c>
      <c r="AJ1267" s="652">
        <f>IF($B1267="",,SUMIFS(PerHeadcount[Month 25],PerHeadcount[exp_item],$H1267,PerHeadcount[company_name],$B1267)*AJ217)</f>
        <v>0</v>
      </c>
      <c r="AK1267" s="652">
        <f>IF($B1267="",,SUMIFS(PerHeadcount[Month 26],PerHeadcount[exp_item],$H1267,PerHeadcount[company_name],$B1267)*AK217)</f>
        <v>0</v>
      </c>
      <c r="AL1267" s="652">
        <f>IF($B1267="",,SUMIFS(PerHeadcount[Month 27],PerHeadcount[exp_item],$H1267,PerHeadcount[company_name],$B1267)*AL217)</f>
        <v>0</v>
      </c>
      <c r="AM1267" s="652">
        <f>IF($B1267="",,SUMIFS(PerHeadcount[Month 28],PerHeadcount[exp_item],$H1267,PerHeadcount[company_name],$B1267)*AM217)</f>
        <v>0</v>
      </c>
      <c r="AN1267" s="652">
        <f>IF($B1267="",,SUMIFS(PerHeadcount[Month 29],PerHeadcount[exp_item],$H1267,PerHeadcount[company_name],$B1267)*AN217)</f>
        <v>0</v>
      </c>
      <c r="AO1267" s="652">
        <f>IF($B1267="",,SUMIFS(PerHeadcount[Month 30],PerHeadcount[exp_item],$H1267,PerHeadcount[company_name],$B1267)*AO217)</f>
        <v>0</v>
      </c>
      <c r="AP1267" s="652">
        <f>IF($B1267="",,SUMIFS(PerHeadcount[Month 31],PerHeadcount[exp_item],$H1267,PerHeadcount[company_name],$B1267)*AP217)</f>
        <v>0</v>
      </c>
      <c r="AQ1267" s="652">
        <f>IF($B1267="",,SUMIFS(PerHeadcount[Month 32],PerHeadcount[exp_item],$H1267,PerHeadcount[company_name],$B1267)*AQ217)</f>
        <v>0</v>
      </c>
      <c r="AR1267" s="652">
        <f>IF($B1267="",,SUMIFS(PerHeadcount[Month 33],PerHeadcount[exp_item],$H1267,PerHeadcount[company_name],$B1267)*AR217)</f>
        <v>0</v>
      </c>
      <c r="AS1267" s="652">
        <f>IF($B1267="",,SUMIFS(PerHeadcount[Month 34],PerHeadcount[exp_item],$H1267,PerHeadcount[company_name],$B1267)*AS217)</f>
        <v>0</v>
      </c>
      <c r="AT1267" s="652">
        <f>IF($B1267="",,SUMIFS(PerHeadcount[Month 35],PerHeadcount[exp_item],$H1267,PerHeadcount[company_name],$B1267)*AT217)</f>
        <v>0</v>
      </c>
      <c r="AU1267" s="652">
        <f>IF($B1267="",,SUMIFS(PerHeadcount[Month 36],PerHeadcount[exp_item],$H1267,PerHeadcount[company_name],$B1267)*AU217)</f>
        <v>0</v>
      </c>
    </row>
    <row r="1268" spans="2:47" x14ac:dyDescent="0.35">
      <c r="B1268" t="str">
        <f t="shared" si="881"/>
        <v/>
      </c>
      <c r="C1268" t="str">
        <f t="shared" ref="C1268:G1268" si="914">IF(C1163="","",C1163)</f>
        <v/>
      </c>
      <c r="D1268" t="str">
        <f t="shared" si="914"/>
        <v/>
      </c>
      <c r="E1268" t="str">
        <f t="shared" si="914"/>
        <v/>
      </c>
      <c r="F1268" t="str">
        <f t="shared" si="914"/>
        <v/>
      </c>
      <c r="G1268" t="str">
        <f t="shared" si="914"/>
        <v/>
      </c>
      <c r="H1268" t="str">
        <f t="shared" ref="H1268:H1299" si="915">IF(B1268="","",$B$1235)</f>
        <v/>
      </c>
      <c r="J1268" t="str">
        <f>IF($H1268="","",IF(VLOOKUP(H1268,ExpItems[],2,0),H1268&amp;" - "&amp;INDEX(DivisionMapping[category_code],MATCH($D1268&amp;$C1268,DivisionMapping[dept_bu],0)),H1268))</f>
        <v/>
      </c>
      <c r="K1268" t="str">
        <f t="shared" si="883"/>
        <v/>
      </c>
      <c r="L1268" s="652">
        <f>IF($B1268="",,SUMIFS(PerHeadcount[Month 1],PerHeadcount[exp_item],$H1268,PerHeadcount[company_name],$B1268)*L218)</f>
        <v>0</v>
      </c>
      <c r="M1268" s="652">
        <f>IF($B1268="",,SUMIFS(PerHeadcount[Month 2],PerHeadcount[exp_item],$H1268,PerHeadcount[company_name],$B1268)*M218)</f>
        <v>0</v>
      </c>
      <c r="N1268" s="652">
        <f>IF($B1268="",,SUMIFS(PerHeadcount[Month 3],PerHeadcount[exp_item],$H1268,PerHeadcount[company_name],$B1268)*N218)</f>
        <v>0</v>
      </c>
      <c r="O1268" s="652">
        <f>IF($B1268="",,SUMIFS(PerHeadcount[Month 4],PerHeadcount[exp_item],$H1268,PerHeadcount[company_name],$B1268)*O218)</f>
        <v>0</v>
      </c>
      <c r="P1268" s="652">
        <f>IF($B1268="",,SUMIFS(PerHeadcount[Month 5],PerHeadcount[exp_item],$H1268,PerHeadcount[company_name],$B1268)*P218)</f>
        <v>0</v>
      </c>
      <c r="Q1268" s="652">
        <f>IF($B1268="",,SUMIFS(PerHeadcount[Month 6],PerHeadcount[exp_item],$H1268,PerHeadcount[company_name],$B1268)*Q218)</f>
        <v>0</v>
      </c>
      <c r="R1268" s="652">
        <f>IF($B1268="",,SUMIFS(PerHeadcount[Month 7],PerHeadcount[exp_item],$H1268,PerHeadcount[company_name],$B1268)*R218)</f>
        <v>0</v>
      </c>
      <c r="S1268" s="652">
        <f>IF($B1268="",,SUMIFS(PerHeadcount[Month 8],PerHeadcount[exp_item],$H1268,PerHeadcount[company_name],$B1268)*S218)</f>
        <v>0</v>
      </c>
      <c r="T1268" s="652">
        <f>IF($B1268="",,SUMIFS(PerHeadcount[Month 9],PerHeadcount[exp_item],$H1268,PerHeadcount[company_name],$B1268)*T218)</f>
        <v>0</v>
      </c>
      <c r="U1268" s="652">
        <f>IF($B1268="",,SUMIFS(PerHeadcount[Month 10],PerHeadcount[exp_item],$H1268,PerHeadcount[company_name],$B1268)*U218)</f>
        <v>0</v>
      </c>
      <c r="V1268" s="652">
        <f>IF($B1268="",,SUMIFS(PerHeadcount[Month 11],PerHeadcount[exp_item],$H1268,PerHeadcount[company_name],$B1268)*V218)</f>
        <v>0</v>
      </c>
      <c r="W1268" s="652">
        <f>IF($B1268="",,SUMIFS(PerHeadcount[Month 12],PerHeadcount[exp_item],$H1268,PerHeadcount[company_name],$B1268)*W218)</f>
        <v>0</v>
      </c>
      <c r="X1268" s="652">
        <f>IF($B1268="",,SUMIFS(PerHeadcount[Month 13],PerHeadcount[exp_item],$H1268,PerHeadcount[company_name],$B1268)*X218)</f>
        <v>0</v>
      </c>
      <c r="Y1268" s="652">
        <f>IF($B1268="",,SUMIFS(PerHeadcount[Month 14],PerHeadcount[exp_item],$H1268,PerHeadcount[company_name],$B1268)*Y218)</f>
        <v>0</v>
      </c>
      <c r="Z1268" s="652">
        <f>IF($B1268="",,SUMIFS(PerHeadcount[Month 15],PerHeadcount[exp_item],$H1268,PerHeadcount[company_name],$B1268)*Z218)</f>
        <v>0</v>
      </c>
      <c r="AA1268" s="652">
        <f>IF($B1268="",,SUMIFS(PerHeadcount[Month 16],PerHeadcount[exp_item],$H1268,PerHeadcount[company_name],$B1268)*AA218)</f>
        <v>0</v>
      </c>
      <c r="AB1268" s="652">
        <f>IF($B1268="",,SUMIFS(PerHeadcount[Month 17],PerHeadcount[exp_item],$H1268,PerHeadcount[company_name],$B1268)*AB218)</f>
        <v>0</v>
      </c>
      <c r="AC1268" s="652">
        <f>IF($B1268="",,SUMIFS(PerHeadcount[Month 18],PerHeadcount[exp_item],$H1268,PerHeadcount[company_name],$B1268)*AC218)</f>
        <v>0</v>
      </c>
      <c r="AD1268" s="652">
        <f>IF($B1268="",,SUMIFS(PerHeadcount[Month 19],PerHeadcount[exp_item],$H1268,PerHeadcount[company_name],$B1268)*AD218)</f>
        <v>0</v>
      </c>
      <c r="AE1268" s="652">
        <f>IF($B1268="",,SUMIFS(PerHeadcount[Month 20],PerHeadcount[exp_item],$H1268,PerHeadcount[company_name],$B1268)*AE218)</f>
        <v>0</v>
      </c>
      <c r="AF1268" s="652">
        <f>IF($B1268="",,SUMIFS(PerHeadcount[Month 21],PerHeadcount[exp_item],$H1268,PerHeadcount[company_name],$B1268)*AF218)</f>
        <v>0</v>
      </c>
      <c r="AG1268" s="652">
        <f>IF($B1268="",,SUMIFS(PerHeadcount[Month 22],PerHeadcount[exp_item],$H1268,PerHeadcount[company_name],$B1268)*AG218)</f>
        <v>0</v>
      </c>
      <c r="AH1268" s="652">
        <f>IF($B1268="",,SUMIFS(PerHeadcount[Month 23],PerHeadcount[exp_item],$H1268,PerHeadcount[company_name],$B1268)*AH218)</f>
        <v>0</v>
      </c>
      <c r="AI1268" s="652">
        <f>IF($B1268="",,SUMIFS(PerHeadcount[Month 24],PerHeadcount[exp_item],$H1268,PerHeadcount[company_name],$B1268)*AI218)</f>
        <v>0</v>
      </c>
      <c r="AJ1268" s="652">
        <f>IF($B1268="",,SUMIFS(PerHeadcount[Month 25],PerHeadcount[exp_item],$H1268,PerHeadcount[company_name],$B1268)*AJ218)</f>
        <v>0</v>
      </c>
      <c r="AK1268" s="652">
        <f>IF($B1268="",,SUMIFS(PerHeadcount[Month 26],PerHeadcount[exp_item],$H1268,PerHeadcount[company_name],$B1268)*AK218)</f>
        <v>0</v>
      </c>
      <c r="AL1268" s="652">
        <f>IF($B1268="",,SUMIFS(PerHeadcount[Month 27],PerHeadcount[exp_item],$H1268,PerHeadcount[company_name],$B1268)*AL218)</f>
        <v>0</v>
      </c>
      <c r="AM1268" s="652">
        <f>IF($B1268="",,SUMIFS(PerHeadcount[Month 28],PerHeadcount[exp_item],$H1268,PerHeadcount[company_name],$B1268)*AM218)</f>
        <v>0</v>
      </c>
      <c r="AN1268" s="652">
        <f>IF($B1268="",,SUMIFS(PerHeadcount[Month 29],PerHeadcount[exp_item],$H1268,PerHeadcount[company_name],$B1268)*AN218)</f>
        <v>0</v>
      </c>
      <c r="AO1268" s="652">
        <f>IF($B1268="",,SUMIFS(PerHeadcount[Month 30],PerHeadcount[exp_item],$H1268,PerHeadcount[company_name],$B1268)*AO218)</f>
        <v>0</v>
      </c>
      <c r="AP1268" s="652">
        <f>IF($B1268="",,SUMIFS(PerHeadcount[Month 31],PerHeadcount[exp_item],$H1268,PerHeadcount[company_name],$B1268)*AP218)</f>
        <v>0</v>
      </c>
      <c r="AQ1268" s="652">
        <f>IF($B1268="",,SUMIFS(PerHeadcount[Month 32],PerHeadcount[exp_item],$H1268,PerHeadcount[company_name],$B1268)*AQ218)</f>
        <v>0</v>
      </c>
      <c r="AR1268" s="652">
        <f>IF($B1268="",,SUMIFS(PerHeadcount[Month 33],PerHeadcount[exp_item],$H1268,PerHeadcount[company_name],$B1268)*AR218)</f>
        <v>0</v>
      </c>
      <c r="AS1268" s="652">
        <f>IF($B1268="",,SUMIFS(PerHeadcount[Month 34],PerHeadcount[exp_item],$H1268,PerHeadcount[company_name],$B1268)*AS218)</f>
        <v>0</v>
      </c>
      <c r="AT1268" s="652">
        <f>IF($B1268="",,SUMIFS(PerHeadcount[Month 35],PerHeadcount[exp_item],$H1268,PerHeadcount[company_name],$B1268)*AT218)</f>
        <v>0</v>
      </c>
      <c r="AU1268" s="652">
        <f>IF($B1268="",,SUMIFS(PerHeadcount[Month 36],PerHeadcount[exp_item],$H1268,PerHeadcount[company_name],$B1268)*AU218)</f>
        <v>0</v>
      </c>
    </row>
    <row r="1269" spans="2:47" x14ac:dyDescent="0.35">
      <c r="B1269" t="str">
        <f t="shared" ref="B1269:B1300" si="916">IF(B1164="","",B1164)</f>
        <v/>
      </c>
      <c r="C1269" t="str">
        <f t="shared" ref="C1269:G1269" si="917">IF(C1164="","",C1164)</f>
        <v/>
      </c>
      <c r="D1269" t="str">
        <f t="shared" si="917"/>
        <v/>
      </c>
      <c r="E1269" t="str">
        <f t="shared" si="917"/>
        <v/>
      </c>
      <c r="F1269" t="str">
        <f t="shared" si="917"/>
        <v/>
      </c>
      <c r="G1269" t="str">
        <f t="shared" si="917"/>
        <v/>
      </c>
      <c r="H1269" t="str">
        <f t="shared" si="915"/>
        <v/>
      </c>
      <c r="J1269" t="str">
        <f>IF($H1269="","",IF(VLOOKUP(H1269,ExpItems[],2,0),H1269&amp;" - "&amp;INDEX(DivisionMapping[category_code],MATCH($D1269&amp;$C1269,DivisionMapping[dept_bu],0)),H1269))</f>
        <v/>
      </c>
      <c r="K1269" t="str">
        <f t="shared" si="883"/>
        <v/>
      </c>
      <c r="L1269" s="652">
        <f>IF($B1269="",,SUMIFS(PerHeadcount[Month 1],PerHeadcount[exp_item],$H1269,PerHeadcount[company_name],$B1269)*L219)</f>
        <v>0</v>
      </c>
      <c r="M1269" s="652">
        <f>IF($B1269="",,SUMIFS(PerHeadcount[Month 2],PerHeadcount[exp_item],$H1269,PerHeadcount[company_name],$B1269)*M219)</f>
        <v>0</v>
      </c>
      <c r="N1269" s="652">
        <f>IF($B1269="",,SUMIFS(PerHeadcount[Month 3],PerHeadcount[exp_item],$H1269,PerHeadcount[company_name],$B1269)*N219)</f>
        <v>0</v>
      </c>
      <c r="O1269" s="652">
        <f>IF($B1269="",,SUMIFS(PerHeadcount[Month 4],PerHeadcount[exp_item],$H1269,PerHeadcount[company_name],$B1269)*O219)</f>
        <v>0</v>
      </c>
      <c r="P1269" s="652">
        <f>IF($B1269="",,SUMIFS(PerHeadcount[Month 5],PerHeadcount[exp_item],$H1269,PerHeadcount[company_name],$B1269)*P219)</f>
        <v>0</v>
      </c>
      <c r="Q1269" s="652">
        <f>IF($B1269="",,SUMIFS(PerHeadcount[Month 6],PerHeadcount[exp_item],$H1269,PerHeadcount[company_name],$B1269)*Q219)</f>
        <v>0</v>
      </c>
      <c r="R1269" s="652">
        <f>IF($B1269="",,SUMIFS(PerHeadcount[Month 7],PerHeadcount[exp_item],$H1269,PerHeadcount[company_name],$B1269)*R219)</f>
        <v>0</v>
      </c>
      <c r="S1269" s="652">
        <f>IF($B1269="",,SUMIFS(PerHeadcount[Month 8],PerHeadcount[exp_item],$H1269,PerHeadcount[company_name],$B1269)*S219)</f>
        <v>0</v>
      </c>
      <c r="T1269" s="652">
        <f>IF($B1269="",,SUMIFS(PerHeadcount[Month 9],PerHeadcount[exp_item],$H1269,PerHeadcount[company_name],$B1269)*T219)</f>
        <v>0</v>
      </c>
      <c r="U1269" s="652">
        <f>IF($B1269="",,SUMIFS(PerHeadcount[Month 10],PerHeadcount[exp_item],$H1269,PerHeadcount[company_name],$B1269)*U219)</f>
        <v>0</v>
      </c>
      <c r="V1269" s="652">
        <f>IF($B1269="",,SUMIFS(PerHeadcount[Month 11],PerHeadcount[exp_item],$H1269,PerHeadcount[company_name],$B1269)*V219)</f>
        <v>0</v>
      </c>
      <c r="W1269" s="652">
        <f>IF($B1269="",,SUMIFS(PerHeadcount[Month 12],PerHeadcount[exp_item],$H1269,PerHeadcount[company_name],$B1269)*W219)</f>
        <v>0</v>
      </c>
      <c r="X1269" s="652">
        <f>IF($B1269="",,SUMIFS(PerHeadcount[Month 13],PerHeadcount[exp_item],$H1269,PerHeadcount[company_name],$B1269)*X219)</f>
        <v>0</v>
      </c>
      <c r="Y1269" s="652">
        <f>IF($B1269="",,SUMIFS(PerHeadcount[Month 14],PerHeadcount[exp_item],$H1269,PerHeadcount[company_name],$B1269)*Y219)</f>
        <v>0</v>
      </c>
      <c r="Z1269" s="652">
        <f>IF($B1269="",,SUMIFS(PerHeadcount[Month 15],PerHeadcount[exp_item],$H1269,PerHeadcount[company_name],$B1269)*Z219)</f>
        <v>0</v>
      </c>
      <c r="AA1269" s="652">
        <f>IF($B1269="",,SUMIFS(PerHeadcount[Month 16],PerHeadcount[exp_item],$H1269,PerHeadcount[company_name],$B1269)*AA219)</f>
        <v>0</v>
      </c>
      <c r="AB1269" s="652">
        <f>IF($B1269="",,SUMIFS(PerHeadcount[Month 17],PerHeadcount[exp_item],$H1269,PerHeadcount[company_name],$B1269)*AB219)</f>
        <v>0</v>
      </c>
      <c r="AC1269" s="652">
        <f>IF($B1269="",,SUMIFS(PerHeadcount[Month 18],PerHeadcount[exp_item],$H1269,PerHeadcount[company_name],$B1269)*AC219)</f>
        <v>0</v>
      </c>
      <c r="AD1269" s="652">
        <f>IF($B1269="",,SUMIFS(PerHeadcount[Month 19],PerHeadcount[exp_item],$H1269,PerHeadcount[company_name],$B1269)*AD219)</f>
        <v>0</v>
      </c>
      <c r="AE1269" s="652">
        <f>IF($B1269="",,SUMIFS(PerHeadcount[Month 20],PerHeadcount[exp_item],$H1269,PerHeadcount[company_name],$B1269)*AE219)</f>
        <v>0</v>
      </c>
      <c r="AF1269" s="652">
        <f>IF($B1269="",,SUMIFS(PerHeadcount[Month 21],PerHeadcount[exp_item],$H1269,PerHeadcount[company_name],$B1269)*AF219)</f>
        <v>0</v>
      </c>
      <c r="AG1269" s="652">
        <f>IF($B1269="",,SUMIFS(PerHeadcount[Month 22],PerHeadcount[exp_item],$H1269,PerHeadcount[company_name],$B1269)*AG219)</f>
        <v>0</v>
      </c>
      <c r="AH1269" s="652">
        <f>IF($B1269="",,SUMIFS(PerHeadcount[Month 23],PerHeadcount[exp_item],$H1269,PerHeadcount[company_name],$B1269)*AH219)</f>
        <v>0</v>
      </c>
      <c r="AI1269" s="652">
        <f>IF($B1269="",,SUMIFS(PerHeadcount[Month 24],PerHeadcount[exp_item],$H1269,PerHeadcount[company_name],$B1269)*AI219)</f>
        <v>0</v>
      </c>
      <c r="AJ1269" s="652">
        <f>IF($B1269="",,SUMIFS(PerHeadcount[Month 25],PerHeadcount[exp_item],$H1269,PerHeadcount[company_name],$B1269)*AJ219)</f>
        <v>0</v>
      </c>
      <c r="AK1269" s="652">
        <f>IF($B1269="",,SUMIFS(PerHeadcount[Month 26],PerHeadcount[exp_item],$H1269,PerHeadcount[company_name],$B1269)*AK219)</f>
        <v>0</v>
      </c>
      <c r="AL1269" s="652">
        <f>IF($B1269="",,SUMIFS(PerHeadcount[Month 27],PerHeadcount[exp_item],$H1269,PerHeadcount[company_name],$B1269)*AL219)</f>
        <v>0</v>
      </c>
      <c r="AM1269" s="652">
        <f>IF($B1269="",,SUMIFS(PerHeadcount[Month 28],PerHeadcount[exp_item],$H1269,PerHeadcount[company_name],$B1269)*AM219)</f>
        <v>0</v>
      </c>
      <c r="AN1269" s="652">
        <f>IF($B1269="",,SUMIFS(PerHeadcount[Month 29],PerHeadcount[exp_item],$H1269,PerHeadcount[company_name],$B1269)*AN219)</f>
        <v>0</v>
      </c>
      <c r="AO1269" s="652">
        <f>IF($B1269="",,SUMIFS(PerHeadcount[Month 30],PerHeadcount[exp_item],$H1269,PerHeadcount[company_name],$B1269)*AO219)</f>
        <v>0</v>
      </c>
      <c r="AP1269" s="652">
        <f>IF($B1269="",,SUMIFS(PerHeadcount[Month 31],PerHeadcount[exp_item],$H1269,PerHeadcount[company_name],$B1269)*AP219)</f>
        <v>0</v>
      </c>
      <c r="AQ1269" s="652">
        <f>IF($B1269="",,SUMIFS(PerHeadcount[Month 32],PerHeadcount[exp_item],$H1269,PerHeadcount[company_name],$B1269)*AQ219)</f>
        <v>0</v>
      </c>
      <c r="AR1269" s="652">
        <f>IF($B1269="",,SUMIFS(PerHeadcount[Month 33],PerHeadcount[exp_item],$H1269,PerHeadcount[company_name],$B1269)*AR219)</f>
        <v>0</v>
      </c>
      <c r="AS1269" s="652">
        <f>IF($B1269="",,SUMIFS(PerHeadcount[Month 34],PerHeadcount[exp_item],$H1269,PerHeadcount[company_name],$B1269)*AS219)</f>
        <v>0</v>
      </c>
      <c r="AT1269" s="652">
        <f>IF($B1269="",,SUMIFS(PerHeadcount[Month 35],PerHeadcount[exp_item],$H1269,PerHeadcount[company_name],$B1269)*AT219)</f>
        <v>0</v>
      </c>
      <c r="AU1269" s="652">
        <f>IF($B1269="",,SUMIFS(PerHeadcount[Month 36],PerHeadcount[exp_item],$H1269,PerHeadcount[company_name],$B1269)*AU219)</f>
        <v>0</v>
      </c>
    </row>
    <row r="1270" spans="2:47" x14ac:dyDescent="0.35">
      <c r="B1270" t="str">
        <f t="shared" si="916"/>
        <v/>
      </c>
      <c r="C1270" t="str">
        <f t="shared" ref="C1270:G1270" si="918">IF(C1165="","",C1165)</f>
        <v/>
      </c>
      <c r="D1270" t="str">
        <f t="shared" si="918"/>
        <v/>
      </c>
      <c r="E1270" t="str">
        <f t="shared" si="918"/>
        <v/>
      </c>
      <c r="F1270" t="str">
        <f t="shared" si="918"/>
        <v/>
      </c>
      <c r="G1270" t="str">
        <f t="shared" si="918"/>
        <v/>
      </c>
      <c r="H1270" t="str">
        <f t="shared" si="915"/>
        <v/>
      </c>
      <c r="J1270" t="str">
        <f>IF($H1270="","",IF(VLOOKUP(H1270,ExpItems[],2,0),H1270&amp;" - "&amp;INDEX(DivisionMapping[category_code],MATCH($D1270&amp;$C1270,DivisionMapping[dept_bu],0)),H1270))</f>
        <v/>
      </c>
      <c r="K1270" t="str">
        <f t="shared" si="883"/>
        <v/>
      </c>
      <c r="L1270" s="652">
        <f>IF($B1270="",,SUMIFS(PerHeadcount[Month 1],PerHeadcount[exp_item],$H1270,PerHeadcount[company_name],$B1270)*L220)</f>
        <v>0</v>
      </c>
      <c r="M1270" s="652">
        <f>IF($B1270="",,SUMIFS(PerHeadcount[Month 2],PerHeadcount[exp_item],$H1270,PerHeadcount[company_name],$B1270)*M220)</f>
        <v>0</v>
      </c>
      <c r="N1270" s="652">
        <f>IF($B1270="",,SUMIFS(PerHeadcount[Month 3],PerHeadcount[exp_item],$H1270,PerHeadcount[company_name],$B1270)*N220)</f>
        <v>0</v>
      </c>
      <c r="O1270" s="652">
        <f>IF($B1270="",,SUMIFS(PerHeadcount[Month 4],PerHeadcount[exp_item],$H1270,PerHeadcount[company_name],$B1270)*O220)</f>
        <v>0</v>
      </c>
      <c r="P1270" s="652">
        <f>IF($B1270="",,SUMIFS(PerHeadcount[Month 5],PerHeadcount[exp_item],$H1270,PerHeadcount[company_name],$B1270)*P220)</f>
        <v>0</v>
      </c>
      <c r="Q1270" s="652">
        <f>IF($B1270="",,SUMIFS(PerHeadcount[Month 6],PerHeadcount[exp_item],$H1270,PerHeadcount[company_name],$B1270)*Q220)</f>
        <v>0</v>
      </c>
      <c r="R1270" s="652">
        <f>IF($B1270="",,SUMIFS(PerHeadcount[Month 7],PerHeadcount[exp_item],$H1270,PerHeadcount[company_name],$B1270)*R220)</f>
        <v>0</v>
      </c>
      <c r="S1270" s="652">
        <f>IF($B1270="",,SUMIFS(PerHeadcount[Month 8],PerHeadcount[exp_item],$H1270,PerHeadcount[company_name],$B1270)*S220)</f>
        <v>0</v>
      </c>
      <c r="T1270" s="652">
        <f>IF($B1270="",,SUMIFS(PerHeadcount[Month 9],PerHeadcount[exp_item],$H1270,PerHeadcount[company_name],$B1270)*T220)</f>
        <v>0</v>
      </c>
      <c r="U1270" s="652">
        <f>IF($B1270="",,SUMIFS(PerHeadcount[Month 10],PerHeadcount[exp_item],$H1270,PerHeadcount[company_name],$B1270)*U220)</f>
        <v>0</v>
      </c>
      <c r="V1270" s="652">
        <f>IF($B1270="",,SUMIFS(PerHeadcount[Month 11],PerHeadcount[exp_item],$H1270,PerHeadcount[company_name],$B1270)*V220)</f>
        <v>0</v>
      </c>
      <c r="W1270" s="652">
        <f>IF($B1270="",,SUMIFS(PerHeadcount[Month 12],PerHeadcount[exp_item],$H1270,PerHeadcount[company_name],$B1270)*W220)</f>
        <v>0</v>
      </c>
      <c r="X1270" s="652">
        <f>IF($B1270="",,SUMIFS(PerHeadcount[Month 13],PerHeadcount[exp_item],$H1270,PerHeadcount[company_name],$B1270)*X220)</f>
        <v>0</v>
      </c>
      <c r="Y1270" s="652">
        <f>IF($B1270="",,SUMIFS(PerHeadcount[Month 14],PerHeadcount[exp_item],$H1270,PerHeadcount[company_name],$B1270)*Y220)</f>
        <v>0</v>
      </c>
      <c r="Z1270" s="652">
        <f>IF($B1270="",,SUMIFS(PerHeadcount[Month 15],PerHeadcount[exp_item],$H1270,PerHeadcount[company_name],$B1270)*Z220)</f>
        <v>0</v>
      </c>
      <c r="AA1270" s="652">
        <f>IF($B1270="",,SUMIFS(PerHeadcount[Month 16],PerHeadcount[exp_item],$H1270,PerHeadcount[company_name],$B1270)*AA220)</f>
        <v>0</v>
      </c>
      <c r="AB1270" s="652">
        <f>IF($B1270="",,SUMIFS(PerHeadcount[Month 17],PerHeadcount[exp_item],$H1270,PerHeadcount[company_name],$B1270)*AB220)</f>
        <v>0</v>
      </c>
      <c r="AC1270" s="652">
        <f>IF($B1270="",,SUMIFS(PerHeadcount[Month 18],PerHeadcount[exp_item],$H1270,PerHeadcount[company_name],$B1270)*AC220)</f>
        <v>0</v>
      </c>
      <c r="AD1270" s="652">
        <f>IF($B1270="",,SUMIFS(PerHeadcount[Month 19],PerHeadcount[exp_item],$H1270,PerHeadcount[company_name],$B1270)*AD220)</f>
        <v>0</v>
      </c>
      <c r="AE1270" s="652">
        <f>IF($B1270="",,SUMIFS(PerHeadcount[Month 20],PerHeadcount[exp_item],$H1270,PerHeadcount[company_name],$B1270)*AE220)</f>
        <v>0</v>
      </c>
      <c r="AF1270" s="652">
        <f>IF($B1270="",,SUMIFS(PerHeadcount[Month 21],PerHeadcount[exp_item],$H1270,PerHeadcount[company_name],$B1270)*AF220)</f>
        <v>0</v>
      </c>
      <c r="AG1270" s="652">
        <f>IF($B1270="",,SUMIFS(PerHeadcount[Month 22],PerHeadcount[exp_item],$H1270,PerHeadcount[company_name],$B1270)*AG220)</f>
        <v>0</v>
      </c>
      <c r="AH1270" s="652">
        <f>IF($B1270="",,SUMIFS(PerHeadcount[Month 23],PerHeadcount[exp_item],$H1270,PerHeadcount[company_name],$B1270)*AH220)</f>
        <v>0</v>
      </c>
      <c r="AI1270" s="652">
        <f>IF($B1270="",,SUMIFS(PerHeadcount[Month 24],PerHeadcount[exp_item],$H1270,PerHeadcount[company_name],$B1270)*AI220)</f>
        <v>0</v>
      </c>
      <c r="AJ1270" s="652">
        <f>IF($B1270="",,SUMIFS(PerHeadcount[Month 25],PerHeadcount[exp_item],$H1270,PerHeadcount[company_name],$B1270)*AJ220)</f>
        <v>0</v>
      </c>
      <c r="AK1270" s="652">
        <f>IF($B1270="",,SUMIFS(PerHeadcount[Month 26],PerHeadcount[exp_item],$H1270,PerHeadcount[company_name],$B1270)*AK220)</f>
        <v>0</v>
      </c>
      <c r="AL1270" s="652">
        <f>IF($B1270="",,SUMIFS(PerHeadcount[Month 27],PerHeadcount[exp_item],$H1270,PerHeadcount[company_name],$B1270)*AL220)</f>
        <v>0</v>
      </c>
      <c r="AM1270" s="652">
        <f>IF($B1270="",,SUMIFS(PerHeadcount[Month 28],PerHeadcount[exp_item],$H1270,PerHeadcount[company_name],$B1270)*AM220)</f>
        <v>0</v>
      </c>
      <c r="AN1270" s="652">
        <f>IF($B1270="",,SUMIFS(PerHeadcount[Month 29],PerHeadcount[exp_item],$H1270,PerHeadcount[company_name],$B1270)*AN220)</f>
        <v>0</v>
      </c>
      <c r="AO1270" s="652">
        <f>IF($B1270="",,SUMIFS(PerHeadcount[Month 30],PerHeadcount[exp_item],$H1270,PerHeadcount[company_name],$B1270)*AO220)</f>
        <v>0</v>
      </c>
      <c r="AP1270" s="652">
        <f>IF($B1270="",,SUMIFS(PerHeadcount[Month 31],PerHeadcount[exp_item],$H1270,PerHeadcount[company_name],$B1270)*AP220)</f>
        <v>0</v>
      </c>
      <c r="AQ1270" s="652">
        <f>IF($B1270="",,SUMIFS(PerHeadcount[Month 32],PerHeadcount[exp_item],$H1270,PerHeadcount[company_name],$B1270)*AQ220)</f>
        <v>0</v>
      </c>
      <c r="AR1270" s="652">
        <f>IF($B1270="",,SUMIFS(PerHeadcount[Month 33],PerHeadcount[exp_item],$H1270,PerHeadcount[company_name],$B1270)*AR220)</f>
        <v>0</v>
      </c>
      <c r="AS1270" s="652">
        <f>IF($B1270="",,SUMIFS(PerHeadcount[Month 34],PerHeadcount[exp_item],$H1270,PerHeadcount[company_name],$B1270)*AS220)</f>
        <v>0</v>
      </c>
      <c r="AT1270" s="652">
        <f>IF($B1270="",,SUMIFS(PerHeadcount[Month 35],PerHeadcount[exp_item],$H1270,PerHeadcount[company_name],$B1270)*AT220)</f>
        <v>0</v>
      </c>
      <c r="AU1270" s="652">
        <f>IF($B1270="",,SUMIFS(PerHeadcount[Month 36],PerHeadcount[exp_item],$H1270,PerHeadcount[company_name],$B1270)*AU220)</f>
        <v>0</v>
      </c>
    </row>
    <row r="1271" spans="2:47" x14ac:dyDescent="0.35">
      <c r="B1271" t="str">
        <f t="shared" si="916"/>
        <v/>
      </c>
      <c r="C1271" t="str">
        <f t="shared" ref="C1271:G1271" si="919">IF(C1166="","",C1166)</f>
        <v/>
      </c>
      <c r="D1271" t="str">
        <f t="shared" si="919"/>
        <v/>
      </c>
      <c r="E1271" t="str">
        <f t="shared" si="919"/>
        <v/>
      </c>
      <c r="F1271" t="str">
        <f t="shared" si="919"/>
        <v/>
      </c>
      <c r="G1271" t="str">
        <f t="shared" si="919"/>
        <v/>
      </c>
      <c r="H1271" t="str">
        <f t="shared" si="915"/>
        <v/>
      </c>
      <c r="J1271" t="str">
        <f>IF($H1271="","",IF(VLOOKUP(H1271,ExpItems[],2,0),H1271&amp;" - "&amp;INDEX(DivisionMapping[category_code],MATCH($D1271&amp;$C1271,DivisionMapping[dept_bu],0)),H1271))</f>
        <v/>
      </c>
      <c r="K1271" t="str">
        <f t="shared" si="883"/>
        <v/>
      </c>
      <c r="L1271" s="652">
        <f>IF($B1271="",,SUMIFS(PerHeadcount[Month 1],PerHeadcount[exp_item],$H1271,PerHeadcount[company_name],$B1271)*L221)</f>
        <v>0</v>
      </c>
      <c r="M1271" s="652">
        <f>IF($B1271="",,SUMIFS(PerHeadcount[Month 2],PerHeadcount[exp_item],$H1271,PerHeadcount[company_name],$B1271)*M221)</f>
        <v>0</v>
      </c>
      <c r="N1271" s="652">
        <f>IF($B1271="",,SUMIFS(PerHeadcount[Month 3],PerHeadcount[exp_item],$H1271,PerHeadcount[company_name],$B1271)*N221)</f>
        <v>0</v>
      </c>
      <c r="O1271" s="652">
        <f>IF($B1271="",,SUMIFS(PerHeadcount[Month 4],PerHeadcount[exp_item],$H1271,PerHeadcount[company_name],$B1271)*O221)</f>
        <v>0</v>
      </c>
      <c r="P1271" s="652">
        <f>IF($B1271="",,SUMIFS(PerHeadcount[Month 5],PerHeadcount[exp_item],$H1271,PerHeadcount[company_name],$B1271)*P221)</f>
        <v>0</v>
      </c>
      <c r="Q1271" s="652">
        <f>IF($B1271="",,SUMIFS(PerHeadcount[Month 6],PerHeadcount[exp_item],$H1271,PerHeadcount[company_name],$B1271)*Q221)</f>
        <v>0</v>
      </c>
      <c r="R1271" s="652">
        <f>IF($B1271="",,SUMIFS(PerHeadcount[Month 7],PerHeadcount[exp_item],$H1271,PerHeadcount[company_name],$B1271)*R221)</f>
        <v>0</v>
      </c>
      <c r="S1271" s="652">
        <f>IF($B1271="",,SUMIFS(PerHeadcount[Month 8],PerHeadcount[exp_item],$H1271,PerHeadcount[company_name],$B1271)*S221)</f>
        <v>0</v>
      </c>
      <c r="T1271" s="652">
        <f>IF($B1271="",,SUMIFS(PerHeadcount[Month 9],PerHeadcount[exp_item],$H1271,PerHeadcount[company_name],$B1271)*T221)</f>
        <v>0</v>
      </c>
      <c r="U1271" s="652">
        <f>IF($B1271="",,SUMIFS(PerHeadcount[Month 10],PerHeadcount[exp_item],$H1271,PerHeadcount[company_name],$B1271)*U221)</f>
        <v>0</v>
      </c>
      <c r="V1271" s="652">
        <f>IF($B1271="",,SUMIFS(PerHeadcount[Month 11],PerHeadcount[exp_item],$H1271,PerHeadcount[company_name],$B1271)*V221)</f>
        <v>0</v>
      </c>
      <c r="W1271" s="652">
        <f>IF($B1271="",,SUMIFS(PerHeadcount[Month 12],PerHeadcount[exp_item],$H1271,PerHeadcount[company_name],$B1271)*W221)</f>
        <v>0</v>
      </c>
      <c r="X1271" s="652">
        <f>IF($B1271="",,SUMIFS(PerHeadcount[Month 13],PerHeadcount[exp_item],$H1271,PerHeadcount[company_name],$B1271)*X221)</f>
        <v>0</v>
      </c>
      <c r="Y1271" s="652">
        <f>IF($B1271="",,SUMIFS(PerHeadcount[Month 14],PerHeadcount[exp_item],$H1271,PerHeadcount[company_name],$B1271)*Y221)</f>
        <v>0</v>
      </c>
      <c r="Z1271" s="652">
        <f>IF($B1271="",,SUMIFS(PerHeadcount[Month 15],PerHeadcount[exp_item],$H1271,PerHeadcount[company_name],$B1271)*Z221)</f>
        <v>0</v>
      </c>
      <c r="AA1271" s="652">
        <f>IF($B1271="",,SUMIFS(PerHeadcount[Month 16],PerHeadcount[exp_item],$H1271,PerHeadcount[company_name],$B1271)*AA221)</f>
        <v>0</v>
      </c>
      <c r="AB1271" s="652">
        <f>IF($B1271="",,SUMIFS(PerHeadcount[Month 17],PerHeadcount[exp_item],$H1271,PerHeadcount[company_name],$B1271)*AB221)</f>
        <v>0</v>
      </c>
      <c r="AC1271" s="652">
        <f>IF($B1271="",,SUMIFS(PerHeadcount[Month 18],PerHeadcount[exp_item],$H1271,PerHeadcount[company_name],$B1271)*AC221)</f>
        <v>0</v>
      </c>
      <c r="AD1271" s="652">
        <f>IF($B1271="",,SUMIFS(PerHeadcount[Month 19],PerHeadcount[exp_item],$H1271,PerHeadcount[company_name],$B1271)*AD221)</f>
        <v>0</v>
      </c>
      <c r="AE1271" s="652">
        <f>IF($B1271="",,SUMIFS(PerHeadcount[Month 20],PerHeadcount[exp_item],$H1271,PerHeadcount[company_name],$B1271)*AE221)</f>
        <v>0</v>
      </c>
      <c r="AF1271" s="652">
        <f>IF($B1271="",,SUMIFS(PerHeadcount[Month 21],PerHeadcount[exp_item],$H1271,PerHeadcount[company_name],$B1271)*AF221)</f>
        <v>0</v>
      </c>
      <c r="AG1271" s="652">
        <f>IF($B1271="",,SUMIFS(PerHeadcount[Month 22],PerHeadcount[exp_item],$H1271,PerHeadcount[company_name],$B1271)*AG221)</f>
        <v>0</v>
      </c>
      <c r="AH1271" s="652">
        <f>IF($B1271="",,SUMIFS(PerHeadcount[Month 23],PerHeadcount[exp_item],$H1271,PerHeadcount[company_name],$B1271)*AH221)</f>
        <v>0</v>
      </c>
      <c r="AI1271" s="652">
        <f>IF($B1271="",,SUMIFS(PerHeadcount[Month 24],PerHeadcount[exp_item],$H1271,PerHeadcount[company_name],$B1271)*AI221)</f>
        <v>0</v>
      </c>
      <c r="AJ1271" s="652">
        <f>IF($B1271="",,SUMIFS(PerHeadcount[Month 25],PerHeadcount[exp_item],$H1271,PerHeadcount[company_name],$B1271)*AJ221)</f>
        <v>0</v>
      </c>
      <c r="AK1271" s="652">
        <f>IF($B1271="",,SUMIFS(PerHeadcount[Month 26],PerHeadcount[exp_item],$H1271,PerHeadcount[company_name],$B1271)*AK221)</f>
        <v>0</v>
      </c>
      <c r="AL1271" s="652">
        <f>IF($B1271="",,SUMIFS(PerHeadcount[Month 27],PerHeadcount[exp_item],$H1271,PerHeadcount[company_name],$B1271)*AL221)</f>
        <v>0</v>
      </c>
      <c r="AM1271" s="652">
        <f>IF($B1271="",,SUMIFS(PerHeadcount[Month 28],PerHeadcount[exp_item],$H1271,PerHeadcount[company_name],$B1271)*AM221)</f>
        <v>0</v>
      </c>
      <c r="AN1271" s="652">
        <f>IF($B1271="",,SUMIFS(PerHeadcount[Month 29],PerHeadcount[exp_item],$H1271,PerHeadcount[company_name],$B1271)*AN221)</f>
        <v>0</v>
      </c>
      <c r="AO1271" s="652">
        <f>IF($B1271="",,SUMIFS(PerHeadcount[Month 30],PerHeadcount[exp_item],$H1271,PerHeadcount[company_name],$B1271)*AO221)</f>
        <v>0</v>
      </c>
      <c r="AP1271" s="652">
        <f>IF($B1271="",,SUMIFS(PerHeadcount[Month 31],PerHeadcount[exp_item],$H1271,PerHeadcount[company_name],$B1271)*AP221)</f>
        <v>0</v>
      </c>
      <c r="AQ1271" s="652">
        <f>IF($B1271="",,SUMIFS(PerHeadcount[Month 32],PerHeadcount[exp_item],$H1271,PerHeadcount[company_name],$B1271)*AQ221)</f>
        <v>0</v>
      </c>
      <c r="AR1271" s="652">
        <f>IF($B1271="",,SUMIFS(PerHeadcount[Month 33],PerHeadcount[exp_item],$H1271,PerHeadcount[company_name],$B1271)*AR221)</f>
        <v>0</v>
      </c>
      <c r="AS1271" s="652">
        <f>IF($B1271="",,SUMIFS(PerHeadcount[Month 34],PerHeadcount[exp_item],$H1271,PerHeadcount[company_name],$B1271)*AS221)</f>
        <v>0</v>
      </c>
      <c r="AT1271" s="652">
        <f>IF($B1271="",,SUMIFS(PerHeadcount[Month 35],PerHeadcount[exp_item],$H1271,PerHeadcount[company_name],$B1271)*AT221)</f>
        <v>0</v>
      </c>
      <c r="AU1271" s="652">
        <f>IF($B1271="",,SUMIFS(PerHeadcount[Month 36],PerHeadcount[exp_item],$H1271,PerHeadcount[company_name],$B1271)*AU221)</f>
        <v>0</v>
      </c>
    </row>
    <row r="1272" spans="2:47" x14ac:dyDescent="0.35">
      <c r="B1272" t="str">
        <f t="shared" si="916"/>
        <v/>
      </c>
      <c r="C1272" t="str">
        <f t="shared" ref="C1272:G1272" si="920">IF(C1167="","",C1167)</f>
        <v/>
      </c>
      <c r="D1272" t="str">
        <f t="shared" si="920"/>
        <v/>
      </c>
      <c r="E1272" t="str">
        <f t="shared" si="920"/>
        <v/>
      </c>
      <c r="F1272" t="str">
        <f t="shared" si="920"/>
        <v/>
      </c>
      <c r="G1272" t="str">
        <f t="shared" si="920"/>
        <v/>
      </c>
      <c r="H1272" t="str">
        <f t="shared" si="915"/>
        <v/>
      </c>
      <c r="J1272" t="str">
        <f>IF($H1272="","",IF(VLOOKUP(H1272,ExpItems[],2,0),H1272&amp;" - "&amp;INDEX(DivisionMapping[category_code],MATCH($D1272&amp;$C1272,DivisionMapping[dept_bu],0)),H1272))</f>
        <v/>
      </c>
      <c r="K1272" t="str">
        <f t="shared" si="883"/>
        <v/>
      </c>
      <c r="L1272" s="652">
        <f>IF($B1272="",,SUMIFS(PerHeadcount[Month 1],PerHeadcount[exp_item],$H1272,PerHeadcount[company_name],$B1272)*L222)</f>
        <v>0</v>
      </c>
      <c r="M1272" s="652">
        <f>IF($B1272="",,SUMIFS(PerHeadcount[Month 2],PerHeadcount[exp_item],$H1272,PerHeadcount[company_name],$B1272)*M222)</f>
        <v>0</v>
      </c>
      <c r="N1272" s="652">
        <f>IF($B1272="",,SUMIFS(PerHeadcount[Month 3],PerHeadcount[exp_item],$H1272,PerHeadcount[company_name],$B1272)*N222)</f>
        <v>0</v>
      </c>
      <c r="O1272" s="652">
        <f>IF($B1272="",,SUMIFS(PerHeadcount[Month 4],PerHeadcount[exp_item],$H1272,PerHeadcount[company_name],$B1272)*O222)</f>
        <v>0</v>
      </c>
      <c r="P1272" s="652">
        <f>IF($B1272="",,SUMIFS(PerHeadcount[Month 5],PerHeadcount[exp_item],$H1272,PerHeadcount[company_name],$B1272)*P222)</f>
        <v>0</v>
      </c>
      <c r="Q1272" s="652">
        <f>IF($B1272="",,SUMIFS(PerHeadcount[Month 6],PerHeadcount[exp_item],$H1272,PerHeadcount[company_name],$B1272)*Q222)</f>
        <v>0</v>
      </c>
      <c r="R1272" s="652">
        <f>IF($B1272="",,SUMIFS(PerHeadcount[Month 7],PerHeadcount[exp_item],$H1272,PerHeadcount[company_name],$B1272)*R222)</f>
        <v>0</v>
      </c>
      <c r="S1272" s="652">
        <f>IF($B1272="",,SUMIFS(PerHeadcount[Month 8],PerHeadcount[exp_item],$H1272,PerHeadcount[company_name],$B1272)*S222)</f>
        <v>0</v>
      </c>
      <c r="T1272" s="652">
        <f>IF($B1272="",,SUMIFS(PerHeadcount[Month 9],PerHeadcount[exp_item],$H1272,PerHeadcount[company_name],$B1272)*T222)</f>
        <v>0</v>
      </c>
      <c r="U1272" s="652">
        <f>IF($B1272="",,SUMIFS(PerHeadcount[Month 10],PerHeadcount[exp_item],$H1272,PerHeadcount[company_name],$B1272)*U222)</f>
        <v>0</v>
      </c>
      <c r="V1272" s="652">
        <f>IF($B1272="",,SUMIFS(PerHeadcount[Month 11],PerHeadcount[exp_item],$H1272,PerHeadcount[company_name],$B1272)*V222)</f>
        <v>0</v>
      </c>
      <c r="W1272" s="652">
        <f>IF($B1272="",,SUMIFS(PerHeadcount[Month 12],PerHeadcount[exp_item],$H1272,PerHeadcount[company_name],$B1272)*W222)</f>
        <v>0</v>
      </c>
      <c r="X1272" s="652">
        <f>IF($B1272="",,SUMIFS(PerHeadcount[Month 13],PerHeadcount[exp_item],$H1272,PerHeadcount[company_name],$B1272)*X222)</f>
        <v>0</v>
      </c>
      <c r="Y1272" s="652">
        <f>IF($B1272="",,SUMIFS(PerHeadcount[Month 14],PerHeadcount[exp_item],$H1272,PerHeadcount[company_name],$B1272)*Y222)</f>
        <v>0</v>
      </c>
      <c r="Z1272" s="652">
        <f>IF($B1272="",,SUMIFS(PerHeadcount[Month 15],PerHeadcount[exp_item],$H1272,PerHeadcount[company_name],$B1272)*Z222)</f>
        <v>0</v>
      </c>
      <c r="AA1272" s="652">
        <f>IF($B1272="",,SUMIFS(PerHeadcount[Month 16],PerHeadcount[exp_item],$H1272,PerHeadcount[company_name],$B1272)*AA222)</f>
        <v>0</v>
      </c>
      <c r="AB1272" s="652">
        <f>IF($B1272="",,SUMIFS(PerHeadcount[Month 17],PerHeadcount[exp_item],$H1272,PerHeadcount[company_name],$B1272)*AB222)</f>
        <v>0</v>
      </c>
      <c r="AC1272" s="652">
        <f>IF($B1272="",,SUMIFS(PerHeadcount[Month 18],PerHeadcount[exp_item],$H1272,PerHeadcount[company_name],$B1272)*AC222)</f>
        <v>0</v>
      </c>
      <c r="AD1272" s="652">
        <f>IF($B1272="",,SUMIFS(PerHeadcount[Month 19],PerHeadcount[exp_item],$H1272,PerHeadcount[company_name],$B1272)*AD222)</f>
        <v>0</v>
      </c>
      <c r="AE1272" s="652">
        <f>IF($B1272="",,SUMIFS(PerHeadcount[Month 20],PerHeadcount[exp_item],$H1272,PerHeadcount[company_name],$B1272)*AE222)</f>
        <v>0</v>
      </c>
      <c r="AF1272" s="652">
        <f>IF($B1272="",,SUMIFS(PerHeadcount[Month 21],PerHeadcount[exp_item],$H1272,PerHeadcount[company_name],$B1272)*AF222)</f>
        <v>0</v>
      </c>
      <c r="AG1272" s="652">
        <f>IF($B1272="",,SUMIFS(PerHeadcount[Month 22],PerHeadcount[exp_item],$H1272,PerHeadcount[company_name],$B1272)*AG222)</f>
        <v>0</v>
      </c>
      <c r="AH1272" s="652">
        <f>IF($B1272="",,SUMIFS(PerHeadcount[Month 23],PerHeadcount[exp_item],$H1272,PerHeadcount[company_name],$B1272)*AH222)</f>
        <v>0</v>
      </c>
      <c r="AI1272" s="652">
        <f>IF($B1272="",,SUMIFS(PerHeadcount[Month 24],PerHeadcount[exp_item],$H1272,PerHeadcount[company_name],$B1272)*AI222)</f>
        <v>0</v>
      </c>
      <c r="AJ1272" s="652">
        <f>IF($B1272="",,SUMIFS(PerHeadcount[Month 25],PerHeadcount[exp_item],$H1272,PerHeadcount[company_name],$B1272)*AJ222)</f>
        <v>0</v>
      </c>
      <c r="AK1272" s="652">
        <f>IF($B1272="",,SUMIFS(PerHeadcount[Month 26],PerHeadcount[exp_item],$H1272,PerHeadcount[company_name],$B1272)*AK222)</f>
        <v>0</v>
      </c>
      <c r="AL1272" s="652">
        <f>IF($B1272="",,SUMIFS(PerHeadcount[Month 27],PerHeadcount[exp_item],$H1272,PerHeadcount[company_name],$B1272)*AL222)</f>
        <v>0</v>
      </c>
      <c r="AM1272" s="652">
        <f>IF($B1272="",,SUMIFS(PerHeadcount[Month 28],PerHeadcount[exp_item],$H1272,PerHeadcount[company_name],$B1272)*AM222)</f>
        <v>0</v>
      </c>
      <c r="AN1272" s="652">
        <f>IF($B1272="",,SUMIFS(PerHeadcount[Month 29],PerHeadcount[exp_item],$H1272,PerHeadcount[company_name],$B1272)*AN222)</f>
        <v>0</v>
      </c>
      <c r="AO1272" s="652">
        <f>IF($B1272="",,SUMIFS(PerHeadcount[Month 30],PerHeadcount[exp_item],$H1272,PerHeadcount[company_name],$B1272)*AO222)</f>
        <v>0</v>
      </c>
      <c r="AP1272" s="652">
        <f>IF($B1272="",,SUMIFS(PerHeadcount[Month 31],PerHeadcount[exp_item],$H1272,PerHeadcount[company_name],$B1272)*AP222)</f>
        <v>0</v>
      </c>
      <c r="AQ1272" s="652">
        <f>IF($B1272="",,SUMIFS(PerHeadcount[Month 32],PerHeadcount[exp_item],$H1272,PerHeadcount[company_name],$B1272)*AQ222)</f>
        <v>0</v>
      </c>
      <c r="AR1272" s="652">
        <f>IF($B1272="",,SUMIFS(PerHeadcount[Month 33],PerHeadcount[exp_item],$H1272,PerHeadcount[company_name],$B1272)*AR222)</f>
        <v>0</v>
      </c>
      <c r="AS1272" s="652">
        <f>IF($B1272="",,SUMIFS(PerHeadcount[Month 34],PerHeadcount[exp_item],$H1272,PerHeadcount[company_name],$B1272)*AS222)</f>
        <v>0</v>
      </c>
      <c r="AT1272" s="652">
        <f>IF($B1272="",,SUMIFS(PerHeadcount[Month 35],PerHeadcount[exp_item],$H1272,PerHeadcount[company_name],$B1272)*AT222)</f>
        <v>0</v>
      </c>
      <c r="AU1272" s="652">
        <f>IF($B1272="",,SUMIFS(PerHeadcount[Month 36],PerHeadcount[exp_item],$H1272,PerHeadcount[company_name],$B1272)*AU222)</f>
        <v>0</v>
      </c>
    </row>
    <row r="1273" spans="2:47" x14ac:dyDescent="0.35">
      <c r="B1273" t="str">
        <f t="shared" si="916"/>
        <v/>
      </c>
      <c r="C1273" t="str">
        <f t="shared" ref="C1273:G1273" si="921">IF(C1168="","",C1168)</f>
        <v/>
      </c>
      <c r="D1273" t="str">
        <f t="shared" si="921"/>
        <v/>
      </c>
      <c r="E1273" t="str">
        <f t="shared" si="921"/>
        <v/>
      </c>
      <c r="F1273" t="str">
        <f t="shared" si="921"/>
        <v/>
      </c>
      <c r="G1273" t="str">
        <f t="shared" si="921"/>
        <v/>
      </c>
      <c r="H1273" t="str">
        <f t="shared" si="915"/>
        <v/>
      </c>
      <c r="J1273" t="str">
        <f>IF($H1273="","",IF(VLOOKUP(H1273,ExpItems[],2,0),H1273&amp;" - "&amp;INDEX(DivisionMapping[category_code],MATCH($D1273&amp;$C1273,DivisionMapping[dept_bu],0)),H1273))</f>
        <v/>
      </c>
      <c r="K1273" t="str">
        <f t="shared" si="883"/>
        <v/>
      </c>
      <c r="L1273" s="652">
        <f>IF($B1273="",,SUMIFS(PerHeadcount[Month 1],PerHeadcount[exp_item],$H1273,PerHeadcount[company_name],$B1273)*L223)</f>
        <v>0</v>
      </c>
      <c r="M1273" s="652">
        <f>IF($B1273="",,SUMIFS(PerHeadcount[Month 2],PerHeadcount[exp_item],$H1273,PerHeadcount[company_name],$B1273)*M223)</f>
        <v>0</v>
      </c>
      <c r="N1273" s="652">
        <f>IF($B1273="",,SUMIFS(PerHeadcount[Month 3],PerHeadcount[exp_item],$H1273,PerHeadcount[company_name],$B1273)*N223)</f>
        <v>0</v>
      </c>
      <c r="O1273" s="652">
        <f>IF($B1273="",,SUMIFS(PerHeadcount[Month 4],PerHeadcount[exp_item],$H1273,PerHeadcount[company_name],$B1273)*O223)</f>
        <v>0</v>
      </c>
      <c r="P1273" s="652">
        <f>IF($B1273="",,SUMIFS(PerHeadcount[Month 5],PerHeadcount[exp_item],$H1273,PerHeadcount[company_name],$B1273)*P223)</f>
        <v>0</v>
      </c>
      <c r="Q1273" s="652">
        <f>IF($B1273="",,SUMIFS(PerHeadcount[Month 6],PerHeadcount[exp_item],$H1273,PerHeadcount[company_name],$B1273)*Q223)</f>
        <v>0</v>
      </c>
      <c r="R1273" s="652">
        <f>IF($B1273="",,SUMIFS(PerHeadcount[Month 7],PerHeadcount[exp_item],$H1273,PerHeadcount[company_name],$B1273)*R223)</f>
        <v>0</v>
      </c>
      <c r="S1273" s="652">
        <f>IF($B1273="",,SUMIFS(PerHeadcount[Month 8],PerHeadcount[exp_item],$H1273,PerHeadcount[company_name],$B1273)*S223)</f>
        <v>0</v>
      </c>
      <c r="T1273" s="652">
        <f>IF($B1273="",,SUMIFS(PerHeadcount[Month 9],PerHeadcount[exp_item],$H1273,PerHeadcount[company_name],$B1273)*T223)</f>
        <v>0</v>
      </c>
      <c r="U1273" s="652">
        <f>IF($B1273="",,SUMIFS(PerHeadcount[Month 10],PerHeadcount[exp_item],$H1273,PerHeadcount[company_name],$B1273)*U223)</f>
        <v>0</v>
      </c>
      <c r="V1273" s="652">
        <f>IF($B1273="",,SUMIFS(PerHeadcount[Month 11],PerHeadcount[exp_item],$H1273,PerHeadcount[company_name],$B1273)*V223)</f>
        <v>0</v>
      </c>
      <c r="W1273" s="652">
        <f>IF($B1273="",,SUMIFS(PerHeadcount[Month 12],PerHeadcount[exp_item],$H1273,PerHeadcount[company_name],$B1273)*W223)</f>
        <v>0</v>
      </c>
      <c r="X1273" s="652">
        <f>IF($B1273="",,SUMIFS(PerHeadcount[Month 13],PerHeadcount[exp_item],$H1273,PerHeadcount[company_name],$B1273)*X223)</f>
        <v>0</v>
      </c>
      <c r="Y1273" s="652">
        <f>IF($B1273="",,SUMIFS(PerHeadcount[Month 14],PerHeadcount[exp_item],$H1273,PerHeadcount[company_name],$B1273)*Y223)</f>
        <v>0</v>
      </c>
      <c r="Z1273" s="652">
        <f>IF($B1273="",,SUMIFS(PerHeadcount[Month 15],PerHeadcount[exp_item],$H1273,PerHeadcount[company_name],$B1273)*Z223)</f>
        <v>0</v>
      </c>
      <c r="AA1273" s="652">
        <f>IF($B1273="",,SUMIFS(PerHeadcount[Month 16],PerHeadcount[exp_item],$H1273,PerHeadcount[company_name],$B1273)*AA223)</f>
        <v>0</v>
      </c>
      <c r="AB1273" s="652">
        <f>IF($B1273="",,SUMIFS(PerHeadcount[Month 17],PerHeadcount[exp_item],$H1273,PerHeadcount[company_name],$B1273)*AB223)</f>
        <v>0</v>
      </c>
      <c r="AC1273" s="652">
        <f>IF($B1273="",,SUMIFS(PerHeadcount[Month 18],PerHeadcount[exp_item],$H1273,PerHeadcount[company_name],$B1273)*AC223)</f>
        <v>0</v>
      </c>
      <c r="AD1273" s="652">
        <f>IF($B1273="",,SUMIFS(PerHeadcount[Month 19],PerHeadcount[exp_item],$H1273,PerHeadcount[company_name],$B1273)*AD223)</f>
        <v>0</v>
      </c>
      <c r="AE1273" s="652">
        <f>IF($B1273="",,SUMIFS(PerHeadcount[Month 20],PerHeadcount[exp_item],$H1273,PerHeadcount[company_name],$B1273)*AE223)</f>
        <v>0</v>
      </c>
      <c r="AF1273" s="652">
        <f>IF($B1273="",,SUMIFS(PerHeadcount[Month 21],PerHeadcount[exp_item],$H1273,PerHeadcount[company_name],$B1273)*AF223)</f>
        <v>0</v>
      </c>
      <c r="AG1273" s="652">
        <f>IF($B1273="",,SUMIFS(PerHeadcount[Month 22],PerHeadcount[exp_item],$H1273,PerHeadcount[company_name],$B1273)*AG223)</f>
        <v>0</v>
      </c>
      <c r="AH1273" s="652">
        <f>IF($B1273="",,SUMIFS(PerHeadcount[Month 23],PerHeadcount[exp_item],$H1273,PerHeadcount[company_name],$B1273)*AH223)</f>
        <v>0</v>
      </c>
      <c r="AI1273" s="652">
        <f>IF($B1273="",,SUMIFS(PerHeadcount[Month 24],PerHeadcount[exp_item],$H1273,PerHeadcount[company_name],$B1273)*AI223)</f>
        <v>0</v>
      </c>
      <c r="AJ1273" s="652">
        <f>IF($B1273="",,SUMIFS(PerHeadcount[Month 25],PerHeadcount[exp_item],$H1273,PerHeadcount[company_name],$B1273)*AJ223)</f>
        <v>0</v>
      </c>
      <c r="AK1273" s="652">
        <f>IF($B1273="",,SUMIFS(PerHeadcount[Month 26],PerHeadcount[exp_item],$H1273,PerHeadcount[company_name],$B1273)*AK223)</f>
        <v>0</v>
      </c>
      <c r="AL1273" s="652">
        <f>IF($B1273="",,SUMIFS(PerHeadcount[Month 27],PerHeadcount[exp_item],$H1273,PerHeadcount[company_name],$B1273)*AL223)</f>
        <v>0</v>
      </c>
      <c r="AM1273" s="652">
        <f>IF($B1273="",,SUMIFS(PerHeadcount[Month 28],PerHeadcount[exp_item],$H1273,PerHeadcount[company_name],$B1273)*AM223)</f>
        <v>0</v>
      </c>
      <c r="AN1273" s="652">
        <f>IF($B1273="",,SUMIFS(PerHeadcount[Month 29],PerHeadcount[exp_item],$H1273,PerHeadcount[company_name],$B1273)*AN223)</f>
        <v>0</v>
      </c>
      <c r="AO1273" s="652">
        <f>IF($B1273="",,SUMIFS(PerHeadcount[Month 30],PerHeadcount[exp_item],$H1273,PerHeadcount[company_name],$B1273)*AO223)</f>
        <v>0</v>
      </c>
      <c r="AP1273" s="652">
        <f>IF($B1273="",,SUMIFS(PerHeadcount[Month 31],PerHeadcount[exp_item],$H1273,PerHeadcount[company_name],$B1273)*AP223)</f>
        <v>0</v>
      </c>
      <c r="AQ1273" s="652">
        <f>IF($B1273="",,SUMIFS(PerHeadcount[Month 32],PerHeadcount[exp_item],$H1273,PerHeadcount[company_name],$B1273)*AQ223)</f>
        <v>0</v>
      </c>
      <c r="AR1273" s="652">
        <f>IF($B1273="",,SUMIFS(PerHeadcount[Month 33],PerHeadcount[exp_item],$H1273,PerHeadcount[company_name],$B1273)*AR223)</f>
        <v>0</v>
      </c>
      <c r="AS1273" s="652">
        <f>IF($B1273="",,SUMIFS(PerHeadcount[Month 34],PerHeadcount[exp_item],$H1273,PerHeadcount[company_name],$B1273)*AS223)</f>
        <v>0</v>
      </c>
      <c r="AT1273" s="652">
        <f>IF($B1273="",,SUMIFS(PerHeadcount[Month 35],PerHeadcount[exp_item],$H1273,PerHeadcount[company_name],$B1273)*AT223)</f>
        <v>0</v>
      </c>
      <c r="AU1273" s="652">
        <f>IF($B1273="",,SUMIFS(PerHeadcount[Month 36],PerHeadcount[exp_item],$H1273,PerHeadcount[company_name],$B1273)*AU223)</f>
        <v>0</v>
      </c>
    </row>
    <row r="1274" spans="2:47" x14ac:dyDescent="0.35">
      <c r="B1274" t="str">
        <f t="shared" si="916"/>
        <v/>
      </c>
      <c r="C1274" t="str">
        <f t="shared" ref="C1274:G1274" si="922">IF(C1169="","",C1169)</f>
        <v/>
      </c>
      <c r="D1274" t="str">
        <f t="shared" si="922"/>
        <v/>
      </c>
      <c r="E1274" t="str">
        <f t="shared" si="922"/>
        <v/>
      </c>
      <c r="F1274" t="str">
        <f t="shared" si="922"/>
        <v/>
      </c>
      <c r="G1274" t="str">
        <f t="shared" si="922"/>
        <v/>
      </c>
      <c r="H1274" t="str">
        <f t="shared" si="915"/>
        <v/>
      </c>
      <c r="J1274" t="str">
        <f>IF($H1274="","",IF(VLOOKUP(H1274,ExpItems[],2,0),H1274&amp;" - "&amp;INDEX(DivisionMapping[category_code],MATCH($D1274&amp;$C1274,DivisionMapping[dept_bu],0)),H1274))</f>
        <v/>
      </c>
      <c r="K1274" t="str">
        <f t="shared" si="883"/>
        <v/>
      </c>
      <c r="L1274" s="652">
        <f>IF($B1274="",,SUMIFS(PerHeadcount[Month 1],PerHeadcount[exp_item],$H1274,PerHeadcount[company_name],$B1274)*L224)</f>
        <v>0</v>
      </c>
      <c r="M1274" s="652">
        <f>IF($B1274="",,SUMIFS(PerHeadcount[Month 2],PerHeadcount[exp_item],$H1274,PerHeadcount[company_name],$B1274)*M224)</f>
        <v>0</v>
      </c>
      <c r="N1274" s="652">
        <f>IF($B1274="",,SUMIFS(PerHeadcount[Month 3],PerHeadcount[exp_item],$H1274,PerHeadcount[company_name],$B1274)*N224)</f>
        <v>0</v>
      </c>
      <c r="O1274" s="652">
        <f>IF($B1274="",,SUMIFS(PerHeadcount[Month 4],PerHeadcount[exp_item],$H1274,PerHeadcount[company_name],$B1274)*O224)</f>
        <v>0</v>
      </c>
      <c r="P1274" s="652">
        <f>IF($B1274="",,SUMIFS(PerHeadcount[Month 5],PerHeadcount[exp_item],$H1274,PerHeadcount[company_name],$B1274)*P224)</f>
        <v>0</v>
      </c>
      <c r="Q1274" s="652">
        <f>IF($B1274="",,SUMIFS(PerHeadcount[Month 6],PerHeadcount[exp_item],$H1274,PerHeadcount[company_name],$B1274)*Q224)</f>
        <v>0</v>
      </c>
      <c r="R1274" s="652">
        <f>IF($B1274="",,SUMIFS(PerHeadcount[Month 7],PerHeadcount[exp_item],$H1274,PerHeadcount[company_name],$B1274)*R224)</f>
        <v>0</v>
      </c>
      <c r="S1274" s="652">
        <f>IF($B1274="",,SUMIFS(PerHeadcount[Month 8],PerHeadcount[exp_item],$H1274,PerHeadcount[company_name],$B1274)*S224)</f>
        <v>0</v>
      </c>
      <c r="T1274" s="652">
        <f>IF($B1274="",,SUMIFS(PerHeadcount[Month 9],PerHeadcount[exp_item],$H1274,PerHeadcount[company_name],$B1274)*T224)</f>
        <v>0</v>
      </c>
      <c r="U1274" s="652">
        <f>IF($B1274="",,SUMIFS(PerHeadcount[Month 10],PerHeadcount[exp_item],$H1274,PerHeadcount[company_name],$B1274)*U224)</f>
        <v>0</v>
      </c>
      <c r="V1274" s="652">
        <f>IF($B1274="",,SUMIFS(PerHeadcount[Month 11],PerHeadcount[exp_item],$H1274,PerHeadcount[company_name],$B1274)*V224)</f>
        <v>0</v>
      </c>
      <c r="W1274" s="652">
        <f>IF($B1274="",,SUMIFS(PerHeadcount[Month 12],PerHeadcount[exp_item],$H1274,PerHeadcount[company_name],$B1274)*W224)</f>
        <v>0</v>
      </c>
      <c r="X1274" s="652">
        <f>IF($B1274="",,SUMIFS(PerHeadcount[Month 13],PerHeadcount[exp_item],$H1274,PerHeadcount[company_name],$B1274)*X224)</f>
        <v>0</v>
      </c>
      <c r="Y1274" s="652">
        <f>IF($B1274="",,SUMIFS(PerHeadcount[Month 14],PerHeadcount[exp_item],$H1274,PerHeadcount[company_name],$B1274)*Y224)</f>
        <v>0</v>
      </c>
      <c r="Z1274" s="652">
        <f>IF($B1274="",,SUMIFS(PerHeadcount[Month 15],PerHeadcount[exp_item],$H1274,PerHeadcount[company_name],$B1274)*Z224)</f>
        <v>0</v>
      </c>
      <c r="AA1274" s="652">
        <f>IF($B1274="",,SUMIFS(PerHeadcount[Month 16],PerHeadcount[exp_item],$H1274,PerHeadcount[company_name],$B1274)*AA224)</f>
        <v>0</v>
      </c>
      <c r="AB1274" s="652">
        <f>IF($B1274="",,SUMIFS(PerHeadcount[Month 17],PerHeadcount[exp_item],$H1274,PerHeadcount[company_name],$B1274)*AB224)</f>
        <v>0</v>
      </c>
      <c r="AC1274" s="652">
        <f>IF($B1274="",,SUMIFS(PerHeadcount[Month 18],PerHeadcount[exp_item],$H1274,PerHeadcount[company_name],$B1274)*AC224)</f>
        <v>0</v>
      </c>
      <c r="AD1274" s="652">
        <f>IF($B1274="",,SUMIFS(PerHeadcount[Month 19],PerHeadcount[exp_item],$H1274,PerHeadcount[company_name],$B1274)*AD224)</f>
        <v>0</v>
      </c>
      <c r="AE1274" s="652">
        <f>IF($B1274="",,SUMIFS(PerHeadcount[Month 20],PerHeadcount[exp_item],$H1274,PerHeadcount[company_name],$B1274)*AE224)</f>
        <v>0</v>
      </c>
      <c r="AF1274" s="652">
        <f>IF($B1274="",,SUMIFS(PerHeadcount[Month 21],PerHeadcount[exp_item],$H1274,PerHeadcount[company_name],$B1274)*AF224)</f>
        <v>0</v>
      </c>
      <c r="AG1274" s="652">
        <f>IF($B1274="",,SUMIFS(PerHeadcount[Month 22],PerHeadcount[exp_item],$H1274,PerHeadcount[company_name],$B1274)*AG224)</f>
        <v>0</v>
      </c>
      <c r="AH1274" s="652">
        <f>IF($B1274="",,SUMIFS(PerHeadcount[Month 23],PerHeadcount[exp_item],$H1274,PerHeadcount[company_name],$B1274)*AH224)</f>
        <v>0</v>
      </c>
      <c r="AI1274" s="652">
        <f>IF($B1274="",,SUMIFS(PerHeadcount[Month 24],PerHeadcount[exp_item],$H1274,PerHeadcount[company_name],$B1274)*AI224)</f>
        <v>0</v>
      </c>
      <c r="AJ1274" s="652">
        <f>IF($B1274="",,SUMIFS(PerHeadcount[Month 25],PerHeadcount[exp_item],$H1274,PerHeadcount[company_name],$B1274)*AJ224)</f>
        <v>0</v>
      </c>
      <c r="AK1274" s="652">
        <f>IF($B1274="",,SUMIFS(PerHeadcount[Month 26],PerHeadcount[exp_item],$H1274,PerHeadcount[company_name],$B1274)*AK224)</f>
        <v>0</v>
      </c>
      <c r="AL1274" s="652">
        <f>IF($B1274="",,SUMIFS(PerHeadcount[Month 27],PerHeadcount[exp_item],$H1274,PerHeadcount[company_name],$B1274)*AL224)</f>
        <v>0</v>
      </c>
      <c r="AM1274" s="652">
        <f>IF($B1274="",,SUMIFS(PerHeadcount[Month 28],PerHeadcount[exp_item],$H1274,PerHeadcount[company_name],$B1274)*AM224)</f>
        <v>0</v>
      </c>
      <c r="AN1274" s="652">
        <f>IF($B1274="",,SUMIFS(PerHeadcount[Month 29],PerHeadcount[exp_item],$H1274,PerHeadcount[company_name],$B1274)*AN224)</f>
        <v>0</v>
      </c>
      <c r="AO1274" s="652">
        <f>IF($B1274="",,SUMIFS(PerHeadcount[Month 30],PerHeadcount[exp_item],$H1274,PerHeadcount[company_name],$B1274)*AO224)</f>
        <v>0</v>
      </c>
      <c r="AP1274" s="652">
        <f>IF($B1274="",,SUMIFS(PerHeadcount[Month 31],PerHeadcount[exp_item],$H1274,PerHeadcount[company_name],$B1274)*AP224)</f>
        <v>0</v>
      </c>
      <c r="AQ1274" s="652">
        <f>IF($B1274="",,SUMIFS(PerHeadcount[Month 32],PerHeadcount[exp_item],$H1274,PerHeadcount[company_name],$B1274)*AQ224)</f>
        <v>0</v>
      </c>
      <c r="AR1274" s="652">
        <f>IF($B1274="",,SUMIFS(PerHeadcount[Month 33],PerHeadcount[exp_item],$H1274,PerHeadcount[company_name],$B1274)*AR224)</f>
        <v>0</v>
      </c>
      <c r="AS1274" s="652">
        <f>IF($B1274="",,SUMIFS(PerHeadcount[Month 34],PerHeadcount[exp_item],$H1274,PerHeadcount[company_name],$B1274)*AS224)</f>
        <v>0</v>
      </c>
      <c r="AT1274" s="652">
        <f>IF($B1274="",,SUMIFS(PerHeadcount[Month 35],PerHeadcount[exp_item],$H1274,PerHeadcount[company_name],$B1274)*AT224)</f>
        <v>0</v>
      </c>
      <c r="AU1274" s="652">
        <f>IF($B1274="",,SUMIFS(PerHeadcount[Month 36],PerHeadcount[exp_item],$H1274,PerHeadcount[company_name],$B1274)*AU224)</f>
        <v>0</v>
      </c>
    </row>
    <row r="1275" spans="2:47" x14ac:dyDescent="0.35">
      <c r="B1275" t="str">
        <f t="shared" si="916"/>
        <v/>
      </c>
      <c r="C1275" t="str">
        <f t="shared" ref="C1275:G1275" si="923">IF(C1170="","",C1170)</f>
        <v/>
      </c>
      <c r="D1275" t="str">
        <f t="shared" si="923"/>
        <v/>
      </c>
      <c r="E1275" t="str">
        <f t="shared" si="923"/>
        <v/>
      </c>
      <c r="F1275" t="str">
        <f t="shared" si="923"/>
        <v/>
      </c>
      <c r="G1275" t="str">
        <f t="shared" si="923"/>
        <v/>
      </c>
      <c r="H1275" t="str">
        <f t="shared" si="915"/>
        <v/>
      </c>
      <c r="J1275" t="str">
        <f>IF($H1275="","",IF(VLOOKUP(H1275,ExpItems[],2,0),H1275&amp;" - "&amp;INDEX(DivisionMapping[category_code],MATCH($D1275&amp;$C1275,DivisionMapping[dept_bu],0)),H1275))</f>
        <v/>
      </c>
      <c r="K1275" t="str">
        <f t="shared" si="883"/>
        <v/>
      </c>
      <c r="L1275" s="652">
        <f>IF($B1275="",,SUMIFS(PerHeadcount[Month 1],PerHeadcount[exp_item],$H1275,PerHeadcount[company_name],$B1275)*L225)</f>
        <v>0</v>
      </c>
      <c r="M1275" s="652">
        <f>IF($B1275="",,SUMIFS(PerHeadcount[Month 2],PerHeadcount[exp_item],$H1275,PerHeadcount[company_name],$B1275)*M225)</f>
        <v>0</v>
      </c>
      <c r="N1275" s="652">
        <f>IF($B1275="",,SUMIFS(PerHeadcount[Month 3],PerHeadcount[exp_item],$H1275,PerHeadcount[company_name],$B1275)*N225)</f>
        <v>0</v>
      </c>
      <c r="O1275" s="652">
        <f>IF($B1275="",,SUMIFS(PerHeadcount[Month 4],PerHeadcount[exp_item],$H1275,PerHeadcount[company_name],$B1275)*O225)</f>
        <v>0</v>
      </c>
      <c r="P1275" s="652">
        <f>IF($B1275="",,SUMIFS(PerHeadcount[Month 5],PerHeadcount[exp_item],$H1275,PerHeadcount[company_name],$B1275)*P225)</f>
        <v>0</v>
      </c>
      <c r="Q1275" s="652">
        <f>IF($B1275="",,SUMIFS(PerHeadcount[Month 6],PerHeadcount[exp_item],$H1275,PerHeadcount[company_name],$B1275)*Q225)</f>
        <v>0</v>
      </c>
      <c r="R1275" s="652">
        <f>IF($B1275="",,SUMIFS(PerHeadcount[Month 7],PerHeadcount[exp_item],$H1275,PerHeadcount[company_name],$B1275)*R225)</f>
        <v>0</v>
      </c>
      <c r="S1275" s="652">
        <f>IF($B1275="",,SUMIFS(PerHeadcount[Month 8],PerHeadcount[exp_item],$H1275,PerHeadcount[company_name],$B1275)*S225)</f>
        <v>0</v>
      </c>
      <c r="T1275" s="652">
        <f>IF($B1275="",,SUMIFS(PerHeadcount[Month 9],PerHeadcount[exp_item],$H1275,PerHeadcount[company_name],$B1275)*T225)</f>
        <v>0</v>
      </c>
      <c r="U1275" s="652">
        <f>IF($B1275="",,SUMIFS(PerHeadcount[Month 10],PerHeadcount[exp_item],$H1275,PerHeadcount[company_name],$B1275)*U225)</f>
        <v>0</v>
      </c>
      <c r="V1275" s="652">
        <f>IF($B1275="",,SUMIFS(PerHeadcount[Month 11],PerHeadcount[exp_item],$H1275,PerHeadcount[company_name],$B1275)*V225)</f>
        <v>0</v>
      </c>
      <c r="W1275" s="652">
        <f>IF($B1275="",,SUMIFS(PerHeadcount[Month 12],PerHeadcount[exp_item],$H1275,PerHeadcount[company_name],$B1275)*W225)</f>
        <v>0</v>
      </c>
      <c r="X1275" s="652">
        <f>IF($B1275="",,SUMIFS(PerHeadcount[Month 13],PerHeadcount[exp_item],$H1275,PerHeadcount[company_name],$B1275)*X225)</f>
        <v>0</v>
      </c>
      <c r="Y1275" s="652">
        <f>IF($B1275="",,SUMIFS(PerHeadcount[Month 14],PerHeadcount[exp_item],$H1275,PerHeadcount[company_name],$B1275)*Y225)</f>
        <v>0</v>
      </c>
      <c r="Z1275" s="652">
        <f>IF($B1275="",,SUMIFS(PerHeadcount[Month 15],PerHeadcount[exp_item],$H1275,PerHeadcount[company_name],$B1275)*Z225)</f>
        <v>0</v>
      </c>
      <c r="AA1275" s="652">
        <f>IF($B1275="",,SUMIFS(PerHeadcount[Month 16],PerHeadcount[exp_item],$H1275,PerHeadcount[company_name],$B1275)*AA225)</f>
        <v>0</v>
      </c>
      <c r="AB1275" s="652">
        <f>IF($B1275="",,SUMIFS(PerHeadcount[Month 17],PerHeadcount[exp_item],$H1275,PerHeadcount[company_name],$B1275)*AB225)</f>
        <v>0</v>
      </c>
      <c r="AC1275" s="652">
        <f>IF($B1275="",,SUMIFS(PerHeadcount[Month 18],PerHeadcount[exp_item],$H1275,PerHeadcount[company_name],$B1275)*AC225)</f>
        <v>0</v>
      </c>
      <c r="AD1275" s="652">
        <f>IF($B1275="",,SUMIFS(PerHeadcount[Month 19],PerHeadcount[exp_item],$H1275,PerHeadcount[company_name],$B1275)*AD225)</f>
        <v>0</v>
      </c>
      <c r="AE1275" s="652">
        <f>IF($B1275="",,SUMIFS(PerHeadcount[Month 20],PerHeadcount[exp_item],$H1275,PerHeadcount[company_name],$B1275)*AE225)</f>
        <v>0</v>
      </c>
      <c r="AF1275" s="652">
        <f>IF($B1275="",,SUMIFS(PerHeadcount[Month 21],PerHeadcount[exp_item],$H1275,PerHeadcount[company_name],$B1275)*AF225)</f>
        <v>0</v>
      </c>
      <c r="AG1275" s="652">
        <f>IF($B1275="",,SUMIFS(PerHeadcount[Month 22],PerHeadcount[exp_item],$H1275,PerHeadcount[company_name],$B1275)*AG225)</f>
        <v>0</v>
      </c>
      <c r="AH1275" s="652">
        <f>IF($B1275="",,SUMIFS(PerHeadcount[Month 23],PerHeadcount[exp_item],$H1275,PerHeadcount[company_name],$B1275)*AH225)</f>
        <v>0</v>
      </c>
      <c r="AI1275" s="652">
        <f>IF($B1275="",,SUMIFS(PerHeadcount[Month 24],PerHeadcount[exp_item],$H1275,PerHeadcount[company_name],$B1275)*AI225)</f>
        <v>0</v>
      </c>
      <c r="AJ1275" s="652">
        <f>IF($B1275="",,SUMIFS(PerHeadcount[Month 25],PerHeadcount[exp_item],$H1275,PerHeadcount[company_name],$B1275)*AJ225)</f>
        <v>0</v>
      </c>
      <c r="AK1275" s="652">
        <f>IF($B1275="",,SUMIFS(PerHeadcount[Month 26],PerHeadcount[exp_item],$H1275,PerHeadcount[company_name],$B1275)*AK225)</f>
        <v>0</v>
      </c>
      <c r="AL1275" s="652">
        <f>IF($B1275="",,SUMIFS(PerHeadcount[Month 27],PerHeadcount[exp_item],$H1275,PerHeadcount[company_name],$B1275)*AL225)</f>
        <v>0</v>
      </c>
      <c r="AM1275" s="652">
        <f>IF($B1275="",,SUMIFS(PerHeadcount[Month 28],PerHeadcount[exp_item],$H1275,PerHeadcount[company_name],$B1275)*AM225)</f>
        <v>0</v>
      </c>
      <c r="AN1275" s="652">
        <f>IF($B1275="",,SUMIFS(PerHeadcount[Month 29],PerHeadcount[exp_item],$H1275,PerHeadcount[company_name],$B1275)*AN225)</f>
        <v>0</v>
      </c>
      <c r="AO1275" s="652">
        <f>IF($B1275="",,SUMIFS(PerHeadcount[Month 30],PerHeadcount[exp_item],$H1275,PerHeadcount[company_name],$B1275)*AO225)</f>
        <v>0</v>
      </c>
      <c r="AP1275" s="652">
        <f>IF($B1275="",,SUMIFS(PerHeadcount[Month 31],PerHeadcount[exp_item],$H1275,PerHeadcount[company_name],$B1275)*AP225)</f>
        <v>0</v>
      </c>
      <c r="AQ1275" s="652">
        <f>IF($B1275="",,SUMIFS(PerHeadcount[Month 32],PerHeadcount[exp_item],$H1275,PerHeadcount[company_name],$B1275)*AQ225)</f>
        <v>0</v>
      </c>
      <c r="AR1275" s="652">
        <f>IF($B1275="",,SUMIFS(PerHeadcount[Month 33],PerHeadcount[exp_item],$H1275,PerHeadcount[company_name],$B1275)*AR225)</f>
        <v>0</v>
      </c>
      <c r="AS1275" s="652">
        <f>IF($B1275="",,SUMIFS(PerHeadcount[Month 34],PerHeadcount[exp_item],$H1275,PerHeadcount[company_name],$B1275)*AS225)</f>
        <v>0</v>
      </c>
      <c r="AT1275" s="652">
        <f>IF($B1275="",,SUMIFS(PerHeadcount[Month 35],PerHeadcount[exp_item],$H1275,PerHeadcount[company_name],$B1275)*AT225)</f>
        <v>0</v>
      </c>
      <c r="AU1275" s="652">
        <f>IF($B1275="",,SUMIFS(PerHeadcount[Month 36],PerHeadcount[exp_item],$H1275,PerHeadcount[company_name],$B1275)*AU225)</f>
        <v>0</v>
      </c>
    </row>
    <row r="1276" spans="2:47" x14ac:dyDescent="0.35">
      <c r="B1276" t="str">
        <f t="shared" si="916"/>
        <v/>
      </c>
      <c r="C1276" t="str">
        <f t="shared" ref="C1276:G1276" si="924">IF(C1171="","",C1171)</f>
        <v/>
      </c>
      <c r="D1276" t="str">
        <f t="shared" si="924"/>
        <v/>
      </c>
      <c r="E1276" t="str">
        <f t="shared" si="924"/>
        <v/>
      </c>
      <c r="F1276" t="str">
        <f t="shared" si="924"/>
        <v/>
      </c>
      <c r="G1276" t="str">
        <f t="shared" si="924"/>
        <v/>
      </c>
      <c r="H1276" t="str">
        <f t="shared" si="915"/>
        <v/>
      </c>
      <c r="J1276" t="str">
        <f>IF($H1276="","",IF(VLOOKUP(H1276,ExpItems[],2,0),H1276&amp;" - "&amp;INDEX(DivisionMapping[category_code],MATCH($D1276&amp;$C1276,DivisionMapping[dept_bu],0)),H1276))</f>
        <v/>
      </c>
      <c r="K1276" t="str">
        <f t="shared" si="883"/>
        <v/>
      </c>
      <c r="L1276" s="652">
        <f>IF($B1276="",,SUMIFS(PerHeadcount[Month 1],PerHeadcount[exp_item],$H1276,PerHeadcount[company_name],$B1276)*L226)</f>
        <v>0</v>
      </c>
      <c r="M1276" s="652">
        <f>IF($B1276="",,SUMIFS(PerHeadcount[Month 2],PerHeadcount[exp_item],$H1276,PerHeadcount[company_name],$B1276)*M226)</f>
        <v>0</v>
      </c>
      <c r="N1276" s="652">
        <f>IF($B1276="",,SUMIFS(PerHeadcount[Month 3],PerHeadcount[exp_item],$H1276,PerHeadcount[company_name],$B1276)*N226)</f>
        <v>0</v>
      </c>
      <c r="O1276" s="652">
        <f>IF($B1276="",,SUMIFS(PerHeadcount[Month 4],PerHeadcount[exp_item],$H1276,PerHeadcount[company_name],$B1276)*O226)</f>
        <v>0</v>
      </c>
      <c r="P1276" s="652">
        <f>IF($B1276="",,SUMIFS(PerHeadcount[Month 5],PerHeadcount[exp_item],$H1276,PerHeadcount[company_name],$B1276)*P226)</f>
        <v>0</v>
      </c>
      <c r="Q1276" s="652">
        <f>IF($B1276="",,SUMIFS(PerHeadcount[Month 6],PerHeadcount[exp_item],$H1276,PerHeadcount[company_name],$B1276)*Q226)</f>
        <v>0</v>
      </c>
      <c r="R1276" s="652">
        <f>IF($B1276="",,SUMIFS(PerHeadcount[Month 7],PerHeadcount[exp_item],$H1276,PerHeadcount[company_name],$B1276)*R226)</f>
        <v>0</v>
      </c>
      <c r="S1276" s="652">
        <f>IF($B1276="",,SUMIFS(PerHeadcount[Month 8],PerHeadcount[exp_item],$H1276,PerHeadcount[company_name],$B1276)*S226)</f>
        <v>0</v>
      </c>
      <c r="T1276" s="652">
        <f>IF($B1276="",,SUMIFS(PerHeadcount[Month 9],PerHeadcount[exp_item],$H1276,PerHeadcount[company_name],$B1276)*T226)</f>
        <v>0</v>
      </c>
      <c r="U1276" s="652">
        <f>IF($B1276="",,SUMIFS(PerHeadcount[Month 10],PerHeadcount[exp_item],$H1276,PerHeadcount[company_name],$B1276)*U226)</f>
        <v>0</v>
      </c>
      <c r="V1276" s="652">
        <f>IF($B1276="",,SUMIFS(PerHeadcount[Month 11],PerHeadcount[exp_item],$H1276,PerHeadcount[company_name],$B1276)*V226)</f>
        <v>0</v>
      </c>
      <c r="W1276" s="652">
        <f>IF($B1276="",,SUMIFS(PerHeadcount[Month 12],PerHeadcount[exp_item],$H1276,PerHeadcount[company_name],$B1276)*W226)</f>
        <v>0</v>
      </c>
      <c r="X1276" s="652">
        <f>IF($B1276="",,SUMIFS(PerHeadcount[Month 13],PerHeadcount[exp_item],$H1276,PerHeadcount[company_name],$B1276)*X226)</f>
        <v>0</v>
      </c>
      <c r="Y1276" s="652">
        <f>IF($B1276="",,SUMIFS(PerHeadcount[Month 14],PerHeadcount[exp_item],$H1276,PerHeadcount[company_name],$B1276)*Y226)</f>
        <v>0</v>
      </c>
      <c r="Z1276" s="652">
        <f>IF($B1276="",,SUMIFS(PerHeadcount[Month 15],PerHeadcount[exp_item],$H1276,PerHeadcount[company_name],$B1276)*Z226)</f>
        <v>0</v>
      </c>
      <c r="AA1276" s="652">
        <f>IF($B1276="",,SUMIFS(PerHeadcount[Month 16],PerHeadcount[exp_item],$H1276,PerHeadcount[company_name],$B1276)*AA226)</f>
        <v>0</v>
      </c>
      <c r="AB1276" s="652">
        <f>IF($B1276="",,SUMIFS(PerHeadcount[Month 17],PerHeadcount[exp_item],$H1276,PerHeadcount[company_name],$B1276)*AB226)</f>
        <v>0</v>
      </c>
      <c r="AC1276" s="652">
        <f>IF($B1276="",,SUMIFS(PerHeadcount[Month 18],PerHeadcount[exp_item],$H1276,PerHeadcount[company_name],$B1276)*AC226)</f>
        <v>0</v>
      </c>
      <c r="AD1276" s="652">
        <f>IF($B1276="",,SUMIFS(PerHeadcount[Month 19],PerHeadcount[exp_item],$H1276,PerHeadcount[company_name],$B1276)*AD226)</f>
        <v>0</v>
      </c>
      <c r="AE1276" s="652">
        <f>IF($B1276="",,SUMIFS(PerHeadcount[Month 20],PerHeadcount[exp_item],$H1276,PerHeadcount[company_name],$B1276)*AE226)</f>
        <v>0</v>
      </c>
      <c r="AF1276" s="652">
        <f>IF($B1276="",,SUMIFS(PerHeadcount[Month 21],PerHeadcount[exp_item],$H1276,PerHeadcount[company_name],$B1276)*AF226)</f>
        <v>0</v>
      </c>
      <c r="AG1276" s="652">
        <f>IF($B1276="",,SUMIFS(PerHeadcount[Month 22],PerHeadcount[exp_item],$H1276,PerHeadcount[company_name],$B1276)*AG226)</f>
        <v>0</v>
      </c>
      <c r="AH1276" s="652">
        <f>IF($B1276="",,SUMIFS(PerHeadcount[Month 23],PerHeadcount[exp_item],$H1276,PerHeadcount[company_name],$B1276)*AH226)</f>
        <v>0</v>
      </c>
      <c r="AI1276" s="652">
        <f>IF($B1276="",,SUMIFS(PerHeadcount[Month 24],PerHeadcount[exp_item],$H1276,PerHeadcount[company_name],$B1276)*AI226)</f>
        <v>0</v>
      </c>
      <c r="AJ1276" s="652">
        <f>IF($B1276="",,SUMIFS(PerHeadcount[Month 25],PerHeadcount[exp_item],$H1276,PerHeadcount[company_name],$B1276)*AJ226)</f>
        <v>0</v>
      </c>
      <c r="AK1276" s="652">
        <f>IF($B1276="",,SUMIFS(PerHeadcount[Month 26],PerHeadcount[exp_item],$H1276,PerHeadcount[company_name],$B1276)*AK226)</f>
        <v>0</v>
      </c>
      <c r="AL1276" s="652">
        <f>IF($B1276="",,SUMIFS(PerHeadcount[Month 27],PerHeadcount[exp_item],$H1276,PerHeadcount[company_name],$B1276)*AL226)</f>
        <v>0</v>
      </c>
      <c r="AM1276" s="652">
        <f>IF($B1276="",,SUMIFS(PerHeadcount[Month 28],PerHeadcount[exp_item],$H1276,PerHeadcount[company_name],$B1276)*AM226)</f>
        <v>0</v>
      </c>
      <c r="AN1276" s="652">
        <f>IF($B1276="",,SUMIFS(PerHeadcount[Month 29],PerHeadcount[exp_item],$H1276,PerHeadcount[company_name],$B1276)*AN226)</f>
        <v>0</v>
      </c>
      <c r="AO1276" s="652">
        <f>IF($B1276="",,SUMIFS(PerHeadcount[Month 30],PerHeadcount[exp_item],$H1276,PerHeadcount[company_name],$B1276)*AO226)</f>
        <v>0</v>
      </c>
      <c r="AP1276" s="652">
        <f>IF($B1276="",,SUMIFS(PerHeadcount[Month 31],PerHeadcount[exp_item],$H1276,PerHeadcount[company_name],$B1276)*AP226)</f>
        <v>0</v>
      </c>
      <c r="AQ1276" s="652">
        <f>IF($B1276="",,SUMIFS(PerHeadcount[Month 32],PerHeadcount[exp_item],$H1276,PerHeadcount[company_name],$B1276)*AQ226)</f>
        <v>0</v>
      </c>
      <c r="AR1276" s="652">
        <f>IF($B1276="",,SUMIFS(PerHeadcount[Month 33],PerHeadcount[exp_item],$H1276,PerHeadcount[company_name],$B1276)*AR226)</f>
        <v>0</v>
      </c>
      <c r="AS1276" s="652">
        <f>IF($B1276="",,SUMIFS(PerHeadcount[Month 34],PerHeadcount[exp_item],$H1276,PerHeadcount[company_name],$B1276)*AS226)</f>
        <v>0</v>
      </c>
      <c r="AT1276" s="652">
        <f>IF($B1276="",,SUMIFS(PerHeadcount[Month 35],PerHeadcount[exp_item],$H1276,PerHeadcount[company_name],$B1276)*AT226)</f>
        <v>0</v>
      </c>
      <c r="AU1276" s="652">
        <f>IF($B1276="",,SUMIFS(PerHeadcount[Month 36],PerHeadcount[exp_item],$H1276,PerHeadcount[company_name],$B1276)*AU226)</f>
        <v>0</v>
      </c>
    </row>
    <row r="1277" spans="2:47" x14ac:dyDescent="0.35">
      <c r="B1277" t="str">
        <f t="shared" si="916"/>
        <v/>
      </c>
      <c r="C1277" t="str">
        <f t="shared" ref="C1277:G1277" si="925">IF(C1172="","",C1172)</f>
        <v/>
      </c>
      <c r="D1277" t="str">
        <f t="shared" si="925"/>
        <v/>
      </c>
      <c r="E1277" t="str">
        <f t="shared" si="925"/>
        <v/>
      </c>
      <c r="F1277" t="str">
        <f t="shared" si="925"/>
        <v/>
      </c>
      <c r="G1277" t="str">
        <f t="shared" si="925"/>
        <v/>
      </c>
      <c r="H1277" t="str">
        <f t="shared" si="915"/>
        <v/>
      </c>
      <c r="J1277" t="str">
        <f>IF($H1277="","",IF(VLOOKUP(H1277,ExpItems[],2,0),H1277&amp;" - "&amp;INDEX(DivisionMapping[category_code],MATCH($D1277&amp;$C1277,DivisionMapping[dept_bu],0)),H1277))</f>
        <v/>
      </c>
      <c r="K1277" t="str">
        <f t="shared" si="883"/>
        <v/>
      </c>
      <c r="L1277" s="652">
        <f>IF($B1277="",,SUMIFS(PerHeadcount[Month 1],PerHeadcount[exp_item],$H1277,PerHeadcount[company_name],$B1277)*L227)</f>
        <v>0</v>
      </c>
      <c r="M1277" s="652">
        <f>IF($B1277="",,SUMIFS(PerHeadcount[Month 2],PerHeadcount[exp_item],$H1277,PerHeadcount[company_name],$B1277)*M227)</f>
        <v>0</v>
      </c>
      <c r="N1277" s="652">
        <f>IF($B1277="",,SUMIFS(PerHeadcount[Month 3],PerHeadcount[exp_item],$H1277,PerHeadcount[company_name],$B1277)*N227)</f>
        <v>0</v>
      </c>
      <c r="O1277" s="652">
        <f>IF($B1277="",,SUMIFS(PerHeadcount[Month 4],PerHeadcount[exp_item],$H1277,PerHeadcount[company_name],$B1277)*O227)</f>
        <v>0</v>
      </c>
      <c r="P1277" s="652">
        <f>IF($B1277="",,SUMIFS(PerHeadcount[Month 5],PerHeadcount[exp_item],$H1277,PerHeadcount[company_name],$B1277)*P227)</f>
        <v>0</v>
      </c>
      <c r="Q1277" s="652">
        <f>IF($B1277="",,SUMIFS(PerHeadcount[Month 6],PerHeadcount[exp_item],$H1277,PerHeadcount[company_name],$B1277)*Q227)</f>
        <v>0</v>
      </c>
      <c r="R1277" s="652">
        <f>IF($B1277="",,SUMIFS(PerHeadcount[Month 7],PerHeadcount[exp_item],$H1277,PerHeadcount[company_name],$B1277)*R227)</f>
        <v>0</v>
      </c>
      <c r="S1277" s="652">
        <f>IF($B1277="",,SUMIFS(PerHeadcount[Month 8],PerHeadcount[exp_item],$H1277,PerHeadcount[company_name],$B1277)*S227)</f>
        <v>0</v>
      </c>
      <c r="T1277" s="652">
        <f>IF($B1277="",,SUMIFS(PerHeadcount[Month 9],PerHeadcount[exp_item],$H1277,PerHeadcount[company_name],$B1277)*T227)</f>
        <v>0</v>
      </c>
      <c r="U1277" s="652">
        <f>IF($B1277="",,SUMIFS(PerHeadcount[Month 10],PerHeadcount[exp_item],$H1277,PerHeadcount[company_name],$B1277)*U227)</f>
        <v>0</v>
      </c>
      <c r="V1277" s="652">
        <f>IF($B1277="",,SUMIFS(PerHeadcount[Month 11],PerHeadcount[exp_item],$H1277,PerHeadcount[company_name],$B1277)*V227)</f>
        <v>0</v>
      </c>
      <c r="W1277" s="652">
        <f>IF($B1277="",,SUMIFS(PerHeadcount[Month 12],PerHeadcount[exp_item],$H1277,PerHeadcount[company_name],$B1277)*W227)</f>
        <v>0</v>
      </c>
      <c r="X1277" s="652">
        <f>IF($B1277="",,SUMIFS(PerHeadcount[Month 13],PerHeadcount[exp_item],$H1277,PerHeadcount[company_name],$B1277)*X227)</f>
        <v>0</v>
      </c>
      <c r="Y1277" s="652">
        <f>IF($B1277="",,SUMIFS(PerHeadcount[Month 14],PerHeadcount[exp_item],$H1277,PerHeadcount[company_name],$B1277)*Y227)</f>
        <v>0</v>
      </c>
      <c r="Z1277" s="652">
        <f>IF($B1277="",,SUMIFS(PerHeadcount[Month 15],PerHeadcount[exp_item],$H1277,PerHeadcount[company_name],$B1277)*Z227)</f>
        <v>0</v>
      </c>
      <c r="AA1277" s="652">
        <f>IF($B1277="",,SUMIFS(PerHeadcount[Month 16],PerHeadcount[exp_item],$H1277,PerHeadcount[company_name],$B1277)*AA227)</f>
        <v>0</v>
      </c>
      <c r="AB1277" s="652">
        <f>IF($B1277="",,SUMIFS(PerHeadcount[Month 17],PerHeadcount[exp_item],$H1277,PerHeadcount[company_name],$B1277)*AB227)</f>
        <v>0</v>
      </c>
      <c r="AC1277" s="652">
        <f>IF($B1277="",,SUMIFS(PerHeadcount[Month 18],PerHeadcount[exp_item],$H1277,PerHeadcount[company_name],$B1277)*AC227)</f>
        <v>0</v>
      </c>
      <c r="AD1277" s="652">
        <f>IF($B1277="",,SUMIFS(PerHeadcount[Month 19],PerHeadcount[exp_item],$H1277,PerHeadcount[company_name],$B1277)*AD227)</f>
        <v>0</v>
      </c>
      <c r="AE1277" s="652">
        <f>IF($B1277="",,SUMIFS(PerHeadcount[Month 20],PerHeadcount[exp_item],$H1277,PerHeadcount[company_name],$B1277)*AE227)</f>
        <v>0</v>
      </c>
      <c r="AF1277" s="652">
        <f>IF($B1277="",,SUMIFS(PerHeadcount[Month 21],PerHeadcount[exp_item],$H1277,PerHeadcount[company_name],$B1277)*AF227)</f>
        <v>0</v>
      </c>
      <c r="AG1277" s="652">
        <f>IF($B1277="",,SUMIFS(PerHeadcount[Month 22],PerHeadcount[exp_item],$H1277,PerHeadcount[company_name],$B1277)*AG227)</f>
        <v>0</v>
      </c>
      <c r="AH1277" s="652">
        <f>IF($B1277="",,SUMIFS(PerHeadcount[Month 23],PerHeadcount[exp_item],$H1277,PerHeadcount[company_name],$B1277)*AH227)</f>
        <v>0</v>
      </c>
      <c r="AI1277" s="652">
        <f>IF($B1277="",,SUMIFS(PerHeadcount[Month 24],PerHeadcount[exp_item],$H1277,PerHeadcount[company_name],$B1277)*AI227)</f>
        <v>0</v>
      </c>
      <c r="AJ1277" s="652">
        <f>IF($B1277="",,SUMIFS(PerHeadcount[Month 25],PerHeadcount[exp_item],$H1277,PerHeadcount[company_name],$B1277)*AJ227)</f>
        <v>0</v>
      </c>
      <c r="AK1277" s="652">
        <f>IF($B1277="",,SUMIFS(PerHeadcount[Month 26],PerHeadcount[exp_item],$H1277,PerHeadcount[company_name],$B1277)*AK227)</f>
        <v>0</v>
      </c>
      <c r="AL1277" s="652">
        <f>IF($B1277="",,SUMIFS(PerHeadcount[Month 27],PerHeadcount[exp_item],$H1277,PerHeadcount[company_name],$B1277)*AL227)</f>
        <v>0</v>
      </c>
      <c r="AM1277" s="652">
        <f>IF($B1277="",,SUMIFS(PerHeadcount[Month 28],PerHeadcount[exp_item],$H1277,PerHeadcount[company_name],$B1277)*AM227)</f>
        <v>0</v>
      </c>
      <c r="AN1277" s="652">
        <f>IF($B1277="",,SUMIFS(PerHeadcount[Month 29],PerHeadcount[exp_item],$H1277,PerHeadcount[company_name],$B1277)*AN227)</f>
        <v>0</v>
      </c>
      <c r="AO1277" s="652">
        <f>IF($B1277="",,SUMIFS(PerHeadcount[Month 30],PerHeadcount[exp_item],$H1277,PerHeadcount[company_name],$B1277)*AO227)</f>
        <v>0</v>
      </c>
      <c r="AP1277" s="652">
        <f>IF($B1277="",,SUMIFS(PerHeadcount[Month 31],PerHeadcount[exp_item],$H1277,PerHeadcount[company_name],$B1277)*AP227)</f>
        <v>0</v>
      </c>
      <c r="AQ1277" s="652">
        <f>IF($B1277="",,SUMIFS(PerHeadcount[Month 32],PerHeadcount[exp_item],$H1277,PerHeadcount[company_name],$B1277)*AQ227)</f>
        <v>0</v>
      </c>
      <c r="AR1277" s="652">
        <f>IF($B1277="",,SUMIFS(PerHeadcount[Month 33],PerHeadcount[exp_item],$H1277,PerHeadcount[company_name],$B1277)*AR227)</f>
        <v>0</v>
      </c>
      <c r="AS1277" s="652">
        <f>IF($B1277="",,SUMIFS(PerHeadcount[Month 34],PerHeadcount[exp_item],$H1277,PerHeadcount[company_name],$B1277)*AS227)</f>
        <v>0</v>
      </c>
      <c r="AT1277" s="652">
        <f>IF($B1277="",,SUMIFS(PerHeadcount[Month 35],PerHeadcount[exp_item],$H1277,PerHeadcount[company_name],$B1277)*AT227)</f>
        <v>0</v>
      </c>
      <c r="AU1277" s="652">
        <f>IF($B1277="",,SUMIFS(PerHeadcount[Month 36],PerHeadcount[exp_item],$H1277,PerHeadcount[company_name],$B1277)*AU227)</f>
        <v>0</v>
      </c>
    </row>
    <row r="1278" spans="2:47" x14ac:dyDescent="0.35">
      <c r="B1278" t="str">
        <f t="shared" si="916"/>
        <v/>
      </c>
      <c r="C1278" t="str">
        <f t="shared" ref="C1278:G1278" si="926">IF(C1173="","",C1173)</f>
        <v/>
      </c>
      <c r="D1278" t="str">
        <f t="shared" si="926"/>
        <v/>
      </c>
      <c r="E1278" t="str">
        <f t="shared" si="926"/>
        <v/>
      </c>
      <c r="F1278" t="str">
        <f t="shared" si="926"/>
        <v/>
      </c>
      <c r="G1278" t="str">
        <f t="shared" si="926"/>
        <v/>
      </c>
      <c r="H1278" t="str">
        <f t="shared" si="915"/>
        <v/>
      </c>
      <c r="J1278" t="str">
        <f>IF($H1278="","",IF(VLOOKUP(H1278,ExpItems[],2,0),H1278&amp;" - "&amp;INDEX(DivisionMapping[category_code],MATCH($D1278&amp;$C1278,DivisionMapping[dept_bu],0)),H1278))</f>
        <v/>
      </c>
      <c r="K1278" t="str">
        <f t="shared" si="883"/>
        <v/>
      </c>
      <c r="L1278" s="652">
        <f>IF($B1278="",,SUMIFS(PerHeadcount[Month 1],PerHeadcount[exp_item],$H1278,PerHeadcount[company_name],$B1278)*L228)</f>
        <v>0</v>
      </c>
      <c r="M1278" s="652">
        <f>IF($B1278="",,SUMIFS(PerHeadcount[Month 2],PerHeadcount[exp_item],$H1278,PerHeadcount[company_name],$B1278)*M228)</f>
        <v>0</v>
      </c>
      <c r="N1278" s="652">
        <f>IF($B1278="",,SUMIFS(PerHeadcount[Month 3],PerHeadcount[exp_item],$H1278,PerHeadcount[company_name],$B1278)*N228)</f>
        <v>0</v>
      </c>
      <c r="O1278" s="652">
        <f>IF($B1278="",,SUMIFS(PerHeadcount[Month 4],PerHeadcount[exp_item],$H1278,PerHeadcount[company_name],$B1278)*O228)</f>
        <v>0</v>
      </c>
      <c r="P1278" s="652">
        <f>IF($B1278="",,SUMIFS(PerHeadcount[Month 5],PerHeadcount[exp_item],$H1278,PerHeadcount[company_name],$B1278)*P228)</f>
        <v>0</v>
      </c>
      <c r="Q1278" s="652">
        <f>IF($B1278="",,SUMIFS(PerHeadcount[Month 6],PerHeadcount[exp_item],$H1278,PerHeadcount[company_name],$B1278)*Q228)</f>
        <v>0</v>
      </c>
      <c r="R1278" s="652">
        <f>IF($B1278="",,SUMIFS(PerHeadcount[Month 7],PerHeadcount[exp_item],$H1278,PerHeadcount[company_name],$B1278)*R228)</f>
        <v>0</v>
      </c>
      <c r="S1278" s="652">
        <f>IF($B1278="",,SUMIFS(PerHeadcount[Month 8],PerHeadcount[exp_item],$H1278,PerHeadcount[company_name],$B1278)*S228)</f>
        <v>0</v>
      </c>
      <c r="T1278" s="652">
        <f>IF($B1278="",,SUMIFS(PerHeadcount[Month 9],PerHeadcount[exp_item],$H1278,PerHeadcount[company_name],$B1278)*T228)</f>
        <v>0</v>
      </c>
      <c r="U1278" s="652">
        <f>IF($B1278="",,SUMIFS(PerHeadcount[Month 10],PerHeadcount[exp_item],$H1278,PerHeadcount[company_name],$B1278)*U228)</f>
        <v>0</v>
      </c>
      <c r="V1278" s="652">
        <f>IF($B1278="",,SUMIFS(PerHeadcount[Month 11],PerHeadcount[exp_item],$H1278,PerHeadcount[company_name],$B1278)*V228)</f>
        <v>0</v>
      </c>
      <c r="W1278" s="652">
        <f>IF($B1278="",,SUMIFS(PerHeadcount[Month 12],PerHeadcount[exp_item],$H1278,PerHeadcount[company_name],$B1278)*W228)</f>
        <v>0</v>
      </c>
      <c r="X1278" s="652">
        <f>IF($B1278="",,SUMIFS(PerHeadcount[Month 13],PerHeadcount[exp_item],$H1278,PerHeadcount[company_name],$B1278)*X228)</f>
        <v>0</v>
      </c>
      <c r="Y1278" s="652">
        <f>IF($B1278="",,SUMIFS(PerHeadcount[Month 14],PerHeadcount[exp_item],$H1278,PerHeadcount[company_name],$B1278)*Y228)</f>
        <v>0</v>
      </c>
      <c r="Z1278" s="652">
        <f>IF($B1278="",,SUMIFS(PerHeadcount[Month 15],PerHeadcount[exp_item],$H1278,PerHeadcount[company_name],$B1278)*Z228)</f>
        <v>0</v>
      </c>
      <c r="AA1278" s="652">
        <f>IF($B1278="",,SUMIFS(PerHeadcount[Month 16],PerHeadcount[exp_item],$H1278,PerHeadcount[company_name],$B1278)*AA228)</f>
        <v>0</v>
      </c>
      <c r="AB1278" s="652">
        <f>IF($B1278="",,SUMIFS(PerHeadcount[Month 17],PerHeadcount[exp_item],$H1278,PerHeadcount[company_name],$B1278)*AB228)</f>
        <v>0</v>
      </c>
      <c r="AC1278" s="652">
        <f>IF($B1278="",,SUMIFS(PerHeadcount[Month 18],PerHeadcount[exp_item],$H1278,PerHeadcount[company_name],$B1278)*AC228)</f>
        <v>0</v>
      </c>
      <c r="AD1278" s="652">
        <f>IF($B1278="",,SUMIFS(PerHeadcount[Month 19],PerHeadcount[exp_item],$H1278,PerHeadcount[company_name],$B1278)*AD228)</f>
        <v>0</v>
      </c>
      <c r="AE1278" s="652">
        <f>IF($B1278="",,SUMIFS(PerHeadcount[Month 20],PerHeadcount[exp_item],$H1278,PerHeadcount[company_name],$B1278)*AE228)</f>
        <v>0</v>
      </c>
      <c r="AF1278" s="652">
        <f>IF($B1278="",,SUMIFS(PerHeadcount[Month 21],PerHeadcount[exp_item],$H1278,PerHeadcount[company_name],$B1278)*AF228)</f>
        <v>0</v>
      </c>
      <c r="AG1278" s="652">
        <f>IF($B1278="",,SUMIFS(PerHeadcount[Month 22],PerHeadcount[exp_item],$H1278,PerHeadcount[company_name],$B1278)*AG228)</f>
        <v>0</v>
      </c>
      <c r="AH1278" s="652">
        <f>IF($B1278="",,SUMIFS(PerHeadcount[Month 23],PerHeadcount[exp_item],$H1278,PerHeadcount[company_name],$B1278)*AH228)</f>
        <v>0</v>
      </c>
      <c r="AI1278" s="652">
        <f>IF($B1278="",,SUMIFS(PerHeadcount[Month 24],PerHeadcount[exp_item],$H1278,PerHeadcount[company_name],$B1278)*AI228)</f>
        <v>0</v>
      </c>
      <c r="AJ1278" s="652">
        <f>IF($B1278="",,SUMIFS(PerHeadcount[Month 25],PerHeadcount[exp_item],$H1278,PerHeadcount[company_name],$B1278)*AJ228)</f>
        <v>0</v>
      </c>
      <c r="AK1278" s="652">
        <f>IF($B1278="",,SUMIFS(PerHeadcount[Month 26],PerHeadcount[exp_item],$H1278,PerHeadcount[company_name],$B1278)*AK228)</f>
        <v>0</v>
      </c>
      <c r="AL1278" s="652">
        <f>IF($B1278="",,SUMIFS(PerHeadcount[Month 27],PerHeadcount[exp_item],$H1278,PerHeadcount[company_name],$B1278)*AL228)</f>
        <v>0</v>
      </c>
      <c r="AM1278" s="652">
        <f>IF($B1278="",,SUMIFS(PerHeadcount[Month 28],PerHeadcount[exp_item],$H1278,PerHeadcount[company_name],$B1278)*AM228)</f>
        <v>0</v>
      </c>
      <c r="AN1278" s="652">
        <f>IF($B1278="",,SUMIFS(PerHeadcount[Month 29],PerHeadcount[exp_item],$H1278,PerHeadcount[company_name],$B1278)*AN228)</f>
        <v>0</v>
      </c>
      <c r="AO1278" s="652">
        <f>IF($B1278="",,SUMIFS(PerHeadcount[Month 30],PerHeadcount[exp_item],$H1278,PerHeadcount[company_name],$B1278)*AO228)</f>
        <v>0</v>
      </c>
      <c r="AP1278" s="652">
        <f>IF($B1278="",,SUMIFS(PerHeadcount[Month 31],PerHeadcount[exp_item],$H1278,PerHeadcount[company_name],$B1278)*AP228)</f>
        <v>0</v>
      </c>
      <c r="AQ1278" s="652">
        <f>IF($B1278="",,SUMIFS(PerHeadcount[Month 32],PerHeadcount[exp_item],$H1278,PerHeadcount[company_name],$B1278)*AQ228)</f>
        <v>0</v>
      </c>
      <c r="AR1278" s="652">
        <f>IF($B1278="",,SUMIFS(PerHeadcount[Month 33],PerHeadcount[exp_item],$H1278,PerHeadcount[company_name],$B1278)*AR228)</f>
        <v>0</v>
      </c>
      <c r="AS1278" s="652">
        <f>IF($B1278="",,SUMIFS(PerHeadcount[Month 34],PerHeadcount[exp_item],$H1278,PerHeadcount[company_name],$B1278)*AS228)</f>
        <v>0</v>
      </c>
      <c r="AT1278" s="652">
        <f>IF($B1278="",,SUMIFS(PerHeadcount[Month 35],PerHeadcount[exp_item],$H1278,PerHeadcount[company_name],$B1278)*AT228)</f>
        <v>0</v>
      </c>
      <c r="AU1278" s="652">
        <f>IF($B1278="",,SUMIFS(PerHeadcount[Month 36],PerHeadcount[exp_item],$H1278,PerHeadcount[company_name],$B1278)*AU228)</f>
        <v>0</v>
      </c>
    </row>
    <row r="1279" spans="2:47" x14ac:dyDescent="0.35">
      <c r="B1279" t="str">
        <f t="shared" si="916"/>
        <v/>
      </c>
      <c r="C1279" t="str">
        <f t="shared" ref="C1279:G1279" si="927">IF(C1174="","",C1174)</f>
        <v/>
      </c>
      <c r="D1279" t="str">
        <f t="shared" si="927"/>
        <v/>
      </c>
      <c r="E1279" t="str">
        <f t="shared" si="927"/>
        <v/>
      </c>
      <c r="F1279" t="str">
        <f t="shared" si="927"/>
        <v/>
      </c>
      <c r="G1279" t="str">
        <f t="shared" si="927"/>
        <v/>
      </c>
      <c r="H1279" t="str">
        <f t="shared" si="915"/>
        <v/>
      </c>
      <c r="J1279" t="str">
        <f>IF($H1279="","",IF(VLOOKUP(H1279,ExpItems[],2,0),H1279&amp;" - "&amp;INDEX(DivisionMapping[category_code],MATCH($D1279&amp;$C1279,DivisionMapping[dept_bu],0)),H1279))</f>
        <v/>
      </c>
      <c r="K1279" t="str">
        <f t="shared" si="883"/>
        <v/>
      </c>
      <c r="L1279" s="652">
        <f>IF($B1279="",,SUMIFS(PerHeadcount[Month 1],PerHeadcount[exp_item],$H1279,PerHeadcount[company_name],$B1279)*L229)</f>
        <v>0</v>
      </c>
      <c r="M1279" s="652">
        <f>IF($B1279="",,SUMIFS(PerHeadcount[Month 2],PerHeadcount[exp_item],$H1279,PerHeadcount[company_name],$B1279)*M229)</f>
        <v>0</v>
      </c>
      <c r="N1279" s="652">
        <f>IF($B1279="",,SUMIFS(PerHeadcount[Month 3],PerHeadcount[exp_item],$H1279,PerHeadcount[company_name],$B1279)*N229)</f>
        <v>0</v>
      </c>
      <c r="O1279" s="652">
        <f>IF($B1279="",,SUMIFS(PerHeadcount[Month 4],PerHeadcount[exp_item],$H1279,PerHeadcount[company_name],$B1279)*O229)</f>
        <v>0</v>
      </c>
      <c r="P1279" s="652">
        <f>IF($B1279="",,SUMIFS(PerHeadcount[Month 5],PerHeadcount[exp_item],$H1279,PerHeadcount[company_name],$B1279)*P229)</f>
        <v>0</v>
      </c>
      <c r="Q1279" s="652">
        <f>IF($B1279="",,SUMIFS(PerHeadcount[Month 6],PerHeadcount[exp_item],$H1279,PerHeadcount[company_name],$B1279)*Q229)</f>
        <v>0</v>
      </c>
      <c r="R1279" s="652">
        <f>IF($B1279="",,SUMIFS(PerHeadcount[Month 7],PerHeadcount[exp_item],$H1279,PerHeadcount[company_name],$B1279)*R229)</f>
        <v>0</v>
      </c>
      <c r="S1279" s="652">
        <f>IF($B1279="",,SUMIFS(PerHeadcount[Month 8],PerHeadcount[exp_item],$H1279,PerHeadcount[company_name],$B1279)*S229)</f>
        <v>0</v>
      </c>
      <c r="T1279" s="652">
        <f>IF($B1279="",,SUMIFS(PerHeadcount[Month 9],PerHeadcount[exp_item],$H1279,PerHeadcount[company_name],$B1279)*T229)</f>
        <v>0</v>
      </c>
      <c r="U1279" s="652">
        <f>IF($B1279="",,SUMIFS(PerHeadcount[Month 10],PerHeadcount[exp_item],$H1279,PerHeadcount[company_name],$B1279)*U229)</f>
        <v>0</v>
      </c>
      <c r="V1279" s="652">
        <f>IF($B1279="",,SUMIFS(PerHeadcount[Month 11],PerHeadcount[exp_item],$H1279,PerHeadcount[company_name],$B1279)*V229)</f>
        <v>0</v>
      </c>
      <c r="W1279" s="652">
        <f>IF($B1279="",,SUMIFS(PerHeadcount[Month 12],PerHeadcount[exp_item],$H1279,PerHeadcount[company_name],$B1279)*W229)</f>
        <v>0</v>
      </c>
      <c r="X1279" s="652">
        <f>IF($B1279="",,SUMIFS(PerHeadcount[Month 13],PerHeadcount[exp_item],$H1279,PerHeadcount[company_name],$B1279)*X229)</f>
        <v>0</v>
      </c>
      <c r="Y1279" s="652">
        <f>IF($B1279="",,SUMIFS(PerHeadcount[Month 14],PerHeadcount[exp_item],$H1279,PerHeadcount[company_name],$B1279)*Y229)</f>
        <v>0</v>
      </c>
      <c r="Z1279" s="652">
        <f>IF($B1279="",,SUMIFS(PerHeadcount[Month 15],PerHeadcount[exp_item],$H1279,PerHeadcount[company_name],$B1279)*Z229)</f>
        <v>0</v>
      </c>
      <c r="AA1279" s="652">
        <f>IF($B1279="",,SUMIFS(PerHeadcount[Month 16],PerHeadcount[exp_item],$H1279,PerHeadcount[company_name],$B1279)*AA229)</f>
        <v>0</v>
      </c>
      <c r="AB1279" s="652">
        <f>IF($B1279="",,SUMIFS(PerHeadcount[Month 17],PerHeadcount[exp_item],$H1279,PerHeadcount[company_name],$B1279)*AB229)</f>
        <v>0</v>
      </c>
      <c r="AC1279" s="652">
        <f>IF($B1279="",,SUMIFS(PerHeadcount[Month 18],PerHeadcount[exp_item],$H1279,PerHeadcount[company_name],$B1279)*AC229)</f>
        <v>0</v>
      </c>
      <c r="AD1279" s="652">
        <f>IF($B1279="",,SUMIFS(PerHeadcount[Month 19],PerHeadcount[exp_item],$H1279,PerHeadcount[company_name],$B1279)*AD229)</f>
        <v>0</v>
      </c>
      <c r="AE1279" s="652">
        <f>IF($B1279="",,SUMIFS(PerHeadcount[Month 20],PerHeadcount[exp_item],$H1279,PerHeadcount[company_name],$B1279)*AE229)</f>
        <v>0</v>
      </c>
      <c r="AF1279" s="652">
        <f>IF($B1279="",,SUMIFS(PerHeadcount[Month 21],PerHeadcount[exp_item],$H1279,PerHeadcount[company_name],$B1279)*AF229)</f>
        <v>0</v>
      </c>
      <c r="AG1279" s="652">
        <f>IF($B1279="",,SUMIFS(PerHeadcount[Month 22],PerHeadcount[exp_item],$H1279,PerHeadcount[company_name],$B1279)*AG229)</f>
        <v>0</v>
      </c>
      <c r="AH1279" s="652">
        <f>IF($B1279="",,SUMIFS(PerHeadcount[Month 23],PerHeadcount[exp_item],$H1279,PerHeadcount[company_name],$B1279)*AH229)</f>
        <v>0</v>
      </c>
      <c r="AI1279" s="652">
        <f>IF($B1279="",,SUMIFS(PerHeadcount[Month 24],PerHeadcount[exp_item],$H1279,PerHeadcount[company_name],$B1279)*AI229)</f>
        <v>0</v>
      </c>
      <c r="AJ1279" s="652">
        <f>IF($B1279="",,SUMIFS(PerHeadcount[Month 25],PerHeadcount[exp_item],$H1279,PerHeadcount[company_name],$B1279)*AJ229)</f>
        <v>0</v>
      </c>
      <c r="AK1279" s="652">
        <f>IF($B1279="",,SUMIFS(PerHeadcount[Month 26],PerHeadcount[exp_item],$H1279,PerHeadcount[company_name],$B1279)*AK229)</f>
        <v>0</v>
      </c>
      <c r="AL1279" s="652">
        <f>IF($B1279="",,SUMIFS(PerHeadcount[Month 27],PerHeadcount[exp_item],$H1279,PerHeadcount[company_name],$B1279)*AL229)</f>
        <v>0</v>
      </c>
      <c r="AM1279" s="652">
        <f>IF($B1279="",,SUMIFS(PerHeadcount[Month 28],PerHeadcount[exp_item],$H1279,PerHeadcount[company_name],$B1279)*AM229)</f>
        <v>0</v>
      </c>
      <c r="AN1279" s="652">
        <f>IF($B1279="",,SUMIFS(PerHeadcount[Month 29],PerHeadcount[exp_item],$H1279,PerHeadcount[company_name],$B1279)*AN229)</f>
        <v>0</v>
      </c>
      <c r="AO1279" s="652">
        <f>IF($B1279="",,SUMIFS(PerHeadcount[Month 30],PerHeadcount[exp_item],$H1279,PerHeadcount[company_name],$B1279)*AO229)</f>
        <v>0</v>
      </c>
      <c r="AP1279" s="652">
        <f>IF($B1279="",,SUMIFS(PerHeadcount[Month 31],PerHeadcount[exp_item],$H1279,PerHeadcount[company_name],$B1279)*AP229)</f>
        <v>0</v>
      </c>
      <c r="AQ1279" s="652">
        <f>IF($B1279="",,SUMIFS(PerHeadcount[Month 32],PerHeadcount[exp_item],$H1279,PerHeadcount[company_name],$B1279)*AQ229)</f>
        <v>0</v>
      </c>
      <c r="AR1279" s="652">
        <f>IF($B1279="",,SUMIFS(PerHeadcount[Month 33],PerHeadcount[exp_item],$H1279,PerHeadcount[company_name],$B1279)*AR229)</f>
        <v>0</v>
      </c>
      <c r="AS1279" s="652">
        <f>IF($B1279="",,SUMIFS(PerHeadcount[Month 34],PerHeadcount[exp_item],$H1279,PerHeadcount[company_name],$B1279)*AS229)</f>
        <v>0</v>
      </c>
      <c r="AT1279" s="652">
        <f>IF($B1279="",,SUMIFS(PerHeadcount[Month 35],PerHeadcount[exp_item],$H1279,PerHeadcount[company_name],$B1279)*AT229)</f>
        <v>0</v>
      </c>
      <c r="AU1279" s="652">
        <f>IF($B1279="",,SUMIFS(PerHeadcount[Month 36],PerHeadcount[exp_item],$H1279,PerHeadcount[company_name],$B1279)*AU229)</f>
        <v>0</v>
      </c>
    </row>
    <row r="1280" spans="2:47" x14ac:dyDescent="0.35">
      <c r="B1280" t="str">
        <f t="shared" si="916"/>
        <v/>
      </c>
      <c r="C1280" t="str">
        <f t="shared" ref="C1280:G1280" si="928">IF(C1175="","",C1175)</f>
        <v/>
      </c>
      <c r="D1280" t="str">
        <f t="shared" si="928"/>
        <v/>
      </c>
      <c r="E1280" t="str">
        <f t="shared" si="928"/>
        <v/>
      </c>
      <c r="F1280" t="str">
        <f t="shared" si="928"/>
        <v/>
      </c>
      <c r="G1280" t="str">
        <f t="shared" si="928"/>
        <v/>
      </c>
      <c r="H1280" t="str">
        <f t="shared" si="915"/>
        <v/>
      </c>
      <c r="J1280" t="str">
        <f>IF($H1280="","",IF(VLOOKUP(H1280,ExpItems[],2,0),H1280&amp;" - "&amp;INDEX(DivisionMapping[category_code],MATCH($D1280&amp;$C1280,DivisionMapping[dept_bu],0)),H1280))</f>
        <v/>
      </c>
      <c r="K1280" t="str">
        <f t="shared" si="883"/>
        <v/>
      </c>
      <c r="L1280" s="652">
        <f>IF($B1280="",,SUMIFS(PerHeadcount[Month 1],PerHeadcount[exp_item],$H1280,PerHeadcount[company_name],$B1280)*L230)</f>
        <v>0</v>
      </c>
      <c r="M1280" s="652">
        <f>IF($B1280="",,SUMIFS(PerHeadcount[Month 2],PerHeadcount[exp_item],$H1280,PerHeadcount[company_name],$B1280)*M230)</f>
        <v>0</v>
      </c>
      <c r="N1280" s="652">
        <f>IF($B1280="",,SUMIFS(PerHeadcount[Month 3],PerHeadcount[exp_item],$H1280,PerHeadcount[company_name],$B1280)*N230)</f>
        <v>0</v>
      </c>
      <c r="O1280" s="652">
        <f>IF($B1280="",,SUMIFS(PerHeadcount[Month 4],PerHeadcount[exp_item],$H1280,PerHeadcount[company_name],$B1280)*O230)</f>
        <v>0</v>
      </c>
      <c r="P1280" s="652">
        <f>IF($B1280="",,SUMIFS(PerHeadcount[Month 5],PerHeadcount[exp_item],$H1280,PerHeadcount[company_name],$B1280)*P230)</f>
        <v>0</v>
      </c>
      <c r="Q1280" s="652">
        <f>IF($B1280="",,SUMIFS(PerHeadcount[Month 6],PerHeadcount[exp_item],$H1280,PerHeadcount[company_name],$B1280)*Q230)</f>
        <v>0</v>
      </c>
      <c r="R1280" s="652">
        <f>IF($B1280="",,SUMIFS(PerHeadcount[Month 7],PerHeadcount[exp_item],$H1280,PerHeadcount[company_name],$B1280)*R230)</f>
        <v>0</v>
      </c>
      <c r="S1280" s="652">
        <f>IF($B1280="",,SUMIFS(PerHeadcount[Month 8],PerHeadcount[exp_item],$H1280,PerHeadcount[company_name],$B1280)*S230)</f>
        <v>0</v>
      </c>
      <c r="T1280" s="652">
        <f>IF($B1280="",,SUMIFS(PerHeadcount[Month 9],PerHeadcount[exp_item],$H1280,PerHeadcount[company_name],$B1280)*T230)</f>
        <v>0</v>
      </c>
      <c r="U1280" s="652">
        <f>IF($B1280="",,SUMIFS(PerHeadcount[Month 10],PerHeadcount[exp_item],$H1280,PerHeadcount[company_name],$B1280)*U230)</f>
        <v>0</v>
      </c>
      <c r="V1280" s="652">
        <f>IF($B1280="",,SUMIFS(PerHeadcount[Month 11],PerHeadcount[exp_item],$H1280,PerHeadcount[company_name],$B1280)*V230)</f>
        <v>0</v>
      </c>
      <c r="W1280" s="652">
        <f>IF($B1280="",,SUMIFS(PerHeadcount[Month 12],PerHeadcount[exp_item],$H1280,PerHeadcount[company_name],$B1280)*W230)</f>
        <v>0</v>
      </c>
      <c r="X1280" s="652">
        <f>IF($B1280="",,SUMIFS(PerHeadcount[Month 13],PerHeadcount[exp_item],$H1280,PerHeadcount[company_name],$B1280)*X230)</f>
        <v>0</v>
      </c>
      <c r="Y1280" s="652">
        <f>IF($B1280="",,SUMIFS(PerHeadcount[Month 14],PerHeadcount[exp_item],$H1280,PerHeadcount[company_name],$B1280)*Y230)</f>
        <v>0</v>
      </c>
      <c r="Z1280" s="652">
        <f>IF($B1280="",,SUMIFS(PerHeadcount[Month 15],PerHeadcount[exp_item],$H1280,PerHeadcount[company_name],$B1280)*Z230)</f>
        <v>0</v>
      </c>
      <c r="AA1280" s="652">
        <f>IF($B1280="",,SUMIFS(PerHeadcount[Month 16],PerHeadcount[exp_item],$H1280,PerHeadcount[company_name],$B1280)*AA230)</f>
        <v>0</v>
      </c>
      <c r="AB1280" s="652">
        <f>IF($B1280="",,SUMIFS(PerHeadcount[Month 17],PerHeadcount[exp_item],$H1280,PerHeadcount[company_name],$B1280)*AB230)</f>
        <v>0</v>
      </c>
      <c r="AC1280" s="652">
        <f>IF($B1280="",,SUMIFS(PerHeadcount[Month 18],PerHeadcount[exp_item],$H1280,PerHeadcount[company_name],$B1280)*AC230)</f>
        <v>0</v>
      </c>
      <c r="AD1280" s="652">
        <f>IF($B1280="",,SUMIFS(PerHeadcount[Month 19],PerHeadcount[exp_item],$H1280,PerHeadcount[company_name],$B1280)*AD230)</f>
        <v>0</v>
      </c>
      <c r="AE1280" s="652">
        <f>IF($B1280="",,SUMIFS(PerHeadcount[Month 20],PerHeadcount[exp_item],$H1280,PerHeadcount[company_name],$B1280)*AE230)</f>
        <v>0</v>
      </c>
      <c r="AF1280" s="652">
        <f>IF($B1280="",,SUMIFS(PerHeadcount[Month 21],PerHeadcount[exp_item],$H1280,PerHeadcount[company_name],$B1280)*AF230)</f>
        <v>0</v>
      </c>
      <c r="AG1280" s="652">
        <f>IF($B1280="",,SUMIFS(PerHeadcount[Month 22],PerHeadcount[exp_item],$H1280,PerHeadcount[company_name],$B1280)*AG230)</f>
        <v>0</v>
      </c>
      <c r="AH1280" s="652">
        <f>IF($B1280="",,SUMIFS(PerHeadcount[Month 23],PerHeadcount[exp_item],$H1280,PerHeadcount[company_name],$B1280)*AH230)</f>
        <v>0</v>
      </c>
      <c r="AI1280" s="652">
        <f>IF($B1280="",,SUMIFS(PerHeadcount[Month 24],PerHeadcount[exp_item],$H1280,PerHeadcount[company_name],$B1280)*AI230)</f>
        <v>0</v>
      </c>
      <c r="AJ1280" s="652">
        <f>IF($B1280="",,SUMIFS(PerHeadcount[Month 25],PerHeadcount[exp_item],$H1280,PerHeadcount[company_name],$B1280)*AJ230)</f>
        <v>0</v>
      </c>
      <c r="AK1280" s="652">
        <f>IF($B1280="",,SUMIFS(PerHeadcount[Month 26],PerHeadcount[exp_item],$H1280,PerHeadcount[company_name],$B1280)*AK230)</f>
        <v>0</v>
      </c>
      <c r="AL1280" s="652">
        <f>IF($B1280="",,SUMIFS(PerHeadcount[Month 27],PerHeadcount[exp_item],$H1280,PerHeadcount[company_name],$B1280)*AL230)</f>
        <v>0</v>
      </c>
      <c r="AM1280" s="652">
        <f>IF($B1280="",,SUMIFS(PerHeadcount[Month 28],PerHeadcount[exp_item],$H1280,PerHeadcount[company_name],$B1280)*AM230)</f>
        <v>0</v>
      </c>
      <c r="AN1280" s="652">
        <f>IF($B1280="",,SUMIFS(PerHeadcount[Month 29],PerHeadcount[exp_item],$H1280,PerHeadcount[company_name],$B1280)*AN230)</f>
        <v>0</v>
      </c>
      <c r="AO1280" s="652">
        <f>IF($B1280="",,SUMIFS(PerHeadcount[Month 30],PerHeadcount[exp_item],$H1280,PerHeadcount[company_name],$B1280)*AO230)</f>
        <v>0</v>
      </c>
      <c r="AP1280" s="652">
        <f>IF($B1280="",,SUMIFS(PerHeadcount[Month 31],PerHeadcount[exp_item],$H1280,PerHeadcount[company_name],$B1280)*AP230)</f>
        <v>0</v>
      </c>
      <c r="AQ1280" s="652">
        <f>IF($B1280="",,SUMIFS(PerHeadcount[Month 32],PerHeadcount[exp_item],$H1280,PerHeadcount[company_name],$B1280)*AQ230)</f>
        <v>0</v>
      </c>
      <c r="AR1280" s="652">
        <f>IF($B1280="",,SUMIFS(PerHeadcount[Month 33],PerHeadcount[exp_item],$H1280,PerHeadcount[company_name],$B1280)*AR230)</f>
        <v>0</v>
      </c>
      <c r="AS1280" s="652">
        <f>IF($B1280="",,SUMIFS(PerHeadcount[Month 34],PerHeadcount[exp_item],$H1280,PerHeadcount[company_name],$B1280)*AS230)</f>
        <v>0</v>
      </c>
      <c r="AT1280" s="652">
        <f>IF($B1280="",,SUMIFS(PerHeadcount[Month 35],PerHeadcount[exp_item],$H1280,PerHeadcount[company_name],$B1280)*AT230)</f>
        <v>0</v>
      </c>
      <c r="AU1280" s="652">
        <f>IF($B1280="",,SUMIFS(PerHeadcount[Month 36],PerHeadcount[exp_item],$H1280,PerHeadcount[company_name],$B1280)*AU230)</f>
        <v>0</v>
      </c>
    </row>
    <row r="1281" spans="2:47" x14ac:dyDescent="0.35">
      <c r="B1281" t="str">
        <f t="shared" si="916"/>
        <v/>
      </c>
      <c r="C1281" t="str">
        <f t="shared" ref="C1281:G1281" si="929">IF(C1176="","",C1176)</f>
        <v/>
      </c>
      <c r="D1281" t="str">
        <f t="shared" si="929"/>
        <v/>
      </c>
      <c r="E1281" t="str">
        <f t="shared" si="929"/>
        <v/>
      </c>
      <c r="F1281" t="str">
        <f t="shared" si="929"/>
        <v/>
      </c>
      <c r="G1281" t="str">
        <f t="shared" si="929"/>
        <v/>
      </c>
      <c r="H1281" t="str">
        <f t="shared" si="915"/>
        <v/>
      </c>
      <c r="J1281" t="str">
        <f>IF($H1281="","",IF(VLOOKUP(H1281,ExpItems[],2,0),H1281&amp;" - "&amp;INDEX(DivisionMapping[category_code],MATCH($D1281&amp;$C1281,DivisionMapping[dept_bu],0)),H1281))</f>
        <v/>
      </c>
      <c r="K1281" t="str">
        <f t="shared" si="883"/>
        <v/>
      </c>
      <c r="L1281" s="652">
        <f>IF($B1281="",,SUMIFS(PerHeadcount[Month 1],PerHeadcount[exp_item],$H1281,PerHeadcount[company_name],$B1281)*L231)</f>
        <v>0</v>
      </c>
      <c r="M1281" s="652">
        <f>IF($B1281="",,SUMIFS(PerHeadcount[Month 2],PerHeadcount[exp_item],$H1281,PerHeadcount[company_name],$B1281)*M231)</f>
        <v>0</v>
      </c>
      <c r="N1281" s="652">
        <f>IF($B1281="",,SUMIFS(PerHeadcount[Month 3],PerHeadcount[exp_item],$H1281,PerHeadcount[company_name],$B1281)*N231)</f>
        <v>0</v>
      </c>
      <c r="O1281" s="652">
        <f>IF($B1281="",,SUMIFS(PerHeadcount[Month 4],PerHeadcount[exp_item],$H1281,PerHeadcount[company_name],$B1281)*O231)</f>
        <v>0</v>
      </c>
      <c r="P1281" s="652">
        <f>IF($B1281="",,SUMIFS(PerHeadcount[Month 5],PerHeadcount[exp_item],$H1281,PerHeadcount[company_name],$B1281)*P231)</f>
        <v>0</v>
      </c>
      <c r="Q1281" s="652">
        <f>IF($B1281="",,SUMIFS(PerHeadcount[Month 6],PerHeadcount[exp_item],$H1281,PerHeadcount[company_name],$B1281)*Q231)</f>
        <v>0</v>
      </c>
      <c r="R1281" s="652">
        <f>IF($B1281="",,SUMIFS(PerHeadcount[Month 7],PerHeadcount[exp_item],$H1281,PerHeadcount[company_name],$B1281)*R231)</f>
        <v>0</v>
      </c>
      <c r="S1281" s="652">
        <f>IF($B1281="",,SUMIFS(PerHeadcount[Month 8],PerHeadcount[exp_item],$H1281,PerHeadcount[company_name],$B1281)*S231)</f>
        <v>0</v>
      </c>
      <c r="T1281" s="652">
        <f>IF($B1281="",,SUMIFS(PerHeadcount[Month 9],PerHeadcount[exp_item],$H1281,PerHeadcount[company_name],$B1281)*T231)</f>
        <v>0</v>
      </c>
      <c r="U1281" s="652">
        <f>IF($B1281="",,SUMIFS(PerHeadcount[Month 10],PerHeadcount[exp_item],$H1281,PerHeadcount[company_name],$B1281)*U231)</f>
        <v>0</v>
      </c>
      <c r="V1281" s="652">
        <f>IF($B1281="",,SUMIFS(PerHeadcount[Month 11],PerHeadcount[exp_item],$H1281,PerHeadcount[company_name],$B1281)*V231)</f>
        <v>0</v>
      </c>
      <c r="W1281" s="652">
        <f>IF($B1281="",,SUMIFS(PerHeadcount[Month 12],PerHeadcount[exp_item],$H1281,PerHeadcount[company_name],$B1281)*W231)</f>
        <v>0</v>
      </c>
      <c r="X1281" s="652">
        <f>IF($B1281="",,SUMIFS(PerHeadcount[Month 13],PerHeadcount[exp_item],$H1281,PerHeadcount[company_name],$B1281)*X231)</f>
        <v>0</v>
      </c>
      <c r="Y1281" s="652">
        <f>IF($B1281="",,SUMIFS(PerHeadcount[Month 14],PerHeadcount[exp_item],$H1281,PerHeadcount[company_name],$B1281)*Y231)</f>
        <v>0</v>
      </c>
      <c r="Z1281" s="652">
        <f>IF($B1281="",,SUMIFS(PerHeadcount[Month 15],PerHeadcount[exp_item],$H1281,PerHeadcount[company_name],$B1281)*Z231)</f>
        <v>0</v>
      </c>
      <c r="AA1281" s="652">
        <f>IF($B1281="",,SUMIFS(PerHeadcount[Month 16],PerHeadcount[exp_item],$H1281,PerHeadcount[company_name],$B1281)*AA231)</f>
        <v>0</v>
      </c>
      <c r="AB1281" s="652">
        <f>IF($B1281="",,SUMIFS(PerHeadcount[Month 17],PerHeadcount[exp_item],$H1281,PerHeadcount[company_name],$B1281)*AB231)</f>
        <v>0</v>
      </c>
      <c r="AC1281" s="652">
        <f>IF($B1281="",,SUMIFS(PerHeadcount[Month 18],PerHeadcount[exp_item],$H1281,PerHeadcount[company_name],$B1281)*AC231)</f>
        <v>0</v>
      </c>
      <c r="AD1281" s="652">
        <f>IF($B1281="",,SUMIFS(PerHeadcount[Month 19],PerHeadcount[exp_item],$H1281,PerHeadcount[company_name],$B1281)*AD231)</f>
        <v>0</v>
      </c>
      <c r="AE1281" s="652">
        <f>IF($B1281="",,SUMIFS(PerHeadcount[Month 20],PerHeadcount[exp_item],$H1281,PerHeadcount[company_name],$B1281)*AE231)</f>
        <v>0</v>
      </c>
      <c r="AF1281" s="652">
        <f>IF($B1281="",,SUMIFS(PerHeadcount[Month 21],PerHeadcount[exp_item],$H1281,PerHeadcount[company_name],$B1281)*AF231)</f>
        <v>0</v>
      </c>
      <c r="AG1281" s="652">
        <f>IF($B1281="",,SUMIFS(PerHeadcount[Month 22],PerHeadcount[exp_item],$H1281,PerHeadcount[company_name],$B1281)*AG231)</f>
        <v>0</v>
      </c>
      <c r="AH1281" s="652">
        <f>IF($B1281="",,SUMIFS(PerHeadcount[Month 23],PerHeadcount[exp_item],$H1281,PerHeadcount[company_name],$B1281)*AH231)</f>
        <v>0</v>
      </c>
      <c r="AI1281" s="652">
        <f>IF($B1281="",,SUMIFS(PerHeadcount[Month 24],PerHeadcount[exp_item],$H1281,PerHeadcount[company_name],$B1281)*AI231)</f>
        <v>0</v>
      </c>
      <c r="AJ1281" s="652">
        <f>IF($B1281="",,SUMIFS(PerHeadcount[Month 25],PerHeadcount[exp_item],$H1281,PerHeadcount[company_name],$B1281)*AJ231)</f>
        <v>0</v>
      </c>
      <c r="AK1281" s="652">
        <f>IF($B1281="",,SUMIFS(PerHeadcount[Month 26],PerHeadcount[exp_item],$H1281,PerHeadcount[company_name],$B1281)*AK231)</f>
        <v>0</v>
      </c>
      <c r="AL1281" s="652">
        <f>IF($B1281="",,SUMIFS(PerHeadcount[Month 27],PerHeadcount[exp_item],$H1281,PerHeadcount[company_name],$B1281)*AL231)</f>
        <v>0</v>
      </c>
      <c r="AM1281" s="652">
        <f>IF($B1281="",,SUMIFS(PerHeadcount[Month 28],PerHeadcount[exp_item],$H1281,PerHeadcount[company_name],$B1281)*AM231)</f>
        <v>0</v>
      </c>
      <c r="AN1281" s="652">
        <f>IF($B1281="",,SUMIFS(PerHeadcount[Month 29],PerHeadcount[exp_item],$H1281,PerHeadcount[company_name],$B1281)*AN231)</f>
        <v>0</v>
      </c>
      <c r="AO1281" s="652">
        <f>IF($B1281="",,SUMIFS(PerHeadcount[Month 30],PerHeadcount[exp_item],$H1281,PerHeadcount[company_name],$B1281)*AO231)</f>
        <v>0</v>
      </c>
      <c r="AP1281" s="652">
        <f>IF($B1281="",,SUMIFS(PerHeadcount[Month 31],PerHeadcount[exp_item],$H1281,PerHeadcount[company_name],$B1281)*AP231)</f>
        <v>0</v>
      </c>
      <c r="AQ1281" s="652">
        <f>IF($B1281="",,SUMIFS(PerHeadcount[Month 32],PerHeadcount[exp_item],$H1281,PerHeadcount[company_name],$B1281)*AQ231)</f>
        <v>0</v>
      </c>
      <c r="AR1281" s="652">
        <f>IF($B1281="",,SUMIFS(PerHeadcount[Month 33],PerHeadcount[exp_item],$H1281,PerHeadcount[company_name],$B1281)*AR231)</f>
        <v>0</v>
      </c>
      <c r="AS1281" s="652">
        <f>IF($B1281="",,SUMIFS(PerHeadcount[Month 34],PerHeadcount[exp_item],$H1281,PerHeadcount[company_name],$B1281)*AS231)</f>
        <v>0</v>
      </c>
      <c r="AT1281" s="652">
        <f>IF($B1281="",,SUMIFS(PerHeadcount[Month 35],PerHeadcount[exp_item],$H1281,PerHeadcount[company_name],$B1281)*AT231)</f>
        <v>0</v>
      </c>
      <c r="AU1281" s="652">
        <f>IF($B1281="",,SUMIFS(PerHeadcount[Month 36],PerHeadcount[exp_item],$H1281,PerHeadcount[company_name],$B1281)*AU231)</f>
        <v>0</v>
      </c>
    </row>
    <row r="1282" spans="2:47" x14ac:dyDescent="0.35">
      <c r="B1282" t="str">
        <f t="shared" si="916"/>
        <v/>
      </c>
      <c r="C1282" t="str">
        <f t="shared" ref="C1282:G1282" si="930">IF(C1177="","",C1177)</f>
        <v/>
      </c>
      <c r="D1282" t="str">
        <f t="shared" si="930"/>
        <v/>
      </c>
      <c r="E1282" t="str">
        <f t="shared" si="930"/>
        <v/>
      </c>
      <c r="F1282" t="str">
        <f t="shared" si="930"/>
        <v/>
      </c>
      <c r="G1282" t="str">
        <f t="shared" si="930"/>
        <v/>
      </c>
      <c r="H1282" t="str">
        <f t="shared" si="915"/>
        <v/>
      </c>
      <c r="J1282" t="str">
        <f>IF($H1282="","",IF(VLOOKUP(H1282,ExpItems[],2,0),H1282&amp;" - "&amp;INDEX(DivisionMapping[category_code],MATCH($D1282&amp;$C1282,DivisionMapping[dept_bu],0)),H1282))</f>
        <v/>
      </c>
      <c r="K1282" t="str">
        <f t="shared" si="883"/>
        <v/>
      </c>
      <c r="L1282" s="652">
        <f>IF($B1282="",,SUMIFS(PerHeadcount[Month 1],PerHeadcount[exp_item],$H1282,PerHeadcount[company_name],$B1282)*L232)</f>
        <v>0</v>
      </c>
      <c r="M1282" s="652">
        <f>IF($B1282="",,SUMIFS(PerHeadcount[Month 2],PerHeadcount[exp_item],$H1282,PerHeadcount[company_name],$B1282)*M232)</f>
        <v>0</v>
      </c>
      <c r="N1282" s="652">
        <f>IF($B1282="",,SUMIFS(PerHeadcount[Month 3],PerHeadcount[exp_item],$H1282,PerHeadcount[company_name],$B1282)*N232)</f>
        <v>0</v>
      </c>
      <c r="O1282" s="652">
        <f>IF($B1282="",,SUMIFS(PerHeadcount[Month 4],PerHeadcount[exp_item],$H1282,PerHeadcount[company_name],$B1282)*O232)</f>
        <v>0</v>
      </c>
      <c r="P1282" s="652">
        <f>IF($B1282="",,SUMIFS(PerHeadcount[Month 5],PerHeadcount[exp_item],$H1282,PerHeadcount[company_name],$B1282)*P232)</f>
        <v>0</v>
      </c>
      <c r="Q1282" s="652">
        <f>IF($B1282="",,SUMIFS(PerHeadcount[Month 6],PerHeadcount[exp_item],$H1282,PerHeadcount[company_name],$B1282)*Q232)</f>
        <v>0</v>
      </c>
      <c r="R1282" s="652">
        <f>IF($B1282="",,SUMIFS(PerHeadcount[Month 7],PerHeadcount[exp_item],$H1282,PerHeadcount[company_name],$B1282)*R232)</f>
        <v>0</v>
      </c>
      <c r="S1282" s="652">
        <f>IF($B1282="",,SUMIFS(PerHeadcount[Month 8],PerHeadcount[exp_item],$H1282,PerHeadcount[company_name],$B1282)*S232)</f>
        <v>0</v>
      </c>
      <c r="T1282" s="652">
        <f>IF($B1282="",,SUMIFS(PerHeadcount[Month 9],PerHeadcount[exp_item],$H1282,PerHeadcount[company_name],$B1282)*T232)</f>
        <v>0</v>
      </c>
      <c r="U1282" s="652">
        <f>IF($B1282="",,SUMIFS(PerHeadcount[Month 10],PerHeadcount[exp_item],$H1282,PerHeadcount[company_name],$B1282)*U232)</f>
        <v>0</v>
      </c>
      <c r="V1282" s="652">
        <f>IF($B1282="",,SUMIFS(PerHeadcount[Month 11],PerHeadcount[exp_item],$H1282,PerHeadcount[company_name],$B1282)*V232)</f>
        <v>0</v>
      </c>
      <c r="W1282" s="652">
        <f>IF($B1282="",,SUMIFS(PerHeadcount[Month 12],PerHeadcount[exp_item],$H1282,PerHeadcount[company_name],$B1282)*W232)</f>
        <v>0</v>
      </c>
      <c r="X1282" s="652">
        <f>IF($B1282="",,SUMIFS(PerHeadcount[Month 13],PerHeadcount[exp_item],$H1282,PerHeadcount[company_name],$B1282)*X232)</f>
        <v>0</v>
      </c>
      <c r="Y1282" s="652">
        <f>IF($B1282="",,SUMIFS(PerHeadcount[Month 14],PerHeadcount[exp_item],$H1282,PerHeadcount[company_name],$B1282)*Y232)</f>
        <v>0</v>
      </c>
      <c r="Z1282" s="652">
        <f>IF($B1282="",,SUMIFS(PerHeadcount[Month 15],PerHeadcount[exp_item],$H1282,PerHeadcount[company_name],$B1282)*Z232)</f>
        <v>0</v>
      </c>
      <c r="AA1282" s="652">
        <f>IF($B1282="",,SUMIFS(PerHeadcount[Month 16],PerHeadcount[exp_item],$H1282,PerHeadcount[company_name],$B1282)*AA232)</f>
        <v>0</v>
      </c>
      <c r="AB1282" s="652">
        <f>IF($B1282="",,SUMIFS(PerHeadcount[Month 17],PerHeadcount[exp_item],$H1282,PerHeadcount[company_name],$B1282)*AB232)</f>
        <v>0</v>
      </c>
      <c r="AC1282" s="652">
        <f>IF($B1282="",,SUMIFS(PerHeadcount[Month 18],PerHeadcount[exp_item],$H1282,PerHeadcount[company_name],$B1282)*AC232)</f>
        <v>0</v>
      </c>
      <c r="AD1282" s="652">
        <f>IF($B1282="",,SUMIFS(PerHeadcount[Month 19],PerHeadcount[exp_item],$H1282,PerHeadcount[company_name],$B1282)*AD232)</f>
        <v>0</v>
      </c>
      <c r="AE1282" s="652">
        <f>IF($B1282="",,SUMIFS(PerHeadcount[Month 20],PerHeadcount[exp_item],$H1282,PerHeadcount[company_name],$B1282)*AE232)</f>
        <v>0</v>
      </c>
      <c r="AF1282" s="652">
        <f>IF($B1282="",,SUMIFS(PerHeadcount[Month 21],PerHeadcount[exp_item],$H1282,PerHeadcount[company_name],$B1282)*AF232)</f>
        <v>0</v>
      </c>
      <c r="AG1282" s="652">
        <f>IF($B1282="",,SUMIFS(PerHeadcount[Month 22],PerHeadcount[exp_item],$H1282,PerHeadcount[company_name],$B1282)*AG232)</f>
        <v>0</v>
      </c>
      <c r="AH1282" s="652">
        <f>IF($B1282="",,SUMIFS(PerHeadcount[Month 23],PerHeadcount[exp_item],$H1282,PerHeadcount[company_name],$B1282)*AH232)</f>
        <v>0</v>
      </c>
      <c r="AI1282" s="652">
        <f>IF($B1282="",,SUMIFS(PerHeadcount[Month 24],PerHeadcount[exp_item],$H1282,PerHeadcount[company_name],$B1282)*AI232)</f>
        <v>0</v>
      </c>
      <c r="AJ1282" s="652">
        <f>IF($B1282="",,SUMIFS(PerHeadcount[Month 25],PerHeadcount[exp_item],$H1282,PerHeadcount[company_name],$B1282)*AJ232)</f>
        <v>0</v>
      </c>
      <c r="AK1282" s="652">
        <f>IF($B1282="",,SUMIFS(PerHeadcount[Month 26],PerHeadcount[exp_item],$H1282,PerHeadcount[company_name],$B1282)*AK232)</f>
        <v>0</v>
      </c>
      <c r="AL1282" s="652">
        <f>IF($B1282="",,SUMIFS(PerHeadcount[Month 27],PerHeadcount[exp_item],$H1282,PerHeadcount[company_name],$B1282)*AL232)</f>
        <v>0</v>
      </c>
      <c r="AM1282" s="652">
        <f>IF($B1282="",,SUMIFS(PerHeadcount[Month 28],PerHeadcount[exp_item],$H1282,PerHeadcount[company_name],$B1282)*AM232)</f>
        <v>0</v>
      </c>
      <c r="AN1282" s="652">
        <f>IF($B1282="",,SUMIFS(PerHeadcount[Month 29],PerHeadcount[exp_item],$H1282,PerHeadcount[company_name],$B1282)*AN232)</f>
        <v>0</v>
      </c>
      <c r="AO1282" s="652">
        <f>IF($B1282="",,SUMIFS(PerHeadcount[Month 30],PerHeadcount[exp_item],$H1282,PerHeadcount[company_name],$B1282)*AO232)</f>
        <v>0</v>
      </c>
      <c r="AP1282" s="652">
        <f>IF($B1282="",,SUMIFS(PerHeadcount[Month 31],PerHeadcount[exp_item],$H1282,PerHeadcount[company_name],$B1282)*AP232)</f>
        <v>0</v>
      </c>
      <c r="AQ1282" s="652">
        <f>IF($B1282="",,SUMIFS(PerHeadcount[Month 32],PerHeadcount[exp_item],$H1282,PerHeadcount[company_name],$B1282)*AQ232)</f>
        <v>0</v>
      </c>
      <c r="AR1282" s="652">
        <f>IF($B1282="",,SUMIFS(PerHeadcount[Month 33],PerHeadcount[exp_item],$H1282,PerHeadcount[company_name],$B1282)*AR232)</f>
        <v>0</v>
      </c>
      <c r="AS1282" s="652">
        <f>IF($B1282="",,SUMIFS(PerHeadcount[Month 34],PerHeadcount[exp_item],$H1282,PerHeadcount[company_name],$B1282)*AS232)</f>
        <v>0</v>
      </c>
      <c r="AT1282" s="652">
        <f>IF($B1282="",,SUMIFS(PerHeadcount[Month 35],PerHeadcount[exp_item],$H1282,PerHeadcount[company_name],$B1282)*AT232)</f>
        <v>0</v>
      </c>
      <c r="AU1282" s="652">
        <f>IF($B1282="",,SUMIFS(PerHeadcount[Month 36],PerHeadcount[exp_item],$H1282,PerHeadcount[company_name],$B1282)*AU232)</f>
        <v>0</v>
      </c>
    </row>
    <row r="1283" spans="2:47" x14ac:dyDescent="0.35">
      <c r="B1283" t="str">
        <f t="shared" si="916"/>
        <v/>
      </c>
      <c r="C1283" t="str">
        <f t="shared" ref="C1283:G1283" si="931">IF(C1178="","",C1178)</f>
        <v/>
      </c>
      <c r="D1283" t="str">
        <f t="shared" si="931"/>
        <v/>
      </c>
      <c r="E1283" t="str">
        <f t="shared" si="931"/>
        <v/>
      </c>
      <c r="F1283" t="str">
        <f t="shared" si="931"/>
        <v/>
      </c>
      <c r="G1283" t="str">
        <f t="shared" si="931"/>
        <v/>
      </c>
      <c r="H1283" t="str">
        <f t="shared" si="915"/>
        <v/>
      </c>
      <c r="J1283" t="str">
        <f>IF($H1283="","",IF(VLOOKUP(H1283,ExpItems[],2,0),H1283&amp;" - "&amp;INDEX(DivisionMapping[category_code],MATCH($D1283&amp;$C1283,DivisionMapping[dept_bu],0)),H1283))</f>
        <v/>
      </c>
      <c r="K1283" t="str">
        <f t="shared" si="883"/>
        <v/>
      </c>
      <c r="L1283" s="652">
        <f>IF($B1283="",,SUMIFS(PerHeadcount[Month 1],PerHeadcount[exp_item],$H1283,PerHeadcount[company_name],$B1283)*L233)</f>
        <v>0</v>
      </c>
      <c r="M1283" s="652">
        <f>IF($B1283="",,SUMIFS(PerHeadcount[Month 2],PerHeadcount[exp_item],$H1283,PerHeadcount[company_name],$B1283)*M233)</f>
        <v>0</v>
      </c>
      <c r="N1283" s="652">
        <f>IF($B1283="",,SUMIFS(PerHeadcount[Month 3],PerHeadcount[exp_item],$H1283,PerHeadcount[company_name],$B1283)*N233)</f>
        <v>0</v>
      </c>
      <c r="O1283" s="652">
        <f>IF($B1283="",,SUMIFS(PerHeadcount[Month 4],PerHeadcount[exp_item],$H1283,PerHeadcount[company_name],$B1283)*O233)</f>
        <v>0</v>
      </c>
      <c r="P1283" s="652">
        <f>IF($B1283="",,SUMIFS(PerHeadcount[Month 5],PerHeadcount[exp_item],$H1283,PerHeadcount[company_name],$B1283)*P233)</f>
        <v>0</v>
      </c>
      <c r="Q1283" s="652">
        <f>IF($B1283="",,SUMIFS(PerHeadcount[Month 6],PerHeadcount[exp_item],$H1283,PerHeadcount[company_name],$B1283)*Q233)</f>
        <v>0</v>
      </c>
      <c r="R1283" s="652">
        <f>IF($B1283="",,SUMIFS(PerHeadcount[Month 7],PerHeadcount[exp_item],$H1283,PerHeadcount[company_name],$B1283)*R233)</f>
        <v>0</v>
      </c>
      <c r="S1283" s="652">
        <f>IF($B1283="",,SUMIFS(PerHeadcount[Month 8],PerHeadcount[exp_item],$H1283,PerHeadcount[company_name],$B1283)*S233)</f>
        <v>0</v>
      </c>
      <c r="T1283" s="652">
        <f>IF($B1283="",,SUMIFS(PerHeadcount[Month 9],PerHeadcount[exp_item],$H1283,PerHeadcount[company_name],$B1283)*T233)</f>
        <v>0</v>
      </c>
      <c r="U1283" s="652">
        <f>IF($B1283="",,SUMIFS(PerHeadcount[Month 10],PerHeadcount[exp_item],$H1283,PerHeadcount[company_name],$B1283)*U233)</f>
        <v>0</v>
      </c>
      <c r="V1283" s="652">
        <f>IF($B1283="",,SUMIFS(PerHeadcount[Month 11],PerHeadcount[exp_item],$H1283,PerHeadcount[company_name],$B1283)*V233)</f>
        <v>0</v>
      </c>
      <c r="W1283" s="652">
        <f>IF($B1283="",,SUMIFS(PerHeadcount[Month 12],PerHeadcount[exp_item],$H1283,PerHeadcount[company_name],$B1283)*W233)</f>
        <v>0</v>
      </c>
      <c r="X1283" s="652">
        <f>IF($B1283="",,SUMIFS(PerHeadcount[Month 13],PerHeadcount[exp_item],$H1283,PerHeadcount[company_name],$B1283)*X233)</f>
        <v>0</v>
      </c>
      <c r="Y1283" s="652">
        <f>IF($B1283="",,SUMIFS(PerHeadcount[Month 14],PerHeadcount[exp_item],$H1283,PerHeadcount[company_name],$B1283)*Y233)</f>
        <v>0</v>
      </c>
      <c r="Z1283" s="652">
        <f>IF($B1283="",,SUMIFS(PerHeadcount[Month 15],PerHeadcount[exp_item],$H1283,PerHeadcount[company_name],$B1283)*Z233)</f>
        <v>0</v>
      </c>
      <c r="AA1283" s="652">
        <f>IF($B1283="",,SUMIFS(PerHeadcount[Month 16],PerHeadcount[exp_item],$H1283,PerHeadcount[company_name],$B1283)*AA233)</f>
        <v>0</v>
      </c>
      <c r="AB1283" s="652">
        <f>IF($B1283="",,SUMIFS(PerHeadcount[Month 17],PerHeadcount[exp_item],$H1283,PerHeadcount[company_name],$B1283)*AB233)</f>
        <v>0</v>
      </c>
      <c r="AC1283" s="652">
        <f>IF($B1283="",,SUMIFS(PerHeadcount[Month 18],PerHeadcount[exp_item],$H1283,PerHeadcount[company_name],$B1283)*AC233)</f>
        <v>0</v>
      </c>
      <c r="AD1283" s="652">
        <f>IF($B1283="",,SUMIFS(PerHeadcount[Month 19],PerHeadcount[exp_item],$H1283,PerHeadcount[company_name],$B1283)*AD233)</f>
        <v>0</v>
      </c>
      <c r="AE1283" s="652">
        <f>IF($B1283="",,SUMIFS(PerHeadcount[Month 20],PerHeadcount[exp_item],$H1283,PerHeadcount[company_name],$B1283)*AE233)</f>
        <v>0</v>
      </c>
      <c r="AF1283" s="652">
        <f>IF($B1283="",,SUMIFS(PerHeadcount[Month 21],PerHeadcount[exp_item],$H1283,PerHeadcount[company_name],$B1283)*AF233)</f>
        <v>0</v>
      </c>
      <c r="AG1283" s="652">
        <f>IF($B1283="",,SUMIFS(PerHeadcount[Month 22],PerHeadcount[exp_item],$H1283,PerHeadcount[company_name],$B1283)*AG233)</f>
        <v>0</v>
      </c>
      <c r="AH1283" s="652">
        <f>IF($B1283="",,SUMIFS(PerHeadcount[Month 23],PerHeadcount[exp_item],$H1283,PerHeadcount[company_name],$B1283)*AH233)</f>
        <v>0</v>
      </c>
      <c r="AI1283" s="652">
        <f>IF($B1283="",,SUMIFS(PerHeadcount[Month 24],PerHeadcount[exp_item],$H1283,PerHeadcount[company_name],$B1283)*AI233)</f>
        <v>0</v>
      </c>
      <c r="AJ1283" s="652">
        <f>IF($B1283="",,SUMIFS(PerHeadcount[Month 25],PerHeadcount[exp_item],$H1283,PerHeadcount[company_name],$B1283)*AJ233)</f>
        <v>0</v>
      </c>
      <c r="AK1283" s="652">
        <f>IF($B1283="",,SUMIFS(PerHeadcount[Month 26],PerHeadcount[exp_item],$H1283,PerHeadcount[company_name],$B1283)*AK233)</f>
        <v>0</v>
      </c>
      <c r="AL1283" s="652">
        <f>IF($B1283="",,SUMIFS(PerHeadcount[Month 27],PerHeadcount[exp_item],$H1283,PerHeadcount[company_name],$B1283)*AL233)</f>
        <v>0</v>
      </c>
      <c r="AM1283" s="652">
        <f>IF($B1283="",,SUMIFS(PerHeadcount[Month 28],PerHeadcount[exp_item],$H1283,PerHeadcount[company_name],$B1283)*AM233)</f>
        <v>0</v>
      </c>
      <c r="AN1283" s="652">
        <f>IF($B1283="",,SUMIFS(PerHeadcount[Month 29],PerHeadcount[exp_item],$H1283,PerHeadcount[company_name],$B1283)*AN233)</f>
        <v>0</v>
      </c>
      <c r="AO1283" s="652">
        <f>IF($B1283="",,SUMIFS(PerHeadcount[Month 30],PerHeadcount[exp_item],$H1283,PerHeadcount[company_name],$B1283)*AO233)</f>
        <v>0</v>
      </c>
      <c r="AP1283" s="652">
        <f>IF($B1283="",,SUMIFS(PerHeadcount[Month 31],PerHeadcount[exp_item],$H1283,PerHeadcount[company_name],$B1283)*AP233)</f>
        <v>0</v>
      </c>
      <c r="AQ1283" s="652">
        <f>IF($B1283="",,SUMIFS(PerHeadcount[Month 32],PerHeadcount[exp_item],$H1283,PerHeadcount[company_name],$B1283)*AQ233)</f>
        <v>0</v>
      </c>
      <c r="AR1283" s="652">
        <f>IF($B1283="",,SUMIFS(PerHeadcount[Month 33],PerHeadcount[exp_item],$H1283,PerHeadcount[company_name],$B1283)*AR233)</f>
        <v>0</v>
      </c>
      <c r="AS1283" s="652">
        <f>IF($B1283="",,SUMIFS(PerHeadcount[Month 34],PerHeadcount[exp_item],$H1283,PerHeadcount[company_name],$B1283)*AS233)</f>
        <v>0</v>
      </c>
      <c r="AT1283" s="652">
        <f>IF($B1283="",,SUMIFS(PerHeadcount[Month 35],PerHeadcount[exp_item],$H1283,PerHeadcount[company_name],$B1283)*AT233)</f>
        <v>0</v>
      </c>
      <c r="AU1283" s="652">
        <f>IF($B1283="",,SUMIFS(PerHeadcount[Month 36],PerHeadcount[exp_item],$H1283,PerHeadcount[company_name],$B1283)*AU233)</f>
        <v>0</v>
      </c>
    </row>
    <row r="1284" spans="2:47" x14ac:dyDescent="0.35">
      <c r="B1284" t="str">
        <f t="shared" si="916"/>
        <v/>
      </c>
      <c r="C1284" t="str">
        <f t="shared" ref="C1284:G1284" si="932">IF(C1179="","",C1179)</f>
        <v/>
      </c>
      <c r="D1284" t="str">
        <f t="shared" si="932"/>
        <v/>
      </c>
      <c r="E1284" t="str">
        <f t="shared" si="932"/>
        <v/>
      </c>
      <c r="F1284" t="str">
        <f t="shared" si="932"/>
        <v/>
      </c>
      <c r="G1284" t="str">
        <f t="shared" si="932"/>
        <v/>
      </c>
      <c r="H1284" t="str">
        <f t="shared" si="915"/>
        <v/>
      </c>
      <c r="J1284" t="str">
        <f>IF($H1284="","",IF(VLOOKUP(H1284,ExpItems[],2,0),H1284&amp;" - "&amp;INDEX(DivisionMapping[category_code],MATCH($D1284&amp;$C1284,DivisionMapping[dept_bu],0)),H1284))</f>
        <v/>
      </c>
      <c r="K1284" t="str">
        <f t="shared" si="883"/>
        <v/>
      </c>
      <c r="L1284" s="652">
        <f>IF($B1284="",,SUMIFS(PerHeadcount[Month 1],PerHeadcount[exp_item],$H1284,PerHeadcount[company_name],$B1284)*L234)</f>
        <v>0</v>
      </c>
      <c r="M1284" s="652">
        <f>IF($B1284="",,SUMIFS(PerHeadcount[Month 2],PerHeadcount[exp_item],$H1284,PerHeadcount[company_name],$B1284)*M234)</f>
        <v>0</v>
      </c>
      <c r="N1284" s="652">
        <f>IF($B1284="",,SUMIFS(PerHeadcount[Month 3],PerHeadcount[exp_item],$H1284,PerHeadcount[company_name],$B1284)*N234)</f>
        <v>0</v>
      </c>
      <c r="O1284" s="652">
        <f>IF($B1284="",,SUMIFS(PerHeadcount[Month 4],PerHeadcount[exp_item],$H1284,PerHeadcount[company_name],$B1284)*O234)</f>
        <v>0</v>
      </c>
      <c r="P1284" s="652">
        <f>IF($B1284="",,SUMIFS(PerHeadcount[Month 5],PerHeadcount[exp_item],$H1284,PerHeadcount[company_name],$B1284)*P234)</f>
        <v>0</v>
      </c>
      <c r="Q1284" s="652">
        <f>IF($B1284="",,SUMIFS(PerHeadcount[Month 6],PerHeadcount[exp_item],$H1284,PerHeadcount[company_name],$B1284)*Q234)</f>
        <v>0</v>
      </c>
      <c r="R1284" s="652">
        <f>IF($B1284="",,SUMIFS(PerHeadcount[Month 7],PerHeadcount[exp_item],$H1284,PerHeadcount[company_name],$B1284)*R234)</f>
        <v>0</v>
      </c>
      <c r="S1284" s="652">
        <f>IF($B1284="",,SUMIFS(PerHeadcount[Month 8],PerHeadcount[exp_item],$H1284,PerHeadcount[company_name],$B1284)*S234)</f>
        <v>0</v>
      </c>
      <c r="T1284" s="652">
        <f>IF($B1284="",,SUMIFS(PerHeadcount[Month 9],PerHeadcount[exp_item],$H1284,PerHeadcount[company_name],$B1284)*T234)</f>
        <v>0</v>
      </c>
      <c r="U1284" s="652">
        <f>IF($B1284="",,SUMIFS(PerHeadcount[Month 10],PerHeadcount[exp_item],$H1284,PerHeadcount[company_name],$B1284)*U234)</f>
        <v>0</v>
      </c>
      <c r="V1284" s="652">
        <f>IF($B1284="",,SUMIFS(PerHeadcount[Month 11],PerHeadcount[exp_item],$H1284,PerHeadcount[company_name],$B1284)*V234)</f>
        <v>0</v>
      </c>
      <c r="W1284" s="652">
        <f>IF($B1284="",,SUMIFS(PerHeadcount[Month 12],PerHeadcount[exp_item],$H1284,PerHeadcount[company_name],$B1284)*W234)</f>
        <v>0</v>
      </c>
      <c r="X1284" s="652">
        <f>IF($B1284="",,SUMIFS(PerHeadcount[Month 13],PerHeadcount[exp_item],$H1284,PerHeadcount[company_name],$B1284)*X234)</f>
        <v>0</v>
      </c>
      <c r="Y1284" s="652">
        <f>IF($B1284="",,SUMIFS(PerHeadcount[Month 14],PerHeadcount[exp_item],$H1284,PerHeadcount[company_name],$B1284)*Y234)</f>
        <v>0</v>
      </c>
      <c r="Z1284" s="652">
        <f>IF($B1284="",,SUMIFS(PerHeadcount[Month 15],PerHeadcount[exp_item],$H1284,PerHeadcount[company_name],$B1284)*Z234)</f>
        <v>0</v>
      </c>
      <c r="AA1284" s="652">
        <f>IF($B1284="",,SUMIFS(PerHeadcount[Month 16],PerHeadcount[exp_item],$H1284,PerHeadcount[company_name],$B1284)*AA234)</f>
        <v>0</v>
      </c>
      <c r="AB1284" s="652">
        <f>IF($B1284="",,SUMIFS(PerHeadcount[Month 17],PerHeadcount[exp_item],$H1284,PerHeadcount[company_name],$B1284)*AB234)</f>
        <v>0</v>
      </c>
      <c r="AC1284" s="652">
        <f>IF($B1284="",,SUMIFS(PerHeadcount[Month 18],PerHeadcount[exp_item],$H1284,PerHeadcount[company_name],$B1284)*AC234)</f>
        <v>0</v>
      </c>
      <c r="AD1284" s="652">
        <f>IF($B1284="",,SUMIFS(PerHeadcount[Month 19],PerHeadcount[exp_item],$H1284,PerHeadcount[company_name],$B1284)*AD234)</f>
        <v>0</v>
      </c>
      <c r="AE1284" s="652">
        <f>IF($B1284="",,SUMIFS(PerHeadcount[Month 20],PerHeadcount[exp_item],$H1284,PerHeadcount[company_name],$B1284)*AE234)</f>
        <v>0</v>
      </c>
      <c r="AF1284" s="652">
        <f>IF($B1284="",,SUMIFS(PerHeadcount[Month 21],PerHeadcount[exp_item],$H1284,PerHeadcount[company_name],$B1284)*AF234)</f>
        <v>0</v>
      </c>
      <c r="AG1284" s="652">
        <f>IF($B1284="",,SUMIFS(PerHeadcount[Month 22],PerHeadcount[exp_item],$H1284,PerHeadcount[company_name],$B1284)*AG234)</f>
        <v>0</v>
      </c>
      <c r="AH1284" s="652">
        <f>IF($B1284="",,SUMIFS(PerHeadcount[Month 23],PerHeadcount[exp_item],$H1284,PerHeadcount[company_name],$B1284)*AH234)</f>
        <v>0</v>
      </c>
      <c r="AI1284" s="652">
        <f>IF($B1284="",,SUMIFS(PerHeadcount[Month 24],PerHeadcount[exp_item],$H1284,PerHeadcount[company_name],$B1284)*AI234)</f>
        <v>0</v>
      </c>
      <c r="AJ1284" s="652">
        <f>IF($B1284="",,SUMIFS(PerHeadcount[Month 25],PerHeadcount[exp_item],$H1284,PerHeadcount[company_name],$B1284)*AJ234)</f>
        <v>0</v>
      </c>
      <c r="AK1284" s="652">
        <f>IF($B1284="",,SUMIFS(PerHeadcount[Month 26],PerHeadcount[exp_item],$H1284,PerHeadcount[company_name],$B1284)*AK234)</f>
        <v>0</v>
      </c>
      <c r="AL1284" s="652">
        <f>IF($B1284="",,SUMIFS(PerHeadcount[Month 27],PerHeadcount[exp_item],$H1284,PerHeadcount[company_name],$B1284)*AL234)</f>
        <v>0</v>
      </c>
      <c r="AM1284" s="652">
        <f>IF($B1284="",,SUMIFS(PerHeadcount[Month 28],PerHeadcount[exp_item],$H1284,PerHeadcount[company_name],$B1284)*AM234)</f>
        <v>0</v>
      </c>
      <c r="AN1284" s="652">
        <f>IF($B1284="",,SUMIFS(PerHeadcount[Month 29],PerHeadcount[exp_item],$H1284,PerHeadcount[company_name],$B1284)*AN234)</f>
        <v>0</v>
      </c>
      <c r="AO1284" s="652">
        <f>IF($B1284="",,SUMIFS(PerHeadcount[Month 30],PerHeadcount[exp_item],$H1284,PerHeadcount[company_name],$B1284)*AO234)</f>
        <v>0</v>
      </c>
      <c r="AP1284" s="652">
        <f>IF($B1284="",,SUMIFS(PerHeadcount[Month 31],PerHeadcount[exp_item],$H1284,PerHeadcount[company_name],$B1284)*AP234)</f>
        <v>0</v>
      </c>
      <c r="AQ1284" s="652">
        <f>IF($B1284="",,SUMIFS(PerHeadcount[Month 32],PerHeadcount[exp_item],$H1284,PerHeadcount[company_name],$B1284)*AQ234)</f>
        <v>0</v>
      </c>
      <c r="AR1284" s="652">
        <f>IF($B1284="",,SUMIFS(PerHeadcount[Month 33],PerHeadcount[exp_item],$H1284,PerHeadcount[company_name],$B1284)*AR234)</f>
        <v>0</v>
      </c>
      <c r="AS1284" s="652">
        <f>IF($B1284="",,SUMIFS(PerHeadcount[Month 34],PerHeadcount[exp_item],$H1284,PerHeadcount[company_name],$B1284)*AS234)</f>
        <v>0</v>
      </c>
      <c r="AT1284" s="652">
        <f>IF($B1284="",,SUMIFS(PerHeadcount[Month 35],PerHeadcount[exp_item],$H1284,PerHeadcount[company_name],$B1284)*AT234)</f>
        <v>0</v>
      </c>
      <c r="AU1284" s="652">
        <f>IF($B1284="",,SUMIFS(PerHeadcount[Month 36],PerHeadcount[exp_item],$H1284,PerHeadcount[company_name],$B1284)*AU234)</f>
        <v>0</v>
      </c>
    </row>
    <row r="1285" spans="2:47" x14ac:dyDescent="0.35">
      <c r="B1285" t="str">
        <f t="shared" si="916"/>
        <v/>
      </c>
      <c r="C1285" t="str">
        <f t="shared" ref="C1285:G1285" si="933">IF(C1180="","",C1180)</f>
        <v/>
      </c>
      <c r="D1285" t="str">
        <f t="shared" si="933"/>
        <v/>
      </c>
      <c r="E1285" t="str">
        <f t="shared" si="933"/>
        <v/>
      </c>
      <c r="F1285" t="str">
        <f t="shared" si="933"/>
        <v/>
      </c>
      <c r="G1285" t="str">
        <f t="shared" si="933"/>
        <v/>
      </c>
      <c r="H1285" t="str">
        <f t="shared" si="915"/>
        <v/>
      </c>
      <c r="J1285" t="str">
        <f>IF($H1285="","",IF(VLOOKUP(H1285,ExpItems[],2,0),H1285&amp;" - "&amp;INDEX(DivisionMapping[category_code],MATCH($D1285&amp;$C1285,DivisionMapping[dept_bu],0)),H1285))</f>
        <v/>
      </c>
      <c r="K1285" t="str">
        <f t="shared" si="883"/>
        <v/>
      </c>
      <c r="L1285" s="652">
        <f>IF($B1285="",,SUMIFS(PerHeadcount[Month 1],PerHeadcount[exp_item],$H1285,PerHeadcount[company_name],$B1285)*L235)</f>
        <v>0</v>
      </c>
      <c r="M1285" s="652">
        <f>IF($B1285="",,SUMIFS(PerHeadcount[Month 2],PerHeadcount[exp_item],$H1285,PerHeadcount[company_name],$B1285)*M235)</f>
        <v>0</v>
      </c>
      <c r="N1285" s="652">
        <f>IF($B1285="",,SUMIFS(PerHeadcount[Month 3],PerHeadcount[exp_item],$H1285,PerHeadcount[company_name],$B1285)*N235)</f>
        <v>0</v>
      </c>
      <c r="O1285" s="652">
        <f>IF($B1285="",,SUMIFS(PerHeadcount[Month 4],PerHeadcount[exp_item],$H1285,PerHeadcount[company_name],$B1285)*O235)</f>
        <v>0</v>
      </c>
      <c r="P1285" s="652">
        <f>IF($B1285="",,SUMIFS(PerHeadcount[Month 5],PerHeadcount[exp_item],$H1285,PerHeadcount[company_name],$B1285)*P235)</f>
        <v>0</v>
      </c>
      <c r="Q1285" s="652">
        <f>IF($B1285="",,SUMIFS(PerHeadcount[Month 6],PerHeadcount[exp_item],$H1285,PerHeadcount[company_name],$B1285)*Q235)</f>
        <v>0</v>
      </c>
      <c r="R1285" s="652">
        <f>IF($B1285="",,SUMIFS(PerHeadcount[Month 7],PerHeadcount[exp_item],$H1285,PerHeadcount[company_name],$B1285)*R235)</f>
        <v>0</v>
      </c>
      <c r="S1285" s="652">
        <f>IF($B1285="",,SUMIFS(PerHeadcount[Month 8],PerHeadcount[exp_item],$H1285,PerHeadcount[company_name],$B1285)*S235)</f>
        <v>0</v>
      </c>
      <c r="T1285" s="652">
        <f>IF($B1285="",,SUMIFS(PerHeadcount[Month 9],PerHeadcount[exp_item],$H1285,PerHeadcount[company_name],$B1285)*T235)</f>
        <v>0</v>
      </c>
      <c r="U1285" s="652">
        <f>IF($B1285="",,SUMIFS(PerHeadcount[Month 10],PerHeadcount[exp_item],$H1285,PerHeadcount[company_name],$B1285)*U235)</f>
        <v>0</v>
      </c>
      <c r="V1285" s="652">
        <f>IF($B1285="",,SUMIFS(PerHeadcount[Month 11],PerHeadcount[exp_item],$H1285,PerHeadcount[company_name],$B1285)*V235)</f>
        <v>0</v>
      </c>
      <c r="W1285" s="652">
        <f>IF($B1285="",,SUMIFS(PerHeadcount[Month 12],PerHeadcount[exp_item],$H1285,PerHeadcount[company_name],$B1285)*W235)</f>
        <v>0</v>
      </c>
      <c r="X1285" s="652">
        <f>IF($B1285="",,SUMIFS(PerHeadcount[Month 13],PerHeadcount[exp_item],$H1285,PerHeadcount[company_name],$B1285)*X235)</f>
        <v>0</v>
      </c>
      <c r="Y1285" s="652">
        <f>IF($B1285="",,SUMIFS(PerHeadcount[Month 14],PerHeadcount[exp_item],$H1285,PerHeadcount[company_name],$B1285)*Y235)</f>
        <v>0</v>
      </c>
      <c r="Z1285" s="652">
        <f>IF($B1285="",,SUMIFS(PerHeadcount[Month 15],PerHeadcount[exp_item],$H1285,PerHeadcount[company_name],$B1285)*Z235)</f>
        <v>0</v>
      </c>
      <c r="AA1285" s="652">
        <f>IF($B1285="",,SUMIFS(PerHeadcount[Month 16],PerHeadcount[exp_item],$H1285,PerHeadcount[company_name],$B1285)*AA235)</f>
        <v>0</v>
      </c>
      <c r="AB1285" s="652">
        <f>IF($B1285="",,SUMIFS(PerHeadcount[Month 17],PerHeadcount[exp_item],$H1285,PerHeadcount[company_name],$B1285)*AB235)</f>
        <v>0</v>
      </c>
      <c r="AC1285" s="652">
        <f>IF($B1285="",,SUMIFS(PerHeadcount[Month 18],PerHeadcount[exp_item],$H1285,PerHeadcount[company_name],$B1285)*AC235)</f>
        <v>0</v>
      </c>
      <c r="AD1285" s="652">
        <f>IF($B1285="",,SUMIFS(PerHeadcount[Month 19],PerHeadcount[exp_item],$H1285,PerHeadcount[company_name],$B1285)*AD235)</f>
        <v>0</v>
      </c>
      <c r="AE1285" s="652">
        <f>IF($B1285="",,SUMIFS(PerHeadcount[Month 20],PerHeadcount[exp_item],$H1285,PerHeadcount[company_name],$B1285)*AE235)</f>
        <v>0</v>
      </c>
      <c r="AF1285" s="652">
        <f>IF($B1285="",,SUMIFS(PerHeadcount[Month 21],PerHeadcount[exp_item],$H1285,PerHeadcount[company_name],$B1285)*AF235)</f>
        <v>0</v>
      </c>
      <c r="AG1285" s="652">
        <f>IF($B1285="",,SUMIFS(PerHeadcount[Month 22],PerHeadcount[exp_item],$H1285,PerHeadcount[company_name],$B1285)*AG235)</f>
        <v>0</v>
      </c>
      <c r="AH1285" s="652">
        <f>IF($B1285="",,SUMIFS(PerHeadcount[Month 23],PerHeadcount[exp_item],$H1285,PerHeadcount[company_name],$B1285)*AH235)</f>
        <v>0</v>
      </c>
      <c r="AI1285" s="652">
        <f>IF($B1285="",,SUMIFS(PerHeadcount[Month 24],PerHeadcount[exp_item],$H1285,PerHeadcount[company_name],$B1285)*AI235)</f>
        <v>0</v>
      </c>
      <c r="AJ1285" s="652">
        <f>IF($B1285="",,SUMIFS(PerHeadcount[Month 25],PerHeadcount[exp_item],$H1285,PerHeadcount[company_name],$B1285)*AJ235)</f>
        <v>0</v>
      </c>
      <c r="AK1285" s="652">
        <f>IF($B1285="",,SUMIFS(PerHeadcount[Month 26],PerHeadcount[exp_item],$H1285,PerHeadcount[company_name],$B1285)*AK235)</f>
        <v>0</v>
      </c>
      <c r="AL1285" s="652">
        <f>IF($B1285="",,SUMIFS(PerHeadcount[Month 27],PerHeadcount[exp_item],$H1285,PerHeadcount[company_name],$B1285)*AL235)</f>
        <v>0</v>
      </c>
      <c r="AM1285" s="652">
        <f>IF($B1285="",,SUMIFS(PerHeadcount[Month 28],PerHeadcount[exp_item],$H1285,PerHeadcount[company_name],$B1285)*AM235)</f>
        <v>0</v>
      </c>
      <c r="AN1285" s="652">
        <f>IF($B1285="",,SUMIFS(PerHeadcount[Month 29],PerHeadcount[exp_item],$H1285,PerHeadcount[company_name],$B1285)*AN235)</f>
        <v>0</v>
      </c>
      <c r="AO1285" s="652">
        <f>IF($B1285="",,SUMIFS(PerHeadcount[Month 30],PerHeadcount[exp_item],$H1285,PerHeadcount[company_name],$B1285)*AO235)</f>
        <v>0</v>
      </c>
      <c r="AP1285" s="652">
        <f>IF($B1285="",,SUMIFS(PerHeadcount[Month 31],PerHeadcount[exp_item],$H1285,PerHeadcount[company_name],$B1285)*AP235)</f>
        <v>0</v>
      </c>
      <c r="AQ1285" s="652">
        <f>IF($B1285="",,SUMIFS(PerHeadcount[Month 32],PerHeadcount[exp_item],$H1285,PerHeadcount[company_name],$B1285)*AQ235)</f>
        <v>0</v>
      </c>
      <c r="AR1285" s="652">
        <f>IF($B1285="",,SUMIFS(PerHeadcount[Month 33],PerHeadcount[exp_item],$H1285,PerHeadcount[company_name],$B1285)*AR235)</f>
        <v>0</v>
      </c>
      <c r="AS1285" s="652">
        <f>IF($B1285="",,SUMIFS(PerHeadcount[Month 34],PerHeadcount[exp_item],$H1285,PerHeadcount[company_name],$B1285)*AS235)</f>
        <v>0</v>
      </c>
      <c r="AT1285" s="652">
        <f>IF($B1285="",,SUMIFS(PerHeadcount[Month 35],PerHeadcount[exp_item],$H1285,PerHeadcount[company_name],$B1285)*AT235)</f>
        <v>0</v>
      </c>
      <c r="AU1285" s="652">
        <f>IF($B1285="",,SUMIFS(PerHeadcount[Month 36],PerHeadcount[exp_item],$H1285,PerHeadcount[company_name],$B1285)*AU235)</f>
        <v>0</v>
      </c>
    </row>
    <row r="1286" spans="2:47" x14ac:dyDescent="0.35">
      <c r="B1286" t="str">
        <f t="shared" si="916"/>
        <v/>
      </c>
      <c r="C1286" t="str">
        <f t="shared" ref="C1286:G1286" si="934">IF(C1181="","",C1181)</f>
        <v/>
      </c>
      <c r="D1286" t="str">
        <f t="shared" si="934"/>
        <v/>
      </c>
      <c r="E1286" t="str">
        <f t="shared" si="934"/>
        <v/>
      </c>
      <c r="F1286" t="str">
        <f t="shared" si="934"/>
        <v/>
      </c>
      <c r="G1286" t="str">
        <f t="shared" si="934"/>
        <v/>
      </c>
      <c r="H1286" t="str">
        <f t="shared" si="915"/>
        <v/>
      </c>
      <c r="J1286" t="str">
        <f>IF($H1286="","",IF(VLOOKUP(H1286,ExpItems[],2,0),H1286&amp;" - "&amp;INDEX(DivisionMapping[category_code],MATCH($D1286&amp;$C1286,DivisionMapping[dept_bu],0)),H1286))</f>
        <v/>
      </c>
      <c r="K1286" t="str">
        <f t="shared" si="883"/>
        <v/>
      </c>
      <c r="L1286" s="652">
        <f>IF($B1286="",,SUMIFS(PerHeadcount[Month 1],PerHeadcount[exp_item],$H1286,PerHeadcount[company_name],$B1286)*L236)</f>
        <v>0</v>
      </c>
      <c r="M1286" s="652">
        <f>IF($B1286="",,SUMIFS(PerHeadcount[Month 2],PerHeadcount[exp_item],$H1286,PerHeadcount[company_name],$B1286)*M236)</f>
        <v>0</v>
      </c>
      <c r="N1286" s="652">
        <f>IF($B1286="",,SUMIFS(PerHeadcount[Month 3],PerHeadcount[exp_item],$H1286,PerHeadcount[company_name],$B1286)*N236)</f>
        <v>0</v>
      </c>
      <c r="O1286" s="652">
        <f>IF($B1286="",,SUMIFS(PerHeadcount[Month 4],PerHeadcount[exp_item],$H1286,PerHeadcount[company_name],$B1286)*O236)</f>
        <v>0</v>
      </c>
      <c r="P1286" s="652">
        <f>IF($B1286="",,SUMIFS(PerHeadcount[Month 5],PerHeadcount[exp_item],$H1286,PerHeadcount[company_name],$B1286)*P236)</f>
        <v>0</v>
      </c>
      <c r="Q1286" s="652">
        <f>IF($B1286="",,SUMIFS(PerHeadcount[Month 6],PerHeadcount[exp_item],$H1286,PerHeadcount[company_name],$B1286)*Q236)</f>
        <v>0</v>
      </c>
      <c r="R1286" s="652">
        <f>IF($B1286="",,SUMIFS(PerHeadcount[Month 7],PerHeadcount[exp_item],$H1286,PerHeadcount[company_name],$B1286)*R236)</f>
        <v>0</v>
      </c>
      <c r="S1286" s="652">
        <f>IF($B1286="",,SUMIFS(PerHeadcount[Month 8],PerHeadcount[exp_item],$H1286,PerHeadcount[company_name],$B1286)*S236)</f>
        <v>0</v>
      </c>
      <c r="T1286" s="652">
        <f>IF($B1286="",,SUMIFS(PerHeadcount[Month 9],PerHeadcount[exp_item],$H1286,PerHeadcount[company_name],$B1286)*T236)</f>
        <v>0</v>
      </c>
      <c r="U1286" s="652">
        <f>IF($B1286="",,SUMIFS(PerHeadcount[Month 10],PerHeadcount[exp_item],$H1286,PerHeadcount[company_name],$B1286)*U236)</f>
        <v>0</v>
      </c>
      <c r="V1286" s="652">
        <f>IF($B1286="",,SUMIFS(PerHeadcount[Month 11],PerHeadcount[exp_item],$H1286,PerHeadcount[company_name],$B1286)*V236)</f>
        <v>0</v>
      </c>
      <c r="W1286" s="652">
        <f>IF($B1286="",,SUMIFS(PerHeadcount[Month 12],PerHeadcount[exp_item],$H1286,PerHeadcount[company_name],$B1286)*W236)</f>
        <v>0</v>
      </c>
      <c r="X1286" s="652">
        <f>IF($B1286="",,SUMIFS(PerHeadcount[Month 13],PerHeadcount[exp_item],$H1286,PerHeadcount[company_name],$B1286)*X236)</f>
        <v>0</v>
      </c>
      <c r="Y1286" s="652">
        <f>IF($B1286="",,SUMIFS(PerHeadcount[Month 14],PerHeadcount[exp_item],$H1286,PerHeadcount[company_name],$B1286)*Y236)</f>
        <v>0</v>
      </c>
      <c r="Z1286" s="652">
        <f>IF($B1286="",,SUMIFS(PerHeadcount[Month 15],PerHeadcount[exp_item],$H1286,PerHeadcount[company_name],$B1286)*Z236)</f>
        <v>0</v>
      </c>
      <c r="AA1286" s="652">
        <f>IF($B1286="",,SUMIFS(PerHeadcount[Month 16],PerHeadcount[exp_item],$H1286,PerHeadcount[company_name],$B1286)*AA236)</f>
        <v>0</v>
      </c>
      <c r="AB1286" s="652">
        <f>IF($B1286="",,SUMIFS(PerHeadcount[Month 17],PerHeadcount[exp_item],$H1286,PerHeadcount[company_name],$B1286)*AB236)</f>
        <v>0</v>
      </c>
      <c r="AC1286" s="652">
        <f>IF($B1286="",,SUMIFS(PerHeadcount[Month 18],PerHeadcount[exp_item],$H1286,PerHeadcount[company_name],$B1286)*AC236)</f>
        <v>0</v>
      </c>
      <c r="AD1286" s="652">
        <f>IF($B1286="",,SUMIFS(PerHeadcount[Month 19],PerHeadcount[exp_item],$H1286,PerHeadcount[company_name],$B1286)*AD236)</f>
        <v>0</v>
      </c>
      <c r="AE1286" s="652">
        <f>IF($B1286="",,SUMIFS(PerHeadcount[Month 20],PerHeadcount[exp_item],$H1286,PerHeadcount[company_name],$B1286)*AE236)</f>
        <v>0</v>
      </c>
      <c r="AF1286" s="652">
        <f>IF($B1286="",,SUMIFS(PerHeadcount[Month 21],PerHeadcount[exp_item],$H1286,PerHeadcount[company_name],$B1286)*AF236)</f>
        <v>0</v>
      </c>
      <c r="AG1286" s="652">
        <f>IF($B1286="",,SUMIFS(PerHeadcount[Month 22],PerHeadcount[exp_item],$H1286,PerHeadcount[company_name],$B1286)*AG236)</f>
        <v>0</v>
      </c>
      <c r="AH1286" s="652">
        <f>IF($B1286="",,SUMIFS(PerHeadcount[Month 23],PerHeadcount[exp_item],$H1286,PerHeadcount[company_name],$B1286)*AH236)</f>
        <v>0</v>
      </c>
      <c r="AI1286" s="652">
        <f>IF($B1286="",,SUMIFS(PerHeadcount[Month 24],PerHeadcount[exp_item],$H1286,PerHeadcount[company_name],$B1286)*AI236)</f>
        <v>0</v>
      </c>
      <c r="AJ1286" s="652">
        <f>IF($B1286="",,SUMIFS(PerHeadcount[Month 25],PerHeadcount[exp_item],$H1286,PerHeadcount[company_name],$B1286)*AJ236)</f>
        <v>0</v>
      </c>
      <c r="AK1286" s="652">
        <f>IF($B1286="",,SUMIFS(PerHeadcount[Month 26],PerHeadcount[exp_item],$H1286,PerHeadcount[company_name],$B1286)*AK236)</f>
        <v>0</v>
      </c>
      <c r="AL1286" s="652">
        <f>IF($B1286="",,SUMIFS(PerHeadcount[Month 27],PerHeadcount[exp_item],$H1286,PerHeadcount[company_name],$B1286)*AL236)</f>
        <v>0</v>
      </c>
      <c r="AM1286" s="652">
        <f>IF($B1286="",,SUMIFS(PerHeadcount[Month 28],PerHeadcount[exp_item],$H1286,PerHeadcount[company_name],$B1286)*AM236)</f>
        <v>0</v>
      </c>
      <c r="AN1286" s="652">
        <f>IF($B1286="",,SUMIFS(PerHeadcount[Month 29],PerHeadcount[exp_item],$H1286,PerHeadcount[company_name],$B1286)*AN236)</f>
        <v>0</v>
      </c>
      <c r="AO1286" s="652">
        <f>IF($B1286="",,SUMIFS(PerHeadcount[Month 30],PerHeadcount[exp_item],$H1286,PerHeadcount[company_name],$B1286)*AO236)</f>
        <v>0</v>
      </c>
      <c r="AP1286" s="652">
        <f>IF($B1286="",,SUMIFS(PerHeadcount[Month 31],PerHeadcount[exp_item],$H1286,PerHeadcount[company_name],$B1286)*AP236)</f>
        <v>0</v>
      </c>
      <c r="AQ1286" s="652">
        <f>IF($B1286="",,SUMIFS(PerHeadcount[Month 32],PerHeadcount[exp_item],$H1286,PerHeadcount[company_name],$B1286)*AQ236)</f>
        <v>0</v>
      </c>
      <c r="AR1286" s="652">
        <f>IF($B1286="",,SUMIFS(PerHeadcount[Month 33],PerHeadcount[exp_item],$H1286,PerHeadcount[company_name],$B1286)*AR236)</f>
        <v>0</v>
      </c>
      <c r="AS1286" s="652">
        <f>IF($B1286="",,SUMIFS(PerHeadcount[Month 34],PerHeadcount[exp_item],$H1286,PerHeadcount[company_name],$B1286)*AS236)</f>
        <v>0</v>
      </c>
      <c r="AT1286" s="652">
        <f>IF($B1286="",,SUMIFS(PerHeadcount[Month 35],PerHeadcount[exp_item],$H1286,PerHeadcount[company_name],$B1286)*AT236)</f>
        <v>0</v>
      </c>
      <c r="AU1286" s="652">
        <f>IF($B1286="",,SUMIFS(PerHeadcount[Month 36],PerHeadcount[exp_item],$H1286,PerHeadcount[company_name],$B1286)*AU236)</f>
        <v>0</v>
      </c>
    </row>
    <row r="1287" spans="2:47" x14ac:dyDescent="0.35">
      <c r="B1287" t="str">
        <f t="shared" si="916"/>
        <v/>
      </c>
      <c r="C1287" t="str">
        <f t="shared" ref="C1287:G1287" si="935">IF(C1182="","",C1182)</f>
        <v/>
      </c>
      <c r="D1287" t="str">
        <f t="shared" si="935"/>
        <v/>
      </c>
      <c r="E1287" t="str">
        <f t="shared" si="935"/>
        <v/>
      </c>
      <c r="F1287" t="str">
        <f t="shared" si="935"/>
        <v/>
      </c>
      <c r="G1287" t="str">
        <f t="shared" si="935"/>
        <v/>
      </c>
      <c r="H1287" t="str">
        <f t="shared" si="915"/>
        <v/>
      </c>
      <c r="J1287" t="str">
        <f>IF($H1287="","",IF(VLOOKUP(H1287,ExpItems[],2,0),H1287&amp;" - "&amp;INDEX(DivisionMapping[category_code],MATCH($D1287&amp;$C1287,DivisionMapping[dept_bu],0)),H1287))</f>
        <v/>
      </c>
      <c r="K1287" t="str">
        <f t="shared" si="883"/>
        <v/>
      </c>
      <c r="L1287" s="652">
        <f>IF($B1287="",,SUMIFS(PerHeadcount[Month 1],PerHeadcount[exp_item],$H1287,PerHeadcount[company_name],$B1287)*L237)</f>
        <v>0</v>
      </c>
      <c r="M1287" s="652">
        <f>IF($B1287="",,SUMIFS(PerHeadcount[Month 2],PerHeadcount[exp_item],$H1287,PerHeadcount[company_name],$B1287)*M237)</f>
        <v>0</v>
      </c>
      <c r="N1287" s="652">
        <f>IF($B1287="",,SUMIFS(PerHeadcount[Month 3],PerHeadcount[exp_item],$H1287,PerHeadcount[company_name],$B1287)*N237)</f>
        <v>0</v>
      </c>
      <c r="O1287" s="652">
        <f>IF($B1287="",,SUMIFS(PerHeadcount[Month 4],PerHeadcount[exp_item],$H1287,PerHeadcount[company_name],$B1287)*O237)</f>
        <v>0</v>
      </c>
      <c r="P1287" s="652">
        <f>IF($B1287="",,SUMIFS(PerHeadcount[Month 5],PerHeadcount[exp_item],$H1287,PerHeadcount[company_name],$B1287)*P237)</f>
        <v>0</v>
      </c>
      <c r="Q1287" s="652">
        <f>IF($B1287="",,SUMIFS(PerHeadcount[Month 6],PerHeadcount[exp_item],$H1287,PerHeadcount[company_name],$B1287)*Q237)</f>
        <v>0</v>
      </c>
      <c r="R1287" s="652">
        <f>IF($B1287="",,SUMIFS(PerHeadcount[Month 7],PerHeadcount[exp_item],$H1287,PerHeadcount[company_name],$B1287)*R237)</f>
        <v>0</v>
      </c>
      <c r="S1287" s="652">
        <f>IF($B1287="",,SUMIFS(PerHeadcount[Month 8],PerHeadcount[exp_item],$H1287,PerHeadcount[company_name],$B1287)*S237)</f>
        <v>0</v>
      </c>
      <c r="T1287" s="652">
        <f>IF($B1287="",,SUMIFS(PerHeadcount[Month 9],PerHeadcount[exp_item],$H1287,PerHeadcount[company_name],$B1287)*T237)</f>
        <v>0</v>
      </c>
      <c r="U1287" s="652">
        <f>IF($B1287="",,SUMIFS(PerHeadcount[Month 10],PerHeadcount[exp_item],$H1287,PerHeadcount[company_name],$B1287)*U237)</f>
        <v>0</v>
      </c>
      <c r="V1287" s="652">
        <f>IF($B1287="",,SUMIFS(PerHeadcount[Month 11],PerHeadcount[exp_item],$H1287,PerHeadcount[company_name],$B1287)*V237)</f>
        <v>0</v>
      </c>
      <c r="W1287" s="652">
        <f>IF($B1287="",,SUMIFS(PerHeadcount[Month 12],PerHeadcount[exp_item],$H1287,PerHeadcount[company_name],$B1287)*W237)</f>
        <v>0</v>
      </c>
      <c r="X1287" s="652">
        <f>IF($B1287="",,SUMIFS(PerHeadcount[Month 13],PerHeadcount[exp_item],$H1287,PerHeadcount[company_name],$B1287)*X237)</f>
        <v>0</v>
      </c>
      <c r="Y1287" s="652">
        <f>IF($B1287="",,SUMIFS(PerHeadcount[Month 14],PerHeadcount[exp_item],$H1287,PerHeadcount[company_name],$B1287)*Y237)</f>
        <v>0</v>
      </c>
      <c r="Z1287" s="652">
        <f>IF($B1287="",,SUMIFS(PerHeadcount[Month 15],PerHeadcount[exp_item],$H1287,PerHeadcount[company_name],$B1287)*Z237)</f>
        <v>0</v>
      </c>
      <c r="AA1287" s="652">
        <f>IF($B1287="",,SUMIFS(PerHeadcount[Month 16],PerHeadcount[exp_item],$H1287,PerHeadcount[company_name],$B1287)*AA237)</f>
        <v>0</v>
      </c>
      <c r="AB1287" s="652">
        <f>IF($B1287="",,SUMIFS(PerHeadcount[Month 17],PerHeadcount[exp_item],$H1287,PerHeadcount[company_name],$B1287)*AB237)</f>
        <v>0</v>
      </c>
      <c r="AC1287" s="652">
        <f>IF($B1287="",,SUMIFS(PerHeadcount[Month 18],PerHeadcount[exp_item],$H1287,PerHeadcount[company_name],$B1287)*AC237)</f>
        <v>0</v>
      </c>
      <c r="AD1287" s="652">
        <f>IF($B1287="",,SUMIFS(PerHeadcount[Month 19],PerHeadcount[exp_item],$H1287,PerHeadcount[company_name],$B1287)*AD237)</f>
        <v>0</v>
      </c>
      <c r="AE1287" s="652">
        <f>IF($B1287="",,SUMIFS(PerHeadcount[Month 20],PerHeadcount[exp_item],$H1287,PerHeadcount[company_name],$B1287)*AE237)</f>
        <v>0</v>
      </c>
      <c r="AF1287" s="652">
        <f>IF($B1287="",,SUMIFS(PerHeadcount[Month 21],PerHeadcount[exp_item],$H1287,PerHeadcount[company_name],$B1287)*AF237)</f>
        <v>0</v>
      </c>
      <c r="AG1287" s="652">
        <f>IF($B1287="",,SUMIFS(PerHeadcount[Month 22],PerHeadcount[exp_item],$H1287,PerHeadcount[company_name],$B1287)*AG237)</f>
        <v>0</v>
      </c>
      <c r="AH1287" s="652">
        <f>IF($B1287="",,SUMIFS(PerHeadcount[Month 23],PerHeadcount[exp_item],$H1287,PerHeadcount[company_name],$B1287)*AH237)</f>
        <v>0</v>
      </c>
      <c r="AI1287" s="652">
        <f>IF($B1287="",,SUMIFS(PerHeadcount[Month 24],PerHeadcount[exp_item],$H1287,PerHeadcount[company_name],$B1287)*AI237)</f>
        <v>0</v>
      </c>
      <c r="AJ1287" s="652">
        <f>IF($B1287="",,SUMIFS(PerHeadcount[Month 25],PerHeadcount[exp_item],$H1287,PerHeadcount[company_name],$B1287)*AJ237)</f>
        <v>0</v>
      </c>
      <c r="AK1287" s="652">
        <f>IF($B1287="",,SUMIFS(PerHeadcount[Month 26],PerHeadcount[exp_item],$H1287,PerHeadcount[company_name],$B1287)*AK237)</f>
        <v>0</v>
      </c>
      <c r="AL1287" s="652">
        <f>IF($B1287="",,SUMIFS(PerHeadcount[Month 27],PerHeadcount[exp_item],$H1287,PerHeadcount[company_name],$B1287)*AL237)</f>
        <v>0</v>
      </c>
      <c r="AM1287" s="652">
        <f>IF($B1287="",,SUMIFS(PerHeadcount[Month 28],PerHeadcount[exp_item],$H1287,PerHeadcount[company_name],$B1287)*AM237)</f>
        <v>0</v>
      </c>
      <c r="AN1287" s="652">
        <f>IF($B1287="",,SUMIFS(PerHeadcount[Month 29],PerHeadcount[exp_item],$H1287,PerHeadcount[company_name],$B1287)*AN237)</f>
        <v>0</v>
      </c>
      <c r="AO1287" s="652">
        <f>IF($B1287="",,SUMIFS(PerHeadcount[Month 30],PerHeadcount[exp_item],$H1287,PerHeadcount[company_name],$B1287)*AO237)</f>
        <v>0</v>
      </c>
      <c r="AP1287" s="652">
        <f>IF($B1287="",,SUMIFS(PerHeadcount[Month 31],PerHeadcount[exp_item],$H1287,PerHeadcount[company_name],$B1287)*AP237)</f>
        <v>0</v>
      </c>
      <c r="AQ1287" s="652">
        <f>IF($B1287="",,SUMIFS(PerHeadcount[Month 32],PerHeadcount[exp_item],$H1287,PerHeadcount[company_name],$B1287)*AQ237)</f>
        <v>0</v>
      </c>
      <c r="AR1287" s="652">
        <f>IF($B1287="",,SUMIFS(PerHeadcount[Month 33],PerHeadcount[exp_item],$H1287,PerHeadcount[company_name],$B1287)*AR237)</f>
        <v>0</v>
      </c>
      <c r="AS1287" s="652">
        <f>IF($B1287="",,SUMIFS(PerHeadcount[Month 34],PerHeadcount[exp_item],$H1287,PerHeadcount[company_name],$B1287)*AS237)</f>
        <v>0</v>
      </c>
      <c r="AT1287" s="652">
        <f>IF($B1287="",,SUMIFS(PerHeadcount[Month 35],PerHeadcount[exp_item],$H1287,PerHeadcount[company_name],$B1287)*AT237)</f>
        <v>0</v>
      </c>
      <c r="AU1287" s="652">
        <f>IF($B1287="",,SUMIFS(PerHeadcount[Month 36],PerHeadcount[exp_item],$H1287,PerHeadcount[company_name],$B1287)*AU237)</f>
        <v>0</v>
      </c>
    </row>
    <row r="1288" spans="2:47" x14ac:dyDescent="0.35">
      <c r="B1288" t="str">
        <f t="shared" si="916"/>
        <v/>
      </c>
      <c r="C1288" t="str">
        <f t="shared" ref="C1288:G1288" si="936">IF(C1183="","",C1183)</f>
        <v/>
      </c>
      <c r="D1288" t="str">
        <f t="shared" si="936"/>
        <v/>
      </c>
      <c r="E1288" t="str">
        <f t="shared" si="936"/>
        <v/>
      </c>
      <c r="F1288" t="str">
        <f t="shared" si="936"/>
        <v/>
      </c>
      <c r="G1288" t="str">
        <f t="shared" si="936"/>
        <v/>
      </c>
      <c r="H1288" t="str">
        <f t="shared" si="915"/>
        <v/>
      </c>
      <c r="J1288" t="str">
        <f>IF($H1288="","",IF(VLOOKUP(H1288,ExpItems[],2,0),H1288&amp;" - "&amp;INDEX(DivisionMapping[category_code],MATCH($D1288&amp;$C1288,DivisionMapping[dept_bu],0)),H1288))</f>
        <v/>
      </c>
      <c r="K1288" t="str">
        <f t="shared" si="883"/>
        <v/>
      </c>
      <c r="L1288" s="652">
        <f>IF($B1288="",,SUMIFS(PerHeadcount[Month 1],PerHeadcount[exp_item],$H1288,PerHeadcount[company_name],$B1288)*L238)</f>
        <v>0</v>
      </c>
      <c r="M1288" s="652">
        <f>IF($B1288="",,SUMIFS(PerHeadcount[Month 2],PerHeadcount[exp_item],$H1288,PerHeadcount[company_name],$B1288)*M238)</f>
        <v>0</v>
      </c>
      <c r="N1288" s="652">
        <f>IF($B1288="",,SUMIFS(PerHeadcount[Month 3],PerHeadcount[exp_item],$H1288,PerHeadcount[company_name],$B1288)*N238)</f>
        <v>0</v>
      </c>
      <c r="O1288" s="652">
        <f>IF($B1288="",,SUMIFS(PerHeadcount[Month 4],PerHeadcount[exp_item],$H1288,PerHeadcount[company_name],$B1288)*O238)</f>
        <v>0</v>
      </c>
      <c r="P1288" s="652">
        <f>IF($B1288="",,SUMIFS(PerHeadcount[Month 5],PerHeadcount[exp_item],$H1288,PerHeadcount[company_name],$B1288)*P238)</f>
        <v>0</v>
      </c>
      <c r="Q1288" s="652">
        <f>IF($B1288="",,SUMIFS(PerHeadcount[Month 6],PerHeadcount[exp_item],$H1288,PerHeadcount[company_name],$B1288)*Q238)</f>
        <v>0</v>
      </c>
      <c r="R1288" s="652">
        <f>IF($B1288="",,SUMIFS(PerHeadcount[Month 7],PerHeadcount[exp_item],$H1288,PerHeadcount[company_name],$B1288)*R238)</f>
        <v>0</v>
      </c>
      <c r="S1288" s="652">
        <f>IF($B1288="",,SUMIFS(PerHeadcount[Month 8],PerHeadcount[exp_item],$H1288,PerHeadcount[company_name],$B1288)*S238)</f>
        <v>0</v>
      </c>
      <c r="T1288" s="652">
        <f>IF($B1288="",,SUMIFS(PerHeadcount[Month 9],PerHeadcount[exp_item],$H1288,PerHeadcount[company_name],$B1288)*T238)</f>
        <v>0</v>
      </c>
      <c r="U1288" s="652">
        <f>IF($B1288="",,SUMIFS(PerHeadcount[Month 10],PerHeadcount[exp_item],$H1288,PerHeadcount[company_name],$B1288)*U238)</f>
        <v>0</v>
      </c>
      <c r="V1288" s="652">
        <f>IF($B1288="",,SUMIFS(PerHeadcount[Month 11],PerHeadcount[exp_item],$H1288,PerHeadcount[company_name],$B1288)*V238)</f>
        <v>0</v>
      </c>
      <c r="W1288" s="652">
        <f>IF($B1288="",,SUMIFS(PerHeadcount[Month 12],PerHeadcount[exp_item],$H1288,PerHeadcount[company_name],$B1288)*W238)</f>
        <v>0</v>
      </c>
      <c r="X1288" s="652">
        <f>IF($B1288="",,SUMIFS(PerHeadcount[Month 13],PerHeadcount[exp_item],$H1288,PerHeadcount[company_name],$B1288)*X238)</f>
        <v>0</v>
      </c>
      <c r="Y1288" s="652">
        <f>IF($B1288="",,SUMIFS(PerHeadcount[Month 14],PerHeadcount[exp_item],$H1288,PerHeadcount[company_name],$B1288)*Y238)</f>
        <v>0</v>
      </c>
      <c r="Z1288" s="652">
        <f>IF($B1288="",,SUMIFS(PerHeadcount[Month 15],PerHeadcount[exp_item],$H1288,PerHeadcount[company_name],$B1288)*Z238)</f>
        <v>0</v>
      </c>
      <c r="AA1288" s="652">
        <f>IF($B1288="",,SUMIFS(PerHeadcount[Month 16],PerHeadcount[exp_item],$H1288,PerHeadcount[company_name],$B1288)*AA238)</f>
        <v>0</v>
      </c>
      <c r="AB1288" s="652">
        <f>IF($B1288="",,SUMIFS(PerHeadcount[Month 17],PerHeadcount[exp_item],$H1288,PerHeadcount[company_name],$B1288)*AB238)</f>
        <v>0</v>
      </c>
      <c r="AC1288" s="652">
        <f>IF($B1288="",,SUMIFS(PerHeadcount[Month 18],PerHeadcount[exp_item],$H1288,PerHeadcount[company_name],$B1288)*AC238)</f>
        <v>0</v>
      </c>
      <c r="AD1288" s="652">
        <f>IF($B1288="",,SUMIFS(PerHeadcount[Month 19],PerHeadcount[exp_item],$H1288,PerHeadcount[company_name],$B1288)*AD238)</f>
        <v>0</v>
      </c>
      <c r="AE1288" s="652">
        <f>IF($B1288="",,SUMIFS(PerHeadcount[Month 20],PerHeadcount[exp_item],$H1288,PerHeadcount[company_name],$B1288)*AE238)</f>
        <v>0</v>
      </c>
      <c r="AF1288" s="652">
        <f>IF($B1288="",,SUMIFS(PerHeadcount[Month 21],PerHeadcount[exp_item],$H1288,PerHeadcount[company_name],$B1288)*AF238)</f>
        <v>0</v>
      </c>
      <c r="AG1288" s="652">
        <f>IF($B1288="",,SUMIFS(PerHeadcount[Month 22],PerHeadcount[exp_item],$H1288,PerHeadcount[company_name],$B1288)*AG238)</f>
        <v>0</v>
      </c>
      <c r="AH1288" s="652">
        <f>IF($B1288="",,SUMIFS(PerHeadcount[Month 23],PerHeadcount[exp_item],$H1288,PerHeadcount[company_name],$B1288)*AH238)</f>
        <v>0</v>
      </c>
      <c r="AI1288" s="652">
        <f>IF($B1288="",,SUMIFS(PerHeadcount[Month 24],PerHeadcount[exp_item],$H1288,PerHeadcount[company_name],$B1288)*AI238)</f>
        <v>0</v>
      </c>
      <c r="AJ1288" s="652">
        <f>IF($B1288="",,SUMIFS(PerHeadcount[Month 25],PerHeadcount[exp_item],$H1288,PerHeadcount[company_name],$B1288)*AJ238)</f>
        <v>0</v>
      </c>
      <c r="AK1288" s="652">
        <f>IF($B1288="",,SUMIFS(PerHeadcount[Month 26],PerHeadcount[exp_item],$H1288,PerHeadcount[company_name],$B1288)*AK238)</f>
        <v>0</v>
      </c>
      <c r="AL1288" s="652">
        <f>IF($B1288="",,SUMIFS(PerHeadcount[Month 27],PerHeadcount[exp_item],$H1288,PerHeadcount[company_name],$B1288)*AL238)</f>
        <v>0</v>
      </c>
      <c r="AM1288" s="652">
        <f>IF($B1288="",,SUMIFS(PerHeadcount[Month 28],PerHeadcount[exp_item],$H1288,PerHeadcount[company_name],$B1288)*AM238)</f>
        <v>0</v>
      </c>
      <c r="AN1288" s="652">
        <f>IF($B1288="",,SUMIFS(PerHeadcount[Month 29],PerHeadcount[exp_item],$H1288,PerHeadcount[company_name],$B1288)*AN238)</f>
        <v>0</v>
      </c>
      <c r="AO1288" s="652">
        <f>IF($B1288="",,SUMIFS(PerHeadcount[Month 30],PerHeadcount[exp_item],$H1288,PerHeadcount[company_name],$B1288)*AO238)</f>
        <v>0</v>
      </c>
      <c r="AP1288" s="652">
        <f>IF($B1288="",,SUMIFS(PerHeadcount[Month 31],PerHeadcount[exp_item],$H1288,PerHeadcount[company_name],$B1288)*AP238)</f>
        <v>0</v>
      </c>
      <c r="AQ1288" s="652">
        <f>IF($B1288="",,SUMIFS(PerHeadcount[Month 32],PerHeadcount[exp_item],$H1288,PerHeadcount[company_name],$B1288)*AQ238)</f>
        <v>0</v>
      </c>
      <c r="AR1288" s="652">
        <f>IF($B1288="",,SUMIFS(PerHeadcount[Month 33],PerHeadcount[exp_item],$H1288,PerHeadcount[company_name],$B1288)*AR238)</f>
        <v>0</v>
      </c>
      <c r="AS1288" s="652">
        <f>IF($B1288="",,SUMIFS(PerHeadcount[Month 34],PerHeadcount[exp_item],$H1288,PerHeadcount[company_name],$B1288)*AS238)</f>
        <v>0</v>
      </c>
      <c r="AT1288" s="652">
        <f>IF($B1288="",,SUMIFS(PerHeadcount[Month 35],PerHeadcount[exp_item],$H1288,PerHeadcount[company_name],$B1288)*AT238)</f>
        <v>0</v>
      </c>
      <c r="AU1288" s="652">
        <f>IF($B1288="",,SUMIFS(PerHeadcount[Month 36],PerHeadcount[exp_item],$H1288,PerHeadcount[company_name],$B1288)*AU238)</f>
        <v>0</v>
      </c>
    </row>
    <row r="1289" spans="2:47" x14ac:dyDescent="0.35">
      <c r="B1289" t="str">
        <f t="shared" si="916"/>
        <v/>
      </c>
      <c r="C1289" t="str">
        <f t="shared" ref="C1289:G1289" si="937">IF(C1184="","",C1184)</f>
        <v/>
      </c>
      <c r="D1289" t="str">
        <f t="shared" si="937"/>
        <v/>
      </c>
      <c r="E1289" t="str">
        <f t="shared" si="937"/>
        <v/>
      </c>
      <c r="F1289" t="str">
        <f t="shared" si="937"/>
        <v/>
      </c>
      <c r="G1289" t="str">
        <f t="shared" si="937"/>
        <v/>
      </c>
      <c r="H1289" t="str">
        <f t="shared" si="915"/>
        <v/>
      </c>
      <c r="J1289" t="str">
        <f>IF($H1289="","",IF(VLOOKUP(H1289,ExpItems[],2,0),H1289&amp;" - "&amp;INDEX(DivisionMapping[category_code],MATCH($D1289&amp;$C1289,DivisionMapping[dept_bu],0)),H1289))</f>
        <v/>
      </c>
      <c r="K1289" t="str">
        <f t="shared" si="883"/>
        <v/>
      </c>
      <c r="L1289" s="652">
        <f>IF($B1289="",,SUMIFS(PerHeadcount[Month 1],PerHeadcount[exp_item],$H1289,PerHeadcount[company_name],$B1289)*L239)</f>
        <v>0</v>
      </c>
      <c r="M1289" s="652">
        <f>IF($B1289="",,SUMIFS(PerHeadcount[Month 2],PerHeadcount[exp_item],$H1289,PerHeadcount[company_name],$B1289)*M239)</f>
        <v>0</v>
      </c>
      <c r="N1289" s="652">
        <f>IF($B1289="",,SUMIFS(PerHeadcount[Month 3],PerHeadcount[exp_item],$H1289,PerHeadcount[company_name],$B1289)*N239)</f>
        <v>0</v>
      </c>
      <c r="O1289" s="652">
        <f>IF($B1289="",,SUMIFS(PerHeadcount[Month 4],PerHeadcount[exp_item],$H1289,PerHeadcount[company_name],$B1289)*O239)</f>
        <v>0</v>
      </c>
      <c r="P1289" s="652">
        <f>IF($B1289="",,SUMIFS(PerHeadcount[Month 5],PerHeadcount[exp_item],$H1289,PerHeadcount[company_name],$B1289)*P239)</f>
        <v>0</v>
      </c>
      <c r="Q1289" s="652">
        <f>IF($B1289="",,SUMIFS(PerHeadcount[Month 6],PerHeadcount[exp_item],$H1289,PerHeadcount[company_name],$B1289)*Q239)</f>
        <v>0</v>
      </c>
      <c r="R1289" s="652">
        <f>IF($B1289="",,SUMIFS(PerHeadcount[Month 7],PerHeadcount[exp_item],$H1289,PerHeadcount[company_name],$B1289)*R239)</f>
        <v>0</v>
      </c>
      <c r="S1289" s="652">
        <f>IF($B1289="",,SUMIFS(PerHeadcount[Month 8],PerHeadcount[exp_item],$H1289,PerHeadcount[company_name],$B1289)*S239)</f>
        <v>0</v>
      </c>
      <c r="T1289" s="652">
        <f>IF($B1289="",,SUMIFS(PerHeadcount[Month 9],PerHeadcount[exp_item],$H1289,PerHeadcount[company_name],$B1289)*T239)</f>
        <v>0</v>
      </c>
      <c r="U1289" s="652">
        <f>IF($B1289="",,SUMIFS(PerHeadcount[Month 10],PerHeadcount[exp_item],$H1289,PerHeadcount[company_name],$B1289)*U239)</f>
        <v>0</v>
      </c>
      <c r="V1289" s="652">
        <f>IF($B1289="",,SUMIFS(PerHeadcount[Month 11],PerHeadcount[exp_item],$H1289,PerHeadcount[company_name],$B1289)*V239)</f>
        <v>0</v>
      </c>
      <c r="W1289" s="652">
        <f>IF($B1289="",,SUMIFS(PerHeadcount[Month 12],PerHeadcount[exp_item],$H1289,PerHeadcount[company_name],$B1289)*W239)</f>
        <v>0</v>
      </c>
      <c r="X1289" s="652">
        <f>IF($B1289="",,SUMIFS(PerHeadcount[Month 13],PerHeadcount[exp_item],$H1289,PerHeadcount[company_name],$B1289)*X239)</f>
        <v>0</v>
      </c>
      <c r="Y1289" s="652">
        <f>IF($B1289="",,SUMIFS(PerHeadcount[Month 14],PerHeadcount[exp_item],$H1289,PerHeadcount[company_name],$B1289)*Y239)</f>
        <v>0</v>
      </c>
      <c r="Z1289" s="652">
        <f>IF($B1289="",,SUMIFS(PerHeadcount[Month 15],PerHeadcount[exp_item],$H1289,PerHeadcount[company_name],$B1289)*Z239)</f>
        <v>0</v>
      </c>
      <c r="AA1289" s="652">
        <f>IF($B1289="",,SUMIFS(PerHeadcount[Month 16],PerHeadcount[exp_item],$H1289,PerHeadcount[company_name],$B1289)*AA239)</f>
        <v>0</v>
      </c>
      <c r="AB1289" s="652">
        <f>IF($B1289="",,SUMIFS(PerHeadcount[Month 17],PerHeadcount[exp_item],$H1289,PerHeadcount[company_name],$B1289)*AB239)</f>
        <v>0</v>
      </c>
      <c r="AC1289" s="652">
        <f>IF($B1289="",,SUMIFS(PerHeadcount[Month 18],PerHeadcount[exp_item],$H1289,PerHeadcount[company_name],$B1289)*AC239)</f>
        <v>0</v>
      </c>
      <c r="AD1289" s="652">
        <f>IF($B1289="",,SUMIFS(PerHeadcount[Month 19],PerHeadcount[exp_item],$H1289,PerHeadcount[company_name],$B1289)*AD239)</f>
        <v>0</v>
      </c>
      <c r="AE1289" s="652">
        <f>IF($B1289="",,SUMIFS(PerHeadcount[Month 20],PerHeadcount[exp_item],$H1289,PerHeadcount[company_name],$B1289)*AE239)</f>
        <v>0</v>
      </c>
      <c r="AF1289" s="652">
        <f>IF($B1289="",,SUMIFS(PerHeadcount[Month 21],PerHeadcount[exp_item],$H1289,PerHeadcount[company_name],$B1289)*AF239)</f>
        <v>0</v>
      </c>
      <c r="AG1289" s="652">
        <f>IF($B1289="",,SUMIFS(PerHeadcount[Month 22],PerHeadcount[exp_item],$H1289,PerHeadcount[company_name],$B1289)*AG239)</f>
        <v>0</v>
      </c>
      <c r="AH1289" s="652">
        <f>IF($B1289="",,SUMIFS(PerHeadcount[Month 23],PerHeadcount[exp_item],$H1289,PerHeadcount[company_name],$B1289)*AH239)</f>
        <v>0</v>
      </c>
      <c r="AI1289" s="652">
        <f>IF($B1289="",,SUMIFS(PerHeadcount[Month 24],PerHeadcount[exp_item],$H1289,PerHeadcount[company_name],$B1289)*AI239)</f>
        <v>0</v>
      </c>
      <c r="AJ1289" s="652">
        <f>IF($B1289="",,SUMIFS(PerHeadcount[Month 25],PerHeadcount[exp_item],$H1289,PerHeadcount[company_name],$B1289)*AJ239)</f>
        <v>0</v>
      </c>
      <c r="AK1289" s="652">
        <f>IF($B1289="",,SUMIFS(PerHeadcount[Month 26],PerHeadcount[exp_item],$H1289,PerHeadcount[company_name],$B1289)*AK239)</f>
        <v>0</v>
      </c>
      <c r="AL1289" s="652">
        <f>IF($B1289="",,SUMIFS(PerHeadcount[Month 27],PerHeadcount[exp_item],$H1289,PerHeadcount[company_name],$B1289)*AL239)</f>
        <v>0</v>
      </c>
      <c r="AM1289" s="652">
        <f>IF($B1289="",,SUMIFS(PerHeadcount[Month 28],PerHeadcount[exp_item],$H1289,PerHeadcount[company_name],$B1289)*AM239)</f>
        <v>0</v>
      </c>
      <c r="AN1289" s="652">
        <f>IF($B1289="",,SUMIFS(PerHeadcount[Month 29],PerHeadcount[exp_item],$H1289,PerHeadcount[company_name],$B1289)*AN239)</f>
        <v>0</v>
      </c>
      <c r="AO1289" s="652">
        <f>IF($B1289="",,SUMIFS(PerHeadcount[Month 30],PerHeadcount[exp_item],$H1289,PerHeadcount[company_name],$B1289)*AO239)</f>
        <v>0</v>
      </c>
      <c r="AP1289" s="652">
        <f>IF($B1289="",,SUMIFS(PerHeadcount[Month 31],PerHeadcount[exp_item],$H1289,PerHeadcount[company_name],$B1289)*AP239)</f>
        <v>0</v>
      </c>
      <c r="AQ1289" s="652">
        <f>IF($B1289="",,SUMIFS(PerHeadcount[Month 32],PerHeadcount[exp_item],$H1289,PerHeadcount[company_name],$B1289)*AQ239)</f>
        <v>0</v>
      </c>
      <c r="AR1289" s="652">
        <f>IF($B1289="",,SUMIFS(PerHeadcount[Month 33],PerHeadcount[exp_item],$H1289,PerHeadcount[company_name],$B1289)*AR239)</f>
        <v>0</v>
      </c>
      <c r="AS1289" s="652">
        <f>IF($B1289="",,SUMIFS(PerHeadcount[Month 34],PerHeadcount[exp_item],$H1289,PerHeadcount[company_name],$B1289)*AS239)</f>
        <v>0</v>
      </c>
      <c r="AT1289" s="652">
        <f>IF($B1289="",,SUMIFS(PerHeadcount[Month 35],PerHeadcount[exp_item],$H1289,PerHeadcount[company_name],$B1289)*AT239)</f>
        <v>0</v>
      </c>
      <c r="AU1289" s="652">
        <f>IF($B1289="",,SUMIFS(PerHeadcount[Month 36],PerHeadcount[exp_item],$H1289,PerHeadcount[company_name],$B1289)*AU239)</f>
        <v>0</v>
      </c>
    </row>
    <row r="1290" spans="2:47" x14ac:dyDescent="0.35">
      <c r="B1290" t="str">
        <f t="shared" si="916"/>
        <v/>
      </c>
      <c r="C1290" t="str">
        <f t="shared" ref="C1290:G1290" si="938">IF(C1185="","",C1185)</f>
        <v/>
      </c>
      <c r="D1290" t="str">
        <f t="shared" si="938"/>
        <v/>
      </c>
      <c r="E1290" t="str">
        <f t="shared" si="938"/>
        <v/>
      </c>
      <c r="F1290" t="str">
        <f t="shared" si="938"/>
        <v/>
      </c>
      <c r="G1290" t="str">
        <f t="shared" si="938"/>
        <v/>
      </c>
      <c r="H1290" t="str">
        <f t="shared" si="915"/>
        <v/>
      </c>
      <c r="J1290" t="str">
        <f>IF($H1290="","",IF(VLOOKUP(H1290,ExpItems[],2,0),H1290&amp;" - "&amp;INDEX(DivisionMapping[category_code],MATCH($D1290&amp;$C1290,DivisionMapping[dept_bu],0)),H1290))</f>
        <v/>
      </c>
      <c r="K1290" t="str">
        <f t="shared" si="883"/>
        <v/>
      </c>
      <c r="L1290" s="652">
        <f>IF($B1290="",,SUMIFS(PerHeadcount[Month 1],PerHeadcount[exp_item],$H1290,PerHeadcount[company_name],$B1290)*L240)</f>
        <v>0</v>
      </c>
      <c r="M1290" s="652">
        <f>IF($B1290="",,SUMIFS(PerHeadcount[Month 2],PerHeadcount[exp_item],$H1290,PerHeadcount[company_name],$B1290)*M240)</f>
        <v>0</v>
      </c>
      <c r="N1290" s="652">
        <f>IF($B1290="",,SUMIFS(PerHeadcount[Month 3],PerHeadcount[exp_item],$H1290,PerHeadcount[company_name],$B1290)*N240)</f>
        <v>0</v>
      </c>
      <c r="O1290" s="652">
        <f>IF($B1290="",,SUMIFS(PerHeadcount[Month 4],PerHeadcount[exp_item],$H1290,PerHeadcount[company_name],$B1290)*O240)</f>
        <v>0</v>
      </c>
      <c r="P1290" s="652">
        <f>IF($B1290="",,SUMIFS(PerHeadcount[Month 5],PerHeadcount[exp_item],$H1290,PerHeadcount[company_name],$B1290)*P240)</f>
        <v>0</v>
      </c>
      <c r="Q1290" s="652">
        <f>IF($B1290="",,SUMIFS(PerHeadcount[Month 6],PerHeadcount[exp_item],$H1290,PerHeadcount[company_name],$B1290)*Q240)</f>
        <v>0</v>
      </c>
      <c r="R1290" s="652">
        <f>IF($B1290="",,SUMIFS(PerHeadcount[Month 7],PerHeadcount[exp_item],$H1290,PerHeadcount[company_name],$B1290)*R240)</f>
        <v>0</v>
      </c>
      <c r="S1290" s="652">
        <f>IF($B1290="",,SUMIFS(PerHeadcount[Month 8],PerHeadcount[exp_item],$H1290,PerHeadcount[company_name],$B1290)*S240)</f>
        <v>0</v>
      </c>
      <c r="T1290" s="652">
        <f>IF($B1290="",,SUMIFS(PerHeadcount[Month 9],PerHeadcount[exp_item],$H1290,PerHeadcount[company_name],$B1290)*T240)</f>
        <v>0</v>
      </c>
      <c r="U1290" s="652">
        <f>IF($B1290="",,SUMIFS(PerHeadcount[Month 10],PerHeadcount[exp_item],$H1290,PerHeadcount[company_name],$B1290)*U240)</f>
        <v>0</v>
      </c>
      <c r="V1290" s="652">
        <f>IF($B1290="",,SUMIFS(PerHeadcount[Month 11],PerHeadcount[exp_item],$H1290,PerHeadcount[company_name],$B1290)*V240)</f>
        <v>0</v>
      </c>
      <c r="W1290" s="652">
        <f>IF($B1290="",,SUMIFS(PerHeadcount[Month 12],PerHeadcount[exp_item],$H1290,PerHeadcount[company_name],$B1290)*W240)</f>
        <v>0</v>
      </c>
      <c r="X1290" s="652">
        <f>IF($B1290="",,SUMIFS(PerHeadcount[Month 13],PerHeadcount[exp_item],$H1290,PerHeadcount[company_name],$B1290)*X240)</f>
        <v>0</v>
      </c>
      <c r="Y1290" s="652">
        <f>IF($B1290="",,SUMIFS(PerHeadcount[Month 14],PerHeadcount[exp_item],$H1290,PerHeadcount[company_name],$B1290)*Y240)</f>
        <v>0</v>
      </c>
      <c r="Z1290" s="652">
        <f>IF($B1290="",,SUMIFS(PerHeadcount[Month 15],PerHeadcount[exp_item],$H1290,PerHeadcount[company_name],$B1290)*Z240)</f>
        <v>0</v>
      </c>
      <c r="AA1290" s="652">
        <f>IF($B1290="",,SUMIFS(PerHeadcount[Month 16],PerHeadcount[exp_item],$H1290,PerHeadcount[company_name],$B1290)*AA240)</f>
        <v>0</v>
      </c>
      <c r="AB1290" s="652">
        <f>IF($B1290="",,SUMIFS(PerHeadcount[Month 17],PerHeadcount[exp_item],$H1290,PerHeadcount[company_name],$B1290)*AB240)</f>
        <v>0</v>
      </c>
      <c r="AC1290" s="652">
        <f>IF($B1290="",,SUMIFS(PerHeadcount[Month 18],PerHeadcount[exp_item],$H1290,PerHeadcount[company_name],$B1290)*AC240)</f>
        <v>0</v>
      </c>
      <c r="AD1290" s="652">
        <f>IF($B1290="",,SUMIFS(PerHeadcount[Month 19],PerHeadcount[exp_item],$H1290,PerHeadcount[company_name],$B1290)*AD240)</f>
        <v>0</v>
      </c>
      <c r="AE1290" s="652">
        <f>IF($B1290="",,SUMIFS(PerHeadcount[Month 20],PerHeadcount[exp_item],$H1290,PerHeadcount[company_name],$B1290)*AE240)</f>
        <v>0</v>
      </c>
      <c r="AF1290" s="652">
        <f>IF($B1290="",,SUMIFS(PerHeadcount[Month 21],PerHeadcount[exp_item],$H1290,PerHeadcount[company_name],$B1290)*AF240)</f>
        <v>0</v>
      </c>
      <c r="AG1290" s="652">
        <f>IF($B1290="",,SUMIFS(PerHeadcount[Month 22],PerHeadcount[exp_item],$H1290,PerHeadcount[company_name],$B1290)*AG240)</f>
        <v>0</v>
      </c>
      <c r="AH1290" s="652">
        <f>IF($B1290="",,SUMIFS(PerHeadcount[Month 23],PerHeadcount[exp_item],$H1290,PerHeadcount[company_name],$B1290)*AH240)</f>
        <v>0</v>
      </c>
      <c r="AI1290" s="652">
        <f>IF($B1290="",,SUMIFS(PerHeadcount[Month 24],PerHeadcount[exp_item],$H1290,PerHeadcount[company_name],$B1290)*AI240)</f>
        <v>0</v>
      </c>
      <c r="AJ1290" s="652">
        <f>IF($B1290="",,SUMIFS(PerHeadcount[Month 25],PerHeadcount[exp_item],$H1290,PerHeadcount[company_name],$B1290)*AJ240)</f>
        <v>0</v>
      </c>
      <c r="AK1290" s="652">
        <f>IF($B1290="",,SUMIFS(PerHeadcount[Month 26],PerHeadcount[exp_item],$H1290,PerHeadcount[company_name],$B1290)*AK240)</f>
        <v>0</v>
      </c>
      <c r="AL1290" s="652">
        <f>IF($B1290="",,SUMIFS(PerHeadcount[Month 27],PerHeadcount[exp_item],$H1290,PerHeadcount[company_name],$B1290)*AL240)</f>
        <v>0</v>
      </c>
      <c r="AM1290" s="652">
        <f>IF($B1290="",,SUMIFS(PerHeadcount[Month 28],PerHeadcount[exp_item],$H1290,PerHeadcount[company_name],$B1290)*AM240)</f>
        <v>0</v>
      </c>
      <c r="AN1290" s="652">
        <f>IF($B1290="",,SUMIFS(PerHeadcount[Month 29],PerHeadcount[exp_item],$H1290,PerHeadcount[company_name],$B1290)*AN240)</f>
        <v>0</v>
      </c>
      <c r="AO1290" s="652">
        <f>IF($B1290="",,SUMIFS(PerHeadcount[Month 30],PerHeadcount[exp_item],$H1290,PerHeadcount[company_name],$B1290)*AO240)</f>
        <v>0</v>
      </c>
      <c r="AP1290" s="652">
        <f>IF($B1290="",,SUMIFS(PerHeadcount[Month 31],PerHeadcount[exp_item],$H1290,PerHeadcount[company_name],$B1290)*AP240)</f>
        <v>0</v>
      </c>
      <c r="AQ1290" s="652">
        <f>IF($B1290="",,SUMIFS(PerHeadcount[Month 32],PerHeadcount[exp_item],$H1290,PerHeadcount[company_name],$B1290)*AQ240)</f>
        <v>0</v>
      </c>
      <c r="AR1290" s="652">
        <f>IF($B1290="",,SUMIFS(PerHeadcount[Month 33],PerHeadcount[exp_item],$H1290,PerHeadcount[company_name],$B1290)*AR240)</f>
        <v>0</v>
      </c>
      <c r="AS1290" s="652">
        <f>IF($B1290="",,SUMIFS(PerHeadcount[Month 34],PerHeadcount[exp_item],$H1290,PerHeadcount[company_name],$B1290)*AS240)</f>
        <v>0</v>
      </c>
      <c r="AT1290" s="652">
        <f>IF($B1290="",,SUMIFS(PerHeadcount[Month 35],PerHeadcount[exp_item],$H1290,PerHeadcount[company_name],$B1290)*AT240)</f>
        <v>0</v>
      </c>
      <c r="AU1290" s="652">
        <f>IF($B1290="",,SUMIFS(PerHeadcount[Month 36],PerHeadcount[exp_item],$H1290,PerHeadcount[company_name],$B1290)*AU240)</f>
        <v>0</v>
      </c>
    </row>
    <row r="1291" spans="2:47" x14ac:dyDescent="0.35">
      <c r="B1291" t="str">
        <f t="shared" si="916"/>
        <v/>
      </c>
      <c r="C1291" t="str">
        <f t="shared" ref="C1291:G1291" si="939">IF(C1186="","",C1186)</f>
        <v/>
      </c>
      <c r="D1291" t="str">
        <f t="shared" si="939"/>
        <v/>
      </c>
      <c r="E1291" t="str">
        <f t="shared" si="939"/>
        <v/>
      </c>
      <c r="F1291" t="str">
        <f t="shared" si="939"/>
        <v/>
      </c>
      <c r="G1291" t="str">
        <f t="shared" si="939"/>
        <v/>
      </c>
      <c r="H1291" t="str">
        <f t="shared" si="915"/>
        <v/>
      </c>
      <c r="J1291" t="str">
        <f>IF($H1291="","",IF(VLOOKUP(H1291,ExpItems[],2,0),H1291&amp;" - "&amp;INDEX(DivisionMapping[category_code],MATCH($D1291&amp;$C1291,DivisionMapping[dept_bu],0)),H1291))</f>
        <v/>
      </c>
      <c r="K1291" t="str">
        <f t="shared" si="883"/>
        <v/>
      </c>
      <c r="L1291" s="652">
        <f>IF($B1291="",,SUMIFS(PerHeadcount[Month 1],PerHeadcount[exp_item],$H1291,PerHeadcount[company_name],$B1291)*L241)</f>
        <v>0</v>
      </c>
      <c r="M1291" s="652">
        <f>IF($B1291="",,SUMIFS(PerHeadcount[Month 2],PerHeadcount[exp_item],$H1291,PerHeadcount[company_name],$B1291)*M241)</f>
        <v>0</v>
      </c>
      <c r="N1291" s="652">
        <f>IF($B1291="",,SUMIFS(PerHeadcount[Month 3],PerHeadcount[exp_item],$H1291,PerHeadcount[company_name],$B1291)*N241)</f>
        <v>0</v>
      </c>
      <c r="O1291" s="652">
        <f>IF($B1291="",,SUMIFS(PerHeadcount[Month 4],PerHeadcount[exp_item],$H1291,PerHeadcount[company_name],$B1291)*O241)</f>
        <v>0</v>
      </c>
      <c r="P1291" s="652">
        <f>IF($B1291="",,SUMIFS(PerHeadcount[Month 5],PerHeadcount[exp_item],$H1291,PerHeadcount[company_name],$B1291)*P241)</f>
        <v>0</v>
      </c>
      <c r="Q1291" s="652">
        <f>IF($B1291="",,SUMIFS(PerHeadcount[Month 6],PerHeadcount[exp_item],$H1291,PerHeadcount[company_name],$B1291)*Q241)</f>
        <v>0</v>
      </c>
      <c r="R1291" s="652">
        <f>IF($B1291="",,SUMIFS(PerHeadcount[Month 7],PerHeadcount[exp_item],$H1291,PerHeadcount[company_name],$B1291)*R241)</f>
        <v>0</v>
      </c>
      <c r="S1291" s="652">
        <f>IF($B1291="",,SUMIFS(PerHeadcount[Month 8],PerHeadcount[exp_item],$H1291,PerHeadcount[company_name],$B1291)*S241)</f>
        <v>0</v>
      </c>
      <c r="T1291" s="652">
        <f>IF($B1291="",,SUMIFS(PerHeadcount[Month 9],PerHeadcount[exp_item],$H1291,PerHeadcount[company_name],$B1291)*T241)</f>
        <v>0</v>
      </c>
      <c r="U1291" s="652">
        <f>IF($B1291="",,SUMIFS(PerHeadcount[Month 10],PerHeadcount[exp_item],$H1291,PerHeadcount[company_name],$B1291)*U241)</f>
        <v>0</v>
      </c>
      <c r="V1291" s="652">
        <f>IF($B1291="",,SUMIFS(PerHeadcount[Month 11],PerHeadcount[exp_item],$H1291,PerHeadcount[company_name],$B1291)*V241)</f>
        <v>0</v>
      </c>
      <c r="W1291" s="652">
        <f>IF($B1291="",,SUMIFS(PerHeadcount[Month 12],PerHeadcount[exp_item],$H1291,PerHeadcount[company_name],$B1291)*W241)</f>
        <v>0</v>
      </c>
      <c r="X1291" s="652">
        <f>IF($B1291="",,SUMIFS(PerHeadcount[Month 13],PerHeadcount[exp_item],$H1291,PerHeadcount[company_name],$B1291)*X241)</f>
        <v>0</v>
      </c>
      <c r="Y1291" s="652">
        <f>IF($B1291="",,SUMIFS(PerHeadcount[Month 14],PerHeadcount[exp_item],$H1291,PerHeadcount[company_name],$B1291)*Y241)</f>
        <v>0</v>
      </c>
      <c r="Z1291" s="652">
        <f>IF($B1291="",,SUMIFS(PerHeadcount[Month 15],PerHeadcount[exp_item],$H1291,PerHeadcount[company_name],$B1291)*Z241)</f>
        <v>0</v>
      </c>
      <c r="AA1291" s="652">
        <f>IF($B1291="",,SUMIFS(PerHeadcount[Month 16],PerHeadcount[exp_item],$H1291,PerHeadcount[company_name],$B1291)*AA241)</f>
        <v>0</v>
      </c>
      <c r="AB1291" s="652">
        <f>IF($B1291="",,SUMIFS(PerHeadcount[Month 17],PerHeadcount[exp_item],$H1291,PerHeadcount[company_name],$B1291)*AB241)</f>
        <v>0</v>
      </c>
      <c r="AC1291" s="652">
        <f>IF($B1291="",,SUMIFS(PerHeadcount[Month 18],PerHeadcount[exp_item],$H1291,PerHeadcount[company_name],$B1291)*AC241)</f>
        <v>0</v>
      </c>
      <c r="AD1291" s="652">
        <f>IF($B1291="",,SUMIFS(PerHeadcount[Month 19],PerHeadcount[exp_item],$H1291,PerHeadcount[company_name],$B1291)*AD241)</f>
        <v>0</v>
      </c>
      <c r="AE1291" s="652">
        <f>IF($B1291="",,SUMIFS(PerHeadcount[Month 20],PerHeadcount[exp_item],$H1291,PerHeadcount[company_name],$B1291)*AE241)</f>
        <v>0</v>
      </c>
      <c r="AF1291" s="652">
        <f>IF($B1291="",,SUMIFS(PerHeadcount[Month 21],PerHeadcount[exp_item],$H1291,PerHeadcount[company_name],$B1291)*AF241)</f>
        <v>0</v>
      </c>
      <c r="AG1291" s="652">
        <f>IF($B1291="",,SUMIFS(PerHeadcount[Month 22],PerHeadcount[exp_item],$H1291,PerHeadcount[company_name],$B1291)*AG241)</f>
        <v>0</v>
      </c>
      <c r="AH1291" s="652">
        <f>IF($B1291="",,SUMIFS(PerHeadcount[Month 23],PerHeadcount[exp_item],$H1291,PerHeadcount[company_name],$B1291)*AH241)</f>
        <v>0</v>
      </c>
      <c r="AI1291" s="652">
        <f>IF($B1291="",,SUMIFS(PerHeadcount[Month 24],PerHeadcount[exp_item],$H1291,PerHeadcount[company_name],$B1291)*AI241)</f>
        <v>0</v>
      </c>
      <c r="AJ1291" s="652">
        <f>IF($B1291="",,SUMIFS(PerHeadcount[Month 25],PerHeadcount[exp_item],$H1291,PerHeadcount[company_name],$B1291)*AJ241)</f>
        <v>0</v>
      </c>
      <c r="AK1291" s="652">
        <f>IF($B1291="",,SUMIFS(PerHeadcount[Month 26],PerHeadcount[exp_item],$H1291,PerHeadcount[company_name],$B1291)*AK241)</f>
        <v>0</v>
      </c>
      <c r="AL1291" s="652">
        <f>IF($B1291="",,SUMIFS(PerHeadcount[Month 27],PerHeadcount[exp_item],$H1291,PerHeadcount[company_name],$B1291)*AL241)</f>
        <v>0</v>
      </c>
      <c r="AM1291" s="652">
        <f>IF($B1291="",,SUMIFS(PerHeadcount[Month 28],PerHeadcount[exp_item],$H1291,PerHeadcount[company_name],$B1291)*AM241)</f>
        <v>0</v>
      </c>
      <c r="AN1291" s="652">
        <f>IF($B1291="",,SUMIFS(PerHeadcount[Month 29],PerHeadcount[exp_item],$H1291,PerHeadcount[company_name],$B1291)*AN241)</f>
        <v>0</v>
      </c>
      <c r="AO1291" s="652">
        <f>IF($B1291="",,SUMIFS(PerHeadcount[Month 30],PerHeadcount[exp_item],$H1291,PerHeadcount[company_name],$B1291)*AO241)</f>
        <v>0</v>
      </c>
      <c r="AP1291" s="652">
        <f>IF($B1291="",,SUMIFS(PerHeadcount[Month 31],PerHeadcount[exp_item],$H1291,PerHeadcount[company_name],$B1291)*AP241)</f>
        <v>0</v>
      </c>
      <c r="AQ1291" s="652">
        <f>IF($B1291="",,SUMIFS(PerHeadcount[Month 32],PerHeadcount[exp_item],$H1291,PerHeadcount[company_name],$B1291)*AQ241)</f>
        <v>0</v>
      </c>
      <c r="AR1291" s="652">
        <f>IF($B1291="",,SUMIFS(PerHeadcount[Month 33],PerHeadcount[exp_item],$H1291,PerHeadcount[company_name],$B1291)*AR241)</f>
        <v>0</v>
      </c>
      <c r="AS1291" s="652">
        <f>IF($B1291="",,SUMIFS(PerHeadcount[Month 34],PerHeadcount[exp_item],$H1291,PerHeadcount[company_name],$B1291)*AS241)</f>
        <v>0</v>
      </c>
      <c r="AT1291" s="652">
        <f>IF($B1291="",,SUMIFS(PerHeadcount[Month 35],PerHeadcount[exp_item],$H1291,PerHeadcount[company_name],$B1291)*AT241)</f>
        <v>0</v>
      </c>
      <c r="AU1291" s="652">
        <f>IF($B1291="",,SUMIFS(PerHeadcount[Month 36],PerHeadcount[exp_item],$H1291,PerHeadcount[company_name],$B1291)*AU241)</f>
        <v>0</v>
      </c>
    </row>
    <row r="1292" spans="2:47" x14ac:dyDescent="0.35">
      <c r="B1292" t="str">
        <f t="shared" si="916"/>
        <v/>
      </c>
      <c r="C1292" t="str">
        <f t="shared" ref="C1292:G1292" si="940">IF(C1187="","",C1187)</f>
        <v/>
      </c>
      <c r="D1292" t="str">
        <f t="shared" si="940"/>
        <v/>
      </c>
      <c r="E1292" t="str">
        <f t="shared" si="940"/>
        <v/>
      </c>
      <c r="F1292" t="str">
        <f t="shared" si="940"/>
        <v/>
      </c>
      <c r="G1292" t="str">
        <f t="shared" si="940"/>
        <v/>
      </c>
      <c r="H1292" t="str">
        <f t="shared" si="915"/>
        <v/>
      </c>
      <c r="J1292" t="str">
        <f>IF($H1292="","",IF(VLOOKUP(H1292,ExpItems[],2,0),H1292&amp;" - "&amp;INDEX(DivisionMapping[category_code],MATCH($D1292&amp;$C1292,DivisionMapping[dept_bu],0)),H1292))</f>
        <v/>
      </c>
      <c r="K1292" t="str">
        <f t="shared" si="883"/>
        <v/>
      </c>
      <c r="L1292" s="652">
        <f>IF($B1292="",,SUMIFS(PerHeadcount[Month 1],PerHeadcount[exp_item],$H1292,PerHeadcount[company_name],$B1292)*L242)</f>
        <v>0</v>
      </c>
      <c r="M1292" s="652">
        <f>IF($B1292="",,SUMIFS(PerHeadcount[Month 2],PerHeadcount[exp_item],$H1292,PerHeadcount[company_name],$B1292)*M242)</f>
        <v>0</v>
      </c>
      <c r="N1292" s="652">
        <f>IF($B1292="",,SUMIFS(PerHeadcount[Month 3],PerHeadcount[exp_item],$H1292,PerHeadcount[company_name],$B1292)*N242)</f>
        <v>0</v>
      </c>
      <c r="O1292" s="652">
        <f>IF($B1292="",,SUMIFS(PerHeadcount[Month 4],PerHeadcount[exp_item],$H1292,PerHeadcount[company_name],$B1292)*O242)</f>
        <v>0</v>
      </c>
      <c r="P1292" s="652">
        <f>IF($B1292="",,SUMIFS(PerHeadcount[Month 5],PerHeadcount[exp_item],$H1292,PerHeadcount[company_name],$B1292)*P242)</f>
        <v>0</v>
      </c>
      <c r="Q1292" s="652">
        <f>IF($B1292="",,SUMIFS(PerHeadcount[Month 6],PerHeadcount[exp_item],$H1292,PerHeadcount[company_name],$B1292)*Q242)</f>
        <v>0</v>
      </c>
      <c r="R1292" s="652">
        <f>IF($B1292="",,SUMIFS(PerHeadcount[Month 7],PerHeadcount[exp_item],$H1292,PerHeadcount[company_name],$B1292)*R242)</f>
        <v>0</v>
      </c>
      <c r="S1292" s="652">
        <f>IF($B1292="",,SUMIFS(PerHeadcount[Month 8],PerHeadcount[exp_item],$H1292,PerHeadcount[company_name],$B1292)*S242)</f>
        <v>0</v>
      </c>
      <c r="T1292" s="652">
        <f>IF($B1292="",,SUMIFS(PerHeadcount[Month 9],PerHeadcount[exp_item],$H1292,PerHeadcount[company_name],$B1292)*T242)</f>
        <v>0</v>
      </c>
      <c r="U1292" s="652">
        <f>IF($B1292="",,SUMIFS(PerHeadcount[Month 10],PerHeadcount[exp_item],$H1292,PerHeadcount[company_name],$B1292)*U242)</f>
        <v>0</v>
      </c>
      <c r="V1292" s="652">
        <f>IF($B1292="",,SUMIFS(PerHeadcount[Month 11],PerHeadcount[exp_item],$H1292,PerHeadcount[company_name],$B1292)*V242)</f>
        <v>0</v>
      </c>
      <c r="W1292" s="652">
        <f>IF($B1292="",,SUMIFS(PerHeadcount[Month 12],PerHeadcount[exp_item],$H1292,PerHeadcount[company_name],$B1292)*W242)</f>
        <v>0</v>
      </c>
      <c r="X1292" s="652">
        <f>IF($B1292="",,SUMIFS(PerHeadcount[Month 13],PerHeadcount[exp_item],$H1292,PerHeadcount[company_name],$B1292)*X242)</f>
        <v>0</v>
      </c>
      <c r="Y1292" s="652">
        <f>IF($B1292="",,SUMIFS(PerHeadcount[Month 14],PerHeadcount[exp_item],$H1292,PerHeadcount[company_name],$B1292)*Y242)</f>
        <v>0</v>
      </c>
      <c r="Z1292" s="652">
        <f>IF($B1292="",,SUMIFS(PerHeadcount[Month 15],PerHeadcount[exp_item],$H1292,PerHeadcount[company_name],$B1292)*Z242)</f>
        <v>0</v>
      </c>
      <c r="AA1292" s="652">
        <f>IF($B1292="",,SUMIFS(PerHeadcount[Month 16],PerHeadcount[exp_item],$H1292,PerHeadcount[company_name],$B1292)*AA242)</f>
        <v>0</v>
      </c>
      <c r="AB1292" s="652">
        <f>IF($B1292="",,SUMIFS(PerHeadcount[Month 17],PerHeadcount[exp_item],$H1292,PerHeadcount[company_name],$B1292)*AB242)</f>
        <v>0</v>
      </c>
      <c r="AC1292" s="652">
        <f>IF($B1292="",,SUMIFS(PerHeadcount[Month 18],PerHeadcount[exp_item],$H1292,PerHeadcount[company_name],$B1292)*AC242)</f>
        <v>0</v>
      </c>
      <c r="AD1292" s="652">
        <f>IF($B1292="",,SUMIFS(PerHeadcount[Month 19],PerHeadcount[exp_item],$H1292,PerHeadcount[company_name],$B1292)*AD242)</f>
        <v>0</v>
      </c>
      <c r="AE1292" s="652">
        <f>IF($B1292="",,SUMIFS(PerHeadcount[Month 20],PerHeadcount[exp_item],$H1292,PerHeadcount[company_name],$B1292)*AE242)</f>
        <v>0</v>
      </c>
      <c r="AF1292" s="652">
        <f>IF($B1292="",,SUMIFS(PerHeadcount[Month 21],PerHeadcount[exp_item],$H1292,PerHeadcount[company_name],$B1292)*AF242)</f>
        <v>0</v>
      </c>
      <c r="AG1292" s="652">
        <f>IF($B1292="",,SUMIFS(PerHeadcount[Month 22],PerHeadcount[exp_item],$H1292,PerHeadcount[company_name],$B1292)*AG242)</f>
        <v>0</v>
      </c>
      <c r="AH1292" s="652">
        <f>IF($B1292="",,SUMIFS(PerHeadcount[Month 23],PerHeadcount[exp_item],$H1292,PerHeadcount[company_name],$B1292)*AH242)</f>
        <v>0</v>
      </c>
      <c r="AI1292" s="652">
        <f>IF($B1292="",,SUMIFS(PerHeadcount[Month 24],PerHeadcount[exp_item],$H1292,PerHeadcount[company_name],$B1292)*AI242)</f>
        <v>0</v>
      </c>
      <c r="AJ1292" s="652">
        <f>IF($B1292="",,SUMIFS(PerHeadcount[Month 25],PerHeadcount[exp_item],$H1292,PerHeadcount[company_name],$B1292)*AJ242)</f>
        <v>0</v>
      </c>
      <c r="AK1292" s="652">
        <f>IF($B1292="",,SUMIFS(PerHeadcount[Month 26],PerHeadcount[exp_item],$H1292,PerHeadcount[company_name],$B1292)*AK242)</f>
        <v>0</v>
      </c>
      <c r="AL1292" s="652">
        <f>IF($B1292="",,SUMIFS(PerHeadcount[Month 27],PerHeadcount[exp_item],$H1292,PerHeadcount[company_name],$B1292)*AL242)</f>
        <v>0</v>
      </c>
      <c r="AM1292" s="652">
        <f>IF($B1292="",,SUMIFS(PerHeadcount[Month 28],PerHeadcount[exp_item],$H1292,PerHeadcount[company_name],$B1292)*AM242)</f>
        <v>0</v>
      </c>
      <c r="AN1292" s="652">
        <f>IF($B1292="",,SUMIFS(PerHeadcount[Month 29],PerHeadcount[exp_item],$H1292,PerHeadcount[company_name],$B1292)*AN242)</f>
        <v>0</v>
      </c>
      <c r="AO1292" s="652">
        <f>IF($B1292="",,SUMIFS(PerHeadcount[Month 30],PerHeadcount[exp_item],$H1292,PerHeadcount[company_name],$B1292)*AO242)</f>
        <v>0</v>
      </c>
      <c r="AP1292" s="652">
        <f>IF($B1292="",,SUMIFS(PerHeadcount[Month 31],PerHeadcount[exp_item],$H1292,PerHeadcount[company_name],$B1292)*AP242)</f>
        <v>0</v>
      </c>
      <c r="AQ1292" s="652">
        <f>IF($B1292="",,SUMIFS(PerHeadcount[Month 32],PerHeadcount[exp_item],$H1292,PerHeadcount[company_name],$B1292)*AQ242)</f>
        <v>0</v>
      </c>
      <c r="AR1292" s="652">
        <f>IF($B1292="",,SUMIFS(PerHeadcount[Month 33],PerHeadcount[exp_item],$H1292,PerHeadcount[company_name],$B1292)*AR242)</f>
        <v>0</v>
      </c>
      <c r="AS1292" s="652">
        <f>IF($B1292="",,SUMIFS(PerHeadcount[Month 34],PerHeadcount[exp_item],$H1292,PerHeadcount[company_name],$B1292)*AS242)</f>
        <v>0</v>
      </c>
      <c r="AT1292" s="652">
        <f>IF($B1292="",,SUMIFS(PerHeadcount[Month 35],PerHeadcount[exp_item],$H1292,PerHeadcount[company_name],$B1292)*AT242)</f>
        <v>0</v>
      </c>
      <c r="AU1292" s="652">
        <f>IF($B1292="",,SUMIFS(PerHeadcount[Month 36],PerHeadcount[exp_item],$H1292,PerHeadcount[company_name],$B1292)*AU242)</f>
        <v>0</v>
      </c>
    </row>
    <row r="1293" spans="2:47" x14ac:dyDescent="0.35">
      <c r="B1293" t="str">
        <f t="shared" si="916"/>
        <v/>
      </c>
      <c r="C1293" t="str">
        <f t="shared" ref="C1293:G1293" si="941">IF(C1188="","",C1188)</f>
        <v/>
      </c>
      <c r="D1293" t="str">
        <f t="shared" si="941"/>
        <v/>
      </c>
      <c r="E1293" t="str">
        <f t="shared" si="941"/>
        <v/>
      </c>
      <c r="F1293" t="str">
        <f t="shared" si="941"/>
        <v/>
      </c>
      <c r="G1293" t="str">
        <f t="shared" si="941"/>
        <v/>
      </c>
      <c r="H1293" t="str">
        <f t="shared" si="915"/>
        <v/>
      </c>
      <c r="J1293" t="str">
        <f>IF($H1293="","",IF(VLOOKUP(H1293,ExpItems[],2,0),H1293&amp;" - "&amp;INDEX(DivisionMapping[category_code],MATCH($D1293&amp;$C1293,DivisionMapping[dept_bu],0)),H1293))</f>
        <v/>
      </c>
      <c r="K1293" t="str">
        <f t="shared" si="883"/>
        <v/>
      </c>
      <c r="L1293" s="652">
        <f>IF($B1293="",,SUMIFS(PerHeadcount[Month 1],PerHeadcount[exp_item],$H1293,PerHeadcount[company_name],$B1293)*L243)</f>
        <v>0</v>
      </c>
      <c r="M1293" s="652">
        <f>IF($B1293="",,SUMIFS(PerHeadcount[Month 2],PerHeadcount[exp_item],$H1293,PerHeadcount[company_name],$B1293)*M243)</f>
        <v>0</v>
      </c>
      <c r="N1293" s="652">
        <f>IF($B1293="",,SUMIFS(PerHeadcount[Month 3],PerHeadcount[exp_item],$H1293,PerHeadcount[company_name],$B1293)*N243)</f>
        <v>0</v>
      </c>
      <c r="O1293" s="652">
        <f>IF($B1293="",,SUMIFS(PerHeadcount[Month 4],PerHeadcount[exp_item],$H1293,PerHeadcount[company_name],$B1293)*O243)</f>
        <v>0</v>
      </c>
      <c r="P1293" s="652">
        <f>IF($B1293="",,SUMIFS(PerHeadcount[Month 5],PerHeadcount[exp_item],$H1293,PerHeadcount[company_name],$B1293)*P243)</f>
        <v>0</v>
      </c>
      <c r="Q1293" s="652">
        <f>IF($B1293="",,SUMIFS(PerHeadcount[Month 6],PerHeadcount[exp_item],$H1293,PerHeadcount[company_name],$B1293)*Q243)</f>
        <v>0</v>
      </c>
      <c r="R1293" s="652">
        <f>IF($B1293="",,SUMIFS(PerHeadcount[Month 7],PerHeadcount[exp_item],$H1293,PerHeadcount[company_name],$B1293)*R243)</f>
        <v>0</v>
      </c>
      <c r="S1293" s="652">
        <f>IF($B1293="",,SUMIFS(PerHeadcount[Month 8],PerHeadcount[exp_item],$H1293,PerHeadcount[company_name],$B1293)*S243)</f>
        <v>0</v>
      </c>
      <c r="T1293" s="652">
        <f>IF($B1293="",,SUMIFS(PerHeadcount[Month 9],PerHeadcount[exp_item],$H1293,PerHeadcount[company_name],$B1293)*T243)</f>
        <v>0</v>
      </c>
      <c r="U1293" s="652">
        <f>IF($B1293="",,SUMIFS(PerHeadcount[Month 10],PerHeadcount[exp_item],$H1293,PerHeadcount[company_name],$B1293)*U243)</f>
        <v>0</v>
      </c>
      <c r="V1293" s="652">
        <f>IF($B1293="",,SUMIFS(PerHeadcount[Month 11],PerHeadcount[exp_item],$H1293,PerHeadcount[company_name],$B1293)*V243)</f>
        <v>0</v>
      </c>
      <c r="W1293" s="652">
        <f>IF($B1293="",,SUMIFS(PerHeadcount[Month 12],PerHeadcount[exp_item],$H1293,PerHeadcount[company_name],$B1293)*W243)</f>
        <v>0</v>
      </c>
      <c r="X1293" s="652">
        <f>IF($B1293="",,SUMIFS(PerHeadcount[Month 13],PerHeadcount[exp_item],$H1293,PerHeadcount[company_name],$B1293)*X243)</f>
        <v>0</v>
      </c>
      <c r="Y1293" s="652">
        <f>IF($B1293="",,SUMIFS(PerHeadcount[Month 14],PerHeadcount[exp_item],$H1293,PerHeadcount[company_name],$B1293)*Y243)</f>
        <v>0</v>
      </c>
      <c r="Z1293" s="652">
        <f>IF($B1293="",,SUMIFS(PerHeadcount[Month 15],PerHeadcount[exp_item],$H1293,PerHeadcount[company_name],$B1293)*Z243)</f>
        <v>0</v>
      </c>
      <c r="AA1293" s="652">
        <f>IF($B1293="",,SUMIFS(PerHeadcount[Month 16],PerHeadcount[exp_item],$H1293,PerHeadcount[company_name],$B1293)*AA243)</f>
        <v>0</v>
      </c>
      <c r="AB1293" s="652">
        <f>IF($B1293="",,SUMIFS(PerHeadcount[Month 17],PerHeadcount[exp_item],$H1293,PerHeadcount[company_name],$B1293)*AB243)</f>
        <v>0</v>
      </c>
      <c r="AC1293" s="652">
        <f>IF($B1293="",,SUMIFS(PerHeadcount[Month 18],PerHeadcount[exp_item],$H1293,PerHeadcount[company_name],$B1293)*AC243)</f>
        <v>0</v>
      </c>
      <c r="AD1293" s="652">
        <f>IF($B1293="",,SUMIFS(PerHeadcount[Month 19],PerHeadcount[exp_item],$H1293,PerHeadcount[company_name],$B1293)*AD243)</f>
        <v>0</v>
      </c>
      <c r="AE1293" s="652">
        <f>IF($B1293="",,SUMIFS(PerHeadcount[Month 20],PerHeadcount[exp_item],$H1293,PerHeadcount[company_name],$B1293)*AE243)</f>
        <v>0</v>
      </c>
      <c r="AF1293" s="652">
        <f>IF($B1293="",,SUMIFS(PerHeadcount[Month 21],PerHeadcount[exp_item],$H1293,PerHeadcount[company_name],$B1293)*AF243)</f>
        <v>0</v>
      </c>
      <c r="AG1293" s="652">
        <f>IF($B1293="",,SUMIFS(PerHeadcount[Month 22],PerHeadcount[exp_item],$H1293,PerHeadcount[company_name],$B1293)*AG243)</f>
        <v>0</v>
      </c>
      <c r="AH1293" s="652">
        <f>IF($B1293="",,SUMIFS(PerHeadcount[Month 23],PerHeadcount[exp_item],$H1293,PerHeadcount[company_name],$B1293)*AH243)</f>
        <v>0</v>
      </c>
      <c r="AI1293" s="652">
        <f>IF($B1293="",,SUMIFS(PerHeadcount[Month 24],PerHeadcount[exp_item],$H1293,PerHeadcount[company_name],$B1293)*AI243)</f>
        <v>0</v>
      </c>
      <c r="AJ1293" s="652">
        <f>IF($B1293="",,SUMIFS(PerHeadcount[Month 25],PerHeadcount[exp_item],$H1293,PerHeadcount[company_name],$B1293)*AJ243)</f>
        <v>0</v>
      </c>
      <c r="AK1293" s="652">
        <f>IF($B1293="",,SUMIFS(PerHeadcount[Month 26],PerHeadcount[exp_item],$H1293,PerHeadcount[company_name],$B1293)*AK243)</f>
        <v>0</v>
      </c>
      <c r="AL1293" s="652">
        <f>IF($B1293="",,SUMIFS(PerHeadcount[Month 27],PerHeadcount[exp_item],$H1293,PerHeadcount[company_name],$B1293)*AL243)</f>
        <v>0</v>
      </c>
      <c r="AM1293" s="652">
        <f>IF($B1293="",,SUMIFS(PerHeadcount[Month 28],PerHeadcount[exp_item],$H1293,PerHeadcount[company_name],$B1293)*AM243)</f>
        <v>0</v>
      </c>
      <c r="AN1293" s="652">
        <f>IF($B1293="",,SUMIFS(PerHeadcount[Month 29],PerHeadcount[exp_item],$H1293,PerHeadcount[company_name],$B1293)*AN243)</f>
        <v>0</v>
      </c>
      <c r="AO1293" s="652">
        <f>IF($B1293="",,SUMIFS(PerHeadcount[Month 30],PerHeadcount[exp_item],$H1293,PerHeadcount[company_name],$B1293)*AO243)</f>
        <v>0</v>
      </c>
      <c r="AP1293" s="652">
        <f>IF($B1293="",,SUMIFS(PerHeadcount[Month 31],PerHeadcount[exp_item],$H1293,PerHeadcount[company_name],$B1293)*AP243)</f>
        <v>0</v>
      </c>
      <c r="AQ1293" s="652">
        <f>IF($B1293="",,SUMIFS(PerHeadcount[Month 32],PerHeadcount[exp_item],$H1293,PerHeadcount[company_name],$B1293)*AQ243)</f>
        <v>0</v>
      </c>
      <c r="AR1293" s="652">
        <f>IF($B1293="",,SUMIFS(PerHeadcount[Month 33],PerHeadcount[exp_item],$H1293,PerHeadcount[company_name],$B1293)*AR243)</f>
        <v>0</v>
      </c>
      <c r="AS1293" s="652">
        <f>IF($B1293="",,SUMIFS(PerHeadcount[Month 34],PerHeadcount[exp_item],$H1293,PerHeadcount[company_name],$B1293)*AS243)</f>
        <v>0</v>
      </c>
      <c r="AT1293" s="652">
        <f>IF($B1293="",,SUMIFS(PerHeadcount[Month 35],PerHeadcount[exp_item],$H1293,PerHeadcount[company_name],$B1293)*AT243)</f>
        <v>0</v>
      </c>
      <c r="AU1293" s="652">
        <f>IF($B1293="",,SUMIFS(PerHeadcount[Month 36],PerHeadcount[exp_item],$H1293,PerHeadcount[company_name],$B1293)*AU243)</f>
        <v>0</v>
      </c>
    </row>
    <row r="1294" spans="2:47" x14ac:dyDescent="0.35">
      <c r="B1294" t="str">
        <f t="shared" si="916"/>
        <v/>
      </c>
      <c r="C1294" t="str">
        <f t="shared" ref="C1294:G1294" si="942">IF(C1189="","",C1189)</f>
        <v/>
      </c>
      <c r="D1294" t="str">
        <f t="shared" si="942"/>
        <v/>
      </c>
      <c r="E1294" t="str">
        <f t="shared" si="942"/>
        <v/>
      </c>
      <c r="F1294" t="str">
        <f t="shared" si="942"/>
        <v/>
      </c>
      <c r="G1294" t="str">
        <f t="shared" si="942"/>
        <v/>
      </c>
      <c r="H1294" t="str">
        <f t="shared" si="915"/>
        <v/>
      </c>
      <c r="J1294" t="str">
        <f>IF($H1294="","",IF(VLOOKUP(H1294,ExpItems[],2,0),H1294&amp;" - "&amp;INDEX(DivisionMapping[category_code],MATCH($D1294&amp;$C1294,DivisionMapping[dept_bu],0)),H1294))</f>
        <v/>
      </c>
      <c r="K1294" t="str">
        <f t="shared" si="883"/>
        <v/>
      </c>
      <c r="L1294" s="652">
        <f>IF($B1294="",,SUMIFS(PerHeadcount[Month 1],PerHeadcount[exp_item],$H1294,PerHeadcount[company_name],$B1294)*L244)</f>
        <v>0</v>
      </c>
      <c r="M1294" s="652">
        <f>IF($B1294="",,SUMIFS(PerHeadcount[Month 2],PerHeadcount[exp_item],$H1294,PerHeadcount[company_name],$B1294)*M244)</f>
        <v>0</v>
      </c>
      <c r="N1294" s="652">
        <f>IF($B1294="",,SUMIFS(PerHeadcount[Month 3],PerHeadcount[exp_item],$H1294,PerHeadcount[company_name],$B1294)*N244)</f>
        <v>0</v>
      </c>
      <c r="O1294" s="652">
        <f>IF($B1294="",,SUMIFS(PerHeadcount[Month 4],PerHeadcount[exp_item],$H1294,PerHeadcount[company_name],$B1294)*O244)</f>
        <v>0</v>
      </c>
      <c r="P1294" s="652">
        <f>IF($B1294="",,SUMIFS(PerHeadcount[Month 5],PerHeadcount[exp_item],$H1294,PerHeadcount[company_name],$B1294)*P244)</f>
        <v>0</v>
      </c>
      <c r="Q1294" s="652">
        <f>IF($B1294="",,SUMIFS(PerHeadcount[Month 6],PerHeadcount[exp_item],$H1294,PerHeadcount[company_name],$B1294)*Q244)</f>
        <v>0</v>
      </c>
      <c r="R1294" s="652">
        <f>IF($B1294="",,SUMIFS(PerHeadcount[Month 7],PerHeadcount[exp_item],$H1294,PerHeadcount[company_name],$B1294)*R244)</f>
        <v>0</v>
      </c>
      <c r="S1294" s="652">
        <f>IF($B1294="",,SUMIFS(PerHeadcount[Month 8],PerHeadcount[exp_item],$H1294,PerHeadcount[company_name],$B1294)*S244)</f>
        <v>0</v>
      </c>
      <c r="T1294" s="652">
        <f>IF($B1294="",,SUMIFS(PerHeadcount[Month 9],PerHeadcount[exp_item],$H1294,PerHeadcount[company_name],$B1294)*T244)</f>
        <v>0</v>
      </c>
      <c r="U1294" s="652">
        <f>IF($B1294="",,SUMIFS(PerHeadcount[Month 10],PerHeadcount[exp_item],$H1294,PerHeadcount[company_name],$B1294)*U244)</f>
        <v>0</v>
      </c>
      <c r="V1294" s="652">
        <f>IF($B1294="",,SUMIFS(PerHeadcount[Month 11],PerHeadcount[exp_item],$H1294,PerHeadcount[company_name],$B1294)*V244)</f>
        <v>0</v>
      </c>
      <c r="W1294" s="652">
        <f>IF($B1294="",,SUMIFS(PerHeadcount[Month 12],PerHeadcount[exp_item],$H1294,PerHeadcount[company_name],$B1294)*W244)</f>
        <v>0</v>
      </c>
      <c r="X1294" s="652">
        <f>IF($B1294="",,SUMIFS(PerHeadcount[Month 13],PerHeadcount[exp_item],$H1294,PerHeadcount[company_name],$B1294)*X244)</f>
        <v>0</v>
      </c>
      <c r="Y1294" s="652">
        <f>IF($B1294="",,SUMIFS(PerHeadcount[Month 14],PerHeadcount[exp_item],$H1294,PerHeadcount[company_name],$B1294)*Y244)</f>
        <v>0</v>
      </c>
      <c r="Z1294" s="652">
        <f>IF($B1294="",,SUMIFS(PerHeadcount[Month 15],PerHeadcount[exp_item],$H1294,PerHeadcount[company_name],$B1294)*Z244)</f>
        <v>0</v>
      </c>
      <c r="AA1294" s="652">
        <f>IF($B1294="",,SUMIFS(PerHeadcount[Month 16],PerHeadcount[exp_item],$H1294,PerHeadcount[company_name],$B1294)*AA244)</f>
        <v>0</v>
      </c>
      <c r="AB1294" s="652">
        <f>IF($B1294="",,SUMIFS(PerHeadcount[Month 17],PerHeadcount[exp_item],$H1294,PerHeadcount[company_name],$B1294)*AB244)</f>
        <v>0</v>
      </c>
      <c r="AC1294" s="652">
        <f>IF($B1294="",,SUMIFS(PerHeadcount[Month 18],PerHeadcount[exp_item],$H1294,PerHeadcount[company_name],$B1294)*AC244)</f>
        <v>0</v>
      </c>
      <c r="AD1294" s="652">
        <f>IF($B1294="",,SUMIFS(PerHeadcount[Month 19],PerHeadcount[exp_item],$H1294,PerHeadcount[company_name],$B1294)*AD244)</f>
        <v>0</v>
      </c>
      <c r="AE1294" s="652">
        <f>IF($B1294="",,SUMIFS(PerHeadcount[Month 20],PerHeadcount[exp_item],$H1294,PerHeadcount[company_name],$B1294)*AE244)</f>
        <v>0</v>
      </c>
      <c r="AF1294" s="652">
        <f>IF($B1294="",,SUMIFS(PerHeadcount[Month 21],PerHeadcount[exp_item],$H1294,PerHeadcount[company_name],$B1294)*AF244)</f>
        <v>0</v>
      </c>
      <c r="AG1294" s="652">
        <f>IF($B1294="",,SUMIFS(PerHeadcount[Month 22],PerHeadcount[exp_item],$H1294,PerHeadcount[company_name],$B1294)*AG244)</f>
        <v>0</v>
      </c>
      <c r="AH1294" s="652">
        <f>IF($B1294="",,SUMIFS(PerHeadcount[Month 23],PerHeadcount[exp_item],$H1294,PerHeadcount[company_name],$B1294)*AH244)</f>
        <v>0</v>
      </c>
      <c r="AI1294" s="652">
        <f>IF($B1294="",,SUMIFS(PerHeadcount[Month 24],PerHeadcount[exp_item],$H1294,PerHeadcount[company_name],$B1294)*AI244)</f>
        <v>0</v>
      </c>
      <c r="AJ1294" s="652">
        <f>IF($B1294="",,SUMIFS(PerHeadcount[Month 25],PerHeadcount[exp_item],$H1294,PerHeadcount[company_name],$B1294)*AJ244)</f>
        <v>0</v>
      </c>
      <c r="AK1294" s="652">
        <f>IF($B1294="",,SUMIFS(PerHeadcount[Month 26],PerHeadcount[exp_item],$H1294,PerHeadcount[company_name],$B1294)*AK244)</f>
        <v>0</v>
      </c>
      <c r="AL1294" s="652">
        <f>IF($B1294="",,SUMIFS(PerHeadcount[Month 27],PerHeadcount[exp_item],$H1294,PerHeadcount[company_name],$B1294)*AL244)</f>
        <v>0</v>
      </c>
      <c r="AM1294" s="652">
        <f>IF($B1294="",,SUMIFS(PerHeadcount[Month 28],PerHeadcount[exp_item],$H1294,PerHeadcount[company_name],$B1294)*AM244)</f>
        <v>0</v>
      </c>
      <c r="AN1294" s="652">
        <f>IF($B1294="",,SUMIFS(PerHeadcount[Month 29],PerHeadcount[exp_item],$H1294,PerHeadcount[company_name],$B1294)*AN244)</f>
        <v>0</v>
      </c>
      <c r="AO1294" s="652">
        <f>IF($B1294="",,SUMIFS(PerHeadcount[Month 30],PerHeadcount[exp_item],$H1294,PerHeadcount[company_name],$B1294)*AO244)</f>
        <v>0</v>
      </c>
      <c r="AP1294" s="652">
        <f>IF($B1294="",,SUMIFS(PerHeadcount[Month 31],PerHeadcount[exp_item],$H1294,PerHeadcount[company_name],$B1294)*AP244)</f>
        <v>0</v>
      </c>
      <c r="AQ1294" s="652">
        <f>IF($B1294="",,SUMIFS(PerHeadcount[Month 32],PerHeadcount[exp_item],$H1294,PerHeadcount[company_name],$B1294)*AQ244)</f>
        <v>0</v>
      </c>
      <c r="AR1294" s="652">
        <f>IF($B1294="",,SUMIFS(PerHeadcount[Month 33],PerHeadcount[exp_item],$H1294,PerHeadcount[company_name],$B1294)*AR244)</f>
        <v>0</v>
      </c>
      <c r="AS1294" s="652">
        <f>IF($B1294="",,SUMIFS(PerHeadcount[Month 34],PerHeadcount[exp_item],$H1294,PerHeadcount[company_name],$B1294)*AS244)</f>
        <v>0</v>
      </c>
      <c r="AT1294" s="652">
        <f>IF($B1294="",,SUMIFS(PerHeadcount[Month 35],PerHeadcount[exp_item],$H1294,PerHeadcount[company_name],$B1294)*AT244)</f>
        <v>0</v>
      </c>
      <c r="AU1294" s="652">
        <f>IF($B1294="",,SUMIFS(PerHeadcount[Month 36],PerHeadcount[exp_item],$H1294,PerHeadcount[company_name],$B1294)*AU244)</f>
        <v>0</v>
      </c>
    </row>
    <row r="1295" spans="2:47" x14ac:dyDescent="0.35">
      <c r="B1295" t="str">
        <f t="shared" si="916"/>
        <v/>
      </c>
      <c r="C1295" t="str">
        <f t="shared" ref="C1295:G1295" si="943">IF(C1190="","",C1190)</f>
        <v/>
      </c>
      <c r="D1295" t="str">
        <f t="shared" si="943"/>
        <v/>
      </c>
      <c r="E1295" t="str">
        <f t="shared" si="943"/>
        <v/>
      </c>
      <c r="F1295" t="str">
        <f t="shared" si="943"/>
        <v/>
      </c>
      <c r="G1295" t="str">
        <f t="shared" si="943"/>
        <v/>
      </c>
      <c r="H1295" t="str">
        <f t="shared" si="915"/>
        <v/>
      </c>
      <c r="J1295" t="str">
        <f>IF($H1295="","",IF(VLOOKUP(H1295,ExpItems[],2,0),H1295&amp;" - "&amp;INDEX(DivisionMapping[category_code],MATCH($D1295&amp;$C1295,DivisionMapping[dept_bu],0)),H1295))</f>
        <v/>
      </c>
      <c r="K1295" t="str">
        <f t="shared" si="883"/>
        <v/>
      </c>
      <c r="L1295" s="652">
        <f>IF($B1295="",,SUMIFS(PerHeadcount[Month 1],PerHeadcount[exp_item],$H1295,PerHeadcount[company_name],$B1295)*L245)</f>
        <v>0</v>
      </c>
      <c r="M1295" s="652">
        <f>IF($B1295="",,SUMIFS(PerHeadcount[Month 2],PerHeadcount[exp_item],$H1295,PerHeadcount[company_name],$B1295)*M245)</f>
        <v>0</v>
      </c>
      <c r="N1295" s="652">
        <f>IF($B1295="",,SUMIFS(PerHeadcount[Month 3],PerHeadcount[exp_item],$H1295,PerHeadcount[company_name],$B1295)*N245)</f>
        <v>0</v>
      </c>
      <c r="O1295" s="652">
        <f>IF($B1295="",,SUMIFS(PerHeadcount[Month 4],PerHeadcount[exp_item],$H1295,PerHeadcount[company_name],$B1295)*O245)</f>
        <v>0</v>
      </c>
      <c r="P1295" s="652">
        <f>IF($B1295="",,SUMIFS(PerHeadcount[Month 5],PerHeadcount[exp_item],$H1295,PerHeadcount[company_name],$B1295)*P245)</f>
        <v>0</v>
      </c>
      <c r="Q1295" s="652">
        <f>IF($B1295="",,SUMIFS(PerHeadcount[Month 6],PerHeadcount[exp_item],$H1295,PerHeadcount[company_name],$B1295)*Q245)</f>
        <v>0</v>
      </c>
      <c r="R1295" s="652">
        <f>IF($B1295="",,SUMIFS(PerHeadcount[Month 7],PerHeadcount[exp_item],$H1295,PerHeadcount[company_name],$B1295)*R245)</f>
        <v>0</v>
      </c>
      <c r="S1295" s="652">
        <f>IF($B1295="",,SUMIFS(PerHeadcount[Month 8],PerHeadcount[exp_item],$H1295,PerHeadcount[company_name],$B1295)*S245)</f>
        <v>0</v>
      </c>
      <c r="T1295" s="652">
        <f>IF($B1295="",,SUMIFS(PerHeadcount[Month 9],PerHeadcount[exp_item],$H1295,PerHeadcount[company_name],$B1295)*T245)</f>
        <v>0</v>
      </c>
      <c r="U1295" s="652">
        <f>IF($B1295="",,SUMIFS(PerHeadcount[Month 10],PerHeadcount[exp_item],$H1295,PerHeadcount[company_name],$B1295)*U245)</f>
        <v>0</v>
      </c>
      <c r="V1295" s="652">
        <f>IF($B1295="",,SUMIFS(PerHeadcount[Month 11],PerHeadcount[exp_item],$H1295,PerHeadcount[company_name],$B1295)*V245)</f>
        <v>0</v>
      </c>
      <c r="W1295" s="652">
        <f>IF($B1295="",,SUMIFS(PerHeadcount[Month 12],PerHeadcount[exp_item],$H1295,PerHeadcount[company_name],$B1295)*W245)</f>
        <v>0</v>
      </c>
      <c r="X1295" s="652">
        <f>IF($B1295="",,SUMIFS(PerHeadcount[Month 13],PerHeadcount[exp_item],$H1295,PerHeadcount[company_name],$B1295)*X245)</f>
        <v>0</v>
      </c>
      <c r="Y1295" s="652">
        <f>IF($B1295="",,SUMIFS(PerHeadcount[Month 14],PerHeadcount[exp_item],$H1295,PerHeadcount[company_name],$B1295)*Y245)</f>
        <v>0</v>
      </c>
      <c r="Z1295" s="652">
        <f>IF($B1295="",,SUMIFS(PerHeadcount[Month 15],PerHeadcount[exp_item],$H1295,PerHeadcount[company_name],$B1295)*Z245)</f>
        <v>0</v>
      </c>
      <c r="AA1295" s="652">
        <f>IF($B1295="",,SUMIFS(PerHeadcount[Month 16],PerHeadcount[exp_item],$H1295,PerHeadcount[company_name],$B1295)*AA245)</f>
        <v>0</v>
      </c>
      <c r="AB1295" s="652">
        <f>IF($B1295="",,SUMIFS(PerHeadcount[Month 17],PerHeadcount[exp_item],$H1295,PerHeadcount[company_name],$B1295)*AB245)</f>
        <v>0</v>
      </c>
      <c r="AC1295" s="652">
        <f>IF($B1295="",,SUMIFS(PerHeadcount[Month 18],PerHeadcount[exp_item],$H1295,PerHeadcount[company_name],$B1295)*AC245)</f>
        <v>0</v>
      </c>
      <c r="AD1295" s="652">
        <f>IF($B1295="",,SUMIFS(PerHeadcount[Month 19],PerHeadcount[exp_item],$H1295,PerHeadcount[company_name],$B1295)*AD245)</f>
        <v>0</v>
      </c>
      <c r="AE1295" s="652">
        <f>IF($B1295="",,SUMIFS(PerHeadcount[Month 20],PerHeadcount[exp_item],$H1295,PerHeadcount[company_name],$B1295)*AE245)</f>
        <v>0</v>
      </c>
      <c r="AF1295" s="652">
        <f>IF($B1295="",,SUMIFS(PerHeadcount[Month 21],PerHeadcount[exp_item],$H1295,PerHeadcount[company_name],$B1295)*AF245)</f>
        <v>0</v>
      </c>
      <c r="AG1295" s="652">
        <f>IF($B1295="",,SUMIFS(PerHeadcount[Month 22],PerHeadcount[exp_item],$H1295,PerHeadcount[company_name],$B1295)*AG245)</f>
        <v>0</v>
      </c>
      <c r="AH1295" s="652">
        <f>IF($B1295="",,SUMIFS(PerHeadcount[Month 23],PerHeadcount[exp_item],$H1295,PerHeadcount[company_name],$B1295)*AH245)</f>
        <v>0</v>
      </c>
      <c r="AI1295" s="652">
        <f>IF($B1295="",,SUMIFS(PerHeadcount[Month 24],PerHeadcount[exp_item],$H1295,PerHeadcount[company_name],$B1295)*AI245)</f>
        <v>0</v>
      </c>
      <c r="AJ1295" s="652">
        <f>IF($B1295="",,SUMIFS(PerHeadcount[Month 25],PerHeadcount[exp_item],$H1295,PerHeadcount[company_name],$B1295)*AJ245)</f>
        <v>0</v>
      </c>
      <c r="AK1295" s="652">
        <f>IF($B1295="",,SUMIFS(PerHeadcount[Month 26],PerHeadcount[exp_item],$H1295,PerHeadcount[company_name],$B1295)*AK245)</f>
        <v>0</v>
      </c>
      <c r="AL1295" s="652">
        <f>IF($B1295="",,SUMIFS(PerHeadcount[Month 27],PerHeadcount[exp_item],$H1295,PerHeadcount[company_name],$B1295)*AL245)</f>
        <v>0</v>
      </c>
      <c r="AM1295" s="652">
        <f>IF($B1295="",,SUMIFS(PerHeadcount[Month 28],PerHeadcount[exp_item],$H1295,PerHeadcount[company_name],$B1295)*AM245)</f>
        <v>0</v>
      </c>
      <c r="AN1295" s="652">
        <f>IF($B1295="",,SUMIFS(PerHeadcount[Month 29],PerHeadcount[exp_item],$H1295,PerHeadcount[company_name],$B1295)*AN245)</f>
        <v>0</v>
      </c>
      <c r="AO1295" s="652">
        <f>IF($B1295="",,SUMIFS(PerHeadcount[Month 30],PerHeadcount[exp_item],$H1295,PerHeadcount[company_name],$B1295)*AO245)</f>
        <v>0</v>
      </c>
      <c r="AP1295" s="652">
        <f>IF($B1295="",,SUMIFS(PerHeadcount[Month 31],PerHeadcount[exp_item],$H1295,PerHeadcount[company_name],$B1295)*AP245)</f>
        <v>0</v>
      </c>
      <c r="AQ1295" s="652">
        <f>IF($B1295="",,SUMIFS(PerHeadcount[Month 32],PerHeadcount[exp_item],$H1295,PerHeadcount[company_name],$B1295)*AQ245)</f>
        <v>0</v>
      </c>
      <c r="AR1295" s="652">
        <f>IF($B1295="",,SUMIFS(PerHeadcount[Month 33],PerHeadcount[exp_item],$H1295,PerHeadcount[company_name],$B1295)*AR245)</f>
        <v>0</v>
      </c>
      <c r="AS1295" s="652">
        <f>IF($B1295="",,SUMIFS(PerHeadcount[Month 34],PerHeadcount[exp_item],$H1295,PerHeadcount[company_name],$B1295)*AS245)</f>
        <v>0</v>
      </c>
      <c r="AT1295" s="652">
        <f>IF($B1295="",,SUMIFS(PerHeadcount[Month 35],PerHeadcount[exp_item],$H1295,PerHeadcount[company_name],$B1295)*AT245)</f>
        <v>0</v>
      </c>
      <c r="AU1295" s="652">
        <f>IF($B1295="",,SUMIFS(PerHeadcount[Month 36],PerHeadcount[exp_item],$H1295,PerHeadcount[company_name],$B1295)*AU245)</f>
        <v>0</v>
      </c>
    </row>
    <row r="1296" spans="2:47" x14ac:dyDescent="0.35">
      <c r="B1296" t="str">
        <f t="shared" si="916"/>
        <v/>
      </c>
      <c r="C1296" t="str">
        <f t="shared" ref="C1296:G1296" si="944">IF(C1191="","",C1191)</f>
        <v/>
      </c>
      <c r="D1296" t="str">
        <f t="shared" si="944"/>
        <v/>
      </c>
      <c r="E1296" t="str">
        <f t="shared" si="944"/>
        <v/>
      </c>
      <c r="F1296" t="str">
        <f t="shared" si="944"/>
        <v/>
      </c>
      <c r="G1296" t="str">
        <f t="shared" si="944"/>
        <v/>
      </c>
      <c r="H1296" t="str">
        <f t="shared" si="915"/>
        <v/>
      </c>
      <c r="J1296" t="str">
        <f>IF($H1296="","",IF(VLOOKUP(H1296,ExpItems[],2,0),H1296&amp;" - "&amp;INDEX(DivisionMapping[category_code],MATCH($D1296&amp;$C1296,DivisionMapping[dept_bu],0)),H1296))</f>
        <v/>
      </c>
      <c r="K1296" t="str">
        <f t="shared" si="883"/>
        <v/>
      </c>
      <c r="L1296" s="652">
        <f>IF($B1296="",,SUMIFS(PerHeadcount[Month 1],PerHeadcount[exp_item],$H1296,PerHeadcount[company_name],$B1296)*L246)</f>
        <v>0</v>
      </c>
      <c r="M1296" s="652">
        <f>IF($B1296="",,SUMIFS(PerHeadcount[Month 2],PerHeadcount[exp_item],$H1296,PerHeadcount[company_name],$B1296)*M246)</f>
        <v>0</v>
      </c>
      <c r="N1296" s="652">
        <f>IF($B1296="",,SUMIFS(PerHeadcount[Month 3],PerHeadcount[exp_item],$H1296,PerHeadcount[company_name],$B1296)*N246)</f>
        <v>0</v>
      </c>
      <c r="O1296" s="652">
        <f>IF($B1296="",,SUMIFS(PerHeadcount[Month 4],PerHeadcount[exp_item],$H1296,PerHeadcount[company_name],$B1296)*O246)</f>
        <v>0</v>
      </c>
      <c r="P1296" s="652">
        <f>IF($B1296="",,SUMIFS(PerHeadcount[Month 5],PerHeadcount[exp_item],$H1296,PerHeadcount[company_name],$B1296)*P246)</f>
        <v>0</v>
      </c>
      <c r="Q1296" s="652">
        <f>IF($B1296="",,SUMIFS(PerHeadcount[Month 6],PerHeadcount[exp_item],$H1296,PerHeadcount[company_name],$B1296)*Q246)</f>
        <v>0</v>
      </c>
      <c r="R1296" s="652">
        <f>IF($B1296="",,SUMIFS(PerHeadcount[Month 7],PerHeadcount[exp_item],$H1296,PerHeadcount[company_name],$B1296)*R246)</f>
        <v>0</v>
      </c>
      <c r="S1296" s="652">
        <f>IF($B1296="",,SUMIFS(PerHeadcount[Month 8],PerHeadcount[exp_item],$H1296,PerHeadcount[company_name],$B1296)*S246)</f>
        <v>0</v>
      </c>
      <c r="T1296" s="652">
        <f>IF($B1296="",,SUMIFS(PerHeadcount[Month 9],PerHeadcount[exp_item],$H1296,PerHeadcount[company_name],$B1296)*T246)</f>
        <v>0</v>
      </c>
      <c r="U1296" s="652">
        <f>IF($B1296="",,SUMIFS(PerHeadcount[Month 10],PerHeadcount[exp_item],$H1296,PerHeadcount[company_name],$B1296)*U246)</f>
        <v>0</v>
      </c>
      <c r="V1296" s="652">
        <f>IF($B1296="",,SUMIFS(PerHeadcount[Month 11],PerHeadcount[exp_item],$H1296,PerHeadcount[company_name],$B1296)*V246)</f>
        <v>0</v>
      </c>
      <c r="W1296" s="652">
        <f>IF($B1296="",,SUMIFS(PerHeadcount[Month 12],PerHeadcount[exp_item],$H1296,PerHeadcount[company_name],$B1296)*W246)</f>
        <v>0</v>
      </c>
      <c r="X1296" s="652">
        <f>IF($B1296="",,SUMIFS(PerHeadcount[Month 13],PerHeadcount[exp_item],$H1296,PerHeadcount[company_name],$B1296)*X246)</f>
        <v>0</v>
      </c>
      <c r="Y1296" s="652">
        <f>IF($B1296="",,SUMIFS(PerHeadcount[Month 14],PerHeadcount[exp_item],$H1296,PerHeadcount[company_name],$B1296)*Y246)</f>
        <v>0</v>
      </c>
      <c r="Z1296" s="652">
        <f>IF($B1296="",,SUMIFS(PerHeadcount[Month 15],PerHeadcount[exp_item],$H1296,PerHeadcount[company_name],$B1296)*Z246)</f>
        <v>0</v>
      </c>
      <c r="AA1296" s="652">
        <f>IF($B1296="",,SUMIFS(PerHeadcount[Month 16],PerHeadcount[exp_item],$H1296,PerHeadcount[company_name],$B1296)*AA246)</f>
        <v>0</v>
      </c>
      <c r="AB1296" s="652">
        <f>IF($B1296="",,SUMIFS(PerHeadcount[Month 17],PerHeadcount[exp_item],$H1296,PerHeadcount[company_name],$B1296)*AB246)</f>
        <v>0</v>
      </c>
      <c r="AC1296" s="652">
        <f>IF($B1296="",,SUMIFS(PerHeadcount[Month 18],PerHeadcount[exp_item],$H1296,PerHeadcount[company_name],$B1296)*AC246)</f>
        <v>0</v>
      </c>
      <c r="AD1296" s="652">
        <f>IF($B1296="",,SUMIFS(PerHeadcount[Month 19],PerHeadcount[exp_item],$H1296,PerHeadcount[company_name],$B1296)*AD246)</f>
        <v>0</v>
      </c>
      <c r="AE1296" s="652">
        <f>IF($B1296="",,SUMIFS(PerHeadcount[Month 20],PerHeadcount[exp_item],$H1296,PerHeadcount[company_name],$B1296)*AE246)</f>
        <v>0</v>
      </c>
      <c r="AF1296" s="652">
        <f>IF($B1296="",,SUMIFS(PerHeadcount[Month 21],PerHeadcount[exp_item],$H1296,PerHeadcount[company_name],$B1296)*AF246)</f>
        <v>0</v>
      </c>
      <c r="AG1296" s="652">
        <f>IF($B1296="",,SUMIFS(PerHeadcount[Month 22],PerHeadcount[exp_item],$H1296,PerHeadcount[company_name],$B1296)*AG246)</f>
        <v>0</v>
      </c>
      <c r="AH1296" s="652">
        <f>IF($B1296="",,SUMIFS(PerHeadcount[Month 23],PerHeadcount[exp_item],$H1296,PerHeadcount[company_name],$B1296)*AH246)</f>
        <v>0</v>
      </c>
      <c r="AI1296" s="652">
        <f>IF($B1296="",,SUMIFS(PerHeadcount[Month 24],PerHeadcount[exp_item],$H1296,PerHeadcount[company_name],$B1296)*AI246)</f>
        <v>0</v>
      </c>
      <c r="AJ1296" s="652">
        <f>IF($B1296="",,SUMIFS(PerHeadcount[Month 25],PerHeadcount[exp_item],$H1296,PerHeadcount[company_name],$B1296)*AJ246)</f>
        <v>0</v>
      </c>
      <c r="AK1296" s="652">
        <f>IF($B1296="",,SUMIFS(PerHeadcount[Month 26],PerHeadcount[exp_item],$H1296,PerHeadcount[company_name],$B1296)*AK246)</f>
        <v>0</v>
      </c>
      <c r="AL1296" s="652">
        <f>IF($B1296="",,SUMIFS(PerHeadcount[Month 27],PerHeadcount[exp_item],$H1296,PerHeadcount[company_name],$B1296)*AL246)</f>
        <v>0</v>
      </c>
      <c r="AM1296" s="652">
        <f>IF($B1296="",,SUMIFS(PerHeadcount[Month 28],PerHeadcount[exp_item],$H1296,PerHeadcount[company_name],$B1296)*AM246)</f>
        <v>0</v>
      </c>
      <c r="AN1296" s="652">
        <f>IF($B1296="",,SUMIFS(PerHeadcount[Month 29],PerHeadcount[exp_item],$H1296,PerHeadcount[company_name],$B1296)*AN246)</f>
        <v>0</v>
      </c>
      <c r="AO1296" s="652">
        <f>IF($B1296="",,SUMIFS(PerHeadcount[Month 30],PerHeadcount[exp_item],$H1296,PerHeadcount[company_name],$B1296)*AO246)</f>
        <v>0</v>
      </c>
      <c r="AP1296" s="652">
        <f>IF($B1296="",,SUMIFS(PerHeadcount[Month 31],PerHeadcount[exp_item],$H1296,PerHeadcount[company_name],$B1296)*AP246)</f>
        <v>0</v>
      </c>
      <c r="AQ1296" s="652">
        <f>IF($B1296="",,SUMIFS(PerHeadcount[Month 32],PerHeadcount[exp_item],$H1296,PerHeadcount[company_name],$B1296)*AQ246)</f>
        <v>0</v>
      </c>
      <c r="AR1296" s="652">
        <f>IF($B1296="",,SUMIFS(PerHeadcount[Month 33],PerHeadcount[exp_item],$H1296,PerHeadcount[company_name],$B1296)*AR246)</f>
        <v>0</v>
      </c>
      <c r="AS1296" s="652">
        <f>IF($B1296="",,SUMIFS(PerHeadcount[Month 34],PerHeadcount[exp_item],$H1296,PerHeadcount[company_name],$B1296)*AS246)</f>
        <v>0</v>
      </c>
      <c r="AT1296" s="652">
        <f>IF($B1296="",,SUMIFS(PerHeadcount[Month 35],PerHeadcount[exp_item],$H1296,PerHeadcount[company_name],$B1296)*AT246)</f>
        <v>0</v>
      </c>
      <c r="AU1296" s="652">
        <f>IF($B1296="",,SUMIFS(PerHeadcount[Month 36],PerHeadcount[exp_item],$H1296,PerHeadcount[company_name],$B1296)*AU246)</f>
        <v>0</v>
      </c>
    </row>
    <row r="1297" spans="2:47" x14ac:dyDescent="0.35">
      <c r="B1297" t="str">
        <f t="shared" si="916"/>
        <v/>
      </c>
      <c r="C1297" t="str">
        <f t="shared" ref="C1297:G1297" si="945">IF(C1192="","",C1192)</f>
        <v/>
      </c>
      <c r="D1297" t="str">
        <f t="shared" si="945"/>
        <v/>
      </c>
      <c r="E1297" t="str">
        <f t="shared" si="945"/>
        <v/>
      </c>
      <c r="F1297" t="str">
        <f t="shared" si="945"/>
        <v/>
      </c>
      <c r="G1297" t="str">
        <f t="shared" si="945"/>
        <v/>
      </c>
      <c r="H1297" t="str">
        <f t="shared" si="915"/>
        <v/>
      </c>
      <c r="J1297" t="str">
        <f>IF($H1297="","",IF(VLOOKUP(H1297,ExpItems[],2,0),H1297&amp;" - "&amp;INDEX(DivisionMapping[category_code],MATCH($D1297&amp;$C1297,DivisionMapping[dept_bu],0)),H1297))</f>
        <v/>
      </c>
      <c r="K1297" t="str">
        <f t="shared" si="883"/>
        <v/>
      </c>
      <c r="L1297" s="652">
        <f>IF($B1297="",,SUMIFS(PerHeadcount[Month 1],PerHeadcount[exp_item],$H1297,PerHeadcount[company_name],$B1297)*L247)</f>
        <v>0</v>
      </c>
      <c r="M1297" s="652">
        <f>IF($B1297="",,SUMIFS(PerHeadcount[Month 2],PerHeadcount[exp_item],$H1297,PerHeadcount[company_name],$B1297)*M247)</f>
        <v>0</v>
      </c>
      <c r="N1297" s="652">
        <f>IF($B1297="",,SUMIFS(PerHeadcount[Month 3],PerHeadcount[exp_item],$H1297,PerHeadcount[company_name],$B1297)*N247)</f>
        <v>0</v>
      </c>
      <c r="O1297" s="652">
        <f>IF($B1297="",,SUMIFS(PerHeadcount[Month 4],PerHeadcount[exp_item],$H1297,PerHeadcount[company_name],$B1297)*O247)</f>
        <v>0</v>
      </c>
      <c r="P1297" s="652">
        <f>IF($B1297="",,SUMIFS(PerHeadcount[Month 5],PerHeadcount[exp_item],$H1297,PerHeadcount[company_name],$B1297)*P247)</f>
        <v>0</v>
      </c>
      <c r="Q1297" s="652">
        <f>IF($B1297="",,SUMIFS(PerHeadcount[Month 6],PerHeadcount[exp_item],$H1297,PerHeadcount[company_name],$B1297)*Q247)</f>
        <v>0</v>
      </c>
      <c r="R1297" s="652">
        <f>IF($B1297="",,SUMIFS(PerHeadcount[Month 7],PerHeadcount[exp_item],$H1297,PerHeadcount[company_name],$B1297)*R247)</f>
        <v>0</v>
      </c>
      <c r="S1297" s="652">
        <f>IF($B1297="",,SUMIFS(PerHeadcount[Month 8],PerHeadcount[exp_item],$H1297,PerHeadcount[company_name],$B1297)*S247)</f>
        <v>0</v>
      </c>
      <c r="T1297" s="652">
        <f>IF($B1297="",,SUMIFS(PerHeadcount[Month 9],PerHeadcount[exp_item],$H1297,PerHeadcount[company_name],$B1297)*T247)</f>
        <v>0</v>
      </c>
      <c r="U1297" s="652">
        <f>IF($B1297="",,SUMIFS(PerHeadcount[Month 10],PerHeadcount[exp_item],$H1297,PerHeadcount[company_name],$B1297)*U247)</f>
        <v>0</v>
      </c>
      <c r="V1297" s="652">
        <f>IF($B1297="",,SUMIFS(PerHeadcount[Month 11],PerHeadcount[exp_item],$H1297,PerHeadcount[company_name],$B1297)*V247)</f>
        <v>0</v>
      </c>
      <c r="W1297" s="652">
        <f>IF($B1297="",,SUMIFS(PerHeadcount[Month 12],PerHeadcount[exp_item],$H1297,PerHeadcount[company_name],$B1297)*W247)</f>
        <v>0</v>
      </c>
      <c r="X1297" s="652">
        <f>IF($B1297="",,SUMIFS(PerHeadcount[Month 13],PerHeadcount[exp_item],$H1297,PerHeadcount[company_name],$B1297)*X247)</f>
        <v>0</v>
      </c>
      <c r="Y1297" s="652">
        <f>IF($B1297="",,SUMIFS(PerHeadcount[Month 14],PerHeadcount[exp_item],$H1297,PerHeadcount[company_name],$B1297)*Y247)</f>
        <v>0</v>
      </c>
      <c r="Z1297" s="652">
        <f>IF($B1297="",,SUMIFS(PerHeadcount[Month 15],PerHeadcount[exp_item],$H1297,PerHeadcount[company_name],$B1297)*Z247)</f>
        <v>0</v>
      </c>
      <c r="AA1297" s="652">
        <f>IF($B1297="",,SUMIFS(PerHeadcount[Month 16],PerHeadcount[exp_item],$H1297,PerHeadcount[company_name],$B1297)*AA247)</f>
        <v>0</v>
      </c>
      <c r="AB1297" s="652">
        <f>IF($B1297="",,SUMIFS(PerHeadcount[Month 17],PerHeadcount[exp_item],$H1297,PerHeadcount[company_name],$B1297)*AB247)</f>
        <v>0</v>
      </c>
      <c r="AC1297" s="652">
        <f>IF($B1297="",,SUMIFS(PerHeadcount[Month 18],PerHeadcount[exp_item],$H1297,PerHeadcount[company_name],$B1297)*AC247)</f>
        <v>0</v>
      </c>
      <c r="AD1297" s="652">
        <f>IF($B1297="",,SUMIFS(PerHeadcount[Month 19],PerHeadcount[exp_item],$H1297,PerHeadcount[company_name],$B1297)*AD247)</f>
        <v>0</v>
      </c>
      <c r="AE1297" s="652">
        <f>IF($B1297="",,SUMIFS(PerHeadcount[Month 20],PerHeadcount[exp_item],$H1297,PerHeadcount[company_name],$B1297)*AE247)</f>
        <v>0</v>
      </c>
      <c r="AF1297" s="652">
        <f>IF($B1297="",,SUMIFS(PerHeadcount[Month 21],PerHeadcount[exp_item],$H1297,PerHeadcount[company_name],$B1297)*AF247)</f>
        <v>0</v>
      </c>
      <c r="AG1297" s="652">
        <f>IF($B1297="",,SUMIFS(PerHeadcount[Month 22],PerHeadcount[exp_item],$H1297,PerHeadcount[company_name],$B1297)*AG247)</f>
        <v>0</v>
      </c>
      <c r="AH1297" s="652">
        <f>IF($B1297="",,SUMIFS(PerHeadcount[Month 23],PerHeadcount[exp_item],$H1297,PerHeadcount[company_name],$B1297)*AH247)</f>
        <v>0</v>
      </c>
      <c r="AI1297" s="652">
        <f>IF($B1297="",,SUMIFS(PerHeadcount[Month 24],PerHeadcount[exp_item],$H1297,PerHeadcount[company_name],$B1297)*AI247)</f>
        <v>0</v>
      </c>
      <c r="AJ1297" s="652">
        <f>IF($B1297="",,SUMIFS(PerHeadcount[Month 25],PerHeadcount[exp_item],$H1297,PerHeadcount[company_name],$B1297)*AJ247)</f>
        <v>0</v>
      </c>
      <c r="AK1297" s="652">
        <f>IF($B1297="",,SUMIFS(PerHeadcount[Month 26],PerHeadcount[exp_item],$H1297,PerHeadcount[company_name],$B1297)*AK247)</f>
        <v>0</v>
      </c>
      <c r="AL1297" s="652">
        <f>IF($B1297="",,SUMIFS(PerHeadcount[Month 27],PerHeadcount[exp_item],$H1297,PerHeadcount[company_name],$B1297)*AL247)</f>
        <v>0</v>
      </c>
      <c r="AM1297" s="652">
        <f>IF($B1297="",,SUMIFS(PerHeadcount[Month 28],PerHeadcount[exp_item],$H1297,PerHeadcount[company_name],$B1297)*AM247)</f>
        <v>0</v>
      </c>
      <c r="AN1297" s="652">
        <f>IF($B1297="",,SUMIFS(PerHeadcount[Month 29],PerHeadcount[exp_item],$H1297,PerHeadcount[company_name],$B1297)*AN247)</f>
        <v>0</v>
      </c>
      <c r="AO1297" s="652">
        <f>IF($B1297="",,SUMIFS(PerHeadcount[Month 30],PerHeadcount[exp_item],$H1297,PerHeadcount[company_name],$B1297)*AO247)</f>
        <v>0</v>
      </c>
      <c r="AP1297" s="652">
        <f>IF($B1297="",,SUMIFS(PerHeadcount[Month 31],PerHeadcount[exp_item],$H1297,PerHeadcount[company_name],$B1297)*AP247)</f>
        <v>0</v>
      </c>
      <c r="AQ1297" s="652">
        <f>IF($B1297="",,SUMIFS(PerHeadcount[Month 32],PerHeadcount[exp_item],$H1297,PerHeadcount[company_name],$B1297)*AQ247)</f>
        <v>0</v>
      </c>
      <c r="AR1297" s="652">
        <f>IF($B1297="",,SUMIFS(PerHeadcount[Month 33],PerHeadcount[exp_item],$H1297,PerHeadcount[company_name],$B1297)*AR247)</f>
        <v>0</v>
      </c>
      <c r="AS1297" s="652">
        <f>IF($B1297="",,SUMIFS(PerHeadcount[Month 34],PerHeadcount[exp_item],$H1297,PerHeadcount[company_name],$B1297)*AS247)</f>
        <v>0</v>
      </c>
      <c r="AT1297" s="652">
        <f>IF($B1297="",,SUMIFS(PerHeadcount[Month 35],PerHeadcount[exp_item],$H1297,PerHeadcount[company_name],$B1297)*AT247)</f>
        <v>0</v>
      </c>
      <c r="AU1297" s="652">
        <f>IF($B1297="",,SUMIFS(PerHeadcount[Month 36],PerHeadcount[exp_item],$H1297,PerHeadcount[company_name],$B1297)*AU247)</f>
        <v>0</v>
      </c>
    </row>
    <row r="1298" spans="2:47" x14ac:dyDescent="0.35">
      <c r="B1298" t="str">
        <f t="shared" si="916"/>
        <v/>
      </c>
      <c r="C1298" t="str">
        <f t="shared" ref="C1298:G1298" si="946">IF(C1193="","",C1193)</f>
        <v/>
      </c>
      <c r="D1298" t="str">
        <f t="shared" si="946"/>
        <v/>
      </c>
      <c r="E1298" t="str">
        <f t="shared" si="946"/>
        <v/>
      </c>
      <c r="F1298" t="str">
        <f t="shared" si="946"/>
        <v/>
      </c>
      <c r="G1298" t="str">
        <f t="shared" si="946"/>
        <v/>
      </c>
      <c r="H1298" t="str">
        <f t="shared" si="915"/>
        <v/>
      </c>
      <c r="J1298" t="str">
        <f>IF($H1298="","",IF(VLOOKUP(H1298,ExpItems[],2,0),H1298&amp;" - "&amp;INDEX(DivisionMapping[category_code],MATCH($D1298&amp;$C1298,DivisionMapping[dept_bu],0)),H1298))</f>
        <v/>
      </c>
      <c r="K1298" t="str">
        <f t="shared" si="883"/>
        <v/>
      </c>
      <c r="L1298" s="652">
        <f>IF($B1298="",,SUMIFS(PerHeadcount[Month 1],PerHeadcount[exp_item],$H1298,PerHeadcount[company_name],$B1298)*L248)</f>
        <v>0</v>
      </c>
      <c r="M1298" s="652">
        <f>IF($B1298="",,SUMIFS(PerHeadcount[Month 2],PerHeadcount[exp_item],$H1298,PerHeadcount[company_name],$B1298)*M248)</f>
        <v>0</v>
      </c>
      <c r="N1298" s="652">
        <f>IF($B1298="",,SUMIFS(PerHeadcount[Month 3],PerHeadcount[exp_item],$H1298,PerHeadcount[company_name],$B1298)*N248)</f>
        <v>0</v>
      </c>
      <c r="O1298" s="652">
        <f>IF($B1298="",,SUMIFS(PerHeadcount[Month 4],PerHeadcount[exp_item],$H1298,PerHeadcount[company_name],$B1298)*O248)</f>
        <v>0</v>
      </c>
      <c r="P1298" s="652">
        <f>IF($B1298="",,SUMIFS(PerHeadcount[Month 5],PerHeadcount[exp_item],$H1298,PerHeadcount[company_name],$B1298)*P248)</f>
        <v>0</v>
      </c>
      <c r="Q1298" s="652">
        <f>IF($B1298="",,SUMIFS(PerHeadcount[Month 6],PerHeadcount[exp_item],$H1298,PerHeadcount[company_name],$B1298)*Q248)</f>
        <v>0</v>
      </c>
      <c r="R1298" s="652">
        <f>IF($B1298="",,SUMIFS(PerHeadcount[Month 7],PerHeadcount[exp_item],$H1298,PerHeadcount[company_name],$B1298)*R248)</f>
        <v>0</v>
      </c>
      <c r="S1298" s="652">
        <f>IF($B1298="",,SUMIFS(PerHeadcount[Month 8],PerHeadcount[exp_item],$H1298,PerHeadcount[company_name],$B1298)*S248)</f>
        <v>0</v>
      </c>
      <c r="T1298" s="652">
        <f>IF($B1298="",,SUMIFS(PerHeadcount[Month 9],PerHeadcount[exp_item],$H1298,PerHeadcount[company_name],$B1298)*T248)</f>
        <v>0</v>
      </c>
      <c r="U1298" s="652">
        <f>IF($B1298="",,SUMIFS(PerHeadcount[Month 10],PerHeadcount[exp_item],$H1298,PerHeadcount[company_name],$B1298)*U248)</f>
        <v>0</v>
      </c>
      <c r="V1298" s="652">
        <f>IF($B1298="",,SUMIFS(PerHeadcount[Month 11],PerHeadcount[exp_item],$H1298,PerHeadcount[company_name],$B1298)*V248)</f>
        <v>0</v>
      </c>
      <c r="W1298" s="652">
        <f>IF($B1298="",,SUMIFS(PerHeadcount[Month 12],PerHeadcount[exp_item],$H1298,PerHeadcount[company_name],$B1298)*W248)</f>
        <v>0</v>
      </c>
      <c r="X1298" s="652">
        <f>IF($B1298="",,SUMIFS(PerHeadcount[Month 13],PerHeadcount[exp_item],$H1298,PerHeadcount[company_name],$B1298)*X248)</f>
        <v>0</v>
      </c>
      <c r="Y1298" s="652">
        <f>IF($B1298="",,SUMIFS(PerHeadcount[Month 14],PerHeadcount[exp_item],$H1298,PerHeadcount[company_name],$B1298)*Y248)</f>
        <v>0</v>
      </c>
      <c r="Z1298" s="652">
        <f>IF($B1298="",,SUMIFS(PerHeadcount[Month 15],PerHeadcount[exp_item],$H1298,PerHeadcount[company_name],$B1298)*Z248)</f>
        <v>0</v>
      </c>
      <c r="AA1298" s="652">
        <f>IF($B1298="",,SUMIFS(PerHeadcount[Month 16],PerHeadcount[exp_item],$H1298,PerHeadcount[company_name],$B1298)*AA248)</f>
        <v>0</v>
      </c>
      <c r="AB1298" s="652">
        <f>IF($B1298="",,SUMIFS(PerHeadcount[Month 17],PerHeadcount[exp_item],$H1298,PerHeadcount[company_name],$B1298)*AB248)</f>
        <v>0</v>
      </c>
      <c r="AC1298" s="652">
        <f>IF($B1298="",,SUMIFS(PerHeadcount[Month 18],PerHeadcount[exp_item],$H1298,PerHeadcount[company_name],$B1298)*AC248)</f>
        <v>0</v>
      </c>
      <c r="AD1298" s="652">
        <f>IF($B1298="",,SUMIFS(PerHeadcount[Month 19],PerHeadcount[exp_item],$H1298,PerHeadcount[company_name],$B1298)*AD248)</f>
        <v>0</v>
      </c>
      <c r="AE1298" s="652">
        <f>IF($B1298="",,SUMIFS(PerHeadcount[Month 20],PerHeadcount[exp_item],$H1298,PerHeadcount[company_name],$B1298)*AE248)</f>
        <v>0</v>
      </c>
      <c r="AF1298" s="652">
        <f>IF($B1298="",,SUMIFS(PerHeadcount[Month 21],PerHeadcount[exp_item],$H1298,PerHeadcount[company_name],$B1298)*AF248)</f>
        <v>0</v>
      </c>
      <c r="AG1298" s="652">
        <f>IF($B1298="",,SUMIFS(PerHeadcount[Month 22],PerHeadcount[exp_item],$H1298,PerHeadcount[company_name],$B1298)*AG248)</f>
        <v>0</v>
      </c>
      <c r="AH1298" s="652">
        <f>IF($B1298="",,SUMIFS(PerHeadcount[Month 23],PerHeadcount[exp_item],$H1298,PerHeadcount[company_name],$B1298)*AH248)</f>
        <v>0</v>
      </c>
      <c r="AI1298" s="652">
        <f>IF($B1298="",,SUMIFS(PerHeadcount[Month 24],PerHeadcount[exp_item],$H1298,PerHeadcount[company_name],$B1298)*AI248)</f>
        <v>0</v>
      </c>
      <c r="AJ1298" s="652">
        <f>IF($B1298="",,SUMIFS(PerHeadcount[Month 25],PerHeadcount[exp_item],$H1298,PerHeadcount[company_name],$B1298)*AJ248)</f>
        <v>0</v>
      </c>
      <c r="AK1298" s="652">
        <f>IF($B1298="",,SUMIFS(PerHeadcount[Month 26],PerHeadcount[exp_item],$H1298,PerHeadcount[company_name],$B1298)*AK248)</f>
        <v>0</v>
      </c>
      <c r="AL1298" s="652">
        <f>IF($B1298="",,SUMIFS(PerHeadcount[Month 27],PerHeadcount[exp_item],$H1298,PerHeadcount[company_name],$B1298)*AL248)</f>
        <v>0</v>
      </c>
      <c r="AM1298" s="652">
        <f>IF($B1298="",,SUMIFS(PerHeadcount[Month 28],PerHeadcount[exp_item],$H1298,PerHeadcount[company_name],$B1298)*AM248)</f>
        <v>0</v>
      </c>
      <c r="AN1298" s="652">
        <f>IF($B1298="",,SUMIFS(PerHeadcount[Month 29],PerHeadcount[exp_item],$H1298,PerHeadcount[company_name],$B1298)*AN248)</f>
        <v>0</v>
      </c>
      <c r="AO1298" s="652">
        <f>IF($B1298="",,SUMIFS(PerHeadcount[Month 30],PerHeadcount[exp_item],$H1298,PerHeadcount[company_name],$B1298)*AO248)</f>
        <v>0</v>
      </c>
      <c r="AP1298" s="652">
        <f>IF($B1298="",,SUMIFS(PerHeadcount[Month 31],PerHeadcount[exp_item],$H1298,PerHeadcount[company_name],$B1298)*AP248)</f>
        <v>0</v>
      </c>
      <c r="AQ1298" s="652">
        <f>IF($B1298="",,SUMIFS(PerHeadcount[Month 32],PerHeadcount[exp_item],$H1298,PerHeadcount[company_name],$B1298)*AQ248)</f>
        <v>0</v>
      </c>
      <c r="AR1298" s="652">
        <f>IF($B1298="",,SUMIFS(PerHeadcount[Month 33],PerHeadcount[exp_item],$H1298,PerHeadcount[company_name],$B1298)*AR248)</f>
        <v>0</v>
      </c>
      <c r="AS1298" s="652">
        <f>IF($B1298="",,SUMIFS(PerHeadcount[Month 34],PerHeadcount[exp_item],$H1298,PerHeadcount[company_name],$B1298)*AS248)</f>
        <v>0</v>
      </c>
      <c r="AT1298" s="652">
        <f>IF($B1298="",,SUMIFS(PerHeadcount[Month 35],PerHeadcount[exp_item],$H1298,PerHeadcount[company_name],$B1298)*AT248)</f>
        <v>0</v>
      </c>
      <c r="AU1298" s="652">
        <f>IF($B1298="",,SUMIFS(PerHeadcount[Month 36],PerHeadcount[exp_item],$H1298,PerHeadcount[company_name],$B1298)*AU248)</f>
        <v>0</v>
      </c>
    </row>
    <row r="1299" spans="2:47" x14ac:dyDescent="0.35">
      <c r="B1299" t="str">
        <f t="shared" si="916"/>
        <v/>
      </c>
      <c r="C1299" t="str">
        <f t="shared" ref="C1299:G1299" si="947">IF(C1194="","",C1194)</f>
        <v/>
      </c>
      <c r="D1299" t="str">
        <f t="shared" si="947"/>
        <v/>
      </c>
      <c r="E1299" t="str">
        <f t="shared" si="947"/>
        <v/>
      </c>
      <c r="F1299" t="str">
        <f t="shared" si="947"/>
        <v/>
      </c>
      <c r="G1299" t="str">
        <f t="shared" si="947"/>
        <v/>
      </c>
      <c r="H1299" t="str">
        <f t="shared" si="915"/>
        <v/>
      </c>
      <c r="J1299" t="str">
        <f>IF($H1299="","",IF(VLOOKUP(H1299,ExpItems[],2,0),H1299&amp;" - "&amp;INDEX(DivisionMapping[category_code],MATCH($D1299&amp;$C1299,DivisionMapping[dept_bu],0)),H1299))</f>
        <v/>
      </c>
      <c r="K1299" t="str">
        <f t="shared" si="883"/>
        <v/>
      </c>
      <c r="L1299" s="652">
        <f>IF($B1299="",,SUMIFS(PerHeadcount[Month 1],PerHeadcount[exp_item],$H1299,PerHeadcount[company_name],$B1299)*L249)</f>
        <v>0</v>
      </c>
      <c r="M1299" s="652">
        <f>IF($B1299="",,SUMIFS(PerHeadcount[Month 2],PerHeadcount[exp_item],$H1299,PerHeadcount[company_name],$B1299)*M249)</f>
        <v>0</v>
      </c>
      <c r="N1299" s="652">
        <f>IF($B1299="",,SUMIFS(PerHeadcount[Month 3],PerHeadcount[exp_item],$H1299,PerHeadcount[company_name],$B1299)*N249)</f>
        <v>0</v>
      </c>
      <c r="O1299" s="652">
        <f>IF($B1299="",,SUMIFS(PerHeadcount[Month 4],PerHeadcount[exp_item],$H1299,PerHeadcount[company_name],$B1299)*O249)</f>
        <v>0</v>
      </c>
      <c r="P1299" s="652">
        <f>IF($B1299="",,SUMIFS(PerHeadcount[Month 5],PerHeadcount[exp_item],$H1299,PerHeadcount[company_name],$B1299)*P249)</f>
        <v>0</v>
      </c>
      <c r="Q1299" s="652">
        <f>IF($B1299="",,SUMIFS(PerHeadcount[Month 6],PerHeadcount[exp_item],$H1299,PerHeadcount[company_name],$B1299)*Q249)</f>
        <v>0</v>
      </c>
      <c r="R1299" s="652">
        <f>IF($B1299="",,SUMIFS(PerHeadcount[Month 7],PerHeadcount[exp_item],$H1299,PerHeadcount[company_name],$B1299)*R249)</f>
        <v>0</v>
      </c>
      <c r="S1299" s="652">
        <f>IF($B1299="",,SUMIFS(PerHeadcount[Month 8],PerHeadcount[exp_item],$H1299,PerHeadcount[company_name],$B1299)*S249)</f>
        <v>0</v>
      </c>
      <c r="T1299" s="652">
        <f>IF($B1299="",,SUMIFS(PerHeadcount[Month 9],PerHeadcount[exp_item],$H1299,PerHeadcount[company_name],$B1299)*T249)</f>
        <v>0</v>
      </c>
      <c r="U1299" s="652">
        <f>IF($B1299="",,SUMIFS(PerHeadcount[Month 10],PerHeadcount[exp_item],$H1299,PerHeadcount[company_name],$B1299)*U249)</f>
        <v>0</v>
      </c>
      <c r="V1299" s="652">
        <f>IF($B1299="",,SUMIFS(PerHeadcount[Month 11],PerHeadcount[exp_item],$H1299,PerHeadcount[company_name],$B1299)*V249)</f>
        <v>0</v>
      </c>
      <c r="W1299" s="652">
        <f>IF($B1299="",,SUMIFS(PerHeadcount[Month 12],PerHeadcount[exp_item],$H1299,PerHeadcount[company_name],$B1299)*W249)</f>
        <v>0</v>
      </c>
      <c r="X1299" s="652">
        <f>IF($B1299="",,SUMIFS(PerHeadcount[Month 13],PerHeadcount[exp_item],$H1299,PerHeadcount[company_name],$B1299)*X249)</f>
        <v>0</v>
      </c>
      <c r="Y1299" s="652">
        <f>IF($B1299="",,SUMIFS(PerHeadcount[Month 14],PerHeadcount[exp_item],$H1299,PerHeadcount[company_name],$B1299)*Y249)</f>
        <v>0</v>
      </c>
      <c r="Z1299" s="652">
        <f>IF($B1299="",,SUMIFS(PerHeadcount[Month 15],PerHeadcount[exp_item],$H1299,PerHeadcount[company_name],$B1299)*Z249)</f>
        <v>0</v>
      </c>
      <c r="AA1299" s="652">
        <f>IF($B1299="",,SUMIFS(PerHeadcount[Month 16],PerHeadcount[exp_item],$H1299,PerHeadcount[company_name],$B1299)*AA249)</f>
        <v>0</v>
      </c>
      <c r="AB1299" s="652">
        <f>IF($B1299="",,SUMIFS(PerHeadcount[Month 17],PerHeadcount[exp_item],$H1299,PerHeadcount[company_name],$B1299)*AB249)</f>
        <v>0</v>
      </c>
      <c r="AC1299" s="652">
        <f>IF($B1299="",,SUMIFS(PerHeadcount[Month 18],PerHeadcount[exp_item],$H1299,PerHeadcount[company_name],$B1299)*AC249)</f>
        <v>0</v>
      </c>
      <c r="AD1299" s="652">
        <f>IF($B1299="",,SUMIFS(PerHeadcount[Month 19],PerHeadcount[exp_item],$H1299,PerHeadcount[company_name],$B1299)*AD249)</f>
        <v>0</v>
      </c>
      <c r="AE1299" s="652">
        <f>IF($B1299="",,SUMIFS(PerHeadcount[Month 20],PerHeadcount[exp_item],$H1299,PerHeadcount[company_name],$B1299)*AE249)</f>
        <v>0</v>
      </c>
      <c r="AF1299" s="652">
        <f>IF($B1299="",,SUMIFS(PerHeadcount[Month 21],PerHeadcount[exp_item],$H1299,PerHeadcount[company_name],$B1299)*AF249)</f>
        <v>0</v>
      </c>
      <c r="AG1299" s="652">
        <f>IF($B1299="",,SUMIFS(PerHeadcount[Month 22],PerHeadcount[exp_item],$H1299,PerHeadcount[company_name],$B1299)*AG249)</f>
        <v>0</v>
      </c>
      <c r="AH1299" s="652">
        <f>IF($B1299="",,SUMIFS(PerHeadcount[Month 23],PerHeadcount[exp_item],$H1299,PerHeadcount[company_name],$B1299)*AH249)</f>
        <v>0</v>
      </c>
      <c r="AI1299" s="652">
        <f>IF($B1299="",,SUMIFS(PerHeadcount[Month 24],PerHeadcount[exp_item],$H1299,PerHeadcount[company_name],$B1299)*AI249)</f>
        <v>0</v>
      </c>
      <c r="AJ1299" s="652">
        <f>IF($B1299="",,SUMIFS(PerHeadcount[Month 25],PerHeadcount[exp_item],$H1299,PerHeadcount[company_name],$B1299)*AJ249)</f>
        <v>0</v>
      </c>
      <c r="AK1299" s="652">
        <f>IF($B1299="",,SUMIFS(PerHeadcount[Month 26],PerHeadcount[exp_item],$H1299,PerHeadcount[company_name],$B1299)*AK249)</f>
        <v>0</v>
      </c>
      <c r="AL1299" s="652">
        <f>IF($B1299="",,SUMIFS(PerHeadcount[Month 27],PerHeadcount[exp_item],$H1299,PerHeadcount[company_name],$B1299)*AL249)</f>
        <v>0</v>
      </c>
      <c r="AM1299" s="652">
        <f>IF($B1299="",,SUMIFS(PerHeadcount[Month 28],PerHeadcount[exp_item],$H1299,PerHeadcount[company_name],$B1299)*AM249)</f>
        <v>0</v>
      </c>
      <c r="AN1299" s="652">
        <f>IF($B1299="",,SUMIFS(PerHeadcount[Month 29],PerHeadcount[exp_item],$H1299,PerHeadcount[company_name],$B1299)*AN249)</f>
        <v>0</v>
      </c>
      <c r="AO1299" s="652">
        <f>IF($B1299="",,SUMIFS(PerHeadcount[Month 30],PerHeadcount[exp_item],$H1299,PerHeadcount[company_name],$B1299)*AO249)</f>
        <v>0</v>
      </c>
      <c r="AP1299" s="652">
        <f>IF($B1299="",,SUMIFS(PerHeadcount[Month 31],PerHeadcount[exp_item],$H1299,PerHeadcount[company_name],$B1299)*AP249)</f>
        <v>0</v>
      </c>
      <c r="AQ1299" s="652">
        <f>IF($B1299="",,SUMIFS(PerHeadcount[Month 32],PerHeadcount[exp_item],$H1299,PerHeadcount[company_name],$B1299)*AQ249)</f>
        <v>0</v>
      </c>
      <c r="AR1299" s="652">
        <f>IF($B1299="",,SUMIFS(PerHeadcount[Month 33],PerHeadcount[exp_item],$H1299,PerHeadcount[company_name],$B1299)*AR249)</f>
        <v>0</v>
      </c>
      <c r="AS1299" s="652">
        <f>IF($B1299="",,SUMIFS(PerHeadcount[Month 34],PerHeadcount[exp_item],$H1299,PerHeadcount[company_name],$B1299)*AS249)</f>
        <v>0</v>
      </c>
      <c r="AT1299" s="652">
        <f>IF($B1299="",,SUMIFS(PerHeadcount[Month 35],PerHeadcount[exp_item],$H1299,PerHeadcount[company_name],$B1299)*AT249)</f>
        <v>0</v>
      </c>
      <c r="AU1299" s="652">
        <f>IF($B1299="",,SUMIFS(PerHeadcount[Month 36],PerHeadcount[exp_item],$H1299,PerHeadcount[company_name],$B1299)*AU249)</f>
        <v>0</v>
      </c>
    </row>
    <row r="1300" spans="2:47" x14ac:dyDescent="0.35">
      <c r="B1300" t="str">
        <f t="shared" si="916"/>
        <v/>
      </c>
      <c r="C1300" t="str">
        <f t="shared" ref="C1300:G1300" si="948">IF(C1195="","",C1195)</f>
        <v/>
      </c>
      <c r="D1300" t="str">
        <f t="shared" si="948"/>
        <v/>
      </c>
      <c r="E1300" t="str">
        <f t="shared" si="948"/>
        <v/>
      </c>
      <c r="F1300" t="str">
        <f t="shared" si="948"/>
        <v/>
      </c>
      <c r="G1300" t="str">
        <f t="shared" si="948"/>
        <v/>
      </c>
      <c r="H1300" t="str">
        <f t="shared" ref="H1300:H1336" si="949">IF(B1300="","",$B$1235)</f>
        <v/>
      </c>
      <c r="J1300" t="str">
        <f>IF($H1300="","",IF(VLOOKUP(H1300,ExpItems[],2,0),H1300&amp;" - "&amp;INDEX(DivisionMapping[category_code],MATCH($D1300&amp;$C1300,DivisionMapping[dept_bu],0)),H1300))</f>
        <v/>
      </c>
      <c r="K1300" t="str">
        <f t="shared" si="883"/>
        <v/>
      </c>
      <c r="L1300" s="652">
        <f>IF($B1300="",,SUMIFS(PerHeadcount[Month 1],PerHeadcount[exp_item],$H1300,PerHeadcount[company_name],$B1300)*L250)</f>
        <v>0</v>
      </c>
      <c r="M1300" s="652">
        <f>IF($B1300="",,SUMIFS(PerHeadcount[Month 2],PerHeadcount[exp_item],$H1300,PerHeadcount[company_name],$B1300)*M250)</f>
        <v>0</v>
      </c>
      <c r="N1300" s="652">
        <f>IF($B1300="",,SUMIFS(PerHeadcount[Month 3],PerHeadcount[exp_item],$H1300,PerHeadcount[company_name],$B1300)*N250)</f>
        <v>0</v>
      </c>
      <c r="O1300" s="652">
        <f>IF($B1300="",,SUMIFS(PerHeadcount[Month 4],PerHeadcount[exp_item],$H1300,PerHeadcount[company_name],$B1300)*O250)</f>
        <v>0</v>
      </c>
      <c r="P1300" s="652">
        <f>IF($B1300="",,SUMIFS(PerHeadcount[Month 5],PerHeadcount[exp_item],$H1300,PerHeadcount[company_name],$B1300)*P250)</f>
        <v>0</v>
      </c>
      <c r="Q1300" s="652">
        <f>IF($B1300="",,SUMIFS(PerHeadcount[Month 6],PerHeadcount[exp_item],$H1300,PerHeadcount[company_name],$B1300)*Q250)</f>
        <v>0</v>
      </c>
      <c r="R1300" s="652">
        <f>IF($B1300="",,SUMIFS(PerHeadcount[Month 7],PerHeadcount[exp_item],$H1300,PerHeadcount[company_name],$B1300)*R250)</f>
        <v>0</v>
      </c>
      <c r="S1300" s="652">
        <f>IF($B1300="",,SUMIFS(PerHeadcount[Month 8],PerHeadcount[exp_item],$H1300,PerHeadcount[company_name],$B1300)*S250)</f>
        <v>0</v>
      </c>
      <c r="T1300" s="652">
        <f>IF($B1300="",,SUMIFS(PerHeadcount[Month 9],PerHeadcount[exp_item],$H1300,PerHeadcount[company_name],$B1300)*T250)</f>
        <v>0</v>
      </c>
      <c r="U1300" s="652">
        <f>IF($B1300="",,SUMIFS(PerHeadcount[Month 10],PerHeadcount[exp_item],$H1300,PerHeadcount[company_name],$B1300)*U250)</f>
        <v>0</v>
      </c>
      <c r="V1300" s="652">
        <f>IF($B1300="",,SUMIFS(PerHeadcount[Month 11],PerHeadcount[exp_item],$H1300,PerHeadcount[company_name],$B1300)*V250)</f>
        <v>0</v>
      </c>
      <c r="W1300" s="652">
        <f>IF($B1300="",,SUMIFS(PerHeadcount[Month 12],PerHeadcount[exp_item],$H1300,PerHeadcount[company_name],$B1300)*W250)</f>
        <v>0</v>
      </c>
      <c r="X1300" s="652">
        <f>IF($B1300="",,SUMIFS(PerHeadcount[Month 13],PerHeadcount[exp_item],$H1300,PerHeadcount[company_name],$B1300)*X250)</f>
        <v>0</v>
      </c>
      <c r="Y1300" s="652">
        <f>IF($B1300="",,SUMIFS(PerHeadcount[Month 14],PerHeadcount[exp_item],$H1300,PerHeadcount[company_name],$B1300)*Y250)</f>
        <v>0</v>
      </c>
      <c r="Z1300" s="652">
        <f>IF($B1300="",,SUMIFS(PerHeadcount[Month 15],PerHeadcount[exp_item],$H1300,PerHeadcount[company_name],$B1300)*Z250)</f>
        <v>0</v>
      </c>
      <c r="AA1300" s="652">
        <f>IF($B1300="",,SUMIFS(PerHeadcount[Month 16],PerHeadcount[exp_item],$H1300,PerHeadcount[company_name],$B1300)*AA250)</f>
        <v>0</v>
      </c>
      <c r="AB1300" s="652">
        <f>IF($B1300="",,SUMIFS(PerHeadcount[Month 17],PerHeadcount[exp_item],$H1300,PerHeadcount[company_name],$B1300)*AB250)</f>
        <v>0</v>
      </c>
      <c r="AC1300" s="652">
        <f>IF($B1300="",,SUMIFS(PerHeadcount[Month 18],PerHeadcount[exp_item],$H1300,PerHeadcount[company_name],$B1300)*AC250)</f>
        <v>0</v>
      </c>
      <c r="AD1300" s="652">
        <f>IF($B1300="",,SUMIFS(PerHeadcount[Month 19],PerHeadcount[exp_item],$H1300,PerHeadcount[company_name],$B1300)*AD250)</f>
        <v>0</v>
      </c>
      <c r="AE1300" s="652">
        <f>IF($B1300="",,SUMIFS(PerHeadcount[Month 20],PerHeadcount[exp_item],$H1300,PerHeadcount[company_name],$B1300)*AE250)</f>
        <v>0</v>
      </c>
      <c r="AF1300" s="652">
        <f>IF($B1300="",,SUMIFS(PerHeadcount[Month 21],PerHeadcount[exp_item],$H1300,PerHeadcount[company_name],$B1300)*AF250)</f>
        <v>0</v>
      </c>
      <c r="AG1300" s="652">
        <f>IF($B1300="",,SUMIFS(PerHeadcount[Month 22],PerHeadcount[exp_item],$H1300,PerHeadcount[company_name],$B1300)*AG250)</f>
        <v>0</v>
      </c>
      <c r="AH1300" s="652">
        <f>IF($B1300="",,SUMIFS(PerHeadcount[Month 23],PerHeadcount[exp_item],$H1300,PerHeadcount[company_name],$B1300)*AH250)</f>
        <v>0</v>
      </c>
      <c r="AI1300" s="652">
        <f>IF($B1300="",,SUMIFS(PerHeadcount[Month 24],PerHeadcount[exp_item],$H1300,PerHeadcount[company_name],$B1300)*AI250)</f>
        <v>0</v>
      </c>
      <c r="AJ1300" s="652">
        <f>IF($B1300="",,SUMIFS(PerHeadcount[Month 25],PerHeadcount[exp_item],$H1300,PerHeadcount[company_name],$B1300)*AJ250)</f>
        <v>0</v>
      </c>
      <c r="AK1300" s="652">
        <f>IF($B1300="",,SUMIFS(PerHeadcount[Month 26],PerHeadcount[exp_item],$H1300,PerHeadcount[company_name],$B1300)*AK250)</f>
        <v>0</v>
      </c>
      <c r="AL1300" s="652">
        <f>IF($B1300="",,SUMIFS(PerHeadcount[Month 27],PerHeadcount[exp_item],$H1300,PerHeadcount[company_name],$B1300)*AL250)</f>
        <v>0</v>
      </c>
      <c r="AM1300" s="652">
        <f>IF($B1300="",,SUMIFS(PerHeadcount[Month 28],PerHeadcount[exp_item],$H1300,PerHeadcount[company_name],$B1300)*AM250)</f>
        <v>0</v>
      </c>
      <c r="AN1300" s="652">
        <f>IF($B1300="",,SUMIFS(PerHeadcount[Month 29],PerHeadcount[exp_item],$H1300,PerHeadcount[company_name],$B1300)*AN250)</f>
        <v>0</v>
      </c>
      <c r="AO1300" s="652">
        <f>IF($B1300="",,SUMIFS(PerHeadcount[Month 30],PerHeadcount[exp_item],$H1300,PerHeadcount[company_name],$B1300)*AO250)</f>
        <v>0</v>
      </c>
      <c r="AP1300" s="652">
        <f>IF($B1300="",,SUMIFS(PerHeadcount[Month 31],PerHeadcount[exp_item],$H1300,PerHeadcount[company_name],$B1300)*AP250)</f>
        <v>0</v>
      </c>
      <c r="AQ1300" s="652">
        <f>IF($B1300="",,SUMIFS(PerHeadcount[Month 32],PerHeadcount[exp_item],$H1300,PerHeadcount[company_name],$B1300)*AQ250)</f>
        <v>0</v>
      </c>
      <c r="AR1300" s="652">
        <f>IF($B1300="",,SUMIFS(PerHeadcount[Month 33],PerHeadcount[exp_item],$H1300,PerHeadcount[company_name],$B1300)*AR250)</f>
        <v>0</v>
      </c>
      <c r="AS1300" s="652">
        <f>IF($B1300="",,SUMIFS(PerHeadcount[Month 34],PerHeadcount[exp_item],$H1300,PerHeadcount[company_name],$B1300)*AS250)</f>
        <v>0</v>
      </c>
      <c r="AT1300" s="652">
        <f>IF($B1300="",,SUMIFS(PerHeadcount[Month 35],PerHeadcount[exp_item],$H1300,PerHeadcount[company_name],$B1300)*AT250)</f>
        <v>0</v>
      </c>
      <c r="AU1300" s="652">
        <f>IF($B1300="",,SUMIFS(PerHeadcount[Month 36],PerHeadcount[exp_item],$H1300,PerHeadcount[company_name],$B1300)*AU250)</f>
        <v>0</v>
      </c>
    </row>
    <row r="1301" spans="2:47" x14ac:dyDescent="0.35">
      <c r="B1301" t="str">
        <f t="shared" ref="B1301:B1320" si="950">IF(B1196="","",B1196)</f>
        <v/>
      </c>
      <c r="C1301" t="str">
        <f t="shared" ref="C1301:G1301" si="951">IF(C1196="","",C1196)</f>
        <v/>
      </c>
      <c r="D1301" t="str">
        <f t="shared" si="951"/>
        <v/>
      </c>
      <c r="E1301" t="str">
        <f t="shared" si="951"/>
        <v/>
      </c>
      <c r="F1301" t="str">
        <f t="shared" si="951"/>
        <v/>
      </c>
      <c r="G1301" t="str">
        <f t="shared" si="951"/>
        <v/>
      </c>
      <c r="H1301" t="str">
        <f t="shared" si="949"/>
        <v/>
      </c>
      <c r="J1301" t="str">
        <f>IF($H1301="","",IF(VLOOKUP(H1301,ExpItems[],2,0),H1301&amp;" - "&amp;INDEX(DivisionMapping[category_code],MATCH($D1301&amp;$C1301,DivisionMapping[dept_bu],0)),H1301))</f>
        <v/>
      </c>
      <c r="K1301" t="str">
        <f t="shared" ref="K1301:K1336" si="952">K1196</f>
        <v/>
      </c>
      <c r="L1301" s="652">
        <f>IF($B1301="",,SUMIFS(PerHeadcount[Month 1],PerHeadcount[exp_item],$H1301,PerHeadcount[company_name],$B1301)*L251)</f>
        <v>0</v>
      </c>
      <c r="M1301" s="652">
        <f>IF($B1301="",,SUMIFS(PerHeadcount[Month 2],PerHeadcount[exp_item],$H1301,PerHeadcount[company_name],$B1301)*M251)</f>
        <v>0</v>
      </c>
      <c r="N1301" s="652">
        <f>IF($B1301="",,SUMIFS(PerHeadcount[Month 3],PerHeadcount[exp_item],$H1301,PerHeadcount[company_name],$B1301)*N251)</f>
        <v>0</v>
      </c>
      <c r="O1301" s="652">
        <f>IF($B1301="",,SUMIFS(PerHeadcount[Month 4],PerHeadcount[exp_item],$H1301,PerHeadcount[company_name],$B1301)*O251)</f>
        <v>0</v>
      </c>
      <c r="P1301" s="652">
        <f>IF($B1301="",,SUMIFS(PerHeadcount[Month 5],PerHeadcount[exp_item],$H1301,PerHeadcount[company_name],$B1301)*P251)</f>
        <v>0</v>
      </c>
      <c r="Q1301" s="652">
        <f>IF($B1301="",,SUMIFS(PerHeadcount[Month 6],PerHeadcount[exp_item],$H1301,PerHeadcount[company_name],$B1301)*Q251)</f>
        <v>0</v>
      </c>
      <c r="R1301" s="652">
        <f>IF($B1301="",,SUMIFS(PerHeadcount[Month 7],PerHeadcount[exp_item],$H1301,PerHeadcount[company_name],$B1301)*R251)</f>
        <v>0</v>
      </c>
      <c r="S1301" s="652">
        <f>IF($B1301="",,SUMIFS(PerHeadcount[Month 8],PerHeadcount[exp_item],$H1301,PerHeadcount[company_name],$B1301)*S251)</f>
        <v>0</v>
      </c>
      <c r="T1301" s="652">
        <f>IF($B1301="",,SUMIFS(PerHeadcount[Month 9],PerHeadcount[exp_item],$H1301,PerHeadcount[company_name],$B1301)*T251)</f>
        <v>0</v>
      </c>
      <c r="U1301" s="652">
        <f>IF($B1301="",,SUMIFS(PerHeadcount[Month 10],PerHeadcount[exp_item],$H1301,PerHeadcount[company_name],$B1301)*U251)</f>
        <v>0</v>
      </c>
      <c r="V1301" s="652">
        <f>IF($B1301="",,SUMIFS(PerHeadcount[Month 11],PerHeadcount[exp_item],$H1301,PerHeadcount[company_name],$B1301)*V251)</f>
        <v>0</v>
      </c>
      <c r="W1301" s="652">
        <f>IF($B1301="",,SUMIFS(PerHeadcount[Month 12],PerHeadcount[exp_item],$H1301,PerHeadcount[company_name],$B1301)*W251)</f>
        <v>0</v>
      </c>
      <c r="X1301" s="652">
        <f>IF($B1301="",,SUMIFS(PerHeadcount[Month 13],PerHeadcount[exp_item],$H1301,PerHeadcount[company_name],$B1301)*X251)</f>
        <v>0</v>
      </c>
      <c r="Y1301" s="652">
        <f>IF($B1301="",,SUMIFS(PerHeadcount[Month 14],PerHeadcount[exp_item],$H1301,PerHeadcount[company_name],$B1301)*Y251)</f>
        <v>0</v>
      </c>
      <c r="Z1301" s="652">
        <f>IF($B1301="",,SUMIFS(PerHeadcount[Month 15],PerHeadcount[exp_item],$H1301,PerHeadcount[company_name],$B1301)*Z251)</f>
        <v>0</v>
      </c>
      <c r="AA1301" s="652">
        <f>IF($B1301="",,SUMIFS(PerHeadcount[Month 16],PerHeadcount[exp_item],$H1301,PerHeadcount[company_name],$B1301)*AA251)</f>
        <v>0</v>
      </c>
      <c r="AB1301" s="652">
        <f>IF($B1301="",,SUMIFS(PerHeadcount[Month 17],PerHeadcount[exp_item],$H1301,PerHeadcount[company_name],$B1301)*AB251)</f>
        <v>0</v>
      </c>
      <c r="AC1301" s="652">
        <f>IF($B1301="",,SUMIFS(PerHeadcount[Month 18],PerHeadcount[exp_item],$H1301,PerHeadcount[company_name],$B1301)*AC251)</f>
        <v>0</v>
      </c>
      <c r="AD1301" s="652">
        <f>IF($B1301="",,SUMIFS(PerHeadcount[Month 19],PerHeadcount[exp_item],$H1301,PerHeadcount[company_name],$B1301)*AD251)</f>
        <v>0</v>
      </c>
      <c r="AE1301" s="652">
        <f>IF($B1301="",,SUMIFS(PerHeadcount[Month 20],PerHeadcount[exp_item],$H1301,PerHeadcount[company_name],$B1301)*AE251)</f>
        <v>0</v>
      </c>
      <c r="AF1301" s="652">
        <f>IF($B1301="",,SUMIFS(PerHeadcount[Month 21],PerHeadcount[exp_item],$H1301,PerHeadcount[company_name],$B1301)*AF251)</f>
        <v>0</v>
      </c>
      <c r="AG1301" s="652">
        <f>IF($B1301="",,SUMIFS(PerHeadcount[Month 22],PerHeadcount[exp_item],$H1301,PerHeadcount[company_name],$B1301)*AG251)</f>
        <v>0</v>
      </c>
      <c r="AH1301" s="652">
        <f>IF($B1301="",,SUMIFS(PerHeadcount[Month 23],PerHeadcount[exp_item],$H1301,PerHeadcount[company_name],$B1301)*AH251)</f>
        <v>0</v>
      </c>
      <c r="AI1301" s="652">
        <f>IF($B1301="",,SUMIFS(PerHeadcount[Month 24],PerHeadcount[exp_item],$H1301,PerHeadcount[company_name],$B1301)*AI251)</f>
        <v>0</v>
      </c>
      <c r="AJ1301" s="652">
        <f>IF($B1301="",,SUMIFS(PerHeadcount[Month 25],PerHeadcount[exp_item],$H1301,PerHeadcount[company_name],$B1301)*AJ251)</f>
        <v>0</v>
      </c>
      <c r="AK1301" s="652">
        <f>IF($B1301="",,SUMIFS(PerHeadcount[Month 26],PerHeadcount[exp_item],$H1301,PerHeadcount[company_name],$B1301)*AK251)</f>
        <v>0</v>
      </c>
      <c r="AL1301" s="652">
        <f>IF($B1301="",,SUMIFS(PerHeadcount[Month 27],PerHeadcount[exp_item],$H1301,PerHeadcount[company_name],$B1301)*AL251)</f>
        <v>0</v>
      </c>
      <c r="AM1301" s="652">
        <f>IF($B1301="",,SUMIFS(PerHeadcount[Month 28],PerHeadcount[exp_item],$H1301,PerHeadcount[company_name],$B1301)*AM251)</f>
        <v>0</v>
      </c>
      <c r="AN1301" s="652">
        <f>IF($B1301="",,SUMIFS(PerHeadcount[Month 29],PerHeadcount[exp_item],$H1301,PerHeadcount[company_name],$B1301)*AN251)</f>
        <v>0</v>
      </c>
      <c r="AO1301" s="652">
        <f>IF($B1301="",,SUMIFS(PerHeadcount[Month 30],PerHeadcount[exp_item],$H1301,PerHeadcount[company_name],$B1301)*AO251)</f>
        <v>0</v>
      </c>
      <c r="AP1301" s="652">
        <f>IF($B1301="",,SUMIFS(PerHeadcount[Month 31],PerHeadcount[exp_item],$H1301,PerHeadcount[company_name],$B1301)*AP251)</f>
        <v>0</v>
      </c>
      <c r="AQ1301" s="652">
        <f>IF($B1301="",,SUMIFS(PerHeadcount[Month 32],PerHeadcount[exp_item],$H1301,PerHeadcount[company_name],$B1301)*AQ251)</f>
        <v>0</v>
      </c>
      <c r="AR1301" s="652">
        <f>IF($B1301="",,SUMIFS(PerHeadcount[Month 33],PerHeadcount[exp_item],$H1301,PerHeadcount[company_name],$B1301)*AR251)</f>
        <v>0</v>
      </c>
      <c r="AS1301" s="652">
        <f>IF($B1301="",,SUMIFS(PerHeadcount[Month 34],PerHeadcount[exp_item],$H1301,PerHeadcount[company_name],$B1301)*AS251)</f>
        <v>0</v>
      </c>
      <c r="AT1301" s="652">
        <f>IF($B1301="",,SUMIFS(PerHeadcount[Month 35],PerHeadcount[exp_item],$H1301,PerHeadcount[company_name],$B1301)*AT251)</f>
        <v>0</v>
      </c>
      <c r="AU1301" s="652">
        <f>IF($B1301="",,SUMIFS(PerHeadcount[Month 36],PerHeadcount[exp_item],$H1301,PerHeadcount[company_name],$B1301)*AU251)</f>
        <v>0</v>
      </c>
    </row>
    <row r="1302" spans="2:47" x14ac:dyDescent="0.35">
      <c r="B1302" t="str">
        <f t="shared" si="950"/>
        <v/>
      </c>
      <c r="C1302" t="str">
        <f t="shared" ref="C1302:G1302" si="953">IF(C1197="","",C1197)</f>
        <v/>
      </c>
      <c r="D1302" t="str">
        <f t="shared" si="953"/>
        <v/>
      </c>
      <c r="E1302" t="str">
        <f t="shared" si="953"/>
        <v/>
      </c>
      <c r="F1302" t="str">
        <f t="shared" si="953"/>
        <v/>
      </c>
      <c r="G1302" t="str">
        <f t="shared" si="953"/>
        <v/>
      </c>
      <c r="H1302" t="str">
        <f t="shared" si="949"/>
        <v/>
      </c>
      <c r="J1302" t="str">
        <f>IF($H1302="","",IF(VLOOKUP(H1302,ExpItems[],2,0),H1302&amp;" - "&amp;INDEX(DivisionMapping[category_code],MATCH($D1302&amp;$C1302,DivisionMapping[dept_bu],0)),H1302))</f>
        <v/>
      </c>
      <c r="K1302" t="str">
        <f t="shared" si="952"/>
        <v/>
      </c>
      <c r="L1302" s="652">
        <f>IF($B1302="",,SUMIFS(PerHeadcount[Month 1],PerHeadcount[exp_item],$H1302,PerHeadcount[company_name],$B1302)*L252)</f>
        <v>0</v>
      </c>
      <c r="M1302" s="652">
        <f>IF($B1302="",,SUMIFS(PerHeadcount[Month 2],PerHeadcount[exp_item],$H1302,PerHeadcount[company_name],$B1302)*M252)</f>
        <v>0</v>
      </c>
      <c r="N1302" s="652">
        <f>IF($B1302="",,SUMIFS(PerHeadcount[Month 3],PerHeadcount[exp_item],$H1302,PerHeadcount[company_name],$B1302)*N252)</f>
        <v>0</v>
      </c>
      <c r="O1302" s="652">
        <f>IF($B1302="",,SUMIFS(PerHeadcount[Month 4],PerHeadcount[exp_item],$H1302,PerHeadcount[company_name],$B1302)*O252)</f>
        <v>0</v>
      </c>
      <c r="P1302" s="652">
        <f>IF($B1302="",,SUMIFS(PerHeadcount[Month 5],PerHeadcount[exp_item],$H1302,PerHeadcount[company_name],$B1302)*P252)</f>
        <v>0</v>
      </c>
      <c r="Q1302" s="652">
        <f>IF($B1302="",,SUMIFS(PerHeadcount[Month 6],PerHeadcount[exp_item],$H1302,PerHeadcount[company_name],$B1302)*Q252)</f>
        <v>0</v>
      </c>
      <c r="R1302" s="652">
        <f>IF($B1302="",,SUMIFS(PerHeadcount[Month 7],PerHeadcount[exp_item],$H1302,PerHeadcount[company_name],$B1302)*R252)</f>
        <v>0</v>
      </c>
      <c r="S1302" s="652">
        <f>IF($B1302="",,SUMIFS(PerHeadcount[Month 8],PerHeadcount[exp_item],$H1302,PerHeadcount[company_name],$B1302)*S252)</f>
        <v>0</v>
      </c>
      <c r="T1302" s="652">
        <f>IF($B1302="",,SUMIFS(PerHeadcount[Month 9],PerHeadcount[exp_item],$H1302,PerHeadcount[company_name],$B1302)*T252)</f>
        <v>0</v>
      </c>
      <c r="U1302" s="652">
        <f>IF($B1302="",,SUMIFS(PerHeadcount[Month 10],PerHeadcount[exp_item],$H1302,PerHeadcount[company_name],$B1302)*U252)</f>
        <v>0</v>
      </c>
      <c r="V1302" s="652">
        <f>IF($B1302="",,SUMIFS(PerHeadcount[Month 11],PerHeadcount[exp_item],$H1302,PerHeadcount[company_name],$B1302)*V252)</f>
        <v>0</v>
      </c>
      <c r="W1302" s="652">
        <f>IF($B1302="",,SUMIFS(PerHeadcount[Month 12],PerHeadcount[exp_item],$H1302,PerHeadcount[company_name],$B1302)*W252)</f>
        <v>0</v>
      </c>
      <c r="X1302" s="652">
        <f>IF($B1302="",,SUMIFS(PerHeadcount[Month 13],PerHeadcount[exp_item],$H1302,PerHeadcount[company_name],$B1302)*X252)</f>
        <v>0</v>
      </c>
      <c r="Y1302" s="652">
        <f>IF($B1302="",,SUMIFS(PerHeadcount[Month 14],PerHeadcount[exp_item],$H1302,PerHeadcount[company_name],$B1302)*Y252)</f>
        <v>0</v>
      </c>
      <c r="Z1302" s="652">
        <f>IF($B1302="",,SUMIFS(PerHeadcount[Month 15],PerHeadcount[exp_item],$H1302,PerHeadcount[company_name],$B1302)*Z252)</f>
        <v>0</v>
      </c>
      <c r="AA1302" s="652">
        <f>IF($B1302="",,SUMIFS(PerHeadcount[Month 16],PerHeadcount[exp_item],$H1302,PerHeadcount[company_name],$B1302)*AA252)</f>
        <v>0</v>
      </c>
      <c r="AB1302" s="652">
        <f>IF($B1302="",,SUMIFS(PerHeadcount[Month 17],PerHeadcount[exp_item],$H1302,PerHeadcount[company_name],$B1302)*AB252)</f>
        <v>0</v>
      </c>
      <c r="AC1302" s="652">
        <f>IF($B1302="",,SUMIFS(PerHeadcount[Month 18],PerHeadcount[exp_item],$H1302,PerHeadcount[company_name],$B1302)*AC252)</f>
        <v>0</v>
      </c>
      <c r="AD1302" s="652">
        <f>IF($B1302="",,SUMIFS(PerHeadcount[Month 19],PerHeadcount[exp_item],$H1302,PerHeadcount[company_name],$B1302)*AD252)</f>
        <v>0</v>
      </c>
      <c r="AE1302" s="652">
        <f>IF($B1302="",,SUMIFS(PerHeadcount[Month 20],PerHeadcount[exp_item],$H1302,PerHeadcount[company_name],$B1302)*AE252)</f>
        <v>0</v>
      </c>
      <c r="AF1302" s="652">
        <f>IF($B1302="",,SUMIFS(PerHeadcount[Month 21],PerHeadcount[exp_item],$H1302,PerHeadcount[company_name],$B1302)*AF252)</f>
        <v>0</v>
      </c>
      <c r="AG1302" s="652">
        <f>IF($B1302="",,SUMIFS(PerHeadcount[Month 22],PerHeadcount[exp_item],$H1302,PerHeadcount[company_name],$B1302)*AG252)</f>
        <v>0</v>
      </c>
      <c r="AH1302" s="652">
        <f>IF($B1302="",,SUMIFS(PerHeadcount[Month 23],PerHeadcount[exp_item],$H1302,PerHeadcount[company_name],$B1302)*AH252)</f>
        <v>0</v>
      </c>
      <c r="AI1302" s="652">
        <f>IF($B1302="",,SUMIFS(PerHeadcount[Month 24],PerHeadcount[exp_item],$H1302,PerHeadcount[company_name],$B1302)*AI252)</f>
        <v>0</v>
      </c>
      <c r="AJ1302" s="652">
        <f>IF($B1302="",,SUMIFS(PerHeadcount[Month 25],PerHeadcount[exp_item],$H1302,PerHeadcount[company_name],$B1302)*AJ252)</f>
        <v>0</v>
      </c>
      <c r="AK1302" s="652">
        <f>IF($B1302="",,SUMIFS(PerHeadcount[Month 26],PerHeadcount[exp_item],$H1302,PerHeadcount[company_name],$B1302)*AK252)</f>
        <v>0</v>
      </c>
      <c r="AL1302" s="652">
        <f>IF($B1302="",,SUMIFS(PerHeadcount[Month 27],PerHeadcount[exp_item],$H1302,PerHeadcount[company_name],$B1302)*AL252)</f>
        <v>0</v>
      </c>
      <c r="AM1302" s="652">
        <f>IF($B1302="",,SUMIFS(PerHeadcount[Month 28],PerHeadcount[exp_item],$H1302,PerHeadcount[company_name],$B1302)*AM252)</f>
        <v>0</v>
      </c>
      <c r="AN1302" s="652">
        <f>IF($B1302="",,SUMIFS(PerHeadcount[Month 29],PerHeadcount[exp_item],$H1302,PerHeadcount[company_name],$B1302)*AN252)</f>
        <v>0</v>
      </c>
      <c r="AO1302" s="652">
        <f>IF($B1302="",,SUMIFS(PerHeadcount[Month 30],PerHeadcount[exp_item],$H1302,PerHeadcount[company_name],$B1302)*AO252)</f>
        <v>0</v>
      </c>
      <c r="AP1302" s="652">
        <f>IF($B1302="",,SUMIFS(PerHeadcount[Month 31],PerHeadcount[exp_item],$H1302,PerHeadcount[company_name],$B1302)*AP252)</f>
        <v>0</v>
      </c>
      <c r="AQ1302" s="652">
        <f>IF($B1302="",,SUMIFS(PerHeadcount[Month 32],PerHeadcount[exp_item],$H1302,PerHeadcount[company_name],$B1302)*AQ252)</f>
        <v>0</v>
      </c>
      <c r="AR1302" s="652">
        <f>IF($B1302="",,SUMIFS(PerHeadcount[Month 33],PerHeadcount[exp_item],$H1302,PerHeadcount[company_name],$B1302)*AR252)</f>
        <v>0</v>
      </c>
      <c r="AS1302" s="652">
        <f>IF($B1302="",,SUMIFS(PerHeadcount[Month 34],PerHeadcount[exp_item],$H1302,PerHeadcount[company_name],$B1302)*AS252)</f>
        <v>0</v>
      </c>
      <c r="AT1302" s="652">
        <f>IF($B1302="",,SUMIFS(PerHeadcount[Month 35],PerHeadcount[exp_item],$H1302,PerHeadcount[company_name],$B1302)*AT252)</f>
        <v>0</v>
      </c>
      <c r="AU1302" s="652">
        <f>IF($B1302="",,SUMIFS(PerHeadcount[Month 36],PerHeadcount[exp_item],$H1302,PerHeadcount[company_name],$B1302)*AU252)</f>
        <v>0</v>
      </c>
    </row>
    <row r="1303" spans="2:47" x14ac:dyDescent="0.35">
      <c r="B1303" t="str">
        <f t="shared" si="950"/>
        <v/>
      </c>
      <c r="C1303" t="str">
        <f t="shared" ref="C1303:G1303" si="954">IF(C1198="","",C1198)</f>
        <v/>
      </c>
      <c r="D1303" t="str">
        <f t="shared" si="954"/>
        <v/>
      </c>
      <c r="E1303" t="str">
        <f t="shared" si="954"/>
        <v/>
      </c>
      <c r="F1303" t="str">
        <f t="shared" si="954"/>
        <v/>
      </c>
      <c r="G1303" t="str">
        <f t="shared" si="954"/>
        <v/>
      </c>
      <c r="H1303" t="str">
        <f t="shared" si="949"/>
        <v/>
      </c>
      <c r="J1303" t="str">
        <f>IF($H1303="","",IF(VLOOKUP(H1303,ExpItems[],2,0),H1303&amp;" - "&amp;INDEX(DivisionMapping[category_code],MATCH($D1303&amp;$C1303,DivisionMapping[dept_bu],0)),H1303))</f>
        <v/>
      </c>
      <c r="K1303" t="str">
        <f t="shared" si="952"/>
        <v/>
      </c>
      <c r="L1303" s="652">
        <f>IF($B1303="",,SUMIFS(PerHeadcount[Month 1],PerHeadcount[exp_item],$H1303,PerHeadcount[company_name],$B1303)*L253)</f>
        <v>0</v>
      </c>
      <c r="M1303" s="652">
        <f>IF($B1303="",,SUMIFS(PerHeadcount[Month 2],PerHeadcount[exp_item],$H1303,PerHeadcount[company_name],$B1303)*M253)</f>
        <v>0</v>
      </c>
      <c r="N1303" s="652">
        <f>IF($B1303="",,SUMIFS(PerHeadcount[Month 3],PerHeadcount[exp_item],$H1303,PerHeadcount[company_name],$B1303)*N253)</f>
        <v>0</v>
      </c>
      <c r="O1303" s="652">
        <f>IF($B1303="",,SUMIFS(PerHeadcount[Month 4],PerHeadcount[exp_item],$H1303,PerHeadcount[company_name],$B1303)*O253)</f>
        <v>0</v>
      </c>
      <c r="P1303" s="652">
        <f>IF($B1303="",,SUMIFS(PerHeadcount[Month 5],PerHeadcount[exp_item],$H1303,PerHeadcount[company_name],$B1303)*P253)</f>
        <v>0</v>
      </c>
      <c r="Q1303" s="652">
        <f>IF($B1303="",,SUMIFS(PerHeadcount[Month 6],PerHeadcount[exp_item],$H1303,PerHeadcount[company_name],$B1303)*Q253)</f>
        <v>0</v>
      </c>
      <c r="R1303" s="652">
        <f>IF($B1303="",,SUMIFS(PerHeadcount[Month 7],PerHeadcount[exp_item],$H1303,PerHeadcount[company_name],$B1303)*R253)</f>
        <v>0</v>
      </c>
      <c r="S1303" s="652">
        <f>IF($B1303="",,SUMIFS(PerHeadcount[Month 8],PerHeadcount[exp_item],$H1303,PerHeadcount[company_name],$B1303)*S253)</f>
        <v>0</v>
      </c>
      <c r="T1303" s="652">
        <f>IF($B1303="",,SUMIFS(PerHeadcount[Month 9],PerHeadcount[exp_item],$H1303,PerHeadcount[company_name],$B1303)*T253)</f>
        <v>0</v>
      </c>
      <c r="U1303" s="652">
        <f>IF($B1303="",,SUMIFS(PerHeadcount[Month 10],PerHeadcount[exp_item],$H1303,PerHeadcount[company_name],$B1303)*U253)</f>
        <v>0</v>
      </c>
      <c r="V1303" s="652">
        <f>IF($B1303="",,SUMIFS(PerHeadcount[Month 11],PerHeadcount[exp_item],$H1303,PerHeadcount[company_name],$B1303)*V253)</f>
        <v>0</v>
      </c>
      <c r="W1303" s="652">
        <f>IF($B1303="",,SUMIFS(PerHeadcount[Month 12],PerHeadcount[exp_item],$H1303,PerHeadcount[company_name],$B1303)*W253)</f>
        <v>0</v>
      </c>
      <c r="X1303" s="652">
        <f>IF($B1303="",,SUMIFS(PerHeadcount[Month 13],PerHeadcount[exp_item],$H1303,PerHeadcount[company_name],$B1303)*X253)</f>
        <v>0</v>
      </c>
      <c r="Y1303" s="652">
        <f>IF($B1303="",,SUMIFS(PerHeadcount[Month 14],PerHeadcount[exp_item],$H1303,PerHeadcount[company_name],$B1303)*Y253)</f>
        <v>0</v>
      </c>
      <c r="Z1303" s="652">
        <f>IF($B1303="",,SUMIFS(PerHeadcount[Month 15],PerHeadcount[exp_item],$H1303,PerHeadcount[company_name],$B1303)*Z253)</f>
        <v>0</v>
      </c>
      <c r="AA1303" s="652">
        <f>IF($B1303="",,SUMIFS(PerHeadcount[Month 16],PerHeadcount[exp_item],$H1303,PerHeadcount[company_name],$B1303)*AA253)</f>
        <v>0</v>
      </c>
      <c r="AB1303" s="652">
        <f>IF($B1303="",,SUMIFS(PerHeadcount[Month 17],PerHeadcount[exp_item],$H1303,PerHeadcount[company_name],$B1303)*AB253)</f>
        <v>0</v>
      </c>
      <c r="AC1303" s="652">
        <f>IF($B1303="",,SUMIFS(PerHeadcount[Month 18],PerHeadcount[exp_item],$H1303,PerHeadcount[company_name],$B1303)*AC253)</f>
        <v>0</v>
      </c>
      <c r="AD1303" s="652">
        <f>IF($B1303="",,SUMIFS(PerHeadcount[Month 19],PerHeadcount[exp_item],$H1303,PerHeadcount[company_name],$B1303)*AD253)</f>
        <v>0</v>
      </c>
      <c r="AE1303" s="652">
        <f>IF($B1303="",,SUMIFS(PerHeadcount[Month 20],PerHeadcount[exp_item],$H1303,PerHeadcount[company_name],$B1303)*AE253)</f>
        <v>0</v>
      </c>
      <c r="AF1303" s="652">
        <f>IF($B1303="",,SUMIFS(PerHeadcount[Month 21],PerHeadcount[exp_item],$H1303,PerHeadcount[company_name],$B1303)*AF253)</f>
        <v>0</v>
      </c>
      <c r="AG1303" s="652">
        <f>IF($B1303="",,SUMIFS(PerHeadcount[Month 22],PerHeadcount[exp_item],$H1303,PerHeadcount[company_name],$B1303)*AG253)</f>
        <v>0</v>
      </c>
      <c r="AH1303" s="652">
        <f>IF($B1303="",,SUMIFS(PerHeadcount[Month 23],PerHeadcount[exp_item],$H1303,PerHeadcount[company_name],$B1303)*AH253)</f>
        <v>0</v>
      </c>
      <c r="AI1303" s="652">
        <f>IF($B1303="",,SUMIFS(PerHeadcount[Month 24],PerHeadcount[exp_item],$H1303,PerHeadcount[company_name],$B1303)*AI253)</f>
        <v>0</v>
      </c>
      <c r="AJ1303" s="652">
        <f>IF($B1303="",,SUMIFS(PerHeadcount[Month 25],PerHeadcount[exp_item],$H1303,PerHeadcount[company_name],$B1303)*AJ253)</f>
        <v>0</v>
      </c>
      <c r="AK1303" s="652">
        <f>IF($B1303="",,SUMIFS(PerHeadcount[Month 26],PerHeadcount[exp_item],$H1303,PerHeadcount[company_name],$B1303)*AK253)</f>
        <v>0</v>
      </c>
      <c r="AL1303" s="652">
        <f>IF($B1303="",,SUMIFS(PerHeadcount[Month 27],PerHeadcount[exp_item],$H1303,PerHeadcount[company_name],$B1303)*AL253)</f>
        <v>0</v>
      </c>
      <c r="AM1303" s="652">
        <f>IF($B1303="",,SUMIFS(PerHeadcount[Month 28],PerHeadcount[exp_item],$H1303,PerHeadcount[company_name],$B1303)*AM253)</f>
        <v>0</v>
      </c>
      <c r="AN1303" s="652">
        <f>IF($B1303="",,SUMIFS(PerHeadcount[Month 29],PerHeadcount[exp_item],$H1303,PerHeadcount[company_name],$B1303)*AN253)</f>
        <v>0</v>
      </c>
      <c r="AO1303" s="652">
        <f>IF($B1303="",,SUMIFS(PerHeadcount[Month 30],PerHeadcount[exp_item],$H1303,PerHeadcount[company_name],$B1303)*AO253)</f>
        <v>0</v>
      </c>
      <c r="AP1303" s="652">
        <f>IF($B1303="",,SUMIFS(PerHeadcount[Month 31],PerHeadcount[exp_item],$H1303,PerHeadcount[company_name],$B1303)*AP253)</f>
        <v>0</v>
      </c>
      <c r="AQ1303" s="652">
        <f>IF($B1303="",,SUMIFS(PerHeadcount[Month 32],PerHeadcount[exp_item],$H1303,PerHeadcount[company_name],$B1303)*AQ253)</f>
        <v>0</v>
      </c>
      <c r="AR1303" s="652">
        <f>IF($B1303="",,SUMIFS(PerHeadcount[Month 33],PerHeadcount[exp_item],$H1303,PerHeadcount[company_name],$B1303)*AR253)</f>
        <v>0</v>
      </c>
      <c r="AS1303" s="652">
        <f>IF($B1303="",,SUMIFS(PerHeadcount[Month 34],PerHeadcount[exp_item],$H1303,PerHeadcount[company_name],$B1303)*AS253)</f>
        <v>0</v>
      </c>
      <c r="AT1303" s="652">
        <f>IF($B1303="",,SUMIFS(PerHeadcount[Month 35],PerHeadcount[exp_item],$H1303,PerHeadcount[company_name],$B1303)*AT253)</f>
        <v>0</v>
      </c>
      <c r="AU1303" s="652">
        <f>IF($B1303="",,SUMIFS(PerHeadcount[Month 36],PerHeadcount[exp_item],$H1303,PerHeadcount[company_name],$B1303)*AU253)</f>
        <v>0</v>
      </c>
    </row>
    <row r="1304" spans="2:47" x14ac:dyDescent="0.35">
      <c r="B1304" t="str">
        <f t="shared" si="950"/>
        <v/>
      </c>
      <c r="C1304" t="str">
        <f t="shared" ref="C1304:G1304" si="955">IF(C1199="","",C1199)</f>
        <v/>
      </c>
      <c r="D1304" t="str">
        <f t="shared" si="955"/>
        <v/>
      </c>
      <c r="E1304" t="str">
        <f t="shared" si="955"/>
        <v/>
      </c>
      <c r="F1304" t="str">
        <f t="shared" si="955"/>
        <v/>
      </c>
      <c r="G1304" t="str">
        <f t="shared" si="955"/>
        <v/>
      </c>
      <c r="H1304" t="str">
        <f t="shared" si="949"/>
        <v/>
      </c>
      <c r="J1304" t="str">
        <f>IF($H1304="","",IF(VLOOKUP(H1304,ExpItems[],2,0),H1304&amp;" - "&amp;INDEX(DivisionMapping[category_code],MATCH($D1304&amp;$C1304,DivisionMapping[dept_bu],0)),H1304))</f>
        <v/>
      </c>
      <c r="K1304" t="str">
        <f t="shared" si="952"/>
        <v/>
      </c>
      <c r="L1304" s="652">
        <f>IF($B1304="",,SUMIFS(PerHeadcount[Month 1],PerHeadcount[exp_item],$H1304,PerHeadcount[company_name],$B1304)*L254)</f>
        <v>0</v>
      </c>
      <c r="M1304" s="652">
        <f>IF($B1304="",,SUMIFS(PerHeadcount[Month 2],PerHeadcount[exp_item],$H1304,PerHeadcount[company_name],$B1304)*M254)</f>
        <v>0</v>
      </c>
      <c r="N1304" s="652">
        <f>IF($B1304="",,SUMIFS(PerHeadcount[Month 3],PerHeadcount[exp_item],$H1304,PerHeadcount[company_name],$B1304)*N254)</f>
        <v>0</v>
      </c>
      <c r="O1304" s="652">
        <f>IF($B1304="",,SUMIFS(PerHeadcount[Month 4],PerHeadcount[exp_item],$H1304,PerHeadcount[company_name],$B1304)*O254)</f>
        <v>0</v>
      </c>
      <c r="P1304" s="652">
        <f>IF($B1304="",,SUMIFS(PerHeadcount[Month 5],PerHeadcount[exp_item],$H1304,PerHeadcount[company_name],$B1304)*P254)</f>
        <v>0</v>
      </c>
      <c r="Q1304" s="652">
        <f>IF($B1304="",,SUMIFS(PerHeadcount[Month 6],PerHeadcount[exp_item],$H1304,PerHeadcount[company_name],$B1304)*Q254)</f>
        <v>0</v>
      </c>
      <c r="R1304" s="652">
        <f>IF($B1304="",,SUMIFS(PerHeadcount[Month 7],PerHeadcount[exp_item],$H1304,PerHeadcount[company_name],$B1304)*R254)</f>
        <v>0</v>
      </c>
      <c r="S1304" s="652">
        <f>IF($B1304="",,SUMIFS(PerHeadcount[Month 8],PerHeadcount[exp_item],$H1304,PerHeadcount[company_name],$B1304)*S254)</f>
        <v>0</v>
      </c>
      <c r="T1304" s="652">
        <f>IF($B1304="",,SUMIFS(PerHeadcount[Month 9],PerHeadcount[exp_item],$H1304,PerHeadcount[company_name],$B1304)*T254)</f>
        <v>0</v>
      </c>
      <c r="U1304" s="652">
        <f>IF($B1304="",,SUMIFS(PerHeadcount[Month 10],PerHeadcount[exp_item],$H1304,PerHeadcount[company_name],$B1304)*U254)</f>
        <v>0</v>
      </c>
      <c r="V1304" s="652">
        <f>IF($B1304="",,SUMIFS(PerHeadcount[Month 11],PerHeadcount[exp_item],$H1304,PerHeadcount[company_name],$B1304)*V254)</f>
        <v>0</v>
      </c>
      <c r="W1304" s="652">
        <f>IF($B1304="",,SUMIFS(PerHeadcount[Month 12],PerHeadcount[exp_item],$H1304,PerHeadcount[company_name],$B1304)*W254)</f>
        <v>0</v>
      </c>
      <c r="X1304" s="652">
        <f>IF($B1304="",,SUMIFS(PerHeadcount[Month 13],PerHeadcount[exp_item],$H1304,PerHeadcount[company_name],$B1304)*X254)</f>
        <v>0</v>
      </c>
      <c r="Y1304" s="652">
        <f>IF($B1304="",,SUMIFS(PerHeadcount[Month 14],PerHeadcount[exp_item],$H1304,PerHeadcount[company_name],$B1304)*Y254)</f>
        <v>0</v>
      </c>
      <c r="Z1304" s="652">
        <f>IF($B1304="",,SUMIFS(PerHeadcount[Month 15],PerHeadcount[exp_item],$H1304,PerHeadcount[company_name],$B1304)*Z254)</f>
        <v>0</v>
      </c>
      <c r="AA1304" s="652">
        <f>IF($B1304="",,SUMIFS(PerHeadcount[Month 16],PerHeadcount[exp_item],$H1304,PerHeadcount[company_name],$B1304)*AA254)</f>
        <v>0</v>
      </c>
      <c r="AB1304" s="652">
        <f>IF($B1304="",,SUMIFS(PerHeadcount[Month 17],PerHeadcount[exp_item],$H1304,PerHeadcount[company_name],$B1304)*AB254)</f>
        <v>0</v>
      </c>
      <c r="AC1304" s="652">
        <f>IF($B1304="",,SUMIFS(PerHeadcount[Month 18],PerHeadcount[exp_item],$H1304,PerHeadcount[company_name],$B1304)*AC254)</f>
        <v>0</v>
      </c>
      <c r="AD1304" s="652">
        <f>IF($B1304="",,SUMIFS(PerHeadcount[Month 19],PerHeadcount[exp_item],$H1304,PerHeadcount[company_name],$B1304)*AD254)</f>
        <v>0</v>
      </c>
      <c r="AE1304" s="652">
        <f>IF($B1304="",,SUMIFS(PerHeadcount[Month 20],PerHeadcount[exp_item],$H1304,PerHeadcount[company_name],$B1304)*AE254)</f>
        <v>0</v>
      </c>
      <c r="AF1304" s="652">
        <f>IF($B1304="",,SUMIFS(PerHeadcount[Month 21],PerHeadcount[exp_item],$H1304,PerHeadcount[company_name],$B1304)*AF254)</f>
        <v>0</v>
      </c>
      <c r="AG1304" s="652">
        <f>IF($B1304="",,SUMIFS(PerHeadcount[Month 22],PerHeadcount[exp_item],$H1304,PerHeadcount[company_name],$B1304)*AG254)</f>
        <v>0</v>
      </c>
      <c r="AH1304" s="652">
        <f>IF($B1304="",,SUMIFS(PerHeadcount[Month 23],PerHeadcount[exp_item],$H1304,PerHeadcount[company_name],$B1304)*AH254)</f>
        <v>0</v>
      </c>
      <c r="AI1304" s="652">
        <f>IF($B1304="",,SUMIFS(PerHeadcount[Month 24],PerHeadcount[exp_item],$H1304,PerHeadcount[company_name],$B1304)*AI254)</f>
        <v>0</v>
      </c>
      <c r="AJ1304" s="652">
        <f>IF($B1304="",,SUMIFS(PerHeadcount[Month 25],PerHeadcount[exp_item],$H1304,PerHeadcount[company_name],$B1304)*AJ254)</f>
        <v>0</v>
      </c>
      <c r="AK1304" s="652">
        <f>IF($B1304="",,SUMIFS(PerHeadcount[Month 26],PerHeadcount[exp_item],$H1304,PerHeadcount[company_name],$B1304)*AK254)</f>
        <v>0</v>
      </c>
      <c r="AL1304" s="652">
        <f>IF($B1304="",,SUMIFS(PerHeadcount[Month 27],PerHeadcount[exp_item],$H1304,PerHeadcount[company_name],$B1304)*AL254)</f>
        <v>0</v>
      </c>
      <c r="AM1304" s="652">
        <f>IF($B1304="",,SUMIFS(PerHeadcount[Month 28],PerHeadcount[exp_item],$H1304,PerHeadcount[company_name],$B1304)*AM254)</f>
        <v>0</v>
      </c>
      <c r="AN1304" s="652">
        <f>IF($B1304="",,SUMIFS(PerHeadcount[Month 29],PerHeadcount[exp_item],$H1304,PerHeadcount[company_name],$B1304)*AN254)</f>
        <v>0</v>
      </c>
      <c r="AO1304" s="652">
        <f>IF($B1304="",,SUMIFS(PerHeadcount[Month 30],PerHeadcount[exp_item],$H1304,PerHeadcount[company_name],$B1304)*AO254)</f>
        <v>0</v>
      </c>
      <c r="AP1304" s="652">
        <f>IF($B1304="",,SUMIFS(PerHeadcount[Month 31],PerHeadcount[exp_item],$H1304,PerHeadcount[company_name],$B1304)*AP254)</f>
        <v>0</v>
      </c>
      <c r="AQ1304" s="652">
        <f>IF($B1304="",,SUMIFS(PerHeadcount[Month 32],PerHeadcount[exp_item],$H1304,PerHeadcount[company_name],$B1304)*AQ254)</f>
        <v>0</v>
      </c>
      <c r="AR1304" s="652">
        <f>IF($B1304="",,SUMIFS(PerHeadcount[Month 33],PerHeadcount[exp_item],$H1304,PerHeadcount[company_name],$B1304)*AR254)</f>
        <v>0</v>
      </c>
      <c r="AS1304" s="652">
        <f>IF($B1304="",,SUMIFS(PerHeadcount[Month 34],PerHeadcount[exp_item],$H1304,PerHeadcount[company_name],$B1304)*AS254)</f>
        <v>0</v>
      </c>
      <c r="AT1304" s="652">
        <f>IF($B1304="",,SUMIFS(PerHeadcount[Month 35],PerHeadcount[exp_item],$H1304,PerHeadcount[company_name],$B1304)*AT254)</f>
        <v>0</v>
      </c>
      <c r="AU1304" s="652">
        <f>IF($B1304="",,SUMIFS(PerHeadcount[Month 36],PerHeadcount[exp_item],$H1304,PerHeadcount[company_name],$B1304)*AU254)</f>
        <v>0</v>
      </c>
    </row>
    <row r="1305" spans="2:47" x14ac:dyDescent="0.35">
      <c r="B1305" t="str">
        <f t="shared" si="950"/>
        <v/>
      </c>
      <c r="C1305" t="str">
        <f t="shared" ref="C1305:G1305" si="956">IF(C1200="","",C1200)</f>
        <v/>
      </c>
      <c r="D1305" t="str">
        <f t="shared" si="956"/>
        <v/>
      </c>
      <c r="E1305" t="str">
        <f t="shared" si="956"/>
        <v/>
      </c>
      <c r="F1305" t="str">
        <f t="shared" si="956"/>
        <v/>
      </c>
      <c r="G1305" t="str">
        <f t="shared" si="956"/>
        <v/>
      </c>
      <c r="H1305" t="str">
        <f t="shared" si="949"/>
        <v/>
      </c>
      <c r="J1305" t="str">
        <f>IF($H1305="","",IF(VLOOKUP(H1305,ExpItems[],2,0),H1305&amp;" - "&amp;INDEX(DivisionMapping[category_code],MATCH($D1305&amp;$C1305,DivisionMapping[dept_bu],0)),H1305))</f>
        <v/>
      </c>
      <c r="K1305" t="str">
        <f t="shared" si="952"/>
        <v/>
      </c>
      <c r="L1305" s="652">
        <f>IF($B1305="",,SUMIFS(PerHeadcount[Month 1],PerHeadcount[exp_item],$H1305,PerHeadcount[company_name],$B1305)*L255)</f>
        <v>0</v>
      </c>
      <c r="M1305" s="652">
        <f>IF($B1305="",,SUMIFS(PerHeadcount[Month 2],PerHeadcount[exp_item],$H1305,PerHeadcount[company_name],$B1305)*M255)</f>
        <v>0</v>
      </c>
      <c r="N1305" s="652">
        <f>IF($B1305="",,SUMIFS(PerHeadcount[Month 3],PerHeadcount[exp_item],$H1305,PerHeadcount[company_name],$B1305)*N255)</f>
        <v>0</v>
      </c>
      <c r="O1305" s="652">
        <f>IF($B1305="",,SUMIFS(PerHeadcount[Month 4],PerHeadcount[exp_item],$H1305,PerHeadcount[company_name],$B1305)*O255)</f>
        <v>0</v>
      </c>
      <c r="P1305" s="652">
        <f>IF($B1305="",,SUMIFS(PerHeadcount[Month 5],PerHeadcount[exp_item],$H1305,PerHeadcount[company_name],$B1305)*P255)</f>
        <v>0</v>
      </c>
      <c r="Q1305" s="652">
        <f>IF($B1305="",,SUMIFS(PerHeadcount[Month 6],PerHeadcount[exp_item],$H1305,PerHeadcount[company_name],$B1305)*Q255)</f>
        <v>0</v>
      </c>
      <c r="R1305" s="652">
        <f>IF($B1305="",,SUMIFS(PerHeadcount[Month 7],PerHeadcount[exp_item],$H1305,PerHeadcount[company_name],$B1305)*R255)</f>
        <v>0</v>
      </c>
      <c r="S1305" s="652">
        <f>IF($B1305="",,SUMIFS(PerHeadcount[Month 8],PerHeadcount[exp_item],$H1305,PerHeadcount[company_name],$B1305)*S255)</f>
        <v>0</v>
      </c>
      <c r="T1305" s="652">
        <f>IF($B1305="",,SUMIFS(PerHeadcount[Month 9],PerHeadcount[exp_item],$H1305,PerHeadcount[company_name],$B1305)*T255)</f>
        <v>0</v>
      </c>
      <c r="U1305" s="652">
        <f>IF($B1305="",,SUMIFS(PerHeadcount[Month 10],PerHeadcount[exp_item],$H1305,PerHeadcount[company_name],$B1305)*U255)</f>
        <v>0</v>
      </c>
      <c r="V1305" s="652">
        <f>IF($B1305="",,SUMIFS(PerHeadcount[Month 11],PerHeadcount[exp_item],$H1305,PerHeadcount[company_name],$B1305)*V255)</f>
        <v>0</v>
      </c>
      <c r="W1305" s="652">
        <f>IF($B1305="",,SUMIFS(PerHeadcount[Month 12],PerHeadcount[exp_item],$H1305,PerHeadcount[company_name],$B1305)*W255)</f>
        <v>0</v>
      </c>
      <c r="X1305" s="652">
        <f>IF($B1305="",,SUMIFS(PerHeadcount[Month 13],PerHeadcount[exp_item],$H1305,PerHeadcount[company_name],$B1305)*X255)</f>
        <v>0</v>
      </c>
      <c r="Y1305" s="652">
        <f>IF($B1305="",,SUMIFS(PerHeadcount[Month 14],PerHeadcount[exp_item],$H1305,PerHeadcount[company_name],$B1305)*Y255)</f>
        <v>0</v>
      </c>
      <c r="Z1305" s="652">
        <f>IF($B1305="",,SUMIFS(PerHeadcount[Month 15],PerHeadcount[exp_item],$H1305,PerHeadcount[company_name],$B1305)*Z255)</f>
        <v>0</v>
      </c>
      <c r="AA1305" s="652">
        <f>IF($B1305="",,SUMIFS(PerHeadcount[Month 16],PerHeadcount[exp_item],$H1305,PerHeadcount[company_name],$B1305)*AA255)</f>
        <v>0</v>
      </c>
      <c r="AB1305" s="652">
        <f>IF($B1305="",,SUMIFS(PerHeadcount[Month 17],PerHeadcount[exp_item],$H1305,PerHeadcount[company_name],$B1305)*AB255)</f>
        <v>0</v>
      </c>
      <c r="AC1305" s="652">
        <f>IF($B1305="",,SUMIFS(PerHeadcount[Month 18],PerHeadcount[exp_item],$H1305,PerHeadcount[company_name],$B1305)*AC255)</f>
        <v>0</v>
      </c>
      <c r="AD1305" s="652">
        <f>IF($B1305="",,SUMIFS(PerHeadcount[Month 19],PerHeadcount[exp_item],$H1305,PerHeadcount[company_name],$B1305)*AD255)</f>
        <v>0</v>
      </c>
      <c r="AE1305" s="652">
        <f>IF($B1305="",,SUMIFS(PerHeadcount[Month 20],PerHeadcount[exp_item],$H1305,PerHeadcount[company_name],$B1305)*AE255)</f>
        <v>0</v>
      </c>
      <c r="AF1305" s="652">
        <f>IF($B1305="",,SUMIFS(PerHeadcount[Month 21],PerHeadcount[exp_item],$H1305,PerHeadcount[company_name],$B1305)*AF255)</f>
        <v>0</v>
      </c>
      <c r="AG1305" s="652">
        <f>IF($B1305="",,SUMIFS(PerHeadcount[Month 22],PerHeadcount[exp_item],$H1305,PerHeadcount[company_name],$B1305)*AG255)</f>
        <v>0</v>
      </c>
      <c r="AH1305" s="652">
        <f>IF($B1305="",,SUMIFS(PerHeadcount[Month 23],PerHeadcount[exp_item],$H1305,PerHeadcount[company_name],$B1305)*AH255)</f>
        <v>0</v>
      </c>
      <c r="AI1305" s="652">
        <f>IF($B1305="",,SUMIFS(PerHeadcount[Month 24],PerHeadcount[exp_item],$H1305,PerHeadcount[company_name],$B1305)*AI255)</f>
        <v>0</v>
      </c>
      <c r="AJ1305" s="652">
        <f>IF($B1305="",,SUMIFS(PerHeadcount[Month 25],PerHeadcount[exp_item],$H1305,PerHeadcount[company_name],$B1305)*AJ255)</f>
        <v>0</v>
      </c>
      <c r="AK1305" s="652">
        <f>IF($B1305="",,SUMIFS(PerHeadcount[Month 26],PerHeadcount[exp_item],$H1305,PerHeadcount[company_name],$B1305)*AK255)</f>
        <v>0</v>
      </c>
      <c r="AL1305" s="652">
        <f>IF($B1305="",,SUMIFS(PerHeadcount[Month 27],PerHeadcount[exp_item],$H1305,PerHeadcount[company_name],$B1305)*AL255)</f>
        <v>0</v>
      </c>
      <c r="AM1305" s="652">
        <f>IF($B1305="",,SUMIFS(PerHeadcount[Month 28],PerHeadcount[exp_item],$H1305,PerHeadcount[company_name],$B1305)*AM255)</f>
        <v>0</v>
      </c>
      <c r="AN1305" s="652">
        <f>IF($B1305="",,SUMIFS(PerHeadcount[Month 29],PerHeadcount[exp_item],$H1305,PerHeadcount[company_name],$B1305)*AN255)</f>
        <v>0</v>
      </c>
      <c r="AO1305" s="652">
        <f>IF($B1305="",,SUMIFS(PerHeadcount[Month 30],PerHeadcount[exp_item],$H1305,PerHeadcount[company_name],$B1305)*AO255)</f>
        <v>0</v>
      </c>
      <c r="AP1305" s="652">
        <f>IF($B1305="",,SUMIFS(PerHeadcount[Month 31],PerHeadcount[exp_item],$H1305,PerHeadcount[company_name],$B1305)*AP255)</f>
        <v>0</v>
      </c>
      <c r="AQ1305" s="652">
        <f>IF($B1305="",,SUMIFS(PerHeadcount[Month 32],PerHeadcount[exp_item],$H1305,PerHeadcount[company_name],$B1305)*AQ255)</f>
        <v>0</v>
      </c>
      <c r="AR1305" s="652">
        <f>IF($B1305="",,SUMIFS(PerHeadcount[Month 33],PerHeadcount[exp_item],$H1305,PerHeadcount[company_name],$B1305)*AR255)</f>
        <v>0</v>
      </c>
      <c r="AS1305" s="652">
        <f>IF($B1305="",,SUMIFS(PerHeadcount[Month 34],PerHeadcount[exp_item],$H1305,PerHeadcount[company_name],$B1305)*AS255)</f>
        <v>0</v>
      </c>
      <c r="AT1305" s="652">
        <f>IF($B1305="",,SUMIFS(PerHeadcount[Month 35],PerHeadcount[exp_item],$H1305,PerHeadcount[company_name],$B1305)*AT255)</f>
        <v>0</v>
      </c>
      <c r="AU1305" s="652">
        <f>IF($B1305="",,SUMIFS(PerHeadcount[Month 36],PerHeadcount[exp_item],$H1305,PerHeadcount[company_name],$B1305)*AU255)</f>
        <v>0</v>
      </c>
    </row>
    <row r="1306" spans="2:47" x14ac:dyDescent="0.35">
      <c r="B1306" t="str">
        <f t="shared" si="950"/>
        <v/>
      </c>
      <c r="C1306" t="str">
        <f t="shared" ref="C1306:G1306" si="957">IF(C1201="","",C1201)</f>
        <v/>
      </c>
      <c r="D1306" t="str">
        <f t="shared" si="957"/>
        <v/>
      </c>
      <c r="E1306" t="str">
        <f t="shared" si="957"/>
        <v/>
      </c>
      <c r="F1306" t="str">
        <f t="shared" si="957"/>
        <v/>
      </c>
      <c r="G1306" t="str">
        <f t="shared" si="957"/>
        <v/>
      </c>
      <c r="H1306" t="str">
        <f t="shared" si="949"/>
        <v/>
      </c>
      <c r="J1306" t="str">
        <f>IF($H1306="","",IF(VLOOKUP(H1306,ExpItems[],2,0),H1306&amp;" - "&amp;INDEX(DivisionMapping[category_code],MATCH($D1306&amp;$C1306,DivisionMapping[dept_bu],0)),H1306))</f>
        <v/>
      </c>
      <c r="K1306" t="str">
        <f t="shared" si="952"/>
        <v/>
      </c>
      <c r="L1306" s="652">
        <f>IF($B1306="",,SUMIFS(PerHeadcount[Month 1],PerHeadcount[exp_item],$H1306,PerHeadcount[company_name],$B1306)*L256)</f>
        <v>0</v>
      </c>
      <c r="M1306" s="652">
        <f>IF($B1306="",,SUMIFS(PerHeadcount[Month 2],PerHeadcount[exp_item],$H1306,PerHeadcount[company_name],$B1306)*M256)</f>
        <v>0</v>
      </c>
      <c r="N1306" s="652">
        <f>IF($B1306="",,SUMIFS(PerHeadcount[Month 3],PerHeadcount[exp_item],$H1306,PerHeadcount[company_name],$B1306)*N256)</f>
        <v>0</v>
      </c>
      <c r="O1306" s="652">
        <f>IF($B1306="",,SUMIFS(PerHeadcount[Month 4],PerHeadcount[exp_item],$H1306,PerHeadcount[company_name],$B1306)*O256)</f>
        <v>0</v>
      </c>
      <c r="P1306" s="652">
        <f>IF($B1306="",,SUMIFS(PerHeadcount[Month 5],PerHeadcount[exp_item],$H1306,PerHeadcount[company_name],$B1306)*P256)</f>
        <v>0</v>
      </c>
      <c r="Q1306" s="652">
        <f>IF($B1306="",,SUMIFS(PerHeadcount[Month 6],PerHeadcount[exp_item],$H1306,PerHeadcount[company_name],$B1306)*Q256)</f>
        <v>0</v>
      </c>
      <c r="R1306" s="652">
        <f>IF($B1306="",,SUMIFS(PerHeadcount[Month 7],PerHeadcount[exp_item],$H1306,PerHeadcount[company_name],$B1306)*R256)</f>
        <v>0</v>
      </c>
      <c r="S1306" s="652">
        <f>IF($B1306="",,SUMIFS(PerHeadcount[Month 8],PerHeadcount[exp_item],$H1306,PerHeadcount[company_name],$B1306)*S256)</f>
        <v>0</v>
      </c>
      <c r="T1306" s="652">
        <f>IF($B1306="",,SUMIFS(PerHeadcount[Month 9],PerHeadcount[exp_item],$H1306,PerHeadcount[company_name],$B1306)*T256)</f>
        <v>0</v>
      </c>
      <c r="U1306" s="652">
        <f>IF($B1306="",,SUMIFS(PerHeadcount[Month 10],PerHeadcount[exp_item],$H1306,PerHeadcount[company_name],$B1306)*U256)</f>
        <v>0</v>
      </c>
      <c r="V1306" s="652">
        <f>IF($B1306="",,SUMIFS(PerHeadcount[Month 11],PerHeadcount[exp_item],$H1306,PerHeadcount[company_name],$B1306)*V256)</f>
        <v>0</v>
      </c>
      <c r="W1306" s="652">
        <f>IF($B1306="",,SUMIFS(PerHeadcount[Month 12],PerHeadcount[exp_item],$H1306,PerHeadcount[company_name],$B1306)*W256)</f>
        <v>0</v>
      </c>
      <c r="X1306" s="652">
        <f>IF($B1306="",,SUMIFS(PerHeadcount[Month 13],PerHeadcount[exp_item],$H1306,PerHeadcount[company_name],$B1306)*X256)</f>
        <v>0</v>
      </c>
      <c r="Y1306" s="652">
        <f>IF($B1306="",,SUMIFS(PerHeadcount[Month 14],PerHeadcount[exp_item],$H1306,PerHeadcount[company_name],$B1306)*Y256)</f>
        <v>0</v>
      </c>
      <c r="Z1306" s="652">
        <f>IF($B1306="",,SUMIFS(PerHeadcount[Month 15],PerHeadcount[exp_item],$H1306,PerHeadcount[company_name],$B1306)*Z256)</f>
        <v>0</v>
      </c>
      <c r="AA1306" s="652">
        <f>IF($B1306="",,SUMIFS(PerHeadcount[Month 16],PerHeadcount[exp_item],$H1306,PerHeadcount[company_name],$B1306)*AA256)</f>
        <v>0</v>
      </c>
      <c r="AB1306" s="652">
        <f>IF($B1306="",,SUMIFS(PerHeadcount[Month 17],PerHeadcount[exp_item],$H1306,PerHeadcount[company_name],$B1306)*AB256)</f>
        <v>0</v>
      </c>
      <c r="AC1306" s="652">
        <f>IF($B1306="",,SUMIFS(PerHeadcount[Month 18],PerHeadcount[exp_item],$H1306,PerHeadcount[company_name],$B1306)*AC256)</f>
        <v>0</v>
      </c>
      <c r="AD1306" s="652">
        <f>IF($B1306="",,SUMIFS(PerHeadcount[Month 19],PerHeadcount[exp_item],$H1306,PerHeadcount[company_name],$B1306)*AD256)</f>
        <v>0</v>
      </c>
      <c r="AE1306" s="652">
        <f>IF($B1306="",,SUMIFS(PerHeadcount[Month 20],PerHeadcount[exp_item],$H1306,PerHeadcount[company_name],$B1306)*AE256)</f>
        <v>0</v>
      </c>
      <c r="AF1306" s="652">
        <f>IF($B1306="",,SUMIFS(PerHeadcount[Month 21],PerHeadcount[exp_item],$H1306,PerHeadcount[company_name],$B1306)*AF256)</f>
        <v>0</v>
      </c>
      <c r="AG1306" s="652">
        <f>IF($B1306="",,SUMIFS(PerHeadcount[Month 22],PerHeadcount[exp_item],$H1306,PerHeadcount[company_name],$B1306)*AG256)</f>
        <v>0</v>
      </c>
      <c r="AH1306" s="652">
        <f>IF($B1306="",,SUMIFS(PerHeadcount[Month 23],PerHeadcount[exp_item],$H1306,PerHeadcount[company_name],$B1306)*AH256)</f>
        <v>0</v>
      </c>
      <c r="AI1306" s="652">
        <f>IF($B1306="",,SUMIFS(PerHeadcount[Month 24],PerHeadcount[exp_item],$H1306,PerHeadcount[company_name],$B1306)*AI256)</f>
        <v>0</v>
      </c>
      <c r="AJ1306" s="652">
        <f>IF($B1306="",,SUMIFS(PerHeadcount[Month 25],PerHeadcount[exp_item],$H1306,PerHeadcount[company_name],$B1306)*AJ256)</f>
        <v>0</v>
      </c>
      <c r="AK1306" s="652">
        <f>IF($B1306="",,SUMIFS(PerHeadcount[Month 26],PerHeadcount[exp_item],$H1306,PerHeadcount[company_name],$B1306)*AK256)</f>
        <v>0</v>
      </c>
      <c r="AL1306" s="652">
        <f>IF($B1306="",,SUMIFS(PerHeadcount[Month 27],PerHeadcount[exp_item],$H1306,PerHeadcount[company_name],$B1306)*AL256)</f>
        <v>0</v>
      </c>
      <c r="AM1306" s="652">
        <f>IF($B1306="",,SUMIFS(PerHeadcount[Month 28],PerHeadcount[exp_item],$H1306,PerHeadcount[company_name],$B1306)*AM256)</f>
        <v>0</v>
      </c>
      <c r="AN1306" s="652">
        <f>IF($B1306="",,SUMIFS(PerHeadcount[Month 29],PerHeadcount[exp_item],$H1306,PerHeadcount[company_name],$B1306)*AN256)</f>
        <v>0</v>
      </c>
      <c r="AO1306" s="652">
        <f>IF($B1306="",,SUMIFS(PerHeadcount[Month 30],PerHeadcount[exp_item],$H1306,PerHeadcount[company_name],$B1306)*AO256)</f>
        <v>0</v>
      </c>
      <c r="AP1306" s="652">
        <f>IF($B1306="",,SUMIFS(PerHeadcount[Month 31],PerHeadcount[exp_item],$H1306,PerHeadcount[company_name],$B1306)*AP256)</f>
        <v>0</v>
      </c>
      <c r="AQ1306" s="652">
        <f>IF($B1306="",,SUMIFS(PerHeadcount[Month 32],PerHeadcount[exp_item],$H1306,PerHeadcount[company_name],$B1306)*AQ256)</f>
        <v>0</v>
      </c>
      <c r="AR1306" s="652">
        <f>IF($B1306="",,SUMIFS(PerHeadcount[Month 33],PerHeadcount[exp_item],$H1306,PerHeadcount[company_name],$B1306)*AR256)</f>
        <v>0</v>
      </c>
      <c r="AS1306" s="652">
        <f>IF($B1306="",,SUMIFS(PerHeadcount[Month 34],PerHeadcount[exp_item],$H1306,PerHeadcount[company_name],$B1306)*AS256)</f>
        <v>0</v>
      </c>
      <c r="AT1306" s="652">
        <f>IF($B1306="",,SUMIFS(PerHeadcount[Month 35],PerHeadcount[exp_item],$H1306,PerHeadcount[company_name],$B1306)*AT256)</f>
        <v>0</v>
      </c>
      <c r="AU1306" s="652">
        <f>IF($B1306="",,SUMIFS(PerHeadcount[Month 36],PerHeadcount[exp_item],$H1306,PerHeadcount[company_name],$B1306)*AU256)</f>
        <v>0</v>
      </c>
    </row>
    <row r="1307" spans="2:47" x14ac:dyDescent="0.35">
      <c r="B1307" t="str">
        <f t="shared" si="950"/>
        <v/>
      </c>
      <c r="C1307" t="str">
        <f t="shared" ref="C1307:G1307" si="958">IF(C1202="","",C1202)</f>
        <v/>
      </c>
      <c r="D1307" t="str">
        <f t="shared" si="958"/>
        <v/>
      </c>
      <c r="E1307" t="str">
        <f t="shared" si="958"/>
        <v/>
      </c>
      <c r="F1307" t="str">
        <f t="shared" si="958"/>
        <v/>
      </c>
      <c r="G1307" t="str">
        <f t="shared" si="958"/>
        <v/>
      </c>
      <c r="H1307" t="str">
        <f t="shared" si="949"/>
        <v/>
      </c>
      <c r="J1307" t="str">
        <f>IF($H1307="","",IF(VLOOKUP(H1307,ExpItems[],2,0),H1307&amp;" - "&amp;INDEX(DivisionMapping[category_code],MATCH($D1307&amp;$C1307,DivisionMapping[dept_bu],0)),H1307))</f>
        <v/>
      </c>
      <c r="K1307" t="str">
        <f t="shared" si="952"/>
        <v/>
      </c>
      <c r="L1307" s="652">
        <f>IF($B1307="",,SUMIFS(PerHeadcount[Month 1],PerHeadcount[exp_item],$H1307,PerHeadcount[company_name],$B1307)*L257)</f>
        <v>0</v>
      </c>
      <c r="M1307" s="652">
        <f>IF($B1307="",,SUMIFS(PerHeadcount[Month 2],PerHeadcount[exp_item],$H1307,PerHeadcount[company_name],$B1307)*M257)</f>
        <v>0</v>
      </c>
      <c r="N1307" s="652">
        <f>IF($B1307="",,SUMIFS(PerHeadcount[Month 3],PerHeadcount[exp_item],$H1307,PerHeadcount[company_name],$B1307)*N257)</f>
        <v>0</v>
      </c>
      <c r="O1307" s="652">
        <f>IF($B1307="",,SUMIFS(PerHeadcount[Month 4],PerHeadcount[exp_item],$H1307,PerHeadcount[company_name],$B1307)*O257)</f>
        <v>0</v>
      </c>
      <c r="P1307" s="652">
        <f>IF($B1307="",,SUMIFS(PerHeadcount[Month 5],PerHeadcount[exp_item],$H1307,PerHeadcount[company_name],$B1307)*P257)</f>
        <v>0</v>
      </c>
      <c r="Q1307" s="652">
        <f>IF($B1307="",,SUMIFS(PerHeadcount[Month 6],PerHeadcount[exp_item],$H1307,PerHeadcount[company_name],$B1307)*Q257)</f>
        <v>0</v>
      </c>
      <c r="R1307" s="652">
        <f>IF($B1307="",,SUMIFS(PerHeadcount[Month 7],PerHeadcount[exp_item],$H1307,PerHeadcount[company_name],$B1307)*R257)</f>
        <v>0</v>
      </c>
      <c r="S1307" s="652">
        <f>IF($B1307="",,SUMIFS(PerHeadcount[Month 8],PerHeadcount[exp_item],$H1307,PerHeadcount[company_name],$B1307)*S257)</f>
        <v>0</v>
      </c>
      <c r="T1307" s="652">
        <f>IF($B1307="",,SUMIFS(PerHeadcount[Month 9],PerHeadcount[exp_item],$H1307,PerHeadcount[company_name],$B1307)*T257)</f>
        <v>0</v>
      </c>
      <c r="U1307" s="652">
        <f>IF($B1307="",,SUMIFS(PerHeadcount[Month 10],PerHeadcount[exp_item],$H1307,PerHeadcount[company_name],$B1307)*U257)</f>
        <v>0</v>
      </c>
      <c r="V1307" s="652">
        <f>IF($B1307="",,SUMIFS(PerHeadcount[Month 11],PerHeadcount[exp_item],$H1307,PerHeadcount[company_name],$B1307)*V257)</f>
        <v>0</v>
      </c>
      <c r="W1307" s="652">
        <f>IF($B1307="",,SUMIFS(PerHeadcount[Month 12],PerHeadcount[exp_item],$H1307,PerHeadcount[company_name],$B1307)*W257)</f>
        <v>0</v>
      </c>
      <c r="X1307" s="652">
        <f>IF($B1307="",,SUMIFS(PerHeadcount[Month 13],PerHeadcount[exp_item],$H1307,PerHeadcount[company_name],$B1307)*X257)</f>
        <v>0</v>
      </c>
      <c r="Y1307" s="652">
        <f>IF($B1307="",,SUMIFS(PerHeadcount[Month 14],PerHeadcount[exp_item],$H1307,PerHeadcount[company_name],$B1307)*Y257)</f>
        <v>0</v>
      </c>
      <c r="Z1307" s="652">
        <f>IF($B1307="",,SUMIFS(PerHeadcount[Month 15],PerHeadcount[exp_item],$H1307,PerHeadcount[company_name],$B1307)*Z257)</f>
        <v>0</v>
      </c>
      <c r="AA1307" s="652">
        <f>IF($B1307="",,SUMIFS(PerHeadcount[Month 16],PerHeadcount[exp_item],$H1307,PerHeadcount[company_name],$B1307)*AA257)</f>
        <v>0</v>
      </c>
      <c r="AB1307" s="652">
        <f>IF($B1307="",,SUMIFS(PerHeadcount[Month 17],PerHeadcount[exp_item],$H1307,PerHeadcount[company_name],$B1307)*AB257)</f>
        <v>0</v>
      </c>
      <c r="AC1307" s="652">
        <f>IF($B1307="",,SUMIFS(PerHeadcount[Month 18],PerHeadcount[exp_item],$H1307,PerHeadcount[company_name],$B1307)*AC257)</f>
        <v>0</v>
      </c>
      <c r="AD1307" s="652">
        <f>IF($B1307="",,SUMIFS(PerHeadcount[Month 19],PerHeadcount[exp_item],$H1307,PerHeadcount[company_name],$B1307)*AD257)</f>
        <v>0</v>
      </c>
      <c r="AE1307" s="652">
        <f>IF($B1307="",,SUMIFS(PerHeadcount[Month 20],PerHeadcount[exp_item],$H1307,PerHeadcount[company_name],$B1307)*AE257)</f>
        <v>0</v>
      </c>
      <c r="AF1307" s="652">
        <f>IF($B1307="",,SUMIFS(PerHeadcount[Month 21],PerHeadcount[exp_item],$H1307,PerHeadcount[company_name],$B1307)*AF257)</f>
        <v>0</v>
      </c>
      <c r="AG1307" s="652">
        <f>IF($B1307="",,SUMIFS(PerHeadcount[Month 22],PerHeadcount[exp_item],$H1307,PerHeadcount[company_name],$B1307)*AG257)</f>
        <v>0</v>
      </c>
      <c r="AH1307" s="652">
        <f>IF($B1307="",,SUMIFS(PerHeadcount[Month 23],PerHeadcount[exp_item],$H1307,PerHeadcount[company_name],$B1307)*AH257)</f>
        <v>0</v>
      </c>
      <c r="AI1307" s="652">
        <f>IF($B1307="",,SUMIFS(PerHeadcount[Month 24],PerHeadcount[exp_item],$H1307,PerHeadcount[company_name],$B1307)*AI257)</f>
        <v>0</v>
      </c>
      <c r="AJ1307" s="652">
        <f>IF($B1307="",,SUMIFS(PerHeadcount[Month 25],PerHeadcount[exp_item],$H1307,PerHeadcount[company_name],$B1307)*AJ257)</f>
        <v>0</v>
      </c>
      <c r="AK1307" s="652">
        <f>IF($B1307="",,SUMIFS(PerHeadcount[Month 26],PerHeadcount[exp_item],$H1307,PerHeadcount[company_name],$B1307)*AK257)</f>
        <v>0</v>
      </c>
      <c r="AL1307" s="652">
        <f>IF($B1307="",,SUMIFS(PerHeadcount[Month 27],PerHeadcount[exp_item],$H1307,PerHeadcount[company_name],$B1307)*AL257)</f>
        <v>0</v>
      </c>
      <c r="AM1307" s="652">
        <f>IF($B1307="",,SUMIFS(PerHeadcount[Month 28],PerHeadcount[exp_item],$H1307,PerHeadcount[company_name],$B1307)*AM257)</f>
        <v>0</v>
      </c>
      <c r="AN1307" s="652">
        <f>IF($B1307="",,SUMIFS(PerHeadcount[Month 29],PerHeadcount[exp_item],$H1307,PerHeadcount[company_name],$B1307)*AN257)</f>
        <v>0</v>
      </c>
      <c r="AO1307" s="652">
        <f>IF($B1307="",,SUMIFS(PerHeadcount[Month 30],PerHeadcount[exp_item],$H1307,PerHeadcount[company_name],$B1307)*AO257)</f>
        <v>0</v>
      </c>
      <c r="AP1307" s="652">
        <f>IF($B1307="",,SUMIFS(PerHeadcount[Month 31],PerHeadcount[exp_item],$H1307,PerHeadcount[company_name],$B1307)*AP257)</f>
        <v>0</v>
      </c>
      <c r="AQ1307" s="652">
        <f>IF($B1307="",,SUMIFS(PerHeadcount[Month 32],PerHeadcount[exp_item],$H1307,PerHeadcount[company_name],$B1307)*AQ257)</f>
        <v>0</v>
      </c>
      <c r="AR1307" s="652">
        <f>IF($B1307="",,SUMIFS(PerHeadcount[Month 33],PerHeadcount[exp_item],$H1307,PerHeadcount[company_name],$B1307)*AR257)</f>
        <v>0</v>
      </c>
      <c r="AS1307" s="652">
        <f>IF($B1307="",,SUMIFS(PerHeadcount[Month 34],PerHeadcount[exp_item],$H1307,PerHeadcount[company_name],$B1307)*AS257)</f>
        <v>0</v>
      </c>
      <c r="AT1307" s="652">
        <f>IF($B1307="",,SUMIFS(PerHeadcount[Month 35],PerHeadcount[exp_item],$H1307,PerHeadcount[company_name],$B1307)*AT257)</f>
        <v>0</v>
      </c>
      <c r="AU1307" s="652">
        <f>IF($B1307="",,SUMIFS(PerHeadcount[Month 36],PerHeadcount[exp_item],$H1307,PerHeadcount[company_name],$B1307)*AU257)</f>
        <v>0</v>
      </c>
    </row>
    <row r="1308" spans="2:47" x14ac:dyDescent="0.35">
      <c r="B1308" t="str">
        <f t="shared" si="950"/>
        <v/>
      </c>
      <c r="C1308" t="str">
        <f t="shared" ref="C1308:G1308" si="959">IF(C1203="","",C1203)</f>
        <v/>
      </c>
      <c r="D1308" t="str">
        <f t="shared" si="959"/>
        <v/>
      </c>
      <c r="E1308" t="str">
        <f t="shared" si="959"/>
        <v/>
      </c>
      <c r="F1308" t="str">
        <f t="shared" si="959"/>
        <v/>
      </c>
      <c r="G1308" t="str">
        <f t="shared" si="959"/>
        <v/>
      </c>
      <c r="H1308" t="str">
        <f t="shared" si="949"/>
        <v/>
      </c>
      <c r="J1308" t="str">
        <f>IF($H1308="","",IF(VLOOKUP(H1308,ExpItems[],2,0),H1308&amp;" - "&amp;INDEX(DivisionMapping[category_code],MATCH($D1308&amp;$C1308,DivisionMapping[dept_bu],0)),H1308))</f>
        <v/>
      </c>
      <c r="K1308" t="str">
        <f t="shared" si="952"/>
        <v/>
      </c>
      <c r="L1308" s="652">
        <f>IF($B1308="",,SUMIFS(PerHeadcount[Month 1],PerHeadcount[exp_item],$H1308,PerHeadcount[company_name],$B1308)*L258)</f>
        <v>0</v>
      </c>
      <c r="M1308" s="652">
        <f>IF($B1308="",,SUMIFS(PerHeadcount[Month 2],PerHeadcount[exp_item],$H1308,PerHeadcount[company_name],$B1308)*M258)</f>
        <v>0</v>
      </c>
      <c r="N1308" s="652">
        <f>IF($B1308="",,SUMIFS(PerHeadcount[Month 3],PerHeadcount[exp_item],$H1308,PerHeadcount[company_name],$B1308)*N258)</f>
        <v>0</v>
      </c>
      <c r="O1308" s="652">
        <f>IF($B1308="",,SUMIFS(PerHeadcount[Month 4],PerHeadcount[exp_item],$H1308,PerHeadcount[company_name],$B1308)*O258)</f>
        <v>0</v>
      </c>
      <c r="P1308" s="652">
        <f>IF($B1308="",,SUMIFS(PerHeadcount[Month 5],PerHeadcount[exp_item],$H1308,PerHeadcount[company_name],$B1308)*P258)</f>
        <v>0</v>
      </c>
      <c r="Q1308" s="652">
        <f>IF($B1308="",,SUMIFS(PerHeadcount[Month 6],PerHeadcount[exp_item],$H1308,PerHeadcount[company_name],$B1308)*Q258)</f>
        <v>0</v>
      </c>
      <c r="R1308" s="652">
        <f>IF($B1308="",,SUMIFS(PerHeadcount[Month 7],PerHeadcount[exp_item],$H1308,PerHeadcount[company_name],$B1308)*R258)</f>
        <v>0</v>
      </c>
      <c r="S1308" s="652">
        <f>IF($B1308="",,SUMIFS(PerHeadcount[Month 8],PerHeadcount[exp_item],$H1308,PerHeadcount[company_name],$B1308)*S258)</f>
        <v>0</v>
      </c>
      <c r="T1308" s="652">
        <f>IF($B1308="",,SUMIFS(PerHeadcount[Month 9],PerHeadcount[exp_item],$H1308,PerHeadcount[company_name],$B1308)*T258)</f>
        <v>0</v>
      </c>
      <c r="U1308" s="652">
        <f>IF($B1308="",,SUMIFS(PerHeadcount[Month 10],PerHeadcount[exp_item],$H1308,PerHeadcount[company_name],$B1308)*U258)</f>
        <v>0</v>
      </c>
      <c r="V1308" s="652">
        <f>IF($B1308="",,SUMIFS(PerHeadcount[Month 11],PerHeadcount[exp_item],$H1308,PerHeadcount[company_name],$B1308)*V258)</f>
        <v>0</v>
      </c>
      <c r="W1308" s="652">
        <f>IF($B1308="",,SUMIFS(PerHeadcount[Month 12],PerHeadcount[exp_item],$H1308,PerHeadcount[company_name],$B1308)*W258)</f>
        <v>0</v>
      </c>
      <c r="X1308" s="652">
        <f>IF($B1308="",,SUMIFS(PerHeadcount[Month 13],PerHeadcount[exp_item],$H1308,PerHeadcount[company_name],$B1308)*X258)</f>
        <v>0</v>
      </c>
      <c r="Y1308" s="652">
        <f>IF($B1308="",,SUMIFS(PerHeadcount[Month 14],PerHeadcount[exp_item],$H1308,PerHeadcount[company_name],$B1308)*Y258)</f>
        <v>0</v>
      </c>
      <c r="Z1308" s="652">
        <f>IF($B1308="",,SUMIFS(PerHeadcount[Month 15],PerHeadcount[exp_item],$H1308,PerHeadcount[company_name],$B1308)*Z258)</f>
        <v>0</v>
      </c>
      <c r="AA1308" s="652">
        <f>IF($B1308="",,SUMIFS(PerHeadcount[Month 16],PerHeadcount[exp_item],$H1308,PerHeadcount[company_name],$B1308)*AA258)</f>
        <v>0</v>
      </c>
      <c r="AB1308" s="652">
        <f>IF($B1308="",,SUMIFS(PerHeadcount[Month 17],PerHeadcount[exp_item],$H1308,PerHeadcount[company_name],$B1308)*AB258)</f>
        <v>0</v>
      </c>
      <c r="AC1308" s="652">
        <f>IF($B1308="",,SUMIFS(PerHeadcount[Month 18],PerHeadcount[exp_item],$H1308,PerHeadcount[company_name],$B1308)*AC258)</f>
        <v>0</v>
      </c>
      <c r="AD1308" s="652">
        <f>IF($B1308="",,SUMIFS(PerHeadcount[Month 19],PerHeadcount[exp_item],$H1308,PerHeadcount[company_name],$B1308)*AD258)</f>
        <v>0</v>
      </c>
      <c r="AE1308" s="652">
        <f>IF($B1308="",,SUMIFS(PerHeadcount[Month 20],PerHeadcount[exp_item],$H1308,PerHeadcount[company_name],$B1308)*AE258)</f>
        <v>0</v>
      </c>
      <c r="AF1308" s="652">
        <f>IF($B1308="",,SUMIFS(PerHeadcount[Month 21],PerHeadcount[exp_item],$H1308,PerHeadcount[company_name],$B1308)*AF258)</f>
        <v>0</v>
      </c>
      <c r="AG1308" s="652">
        <f>IF($B1308="",,SUMIFS(PerHeadcount[Month 22],PerHeadcount[exp_item],$H1308,PerHeadcount[company_name],$B1308)*AG258)</f>
        <v>0</v>
      </c>
      <c r="AH1308" s="652">
        <f>IF($B1308="",,SUMIFS(PerHeadcount[Month 23],PerHeadcount[exp_item],$H1308,PerHeadcount[company_name],$B1308)*AH258)</f>
        <v>0</v>
      </c>
      <c r="AI1308" s="652">
        <f>IF($B1308="",,SUMIFS(PerHeadcount[Month 24],PerHeadcount[exp_item],$H1308,PerHeadcount[company_name],$B1308)*AI258)</f>
        <v>0</v>
      </c>
      <c r="AJ1308" s="652">
        <f>IF($B1308="",,SUMIFS(PerHeadcount[Month 25],PerHeadcount[exp_item],$H1308,PerHeadcount[company_name],$B1308)*AJ258)</f>
        <v>0</v>
      </c>
      <c r="AK1308" s="652">
        <f>IF($B1308="",,SUMIFS(PerHeadcount[Month 26],PerHeadcount[exp_item],$H1308,PerHeadcount[company_name],$B1308)*AK258)</f>
        <v>0</v>
      </c>
      <c r="AL1308" s="652">
        <f>IF($B1308="",,SUMIFS(PerHeadcount[Month 27],PerHeadcount[exp_item],$H1308,PerHeadcount[company_name],$B1308)*AL258)</f>
        <v>0</v>
      </c>
      <c r="AM1308" s="652">
        <f>IF($B1308="",,SUMIFS(PerHeadcount[Month 28],PerHeadcount[exp_item],$H1308,PerHeadcount[company_name],$B1308)*AM258)</f>
        <v>0</v>
      </c>
      <c r="AN1308" s="652">
        <f>IF($B1308="",,SUMIFS(PerHeadcount[Month 29],PerHeadcount[exp_item],$H1308,PerHeadcount[company_name],$B1308)*AN258)</f>
        <v>0</v>
      </c>
      <c r="AO1308" s="652">
        <f>IF($B1308="",,SUMIFS(PerHeadcount[Month 30],PerHeadcount[exp_item],$H1308,PerHeadcount[company_name],$B1308)*AO258)</f>
        <v>0</v>
      </c>
      <c r="AP1308" s="652">
        <f>IF($B1308="",,SUMIFS(PerHeadcount[Month 31],PerHeadcount[exp_item],$H1308,PerHeadcount[company_name],$B1308)*AP258)</f>
        <v>0</v>
      </c>
      <c r="AQ1308" s="652">
        <f>IF($B1308="",,SUMIFS(PerHeadcount[Month 32],PerHeadcount[exp_item],$H1308,PerHeadcount[company_name],$B1308)*AQ258)</f>
        <v>0</v>
      </c>
      <c r="AR1308" s="652">
        <f>IF($B1308="",,SUMIFS(PerHeadcount[Month 33],PerHeadcount[exp_item],$H1308,PerHeadcount[company_name],$B1308)*AR258)</f>
        <v>0</v>
      </c>
      <c r="AS1308" s="652">
        <f>IF($B1308="",,SUMIFS(PerHeadcount[Month 34],PerHeadcount[exp_item],$H1308,PerHeadcount[company_name],$B1308)*AS258)</f>
        <v>0</v>
      </c>
      <c r="AT1308" s="652">
        <f>IF($B1308="",,SUMIFS(PerHeadcount[Month 35],PerHeadcount[exp_item],$H1308,PerHeadcount[company_name],$B1308)*AT258)</f>
        <v>0</v>
      </c>
      <c r="AU1308" s="652">
        <f>IF($B1308="",,SUMIFS(PerHeadcount[Month 36],PerHeadcount[exp_item],$H1308,PerHeadcount[company_name],$B1308)*AU258)</f>
        <v>0</v>
      </c>
    </row>
    <row r="1309" spans="2:47" x14ac:dyDescent="0.35">
      <c r="B1309" t="str">
        <f t="shared" si="950"/>
        <v/>
      </c>
      <c r="C1309" t="str">
        <f t="shared" ref="C1309:G1309" si="960">IF(C1204="","",C1204)</f>
        <v/>
      </c>
      <c r="D1309" t="str">
        <f t="shared" si="960"/>
        <v/>
      </c>
      <c r="E1309" t="str">
        <f t="shared" si="960"/>
        <v/>
      </c>
      <c r="F1309" t="str">
        <f t="shared" si="960"/>
        <v/>
      </c>
      <c r="G1309" t="str">
        <f t="shared" si="960"/>
        <v/>
      </c>
      <c r="H1309" t="str">
        <f t="shared" si="949"/>
        <v/>
      </c>
      <c r="J1309" t="str">
        <f>IF($H1309="","",IF(VLOOKUP(H1309,ExpItems[],2,0),H1309&amp;" - "&amp;INDEX(DivisionMapping[category_code],MATCH($D1309&amp;$C1309,DivisionMapping[dept_bu],0)),H1309))</f>
        <v/>
      </c>
      <c r="K1309" t="str">
        <f t="shared" si="952"/>
        <v/>
      </c>
      <c r="L1309" s="652">
        <f>IF($B1309="",,SUMIFS(PerHeadcount[Month 1],PerHeadcount[exp_item],$H1309,PerHeadcount[company_name],$B1309)*L259)</f>
        <v>0</v>
      </c>
      <c r="M1309" s="652">
        <f>IF($B1309="",,SUMIFS(PerHeadcount[Month 2],PerHeadcount[exp_item],$H1309,PerHeadcount[company_name],$B1309)*M259)</f>
        <v>0</v>
      </c>
      <c r="N1309" s="652">
        <f>IF($B1309="",,SUMIFS(PerHeadcount[Month 3],PerHeadcount[exp_item],$H1309,PerHeadcount[company_name],$B1309)*N259)</f>
        <v>0</v>
      </c>
      <c r="O1309" s="652">
        <f>IF($B1309="",,SUMIFS(PerHeadcount[Month 4],PerHeadcount[exp_item],$H1309,PerHeadcount[company_name],$B1309)*O259)</f>
        <v>0</v>
      </c>
      <c r="P1309" s="652">
        <f>IF($B1309="",,SUMIFS(PerHeadcount[Month 5],PerHeadcount[exp_item],$H1309,PerHeadcount[company_name],$B1309)*P259)</f>
        <v>0</v>
      </c>
      <c r="Q1309" s="652">
        <f>IF($B1309="",,SUMIFS(PerHeadcount[Month 6],PerHeadcount[exp_item],$H1309,PerHeadcount[company_name],$B1309)*Q259)</f>
        <v>0</v>
      </c>
      <c r="R1309" s="652">
        <f>IF($B1309="",,SUMIFS(PerHeadcount[Month 7],PerHeadcount[exp_item],$H1309,PerHeadcount[company_name],$B1309)*R259)</f>
        <v>0</v>
      </c>
      <c r="S1309" s="652">
        <f>IF($B1309="",,SUMIFS(PerHeadcount[Month 8],PerHeadcount[exp_item],$H1309,PerHeadcount[company_name],$B1309)*S259)</f>
        <v>0</v>
      </c>
      <c r="T1309" s="652">
        <f>IF($B1309="",,SUMIFS(PerHeadcount[Month 9],PerHeadcount[exp_item],$H1309,PerHeadcount[company_name],$B1309)*T259)</f>
        <v>0</v>
      </c>
      <c r="U1309" s="652">
        <f>IF($B1309="",,SUMIFS(PerHeadcount[Month 10],PerHeadcount[exp_item],$H1309,PerHeadcount[company_name],$B1309)*U259)</f>
        <v>0</v>
      </c>
      <c r="V1309" s="652">
        <f>IF($B1309="",,SUMIFS(PerHeadcount[Month 11],PerHeadcount[exp_item],$H1309,PerHeadcount[company_name],$B1309)*V259)</f>
        <v>0</v>
      </c>
      <c r="W1309" s="652">
        <f>IF($B1309="",,SUMIFS(PerHeadcount[Month 12],PerHeadcount[exp_item],$H1309,PerHeadcount[company_name],$B1309)*W259)</f>
        <v>0</v>
      </c>
      <c r="X1309" s="652">
        <f>IF($B1309="",,SUMIFS(PerHeadcount[Month 13],PerHeadcount[exp_item],$H1309,PerHeadcount[company_name],$B1309)*X259)</f>
        <v>0</v>
      </c>
      <c r="Y1309" s="652">
        <f>IF($B1309="",,SUMIFS(PerHeadcount[Month 14],PerHeadcount[exp_item],$H1309,PerHeadcount[company_name],$B1309)*Y259)</f>
        <v>0</v>
      </c>
      <c r="Z1309" s="652">
        <f>IF($B1309="",,SUMIFS(PerHeadcount[Month 15],PerHeadcount[exp_item],$H1309,PerHeadcount[company_name],$B1309)*Z259)</f>
        <v>0</v>
      </c>
      <c r="AA1309" s="652">
        <f>IF($B1309="",,SUMIFS(PerHeadcount[Month 16],PerHeadcount[exp_item],$H1309,PerHeadcount[company_name],$B1309)*AA259)</f>
        <v>0</v>
      </c>
      <c r="AB1309" s="652">
        <f>IF($B1309="",,SUMIFS(PerHeadcount[Month 17],PerHeadcount[exp_item],$H1309,PerHeadcount[company_name],$B1309)*AB259)</f>
        <v>0</v>
      </c>
      <c r="AC1309" s="652">
        <f>IF($B1309="",,SUMIFS(PerHeadcount[Month 18],PerHeadcount[exp_item],$H1309,PerHeadcount[company_name],$B1309)*AC259)</f>
        <v>0</v>
      </c>
      <c r="AD1309" s="652">
        <f>IF($B1309="",,SUMIFS(PerHeadcount[Month 19],PerHeadcount[exp_item],$H1309,PerHeadcount[company_name],$B1309)*AD259)</f>
        <v>0</v>
      </c>
      <c r="AE1309" s="652">
        <f>IF($B1309="",,SUMIFS(PerHeadcount[Month 20],PerHeadcount[exp_item],$H1309,PerHeadcount[company_name],$B1309)*AE259)</f>
        <v>0</v>
      </c>
      <c r="AF1309" s="652">
        <f>IF($B1309="",,SUMIFS(PerHeadcount[Month 21],PerHeadcount[exp_item],$H1309,PerHeadcount[company_name],$B1309)*AF259)</f>
        <v>0</v>
      </c>
      <c r="AG1309" s="652">
        <f>IF($B1309="",,SUMIFS(PerHeadcount[Month 22],PerHeadcount[exp_item],$H1309,PerHeadcount[company_name],$B1309)*AG259)</f>
        <v>0</v>
      </c>
      <c r="AH1309" s="652">
        <f>IF($B1309="",,SUMIFS(PerHeadcount[Month 23],PerHeadcount[exp_item],$H1309,PerHeadcount[company_name],$B1309)*AH259)</f>
        <v>0</v>
      </c>
      <c r="AI1309" s="652">
        <f>IF($B1309="",,SUMIFS(PerHeadcount[Month 24],PerHeadcount[exp_item],$H1309,PerHeadcount[company_name],$B1309)*AI259)</f>
        <v>0</v>
      </c>
      <c r="AJ1309" s="652">
        <f>IF($B1309="",,SUMIFS(PerHeadcount[Month 25],PerHeadcount[exp_item],$H1309,PerHeadcount[company_name],$B1309)*AJ259)</f>
        <v>0</v>
      </c>
      <c r="AK1309" s="652">
        <f>IF($B1309="",,SUMIFS(PerHeadcount[Month 26],PerHeadcount[exp_item],$H1309,PerHeadcount[company_name],$B1309)*AK259)</f>
        <v>0</v>
      </c>
      <c r="AL1309" s="652">
        <f>IF($B1309="",,SUMIFS(PerHeadcount[Month 27],PerHeadcount[exp_item],$H1309,PerHeadcount[company_name],$B1309)*AL259)</f>
        <v>0</v>
      </c>
      <c r="AM1309" s="652">
        <f>IF($B1309="",,SUMIFS(PerHeadcount[Month 28],PerHeadcount[exp_item],$H1309,PerHeadcount[company_name],$B1309)*AM259)</f>
        <v>0</v>
      </c>
      <c r="AN1309" s="652">
        <f>IF($B1309="",,SUMIFS(PerHeadcount[Month 29],PerHeadcount[exp_item],$H1309,PerHeadcount[company_name],$B1309)*AN259)</f>
        <v>0</v>
      </c>
      <c r="AO1309" s="652">
        <f>IF($B1309="",,SUMIFS(PerHeadcount[Month 30],PerHeadcount[exp_item],$H1309,PerHeadcount[company_name],$B1309)*AO259)</f>
        <v>0</v>
      </c>
      <c r="AP1309" s="652">
        <f>IF($B1309="",,SUMIFS(PerHeadcount[Month 31],PerHeadcount[exp_item],$H1309,PerHeadcount[company_name],$B1309)*AP259)</f>
        <v>0</v>
      </c>
      <c r="AQ1309" s="652">
        <f>IF($B1309="",,SUMIFS(PerHeadcount[Month 32],PerHeadcount[exp_item],$H1309,PerHeadcount[company_name],$B1309)*AQ259)</f>
        <v>0</v>
      </c>
      <c r="AR1309" s="652">
        <f>IF($B1309="",,SUMIFS(PerHeadcount[Month 33],PerHeadcount[exp_item],$H1309,PerHeadcount[company_name],$B1309)*AR259)</f>
        <v>0</v>
      </c>
      <c r="AS1309" s="652">
        <f>IF($B1309="",,SUMIFS(PerHeadcount[Month 34],PerHeadcount[exp_item],$H1309,PerHeadcount[company_name],$B1309)*AS259)</f>
        <v>0</v>
      </c>
      <c r="AT1309" s="652">
        <f>IF($B1309="",,SUMIFS(PerHeadcount[Month 35],PerHeadcount[exp_item],$H1309,PerHeadcount[company_name],$B1309)*AT259)</f>
        <v>0</v>
      </c>
      <c r="AU1309" s="652">
        <f>IF($B1309="",,SUMIFS(PerHeadcount[Month 36],PerHeadcount[exp_item],$H1309,PerHeadcount[company_name],$B1309)*AU259)</f>
        <v>0</v>
      </c>
    </row>
    <row r="1310" spans="2:47" x14ac:dyDescent="0.35">
      <c r="B1310" t="str">
        <f t="shared" si="950"/>
        <v/>
      </c>
      <c r="C1310" t="str">
        <f t="shared" ref="C1310:G1310" si="961">IF(C1205="","",C1205)</f>
        <v/>
      </c>
      <c r="D1310" t="str">
        <f t="shared" si="961"/>
        <v/>
      </c>
      <c r="E1310" t="str">
        <f t="shared" si="961"/>
        <v/>
      </c>
      <c r="F1310" t="str">
        <f t="shared" si="961"/>
        <v/>
      </c>
      <c r="G1310" t="str">
        <f t="shared" si="961"/>
        <v/>
      </c>
      <c r="H1310" t="str">
        <f t="shared" si="949"/>
        <v/>
      </c>
      <c r="J1310" t="str">
        <f>IF($H1310="","",IF(VLOOKUP(H1310,ExpItems[],2,0),H1310&amp;" - "&amp;INDEX(DivisionMapping[category_code],MATCH($D1310&amp;$C1310,DivisionMapping[dept_bu],0)),H1310))</f>
        <v/>
      </c>
      <c r="K1310" t="str">
        <f t="shared" si="952"/>
        <v/>
      </c>
      <c r="L1310" s="652">
        <f>IF($B1310="",,SUMIFS(PerHeadcount[Month 1],PerHeadcount[exp_item],$H1310,PerHeadcount[company_name],$B1310)*L260)</f>
        <v>0</v>
      </c>
      <c r="M1310" s="652">
        <f>IF($B1310="",,SUMIFS(PerHeadcount[Month 2],PerHeadcount[exp_item],$H1310,PerHeadcount[company_name],$B1310)*M260)</f>
        <v>0</v>
      </c>
      <c r="N1310" s="652">
        <f>IF($B1310="",,SUMIFS(PerHeadcount[Month 3],PerHeadcount[exp_item],$H1310,PerHeadcount[company_name],$B1310)*N260)</f>
        <v>0</v>
      </c>
      <c r="O1310" s="652">
        <f>IF($B1310="",,SUMIFS(PerHeadcount[Month 4],PerHeadcount[exp_item],$H1310,PerHeadcount[company_name],$B1310)*O260)</f>
        <v>0</v>
      </c>
      <c r="P1310" s="652">
        <f>IF($B1310="",,SUMIFS(PerHeadcount[Month 5],PerHeadcount[exp_item],$H1310,PerHeadcount[company_name],$B1310)*P260)</f>
        <v>0</v>
      </c>
      <c r="Q1310" s="652">
        <f>IF($B1310="",,SUMIFS(PerHeadcount[Month 6],PerHeadcount[exp_item],$H1310,PerHeadcount[company_name],$B1310)*Q260)</f>
        <v>0</v>
      </c>
      <c r="R1310" s="652">
        <f>IF($B1310="",,SUMIFS(PerHeadcount[Month 7],PerHeadcount[exp_item],$H1310,PerHeadcount[company_name],$B1310)*R260)</f>
        <v>0</v>
      </c>
      <c r="S1310" s="652">
        <f>IF($B1310="",,SUMIFS(PerHeadcount[Month 8],PerHeadcount[exp_item],$H1310,PerHeadcount[company_name],$B1310)*S260)</f>
        <v>0</v>
      </c>
      <c r="T1310" s="652">
        <f>IF($B1310="",,SUMIFS(PerHeadcount[Month 9],PerHeadcount[exp_item],$H1310,PerHeadcount[company_name],$B1310)*T260)</f>
        <v>0</v>
      </c>
      <c r="U1310" s="652">
        <f>IF($B1310="",,SUMIFS(PerHeadcount[Month 10],PerHeadcount[exp_item],$H1310,PerHeadcount[company_name],$B1310)*U260)</f>
        <v>0</v>
      </c>
      <c r="V1310" s="652">
        <f>IF($B1310="",,SUMIFS(PerHeadcount[Month 11],PerHeadcount[exp_item],$H1310,PerHeadcount[company_name],$B1310)*V260)</f>
        <v>0</v>
      </c>
      <c r="W1310" s="652">
        <f>IF($B1310="",,SUMIFS(PerHeadcount[Month 12],PerHeadcount[exp_item],$H1310,PerHeadcount[company_name],$B1310)*W260)</f>
        <v>0</v>
      </c>
      <c r="X1310" s="652">
        <f>IF($B1310="",,SUMIFS(PerHeadcount[Month 13],PerHeadcount[exp_item],$H1310,PerHeadcount[company_name],$B1310)*X260)</f>
        <v>0</v>
      </c>
      <c r="Y1310" s="652">
        <f>IF($B1310="",,SUMIFS(PerHeadcount[Month 14],PerHeadcount[exp_item],$H1310,PerHeadcount[company_name],$B1310)*Y260)</f>
        <v>0</v>
      </c>
      <c r="Z1310" s="652">
        <f>IF($B1310="",,SUMIFS(PerHeadcount[Month 15],PerHeadcount[exp_item],$H1310,PerHeadcount[company_name],$B1310)*Z260)</f>
        <v>0</v>
      </c>
      <c r="AA1310" s="652">
        <f>IF($B1310="",,SUMIFS(PerHeadcount[Month 16],PerHeadcount[exp_item],$H1310,PerHeadcount[company_name],$B1310)*AA260)</f>
        <v>0</v>
      </c>
      <c r="AB1310" s="652">
        <f>IF($B1310="",,SUMIFS(PerHeadcount[Month 17],PerHeadcount[exp_item],$H1310,PerHeadcount[company_name],$B1310)*AB260)</f>
        <v>0</v>
      </c>
      <c r="AC1310" s="652">
        <f>IF($B1310="",,SUMIFS(PerHeadcount[Month 18],PerHeadcount[exp_item],$H1310,PerHeadcount[company_name],$B1310)*AC260)</f>
        <v>0</v>
      </c>
      <c r="AD1310" s="652">
        <f>IF($B1310="",,SUMIFS(PerHeadcount[Month 19],PerHeadcount[exp_item],$H1310,PerHeadcount[company_name],$B1310)*AD260)</f>
        <v>0</v>
      </c>
      <c r="AE1310" s="652">
        <f>IF($B1310="",,SUMIFS(PerHeadcount[Month 20],PerHeadcount[exp_item],$H1310,PerHeadcount[company_name],$B1310)*AE260)</f>
        <v>0</v>
      </c>
      <c r="AF1310" s="652">
        <f>IF($B1310="",,SUMIFS(PerHeadcount[Month 21],PerHeadcount[exp_item],$H1310,PerHeadcount[company_name],$B1310)*AF260)</f>
        <v>0</v>
      </c>
      <c r="AG1310" s="652">
        <f>IF($B1310="",,SUMIFS(PerHeadcount[Month 22],PerHeadcount[exp_item],$H1310,PerHeadcount[company_name],$B1310)*AG260)</f>
        <v>0</v>
      </c>
      <c r="AH1310" s="652">
        <f>IF($B1310="",,SUMIFS(PerHeadcount[Month 23],PerHeadcount[exp_item],$H1310,PerHeadcount[company_name],$B1310)*AH260)</f>
        <v>0</v>
      </c>
      <c r="AI1310" s="652">
        <f>IF($B1310="",,SUMIFS(PerHeadcount[Month 24],PerHeadcount[exp_item],$H1310,PerHeadcount[company_name],$B1310)*AI260)</f>
        <v>0</v>
      </c>
      <c r="AJ1310" s="652">
        <f>IF($B1310="",,SUMIFS(PerHeadcount[Month 25],PerHeadcount[exp_item],$H1310,PerHeadcount[company_name],$B1310)*AJ260)</f>
        <v>0</v>
      </c>
      <c r="AK1310" s="652">
        <f>IF($B1310="",,SUMIFS(PerHeadcount[Month 26],PerHeadcount[exp_item],$H1310,PerHeadcount[company_name],$B1310)*AK260)</f>
        <v>0</v>
      </c>
      <c r="AL1310" s="652">
        <f>IF($B1310="",,SUMIFS(PerHeadcount[Month 27],PerHeadcount[exp_item],$H1310,PerHeadcount[company_name],$B1310)*AL260)</f>
        <v>0</v>
      </c>
      <c r="AM1310" s="652">
        <f>IF($B1310="",,SUMIFS(PerHeadcount[Month 28],PerHeadcount[exp_item],$H1310,PerHeadcount[company_name],$B1310)*AM260)</f>
        <v>0</v>
      </c>
      <c r="AN1310" s="652">
        <f>IF($B1310="",,SUMIFS(PerHeadcount[Month 29],PerHeadcount[exp_item],$H1310,PerHeadcount[company_name],$B1310)*AN260)</f>
        <v>0</v>
      </c>
      <c r="AO1310" s="652">
        <f>IF($B1310="",,SUMIFS(PerHeadcount[Month 30],PerHeadcount[exp_item],$H1310,PerHeadcount[company_name],$B1310)*AO260)</f>
        <v>0</v>
      </c>
      <c r="AP1310" s="652">
        <f>IF($B1310="",,SUMIFS(PerHeadcount[Month 31],PerHeadcount[exp_item],$H1310,PerHeadcount[company_name],$B1310)*AP260)</f>
        <v>0</v>
      </c>
      <c r="AQ1310" s="652">
        <f>IF($B1310="",,SUMIFS(PerHeadcount[Month 32],PerHeadcount[exp_item],$H1310,PerHeadcount[company_name],$B1310)*AQ260)</f>
        <v>0</v>
      </c>
      <c r="AR1310" s="652">
        <f>IF($B1310="",,SUMIFS(PerHeadcount[Month 33],PerHeadcount[exp_item],$H1310,PerHeadcount[company_name],$B1310)*AR260)</f>
        <v>0</v>
      </c>
      <c r="AS1310" s="652">
        <f>IF($B1310="",,SUMIFS(PerHeadcount[Month 34],PerHeadcount[exp_item],$H1310,PerHeadcount[company_name],$B1310)*AS260)</f>
        <v>0</v>
      </c>
      <c r="AT1310" s="652">
        <f>IF($B1310="",,SUMIFS(PerHeadcount[Month 35],PerHeadcount[exp_item],$H1310,PerHeadcount[company_name],$B1310)*AT260)</f>
        <v>0</v>
      </c>
      <c r="AU1310" s="652">
        <f>IF($B1310="",,SUMIFS(PerHeadcount[Month 36],PerHeadcount[exp_item],$H1310,PerHeadcount[company_name],$B1310)*AU260)</f>
        <v>0</v>
      </c>
    </row>
    <row r="1311" spans="2:47" x14ac:dyDescent="0.35">
      <c r="B1311" t="str">
        <f t="shared" si="950"/>
        <v/>
      </c>
      <c r="C1311" t="str">
        <f t="shared" ref="C1311:G1311" si="962">IF(C1206="","",C1206)</f>
        <v/>
      </c>
      <c r="D1311" t="str">
        <f t="shared" si="962"/>
        <v/>
      </c>
      <c r="E1311" t="str">
        <f t="shared" si="962"/>
        <v/>
      </c>
      <c r="F1311" t="str">
        <f t="shared" si="962"/>
        <v/>
      </c>
      <c r="G1311" t="str">
        <f t="shared" si="962"/>
        <v/>
      </c>
      <c r="H1311" t="str">
        <f t="shared" si="949"/>
        <v/>
      </c>
      <c r="J1311" t="str">
        <f>IF($H1311="","",IF(VLOOKUP(H1311,ExpItems[],2,0),H1311&amp;" - "&amp;INDEX(DivisionMapping[category_code],MATCH($D1311&amp;$C1311,DivisionMapping[dept_bu],0)),H1311))</f>
        <v/>
      </c>
      <c r="K1311" t="str">
        <f t="shared" si="952"/>
        <v/>
      </c>
      <c r="L1311" s="652">
        <f>IF($B1311="",,SUMIFS(PerHeadcount[Month 1],PerHeadcount[exp_item],$H1311,PerHeadcount[company_name],$B1311)*L261)</f>
        <v>0</v>
      </c>
      <c r="M1311" s="652">
        <f>IF($B1311="",,SUMIFS(PerHeadcount[Month 2],PerHeadcount[exp_item],$H1311,PerHeadcount[company_name],$B1311)*M261)</f>
        <v>0</v>
      </c>
      <c r="N1311" s="652">
        <f>IF($B1311="",,SUMIFS(PerHeadcount[Month 3],PerHeadcount[exp_item],$H1311,PerHeadcount[company_name],$B1311)*N261)</f>
        <v>0</v>
      </c>
      <c r="O1311" s="652">
        <f>IF($B1311="",,SUMIFS(PerHeadcount[Month 4],PerHeadcount[exp_item],$H1311,PerHeadcount[company_name],$B1311)*O261)</f>
        <v>0</v>
      </c>
      <c r="P1311" s="652">
        <f>IF($B1311="",,SUMIFS(PerHeadcount[Month 5],PerHeadcount[exp_item],$H1311,PerHeadcount[company_name],$B1311)*P261)</f>
        <v>0</v>
      </c>
      <c r="Q1311" s="652">
        <f>IF($B1311="",,SUMIFS(PerHeadcount[Month 6],PerHeadcount[exp_item],$H1311,PerHeadcount[company_name],$B1311)*Q261)</f>
        <v>0</v>
      </c>
      <c r="R1311" s="652">
        <f>IF($B1311="",,SUMIFS(PerHeadcount[Month 7],PerHeadcount[exp_item],$H1311,PerHeadcount[company_name],$B1311)*R261)</f>
        <v>0</v>
      </c>
      <c r="S1311" s="652">
        <f>IF($B1311="",,SUMIFS(PerHeadcount[Month 8],PerHeadcount[exp_item],$H1311,PerHeadcount[company_name],$B1311)*S261)</f>
        <v>0</v>
      </c>
      <c r="T1311" s="652">
        <f>IF($B1311="",,SUMIFS(PerHeadcount[Month 9],PerHeadcount[exp_item],$H1311,PerHeadcount[company_name],$B1311)*T261)</f>
        <v>0</v>
      </c>
      <c r="U1311" s="652">
        <f>IF($B1311="",,SUMIFS(PerHeadcount[Month 10],PerHeadcount[exp_item],$H1311,PerHeadcount[company_name],$B1311)*U261)</f>
        <v>0</v>
      </c>
      <c r="V1311" s="652">
        <f>IF($B1311="",,SUMIFS(PerHeadcount[Month 11],PerHeadcount[exp_item],$H1311,PerHeadcount[company_name],$B1311)*V261)</f>
        <v>0</v>
      </c>
      <c r="W1311" s="652">
        <f>IF($B1311="",,SUMIFS(PerHeadcount[Month 12],PerHeadcount[exp_item],$H1311,PerHeadcount[company_name],$B1311)*W261)</f>
        <v>0</v>
      </c>
      <c r="X1311" s="652">
        <f>IF($B1311="",,SUMIFS(PerHeadcount[Month 13],PerHeadcount[exp_item],$H1311,PerHeadcount[company_name],$B1311)*X261)</f>
        <v>0</v>
      </c>
      <c r="Y1311" s="652">
        <f>IF($B1311="",,SUMIFS(PerHeadcount[Month 14],PerHeadcount[exp_item],$H1311,PerHeadcount[company_name],$B1311)*Y261)</f>
        <v>0</v>
      </c>
      <c r="Z1311" s="652">
        <f>IF($B1311="",,SUMIFS(PerHeadcount[Month 15],PerHeadcount[exp_item],$H1311,PerHeadcount[company_name],$B1311)*Z261)</f>
        <v>0</v>
      </c>
      <c r="AA1311" s="652">
        <f>IF($B1311="",,SUMIFS(PerHeadcount[Month 16],PerHeadcount[exp_item],$H1311,PerHeadcount[company_name],$B1311)*AA261)</f>
        <v>0</v>
      </c>
      <c r="AB1311" s="652">
        <f>IF($B1311="",,SUMIFS(PerHeadcount[Month 17],PerHeadcount[exp_item],$H1311,PerHeadcount[company_name],$B1311)*AB261)</f>
        <v>0</v>
      </c>
      <c r="AC1311" s="652">
        <f>IF($B1311="",,SUMIFS(PerHeadcount[Month 18],PerHeadcount[exp_item],$H1311,PerHeadcount[company_name],$B1311)*AC261)</f>
        <v>0</v>
      </c>
      <c r="AD1311" s="652">
        <f>IF($B1311="",,SUMIFS(PerHeadcount[Month 19],PerHeadcount[exp_item],$H1311,PerHeadcount[company_name],$B1311)*AD261)</f>
        <v>0</v>
      </c>
      <c r="AE1311" s="652">
        <f>IF($B1311="",,SUMIFS(PerHeadcount[Month 20],PerHeadcount[exp_item],$H1311,PerHeadcount[company_name],$B1311)*AE261)</f>
        <v>0</v>
      </c>
      <c r="AF1311" s="652">
        <f>IF($B1311="",,SUMIFS(PerHeadcount[Month 21],PerHeadcount[exp_item],$H1311,PerHeadcount[company_name],$B1311)*AF261)</f>
        <v>0</v>
      </c>
      <c r="AG1311" s="652">
        <f>IF($B1311="",,SUMIFS(PerHeadcount[Month 22],PerHeadcount[exp_item],$H1311,PerHeadcount[company_name],$B1311)*AG261)</f>
        <v>0</v>
      </c>
      <c r="AH1311" s="652">
        <f>IF($B1311="",,SUMIFS(PerHeadcount[Month 23],PerHeadcount[exp_item],$H1311,PerHeadcount[company_name],$B1311)*AH261)</f>
        <v>0</v>
      </c>
      <c r="AI1311" s="652">
        <f>IF($B1311="",,SUMIFS(PerHeadcount[Month 24],PerHeadcount[exp_item],$H1311,PerHeadcount[company_name],$B1311)*AI261)</f>
        <v>0</v>
      </c>
      <c r="AJ1311" s="652">
        <f>IF($B1311="",,SUMIFS(PerHeadcount[Month 25],PerHeadcount[exp_item],$H1311,PerHeadcount[company_name],$B1311)*AJ261)</f>
        <v>0</v>
      </c>
      <c r="AK1311" s="652">
        <f>IF($B1311="",,SUMIFS(PerHeadcount[Month 26],PerHeadcount[exp_item],$H1311,PerHeadcount[company_name],$B1311)*AK261)</f>
        <v>0</v>
      </c>
      <c r="AL1311" s="652">
        <f>IF($B1311="",,SUMIFS(PerHeadcount[Month 27],PerHeadcount[exp_item],$H1311,PerHeadcount[company_name],$B1311)*AL261)</f>
        <v>0</v>
      </c>
      <c r="AM1311" s="652">
        <f>IF($B1311="",,SUMIFS(PerHeadcount[Month 28],PerHeadcount[exp_item],$H1311,PerHeadcount[company_name],$B1311)*AM261)</f>
        <v>0</v>
      </c>
      <c r="AN1311" s="652">
        <f>IF($B1311="",,SUMIFS(PerHeadcount[Month 29],PerHeadcount[exp_item],$H1311,PerHeadcount[company_name],$B1311)*AN261)</f>
        <v>0</v>
      </c>
      <c r="AO1311" s="652">
        <f>IF($B1311="",,SUMIFS(PerHeadcount[Month 30],PerHeadcount[exp_item],$H1311,PerHeadcount[company_name],$B1311)*AO261)</f>
        <v>0</v>
      </c>
      <c r="AP1311" s="652">
        <f>IF($B1311="",,SUMIFS(PerHeadcount[Month 31],PerHeadcount[exp_item],$H1311,PerHeadcount[company_name],$B1311)*AP261)</f>
        <v>0</v>
      </c>
      <c r="AQ1311" s="652">
        <f>IF($B1311="",,SUMIFS(PerHeadcount[Month 32],PerHeadcount[exp_item],$H1311,PerHeadcount[company_name],$B1311)*AQ261)</f>
        <v>0</v>
      </c>
      <c r="AR1311" s="652">
        <f>IF($B1311="",,SUMIFS(PerHeadcount[Month 33],PerHeadcount[exp_item],$H1311,PerHeadcount[company_name],$B1311)*AR261)</f>
        <v>0</v>
      </c>
      <c r="AS1311" s="652">
        <f>IF($B1311="",,SUMIFS(PerHeadcount[Month 34],PerHeadcount[exp_item],$H1311,PerHeadcount[company_name],$B1311)*AS261)</f>
        <v>0</v>
      </c>
      <c r="AT1311" s="652">
        <f>IF($B1311="",,SUMIFS(PerHeadcount[Month 35],PerHeadcount[exp_item],$H1311,PerHeadcount[company_name],$B1311)*AT261)</f>
        <v>0</v>
      </c>
      <c r="AU1311" s="652">
        <f>IF($B1311="",,SUMIFS(PerHeadcount[Month 36],PerHeadcount[exp_item],$H1311,PerHeadcount[company_name],$B1311)*AU261)</f>
        <v>0</v>
      </c>
    </row>
    <row r="1312" spans="2:47" x14ac:dyDescent="0.35">
      <c r="B1312" t="str">
        <f t="shared" si="950"/>
        <v/>
      </c>
      <c r="C1312" t="str">
        <f t="shared" ref="C1312:G1312" si="963">IF(C1207="","",C1207)</f>
        <v/>
      </c>
      <c r="D1312" t="str">
        <f t="shared" si="963"/>
        <v/>
      </c>
      <c r="E1312" t="str">
        <f t="shared" si="963"/>
        <v/>
      </c>
      <c r="F1312" t="str">
        <f t="shared" si="963"/>
        <v/>
      </c>
      <c r="G1312" t="str">
        <f t="shared" si="963"/>
        <v/>
      </c>
      <c r="H1312" t="str">
        <f t="shared" si="949"/>
        <v/>
      </c>
      <c r="J1312" t="str">
        <f>IF($H1312="","",IF(VLOOKUP(H1312,ExpItems[],2,0),H1312&amp;" - "&amp;INDEX(DivisionMapping[category_code],MATCH($D1312&amp;$C1312,DivisionMapping[dept_bu],0)),H1312))</f>
        <v/>
      </c>
      <c r="K1312" t="str">
        <f t="shared" si="952"/>
        <v/>
      </c>
      <c r="L1312" s="652">
        <f>IF($B1312="",,SUMIFS(PerHeadcount[Month 1],PerHeadcount[exp_item],$H1312,PerHeadcount[company_name],$B1312)*L262)</f>
        <v>0</v>
      </c>
      <c r="M1312" s="652">
        <f>IF($B1312="",,SUMIFS(PerHeadcount[Month 2],PerHeadcount[exp_item],$H1312,PerHeadcount[company_name],$B1312)*M262)</f>
        <v>0</v>
      </c>
      <c r="N1312" s="652">
        <f>IF($B1312="",,SUMIFS(PerHeadcount[Month 3],PerHeadcount[exp_item],$H1312,PerHeadcount[company_name],$B1312)*N262)</f>
        <v>0</v>
      </c>
      <c r="O1312" s="652">
        <f>IF($B1312="",,SUMIFS(PerHeadcount[Month 4],PerHeadcount[exp_item],$H1312,PerHeadcount[company_name],$B1312)*O262)</f>
        <v>0</v>
      </c>
      <c r="P1312" s="652">
        <f>IF($B1312="",,SUMIFS(PerHeadcount[Month 5],PerHeadcount[exp_item],$H1312,PerHeadcount[company_name],$B1312)*P262)</f>
        <v>0</v>
      </c>
      <c r="Q1312" s="652">
        <f>IF($B1312="",,SUMIFS(PerHeadcount[Month 6],PerHeadcount[exp_item],$H1312,PerHeadcount[company_name],$B1312)*Q262)</f>
        <v>0</v>
      </c>
      <c r="R1312" s="652">
        <f>IF($B1312="",,SUMIFS(PerHeadcount[Month 7],PerHeadcount[exp_item],$H1312,PerHeadcount[company_name],$B1312)*R262)</f>
        <v>0</v>
      </c>
      <c r="S1312" s="652">
        <f>IF($B1312="",,SUMIFS(PerHeadcount[Month 8],PerHeadcount[exp_item],$H1312,PerHeadcount[company_name],$B1312)*S262)</f>
        <v>0</v>
      </c>
      <c r="T1312" s="652">
        <f>IF($B1312="",,SUMIFS(PerHeadcount[Month 9],PerHeadcount[exp_item],$H1312,PerHeadcount[company_name],$B1312)*T262)</f>
        <v>0</v>
      </c>
      <c r="U1312" s="652">
        <f>IF($B1312="",,SUMIFS(PerHeadcount[Month 10],PerHeadcount[exp_item],$H1312,PerHeadcount[company_name],$B1312)*U262)</f>
        <v>0</v>
      </c>
      <c r="V1312" s="652">
        <f>IF($B1312="",,SUMIFS(PerHeadcount[Month 11],PerHeadcount[exp_item],$H1312,PerHeadcount[company_name],$B1312)*V262)</f>
        <v>0</v>
      </c>
      <c r="W1312" s="652">
        <f>IF($B1312="",,SUMIFS(PerHeadcount[Month 12],PerHeadcount[exp_item],$H1312,PerHeadcount[company_name],$B1312)*W262)</f>
        <v>0</v>
      </c>
      <c r="X1312" s="652">
        <f>IF($B1312="",,SUMIFS(PerHeadcount[Month 13],PerHeadcount[exp_item],$H1312,PerHeadcount[company_name],$B1312)*X262)</f>
        <v>0</v>
      </c>
      <c r="Y1312" s="652">
        <f>IF($B1312="",,SUMIFS(PerHeadcount[Month 14],PerHeadcount[exp_item],$H1312,PerHeadcount[company_name],$B1312)*Y262)</f>
        <v>0</v>
      </c>
      <c r="Z1312" s="652">
        <f>IF($B1312="",,SUMIFS(PerHeadcount[Month 15],PerHeadcount[exp_item],$H1312,PerHeadcount[company_name],$B1312)*Z262)</f>
        <v>0</v>
      </c>
      <c r="AA1312" s="652">
        <f>IF($B1312="",,SUMIFS(PerHeadcount[Month 16],PerHeadcount[exp_item],$H1312,PerHeadcount[company_name],$B1312)*AA262)</f>
        <v>0</v>
      </c>
      <c r="AB1312" s="652">
        <f>IF($B1312="",,SUMIFS(PerHeadcount[Month 17],PerHeadcount[exp_item],$H1312,PerHeadcount[company_name],$B1312)*AB262)</f>
        <v>0</v>
      </c>
      <c r="AC1312" s="652">
        <f>IF($B1312="",,SUMIFS(PerHeadcount[Month 18],PerHeadcount[exp_item],$H1312,PerHeadcount[company_name],$B1312)*AC262)</f>
        <v>0</v>
      </c>
      <c r="AD1312" s="652">
        <f>IF($B1312="",,SUMIFS(PerHeadcount[Month 19],PerHeadcount[exp_item],$H1312,PerHeadcount[company_name],$B1312)*AD262)</f>
        <v>0</v>
      </c>
      <c r="AE1312" s="652">
        <f>IF($B1312="",,SUMIFS(PerHeadcount[Month 20],PerHeadcount[exp_item],$H1312,PerHeadcount[company_name],$B1312)*AE262)</f>
        <v>0</v>
      </c>
      <c r="AF1312" s="652">
        <f>IF($B1312="",,SUMIFS(PerHeadcount[Month 21],PerHeadcount[exp_item],$H1312,PerHeadcount[company_name],$B1312)*AF262)</f>
        <v>0</v>
      </c>
      <c r="AG1312" s="652">
        <f>IF($B1312="",,SUMIFS(PerHeadcount[Month 22],PerHeadcount[exp_item],$H1312,PerHeadcount[company_name],$B1312)*AG262)</f>
        <v>0</v>
      </c>
      <c r="AH1312" s="652">
        <f>IF($B1312="",,SUMIFS(PerHeadcount[Month 23],PerHeadcount[exp_item],$H1312,PerHeadcount[company_name],$B1312)*AH262)</f>
        <v>0</v>
      </c>
      <c r="AI1312" s="652">
        <f>IF($B1312="",,SUMIFS(PerHeadcount[Month 24],PerHeadcount[exp_item],$H1312,PerHeadcount[company_name],$B1312)*AI262)</f>
        <v>0</v>
      </c>
      <c r="AJ1312" s="652">
        <f>IF($B1312="",,SUMIFS(PerHeadcount[Month 25],PerHeadcount[exp_item],$H1312,PerHeadcount[company_name],$B1312)*AJ262)</f>
        <v>0</v>
      </c>
      <c r="AK1312" s="652">
        <f>IF($B1312="",,SUMIFS(PerHeadcount[Month 26],PerHeadcount[exp_item],$H1312,PerHeadcount[company_name],$B1312)*AK262)</f>
        <v>0</v>
      </c>
      <c r="AL1312" s="652">
        <f>IF($B1312="",,SUMIFS(PerHeadcount[Month 27],PerHeadcount[exp_item],$H1312,PerHeadcount[company_name],$B1312)*AL262)</f>
        <v>0</v>
      </c>
      <c r="AM1312" s="652">
        <f>IF($B1312="",,SUMIFS(PerHeadcount[Month 28],PerHeadcount[exp_item],$H1312,PerHeadcount[company_name],$B1312)*AM262)</f>
        <v>0</v>
      </c>
      <c r="AN1312" s="652">
        <f>IF($B1312="",,SUMIFS(PerHeadcount[Month 29],PerHeadcount[exp_item],$H1312,PerHeadcount[company_name],$B1312)*AN262)</f>
        <v>0</v>
      </c>
      <c r="AO1312" s="652">
        <f>IF($B1312="",,SUMIFS(PerHeadcount[Month 30],PerHeadcount[exp_item],$H1312,PerHeadcount[company_name],$B1312)*AO262)</f>
        <v>0</v>
      </c>
      <c r="AP1312" s="652">
        <f>IF($B1312="",,SUMIFS(PerHeadcount[Month 31],PerHeadcount[exp_item],$H1312,PerHeadcount[company_name],$B1312)*AP262)</f>
        <v>0</v>
      </c>
      <c r="AQ1312" s="652">
        <f>IF($B1312="",,SUMIFS(PerHeadcount[Month 32],PerHeadcount[exp_item],$H1312,PerHeadcount[company_name],$B1312)*AQ262)</f>
        <v>0</v>
      </c>
      <c r="AR1312" s="652">
        <f>IF($B1312="",,SUMIFS(PerHeadcount[Month 33],PerHeadcount[exp_item],$H1312,PerHeadcount[company_name],$B1312)*AR262)</f>
        <v>0</v>
      </c>
      <c r="AS1312" s="652">
        <f>IF($B1312="",,SUMIFS(PerHeadcount[Month 34],PerHeadcount[exp_item],$H1312,PerHeadcount[company_name],$B1312)*AS262)</f>
        <v>0</v>
      </c>
      <c r="AT1312" s="652">
        <f>IF($B1312="",,SUMIFS(PerHeadcount[Month 35],PerHeadcount[exp_item],$H1312,PerHeadcount[company_name],$B1312)*AT262)</f>
        <v>0</v>
      </c>
      <c r="AU1312" s="652">
        <f>IF($B1312="",,SUMIFS(PerHeadcount[Month 36],PerHeadcount[exp_item],$H1312,PerHeadcount[company_name],$B1312)*AU262)</f>
        <v>0</v>
      </c>
    </row>
    <row r="1313" spans="2:47" x14ac:dyDescent="0.35">
      <c r="B1313" t="str">
        <f t="shared" si="950"/>
        <v/>
      </c>
      <c r="C1313" t="str">
        <f t="shared" ref="C1313:G1313" si="964">IF(C1208="","",C1208)</f>
        <v/>
      </c>
      <c r="D1313" t="str">
        <f t="shared" si="964"/>
        <v/>
      </c>
      <c r="E1313" t="str">
        <f t="shared" si="964"/>
        <v/>
      </c>
      <c r="F1313" t="str">
        <f t="shared" si="964"/>
        <v/>
      </c>
      <c r="G1313" t="str">
        <f t="shared" si="964"/>
        <v/>
      </c>
      <c r="H1313" t="str">
        <f t="shared" si="949"/>
        <v/>
      </c>
      <c r="J1313" t="str">
        <f>IF($H1313="","",IF(VLOOKUP(H1313,ExpItems[],2,0),H1313&amp;" - "&amp;INDEX(DivisionMapping[category_code],MATCH($D1313&amp;$C1313,DivisionMapping[dept_bu],0)),H1313))</f>
        <v/>
      </c>
      <c r="K1313" t="str">
        <f t="shared" si="952"/>
        <v/>
      </c>
      <c r="L1313" s="652">
        <f>IF($B1313="",,SUMIFS(PerHeadcount[Month 1],PerHeadcount[exp_item],$H1313,PerHeadcount[company_name],$B1313)*L263)</f>
        <v>0</v>
      </c>
      <c r="M1313" s="652">
        <f>IF($B1313="",,SUMIFS(PerHeadcount[Month 2],PerHeadcount[exp_item],$H1313,PerHeadcount[company_name],$B1313)*M263)</f>
        <v>0</v>
      </c>
      <c r="N1313" s="652">
        <f>IF($B1313="",,SUMIFS(PerHeadcount[Month 3],PerHeadcount[exp_item],$H1313,PerHeadcount[company_name],$B1313)*N263)</f>
        <v>0</v>
      </c>
      <c r="O1313" s="652">
        <f>IF($B1313="",,SUMIFS(PerHeadcount[Month 4],PerHeadcount[exp_item],$H1313,PerHeadcount[company_name],$B1313)*O263)</f>
        <v>0</v>
      </c>
      <c r="P1313" s="652">
        <f>IF($B1313="",,SUMIFS(PerHeadcount[Month 5],PerHeadcount[exp_item],$H1313,PerHeadcount[company_name],$B1313)*P263)</f>
        <v>0</v>
      </c>
      <c r="Q1313" s="652">
        <f>IF($B1313="",,SUMIFS(PerHeadcount[Month 6],PerHeadcount[exp_item],$H1313,PerHeadcount[company_name],$B1313)*Q263)</f>
        <v>0</v>
      </c>
      <c r="R1313" s="652">
        <f>IF($B1313="",,SUMIFS(PerHeadcount[Month 7],PerHeadcount[exp_item],$H1313,PerHeadcount[company_name],$B1313)*R263)</f>
        <v>0</v>
      </c>
      <c r="S1313" s="652">
        <f>IF($B1313="",,SUMIFS(PerHeadcount[Month 8],PerHeadcount[exp_item],$H1313,PerHeadcount[company_name],$B1313)*S263)</f>
        <v>0</v>
      </c>
      <c r="T1313" s="652">
        <f>IF($B1313="",,SUMIFS(PerHeadcount[Month 9],PerHeadcount[exp_item],$H1313,PerHeadcount[company_name],$B1313)*T263)</f>
        <v>0</v>
      </c>
      <c r="U1313" s="652">
        <f>IF($B1313="",,SUMIFS(PerHeadcount[Month 10],PerHeadcount[exp_item],$H1313,PerHeadcount[company_name],$B1313)*U263)</f>
        <v>0</v>
      </c>
      <c r="V1313" s="652">
        <f>IF($B1313="",,SUMIFS(PerHeadcount[Month 11],PerHeadcount[exp_item],$H1313,PerHeadcount[company_name],$B1313)*V263)</f>
        <v>0</v>
      </c>
      <c r="W1313" s="652">
        <f>IF($B1313="",,SUMIFS(PerHeadcount[Month 12],PerHeadcount[exp_item],$H1313,PerHeadcount[company_name],$B1313)*W263)</f>
        <v>0</v>
      </c>
      <c r="X1313" s="652">
        <f>IF($B1313="",,SUMIFS(PerHeadcount[Month 13],PerHeadcount[exp_item],$H1313,PerHeadcount[company_name],$B1313)*X263)</f>
        <v>0</v>
      </c>
      <c r="Y1313" s="652">
        <f>IF($B1313="",,SUMIFS(PerHeadcount[Month 14],PerHeadcount[exp_item],$H1313,PerHeadcount[company_name],$B1313)*Y263)</f>
        <v>0</v>
      </c>
      <c r="Z1313" s="652">
        <f>IF($B1313="",,SUMIFS(PerHeadcount[Month 15],PerHeadcount[exp_item],$H1313,PerHeadcount[company_name],$B1313)*Z263)</f>
        <v>0</v>
      </c>
      <c r="AA1313" s="652">
        <f>IF($B1313="",,SUMIFS(PerHeadcount[Month 16],PerHeadcount[exp_item],$H1313,PerHeadcount[company_name],$B1313)*AA263)</f>
        <v>0</v>
      </c>
      <c r="AB1313" s="652">
        <f>IF($B1313="",,SUMIFS(PerHeadcount[Month 17],PerHeadcount[exp_item],$H1313,PerHeadcount[company_name],$B1313)*AB263)</f>
        <v>0</v>
      </c>
      <c r="AC1313" s="652">
        <f>IF($B1313="",,SUMIFS(PerHeadcount[Month 18],PerHeadcount[exp_item],$H1313,PerHeadcount[company_name],$B1313)*AC263)</f>
        <v>0</v>
      </c>
      <c r="AD1313" s="652">
        <f>IF($B1313="",,SUMIFS(PerHeadcount[Month 19],PerHeadcount[exp_item],$H1313,PerHeadcount[company_name],$B1313)*AD263)</f>
        <v>0</v>
      </c>
      <c r="AE1313" s="652">
        <f>IF($B1313="",,SUMIFS(PerHeadcount[Month 20],PerHeadcount[exp_item],$H1313,PerHeadcount[company_name],$B1313)*AE263)</f>
        <v>0</v>
      </c>
      <c r="AF1313" s="652">
        <f>IF($B1313="",,SUMIFS(PerHeadcount[Month 21],PerHeadcount[exp_item],$H1313,PerHeadcount[company_name],$B1313)*AF263)</f>
        <v>0</v>
      </c>
      <c r="AG1313" s="652">
        <f>IF($B1313="",,SUMIFS(PerHeadcount[Month 22],PerHeadcount[exp_item],$H1313,PerHeadcount[company_name],$B1313)*AG263)</f>
        <v>0</v>
      </c>
      <c r="AH1313" s="652">
        <f>IF($B1313="",,SUMIFS(PerHeadcount[Month 23],PerHeadcount[exp_item],$H1313,PerHeadcount[company_name],$B1313)*AH263)</f>
        <v>0</v>
      </c>
      <c r="AI1313" s="652">
        <f>IF($B1313="",,SUMIFS(PerHeadcount[Month 24],PerHeadcount[exp_item],$H1313,PerHeadcount[company_name],$B1313)*AI263)</f>
        <v>0</v>
      </c>
      <c r="AJ1313" s="652">
        <f>IF($B1313="",,SUMIFS(PerHeadcount[Month 25],PerHeadcount[exp_item],$H1313,PerHeadcount[company_name],$B1313)*AJ263)</f>
        <v>0</v>
      </c>
      <c r="AK1313" s="652">
        <f>IF($B1313="",,SUMIFS(PerHeadcount[Month 26],PerHeadcount[exp_item],$H1313,PerHeadcount[company_name],$B1313)*AK263)</f>
        <v>0</v>
      </c>
      <c r="AL1313" s="652">
        <f>IF($B1313="",,SUMIFS(PerHeadcount[Month 27],PerHeadcount[exp_item],$H1313,PerHeadcount[company_name],$B1313)*AL263)</f>
        <v>0</v>
      </c>
      <c r="AM1313" s="652">
        <f>IF($B1313="",,SUMIFS(PerHeadcount[Month 28],PerHeadcount[exp_item],$H1313,PerHeadcount[company_name],$B1313)*AM263)</f>
        <v>0</v>
      </c>
      <c r="AN1313" s="652">
        <f>IF($B1313="",,SUMIFS(PerHeadcount[Month 29],PerHeadcount[exp_item],$H1313,PerHeadcount[company_name],$B1313)*AN263)</f>
        <v>0</v>
      </c>
      <c r="AO1313" s="652">
        <f>IF($B1313="",,SUMIFS(PerHeadcount[Month 30],PerHeadcount[exp_item],$H1313,PerHeadcount[company_name],$B1313)*AO263)</f>
        <v>0</v>
      </c>
      <c r="AP1313" s="652">
        <f>IF($B1313="",,SUMIFS(PerHeadcount[Month 31],PerHeadcount[exp_item],$H1313,PerHeadcount[company_name],$B1313)*AP263)</f>
        <v>0</v>
      </c>
      <c r="AQ1313" s="652">
        <f>IF($B1313="",,SUMIFS(PerHeadcount[Month 32],PerHeadcount[exp_item],$H1313,PerHeadcount[company_name],$B1313)*AQ263)</f>
        <v>0</v>
      </c>
      <c r="AR1313" s="652">
        <f>IF($B1313="",,SUMIFS(PerHeadcount[Month 33],PerHeadcount[exp_item],$H1313,PerHeadcount[company_name],$B1313)*AR263)</f>
        <v>0</v>
      </c>
      <c r="AS1313" s="652">
        <f>IF($B1313="",,SUMIFS(PerHeadcount[Month 34],PerHeadcount[exp_item],$H1313,PerHeadcount[company_name],$B1313)*AS263)</f>
        <v>0</v>
      </c>
      <c r="AT1313" s="652">
        <f>IF($B1313="",,SUMIFS(PerHeadcount[Month 35],PerHeadcount[exp_item],$H1313,PerHeadcount[company_name],$B1313)*AT263)</f>
        <v>0</v>
      </c>
      <c r="AU1313" s="652">
        <f>IF($B1313="",,SUMIFS(PerHeadcount[Month 36],PerHeadcount[exp_item],$H1313,PerHeadcount[company_name],$B1313)*AU263)</f>
        <v>0</v>
      </c>
    </row>
    <row r="1314" spans="2:47" x14ac:dyDescent="0.35">
      <c r="B1314" t="str">
        <f t="shared" si="950"/>
        <v/>
      </c>
      <c r="C1314" t="str">
        <f t="shared" ref="C1314:G1314" si="965">IF(C1209="","",C1209)</f>
        <v/>
      </c>
      <c r="D1314" t="str">
        <f t="shared" si="965"/>
        <v/>
      </c>
      <c r="E1314" t="str">
        <f t="shared" si="965"/>
        <v/>
      </c>
      <c r="F1314" t="str">
        <f t="shared" si="965"/>
        <v/>
      </c>
      <c r="G1314" t="str">
        <f t="shared" si="965"/>
        <v/>
      </c>
      <c r="H1314" t="str">
        <f t="shared" si="949"/>
        <v/>
      </c>
      <c r="J1314" t="str">
        <f>IF($H1314="","",IF(VLOOKUP(H1314,ExpItems[],2,0),H1314&amp;" - "&amp;INDEX(DivisionMapping[category_code],MATCH($D1314&amp;$C1314,DivisionMapping[dept_bu],0)),H1314))</f>
        <v/>
      </c>
      <c r="K1314" t="str">
        <f t="shared" si="952"/>
        <v/>
      </c>
      <c r="L1314" s="652">
        <f>IF($B1314="",,SUMIFS(PerHeadcount[Month 1],PerHeadcount[exp_item],$H1314,PerHeadcount[company_name],$B1314)*L264)</f>
        <v>0</v>
      </c>
      <c r="M1314" s="652">
        <f>IF($B1314="",,SUMIFS(PerHeadcount[Month 2],PerHeadcount[exp_item],$H1314,PerHeadcount[company_name],$B1314)*M264)</f>
        <v>0</v>
      </c>
      <c r="N1314" s="652">
        <f>IF($B1314="",,SUMIFS(PerHeadcount[Month 3],PerHeadcount[exp_item],$H1314,PerHeadcount[company_name],$B1314)*N264)</f>
        <v>0</v>
      </c>
      <c r="O1314" s="652">
        <f>IF($B1314="",,SUMIFS(PerHeadcount[Month 4],PerHeadcount[exp_item],$H1314,PerHeadcount[company_name],$B1314)*O264)</f>
        <v>0</v>
      </c>
      <c r="P1314" s="652">
        <f>IF($B1314="",,SUMIFS(PerHeadcount[Month 5],PerHeadcount[exp_item],$H1314,PerHeadcount[company_name],$B1314)*P264)</f>
        <v>0</v>
      </c>
      <c r="Q1314" s="652">
        <f>IF($B1314="",,SUMIFS(PerHeadcount[Month 6],PerHeadcount[exp_item],$H1314,PerHeadcount[company_name],$B1314)*Q264)</f>
        <v>0</v>
      </c>
      <c r="R1314" s="652">
        <f>IF($B1314="",,SUMIFS(PerHeadcount[Month 7],PerHeadcount[exp_item],$H1314,PerHeadcount[company_name],$B1314)*R264)</f>
        <v>0</v>
      </c>
      <c r="S1314" s="652">
        <f>IF($B1314="",,SUMIFS(PerHeadcount[Month 8],PerHeadcount[exp_item],$H1314,PerHeadcount[company_name],$B1314)*S264)</f>
        <v>0</v>
      </c>
      <c r="T1314" s="652">
        <f>IF($B1314="",,SUMIFS(PerHeadcount[Month 9],PerHeadcount[exp_item],$H1314,PerHeadcount[company_name],$B1314)*T264)</f>
        <v>0</v>
      </c>
      <c r="U1314" s="652">
        <f>IF($B1314="",,SUMIFS(PerHeadcount[Month 10],PerHeadcount[exp_item],$H1314,PerHeadcount[company_name],$B1314)*U264)</f>
        <v>0</v>
      </c>
      <c r="V1314" s="652">
        <f>IF($B1314="",,SUMIFS(PerHeadcount[Month 11],PerHeadcount[exp_item],$H1314,PerHeadcount[company_name],$B1314)*V264)</f>
        <v>0</v>
      </c>
      <c r="W1314" s="652">
        <f>IF($B1314="",,SUMIFS(PerHeadcount[Month 12],PerHeadcount[exp_item],$H1314,PerHeadcount[company_name],$B1314)*W264)</f>
        <v>0</v>
      </c>
      <c r="X1314" s="652">
        <f>IF($B1314="",,SUMIFS(PerHeadcount[Month 13],PerHeadcount[exp_item],$H1314,PerHeadcount[company_name],$B1314)*X264)</f>
        <v>0</v>
      </c>
      <c r="Y1314" s="652">
        <f>IF($B1314="",,SUMIFS(PerHeadcount[Month 14],PerHeadcount[exp_item],$H1314,PerHeadcount[company_name],$B1314)*Y264)</f>
        <v>0</v>
      </c>
      <c r="Z1314" s="652">
        <f>IF($B1314="",,SUMIFS(PerHeadcount[Month 15],PerHeadcount[exp_item],$H1314,PerHeadcount[company_name],$B1314)*Z264)</f>
        <v>0</v>
      </c>
      <c r="AA1314" s="652">
        <f>IF($B1314="",,SUMIFS(PerHeadcount[Month 16],PerHeadcount[exp_item],$H1314,PerHeadcount[company_name],$B1314)*AA264)</f>
        <v>0</v>
      </c>
      <c r="AB1314" s="652">
        <f>IF($B1314="",,SUMIFS(PerHeadcount[Month 17],PerHeadcount[exp_item],$H1314,PerHeadcount[company_name],$B1314)*AB264)</f>
        <v>0</v>
      </c>
      <c r="AC1314" s="652">
        <f>IF($B1314="",,SUMIFS(PerHeadcount[Month 18],PerHeadcount[exp_item],$H1314,PerHeadcount[company_name],$B1314)*AC264)</f>
        <v>0</v>
      </c>
      <c r="AD1314" s="652">
        <f>IF($B1314="",,SUMIFS(PerHeadcount[Month 19],PerHeadcount[exp_item],$H1314,PerHeadcount[company_name],$B1314)*AD264)</f>
        <v>0</v>
      </c>
      <c r="AE1314" s="652">
        <f>IF($B1314="",,SUMIFS(PerHeadcount[Month 20],PerHeadcount[exp_item],$H1314,PerHeadcount[company_name],$B1314)*AE264)</f>
        <v>0</v>
      </c>
      <c r="AF1314" s="652">
        <f>IF($B1314="",,SUMIFS(PerHeadcount[Month 21],PerHeadcount[exp_item],$H1314,PerHeadcount[company_name],$B1314)*AF264)</f>
        <v>0</v>
      </c>
      <c r="AG1314" s="652">
        <f>IF($B1314="",,SUMIFS(PerHeadcount[Month 22],PerHeadcount[exp_item],$H1314,PerHeadcount[company_name],$B1314)*AG264)</f>
        <v>0</v>
      </c>
      <c r="AH1314" s="652">
        <f>IF($B1314="",,SUMIFS(PerHeadcount[Month 23],PerHeadcount[exp_item],$H1314,PerHeadcount[company_name],$B1314)*AH264)</f>
        <v>0</v>
      </c>
      <c r="AI1314" s="652">
        <f>IF($B1314="",,SUMIFS(PerHeadcount[Month 24],PerHeadcount[exp_item],$H1314,PerHeadcount[company_name],$B1314)*AI264)</f>
        <v>0</v>
      </c>
      <c r="AJ1314" s="652">
        <f>IF($B1314="",,SUMIFS(PerHeadcount[Month 25],PerHeadcount[exp_item],$H1314,PerHeadcount[company_name],$B1314)*AJ264)</f>
        <v>0</v>
      </c>
      <c r="AK1314" s="652">
        <f>IF($B1314="",,SUMIFS(PerHeadcount[Month 26],PerHeadcount[exp_item],$H1314,PerHeadcount[company_name],$B1314)*AK264)</f>
        <v>0</v>
      </c>
      <c r="AL1314" s="652">
        <f>IF($B1314="",,SUMIFS(PerHeadcount[Month 27],PerHeadcount[exp_item],$H1314,PerHeadcount[company_name],$B1314)*AL264)</f>
        <v>0</v>
      </c>
      <c r="AM1314" s="652">
        <f>IF($B1314="",,SUMIFS(PerHeadcount[Month 28],PerHeadcount[exp_item],$H1314,PerHeadcount[company_name],$B1314)*AM264)</f>
        <v>0</v>
      </c>
      <c r="AN1314" s="652">
        <f>IF($B1314="",,SUMIFS(PerHeadcount[Month 29],PerHeadcount[exp_item],$H1314,PerHeadcount[company_name],$B1314)*AN264)</f>
        <v>0</v>
      </c>
      <c r="AO1314" s="652">
        <f>IF($B1314="",,SUMIFS(PerHeadcount[Month 30],PerHeadcount[exp_item],$H1314,PerHeadcount[company_name],$B1314)*AO264)</f>
        <v>0</v>
      </c>
      <c r="AP1314" s="652">
        <f>IF($B1314="",,SUMIFS(PerHeadcount[Month 31],PerHeadcount[exp_item],$H1314,PerHeadcount[company_name],$B1314)*AP264)</f>
        <v>0</v>
      </c>
      <c r="AQ1314" s="652">
        <f>IF($B1314="",,SUMIFS(PerHeadcount[Month 32],PerHeadcount[exp_item],$H1314,PerHeadcount[company_name],$B1314)*AQ264)</f>
        <v>0</v>
      </c>
      <c r="AR1314" s="652">
        <f>IF($B1314="",,SUMIFS(PerHeadcount[Month 33],PerHeadcount[exp_item],$H1314,PerHeadcount[company_name],$B1314)*AR264)</f>
        <v>0</v>
      </c>
      <c r="AS1314" s="652">
        <f>IF($B1314="",,SUMIFS(PerHeadcount[Month 34],PerHeadcount[exp_item],$H1314,PerHeadcount[company_name],$B1314)*AS264)</f>
        <v>0</v>
      </c>
      <c r="AT1314" s="652">
        <f>IF($B1314="",,SUMIFS(PerHeadcount[Month 35],PerHeadcount[exp_item],$H1314,PerHeadcount[company_name],$B1314)*AT264)</f>
        <v>0</v>
      </c>
      <c r="AU1314" s="652">
        <f>IF($B1314="",,SUMIFS(PerHeadcount[Month 36],PerHeadcount[exp_item],$H1314,PerHeadcount[company_name],$B1314)*AU264)</f>
        <v>0</v>
      </c>
    </row>
    <row r="1315" spans="2:47" x14ac:dyDescent="0.35">
      <c r="B1315" t="str">
        <f t="shared" si="950"/>
        <v/>
      </c>
      <c r="C1315" t="str">
        <f t="shared" ref="C1315:G1315" si="966">IF(C1210="","",C1210)</f>
        <v/>
      </c>
      <c r="D1315" t="str">
        <f t="shared" si="966"/>
        <v/>
      </c>
      <c r="E1315" t="str">
        <f t="shared" si="966"/>
        <v/>
      </c>
      <c r="F1315" t="str">
        <f t="shared" si="966"/>
        <v/>
      </c>
      <c r="G1315" t="str">
        <f t="shared" si="966"/>
        <v/>
      </c>
      <c r="H1315" t="str">
        <f t="shared" si="949"/>
        <v/>
      </c>
      <c r="J1315" t="str">
        <f>IF($H1315="","",IF(VLOOKUP(H1315,ExpItems[],2,0),H1315&amp;" - "&amp;INDEX(DivisionMapping[category_code],MATCH($D1315&amp;$C1315,DivisionMapping[dept_bu],0)),H1315))</f>
        <v/>
      </c>
      <c r="K1315" t="str">
        <f t="shared" si="952"/>
        <v/>
      </c>
      <c r="L1315" s="652">
        <f>IF($B1315="",,SUMIFS(PerHeadcount[Month 1],PerHeadcount[exp_item],$H1315,PerHeadcount[company_name],$B1315)*L265)</f>
        <v>0</v>
      </c>
      <c r="M1315" s="652">
        <f>IF($B1315="",,SUMIFS(PerHeadcount[Month 2],PerHeadcount[exp_item],$H1315,PerHeadcount[company_name],$B1315)*M265)</f>
        <v>0</v>
      </c>
      <c r="N1315" s="652">
        <f>IF($B1315="",,SUMIFS(PerHeadcount[Month 3],PerHeadcount[exp_item],$H1315,PerHeadcount[company_name],$B1315)*N265)</f>
        <v>0</v>
      </c>
      <c r="O1315" s="652">
        <f>IF($B1315="",,SUMIFS(PerHeadcount[Month 4],PerHeadcount[exp_item],$H1315,PerHeadcount[company_name],$B1315)*O265)</f>
        <v>0</v>
      </c>
      <c r="P1315" s="652">
        <f>IF($B1315="",,SUMIFS(PerHeadcount[Month 5],PerHeadcount[exp_item],$H1315,PerHeadcount[company_name],$B1315)*P265)</f>
        <v>0</v>
      </c>
      <c r="Q1315" s="652">
        <f>IF($B1315="",,SUMIFS(PerHeadcount[Month 6],PerHeadcount[exp_item],$H1315,PerHeadcount[company_name],$B1315)*Q265)</f>
        <v>0</v>
      </c>
      <c r="R1315" s="652">
        <f>IF($B1315="",,SUMIFS(PerHeadcount[Month 7],PerHeadcount[exp_item],$H1315,PerHeadcount[company_name],$B1315)*R265)</f>
        <v>0</v>
      </c>
      <c r="S1315" s="652">
        <f>IF($B1315="",,SUMIFS(PerHeadcount[Month 8],PerHeadcount[exp_item],$H1315,PerHeadcount[company_name],$B1315)*S265)</f>
        <v>0</v>
      </c>
      <c r="T1315" s="652">
        <f>IF($B1315="",,SUMIFS(PerHeadcount[Month 9],PerHeadcount[exp_item],$H1315,PerHeadcount[company_name],$B1315)*T265)</f>
        <v>0</v>
      </c>
      <c r="U1315" s="652">
        <f>IF($B1315="",,SUMIFS(PerHeadcount[Month 10],PerHeadcount[exp_item],$H1315,PerHeadcount[company_name],$B1315)*U265)</f>
        <v>0</v>
      </c>
      <c r="V1315" s="652">
        <f>IF($B1315="",,SUMIFS(PerHeadcount[Month 11],PerHeadcount[exp_item],$H1315,PerHeadcount[company_name],$B1315)*V265)</f>
        <v>0</v>
      </c>
      <c r="W1315" s="652">
        <f>IF($B1315="",,SUMIFS(PerHeadcount[Month 12],PerHeadcount[exp_item],$H1315,PerHeadcount[company_name],$B1315)*W265)</f>
        <v>0</v>
      </c>
      <c r="X1315" s="652">
        <f>IF($B1315="",,SUMIFS(PerHeadcount[Month 13],PerHeadcount[exp_item],$H1315,PerHeadcount[company_name],$B1315)*X265)</f>
        <v>0</v>
      </c>
      <c r="Y1315" s="652">
        <f>IF($B1315="",,SUMIFS(PerHeadcount[Month 14],PerHeadcount[exp_item],$H1315,PerHeadcount[company_name],$B1315)*Y265)</f>
        <v>0</v>
      </c>
      <c r="Z1315" s="652">
        <f>IF($B1315="",,SUMIFS(PerHeadcount[Month 15],PerHeadcount[exp_item],$H1315,PerHeadcount[company_name],$B1315)*Z265)</f>
        <v>0</v>
      </c>
      <c r="AA1315" s="652">
        <f>IF($B1315="",,SUMIFS(PerHeadcount[Month 16],PerHeadcount[exp_item],$H1315,PerHeadcount[company_name],$B1315)*AA265)</f>
        <v>0</v>
      </c>
      <c r="AB1315" s="652">
        <f>IF($B1315="",,SUMIFS(PerHeadcount[Month 17],PerHeadcount[exp_item],$H1315,PerHeadcount[company_name],$B1315)*AB265)</f>
        <v>0</v>
      </c>
      <c r="AC1315" s="652">
        <f>IF($B1315="",,SUMIFS(PerHeadcount[Month 18],PerHeadcount[exp_item],$H1315,PerHeadcount[company_name],$B1315)*AC265)</f>
        <v>0</v>
      </c>
      <c r="AD1315" s="652">
        <f>IF($B1315="",,SUMIFS(PerHeadcount[Month 19],PerHeadcount[exp_item],$H1315,PerHeadcount[company_name],$B1315)*AD265)</f>
        <v>0</v>
      </c>
      <c r="AE1315" s="652">
        <f>IF($B1315="",,SUMIFS(PerHeadcount[Month 20],PerHeadcount[exp_item],$H1315,PerHeadcount[company_name],$B1315)*AE265)</f>
        <v>0</v>
      </c>
      <c r="AF1315" s="652">
        <f>IF($B1315="",,SUMIFS(PerHeadcount[Month 21],PerHeadcount[exp_item],$H1315,PerHeadcount[company_name],$B1315)*AF265)</f>
        <v>0</v>
      </c>
      <c r="AG1315" s="652">
        <f>IF($B1315="",,SUMIFS(PerHeadcount[Month 22],PerHeadcount[exp_item],$H1315,PerHeadcount[company_name],$B1315)*AG265)</f>
        <v>0</v>
      </c>
      <c r="AH1315" s="652">
        <f>IF($B1315="",,SUMIFS(PerHeadcount[Month 23],PerHeadcount[exp_item],$H1315,PerHeadcount[company_name],$B1315)*AH265)</f>
        <v>0</v>
      </c>
      <c r="AI1315" s="652">
        <f>IF($B1315="",,SUMIFS(PerHeadcount[Month 24],PerHeadcount[exp_item],$H1315,PerHeadcount[company_name],$B1315)*AI265)</f>
        <v>0</v>
      </c>
      <c r="AJ1315" s="652">
        <f>IF($B1315="",,SUMIFS(PerHeadcount[Month 25],PerHeadcount[exp_item],$H1315,PerHeadcount[company_name],$B1315)*AJ265)</f>
        <v>0</v>
      </c>
      <c r="AK1315" s="652">
        <f>IF($B1315="",,SUMIFS(PerHeadcount[Month 26],PerHeadcount[exp_item],$H1315,PerHeadcount[company_name],$B1315)*AK265)</f>
        <v>0</v>
      </c>
      <c r="AL1315" s="652">
        <f>IF($B1315="",,SUMIFS(PerHeadcount[Month 27],PerHeadcount[exp_item],$H1315,PerHeadcount[company_name],$B1315)*AL265)</f>
        <v>0</v>
      </c>
      <c r="AM1315" s="652">
        <f>IF($B1315="",,SUMIFS(PerHeadcount[Month 28],PerHeadcount[exp_item],$H1315,PerHeadcount[company_name],$B1315)*AM265)</f>
        <v>0</v>
      </c>
      <c r="AN1315" s="652">
        <f>IF($B1315="",,SUMIFS(PerHeadcount[Month 29],PerHeadcount[exp_item],$H1315,PerHeadcount[company_name],$B1315)*AN265)</f>
        <v>0</v>
      </c>
      <c r="AO1315" s="652">
        <f>IF($B1315="",,SUMIFS(PerHeadcount[Month 30],PerHeadcount[exp_item],$H1315,PerHeadcount[company_name],$B1315)*AO265)</f>
        <v>0</v>
      </c>
      <c r="AP1315" s="652">
        <f>IF($B1315="",,SUMIFS(PerHeadcount[Month 31],PerHeadcount[exp_item],$H1315,PerHeadcount[company_name],$B1315)*AP265)</f>
        <v>0</v>
      </c>
      <c r="AQ1315" s="652">
        <f>IF($B1315="",,SUMIFS(PerHeadcount[Month 32],PerHeadcount[exp_item],$H1315,PerHeadcount[company_name],$B1315)*AQ265)</f>
        <v>0</v>
      </c>
      <c r="AR1315" s="652">
        <f>IF($B1315="",,SUMIFS(PerHeadcount[Month 33],PerHeadcount[exp_item],$H1315,PerHeadcount[company_name],$B1315)*AR265)</f>
        <v>0</v>
      </c>
      <c r="AS1315" s="652">
        <f>IF($B1315="",,SUMIFS(PerHeadcount[Month 34],PerHeadcount[exp_item],$H1315,PerHeadcount[company_name],$B1315)*AS265)</f>
        <v>0</v>
      </c>
      <c r="AT1315" s="652">
        <f>IF($B1315="",,SUMIFS(PerHeadcount[Month 35],PerHeadcount[exp_item],$H1315,PerHeadcount[company_name],$B1315)*AT265)</f>
        <v>0</v>
      </c>
      <c r="AU1315" s="652">
        <f>IF($B1315="",,SUMIFS(PerHeadcount[Month 36],PerHeadcount[exp_item],$H1315,PerHeadcount[company_name],$B1315)*AU265)</f>
        <v>0</v>
      </c>
    </row>
    <row r="1316" spans="2:47" x14ac:dyDescent="0.35">
      <c r="B1316" t="str">
        <f t="shared" si="950"/>
        <v/>
      </c>
      <c r="C1316" t="str">
        <f t="shared" ref="C1316:G1316" si="967">IF(C1211="","",C1211)</f>
        <v/>
      </c>
      <c r="D1316" t="str">
        <f t="shared" si="967"/>
        <v/>
      </c>
      <c r="E1316" t="str">
        <f t="shared" si="967"/>
        <v/>
      </c>
      <c r="F1316" t="str">
        <f t="shared" si="967"/>
        <v/>
      </c>
      <c r="G1316" t="str">
        <f t="shared" si="967"/>
        <v/>
      </c>
      <c r="H1316" t="str">
        <f t="shared" si="949"/>
        <v/>
      </c>
      <c r="J1316" t="str">
        <f>IF($H1316="","",IF(VLOOKUP(H1316,ExpItems[],2,0),H1316&amp;" - "&amp;INDEX(DivisionMapping[category_code],MATCH($D1316&amp;$C1316,DivisionMapping[dept_bu],0)),H1316))</f>
        <v/>
      </c>
      <c r="K1316" t="str">
        <f t="shared" si="952"/>
        <v/>
      </c>
      <c r="L1316" s="652">
        <f>IF($B1316="",,SUMIFS(PerHeadcount[Month 1],PerHeadcount[exp_item],$H1316,PerHeadcount[company_name],$B1316)*L266)</f>
        <v>0</v>
      </c>
      <c r="M1316" s="652">
        <f>IF($B1316="",,SUMIFS(PerHeadcount[Month 2],PerHeadcount[exp_item],$H1316,PerHeadcount[company_name],$B1316)*M266)</f>
        <v>0</v>
      </c>
      <c r="N1316" s="652">
        <f>IF($B1316="",,SUMIFS(PerHeadcount[Month 3],PerHeadcount[exp_item],$H1316,PerHeadcount[company_name],$B1316)*N266)</f>
        <v>0</v>
      </c>
      <c r="O1316" s="652">
        <f>IF($B1316="",,SUMIFS(PerHeadcount[Month 4],PerHeadcount[exp_item],$H1316,PerHeadcount[company_name],$B1316)*O266)</f>
        <v>0</v>
      </c>
      <c r="P1316" s="652">
        <f>IF($B1316="",,SUMIFS(PerHeadcount[Month 5],PerHeadcount[exp_item],$H1316,PerHeadcount[company_name],$B1316)*P266)</f>
        <v>0</v>
      </c>
      <c r="Q1316" s="652">
        <f>IF($B1316="",,SUMIFS(PerHeadcount[Month 6],PerHeadcount[exp_item],$H1316,PerHeadcount[company_name],$B1316)*Q266)</f>
        <v>0</v>
      </c>
      <c r="R1316" s="652">
        <f>IF($B1316="",,SUMIFS(PerHeadcount[Month 7],PerHeadcount[exp_item],$H1316,PerHeadcount[company_name],$B1316)*R266)</f>
        <v>0</v>
      </c>
      <c r="S1316" s="652">
        <f>IF($B1316="",,SUMIFS(PerHeadcount[Month 8],PerHeadcount[exp_item],$H1316,PerHeadcount[company_name],$B1316)*S266)</f>
        <v>0</v>
      </c>
      <c r="T1316" s="652">
        <f>IF($B1316="",,SUMIFS(PerHeadcount[Month 9],PerHeadcount[exp_item],$H1316,PerHeadcount[company_name],$B1316)*T266)</f>
        <v>0</v>
      </c>
      <c r="U1316" s="652">
        <f>IF($B1316="",,SUMIFS(PerHeadcount[Month 10],PerHeadcount[exp_item],$H1316,PerHeadcount[company_name],$B1316)*U266)</f>
        <v>0</v>
      </c>
      <c r="V1316" s="652">
        <f>IF($B1316="",,SUMIFS(PerHeadcount[Month 11],PerHeadcount[exp_item],$H1316,PerHeadcount[company_name],$B1316)*V266)</f>
        <v>0</v>
      </c>
      <c r="W1316" s="652">
        <f>IF($B1316="",,SUMIFS(PerHeadcount[Month 12],PerHeadcount[exp_item],$H1316,PerHeadcount[company_name],$B1316)*W266)</f>
        <v>0</v>
      </c>
      <c r="X1316" s="652">
        <f>IF($B1316="",,SUMIFS(PerHeadcount[Month 13],PerHeadcount[exp_item],$H1316,PerHeadcount[company_name],$B1316)*X266)</f>
        <v>0</v>
      </c>
      <c r="Y1316" s="652">
        <f>IF($B1316="",,SUMIFS(PerHeadcount[Month 14],PerHeadcount[exp_item],$H1316,PerHeadcount[company_name],$B1316)*Y266)</f>
        <v>0</v>
      </c>
      <c r="Z1316" s="652">
        <f>IF($B1316="",,SUMIFS(PerHeadcount[Month 15],PerHeadcount[exp_item],$H1316,PerHeadcount[company_name],$B1316)*Z266)</f>
        <v>0</v>
      </c>
      <c r="AA1316" s="652">
        <f>IF($B1316="",,SUMIFS(PerHeadcount[Month 16],PerHeadcount[exp_item],$H1316,PerHeadcount[company_name],$B1316)*AA266)</f>
        <v>0</v>
      </c>
      <c r="AB1316" s="652">
        <f>IF($B1316="",,SUMIFS(PerHeadcount[Month 17],PerHeadcount[exp_item],$H1316,PerHeadcount[company_name],$B1316)*AB266)</f>
        <v>0</v>
      </c>
      <c r="AC1316" s="652">
        <f>IF($B1316="",,SUMIFS(PerHeadcount[Month 18],PerHeadcount[exp_item],$H1316,PerHeadcount[company_name],$B1316)*AC266)</f>
        <v>0</v>
      </c>
      <c r="AD1316" s="652">
        <f>IF($B1316="",,SUMIFS(PerHeadcount[Month 19],PerHeadcount[exp_item],$H1316,PerHeadcount[company_name],$B1316)*AD266)</f>
        <v>0</v>
      </c>
      <c r="AE1316" s="652">
        <f>IF($B1316="",,SUMIFS(PerHeadcount[Month 20],PerHeadcount[exp_item],$H1316,PerHeadcount[company_name],$B1316)*AE266)</f>
        <v>0</v>
      </c>
      <c r="AF1316" s="652">
        <f>IF($B1316="",,SUMIFS(PerHeadcount[Month 21],PerHeadcount[exp_item],$H1316,PerHeadcount[company_name],$B1316)*AF266)</f>
        <v>0</v>
      </c>
      <c r="AG1316" s="652">
        <f>IF($B1316="",,SUMIFS(PerHeadcount[Month 22],PerHeadcount[exp_item],$H1316,PerHeadcount[company_name],$B1316)*AG266)</f>
        <v>0</v>
      </c>
      <c r="AH1316" s="652">
        <f>IF($B1316="",,SUMIFS(PerHeadcount[Month 23],PerHeadcount[exp_item],$H1316,PerHeadcount[company_name],$B1316)*AH266)</f>
        <v>0</v>
      </c>
      <c r="AI1316" s="652">
        <f>IF($B1316="",,SUMIFS(PerHeadcount[Month 24],PerHeadcount[exp_item],$H1316,PerHeadcount[company_name],$B1316)*AI266)</f>
        <v>0</v>
      </c>
      <c r="AJ1316" s="652">
        <f>IF($B1316="",,SUMIFS(PerHeadcount[Month 25],PerHeadcount[exp_item],$H1316,PerHeadcount[company_name],$B1316)*AJ266)</f>
        <v>0</v>
      </c>
      <c r="AK1316" s="652">
        <f>IF($B1316="",,SUMIFS(PerHeadcount[Month 26],PerHeadcount[exp_item],$H1316,PerHeadcount[company_name],$B1316)*AK266)</f>
        <v>0</v>
      </c>
      <c r="AL1316" s="652">
        <f>IF($B1316="",,SUMIFS(PerHeadcount[Month 27],PerHeadcount[exp_item],$H1316,PerHeadcount[company_name],$B1316)*AL266)</f>
        <v>0</v>
      </c>
      <c r="AM1316" s="652">
        <f>IF($B1316="",,SUMIFS(PerHeadcount[Month 28],PerHeadcount[exp_item],$H1316,PerHeadcount[company_name],$B1316)*AM266)</f>
        <v>0</v>
      </c>
      <c r="AN1316" s="652">
        <f>IF($B1316="",,SUMIFS(PerHeadcount[Month 29],PerHeadcount[exp_item],$H1316,PerHeadcount[company_name],$B1316)*AN266)</f>
        <v>0</v>
      </c>
      <c r="AO1316" s="652">
        <f>IF($B1316="",,SUMIFS(PerHeadcount[Month 30],PerHeadcount[exp_item],$H1316,PerHeadcount[company_name],$B1316)*AO266)</f>
        <v>0</v>
      </c>
      <c r="AP1316" s="652">
        <f>IF($B1316="",,SUMIFS(PerHeadcount[Month 31],PerHeadcount[exp_item],$H1316,PerHeadcount[company_name],$B1316)*AP266)</f>
        <v>0</v>
      </c>
      <c r="AQ1316" s="652">
        <f>IF($B1316="",,SUMIFS(PerHeadcount[Month 32],PerHeadcount[exp_item],$H1316,PerHeadcount[company_name],$B1316)*AQ266)</f>
        <v>0</v>
      </c>
      <c r="AR1316" s="652">
        <f>IF($B1316="",,SUMIFS(PerHeadcount[Month 33],PerHeadcount[exp_item],$H1316,PerHeadcount[company_name],$B1316)*AR266)</f>
        <v>0</v>
      </c>
      <c r="AS1316" s="652">
        <f>IF($B1316="",,SUMIFS(PerHeadcount[Month 34],PerHeadcount[exp_item],$H1316,PerHeadcount[company_name],$B1316)*AS266)</f>
        <v>0</v>
      </c>
      <c r="AT1316" s="652">
        <f>IF($B1316="",,SUMIFS(PerHeadcount[Month 35],PerHeadcount[exp_item],$H1316,PerHeadcount[company_name],$B1316)*AT266)</f>
        <v>0</v>
      </c>
      <c r="AU1316" s="652">
        <f>IF($B1316="",,SUMIFS(PerHeadcount[Month 36],PerHeadcount[exp_item],$H1316,PerHeadcount[company_name],$B1316)*AU266)</f>
        <v>0</v>
      </c>
    </row>
    <row r="1317" spans="2:47" x14ac:dyDescent="0.35">
      <c r="B1317" t="str">
        <f t="shared" si="950"/>
        <v/>
      </c>
      <c r="C1317" t="str">
        <f t="shared" ref="C1317:G1317" si="968">IF(C1212="","",C1212)</f>
        <v/>
      </c>
      <c r="D1317" t="str">
        <f t="shared" si="968"/>
        <v/>
      </c>
      <c r="E1317" t="str">
        <f t="shared" si="968"/>
        <v/>
      </c>
      <c r="F1317" t="str">
        <f t="shared" si="968"/>
        <v/>
      </c>
      <c r="G1317" t="str">
        <f t="shared" si="968"/>
        <v/>
      </c>
      <c r="H1317" t="str">
        <f t="shared" si="949"/>
        <v/>
      </c>
      <c r="J1317" t="str">
        <f>IF($H1317="","",IF(VLOOKUP(H1317,ExpItems[],2,0),H1317&amp;" - "&amp;INDEX(DivisionMapping[category_code],MATCH($D1317&amp;$C1317,DivisionMapping[dept_bu],0)),H1317))</f>
        <v/>
      </c>
      <c r="K1317" t="str">
        <f t="shared" si="952"/>
        <v/>
      </c>
      <c r="L1317" s="652">
        <f>IF($B1317="",,SUMIFS(PerHeadcount[Month 1],PerHeadcount[exp_item],$H1317,PerHeadcount[company_name],$B1317)*L267)</f>
        <v>0</v>
      </c>
      <c r="M1317" s="652">
        <f>IF($B1317="",,SUMIFS(PerHeadcount[Month 2],PerHeadcount[exp_item],$H1317,PerHeadcount[company_name],$B1317)*M267)</f>
        <v>0</v>
      </c>
      <c r="N1317" s="652">
        <f>IF($B1317="",,SUMIFS(PerHeadcount[Month 3],PerHeadcount[exp_item],$H1317,PerHeadcount[company_name],$B1317)*N267)</f>
        <v>0</v>
      </c>
      <c r="O1317" s="652">
        <f>IF($B1317="",,SUMIFS(PerHeadcount[Month 4],PerHeadcount[exp_item],$H1317,PerHeadcount[company_name],$B1317)*O267)</f>
        <v>0</v>
      </c>
      <c r="P1317" s="652">
        <f>IF($B1317="",,SUMIFS(PerHeadcount[Month 5],PerHeadcount[exp_item],$H1317,PerHeadcount[company_name],$B1317)*P267)</f>
        <v>0</v>
      </c>
      <c r="Q1317" s="652">
        <f>IF($B1317="",,SUMIFS(PerHeadcount[Month 6],PerHeadcount[exp_item],$H1317,PerHeadcount[company_name],$B1317)*Q267)</f>
        <v>0</v>
      </c>
      <c r="R1317" s="652">
        <f>IF($B1317="",,SUMIFS(PerHeadcount[Month 7],PerHeadcount[exp_item],$H1317,PerHeadcount[company_name],$B1317)*R267)</f>
        <v>0</v>
      </c>
      <c r="S1317" s="652">
        <f>IF($B1317="",,SUMIFS(PerHeadcount[Month 8],PerHeadcount[exp_item],$H1317,PerHeadcount[company_name],$B1317)*S267)</f>
        <v>0</v>
      </c>
      <c r="T1317" s="652">
        <f>IF($B1317="",,SUMIFS(PerHeadcount[Month 9],PerHeadcount[exp_item],$H1317,PerHeadcount[company_name],$B1317)*T267)</f>
        <v>0</v>
      </c>
      <c r="U1317" s="652">
        <f>IF($B1317="",,SUMIFS(PerHeadcount[Month 10],PerHeadcount[exp_item],$H1317,PerHeadcount[company_name],$B1317)*U267)</f>
        <v>0</v>
      </c>
      <c r="V1317" s="652">
        <f>IF($B1317="",,SUMIFS(PerHeadcount[Month 11],PerHeadcount[exp_item],$H1317,PerHeadcount[company_name],$B1317)*V267)</f>
        <v>0</v>
      </c>
      <c r="W1317" s="652">
        <f>IF($B1317="",,SUMIFS(PerHeadcount[Month 12],PerHeadcount[exp_item],$H1317,PerHeadcount[company_name],$B1317)*W267)</f>
        <v>0</v>
      </c>
      <c r="X1317" s="652">
        <f>IF($B1317="",,SUMIFS(PerHeadcount[Month 13],PerHeadcount[exp_item],$H1317,PerHeadcount[company_name],$B1317)*X267)</f>
        <v>0</v>
      </c>
      <c r="Y1317" s="652">
        <f>IF($B1317="",,SUMIFS(PerHeadcount[Month 14],PerHeadcount[exp_item],$H1317,PerHeadcount[company_name],$B1317)*Y267)</f>
        <v>0</v>
      </c>
      <c r="Z1317" s="652">
        <f>IF($B1317="",,SUMIFS(PerHeadcount[Month 15],PerHeadcount[exp_item],$H1317,PerHeadcount[company_name],$B1317)*Z267)</f>
        <v>0</v>
      </c>
      <c r="AA1317" s="652">
        <f>IF($B1317="",,SUMIFS(PerHeadcount[Month 16],PerHeadcount[exp_item],$H1317,PerHeadcount[company_name],$B1317)*AA267)</f>
        <v>0</v>
      </c>
      <c r="AB1317" s="652">
        <f>IF($B1317="",,SUMIFS(PerHeadcount[Month 17],PerHeadcount[exp_item],$H1317,PerHeadcount[company_name],$B1317)*AB267)</f>
        <v>0</v>
      </c>
      <c r="AC1317" s="652">
        <f>IF($B1317="",,SUMIFS(PerHeadcount[Month 18],PerHeadcount[exp_item],$H1317,PerHeadcount[company_name],$B1317)*AC267)</f>
        <v>0</v>
      </c>
      <c r="AD1317" s="652">
        <f>IF($B1317="",,SUMIFS(PerHeadcount[Month 19],PerHeadcount[exp_item],$H1317,PerHeadcount[company_name],$B1317)*AD267)</f>
        <v>0</v>
      </c>
      <c r="AE1317" s="652">
        <f>IF($B1317="",,SUMIFS(PerHeadcount[Month 20],PerHeadcount[exp_item],$H1317,PerHeadcount[company_name],$B1317)*AE267)</f>
        <v>0</v>
      </c>
      <c r="AF1317" s="652">
        <f>IF($B1317="",,SUMIFS(PerHeadcount[Month 21],PerHeadcount[exp_item],$H1317,PerHeadcount[company_name],$B1317)*AF267)</f>
        <v>0</v>
      </c>
      <c r="AG1317" s="652">
        <f>IF($B1317="",,SUMIFS(PerHeadcount[Month 22],PerHeadcount[exp_item],$H1317,PerHeadcount[company_name],$B1317)*AG267)</f>
        <v>0</v>
      </c>
      <c r="AH1317" s="652">
        <f>IF($B1317="",,SUMIFS(PerHeadcount[Month 23],PerHeadcount[exp_item],$H1317,PerHeadcount[company_name],$B1317)*AH267)</f>
        <v>0</v>
      </c>
      <c r="AI1317" s="652">
        <f>IF($B1317="",,SUMIFS(PerHeadcount[Month 24],PerHeadcount[exp_item],$H1317,PerHeadcount[company_name],$B1317)*AI267)</f>
        <v>0</v>
      </c>
      <c r="AJ1317" s="652">
        <f>IF($B1317="",,SUMIFS(PerHeadcount[Month 25],PerHeadcount[exp_item],$H1317,PerHeadcount[company_name],$B1317)*AJ267)</f>
        <v>0</v>
      </c>
      <c r="AK1317" s="652">
        <f>IF($B1317="",,SUMIFS(PerHeadcount[Month 26],PerHeadcount[exp_item],$H1317,PerHeadcount[company_name],$B1317)*AK267)</f>
        <v>0</v>
      </c>
      <c r="AL1317" s="652">
        <f>IF($B1317="",,SUMIFS(PerHeadcount[Month 27],PerHeadcount[exp_item],$H1317,PerHeadcount[company_name],$B1317)*AL267)</f>
        <v>0</v>
      </c>
      <c r="AM1317" s="652">
        <f>IF($B1317="",,SUMIFS(PerHeadcount[Month 28],PerHeadcount[exp_item],$H1317,PerHeadcount[company_name],$B1317)*AM267)</f>
        <v>0</v>
      </c>
      <c r="AN1317" s="652">
        <f>IF($B1317="",,SUMIFS(PerHeadcount[Month 29],PerHeadcount[exp_item],$H1317,PerHeadcount[company_name],$B1317)*AN267)</f>
        <v>0</v>
      </c>
      <c r="AO1317" s="652">
        <f>IF($B1317="",,SUMIFS(PerHeadcount[Month 30],PerHeadcount[exp_item],$H1317,PerHeadcount[company_name],$B1317)*AO267)</f>
        <v>0</v>
      </c>
      <c r="AP1317" s="652">
        <f>IF($B1317="",,SUMIFS(PerHeadcount[Month 31],PerHeadcount[exp_item],$H1317,PerHeadcount[company_name],$B1317)*AP267)</f>
        <v>0</v>
      </c>
      <c r="AQ1317" s="652">
        <f>IF($B1317="",,SUMIFS(PerHeadcount[Month 32],PerHeadcount[exp_item],$H1317,PerHeadcount[company_name],$B1317)*AQ267)</f>
        <v>0</v>
      </c>
      <c r="AR1317" s="652">
        <f>IF($B1317="",,SUMIFS(PerHeadcount[Month 33],PerHeadcount[exp_item],$H1317,PerHeadcount[company_name],$B1317)*AR267)</f>
        <v>0</v>
      </c>
      <c r="AS1317" s="652">
        <f>IF($B1317="",,SUMIFS(PerHeadcount[Month 34],PerHeadcount[exp_item],$H1317,PerHeadcount[company_name],$B1317)*AS267)</f>
        <v>0</v>
      </c>
      <c r="AT1317" s="652">
        <f>IF($B1317="",,SUMIFS(PerHeadcount[Month 35],PerHeadcount[exp_item],$H1317,PerHeadcount[company_name],$B1317)*AT267)</f>
        <v>0</v>
      </c>
      <c r="AU1317" s="652">
        <f>IF($B1317="",,SUMIFS(PerHeadcount[Month 36],PerHeadcount[exp_item],$H1317,PerHeadcount[company_name],$B1317)*AU267)</f>
        <v>0</v>
      </c>
    </row>
    <row r="1318" spans="2:47" x14ac:dyDescent="0.35">
      <c r="B1318" t="str">
        <f t="shared" si="950"/>
        <v/>
      </c>
      <c r="C1318" t="str">
        <f t="shared" ref="C1318:G1318" si="969">IF(C1213="","",C1213)</f>
        <v/>
      </c>
      <c r="D1318" t="str">
        <f t="shared" si="969"/>
        <v/>
      </c>
      <c r="E1318" t="str">
        <f t="shared" si="969"/>
        <v/>
      </c>
      <c r="F1318" t="str">
        <f t="shared" si="969"/>
        <v/>
      </c>
      <c r="G1318" t="str">
        <f t="shared" si="969"/>
        <v/>
      </c>
      <c r="H1318" t="str">
        <f t="shared" si="949"/>
        <v/>
      </c>
      <c r="J1318" t="str">
        <f>IF($H1318="","",IF(VLOOKUP(H1318,ExpItems[],2,0),H1318&amp;" - "&amp;INDEX(DivisionMapping[category_code],MATCH($D1318&amp;$C1318,DivisionMapping[dept_bu],0)),H1318))</f>
        <v/>
      </c>
      <c r="K1318" t="str">
        <f t="shared" si="952"/>
        <v/>
      </c>
      <c r="L1318" s="652">
        <f>IF($B1318="",,SUMIFS(PerHeadcount[Month 1],PerHeadcount[exp_item],$H1318,PerHeadcount[company_name],$B1318)*L268)</f>
        <v>0</v>
      </c>
      <c r="M1318" s="652">
        <f>IF($B1318="",,SUMIFS(PerHeadcount[Month 2],PerHeadcount[exp_item],$H1318,PerHeadcount[company_name],$B1318)*M268)</f>
        <v>0</v>
      </c>
      <c r="N1318" s="652">
        <f>IF($B1318="",,SUMIFS(PerHeadcount[Month 3],PerHeadcount[exp_item],$H1318,PerHeadcount[company_name],$B1318)*N268)</f>
        <v>0</v>
      </c>
      <c r="O1318" s="652">
        <f>IF($B1318="",,SUMIFS(PerHeadcount[Month 4],PerHeadcount[exp_item],$H1318,PerHeadcount[company_name],$B1318)*O268)</f>
        <v>0</v>
      </c>
      <c r="P1318" s="652">
        <f>IF($B1318="",,SUMIFS(PerHeadcount[Month 5],PerHeadcount[exp_item],$H1318,PerHeadcount[company_name],$B1318)*P268)</f>
        <v>0</v>
      </c>
      <c r="Q1318" s="652">
        <f>IF($B1318="",,SUMIFS(PerHeadcount[Month 6],PerHeadcount[exp_item],$H1318,PerHeadcount[company_name],$B1318)*Q268)</f>
        <v>0</v>
      </c>
      <c r="R1318" s="652">
        <f>IF($B1318="",,SUMIFS(PerHeadcount[Month 7],PerHeadcount[exp_item],$H1318,PerHeadcount[company_name],$B1318)*R268)</f>
        <v>0</v>
      </c>
      <c r="S1318" s="652">
        <f>IF($B1318="",,SUMIFS(PerHeadcount[Month 8],PerHeadcount[exp_item],$H1318,PerHeadcount[company_name],$B1318)*S268)</f>
        <v>0</v>
      </c>
      <c r="T1318" s="652">
        <f>IF($B1318="",,SUMIFS(PerHeadcount[Month 9],PerHeadcount[exp_item],$H1318,PerHeadcount[company_name],$B1318)*T268)</f>
        <v>0</v>
      </c>
      <c r="U1318" s="652">
        <f>IF($B1318="",,SUMIFS(PerHeadcount[Month 10],PerHeadcount[exp_item],$H1318,PerHeadcount[company_name],$B1318)*U268)</f>
        <v>0</v>
      </c>
      <c r="V1318" s="652">
        <f>IF($B1318="",,SUMIFS(PerHeadcount[Month 11],PerHeadcount[exp_item],$H1318,PerHeadcount[company_name],$B1318)*V268)</f>
        <v>0</v>
      </c>
      <c r="W1318" s="652">
        <f>IF($B1318="",,SUMIFS(PerHeadcount[Month 12],PerHeadcount[exp_item],$H1318,PerHeadcount[company_name],$B1318)*W268)</f>
        <v>0</v>
      </c>
      <c r="X1318" s="652">
        <f>IF($B1318="",,SUMIFS(PerHeadcount[Month 13],PerHeadcount[exp_item],$H1318,PerHeadcount[company_name],$B1318)*X268)</f>
        <v>0</v>
      </c>
      <c r="Y1318" s="652">
        <f>IF($B1318="",,SUMIFS(PerHeadcount[Month 14],PerHeadcount[exp_item],$H1318,PerHeadcount[company_name],$B1318)*Y268)</f>
        <v>0</v>
      </c>
      <c r="Z1318" s="652">
        <f>IF($B1318="",,SUMIFS(PerHeadcount[Month 15],PerHeadcount[exp_item],$H1318,PerHeadcount[company_name],$B1318)*Z268)</f>
        <v>0</v>
      </c>
      <c r="AA1318" s="652">
        <f>IF($B1318="",,SUMIFS(PerHeadcount[Month 16],PerHeadcount[exp_item],$H1318,PerHeadcount[company_name],$B1318)*AA268)</f>
        <v>0</v>
      </c>
      <c r="AB1318" s="652">
        <f>IF($B1318="",,SUMIFS(PerHeadcount[Month 17],PerHeadcount[exp_item],$H1318,PerHeadcount[company_name],$B1318)*AB268)</f>
        <v>0</v>
      </c>
      <c r="AC1318" s="652">
        <f>IF($B1318="",,SUMIFS(PerHeadcount[Month 18],PerHeadcount[exp_item],$H1318,PerHeadcount[company_name],$B1318)*AC268)</f>
        <v>0</v>
      </c>
      <c r="AD1318" s="652">
        <f>IF($B1318="",,SUMIFS(PerHeadcount[Month 19],PerHeadcount[exp_item],$H1318,PerHeadcount[company_name],$B1318)*AD268)</f>
        <v>0</v>
      </c>
      <c r="AE1318" s="652">
        <f>IF($B1318="",,SUMIFS(PerHeadcount[Month 20],PerHeadcount[exp_item],$H1318,PerHeadcount[company_name],$B1318)*AE268)</f>
        <v>0</v>
      </c>
      <c r="AF1318" s="652">
        <f>IF($B1318="",,SUMIFS(PerHeadcount[Month 21],PerHeadcount[exp_item],$H1318,PerHeadcount[company_name],$B1318)*AF268)</f>
        <v>0</v>
      </c>
      <c r="AG1318" s="652">
        <f>IF($B1318="",,SUMIFS(PerHeadcount[Month 22],PerHeadcount[exp_item],$H1318,PerHeadcount[company_name],$B1318)*AG268)</f>
        <v>0</v>
      </c>
      <c r="AH1318" s="652">
        <f>IF($B1318="",,SUMIFS(PerHeadcount[Month 23],PerHeadcount[exp_item],$H1318,PerHeadcount[company_name],$B1318)*AH268)</f>
        <v>0</v>
      </c>
      <c r="AI1318" s="652">
        <f>IF($B1318="",,SUMIFS(PerHeadcount[Month 24],PerHeadcount[exp_item],$H1318,PerHeadcount[company_name],$B1318)*AI268)</f>
        <v>0</v>
      </c>
      <c r="AJ1318" s="652">
        <f>IF($B1318="",,SUMIFS(PerHeadcount[Month 25],PerHeadcount[exp_item],$H1318,PerHeadcount[company_name],$B1318)*AJ268)</f>
        <v>0</v>
      </c>
      <c r="AK1318" s="652">
        <f>IF($B1318="",,SUMIFS(PerHeadcount[Month 26],PerHeadcount[exp_item],$H1318,PerHeadcount[company_name],$B1318)*AK268)</f>
        <v>0</v>
      </c>
      <c r="AL1318" s="652">
        <f>IF($B1318="",,SUMIFS(PerHeadcount[Month 27],PerHeadcount[exp_item],$H1318,PerHeadcount[company_name],$B1318)*AL268)</f>
        <v>0</v>
      </c>
      <c r="AM1318" s="652">
        <f>IF($B1318="",,SUMIFS(PerHeadcount[Month 28],PerHeadcount[exp_item],$H1318,PerHeadcount[company_name],$B1318)*AM268)</f>
        <v>0</v>
      </c>
      <c r="AN1318" s="652">
        <f>IF($B1318="",,SUMIFS(PerHeadcount[Month 29],PerHeadcount[exp_item],$H1318,PerHeadcount[company_name],$B1318)*AN268)</f>
        <v>0</v>
      </c>
      <c r="AO1318" s="652">
        <f>IF($B1318="",,SUMIFS(PerHeadcount[Month 30],PerHeadcount[exp_item],$H1318,PerHeadcount[company_name],$B1318)*AO268)</f>
        <v>0</v>
      </c>
      <c r="AP1318" s="652">
        <f>IF($B1318="",,SUMIFS(PerHeadcount[Month 31],PerHeadcount[exp_item],$H1318,PerHeadcount[company_name],$B1318)*AP268)</f>
        <v>0</v>
      </c>
      <c r="AQ1318" s="652">
        <f>IF($B1318="",,SUMIFS(PerHeadcount[Month 32],PerHeadcount[exp_item],$H1318,PerHeadcount[company_name],$B1318)*AQ268)</f>
        <v>0</v>
      </c>
      <c r="AR1318" s="652">
        <f>IF($B1318="",,SUMIFS(PerHeadcount[Month 33],PerHeadcount[exp_item],$H1318,PerHeadcount[company_name],$B1318)*AR268)</f>
        <v>0</v>
      </c>
      <c r="AS1318" s="652">
        <f>IF($B1318="",,SUMIFS(PerHeadcount[Month 34],PerHeadcount[exp_item],$H1318,PerHeadcount[company_name],$B1318)*AS268)</f>
        <v>0</v>
      </c>
      <c r="AT1318" s="652">
        <f>IF($B1318="",,SUMIFS(PerHeadcount[Month 35],PerHeadcount[exp_item],$H1318,PerHeadcount[company_name],$B1318)*AT268)</f>
        <v>0</v>
      </c>
      <c r="AU1318" s="652">
        <f>IF($B1318="",,SUMIFS(PerHeadcount[Month 36],PerHeadcount[exp_item],$H1318,PerHeadcount[company_name],$B1318)*AU268)</f>
        <v>0</v>
      </c>
    </row>
    <row r="1319" spans="2:47" x14ac:dyDescent="0.35">
      <c r="B1319" t="str">
        <f t="shared" si="950"/>
        <v/>
      </c>
      <c r="C1319" t="str">
        <f t="shared" ref="C1319:G1319" si="970">IF(C1214="","",C1214)</f>
        <v/>
      </c>
      <c r="D1319" t="str">
        <f t="shared" si="970"/>
        <v/>
      </c>
      <c r="E1319" t="str">
        <f t="shared" si="970"/>
        <v/>
      </c>
      <c r="F1319" t="str">
        <f t="shared" si="970"/>
        <v/>
      </c>
      <c r="G1319" t="str">
        <f t="shared" si="970"/>
        <v/>
      </c>
      <c r="H1319" t="str">
        <f t="shared" si="949"/>
        <v/>
      </c>
      <c r="J1319" t="str">
        <f>IF($H1319="","",IF(VLOOKUP(H1319,ExpItems[],2,0),H1319&amp;" - "&amp;INDEX(DivisionMapping[category_code],MATCH($D1319&amp;$C1319,DivisionMapping[dept_bu],0)),H1319))</f>
        <v/>
      </c>
      <c r="K1319" t="str">
        <f t="shared" si="952"/>
        <v/>
      </c>
      <c r="L1319" s="652">
        <f>IF($B1319="",,SUMIFS(PerHeadcount[Month 1],PerHeadcount[exp_item],$H1319,PerHeadcount[company_name],$B1319)*L269)</f>
        <v>0</v>
      </c>
      <c r="M1319" s="652">
        <f>IF($B1319="",,SUMIFS(PerHeadcount[Month 2],PerHeadcount[exp_item],$H1319,PerHeadcount[company_name],$B1319)*M269)</f>
        <v>0</v>
      </c>
      <c r="N1319" s="652">
        <f>IF($B1319="",,SUMIFS(PerHeadcount[Month 3],PerHeadcount[exp_item],$H1319,PerHeadcount[company_name],$B1319)*N269)</f>
        <v>0</v>
      </c>
      <c r="O1319" s="652">
        <f>IF($B1319="",,SUMIFS(PerHeadcount[Month 4],PerHeadcount[exp_item],$H1319,PerHeadcount[company_name],$B1319)*O269)</f>
        <v>0</v>
      </c>
      <c r="P1319" s="652">
        <f>IF($B1319="",,SUMIFS(PerHeadcount[Month 5],PerHeadcount[exp_item],$H1319,PerHeadcount[company_name],$B1319)*P269)</f>
        <v>0</v>
      </c>
      <c r="Q1319" s="652">
        <f>IF($B1319="",,SUMIFS(PerHeadcount[Month 6],PerHeadcount[exp_item],$H1319,PerHeadcount[company_name],$B1319)*Q269)</f>
        <v>0</v>
      </c>
      <c r="R1319" s="652">
        <f>IF($B1319="",,SUMIFS(PerHeadcount[Month 7],PerHeadcount[exp_item],$H1319,PerHeadcount[company_name],$B1319)*R269)</f>
        <v>0</v>
      </c>
      <c r="S1319" s="652">
        <f>IF($B1319="",,SUMIFS(PerHeadcount[Month 8],PerHeadcount[exp_item],$H1319,PerHeadcount[company_name],$B1319)*S269)</f>
        <v>0</v>
      </c>
      <c r="T1319" s="652">
        <f>IF($B1319="",,SUMIFS(PerHeadcount[Month 9],PerHeadcount[exp_item],$H1319,PerHeadcount[company_name],$B1319)*T269)</f>
        <v>0</v>
      </c>
      <c r="U1319" s="652">
        <f>IF($B1319="",,SUMIFS(PerHeadcount[Month 10],PerHeadcount[exp_item],$H1319,PerHeadcount[company_name],$B1319)*U269)</f>
        <v>0</v>
      </c>
      <c r="V1319" s="652">
        <f>IF($B1319="",,SUMIFS(PerHeadcount[Month 11],PerHeadcount[exp_item],$H1319,PerHeadcount[company_name],$B1319)*V269)</f>
        <v>0</v>
      </c>
      <c r="W1319" s="652">
        <f>IF($B1319="",,SUMIFS(PerHeadcount[Month 12],PerHeadcount[exp_item],$H1319,PerHeadcount[company_name],$B1319)*W269)</f>
        <v>0</v>
      </c>
      <c r="X1319" s="652">
        <f>IF($B1319="",,SUMIFS(PerHeadcount[Month 13],PerHeadcount[exp_item],$H1319,PerHeadcount[company_name],$B1319)*X269)</f>
        <v>0</v>
      </c>
      <c r="Y1319" s="652">
        <f>IF($B1319="",,SUMIFS(PerHeadcount[Month 14],PerHeadcount[exp_item],$H1319,PerHeadcount[company_name],$B1319)*Y269)</f>
        <v>0</v>
      </c>
      <c r="Z1319" s="652">
        <f>IF($B1319="",,SUMIFS(PerHeadcount[Month 15],PerHeadcount[exp_item],$H1319,PerHeadcount[company_name],$B1319)*Z269)</f>
        <v>0</v>
      </c>
      <c r="AA1319" s="652">
        <f>IF($B1319="",,SUMIFS(PerHeadcount[Month 16],PerHeadcount[exp_item],$H1319,PerHeadcount[company_name],$B1319)*AA269)</f>
        <v>0</v>
      </c>
      <c r="AB1319" s="652">
        <f>IF($B1319="",,SUMIFS(PerHeadcount[Month 17],PerHeadcount[exp_item],$H1319,PerHeadcount[company_name],$B1319)*AB269)</f>
        <v>0</v>
      </c>
      <c r="AC1319" s="652">
        <f>IF($B1319="",,SUMIFS(PerHeadcount[Month 18],PerHeadcount[exp_item],$H1319,PerHeadcount[company_name],$B1319)*AC269)</f>
        <v>0</v>
      </c>
      <c r="AD1319" s="652">
        <f>IF($B1319="",,SUMIFS(PerHeadcount[Month 19],PerHeadcount[exp_item],$H1319,PerHeadcount[company_name],$B1319)*AD269)</f>
        <v>0</v>
      </c>
      <c r="AE1319" s="652">
        <f>IF($B1319="",,SUMIFS(PerHeadcount[Month 20],PerHeadcount[exp_item],$H1319,PerHeadcount[company_name],$B1319)*AE269)</f>
        <v>0</v>
      </c>
      <c r="AF1319" s="652">
        <f>IF($B1319="",,SUMIFS(PerHeadcount[Month 21],PerHeadcount[exp_item],$H1319,PerHeadcount[company_name],$B1319)*AF269)</f>
        <v>0</v>
      </c>
      <c r="AG1319" s="652">
        <f>IF($B1319="",,SUMIFS(PerHeadcount[Month 22],PerHeadcount[exp_item],$H1319,PerHeadcount[company_name],$B1319)*AG269)</f>
        <v>0</v>
      </c>
      <c r="AH1319" s="652">
        <f>IF($B1319="",,SUMIFS(PerHeadcount[Month 23],PerHeadcount[exp_item],$H1319,PerHeadcount[company_name],$B1319)*AH269)</f>
        <v>0</v>
      </c>
      <c r="AI1319" s="652">
        <f>IF($B1319="",,SUMIFS(PerHeadcount[Month 24],PerHeadcount[exp_item],$H1319,PerHeadcount[company_name],$B1319)*AI269)</f>
        <v>0</v>
      </c>
      <c r="AJ1319" s="652">
        <f>IF($B1319="",,SUMIFS(PerHeadcount[Month 25],PerHeadcount[exp_item],$H1319,PerHeadcount[company_name],$B1319)*AJ269)</f>
        <v>0</v>
      </c>
      <c r="AK1319" s="652">
        <f>IF($B1319="",,SUMIFS(PerHeadcount[Month 26],PerHeadcount[exp_item],$H1319,PerHeadcount[company_name],$B1319)*AK269)</f>
        <v>0</v>
      </c>
      <c r="AL1319" s="652">
        <f>IF($B1319="",,SUMIFS(PerHeadcount[Month 27],PerHeadcount[exp_item],$H1319,PerHeadcount[company_name],$B1319)*AL269)</f>
        <v>0</v>
      </c>
      <c r="AM1319" s="652">
        <f>IF($B1319="",,SUMIFS(PerHeadcount[Month 28],PerHeadcount[exp_item],$H1319,PerHeadcount[company_name],$B1319)*AM269)</f>
        <v>0</v>
      </c>
      <c r="AN1319" s="652">
        <f>IF($B1319="",,SUMIFS(PerHeadcount[Month 29],PerHeadcount[exp_item],$H1319,PerHeadcount[company_name],$B1319)*AN269)</f>
        <v>0</v>
      </c>
      <c r="AO1319" s="652">
        <f>IF($B1319="",,SUMIFS(PerHeadcount[Month 30],PerHeadcount[exp_item],$H1319,PerHeadcount[company_name],$B1319)*AO269)</f>
        <v>0</v>
      </c>
      <c r="AP1319" s="652">
        <f>IF($B1319="",,SUMIFS(PerHeadcount[Month 31],PerHeadcount[exp_item],$H1319,PerHeadcount[company_name],$B1319)*AP269)</f>
        <v>0</v>
      </c>
      <c r="AQ1319" s="652">
        <f>IF($B1319="",,SUMIFS(PerHeadcount[Month 32],PerHeadcount[exp_item],$H1319,PerHeadcount[company_name],$B1319)*AQ269)</f>
        <v>0</v>
      </c>
      <c r="AR1319" s="652">
        <f>IF($B1319="",,SUMIFS(PerHeadcount[Month 33],PerHeadcount[exp_item],$H1319,PerHeadcount[company_name],$B1319)*AR269)</f>
        <v>0</v>
      </c>
      <c r="AS1319" s="652">
        <f>IF($B1319="",,SUMIFS(PerHeadcount[Month 34],PerHeadcount[exp_item],$H1319,PerHeadcount[company_name],$B1319)*AS269)</f>
        <v>0</v>
      </c>
      <c r="AT1319" s="652">
        <f>IF($B1319="",,SUMIFS(PerHeadcount[Month 35],PerHeadcount[exp_item],$H1319,PerHeadcount[company_name],$B1319)*AT269)</f>
        <v>0</v>
      </c>
      <c r="AU1319" s="652">
        <f>IF($B1319="",,SUMIFS(PerHeadcount[Month 36],PerHeadcount[exp_item],$H1319,PerHeadcount[company_name],$B1319)*AU269)</f>
        <v>0</v>
      </c>
    </row>
    <row r="1320" spans="2:47" x14ac:dyDescent="0.35">
      <c r="B1320" t="str">
        <f t="shared" si="950"/>
        <v/>
      </c>
      <c r="C1320" t="str">
        <f t="shared" ref="C1320:G1320" si="971">IF(C1215="","",C1215)</f>
        <v/>
      </c>
      <c r="D1320" t="str">
        <f t="shared" si="971"/>
        <v/>
      </c>
      <c r="E1320" t="str">
        <f t="shared" si="971"/>
        <v/>
      </c>
      <c r="F1320" t="str">
        <f t="shared" si="971"/>
        <v/>
      </c>
      <c r="G1320" t="str">
        <f t="shared" si="971"/>
        <v/>
      </c>
      <c r="H1320" t="str">
        <f t="shared" si="949"/>
        <v/>
      </c>
      <c r="J1320" t="str">
        <f>IF($H1320="","",IF(VLOOKUP(H1320,ExpItems[],2,0),H1320&amp;" - "&amp;INDEX(DivisionMapping[category_code],MATCH($D1320&amp;$C1320,DivisionMapping[dept_bu],0)),H1320))</f>
        <v/>
      </c>
      <c r="K1320" t="str">
        <f t="shared" si="952"/>
        <v/>
      </c>
      <c r="L1320" s="652">
        <f>IF($B1320="",,SUMIFS(PerHeadcount[Month 1],PerHeadcount[exp_item],$H1320,PerHeadcount[company_name],$B1320)*L270)</f>
        <v>0</v>
      </c>
      <c r="M1320" s="652">
        <f>IF($B1320="",,SUMIFS(PerHeadcount[Month 2],PerHeadcount[exp_item],$H1320,PerHeadcount[company_name],$B1320)*M270)</f>
        <v>0</v>
      </c>
      <c r="N1320" s="652">
        <f>IF($B1320="",,SUMIFS(PerHeadcount[Month 3],PerHeadcount[exp_item],$H1320,PerHeadcount[company_name],$B1320)*N270)</f>
        <v>0</v>
      </c>
      <c r="O1320" s="652">
        <f>IF($B1320="",,SUMIFS(PerHeadcount[Month 4],PerHeadcount[exp_item],$H1320,PerHeadcount[company_name],$B1320)*O270)</f>
        <v>0</v>
      </c>
      <c r="P1320" s="652">
        <f>IF($B1320="",,SUMIFS(PerHeadcount[Month 5],PerHeadcount[exp_item],$H1320,PerHeadcount[company_name],$B1320)*P270)</f>
        <v>0</v>
      </c>
      <c r="Q1320" s="652">
        <f>IF($B1320="",,SUMIFS(PerHeadcount[Month 6],PerHeadcount[exp_item],$H1320,PerHeadcount[company_name],$B1320)*Q270)</f>
        <v>0</v>
      </c>
      <c r="R1320" s="652">
        <f>IF($B1320="",,SUMIFS(PerHeadcount[Month 7],PerHeadcount[exp_item],$H1320,PerHeadcount[company_name],$B1320)*R270)</f>
        <v>0</v>
      </c>
      <c r="S1320" s="652">
        <f>IF($B1320="",,SUMIFS(PerHeadcount[Month 8],PerHeadcount[exp_item],$H1320,PerHeadcount[company_name],$B1320)*S270)</f>
        <v>0</v>
      </c>
      <c r="T1320" s="652">
        <f>IF($B1320="",,SUMIFS(PerHeadcount[Month 9],PerHeadcount[exp_item],$H1320,PerHeadcount[company_name],$B1320)*T270)</f>
        <v>0</v>
      </c>
      <c r="U1320" s="652">
        <f>IF($B1320="",,SUMIFS(PerHeadcount[Month 10],PerHeadcount[exp_item],$H1320,PerHeadcount[company_name],$B1320)*U270)</f>
        <v>0</v>
      </c>
      <c r="V1320" s="652">
        <f>IF($B1320="",,SUMIFS(PerHeadcount[Month 11],PerHeadcount[exp_item],$H1320,PerHeadcount[company_name],$B1320)*V270)</f>
        <v>0</v>
      </c>
      <c r="W1320" s="652">
        <f>IF($B1320="",,SUMIFS(PerHeadcount[Month 12],PerHeadcount[exp_item],$H1320,PerHeadcount[company_name],$B1320)*W270)</f>
        <v>0</v>
      </c>
      <c r="X1320" s="652">
        <f>IF($B1320="",,SUMIFS(PerHeadcount[Month 13],PerHeadcount[exp_item],$H1320,PerHeadcount[company_name],$B1320)*X270)</f>
        <v>0</v>
      </c>
      <c r="Y1320" s="652">
        <f>IF($B1320="",,SUMIFS(PerHeadcount[Month 14],PerHeadcount[exp_item],$H1320,PerHeadcount[company_name],$B1320)*Y270)</f>
        <v>0</v>
      </c>
      <c r="Z1320" s="652">
        <f>IF($B1320="",,SUMIFS(PerHeadcount[Month 15],PerHeadcount[exp_item],$H1320,PerHeadcount[company_name],$B1320)*Z270)</f>
        <v>0</v>
      </c>
      <c r="AA1320" s="652">
        <f>IF($B1320="",,SUMIFS(PerHeadcount[Month 16],PerHeadcount[exp_item],$H1320,PerHeadcount[company_name],$B1320)*AA270)</f>
        <v>0</v>
      </c>
      <c r="AB1320" s="652">
        <f>IF($B1320="",,SUMIFS(PerHeadcount[Month 17],PerHeadcount[exp_item],$H1320,PerHeadcount[company_name],$B1320)*AB270)</f>
        <v>0</v>
      </c>
      <c r="AC1320" s="652">
        <f>IF($B1320="",,SUMIFS(PerHeadcount[Month 18],PerHeadcount[exp_item],$H1320,PerHeadcount[company_name],$B1320)*AC270)</f>
        <v>0</v>
      </c>
      <c r="AD1320" s="652">
        <f>IF($B1320="",,SUMIFS(PerHeadcount[Month 19],PerHeadcount[exp_item],$H1320,PerHeadcount[company_name],$B1320)*AD270)</f>
        <v>0</v>
      </c>
      <c r="AE1320" s="652">
        <f>IF($B1320="",,SUMIFS(PerHeadcount[Month 20],PerHeadcount[exp_item],$H1320,PerHeadcount[company_name],$B1320)*AE270)</f>
        <v>0</v>
      </c>
      <c r="AF1320" s="652">
        <f>IF($B1320="",,SUMIFS(PerHeadcount[Month 21],PerHeadcount[exp_item],$H1320,PerHeadcount[company_name],$B1320)*AF270)</f>
        <v>0</v>
      </c>
      <c r="AG1320" s="652">
        <f>IF($B1320="",,SUMIFS(PerHeadcount[Month 22],PerHeadcount[exp_item],$H1320,PerHeadcount[company_name],$B1320)*AG270)</f>
        <v>0</v>
      </c>
      <c r="AH1320" s="652">
        <f>IF($B1320="",,SUMIFS(PerHeadcount[Month 23],PerHeadcount[exp_item],$H1320,PerHeadcount[company_name],$B1320)*AH270)</f>
        <v>0</v>
      </c>
      <c r="AI1320" s="652">
        <f>IF($B1320="",,SUMIFS(PerHeadcount[Month 24],PerHeadcount[exp_item],$H1320,PerHeadcount[company_name],$B1320)*AI270)</f>
        <v>0</v>
      </c>
      <c r="AJ1320" s="652">
        <f>IF($B1320="",,SUMIFS(PerHeadcount[Month 25],PerHeadcount[exp_item],$H1320,PerHeadcount[company_name],$B1320)*AJ270)</f>
        <v>0</v>
      </c>
      <c r="AK1320" s="652">
        <f>IF($B1320="",,SUMIFS(PerHeadcount[Month 26],PerHeadcount[exp_item],$H1320,PerHeadcount[company_name],$B1320)*AK270)</f>
        <v>0</v>
      </c>
      <c r="AL1320" s="652">
        <f>IF($B1320="",,SUMIFS(PerHeadcount[Month 27],PerHeadcount[exp_item],$H1320,PerHeadcount[company_name],$B1320)*AL270)</f>
        <v>0</v>
      </c>
      <c r="AM1320" s="652">
        <f>IF($B1320="",,SUMIFS(PerHeadcount[Month 28],PerHeadcount[exp_item],$H1320,PerHeadcount[company_name],$B1320)*AM270)</f>
        <v>0</v>
      </c>
      <c r="AN1320" s="652">
        <f>IF($B1320="",,SUMIFS(PerHeadcount[Month 29],PerHeadcount[exp_item],$H1320,PerHeadcount[company_name],$B1320)*AN270)</f>
        <v>0</v>
      </c>
      <c r="AO1320" s="652">
        <f>IF($B1320="",,SUMIFS(PerHeadcount[Month 30],PerHeadcount[exp_item],$H1320,PerHeadcount[company_name],$B1320)*AO270)</f>
        <v>0</v>
      </c>
      <c r="AP1320" s="652">
        <f>IF($B1320="",,SUMIFS(PerHeadcount[Month 31],PerHeadcount[exp_item],$H1320,PerHeadcount[company_name],$B1320)*AP270)</f>
        <v>0</v>
      </c>
      <c r="AQ1320" s="652">
        <f>IF($B1320="",,SUMIFS(PerHeadcount[Month 32],PerHeadcount[exp_item],$H1320,PerHeadcount[company_name],$B1320)*AQ270)</f>
        <v>0</v>
      </c>
      <c r="AR1320" s="652">
        <f>IF($B1320="",,SUMIFS(PerHeadcount[Month 33],PerHeadcount[exp_item],$H1320,PerHeadcount[company_name],$B1320)*AR270)</f>
        <v>0</v>
      </c>
      <c r="AS1320" s="652">
        <f>IF($B1320="",,SUMIFS(PerHeadcount[Month 34],PerHeadcount[exp_item],$H1320,PerHeadcount[company_name],$B1320)*AS270)</f>
        <v>0</v>
      </c>
      <c r="AT1320" s="652">
        <f>IF($B1320="",,SUMIFS(PerHeadcount[Month 35],PerHeadcount[exp_item],$H1320,PerHeadcount[company_name],$B1320)*AT270)</f>
        <v>0</v>
      </c>
      <c r="AU1320" s="652">
        <f>IF($B1320="",,SUMIFS(PerHeadcount[Month 36],PerHeadcount[exp_item],$H1320,PerHeadcount[company_name],$B1320)*AU270)</f>
        <v>0</v>
      </c>
    </row>
    <row r="1321" spans="2:47" x14ac:dyDescent="0.35">
      <c r="B1321" t="str">
        <f t="shared" ref="B1321:G1321" si="972">IF(B1216="","",B1216)</f>
        <v/>
      </c>
      <c r="C1321" t="str">
        <f t="shared" si="972"/>
        <v/>
      </c>
      <c r="D1321" t="str">
        <f t="shared" si="972"/>
        <v/>
      </c>
      <c r="E1321" t="str">
        <f t="shared" si="972"/>
        <v/>
      </c>
      <c r="F1321" t="str">
        <f t="shared" si="972"/>
        <v/>
      </c>
      <c r="G1321" t="str">
        <f t="shared" si="972"/>
        <v/>
      </c>
      <c r="H1321" t="str">
        <f t="shared" si="949"/>
        <v/>
      </c>
      <c r="J1321" t="str">
        <f>IF($H1321="","",IF(VLOOKUP(H1321,ExpItems[],2,0),H1321&amp;" - "&amp;INDEX(DivisionMapping[category_code],MATCH($D1321&amp;$C1321,DivisionMapping[dept_bu],0)),H1321))</f>
        <v/>
      </c>
      <c r="K1321" t="str">
        <f t="shared" si="952"/>
        <v/>
      </c>
      <c r="L1321" s="652">
        <f>IF($B1321="",,SUMIFS(PerHeadcount[Month 1],PerHeadcount[exp_item],$H1321,PerHeadcount[company_name],$B1321)*L271)</f>
        <v>0</v>
      </c>
      <c r="M1321" s="652">
        <f>IF($B1321="",,SUMIFS(PerHeadcount[Month 2],PerHeadcount[exp_item],$H1321,PerHeadcount[company_name],$B1321)*M271)</f>
        <v>0</v>
      </c>
      <c r="N1321" s="652">
        <f>IF($B1321="",,SUMIFS(PerHeadcount[Month 3],PerHeadcount[exp_item],$H1321,PerHeadcount[company_name],$B1321)*N271)</f>
        <v>0</v>
      </c>
      <c r="O1321" s="652">
        <f>IF($B1321="",,SUMIFS(PerHeadcount[Month 4],PerHeadcount[exp_item],$H1321,PerHeadcount[company_name],$B1321)*O271)</f>
        <v>0</v>
      </c>
      <c r="P1321" s="652">
        <f>IF($B1321="",,SUMIFS(PerHeadcount[Month 5],PerHeadcount[exp_item],$H1321,PerHeadcount[company_name],$B1321)*P271)</f>
        <v>0</v>
      </c>
      <c r="Q1321" s="652">
        <f>IF($B1321="",,SUMIFS(PerHeadcount[Month 6],PerHeadcount[exp_item],$H1321,PerHeadcount[company_name],$B1321)*Q271)</f>
        <v>0</v>
      </c>
      <c r="R1321" s="652">
        <f>IF($B1321="",,SUMIFS(PerHeadcount[Month 7],PerHeadcount[exp_item],$H1321,PerHeadcount[company_name],$B1321)*R271)</f>
        <v>0</v>
      </c>
      <c r="S1321" s="652">
        <f>IF($B1321="",,SUMIFS(PerHeadcount[Month 8],PerHeadcount[exp_item],$H1321,PerHeadcount[company_name],$B1321)*S271)</f>
        <v>0</v>
      </c>
      <c r="T1321" s="652">
        <f>IF($B1321="",,SUMIFS(PerHeadcount[Month 9],PerHeadcount[exp_item],$H1321,PerHeadcount[company_name],$B1321)*T271)</f>
        <v>0</v>
      </c>
      <c r="U1321" s="652">
        <f>IF($B1321="",,SUMIFS(PerHeadcount[Month 10],PerHeadcount[exp_item],$H1321,PerHeadcount[company_name],$B1321)*U271)</f>
        <v>0</v>
      </c>
      <c r="V1321" s="652">
        <f>IF($B1321="",,SUMIFS(PerHeadcount[Month 11],PerHeadcount[exp_item],$H1321,PerHeadcount[company_name],$B1321)*V271)</f>
        <v>0</v>
      </c>
      <c r="W1321" s="652">
        <f>IF($B1321="",,SUMIFS(PerHeadcount[Month 12],PerHeadcount[exp_item],$H1321,PerHeadcount[company_name],$B1321)*W271)</f>
        <v>0</v>
      </c>
      <c r="X1321" s="652">
        <f>IF($B1321="",,SUMIFS(PerHeadcount[Month 13],PerHeadcount[exp_item],$H1321,PerHeadcount[company_name],$B1321)*X271)</f>
        <v>0</v>
      </c>
      <c r="Y1321" s="652">
        <f>IF($B1321="",,SUMIFS(PerHeadcount[Month 14],PerHeadcount[exp_item],$H1321,PerHeadcount[company_name],$B1321)*Y271)</f>
        <v>0</v>
      </c>
      <c r="Z1321" s="652">
        <f>IF($B1321="",,SUMIFS(PerHeadcount[Month 15],PerHeadcount[exp_item],$H1321,PerHeadcount[company_name],$B1321)*Z271)</f>
        <v>0</v>
      </c>
      <c r="AA1321" s="652">
        <f>IF($B1321="",,SUMIFS(PerHeadcount[Month 16],PerHeadcount[exp_item],$H1321,PerHeadcount[company_name],$B1321)*AA271)</f>
        <v>0</v>
      </c>
      <c r="AB1321" s="652">
        <f>IF($B1321="",,SUMIFS(PerHeadcount[Month 17],PerHeadcount[exp_item],$H1321,PerHeadcount[company_name],$B1321)*AB271)</f>
        <v>0</v>
      </c>
      <c r="AC1321" s="652">
        <f>IF($B1321="",,SUMIFS(PerHeadcount[Month 18],PerHeadcount[exp_item],$H1321,PerHeadcount[company_name],$B1321)*AC271)</f>
        <v>0</v>
      </c>
      <c r="AD1321" s="652">
        <f>IF($B1321="",,SUMIFS(PerHeadcount[Month 19],PerHeadcount[exp_item],$H1321,PerHeadcount[company_name],$B1321)*AD271)</f>
        <v>0</v>
      </c>
      <c r="AE1321" s="652">
        <f>IF($B1321="",,SUMIFS(PerHeadcount[Month 20],PerHeadcount[exp_item],$H1321,PerHeadcount[company_name],$B1321)*AE271)</f>
        <v>0</v>
      </c>
      <c r="AF1321" s="652">
        <f>IF($B1321="",,SUMIFS(PerHeadcount[Month 21],PerHeadcount[exp_item],$H1321,PerHeadcount[company_name],$B1321)*AF271)</f>
        <v>0</v>
      </c>
      <c r="AG1321" s="652">
        <f>IF($B1321="",,SUMIFS(PerHeadcount[Month 22],PerHeadcount[exp_item],$H1321,PerHeadcount[company_name],$B1321)*AG271)</f>
        <v>0</v>
      </c>
      <c r="AH1321" s="652">
        <f>IF($B1321="",,SUMIFS(PerHeadcount[Month 23],PerHeadcount[exp_item],$H1321,PerHeadcount[company_name],$B1321)*AH271)</f>
        <v>0</v>
      </c>
      <c r="AI1321" s="652">
        <f>IF($B1321="",,SUMIFS(PerHeadcount[Month 24],PerHeadcount[exp_item],$H1321,PerHeadcount[company_name],$B1321)*AI271)</f>
        <v>0</v>
      </c>
      <c r="AJ1321" s="652">
        <f>IF($B1321="",,SUMIFS(PerHeadcount[Month 25],PerHeadcount[exp_item],$H1321,PerHeadcount[company_name],$B1321)*AJ271)</f>
        <v>0</v>
      </c>
      <c r="AK1321" s="652">
        <f>IF($B1321="",,SUMIFS(PerHeadcount[Month 26],PerHeadcount[exp_item],$H1321,PerHeadcount[company_name],$B1321)*AK271)</f>
        <v>0</v>
      </c>
      <c r="AL1321" s="652">
        <f>IF($B1321="",,SUMIFS(PerHeadcount[Month 27],PerHeadcount[exp_item],$H1321,PerHeadcount[company_name],$B1321)*AL271)</f>
        <v>0</v>
      </c>
      <c r="AM1321" s="652">
        <f>IF($B1321="",,SUMIFS(PerHeadcount[Month 28],PerHeadcount[exp_item],$H1321,PerHeadcount[company_name],$B1321)*AM271)</f>
        <v>0</v>
      </c>
      <c r="AN1321" s="652">
        <f>IF($B1321="",,SUMIFS(PerHeadcount[Month 29],PerHeadcount[exp_item],$H1321,PerHeadcount[company_name],$B1321)*AN271)</f>
        <v>0</v>
      </c>
      <c r="AO1321" s="652">
        <f>IF($B1321="",,SUMIFS(PerHeadcount[Month 30],PerHeadcount[exp_item],$H1321,PerHeadcount[company_name],$B1321)*AO271)</f>
        <v>0</v>
      </c>
      <c r="AP1321" s="652">
        <f>IF($B1321="",,SUMIFS(PerHeadcount[Month 31],PerHeadcount[exp_item],$H1321,PerHeadcount[company_name],$B1321)*AP271)</f>
        <v>0</v>
      </c>
      <c r="AQ1321" s="652">
        <f>IF($B1321="",,SUMIFS(PerHeadcount[Month 32],PerHeadcount[exp_item],$H1321,PerHeadcount[company_name],$B1321)*AQ271)</f>
        <v>0</v>
      </c>
      <c r="AR1321" s="652">
        <f>IF($B1321="",,SUMIFS(PerHeadcount[Month 33],PerHeadcount[exp_item],$H1321,PerHeadcount[company_name],$B1321)*AR271)</f>
        <v>0</v>
      </c>
      <c r="AS1321" s="652">
        <f>IF($B1321="",,SUMIFS(PerHeadcount[Month 34],PerHeadcount[exp_item],$H1321,PerHeadcount[company_name],$B1321)*AS271)</f>
        <v>0</v>
      </c>
      <c r="AT1321" s="652">
        <f>IF($B1321="",,SUMIFS(PerHeadcount[Month 35],PerHeadcount[exp_item],$H1321,PerHeadcount[company_name],$B1321)*AT271)</f>
        <v>0</v>
      </c>
      <c r="AU1321" s="652">
        <f>IF($B1321="",,SUMIFS(PerHeadcount[Month 36],PerHeadcount[exp_item],$H1321,PerHeadcount[company_name],$B1321)*AU271)</f>
        <v>0</v>
      </c>
    </row>
    <row r="1322" spans="2:47" x14ac:dyDescent="0.35">
      <c r="B1322" t="str">
        <f t="shared" ref="B1322:G1322" si="973">IF(B1217="","",B1217)</f>
        <v/>
      </c>
      <c r="C1322" t="str">
        <f t="shared" si="973"/>
        <v/>
      </c>
      <c r="D1322" t="str">
        <f t="shared" si="973"/>
        <v/>
      </c>
      <c r="E1322" t="str">
        <f t="shared" si="973"/>
        <v/>
      </c>
      <c r="F1322" t="str">
        <f t="shared" si="973"/>
        <v/>
      </c>
      <c r="G1322" t="str">
        <f t="shared" si="973"/>
        <v/>
      </c>
      <c r="H1322" t="str">
        <f t="shared" si="949"/>
        <v/>
      </c>
      <c r="J1322" t="str">
        <f>IF($H1322="","",IF(VLOOKUP(H1322,ExpItems[],2,0),H1322&amp;" - "&amp;INDEX(DivisionMapping[category_code],MATCH($D1322&amp;$C1322,DivisionMapping[dept_bu],0)),H1322))</f>
        <v/>
      </c>
      <c r="K1322" t="str">
        <f t="shared" si="952"/>
        <v/>
      </c>
      <c r="L1322" s="652">
        <f>IF($B1322="",,SUMIFS(PerHeadcount[Month 1],PerHeadcount[exp_item],$H1322,PerHeadcount[company_name],$B1322)*L272)</f>
        <v>0</v>
      </c>
      <c r="M1322" s="652">
        <f>IF($B1322="",,SUMIFS(PerHeadcount[Month 2],PerHeadcount[exp_item],$H1322,PerHeadcount[company_name],$B1322)*M272)</f>
        <v>0</v>
      </c>
      <c r="N1322" s="652">
        <f>IF($B1322="",,SUMIFS(PerHeadcount[Month 3],PerHeadcount[exp_item],$H1322,PerHeadcount[company_name],$B1322)*N272)</f>
        <v>0</v>
      </c>
      <c r="O1322" s="652">
        <f>IF($B1322="",,SUMIFS(PerHeadcount[Month 4],PerHeadcount[exp_item],$H1322,PerHeadcount[company_name],$B1322)*O272)</f>
        <v>0</v>
      </c>
      <c r="P1322" s="652">
        <f>IF($B1322="",,SUMIFS(PerHeadcount[Month 5],PerHeadcount[exp_item],$H1322,PerHeadcount[company_name],$B1322)*P272)</f>
        <v>0</v>
      </c>
      <c r="Q1322" s="652">
        <f>IF($B1322="",,SUMIFS(PerHeadcount[Month 6],PerHeadcount[exp_item],$H1322,PerHeadcount[company_name],$B1322)*Q272)</f>
        <v>0</v>
      </c>
      <c r="R1322" s="652">
        <f>IF($B1322="",,SUMIFS(PerHeadcount[Month 7],PerHeadcount[exp_item],$H1322,PerHeadcount[company_name],$B1322)*R272)</f>
        <v>0</v>
      </c>
      <c r="S1322" s="652">
        <f>IF($B1322="",,SUMIFS(PerHeadcount[Month 8],PerHeadcount[exp_item],$H1322,PerHeadcount[company_name],$B1322)*S272)</f>
        <v>0</v>
      </c>
      <c r="T1322" s="652">
        <f>IF($B1322="",,SUMIFS(PerHeadcount[Month 9],PerHeadcount[exp_item],$H1322,PerHeadcount[company_name],$B1322)*T272)</f>
        <v>0</v>
      </c>
      <c r="U1322" s="652">
        <f>IF($B1322="",,SUMIFS(PerHeadcount[Month 10],PerHeadcount[exp_item],$H1322,PerHeadcount[company_name],$B1322)*U272)</f>
        <v>0</v>
      </c>
      <c r="V1322" s="652">
        <f>IF($B1322="",,SUMIFS(PerHeadcount[Month 11],PerHeadcount[exp_item],$H1322,PerHeadcount[company_name],$B1322)*V272)</f>
        <v>0</v>
      </c>
      <c r="W1322" s="652">
        <f>IF($B1322="",,SUMIFS(PerHeadcount[Month 12],PerHeadcount[exp_item],$H1322,PerHeadcount[company_name],$B1322)*W272)</f>
        <v>0</v>
      </c>
      <c r="X1322" s="652">
        <f>IF($B1322="",,SUMIFS(PerHeadcount[Month 13],PerHeadcount[exp_item],$H1322,PerHeadcount[company_name],$B1322)*X272)</f>
        <v>0</v>
      </c>
      <c r="Y1322" s="652">
        <f>IF($B1322="",,SUMIFS(PerHeadcount[Month 14],PerHeadcount[exp_item],$H1322,PerHeadcount[company_name],$B1322)*Y272)</f>
        <v>0</v>
      </c>
      <c r="Z1322" s="652">
        <f>IF($B1322="",,SUMIFS(PerHeadcount[Month 15],PerHeadcount[exp_item],$H1322,PerHeadcount[company_name],$B1322)*Z272)</f>
        <v>0</v>
      </c>
      <c r="AA1322" s="652">
        <f>IF($B1322="",,SUMIFS(PerHeadcount[Month 16],PerHeadcount[exp_item],$H1322,PerHeadcount[company_name],$B1322)*AA272)</f>
        <v>0</v>
      </c>
      <c r="AB1322" s="652">
        <f>IF($B1322="",,SUMIFS(PerHeadcount[Month 17],PerHeadcount[exp_item],$H1322,PerHeadcount[company_name],$B1322)*AB272)</f>
        <v>0</v>
      </c>
      <c r="AC1322" s="652">
        <f>IF($B1322="",,SUMIFS(PerHeadcount[Month 18],PerHeadcount[exp_item],$H1322,PerHeadcount[company_name],$B1322)*AC272)</f>
        <v>0</v>
      </c>
      <c r="AD1322" s="652">
        <f>IF($B1322="",,SUMIFS(PerHeadcount[Month 19],PerHeadcount[exp_item],$H1322,PerHeadcount[company_name],$B1322)*AD272)</f>
        <v>0</v>
      </c>
      <c r="AE1322" s="652">
        <f>IF($B1322="",,SUMIFS(PerHeadcount[Month 20],PerHeadcount[exp_item],$H1322,PerHeadcount[company_name],$B1322)*AE272)</f>
        <v>0</v>
      </c>
      <c r="AF1322" s="652">
        <f>IF($B1322="",,SUMIFS(PerHeadcount[Month 21],PerHeadcount[exp_item],$H1322,PerHeadcount[company_name],$B1322)*AF272)</f>
        <v>0</v>
      </c>
      <c r="AG1322" s="652">
        <f>IF($B1322="",,SUMIFS(PerHeadcount[Month 22],PerHeadcount[exp_item],$H1322,PerHeadcount[company_name],$B1322)*AG272)</f>
        <v>0</v>
      </c>
      <c r="AH1322" s="652">
        <f>IF($B1322="",,SUMIFS(PerHeadcount[Month 23],PerHeadcount[exp_item],$H1322,PerHeadcount[company_name],$B1322)*AH272)</f>
        <v>0</v>
      </c>
      <c r="AI1322" s="652">
        <f>IF($B1322="",,SUMIFS(PerHeadcount[Month 24],PerHeadcount[exp_item],$H1322,PerHeadcount[company_name],$B1322)*AI272)</f>
        <v>0</v>
      </c>
      <c r="AJ1322" s="652">
        <f>IF($B1322="",,SUMIFS(PerHeadcount[Month 25],PerHeadcount[exp_item],$H1322,PerHeadcount[company_name],$B1322)*AJ272)</f>
        <v>0</v>
      </c>
      <c r="AK1322" s="652">
        <f>IF($B1322="",,SUMIFS(PerHeadcount[Month 26],PerHeadcount[exp_item],$H1322,PerHeadcount[company_name],$B1322)*AK272)</f>
        <v>0</v>
      </c>
      <c r="AL1322" s="652">
        <f>IF($B1322="",,SUMIFS(PerHeadcount[Month 27],PerHeadcount[exp_item],$H1322,PerHeadcount[company_name],$B1322)*AL272)</f>
        <v>0</v>
      </c>
      <c r="AM1322" s="652">
        <f>IF($B1322="",,SUMIFS(PerHeadcount[Month 28],PerHeadcount[exp_item],$H1322,PerHeadcount[company_name],$B1322)*AM272)</f>
        <v>0</v>
      </c>
      <c r="AN1322" s="652">
        <f>IF($B1322="",,SUMIFS(PerHeadcount[Month 29],PerHeadcount[exp_item],$H1322,PerHeadcount[company_name],$B1322)*AN272)</f>
        <v>0</v>
      </c>
      <c r="AO1322" s="652">
        <f>IF($B1322="",,SUMIFS(PerHeadcount[Month 30],PerHeadcount[exp_item],$H1322,PerHeadcount[company_name],$B1322)*AO272)</f>
        <v>0</v>
      </c>
      <c r="AP1322" s="652">
        <f>IF($B1322="",,SUMIFS(PerHeadcount[Month 31],PerHeadcount[exp_item],$H1322,PerHeadcount[company_name],$B1322)*AP272)</f>
        <v>0</v>
      </c>
      <c r="AQ1322" s="652">
        <f>IF($B1322="",,SUMIFS(PerHeadcount[Month 32],PerHeadcount[exp_item],$H1322,PerHeadcount[company_name],$B1322)*AQ272)</f>
        <v>0</v>
      </c>
      <c r="AR1322" s="652">
        <f>IF($B1322="",,SUMIFS(PerHeadcount[Month 33],PerHeadcount[exp_item],$H1322,PerHeadcount[company_name],$B1322)*AR272)</f>
        <v>0</v>
      </c>
      <c r="AS1322" s="652">
        <f>IF($B1322="",,SUMIFS(PerHeadcount[Month 34],PerHeadcount[exp_item],$H1322,PerHeadcount[company_name],$B1322)*AS272)</f>
        <v>0</v>
      </c>
      <c r="AT1322" s="652">
        <f>IF($B1322="",,SUMIFS(PerHeadcount[Month 35],PerHeadcount[exp_item],$H1322,PerHeadcount[company_name],$B1322)*AT272)</f>
        <v>0</v>
      </c>
      <c r="AU1322" s="652">
        <f>IF($B1322="",,SUMIFS(PerHeadcount[Month 36],PerHeadcount[exp_item],$H1322,PerHeadcount[company_name],$B1322)*AU272)</f>
        <v>0</v>
      </c>
    </row>
    <row r="1323" spans="2:47" x14ac:dyDescent="0.35">
      <c r="B1323" t="str">
        <f t="shared" ref="B1323:G1323" si="974">IF(B1218="","",B1218)</f>
        <v/>
      </c>
      <c r="C1323" t="str">
        <f t="shared" si="974"/>
        <v/>
      </c>
      <c r="D1323" t="str">
        <f t="shared" si="974"/>
        <v/>
      </c>
      <c r="E1323" t="str">
        <f t="shared" si="974"/>
        <v/>
      </c>
      <c r="F1323" t="str">
        <f t="shared" si="974"/>
        <v/>
      </c>
      <c r="G1323" t="str">
        <f t="shared" si="974"/>
        <v/>
      </c>
      <c r="H1323" t="str">
        <f t="shared" si="949"/>
        <v/>
      </c>
      <c r="J1323" t="str">
        <f>IF($H1323="","",IF(VLOOKUP(H1323,ExpItems[],2,0),H1323&amp;" - "&amp;INDEX(DivisionMapping[category_code],MATCH($D1323&amp;$C1323,DivisionMapping[dept_bu],0)),H1323))</f>
        <v/>
      </c>
      <c r="K1323" t="str">
        <f t="shared" si="952"/>
        <v/>
      </c>
      <c r="L1323" s="652">
        <f>IF($B1323="",,SUMIFS(PerHeadcount[Month 1],PerHeadcount[exp_item],$H1323,PerHeadcount[company_name],$B1323)*L273)</f>
        <v>0</v>
      </c>
      <c r="M1323" s="652">
        <f>IF($B1323="",,SUMIFS(PerHeadcount[Month 2],PerHeadcount[exp_item],$H1323,PerHeadcount[company_name],$B1323)*M273)</f>
        <v>0</v>
      </c>
      <c r="N1323" s="652">
        <f>IF($B1323="",,SUMIFS(PerHeadcount[Month 3],PerHeadcount[exp_item],$H1323,PerHeadcount[company_name],$B1323)*N273)</f>
        <v>0</v>
      </c>
      <c r="O1323" s="652">
        <f>IF($B1323="",,SUMIFS(PerHeadcount[Month 4],PerHeadcount[exp_item],$H1323,PerHeadcount[company_name],$B1323)*O273)</f>
        <v>0</v>
      </c>
      <c r="P1323" s="652">
        <f>IF($B1323="",,SUMIFS(PerHeadcount[Month 5],PerHeadcount[exp_item],$H1323,PerHeadcount[company_name],$B1323)*P273)</f>
        <v>0</v>
      </c>
      <c r="Q1323" s="652">
        <f>IF($B1323="",,SUMIFS(PerHeadcount[Month 6],PerHeadcount[exp_item],$H1323,PerHeadcount[company_name],$B1323)*Q273)</f>
        <v>0</v>
      </c>
      <c r="R1323" s="652">
        <f>IF($B1323="",,SUMIFS(PerHeadcount[Month 7],PerHeadcount[exp_item],$H1323,PerHeadcount[company_name],$B1323)*R273)</f>
        <v>0</v>
      </c>
      <c r="S1323" s="652">
        <f>IF($B1323="",,SUMIFS(PerHeadcount[Month 8],PerHeadcount[exp_item],$H1323,PerHeadcount[company_name],$B1323)*S273)</f>
        <v>0</v>
      </c>
      <c r="T1323" s="652">
        <f>IF($B1323="",,SUMIFS(PerHeadcount[Month 9],PerHeadcount[exp_item],$H1323,PerHeadcount[company_name],$B1323)*T273)</f>
        <v>0</v>
      </c>
      <c r="U1323" s="652">
        <f>IF($B1323="",,SUMIFS(PerHeadcount[Month 10],PerHeadcount[exp_item],$H1323,PerHeadcount[company_name],$B1323)*U273)</f>
        <v>0</v>
      </c>
      <c r="V1323" s="652">
        <f>IF($B1323="",,SUMIFS(PerHeadcount[Month 11],PerHeadcount[exp_item],$H1323,PerHeadcount[company_name],$B1323)*V273)</f>
        <v>0</v>
      </c>
      <c r="W1323" s="652">
        <f>IF($B1323="",,SUMIFS(PerHeadcount[Month 12],PerHeadcount[exp_item],$H1323,PerHeadcount[company_name],$B1323)*W273)</f>
        <v>0</v>
      </c>
      <c r="X1323" s="652">
        <f>IF($B1323="",,SUMIFS(PerHeadcount[Month 13],PerHeadcount[exp_item],$H1323,PerHeadcount[company_name],$B1323)*X273)</f>
        <v>0</v>
      </c>
      <c r="Y1323" s="652">
        <f>IF($B1323="",,SUMIFS(PerHeadcount[Month 14],PerHeadcount[exp_item],$H1323,PerHeadcount[company_name],$B1323)*Y273)</f>
        <v>0</v>
      </c>
      <c r="Z1323" s="652">
        <f>IF($B1323="",,SUMIFS(PerHeadcount[Month 15],PerHeadcount[exp_item],$H1323,PerHeadcount[company_name],$B1323)*Z273)</f>
        <v>0</v>
      </c>
      <c r="AA1323" s="652">
        <f>IF($B1323="",,SUMIFS(PerHeadcount[Month 16],PerHeadcount[exp_item],$H1323,PerHeadcount[company_name],$B1323)*AA273)</f>
        <v>0</v>
      </c>
      <c r="AB1323" s="652">
        <f>IF($B1323="",,SUMIFS(PerHeadcount[Month 17],PerHeadcount[exp_item],$H1323,PerHeadcount[company_name],$B1323)*AB273)</f>
        <v>0</v>
      </c>
      <c r="AC1323" s="652">
        <f>IF($B1323="",,SUMIFS(PerHeadcount[Month 18],PerHeadcount[exp_item],$H1323,PerHeadcount[company_name],$B1323)*AC273)</f>
        <v>0</v>
      </c>
      <c r="AD1323" s="652">
        <f>IF($B1323="",,SUMIFS(PerHeadcount[Month 19],PerHeadcount[exp_item],$H1323,PerHeadcount[company_name],$B1323)*AD273)</f>
        <v>0</v>
      </c>
      <c r="AE1323" s="652">
        <f>IF($B1323="",,SUMIFS(PerHeadcount[Month 20],PerHeadcount[exp_item],$H1323,PerHeadcount[company_name],$B1323)*AE273)</f>
        <v>0</v>
      </c>
      <c r="AF1323" s="652">
        <f>IF($B1323="",,SUMIFS(PerHeadcount[Month 21],PerHeadcount[exp_item],$H1323,PerHeadcount[company_name],$B1323)*AF273)</f>
        <v>0</v>
      </c>
      <c r="AG1323" s="652">
        <f>IF($B1323="",,SUMIFS(PerHeadcount[Month 22],PerHeadcount[exp_item],$H1323,PerHeadcount[company_name],$B1323)*AG273)</f>
        <v>0</v>
      </c>
      <c r="AH1323" s="652">
        <f>IF($B1323="",,SUMIFS(PerHeadcount[Month 23],PerHeadcount[exp_item],$H1323,PerHeadcount[company_name],$B1323)*AH273)</f>
        <v>0</v>
      </c>
      <c r="AI1323" s="652">
        <f>IF($B1323="",,SUMIFS(PerHeadcount[Month 24],PerHeadcount[exp_item],$H1323,PerHeadcount[company_name],$B1323)*AI273)</f>
        <v>0</v>
      </c>
      <c r="AJ1323" s="652">
        <f>IF($B1323="",,SUMIFS(PerHeadcount[Month 25],PerHeadcount[exp_item],$H1323,PerHeadcount[company_name],$B1323)*AJ273)</f>
        <v>0</v>
      </c>
      <c r="AK1323" s="652">
        <f>IF($B1323="",,SUMIFS(PerHeadcount[Month 26],PerHeadcount[exp_item],$H1323,PerHeadcount[company_name],$B1323)*AK273)</f>
        <v>0</v>
      </c>
      <c r="AL1323" s="652">
        <f>IF($B1323="",,SUMIFS(PerHeadcount[Month 27],PerHeadcount[exp_item],$H1323,PerHeadcount[company_name],$B1323)*AL273)</f>
        <v>0</v>
      </c>
      <c r="AM1323" s="652">
        <f>IF($B1323="",,SUMIFS(PerHeadcount[Month 28],PerHeadcount[exp_item],$H1323,PerHeadcount[company_name],$B1323)*AM273)</f>
        <v>0</v>
      </c>
      <c r="AN1323" s="652">
        <f>IF($B1323="",,SUMIFS(PerHeadcount[Month 29],PerHeadcount[exp_item],$H1323,PerHeadcount[company_name],$B1323)*AN273)</f>
        <v>0</v>
      </c>
      <c r="AO1323" s="652">
        <f>IF($B1323="",,SUMIFS(PerHeadcount[Month 30],PerHeadcount[exp_item],$H1323,PerHeadcount[company_name],$B1323)*AO273)</f>
        <v>0</v>
      </c>
      <c r="AP1323" s="652">
        <f>IF($B1323="",,SUMIFS(PerHeadcount[Month 31],PerHeadcount[exp_item],$H1323,PerHeadcount[company_name],$B1323)*AP273)</f>
        <v>0</v>
      </c>
      <c r="AQ1323" s="652">
        <f>IF($B1323="",,SUMIFS(PerHeadcount[Month 32],PerHeadcount[exp_item],$H1323,PerHeadcount[company_name],$B1323)*AQ273)</f>
        <v>0</v>
      </c>
      <c r="AR1323" s="652">
        <f>IF($B1323="",,SUMIFS(PerHeadcount[Month 33],PerHeadcount[exp_item],$H1323,PerHeadcount[company_name],$B1323)*AR273)</f>
        <v>0</v>
      </c>
      <c r="AS1323" s="652">
        <f>IF($B1323="",,SUMIFS(PerHeadcount[Month 34],PerHeadcount[exp_item],$H1323,PerHeadcount[company_name],$B1323)*AS273)</f>
        <v>0</v>
      </c>
      <c r="AT1323" s="652">
        <f>IF($B1323="",,SUMIFS(PerHeadcount[Month 35],PerHeadcount[exp_item],$H1323,PerHeadcount[company_name],$B1323)*AT273)</f>
        <v>0</v>
      </c>
      <c r="AU1323" s="652">
        <f>IF($B1323="",,SUMIFS(PerHeadcount[Month 36],PerHeadcount[exp_item],$H1323,PerHeadcount[company_name],$B1323)*AU273)</f>
        <v>0</v>
      </c>
    </row>
    <row r="1324" spans="2:47" x14ac:dyDescent="0.35">
      <c r="B1324" t="str">
        <f t="shared" ref="B1324:G1324" si="975">IF(B1219="","",B1219)</f>
        <v/>
      </c>
      <c r="C1324" t="str">
        <f t="shared" si="975"/>
        <v/>
      </c>
      <c r="D1324" t="str">
        <f t="shared" si="975"/>
        <v/>
      </c>
      <c r="E1324" t="str">
        <f t="shared" si="975"/>
        <v/>
      </c>
      <c r="F1324" t="str">
        <f t="shared" si="975"/>
        <v/>
      </c>
      <c r="G1324" t="str">
        <f t="shared" si="975"/>
        <v/>
      </c>
      <c r="H1324" t="str">
        <f t="shared" si="949"/>
        <v/>
      </c>
      <c r="J1324" t="str">
        <f>IF($H1324="","",IF(VLOOKUP(H1324,ExpItems[],2,0),H1324&amp;" - "&amp;INDEX(DivisionMapping[category_code],MATCH($D1324&amp;$C1324,DivisionMapping[dept_bu],0)),H1324))</f>
        <v/>
      </c>
      <c r="K1324" t="str">
        <f t="shared" si="952"/>
        <v/>
      </c>
      <c r="L1324" s="652">
        <f>IF($B1324="",,SUMIFS(PerHeadcount[Month 1],PerHeadcount[exp_item],$H1324,PerHeadcount[company_name],$B1324)*L274)</f>
        <v>0</v>
      </c>
      <c r="M1324" s="652">
        <f>IF($B1324="",,SUMIFS(PerHeadcount[Month 2],PerHeadcount[exp_item],$H1324,PerHeadcount[company_name],$B1324)*M274)</f>
        <v>0</v>
      </c>
      <c r="N1324" s="652">
        <f>IF($B1324="",,SUMIFS(PerHeadcount[Month 3],PerHeadcount[exp_item],$H1324,PerHeadcount[company_name],$B1324)*N274)</f>
        <v>0</v>
      </c>
      <c r="O1324" s="652">
        <f>IF($B1324="",,SUMIFS(PerHeadcount[Month 4],PerHeadcount[exp_item],$H1324,PerHeadcount[company_name],$B1324)*O274)</f>
        <v>0</v>
      </c>
      <c r="P1324" s="652">
        <f>IF($B1324="",,SUMIFS(PerHeadcount[Month 5],PerHeadcount[exp_item],$H1324,PerHeadcount[company_name],$B1324)*P274)</f>
        <v>0</v>
      </c>
      <c r="Q1324" s="652">
        <f>IF($B1324="",,SUMIFS(PerHeadcount[Month 6],PerHeadcount[exp_item],$H1324,PerHeadcount[company_name],$B1324)*Q274)</f>
        <v>0</v>
      </c>
      <c r="R1324" s="652">
        <f>IF($B1324="",,SUMIFS(PerHeadcount[Month 7],PerHeadcount[exp_item],$H1324,PerHeadcount[company_name],$B1324)*R274)</f>
        <v>0</v>
      </c>
      <c r="S1324" s="652">
        <f>IF($B1324="",,SUMIFS(PerHeadcount[Month 8],PerHeadcount[exp_item],$H1324,PerHeadcount[company_name],$B1324)*S274)</f>
        <v>0</v>
      </c>
      <c r="T1324" s="652">
        <f>IF($B1324="",,SUMIFS(PerHeadcount[Month 9],PerHeadcount[exp_item],$H1324,PerHeadcount[company_name],$B1324)*T274)</f>
        <v>0</v>
      </c>
      <c r="U1324" s="652">
        <f>IF($B1324="",,SUMIFS(PerHeadcount[Month 10],PerHeadcount[exp_item],$H1324,PerHeadcount[company_name],$B1324)*U274)</f>
        <v>0</v>
      </c>
      <c r="V1324" s="652">
        <f>IF($B1324="",,SUMIFS(PerHeadcount[Month 11],PerHeadcount[exp_item],$H1324,PerHeadcount[company_name],$B1324)*V274)</f>
        <v>0</v>
      </c>
      <c r="W1324" s="652">
        <f>IF($B1324="",,SUMIFS(PerHeadcount[Month 12],PerHeadcount[exp_item],$H1324,PerHeadcount[company_name],$B1324)*W274)</f>
        <v>0</v>
      </c>
      <c r="X1324" s="652">
        <f>IF($B1324="",,SUMIFS(PerHeadcount[Month 13],PerHeadcount[exp_item],$H1324,PerHeadcount[company_name],$B1324)*X274)</f>
        <v>0</v>
      </c>
      <c r="Y1324" s="652">
        <f>IF($B1324="",,SUMIFS(PerHeadcount[Month 14],PerHeadcount[exp_item],$H1324,PerHeadcount[company_name],$B1324)*Y274)</f>
        <v>0</v>
      </c>
      <c r="Z1324" s="652">
        <f>IF($B1324="",,SUMIFS(PerHeadcount[Month 15],PerHeadcount[exp_item],$H1324,PerHeadcount[company_name],$B1324)*Z274)</f>
        <v>0</v>
      </c>
      <c r="AA1324" s="652">
        <f>IF($B1324="",,SUMIFS(PerHeadcount[Month 16],PerHeadcount[exp_item],$H1324,PerHeadcount[company_name],$B1324)*AA274)</f>
        <v>0</v>
      </c>
      <c r="AB1324" s="652">
        <f>IF($B1324="",,SUMIFS(PerHeadcount[Month 17],PerHeadcount[exp_item],$H1324,PerHeadcount[company_name],$B1324)*AB274)</f>
        <v>0</v>
      </c>
      <c r="AC1324" s="652">
        <f>IF($B1324="",,SUMIFS(PerHeadcount[Month 18],PerHeadcount[exp_item],$H1324,PerHeadcount[company_name],$B1324)*AC274)</f>
        <v>0</v>
      </c>
      <c r="AD1324" s="652">
        <f>IF($B1324="",,SUMIFS(PerHeadcount[Month 19],PerHeadcount[exp_item],$H1324,PerHeadcount[company_name],$B1324)*AD274)</f>
        <v>0</v>
      </c>
      <c r="AE1324" s="652">
        <f>IF($B1324="",,SUMIFS(PerHeadcount[Month 20],PerHeadcount[exp_item],$H1324,PerHeadcount[company_name],$B1324)*AE274)</f>
        <v>0</v>
      </c>
      <c r="AF1324" s="652">
        <f>IF($B1324="",,SUMIFS(PerHeadcount[Month 21],PerHeadcount[exp_item],$H1324,PerHeadcount[company_name],$B1324)*AF274)</f>
        <v>0</v>
      </c>
      <c r="AG1324" s="652">
        <f>IF($B1324="",,SUMIFS(PerHeadcount[Month 22],PerHeadcount[exp_item],$H1324,PerHeadcount[company_name],$B1324)*AG274)</f>
        <v>0</v>
      </c>
      <c r="AH1324" s="652">
        <f>IF($B1324="",,SUMIFS(PerHeadcount[Month 23],PerHeadcount[exp_item],$H1324,PerHeadcount[company_name],$B1324)*AH274)</f>
        <v>0</v>
      </c>
      <c r="AI1324" s="652">
        <f>IF($B1324="",,SUMIFS(PerHeadcount[Month 24],PerHeadcount[exp_item],$H1324,PerHeadcount[company_name],$B1324)*AI274)</f>
        <v>0</v>
      </c>
      <c r="AJ1324" s="652">
        <f>IF($B1324="",,SUMIFS(PerHeadcount[Month 25],PerHeadcount[exp_item],$H1324,PerHeadcount[company_name],$B1324)*AJ274)</f>
        <v>0</v>
      </c>
      <c r="AK1324" s="652">
        <f>IF($B1324="",,SUMIFS(PerHeadcount[Month 26],PerHeadcount[exp_item],$H1324,PerHeadcount[company_name],$B1324)*AK274)</f>
        <v>0</v>
      </c>
      <c r="AL1324" s="652">
        <f>IF($B1324="",,SUMIFS(PerHeadcount[Month 27],PerHeadcount[exp_item],$H1324,PerHeadcount[company_name],$B1324)*AL274)</f>
        <v>0</v>
      </c>
      <c r="AM1324" s="652">
        <f>IF($B1324="",,SUMIFS(PerHeadcount[Month 28],PerHeadcount[exp_item],$H1324,PerHeadcount[company_name],$B1324)*AM274)</f>
        <v>0</v>
      </c>
      <c r="AN1324" s="652">
        <f>IF($B1324="",,SUMIFS(PerHeadcount[Month 29],PerHeadcount[exp_item],$H1324,PerHeadcount[company_name],$B1324)*AN274)</f>
        <v>0</v>
      </c>
      <c r="AO1324" s="652">
        <f>IF($B1324="",,SUMIFS(PerHeadcount[Month 30],PerHeadcount[exp_item],$H1324,PerHeadcount[company_name],$B1324)*AO274)</f>
        <v>0</v>
      </c>
      <c r="AP1324" s="652">
        <f>IF($B1324="",,SUMIFS(PerHeadcount[Month 31],PerHeadcount[exp_item],$H1324,PerHeadcount[company_name],$B1324)*AP274)</f>
        <v>0</v>
      </c>
      <c r="AQ1324" s="652">
        <f>IF($B1324="",,SUMIFS(PerHeadcount[Month 32],PerHeadcount[exp_item],$H1324,PerHeadcount[company_name],$B1324)*AQ274)</f>
        <v>0</v>
      </c>
      <c r="AR1324" s="652">
        <f>IF($B1324="",,SUMIFS(PerHeadcount[Month 33],PerHeadcount[exp_item],$H1324,PerHeadcount[company_name],$B1324)*AR274)</f>
        <v>0</v>
      </c>
      <c r="AS1324" s="652">
        <f>IF($B1324="",,SUMIFS(PerHeadcount[Month 34],PerHeadcount[exp_item],$H1324,PerHeadcount[company_name],$B1324)*AS274)</f>
        <v>0</v>
      </c>
      <c r="AT1324" s="652">
        <f>IF($B1324="",,SUMIFS(PerHeadcount[Month 35],PerHeadcount[exp_item],$H1324,PerHeadcount[company_name],$B1324)*AT274)</f>
        <v>0</v>
      </c>
      <c r="AU1324" s="652">
        <f>IF($B1324="",,SUMIFS(PerHeadcount[Month 36],PerHeadcount[exp_item],$H1324,PerHeadcount[company_name],$B1324)*AU274)</f>
        <v>0</v>
      </c>
    </row>
    <row r="1325" spans="2:47" x14ac:dyDescent="0.35">
      <c r="B1325" t="str">
        <f t="shared" ref="B1325:G1325" si="976">IF(B1220="","",B1220)</f>
        <v/>
      </c>
      <c r="C1325" t="str">
        <f t="shared" si="976"/>
        <v/>
      </c>
      <c r="D1325" t="str">
        <f t="shared" si="976"/>
        <v/>
      </c>
      <c r="E1325" t="str">
        <f t="shared" si="976"/>
        <v/>
      </c>
      <c r="F1325" t="str">
        <f t="shared" si="976"/>
        <v/>
      </c>
      <c r="G1325" t="str">
        <f t="shared" si="976"/>
        <v/>
      </c>
      <c r="H1325" t="str">
        <f t="shared" si="949"/>
        <v/>
      </c>
      <c r="J1325" t="str">
        <f>IF($H1325="","",IF(VLOOKUP(H1325,ExpItems[],2,0),H1325&amp;" - "&amp;INDEX(DivisionMapping[category_code],MATCH($D1325&amp;$C1325,DivisionMapping[dept_bu],0)),H1325))</f>
        <v/>
      </c>
      <c r="K1325" t="str">
        <f t="shared" si="952"/>
        <v/>
      </c>
      <c r="L1325" s="652">
        <f>IF($B1325="",,SUMIFS(PerHeadcount[Month 1],PerHeadcount[exp_item],$H1325,PerHeadcount[company_name],$B1325)*L275)</f>
        <v>0</v>
      </c>
      <c r="M1325" s="652">
        <f>IF($B1325="",,SUMIFS(PerHeadcount[Month 2],PerHeadcount[exp_item],$H1325,PerHeadcount[company_name],$B1325)*M275)</f>
        <v>0</v>
      </c>
      <c r="N1325" s="652">
        <f>IF($B1325="",,SUMIFS(PerHeadcount[Month 3],PerHeadcount[exp_item],$H1325,PerHeadcount[company_name],$B1325)*N275)</f>
        <v>0</v>
      </c>
      <c r="O1325" s="652">
        <f>IF($B1325="",,SUMIFS(PerHeadcount[Month 4],PerHeadcount[exp_item],$H1325,PerHeadcount[company_name],$B1325)*O275)</f>
        <v>0</v>
      </c>
      <c r="P1325" s="652">
        <f>IF($B1325="",,SUMIFS(PerHeadcount[Month 5],PerHeadcount[exp_item],$H1325,PerHeadcount[company_name],$B1325)*P275)</f>
        <v>0</v>
      </c>
      <c r="Q1325" s="652">
        <f>IF($B1325="",,SUMIFS(PerHeadcount[Month 6],PerHeadcount[exp_item],$H1325,PerHeadcount[company_name],$B1325)*Q275)</f>
        <v>0</v>
      </c>
      <c r="R1325" s="652">
        <f>IF($B1325="",,SUMIFS(PerHeadcount[Month 7],PerHeadcount[exp_item],$H1325,PerHeadcount[company_name],$B1325)*R275)</f>
        <v>0</v>
      </c>
      <c r="S1325" s="652">
        <f>IF($B1325="",,SUMIFS(PerHeadcount[Month 8],PerHeadcount[exp_item],$H1325,PerHeadcount[company_name],$B1325)*S275)</f>
        <v>0</v>
      </c>
      <c r="T1325" s="652">
        <f>IF($B1325="",,SUMIFS(PerHeadcount[Month 9],PerHeadcount[exp_item],$H1325,PerHeadcount[company_name],$B1325)*T275)</f>
        <v>0</v>
      </c>
      <c r="U1325" s="652">
        <f>IF($B1325="",,SUMIFS(PerHeadcount[Month 10],PerHeadcount[exp_item],$H1325,PerHeadcount[company_name],$B1325)*U275)</f>
        <v>0</v>
      </c>
      <c r="V1325" s="652">
        <f>IF($B1325="",,SUMIFS(PerHeadcount[Month 11],PerHeadcount[exp_item],$H1325,PerHeadcount[company_name],$B1325)*V275)</f>
        <v>0</v>
      </c>
      <c r="W1325" s="652">
        <f>IF($B1325="",,SUMIFS(PerHeadcount[Month 12],PerHeadcount[exp_item],$H1325,PerHeadcount[company_name],$B1325)*W275)</f>
        <v>0</v>
      </c>
      <c r="X1325" s="652">
        <f>IF($B1325="",,SUMIFS(PerHeadcount[Month 13],PerHeadcount[exp_item],$H1325,PerHeadcount[company_name],$B1325)*X275)</f>
        <v>0</v>
      </c>
      <c r="Y1325" s="652">
        <f>IF($B1325="",,SUMIFS(PerHeadcount[Month 14],PerHeadcount[exp_item],$H1325,PerHeadcount[company_name],$B1325)*Y275)</f>
        <v>0</v>
      </c>
      <c r="Z1325" s="652">
        <f>IF($B1325="",,SUMIFS(PerHeadcount[Month 15],PerHeadcount[exp_item],$H1325,PerHeadcount[company_name],$B1325)*Z275)</f>
        <v>0</v>
      </c>
      <c r="AA1325" s="652">
        <f>IF($B1325="",,SUMIFS(PerHeadcount[Month 16],PerHeadcount[exp_item],$H1325,PerHeadcount[company_name],$B1325)*AA275)</f>
        <v>0</v>
      </c>
      <c r="AB1325" s="652">
        <f>IF($B1325="",,SUMIFS(PerHeadcount[Month 17],PerHeadcount[exp_item],$H1325,PerHeadcount[company_name],$B1325)*AB275)</f>
        <v>0</v>
      </c>
      <c r="AC1325" s="652">
        <f>IF($B1325="",,SUMIFS(PerHeadcount[Month 18],PerHeadcount[exp_item],$H1325,PerHeadcount[company_name],$B1325)*AC275)</f>
        <v>0</v>
      </c>
      <c r="AD1325" s="652">
        <f>IF($B1325="",,SUMIFS(PerHeadcount[Month 19],PerHeadcount[exp_item],$H1325,PerHeadcount[company_name],$B1325)*AD275)</f>
        <v>0</v>
      </c>
      <c r="AE1325" s="652">
        <f>IF($B1325="",,SUMIFS(PerHeadcount[Month 20],PerHeadcount[exp_item],$H1325,PerHeadcount[company_name],$B1325)*AE275)</f>
        <v>0</v>
      </c>
      <c r="AF1325" s="652">
        <f>IF($B1325="",,SUMIFS(PerHeadcount[Month 21],PerHeadcount[exp_item],$H1325,PerHeadcount[company_name],$B1325)*AF275)</f>
        <v>0</v>
      </c>
      <c r="AG1325" s="652">
        <f>IF($B1325="",,SUMIFS(PerHeadcount[Month 22],PerHeadcount[exp_item],$H1325,PerHeadcount[company_name],$B1325)*AG275)</f>
        <v>0</v>
      </c>
      <c r="AH1325" s="652">
        <f>IF($B1325="",,SUMIFS(PerHeadcount[Month 23],PerHeadcount[exp_item],$H1325,PerHeadcount[company_name],$B1325)*AH275)</f>
        <v>0</v>
      </c>
      <c r="AI1325" s="652">
        <f>IF($B1325="",,SUMIFS(PerHeadcount[Month 24],PerHeadcount[exp_item],$H1325,PerHeadcount[company_name],$B1325)*AI275)</f>
        <v>0</v>
      </c>
      <c r="AJ1325" s="652">
        <f>IF($B1325="",,SUMIFS(PerHeadcount[Month 25],PerHeadcount[exp_item],$H1325,PerHeadcount[company_name],$B1325)*AJ275)</f>
        <v>0</v>
      </c>
      <c r="AK1325" s="652">
        <f>IF($B1325="",,SUMIFS(PerHeadcount[Month 26],PerHeadcount[exp_item],$H1325,PerHeadcount[company_name],$B1325)*AK275)</f>
        <v>0</v>
      </c>
      <c r="AL1325" s="652">
        <f>IF($B1325="",,SUMIFS(PerHeadcount[Month 27],PerHeadcount[exp_item],$H1325,PerHeadcount[company_name],$B1325)*AL275)</f>
        <v>0</v>
      </c>
      <c r="AM1325" s="652">
        <f>IF($B1325="",,SUMIFS(PerHeadcount[Month 28],PerHeadcount[exp_item],$H1325,PerHeadcount[company_name],$B1325)*AM275)</f>
        <v>0</v>
      </c>
      <c r="AN1325" s="652">
        <f>IF($B1325="",,SUMIFS(PerHeadcount[Month 29],PerHeadcount[exp_item],$H1325,PerHeadcount[company_name],$B1325)*AN275)</f>
        <v>0</v>
      </c>
      <c r="AO1325" s="652">
        <f>IF($B1325="",,SUMIFS(PerHeadcount[Month 30],PerHeadcount[exp_item],$H1325,PerHeadcount[company_name],$B1325)*AO275)</f>
        <v>0</v>
      </c>
      <c r="AP1325" s="652">
        <f>IF($B1325="",,SUMIFS(PerHeadcount[Month 31],PerHeadcount[exp_item],$H1325,PerHeadcount[company_name],$B1325)*AP275)</f>
        <v>0</v>
      </c>
      <c r="AQ1325" s="652">
        <f>IF($B1325="",,SUMIFS(PerHeadcount[Month 32],PerHeadcount[exp_item],$H1325,PerHeadcount[company_name],$B1325)*AQ275)</f>
        <v>0</v>
      </c>
      <c r="AR1325" s="652">
        <f>IF($B1325="",,SUMIFS(PerHeadcount[Month 33],PerHeadcount[exp_item],$H1325,PerHeadcount[company_name],$B1325)*AR275)</f>
        <v>0</v>
      </c>
      <c r="AS1325" s="652">
        <f>IF($B1325="",,SUMIFS(PerHeadcount[Month 34],PerHeadcount[exp_item],$H1325,PerHeadcount[company_name],$B1325)*AS275)</f>
        <v>0</v>
      </c>
      <c r="AT1325" s="652">
        <f>IF($B1325="",,SUMIFS(PerHeadcount[Month 35],PerHeadcount[exp_item],$H1325,PerHeadcount[company_name],$B1325)*AT275)</f>
        <v>0</v>
      </c>
      <c r="AU1325" s="652">
        <f>IF($B1325="",,SUMIFS(PerHeadcount[Month 36],PerHeadcount[exp_item],$H1325,PerHeadcount[company_name],$B1325)*AU275)</f>
        <v>0</v>
      </c>
    </row>
    <row r="1326" spans="2:47" x14ac:dyDescent="0.35">
      <c r="B1326" t="str">
        <f t="shared" ref="B1326:G1326" si="977">IF(B1221="","",B1221)</f>
        <v/>
      </c>
      <c r="C1326" t="str">
        <f t="shared" si="977"/>
        <v/>
      </c>
      <c r="D1326" t="str">
        <f t="shared" si="977"/>
        <v/>
      </c>
      <c r="E1326" t="str">
        <f t="shared" si="977"/>
        <v/>
      </c>
      <c r="F1326" t="str">
        <f t="shared" si="977"/>
        <v/>
      </c>
      <c r="G1326" t="str">
        <f t="shared" si="977"/>
        <v/>
      </c>
      <c r="H1326" t="str">
        <f t="shared" si="949"/>
        <v/>
      </c>
      <c r="J1326" t="str">
        <f>IF($H1326="","",IF(VLOOKUP(H1326,ExpItems[],2,0),H1326&amp;" - "&amp;INDEX(DivisionMapping[category_code],MATCH($D1326&amp;$C1326,DivisionMapping[dept_bu],0)),H1326))</f>
        <v/>
      </c>
      <c r="K1326" t="str">
        <f t="shared" si="952"/>
        <v/>
      </c>
      <c r="L1326" s="652">
        <f>IF($B1326="",,SUMIFS(PerHeadcount[Month 1],PerHeadcount[exp_item],$H1326,PerHeadcount[company_name],$B1326)*L276)</f>
        <v>0</v>
      </c>
      <c r="M1326" s="652">
        <f>IF($B1326="",,SUMIFS(PerHeadcount[Month 2],PerHeadcount[exp_item],$H1326,PerHeadcount[company_name],$B1326)*M276)</f>
        <v>0</v>
      </c>
      <c r="N1326" s="652">
        <f>IF($B1326="",,SUMIFS(PerHeadcount[Month 3],PerHeadcount[exp_item],$H1326,PerHeadcount[company_name],$B1326)*N276)</f>
        <v>0</v>
      </c>
      <c r="O1326" s="652">
        <f>IF($B1326="",,SUMIFS(PerHeadcount[Month 4],PerHeadcount[exp_item],$H1326,PerHeadcount[company_name],$B1326)*O276)</f>
        <v>0</v>
      </c>
      <c r="P1326" s="652">
        <f>IF($B1326="",,SUMIFS(PerHeadcount[Month 5],PerHeadcount[exp_item],$H1326,PerHeadcount[company_name],$B1326)*P276)</f>
        <v>0</v>
      </c>
      <c r="Q1326" s="652">
        <f>IF($B1326="",,SUMIFS(PerHeadcount[Month 6],PerHeadcount[exp_item],$H1326,PerHeadcount[company_name],$B1326)*Q276)</f>
        <v>0</v>
      </c>
      <c r="R1326" s="652">
        <f>IF($B1326="",,SUMIFS(PerHeadcount[Month 7],PerHeadcount[exp_item],$H1326,PerHeadcount[company_name],$B1326)*R276)</f>
        <v>0</v>
      </c>
      <c r="S1326" s="652">
        <f>IF($B1326="",,SUMIFS(PerHeadcount[Month 8],PerHeadcount[exp_item],$H1326,PerHeadcount[company_name],$B1326)*S276)</f>
        <v>0</v>
      </c>
      <c r="T1326" s="652">
        <f>IF($B1326="",,SUMIFS(PerHeadcount[Month 9],PerHeadcount[exp_item],$H1326,PerHeadcount[company_name],$B1326)*T276)</f>
        <v>0</v>
      </c>
      <c r="U1326" s="652">
        <f>IF($B1326="",,SUMIFS(PerHeadcount[Month 10],PerHeadcount[exp_item],$H1326,PerHeadcount[company_name],$B1326)*U276)</f>
        <v>0</v>
      </c>
      <c r="V1326" s="652">
        <f>IF($B1326="",,SUMIFS(PerHeadcount[Month 11],PerHeadcount[exp_item],$H1326,PerHeadcount[company_name],$B1326)*V276)</f>
        <v>0</v>
      </c>
      <c r="W1326" s="652">
        <f>IF($B1326="",,SUMIFS(PerHeadcount[Month 12],PerHeadcount[exp_item],$H1326,PerHeadcount[company_name],$B1326)*W276)</f>
        <v>0</v>
      </c>
      <c r="X1326" s="652">
        <f>IF($B1326="",,SUMIFS(PerHeadcount[Month 13],PerHeadcount[exp_item],$H1326,PerHeadcount[company_name],$B1326)*X276)</f>
        <v>0</v>
      </c>
      <c r="Y1326" s="652">
        <f>IF($B1326="",,SUMIFS(PerHeadcount[Month 14],PerHeadcount[exp_item],$H1326,PerHeadcount[company_name],$B1326)*Y276)</f>
        <v>0</v>
      </c>
      <c r="Z1326" s="652">
        <f>IF($B1326="",,SUMIFS(PerHeadcount[Month 15],PerHeadcount[exp_item],$H1326,PerHeadcount[company_name],$B1326)*Z276)</f>
        <v>0</v>
      </c>
      <c r="AA1326" s="652">
        <f>IF($B1326="",,SUMIFS(PerHeadcount[Month 16],PerHeadcount[exp_item],$H1326,PerHeadcount[company_name],$B1326)*AA276)</f>
        <v>0</v>
      </c>
      <c r="AB1326" s="652">
        <f>IF($B1326="",,SUMIFS(PerHeadcount[Month 17],PerHeadcount[exp_item],$H1326,PerHeadcount[company_name],$B1326)*AB276)</f>
        <v>0</v>
      </c>
      <c r="AC1326" s="652">
        <f>IF($B1326="",,SUMIFS(PerHeadcount[Month 18],PerHeadcount[exp_item],$H1326,PerHeadcount[company_name],$B1326)*AC276)</f>
        <v>0</v>
      </c>
      <c r="AD1326" s="652">
        <f>IF($B1326="",,SUMIFS(PerHeadcount[Month 19],PerHeadcount[exp_item],$H1326,PerHeadcount[company_name],$B1326)*AD276)</f>
        <v>0</v>
      </c>
      <c r="AE1326" s="652">
        <f>IF($B1326="",,SUMIFS(PerHeadcount[Month 20],PerHeadcount[exp_item],$H1326,PerHeadcount[company_name],$B1326)*AE276)</f>
        <v>0</v>
      </c>
      <c r="AF1326" s="652">
        <f>IF($B1326="",,SUMIFS(PerHeadcount[Month 21],PerHeadcount[exp_item],$H1326,PerHeadcount[company_name],$B1326)*AF276)</f>
        <v>0</v>
      </c>
      <c r="AG1326" s="652">
        <f>IF($B1326="",,SUMIFS(PerHeadcount[Month 22],PerHeadcount[exp_item],$H1326,PerHeadcount[company_name],$B1326)*AG276)</f>
        <v>0</v>
      </c>
      <c r="AH1326" s="652">
        <f>IF($B1326="",,SUMIFS(PerHeadcount[Month 23],PerHeadcount[exp_item],$H1326,PerHeadcount[company_name],$B1326)*AH276)</f>
        <v>0</v>
      </c>
      <c r="AI1326" s="652">
        <f>IF($B1326="",,SUMIFS(PerHeadcount[Month 24],PerHeadcount[exp_item],$H1326,PerHeadcount[company_name],$B1326)*AI276)</f>
        <v>0</v>
      </c>
      <c r="AJ1326" s="652">
        <f>IF($B1326="",,SUMIFS(PerHeadcount[Month 25],PerHeadcount[exp_item],$H1326,PerHeadcount[company_name],$B1326)*AJ276)</f>
        <v>0</v>
      </c>
      <c r="AK1326" s="652">
        <f>IF($B1326="",,SUMIFS(PerHeadcount[Month 26],PerHeadcount[exp_item],$H1326,PerHeadcount[company_name],$B1326)*AK276)</f>
        <v>0</v>
      </c>
      <c r="AL1326" s="652">
        <f>IF($B1326="",,SUMIFS(PerHeadcount[Month 27],PerHeadcount[exp_item],$H1326,PerHeadcount[company_name],$B1326)*AL276)</f>
        <v>0</v>
      </c>
      <c r="AM1326" s="652">
        <f>IF($B1326="",,SUMIFS(PerHeadcount[Month 28],PerHeadcount[exp_item],$H1326,PerHeadcount[company_name],$B1326)*AM276)</f>
        <v>0</v>
      </c>
      <c r="AN1326" s="652">
        <f>IF($B1326="",,SUMIFS(PerHeadcount[Month 29],PerHeadcount[exp_item],$H1326,PerHeadcount[company_name],$B1326)*AN276)</f>
        <v>0</v>
      </c>
      <c r="AO1326" s="652">
        <f>IF($B1326="",,SUMIFS(PerHeadcount[Month 30],PerHeadcount[exp_item],$H1326,PerHeadcount[company_name],$B1326)*AO276)</f>
        <v>0</v>
      </c>
      <c r="AP1326" s="652">
        <f>IF($B1326="",,SUMIFS(PerHeadcount[Month 31],PerHeadcount[exp_item],$H1326,PerHeadcount[company_name],$B1326)*AP276)</f>
        <v>0</v>
      </c>
      <c r="AQ1326" s="652">
        <f>IF($B1326="",,SUMIFS(PerHeadcount[Month 32],PerHeadcount[exp_item],$H1326,PerHeadcount[company_name],$B1326)*AQ276)</f>
        <v>0</v>
      </c>
      <c r="AR1326" s="652">
        <f>IF($B1326="",,SUMIFS(PerHeadcount[Month 33],PerHeadcount[exp_item],$H1326,PerHeadcount[company_name],$B1326)*AR276)</f>
        <v>0</v>
      </c>
      <c r="AS1326" s="652">
        <f>IF($B1326="",,SUMIFS(PerHeadcount[Month 34],PerHeadcount[exp_item],$H1326,PerHeadcount[company_name],$B1326)*AS276)</f>
        <v>0</v>
      </c>
      <c r="AT1326" s="652">
        <f>IF($B1326="",,SUMIFS(PerHeadcount[Month 35],PerHeadcount[exp_item],$H1326,PerHeadcount[company_name],$B1326)*AT276)</f>
        <v>0</v>
      </c>
      <c r="AU1326" s="652">
        <f>IF($B1326="",,SUMIFS(PerHeadcount[Month 36],PerHeadcount[exp_item],$H1326,PerHeadcount[company_name],$B1326)*AU276)</f>
        <v>0</v>
      </c>
    </row>
    <row r="1327" spans="2:47" x14ac:dyDescent="0.35">
      <c r="B1327" t="str">
        <f t="shared" ref="B1327:G1327" si="978">IF(B1222="","",B1222)</f>
        <v/>
      </c>
      <c r="C1327" t="str">
        <f t="shared" si="978"/>
        <v/>
      </c>
      <c r="D1327" t="str">
        <f t="shared" si="978"/>
        <v/>
      </c>
      <c r="E1327" t="str">
        <f t="shared" si="978"/>
        <v/>
      </c>
      <c r="F1327" t="str">
        <f t="shared" si="978"/>
        <v/>
      </c>
      <c r="G1327" t="str">
        <f t="shared" si="978"/>
        <v/>
      </c>
      <c r="H1327" t="str">
        <f t="shared" si="949"/>
        <v/>
      </c>
      <c r="J1327" t="str">
        <f>IF($H1327="","",IF(VLOOKUP(H1327,ExpItems[],2,0),H1327&amp;" - "&amp;INDEX(DivisionMapping[category_code],MATCH($D1327&amp;$C1327,DivisionMapping[dept_bu],0)),H1327))</f>
        <v/>
      </c>
      <c r="K1327" t="str">
        <f t="shared" si="952"/>
        <v/>
      </c>
      <c r="L1327" s="652">
        <f>IF($B1327="",,SUMIFS(PerHeadcount[Month 1],PerHeadcount[exp_item],$H1327,PerHeadcount[company_name],$B1327)*L277)</f>
        <v>0</v>
      </c>
      <c r="M1327" s="652">
        <f>IF($B1327="",,SUMIFS(PerHeadcount[Month 2],PerHeadcount[exp_item],$H1327,PerHeadcount[company_name],$B1327)*M277)</f>
        <v>0</v>
      </c>
      <c r="N1327" s="652">
        <f>IF($B1327="",,SUMIFS(PerHeadcount[Month 3],PerHeadcount[exp_item],$H1327,PerHeadcount[company_name],$B1327)*N277)</f>
        <v>0</v>
      </c>
      <c r="O1327" s="652">
        <f>IF($B1327="",,SUMIFS(PerHeadcount[Month 4],PerHeadcount[exp_item],$H1327,PerHeadcount[company_name],$B1327)*O277)</f>
        <v>0</v>
      </c>
      <c r="P1327" s="652">
        <f>IF($B1327="",,SUMIFS(PerHeadcount[Month 5],PerHeadcount[exp_item],$H1327,PerHeadcount[company_name],$B1327)*P277)</f>
        <v>0</v>
      </c>
      <c r="Q1327" s="652">
        <f>IF($B1327="",,SUMIFS(PerHeadcount[Month 6],PerHeadcount[exp_item],$H1327,PerHeadcount[company_name],$B1327)*Q277)</f>
        <v>0</v>
      </c>
      <c r="R1327" s="652">
        <f>IF($B1327="",,SUMIFS(PerHeadcount[Month 7],PerHeadcount[exp_item],$H1327,PerHeadcount[company_name],$B1327)*R277)</f>
        <v>0</v>
      </c>
      <c r="S1327" s="652">
        <f>IF($B1327="",,SUMIFS(PerHeadcount[Month 8],PerHeadcount[exp_item],$H1327,PerHeadcount[company_name],$B1327)*S277)</f>
        <v>0</v>
      </c>
      <c r="T1327" s="652">
        <f>IF($B1327="",,SUMIFS(PerHeadcount[Month 9],PerHeadcount[exp_item],$H1327,PerHeadcount[company_name],$B1327)*T277)</f>
        <v>0</v>
      </c>
      <c r="U1327" s="652">
        <f>IF($B1327="",,SUMIFS(PerHeadcount[Month 10],PerHeadcount[exp_item],$H1327,PerHeadcount[company_name],$B1327)*U277)</f>
        <v>0</v>
      </c>
      <c r="V1327" s="652">
        <f>IF($B1327="",,SUMIFS(PerHeadcount[Month 11],PerHeadcount[exp_item],$H1327,PerHeadcount[company_name],$B1327)*V277)</f>
        <v>0</v>
      </c>
      <c r="W1327" s="652">
        <f>IF($B1327="",,SUMIFS(PerHeadcount[Month 12],PerHeadcount[exp_item],$H1327,PerHeadcount[company_name],$B1327)*W277)</f>
        <v>0</v>
      </c>
      <c r="X1327" s="652">
        <f>IF($B1327="",,SUMIFS(PerHeadcount[Month 13],PerHeadcount[exp_item],$H1327,PerHeadcount[company_name],$B1327)*X277)</f>
        <v>0</v>
      </c>
      <c r="Y1327" s="652">
        <f>IF($B1327="",,SUMIFS(PerHeadcount[Month 14],PerHeadcount[exp_item],$H1327,PerHeadcount[company_name],$B1327)*Y277)</f>
        <v>0</v>
      </c>
      <c r="Z1327" s="652">
        <f>IF($B1327="",,SUMIFS(PerHeadcount[Month 15],PerHeadcount[exp_item],$H1327,PerHeadcount[company_name],$B1327)*Z277)</f>
        <v>0</v>
      </c>
      <c r="AA1327" s="652">
        <f>IF($B1327="",,SUMIFS(PerHeadcount[Month 16],PerHeadcount[exp_item],$H1327,PerHeadcount[company_name],$B1327)*AA277)</f>
        <v>0</v>
      </c>
      <c r="AB1327" s="652">
        <f>IF($B1327="",,SUMIFS(PerHeadcount[Month 17],PerHeadcount[exp_item],$H1327,PerHeadcount[company_name],$B1327)*AB277)</f>
        <v>0</v>
      </c>
      <c r="AC1327" s="652">
        <f>IF($B1327="",,SUMIFS(PerHeadcount[Month 18],PerHeadcount[exp_item],$H1327,PerHeadcount[company_name],$B1327)*AC277)</f>
        <v>0</v>
      </c>
      <c r="AD1327" s="652">
        <f>IF($B1327="",,SUMIFS(PerHeadcount[Month 19],PerHeadcount[exp_item],$H1327,PerHeadcount[company_name],$B1327)*AD277)</f>
        <v>0</v>
      </c>
      <c r="AE1327" s="652">
        <f>IF($B1327="",,SUMIFS(PerHeadcount[Month 20],PerHeadcount[exp_item],$H1327,PerHeadcount[company_name],$B1327)*AE277)</f>
        <v>0</v>
      </c>
      <c r="AF1327" s="652">
        <f>IF($B1327="",,SUMIFS(PerHeadcount[Month 21],PerHeadcount[exp_item],$H1327,PerHeadcount[company_name],$B1327)*AF277)</f>
        <v>0</v>
      </c>
      <c r="AG1327" s="652">
        <f>IF($B1327="",,SUMIFS(PerHeadcount[Month 22],PerHeadcount[exp_item],$H1327,PerHeadcount[company_name],$B1327)*AG277)</f>
        <v>0</v>
      </c>
      <c r="AH1327" s="652">
        <f>IF($B1327="",,SUMIFS(PerHeadcount[Month 23],PerHeadcount[exp_item],$H1327,PerHeadcount[company_name],$B1327)*AH277)</f>
        <v>0</v>
      </c>
      <c r="AI1327" s="652">
        <f>IF($B1327="",,SUMIFS(PerHeadcount[Month 24],PerHeadcount[exp_item],$H1327,PerHeadcount[company_name],$B1327)*AI277)</f>
        <v>0</v>
      </c>
      <c r="AJ1327" s="652">
        <f>IF($B1327="",,SUMIFS(PerHeadcount[Month 25],PerHeadcount[exp_item],$H1327,PerHeadcount[company_name],$B1327)*AJ277)</f>
        <v>0</v>
      </c>
      <c r="AK1327" s="652">
        <f>IF($B1327="",,SUMIFS(PerHeadcount[Month 26],PerHeadcount[exp_item],$H1327,PerHeadcount[company_name],$B1327)*AK277)</f>
        <v>0</v>
      </c>
      <c r="AL1327" s="652">
        <f>IF($B1327="",,SUMIFS(PerHeadcount[Month 27],PerHeadcount[exp_item],$H1327,PerHeadcount[company_name],$B1327)*AL277)</f>
        <v>0</v>
      </c>
      <c r="AM1327" s="652">
        <f>IF($B1327="",,SUMIFS(PerHeadcount[Month 28],PerHeadcount[exp_item],$H1327,PerHeadcount[company_name],$B1327)*AM277)</f>
        <v>0</v>
      </c>
      <c r="AN1327" s="652">
        <f>IF($B1327="",,SUMIFS(PerHeadcount[Month 29],PerHeadcount[exp_item],$H1327,PerHeadcount[company_name],$B1327)*AN277)</f>
        <v>0</v>
      </c>
      <c r="AO1327" s="652">
        <f>IF($B1327="",,SUMIFS(PerHeadcount[Month 30],PerHeadcount[exp_item],$H1327,PerHeadcount[company_name],$B1327)*AO277)</f>
        <v>0</v>
      </c>
      <c r="AP1327" s="652">
        <f>IF($B1327="",,SUMIFS(PerHeadcount[Month 31],PerHeadcount[exp_item],$H1327,PerHeadcount[company_name],$B1327)*AP277)</f>
        <v>0</v>
      </c>
      <c r="AQ1327" s="652">
        <f>IF($B1327="",,SUMIFS(PerHeadcount[Month 32],PerHeadcount[exp_item],$H1327,PerHeadcount[company_name],$B1327)*AQ277)</f>
        <v>0</v>
      </c>
      <c r="AR1327" s="652">
        <f>IF($B1327="",,SUMIFS(PerHeadcount[Month 33],PerHeadcount[exp_item],$H1327,PerHeadcount[company_name],$B1327)*AR277)</f>
        <v>0</v>
      </c>
      <c r="AS1327" s="652">
        <f>IF($B1327="",,SUMIFS(PerHeadcount[Month 34],PerHeadcount[exp_item],$H1327,PerHeadcount[company_name],$B1327)*AS277)</f>
        <v>0</v>
      </c>
      <c r="AT1327" s="652">
        <f>IF($B1327="",,SUMIFS(PerHeadcount[Month 35],PerHeadcount[exp_item],$H1327,PerHeadcount[company_name],$B1327)*AT277)</f>
        <v>0</v>
      </c>
      <c r="AU1327" s="652">
        <f>IF($B1327="",,SUMIFS(PerHeadcount[Month 36],PerHeadcount[exp_item],$H1327,PerHeadcount[company_name],$B1327)*AU277)</f>
        <v>0</v>
      </c>
    </row>
    <row r="1328" spans="2:47" x14ac:dyDescent="0.35">
      <c r="B1328" t="str">
        <f t="shared" ref="B1328:G1328" si="979">IF(B1223="","",B1223)</f>
        <v/>
      </c>
      <c r="C1328" t="str">
        <f t="shared" si="979"/>
        <v/>
      </c>
      <c r="D1328" t="str">
        <f t="shared" si="979"/>
        <v/>
      </c>
      <c r="E1328" t="str">
        <f t="shared" si="979"/>
        <v/>
      </c>
      <c r="F1328" t="str">
        <f t="shared" si="979"/>
        <v/>
      </c>
      <c r="G1328" t="str">
        <f t="shared" si="979"/>
        <v/>
      </c>
      <c r="H1328" t="str">
        <f t="shared" si="949"/>
        <v/>
      </c>
      <c r="J1328" t="str">
        <f>IF($H1328="","",IF(VLOOKUP(H1328,ExpItems[],2,0),H1328&amp;" - "&amp;INDEX(DivisionMapping[category_code],MATCH($D1328&amp;$C1328,DivisionMapping[dept_bu],0)),H1328))</f>
        <v/>
      </c>
      <c r="K1328" t="str">
        <f t="shared" si="952"/>
        <v/>
      </c>
      <c r="L1328" s="652">
        <f>IF($B1328="",,SUMIFS(PerHeadcount[Month 1],PerHeadcount[exp_item],$H1328,PerHeadcount[company_name],$B1328)*L278)</f>
        <v>0</v>
      </c>
      <c r="M1328" s="652">
        <f>IF($B1328="",,SUMIFS(PerHeadcount[Month 2],PerHeadcount[exp_item],$H1328,PerHeadcount[company_name],$B1328)*M278)</f>
        <v>0</v>
      </c>
      <c r="N1328" s="652">
        <f>IF($B1328="",,SUMIFS(PerHeadcount[Month 3],PerHeadcount[exp_item],$H1328,PerHeadcount[company_name],$B1328)*N278)</f>
        <v>0</v>
      </c>
      <c r="O1328" s="652">
        <f>IF($B1328="",,SUMIFS(PerHeadcount[Month 4],PerHeadcount[exp_item],$H1328,PerHeadcount[company_name],$B1328)*O278)</f>
        <v>0</v>
      </c>
      <c r="P1328" s="652">
        <f>IF($B1328="",,SUMIFS(PerHeadcount[Month 5],PerHeadcount[exp_item],$H1328,PerHeadcount[company_name],$B1328)*P278)</f>
        <v>0</v>
      </c>
      <c r="Q1328" s="652">
        <f>IF($B1328="",,SUMIFS(PerHeadcount[Month 6],PerHeadcount[exp_item],$H1328,PerHeadcount[company_name],$B1328)*Q278)</f>
        <v>0</v>
      </c>
      <c r="R1328" s="652">
        <f>IF($B1328="",,SUMIFS(PerHeadcount[Month 7],PerHeadcount[exp_item],$H1328,PerHeadcount[company_name],$B1328)*R278)</f>
        <v>0</v>
      </c>
      <c r="S1328" s="652">
        <f>IF($B1328="",,SUMIFS(PerHeadcount[Month 8],PerHeadcount[exp_item],$H1328,PerHeadcount[company_name],$B1328)*S278)</f>
        <v>0</v>
      </c>
      <c r="T1328" s="652">
        <f>IF($B1328="",,SUMIFS(PerHeadcount[Month 9],PerHeadcount[exp_item],$H1328,PerHeadcount[company_name],$B1328)*T278)</f>
        <v>0</v>
      </c>
      <c r="U1328" s="652">
        <f>IF($B1328="",,SUMIFS(PerHeadcount[Month 10],PerHeadcount[exp_item],$H1328,PerHeadcount[company_name],$B1328)*U278)</f>
        <v>0</v>
      </c>
      <c r="V1328" s="652">
        <f>IF($B1328="",,SUMIFS(PerHeadcount[Month 11],PerHeadcount[exp_item],$H1328,PerHeadcount[company_name],$B1328)*V278)</f>
        <v>0</v>
      </c>
      <c r="W1328" s="652">
        <f>IF($B1328="",,SUMIFS(PerHeadcount[Month 12],PerHeadcount[exp_item],$H1328,PerHeadcount[company_name],$B1328)*W278)</f>
        <v>0</v>
      </c>
      <c r="X1328" s="652">
        <f>IF($B1328="",,SUMIFS(PerHeadcount[Month 13],PerHeadcount[exp_item],$H1328,PerHeadcount[company_name],$B1328)*X278)</f>
        <v>0</v>
      </c>
      <c r="Y1328" s="652">
        <f>IF($B1328="",,SUMIFS(PerHeadcount[Month 14],PerHeadcount[exp_item],$H1328,PerHeadcount[company_name],$B1328)*Y278)</f>
        <v>0</v>
      </c>
      <c r="Z1328" s="652">
        <f>IF($B1328="",,SUMIFS(PerHeadcount[Month 15],PerHeadcount[exp_item],$H1328,PerHeadcount[company_name],$B1328)*Z278)</f>
        <v>0</v>
      </c>
      <c r="AA1328" s="652">
        <f>IF($B1328="",,SUMIFS(PerHeadcount[Month 16],PerHeadcount[exp_item],$H1328,PerHeadcount[company_name],$B1328)*AA278)</f>
        <v>0</v>
      </c>
      <c r="AB1328" s="652">
        <f>IF($B1328="",,SUMIFS(PerHeadcount[Month 17],PerHeadcount[exp_item],$H1328,PerHeadcount[company_name],$B1328)*AB278)</f>
        <v>0</v>
      </c>
      <c r="AC1328" s="652">
        <f>IF($B1328="",,SUMIFS(PerHeadcount[Month 18],PerHeadcount[exp_item],$H1328,PerHeadcount[company_name],$B1328)*AC278)</f>
        <v>0</v>
      </c>
      <c r="AD1328" s="652">
        <f>IF($B1328="",,SUMIFS(PerHeadcount[Month 19],PerHeadcount[exp_item],$H1328,PerHeadcount[company_name],$B1328)*AD278)</f>
        <v>0</v>
      </c>
      <c r="AE1328" s="652">
        <f>IF($B1328="",,SUMIFS(PerHeadcount[Month 20],PerHeadcount[exp_item],$H1328,PerHeadcount[company_name],$B1328)*AE278)</f>
        <v>0</v>
      </c>
      <c r="AF1328" s="652">
        <f>IF($B1328="",,SUMIFS(PerHeadcount[Month 21],PerHeadcount[exp_item],$H1328,PerHeadcount[company_name],$B1328)*AF278)</f>
        <v>0</v>
      </c>
      <c r="AG1328" s="652">
        <f>IF($B1328="",,SUMIFS(PerHeadcount[Month 22],PerHeadcount[exp_item],$H1328,PerHeadcount[company_name],$B1328)*AG278)</f>
        <v>0</v>
      </c>
      <c r="AH1328" s="652">
        <f>IF($B1328="",,SUMIFS(PerHeadcount[Month 23],PerHeadcount[exp_item],$H1328,PerHeadcount[company_name],$B1328)*AH278)</f>
        <v>0</v>
      </c>
      <c r="AI1328" s="652">
        <f>IF($B1328="",,SUMIFS(PerHeadcount[Month 24],PerHeadcount[exp_item],$H1328,PerHeadcount[company_name],$B1328)*AI278)</f>
        <v>0</v>
      </c>
      <c r="AJ1328" s="652">
        <f>IF($B1328="",,SUMIFS(PerHeadcount[Month 25],PerHeadcount[exp_item],$H1328,PerHeadcount[company_name],$B1328)*AJ278)</f>
        <v>0</v>
      </c>
      <c r="AK1328" s="652">
        <f>IF($B1328="",,SUMIFS(PerHeadcount[Month 26],PerHeadcount[exp_item],$H1328,PerHeadcount[company_name],$B1328)*AK278)</f>
        <v>0</v>
      </c>
      <c r="AL1328" s="652">
        <f>IF($B1328="",,SUMIFS(PerHeadcount[Month 27],PerHeadcount[exp_item],$H1328,PerHeadcount[company_name],$B1328)*AL278)</f>
        <v>0</v>
      </c>
      <c r="AM1328" s="652">
        <f>IF($B1328="",,SUMIFS(PerHeadcount[Month 28],PerHeadcount[exp_item],$H1328,PerHeadcount[company_name],$B1328)*AM278)</f>
        <v>0</v>
      </c>
      <c r="AN1328" s="652">
        <f>IF($B1328="",,SUMIFS(PerHeadcount[Month 29],PerHeadcount[exp_item],$H1328,PerHeadcount[company_name],$B1328)*AN278)</f>
        <v>0</v>
      </c>
      <c r="AO1328" s="652">
        <f>IF($B1328="",,SUMIFS(PerHeadcount[Month 30],PerHeadcount[exp_item],$H1328,PerHeadcount[company_name],$B1328)*AO278)</f>
        <v>0</v>
      </c>
      <c r="AP1328" s="652">
        <f>IF($B1328="",,SUMIFS(PerHeadcount[Month 31],PerHeadcount[exp_item],$H1328,PerHeadcount[company_name],$B1328)*AP278)</f>
        <v>0</v>
      </c>
      <c r="AQ1328" s="652">
        <f>IF($B1328="",,SUMIFS(PerHeadcount[Month 32],PerHeadcount[exp_item],$H1328,PerHeadcount[company_name],$B1328)*AQ278)</f>
        <v>0</v>
      </c>
      <c r="AR1328" s="652">
        <f>IF($B1328="",,SUMIFS(PerHeadcount[Month 33],PerHeadcount[exp_item],$H1328,PerHeadcount[company_name],$B1328)*AR278)</f>
        <v>0</v>
      </c>
      <c r="AS1328" s="652">
        <f>IF($B1328="",,SUMIFS(PerHeadcount[Month 34],PerHeadcount[exp_item],$H1328,PerHeadcount[company_name],$B1328)*AS278)</f>
        <v>0</v>
      </c>
      <c r="AT1328" s="652">
        <f>IF($B1328="",,SUMIFS(PerHeadcount[Month 35],PerHeadcount[exp_item],$H1328,PerHeadcount[company_name],$B1328)*AT278)</f>
        <v>0</v>
      </c>
      <c r="AU1328" s="652">
        <f>IF($B1328="",,SUMIFS(PerHeadcount[Month 36],PerHeadcount[exp_item],$H1328,PerHeadcount[company_name],$B1328)*AU278)</f>
        <v>0</v>
      </c>
    </row>
    <row r="1329" spans="1:52" x14ac:dyDescent="0.35">
      <c r="B1329" t="str">
        <f t="shared" ref="B1329:G1329" si="980">IF(B1224="","",B1224)</f>
        <v/>
      </c>
      <c r="C1329" t="str">
        <f t="shared" si="980"/>
        <v/>
      </c>
      <c r="D1329" t="str">
        <f t="shared" si="980"/>
        <v/>
      </c>
      <c r="E1329" t="str">
        <f t="shared" si="980"/>
        <v/>
      </c>
      <c r="F1329" t="str">
        <f t="shared" si="980"/>
        <v/>
      </c>
      <c r="G1329" t="str">
        <f t="shared" si="980"/>
        <v/>
      </c>
      <c r="H1329" t="str">
        <f t="shared" si="949"/>
        <v/>
      </c>
      <c r="J1329" t="str">
        <f>IF($H1329="","",IF(VLOOKUP(H1329,ExpItems[],2,0),H1329&amp;" - "&amp;INDEX(DivisionMapping[category_code],MATCH($D1329&amp;$C1329,DivisionMapping[dept_bu],0)),H1329))</f>
        <v/>
      </c>
      <c r="K1329" t="str">
        <f t="shared" si="952"/>
        <v/>
      </c>
      <c r="L1329" s="652">
        <f>IF($B1329="",,SUMIFS(PerHeadcount[Month 1],PerHeadcount[exp_item],$H1329,PerHeadcount[company_name],$B1329)*L279)</f>
        <v>0</v>
      </c>
      <c r="M1329" s="652">
        <f>IF($B1329="",,SUMIFS(PerHeadcount[Month 2],PerHeadcount[exp_item],$H1329,PerHeadcount[company_name],$B1329)*M279)</f>
        <v>0</v>
      </c>
      <c r="N1329" s="652">
        <f>IF($B1329="",,SUMIFS(PerHeadcount[Month 3],PerHeadcount[exp_item],$H1329,PerHeadcount[company_name],$B1329)*N279)</f>
        <v>0</v>
      </c>
      <c r="O1329" s="652">
        <f>IF($B1329="",,SUMIFS(PerHeadcount[Month 4],PerHeadcount[exp_item],$H1329,PerHeadcount[company_name],$B1329)*O279)</f>
        <v>0</v>
      </c>
      <c r="P1329" s="652">
        <f>IF($B1329="",,SUMIFS(PerHeadcount[Month 5],PerHeadcount[exp_item],$H1329,PerHeadcount[company_name],$B1329)*P279)</f>
        <v>0</v>
      </c>
      <c r="Q1329" s="652">
        <f>IF($B1329="",,SUMIFS(PerHeadcount[Month 6],PerHeadcount[exp_item],$H1329,PerHeadcount[company_name],$B1329)*Q279)</f>
        <v>0</v>
      </c>
      <c r="R1329" s="652">
        <f>IF($B1329="",,SUMIFS(PerHeadcount[Month 7],PerHeadcount[exp_item],$H1329,PerHeadcount[company_name],$B1329)*R279)</f>
        <v>0</v>
      </c>
      <c r="S1329" s="652">
        <f>IF($B1329="",,SUMIFS(PerHeadcount[Month 8],PerHeadcount[exp_item],$H1329,PerHeadcount[company_name],$B1329)*S279)</f>
        <v>0</v>
      </c>
      <c r="T1329" s="652">
        <f>IF($B1329="",,SUMIFS(PerHeadcount[Month 9],PerHeadcount[exp_item],$H1329,PerHeadcount[company_name],$B1329)*T279)</f>
        <v>0</v>
      </c>
      <c r="U1329" s="652">
        <f>IF($B1329="",,SUMIFS(PerHeadcount[Month 10],PerHeadcount[exp_item],$H1329,PerHeadcount[company_name],$B1329)*U279)</f>
        <v>0</v>
      </c>
      <c r="V1329" s="652">
        <f>IF($B1329="",,SUMIFS(PerHeadcount[Month 11],PerHeadcount[exp_item],$H1329,PerHeadcount[company_name],$B1329)*V279)</f>
        <v>0</v>
      </c>
      <c r="W1329" s="652">
        <f>IF($B1329="",,SUMIFS(PerHeadcount[Month 12],PerHeadcount[exp_item],$H1329,PerHeadcount[company_name],$B1329)*W279)</f>
        <v>0</v>
      </c>
      <c r="X1329" s="652">
        <f>IF($B1329="",,SUMIFS(PerHeadcount[Month 13],PerHeadcount[exp_item],$H1329,PerHeadcount[company_name],$B1329)*X279)</f>
        <v>0</v>
      </c>
      <c r="Y1329" s="652">
        <f>IF($B1329="",,SUMIFS(PerHeadcount[Month 14],PerHeadcount[exp_item],$H1329,PerHeadcount[company_name],$B1329)*Y279)</f>
        <v>0</v>
      </c>
      <c r="Z1329" s="652">
        <f>IF($B1329="",,SUMIFS(PerHeadcount[Month 15],PerHeadcount[exp_item],$H1329,PerHeadcount[company_name],$B1329)*Z279)</f>
        <v>0</v>
      </c>
      <c r="AA1329" s="652">
        <f>IF($B1329="",,SUMIFS(PerHeadcount[Month 16],PerHeadcount[exp_item],$H1329,PerHeadcount[company_name],$B1329)*AA279)</f>
        <v>0</v>
      </c>
      <c r="AB1329" s="652">
        <f>IF($B1329="",,SUMIFS(PerHeadcount[Month 17],PerHeadcount[exp_item],$H1329,PerHeadcount[company_name],$B1329)*AB279)</f>
        <v>0</v>
      </c>
      <c r="AC1329" s="652">
        <f>IF($B1329="",,SUMIFS(PerHeadcount[Month 18],PerHeadcount[exp_item],$H1329,PerHeadcount[company_name],$B1329)*AC279)</f>
        <v>0</v>
      </c>
      <c r="AD1329" s="652">
        <f>IF($B1329="",,SUMIFS(PerHeadcount[Month 19],PerHeadcount[exp_item],$H1329,PerHeadcount[company_name],$B1329)*AD279)</f>
        <v>0</v>
      </c>
      <c r="AE1329" s="652">
        <f>IF($B1329="",,SUMIFS(PerHeadcount[Month 20],PerHeadcount[exp_item],$H1329,PerHeadcount[company_name],$B1329)*AE279)</f>
        <v>0</v>
      </c>
      <c r="AF1329" s="652">
        <f>IF($B1329="",,SUMIFS(PerHeadcount[Month 21],PerHeadcount[exp_item],$H1329,PerHeadcount[company_name],$B1329)*AF279)</f>
        <v>0</v>
      </c>
      <c r="AG1329" s="652">
        <f>IF($B1329="",,SUMIFS(PerHeadcount[Month 22],PerHeadcount[exp_item],$H1329,PerHeadcount[company_name],$B1329)*AG279)</f>
        <v>0</v>
      </c>
      <c r="AH1329" s="652">
        <f>IF($B1329="",,SUMIFS(PerHeadcount[Month 23],PerHeadcount[exp_item],$H1329,PerHeadcount[company_name],$B1329)*AH279)</f>
        <v>0</v>
      </c>
      <c r="AI1329" s="652">
        <f>IF($B1329="",,SUMIFS(PerHeadcount[Month 24],PerHeadcount[exp_item],$H1329,PerHeadcount[company_name],$B1329)*AI279)</f>
        <v>0</v>
      </c>
      <c r="AJ1329" s="652">
        <f>IF($B1329="",,SUMIFS(PerHeadcount[Month 25],PerHeadcount[exp_item],$H1329,PerHeadcount[company_name],$B1329)*AJ279)</f>
        <v>0</v>
      </c>
      <c r="AK1329" s="652">
        <f>IF($B1329="",,SUMIFS(PerHeadcount[Month 26],PerHeadcount[exp_item],$H1329,PerHeadcount[company_name],$B1329)*AK279)</f>
        <v>0</v>
      </c>
      <c r="AL1329" s="652">
        <f>IF($B1329="",,SUMIFS(PerHeadcount[Month 27],PerHeadcount[exp_item],$H1329,PerHeadcount[company_name],$B1329)*AL279)</f>
        <v>0</v>
      </c>
      <c r="AM1329" s="652">
        <f>IF($B1329="",,SUMIFS(PerHeadcount[Month 28],PerHeadcount[exp_item],$H1329,PerHeadcount[company_name],$B1329)*AM279)</f>
        <v>0</v>
      </c>
      <c r="AN1329" s="652">
        <f>IF($B1329="",,SUMIFS(PerHeadcount[Month 29],PerHeadcount[exp_item],$H1329,PerHeadcount[company_name],$B1329)*AN279)</f>
        <v>0</v>
      </c>
      <c r="AO1329" s="652">
        <f>IF($B1329="",,SUMIFS(PerHeadcount[Month 30],PerHeadcount[exp_item],$H1329,PerHeadcount[company_name],$B1329)*AO279)</f>
        <v>0</v>
      </c>
      <c r="AP1329" s="652">
        <f>IF($B1329="",,SUMIFS(PerHeadcount[Month 31],PerHeadcount[exp_item],$H1329,PerHeadcount[company_name],$B1329)*AP279)</f>
        <v>0</v>
      </c>
      <c r="AQ1329" s="652">
        <f>IF($B1329="",,SUMIFS(PerHeadcount[Month 32],PerHeadcount[exp_item],$H1329,PerHeadcount[company_name],$B1329)*AQ279)</f>
        <v>0</v>
      </c>
      <c r="AR1329" s="652">
        <f>IF($B1329="",,SUMIFS(PerHeadcount[Month 33],PerHeadcount[exp_item],$H1329,PerHeadcount[company_name],$B1329)*AR279)</f>
        <v>0</v>
      </c>
      <c r="AS1329" s="652">
        <f>IF($B1329="",,SUMIFS(PerHeadcount[Month 34],PerHeadcount[exp_item],$H1329,PerHeadcount[company_name],$B1329)*AS279)</f>
        <v>0</v>
      </c>
      <c r="AT1329" s="652">
        <f>IF($B1329="",,SUMIFS(PerHeadcount[Month 35],PerHeadcount[exp_item],$H1329,PerHeadcount[company_name],$B1329)*AT279)</f>
        <v>0</v>
      </c>
      <c r="AU1329" s="652">
        <f>IF($B1329="",,SUMIFS(PerHeadcount[Month 36],PerHeadcount[exp_item],$H1329,PerHeadcount[company_name],$B1329)*AU279)</f>
        <v>0</v>
      </c>
    </row>
    <row r="1330" spans="1:52" x14ac:dyDescent="0.35">
      <c r="B1330" t="str">
        <f t="shared" ref="B1330:G1330" si="981">IF(B1225="","",B1225)</f>
        <v/>
      </c>
      <c r="C1330" t="str">
        <f t="shared" si="981"/>
        <v/>
      </c>
      <c r="D1330" t="str">
        <f t="shared" si="981"/>
        <v/>
      </c>
      <c r="E1330" t="str">
        <f t="shared" si="981"/>
        <v/>
      </c>
      <c r="F1330" t="str">
        <f t="shared" si="981"/>
        <v/>
      </c>
      <c r="G1330" t="str">
        <f t="shared" si="981"/>
        <v/>
      </c>
      <c r="H1330" t="str">
        <f t="shared" si="949"/>
        <v/>
      </c>
      <c r="J1330" t="str">
        <f>IF($H1330="","",IF(VLOOKUP(H1330,ExpItems[],2,0),H1330&amp;" - "&amp;INDEX(DivisionMapping[category_code],MATCH($D1330&amp;$C1330,DivisionMapping[dept_bu],0)),H1330))</f>
        <v/>
      </c>
      <c r="K1330" t="str">
        <f t="shared" si="952"/>
        <v/>
      </c>
      <c r="L1330" s="652">
        <f>IF($B1330="",,SUMIFS(PerHeadcount[Month 1],PerHeadcount[exp_item],$H1330,PerHeadcount[company_name],$B1330)*L280)</f>
        <v>0</v>
      </c>
      <c r="M1330" s="652">
        <f>IF($B1330="",,SUMIFS(PerHeadcount[Month 2],PerHeadcount[exp_item],$H1330,PerHeadcount[company_name],$B1330)*M280)</f>
        <v>0</v>
      </c>
      <c r="N1330" s="652">
        <f>IF($B1330="",,SUMIFS(PerHeadcount[Month 3],PerHeadcount[exp_item],$H1330,PerHeadcount[company_name],$B1330)*N280)</f>
        <v>0</v>
      </c>
      <c r="O1330" s="652">
        <f>IF($B1330="",,SUMIFS(PerHeadcount[Month 4],PerHeadcount[exp_item],$H1330,PerHeadcount[company_name],$B1330)*O280)</f>
        <v>0</v>
      </c>
      <c r="P1330" s="652">
        <f>IF($B1330="",,SUMIFS(PerHeadcount[Month 5],PerHeadcount[exp_item],$H1330,PerHeadcount[company_name],$B1330)*P280)</f>
        <v>0</v>
      </c>
      <c r="Q1330" s="652">
        <f>IF($B1330="",,SUMIFS(PerHeadcount[Month 6],PerHeadcount[exp_item],$H1330,PerHeadcount[company_name],$B1330)*Q280)</f>
        <v>0</v>
      </c>
      <c r="R1330" s="652">
        <f>IF($B1330="",,SUMIFS(PerHeadcount[Month 7],PerHeadcount[exp_item],$H1330,PerHeadcount[company_name],$B1330)*R280)</f>
        <v>0</v>
      </c>
      <c r="S1330" s="652">
        <f>IF($B1330="",,SUMIFS(PerHeadcount[Month 8],PerHeadcount[exp_item],$H1330,PerHeadcount[company_name],$B1330)*S280)</f>
        <v>0</v>
      </c>
      <c r="T1330" s="652">
        <f>IF($B1330="",,SUMIFS(PerHeadcount[Month 9],PerHeadcount[exp_item],$H1330,PerHeadcount[company_name],$B1330)*T280)</f>
        <v>0</v>
      </c>
      <c r="U1330" s="652">
        <f>IF($B1330="",,SUMIFS(PerHeadcount[Month 10],PerHeadcount[exp_item],$H1330,PerHeadcount[company_name],$B1330)*U280)</f>
        <v>0</v>
      </c>
      <c r="V1330" s="652">
        <f>IF($B1330="",,SUMIFS(PerHeadcount[Month 11],PerHeadcount[exp_item],$H1330,PerHeadcount[company_name],$B1330)*V280)</f>
        <v>0</v>
      </c>
      <c r="W1330" s="652">
        <f>IF($B1330="",,SUMIFS(PerHeadcount[Month 12],PerHeadcount[exp_item],$H1330,PerHeadcount[company_name],$B1330)*W280)</f>
        <v>0</v>
      </c>
      <c r="X1330" s="652">
        <f>IF($B1330="",,SUMIFS(PerHeadcount[Month 13],PerHeadcount[exp_item],$H1330,PerHeadcount[company_name],$B1330)*X280)</f>
        <v>0</v>
      </c>
      <c r="Y1330" s="652">
        <f>IF($B1330="",,SUMIFS(PerHeadcount[Month 14],PerHeadcount[exp_item],$H1330,PerHeadcount[company_name],$B1330)*Y280)</f>
        <v>0</v>
      </c>
      <c r="Z1330" s="652">
        <f>IF($B1330="",,SUMIFS(PerHeadcount[Month 15],PerHeadcount[exp_item],$H1330,PerHeadcount[company_name],$B1330)*Z280)</f>
        <v>0</v>
      </c>
      <c r="AA1330" s="652">
        <f>IF($B1330="",,SUMIFS(PerHeadcount[Month 16],PerHeadcount[exp_item],$H1330,PerHeadcount[company_name],$B1330)*AA280)</f>
        <v>0</v>
      </c>
      <c r="AB1330" s="652">
        <f>IF($B1330="",,SUMIFS(PerHeadcount[Month 17],PerHeadcount[exp_item],$H1330,PerHeadcount[company_name],$B1330)*AB280)</f>
        <v>0</v>
      </c>
      <c r="AC1330" s="652">
        <f>IF($B1330="",,SUMIFS(PerHeadcount[Month 18],PerHeadcount[exp_item],$H1330,PerHeadcount[company_name],$B1330)*AC280)</f>
        <v>0</v>
      </c>
      <c r="AD1330" s="652">
        <f>IF($B1330="",,SUMIFS(PerHeadcount[Month 19],PerHeadcount[exp_item],$H1330,PerHeadcount[company_name],$B1330)*AD280)</f>
        <v>0</v>
      </c>
      <c r="AE1330" s="652">
        <f>IF($B1330="",,SUMIFS(PerHeadcount[Month 20],PerHeadcount[exp_item],$H1330,PerHeadcount[company_name],$B1330)*AE280)</f>
        <v>0</v>
      </c>
      <c r="AF1330" s="652">
        <f>IF($B1330="",,SUMIFS(PerHeadcount[Month 21],PerHeadcount[exp_item],$H1330,PerHeadcount[company_name],$B1330)*AF280)</f>
        <v>0</v>
      </c>
      <c r="AG1330" s="652">
        <f>IF($B1330="",,SUMIFS(PerHeadcount[Month 22],PerHeadcount[exp_item],$H1330,PerHeadcount[company_name],$B1330)*AG280)</f>
        <v>0</v>
      </c>
      <c r="AH1330" s="652">
        <f>IF($B1330="",,SUMIFS(PerHeadcount[Month 23],PerHeadcount[exp_item],$H1330,PerHeadcount[company_name],$B1330)*AH280)</f>
        <v>0</v>
      </c>
      <c r="AI1330" s="652">
        <f>IF($B1330="",,SUMIFS(PerHeadcount[Month 24],PerHeadcount[exp_item],$H1330,PerHeadcount[company_name],$B1330)*AI280)</f>
        <v>0</v>
      </c>
      <c r="AJ1330" s="652">
        <f>IF($B1330="",,SUMIFS(PerHeadcount[Month 25],PerHeadcount[exp_item],$H1330,PerHeadcount[company_name],$B1330)*AJ280)</f>
        <v>0</v>
      </c>
      <c r="AK1330" s="652">
        <f>IF($B1330="",,SUMIFS(PerHeadcount[Month 26],PerHeadcount[exp_item],$H1330,PerHeadcount[company_name],$B1330)*AK280)</f>
        <v>0</v>
      </c>
      <c r="AL1330" s="652">
        <f>IF($B1330="",,SUMIFS(PerHeadcount[Month 27],PerHeadcount[exp_item],$H1330,PerHeadcount[company_name],$B1330)*AL280)</f>
        <v>0</v>
      </c>
      <c r="AM1330" s="652">
        <f>IF($B1330="",,SUMIFS(PerHeadcount[Month 28],PerHeadcount[exp_item],$H1330,PerHeadcount[company_name],$B1330)*AM280)</f>
        <v>0</v>
      </c>
      <c r="AN1330" s="652">
        <f>IF($B1330="",,SUMIFS(PerHeadcount[Month 29],PerHeadcount[exp_item],$H1330,PerHeadcount[company_name],$B1330)*AN280)</f>
        <v>0</v>
      </c>
      <c r="AO1330" s="652">
        <f>IF($B1330="",,SUMIFS(PerHeadcount[Month 30],PerHeadcount[exp_item],$H1330,PerHeadcount[company_name],$B1330)*AO280)</f>
        <v>0</v>
      </c>
      <c r="AP1330" s="652">
        <f>IF($B1330="",,SUMIFS(PerHeadcount[Month 31],PerHeadcount[exp_item],$H1330,PerHeadcount[company_name],$B1330)*AP280)</f>
        <v>0</v>
      </c>
      <c r="AQ1330" s="652">
        <f>IF($B1330="",,SUMIFS(PerHeadcount[Month 32],PerHeadcount[exp_item],$H1330,PerHeadcount[company_name],$B1330)*AQ280)</f>
        <v>0</v>
      </c>
      <c r="AR1330" s="652">
        <f>IF($B1330="",,SUMIFS(PerHeadcount[Month 33],PerHeadcount[exp_item],$H1330,PerHeadcount[company_name],$B1330)*AR280)</f>
        <v>0</v>
      </c>
      <c r="AS1330" s="652">
        <f>IF($B1330="",,SUMIFS(PerHeadcount[Month 34],PerHeadcount[exp_item],$H1330,PerHeadcount[company_name],$B1330)*AS280)</f>
        <v>0</v>
      </c>
      <c r="AT1330" s="652">
        <f>IF($B1330="",,SUMIFS(PerHeadcount[Month 35],PerHeadcount[exp_item],$H1330,PerHeadcount[company_name],$B1330)*AT280)</f>
        <v>0</v>
      </c>
      <c r="AU1330" s="652">
        <f>IF($B1330="",,SUMIFS(PerHeadcount[Month 36],PerHeadcount[exp_item],$H1330,PerHeadcount[company_name],$B1330)*AU280)</f>
        <v>0</v>
      </c>
    </row>
    <row r="1331" spans="1:52" x14ac:dyDescent="0.35">
      <c r="B1331" t="str">
        <f t="shared" ref="B1331:G1331" si="982">IF(B1226="","",B1226)</f>
        <v/>
      </c>
      <c r="C1331" t="str">
        <f t="shared" si="982"/>
        <v/>
      </c>
      <c r="D1331" t="str">
        <f t="shared" si="982"/>
        <v/>
      </c>
      <c r="E1331" t="str">
        <f t="shared" si="982"/>
        <v/>
      </c>
      <c r="F1331" t="str">
        <f t="shared" si="982"/>
        <v/>
      </c>
      <c r="G1331" t="str">
        <f t="shared" si="982"/>
        <v/>
      </c>
      <c r="H1331" t="str">
        <f t="shared" si="949"/>
        <v/>
      </c>
      <c r="J1331" t="str">
        <f>IF($H1331="","",IF(VLOOKUP(H1331,ExpItems[],2,0),H1331&amp;" - "&amp;INDEX(DivisionMapping[category_code],MATCH($D1331&amp;$C1331,DivisionMapping[dept_bu],0)),H1331))</f>
        <v/>
      </c>
      <c r="K1331" t="str">
        <f t="shared" si="952"/>
        <v/>
      </c>
      <c r="L1331" s="652">
        <f>IF($B1331="",,SUMIFS(PerHeadcount[Month 1],PerHeadcount[exp_item],$H1331,PerHeadcount[company_name],$B1331)*L281)</f>
        <v>0</v>
      </c>
      <c r="M1331" s="652">
        <f>IF($B1331="",,SUMIFS(PerHeadcount[Month 2],PerHeadcount[exp_item],$H1331,PerHeadcount[company_name],$B1331)*M281)</f>
        <v>0</v>
      </c>
      <c r="N1331" s="652">
        <f>IF($B1331="",,SUMIFS(PerHeadcount[Month 3],PerHeadcount[exp_item],$H1331,PerHeadcount[company_name],$B1331)*N281)</f>
        <v>0</v>
      </c>
      <c r="O1331" s="652">
        <f>IF($B1331="",,SUMIFS(PerHeadcount[Month 4],PerHeadcount[exp_item],$H1331,PerHeadcount[company_name],$B1331)*O281)</f>
        <v>0</v>
      </c>
      <c r="P1331" s="652">
        <f>IF($B1331="",,SUMIFS(PerHeadcount[Month 5],PerHeadcount[exp_item],$H1331,PerHeadcount[company_name],$B1331)*P281)</f>
        <v>0</v>
      </c>
      <c r="Q1331" s="652">
        <f>IF($B1331="",,SUMIFS(PerHeadcount[Month 6],PerHeadcount[exp_item],$H1331,PerHeadcount[company_name],$B1331)*Q281)</f>
        <v>0</v>
      </c>
      <c r="R1331" s="652">
        <f>IF($B1331="",,SUMIFS(PerHeadcount[Month 7],PerHeadcount[exp_item],$H1331,PerHeadcount[company_name],$B1331)*R281)</f>
        <v>0</v>
      </c>
      <c r="S1331" s="652">
        <f>IF($B1331="",,SUMIFS(PerHeadcount[Month 8],PerHeadcount[exp_item],$H1331,PerHeadcount[company_name],$B1331)*S281)</f>
        <v>0</v>
      </c>
      <c r="T1331" s="652">
        <f>IF($B1331="",,SUMIFS(PerHeadcount[Month 9],PerHeadcount[exp_item],$H1331,PerHeadcount[company_name],$B1331)*T281)</f>
        <v>0</v>
      </c>
      <c r="U1331" s="652">
        <f>IF($B1331="",,SUMIFS(PerHeadcount[Month 10],PerHeadcount[exp_item],$H1331,PerHeadcount[company_name],$B1331)*U281)</f>
        <v>0</v>
      </c>
      <c r="V1331" s="652">
        <f>IF($B1331="",,SUMIFS(PerHeadcount[Month 11],PerHeadcount[exp_item],$H1331,PerHeadcount[company_name],$B1331)*V281)</f>
        <v>0</v>
      </c>
      <c r="W1331" s="652">
        <f>IF($B1331="",,SUMIFS(PerHeadcount[Month 12],PerHeadcount[exp_item],$H1331,PerHeadcount[company_name],$B1331)*W281)</f>
        <v>0</v>
      </c>
      <c r="X1331" s="652">
        <f>IF($B1331="",,SUMIFS(PerHeadcount[Month 13],PerHeadcount[exp_item],$H1331,PerHeadcount[company_name],$B1331)*X281)</f>
        <v>0</v>
      </c>
      <c r="Y1331" s="652">
        <f>IF($B1331="",,SUMIFS(PerHeadcount[Month 14],PerHeadcount[exp_item],$H1331,PerHeadcount[company_name],$B1331)*Y281)</f>
        <v>0</v>
      </c>
      <c r="Z1331" s="652">
        <f>IF($B1331="",,SUMIFS(PerHeadcount[Month 15],PerHeadcount[exp_item],$H1331,PerHeadcount[company_name],$B1331)*Z281)</f>
        <v>0</v>
      </c>
      <c r="AA1331" s="652">
        <f>IF($B1331="",,SUMIFS(PerHeadcount[Month 16],PerHeadcount[exp_item],$H1331,PerHeadcount[company_name],$B1331)*AA281)</f>
        <v>0</v>
      </c>
      <c r="AB1331" s="652">
        <f>IF($B1331="",,SUMIFS(PerHeadcount[Month 17],PerHeadcount[exp_item],$H1331,PerHeadcount[company_name],$B1331)*AB281)</f>
        <v>0</v>
      </c>
      <c r="AC1331" s="652">
        <f>IF($B1331="",,SUMIFS(PerHeadcount[Month 18],PerHeadcount[exp_item],$H1331,PerHeadcount[company_name],$B1331)*AC281)</f>
        <v>0</v>
      </c>
      <c r="AD1331" s="652">
        <f>IF($B1331="",,SUMIFS(PerHeadcount[Month 19],PerHeadcount[exp_item],$H1331,PerHeadcount[company_name],$B1331)*AD281)</f>
        <v>0</v>
      </c>
      <c r="AE1331" s="652">
        <f>IF($B1331="",,SUMIFS(PerHeadcount[Month 20],PerHeadcount[exp_item],$H1331,PerHeadcount[company_name],$B1331)*AE281)</f>
        <v>0</v>
      </c>
      <c r="AF1331" s="652">
        <f>IF($B1331="",,SUMIFS(PerHeadcount[Month 21],PerHeadcount[exp_item],$H1331,PerHeadcount[company_name],$B1331)*AF281)</f>
        <v>0</v>
      </c>
      <c r="AG1331" s="652">
        <f>IF($B1331="",,SUMIFS(PerHeadcount[Month 22],PerHeadcount[exp_item],$H1331,PerHeadcount[company_name],$B1331)*AG281)</f>
        <v>0</v>
      </c>
      <c r="AH1331" s="652">
        <f>IF($B1331="",,SUMIFS(PerHeadcount[Month 23],PerHeadcount[exp_item],$H1331,PerHeadcount[company_name],$B1331)*AH281)</f>
        <v>0</v>
      </c>
      <c r="AI1331" s="652">
        <f>IF($B1331="",,SUMIFS(PerHeadcount[Month 24],PerHeadcount[exp_item],$H1331,PerHeadcount[company_name],$B1331)*AI281)</f>
        <v>0</v>
      </c>
      <c r="AJ1331" s="652">
        <f>IF($B1331="",,SUMIFS(PerHeadcount[Month 25],PerHeadcount[exp_item],$H1331,PerHeadcount[company_name],$B1331)*AJ281)</f>
        <v>0</v>
      </c>
      <c r="AK1331" s="652">
        <f>IF($B1331="",,SUMIFS(PerHeadcount[Month 26],PerHeadcount[exp_item],$H1331,PerHeadcount[company_name],$B1331)*AK281)</f>
        <v>0</v>
      </c>
      <c r="AL1331" s="652">
        <f>IF($B1331="",,SUMIFS(PerHeadcount[Month 27],PerHeadcount[exp_item],$H1331,PerHeadcount[company_name],$B1331)*AL281)</f>
        <v>0</v>
      </c>
      <c r="AM1331" s="652">
        <f>IF($B1331="",,SUMIFS(PerHeadcount[Month 28],PerHeadcount[exp_item],$H1331,PerHeadcount[company_name],$B1331)*AM281)</f>
        <v>0</v>
      </c>
      <c r="AN1331" s="652">
        <f>IF($B1331="",,SUMIFS(PerHeadcount[Month 29],PerHeadcount[exp_item],$H1331,PerHeadcount[company_name],$B1331)*AN281)</f>
        <v>0</v>
      </c>
      <c r="AO1331" s="652">
        <f>IF($B1331="",,SUMIFS(PerHeadcount[Month 30],PerHeadcount[exp_item],$H1331,PerHeadcount[company_name],$B1331)*AO281)</f>
        <v>0</v>
      </c>
      <c r="AP1331" s="652">
        <f>IF($B1331="",,SUMIFS(PerHeadcount[Month 31],PerHeadcount[exp_item],$H1331,PerHeadcount[company_name],$B1331)*AP281)</f>
        <v>0</v>
      </c>
      <c r="AQ1331" s="652">
        <f>IF($B1331="",,SUMIFS(PerHeadcount[Month 32],PerHeadcount[exp_item],$H1331,PerHeadcount[company_name],$B1331)*AQ281)</f>
        <v>0</v>
      </c>
      <c r="AR1331" s="652">
        <f>IF($B1331="",,SUMIFS(PerHeadcount[Month 33],PerHeadcount[exp_item],$H1331,PerHeadcount[company_name],$B1331)*AR281)</f>
        <v>0</v>
      </c>
      <c r="AS1331" s="652">
        <f>IF($B1331="",,SUMIFS(PerHeadcount[Month 34],PerHeadcount[exp_item],$H1331,PerHeadcount[company_name],$B1331)*AS281)</f>
        <v>0</v>
      </c>
      <c r="AT1331" s="652">
        <f>IF($B1331="",,SUMIFS(PerHeadcount[Month 35],PerHeadcount[exp_item],$H1331,PerHeadcount[company_name],$B1331)*AT281)</f>
        <v>0</v>
      </c>
      <c r="AU1331" s="652">
        <f>IF($B1331="",,SUMIFS(PerHeadcount[Month 36],PerHeadcount[exp_item],$H1331,PerHeadcount[company_name],$B1331)*AU281)</f>
        <v>0</v>
      </c>
    </row>
    <row r="1332" spans="1:52" x14ac:dyDescent="0.35">
      <c r="B1332" t="str">
        <f t="shared" ref="B1332:G1332" si="983">IF(B1227="","",B1227)</f>
        <v/>
      </c>
      <c r="C1332" t="str">
        <f t="shared" si="983"/>
        <v/>
      </c>
      <c r="D1332" t="str">
        <f t="shared" si="983"/>
        <v/>
      </c>
      <c r="E1332" t="str">
        <f t="shared" si="983"/>
        <v/>
      </c>
      <c r="F1332" t="str">
        <f t="shared" si="983"/>
        <v/>
      </c>
      <c r="G1332" t="str">
        <f t="shared" si="983"/>
        <v/>
      </c>
      <c r="H1332" t="str">
        <f t="shared" si="949"/>
        <v/>
      </c>
      <c r="J1332" t="str">
        <f>IF($H1332="","",IF(VLOOKUP(H1332,ExpItems[],2,0),H1332&amp;" - "&amp;INDEX(DivisionMapping[category_code],MATCH($D1332&amp;$C1332,DivisionMapping[dept_bu],0)),H1332))</f>
        <v/>
      </c>
      <c r="K1332" t="str">
        <f t="shared" si="952"/>
        <v/>
      </c>
      <c r="L1332" s="652">
        <f>IF($B1332="",,SUMIFS(PerHeadcount[Month 1],PerHeadcount[exp_item],$H1332,PerHeadcount[company_name],$B1332)*L282)</f>
        <v>0</v>
      </c>
      <c r="M1332" s="652">
        <f>IF($B1332="",,SUMIFS(PerHeadcount[Month 2],PerHeadcount[exp_item],$H1332,PerHeadcount[company_name],$B1332)*M282)</f>
        <v>0</v>
      </c>
      <c r="N1332" s="652">
        <f>IF($B1332="",,SUMIFS(PerHeadcount[Month 3],PerHeadcount[exp_item],$H1332,PerHeadcount[company_name],$B1332)*N282)</f>
        <v>0</v>
      </c>
      <c r="O1332" s="652">
        <f>IF($B1332="",,SUMIFS(PerHeadcount[Month 4],PerHeadcount[exp_item],$H1332,PerHeadcount[company_name],$B1332)*O282)</f>
        <v>0</v>
      </c>
      <c r="P1332" s="652">
        <f>IF($B1332="",,SUMIFS(PerHeadcount[Month 5],PerHeadcount[exp_item],$H1332,PerHeadcount[company_name],$B1332)*P282)</f>
        <v>0</v>
      </c>
      <c r="Q1332" s="652">
        <f>IF($B1332="",,SUMIFS(PerHeadcount[Month 6],PerHeadcount[exp_item],$H1332,PerHeadcount[company_name],$B1332)*Q282)</f>
        <v>0</v>
      </c>
      <c r="R1332" s="652">
        <f>IF($B1332="",,SUMIFS(PerHeadcount[Month 7],PerHeadcount[exp_item],$H1332,PerHeadcount[company_name],$B1332)*R282)</f>
        <v>0</v>
      </c>
      <c r="S1332" s="652">
        <f>IF($B1332="",,SUMIFS(PerHeadcount[Month 8],PerHeadcount[exp_item],$H1332,PerHeadcount[company_name],$B1332)*S282)</f>
        <v>0</v>
      </c>
      <c r="T1332" s="652">
        <f>IF($B1332="",,SUMIFS(PerHeadcount[Month 9],PerHeadcount[exp_item],$H1332,PerHeadcount[company_name],$B1332)*T282)</f>
        <v>0</v>
      </c>
      <c r="U1332" s="652">
        <f>IF($B1332="",,SUMIFS(PerHeadcount[Month 10],PerHeadcount[exp_item],$H1332,PerHeadcount[company_name],$B1332)*U282)</f>
        <v>0</v>
      </c>
      <c r="V1332" s="652">
        <f>IF($B1332="",,SUMIFS(PerHeadcount[Month 11],PerHeadcount[exp_item],$H1332,PerHeadcount[company_name],$B1332)*V282)</f>
        <v>0</v>
      </c>
      <c r="W1332" s="652">
        <f>IF($B1332="",,SUMIFS(PerHeadcount[Month 12],PerHeadcount[exp_item],$H1332,PerHeadcount[company_name],$B1332)*W282)</f>
        <v>0</v>
      </c>
      <c r="X1332" s="652">
        <f>IF($B1332="",,SUMIFS(PerHeadcount[Month 13],PerHeadcount[exp_item],$H1332,PerHeadcount[company_name],$B1332)*X282)</f>
        <v>0</v>
      </c>
      <c r="Y1332" s="652">
        <f>IF($B1332="",,SUMIFS(PerHeadcount[Month 14],PerHeadcount[exp_item],$H1332,PerHeadcount[company_name],$B1332)*Y282)</f>
        <v>0</v>
      </c>
      <c r="Z1332" s="652">
        <f>IF($B1332="",,SUMIFS(PerHeadcount[Month 15],PerHeadcount[exp_item],$H1332,PerHeadcount[company_name],$B1332)*Z282)</f>
        <v>0</v>
      </c>
      <c r="AA1332" s="652">
        <f>IF($B1332="",,SUMIFS(PerHeadcount[Month 16],PerHeadcount[exp_item],$H1332,PerHeadcount[company_name],$B1332)*AA282)</f>
        <v>0</v>
      </c>
      <c r="AB1332" s="652">
        <f>IF($B1332="",,SUMIFS(PerHeadcount[Month 17],PerHeadcount[exp_item],$H1332,PerHeadcount[company_name],$B1332)*AB282)</f>
        <v>0</v>
      </c>
      <c r="AC1332" s="652">
        <f>IF($B1332="",,SUMIFS(PerHeadcount[Month 18],PerHeadcount[exp_item],$H1332,PerHeadcount[company_name],$B1332)*AC282)</f>
        <v>0</v>
      </c>
      <c r="AD1332" s="652">
        <f>IF($B1332="",,SUMIFS(PerHeadcount[Month 19],PerHeadcount[exp_item],$H1332,PerHeadcount[company_name],$B1332)*AD282)</f>
        <v>0</v>
      </c>
      <c r="AE1332" s="652">
        <f>IF($B1332="",,SUMIFS(PerHeadcount[Month 20],PerHeadcount[exp_item],$H1332,PerHeadcount[company_name],$B1332)*AE282)</f>
        <v>0</v>
      </c>
      <c r="AF1332" s="652">
        <f>IF($B1332="",,SUMIFS(PerHeadcount[Month 21],PerHeadcount[exp_item],$H1332,PerHeadcount[company_name],$B1332)*AF282)</f>
        <v>0</v>
      </c>
      <c r="AG1332" s="652">
        <f>IF($B1332="",,SUMIFS(PerHeadcount[Month 22],PerHeadcount[exp_item],$H1332,PerHeadcount[company_name],$B1332)*AG282)</f>
        <v>0</v>
      </c>
      <c r="AH1332" s="652">
        <f>IF($B1332="",,SUMIFS(PerHeadcount[Month 23],PerHeadcount[exp_item],$H1332,PerHeadcount[company_name],$B1332)*AH282)</f>
        <v>0</v>
      </c>
      <c r="AI1332" s="652">
        <f>IF($B1332="",,SUMIFS(PerHeadcount[Month 24],PerHeadcount[exp_item],$H1332,PerHeadcount[company_name],$B1332)*AI282)</f>
        <v>0</v>
      </c>
      <c r="AJ1332" s="652">
        <f>IF($B1332="",,SUMIFS(PerHeadcount[Month 25],PerHeadcount[exp_item],$H1332,PerHeadcount[company_name],$B1332)*AJ282)</f>
        <v>0</v>
      </c>
      <c r="AK1332" s="652">
        <f>IF($B1332="",,SUMIFS(PerHeadcount[Month 26],PerHeadcount[exp_item],$H1332,PerHeadcount[company_name],$B1332)*AK282)</f>
        <v>0</v>
      </c>
      <c r="AL1332" s="652">
        <f>IF($B1332="",,SUMIFS(PerHeadcount[Month 27],PerHeadcount[exp_item],$H1332,PerHeadcount[company_name],$B1332)*AL282)</f>
        <v>0</v>
      </c>
      <c r="AM1332" s="652">
        <f>IF($B1332="",,SUMIFS(PerHeadcount[Month 28],PerHeadcount[exp_item],$H1332,PerHeadcount[company_name],$B1332)*AM282)</f>
        <v>0</v>
      </c>
      <c r="AN1332" s="652">
        <f>IF($B1332="",,SUMIFS(PerHeadcount[Month 29],PerHeadcount[exp_item],$H1332,PerHeadcount[company_name],$B1332)*AN282)</f>
        <v>0</v>
      </c>
      <c r="AO1332" s="652">
        <f>IF($B1332="",,SUMIFS(PerHeadcount[Month 30],PerHeadcount[exp_item],$H1332,PerHeadcount[company_name],$B1332)*AO282)</f>
        <v>0</v>
      </c>
      <c r="AP1332" s="652">
        <f>IF($B1332="",,SUMIFS(PerHeadcount[Month 31],PerHeadcount[exp_item],$H1332,PerHeadcount[company_name],$B1332)*AP282)</f>
        <v>0</v>
      </c>
      <c r="AQ1332" s="652">
        <f>IF($B1332="",,SUMIFS(PerHeadcount[Month 32],PerHeadcount[exp_item],$H1332,PerHeadcount[company_name],$B1332)*AQ282)</f>
        <v>0</v>
      </c>
      <c r="AR1332" s="652">
        <f>IF($B1332="",,SUMIFS(PerHeadcount[Month 33],PerHeadcount[exp_item],$H1332,PerHeadcount[company_name],$B1332)*AR282)</f>
        <v>0</v>
      </c>
      <c r="AS1332" s="652">
        <f>IF($B1332="",,SUMIFS(PerHeadcount[Month 34],PerHeadcount[exp_item],$H1332,PerHeadcount[company_name],$B1332)*AS282)</f>
        <v>0</v>
      </c>
      <c r="AT1332" s="652">
        <f>IF($B1332="",,SUMIFS(PerHeadcount[Month 35],PerHeadcount[exp_item],$H1332,PerHeadcount[company_name],$B1332)*AT282)</f>
        <v>0</v>
      </c>
      <c r="AU1332" s="652">
        <f>IF($B1332="",,SUMIFS(PerHeadcount[Month 36],PerHeadcount[exp_item],$H1332,PerHeadcount[company_name],$B1332)*AU282)</f>
        <v>0</v>
      </c>
    </row>
    <row r="1333" spans="1:52" x14ac:dyDescent="0.35">
      <c r="B1333" t="str">
        <f t="shared" ref="B1333:G1333" si="984">IF(B1228="","",B1228)</f>
        <v/>
      </c>
      <c r="C1333" t="str">
        <f t="shared" si="984"/>
        <v/>
      </c>
      <c r="D1333" t="str">
        <f t="shared" si="984"/>
        <v/>
      </c>
      <c r="E1333" t="str">
        <f t="shared" si="984"/>
        <v/>
      </c>
      <c r="F1333" t="str">
        <f t="shared" si="984"/>
        <v/>
      </c>
      <c r="G1333" t="str">
        <f t="shared" si="984"/>
        <v/>
      </c>
      <c r="H1333" t="str">
        <f t="shared" si="949"/>
        <v/>
      </c>
      <c r="J1333" t="str">
        <f>IF($H1333="","",IF(VLOOKUP(H1333,ExpItems[],2,0),H1333&amp;" - "&amp;INDEX(DivisionMapping[category_code],MATCH($D1333&amp;$C1333,DivisionMapping[dept_bu],0)),H1333))</f>
        <v/>
      </c>
      <c r="K1333" t="str">
        <f t="shared" si="952"/>
        <v/>
      </c>
      <c r="L1333" s="652">
        <f>IF($B1333="",,SUMIFS(PerHeadcount[Month 1],PerHeadcount[exp_item],$H1333,PerHeadcount[company_name],$B1333)*L283)</f>
        <v>0</v>
      </c>
      <c r="M1333" s="652">
        <f>IF($B1333="",,SUMIFS(PerHeadcount[Month 2],PerHeadcount[exp_item],$H1333,PerHeadcount[company_name],$B1333)*M283)</f>
        <v>0</v>
      </c>
      <c r="N1333" s="652">
        <f>IF($B1333="",,SUMIFS(PerHeadcount[Month 3],PerHeadcount[exp_item],$H1333,PerHeadcount[company_name],$B1333)*N283)</f>
        <v>0</v>
      </c>
      <c r="O1333" s="652">
        <f>IF($B1333="",,SUMIFS(PerHeadcount[Month 4],PerHeadcount[exp_item],$H1333,PerHeadcount[company_name],$B1333)*O283)</f>
        <v>0</v>
      </c>
      <c r="P1333" s="652">
        <f>IF($B1333="",,SUMIFS(PerHeadcount[Month 5],PerHeadcount[exp_item],$H1333,PerHeadcount[company_name],$B1333)*P283)</f>
        <v>0</v>
      </c>
      <c r="Q1333" s="652">
        <f>IF($B1333="",,SUMIFS(PerHeadcount[Month 6],PerHeadcount[exp_item],$H1333,PerHeadcount[company_name],$B1333)*Q283)</f>
        <v>0</v>
      </c>
      <c r="R1333" s="652">
        <f>IF($B1333="",,SUMIFS(PerHeadcount[Month 7],PerHeadcount[exp_item],$H1333,PerHeadcount[company_name],$B1333)*R283)</f>
        <v>0</v>
      </c>
      <c r="S1333" s="652">
        <f>IF($B1333="",,SUMIFS(PerHeadcount[Month 8],PerHeadcount[exp_item],$H1333,PerHeadcount[company_name],$B1333)*S283)</f>
        <v>0</v>
      </c>
      <c r="T1333" s="652">
        <f>IF($B1333="",,SUMIFS(PerHeadcount[Month 9],PerHeadcount[exp_item],$H1333,PerHeadcount[company_name],$B1333)*T283)</f>
        <v>0</v>
      </c>
      <c r="U1333" s="652">
        <f>IF($B1333="",,SUMIFS(PerHeadcount[Month 10],PerHeadcount[exp_item],$H1333,PerHeadcount[company_name],$B1333)*U283)</f>
        <v>0</v>
      </c>
      <c r="V1333" s="652">
        <f>IF($B1333="",,SUMIFS(PerHeadcount[Month 11],PerHeadcount[exp_item],$H1333,PerHeadcount[company_name],$B1333)*V283)</f>
        <v>0</v>
      </c>
      <c r="W1333" s="652">
        <f>IF($B1333="",,SUMIFS(PerHeadcount[Month 12],PerHeadcount[exp_item],$H1333,PerHeadcount[company_name],$B1333)*W283)</f>
        <v>0</v>
      </c>
      <c r="X1333" s="652">
        <f>IF($B1333="",,SUMIFS(PerHeadcount[Month 13],PerHeadcount[exp_item],$H1333,PerHeadcount[company_name],$B1333)*X283)</f>
        <v>0</v>
      </c>
      <c r="Y1333" s="652">
        <f>IF($B1333="",,SUMIFS(PerHeadcount[Month 14],PerHeadcount[exp_item],$H1333,PerHeadcount[company_name],$B1333)*Y283)</f>
        <v>0</v>
      </c>
      <c r="Z1333" s="652">
        <f>IF($B1333="",,SUMIFS(PerHeadcount[Month 15],PerHeadcount[exp_item],$H1333,PerHeadcount[company_name],$B1333)*Z283)</f>
        <v>0</v>
      </c>
      <c r="AA1333" s="652">
        <f>IF($B1333="",,SUMIFS(PerHeadcount[Month 16],PerHeadcount[exp_item],$H1333,PerHeadcount[company_name],$B1333)*AA283)</f>
        <v>0</v>
      </c>
      <c r="AB1333" s="652">
        <f>IF($B1333="",,SUMIFS(PerHeadcount[Month 17],PerHeadcount[exp_item],$H1333,PerHeadcount[company_name],$B1333)*AB283)</f>
        <v>0</v>
      </c>
      <c r="AC1333" s="652">
        <f>IF($B1333="",,SUMIFS(PerHeadcount[Month 18],PerHeadcount[exp_item],$H1333,PerHeadcount[company_name],$B1333)*AC283)</f>
        <v>0</v>
      </c>
      <c r="AD1333" s="652">
        <f>IF($B1333="",,SUMIFS(PerHeadcount[Month 19],PerHeadcount[exp_item],$H1333,PerHeadcount[company_name],$B1333)*AD283)</f>
        <v>0</v>
      </c>
      <c r="AE1333" s="652">
        <f>IF($B1333="",,SUMIFS(PerHeadcount[Month 20],PerHeadcount[exp_item],$H1333,PerHeadcount[company_name],$B1333)*AE283)</f>
        <v>0</v>
      </c>
      <c r="AF1333" s="652">
        <f>IF($B1333="",,SUMIFS(PerHeadcount[Month 21],PerHeadcount[exp_item],$H1333,PerHeadcount[company_name],$B1333)*AF283)</f>
        <v>0</v>
      </c>
      <c r="AG1333" s="652">
        <f>IF($B1333="",,SUMIFS(PerHeadcount[Month 22],PerHeadcount[exp_item],$H1333,PerHeadcount[company_name],$B1333)*AG283)</f>
        <v>0</v>
      </c>
      <c r="AH1333" s="652">
        <f>IF($B1333="",,SUMIFS(PerHeadcount[Month 23],PerHeadcount[exp_item],$H1333,PerHeadcount[company_name],$B1333)*AH283)</f>
        <v>0</v>
      </c>
      <c r="AI1333" s="652">
        <f>IF($B1333="",,SUMIFS(PerHeadcount[Month 24],PerHeadcount[exp_item],$H1333,PerHeadcount[company_name],$B1333)*AI283)</f>
        <v>0</v>
      </c>
      <c r="AJ1333" s="652">
        <f>IF($B1333="",,SUMIFS(PerHeadcount[Month 25],PerHeadcount[exp_item],$H1333,PerHeadcount[company_name],$B1333)*AJ283)</f>
        <v>0</v>
      </c>
      <c r="AK1333" s="652">
        <f>IF($B1333="",,SUMIFS(PerHeadcount[Month 26],PerHeadcount[exp_item],$H1333,PerHeadcount[company_name],$B1333)*AK283)</f>
        <v>0</v>
      </c>
      <c r="AL1333" s="652">
        <f>IF($B1333="",,SUMIFS(PerHeadcount[Month 27],PerHeadcount[exp_item],$H1333,PerHeadcount[company_name],$B1333)*AL283)</f>
        <v>0</v>
      </c>
      <c r="AM1333" s="652">
        <f>IF($B1333="",,SUMIFS(PerHeadcount[Month 28],PerHeadcount[exp_item],$H1333,PerHeadcount[company_name],$B1333)*AM283)</f>
        <v>0</v>
      </c>
      <c r="AN1333" s="652">
        <f>IF($B1333="",,SUMIFS(PerHeadcount[Month 29],PerHeadcount[exp_item],$H1333,PerHeadcount[company_name],$B1333)*AN283)</f>
        <v>0</v>
      </c>
      <c r="AO1333" s="652">
        <f>IF($B1333="",,SUMIFS(PerHeadcount[Month 30],PerHeadcount[exp_item],$H1333,PerHeadcount[company_name],$B1333)*AO283)</f>
        <v>0</v>
      </c>
      <c r="AP1333" s="652">
        <f>IF($B1333="",,SUMIFS(PerHeadcount[Month 31],PerHeadcount[exp_item],$H1333,PerHeadcount[company_name],$B1333)*AP283)</f>
        <v>0</v>
      </c>
      <c r="AQ1333" s="652">
        <f>IF($B1333="",,SUMIFS(PerHeadcount[Month 32],PerHeadcount[exp_item],$H1333,PerHeadcount[company_name],$B1333)*AQ283)</f>
        <v>0</v>
      </c>
      <c r="AR1333" s="652">
        <f>IF($B1333="",,SUMIFS(PerHeadcount[Month 33],PerHeadcount[exp_item],$H1333,PerHeadcount[company_name],$B1333)*AR283)</f>
        <v>0</v>
      </c>
      <c r="AS1333" s="652">
        <f>IF($B1333="",,SUMIFS(PerHeadcount[Month 34],PerHeadcount[exp_item],$H1333,PerHeadcount[company_name],$B1333)*AS283)</f>
        <v>0</v>
      </c>
      <c r="AT1333" s="652">
        <f>IF($B1333="",,SUMIFS(PerHeadcount[Month 35],PerHeadcount[exp_item],$H1333,PerHeadcount[company_name],$B1333)*AT283)</f>
        <v>0</v>
      </c>
      <c r="AU1333" s="652">
        <f>IF($B1333="",,SUMIFS(PerHeadcount[Month 36],PerHeadcount[exp_item],$H1333,PerHeadcount[company_name],$B1333)*AU283)</f>
        <v>0</v>
      </c>
    </row>
    <row r="1334" spans="1:52" x14ac:dyDescent="0.35">
      <c r="B1334" t="str">
        <f t="shared" ref="B1334:G1334" si="985">IF(B1229="","",B1229)</f>
        <v/>
      </c>
      <c r="C1334" t="str">
        <f t="shared" si="985"/>
        <v/>
      </c>
      <c r="D1334" t="str">
        <f t="shared" si="985"/>
        <v/>
      </c>
      <c r="E1334" t="str">
        <f t="shared" si="985"/>
        <v/>
      </c>
      <c r="F1334" t="str">
        <f t="shared" si="985"/>
        <v/>
      </c>
      <c r="G1334" t="str">
        <f t="shared" si="985"/>
        <v/>
      </c>
      <c r="H1334" t="str">
        <f t="shared" si="949"/>
        <v/>
      </c>
      <c r="J1334" t="str">
        <f>IF($H1334="","",IF(VLOOKUP(H1334,ExpItems[],2,0),H1334&amp;" - "&amp;INDEX(DivisionMapping[category_code],MATCH($D1334&amp;$C1334,DivisionMapping[dept_bu],0)),H1334))</f>
        <v/>
      </c>
      <c r="K1334" t="str">
        <f t="shared" si="952"/>
        <v/>
      </c>
      <c r="L1334" s="652">
        <f>IF($B1334="",,SUMIFS(PerHeadcount[Month 1],PerHeadcount[exp_item],$H1334,PerHeadcount[company_name],$B1334)*L284)</f>
        <v>0</v>
      </c>
      <c r="M1334" s="652">
        <f>IF($B1334="",,SUMIFS(PerHeadcount[Month 2],PerHeadcount[exp_item],$H1334,PerHeadcount[company_name],$B1334)*M284)</f>
        <v>0</v>
      </c>
      <c r="N1334" s="652">
        <f>IF($B1334="",,SUMIFS(PerHeadcount[Month 3],PerHeadcount[exp_item],$H1334,PerHeadcount[company_name],$B1334)*N284)</f>
        <v>0</v>
      </c>
      <c r="O1334" s="652">
        <f>IF($B1334="",,SUMIFS(PerHeadcount[Month 4],PerHeadcount[exp_item],$H1334,PerHeadcount[company_name],$B1334)*O284)</f>
        <v>0</v>
      </c>
      <c r="P1334" s="652">
        <f>IF($B1334="",,SUMIFS(PerHeadcount[Month 5],PerHeadcount[exp_item],$H1334,PerHeadcount[company_name],$B1334)*P284)</f>
        <v>0</v>
      </c>
      <c r="Q1334" s="652">
        <f>IF($B1334="",,SUMIFS(PerHeadcount[Month 6],PerHeadcount[exp_item],$H1334,PerHeadcount[company_name],$B1334)*Q284)</f>
        <v>0</v>
      </c>
      <c r="R1334" s="652">
        <f>IF($B1334="",,SUMIFS(PerHeadcount[Month 7],PerHeadcount[exp_item],$H1334,PerHeadcount[company_name],$B1334)*R284)</f>
        <v>0</v>
      </c>
      <c r="S1334" s="652">
        <f>IF($B1334="",,SUMIFS(PerHeadcount[Month 8],PerHeadcount[exp_item],$H1334,PerHeadcount[company_name],$B1334)*S284)</f>
        <v>0</v>
      </c>
      <c r="T1334" s="652">
        <f>IF($B1334="",,SUMIFS(PerHeadcount[Month 9],PerHeadcount[exp_item],$H1334,PerHeadcount[company_name],$B1334)*T284)</f>
        <v>0</v>
      </c>
      <c r="U1334" s="652">
        <f>IF($B1334="",,SUMIFS(PerHeadcount[Month 10],PerHeadcount[exp_item],$H1334,PerHeadcount[company_name],$B1334)*U284)</f>
        <v>0</v>
      </c>
      <c r="V1334" s="652">
        <f>IF($B1334="",,SUMIFS(PerHeadcount[Month 11],PerHeadcount[exp_item],$H1334,PerHeadcount[company_name],$B1334)*V284)</f>
        <v>0</v>
      </c>
      <c r="W1334" s="652">
        <f>IF($B1334="",,SUMIFS(PerHeadcount[Month 12],PerHeadcount[exp_item],$H1334,PerHeadcount[company_name],$B1334)*W284)</f>
        <v>0</v>
      </c>
      <c r="X1334" s="652">
        <f>IF($B1334="",,SUMIFS(PerHeadcount[Month 13],PerHeadcount[exp_item],$H1334,PerHeadcount[company_name],$B1334)*X284)</f>
        <v>0</v>
      </c>
      <c r="Y1334" s="652">
        <f>IF($B1334="",,SUMIFS(PerHeadcount[Month 14],PerHeadcount[exp_item],$H1334,PerHeadcount[company_name],$B1334)*Y284)</f>
        <v>0</v>
      </c>
      <c r="Z1334" s="652">
        <f>IF($B1334="",,SUMIFS(PerHeadcount[Month 15],PerHeadcount[exp_item],$H1334,PerHeadcount[company_name],$B1334)*Z284)</f>
        <v>0</v>
      </c>
      <c r="AA1334" s="652">
        <f>IF($B1334="",,SUMIFS(PerHeadcount[Month 16],PerHeadcount[exp_item],$H1334,PerHeadcount[company_name],$B1334)*AA284)</f>
        <v>0</v>
      </c>
      <c r="AB1334" s="652">
        <f>IF($B1334="",,SUMIFS(PerHeadcount[Month 17],PerHeadcount[exp_item],$H1334,PerHeadcount[company_name],$B1334)*AB284)</f>
        <v>0</v>
      </c>
      <c r="AC1334" s="652">
        <f>IF($B1334="",,SUMIFS(PerHeadcount[Month 18],PerHeadcount[exp_item],$H1334,PerHeadcount[company_name],$B1334)*AC284)</f>
        <v>0</v>
      </c>
      <c r="AD1334" s="652">
        <f>IF($B1334="",,SUMIFS(PerHeadcount[Month 19],PerHeadcount[exp_item],$H1334,PerHeadcount[company_name],$B1334)*AD284)</f>
        <v>0</v>
      </c>
      <c r="AE1334" s="652">
        <f>IF($B1334="",,SUMIFS(PerHeadcount[Month 20],PerHeadcount[exp_item],$H1334,PerHeadcount[company_name],$B1334)*AE284)</f>
        <v>0</v>
      </c>
      <c r="AF1334" s="652">
        <f>IF($B1334="",,SUMIFS(PerHeadcount[Month 21],PerHeadcount[exp_item],$H1334,PerHeadcount[company_name],$B1334)*AF284)</f>
        <v>0</v>
      </c>
      <c r="AG1334" s="652">
        <f>IF($B1334="",,SUMIFS(PerHeadcount[Month 22],PerHeadcount[exp_item],$H1334,PerHeadcount[company_name],$B1334)*AG284)</f>
        <v>0</v>
      </c>
      <c r="AH1334" s="652">
        <f>IF($B1334="",,SUMIFS(PerHeadcount[Month 23],PerHeadcount[exp_item],$H1334,PerHeadcount[company_name],$B1334)*AH284)</f>
        <v>0</v>
      </c>
      <c r="AI1334" s="652">
        <f>IF($B1334="",,SUMIFS(PerHeadcount[Month 24],PerHeadcount[exp_item],$H1334,PerHeadcount[company_name],$B1334)*AI284)</f>
        <v>0</v>
      </c>
      <c r="AJ1334" s="652">
        <f>IF($B1334="",,SUMIFS(PerHeadcount[Month 25],PerHeadcount[exp_item],$H1334,PerHeadcount[company_name],$B1334)*AJ284)</f>
        <v>0</v>
      </c>
      <c r="AK1334" s="652">
        <f>IF($B1334="",,SUMIFS(PerHeadcount[Month 26],PerHeadcount[exp_item],$H1334,PerHeadcount[company_name],$B1334)*AK284)</f>
        <v>0</v>
      </c>
      <c r="AL1334" s="652">
        <f>IF($B1334="",,SUMIFS(PerHeadcount[Month 27],PerHeadcount[exp_item],$H1334,PerHeadcount[company_name],$B1334)*AL284)</f>
        <v>0</v>
      </c>
      <c r="AM1334" s="652">
        <f>IF($B1334="",,SUMIFS(PerHeadcount[Month 28],PerHeadcount[exp_item],$H1334,PerHeadcount[company_name],$B1334)*AM284)</f>
        <v>0</v>
      </c>
      <c r="AN1334" s="652">
        <f>IF($B1334="",,SUMIFS(PerHeadcount[Month 29],PerHeadcount[exp_item],$H1334,PerHeadcount[company_name],$B1334)*AN284)</f>
        <v>0</v>
      </c>
      <c r="AO1334" s="652">
        <f>IF($B1334="",,SUMIFS(PerHeadcount[Month 30],PerHeadcount[exp_item],$H1334,PerHeadcount[company_name],$B1334)*AO284)</f>
        <v>0</v>
      </c>
      <c r="AP1334" s="652">
        <f>IF($B1334="",,SUMIFS(PerHeadcount[Month 31],PerHeadcount[exp_item],$H1334,PerHeadcount[company_name],$B1334)*AP284)</f>
        <v>0</v>
      </c>
      <c r="AQ1334" s="652">
        <f>IF($B1334="",,SUMIFS(PerHeadcount[Month 32],PerHeadcount[exp_item],$H1334,PerHeadcount[company_name],$B1334)*AQ284)</f>
        <v>0</v>
      </c>
      <c r="AR1334" s="652">
        <f>IF($B1334="",,SUMIFS(PerHeadcount[Month 33],PerHeadcount[exp_item],$H1334,PerHeadcount[company_name],$B1334)*AR284)</f>
        <v>0</v>
      </c>
      <c r="AS1334" s="652">
        <f>IF($B1334="",,SUMIFS(PerHeadcount[Month 34],PerHeadcount[exp_item],$H1334,PerHeadcount[company_name],$B1334)*AS284)</f>
        <v>0</v>
      </c>
      <c r="AT1334" s="652">
        <f>IF($B1334="",,SUMIFS(PerHeadcount[Month 35],PerHeadcount[exp_item],$H1334,PerHeadcount[company_name],$B1334)*AT284)</f>
        <v>0</v>
      </c>
      <c r="AU1334" s="652">
        <f>IF($B1334="",,SUMIFS(PerHeadcount[Month 36],PerHeadcount[exp_item],$H1334,PerHeadcount[company_name],$B1334)*AU284)</f>
        <v>0</v>
      </c>
    </row>
    <row r="1335" spans="1:52" x14ac:dyDescent="0.35">
      <c r="B1335" t="str">
        <f t="shared" ref="B1335:G1335" si="986">IF(B1230="","",B1230)</f>
        <v/>
      </c>
      <c r="C1335" t="str">
        <f t="shared" si="986"/>
        <v/>
      </c>
      <c r="D1335" t="str">
        <f t="shared" si="986"/>
        <v/>
      </c>
      <c r="E1335" t="str">
        <f t="shared" si="986"/>
        <v/>
      </c>
      <c r="F1335" t="str">
        <f t="shared" si="986"/>
        <v/>
      </c>
      <c r="G1335" t="str">
        <f t="shared" si="986"/>
        <v/>
      </c>
      <c r="H1335" t="str">
        <f t="shared" si="949"/>
        <v/>
      </c>
      <c r="J1335" t="str">
        <f>IF($H1335="","",IF(VLOOKUP(H1335,ExpItems[],2,0),H1335&amp;" - "&amp;INDEX(DivisionMapping[category_code],MATCH($D1335&amp;$C1335,DivisionMapping[dept_bu],0)),H1335))</f>
        <v/>
      </c>
      <c r="K1335" t="str">
        <f t="shared" si="952"/>
        <v/>
      </c>
      <c r="L1335" s="652">
        <f>IF($B1335="",,SUMIFS(PerHeadcount[Month 1],PerHeadcount[exp_item],$H1335,PerHeadcount[company_name],$B1335)*L285)</f>
        <v>0</v>
      </c>
      <c r="M1335" s="652">
        <f>IF($B1335="",,SUMIFS(PerHeadcount[Month 2],PerHeadcount[exp_item],$H1335,PerHeadcount[company_name],$B1335)*M285)</f>
        <v>0</v>
      </c>
      <c r="N1335" s="652">
        <f>IF($B1335="",,SUMIFS(PerHeadcount[Month 3],PerHeadcount[exp_item],$H1335,PerHeadcount[company_name],$B1335)*N285)</f>
        <v>0</v>
      </c>
      <c r="O1335" s="652">
        <f>IF($B1335="",,SUMIFS(PerHeadcount[Month 4],PerHeadcount[exp_item],$H1335,PerHeadcount[company_name],$B1335)*O285)</f>
        <v>0</v>
      </c>
      <c r="P1335" s="652">
        <f>IF($B1335="",,SUMIFS(PerHeadcount[Month 5],PerHeadcount[exp_item],$H1335,PerHeadcount[company_name],$B1335)*P285)</f>
        <v>0</v>
      </c>
      <c r="Q1335" s="652">
        <f>IF($B1335="",,SUMIFS(PerHeadcount[Month 6],PerHeadcount[exp_item],$H1335,PerHeadcount[company_name],$B1335)*Q285)</f>
        <v>0</v>
      </c>
      <c r="R1335" s="652">
        <f>IF($B1335="",,SUMIFS(PerHeadcount[Month 7],PerHeadcount[exp_item],$H1335,PerHeadcount[company_name],$B1335)*R285)</f>
        <v>0</v>
      </c>
      <c r="S1335" s="652">
        <f>IF($B1335="",,SUMIFS(PerHeadcount[Month 8],PerHeadcount[exp_item],$H1335,PerHeadcount[company_name],$B1335)*S285)</f>
        <v>0</v>
      </c>
      <c r="T1335" s="652">
        <f>IF($B1335="",,SUMIFS(PerHeadcount[Month 9],PerHeadcount[exp_item],$H1335,PerHeadcount[company_name],$B1335)*T285)</f>
        <v>0</v>
      </c>
      <c r="U1335" s="652">
        <f>IF($B1335="",,SUMIFS(PerHeadcount[Month 10],PerHeadcount[exp_item],$H1335,PerHeadcount[company_name],$B1335)*U285)</f>
        <v>0</v>
      </c>
      <c r="V1335" s="652">
        <f>IF($B1335="",,SUMIFS(PerHeadcount[Month 11],PerHeadcount[exp_item],$H1335,PerHeadcount[company_name],$B1335)*V285)</f>
        <v>0</v>
      </c>
      <c r="W1335" s="652">
        <f>IF($B1335="",,SUMIFS(PerHeadcount[Month 12],PerHeadcount[exp_item],$H1335,PerHeadcount[company_name],$B1335)*W285)</f>
        <v>0</v>
      </c>
      <c r="X1335" s="652">
        <f>IF($B1335="",,SUMIFS(PerHeadcount[Month 13],PerHeadcount[exp_item],$H1335,PerHeadcount[company_name],$B1335)*X285)</f>
        <v>0</v>
      </c>
      <c r="Y1335" s="652">
        <f>IF($B1335="",,SUMIFS(PerHeadcount[Month 14],PerHeadcount[exp_item],$H1335,PerHeadcount[company_name],$B1335)*Y285)</f>
        <v>0</v>
      </c>
      <c r="Z1335" s="652">
        <f>IF($B1335="",,SUMIFS(PerHeadcount[Month 15],PerHeadcount[exp_item],$H1335,PerHeadcount[company_name],$B1335)*Z285)</f>
        <v>0</v>
      </c>
      <c r="AA1335" s="652">
        <f>IF($B1335="",,SUMIFS(PerHeadcount[Month 16],PerHeadcount[exp_item],$H1335,PerHeadcount[company_name],$B1335)*AA285)</f>
        <v>0</v>
      </c>
      <c r="AB1335" s="652">
        <f>IF($B1335="",,SUMIFS(PerHeadcount[Month 17],PerHeadcount[exp_item],$H1335,PerHeadcount[company_name],$B1335)*AB285)</f>
        <v>0</v>
      </c>
      <c r="AC1335" s="652">
        <f>IF($B1335="",,SUMIFS(PerHeadcount[Month 18],PerHeadcount[exp_item],$H1335,PerHeadcount[company_name],$B1335)*AC285)</f>
        <v>0</v>
      </c>
      <c r="AD1335" s="652">
        <f>IF($B1335="",,SUMIFS(PerHeadcount[Month 19],PerHeadcount[exp_item],$H1335,PerHeadcount[company_name],$B1335)*AD285)</f>
        <v>0</v>
      </c>
      <c r="AE1335" s="652">
        <f>IF($B1335="",,SUMIFS(PerHeadcount[Month 20],PerHeadcount[exp_item],$H1335,PerHeadcount[company_name],$B1335)*AE285)</f>
        <v>0</v>
      </c>
      <c r="AF1335" s="652">
        <f>IF($B1335="",,SUMIFS(PerHeadcount[Month 21],PerHeadcount[exp_item],$H1335,PerHeadcount[company_name],$B1335)*AF285)</f>
        <v>0</v>
      </c>
      <c r="AG1335" s="652">
        <f>IF($B1335="",,SUMIFS(PerHeadcount[Month 22],PerHeadcount[exp_item],$H1335,PerHeadcount[company_name],$B1335)*AG285)</f>
        <v>0</v>
      </c>
      <c r="AH1335" s="652">
        <f>IF($B1335="",,SUMIFS(PerHeadcount[Month 23],PerHeadcount[exp_item],$H1335,PerHeadcount[company_name],$B1335)*AH285)</f>
        <v>0</v>
      </c>
      <c r="AI1335" s="652">
        <f>IF($B1335="",,SUMIFS(PerHeadcount[Month 24],PerHeadcount[exp_item],$H1335,PerHeadcount[company_name],$B1335)*AI285)</f>
        <v>0</v>
      </c>
      <c r="AJ1335" s="652">
        <f>IF($B1335="",,SUMIFS(PerHeadcount[Month 25],PerHeadcount[exp_item],$H1335,PerHeadcount[company_name],$B1335)*AJ285)</f>
        <v>0</v>
      </c>
      <c r="AK1335" s="652">
        <f>IF($B1335="",,SUMIFS(PerHeadcount[Month 26],PerHeadcount[exp_item],$H1335,PerHeadcount[company_name],$B1335)*AK285)</f>
        <v>0</v>
      </c>
      <c r="AL1335" s="652">
        <f>IF($B1335="",,SUMIFS(PerHeadcount[Month 27],PerHeadcount[exp_item],$H1335,PerHeadcount[company_name],$B1335)*AL285)</f>
        <v>0</v>
      </c>
      <c r="AM1335" s="652">
        <f>IF($B1335="",,SUMIFS(PerHeadcount[Month 28],PerHeadcount[exp_item],$H1335,PerHeadcount[company_name],$B1335)*AM285)</f>
        <v>0</v>
      </c>
      <c r="AN1335" s="652">
        <f>IF($B1335="",,SUMIFS(PerHeadcount[Month 29],PerHeadcount[exp_item],$H1335,PerHeadcount[company_name],$B1335)*AN285)</f>
        <v>0</v>
      </c>
      <c r="AO1335" s="652">
        <f>IF($B1335="",,SUMIFS(PerHeadcount[Month 30],PerHeadcount[exp_item],$H1335,PerHeadcount[company_name],$B1335)*AO285)</f>
        <v>0</v>
      </c>
      <c r="AP1335" s="652">
        <f>IF($B1335="",,SUMIFS(PerHeadcount[Month 31],PerHeadcount[exp_item],$H1335,PerHeadcount[company_name],$B1335)*AP285)</f>
        <v>0</v>
      </c>
      <c r="AQ1335" s="652">
        <f>IF($B1335="",,SUMIFS(PerHeadcount[Month 32],PerHeadcount[exp_item],$H1335,PerHeadcount[company_name],$B1335)*AQ285)</f>
        <v>0</v>
      </c>
      <c r="AR1335" s="652">
        <f>IF($B1335="",,SUMIFS(PerHeadcount[Month 33],PerHeadcount[exp_item],$H1335,PerHeadcount[company_name],$B1335)*AR285)</f>
        <v>0</v>
      </c>
      <c r="AS1335" s="652">
        <f>IF($B1335="",,SUMIFS(PerHeadcount[Month 34],PerHeadcount[exp_item],$H1335,PerHeadcount[company_name],$B1335)*AS285)</f>
        <v>0</v>
      </c>
      <c r="AT1335" s="652">
        <f>IF($B1335="",,SUMIFS(PerHeadcount[Month 35],PerHeadcount[exp_item],$H1335,PerHeadcount[company_name],$B1335)*AT285)</f>
        <v>0</v>
      </c>
      <c r="AU1335" s="652">
        <f>IF($B1335="",,SUMIFS(PerHeadcount[Month 36],PerHeadcount[exp_item],$H1335,PerHeadcount[company_name],$B1335)*AU285)</f>
        <v>0</v>
      </c>
    </row>
    <row r="1336" spans="1:52" x14ac:dyDescent="0.35">
      <c r="B1336" t="str">
        <f t="shared" ref="B1336:G1336" si="987">IF(B1231="","",B1231)</f>
        <v/>
      </c>
      <c r="C1336" t="str">
        <f t="shared" si="987"/>
        <v/>
      </c>
      <c r="D1336" t="str">
        <f t="shared" si="987"/>
        <v/>
      </c>
      <c r="E1336" t="str">
        <f t="shared" si="987"/>
        <v/>
      </c>
      <c r="F1336" t="str">
        <f t="shared" si="987"/>
        <v/>
      </c>
      <c r="G1336" t="str">
        <f t="shared" si="987"/>
        <v/>
      </c>
      <c r="H1336" t="str">
        <f t="shared" si="949"/>
        <v/>
      </c>
      <c r="J1336" t="str">
        <f>IF($H1336="","",IF(VLOOKUP(H1336,ExpItems[],2,0),H1336&amp;" - "&amp;INDEX(DivisionMapping[category_code],MATCH($D1336&amp;$C1336,DivisionMapping[dept_bu],0)),H1336))</f>
        <v/>
      </c>
      <c r="K1336" t="str">
        <f t="shared" si="952"/>
        <v/>
      </c>
      <c r="L1336" s="652">
        <f>IF($B1336="",,SUMIFS(PerHeadcount[Month 1],PerHeadcount[exp_item],$H1336,PerHeadcount[company_name],$B1336)*L286)</f>
        <v>0</v>
      </c>
      <c r="M1336" s="652">
        <f>IF($B1336="",,SUMIFS(PerHeadcount[Month 2],PerHeadcount[exp_item],$H1336,PerHeadcount[company_name],$B1336)*M286)</f>
        <v>0</v>
      </c>
      <c r="N1336" s="652">
        <f>IF($B1336="",,SUMIFS(PerHeadcount[Month 3],PerHeadcount[exp_item],$H1336,PerHeadcount[company_name],$B1336)*N286)</f>
        <v>0</v>
      </c>
      <c r="O1336" s="652">
        <f>IF($B1336="",,SUMIFS(PerHeadcount[Month 4],PerHeadcount[exp_item],$H1336,PerHeadcount[company_name],$B1336)*O286)</f>
        <v>0</v>
      </c>
      <c r="P1336" s="652">
        <f>IF($B1336="",,SUMIFS(PerHeadcount[Month 5],PerHeadcount[exp_item],$H1336,PerHeadcount[company_name],$B1336)*P286)</f>
        <v>0</v>
      </c>
      <c r="Q1336" s="652">
        <f>IF($B1336="",,SUMIFS(PerHeadcount[Month 6],PerHeadcount[exp_item],$H1336,PerHeadcount[company_name],$B1336)*Q286)</f>
        <v>0</v>
      </c>
      <c r="R1336" s="652">
        <f>IF($B1336="",,SUMIFS(PerHeadcount[Month 7],PerHeadcount[exp_item],$H1336,PerHeadcount[company_name],$B1336)*R286)</f>
        <v>0</v>
      </c>
      <c r="S1336" s="652">
        <f>IF($B1336="",,SUMIFS(PerHeadcount[Month 8],PerHeadcount[exp_item],$H1336,PerHeadcount[company_name],$B1336)*S286)</f>
        <v>0</v>
      </c>
      <c r="T1336" s="652">
        <f>IF($B1336="",,SUMIFS(PerHeadcount[Month 9],PerHeadcount[exp_item],$H1336,PerHeadcount[company_name],$B1336)*T286)</f>
        <v>0</v>
      </c>
      <c r="U1336" s="652">
        <f>IF($B1336="",,SUMIFS(PerHeadcount[Month 10],PerHeadcount[exp_item],$H1336,PerHeadcount[company_name],$B1336)*U286)</f>
        <v>0</v>
      </c>
      <c r="V1336" s="652">
        <f>IF($B1336="",,SUMIFS(PerHeadcount[Month 11],PerHeadcount[exp_item],$H1336,PerHeadcount[company_name],$B1336)*V286)</f>
        <v>0</v>
      </c>
      <c r="W1336" s="652">
        <f>IF($B1336="",,SUMIFS(PerHeadcount[Month 12],PerHeadcount[exp_item],$H1336,PerHeadcount[company_name],$B1336)*W286)</f>
        <v>0</v>
      </c>
      <c r="X1336" s="652">
        <f>IF($B1336="",,SUMIFS(PerHeadcount[Month 13],PerHeadcount[exp_item],$H1336,PerHeadcount[company_name],$B1336)*X286)</f>
        <v>0</v>
      </c>
      <c r="Y1336" s="652">
        <f>IF($B1336="",,SUMIFS(PerHeadcount[Month 14],PerHeadcount[exp_item],$H1336,PerHeadcount[company_name],$B1336)*Y286)</f>
        <v>0</v>
      </c>
      <c r="Z1336" s="652">
        <f>IF($B1336="",,SUMIFS(PerHeadcount[Month 15],PerHeadcount[exp_item],$H1336,PerHeadcount[company_name],$B1336)*Z286)</f>
        <v>0</v>
      </c>
      <c r="AA1336" s="652">
        <f>IF($B1336="",,SUMIFS(PerHeadcount[Month 16],PerHeadcount[exp_item],$H1336,PerHeadcount[company_name],$B1336)*AA286)</f>
        <v>0</v>
      </c>
      <c r="AB1336" s="652">
        <f>IF($B1336="",,SUMIFS(PerHeadcount[Month 17],PerHeadcount[exp_item],$H1336,PerHeadcount[company_name],$B1336)*AB286)</f>
        <v>0</v>
      </c>
      <c r="AC1336" s="652">
        <f>IF($B1336="",,SUMIFS(PerHeadcount[Month 18],PerHeadcount[exp_item],$H1336,PerHeadcount[company_name],$B1336)*AC286)</f>
        <v>0</v>
      </c>
      <c r="AD1336" s="652">
        <f>IF($B1336="",,SUMIFS(PerHeadcount[Month 19],PerHeadcount[exp_item],$H1336,PerHeadcount[company_name],$B1336)*AD286)</f>
        <v>0</v>
      </c>
      <c r="AE1336" s="652">
        <f>IF($B1336="",,SUMIFS(PerHeadcount[Month 20],PerHeadcount[exp_item],$H1336,PerHeadcount[company_name],$B1336)*AE286)</f>
        <v>0</v>
      </c>
      <c r="AF1336" s="652">
        <f>IF($B1336="",,SUMIFS(PerHeadcount[Month 21],PerHeadcount[exp_item],$H1336,PerHeadcount[company_name],$B1336)*AF286)</f>
        <v>0</v>
      </c>
      <c r="AG1336" s="652">
        <f>IF($B1336="",,SUMIFS(PerHeadcount[Month 22],PerHeadcount[exp_item],$H1336,PerHeadcount[company_name],$B1336)*AG286)</f>
        <v>0</v>
      </c>
      <c r="AH1336" s="652">
        <f>IF($B1336="",,SUMIFS(PerHeadcount[Month 23],PerHeadcount[exp_item],$H1336,PerHeadcount[company_name],$B1336)*AH286)</f>
        <v>0</v>
      </c>
      <c r="AI1336" s="652">
        <f>IF($B1336="",,SUMIFS(PerHeadcount[Month 24],PerHeadcount[exp_item],$H1336,PerHeadcount[company_name],$B1336)*AI286)</f>
        <v>0</v>
      </c>
      <c r="AJ1336" s="652">
        <f>IF($B1336="",,SUMIFS(PerHeadcount[Month 25],PerHeadcount[exp_item],$H1336,PerHeadcount[company_name],$B1336)*AJ286)</f>
        <v>0</v>
      </c>
      <c r="AK1336" s="652">
        <f>IF($B1336="",,SUMIFS(PerHeadcount[Month 26],PerHeadcount[exp_item],$H1336,PerHeadcount[company_name],$B1336)*AK286)</f>
        <v>0</v>
      </c>
      <c r="AL1336" s="652">
        <f>IF($B1336="",,SUMIFS(PerHeadcount[Month 27],PerHeadcount[exp_item],$H1336,PerHeadcount[company_name],$B1336)*AL286)</f>
        <v>0</v>
      </c>
      <c r="AM1336" s="652">
        <f>IF($B1336="",,SUMIFS(PerHeadcount[Month 28],PerHeadcount[exp_item],$H1336,PerHeadcount[company_name],$B1336)*AM286)</f>
        <v>0</v>
      </c>
      <c r="AN1336" s="652">
        <f>IF($B1336="",,SUMIFS(PerHeadcount[Month 29],PerHeadcount[exp_item],$H1336,PerHeadcount[company_name],$B1336)*AN286)</f>
        <v>0</v>
      </c>
      <c r="AO1336" s="652">
        <f>IF($B1336="",,SUMIFS(PerHeadcount[Month 30],PerHeadcount[exp_item],$H1336,PerHeadcount[company_name],$B1336)*AO286)</f>
        <v>0</v>
      </c>
      <c r="AP1336" s="652">
        <f>IF($B1336="",,SUMIFS(PerHeadcount[Month 31],PerHeadcount[exp_item],$H1336,PerHeadcount[company_name],$B1336)*AP286)</f>
        <v>0</v>
      </c>
      <c r="AQ1336" s="652">
        <f>IF($B1336="",,SUMIFS(PerHeadcount[Month 32],PerHeadcount[exp_item],$H1336,PerHeadcount[company_name],$B1336)*AQ286)</f>
        <v>0</v>
      </c>
      <c r="AR1336" s="652">
        <f>IF($B1336="",,SUMIFS(PerHeadcount[Month 33],PerHeadcount[exp_item],$H1336,PerHeadcount[company_name],$B1336)*AR286)</f>
        <v>0</v>
      </c>
      <c r="AS1336" s="652">
        <f>IF($B1336="",,SUMIFS(PerHeadcount[Month 34],PerHeadcount[exp_item],$H1336,PerHeadcount[company_name],$B1336)*AS286)</f>
        <v>0</v>
      </c>
      <c r="AT1336" s="652">
        <f>IF($B1336="",,SUMIFS(PerHeadcount[Month 35],PerHeadcount[exp_item],$H1336,PerHeadcount[company_name],$B1336)*AT286)</f>
        <v>0</v>
      </c>
      <c r="AU1336" s="652">
        <f>IF($B1336="",,SUMIFS(PerHeadcount[Month 36],PerHeadcount[exp_item],$H1336,PerHeadcount[company_name],$B1336)*AU286)</f>
        <v>0</v>
      </c>
    </row>
    <row r="1338" spans="1:52" x14ac:dyDescent="0.35">
      <c r="A1338" s="285" t="s">
        <v>1157</v>
      </c>
      <c r="B1338" s="285" t="s">
        <v>1157</v>
      </c>
      <c r="C1338" s="285" t="s">
        <v>1157</v>
      </c>
      <c r="D1338" s="285" t="s">
        <v>1157</v>
      </c>
      <c r="E1338" s="285" t="s">
        <v>1157</v>
      </c>
      <c r="F1338" s="285" t="s">
        <v>1157</v>
      </c>
      <c r="G1338" s="285" t="s">
        <v>1157</v>
      </c>
      <c r="H1338" s="285" t="s">
        <v>1157</v>
      </c>
      <c r="I1338" s="285" t="s">
        <v>1157</v>
      </c>
      <c r="J1338" s="285" t="s">
        <v>1157</v>
      </c>
      <c r="K1338" s="285" t="s">
        <v>1157</v>
      </c>
      <c r="L1338" s="285" t="s">
        <v>1157</v>
      </c>
      <c r="M1338" s="285" t="s">
        <v>1157</v>
      </c>
      <c r="N1338" s="285" t="s">
        <v>1157</v>
      </c>
      <c r="O1338" s="285" t="s">
        <v>1157</v>
      </c>
      <c r="P1338" s="285" t="s">
        <v>1157</v>
      </c>
      <c r="Q1338" s="285" t="s">
        <v>1157</v>
      </c>
      <c r="R1338" s="285" t="s">
        <v>1157</v>
      </c>
      <c r="S1338" s="285" t="s">
        <v>1157</v>
      </c>
      <c r="T1338" s="285" t="s">
        <v>1157</v>
      </c>
      <c r="U1338" s="285" t="s">
        <v>1157</v>
      </c>
      <c r="V1338" s="285" t="s">
        <v>1157</v>
      </c>
      <c r="W1338" s="285" t="s">
        <v>1157</v>
      </c>
      <c r="X1338" s="285" t="s">
        <v>1157</v>
      </c>
      <c r="Y1338" s="285" t="s">
        <v>1157</v>
      </c>
      <c r="Z1338" s="285" t="s">
        <v>1157</v>
      </c>
      <c r="AA1338" s="285" t="s">
        <v>1157</v>
      </c>
      <c r="AB1338" s="285" t="s">
        <v>1157</v>
      </c>
      <c r="AC1338" s="285" t="s">
        <v>1157</v>
      </c>
      <c r="AD1338" s="285" t="s">
        <v>1157</v>
      </c>
      <c r="AE1338" s="285" t="s">
        <v>1157</v>
      </c>
      <c r="AF1338" s="285" t="s">
        <v>1157</v>
      </c>
      <c r="AG1338" s="285" t="s">
        <v>1157</v>
      </c>
      <c r="AH1338" s="285" t="s">
        <v>1157</v>
      </c>
      <c r="AI1338" s="285" t="s">
        <v>1157</v>
      </c>
      <c r="AJ1338" s="285" t="s">
        <v>1157</v>
      </c>
      <c r="AK1338" s="285" t="s">
        <v>1157</v>
      </c>
      <c r="AL1338" s="285" t="s">
        <v>1157</v>
      </c>
      <c r="AM1338" s="285" t="s">
        <v>1157</v>
      </c>
      <c r="AN1338" s="285" t="s">
        <v>1157</v>
      </c>
      <c r="AO1338" s="285" t="s">
        <v>1157</v>
      </c>
      <c r="AP1338" s="285" t="s">
        <v>1157</v>
      </c>
      <c r="AQ1338" s="285" t="s">
        <v>1157</v>
      </c>
      <c r="AR1338" s="285" t="s">
        <v>1157</v>
      </c>
      <c r="AS1338" s="285" t="s">
        <v>1157</v>
      </c>
      <c r="AT1338" s="285" t="s">
        <v>1157</v>
      </c>
      <c r="AU1338" s="285" t="s">
        <v>1157</v>
      </c>
      <c r="AV1338" s="285" t="s">
        <v>1157</v>
      </c>
      <c r="AW1338" s="285" t="s">
        <v>1157</v>
      </c>
      <c r="AX1338" s="285" t="s">
        <v>1157</v>
      </c>
      <c r="AY1338" s="285" t="s">
        <v>1157</v>
      </c>
      <c r="AZ1338" s="285" t="s">
        <v>1157</v>
      </c>
    </row>
    <row r="1340" spans="1:52" ht="23.5" x14ac:dyDescent="0.55000000000000004">
      <c r="B1340" s="252" t="s">
        <v>24</v>
      </c>
    </row>
    <row r="1341" spans="1:52" x14ac:dyDescent="0.35">
      <c r="B1341" t="str">
        <f t="shared" ref="B1341:G1350" si="988">IF(B1236="","",B1236)</f>
        <v/>
      </c>
      <c r="C1341" t="str">
        <f t="shared" si="988"/>
        <v/>
      </c>
      <c r="D1341" t="str">
        <f t="shared" si="988"/>
        <v/>
      </c>
      <c r="E1341" t="str">
        <f t="shared" si="988"/>
        <v/>
      </c>
      <c r="F1341" t="str">
        <f t="shared" si="988"/>
        <v/>
      </c>
      <c r="G1341" t="str">
        <f t="shared" si="988"/>
        <v/>
      </c>
      <c r="H1341" t="str">
        <f>IF(B1341="","",$B$1340)</f>
        <v/>
      </c>
      <c r="J1341" t="str">
        <f>IF($H1341="","",IF(VLOOKUP(H1341,ExpItems[],2,0),H1341&amp;" - "&amp;INDEX(DivisionMapping[category_code],MATCH($D1341&amp;$C1341,DivisionMapping[dept_bu],0)),H1341))</f>
        <v/>
      </c>
      <c r="K1341" t="str">
        <f>K1236</f>
        <v/>
      </c>
      <c r="L1341" s="652">
        <f>IF($B1341="",,SUMIFS(SalaryPayrollTaxes[Month 1],SalaryPayrollTaxes[exp_item],$H1341,SalaryPayrollTaxes[company_name],$B1341,SalaryPayrollTaxes[bu_name],$C1341)*(L396+L501+L606)+SUMIFS(ExpensePayrollTaxes[Month 1],ExpensePayrollTaxes[exp_item],$H711,ExpensePayrollTaxes[company_name],$B1341)*L711)</f>
        <v>0</v>
      </c>
      <c r="M1341" s="652">
        <f>IF($B1341="",,SUMIFS(SalaryPayrollTaxes[Month 2],SalaryPayrollTaxes[exp_item],$H1341,SalaryPayrollTaxes[company_name],$B1341,SalaryPayrollTaxes[bu_name],$C1341)*(M396+M501+M606)+SUMIFS(ExpensePayrollTaxes[Month 2],ExpensePayrollTaxes[exp_item],$H711,ExpensePayrollTaxes[company_name],$B1341)*M711)</f>
        <v>0</v>
      </c>
      <c r="N1341" s="652">
        <f>IF($B1341="",,SUMIFS(SalaryPayrollTaxes[Month 3],SalaryPayrollTaxes[exp_item],$H1341,SalaryPayrollTaxes[company_name],$B1341,SalaryPayrollTaxes[bu_name],$C1341)*(N396+N501+N606)+SUMIFS(ExpensePayrollTaxes[Month 3],ExpensePayrollTaxes[exp_item],$H711,ExpensePayrollTaxes[company_name],$B1341)*N711)</f>
        <v>0</v>
      </c>
      <c r="O1341" s="652">
        <f>IF($B1341="",,SUMIFS(SalaryPayrollTaxes[Month 4],SalaryPayrollTaxes[exp_item],$H1341,SalaryPayrollTaxes[company_name],$B1341,SalaryPayrollTaxes[bu_name],$C1341)*(O396+O501+O606)+SUMIFS(ExpensePayrollTaxes[Month 4],ExpensePayrollTaxes[exp_item],$H711,ExpensePayrollTaxes[company_name],$B1341)*O711)</f>
        <v>0</v>
      </c>
      <c r="P1341" s="652">
        <f>IF($B1341="",,SUMIFS(SalaryPayrollTaxes[Month 5],SalaryPayrollTaxes[exp_item],$H1341,SalaryPayrollTaxes[company_name],$B1341,SalaryPayrollTaxes[bu_name],$C1341)*(P396+P501+P606)+SUMIFS(ExpensePayrollTaxes[Month 5],ExpensePayrollTaxes[exp_item],$H711,ExpensePayrollTaxes[company_name],$B1341)*P711)</f>
        <v>0</v>
      </c>
      <c r="Q1341" s="652">
        <f>IF($B1341="",,SUMIFS(SalaryPayrollTaxes[Month 6],SalaryPayrollTaxes[exp_item],$H1341,SalaryPayrollTaxes[company_name],$B1341,SalaryPayrollTaxes[bu_name],$C1341)*(Q396+Q501+Q606)+SUMIFS(ExpensePayrollTaxes[Month 6],ExpensePayrollTaxes[exp_item],$H711,ExpensePayrollTaxes[company_name],$B1341)*Q711)</f>
        <v>0</v>
      </c>
      <c r="R1341" s="652">
        <f>IF($B1341="",,SUMIFS(SalaryPayrollTaxes[Month 7],SalaryPayrollTaxes[exp_item],$H1341,SalaryPayrollTaxes[company_name],$B1341,SalaryPayrollTaxes[bu_name],$C1341)*(R396+R501+R606)+SUMIFS(ExpensePayrollTaxes[Month 7],ExpensePayrollTaxes[exp_item],$H711,ExpensePayrollTaxes[company_name],$B1341)*R711)</f>
        <v>0</v>
      </c>
      <c r="S1341" s="652">
        <f>IF($B1341="",,SUMIFS(SalaryPayrollTaxes[Month 8],SalaryPayrollTaxes[exp_item],$H1341,SalaryPayrollTaxes[company_name],$B1341,SalaryPayrollTaxes[bu_name],$C1341)*(S396+S501+S606)+SUMIFS(ExpensePayrollTaxes[Month 8],ExpensePayrollTaxes[exp_item],$H711,ExpensePayrollTaxes[company_name],$B1341)*S711)</f>
        <v>0</v>
      </c>
      <c r="T1341" s="652">
        <f>IF($B1341="",,SUMIFS(SalaryPayrollTaxes[Month 9],SalaryPayrollTaxes[exp_item],$H1341,SalaryPayrollTaxes[company_name],$B1341,SalaryPayrollTaxes[bu_name],$C1341)*(T396+T501+T606)+SUMIFS(ExpensePayrollTaxes[Month 9],ExpensePayrollTaxes[exp_item],$H711,ExpensePayrollTaxes[company_name],$B1341)*T711)</f>
        <v>0</v>
      </c>
      <c r="U1341" s="652">
        <f>IF($B1341="",,SUMIFS(SalaryPayrollTaxes[Month 10],SalaryPayrollTaxes[exp_item],$H1341,SalaryPayrollTaxes[company_name],$B1341,SalaryPayrollTaxes[bu_name],$C1341)*(U396+U501+U606)+SUMIFS(ExpensePayrollTaxes[Month 10],ExpensePayrollTaxes[exp_item],$H711,ExpensePayrollTaxes[company_name],$B1341)*U711)</f>
        <v>0</v>
      </c>
      <c r="V1341" s="652">
        <f>IF($B1341="",,SUMIFS(SalaryPayrollTaxes[Month 11],SalaryPayrollTaxes[exp_item],$H1341,SalaryPayrollTaxes[company_name],$B1341,SalaryPayrollTaxes[bu_name],$C1341)*(V396+V501+V606)+SUMIFS(ExpensePayrollTaxes[Month 11],ExpensePayrollTaxes[exp_item],$H711,ExpensePayrollTaxes[company_name],$B1341)*V711)</f>
        <v>0</v>
      </c>
      <c r="W1341" s="652">
        <f>IF($B1341="",,SUMIFS(SalaryPayrollTaxes[Month 12],SalaryPayrollTaxes[exp_item],$H1341,SalaryPayrollTaxes[company_name],$B1341,SalaryPayrollTaxes[bu_name],$C1341)*(W396+W501+W606)+SUMIFS(ExpensePayrollTaxes[Month 12],ExpensePayrollTaxes[exp_item],$H711,ExpensePayrollTaxes[company_name],$B1341)*W711)</f>
        <v>0</v>
      </c>
      <c r="X1341" s="652">
        <f>IF($B1341="",,SUMIFS(SalaryPayrollTaxes[Month 13],SalaryPayrollTaxes[exp_item],$H1341,SalaryPayrollTaxes[company_name],$B1341,SalaryPayrollTaxes[bu_name],$C1341)*(X396+X501+X606)+SUMIFS(ExpensePayrollTaxes[Month 13],ExpensePayrollTaxes[exp_item],$H711,ExpensePayrollTaxes[company_name],$B1341)*X711)</f>
        <v>0</v>
      </c>
      <c r="Y1341" s="652">
        <f>IF($B1341="",,SUMIFS(SalaryPayrollTaxes[Month 14],SalaryPayrollTaxes[exp_item],$H1341,SalaryPayrollTaxes[company_name],$B1341,SalaryPayrollTaxes[bu_name],$C1341)*(Y396+Y501+Y606)+SUMIFS(ExpensePayrollTaxes[Month 14],ExpensePayrollTaxes[exp_item],$H711,ExpensePayrollTaxes[company_name],$B1341)*Y711)</f>
        <v>0</v>
      </c>
      <c r="Z1341" s="652">
        <f>IF($B1341="",,SUMIFS(SalaryPayrollTaxes[Month 15],SalaryPayrollTaxes[exp_item],$H1341,SalaryPayrollTaxes[company_name],$B1341,SalaryPayrollTaxes[bu_name],$C1341)*(Z396+Z501+Z606)+SUMIFS(ExpensePayrollTaxes[Month 15],ExpensePayrollTaxes[exp_item],$H711,ExpensePayrollTaxes[company_name],$B1341)*Z711)</f>
        <v>0</v>
      </c>
      <c r="AA1341" s="652">
        <f>IF($B1341="",,SUMIFS(SalaryPayrollTaxes[Month 16],SalaryPayrollTaxes[exp_item],$H1341,SalaryPayrollTaxes[company_name],$B1341,SalaryPayrollTaxes[bu_name],$C1341)*(AA396+AA501+AA606)+SUMIFS(ExpensePayrollTaxes[Month 16],ExpensePayrollTaxes[exp_item],$H711,ExpensePayrollTaxes[company_name],$B1341)*AA711)</f>
        <v>0</v>
      </c>
      <c r="AB1341" s="652">
        <f>IF($B1341="",,SUMIFS(SalaryPayrollTaxes[Month 17],SalaryPayrollTaxes[exp_item],$H1341,SalaryPayrollTaxes[company_name],$B1341,SalaryPayrollTaxes[bu_name],$C1341)*(AB396+AB501+AB606)+SUMIFS(ExpensePayrollTaxes[Month 17],ExpensePayrollTaxes[exp_item],$H711,ExpensePayrollTaxes[company_name],$B1341)*AB711)</f>
        <v>0</v>
      </c>
      <c r="AC1341" s="652">
        <f>IF($B1341="",,SUMIFS(SalaryPayrollTaxes[Month 18],SalaryPayrollTaxes[exp_item],$H1341,SalaryPayrollTaxes[company_name],$B1341,SalaryPayrollTaxes[bu_name],$C1341)*(AC396+AC501+AC606)+SUMIFS(ExpensePayrollTaxes[Month 18],ExpensePayrollTaxes[exp_item],$H711,ExpensePayrollTaxes[company_name],$B1341)*AC711)</f>
        <v>0</v>
      </c>
      <c r="AD1341" s="652">
        <f>IF($B1341="",,SUMIFS(SalaryPayrollTaxes[Month 19],SalaryPayrollTaxes[exp_item],$H1341,SalaryPayrollTaxes[company_name],$B1341,SalaryPayrollTaxes[bu_name],$C1341)*(AD396+AD501+AD606)+SUMIFS(ExpensePayrollTaxes[Month 19],ExpensePayrollTaxes[exp_item],$H711,ExpensePayrollTaxes[company_name],$B1341)*AD711)</f>
        <v>0</v>
      </c>
      <c r="AE1341" s="652">
        <f>IF($B1341="",,SUMIFS(SalaryPayrollTaxes[Month 20],SalaryPayrollTaxes[exp_item],$H1341,SalaryPayrollTaxes[company_name],$B1341,SalaryPayrollTaxes[bu_name],$C1341)*(AE396+AE501+AE606)+SUMIFS(ExpensePayrollTaxes[Month 20],ExpensePayrollTaxes[exp_item],$H711,ExpensePayrollTaxes[company_name],$B1341)*AE711)</f>
        <v>0</v>
      </c>
      <c r="AF1341" s="652">
        <f>IF($B1341="",,SUMIFS(SalaryPayrollTaxes[Month 21],SalaryPayrollTaxes[exp_item],$H1341,SalaryPayrollTaxes[company_name],$B1341,SalaryPayrollTaxes[bu_name],$C1341)*(AF396+AF501+AF606)+SUMIFS(ExpensePayrollTaxes[Month 21],ExpensePayrollTaxes[exp_item],$H711,ExpensePayrollTaxes[company_name],$B1341)*AF711)</f>
        <v>0</v>
      </c>
      <c r="AG1341" s="652">
        <f>IF($B1341="",,SUMIFS(SalaryPayrollTaxes[Month 22],SalaryPayrollTaxes[exp_item],$H1341,SalaryPayrollTaxes[company_name],$B1341,SalaryPayrollTaxes[bu_name],$C1341)*(AG396+AG501+AG606)+SUMIFS(ExpensePayrollTaxes[Month 22],ExpensePayrollTaxes[exp_item],$H711,ExpensePayrollTaxes[company_name],$B1341)*AG711)</f>
        <v>0</v>
      </c>
      <c r="AH1341" s="652">
        <f>IF($B1341="",,SUMIFS(SalaryPayrollTaxes[Month 23],SalaryPayrollTaxes[exp_item],$H1341,SalaryPayrollTaxes[company_name],$B1341,SalaryPayrollTaxes[bu_name],$C1341)*(AH396+AH501+AH606)+SUMIFS(ExpensePayrollTaxes[Month 23],ExpensePayrollTaxes[exp_item],$H711,ExpensePayrollTaxes[company_name],$B1341)*AH711)</f>
        <v>0</v>
      </c>
      <c r="AI1341" s="652">
        <f>IF($B1341="",,SUMIFS(SalaryPayrollTaxes[Month 24],SalaryPayrollTaxes[exp_item],$H1341,SalaryPayrollTaxes[company_name],$B1341,SalaryPayrollTaxes[bu_name],$C1341)*(AI396+AI501+AI606)+SUMIFS(ExpensePayrollTaxes[Month 24],ExpensePayrollTaxes[exp_item],$H711,ExpensePayrollTaxes[company_name],$B1341)*AI711)</f>
        <v>0</v>
      </c>
      <c r="AJ1341" s="652">
        <f>IF($B1341="",,SUMIFS(SalaryPayrollTaxes[Month 25],SalaryPayrollTaxes[exp_item],$H1341,SalaryPayrollTaxes[company_name],$B1341,SalaryPayrollTaxes[bu_name],$C1341)*(AJ396+AJ501+AJ606)+SUMIFS(ExpensePayrollTaxes[Month 25],ExpensePayrollTaxes[exp_item],$H711,ExpensePayrollTaxes[company_name],$B1341)*AJ711)</f>
        <v>0</v>
      </c>
      <c r="AK1341" s="652">
        <f>IF($B1341="",,SUMIFS(SalaryPayrollTaxes[Month 26],SalaryPayrollTaxes[exp_item],$H1341,SalaryPayrollTaxes[company_name],$B1341,SalaryPayrollTaxes[bu_name],$C1341)*(AK396+AK501+AK606)+SUMIFS(ExpensePayrollTaxes[Month 26],ExpensePayrollTaxes[exp_item],$H711,ExpensePayrollTaxes[company_name],$B1341)*AK711)</f>
        <v>0</v>
      </c>
      <c r="AL1341" s="652">
        <f>IF($B1341="",,SUMIFS(SalaryPayrollTaxes[Month 27],SalaryPayrollTaxes[exp_item],$H1341,SalaryPayrollTaxes[company_name],$B1341,SalaryPayrollTaxes[bu_name],$C1341)*(AL396+AL501+AL606)+SUMIFS(ExpensePayrollTaxes[Month 27],ExpensePayrollTaxes[exp_item],$H711,ExpensePayrollTaxes[company_name],$B1341)*AL711)</f>
        <v>0</v>
      </c>
      <c r="AM1341" s="652">
        <f>IF($B1341="",,SUMIFS(SalaryPayrollTaxes[Month 28],SalaryPayrollTaxes[exp_item],$H1341,SalaryPayrollTaxes[company_name],$B1341,SalaryPayrollTaxes[bu_name],$C1341)*(AM396+AM501+AM606)+SUMIFS(ExpensePayrollTaxes[Month 28],ExpensePayrollTaxes[exp_item],$H711,ExpensePayrollTaxes[company_name],$B1341)*AM711)</f>
        <v>0</v>
      </c>
      <c r="AN1341" s="652">
        <f>IF($B1341="",,SUMIFS(SalaryPayrollTaxes[Month 29],SalaryPayrollTaxes[exp_item],$H1341,SalaryPayrollTaxes[company_name],$B1341,SalaryPayrollTaxes[bu_name],$C1341)*(AN396+AN501+AN606)+SUMIFS(ExpensePayrollTaxes[Month 29],ExpensePayrollTaxes[exp_item],$H711,ExpensePayrollTaxes[company_name],$B1341)*AN711)</f>
        <v>0</v>
      </c>
      <c r="AO1341" s="652">
        <f>IF($B1341="",,SUMIFS(SalaryPayrollTaxes[Month 30],SalaryPayrollTaxes[exp_item],$H1341,SalaryPayrollTaxes[company_name],$B1341,SalaryPayrollTaxes[bu_name],$C1341)*(AO396+AO501+AO606)+SUMIFS(ExpensePayrollTaxes[Month 30],ExpensePayrollTaxes[exp_item],$H711,ExpensePayrollTaxes[company_name],$B1341)*AO711)</f>
        <v>0</v>
      </c>
      <c r="AP1341" s="652">
        <f>IF($B1341="",,SUMIFS(SalaryPayrollTaxes[Month 31],SalaryPayrollTaxes[exp_item],$H1341,SalaryPayrollTaxes[company_name],$B1341,SalaryPayrollTaxes[bu_name],$C1341)*(AP396+AP501+AP606)+SUMIFS(ExpensePayrollTaxes[Month 31],ExpensePayrollTaxes[exp_item],$H711,ExpensePayrollTaxes[company_name],$B1341)*AP711)</f>
        <v>0</v>
      </c>
      <c r="AQ1341" s="652">
        <f>IF($B1341="",,SUMIFS(SalaryPayrollTaxes[Month 32],SalaryPayrollTaxes[exp_item],$H1341,SalaryPayrollTaxes[company_name],$B1341,SalaryPayrollTaxes[bu_name],$C1341)*(AQ396+AQ501+AQ606)+SUMIFS(ExpensePayrollTaxes[Month 32],ExpensePayrollTaxes[exp_item],$H711,ExpensePayrollTaxes[company_name],$B1341)*AQ711)</f>
        <v>0</v>
      </c>
      <c r="AR1341" s="652">
        <f>IF($B1341="",,SUMIFS(SalaryPayrollTaxes[Month 33],SalaryPayrollTaxes[exp_item],$H1341,SalaryPayrollTaxes[company_name],$B1341,SalaryPayrollTaxes[bu_name],$C1341)*(AR396+AR501+AR606)+SUMIFS(ExpensePayrollTaxes[Month 33],ExpensePayrollTaxes[exp_item],$H711,ExpensePayrollTaxes[company_name],$B1341)*AR711)</f>
        <v>0</v>
      </c>
      <c r="AS1341" s="652">
        <f>IF($B1341="",,SUMIFS(SalaryPayrollTaxes[Month 34],SalaryPayrollTaxes[exp_item],$H1341,SalaryPayrollTaxes[company_name],$B1341,SalaryPayrollTaxes[bu_name],$C1341)*(AS396+AS501+AS606)+SUMIFS(ExpensePayrollTaxes[Month 34],ExpensePayrollTaxes[exp_item],$H711,ExpensePayrollTaxes[company_name],$B1341)*AS711)</f>
        <v>0</v>
      </c>
      <c r="AT1341" s="652">
        <f>IF($B1341="",,SUMIFS(SalaryPayrollTaxes[Month 35],SalaryPayrollTaxes[exp_item],$H1341,SalaryPayrollTaxes[company_name],$B1341,SalaryPayrollTaxes[bu_name],$C1341)*(AT396+AT501+AT606)+SUMIFS(ExpensePayrollTaxes[Month 35],ExpensePayrollTaxes[exp_item],$H711,ExpensePayrollTaxes[company_name],$B1341)*AT711)</f>
        <v>0</v>
      </c>
      <c r="AU1341" s="652">
        <f>IF($B1341="",,SUMIFS(SalaryPayrollTaxes[Month 36],SalaryPayrollTaxes[exp_item],$H1341,SalaryPayrollTaxes[company_name],$B1341,SalaryPayrollTaxes[bu_name],$C1341)*(AU396+AU501+AU606)+SUMIFS(ExpensePayrollTaxes[Month 36],ExpensePayrollTaxes[exp_item],$H711,ExpensePayrollTaxes[company_name],$B1341)*AU711)</f>
        <v>0</v>
      </c>
    </row>
    <row r="1342" spans="1:52" x14ac:dyDescent="0.35">
      <c r="B1342" t="str">
        <f t="shared" si="988"/>
        <v/>
      </c>
      <c r="C1342" t="str">
        <f t="shared" si="988"/>
        <v/>
      </c>
      <c r="D1342" t="str">
        <f t="shared" si="988"/>
        <v/>
      </c>
      <c r="E1342" t="str">
        <f t="shared" si="988"/>
        <v/>
      </c>
      <c r="F1342" t="str">
        <f t="shared" si="988"/>
        <v/>
      </c>
      <c r="G1342" t="str">
        <f t="shared" si="988"/>
        <v/>
      </c>
      <c r="H1342" t="str">
        <f t="shared" ref="H1342:H1405" si="989">IF(B1342="","",$B$1340)</f>
        <v/>
      </c>
      <c r="J1342" t="str">
        <f>IF($H1342="","",IF(VLOOKUP(H1342,ExpItems[],2,0),H1342&amp;" - "&amp;INDEX(DivisionMapping[category_code],MATCH($D1342&amp;$C1342,DivisionMapping[dept_bu],0)),H1342))</f>
        <v/>
      </c>
      <c r="K1342" t="str">
        <f t="shared" ref="K1342:K1405" si="990">K1237</f>
        <v/>
      </c>
      <c r="L1342" s="652">
        <f>IF($B1342="",,SUMIFS(SalaryPayrollTaxes[Month 1],SalaryPayrollTaxes[exp_item],$H1342,SalaryPayrollTaxes[company_name],$B1342,SalaryPayrollTaxes[bu_name],$C1342)*(L397+L502+L607)+SUMIFS(ExpensePayrollTaxes[Month 1],ExpensePayrollTaxes[exp_item],$H712,ExpensePayrollTaxes[company_name],$B1342)*L712)</f>
        <v>0</v>
      </c>
      <c r="M1342" s="652">
        <f>IF($B1342="",,SUMIFS(SalaryPayrollTaxes[Month 2],SalaryPayrollTaxes[exp_item],$H1342,SalaryPayrollTaxes[company_name],$B1342,SalaryPayrollTaxes[bu_name],$C1342)*(M397+M502+M607)+SUMIFS(ExpensePayrollTaxes[Month 2],ExpensePayrollTaxes[exp_item],$H712,ExpensePayrollTaxes[company_name],$B1342)*M712)</f>
        <v>0</v>
      </c>
      <c r="N1342" s="652">
        <f>IF($B1342="",,SUMIFS(SalaryPayrollTaxes[Month 3],SalaryPayrollTaxes[exp_item],$H1342,SalaryPayrollTaxes[company_name],$B1342,SalaryPayrollTaxes[bu_name],$C1342)*(N397+N502+N607)+SUMIFS(ExpensePayrollTaxes[Month 3],ExpensePayrollTaxes[exp_item],$H712,ExpensePayrollTaxes[company_name],$B1342)*N712)</f>
        <v>0</v>
      </c>
      <c r="O1342" s="652">
        <f>IF($B1342="",,SUMIFS(SalaryPayrollTaxes[Month 4],SalaryPayrollTaxes[exp_item],$H1342,SalaryPayrollTaxes[company_name],$B1342,SalaryPayrollTaxes[bu_name],$C1342)*(O397+O502+O607)+SUMIFS(ExpensePayrollTaxes[Month 4],ExpensePayrollTaxes[exp_item],$H712,ExpensePayrollTaxes[company_name],$B1342)*O712)</f>
        <v>0</v>
      </c>
      <c r="P1342" s="652">
        <f>IF($B1342="",,SUMIFS(SalaryPayrollTaxes[Month 5],SalaryPayrollTaxes[exp_item],$H1342,SalaryPayrollTaxes[company_name],$B1342,SalaryPayrollTaxes[bu_name],$C1342)*(P397+P502+P607)+SUMIFS(ExpensePayrollTaxes[Month 5],ExpensePayrollTaxes[exp_item],$H712,ExpensePayrollTaxes[company_name],$B1342)*P712)</f>
        <v>0</v>
      </c>
      <c r="Q1342" s="652">
        <f>IF($B1342="",,SUMIFS(SalaryPayrollTaxes[Month 6],SalaryPayrollTaxes[exp_item],$H1342,SalaryPayrollTaxes[company_name],$B1342,SalaryPayrollTaxes[bu_name],$C1342)*(Q397+Q502+Q607)+SUMIFS(ExpensePayrollTaxes[Month 6],ExpensePayrollTaxes[exp_item],$H712,ExpensePayrollTaxes[company_name],$B1342)*Q712)</f>
        <v>0</v>
      </c>
      <c r="R1342" s="652">
        <f>IF($B1342="",,SUMIFS(SalaryPayrollTaxes[Month 7],SalaryPayrollTaxes[exp_item],$H1342,SalaryPayrollTaxes[company_name],$B1342,SalaryPayrollTaxes[bu_name],$C1342)*(R397+R502+R607)+SUMIFS(ExpensePayrollTaxes[Month 7],ExpensePayrollTaxes[exp_item],$H712,ExpensePayrollTaxes[company_name],$B1342)*R712)</f>
        <v>0</v>
      </c>
      <c r="S1342" s="652">
        <f>IF($B1342="",,SUMIFS(SalaryPayrollTaxes[Month 8],SalaryPayrollTaxes[exp_item],$H1342,SalaryPayrollTaxes[company_name],$B1342,SalaryPayrollTaxes[bu_name],$C1342)*(S397+S502+S607)+SUMIFS(ExpensePayrollTaxes[Month 8],ExpensePayrollTaxes[exp_item],$H712,ExpensePayrollTaxes[company_name],$B1342)*S712)</f>
        <v>0</v>
      </c>
      <c r="T1342" s="652">
        <f>IF($B1342="",,SUMIFS(SalaryPayrollTaxes[Month 9],SalaryPayrollTaxes[exp_item],$H1342,SalaryPayrollTaxes[company_name],$B1342,SalaryPayrollTaxes[bu_name],$C1342)*(T397+T502+T607)+SUMIFS(ExpensePayrollTaxes[Month 9],ExpensePayrollTaxes[exp_item],$H712,ExpensePayrollTaxes[company_name],$B1342)*T712)</f>
        <v>0</v>
      </c>
      <c r="U1342" s="652">
        <f>IF($B1342="",,SUMIFS(SalaryPayrollTaxes[Month 10],SalaryPayrollTaxes[exp_item],$H1342,SalaryPayrollTaxes[company_name],$B1342,SalaryPayrollTaxes[bu_name],$C1342)*(U397+U502+U607)+SUMIFS(ExpensePayrollTaxes[Month 10],ExpensePayrollTaxes[exp_item],$H712,ExpensePayrollTaxes[company_name],$B1342)*U712)</f>
        <v>0</v>
      </c>
      <c r="V1342" s="652">
        <f>IF($B1342="",,SUMIFS(SalaryPayrollTaxes[Month 11],SalaryPayrollTaxes[exp_item],$H1342,SalaryPayrollTaxes[company_name],$B1342,SalaryPayrollTaxes[bu_name],$C1342)*(V397+V502+V607)+SUMIFS(ExpensePayrollTaxes[Month 11],ExpensePayrollTaxes[exp_item],$H712,ExpensePayrollTaxes[company_name],$B1342)*V712)</f>
        <v>0</v>
      </c>
      <c r="W1342" s="652">
        <f>IF($B1342="",,SUMIFS(SalaryPayrollTaxes[Month 12],SalaryPayrollTaxes[exp_item],$H1342,SalaryPayrollTaxes[company_name],$B1342,SalaryPayrollTaxes[bu_name],$C1342)*(W397+W502+W607)+SUMIFS(ExpensePayrollTaxes[Month 12],ExpensePayrollTaxes[exp_item],$H712,ExpensePayrollTaxes[company_name],$B1342)*W712)</f>
        <v>0</v>
      </c>
      <c r="X1342" s="652">
        <f>IF($B1342="",,SUMIFS(SalaryPayrollTaxes[Month 13],SalaryPayrollTaxes[exp_item],$H1342,SalaryPayrollTaxes[company_name],$B1342,SalaryPayrollTaxes[bu_name],$C1342)*(X397+X502+X607)+SUMIFS(ExpensePayrollTaxes[Month 13],ExpensePayrollTaxes[exp_item],$H712,ExpensePayrollTaxes[company_name],$B1342)*X712)</f>
        <v>0</v>
      </c>
      <c r="Y1342" s="652">
        <f>IF($B1342="",,SUMIFS(SalaryPayrollTaxes[Month 14],SalaryPayrollTaxes[exp_item],$H1342,SalaryPayrollTaxes[company_name],$B1342,SalaryPayrollTaxes[bu_name],$C1342)*(Y397+Y502+Y607)+SUMIFS(ExpensePayrollTaxes[Month 14],ExpensePayrollTaxes[exp_item],$H712,ExpensePayrollTaxes[company_name],$B1342)*Y712)</f>
        <v>0</v>
      </c>
      <c r="Z1342" s="652">
        <f>IF($B1342="",,SUMIFS(SalaryPayrollTaxes[Month 15],SalaryPayrollTaxes[exp_item],$H1342,SalaryPayrollTaxes[company_name],$B1342,SalaryPayrollTaxes[bu_name],$C1342)*(Z397+Z502+Z607)+SUMIFS(ExpensePayrollTaxes[Month 15],ExpensePayrollTaxes[exp_item],$H712,ExpensePayrollTaxes[company_name],$B1342)*Z712)</f>
        <v>0</v>
      </c>
      <c r="AA1342" s="652">
        <f>IF($B1342="",,SUMIFS(SalaryPayrollTaxes[Month 16],SalaryPayrollTaxes[exp_item],$H1342,SalaryPayrollTaxes[company_name],$B1342,SalaryPayrollTaxes[bu_name],$C1342)*(AA397+AA502+AA607)+SUMIFS(ExpensePayrollTaxes[Month 16],ExpensePayrollTaxes[exp_item],$H712,ExpensePayrollTaxes[company_name],$B1342)*AA712)</f>
        <v>0</v>
      </c>
      <c r="AB1342" s="652">
        <f>IF($B1342="",,SUMIFS(SalaryPayrollTaxes[Month 17],SalaryPayrollTaxes[exp_item],$H1342,SalaryPayrollTaxes[company_name],$B1342,SalaryPayrollTaxes[bu_name],$C1342)*(AB397+AB502+AB607)+SUMIFS(ExpensePayrollTaxes[Month 17],ExpensePayrollTaxes[exp_item],$H712,ExpensePayrollTaxes[company_name],$B1342)*AB712)</f>
        <v>0</v>
      </c>
      <c r="AC1342" s="652">
        <f>IF($B1342="",,SUMIFS(SalaryPayrollTaxes[Month 18],SalaryPayrollTaxes[exp_item],$H1342,SalaryPayrollTaxes[company_name],$B1342,SalaryPayrollTaxes[bu_name],$C1342)*(AC397+AC502+AC607)+SUMIFS(ExpensePayrollTaxes[Month 18],ExpensePayrollTaxes[exp_item],$H712,ExpensePayrollTaxes[company_name],$B1342)*AC712)</f>
        <v>0</v>
      </c>
      <c r="AD1342" s="652">
        <f>IF($B1342="",,SUMIFS(SalaryPayrollTaxes[Month 19],SalaryPayrollTaxes[exp_item],$H1342,SalaryPayrollTaxes[company_name],$B1342,SalaryPayrollTaxes[bu_name],$C1342)*(AD397+AD502+AD607)+SUMIFS(ExpensePayrollTaxes[Month 19],ExpensePayrollTaxes[exp_item],$H712,ExpensePayrollTaxes[company_name],$B1342)*AD712)</f>
        <v>0</v>
      </c>
      <c r="AE1342" s="652">
        <f>IF($B1342="",,SUMIFS(SalaryPayrollTaxes[Month 20],SalaryPayrollTaxes[exp_item],$H1342,SalaryPayrollTaxes[company_name],$B1342,SalaryPayrollTaxes[bu_name],$C1342)*(AE397+AE502+AE607)+SUMIFS(ExpensePayrollTaxes[Month 20],ExpensePayrollTaxes[exp_item],$H712,ExpensePayrollTaxes[company_name],$B1342)*AE712)</f>
        <v>0</v>
      </c>
      <c r="AF1342" s="652">
        <f>IF($B1342="",,SUMIFS(SalaryPayrollTaxes[Month 21],SalaryPayrollTaxes[exp_item],$H1342,SalaryPayrollTaxes[company_name],$B1342,SalaryPayrollTaxes[bu_name],$C1342)*(AF397+AF502+AF607)+SUMIFS(ExpensePayrollTaxes[Month 21],ExpensePayrollTaxes[exp_item],$H712,ExpensePayrollTaxes[company_name],$B1342)*AF712)</f>
        <v>0</v>
      </c>
      <c r="AG1342" s="652">
        <f>IF($B1342="",,SUMIFS(SalaryPayrollTaxes[Month 22],SalaryPayrollTaxes[exp_item],$H1342,SalaryPayrollTaxes[company_name],$B1342,SalaryPayrollTaxes[bu_name],$C1342)*(AG397+AG502+AG607)+SUMIFS(ExpensePayrollTaxes[Month 22],ExpensePayrollTaxes[exp_item],$H712,ExpensePayrollTaxes[company_name],$B1342)*AG712)</f>
        <v>0</v>
      </c>
      <c r="AH1342" s="652">
        <f>IF($B1342="",,SUMIFS(SalaryPayrollTaxes[Month 23],SalaryPayrollTaxes[exp_item],$H1342,SalaryPayrollTaxes[company_name],$B1342,SalaryPayrollTaxes[bu_name],$C1342)*(AH397+AH502+AH607)+SUMIFS(ExpensePayrollTaxes[Month 23],ExpensePayrollTaxes[exp_item],$H712,ExpensePayrollTaxes[company_name],$B1342)*AH712)</f>
        <v>0</v>
      </c>
      <c r="AI1342" s="652">
        <f>IF($B1342="",,SUMIFS(SalaryPayrollTaxes[Month 24],SalaryPayrollTaxes[exp_item],$H1342,SalaryPayrollTaxes[company_name],$B1342,SalaryPayrollTaxes[bu_name],$C1342)*(AI397+AI502+AI607)+SUMIFS(ExpensePayrollTaxes[Month 24],ExpensePayrollTaxes[exp_item],$H712,ExpensePayrollTaxes[company_name],$B1342)*AI712)</f>
        <v>0</v>
      </c>
      <c r="AJ1342" s="652">
        <f>IF($B1342="",,SUMIFS(SalaryPayrollTaxes[Month 25],SalaryPayrollTaxes[exp_item],$H1342,SalaryPayrollTaxes[company_name],$B1342,SalaryPayrollTaxes[bu_name],$C1342)*(AJ397+AJ502+AJ607)+SUMIFS(ExpensePayrollTaxes[Month 25],ExpensePayrollTaxes[exp_item],$H712,ExpensePayrollTaxes[company_name],$B1342)*AJ712)</f>
        <v>0</v>
      </c>
      <c r="AK1342" s="652">
        <f>IF($B1342="",,SUMIFS(SalaryPayrollTaxes[Month 26],SalaryPayrollTaxes[exp_item],$H1342,SalaryPayrollTaxes[company_name],$B1342,SalaryPayrollTaxes[bu_name],$C1342)*(AK397+AK502+AK607)+SUMIFS(ExpensePayrollTaxes[Month 26],ExpensePayrollTaxes[exp_item],$H712,ExpensePayrollTaxes[company_name],$B1342)*AK712)</f>
        <v>0</v>
      </c>
      <c r="AL1342" s="652">
        <f>IF($B1342="",,SUMIFS(SalaryPayrollTaxes[Month 27],SalaryPayrollTaxes[exp_item],$H1342,SalaryPayrollTaxes[company_name],$B1342,SalaryPayrollTaxes[bu_name],$C1342)*(AL397+AL502+AL607)+SUMIFS(ExpensePayrollTaxes[Month 27],ExpensePayrollTaxes[exp_item],$H712,ExpensePayrollTaxes[company_name],$B1342)*AL712)</f>
        <v>0</v>
      </c>
      <c r="AM1342" s="652">
        <f>IF($B1342="",,SUMIFS(SalaryPayrollTaxes[Month 28],SalaryPayrollTaxes[exp_item],$H1342,SalaryPayrollTaxes[company_name],$B1342,SalaryPayrollTaxes[bu_name],$C1342)*(AM397+AM502+AM607)+SUMIFS(ExpensePayrollTaxes[Month 28],ExpensePayrollTaxes[exp_item],$H712,ExpensePayrollTaxes[company_name],$B1342)*AM712)</f>
        <v>0</v>
      </c>
      <c r="AN1342" s="652">
        <f>IF($B1342="",,SUMIFS(SalaryPayrollTaxes[Month 29],SalaryPayrollTaxes[exp_item],$H1342,SalaryPayrollTaxes[company_name],$B1342,SalaryPayrollTaxes[bu_name],$C1342)*(AN397+AN502+AN607)+SUMIFS(ExpensePayrollTaxes[Month 29],ExpensePayrollTaxes[exp_item],$H712,ExpensePayrollTaxes[company_name],$B1342)*AN712)</f>
        <v>0</v>
      </c>
      <c r="AO1342" s="652">
        <f>IF($B1342="",,SUMIFS(SalaryPayrollTaxes[Month 30],SalaryPayrollTaxes[exp_item],$H1342,SalaryPayrollTaxes[company_name],$B1342,SalaryPayrollTaxes[bu_name],$C1342)*(AO397+AO502+AO607)+SUMIFS(ExpensePayrollTaxes[Month 30],ExpensePayrollTaxes[exp_item],$H712,ExpensePayrollTaxes[company_name],$B1342)*AO712)</f>
        <v>0</v>
      </c>
      <c r="AP1342" s="652">
        <f>IF($B1342="",,SUMIFS(SalaryPayrollTaxes[Month 31],SalaryPayrollTaxes[exp_item],$H1342,SalaryPayrollTaxes[company_name],$B1342,SalaryPayrollTaxes[bu_name],$C1342)*(AP397+AP502+AP607)+SUMIFS(ExpensePayrollTaxes[Month 31],ExpensePayrollTaxes[exp_item],$H712,ExpensePayrollTaxes[company_name],$B1342)*AP712)</f>
        <v>0</v>
      </c>
      <c r="AQ1342" s="652">
        <f>IF($B1342="",,SUMIFS(SalaryPayrollTaxes[Month 32],SalaryPayrollTaxes[exp_item],$H1342,SalaryPayrollTaxes[company_name],$B1342,SalaryPayrollTaxes[bu_name],$C1342)*(AQ397+AQ502+AQ607)+SUMIFS(ExpensePayrollTaxes[Month 32],ExpensePayrollTaxes[exp_item],$H712,ExpensePayrollTaxes[company_name],$B1342)*AQ712)</f>
        <v>0</v>
      </c>
      <c r="AR1342" s="652">
        <f>IF($B1342="",,SUMIFS(SalaryPayrollTaxes[Month 33],SalaryPayrollTaxes[exp_item],$H1342,SalaryPayrollTaxes[company_name],$B1342,SalaryPayrollTaxes[bu_name],$C1342)*(AR397+AR502+AR607)+SUMIFS(ExpensePayrollTaxes[Month 33],ExpensePayrollTaxes[exp_item],$H712,ExpensePayrollTaxes[company_name],$B1342)*AR712)</f>
        <v>0</v>
      </c>
      <c r="AS1342" s="652">
        <f>IF($B1342="",,SUMIFS(SalaryPayrollTaxes[Month 34],SalaryPayrollTaxes[exp_item],$H1342,SalaryPayrollTaxes[company_name],$B1342,SalaryPayrollTaxes[bu_name],$C1342)*(AS397+AS502+AS607)+SUMIFS(ExpensePayrollTaxes[Month 34],ExpensePayrollTaxes[exp_item],$H712,ExpensePayrollTaxes[company_name],$B1342)*AS712)</f>
        <v>0</v>
      </c>
      <c r="AT1342" s="652">
        <f>IF($B1342="",,SUMIFS(SalaryPayrollTaxes[Month 35],SalaryPayrollTaxes[exp_item],$H1342,SalaryPayrollTaxes[company_name],$B1342,SalaryPayrollTaxes[bu_name],$C1342)*(AT397+AT502+AT607)+SUMIFS(ExpensePayrollTaxes[Month 35],ExpensePayrollTaxes[exp_item],$H712,ExpensePayrollTaxes[company_name],$B1342)*AT712)</f>
        <v>0</v>
      </c>
      <c r="AU1342" s="652">
        <f>IF($B1342="",,SUMIFS(SalaryPayrollTaxes[Month 36],SalaryPayrollTaxes[exp_item],$H1342,SalaryPayrollTaxes[company_name],$B1342,SalaryPayrollTaxes[bu_name],$C1342)*(AU397+AU502+AU607)+SUMIFS(ExpensePayrollTaxes[Month 36],ExpensePayrollTaxes[exp_item],$H712,ExpensePayrollTaxes[company_name],$B1342)*AU712)</f>
        <v>0</v>
      </c>
    </row>
    <row r="1343" spans="1:52" x14ac:dyDescent="0.35">
      <c r="B1343" t="str">
        <f t="shared" si="988"/>
        <v/>
      </c>
      <c r="C1343" t="str">
        <f t="shared" si="988"/>
        <v/>
      </c>
      <c r="D1343" t="str">
        <f t="shared" si="988"/>
        <v/>
      </c>
      <c r="E1343" t="str">
        <f t="shared" si="988"/>
        <v/>
      </c>
      <c r="F1343" t="str">
        <f t="shared" si="988"/>
        <v/>
      </c>
      <c r="G1343" t="str">
        <f t="shared" si="988"/>
        <v/>
      </c>
      <c r="H1343" t="str">
        <f t="shared" si="989"/>
        <v/>
      </c>
      <c r="J1343" t="str">
        <f>IF($H1343="","",IF(VLOOKUP(H1343,ExpItems[],2,0),H1343&amp;" - "&amp;INDEX(DivisionMapping[category_code],MATCH($D1343&amp;$C1343,DivisionMapping[dept_bu],0)),H1343))</f>
        <v/>
      </c>
      <c r="K1343" t="str">
        <f t="shared" si="990"/>
        <v/>
      </c>
      <c r="L1343" s="652">
        <f>IF($B1343="",,SUMIFS(SalaryPayrollTaxes[Month 1],SalaryPayrollTaxes[exp_item],$H1343,SalaryPayrollTaxes[company_name],$B1343,SalaryPayrollTaxes[bu_name],$C1343)*(L398+L503+L608)+SUMIFS(ExpensePayrollTaxes[Month 1],ExpensePayrollTaxes[exp_item],$H713,ExpensePayrollTaxes[company_name],$B1343)*L713)</f>
        <v>0</v>
      </c>
      <c r="M1343" s="652">
        <f>IF($B1343="",,SUMIFS(SalaryPayrollTaxes[Month 2],SalaryPayrollTaxes[exp_item],$H1343,SalaryPayrollTaxes[company_name],$B1343,SalaryPayrollTaxes[bu_name],$C1343)*(M398+M503+M608)+SUMIFS(ExpensePayrollTaxes[Month 2],ExpensePayrollTaxes[exp_item],$H713,ExpensePayrollTaxes[company_name],$B1343)*M713)</f>
        <v>0</v>
      </c>
      <c r="N1343" s="652">
        <f>IF($B1343="",,SUMIFS(SalaryPayrollTaxes[Month 3],SalaryPayrollTaxes[exp_item],$H1343,SalaryPayrollTaxes[company_name],$B1343,SalaryPayrollTaxes[bu_name],$C1343)*(N398+N503+N608)+SUMIFS(ExpensePayrollTaxes[Month 3],ExpensePayrollTaxes[exp_item],$H713,ExpensePayrollTaxes[company_name],$B1343)*N713)</f>
        <v>0</v>
      </c>
      <c r="O1343" s="652">
        <f>IF($B1343="",,SUMIFS(SalaryPayrollTaxes[Month 4],SalaryPayrollTaxes[exp_item],$H1343,SalaryPayrollTaxes[company_name],$B1343,SalaryPayrollTaxes[bu_name],$C1343)*(O398+O503+O608)+SUMIFS(ExpensePayrollTaxes[Month 4],ExpensePayrollTaxes[exp_item],$H713,ExpensePayrollTaxes[company_name],$B1343)*O713)</f>
        <v>0</v>
      </c>
      <c r="P1343" s="652">
        <f>IF($B1343="",,SUMIFS(SalaryPayrollTaxes[Month 5],SalaryPayrollTaxes[exp_item],$H1343,SalaryPayrollTaxes[company_name],$B1343,SalaryPayrollTaxes[bu_name],$C1343)*(P398+P503+P608)+SUMIFS(ExpensePayrollTaxes[Month 5],ExpensePayrollTaxes[exp_item],$H713,ExpensePayrollTaxes[company_name],$B1343)*P713)</f>
        <v>0</v>
      </c>
      <c r="Q1343" s="652">
        <f>IF($B1343="",,SUMIFS(SalaryPayrollTaxes[Month 6],SalaryPayrollTaxes[exp_item],$H1343,SalaryPayrollTaxes[company_name],$B1343,SalaryPayrollTaxes[bu_name],$C1343)*(Q398+Q503+Q608)+SUMIFS(ExpensePayrollTaxes[Month 6],ExpensePayrollTaxes[exp_item],$H713,ExpensePayrollTaxes[company_name],$B1343)*Q713)</f>
        <v>0</v>
      </c>
      <c r="R1343" s="652">
        <f>IF($B1343="",,SUMIFS(SalaryPayrollTaxes[Month 7],SalaryPayrollTaxes[exp_item],$H1343,SalaryPayrollTaxes[company_name],$B1343,SalaryPayrollTaxes[bu_name],$C1343)*(R398+R503+R608)+SUMIFS(ExpensePayrollTaxes[Month 7],ExpensePayrollTaxes[exp_item],$H713,ExpensePayrollTaxes[company_name],$B1343)*R713)</f>
        <v>0</v>
      </c>
      <c r="S1343" s="652">
        <f>IF($B1343="",,SUMIFS(SalaryPayrollTaxes[Month 8],SalaryPayrollTaxes[exp_item],$H1343,SalaryPayrollTaxes[company_name],$B1343,SalaryPayrollTaxes[bu_name],$C1343)*(S398+S503+S608)+SUMIFS(ExpensePayrollTaxes[Month 8],ExpensePayrollTaxes[exp_item],$H713,ExpensePayrollTaxes[company_name],$B1343)*S713)</f>
        <v>0</v>
      </c>
      <c r="T1343" s="652">
        <f>IF($B1343="",,SUMIFS(SalaryPayrollTaxes[Month 9],SalaryPayrollTaxes[exp_item],$H1343,SalaryPayrollTaxes[company_name],$B1343,SalaryPayrollTaxes[bu_name],$C1343)*(T398+T503+T608)+SUMIFS(ExpensePayrollTaxes[Month 9],ExpensePayrollTaxes[exp_item],$H713,ExpensePayrollTaxes[company_name],$B1343)*T713)</f>
        <v>0</v>
      </c>
      <c r="U1343" s="652">
        <f>IF($B1343="",,SUMIFS(SalaryPayrollTaxes[Month 10],SalaryPayrollTaxes[exp_item],$H1343,SalaryPayrollTaxes[company_name],$B1343,SalaryPayrollTaxes[bu_name],$C1343)*(U398+U503+U608)+SUMIFS(ExpensePayrollTaxes[Month 10],ExpensePayrollTaxes[exp_item],$H713,ExpensePayrollTaxes[company_name],$B1343)*U713)</f>
        <v>0</v>
      </c>
      <c r="V1343" s="652">
        <f>IF($B1343="",,SUMIFS(SalaryPayrollTaxes[Month 11],SalaryPayrollTaxes[exp_item],$H1343,SalaryPayrollTaxes[company_name],$B1343,SalaryPayrollTaxes[bu_name],$C1343)*(V398+V503+V608)+SUMIFS(ExpensePayrollTaxes[Month 11],ExpensePayrollTaxes[exp_item],$H713,ExpensePayrollTaxes[company_name],$B1343)*V713)</f>
        <v>0</v>
      </c>
      <c r="W1343" s="652">
        <f>IF($B1343="",,SUMIFS(SalaryPayrollTaxes[Month 12],SalaryPayrollTaxes[exp_item],$H1343,SalaryPayrollTaxes[company_name],$B1343,SalaryPayrollTaxes[bu_name],$C1343)*(W398+W503+W608)+SUMIFS(ExpensePayrollTaxes[Month 12],ExpensePayrollTaxes[exp_item],$H713,ExpensePayrollTaxes[company_name],$B1343)*W713)</f>
        <v>0</v>
      </c>
      <c r="X1343" s="652">
        <f>IF($B1343="",,SUMIFS(SalaryPayrollTaxes[Month 13],SalaryPayrollTaxes[exp_item],$H1343,SalaryPayrollTaxes[company_name],$B1343,SalaryPayrollTaxes[bu_name],$C1343)*(X398+X503+X608)+SUMIFS(ExpensePayrollTaxes[Month 13],ExpensePayrollTaxes[exp_item],$H713,ExpensePayrollTaxes[company_name],$B1343)*X713)</f>
        <v>0</v>
      </c>
      <c r="Y1343" s="652">
        <f>IF($B1343="",,SUMIFS(SalaryPayrollTaxes[Month 14],SalaryPayrollTaxes[exp_item],$H1343,SalaryPayrollTaxes[company_name],$B1343,SalaryPayrollTaxes[bu_name],$C1343)*(Y398+Y503+Y608)+SUMIFS(ExpensePayrollTaxes[Month 14],ExpensePayrollTaxes[exp_item],$H713,ExpensePayrollTaxes[company_name],$B1343)*Y713)</f>
        <v>0</v>
      </c>
      <c r="Z1343" s="652">
        <f>IF($B1343="",,SUMIFS(SalaryPayrollTaxes[Month 15],SalaryPayrollTaxes[exp_item],$H1343,SalaryPayrollTaxes[company_name],$B1343,SalaryPayrollTaxes[bu_name],$C1343)*(Z398+Z503+Z608)+SUMIFS(ExpensePayrollTaxes[Month 15],ExpensePayrollTaxes[exp_item],$H713,ExpensePayrollTaxes[company_name],$B1343)*Z713)</f>
        <v>0</v>
      </c>
      <c r="AA1343" s="652">
        <f>IF($B1343="",,SUMIFS(SalaryPayrollTaxes[Month 16],SalaryPayrollTaxes[exp_item],$H1343,SalaryPayrollTaxes[company_name],$B1343,SalaryPayrollTaxes[bu_name],$C1343)*(AA398+AA503+AA608)+SUMIFS(ExpensePayrollTaxes[Month 16],ExpensePayrollTaxes[exp_item],$H713,ExpensePayrollTaxes[company_name],$B1343)*AA713)</f>
        <v>0</v>
      </c>
      <c r="AB1343" s="652">
        <f>IF($B1343="",,SUMIFS(SalaryPayrollTaxes[Month 17],SalaryPayrollTaxes[exp_item],$H1343,SalaryPayrollTaxes[company_name],$B1343,SalaryPayrollTaxes[bu_name],$C1343)*(AB398+AB503+AB608)+SUMIFS(ExpensePayrollTaxes[Month 17],ExpensePayrollTaxes[exp_item],$H713,ExpensePayrollTaxes[company_name],$B1343)*AB713)</f>
        <v>0</v>
      </c>
      <c r="AC1343" s="652">
        <f>IF($B1343="",,SUMIFS(SalaryPayrollTaxes[Month 18],SalaryPayrollTaxes[exp_item],$H1343,SalaryPayrollTaxes[company_name],$B1343,SalaryPayrollTaxes[bu_name],$C1343)*(AC398+AC503+AC608)+SUMIFS(ExpensePayrollTaxes[Month 18],ExpensePayrollTaxes[exp_item],$H713,ExpensePayrollTaxes[company_name],$B1343)*AC713)</f>
        <v>0</v>
      </c>
      <c r="AD1343" s="652">
        <f>IF($B1343="",,SUMIFS(SalaryPayrollTaxes[Month 19],SalaryPayrollTaxes[exp_item],$H1343,SalaryPayrollTaxes[company_name],$B1343,SalaryPayrollTaxes[bu_name],$C1343)*(AD398+AD503+AD608)+SUMIFS(ExpensePayrollTaxes[Month 19],ExpensePayrollTaxes[exp_item],$H713,ExpensePayrollTaxes[company_name],$B1343)*AD713)</f>
        <v>0</v>
      </c>
      <c r="AE1343" s="652">
        <f>IF($B1343="",,SUMIFS(SalaryPayrollTaxes[Month 20],SalaryPayrollTaxes[exp_item],$H1343,SalaryPayrollTaxes[company_name],$B1343,SalaryPayrollTaxes[bu_name],$C1343)*(AE398+AE503+AE608)+SUMIFS(ExpensePayrollTaxes[Month 20],ExpensePayrollTaxes[exp_item],$H713,ExpensePayrollTaxes[company_name],$B1343)*AE713)</f>
        <v>0</v>
      </c>
      <c r="AF1343" s="652">
        <f>IF($B1343="",,SUMIFS(SalaryPayrollTaxes[Month 21],SalaryPayrollTaxes[exp_item],$H1343,SalaryPayrollTaxes[company_name],$B1343,SalaryPayrollTaxes[bu_name],$C1343)*(AF398+AF503+AF608)+SUMIFS(ExpensePayrollTaxes[Month 21],ExpensePayrollTaxes[exp_item],$H713,ExpensePayrollTaxes[company_name],$B1343)*AF713)</f>
        <v>0</v>
      </c>
      <c r="AG1343" s="652">
        <f>IF($B1343="",,SUMIFS(SalaryPayrollTaxes[Month 22],SalaryPayrollTaxes[exp_item],$H1343,SalaryPayrollTaxes[company_name],$B1343,SalaryPayrollTaxes[bu_name],$C1343)*(AG398+AG503+AG608)+SUMIFS(ExpensePayrollTaxes[Month 22],ExpensePayrollTaxes[exp_item],$H713,ExpensePayrollTaxes[company_name],$B1343)*AG713)</f>
        <v>0</v>
      </c>
      <c r="AH1343" s="652">
        <f>IF($B1343="",,SUMIFS(SalaryPayrollTaxes[Month 23],SalaryPayrollTaxes[exp_item],$H1343,SalaryPayrollTaxes[company_name],$B1343,SalaryPayrollTaxes[bu_name],$C1343)*(AH398+AH503+AH608)+SUMIFS(ExpensePayrollTaxes[Month 23],ExpensePayrollTaxes[exp_item],$H713,ExpensePayrollTaxes[company_name],$B1343)*AH713)</f>
        <v>0</v>
      </c>
      <c r="AI1343" s="652">
        <f>IF($B1343="",,SUMIFS(SalaryPayrollTaxes[Month 24],SalaryPayrollTaxes[exp_item],$H1343,SalaryPayrollTaxes[company_name],$B1343,SalaryPayrollTaxes[bu_name],$C1343)*(AI398+AI503+AI608)+SUMIFS(ExpensePayrollTaxes[Month 24],ExpensePayrollTaxes[exp_item],$H713,ExpensePayrollTaxes[company_name],$B1343)*AI713)</f>
        <v>0</v>
      </c>
      <c r="AJ1343" s="652">
        <f>IF($B1343="",,SUMIFS(SalaryPayrollTaxes[Month 25],SalaryPayrollTaxes[exp_item],$H1343,SalaryPayrollTaxes[company_name],$B1343,SalaryPayrollTaxes[bu_name],$C1343)*(AJ398+AJ503+AJ608)+SUMIFS(ExpensePayrollTaxes[Month 25],ExpensePayrollTaxes[exp_item],$H713,ExpensePayrollTaxes[company_name],$B1343)*AJ713)</f>
        <v>0</v>
      </c>
      <c r="AK1343" s="652">
        <f>IF($B1343="",,SUMIFS(SalaryPayrollTaxes[Month 26],SalaryPayrollTaxes[exp_item],$H1343,SalaryPayrollTaxes[company_name],$B1343,SalaryPayrollTaxes[bu_name],$C1343)*(AK398+AK503+AK608)+SUMIFS(ExpensePayrollTaxes[Month 26],ExpensePayrollTaxes[exp_item],$H713,ExpensePayrollTaxes[company_name],$B1343)*AK713)</f>
        <v>0</v>
      </c>
      <c r="AL1343" s="652">
        <f>IF($B1343="",,SUMIFS(SalaryPayrollTaxes[Month 27],SalaryPayrollTaxes[exp_item],$H1343,SalaryPayrollTaxes[company_name],$B1343,SalaryPayrollTaxes[bu_name],$C1343)*(AL398+AL503+AL608)+SUMIFS(ExpensePayrollTaxes[Month 27],ExpensePayrollTaxes[exp_item],$H713,ExpensePayrollTaxes[company_name],$B1343)*AL713)</f>
        <v>0</v>
      </c>
      <c r="AM1343" s="652">
        <f>IF($B1343="",,SUMIFS(SalaryPayrollTaxes[Month 28],SalaryPayrollTaxes[exp_item],$H1343,SalaryPayrollTaxes[company_name],$B1343,SalaryPayrollTaxes[bu_name],$C1343)*(AM398+AM503+AM608)+SUMIFS(ExpensePayrollTaxes[Month 28],ExpensePayrollTaxes[exp_item],$H713,ExpensePayrollTaxes[company_name],$B1343)*AM713)</f>
        <v>0</v>
      </c>
      <c r="AN1343" s="652">
        <f>IF($B1343="",,SUMIFS(SalaryPayrollTaxes[Month 29],SalaryPayrollTaxes[exp_item],$H1343,SalaryPayrollTaxes[company_name],$B1343,SalaryPayrollTaxes[bu_name],$C1343)*(AN398+AN503+AN608)+SUMIFS(ExpensePayrollTaxes[Month 29],ExpensePayrollTaxes[exp_item],$H713,ExpensePayrollTaxes[company_name],$B1343)*AN713)</f>
        <v>0</v>
      </c>
      <c r="AO1343" s="652">
        <f>IF($B1343="",,SUMIFS(SalaryPayrollTaxes[Month 30],SalaryPayrollTaxes[exp_item],$H1343,SalaryPayrollTaxes[company_name],$B1343,SalaryPayrollTaxes[bu_name],$C1343)*(AO398+AO503+AO608)+SUMIFS(ExpensePayrollTaxes[Month 30],ExpensePayrollTaxes[exp_item],$H713,ExpensePayrollTaxes[company_name],$B1343)*AO713)</f>
        <v>0</v>
      </c>
      <c r="AP1343" s="652">
        <f>IF($B1343="",,SUMIFS(SalaryPayrollTaxes[Month 31],SalaryPayrollTaxes[exp_item],$H1343,SalaryPayrollTaxes[company_name],$B1343,SalaryPayrollTaxes[bu_name],$C1343)*(AP398+AP503+AP608)+SUMIFS(ExpensePayrollTaxes[Month 31],ExpensePayrollTaxes[exp_item],$H713,ExpensePayrollTaxes[company_name],$B1343)*AP713)</f>
        <v>0</v>
      </c>
      <c r="AQ1343" s="652">
        <f>IF($B1343="",,SUMIFS(SalaryPayrollTaxes[Month 32],SalaryPayrollTaxes[exp_item],$H1343,SalaryPayrollTaxes[company_name],$B1343,SalaryPayrollTaxes[bu_name],$C1343)*(AQ398+AQ503+AQ608)+SUMIFS(ExpensePayrollTaxes[Month 32],ExpensePayrollTaxes[exp_item],$H713,ExpensePayrollTaxes[company_name],$B1343)*AQ713)</f>
        <v>0</v>
      </c>
      <c r="AR1343" s="652">
        <f>IF($B1343="",,SUMIFS(SalaryPayrollTaxes[Month 33],SalaryPayrollTaxes[exp_item],$H1343,SalaryPayrollTaxes[company_name],$B1343,SalaryPayrollTaxes[bu_name],$C1343)*(AR398+AR503+AR608)+SUMIFS(ExpensePayrollTaxes[Month 33],ExpensePayrollTaxes[exp_item],$H713,ExpensePayrollTaxes[company_name],$B1343)*AR713)</f>
        <v>0</v>
      </c>
      <c r="AS1343" s="652">
        <f>IF($B1343="",,SUMIFS(SalaryPayrollTaxes[Month 34],SalaryPayrollTaxes[exp_item],$H1343,SalaryPayrollTaxes[company_name],$B1343,SalaryPayrollTaxes[bu_name],$C1343)*(AS398+AS503+AS608)+SUMIFS(ExpensePayrollTaxes[Month 34],ExpensePayrollTaxes[exp_item],$H713,ExpensePayrollTaxes[company_name],$B1343)*AS713)</f>
        <v>0</v>
      </c>
      <c r="AT1343" s="652">
        <f>IF($B1343="",,SUMIFS(SalaryPayrollTaxes[Month 35],SalaryPayrollTaxes[exp_item],$H1343,SalaryPayrollTaxes[company_name],$B1343,SalaryPayrollTaxes[bu_name],$C1343)*(AT398+AT503+AT608)+SUMIFS(ExpensePayrollTaxes[Month 35],ExpensePayrollTaxes[exp_item],$H713,ExpensePayrollTaxes[company_name],$B1343)*AT713)</f>
        <v>0</v>
      </c>
      <c r="AU1343" s="652">
        <f>IF($B1343="",,SUMIFS(SalaryPayrollTaxes[Month 36],SalaryPayrollTaxes[exp_item],$H1343,SalaryPayrollTaxes[company_name],$B1343,SalaryPayrollTaxes[bu_name],$C1343)*(AU398+AU503+AU608)+SUMIFS(ExpensePayrollTaxes[Month 36],ExpensePayrollTaxes[exp_item],$H713,ExpensePayrollTaxes[company_name],$B1343)*AU713)</f>
        <v>0</v>
      </c>
    </row>
    <row r="1344" spans="1:52" x14ac:dyDescent="0.35">
      <c r="B1344" t="str">
        <f t="shared" si="988"/>
        <v/>
      </c>
      <c r="C1344" t="str">
        <f t="shared" si="988"/>
        <v/>
      </c>
      <c r="D1344" t="str">
        <f t="shared" si="988"/>
        <v/>
      </c>
      <c r="E1344" t="str">
        <f t="shared" si="988"/>
        <v/>
      </c>
      <c r="F1344" t="str">
        <f t="shared" si="988"/>
        <v/>
      </c>
      <c r="G1344" t="str">
        <f t="shared" si="988"/>
        <v/>
      </c>
      <c r="H1344" t="str">
        <f t="shared" si="989"/>
        <v/>
      </c>
      <c r="J1344" t="str">
        <f>IF($H1344="","",IF(VLOOKUP(H1344,ExpItems[],2,0),H1344&amp;" - "&amp;INDEX(DivisionMapping[category_code],MATCH($D1344&amp;$C1344,DivisionMapping[dept_bu],0)),H1344))</f>
        <v/>
      </c>
      <c r="K1344" t="str">
        <f t="shared" si="990"/>
        <v/>
      </c>
      <c r="L1344" s="652">
        <f>IF($B1344="",,SUMIFS(SalaryPayrollTaxes[Month 1],SalaryPayrollTaxes[exp_item],$H1344,SalaryPayrollTaxes[company_name],$B1344,SalaryPayrollTaxes[bu_name],$C1344)*(L399+L504+L609)+SUMIFS(ExpensePayrollTaxes[Month 1],ExpensePayrollTaxes[exp_item],$H714,ExpensePayrollTaxes[company_name],$B1344)*L714)</f>
        <v>0</v>
      </c>
      <c r="M1344" s="652">
        <f>IF($B1344="",,SUMIFS(SalaryPayrollTaxes[Month 2],SalaryPayrollTaxes[exp_item],$H1344,SalaryPayrollTaxes[company_name],$B1344,SalaryPayrollTaxes[bu_name],$C1344)*(M399+M504+M609)+SUMIFS(ExpensePayrollTaxes[Month 2],ExpensePayrollTaxes[exp_item],$H714,ExpensePayrollTaxes[company_name],$B1344)*M714)</f>
        <v>0</v>
      </c>
      <c r="N1344" s="652">
        <f>IF($B1344="",,SUMIFS(SalaryPayrollTaxes[Month 3],SalaryPayrollTaxes[exp_item],$H1344,SalaryPayrollTaxes[company_name],$B1344,SalaryPayrollTaxes[bu_name],$C1344)*(N399+N504+N609)+SUMIFS(ExpensePayrollTaxes[Month 3],ExpensePayrollTaxes[exp_item],$H714,ExpensePayrollTaxes[company_name],$B1344)*N714)</f>
        <v>0</v>
      </c>
      <c r="O1344" s="652">
        <f>IF($B1344="",,SUMIFS(SalaryPayrollTaxes[Month 4],SalaryPayrollTaxes[exp_item],$H1344,SalaryPayrollTaxes[company_name],$B1344,SalaryPayrollTaxes[bu_name],$C1344)*(O399+O504+O609)+SUMIFS(ExpensePayrollTaxes[Month 4],ExpensePayrollTaxes[exp_item],$H714,ExpensePayrollTaxes[company_name],$B1344)*O714)</f>
        <v>0</v>
      </c>
      <c r="P1344" s="652">
        <f>IF($B1344="",,SUMIFS(SalaryPayrollTaxes[Month 5],SalaryPayrollTaxes[exp_item],$H1344,SalaryPayrollTaxes[company_name],$B1344,SalaryPayrollTaxes[bu_name],$C1344)*(P399+P504+P609)+SUMIFS(ExpensePayrollTaxes[Month 5],ExpensePayrollTaxes[exp_item],$H714,ExpensePayrollTaxes[company_name],$B1344)*P714)</f>
        <v>0</v>
      </c>
      <c r="Q1344" s="652">
        <f>IF($B1344="",,SUMIFS(SalaryPayrollTaxes[Month 6],SalaryPayrollTaxes[exp_item],$H1344,SalaryPayrollTaxes[company_name],$B1344,SalaryPayrollTaxes[bu_name],$C1344)*(Q399+Q504+Q609)+SUMIFS(ExpensePayrollTaxes[Month 6],ExpensePayrollTaxes[exp_item],$H714,ExpensePayrollTaxes[company_name],$B1344)*Q714)</f>
        <v>0</v>
      </c>
      <c r="R1344" s="652">
        <f>IF($B1344="",,SUMIFS(SalaryPayrollTaxes[Month 7],SalaryPayrollTaxes[exp_item],$H1344,SalaryPayrollTaxes[company_name],$B1344,SalaryPayrollTaxes[bu_name],$C1344)*(R399+R504+R609)+SUMIFS(ExpensePayrollTaxes[Month 7],ExpensePayrollTaxes[exp_item],$H714,ExpensePayrollTaxes[company_name],$B1344)*R714)</f>
        <v>0</v>
      </c>
      <c r="S1344" s="652">
        <f>IF($B1344="",,SUMIFS(SalaryPayrollTaxes[Month 8],SalaryPayrollTaxes[exp_item],$H1344,SalaryPayrollTaxes[company_name],$B1344,SalaryPayrollTaxes[bu_name],$C1344)*(S399+S504+S609)+SUMIFS(ExpensePayrollTaxes[Month 8],ExpensePayrollTaxes[exp_item],$H714,ExpensePayrollTaxes[company_name],$B1344)*S714)</f>
        <v>0</v>
      </c>
      <c r="T1344" s="652">
        <f>IF($B1344="",,SUMIFS(SalaryPayrollTaxes[Month 9],SalaryPayrollTaxes[exp_item],$H1344,SalaryPayrollTaxes[company_name],$B1344,SalaryPayrollTaxes[bu_name],$C1344)*(T399+T504+T609)+SUMIFS(ExpensePayrollTaxes[Month 9],ExpensePayrollTaxes[exp_item],$H714,ExpensePayrollTaxes[company_name],$B1344)*T714)</f>
        <v>0</v>
      </c>
      <c r="U1344" s="652">
        <f>IF($B1344="",,SUMIFS(SalaryPayrollTaxes[Month 10],SalaryPayrollTaxes[exp_item],$H1344,SalaryPayrollTaxes[company_name],$B1344,SalaryPayrollTaxes[bu_name],$C1344)*(U399+U504+U609)+SUMIFS(ExpensePayrollTaxes[Month 10],ExpensePayrollTaxes[exp_item],$H714,ExpensePayrollTaxes[company_name],$B1344)*U714)</f>
        <v>0</v>
      </c>
      <c r="V1344" s="652">
        <f>IF($B1344="",,SUMIFS(SalaryPayrollTaxes[Month 11],SalaryPayrollTaxes[exp_item],$H1344,SalaryPayrollTaxes[company_name],$B1344,SalaryPayrollTaxes[bu_name],$C1344)*(V399+V504+V609)+SUMIFS(ExpensePayrollTaxes[Month 11],ExpensePayrollTaxes[exp_item],$H714,ExpensePayrollTaxes[company_name],$B1344)*V714)</f>
        <v>0</v>
      </c>
      <c r="W1344" s="652">
        <f>IF($B1344="",,SUMIFS(SalaryPayrollTaxes[Month 12],SalaryPayrollTaxes[exp_item],$H1344,SalaryPayrollTaxes[company_name],$B1344,SalaryPayrollTaxes[bu_name],$C1344)*(W399+W504+W609)+SUMIFS(ExpensePayrollTaxes[Month 12],ExpensePayrollTaxes[exp_item],$H714,ExpensePayrollTaxes[company_name],$B1344)*W714)</f>
        <v>0</v>
      </c>
      <c r="X1344" s="652">
        <f>IF($B1344="",,SUMIFS(SalaryPayrollTaxes[Month 13],SalaryPayrollTaxes[exp_item],$H1344,SalaryPayrollTaxes[company_name],$B1344,SalaryPayrollTaxes[bu_name],$C1344)*(X399+X504+X609)+SUMIFS(ExpensePayrollTaxes[Month 13],ExpensePayrollTaxes[exp_item],$H714,ExpensePayrollTaxes[company_name],$B1344)*X714)</f>
        <v>0</v>
      </c>
      <c r="Y1344" s="652">
        <f>IF($B1344="",,SUMIFS(SalaryPayrollTaxes[Month 14],SalaryPayrollTaxes[exp_item],$H1344,SalaryPayrollTaxes[company_name],$B1344,SalaryPayrollTaxes[bu_name],$C1344)*(Y399+Y504+Y609)+SUMIFS(ExpensePayrollTaxes[Month 14],ExpensePayrollTaxes[exp_item],$H714,ExpensePayrollTaxes[company_name],$B1344)*Y714)</f>
        <v>0</v>
      </c>
      <c r="Z1344" s="652">
        <f>IF($B1344="",,SUMIFS(SalaryPayrollTaxes[Month 15],SalaryPayrollTaxes[exp_item],$H1344,SalaryPayrollTaxes[company_name],$B1344,SalaryPayrollTaxes[bu_name],$C1344)*(Z399+Z504+Z609)+SUMIFS(ExpensePayrollTaxes[Month 15],ExpensePayrollTaxes[exp_item],$H714,ExpensePayrollTaxes[company_name],$B1344)*Z714)</f>
        <v>0</v>
      </c>
      <c r="AA1344" s="652">
        <f>IF($B1344="",,SUMIFS(SalaryPayrollTaxes[Month 16],SalaryPayrollTaxes[exp_item],$H1344,SalaryPayrollTaxes[company_name],$B1344,SalaryPayrollTaxes[bu_name],$C1344)*(AA399+AA504+AA609)+SUMIFS(ExpensePayrollTaxes[Month 16],ExpensePayrollTaxes[exp_item],$H714,ExpensePayrollTaxes[company_name],$B1344)*AA714)</f>
        <v>0</v>
      </c>
      <c r="AB1344" s="652">
        <f>IF($B1344="",,SUMIFS(SalaryPayrollTaxes[Month 17],SalaryPayrollTaxes[exp_item],$H1344,SalaryPayrollTaxes[company_name],$B1344,SalaryPayrollTaxes[bu_name],$C1344)*(AB399+AB504+AB609)+SUMIFS(ExpensePayrollTaxes[Month 17],ExpensePayrollTaxes[exp_item],$H714,ExpensePayrollTaxes[company_name],$B1344)*AB714)</f>
        <v>0</v>
      </c>
      <c r="AC1344" s="652">
        <f>IF($B1344="",,SUMIFS(SalaryPayrollTaxes[Month 18],SalaryPayrollTaxes[exp_item],$H1344,SalaryPayrollTaxes[company_name],$B1344,SalaryPayrollTaxes[bu_name],$C1344)*(AC399+AC504+AC609)+SUMIFS(ExpensePayrollTaxes[Month 18],ExpensePayrollTaxes[exp_item],$H714,ExpensePayrollTaxes[company_name],$B1344)*AC714)</f>
        <v>0</v>
      </c>
      <c r="AD1344" s="652">
        <f>IF($B1344="",,SUMIFS(SalaryPayrollTaxes[Month 19],SalaryPayrollTaxes[exp_item],$H1344,SalaryPayrollTaxes[company_name],$B1344,SalaryPayrollTaxes[bu_name],$C1344)*(AD399+AD504+AD609)+SUMIFS(ExpensePayrollTaxes[Month 19],ExpensePayrollTaxes[exp_item],$H714,ExpensePayrollTaxes[company_name],$B1344)*AD714)</f>
        <v>0</v>
      </c>
      <c r="AE1344" s="652">
        <f>IF($B1344="",,SUMIFS(SalaryPayrollTaxes[Month 20],SalaryPayrollTaxes[exp_item],$H1344,SalaryPayrollTaxes[company_name],$B1344,SalaryPayrollTaxes[bu_name],$C1344)*(AE399+AE504+AE609)+SUMIFS(ExpensePayrollTaxes[Month 20],ExpensePayrollTaxes[exp_item],$H714,ExpensePayrollTaxes[company_name],$B1344)*AE714)</f>
        <v>0</v>
      </c>
      <c r="AF1344" s="652">
        <f>IF($B1344="",,SUMIFS(SalaryPayrollTaxes[Month 21],SalaryPayrollTaxes[exp_item],$H1344,SalaryPayrollTaxes[company_name],$B1344,SalaryPayrollTaxes[bu_name],$C1344)*(AF399+AF504+AF609)+SUMIFS(ExpensePayrollTaxes[Month 21],ExpensePayrollTaxes[exp_item],$H714,ExpensePayrollTaxes[company_name],$B1344)*AF714)</f>
        <v>0</v>
      </c>
      <c r="AG1344" s="652">
        <f>IF($B1344="",,SUMIFS(SalaryPayrollTaxes[Month 22],SalaryPayrollTaxes[exp_item],$H1344,SalaryPayrollTaxes[company_name],$B1344,SalaryPayrollTaxes[bu_name],$C1344)*(AG399+AG504+AG609)+SUMIFS(ExpensePayrollTaxes[Month 22],ExpensePayrollTaxes[exp_item],$H714,ExpensePayrollTaxes[company_name],$B1344)*AG714)</f>
        <v>0</v>
      </c>
      <c r="AH1344" s="652">
        <f>IF($B1344="",,SUMIFS(SalaryPayrollTaxes[Month 23],SalaryPayrollTaxes[exp_item],$H1344,SalaryPayrollTaxes[company_name],$B1344,SalaryPayrollTaxes[bu_name],$C1344)*(AH399+AH504+AH609)+SUMIFS(ExpensePayrollTaxes[Month 23],ExpensePayrollTaxes[exp_item],$H714,ExpensePayrollTaxes[company_name],$B1344)*AH714)</f>
        <v>0</v>
      </c>
      <c r="AI1344" s="652">
        <f>IF($B1344="",,SUMIFS(SalaryPayrollTaxes[Month 24],SalaryPayrollTaxes[exp_item],$H1344,SalaryPayrollTaxes[company_name],$B1344,SalaryPayrollTaxes[bu_name],$C1344)*(AI399+AI504+AI609)+SUMIFS(ExpensePayrollTaxes[Month 24],ExpensePayrollTaxes[exp_item],$H714,ExpensePayrollTaxes[company_name],$B1344)*AI714)</f>
        <v>0</v>
      </c>
      <c r="AJ1344" s="652">
        <f>IF($B1344="",,SUMIFS(SalaryPayrollTaxes[Month 25],SalaryPayrollTaxes[exp_item],$H1344,SalaryPayrollTaxes[company_name],$B1344,SalaryPayrollTaxes[bu_name],$C1344)*(AJ399+AJ504+AJ609)+SUMIFS(ExpensePayrollTaxes[Month 25],ExpensePayrollTaxes[exp_item],$H714,ExpensePayrollTaxes[company_name],$B1344)*AJ714)</f>
        <v>0</v>
      </c>
      <c r="AK1344" s="652">
        <f>IF($B1344="",,SUMIFS(SalaryPayrollTaxes[Month 26],SalaryPayrollTaxes[exp_item],$H1344,SalaryPayrollTaxes[company_name],$B1344,SalaryPayrollTaxes[bu_name],$C1344)*(AK399+AK504+AK609)+SUMIFS(ExpensePayrollTaxes[Month 26],ExpensePayrollTaxes[exp_item],$H714,ExpensePayrollTaxes[company_name],$B1344)*AK714)</f>
        <v>0</v>
      </c>
      <c r="AL1344" s="652">
        <f>IF($B1344="",,SUMIFS(SalaryPayrollTaxes[Month 27],SalaryPayrollTaxes[exp_item],$H1344,SalaryPayrollTaxes[company_name],$B1344,SalaryPayrollTaxes[bu_name],$C1344)*(AL399+AL504+AL609)+SUMIFS(ExpensePayrollTaxes[Month 27],ExpensePayrollTaxes[exp_item],$H714,ExpensePayrollTaxes[company_name],$B1344)*AL714)</f>
        <v>0</v>
      </c>
      <c r="AM1344" s="652">
        <f>IF($B1344="",,SUMIFS(SalaryPayrollTaxes[Month 28],SalaryPayrollTaxes[exp_item],$H1344,SalaryPayrollTaxes[company_name],$B1344,SalaryPayrollTaxes[bu_name],$C1344)*(AM399+AM504+AM609)+SUMIFS(ExpensePayrollTaxes[Month 28],ExpensePayrollTaxes[exp_item],$H714,ExpensePayrollTaxes[company_name],$B1344)*AM714)</f>
        <v>0</v>
      </c>
      <c r="AN1344" s="652">
        <f>IF($B1344="",,SUMIFS(SalaryPayrollTaxes[Month 29],SalaryPayrollTaxes[exp_item],$H1344,SalaryPayrollTaxes[company_name],$B1344,SalaryPayrollTaxes[bu_name],$C1344)*(AN399+AN504+AN609)+SUMIFS(ExpensePayrollTaxes[Month 29],ExpensePayrollTaxes[exp_item],$H714,ExpensePayrollTaxes[company_name],$B1344)*AN714)</f>
        <v>0</v>
      </c>
      <c r="AO1344" s="652">
        <f>IF($B1344="",,SUMIFS(SalaryPayrollTaxes[Month 30],SalaryPayrollTaxes[exp_item],$H1344,SalaryPayrollTaxes[company_name],$B1344,SalaryPayrollTaxes[bu_name],$C1344)*(AO399+AO504+AO609)+SUMIFS(ExpensePayrollTaxes[Month 30],ExpensePayrollTaxes[exp_item],$H714,ExpensePayrollTaxes[company_name],$B1344)*AO714)</f>
        <v>0</v>
      </c>
      <c r="AP1344" s="652">
        <f>IF($B1344="",,SUMIFS(SalaryPayrollTaxes[Month 31],SalaryPayrollTaxes[exp_item],$H1344,SalaryPayrollTaxes[company_name],$B1344,SalaryPayrollTaxes[bu_name],$C1344)*(AP399+AP504+AP609)+SUMIFS(ExpensePayrollTaxes[Month 31],ExpensePayrollTaxes[exp_item],$H714,ExpensePayrollTaxes[company_name],$B1344)*AP714)</f>
        <v>0</v>
      </c>
      <c r="AQ1344" s="652">
        <f>IF($B1344="",,SUMIFS(SalaryPayrollTaxes[Month 32],SalaryPayrollTaxes[exp_item],$H1344,SalaryPayrollTaxes[company_name],$B1344,SalaryPayrollTaxes[bu_name],$C1344)*(AQ399+AQ504+AQ609)+SUMIFS(ExpensePayrollTaxes[Month 32],ExpensePayrollTaxes[exp_item],$H714,ExpensePayrollTaxes[company_name],$B1344)*AQ714)</f>
        <v>0</v>
      </c>
      <c r="AR1344" s="652">
        <f>IF($B1344="",,SUMIFS(SalaryPayrollTaxes[Month 33],SalaryPayrollTaxes[exp_item],$H1344,SalaryPayrollTaxes[company_name],$B1344,SalaryPayrollTaxes[bu_name],$C1344)*(AR399+AR504+AR609)+SUMIFS(ExpensePayrollTaxes[Month 33],ExpensePayrollTaxes[exp_item],$H714,ExpensePayrollTaxes[company_name],$B1344)*AR714)</f>
        <v>0</v>
      </c>
      <c r="AS1344" s="652">
        <f>IF($B1344="",,SUMIFS(SalaryPayrollTaxes[Month 34],SalaryPayrollTaxes[exp_item],$H1344,SalaryPayrollTaxes[company_name],$B1344,SalaryPayrollTaxes[bu_name],$C1344)*(AS399+AS504+AS609)+SUMIFS(ExpensePayrollTaxes[Month 34],ExpensePayrollTaxes[exp_item],$H714,ExpensePayrollTaxes[company_name],$B1344)*AS714)</f>
        <v>0</v>
      </c>
      <c r="AT1344" s="652">
        <f>IF($B1344="",,SUMIFS(SalaryPayrollTaxes[Month 35],SalaryPayrollTaxes[exp_item],$H1344,SalaryPayrollTaxes[company_name],$B1344,SalaryPayrollTaxes[bu_name],$C1344)*(AT399+AT504+AT609)+SUMIFS(ExpensePayrollTaxes[Month 35],ExpensePayrollTaxes[exp_item],$H714,ExpensePayrollTaxes[company_name],$B1344)*AT714)</f>
        <v>0</v>
      </c>
      <c r="AU1344" s="652">
        <f>IF($B1344="",,SUMIFS(SalaryPayrollTaxes[Month 36],SalaryPayrollTaxes[exp_item],$H1344,SalaryPayrollTaxes[company_name],$B1344,SalaryPayrollTaxes[bu_name],$C1344)*(AU399+AU504+AU609)+SUMIFS(ExpensePayrollTaxes[Month 36],ExpensePayrollTaxes[exp_item],$H714,ExpensePayrollTaxes[company_name],$B1344)*AU714)</f>
        <v>0</v>
      </c>
    </row>
    <row r="1345" spans="2:47" x14ac:dyDescent="0.35">
      <c r="B1345" t="str">
        <f t="shared" si="988"/>
        <v/>
      </c>
      <c r="C1345" t="str">
        <f t="shared" si="988"/>
        <v/>
      </c>
      <c r="D1345" t="str">
        <f t="shared" si="988"/>
        <v/>
      </c>
      <c r="E1345" t="str">
        <f t="shared" si="988"/>
        <v/>
      </c>
      <c r="F1345" t="str">
        <f t="shared" si="988"/>
        <v/>
      </c>
      <c r="G1345" t="str">
        <f t="shared" si="988"/>
        <v/>
      </c>
      <c r="H1345" t="str">
        <f t="shared" si="989"/>
        <v/>
      </c>
      <c r="J1345" t="str">
        <f>IF($H1345="","",IF(VLOOKUP(H1345,ExpItems[],2,0),H1345&amp;" - "&amp;INDEX(DivisionMapping[category_code],MATCH($D1345&amp;$C1345,DivisionMapping[dept_bu],0)),H1345))</f>
        <v/>
      </c>
      <c r="K1345" t="str">
        <f t="shared" si="990"/>
        <v/>
      </c>
      <c r="L1345" s="652">
        <f>IF($B1345="",,SUMIFS(SalaryPayrollTaxes[Month 1],SalaryPayrollTaxes[exp_item],$H1345,SalaryPayrollTaxes[company_name],$B1345,SalaryPayrollTaxes[bu_name],$C1345)*(L400+L505+L610)+SUMIFS(ExpensePayrollTaxes[Month 1],ExpensePayrollTaxes[exp_item],$H715,ExpensePayrollTaxes[company_name],$B1345)*L715)</f>
        <v>0</v>
      </c>
      <c r="M1345" s="652">
        <f>IF($B1345="",,SUMIFS(SalaryPayrollTaxes[Month 2],SalaryPayrollTaxes[exp_item],$H1345,SalaryPayrollTaxes[company_name],$B1345,SalaryPayrollTaxes[bu_name],$C1345)*(M400+M505+M610)+SUMIFS(ExpensePayrollTaxes[Month 2],ExpensePayrollTaxes[exp_item],$H715,ExpensePayrollTaxes[company_name],$B1345)*M715)</f>
        <v>0</v>
      </c>
      <c r="N1345" s="652">
        <f>IF($B1345="",,SUMIFS(SalaryPayrollTaxes[Month 3],SalaryPayrollTaxes[exp_item],$H1345,SalaryPayrollTaxes[company_name],$B1345,SalaryPayrollTaxes[bu_name],$C1345)*(N400+N505+N610)+SUMIFS(ExpensePayrollTaxes[Month 3],ExpensePayrollTaxes[exp_item],$H715,ExpensePayrollTaxes[company_name],$B1345)*N715)</f>
        <v>0</v>
      </c>
      <c r="O1345" s="652">
        <f>IF($B1345="",,SUMIFS(SalaryPayrollTaxes[Month 4],SalaryPayrollTaxes[exp_item],$H1345,SalaryPayrollTaxes[company_name],$B1345,SalaryPayrollTaxes[bu_name],$C1345)*(O400+O505+O610)+SUMIFS(ExpensePayrollTaxes[Month 4],ExpensePayrollTaxes[exp_item],$H715,ExpensePayrollTaxes[company_name],$B1345)*O715)</f>
        <v>0</v>
      </c>
      <c r="P1345" s="652">
        <f>IF($B1345="",,SUMIFS(SalaryPayrollTaxes[Month 5],SalaryPayrollTaxes[exp_item],$H1345,SalaryPayrollTaxes[company_name],$B1345,SalaryPayrollTaxes[bu_name],$C1345)*(P400+P505+P610)+SUMIFS(ExpensePayrollTaxes[Month 5],ExpensePayrollTaxes[exp_item],$H715,ExpensePayrollTaxes[company_name],$B1345)*P715)</f>
        <v>0</v>
      </c>
      <c r="Q1345" s="652">
        <f>IF($B1345="",,SUMIFS(SalaryPayrollTaxes[Month 6],SalaryPayrollTaxes[exp_item],$H1345,SalaryPayrollTaxes[company_name],$B1345,SalaryPayrollTaxes[bu_name],$C1345)*(Q400+Q505+Q610)+SUMIFS(ExpensePayrollTaxes[Month 6],ExpensePayrollTaxes[exp_item],$H715,ExpensePayrollTaxes[company_name],$B1345)*Q715)</f>
        <v>0</v>
      </c>
      <c r="R1345" s="652">
        <f>IF($B1345="",,SUMIFS(SalaryPayrollTaxes[Month 7],SalaryPayrollTaxes[exp_item],$H1345,SalaryPayrollTaxes[company_name],$B1345,SalaryPayrollTaxes[bu_name],$C1345)*(R400+R505+R610)+SUMIFS(ExpensePayrollTaxes[Month 7],ExpensePayrollTaxes[exp_item],$H715,ExpensePayrollTaxes[company_name],$B1345)*R715)</f>
        <v>0</v>
      </c>
      <c r="S1345" s="652">
        <f>IF($B1345="",,SUMIFS(SalaryPayrollTaxes[Month 8],SalaryPayrollTaxes[exp_item],$H1345,SalaryPayrollTaxes[company_name],$B1345,SalaryPayrollTaxes[bu_name],$C1345)*(S400+S505+S610)+SUMIFS(ExpensePayrollTaxes[Month 8],ExpensePayrollTaxes[exp_item],$H715,ExpensePayrollTaxes[company_name],$B1345)*S715)</f>
        <v>0</v>
      </c>
      <c r="T1345" s="652">
        <f>IF($B1345="",,SUMIFS(SalaryPayrollTaxes[Month 9],SalaryPayrollTaxes[exp_item],$H1345,SalaryPayrollTaxes[company_name],$B1345,SalaryPayrollTaxes[bu_name],$C1345)*(T400+T505+T610)+SUMIFS(ExpensePayrollTaxes[Month 9],ExpensePayrollTaxes[exp_item],$H715,ExpensePayrollTaxes[company_name],$B1345)*T715)</f>
        <v>0</v>
      </c>
      <c r="U1345" s="652">
        <f>IF($B1345="",,SUMIFS(SalaryPayrollTaxes[Month 10],SalaryPayrollTaxes[exp_item],$H1345,SalaryPayrollTaxes[company_name],$B1345,SalaryPayrollTaxes[bu_name],$C1345)*(U400+U505+U610)+SUMIFS(ExpensePayrollTaxes[Month 10],ExpensePayrollTaxes[exp_item],$H715,ExpensePayrollTaxes[company_name],$B1345)*U715)</f>
        <v>0</v>
      </c>
      <c r="V1345" s="652">
        <f>IF($B1345="",,SUMIFS(SalaryPayrollTaxes[Month 11],SalaryPayrollTaxes[exp_item],$H1345,SalaryPayrollTaxes[company_name],$B1345,SalaryPayrollTaxes[bu_name],$C1345)*(V400+V505+V610)+SUMIFS(ExpensePayrollTaxes[Month 11],ExpensePayrollTaxes[exp_item],$H715,ExpensePayrollTaxes[company_name],$B1345)*V715)</f>
        <v>0</v>
      </c>
      <c r="W1345" s="652">
        <f>IF($B1345="",,SUMIFS(SalaryPayrollTaxes[Month 12],SalaryPayrollTaxes[exp_item],$H1345,SalaryPayrollTaxes[company_name],$B1345,SalaryPayrollTaxes[bu_name],$C1345)*(W400+W505+W610)+SUMIFS(ExpensePayrollTaxes[Month 12],ExpensePayrollTaxes[exp_item],$H715,ExpensePayrollTaxes[company_name],$B1345)*W715)</f>
        <v>0</v>
      </c>
      <c r="X1345" s="652">
        <f>IF($B1345="",,SUMIFS(SalaryPayrollTaxes[Month 13],SalaryPayrollTaxes[exp_item],$H1345,SalaryPayrollTaxes[company_name],$B1345,SalaryPayrollTaxes[bu_name],$C1345)*(X400+X505+X610)+SUMIFS(ExpensePayrollTaxes[Month 13],ExpensePayrollTaxes[exp_item],$H715,ExpensePayrollTaxes[company_name],$B1345)*X715)</f>
        <v>0</v>
      </c>
      <c r="Y1345" s="652">
        <f>IF($B1345="",,SUMIFS(SalaryPayrollTaxes[Month 14],SalaryPayrollTaxes[exp_item],$H1345,SalaryPayrollTaxes[company_name],$B1345,SalaryPayrollTaxes[bu_name],$C1345)*(Y400+Y505+Y610)+SUMIFS(ExpensePayrollTaxes[Month 14],ExpensePayrollTaxes[exp_item],$H715,ExpensePayrollTaxes[company_name],$B1345)*Y715)</f>
        <v>0</v>
      </c>
      <c r="Z1345" s="652">
        <f>IF($B1345="",,SUMIFS(SalaryPayrollTaxes[Month 15],SalaryPayrollTaxes[exp_item],$H1345,SalaryPayrollTaxes[company_name],$B1345,SalaryPayrollTaxes[bu_name],$C1345)*(Z400+Z505+Z610)+SUMIFS(ExpensePayrollTaxes[Month 15],ExpensePayrollTaxes[exp_item],$H715,ExpensePayrollTaxes[company_name],$B1345)*Z715)</f>
        <v>0</v>
      </c>
      <c r="AA1345" s="652">
        <f>IF($B1345="",,SUMIFS(SalaryPayrollTaxes[Month 16],SalaryPayrollTaxes[exp_item],$H1345,SalaryPayrollTaxes[company_name],$B1345,SalaryPayrollTaxes[bu_name],$C1345)*(AA400+AA505+AA610)+SUMIFS(ExpensePayrollTaxes[Month 16],ExpensePayrollTaxes[exp_item],$H715,ExpensePayrollTaxes[company_name],$B1345)*AA715)</f>
        <v>0</v>
      </c>
      <c r="AB1345" s="652">
        <f>IF($B1345="",,SUMIFS(SalaryPayrollTaxes[Month 17],SalaryPayrollTaxes[exp_item],$H1345,SalaryPayrollTaxes[company_name],$B1345,SalaryPayrollTaxes[bu_name],$C1345)*(AB400+AB505+AB610)+SUMIFS(ExpensePayrollTaxes[Month 17],ExpensePayrollTaxes[exp_item],$H715,ExpensePayrollTaxes[company_name],$B1345)*AB715)</f>
        <v>0</v>
      </c>
      <c r="AC1345" s="652">
        <f>IF($B1345="",,SUMIFS(SalaryPayrollTaxes[Month 18],SalaryPayrollTaxes[exp_item],$H1345,SalaryPayrollTaxes[company_name],$B1345,SalaryPayrollTaxes[bu_name],$C1345)*(AC400+AC505+AC610)+SUMIFS(ExpensePayrollTaxes[Month 18],ExpensePayrollTaxes[exp_item],$H715,ExpensePayrollTaxes[company_name],$B1345)*AC715)</f>
        <v>0</v>
      </c>
      <c r="AD1345" s="652">
        <f>IF($B1345="",,SUMIFS(SalaryPayrollTaxes[Month 19],SalaryPayrollTaxes[exp_item],$H1345,SalaryPayrollTaxes[company_name],$B1345,SalaryPayrollTaxes[bu_name],$C1345)*(AD400+AD505+AD610)+SUMIFS(ExpensePayrollTaxes[Month 19],ExpensePayrollTaxes[exp_item],$H715,ExpensePayrollTaxes[company_name],$B1345)*AD715)</f>
        <v>0</v>
      </c>
      <c r="AE1345" s="652">
        <f>IF($B1345="",,SUMIFS(SalaryPayrollTaxes[Month 20],SalaryPayrollTaxes[exp_item],$H1345,SalaryPayrollTaxes[company_name],$B1345,SalaryPayrollTaxes[bu_name],$C1345)*(AE400+AE505+AE610)+SUMIFS(ExpensePayrollTaxes[Month 20],ExpensePayrollTaxes[exp_item],$H715,ExpensePayrollTaxes[company_name],$B1345)*AE715)</f>
        <v>0</v>
      </c>
      <c r="AF1345" s="652">
        <f>IF($B1345="",,SUMIFS(SalaryPayrollTaxes[Month 21],SalaryPayrollTaxes[exp_item],$H1345,SalaryPayrollTaxes[company_name],$B1345,SalaryPayrollTaxes[bu_name],$C1345)*(AF400+AF505+AF610)+SUMIFS(ExpensePayrollTaxes[Month 21],ExpensePayrollTaxes[exp_item],$H715,ExpensePayrollTaxes[company_name],$B1345)*AF715)</f>
        <v>0</v>
      </c>
      <c r="AG1345" s="652">
        <f>IF($B1345="",,SUMIFS(SalaryPayrollTaxes[Month 22],SalaryPayrollTaxes[exp_item],$H1345,SalaryPayrollTaxes[company_name],$B1345,SalaryPayrollTaxes[bu_name],$C1345)*(AG400+AG505+AG610)+SUMIFS(ExpensePayrollTaxes[Month 22],ExpensePayrollTaxes[exp_item],$H715,ExpensePayrollTaxes[company_name],$B1345)*AG715)</f>
        <v>0</v>
      </c>
      <c r="AH1345" s="652">
        <f>IF($B1345="",,SUMIFS(SalaryPayrollTaxes[Month 23],SalaryPayrollTaxes[exp_item],$H1345,SalaryPayrollTaxes[company_name],$B1345,SalaryPayrollTaxes[bu_name],$C1345)*(AH400+AH505+AH610)+SUMIFS(ExpensePayrollTaxes[Month 23],ExpensePayrollTaxes[exp_item],$H715,ExpensePayrollTaxes[company_name],$B1345)*AH715)</f>
        <v>0</v>
      </c>
      <c r="AI1345" s="652">
        <f>IF($B1345="",,SUMIFS(SalaryPayrollTaxes[Month 24],SalaryPayrollTaxes[exp_item],$H1345,SalaryPayrollTaxes[company_name],$B1345,SalaryPayrollTaxes[bu_name],$C1345)*(AI400+AI505+AI610)+SUMIFS(ExpensePayrollTaxes[Month 24],ExpensePayrollTaxes[exp_item],$H715,ExpensePayrollTaxes[company_name],$B1345)*AI715)</f>
        <v>0</v>
      </c>
      <c r="AJ1345" s="652">
        <f>IF($B1345="",,SUMIFS(SalaryPayrollTaxes[Month 25],SalaryPayrollTaxes[exp_item],$H1345,SalaryPayrollTaxes[company_name],$B1345,SalaryPayrollTaxes[bu_name],$C1345)*(AJ400+AJ505+AJ610)+SUMIFS(ExpensePayrollTaxes[Month 25],ExpensePayrollTaxes[exp_item],$H715,ExpensePayrollTaxes[company_name],$B1345)*AJ715)</f>
        <v>0</v>
      </c>
      <c r="AK1345" s="652">
        <f>IF($B1345="",,SUMIFS(SalaryPayrollTaxes[Month 26],SalaryPayrollTaxes[exp_item],$H1345,SalaryPayrollTaxes[company_name],$B1345,SalaryPayrollTaxes[bu_name],$C1345)*(AK400+AK505+AK610)+SUMIFS(ExpensePayrollTaxes[Month 26],ExpensePayrollTaxes[exp_item],$H715,ExpensePayrollTaxes[company_name],$B1345)*AK715)</f>
        <v>0</v>
      </c>
      <c r="AL1345" s="652">
        <f>IF($B1345="",,SUMIFS(SalaryPayrollTaxes[Month 27],SalaryPayrollTaxes[exp_item],$H1345,SalaryPayrollTaxes[company_name],$B1345,SalaryPayrollTaxes[bu_name],$C1345)*(AL400+AL505+AL610)+SUMIFS(ExpensePayrollTaxes[Month 27],ExpensePayrollTaxes[exp_item],$H715,ExpensePayrollTaxes[company_name],$B1345)*AL715)</f>
        <v>0</v>
      </c>
      <c r="AM1345" s="652">
        <f>IF($B1345="",,SUMIFS(SalaryPayrollTaxes[Month 28],SalaryPayrollTaxes[exp_item],$H1345,SalaryPayrollTaxes[company_name],$B1345,SalaryPayrollTaxes[bu_name],$C1345)*(AM400+AM505+AM610)+SUMIFS(ExpensePayrollTaxes[Month 28],ExpensePayrollTaxes[exp_item],$H715,ExpensePayrollTaxes[company_name],$B1345)*AM715)</f>
        <v>0</v>
      </c>
      <c r="AN1345" s="652">
        <f>IF($B1345="",,SUMIFS(SalaryPayrollTaxes[Month 29],SalaryPayrollTaxes[exp_item],$H1345,SalaryPayrollTaxes[company_name],$B1345,SalaryPayrollTaxes[bu_name],$C1345)*(AN400+AN505+AN610)+SUMIFS(ExpensePayrollTaxes[Month 29],ExpensePayrollTaxes[exp_item],$H715,ExpensePayrollTaxes[company_name],$B1345)*AN715)</f>
        <v>0</v>
      </c>
      <c r="AO1345" s="652">
        <f>IF($B1345="",,SUMIFS(SalaryPayrollTaxes[Month 30],SalaryPayrollTaxes[exp_item],$H1345,SalaryPayrollTaxes[company_name],$B1345,SalaryPayrollTaxes[bu_name],$C1345)*(AO400+AO505+AO610)+SUMIFS(ExpensePayrollTaxes[Month 30],ExpensePayrollTaxes[exp_item],$H715,ExpensePayrollTaxes[company_name],$B1345)*AO715)</f>
        <v>0</v>
      </c>
      <c r="AP1345" s="652">
        <f>IF($B1345="",,SUMIFS(SalaryPayrollTaxes[Month 31],SalaryPayrollTaxes[exp_item],$H1345,SalaryPayrollTaxes[company_name],$B1345,SalaryPayrollTaxes[bu_name],$C1345)*(AP400+AP505+AP610)+SUMIFS(ExpensePayrollTaxes[Month 31],ExpensePayrollTaxes[exp_item],$H715,ExpensePayrollTaxes[company_name],$B1345)*AP715)</f>
        <v>0</v>
      </c>
      <c r="AQ1345" s="652">
        <f>IF($B1345="",,SUMIFS(SalaryPayrollTaxes[Month 32],SalaryPayrollTaxes[exp_item],$H1345,SalaryPayrollTaxes[company_name],$B1345,SalaryPayrollTaxes[bu_name],$C1345)*(AQ400+AQ505+AQ610)+SUMIFS(ExpensePayrollTaxes[Month 32],ExpensePayrollTaxes[exp_item],$H715,ExpensePayrollTaxes[company_name],$B1345)*AQ715)</f>
        <v>0</v>
      </c>
      <c r="AR1345" s="652">
        <f>IF($B1345="",,SUMIFS(SalaryPayrollTaxes[Month 33],SalaryPayrollTaxes[exp_item],$H1345,SalaryPayrollTaxes[company_name],$B1345,SalaryPayrollTaxes[bu_name],$C1345)*(AR400+AR505+AR610)+SUMIFS(ExpensePayrollTaxes[Month 33],ExpensePayrollTaxes[exp_item],$H715,ExpensePayrollTaxes[company_name],$B1345)*AR715)</f>
        <v>0</v>
      </c>
      <c r="AS1345" s="652">
        <f>IF($B1345="",,SUMIFS(SalaryPayrollTaxes[Month 34],SalaryPayrollTaxes[exp_item],$H1345,SalaryPayrollTaxes[company_name],$B1345,SalaryPayrollTaxes[bu_name],$C1345)*(AS400+AS505+AS610)+SUMIFS(ExpensePayrollTaxes[Month 34],ExpensePayrollTaxes[exp_item],$H715,ExpensePayrollTaxes[company_name],$B1345)*AS715)</f>
        <v>0</v>
      </c>
      <c r="AT1345" s="652">
        <f>IF($B1345="",,SUMIFS(SalaryPayrollTaxes[Month 35],SalaryPayrollTaxes[exp_item],$H1345,SalaryPayrollTaxes[company_name],$B1345,SalaryPayrollTaxes[bu_name],$C1345)*(AT400+AT505+AT610)+SUMIFS(ExpensePayrollTaxes[Month 35],ExpensePayrollTaxes[exp_item],$H715,ExpensePayrollTaxes[company_name],$B1345)*AT715)</f>
        <v>0</v>
      </c>
      <c r="AU1345" s="652">
        <f>IF($B1345="",,SUMIFS(SalaryPayrollTaxes[Month 36],SalaryPayrollTaxes[exp_item],$H1345,SalaryPayrollTaxes[company_name],$B1345,SalaryPayrollTaxes[bu_name],$C1345)*(AU400+AU505+AU610)+SUMIFS(ExpensePayrollTaxes[Month 36],ExpensePayrollTaxes[exp_item],$H715,ExpensePayrollTaxes[company_name],$B1345)*AU715)</f>
        <v>0</v>
      </c>
    </row>
    <row r="1346" spans="2:47" x14ac:dyDescent="0.35">
      <c r="B1346" t="str">
        <f t="shared" si="988"/>
        <v/>
      </c>
      <c r="C1346" t="str">
        <f t="shared" si="988"/>
        <v/>
      </c>
      <c r="D1346" t="str">
        <f t="shared" si="988"/>
        <v/>
      </c>
      <c r="E1346" t="str">
        <f t="shared" si="988"/>
        <v/>
      </c>
      <c r="F1346" t="str">
        <f t="shared" si="988"/>
        <v/>
      </c>
      <c r="G1346" t="str">
        <f t="shared" si="988"/>
        <v/>
      </c>
      <c r="H1346" t="str">
        <f t="shared" si="989"/>
        <v/>
      </c>
      <c r="J1346" t="str">
        <f>IF($H1346="","",IF(VLOOKUP(H1346,ExpItems[],2,0),H1346&amp;" - "&amp;INDEX(DivisionMapping[category_code],MATCH($D1346&amp;$C1346,DivisionMapping[dept_bu],0)),H1346))</f>
        <v/>
      </c>
      <c r="K1346" t="str">
        <f t="shared" si="990"/>
        <v/>
      </c>
      <c r="L1346" s="652">
        <f>IF($B1346="",,SUMIFS(SalaryPayrollTaxes[Month 1],SalaryPayrollTaxes[exp_item],$H1346,SalaryPayrollTaxes[company_name],$B1346,SalaryPayrollTaxes[bu_name],$C1346)*(L401+L506+L611)+SUMIFS(ExpensePayrollTaxes[Month 1],ExpensePayrollTaxes[exp_item],$H716,ExpensePayrollTaxes[company_name],$B1346)*L716)</f>
        <v>0</v>
      </c>
      <c r="M1346" s="652">
        <f>IF($B1346="",,SUMIFS(SalaryPayrollTaxes[Month 2],SalaryPayrollTaxes[exp_item],$H1346,SalaryPayrollTaxes[company_name],$B1346,SalaryPayrollTaxes[bu_name],$C1346)*(M401+M506+M611)+SUMIFS(ExpensePayrollTaxes[Month 2],ExpensePayrollTaxes[exp_item],$H716,ExpensePayrollTaxes[company_name],$B1346)*M716)</f>
        <v>0</v>
      </c>
      <c r="N1346" s="652">
        <f>IF($B1346="",,SUMIFS(SalaryPayrollTaxes[Month 3],SalaryPayrollTaxes[exp_item],$H1346,SalaryPayrollTaxes[company_name],$B1346,SalaryPayrollTaxes[bu_name],$C1346)*(N401+N506+N611)+SUMIFS(ExpensePayrollTaxes[Month 3],ExpensePayrollTaxes[exp_item],$H716,ExpensePayrollTaxes[company_name],$B1346)*N716)</f>
        <v>0</v>
      </c>
      <c r="O1346" s="652">
        <f>IF($B1346="",,SUMIFS(SalaryPayrollTaxes[Month 4],SalaryPayrollTaxes[exp_item],$H1346,SalaryPayrollTaxes[company_name],$B1346,SalaryPayrollTaxes[bu_name],$C1346)*(O401+O506+O611)+SUMIFS(ExpensePayrollTaxes[Month 4],ExpensePayrollTaxes[exp_item],$H716,ExpensePayrollTaxes[company_name],$B1346)*O716)</f>
        <v>0</v>
      </c>
      <c r="P1346" s="652">
        <f>IF($B1346="",,SUMIFS(SalaryPayrollTaxes[Month 5],SalaryPayrollTaxes[exp_item],$H1346,SalaryPayrollTaxes[company_name],$B1346,SalaryPayrollTaxes[bu_name],$C1346)*(P401+P506+P611)+SUMIFS(ExpensePayrollTaxes[Month 5],ExpensePayrollTaxes[exp_item],$H716,ExpensePayrollTaxes[company_name],$B1346)*P716)</f>
        <v>0</v>
      </c>
      <c r="Q1346" s="652">
        <f>IF($B1346="",,SUMIFS(SalaryPayrollTaxes[Month 6],SalaryPayrollTaxes[exp_item],$H1346,SalaryPayrollTaxes[company_name],$B1346,SalaryPayrollTaxes[bu_name],$C1346)*(Q401+Q506+Q611)+SUMIFS(ExpensePayrollTaxes[Month 6],ExpensePayrollTaxes[exp_item],$H716,ExpensePayrollTaxes[company_name],$B1346)*Q716)</f>
        <v>0</v>
      </c>
      <c r="R1346" s="652">
        <f>IF($B1346="",,SUMIFS(SalaryPayrollTaxes[Month 7],SalaryPayrollTaxes[exp_item],$H1346,SalaryPayrollTaxes[company_name],$B1346,SalaryPayrollTaxes[bu_name],$C1346)*(R401+R506+R611)+SUMIFS(ExpensePayrollTaxes[Month 7],ExpensePayrollTaxes[exp_item],$H716,ExpensePayrollTaxes[company_name],$B1346)*R716)</f>
        <v>0</v>
      </c>
      <c r="S1346" s="652">
        <f>IF($B1346="",,SUMIFS(SalaryPayrollTaxes[Month 8],SalaryPayrollTaxes[exp_item],$H1346,SalaryPayrollTaxes[company_name],$B1346,SalaryPayrollTaxes[bu_name],$C1346)*(S401+S506+S611)+SUMIFS(ExpensePayrollTaxes[Month 8],ExpensePayrollTaxes[exp_item],$H716,ExpensePayrollTaxes[company_name],$B1346)*S716)</f>
        <v>0</v>
      </c>
      <c r="T1346" s="652">
        <f>IF($B1346="",,SUMIFS(SalaryPayrollTaxes[Month 9],SalaryPayrollTaxes[exp_item],$H1346,SalaryPayrollTaxes[company_name],$B1346,SalaryPayrollTaxes[bu_name],$C1346)*(T401+T506+T611)+SUMIFS(ExpensePayrollTaxes[Month 9],ExpensePayrollTaxes[exp_item],$H716,ExpensePayrollTaxes[company_name],$B1346)*T716)</f>
        <v>0</v>
      </c>
      <c r="U1346" s="652">
        <f>IF($B1346="",,SUMIFS(SalaryPayrollTaxes[Month 10],SalaryPayrollTaxes[exp_item],$H1346,SalaryPayrollTaxes[company_name],$B1346,SalaryPayrollTaxes[bu_name],$C1346)*(U401+U506+U611)+SUMIFS(ExpensePayrollTaxes[Month 10],ExpensePayrollTaxes[exp_item],$H716,ExpensePayrollTaxes[company_name],$B1346)*U716)</f>
        <v>0</v>
      </c>
      <c r="V1346" s="652">
        <f>IF($B1346="",,SUMIFS(SalaryPayrollTaxes[Month 11],SalaryPayrollTaxes[exp_item],$H1346,SalaryPayrollTaxes[company_name],$B1346,SalaryPayrollTaxes[bu_name],$C1346)*(V401+V506+V611)+SUMIFS(ExpensePayrollTaxes[Month 11],ExpensePayrollTaxes[exp_item],$H716,ExpensePayrollTaxes[company_name],$B1346)*V716)</f>
        <v>0</v>
      </c>
      <c r="W1346" s="652">
        <f>IF($B1346="",,SUMIFS(SalaryPayrollTaxes[Month 12],SalaryPayrollTaxes[exp_item],$H1346,SalaryPayrollTaxes[company_name],$B1346,SalaryPayrollTaxes[bu_name],$C1346)*(W401+W506+W611)+SUMIFS(ExpensePayrollTaxes[Month 12],ExpensePayrollTaxes[exp_item],$H716,ExpensePayrollTaxes[company_name],$B1346)*W716)</f>
        <v>0</v>
      </c>
      <c r="X1346" s="652">
        <f>IF($B1346="",,SUMIFS(SalaryPayrollTaxes[Month 13],SalaryPayrollTaxes[exp_item],$H1346,SalaryPayrollTaxes[company_name],$B1346,SalaryPayrollTaxes[bu_name],$C1346)*(X401+X506+X611)+SUMIFS(ExpensePayrollTaxes[Month 13],ExpensePayrollTaxes[exp_item],$H716,ExpensePayrollTaxes[company_name],$B1346)*X716)</f>
        <v>0</v>
      </c>
      <c r="Y1346" s="652">
        <f>IF($B1346="",,SUMIFS(SalaryPayrollTaxes[Month 14],SalaryPayrollTaxes[exp_item],$H1346,SalaryPayrollTaxes[company_name],$B1346,SalaryPayrollTaxes[bu_name],$C1346)*(Y401+Y506+Y611)+SUMIFS(ExpensePayrollTaxes[Month 14],ExpensePayrollTaxes[exp_item],$H716,ExpensePayrollTaxes[company_name],$B1346)*Y716)</f>
        <v>0</v>
      </c>
      <c r="Z1346" s="652">
        <f>IF($B1346="",,SUMIFS(SalaryPayrollTaxes[Month 15],SalaryPayrollTaxes[exp_item],$H1346,SalaryPayrollTaxes[company_name],$B1346,SalaryPayrollTaxes[bu_name],$C1346)*(Z401+Z506+Z611)+SUMIFS(ExpensePayrollTaxes[Month 15],ExpensePayrollTaxes[exp_item],$H716,ExpensePayrollTaxes[company_name],$B1346)*Z716)</f>
        <v>0</v>
      </c>
      <c r="AA1346" s="652">
        <f>IF($B1346="",,SUMIFS(SalaryPayrollTaxes[Month 16],SalaryPayrollTaxes[exp_item],$H1346,SalaryPayrollTaxes[company_name],$B1346,SalaryPayrollTaxes[bu_name],$C1346)*(AA401+AA506+AA611)+SUMIFS(ExpensePayrollTaxes[Month 16],ExpensePayrollTaxes[exp_item],$H716,ExpensePayrollTaxes[company_name],$B1346)*AA716)</f>
        <v>0</v>
      </c>
      <c r="AB1346" s="652">
        <f>IF($B1346="",,SUMIFS(SalaryPayrollTaxes[Month 17],SalaryPayrollTaxes[exp_item],$H1346,SalaryPayrollTaxes[company_name],$B1346,SalaryPayrollTaxes[bu_name],$C1346)*(AB401+AB506+AB611)+SUMIFS(ExpensePayrollTaxes[Month 17],ExpensePayrollTaxes[exp_item],$H716,ExpensePayrollTaxes[company_name],$B1346)*AB716)</f>
        <v>0</v>
      </c>
      <c r="AC1346" s="652">
        <f>IF($B1346="",,SUMIFS(SalaryPayrollTaxes[Month 18],SalaryPayrollTaxes[exp_item],$H1346,SalaryPayrollTaxes[company_name],$B1346,SalaryPayrollTaxes[bu_name],$C1346)*(AC401+AC506+AC611)+SUMIFS(ExpensePayrollTaxes[Month 18],ExpensePayrollTaxes[exp_item],$H716,ExpensePayrollTaxes[company_name],$B1346)*AC716)</f>
        <v>0</v>
      </c>
      <c r="AD1346" s="652">
        <f>IF($B1346="",,SUMIFS(SalaryPayrollTaxes[Month 19],SalaryPayrollTaxes[exp_item],$H1346,SalaryPayrollTaxes[company_name],$B1346,SalaryPayrollTaxes[bu_name],$C1346)*(AD401+AD506+AD611)+SUMIFS(ExpensePayrollTaxes[Month 19],ExpensePayrollTaxes[exp_item],$H716,ExpensePayrollTaxes[company_name],$B1346)*AD716)</f>
        <v>0</v>
      </c>
      <c r="AE1346" s="652">
        <f>IF($B1346="",,SUMIFS(SalaryPayrollTaxes[Month 20],SalaryPayrollTaxes[exp_item],$H1346,SalaryPayrollTaxes[company_name],$B1346,SalaryPayrollTaxes[bu_name],$C1346)*(AE401+AE506+AE611)+SUMIFS(ExpensePayrollTaxes[Month 20],ExpensePayrollTaxes[exp_item],$H716,ExpensePayrollTaxes[company_name],$B1346)*AE716)</f>
        <v>0</v>
      </c>
      <c r="AF1346" s="652">
        <f>IF($B1346="",,SUMIFS(SalaryPayrollTaxes[Month 21],SalaryPayrollTaxes[exp_item],$H1346,SalaryPayrollTaxes[company_name],$B1346,SalaryPayrollTaxes[bu_name],$C1346)*(AF401+AF506+AF611)+SUMIFS(ExpensePayrollTaxes[Month 21],ExpensePayrollTaxes[exp_item],$H716,ExpensePayrollTaxes[company_name],$B1346)*AF716)</f>
        <v>0</v>
      </c>
      <c r="AG1346" s="652">
        <f>IF($B1346="",,SUMIFS(SalaryPayrollTaxes[Month 22],SalaryPayrollTaxes[exp_item],$H1346,SalaryPayrollTaxes[company_name],$B1346,SalaryPayrollTaxes[bu_name],$C1346)*(AG401+AG506+AG611)+SUMIFS(ExpensePayrollTaxes[Month 22],ExpensePayrollTaxes[exp_item],$H716,ExpensePayrollTaxes[company_name],$B1346)*AG716)</f>
        <v>0</v>
      </c>
      <c r="AH1346" s="652">
        <f>IF($B1346="",,SUMIFS(SalaryPayrollTaxes[Month 23],SalaryPayrollTaxes[exp_item],$H1346,SalaryPayrollTaxes[company_name],$B1346,SalaryPayrollTaxes[bu_name],$C1346)*(AH401+AH506+AH611)+SUMIFS(ExpensePayrollTaxes[Month 23],ExpensePayrollTaxes[exp_item],$H716,ExpensePayrollTaxes[company_name],$B1346)*AH716)</f>
        <v>0</v>
      </c>
      <c r="AI1346" s="652">
        <f>IF($B1346="",,SUMIFS(SalaryPayrollTaxes[Month 24],SalaryPayrollTaxes[exp_item],$H1346,SalaryPayrollTaxes[company_name],$B1346,SalaryPayrollTaxes[bu_name],$C1346)*(AI401+AI506+AI611)+SUMIFS(ExpensePayrollTaxes[Month 24],ExpensePayrollTaxes[exp_item],$H716,ExpensePayrollTaxes[company_name],$B1346)*AI716)</f>
        <v>0</v>
      </c>
      <c r="AJ1346" s="652">
        <f>IF($B1346="",,SUMIFS(SalaryPayrollTaxes[Month 25],SalaryPayrollTaxes[exp_item],$H1346,SalaryPayrollTaxes[company_name],$B1346,SalaryPayrollTaxes[bu_name],$C1346)*(AJ401+AJ506+AJ611)+SUMIFS(ExpensePayrollTaxes[Month 25],ExpensePayrollTaxes[exp_item],$H716,ExpensePayrollTaxes[company_name],$B1346)*AJ716)</f>
        <v>0</v>
      </c>
      <c r="AK1346" s="652">
        <f>IF($B1346="",,SUMIFS(SalaryPayrollTaxes[Month 26],SalaryPayrollTaxes[exp_item],$H1346,SalaryPayrollTaxes[company_name],$B1346,SalaryPayrollTaxes[bu_name],$C1346)*(AK401+AK506+AK611)+SUMIFS(ExpensePayrollTaxes[Month 26],ExpensePayrollTaxes[exp_item],$H716,ExpensePayrollTaxes[company_name],$B1346)*AK716)</f>
        <v>0</v>
      </c>
      <c r="AL1346" s="652">
        <f>IF($B1346="",,SUMIFS(SalaryPayrollTaxes[Month 27],SalaryPayrollTaxes[exp_item],$H1346,SalaryPayrollTaxes[company_name],$B1346,SalaryPayrollTaxes[bu_name],$C1346)*(AL401+AL506+AL611)+SUMIFS(ExpensePayrollTaxes[Month 27],ExpensePayrollTaxes[exp_item],$H716,ExpensePayrollTaxes[company_name],$B1346)*AL716)</f>
        <v>0</v>
      </c>
      <c r="AM1346" s="652">
        <f>IF($B1346="",,SUMIFS(SalaryPayrollTaxes[Month 28],SalaryPayrollTaxes[exp_item],$H1346,SalaryPayrollTaxes[company_name],$B1346,SalaryPayrollTaxes[bu_name],$C1346)*(AM401+AM506+AM611)+SUMIFS(ExpensePayrollTaxes[Month 28],ExpensePayrollTaxes[exp_item],$H716,ExpensePayrollTaxes[company_name],$B1346)*AM716)</f>
        <v>0</v>
      </c>
      <c r="AN1346" s="652">
        <f>IF($B1346="",,SUMIFS(SalaryPayrollTaxes[Month 29],SalaryPayrollTaxes[exp_item],$H1346,SalaryPayrollTaxes[company_name],$B1346,SalaryPayrollTaxes[bu_name],$C1346)*(AN401+AN506+AN611)+SUMIFS(ExpensePayrollTaxes[Month 29],ExpensePayrollTaxes[exp_item],$H716,ExpensePayrollTaxes[company_name],$B1346)*AN716)</f>
        <v>0</v>
      </c>
      <c r="AO1346" s="652">
        <f>IF($B1346="",,SUMIFS(SalaryPayrollTaxes[Month 30],SalaryPayrollTaxes[exp_item],$H1346,SalaryPayrollTaxes[company_name],$B1346,SalaryPayrollTaxes[bu_name],$C1346)*(AO401+AO506+AO611)+SUMIFS(ExpensePayrollTaxes[Month 30],ExpensePayrollTaxes[exp_item],$H716,ExpensePayrollTaxes[company_name],$B1346)*AO716)</f>
        <v>0</v>
      </c>
      <c r="AP1346" s="652">
        <f>IF($B1346="",,SUMIFS(SalaryPayrollTaxes[Month 31],SalaryPayrollTaxes[exp_item],$H1346,SalaryPayrollTaxes[company_name],$B1346,SalaryPayrollTaxes[bu_name],$C1346)*(AP401+AP506+AP611)+SUMIFS(ExpensePayrollTaxes[Month 31],ExpensePayrollTaxes[exp_item],$H716,ExpensePayrollTaxes[company_name],$B1346)*AP716)</f>
        <v>0</v>
      </c>
      <c r="AQ1346" s="652">
        <f>IF($B1346="",,SUMIFS(SalaryPayrollTaxes[Month 32],SalaryPayrollTaxes[exp_item],$H1346,SalaryPayrollTaxes[company_name],$B1346,SalaryPayrollTaxes[bu_name],$C1346)*(AQ401+AQ506+AQ611)+SUMIFS(ExpensePayrollTaxes[Month 32],ExpensePayrollTaxes[exp_item],$H716,ExpensePayrollTaxes[company_name],$B1346)*AQ716)</f>
        <v>0</v>
      </c>
      <c r="AR1346" s="652">
        <f>IF($B1346="",,SUMIFS(SalaryPayrollTaxes[Month 33],SalaryPayrollTaxes[exp_item],$H1346,SalaryPayrollTaxes[company_name],$B1346,SalaryPayrollTaxes[bu_name],$C1346)*(AR401+AR506+AR611)+SUMIFS(ExpensePayrollTaxes[Month 33],ExpensePayrollTaxes[exp_item],$H716,ExpensePayrollTaxes[company_name],$B1346)*AR716)</f>
        <v>0</v>
      </c>
      <c r="AS1346" s="652">
        <f>IF($B1346="",,SUMIFS(SalaryPayrollTaxes[Month 34],SalaryPayrollTaxes[exp_item],$H1346,SalaryPayrollTaxes[company_name],$B1346,SalaryPayrollTaxes[bu_name],$C1346)*(AS401+AS506+AS611)+SUMIFS(ExpensePayrollTaxes[Month 34],ExpensePayrollTaxes[exp_item],$H716,ExpensePayrollTaxes[company_name],$B1346)*AS716)</f>
        <v>0</v>
      </c>
      <c r="AT1346" s="652">
        <f>IF($B1346="",,SUMIFS(SalaryPayrollTaxes[Month 35],SalaryPayrollTaxes[exp_item],$H1346,SalaryPayrollTaxes[company_name],$B1346,SalaryPayrollTaxes[bu_name],$C1346)*(AT401+AT506+AT611)+SUMIFS(ExpensePayrollTaxes[Month 35],ExpensePayrollTaxes[exp_item],$H716,ExpensePayrollTaxes[company_name],$B1346)*AT716)</f>
        <v>0</v>
      </c>
      <c r="AU1346" s="652">
        <f>IF($B1346="",,SUMIFS(SalaryPayrollTaxes[Month 36],SalaryPayrollTaxes[exp_item],$H1346,SalaryPayrollTaxes[company_name],$B1346,SalaryPayrollTaxes[bu_name],$C1346)*(AU401+AU506+AU611)+SUMIFS(ExpensePayrollTaxes[Month 36],ExpensePayrollTaxes[exp_item],$H716,ExpensePayrollTaxes[company_name],$B1346)*AU716)</f>
        <v>0</v>
      </c>
    </row>
    <row r="1347" spans="2:47" x14ac:dyDescent="0.35">
      <c r="B1347" t="str">
        <f t="shared" si="988"/>
        <v/>
      </c>
      <c r="C1347" t="str">
        <f t="shared" si="988"/>
        <v/>
      </c>
      <c r="D1347" t="str">
        <f t="shared" si="988"/>
        <v/>
      </c>
      <c r="E1347" t="str">
        <f t="shared" si="988"/>
        <v/>
      </c>
      <c r="F1347" t="str">
        <f t="shared" si="988"/>
        <v/>
      </c>
      <c r="G1347" t="str">
        <f t="shared" si="988"/>
        <v/>
      </c>
      <c r="H1347" t="str">
        <f t="shared" si="989"/>
        <v/>
      </c>
      <c r="J1347" t="str">
        <f>IF($H1347="","",IF(VLOOKUP(H1347,ExpItems[],2,0),H1347&amp;" - "&amp;INDEX(DivisionMapping[category_code],MATCH($D1347&amp;$C1347,DivisionMapping[dept_bu],0)),H1347))</f>
        <v/>
      </c>
      <c r="K1347" t="str">
        <f t="shared" si="990"/>
        <v/>
      </c>
      <c r="L1347" s="652">
        <f>IF($B1347="",,SUMIFS(SalaryPayrollTaxes[Month 1],SalaryPayrollTaxes[exp_item],$H1347,SalaryPayrollTaxes[company_name],$B1347,SalaryPayrollTaxes[bu_name],$C1347)*(L402+L507+L612)+SUMIFS(ExpensePayrollTaxes[Month 1],ExpensePayrollTaxes[exp_item],$H717,ExpensePayrollTaxes[company_name],$B1347)*L717)</f>
        <v>0</v>
      </c>
      <c r="M1347" s="652">
        <f>IF($B1347="",,SUMIFS(SalaryPayrollTaxes[Month 2],SalaryPayrollTaxes[exp_item],$H1347,SalaryPayrollTaxes[company_name],$B1347,SalaryPayrollTaxes[bu_name],$C1347)*(M402+M507+M612)+SUMIFS(ExpensePayrollTaxes[Month 2],ExpensePayrollTaxes[exp_item],$H717,ExpensePayrollTaxes[company_name],$B1347)*M717)</f>
        <v>0</v>
      </c>
      <c r="N1347" s="652">
        <f>IF($B1347="",,SUMIFS(SalaryPayrollTaxes[Month 3],SalaryPayrollTaxes[exp_item],$H1347,SalaryPayrollTaxes[company_name],$B1347,SalaryPayrollTaxes[bu_name],$C1347)*(N402+N507+N612)+SUMIFS(ExpensePayrollTaxes[Month 3],ExpensePayrollTaxes[exp_item],$H717,ExpensePayrollTaxes[company_name],$B1347)*N717)</f>
        <v>0</v>
      </c>
      <c r="O1347" s="652">
        <f>IF($B1347="",,SUMIFS(SalaryPayrollTaxes[Month 4],SalaryPayrollTaxes[exp_item],$H1347,SalaryPayrollTaxes[company_name],$B1347,SalaryPayrollTaxes[bu_name],$C1347)*(O402+O507+O612)+SUMIFS(ExpensePayrollTaxes[Month 4],ExpensePayrollTaxes[exp_item],$H717,ExpensePayrollTaxes[company_name],$B1347)*O717)</f>
        <v>0</v>
      </c>
      <c r="P1347" s="652">
        <f>IF($B1347="",,SUMIFS(SalaryPayrollTaxes[Month 5],SalaryPayrollTaxes[exp_item],$H1347,SalaryPayrollTaxes[company_name],$B1347,SalaryPayrollTaxes[bu_name],$C1347)*(P402+P507+P612)+SUMIFS(ExpensePayrollTaxes[Month 5],ExpensePayrollTaxes[exp_item],$H717,ExpensePayrollTaxes[company_name],$B1347)*P717)</f>
        <v>0</v>
      </c>
      <c r="Q1347" s="652">
        <f>IF($B1347="",,SUMIFS(SalaryPayrollTaxes[Month 6],SalaryPayrollTaxes[exp_item],$H1347,SalaryPayrollTaxes[company_name],$B1347,SalaryPayrollTaxes[bu_name],$C1347)*(Q402+Q507+Q612)+SUMIFS(ExpensePayrollTaxes[Month 6],ExpensePayrollTaxes[exp_item],$H717,ExpensePayrollTaxes[company_name],$B1347)*Q717)</f>
        <v>0</v>
      </c>
      <c r="R1347" s="652">
        <f>IF($B1347="",,SUMIFS(SalaryPayrollTaxes[Month 7],SalaryPayrollTaxes[exp_item],$H1347,SalaryPayrollTaxes[company_name],$B1347,SalaryPayrollTaxes[bu_name],$C1347)*(R402+R507+R612)+SUMIFS(ExpensePayrollTaxes[Month 7],ExpensePayrollTaxes[exp_item],$H717,ExpensePayrollTaxes[company_name],$B1347)*R717)</f>
        <v>0</v>
      </c>
      <c r="S1347" s="652">
        <f>IF($B1347="",,SUMIFS(SalaryPayrollTaxes[Month 8],SalaryPayrollTaxes[exp_item],$H1347,SalaryPayrollTaxes[company_name],$B1347,SalaryPayrollTaxes[bu_name],$C1347)*(S402+S507+S612)+SUMIFS(ExpensePayrollTaxes[Month 8],ExpensePayrollTaxes[exp_item],$H717,ExpensePayrollTaxes[company_name],$B1347)*S717)</f>
        <v>0</v>
      </c>
      <c r="T1347" s="652">
        <f>IF($B1347="",,SUMIFS(SalaryPayrollTaxes[Month 9],SalaryPayrollTaxes[exp_item],$H1347,SalaryPayrollTaxes[company_name],$B1347,SalaryPayrollTaxes[bu_name],$C1347)*(T402+T507+T612)+SUMIFS(ExpensePayrollTaxes[Month 9],ExpensePayrollTaxes[exp_item],$H717,ExpensePayrollTaxes[company_name],$B1347)*T717)</f>
        <v>0</v>
      </c>
      <c r="U1347" s="652">
        <f>IF($B1347="",,SUMIFS(SalaryPayrollTaxes[Month 10],SalaryPayrollTaxes[exp_item],$H1347,SalaryPayrollTaxes[company_name],$B1347,SalaryPayrollTaxes[bu_name],$C1347)*(U402+U507+U612)+SUMIFS(ExpensePayrollTaxes[Month 10],ExpensePayrollTaxes[exp_item],$H717,ExpensePayrollTaxes[company_name],$B1347)*U717)</f>
        <v>0</v>
      </c>
      <c r="V1347" s="652">
        <f>IF($B1347="",,SUMIFS(SalaryPayrollTaxes[Month 11],SalaryPayrollTaxes[exp_item],$H1347,SalaryPayrollTaxes[company_name],$B1347,SalaryPayrollTaxes[bu_name],$C1347)*(V402+V507+V612)+SUMIFS(ExpensePayrollTaxes[Month 11],ExpensePayrollTaxes[exp_item],$H717,ExpensePayrollTaxes[company_name],$B1347)*V717)</f>
        <v>0</v>
      </c>
      <c r="W1347" s="652">
        <f>IF($B1347="",,SUMIFS(SalaryPayrollTaxes[Month 12],SalaryPayrollTaxes[exp_item],$H1347,SalaryPayrollTaxes[company_name],$B1347,SalaryPayrollTaxes[bu_name],$C1347)*(W402+W507+W612)+SUMIFS(ExpensePayrollTaxes[Month 12],ExpensePayrollTaxes[exp_item],$H717,ExpensePayrollTaxes[company_name],$B1347)*W717)</f>
        <v>0</v>
      </c>
      <c r="X1347" s="652">
        <f>IF($B1347="",,SUMIFS(SalaryPayrollTaxes[Month 13],SalaryPayrollTaxes[exp_item],$H1347,SalaryPayrollTaxes[company_name],$B1347,SalaryPayrollTaxes[bu_name],$C1347)*(X402+X507+X612)+SUMIFS(ExpensePayrollTaxes[Month 13],ExpensePayrollTaxes[exp_item],$H717,ExpensePayrollTaxes[company_name],$B1347)*X717)</f>
        <v>0</v>
      </c>
      <c r="Y1347" s="652">
        <f>IF($B1347="",,SUMIFS(SalaryPayrollTaxes[Month 14],SalaryPayrollTaxes[exp_item],$H1347,SalaryPayrollTaxes[company_name],$B1347,SalaryPayrollTaxes[bu_name],$C1347)*(Y402+Y507+Y612)+SUMIFS(ExpensePayrollTaxes[Month 14],ExpensePayrollTaxes[exp_item],$H717,ExpensePayrollTaxes[company_name],$B1347)*Y717)</f>
        <v>0</v>
      </c>
      <c r="Z1347" s="652">
        <f>IF($B1347="",,SUMIFS(SalaryPayrollTaxes[Month 15],SalaryPayrollTaxes[exp_item],$H1347,SalaryPayrollTaxes[company_name],$B1347,SalaryPayrollTaxes[bu_name],$C1347)*(Z402+Z507+Z612)+SUMIFS(ExpensePayrollTaxes[Month 15],ExpensePayrollTaxes[exp_item],$H717,ExpensePayrollTaxes[company_name],$B1347)*Z717)</f>
        <v>0</v>
      </c>
      <c r="AA1347" s="652">
        <f>IF($B1347="",,SUMIFS(SalaryPayrollTaxes[Month 16],SalaryPayrollTaxes[exp_item],$H1347,SalaryPayrollTaxes[company_name],$B1347,SalaryPayrollTaxes[bu_name],$C1347)*(AA402+AA507+AA612)+SUMIFS(ExpensePayrollTaxes[Month 16],ExpensePayrollTaxes[exp_item],$H717,ExpensePayrollTaxes[company_name],$B1347)*AA717)</f>
        <v>0</v>
      </c>
      <c r="AB1347" s="652">
        <f>IF($B1347="",,SUMIFS(SalaryPayrollTaxes[Month 17],SalaryPayrollTaxes[exp_item],$H1347,SalaryPayrollTaxes[company_name],$B1347,SalaryPayrollTaxes[bu_name],$C1347)*(AB402+AB507+AB612)+SUMIFS(ExpensePayrollTaxes[Month 17],ExpensePayrollTaxes[exp_item],$H717,ExpensePayrollTaxes[company_name],$B1347)*AB717)</f>
        <v>0</v>
      </c>
      <c r="AC1347" s="652">
        <f>IF($B1347="",,SUMIFS(SalaryPayrollTaxes[Month 18],SalaryPayrollTaxes[exp_item],$H1347,SalaryPayrollTaxes[company_name],$B1347,SalaryPayrollTaxes[bu_name],$C1347)*(AC402+AC507+AC612)+SUMIFS(ExpensePayrollTaxes[Month 18],ExpensePayrollTaxes[exp_item],$H717,ExpensePayrollTaxes[company_name],$B1347)*AC717)</f>
        <v>0</v>
      </c>
      <c r="AD1347" s="652">
        <f>IF($B1347="",,SUMIFS(SalaryPayrollTaxes[Month 19],SalaryPayrollTaxes[exp_item],$H1347,SalaryPayrollTaxes[company_name],$B1347,SalaryPayrollTaxes[bu_name],$C1347)*(AD402+AD507+AD612)+SUMIFS(ExpensePayrollTaxes[Month 19],ExpensePayrollTaxes[exp_item],$H717,ExpensePayrollTaxes[company_name],$B1347)*AD717)</f>
        <v>0</v>
      </c>
      <c r="AE1347" s="652">
        <f>IF($B1347="",,SUMIFS(SalaryPayrollTaxes[Month 20],SalaryPayrollTaxes[exp_item],$H1347,SalaryPayrollTaxes[company_name],$B1347,SalaryPayrollTaxes[bu_name],$C1347)*(AE402+AE507+AE612)+SUMIFS(ExpensePayrollTaxes[Month 20],ExpensePayrollTaxes[exp_item],$H717,ExpensePayrollTaxes[company_name],$B1347)*AE717)</f>
        <v>0</v>
      </c>
      <c r="AF1347" s="652">
        <f>IF($B1347="",,SUMIFS(SalaryPayrollTaxes[Month 21],SalaryPayrollTaxes[exp_item],$H1347,SalaryPayrollTaxes[company_name],$B1347,SalaryPayrollTaxes[bu_name],$C1347)*(AF402+AF507+AF612)+SUMIFS(ExpensePayrollTaxes[Month 21],ExpensePayrollTaxes[exp_item],$H717,ExpensePayrollTaxes[company_name],$B1347)*AF717)</f>
        <v>0</v>
      </c>
      <c r="AG1347" s="652">
        <f>IF($B1347="",,SUMIFS(SalaryPayrollTaxes[Month 22],SalaryPayrollTaxes[exp_item],$H1347,SalaryPayrollTaxes[company_name],$B1347,SalaryPayrollTaxes[bu_name],$C1347)*(AG402+AG507+AG612)+SUMIFS(ExpensePayrollTaxes[Month 22],ExpensePayrollTaxes[exp_item],$H717,ExpensePayrollTaxes[company_name],$B1347)*AG717)</f>
        <v>0</v>
      </c>
      <c r="AH1347" s="652">
        <f>IF($B1347="",,SUMIFS(SalaryPayrollTaxes[Month 23],SalaryPayrollTaxes[exp_item],$H1347,SalaryPayrollTaxes[company_name],$B1347,SalaryPayrollTaxes[bu_name],$C1347)*(AH402+AH507+AH612)+SUMIFS(ExpensePayrollTaxes[Month 23],ExpensePayrollTaxes[exp_item],$H717,ExpensePayrollTaxes[company_name],$B1347)*AH717)</f>
        <v>0</v>
      </c>
      <c r="AI1347" s="652">
        <f>IF($B1347="",,SUMIFS(SalaryPayrollTaxes[Month 24],SalaryPayrollTaxes[exp_item],$H1347,SalaryPayrollTaxes[company_name],$B1347,SalaryPayrollTaxes[bu_name],$C1347)*(AI402+AI507+AI612)+SUMIFS(ExpensePayrollTaxes[Month 24],ExpensePayrollTaxes[exp_item],$H717,ExpensePayrollTaxes[company_name],$B1347)*AI717)</f>
        <v>0</v>
      </c>
      <c r="AJ1347" s="652">
        <f>IF($B1347="",,SUMIFS(SalaryPayrollTaxes[Month 25],SalaryPayrollTaxes[exp_item],$H1347,SalaryPayrollTaxes[company_name],$B1347,SalaryPayrollTaxes[bu_name],$C1347)*(AJ402+AJ507+AJ612)+SUMIFS(ExpensePayrollTaxes[Month 25],ExpensePayrollTaxes[exp_item],$H717,ExpensePayrollTaxes[company_name],$B1347)*AJ717)</f>
        <v>0</v>
      </c>
      <c r="AK1347" s="652">
        <f>IF($B1347="",,SUMIFS(SalaryPayrollTaxes[Month 26],SalaryPayrollTaxes[exp_item],$H1347,SalaryPayrollTaxes[company_name],$B1347,SalaryPayrollTaxes[bu_name],$C1347)*(AK402+AK507+AK612)+SUMIFS(ExpensePayrollTaxes[Month 26],ExpensePayrollTaxes[exp_item],$H717,ExpensePayrollTaxes[company_name],$B1347)*AK717)</f>
        <v>0</v>
      </c>
      <c r="AL1347" s="652">
        <f>IF($B1347="",,SUMIFS(SalaryPayrollTaxes[Month 27],SalaryPayrollTaxes[exp_item],$H1347,SalaryPayrollTaxes[company_name],$B1347,SalaryPayrollTaxes[bu_name],$C1347)*(AL402+AL507+AL612)+SUMIFS(ExpensePayrollTaxes[Month 27],ExpensePayrollTaxes[exp_item],$H717,ExpensePayrollTaxes[company_name],$B1347)*AL717)</f>
        <v>0</v>
      </c>
      <c r="AM1347" s="652">
        <f>IF($B1347="",,SUMIFS(SalaryPayrollTaxes[Month 28],SalaryPayrollTaxes[exp_item],$H1347,SalaryPayrollTaxes[company_name],$B1347,SalaryPayrollTaxes[bu_name],$C1347)*(AM402+AM507+AM612)+SUMIFS(ExpensePayrollTaxes[Month 28],ExpensePayrollTaxes[exp_item],$H717,ExpensePayrollTaxes[company_name],$B1347)*AM717)</f>
        <v>0</v>
      </c>
      <c r="AN1347" s="652">
        <f>IF($B1347="",,SUMIFS(SalaryPayrollTaxes[Month 29],SalaryPayrollTaxes[exp_item],$H1347,SalaryPayrollTaxes[company_name],$B1347,SalaryPayrollTaxes[bu_name],$C1347)*(AN402+AN507+AN612)+SUMIFS(ExpensePayrollTaxes[Month 29],ExpensePayrollTaxes[exp_item],$H717,ExpensePayrollTaxes[company_name],$B1347)*AN717)</f>
        <v>0</v>
      </c>
      <c r="AO1347" s="652">
        <f>IF($B1347="",,SUMIFS(SalaryPayrollTaxes[Month 30],SalaryPayrollTaxes[exp_item],$H1347,SalaryPayrollTaxes[company_name],$B1347,SalaryPayrollTaxes[bu_name],$C1347)*(AO402+AO507+AO612)+SUMIFS(ExpensePayrollTaxes[Month 30],ExpensePayrollTaxes[exp_item],$H717,ExpensePayrollTaxes[company_name],$B1347)*AO717)</f>
        <v>0</v>
      </c>
      <c r="AP1347" s="652">
        <f>IF($B1347="",,SUMIFS(SalaryPayrollTaxes[Month 31],SalaryPayrollTaxes[exp_item],$H1347,SalaryPayrollTaxes[company_name],$B1347,SalaryPayrollTaxes[bu_name],$C1347)*(AP402+AP507+AP612)+SUMIFS(ExpensePayrollTaxes[Month 31],ExpensePayrollTaxes[exp_item],$H717,ExpensePayrollTaxes[company_name],$B1347)*AP717)</f>
        <v>0</v>
      </c>
      <c r="AQ1347" s="652">
        <f>IF($B1347="",,SUMIFS(SalaryPayrollTaxes[Month 32],SalaryPayrollTaxes[exp_item],$H1347,SalaryPayrollTaxes[company_name],$B1347,SalaryPayrollTaxes[bu_name],$C1347)*(AQ402+AQ507+AQ612)+SUMIFS(ExpensePayrollTaxes[Month 32],ExpensePayrollTaxes[exp_item],$H717,ExpensePayrollTaxes[company_name],$B1347)*AQ717)</f>
        <v>0</v>
      </c>
      <c r="AR1347" s="652">
        <f>IF($B1347="",,SUMIFS(SalaryPayrollTaxes[Month 33],SalaryPayrollTaxes[exp_item],$H1347,SalaryPayrollTaxes[company_name],$B1347,SalaryPayrollTaxes[bu_name],$C1347)*(AR402+AR507+AR612)+SUMIFS(ExpensePayrollTaxes[Month 33],ExpensePayrollTaxes[exp_item],$H717,ExpensePayrollTaxes[company_name],$B1347)*AR717)</f>
        <v>0</v>
      </c>
      <c r="AS1347" s="652">
        <f>IF($B1347="",,SUMIFS(SalaryPayrollTaxes[Month 34],SalaryPayrollTaxes[exp_item],$H1347,SalaryPayrollTaxes[company_name],$B1347,SalaryPayrollTaxes[bu_name],$C1347)*(AS402+AS507+AS612)+SUMIFS(ExpensePayrollTaxes[Month 34],ExpensePayrollTaxes[exp_item],$H717,ExpensePayrollTaxes[company_name],$B1347)*AS717)</f>
        <v>0</v>
      </c>
      <c r="AT1347" s="652">
        <f>IF($B1347="",,SUMIFS(SalaryPayrollTaxes[Month 35],SalaryPayrollTaxes[exp_item],$H1347,SalaryPayrollTaxes[company_name],$B1347,SalaryPayrollTaxes[bu_name],$C1347)*(AT402+AT507+AT612)+SUMIFS(ExpensePayrollTaxes[Month 35],ExpensePayrollTaxes[exp_item],$H717,ExpensePayrollTaxes[company_name],$B1347)*AT717)</f>
        <v>0</v>
      </c>
      <c r="AU1347" s="652">
        <f>IF($B1347="",,SUMIFS(SalaryPayrollTaxes[Month 36],SalaryPayrollTaxes[exp_item],$H1347,SalaryPayrollTaxes[company_name],$B1347,SalaryPayrollTaxes[bu_name],$C1347)*(AU402+AU507+AU612)+SUMIFS(ExpensePayrollTaxes[Month 36],ExpensePayrollTaxes[exp_item],$H717,ExpensePayrollTaxes[company_name],$B1347)*AU717)</f>
        <v>0</v>
      </c>
    </row>
    <row r="1348" spans="2:47" x14ac:dyDescent="0.35">
      <c r="B1348" t="str">
        <f t="shared" si="988"/>
        <v/>
      </c>
      <c r="C1348" t="str">
        <f t="shared" si="988"/>
        <v/>
      </c>
      <c r="D1348" t="str">
        <f t="shared" si="988"/>
        <v/>
      </c>
      <c r="E1348" t="str">
        <f t="shared" si="988"/>
        <v/>
      </c>
      <c r="F1348" t="str">
        <f t="shared" si="988"/>
        <v/>
      </c>
      <c r="G1348" t="str">
        <f t="shared" si="988"/>
        <v/>
      </c>
      <c r="H1348" t="str">
        <f t="shared" si="989"/>
        <v/>
      </c>
      <c r="J1348" t="str">
        <f>IF($H1348="","",IF(VLOOKUP(H1348,ExpItems[],2,0),H1348&amp;" - "&amp;INDEX(DivisionMapping[category_code],MATCH($D1348&amp;$C1348,DivisionMapping[dept_bu],0)),H1348))</f>
        <v/>
      </c>
      <c r="K1348" t="str">
        <f t="shared" si="990"/>
        <v/>
      </c>
      <c r="L1348" s="652">
        <f>IF($B1348="",,SUMIFS(SalaryPayrollTaxes[Month 1],SalaryPayrollTaxes[exp_item],$H1348,SalaryPayrollTaxes[company_name],$B1348,SalaryPayrollTaxes[bu_name],$C1348)*(L403+L508+L613)+SUMIFS(ExpensePayrollTaxes[Month 1],ExpensePayrollTaxes[exp_item],$H718,ExpensePayrollTaxes[company_name],$B1348)*L718)</f>
        <v>0</v>
      </c>
      <c r="M1348" s="652">
        <f>IF($B1348="",,SUMIFS(SalaryPayrollTaxes[Month 2],SalaryPayrollTaxes[exp_item],$H1348,SalaryPayrollTaxes[company_name],$B1348,SalaryPayrollTaxes[bu_name],$C1348)*(M403+M508+M613)+SUMIFS(ExpensePayrollTaxes[Month 2],ExpensePayrollTaxes[exp_item],$H718,ExpensePayrollTaxes[company_name],$B1348)*M718)</f>
        <v>0</v>
      </c>
      <c r="N1348" s="652">
        <f>IF($B1348="",,SUMIFS(SalaryPayrollTaxes[Month 3],SalaryPayrollTaxes[exp_item],$H1348,SalaryPayrollTaxes[company_name],$B1348,SalaryPayrollTaxes[bu_name],$C1348)*(N403+N508+N613)+SUMIFS(ExpensePayrollTaxes[Month 3],ExpensePayrollTaxes[exp_item],$H718,ExpensePayrollTaxes[company_name],$B1348)*N718)</f>
        <v>0</v>
      </c>
      <c r="O1348" s="652">
        <f>IF($B1348="",,SUMIFS(SalaryPayrollTaxes[Month 4],SalaryPayrollTaxes[exp_item],$H1348,SalaryPayrollTaxes[company_name],$B1348,SalaryPayrollTaxes[bu_name],$C1348)*(O403+O508+O613)+SUMIFS(ExpensePayrollTaxes[Month 4],ExpensePayrollTaxes[exp_item],$H718,ExpensePayrollTaxes[company_name],$B1348)*O718)</f>
        <v>0</v>
      </c>
      <c r="P1348" s="652">
        <f>IF($B1348="",,SUMIFS(SalaryPayrollTaxes[Month 5],SalaryPayrollTaxes[exp_item],$H1348,SalaryPayrollTaxes[company_name],$B1348,SalaryPayrollTaxes[bu_name],$C1348)*(P403+P508+P613)+SUMIFS(ExpensePayrollTaxes[Month 5],ExpensePayrollTaxes[exp_item],$H718,ExpensePayrollTaxes[company_name],$B1348)*P718)</f>
        <v>0</v>
      </c>
      <c r="Q1348" s="652">
        <f>IF($B1348="",,SUMIFS(SalaryPayrollTaxes[Month 6],SalaryPayrollTaxes[exp_item],$H1348,SalaryPayrollTaxes[company_name],$B1348,SalaryPayrollTaxes[bu_name],$C1348)*(Q403+Q508+Q613)+SUMIFS(ExpensePayrollTaxes[Month 6],ExpensePayrollTaxes[exp_item],$H718,ExpensePayrollTaxes[company_name],$B1348)*Q718)</f>
        <v>0</v>
      </c>
      <c r="R1348" s="652">
        <f>IF($B1348="",,SUMIFS(SalaryPayrollTaxes[Month 7],SalaryPayrollTaxes[exp_item],$H1348,SalaryPayrollTaxes[company_name],$B1348,SalaryPayrollTaxes[bu_name],$C1348)*(R403+R508+R613)+SUMIFS(ExpensePayrollTaxes[Month 7],ExpensePayrollTaxes[exp_item],$H718,ExpensePayrollTaxes[company_name],$B1348)*R718)</f>
        <v>0</v>
      </c>
      <c r="S1348" s="652">
        <f>IF($B1348="",,SUMIFS(SalaryPayrollTaxes[Month 8],SalaryPayrollTaxes[exp_item],$H1348,SalaryPayrollTaxes[company_name],$B1348,SalaryPayrollTaxes[bu_name],$C1348)*(S403+S508+S613)+SUMIFS(ExpensePayrollTaxes[Month 8],ExpensePayrollTaxes[exp_item],$H718,ExpensePayrollTaxes[company_name],$B1348)*S718)</f>
        <v>0</v>
      </c>
      <c r="T1348" s="652">
        <f>IF($B1348="",,SUMIFS(SalaryPayrollTaxes[Month 9],SalaryPayrollTaxes[exp_item],$H1348,SalaryPayrollTaxes[company_name],$B1348,SalaryPayrollTaxes[bu_name],$C1348)*(T403+T508+T613)+SUMIFS(ExpensePayrollTaxes[Month 9],ExpensePayrollTaxes[exp_item],$H718,ExpensePayrollTaxes[company_name],$B1348)*T718)</f>
        <v>0</v>
      </c>
      <c r="U1348" s="652">
        <f>IF($B1348="",,SUMIFS(SalaryPayrollTaxes[Month 10],SalaryPayrollTaxes[exp_item],$H1348,SalaryPayrollTaxes[company_name],$B1348,SalaryPayrollTaxes[bu_name],$C1348)*(U403+U508+U613)+SUMIFS(ExpensePayrollTaxes[Month 10],ExpensePayrollTaxes[exp_item],$H718,ExpensePayrollTaxes[company_name],$B1348)*U718)</f>
        <v>0</v>
      </c>
      <c r="V1348" s="652">
        <f>IF($B1348="",,SUMIFS(SalaryPayrollTaxes[Month 11],SalaryPayrollTaxes[exp_item],$H1348,SalaryPayrollTaxes[company_name],$B1348,SalaryPayrollTaxes[bu_name],$C1348)*(V403+V508+V613)+SUMIFS(ExpensePayrollTaxes[Month 11],ExpensePayrollTaxes[exp_item],$H718,ExpensePayrollTaxes[company_name],$B1348)*V718)</f>
        <v>0</v>
      </c>
      <c r="W1348" s="652">
        <f>IF($B1348="",,SUMIFS(SalaryPayrollTaxes[Month 12],SalaryPayrollTaxes[exp_item],$H1348,SalaryPayrollTaxes[company_name],$B1348,SalaryPayrollTaxes[bu_name],$C1348)*(W403+W508+W613)+SUMIFS(ExpensePayrollTaxes[Month 12],ExpensePayrollTaxes[exp_item],$H718,ExpensePayrollTaxes[company_name],$B1348)*W718)</f>
        <v>0</v>
      </c>
      <c r="X1348" s="652">
        <f>IF($B1348="",,SUMIFS(SalaryPayrollTaxes[Month 13],SalaryPayrollTaxes[exp_item],$H1348,SalaryPayrollTaxes[company_name],$B1348,SalaryPayrollTaxes[bu_name],$C1348)*(X403+X508+X613)+SUMIFS(ExpensePayrollTaxes[Month 13],ExpensePayrollTaxes[exp_item],$H718,ExpensePayrollTaxes[company_name],$B1348)*X718)</f>
        <v>0</v>
      </c>
      <c r="Y1348" s="652">
        <f>IF($B1348="",,SUMIFS(SalaryPayrollTaxes[Month 14],SalaryPayrollTaxes[exp_item],$H1348,SalaryPayrollTaxes[company_name],$B1348,SalaryPayrollTaxes[bu_name],$C1348)*(Y403+Y508+Y613)+SUMIFS(ExpensePayrollTaxes[Month 14],ExpensePayrollTaxes[exp_item],$H718,ExpensePayrollTaxes[company_name],$B1348)*Y718)</f>
        <v>0</v>
      </c>
      <c r="Z1348" s="652">
        <f>IF($B1348="",,SUMIFS(SalaryPayrollTaxes[Month 15],SalaryPayrollTaxes[exp_item],$H1348,SalaryPayrollTaxes[company_name],$B1348,SalaryPayrollTaxes[bu_name],$C1348)*(Z403+Z508+Z613)+SUMIFS(ExpensePayrollTaxes[Month 15],ExpensePayrollTaxes[exp_item],$H718,ExpensePayrollTaxes[company_name],$B1348)*Z718)</f>
        <v>0</v>
      </c>
      <c r="AA1348" s="652">
        <f>IF($B1348="",,SUMIFS(SalaryPayrollTaxes[Month 16],SalaryPayrollTaxes[exp_item],$H1348,SalaryPayrollTaxes[company_name],$B1348,SalaryPayrollTaxes[bu_name],$C1348)*(AA403+AA508+AA613)+SUMIFS(ExpensePayrollTaxes[Month 16],ExpensePayrollTaxes[exp_item],$H718,ExpensePayrollTaxes[company_name],$B1348)*AA718)</f>
        <v>0</v>
      </c>
      <c r="AB1348" s="652">
        <f>IF($B1348="",,SUMIFS(SalaryPayrollTaxes[Month 17],SalaryPayrollTaxes[exp_item],$H1348,SalaryPayrollTaxes[company_name],$B1348,SalaryPayrollTaxes[bu_name],$C1348)*(AB403+AB508+AB613)+SUMIFS(ExpensePayrollTaxes[Month 17],ExpensePayrollTaxes[exp_item],$H718,ExpensePayrollTaxes[company_name],$B1348)*AB718)</f>
        <v>0</v>
      </c>
      <c r="AC1348" s="652">
        <f>IF($B1348="",,SUMIFS(SalaryPayrollTaxes[Month 18],SalaryPayrollTaxes[exp_item],$H1348,SalaryPayrollTaxes[company_name],$B1348,SalaryPayrollTaxes[bu_name],$C1348)*(AC403+AC508+AC613)+SUMIFS(ExpensePayrollTaxes[Month 18],ExpensePayrollTaxes[exp_item],$H718,ExpensePayrollTaxes[company_name],$B1348)*AC718)</f>
        <v>0</v>
      </c>
      <c r="AD1348" s="652">
        <f>IF($B1348="",,SUMIFS(SalaryPayrollTaxes[Month 19],SalaryPayrollTaxes[exp_item],$H1348,SalaryPayrollTaxes[company_name],$B1348,SalaryPayrollTaxes[bu_name],$C1348)*(AD403+AD508+AD613)+SUMIFS(ExpensePayrollTaxes[Month 19],ExpensePayrollTaxes[exp_item],$H718,ExpensePayrollTaxes[company_name],$B1348)*AD718)</f>
        <v>0</v>
      </c>
      <c r="AE1348" s="652">
        <f>IF($B1348="",,SUMIFS(SalaryPayrollTaxes[Month 20],SalaryPayrollTaxes[exp_item],$H1348,SalaryPayrollTaxes[company_name],$B1348,SalaryPayrollTaxes[bu_name],$C1348)*(AE403+AE508+AE613)+SUMIFS(ExpensePayrollTaxes[Month 20],ExpensePayrollTaxes[exp_item],$H718,ExpensePayrollTaxes[company_name],$B1348)*AE718)</f>
        <v>0</v>
      </c>
      <c r="AF1348" s="652">
        <f>IF($B1348="",,SUMIFS(SalaryPayrollTaxes[Month 21],SalaryPayrollTaxes[exp_item],$H1348,SalaryPayrollTaxes[company_name],$B1348,SalaryPayrollTaxes[bu_name],$C1348)*(AF403+AF508+AF613)+SUMIFS(ExpensePayrollTaxes[Month 21],ExpensePayrollTaxes[exp_item],$H718,ExpensePayrollTaxes[company_name],$B1348)*AF718)</f>
        <v>0</v>
      </c>
      <c r="AG1348" s="652">
        <f>IF($B1348="",,SUMIFS(SalaryPayrollTaxes[Month 22],SalaryPayrollTaxes[exp_item],$H1348,SalaryPayrollTaxes[company_name],$B1348,SalaryPayrollTaxes[bu_name],$C1348)*(AG403+AG508+AG613)+SUMIFS(ExpensePayrollTaxes[Month 22],ExpensePayrollTaxes[exp_item],$H718,ExpensePayrollTaxes[company_name],$B1348)*AG718)</f>
        <v>0</v>
      </c>
      <c r="AH1348" s="652">
        <f>IF($B1348="",,SUMIFS(SalaryPayrollTaxes[Month 23],SalaryPayrollTaxes[exp_item],$H1348,SalaryPayrollTaxes[company_name],$B1348,SalaryPayrollTaxes[bu_name],$C1348)*(AH403+AH508+AH613)+SUMIFS(ExpensePayrollTaxes[Month 23],ExpensePayrollTaxes[exp_item],$H718,ExpensePayrollTaxes[company_name],$B1348)*AH718)</f>
        <v>0</v>
      </c>
      <c r="AI1348" s="652">
        <f>IF($B1348="",,SUMIFS(SalaryPayrollTaxes[Month 24],SalaryPayrollTaxes[exp_item],$H1348,SalaryPayrollTaxes[company_name],$B1348,SalaryPayrollTaxes[bu_name],$C1348)*(AI403+AI508+AI613)+SUMIFS(ExpensePayrollTaxes[Month 24],ExpensePayrollTaxes[exp_item],$H718,ExpensePayrollTaxes[company_name],$B1348)*AI718)</f>
        <v>0</v>
      </c>
      <c r="AJ1348" s="652">
        <f>IF($B1348="",,SUMIFS(SalaryPayrollTaxes[Month 25],SalaryPayrollTaxes[exp_item],$H1348,SalaryPayrollTaxes[company_name],$B1348,SalaryPayrollTaxes[bu_name],$C1348)*(AJ403+AJ508+AJ613)+SUMIFS(ExpensePayrollTaxes[Month 25],ExpensePayrollTaxes[exp_item],$H718,ExpensePayrollTaxes[company_name],$B1348)*AJ718)</f>
        <v>0</v>
      </c>
      <c r="AK1348" s="652">
        <f>IF($B1348="",,SUMIFS(SalaryPayrollTaxes[Month 26],SalaryPayrollTaxes[exp_item],$H1348,SalaryPayrollTaxes[company_name],$B1348,SalaryPayrollTaxes[bu_name],$C1348)*(AK403+AK508+AK613)+SUMIFS(ExpensePayrollTaxes[Month 26],ExpensePayrollTaxes[exp_item],$H718,ExpensePayrollTaxes[company_name],$B1348)*AK718)</f>
        <v>0</v>
      </c>
      <c r="AL1348" s="652">
        <f>IF($B1348="",,SUMIFS(SalaryPayrollTaxes[Month 27],SalaryPayrollTaxes[exp_item],$H1348,SalaryPayrollTaxes[company_name],$B1348,SalaryPayrollTaxes[bu_name],$C1348)*(AL403+AL508+AL613)+SUMIFS(ExpensePayrollTaxes[Month 27],ExpensePayrollTaxes[exp_item],$H718,ExpensePayrollTaxes[company_name],$B1348)*AL718)</f>
        <v>0</v>
      </c>
      <c r="AM1348" s="652">
        <f>IF($B1348="",,SUMIFS(SalaryPayrollTaxes[Month 28],SalaryPayrollTaxes[exp_item],$H1348,SalaryPayrollTaxes[company_name],$B1348,SalaryPayrollTaxes[bu_name],$C1348)*(AM403+AM508+AM613)+SUMIFS(ExpensePayrollTaxes[Month 28],ExpensePayrollTaxes[exp_item],$H718,ExpensePayrollTaxes[company_name],$B1348)*AM718)</f>
        <v>0</v>
      </c>
      <c r="AN1348" s="652">
        <f>IF($B1348="",,SUMIFS(SalaryPayrollTaxes[Month 29],SalaryPayrollTaxes[exp_item],$H1348,SalaryPayrollTaxes[company_name],$B1348,SalaryPayrollTaxes[bu_name],$C1348)*(AN403+AN508+AN613)+SUMIFS(ExpensePayrollTaxes[Month 29],ExpensePayrollTaxes[exp_item],$H718,ExpensePayrollTaxes[company_name],$B1348)*AN718)</f>
        <v>0</v>
      </c>
      <c r="AO1348" s="652">
        <f>IF($B1348="",,SUMIFS(SalaryPayrollTaxes[Month 30],SalaryPayrollTaxes[exp_item],$H1348,SalaryPayrollTaxes[company_name],$B1348,SalaryPayrollTaxes[bu_name],$C1348)*(AO403+AO508+AO613)+SUMIFS(ExpensePayrollTaxes[Month 30],ExpensePayrollTaxes[exp_item],$H718,ExpensePayrollTaxes[company_name],$B1348)*AO718)</f>
        <v>0</v>
      </c>
      <c r="AP1348" s="652">
        <f>IF($B1348="",,SUMIFS(SalaryPayrollTaxes[Month 31],SalaryPayrollTaxes[exp_item],$H1348,SalaryPayrollTaxes[company_name],$B1348,SalaryPayrollTaxes[bu_name],$C1348)*(AP403+AP508+AP613)+SUMIFS(ExpensePayrollTaxes[Month 31],ExpensePayrollTaxes[exp_item],$H718,ExpensePayrollTaxes[company_name],$B1348)*AP718)</f>
        <v>0</v>
      </c>
      <c r="AQ1348" s="652">
        <f>IF($B1348="",,SUMIFS(SalaryPayrollTaxes[Month 32],SalaryPayrollTaxes[exp_item],$H1348,SalaryPayrollTaxes[company_name],$B1348,SalaryPayrollTaxes[bu_name],$C1348)*(AQ403+AQ508+AQ613)+SUMIFS(ExpensePayrollTaxes[Month 32],ExpensePayrollTaxes[exp_item],$H718,ExpensePayrollTaxes[company_name],$B1348)*AQ718)</f>
        <v>0</v>
      </c>
      <c r="AR1348" s="652">
        <f>IF($B1348="",,SUMIFS(SalaryPayrollTaxes[Month 33],SalaryPayrollTaxes[exp_item],$H1348,SalaryPayrollTaxes[company_name],$B1348,SalaryPayrollTaxes[bu_name],$C1348)*(AR403+AR508+AR613)+SUMIFS(ExpensePayrollTaxes[Month 33],ExpensePayrollTaxes[exp_item],$H718,ExpensePayrollTaxes[company_name],$B1348)*AR718)</f>
        <v>0</v>
      </c>
      <c r="AS1348" s="652">
        <f>IF($B1348="",,SUMIFS(SalaryPayrollTaxes[Month 34],SalaryPayrollTaxes[exp_item],$H1348,SalaryPayrollTaxes[company_name],$B1348,SalaryPayrollTaxes[bu_name],$C1348)*(AS403+AS508+AS613)+SUMIFS(ExpensePayrollTaxes[Month 34],ExpensePayrollTaxes[exp_item],$H718,ExpensePayrollTaxes[company_name],$B1348)*AS718)</f>
        <v>0</v>
      </c>
      <c r="AT1348" s="652">
        <f>IF($B1348="",,SUMIFS(SalaryPayrollTaxes[Month 35],SalaryPayrollTaxes[exp_item],$H1348,SalaryPayrollTaxes[company_name],$B1348,SalaryPayrollTaxes[bu_name],$C1348)*(AT403+AT508+AT613)+SUMIFS(ExpensePayrollTaxes[Month 35],ExpensePayrollTaxes[exp_item],$H718,ExpensePayrollTaxes[company_name],$B1348)*AT718)</f>
        <v>0</v>
      </c>
      <c r="AU1348" s="652">
        <f>IF($B1348="",,SUMIFS(SalaryPayrollTaxes[Month 36],SalaryPayrollTaxes[exp_item],$H1348,SalaryPayrollTaxes[company_name],$B1348,SalaryPayrollTaxes[bu_name],$C1348)*(AU403+AU508+AU613)+SUMIFS(ExpensePayrollTaxes[Month 36],ExpensePayrollTaxes[exp_item],$H718,ExpensePayrollTaxes[company_name],$B1348)*AU718)</f>
        <v>0</v>
      </c>
    </row>
    <row r="1349" spans="2:47" x14ac:dyDescent="0.35">
      <c r="B1349" t="str">
        <f t="shared" si="988"/>
        <v/>
      </c>
      <c r="C1349" t="str">
        <f t="shared" si="988"/>
        <v/>
      </c>
      <c r="D1349" t="str">
        <f t="shared" si="988"/>
        <v/>
      </c>
      <c r="E1349" t="str">
        <f t="shared" si="988"/>
        <v/>
      </c>
      <c r="F1349" t="str">
        <f t="shared" si="988"/>
        <v/>
      </c>
      <c r="G1349" t="str">
        <f t="shared" si="988"/>
        <v/>
      </c>
      <c r="H1349" t="str">
        <f t="shared" si="989"/>
        <v/>
      </c>
      <c r="J1349" t="str">
        <f>IF($H1349="","",IF(VLOOKUP(H1349,ExpItems[],2,0),H1349&amp;" - "&amp;INDEX(DivisionMapping[category_code],MATCH($D1349&amp;$C1349,DivisionMapping[dept_bu],0)),H1349))</f>
        <v/>
      </c>
      <c r="K1349" t="str">
        <f t="shared" si="990"/>
        <v/>
      </c>
      <c r="L1349" s="652">
        <f>IF($B1349="",,SUMIFS(SalaryPayrollTaxes[Month 1],SalaryPayrollTaxes[exp_item],$H1349,SalaryPayrollTaxes[company_name],$B1349,SalaryPayrollTaxes[bu_name],$C1349)*(L404+L509+L614)+SUMIFS(ExpensePayrollTaxes[Month 1],ExpensePayrollTaxes[exp_item],$H719,ExpensePayrollTaxes[company_name],$B1349)*L719)</f>
        <v>0</v>
      </c>
      <c r="M1349" s="652">
        <f>IF($B1349="",,SUMIFS(SalaryPayrollTaxes[Month 2],SalaryPayrollTaxes[exp_item],$H1349,SalaryPayrollTaxes[company_name],$B1349,SalaryPayrollTaxes[bu_name],$C1349)*(M404+M509+M614)+SUMIFS(ExpensePayrollTaxes[Month 2],ExpensePayrollTaxes[exp_item],$H719,ExpensePayrollTaxes[company_name],$B1349)*M719)</f>
        <v>0</v>
      </c>
      <c r="N1349" s="652">
        <f>IF($B1349="",,SUMIFS(SalaryPayrollTaxes[Month 3],SalaryPayrollTaxes[exp_item],$H1349,SalaryPayrollTaxes[company_name],$B1349,SalaryPayrollTaxes[bu_name],$C1349)*(N404+N509+N614)+SUMIFS(ExpensePayrollTaxes[Month 3],ExpensePayrollTaxes[exp_item],$H719,ExpensePayrollTaxes[company_name],$B1349)*N719)</f>
        <v>0</v>
      </c>
      <c r="O1349" s="652">
        <f>IF($B1349="",,SUMIFS(SalaryPayrollTaxes[Month 4],SalaryPayrollTaxes[exp_item],$H1349,SalaryPayrollTaxes[company_name],$B1349,SalaryPayrollTaxes[bu_name],$C1349)*(O404+O509+O614)+SUMIFS(ExpensePayrollTaxes[Month 4],ExpensePayrollTaxes[exp_item],$H719,ExpensePayrollTaxes[company_name],$B1349)*O719)</f>
        <v>0</v>
      </c>
      <c r="P1349" s="652">
        <f>IF($B1349="",,SUMIFS(SalaryPayrollTaxes[Month 5],SalaryPayrollTaxes[exp_item],$H1349,SalaryPayrollTaxes[company_name],$B1349,SalaryPayrollTaxes[bu_name],$C1349)*(P404+P509+P614)+SUMIFS(ExpensePayrollTaxes[Month 5],ExpensePayrollTaxes[exp_item],$H719,ExpensePayrollTaxes[company_name],$B1349)*P719)</f>
        <v>0</v>
      </c>
      <c r="Q1349" s="652">
        <f>IF($B1349="",,SUMIFS(SalaryPayrollTaxes[Month 6],SalaryPayrollTaxes[exp_item],$H1349,SalaryPayrollTaxes[company_name],$B1349,SalaryPayrollTaxes[bu_name],$C1349)*(Q404+Q509+Q614)+SUMIFS(ExpensePayrollTaxes[Month 6],ExpensePayrollTaxes[exp_item],$H719,ExpensePayrollTaxes[company_name],$B1349)*Q719)</f>
        <v>0</v>
      </c>
      <c r="R1349" s="652">
        <f>IF($B1349="",,SUMIFS(SalaryPayrollTaxes[Month 7],SalaryPayrollTaxes[exp_item],$H1349,SalaryPayrollTaxes[company_name],$B1349,SalaryPayrollTaxes[bu_name],$C1349)*(R404+R509+R614)+SUMIFS(ExpensePayrollTaxes[Month 7],ExpensePayrollTaxes[exp_item],$H719,ExpensePayrollTaxes[company_name],$B1349)*R719)</f>
        <v>0</v>
      </c>
      <c r="S1349" s="652">
        <f>IF($B1349="",,SUMIFS(SalaryPayrollTaxes[Month 8],SalaryPayrollTaxes[exp_item],$H1349,SalaryPayrollTaxes[company_name],$B1349,SalaryPayrollTaxes[bu_name],$C1349)*(S404+S509+S614)+SUMIFS(ExpensePayrollTaxes[Month 8],ExpensePayrollTaxes[exp_item],$H719,ExpensePayrollTaxes[company_name],$B1349)*S719)</f>
        <v>0</v>
      </c>
      <c r="T1349" s="652">
        <f>IF($B1349="",,SUMIFS(SalaryPayrollTaxes[Month 9],SalaryPayrollTaxes[exp_item],$H1349,SalaryPayrollTaxes[company_name],$B1349,SalaryPayrollTaxes[bu_name],$C1349)*(T404+T509+T614)+SUMIFS(ExpensePayrollTaxes[Month 9],ExpensePayrollTaxes[exp_item],$H719,ExpensePayrollTaxes[company_name],$B1349)*T719)</f>
        <v>0</v>
      </c>
      <c r="U1349" s="652">
        <f>IF($B1349="",,SUMIFS(SalaryPayrollTaxes[Month 10],SalaryPayrollTaxes[exp_item],$H1349,SalaryPayrollTaxes[company_name],$B1349,SalaryPayrollTaxes[bu_name],$C1349)*(U404+U509+U614)+SUMIFS(ExpensePayrollTaxes[Month 10],ExpensePayrollTaxes[exp_item],$H719,ExpensePayrollTaxes[company_name],$B1349)*U719)</f>
        <v>0</v>
      </c>
      <c r="V1349" s="652">
        <f>IF($B1349="",,SUMIFS(SalaryPayrollTaxes[Month 11],SalaryPayrollTaxes[exp_item],$H1349,SalaryPayrollTaxes[company_name],$B1349,SalaryPayrollTaxes[bu_name],$C1349)*(V404+V509+V614)+SUMIFS(ExpensePayrollTaxes[Month 11],ExpensePayrollTaxes[exp_item],$H719,ExpensePayrollTaxes[company_name],$B1349)*V719)</f>
        <v>0</v>
      </c>
      <c r="W1349" s="652">
        <f>IF($B1349="",,SUMIFS(SalaryPayrollTaxes[Month 12],SalaryPayrollTaxes[exp_item],$H1349,SalaryPayrollTaxes[company_name],$B1349,SalaryPayrollTaxes[bu_name],$C1349)*(W404+W509+W614)+SUMIFS(ExpensePayrollTaxes[Month 12],ExpensePayrollTaxes[exp_item],$H719,ExpensePayrollTaxes[company_name],$B1349)*W719)</f>
        <v>0</v>
      </c>
      <c r="X1349" s="652">
        <f>IF($B1349="",,SUMIFS(SalaryPayrollTaxes[Month 13],SalaryPayrollTaxes[exp_item],$H1349,SalaryPayrollTaxes[company_name],$B1349,SalaryPayrollTaxes[bu_name],$C1349)*(X404+X509+X614)+SUMIFS(ExpensePayrollTaxes[Month 13],ExpensePayrollTaxes[exp_item],$H719,ExpensePayrollTaxes[company_name],$B1349)*X719)</f>
        <v>0</v>
      </c>
      <c r="Y1349" s="652">
        <f>IF($B1349="",,SUMIFS(SalaryPayrollTaxes[Month 14],SalaryPayrollTaxes[exp_item],$H1349,SalaryPayrollTaxes[company_name],$B1349,SalaryPayrollTaxes[bu_name],$C1349)*(Y404+Y509+Y614)+SUMIFS(ExpensePayrollTaxes[Month 14],ExpensePayrollTaxes[exp_item],$H719,ExpensePayrollTaxes[company_name],$B1349)*Y719)</f>
        <v>0</v>
      </c>
      <c r="Z1349" s="652">
        <f>IF($B1349="",,SUMIFS(SalaryPayrollTaxes[Month 15],SalaryPayrollTaxes[exp_item],$H1349,SalaryPayrollTaxes[company_name],$B1349,SalaryPayrollTaxes[bu_name],$C1349)*(Z404+Z509+Z614)+SUMIFS(ExpensePayrollTaxes[Month 15],ExpensePayrollTaxes[exp_item],$H719,ExpensePayrollTaxes[company_name],$B1349)*Z719)</f>
        <v>0</v>
      </c>
      <c r="AA1349" s="652">
        <f>IF($B1349="",,SUMIFS(SalaryPayrollTaxes[Month 16],SalaryPayrollTaxes[exp_item],$H1349,SalaryPayrollTaxes[company_name],$B1349,SalaryPayrollTaxes[bu_name],$C1349)*(AA404+AA509+AA614)+SUMIFS(ExpensePayrollTaxes[Month 16],ExpensePayrollTaxes[exp_item],$H719,ExpensePayrollTaxes[company_name],$B1349)*AA719)</f>
        <v>0</v>
      </c>
      <c r="AB1349" s="652">
        <f>IF($B1349="",,SUMIFS(SalaryPayrollTaxes[Month 17],SalaryPayrollTaxes[exp_item],$H1349,SalaryPayrollTaxes[company_name],$B1349,SalaryPayrollTaxes[bu_name],$C1349)*(AB404+AB509+AB614)+SUMIFS(ExpensePayrollTaxes[Month 17],ExpensePayrollTaxes[exp_item],$H719,ExpensePayrollTaxes[company_name],$B1349)*AB719)</f>
        <v>0</v>
      </c>
      <c r="AC1349" s="652">
        <f>IF($B1349="",,SUMIFS(SalaryPayrollTaxes[Month 18],SalaryPayrollTaxes[exp_item],$H1349,SalaryPayrollTaxes[company_name],$B1349,SalaryPayrollTaxes[bu_name],$C1349)*(AC404+AC509+AC614)+SUMIFS(ExpensePayrollTaxes[Month 18],ExpensePayrollTaxes[exp_item],$H719,ExpensePayrollTaxes[company_name],$B1349)*AC719)</f>
        <v>0</v>
      </c>
      <c r="AD1349" s="652">
        <f>IF($B1349="",,SUMIFS(SalaryPayrollTaxes[Month 19],SalaryPayrollTaxes[exp_item],$H1349,SalaryPayrollTaxes[company_name],$B1349,SalaryPayrollTaxes[bu_name],$C1349)*(AD404+AD509+AD614)+SUMIFS(ExpensePayrollTaxes[Month 19],ExpensePayrollTaxes[exp_item],$H719,ExpensePayrollTaxes[company_name],$B1349)*AD719)</f>
        <v>0</v>
      </c>
      <c r="AE1349" s="652">
        <f>IF($B1349="",,SUMIFS(SalaryPayrollTaxes[Month 20],SalaryPayrollTaxes[exp_item],$H1349,SalaryPayrollTaxes[company_name],$B1349,SalaryPayrollTaxes[bu_name],$C1349)*(AE404+AE509+AE614)+SUMIFS(ExpensePayrollTaxes[Month 20],ExpensePayrollTaxes[exp_item],$H719,ExpensePayrollTaxes[company_name],$B1349)*AE719)</f>
        <v>0</v>
      </c>
      <c r="AF1349" s="652">
        <f>IF($B1349="",,SUMIFS(SalaryPayrollTaxes[Month 21],SalaryPayrollTaxes[exp_item],$H1349,SalaryPayrollTaxes[company_name],$B1349,SalaryPayrollTaxes[bu_name],$C1349)*(AF404+AF509+AF614)+SUMIFS(ExpensePayrollTaxes[Month 21],ExpensePayrollTaxes[exp_item],$H719,ExpensePayrollTaxes[company_name],$B1349)*AF719)</f>
        <v>0</v>
      </c>
      <c r="AG1349" s="652">
        <f>IF($B1349="",,SUMIFS(SalaryPayrollTaxes[Month 22],SalaryPayrollTaxes[exp_item],$H1349,SalaryPayrollTaxes[company_name],$B1349,SalaryPayrollTaxes[bu_name],$C1349)*(AG404+AG509+AG614)+SUMIFS(ExpensePayrollTaxes[Month 22],ExpensePayrollTaxes[exp_item],$H719,ExpensePayrollTaxes[company_name],$B1349)*AG719)</f>
        <v>0</v>
      </c>
      <c r="AH1349" s="652">
        <f>IF($B1349="",,SUMIFS(SalaryPayrollTaxes[Month 23],SalaryPayrollTaxes[exp_item],$H1349,SalaryPayrollTaxes[company_name],$B1349,SalaryPayrollTaxes[bu_name],$C1349)*(AH404+AH509+AH614)+SUMIFS(ExpensePayrollTaxes[Month 23],ExpensePayrollTaxes[exp_item],$H719,ExpensePayrollTaxes[company_name],$B1349)*AH719)</f>
        <v>0</v>
      </c>
      <c r="AI1349" s="652">
        <f>IF($B1349="",,SUMIFS(SalaryPayrollTaxes[Month 24],SalaryPayrollTaxes[exp_item],$H1349,SalaryPayrollTaxes[company_name],$B1349,SalaryPayrollTaxes[bu_name],$C1349)*(AI404+AI509+AI614)+SUMIFS(ExpensePayrollTaxes[Month 24],ExpensePayrollTaxes[exp_item],$H719,ExpensePayrollTaxes[company_name],$B1349)*AI719)</f>
        <v>0</v>
      </c>
      <c r="AJ1349" s="652">
        <f>IF($B1349="",,SUMIFS(SalaryPayrollTaxes[Month 25],SalaryPayrollTaxes[exp_item],$H1349,SalaryPayrollTaxes[company_name],$B1349,SalaryPayrollTaxes[bu_name],$C1349)*(AJ404+AJ509+AJ614)+SUMIFS(ExpensePayrollTaxes[Month 25],ExpensePayrollTaxes[exp_item],$H719,ExpensePayrollTaxes[company_name],$B1349)*AJ719)</f>
        <v>0</v>
      </c>
      <c r="AK1349" s="652">
        <f>IF($B1349="",,SUMIFS(SalaryPayrollTaxes[Month 26],SalaryPayrollTaxes[exp_item],$H1349,SalaryPayrollTaxes[company_name],$B1349,SalaryPayrollTaxes[bu_name],$C1349)*(AK404+AK509+AK614)+SUMIFS(ExpensePayrollTaxes[Month 26],ExpensePayrollTaxes[exp_item],$H719,ExpensePayrollTaxes[company_name],$B1349)*AK719)</f>
        <v>0</v>
      </c>
      <c r="AL1349" s="652">
        <f>IF($B1349="",,SUMIFS(SalaryPayrollTaxes[Month 27],SalaryPayrollTaxes[exp_item],$H1349,SalaryPayrollTaxes[company_name],$B1349,SalaryPayrollTaxes[bu_name],$C1349)*(AL404+AL509+AL614)+SUMIFS(ExpensePayrollTaxes[Month 27],ExpensePayrollTaxes[exp_item],$H719,ExpensePayrollTaxes[company_name],$B1349)*AL719)</f>
        <v>0</v>
      </c>
      <c r="AM1349" s="652">
        <f>IF($B1349="",,SUMIFS(SalaryPayrollTaxes[Month 28],SalaryPayrollTaxes[exp_item],$H1349,SalaryPayrollTaxes[company_name],$B1349,SalaryPayrollTaxes[bu_name],$C1349)*(AM404+AM509+AM614)+SUMIFS(ExpensePayrollTaxes[Month 28],ExpensePayrollTaxes[exp_item],$H719,ExpensePayrollTaxes[company_name],$B1349)*AM719)</f>
        <v>0</v>
      </c>
      <c r="AN1349" s="652">
        <f>IF($B1349="",,SUMIFS(SalaryPayrollTaxes[Month 29],SalaryPayrollTaxes[exp_item],$H1349,SalaryPayrollTaxes[company_name],$B1349,SalaryPayrollTaxes[bu_name],$C1349)*(AN404+AN509+AN614)+SUMIFS(ExpensePayrollTaxes[Month 29],ExpensePayrollTaxes[exp_item],$H719,ExpensePayrollTaxes[company_name],$B1349)*AN719)</f>
        <v>0</v>
      </c>
      <c r="AO1349" s="652">
        <f>IF($B1349="",,SUMIFS(SalaryPayrollTaxes[Month 30],SalaryPayrollTaxes[exp_item],$H1349,SalaryPayrollTaxes[company_name],$B1349,SalaryPayrollTaxes[bu_name],$C1349)*(AO404+AO509+AO614)+SUMIFS(ExpensePayrollTaxes[Month 30],ExpensePayrollTaxes[exp_item],$H719,ExpensePayrollTaxes[company_name],$B1349)*AO719)</f>
        <v>0</v>
      </c>
      <c r="AP1349" s="652">
        <f>IF($B1349="",,SUMIFS(SalaryPayrollTaxes[Month 31],SalaryPayrollTaxes[exp_item],$H1349,SalaryPayrollTaxes[company_name],$B1349,SalaryPayrollTaxes[bu_name],$C1349)*(AP404+AP509+AP614)+SUMIFS(ExpensePayrollTaxes[Month 31],ExpensePayrollTaxes[exp_item],$H719,ExpensePayrollTaxes[company_name],$B1349)*AP719)</f>
        <v>0</v>
      </c>
      <c r="AQ1349" s="652">
        <f>IF($B1349="",,SUMIFS(SalaryPayrollTaxes[Month 32],SalaryPayrollTaxes[exp_item],$H1349,SalaryPayrollTaxes[company_name],$B1349,SalaryPayrollTaxes[bu_name],$C1349)*(AQ404+AQ509+AQ614)+SUMIFS(ExpensePayrollTaxes[Month 32],ExpensePayrollTaxes[exp_item],$H719,ExpensePayrollTaxes[company_name],$B1349)*AQ719)</f>
        <v>0</v>
      </c>
      <c r="AR1349" s="652">
        <f>IF($B1349="",,SUMIFS(SalaryPayrollTaxes[Month 33],SalaryPayrollTaxes[exp_item],$H1349,SalaryPayrollTaxes[company_name],$B1349,SalaryPayrollTaxes[bu_name],$C1349)*(AR404+AR509+AR614)+SUMIFS(ExpensePayrollTaxes[Month 33],ExpensePayrollTaxes[exp_item],$H719,ExpensePayrollTaxes[company_name],$B1349)*AR719)</f>
        <v>0</v>
      </c>
      <c r="AS1349" s="652">
        <f>IF($B1349="",,SUMIFS(SalaryPayrollTaxes[Month 34],SalaryPayrollTaxes[exp_item],$H1349,SalaryPayrollTaxes[company_name],$B1349,SalaryPayrollTaxes[bu_name],$C1349)*(AS404+AS509+AS614)+SUMIFS(ExpensePayrollTaxes[Month 34],ExpensePayrollTaxes[exp_item],$H719,ExpensePayrollTaxes[company_name],$B1349)*AS719)</f>
        <v>0</v>
      </c>
      <c r="AT1349" s="652">
        <f>IF($B1349="",,SUMIFS(SalaryPayrollTaxes[Month 35],SalaryPayrollTaxes[exp_item],$H1349,SalaryPayrollTaxes[company_name],$B1349,SalaryPayrollTaxes[bu_name],$C1349)*(AT404+AT509+AT614)+SUMIFS(ExpensePayrollTaxes[Month 35],ExpensePayrollTaxes[exp_item],$H719,ExpensePayrollTaxes[company_name],$B1349)*AT719)</f>
        <v>0</v>
      </c>
      <c r="AU1349" s="652">
        <f>IF($B1349="",,SUMIFS(SalaryPayrollTaxes[Month 36],SalaryPayrollTaxes[exp_item],$H1349,SalaryPayrollTaxes[company_name],$B1349,SalaryPayrollTaxes[bu_name],$C1349)*(AU404+AU509+AU614)+SUMIFS(ExpensePayrollTaxes[Month 36],ExpensePayrollTaxes[exp_item],$H719,ExpensePayrollTaxes[company_name],$B1349)*AU719)</f>
        <v>0</v>
      </c>
    </row>
    <row r="1350" spans="2:47" x14ac:dyDescent="0.35">
      <c r="B1350" t="str">
        <f t="shared" si="988"/>
        <v/>
      </c>
      <c r="C1350" t="str">
        <f t="shared" si="988"/>
        <v/>
      </c>
      <c r="D1350" t="str">
        <f t="shared" si="988"/>
        <v/>
      </c>
      <c r="E1350" t="str">
        <f t="shared" si="988"/>
        <v/>
      </c>
      <c r="F1350" t="str">
        <f t="shared" si="988"/>
        <v/>
      </c>
      <c r="G1350" t="str">
        <f t="shared" si="988"/>
        <v/>
      </c>
      <c r="H1350" t="str">
        <f t="shared" si="989"/>
        <v/>
      </c>
      <c r="J1350" t="str">
        <f>IF($H1350="","",IF(VLOOKUP(H1350,ExpItems[],2,0),H1350&amp;" - "&amp;INDEX(DivisionMapping[category_code],MATCH($D1350&amp;$C1350,DivisionMapping[dept_bu],0)),H1350))</f>
        <v/>
      </c>
      <c r="K1350" t="str">
        <f t="shared" si="990"/>
        <v/>
      </c>
      <c r="L1350" s="652">
        <f>IF($B1350="",,SUMIFS(SalaryPayrollTaxes[Month 1],SalaryPayrollTaxes[exp_item],$H1350,SalaryPayrollTaxes[company_name],$B1350,SalaryPayrollTaxes[bu_name],$C1350)*(L405+L510+L615)+SUMIFS(ExpensePayrollTaxes[Month 1],ExpensePayrollTaxes[exp_item],$H720,ExpensePayrollTaxes[company_name],$B1350)*L720)</f>
        <v>0</v>
      </c>
      <c r="M1350" s="652">
        <f>IF($B1350="",,SUMIFS(SalaryPayrollTaxes[Month 2],SalaryPayrollTaxes[exp_item],$H1350,SalaryPayrollTaxes[company_name],$B1350,SalaryPayrollTaxes[bu_name],$C1350)*(M405+M510+M615)+SUMIFS(ExpensePayrollTaxes[Month 2],ExpensePayrollTaxes[exp_item],$H720,ExpensePayrollTaxes[company_name],$B1350)*M720)</f>
        <v>0</v>
      </c>
      <c r="N1350" s="652">
        <f>IF($B1350="",,SUMIFS(SalaryPayrollTaxes[Month 3],SalaryPayrollTaxes[exp_item],$H1350,SalaryPayrollTaxes[company_name],$B1350,SalaryPayrollTaxes[bu_name],$C1350)*(N405+N510+N615)+SUMIFS(ExpensePayrollTaxes[Month 3],ExpensePayrollTaxes[exp_item],$H720,ExpensePayrollTaxes[company_name],$B1350)*N720)</f>
        <v>0</v>
      </c>
      <c r="O1350" s="652">
        <f>IF($B1350="",,SUMIFS(SalaryPayrollTaxes[Month 4],SalaryPayrollTaxes[exp_item],$H1350,SalaryPayrollTaxes[company_name],$B1350,SalaryPayrollTaxes[bu_name],$C1350)*(O405+O510+O615)+SUMIFS(ExpensePayrollTaxes[Month 4],ExpensePayrollTaxes[exp_item],$H720,ExpensePayrollTaxes[company_name],$B1350)*O720)</f>
        <v>0</v>
      </c>
      <c r="P1350" s="652">
        <f>IF($B1350="",,SUMIFS(SalaryPayrollTaxes[Month 5],SalaryPayrollTaxes[exp_item],$H1350,SalaryPayrollTaxes[company_name],$B1350,SalaryPayrollTaxes[bu_name],$C1350)*(P405+P510+P615)+SUMIFS(ExpensePayrollTaxes[Month 5],ExpensePayrollTaxes[exp_item],$H720,ExpensePayrollTaxes[company_name],$B1350)*P720)</f>
        <v>0</v>
      </c>
      <c r="Q1350" s="652">
        <f>IF($B1350="",,SUMIFS(SalaryPayrollTaxes[Month 6],SalaryPayrollTaxes[exp_item],$H1350,SalaryPayrollTaxes[company_name],$B1350,SalaryPayrollTaxes[bu_name],$C1350)*(Q405+Q510+Q615)+SUMIFS(ExpensePayrollTaxes[Month 6],ExpensePayrollTaxes[exp_item],$H720,ExpensePayrollTaxes[company_name],$B1350)*Q720)</f>
        <v>0</v>
      </c>
      <c r="R1350" s="652">
        <f>IF($B1350="",,SUMIFS(SalaryPayrollTaxes[Month 7],SalaryPayrollTaxes[exp_item],$H1350,SalaryPayrollTaxes[company_name],$B1350,SalaryPayrollTaxes[bu_name],$C1350)*(R405+R510+R615)+SUMIFS(ExpensePayrollTaxes[Month 7],ExpensePayrollTaxes[exp_item],$H720,ExpensePayrollTaxes[company_name],$B1350)*R720)</f>
        <v>0</v>
      </c>
      <c r="S1350" s="652">
        <f>IF($B1350="",,SUMIFS(SalaryPayrollTaxes[Month 8],SalaryPayrollTaxes[exp_item],$H1350,SalaryPayrollTaxes[company_name],$B1350,SalaryPayrollTaxes[bu_name],$C1350)*(S405+S510+S615)+SUMIFS(ExpensePayrollTaxes[Month 8],ExpensePayrollTaxes[exp_item],$H720,ExpensePayrollTaxes[company_name],$B1350)*S720)</f>
        <v>0</v>
      </c>
      <c r="T1350" s="652">
        <f>IF($B1350="",,SUMIFS(SalaryPayrollTaxes[Month 9],SalaryPayrollTaxes[exp_item],$H1350,SalaryPayrollTaxes[company_name],$B1350,SalaryPayrollTaxes[bu_name],$C1350)*(T405+T510+T615)+SUMIFS(ExpensePayrollTaxes[Month 9],ExpensePayrollTaxes[exp_item],$H720,ExpensePayrollTaxes[company_name],$B1350)*T720)</f>
        <v>0</v>
      </c>
      <c r="U1350" s="652">
        <f>IF($B1350="",,SUMIFS(SalaryPayrollTaxes[Month 10],SalaryPayrollTaxes[exp_item],$H1350,SalaryPayrollTaxes[company_name],$B1350,SalaryPayrollTaxes[bu_name],$C1350)*(U405+U510+U615)+SUMIFS(ExpensePayrollTaxes[Month 10],ExpensePayrollTaxes[exp_item],$H720,ExpensePayrollTaxes[company_name],$B1350)*U720)</f>
        <v>0</v>
      </c>
      <c r="V1350" s="652">
        <f>IF($B1350="",,SUMIFS(SalaryPayrollTaxes[Month 11],SalaryPayrollTaxes[exp_item],$H1350,SalaryPayrollTaxes[company_name],$B1350,SalaryPayrollTaxes[bu_name],$C1350)*(V405+V510+V615)+SUMIFS(ExpensePayrollTaxes[Month 11],ExpensePayrollTaxes[exp_item],$H720,ExpensePayrollTaxes[company_name],$B1350)*V720)</f>
        <v>0</v>
      </c>
      <c r="W1350" s="652">
        <f>IF($B1350="",,SUMIFS(SalaryPayrollTaxes[Month 12],SalaryPayrollTaxes[exp_item],$H1350,SalaryPayrollTaxes[company_name],$B1350,SalaryPayrollTaxes[bu_name],$C1350)*(W405+W510+W615)+SUMIFS(ExpensePayrollTaxes[Month 12],ExpensePayrollTaxes[exp_item],$H720,ExpensePayrollTaxes[company_name],$B1350)*W720)</f>
        <v>0</v>
      </c>
      <c r="X1350" s="652">
        <f>IF($B1350="",,SUMIFS(SalaryPayrollTaxes[Month 13],SalaryPayrollTaxes[exp_item],$H1350,SalaryPayrollTaxes[company_name],$B1350,SalaryPayrollTaxes[bu_name],$C1350)*(X405+X510+X615)+SUMIFS(ExpensePayrollTaxes[Month 13],ExpensePayrollTaxes[exp_item],$H720,ExpensePayrollTaxes[company_name],$B1350)*X720)</f>
        <v>0</v>
      </c>
      <c r="Y1350" s="652">
        <f>IF($B1350="",,SUMIFS(SalaryPayrollTaxes[Month 14],SalaryPayrollTaxes[exp_item],$H1350,SalaryPayrollTaxes[company_name],$B1350,SalaryPayrollTaxes[bu_name],$C1350)*(Y405+Y510+Y615)+SUMIFS(ExpensePayrollTaxes[Month 14],ExpensePayrollTaxes[exp_item],$H720,ExpensePayrollTaxes[company_name],$B1350)*Y720)</f>
        <v>0</v>
      </c>
      <c r="Z1350" s="652">
        <f>IF($B1350="",,SUMIFS(SalaryPayrollTaxes[Month 15],SalaryPayrollTaxes[exp_item],$H1350,SalaryPayrollTaxes[company_name],$B1350,SalaryPayrollTaxes[bu_name],$C1350)*(Z405+Z510+Z615)+SUMIFS(ExpensePayrollTaxes[Month 15],ExpensePayrollTaxes[exp_item],$H720,ExpensePayrollTaxes[company_name],$B1350)*Z720)</f>
        <v>0</v>
      </c>
      <c r="AA1350" s="652">
        <f>IF($B1350="",,SUMIFS(SalaryPayrollTaxes[Month 16],SalaryPayrollTaxes[exp_item],$H1350,SalaryPayrollTaxes[company_name],$B1350,SalaryPayrollTaxes[bu_name],$C1350)*(AA405+AA510+AA615)+SUMIFS(ExpensePayrollTaxes[Month 16],ExpensePayrollTaxes[exp_item],$H720,ExpensePayrollTaxes[company_name],$B1350)*AA720)</f>
        <v>0</v>
      </c>
      <c r="AB1350" s="652">
        <f>IF($B1350="",,SUMIFS(SalaryPayrollTaxes[Month 17],SalaryPayrollTaxes[exp_item],$H1350,SalaryPayrollTaxes[company_name],$B1350,SalaryPayrollTaxes[bu_name],$C1350)*(AB405+AB510+AB615)+SUMIFS(ExpensePayrollTaxes[Month 17],ExpensePayrollTaxes[exp_item],$H720,ExpensePayrollTaxes[company_name],$B1350)*AB720)</f>
        <v>0</v>
      </c>
      <c r="AC1350" s="652">
        <f>IF($B1350="",,SUMIFS(SalaryPayrollTaxes[Month 18],SalaryPayrollTaxes[exp_item],$H1350,SalaryPayrollTaxes[company_name],$B1350,SalaryPayrollTaxes[bu_name],$C1350)*(AC405+AC510+AC615)+SUMIFS(ExpensePayrollTaxes[Month 18],ExpensePayrollTaxes[exp_item],$H720,ExpensePayrollTaxes[company_name],$B1350)*AC720)</f>
        <v>0</v>
      </c>
      <c r="AD1350" s="652">
        <f>IF($B1350="",,SUMIFS(SalaryPayrollTaxes[Month 19],SalaryPayrollTaxes[exp_item],$H1350,SalaryPayrollTaxes[company_name],$B1350,SalaryPayrollTaxes[bu_name],$C1350)*(AD405+AD510+AD615)+SUMIFS(ExpensePayrollTaxes[Month 19],ExpensePayrollTaxes[exp_item],$H720,ExpensePayrollTaxes[company_name],$B1350)*AD720)</f>
        <v>0</v>
      </c>
      <c r="AE1350" s="652">
        <f>IF($B1350="",,SUMIFS(SalaryPayrollTaxes[Month 20],SalaryPayrollTaxes[exp_item],$H1350,SalaryPayrollTaxes[company_name],$B1350,SalaryPayrollTaxes[bu_name],$C1350)*(AE405+AE510+AE615)+SUMIFS(ExpensePayrollTaxes[Month 20],ExpensePayrollTaxes[exp_item],$H720,ExpensePayrollTaxes[company_name],$B1350)*AE720)</f>
        <v>0</v>
      </c>
      <c r="AF1350" s="652">
        <f>IF($B1350="",,SUMIFS(SalaryPayrollTaxes[Month 21],SalaryPayrollTaxes[exp_item],$H1350,SalaryPayrollTaxes[company_name],$B1350,SalaryPayrollTaxes[bu_name],$C1350)*(AF405+AF510+AF615)+SUMIFS(ExpensePayrollTaxes[Month 21],ExpensePayrollTaxes[exp_item],$H720,ExpensePayrollTaxes[company_name],$B1350)*AF720)</f>
        <v>0</v>
      </c>
      <c r="AG1350" s="652">
        <f>IF($B1350="",,SUMIFS(SalaryPayrollTaxes[Month 22],SalaryPayrollTaxes[exp_item],$H1350,SalaryPayrollTaxes[company_name],$B1350,SalaryPayrollTaxes[bu_name],$C1350)*(AG405+AG510+AG615)+SUMIFS(ExpensePayrollTaxes[Month 22],ExpensePayrollTaxes[exp_item],$H720,ExpensePayrollTaxes[company_name],$B1350)*AG720)</f>
        <v>0</v>
      </c>
      <c r="AH1350" s="652">
        <f>IF($B1350="",,SUMIFS(SalaryPayrollTaxes[Month 23],SalaryPayrollTaxes[exp_item],$H1350,SalaryPayrollTaxes[company_name],$B1350,SalaryPayrollTaxes[bu_name],$C1350)*(AH405+AH510+AH615)+SUMIFS(ExpensePayrollTaxes[Month 23],ExpensePayrollTaxes[exp_item],$H720,ExpensePayrollTaxes[company_name],$B1350)*AH720)</f>
        <v>0</v>
      </c>
      <c r="AI1350" s="652">
        <f>IF($B1350="",,SUMIFS(SalaryPayrollTaxes[Month 24],SalaryPayrollTaxes[exp_item],$H1350,SalaryPayrollTaxes[company_name],$B1350,SalaryPayrollTaxes[bu_name],$C1350)*(AI405+AI510+AI615)+SUMIFS(ExpensePayrollTaxes[Month 24],ExpensePayrollTaxes[exp_item],$H720,ExpensePayrollTaxes[company_name],$B1350)*AI720)</f>
        <v>0</v>
      </c>
      <c r="AJ1350" s="652">
        <f>IF($B1350="",,SUMIFS(SalaryPayrollTaxes[Month 25],SalaryPayrollTaxes[exp_item],$H1350,SalaryPayrollTaxes[company_name],$B1350,SalaryPayrollTaxes[bu_name],$C1350)*(AJ405+AJ510+AJ615)+SUMIFS(ExpensePayrollTaxes[Month 25],ExpensePayrollTaxes[exp_item],$H720,ExpensePayrollTaxes[company_name],$B1350)*AJ720)</f>
        <v>0</v>
      </c>
      <c r="AK1350" s="652">
        <f>IF($B1350="",,SUMIFS(SalaryPayrollTaxes[Month 26],SalaryPayrollTaxes[exp_item],$H1350,SalaryPayrollTaxes[company_name],$B1350,SalaryPayrollTaxes[bu_name],$C1350)*(AK405+AK510+AK615)+SUMIFS(ExpensePayrollTaxes[Month 26],ExpensePayrollTaxes[exp_item],$H720,ExpensePayrollTaxes[company_name],$B1350)*AK720)</f>
        <v>0</v>
      </c>
      <c r="AL1350" s="652">
        <f>IF($B1350="",,SUMIFS(SalaryPayrollTaxes[Month 27],SalaryPayrollTaxes[exp_item],$H1350,SalaryPayrollTaxes[company_name],$B1350,SalaryPayrollTaxes[bu_name],$C1350)*(AL405+AL510+AL615)+SUMIFS(ExpensePayrollTaxes[Month 27],ExpensePayrollTaxes[exp_item],$H720,ExpensePayrollTaxes[company_name],$B1350)*AL720)</f>
        <v>0</v>
      </c>
      <c r="AM1350" s="652">
        <f>IF($B1350="",,SUMIFS(SalaryPayrollTaxes[Month 28],SalaryPayrollTaxes[exp_item],$H1350,SalaryPayrollTaxes[company_name],$B1350,SalaryPayrollTaxes[bu_name],$C1350)*(AM405+AM510+AM615)+SUMIFS(ExpensePayrollTaxes[Month 28],ExpensePayrollTaxes[exp_item],$H720,ExpensePayrollTaxes[company_name],$B1350)*AM720)</f>
        <v>0</v>
      </c>
      <c r="AN1350" s="652">
        <f>IF($B1350="",,SUMIFS(SalaryPayrollTaxes[Month 29],SalaryPayrollTaxes[exp_item],$H1350,SalaryPayrollTaxes[company_name],$B1350,SalaryPayrollTaxes[bu_name],$C1350)*(AN405+AN510+AN615)+SUMIFS(ExpensePayrollTaxes[Month 29],ExpensePayrollTaxes[exp_item],$H720,ExpensePayrollTaxes[company_name],$B1350)*AN720)</f>
        <v>0</v>
      </c>
      <c r="AO1350" s="652">
        <f>IF($B1350="",,SUMIFS(SalaryPayrollTaxes[Month 30],SalaryPayrollTaxes[exp_item],$H1350,SalaryPayrollTaxes[company_name],$B1350,SalaryPayrollTaxes[bu_name],$C1350)*(AO405+AO510+AO615)+SUMIFS(ExpensePayrollTaxes[Month 30],ExpensePayrollTaxes[exp_item],$H720,ExpensePayrollTaxes[company_name],$B1350)*AO720)</f>
        <v>0</v>
      </c>
      <c r="AP1350" s="652">
        <f>IF($B1350="",,SUMIFS(SalaryPayrollTaxes[Month 31],SalaryPayrollTaxes[exp_item],$H1350,SalaryPayrollTaxes[company_name],$B1350,SalaryPayrollTaxes[bu_name],$C1350)*(AP405+AP510+AP615)+SUMIFS(ExpensePayrollTaxes[Month 31],ExpensePayrollTaxes[exp_item],$H720,ExpensePayrollTaxes[company_name],$B1350)*AP720)</f>
        <v>0</v>
      </c>
      <c r="AQ1350" s="652">
        <f>IF($B1350="",,SUMIFS(SalaryPayrollTaxes[Month 32],SalaryPayrollTaxes[exp_item],$H1350,SalaryPayrollTaxes[company_name],$B1350,SalaryPayrollTaxes[bu_name],$C1350)*(AQ405+AQ510+AQ615)+SUMIFS(ExpensePayrollTaxes[Month 32],ExpensePayrollTaxes[exp_item],$H720,ExpensePayrollTaxes[company_name],$B1350)*AQ720)</f>
        <v>0</v>
      </c>
      <c r="AR1350" s="652">
        <f>IF($B1350="",,SUMIFS(SalaryPayrollTaxes[Month 33],SalaryPayrollTaxes[exp_item],$H1350,SalaryPayrollTaxes[company_name],$B1350,SalaryPayrollTaxes[bu_name],$C1350)*(AR405+AR510+AR615)+SUMIFS(ExpensePayrollTaxes[Month 33],ExpensePayrollTaxes[exp_item],$H720,ExpensePayrollTaxes[company_name],$B1350)*AR720)</f>
        <v>0</v>
      </c>
      <c r="AS1350" s="652">
        <f>IF($B1350="",,SUMIFS(SalaryPayrollTaxes[Month 34],SalaryPayrollTaxes[exp_item],$H1350,SalaryPayrollTaxes[company_name],$B1350,SalaryPayrollTaxes[bu_name],$C1350)*(AS405+AS510+AS615)+SUMIFS(ExpensePayrollTaxes[Month 34],ExpensePayrollTaxes[exp_item],$H720,ExpensePayrollTaxes[company_name],$B1350)*AS720)</f>
        <v>0</v>
      </c>
      <c r="AT1350" s="652">
        <f>IF($B1350="",,SUMIFS(SalaryPayrollTaxes[Month 35],SalaryPayrollTaxes[exp_item],$H1350,SalaryPayrollTaxes[company_name],$B1350,SalaryPayrollTaxes[bu_name],$C1350)*(AT405+AT510+AT615)+SUMIFS(ExpensePayrollTaxes[Month 35],ExpensePayrollTaxes[exp_item],$H720,ExpensePayrollTaxes[company_name],$B1350)*AT720)</f>
        <v>0</v>
      </c>
      <c r="AU1350" s="652">
        <f>IF($B1350="",,SUMIFS(SalaryPayrollTaxes[Month 36],SalaryPayrollTaxes[exp_item],$H1350,SalaryPayrollTaxes[company_name],$B1350,SalaryPayrollTaxes[bu_name],$C1350)*(AU405+AU510+AU615)+SUMIFS(ExpensePayrollTaxes[Month 36],ExpensePayrollTaxes[exp_item],$H720,ExpensePayrollTaxes[company_name],$B1350)*AU720)</f>
        <v>0</v>
      </c>
    </row>
    <row r="1351" spans="2:47" x14ac:dyDescent="0.35">
      <c r="B1351" t="str">
        <f t="shared" ref="B1351:G1360" si="991">IF(B1246="","",B1246)</f>
        <v/>
      </c>
      <c r="C1351" t="str">
        <f t="shared" si="991"/>
        <v/>
      </c>
      <c r="D1351" t="str">
        <f t="shared" si="991"/>
        <v/>
      </c>
      <c r="E1351" t="str">
        <f t="shared" si="991"/>
        <v/>
      </c>
      <c r="F1351" t="str">
        <f t="shared" si="991"/>
        <v/>
      </c>
      <c r="G1351" t="str">
        <f t="shared" si="991"/>
        <v/>
      </c>
      <c r="H1351" t="str">
        <f t="shared" si="989"/>
        <v/>
      </c>
      <c r="J1351" t="str">
        <f>IF($H1351="","",IF(VLOOKUP(H1351,ExpItems[],2,0),H1351&amp;" - "&amp;INDEX(DivisionMapping[category_code],MATCH($D1351&amp;$C1351,DivisionMapping[dept_bu],0)),H1351))</f>
        <v/>
      </c>
      <c r="K1351" t="str">
        <f t="shared" si="990"/>
        <v/>
      </c>
      <c r="L1351" s="652">
        <f>IF($B1351="",,SUMIFS(SalaryPayrollTaxes[Month 1],SalaryPayrollTaxes[exp_item],$H1351,SalaryPayrollTaxes[company_name],$B1351,SalaryPayrollTaxes[bu_name],$C1351)*(L406+L511+L616)+SUMIFS(ExpensePayrollTaxes[Month 1],ExpensePayrollTaxes[exp_item],$H721,ExpensePayrollTaxes[company_name],$B1351)*L721)</f>
        <v>0</v>
      </c>
      <c r="M1351" s="652">
        <f>IF($B1351="",,SUMIFS(SalaryPayrollTaxes[Month 2],SalaryPayrollTaxes[exp_item],$H1351,SalaryPayrollTaxes[company_name],$B1351,SalaryPayrollTaxes[bu_name],$C1351)*(M406+M511+M616)+SUMIFS(ExpensePayrollTaxes[Month 2],ExpensePayrollTaxes[exp_item],$H721,ExpensePayrollTaxes[company_name],$B1351)*M721)</f>
        <v>0</v>
      </c>
      <c r="N1351" s="652">
        <f>IF($B1351="",,SUMIFS(SalaryPayrollTaxes[Month 3],SalaryPayrollTaxes[exp_item],$H1351,SalaryPayrollTaxes[company_name],$B1351,SalaryPayrollTaxes[bu_name],$C1351)*(N406+N511+N616)+SUMIFS(ExpensePayrollTaxes[Month 3],ExpensePayrollTaxes[exp_item],$H721,ExpensePayrollTaxes[company_name],$B1351)*N721)</f>
        <v>0</v>
      </c>
      <c r="O1351" s="652">
        <f>IF($B1351="",,SUMIFS(SalaryPayrollTaxes[Month 4],SalaryPayrollTaxes[exp_item],$H1351,SalaryPayrollTaxes[company_name],$B1351,SalaryPayrollTaxes[bu_name],$C1351)*(O406+O511+O616)+SUMIFS(ExpensePayrollTaxes[Month 4],ExpensePayrollTaxes[exp_item],$H721,ExpensePayrollTaxes[company_name],$B1351)*O721)</f>
        <v>0</v>
      </c>
      <c r="P1351" s="652">
        <f>IF($B1351="",,SUMIFS(SalaryPayrollTaxes[Month 5],SalaryPayrollTaxes[exp_item],$H1351,SalaryPayrollTaxes[company_name],$B1351,SalaryPayrollTaxes[bu_name],$C1351)*(P406+P511+P616)+SUMIFS(ExpensePayrollTaxes[Month 5],ExpensePayrollTaxes[exp_item],$H721,ExpensePayrollTaxes[company_name],$B1351)*P721)</f>
        <v>0</v>
      </c>
      <c r="Q1351" s="652">
        <f>IF($B1351="",,SUMIFS(SalaryPayrollTaxes[Month 6],SalaryPayrollTaxes[exp_item],$H1351,SalaryPayrollTaxes[company_name],$B1351,SalaryPayrollTaxes[bu_name],$C1351)*(Q406+Q511+Q616)+SUMIFS(ExpensePayrollTaxes[Month 6],ExpensePayrollTaxes[exp_item],$H721,ExpensePayrollTaxes[company_name],$B1351)*Q721)</f>
        <v>0</v>
      </c>
      <c r="R1351" s="652">
        <f>IF($B1351="",,SUMIFS(SalaryPayrollTaxes[Month 7],SalaryPayrollTaxes[exp_item],$H1351,SalaryPayrollTaxes[company_name],$B1351,SalaryPayrollTaxes[bu_name],$C1351)*(R406+R511+R616)+SUMIFS(ExpensePayrollTaxes[Month 7],ExpensePayrollTaxes[exp_item],$H721,ExpensePayrollTaxes[company_name],$B1351)*R721)</f>
        <v>0</v>
      </c>
      <c r="S1351" s="652">
        <f>IF($B1351="",,SUMIFS(SalaryPayrollTaxes[Month 8],SalaryPayrollTaxes[exp_item],$H1351,SalaryPayrollTaxes[company_name],$B1351,SalaryPayrollTaxes[bu_name],$C1351)*(S406+S511+S616)+SUMIFS(ExpensePayrollTaxes[Month 8],ExpensePayrollTaxes[exp_item],$H721,ExpensePayrollTaxes[company_name],$B1351)*S721)</f>
        <v>0</v>
      </c>
      <c r="T1351" s="652">
        <f>IF($B1351="",,SUMIFS(SalaryPayrollTaxes[Month 9],SalaryPayrollTaxes[exp_item],$H1351,SalaryPayrollTaxes[company_name],$B1351,SalaryPayrollTaxes[bu_name],$C1351)*(T406+T511+T616)+SUMIFS(ExpensePayrollTaxes[Month 9],ExpensePayrollTaxes[exp_item],$H721,ExpensePayrollTaxes[company_name],$B1351)*T721)</f>
        <v>0</v>
      </c>
      <c r="U1351" s="652">
        <f>IF($B1351="",,SUMIFS(SalaryPayrollTaxes[Month 10],SalaryPayrollTaxes[exp_item],$H1351,SalaryPayrollTaxes[company_name],$B1351,SalaryPayrollTaxes[bu_name],$C1351)*(U406+U511+U616)+SUMIFS(ExpensePayrollTaxes[Month 10],ExpensePayrollTaxes[exp_item],$H721,ExpensePayrollTaxes[company_name],$B1351)*U721)</f>
        <v>0</v>
      </c>
      <c r="V1351" s="652">
        <f>IF($B1351="",,SUMIFS(SalaryPayrollTaxes[Month 11],SalaryPayrollTaxes[exp_item],$H1351,SalaryPayrollTaxes[company_name],$B1351,SalaryPayrollTaxes[bu_name],$C1351)*(V406+V511+V616)+SUMIFS(ExpensePayrollTaxes[Month 11],ExpensePayrollTaxes[exp_item],$H721,ExpensePayrollTaxes[company_name],$B1351)*V721)</f>
        <v>0</v>
      </c>
      <c r="W1351" s="652">
        <f>IF($B1351="",,SUMIFS(SalaryPayrollTaxes[Month 12],SalaryPayrollTaxes[exp_item],$H1351,SalaryPayrollTaxes[company_name],$B1351,SalaryPayrollTaxes[bu_name],$C1351)*(W406+W511+W616)+SUMIFS(ExpensePayrollTaxes[Month 12],ExpensePayrollTaxes[exp_item],$H721,ExpensePayrollTaxes[company_name],$B1351)*W721)</f>
        <v>0</v>
      </c>
      <c r="X1351" s="652">
        <f>IF($B1351="",,SUMIFS(SalaryPayrollTaxes[Month 13],SalaryPayrollTaxes[exp_item],$H1351,SalaryPayrollTaxes[company_name],$B1351,SalaryPayrollTaxes[bu_name],$C1351)*(X406+X511+X616)+SUMIFS(ExpensePayrollTaxes[Month 13],ExpensePayrollTaxes[exp_item],$H721,ExpensePayrollTaxes[company_name],$B1351)*X721)</f>
        <v>0</v>
      </c>
      <c r="Y1351" s="652">
        <f>IF($B1351="",,SUMIFS(SalaryPayrollTaxes[Month 14],SalaryPayrollTaxes[exp_item],$H1351,SalaryPayrollTaxes[company_name],$B1351,SalaryPayrollTaxes[bu_name],$C1351)*(Y406+Y511+Y616)+SUMIFS(ExpensePayrollTaxes[Month 14],ExpensePayrollTaxes[exp_item],$H721,ExpensePayrollTaxes[company_name],$B1351)*Y721)</f>
        <v>0</v>
      </c>
      <c r="Z1351" s="652">
        <f>IF($B1351="",,SUMIFS(SalaryPayrollTaxes[Month 15],SalaryPayrollTaxes[exp_item],$H1351,SalaryPayrollTaxes[company_name],$B1351,SalaryPayrollTaxes[bu_name],$C1351)*(Z406+Z511+Z616)+SUMIFS(ExpensePayrollTaxes[Month 15],ExpensePayrollTaxes[exp_item],$H721,ExpensePayrollTaxes[company_name],$B1351)*Z721)</f>
        <v>0</v>
      </c>
      <c r="AA1351" s="652">
        <f>IF($B1351="",,SUMIFS(SalaryPayrollTaxes[Month 16],SalaryPayrollTaxes[exp_item],$H1351,SalaryPayrollTaxes[company_name],$B1351,SalaryPayrollTaxes[bu_name],$C1351)*(AA406+AA511+AA616)+SUMIFS(ExpensePayrollTaxes[Month 16],ExpensePayrollTaxes[exp_item],$H721,ExpensePayrollTaxes[company_name],$B1351)*AA721)</f>
        <v>0</v>
      </c>
      <c r="AB1351" s="652">
        <f>IF($B1351="",,SUMIFS(SalaryPayrollTaxes[Month 17],SalaryPayrollTaxes[exp_item],$H1351,SalaryPayrollTaxes[company_name],$B1351,SalaryPayrollTaxes[bu_name],$C1351)*(AB406+AB511+AB616)+SUMIFS(ExpensePayrollTaxes[Month 17],ExpensePayrollTaxes[exp_item],$H721,ExpensePayrollTaxes[company_name],$B1351)*AB721)</f>
        <v>0</v>
      </c>
      <c r="AC1351" s="652">
        <f>IF($B1351="",,SUMIFS(SalaryPayrollTaxes[Month 18],SalaryPayrollTaxes[exp_item],$H1351,SalaryPayrollTaxes[company_name],$B1351,SalaryPayrollTaxes[bu_name],$C1351)*(AC406+AC511+AC616)+SUMIFS(ExpensePayrollTaxes[Month 18],ExpensePayrollTaxes[exp_item],$H721,ExpensePayrollTaxes[company_name],$B1351)*AC721)</f>
        <v>0</v>
      </c>
      <c r="AD1351" s="652">
        <f>IF($B1351="",,SUMIFS(SalaryPayrollTaxes[Month 19],SalaryPayrollTaxes[exp_item],$H1351,SalaryPayrollTaxes[company_name],$B1351,SalaryPayrollTaxes[bu_name],$C1351)*(AD406+AD511+AD616)+SUMIFS(ExpensePayrollTaxes[Month 19],ExpensePayrollTaxes[exp_item],$H721,ExpensePayrollTaxes[company_name],$B1351)*AD721)</f>
        <v>0</v>
      </c>
      <c r="AE1351" s="652">
        <f>IF($B1351="",,SUMIFS(SalaryPayrollTaxes[Month 20],SalaryPayrollTaxes[exp_item],$H1351,SalaryPayrollTaxes[company_name],$B1351,SalaryPayrollTaxes[bu_name],$C1351)*(AE406+AE511+AE616)+SUMIFS(ExpensePayrollTaxes[Month 20],ExpensePayrollTaxes[exp_item],$H721,ExpensePayrollTaxes[company_name],$B1351)*AE721)</f>
        <v>0</v>
      </c>
      <c r="AF1351" s="652">
        <f>IF($B1351="",,SUMIFS(SalaryPayrollTaxes[Month 21],SalaryPayrollTaxes[exp_item],$H1351,SalaryPayrollTaxes[company_name],$B1351,SalaryPayrollTaxes[bu_name],$C1351)*(AF406+AF511+AF616)+SUMIFS(ExpensePayrollTaxes[Month 21],ExpensePayrollTaxes[exp_item],$H721,ExpensePayrollTaxes[company_name],$B1351)*AF721)</f>
        <v>0</v>
      </c>
      <c r="AG1351" s="652">
        <f>IF($B1351="",,SUMIFS(SalaryPayrollTaxes[Month 22],SalaryPayrollTaxes[exp_item],$H1351,SalaryPayrollTaxes[company_name],$B1351,SalaryPayrollTaxes[bu_name],$C1351)*(AG406+AG511+AG616)+SUMIFS(ExpensePayrollTaxes[Month 22],ExpensePayrollTaxes[exp_item],$H721,ExpensePayrollTaxes[company_name],$B1351)*AG721)</f>
        <v>0</v>
      </c>
      <c r="AH1351" s="652">
        <f>IF($B1351="",,SUMIFS(SalaryPayrollTaxes[Month 23],SalaryPayrollTaxes[exp_item],$H1351,SalaryPayrollTaxes[company_name],$B1351,SalaryPayrollTaxes[bu_name],$C1351)*(AH406+AH511+AH616)+SUMIFS(ExpensePayrollTaxes[Month 23],ExpensePayrollTaxes[exp_item],$H721,ExpensePayrollTaxes[company_name],$B1351)*AH721)</f>
        <v>0</v>
      </c>
      <c r="AI1351" s="652">
        <f>IF($B1351="",,SUMIFS(SalaryPayrollTaxes[Month 24],SalaryPayrollTaxes[exp_item],$H1351,SalaryPayrollTaxes[company_name],$B1351,SalaryPayrollTaxes[bu_name],$C1351)*(AI406+AI511+AI616)+SUMIFS(ExpensePayrollTaxes[Month 24],ExpensePayrollTaxes[exp_item],$H721,ExpensePayrollTaxes[company_name],$B1351)*AI721)</f>
        <v>0</v>
      </c>
      <c r="AJ1351" s="652">
        <f>IF($B1351="",,SUMIFS(SalaryPayrollTaxes[Month 25],SalaryPayrollTaxes[exp_item],$H1351,SalaryPayrollTaxes[company_name],$B1351,SalaryPayrollTaxes[bu_name],$C1351)*(AJ406+AJ511+AJ616)+SUMIFS(ExpensePayrollTaxes[Month 25],ExpensePayrollTaxes[exp_item],$H721,ExpensePayrollTaxes[company_name],$B1351)*AJ721)</f>
        <v>0</v>
      </c>
      <c r="AK1351" s="652">
        <f>IF($B1351="",,SUMIFS(SalaryPayrollTaxes[Month 26],SalaryPayrollTaxes[exp_item],$H1351,SalaryPayrollTaxes[company_name],$B1351,SalaryPayrollTaxes[bu_name],$C1351)*(AK406+AK511+AK616)+SUMIFS(ExpensePayrollTaxes[Month 26],ExpensePayrollTaxes[exp_item],$H721,ExpensePayrollTaxes[company_name],$B1351)*AK721)</f>
        <v>0</v>
      </c>
      <c r="AL1351" s="652">
        <f>IF($B1351="",,SUMIFS(SalaryPayrollTaxes[Month 27],SalaryPayrollTaxes[exp_item],$H1351,SalaryPayrollTaxes[company_name],$B1351,SalaryPayrollTaxes[bu_name],$C1351)*(AL406+AL511+AL616)+SUMIFS(ExpensePayrollTaxes[Month 27],ExpensePayrollTaxes[exp_item],$H721,ExpensePayrollTaxes[company_name],$B1351)*AL721)</f>
        <v>0</v>
      </c>
      <c r="AM1351" s="652">
        <f>IF($B1351="",,SUMIFS(SalaryPayrollTaxes[Month 28],SalaryPayrollTaxes[exp_item],$H1351,SalaryPayrollTaxes[company_name],$B1351,SalaryPayrollTaxes[bu_name],$C1351)*(AM406+AM511+AM616)+SUMIFS(ExpensePayrollTaxes[Month 28],ExpensePayrollTaxes[exp_item],$H721,ExpensePayrollTaxes[company_name],$B1351)*AM721)</f>
        <v>0</v>
      </c>
      <c r="AN1351" s="652">
        <f>IF($B1351="",,SUMIFS(SalaryPayrollTaxes[Month 29],SalaryPayrollTaxes[exp_item],$H1351,SalaryPayrollTaxes[company_name],$B1351,SalaryPayrollTaxes[bu_name],$C1351)*(AN406+AN511+AN616)+SUMIFS(ExpensePayrollTaxes[Month 29],ExpensePayrollTaxes[exp_item],$H721,ExpensePayrollTaxes[company_name],$B1351)*AN721)</f>
        <v>0</v>
      </c>
      <c r="AO1351" s="652">
        <f>IF($B1351="",,SUMIFS(SalaryPayrollTaxes[Month 30],SalaryPayrollTaxes[exp_item],$H1351,SalaryPayrollTaxes[company_name],$B1351,SalaryPayrollTaxes[bu_name],$C1351)*(AO406+AO511+AO616)+SUMIFS(ExpensePayrollTaxes[Month 30],ExpensePayrollTaxes[exp_item],$H721,ExpensePayrollTaxes[company_name],$B1351)*AO721)</f>
        <v>0</v>
      </c>
      <c r="AP1351" s="652">
        <f>IF($B1351="",,SUMIFS(SalaryPayrollTaxes[Month 31],SalaryPayrollTaxes[exp_item],$H1351,SalaryPayrollTaxes[company_name],$B1351,SalaryPayrollTaxes[bu_name],$C1351)*(AP406+AP511+AP616)+SUMIFS(ExpensePayrollTaxes[Month 31],ExpensePayrollTaxes[exp_item],$H721,ExpensePayrollTaxes[company_name],$B1351)*AP721)</f>
        <v>0</v>
      </c>
      <c r="AQ1351" s="652">
        <f>IF($B1351="",,SUMIFS(SalaryPayrollTaxes[Month 32],SalaryPayrollTaxes[exp_item],$H1351,SalaryPayrollTaxes[company_name],$B1351,SalaryPayrollTaxes[bu_name],$C1351)*(AQ406+AQ511+AQ616)+SUMIFS(ExpensePayrollTaxes[Month 32],ExpensePayrollTaxes[exp_item],$H721,ExpensePayrollTaxes[company_name],$B1351)*AQ721)</f>
        <v>0</v>
      </c>
      <c r="AR1351" s="652">
        <f>IF($B1351="",,SUMIFS(SalaryPayrollTaxes[Month 33],SalaryPayrollTaxes[exp_item],$H1351,SalaryPayrollTaxes[company_name],$B1351,SalaryPayrollTaxes[bu_name],$C1351)*(AR406+AR511+AR616)+SUMIFS(ExpensePayrollTaxes[Month 33],ExpensePayrollTaxes[exp_item],$H721,ExpensePayrollTaxes[company_name],$B1351)*AR721)</f>
        <v>0</v>
      </c>
      <c r="AS1351" s="652">
        <f>IF($B1351="",,SUMIFS(SalaryPayrollTaxes[Month 34],SalaryPayrollTaxes[exp_item],$H1351,SalaryPayrollTaxes[company_name],$B1351,SalaryPayrollTaxes[bu_name],$C1351)*(AS406+AS511+AS616)+SUMIFS(ExpensePayrollTaxes[Month 34],ExpensePayrollTaxes[exp_item],$H721,ExpensePayrollTaxes[company_name],$B1351)*AS721)</f>
        <v>0</v>
      </c>
      <c r="AT1351" s="652">
        <f>IF($B1351="",,SUMIFS(SalaryPayrollTaxes[Month 35],SalaryPayrollTaxes[exp_item],$H1351,SalaryPayrollTaxes[company_name],$B1351,SalaryPayrollTaxes[bu_name],$C1351)*(AT406+AT511+AT616)+SUMIFS(ExpensePayrollTaxes[Month 35],ExpensePayrollTaxes[exp_item],$H721,ExpensePayrollTaxes[company_name],$B1351)*AT721)</f>
        <v>0</v>
      </c>
      <c r="AU1351" s="652">
        <f>IF($B1351="",,SUMIFS(SalaryPayrollTaxes[Month 36],SalaryPayrollTaxes[exp_item],$H1351,SalaryPayrollTaxes[company_name],$B1351,SalaryPayrollTaxes[bu_name],$C1351)*(AU406+AU511+AU616)+SUMIFS(ExpensePayrollTaxes[Month 36],ExpensePayrollTaxes[exp_item],$H721,ExpensePayrollTaxes[company_name],$B1351)*AU721)</f>
        <v>0</v>
      </c>
    </row>
    <row r="1352" spans="2:47" x14ac:dyDescent="0.35">
      <c r="B1352" t="str">
        <f t="shared" si="991"/>
        <v/>
      </c>
      <c r="C1352" t="str">
        <f t="shared" si="991"/>
        <v/>
      </c>
      <c r="D1352" t="str">
        <f t="shared" si="991"/>
        <v/>
      </c>
      <c r="E1352" t="str">
        <f t="shared" si="991"/>
        <v/>
      </c>
      <c r="F1352" t="str">
        <f t="shared" si="991"/>
        <v/>
      </c>
      <c r="G1352" t="str">
        <f t="shared" si="991"/>
        <v/>
      </c>
      <c r="H1352" t="str">
        <f t="shared" si="989"/>
        <v/>
      </c>
      <c r="J1352" t="str">
        <f>IF($H1352="","",IF(VLOOKUP(H1352,ExpItems[],2,0),H1352&amp;" - "&amp;INDEX(DivisionMapping[category_code],MATCH($D1352&amp;$C1352,DivisionMapping[dept_bu],0)),H1352))</f>
        <v/>
      </c>
      <c r="K1352" t="str">
        <f t="shared" si="990"/>
        <v/>
      </c>
      <c r="L1352" s="652">
        <f>IF($B1352="",,SUMIFS(SalaryPayrollTaxes[Month 1],SalaryPayrollTaxes[exp_item],$H1352,SalaryPayrollTaxes[company_name],$B1352,SalaryPayrollTaxes[bu_name],$C1352)*(L407+L512+L617)+SUMIFS(ExpensePayrollTaxes[Month 1],ExpensePayrollTaxes[exp_item],$H722,ExpensePayrollTaxes[company_name],$B1352)*L722)</f>
        <v>0</v>
      </c>
      <c r="M1352" s="652">
        <f>IF($B1352="",,SUMIFS(SalaryPayrollTaxes[Month 2],SalaryPayrollTaxes[exp_item],$H1352,SalaryPayrollTaxes[company_name],$B1352,SalaryPayrollTaxes[bu_name],$C1352)*(M407+M512+M617)+SUMIFS(ExpensePayrollTaxes[Month 2],ExpensePayrollTaxes[exp_item],$H722,ExpensePayrollTaxes[company_name],$B1352)*M722)</f>
        <v>0</v>
      </c>
      <c r="N1352" s="652">
        <f>IF($B1352="",,SUMIFS(SalaryPayrollTaxes[Month 3],SalaryPayrollTaxes[exp_item],$H1352,SalaryPayrollTaxes[company_name],$B1352,SalaryPayrollTaxes[bu_name],$C1352)*(N407+N512+N617)+SUMIFS(ExpensePayrollTaxes[Month 3],ExpensePayrollTaxes[exp_item],$H722,ExpensePayrollTaxes[company_name],$B1352)*N722)</f>
        <v>0</v>
      </c>
      <c r="O1352" s="652">
        <f>IF($B1352="",,SUMIFS(SalaryPayrollTaxes[Month 4],SalaryPayrollTaxes[exp_item],$H1352,SalaryPayrollTaxes[company_name],$B1352,SalaryPayrollTaxes[bu_name],$C1352)*(O407+O512+O617)+SUMIFS(ExpensePayrollTaxes[Month 4],ExpensePayrollTaxes[exp_item],$H722,ExpensePayrollTaxes[company_name],$B1352)*O722)</f>
        <v>0</v>
      </c>
      <c r="P1352" s="652">
        <f>IF($B1352="",,SUMIFS(SalaryPayrollTaxes[Month 5],SalaryPayrollTaxes[exp_item],$H1352,SalaryPayrollTaxes[company_name],$B1352,SalaryPayrollTaxes[bu_name],$C1352)*(P407+P512+P617)+SUMIFS(ExpensePayrollTaxes[Month 5],ExpensePayrollTaxes[exp_item],$H722,ExpensePayrollTaxes[company_name],$B1352)*P722)</f>
        <v>0</v>
      </c>
      <c r="Q1352" s="652">
        <f>IF($B1352="",,SUMIFS(SalaryPayrollTaxes[Month 6],SalaryPayrollTaxes[exp_item],$H1352,SalaryPayrollTaxes[company_name],$B1352,SalaryPayrollTaxes[bu_name],$C1352)*(Q407+Q512+Q617)+SUMIFS(ExpensePayrollTaxes[Month 6],ExpensePayrollTaxes[exp_item],$H722,ExpensePayrollTaxes[company_name],$B1352)*Q722)</f>
        <v>0</v>
      </c>
      <c r="R1352" s="652">
        <f>IF($B1352="",,SUMIFS(SalaryPayrollTaxes[Month 7],SalaryPayrollTaxes[exp_item],$H1352,SalaryPayrollTaxes[company_name],$B1352,SalaryPayrollTaxes[bu_name],$C1352)*(R407+R512+R617)+SUMIFS(ExpensePayrollTaxes[Month 7],ExpensePayrollTaxes[exp_item],$H722,ExpensePayrollTaxes[company_name],$B1352)*R722)</f>
        <v>0</v>
      </c>
      <c r="S1352" s="652">
        <f>IF($B1352="",,SUMIFS(SalaryPayrollTaxes[Month 8],SalaryPayrollTaxes[exp_item],$H1352,SalaryPayrollTaxes[company_name],$B1352,SalaryPayrollTaxes[bu_name],$C1352)*(S407+S512+S617)+SUMIFS(ExpensePayrollTaxes[Month 8],ExpensePayrollTaxes[exp_item],$H722,ExpensePayrollTaxes[company_name],$B1352)*S722)</f>
        <v>0</v>
      </c>
      <c r="T1352" s="652">
        <f>IF($B1352="",,SUMIFS(SalaryPayrollTaxes[Month 9],SalaryPayrollTaxes[exp_item],$H1352,SalaryPayrollTaxes[company_name],$B1352,SalaryPayrollTaxes[bu_name],$C1352)*(T407+T512+T617)+SUMIFS(ExpensePayrollTaxes[Month 9],ExpensePayrollTaxes[exp_item],$H722,ExpensePayrollTaxes[company_name],$B1352)*T722)</f>
        <v>0</v>
      </c>
      <c r="U1352" s="652">
        <f>IF($B1352="",,SUMIFS(SalaryPayrollTaxes[Month 10],SalaryPayrollTaxes[exp_item],$H1352,SalaryPayrollTaxes[company_name],$B1352,SalaryPayrollTaxes[bu_name],$C1352)*(U407+U512+U617)+SUMIFS(ExpensePayrollTaxes[Month 10],ExpensePayrollTaxes[exp_item],$H722,ExpensePayrollTaxes[company_name],$B1352)*U722)</f>
        <v>0</v>
      </c>
      <c r="V1352" s="652">
        <f>IF($B1352="",,SUMIFS(SalaryPayrollTaxes[Month 11],SalaryPayrollTaxes[exp_item],$H1352,SalaryPayrollTaxes[company_name],$B1352,SalaryPayrollTaxes[bu_name],$C1352)*(V407+V512+V617)+SUMIFS(ExpensePayrollTaxes[Month 11],ExpensePayrollTaxes[exp_item],$H722,ExpensePayrollTaxes[company_name],$B1352)*V722)</f>
        <v>0</v>
      </c>
      <c r="W1352" s="652">
        <f>IF($B1352="",,SUMIFS(SalaryPayrollTaxes[Month 12],SalaryPayrollTaxes[exp_item],$H1352,SalaryPayrollTaxes[company_name],$B1352,SalaryPayrollTaxes[bu_name],$C1352)*(W407+W512+W617)+SUMIFS(ExpensePayrollTaxes[Month 12],ExpensePayrollTaxes[exp_item],$H722,ExpensePayrollTaxes[company_name],$B1352)*W722)</f>
        <v>0</v>
      </c>
      <c r="X1352" s="652">
        <f>IF($B1352="",,SUMIFS(SalaryPayrollTaxes[Month 13],SalaryPayrollTaxes[exp_item],$H1352,SalaryPayrollTaxes[company_name],$B1352,SalaryPayrollTaxes[bu_name],$C1352)*(X407+X512+X617)+SUMIFS(ExpensePayrollTaxes[Month 13],ExpensePayrollTaxes[exp_item],$H722,ExpensePayrollTaxes[company_name],$B1352)*X722)</f>
        <v>0</v>
      </c>
      <c r="Y1352" s="652">
        <f>IF($B1352="",,SUMIFS(SalaryPayrollTaxes[Month 14],SalaryPayrollTaxes[exp_item],$H1352,SalaryPayrollTaxes[company_name],$B1352,SalaryPayrollTaxes[bu_name],$C1352)*(Y407+Y512+Y617)+SUMIFS(ExpensePayrollTaxes[Month 14],ExpensePayrollTaxes[exp_item],$H722,ExpensePayrollTaxes[company_name],$B1352)*Y722)</f>
        <v>0</v>
      </c>
      <c r="Z1352" s="652">
        <f>IF($B1352="",,SUMIFS(SalaryPayrollTaxes[Month 15],SalaryPayrollTaxes[exp_item],$H1352,SalaryPayrollTaxes[company_name],$B1352,SalaryPayrollTaxes[bu_name],$C1352)*(Z407+Z512+Z617)+SUMIFS(ExpensePayrollTaxes[Month 15],ExpensePayrollTaxes[exp_item],$H722,ExpensePayrollTaxes[company_name],$B1352)*Z722)</f>
        <v>0</v>
      </c>
      <c r="AA1352" s="652">
        <f>IF($B1352="",,SUMIFS(SalaryPayrollTaxes[Month 16],SalaryPayrollTaxes[exp_item],$H1352,SalaryPayrollTaxes[company_name],$B1352,SalaryPayrollTaxes[bu_name],$C1352)*(AA407+AA512+AA617)+SUMIFS(ExpensePayrollTaxes[Month 16],ExpensePayrollTaxes[exp_item],$H722,ExpensePayrollTaxes[company_name],$B1352)*AA722)</f>
        <v>0</v>
      </c>
      <c r="AB1352" s="652">
        <f>IF($B1352="",,SUMIFS(SalaryPayrollTaxes[Month 17],SalaryPayrollTaxes[exp_item],$H1352,SalaryPayrollTaxes[company_name],$B1352,SalaryPayrollTaxes[bu_name],$C1352)*(AB407+AB512+AB617)+SUMIFS(ExpensePayrollTaxes[Month 17],ExpensePayrollTaxes[exp_item],$H722,ExpensePayrollTaxes[company_name],$B1352)*AB722)</f>
        <v>0</v>
      </c>
      <c r="AC1352" s="652">
        <f>IF($B1352="",,SUMIFS(SalaryPayrollTaxes[Month 18],SalaryPayrollTaxes[exp_item],$H1352,SalaryPayrollTaxes[company_name],$B1352,SalaryPayrollTaxes[bu_name],$C1352)*(AC407+AC512+AC617)+SUMIFS(ExpensePayrollTaxes[Month 18],ExpensePayrollTaxes[exp_item],$H722,ExpensePayrollTaxes[company_name],$B1352)*AC722)</f>
        <v>0</v>
      </c>
      <c r="AD1352" s="652">
        <f>IF($B1352="",,SUMIFS(SalaryPayrollTaxes[Month 19],SalaryPayrollTaxes[exp_item],$H1352,SalaryPayrollTaxes[company_name],$B1352,SalaryPayrollTaxes[bu_name],$C1352)*(AD407+AD512+AD617)+SUMIFS(ExpensePayrollTaxes[Month 19],ExpensePayrollTaxes[exp_item],$H722,ExpensePayrollTaxes[company_name],$B1352)*AD722)</f>
        <v>0</v>
      </c>
      <c r="AE1352" s="652">
        <f>IF($B1352="",,SUMIFS(SalaryPayrollTaxes[Month 20],SalaryPayrollTaxes[exp_item],$H1352,SalaryPayrollTaxes[company_name],$B1352,SalaryPayrollTaxes[bu_name],$C1352)*(AE407+AE512+AE617)+SUMIFS(ExpensePayrollTaxes[Month 20],ExpensePayrollTaxes[exp_item],$H722,ExpensePayrollTaxes[company_name],$B1352)*AE722)</f>
        <v>0</v>
      </c>
      <c r="AF1352" s="652">
        <f>IF($B1352="",,SUMIFS(SalaryPayrollTaxes[Month 21],SalaryPayrollTaxes[exp_item],$H1352,SalaryPayrollTaxes[company_name],$B1352,SalaryPayrollTaxes[bu_name],$C1352)*(AF407+AF512+AF617)+SUMIFS(ExpensePayrollTaxes[Month 21],ExpensePayrollTaxes[exp_item],$H722,ExpensePayrollTaxes[company_name],$B1352)*AF722)</f>
        <v>0</v>
      </c>
      <c r="AG1352" s="652">
        <f>IF($B1352="",,SUMIFS(SalaryPayrollTaxes[Month 22],SalaryPayrollTaxes[exp_item],$H1352,SalaryPayrollTaxes[company_name],$B1352,SalaryPayrollTaxes[bu_name],$C1352)*(AG407+AG512+AG617)+SUMIFS(ExpensePayrollTaxes[Month 22],ExpensePayrollTaxes[exp_item],$H722,ExpensePayrollTaxes[company_name],$B1352)*AG722)</f>
        <v>0</v>
      </c>
      <c r="AH1352" s="652">
        <f>IF($B1352="",,SUMIFS(SalaryPayrollTaxes[Month 23],SalaryPayrollTaxes[exp_item],$H1352,SalaryPayrollTaxes[company_name],$B1352,SalaryPayrollTaxes[bu_name],$C1352)*(AH407+AH512+AH617)+SUMIFS(ExpensePayrollTaxes[Month 23],ExpensePayrollTaxes[exp_item],$H722,ExpensePayrollTaxes[company_name],$B1352)*AH722)</f>
        <v>0</v>
      </c>
      <c r="AI1352" s="652">
        <f>IF($B1352="",,SUMIFS(SalaryPayrollTaxes[Month 24],SalaryPayrollTaxes[exp_item],$H1352,SalaryPayrollTaxes[company_name],$B1352,SalaryPayrollTaxes[bu_name],$C1352)*(AI407+AI512+AI617)+SUMIFS(ExpensePayrollTaxes[Month 24],ExpensePayrollTaxes[exp_item],$H722,ExpensePayrollTaxes[company_name],$B1352)*AI722)</f>
        <v>0</v>
      </c>
      <c r="AJ1352" s="652">
        <f>IF($B1352="",,SUMIFS(SalaryPayrollTaxes[Month 25],SalaryPayrollTaxes[exp_item],$H1352,SalaryPayrollTaxes[company_name],$B1352,SalaryPayrollTaxes[bu_name],$C1352)*(AJ407+AJ512+AJ617)+SUMIFS(ExpensePayrollTaxes[Month 25],ExpensePayrollTaxes[exp_item],$H722,ExpensePayrollTaxes[company_name],$B1352)*AJ722)</f>
        <v>0</v>
      </c>
      <c r="AK1352" s="652">
        <f>IF($B1352="",,SUMIFS(SalaryPayrollTaxes[Month 26],SalaryPayrollTaxes[exp_item],$H1352,SalaryPayrollTaxes[company_name],$B1352,SalaryPayrollTaxes[bu_name],$C1352)*(AK407+AK512+AK617)+SUMIFS(ExpensePayrollTaxes[Month 26],ExpensePayrollTaxes[exp_item],$H722,ExpensePayrollTaxes[company_name],$B1352)*AK722)</f>
        <v>0</v>
      </c>
      <c r="AL1352" s="652">
        <f>IF($B1352="",,SUMIFS(SalaryPayrollTaxes[Month 27],SalaryPayrollTaxes[exp_item],$H1352,SalaryPayrollTaxes[company_name],$B1352,SalaryPayrollTaxes[bu_name],$C1352)*(AL407+AL512+AL617)+SUMIFS(ExpensePayrollTaxes[Month 27],ExpensePayrollTaxes[exp_item],$H722,ExpensePayrollTaxes[company_name],$B1352)*AL722)</f>
        <v>0</v>
      </c>
      <c r="AM1352" s="652">
        <f>IF($B1352="",,SUMIFS(SalaryPayrollTaxes[Month 28],SalaryPayrollTaxes[exp_item],$H1352,SalaryPayrollTaxes[company_name],$B1352,SalaryPayrollTaxes[bu_name],$C1352)*(AM407+AM512+AM617)+SUMIFS(ExpensePayrollTaxes[Month 28],ExpensePayrollTaxes[exp_item],$H722,ExpensePayrollTaxes[company_name],$B1352)*AM722)</f>
        <v>0</v>
      </c>
      <c r="AN1352" s="652">
        <f>IF($B1352="",,SUMIFS(SalaryPayrollTaxes[Month 29],SalaryPayrollTaxes[exp_item],$H1352,SalaryPayrollTaxes[company_name],$B1352,SalaryPayrollTaxes[bu_name],$C1352)*(AN407+AN512+AN617)+SUMIFS(ExpensePayrollTaxes[Month 29],ExpensePayrollTaxes[exp_item],$H722,ExpensePayrollTaxes[company_name],$B1352)*AN722)</f>
        <v>0</v>
      </c>
      <c r="AO1352" s="652">
        <f>IF($B1352="",,SUMIFS(SalaryPayrollTaxes[Month 30],SalaryPayrollTaxes[exp_item],$H1352,SalaryPayrollTaxes[company_name],$B1352,SalaryPayrollTaxes[bu_name],$C1352)*(AO407+AO512+AO617)+SUMIFS(ExpensePayrollTaxes[Month 30],ExpensePayrollTaxes[exp_item],$H722,ExpensePayrollTaxes[company_name],$B1352)*AO722)</f>
        <v>0</v>
      </c>
      <c r="AP1352" s="652">
        <f>IF($B1352="",,SUMIFS(SalaryPayrollTaxes[Month 31],SalaryPayrollTaxes[exp_item],$H1352,SalaryPayrollTaxes[company_name],$B1352,SalaryPayrollTaxes[bu_name],$C1352)*(AP407+AP512+AP617)+SUMIFS(ExpensePayrollTaxes[Month 31],ExpensePayrollTaxes[exp_item],$H722,ExpensePayrollTaxes[company_name],$B1352)*AP722)</f>
        <v>0</v>
      </c>
      <c r="AQ1352" s="652">
        <f>IF($B1352="",,SUMIFS(SalaryPayrollTaxes[Month 32],SalaryPayrollTaxes[exp_item],$H1352,SalaryPayrollTaxes[company_name],$B1352,SalaryPayrollTaxes[bu_name],$C1352)*(AQ407+AQ512+AQ617)+SUMIFS(ExpensePayrollTaxes[Month 32],ExpensePayrollTaxes[exp_item],$H722,ExpensePayrollTaxes[company_name],$B1352)*AQ722)</f>
        <v>0</v>
      </c>
      <c r="AR1352" s="652">
        <f>IF($B1352="",,SUMIFS(SalaryPayrollTaxes[Month 33],SalaryPayrollTaxes[exp_item],$H1352,SalaryPayrollTaxes[company_name],$B1352,SalaryPayrollTaxes[bu_name],$C1352)*(AR407+AR512+AR617)+SUMIFS(ExpensePayrollTaxes[Month 33],ExpensePayrollTaxes[exp_item],$H722,ExpensePayrollTaxes[company_name],$B1352)*AR722)</f>
        <v>0</v>
      </c>
      <c r="AS1352" s="652">
        <f>IF($B1352="",,SUMIFS(SalaryPayrollTaxes[Month 34],SalaryPayrollTaxes[exp_item],$H1352,SalaryPayrollTaxes[company_name],$B1352,SalaryPayrollTaxes[bu_name],$C1352)*(AS407+AS512+AS617)+SUMIFS(ExpensePayrollTaxes[Month 34],ExpensePayrollTaxes[exp_item],$H722,ExpensePayrollTaxes[company_name],$B1352)*AS722)</f>
        <v>0</v>
      </c>
      <c r="AT1352" s="652">
        <f>IF($B1352="",,SUMIFS(SalaryPayrollTaxes[Month 35],SalaryPayrollTaxes[exp_item],$H1352,SalaryPayrollTaxes[company_name],$B1352,SalaryPayrollTaxes[bu_name],$C1352)*(AT407+AT512+AT617)+SUMIFS(ExpensePayrollTaxes[Month 35],ExpensePayrollTaxes[exp_item],$H722,ExpensePayrollTaxes[company_name],$B1352)*AT722)</f>
        <v>0</v>
      </c>
      <c r="AU1352" s="652">
        <f>IF($B1352="",,SUMIFS(SalaryPayrollTaxes[Month 36],SalaryPayrollTaxes[exp_item],$H1352,SalaryPayrollTaxes[company_name],$B1352,SalaryPayrollTaxes[bu_name],$C1352)*(AU407+AU512+AU617)+SUMIFS(ExpensePayrollTaxes[Month 36],ExpensePayrollTaxes[exp_item],$H722,ExpensePayrollTaxes[company_name],$B1352)*AU722)</f>
        <v>0</v>
      </c>
    </row>
    <row r="1353" spans="2:47" x14ac:dyDescent="0.35">
      <c r="B1353" t="str">
        <f t="shared" si="991"/>
        <v/>
      </c>
      <c r="C1353" t="str">
        <f t="shared" si="991"/>
        <v/>
      </c>
      <c r="D1353" t="str">
        <f t="shared" si="991"/>
        <v/>
      </c>
      <c r="E1353" t="str">
        <f t="shared" si="991"/>
        <v/>
      </c>
      <c r="F1353" t="str">
        <f t="shared" si="991"/>
        <v/>
      </c>
      <c r="G1353" t="str">
        <f t="shared" si="991"/>
        <v/>
      </c>
      <c r="H1353" t="str">
        <f t="shared" si="989"/>
        <v/>
      </c>
      <c r="J1353" t="str">
        <f>IF($H1353="","",IF(VLOOKUP(H1353,ExpItems[],2,0),H1353&amp;" - "&amp;INDEX(DivisionMapping[category_code],MATCH($D1353&amp;$C1353,DivisionMapping[dept_bu],0)),H1353))</f>
        <v/>
      </c>
      <c r="K1353" t="str">
        <f t="shared" si="990"/>
        <v/>
      </c>
      <c r="L1353" s="652">
        <f>IF($B1353="",,SUMIFS(SalaryPayrollTaxes[Month 1],SalaryPayrollTaxes[exp_item],$H1353,SalaryPayrollTaxes[company_name],$B1353,SalaryPayrollTaxes[bu_name],$C1353)*(L408+L513+L618)+SUMIFS(ExpensePayrollTaxes[Month 1],ExpensePayrollTaxes[exp_item],$H723,ExpensePayrollTaxes[company_name],$B1353)*L723)</f>
        <v>0</v>
      </c>
      <c r="M1353" s="652">
        <f>IF($B1353="",,SUMIFS(SalaryPayrollTaxes[Month 2],SalaryPayrollTaxes[exp_item],$H1353,SalaryPayrollTaxes[company_name],$B1353,SalaryPayrollTaxes[bu_name],$C1353)*(M408+M513+M618)+SUMIFS(ExpensePayrollTaxes[Month 2],ExpensePayrollTaxes[exp_item],$H723,ExpensePayrollTaxes[company_name],$B1353)*M723)</f>
        <v>0</v>
      </c>
      <c r="N1353" s="652">
        <f>IF($B1353="",,SUMIFS(SalaryPayrollTaxes[Month 3],SalaryPayrollTaxes[exp_item],$H1353,SalaryPayrollTaxes[company_name],$B1353,SalaryPayrollTaxes[bu_name],$C1353)*(N408+N513+N618)+SUMIFS(ExpensePayrollTaxes[Month 3],ExpensePayrollTaxes[exp_item],$H723,ExpensePayrollTaxes[company_name],$B1353)*N723)</f>
        <v>0</v>
      </c>
      <c r="O1353" s="652">
        <f>IF($B1353="",,SUMIFS(SalaryPayrollTaxes[Month 4],SalaryPayrollTaxes[exp_item],$H1353,SalaryPayrollTaxes[company_name],$B1353,SalaryPayrollTaxes[bu_name],$C1353)*(O408+O513+O618)+SUMIFS(ExpensePayrollTaxes[Month 4],ExpensePayrollTaxes[exp_item],$H723,ExpensePayrollTaxes[company_name],$B1353)*O723)</f>
        <v>0</v>
      </c>
      <c r="P1353" s="652">
        <f>IF($B1353="",,SUMIFS(SalaryPayrollTaxes[Month 5],SalaryPayrollTaxes[exp_item],$H1353,SalaryPayrollTaxes[company_name],$B1353,SalaryPayrollTaxes[bu_name],$C1353)*(P408+P513+P618)+SUMIFS(ExpensePayrollTaxes[Month 5],ExpensePayrollTaxes[exp_item],$H723,ExpensePayrollTaxes[company_name],$B1353)*P723)</f>
        <v>0</v>
      </c>
      <c r="Q1353" s="652">
        <f>IF($B1353="",,SUMIFS(SalaryPayrollTaxes[Month 6],SalaryPayrollTaxes[exp_item],$H1353,SalaryPayrollTaxes[company_name],$B1353,SalaryPayrollTaxes[bu_name],$C1353)*(Q408+Q513+Q618)+SUMIFS(ExpensePayrollTaxes[Month 6],ExpensePayrollTaxes[exp_item],$H723,ExpensePayrollTaxes[company_name],$B1353)*Q723)</f>
        <v>0</v>
      </c>
      <c r="R1353" s="652">
        <f>IF($B1353="",,SUMIFS(SalaryPayrollTaxes[Month 7],SalaryPayrollTaxes[exp_item],$H1353,SalaryPayrollTaxes[company_name],$B1353,SalaryPayrollTaxes[bu_name],$C1353)*(R408+R513+R618)+SUMIFS(ExpensePayrollTaxes[Month 7],ExpensePayrollTaxes[exp_item],$H723,ExpensePayrollTaxes[company_name],$B1353)*R723)</f>
        <v>0</v>
      </c>
      <c r="S1353" s="652">
        <f>IF($B1353="",,SUMIFS(SalaryPayrollTaxes[Month 8],SalaryPayrollTaxes[exp_item],$H1353,SalaryPayrollTaxes[company_name],$B1353,SalaryPayrollTaxes[bu_name],$C1353)*(S408+S513+S618)+SUMIFS(ExpensePayrollTaxes[Month 8],ExpensePayrollTaxes[exp_item],$H723,ExpensePayrollTaxes[company_name],$B1353)*S723)</f>
        <v>0</v>
      </c>
      <c r="T1353" s="652">
        <f>IF($B1353="",,SUMIFS(SalaryPayrollTaxes[Month 9],SalaryPayrollTaxes[exp_item],$H1353,SalaryPayrollTaxes[company_name],$B1353,SalaryPayrollTaxes[bu_name],$C1353)*(T408+T513+T618)+SUMIFS(ExpensePayrollTaxes[Month 9],ExpensePayrollTaxes[exp_item],$H723,ExpensePayrollTaxes[company_name],$B1353)*T723)</f>
        <v>0</v>
      </c>
      <c r="U1353" s="652">
        <f>IF($B1353="",,SUMIFS(SalaryPayrollTaxes[Month 10],SalaryPayrollTaxes[exp_item],$H1353,SalaryPayrollTaxes[company_name],$B1353,SalaryPayrollTaxes[bu_name],$C1353)*(U408+U513+U618)+SUMIFS(ExpensePayrollTaxes[Month 10],ExpensePayrollTaxes[exp_item],$H723,ExpensePayrollTaxes[company_name],$B1353)*U723)</f>
        <v>0</v>
      </c>
      <c r="V1353" s="652">
        <f>IF($B1353="",,SUMIFS(SalaryPayrollTaxes[Month 11],SalaryPayrollTaxes[exp_item],$H1353,SalaryPayrollTaxes[company_name],$B1353,SalaryPayrollTaxes[bu_name],$C1353)*(V408+V513+V618)+SUMIFS(ExpensePayrollTaxes[Month 11],ExpensePayrollTaxes[exp_item],$H723,ExpensePayrollTaxes[company_name],$B1353)*V723)</f>
        <v>0</v>
      </c>
      <c r="W1353" s="652">
        <f>IF($B1353="",,SUMIFS(SalaryPayrollTaxes[Month 12],SalaryPayrollTaxes[exp_item],$H1353,SalaryPayrollTaxes[company_name],$B1353,SalaryPayrollTaxes[bu_name],$C1353)*(W408+W513+W618)+SUMIFS(ExpensePayrollTaxes[Month 12],ExpensePayrollTaxes[exp_item],$H723,ExpensePayrollTaxes[company_name],$B1353)*W723)</f>
        <v>0</v>
      </c>
      <c r="X1353" s="652">
        <f>IF($B1353="",,SUMIFS(SalaryPayrollTaxes[Month 13],SalaryPayrollTaxes[exp_item],$H1353,SalaryPayrollTaxes[company_name],$B1353,SalaryPayrollTaxes[bu_name],$C1353)*(X408+X513+X618)+SUMIFS(ExpensePayrollTaxes[Month 13],ExpensePayrollTaxes[exp_item],$H723,ExpensePayrollTaxes[company_name],$B1353)*X723)</f>
        <v>0</v>
      </c>
      <c r="Y1353" s="652">
        <f>IF($B1353="",,SUMIFS(SalaryPayrollTaxes[Month 14],SalaryPayrollTaxes[exp_item],$H1353,SalaryPayrollTaxes[company_name],$B1353,SalaryPayrollTaxes[bu_name],$C1353)*(Y408+Y513+Y618)+SUMIFS(ExpensePayrollTaxes[Month 14],ExpensePayrollTaxes[exp_item],$H723,ExpensePayrollTaxes[company_name],$B1353)*Y723)</f>
        <v>0</v>
      </c>
      <c r="Z1353" s="652">
        <f>IF($B1353="",,SUMIFS(SalaryPayrollTaxes[Month 15],SalaryPayrollTaxes[exp_item],$H1353,SalaryPayrollTaxes[company_name],$B1353,SalaryPayrollTaxes[bu_name],$C1353)*(Z408+Z513+Z618)+SUMIFS(ExpensePayrollTaxes[Month 15],ExpensePayrollTaxes[exp_item],$H723,ExpensePayrollTaxes[company_name],$B1353)*Z723)</f>
        <v>0</v>
      </c>
      <c r="AA1353" s="652">
        <f>IF($B1353="",,SUMIFS(SalaryPayrollTaxes[Month 16],SalaryPayrollTaxes[exp_item],$H1353,SalaryPayrollTaxes[company_name],$B1353,SalaryPayrollTaxes[bu_name],$C1353)*(AA408+AA513+AA618)+SUMIFS(ExpensePayrollTaxes[Month 16],ExpensePayrollTaxes[exp_item],$H723,ExpensePayrollTaxes[company_name],$B1353)*AA723)</f>
        <v>0</v>
      </c>
      <c r="AB1353" s="652">
        <f>IF($B1353="",,SUMIFS(SalaryPayrollTaxes[Month 17],SalaryPayrollTaxes[exp_item],$H1353,SalaryPayrollTaxes[company_name],$B1353,SalaryPayrollTaxes[bu_name],$C1353)*(AB408+AB513+AB618)+SUMIFS(ExpensePayrollTaxes[Month 17],ExpensePayrollTaxes[exp_item],$H723,ExpensePayrollTaxes[company_name],$B1353)*AB723)</f>
        <v>0</v>
      </c>
      <c r="AC1353" s="652">
        <f>IF($B1353="",,SUMIFS(SalaryPayrollTaxes[Month 18],SalaryPayrollTaxes[exp_item],$H1353,SalaryPayrollTaxes[company_name],$B1353,SalaryPayrollTaxes[bu_name],$C1353)*(AC408+AC513+AC618)+SUMIFS(ExpensePayrollTaxes[Month 18],ExpensePayrollTaxes[exp_item],$H723,ExpensePayrollTaxes[company_name],$B1353)*AC723)</f>
        <v>0</v>
      </c>
      <c r="AD1353" s="652">
        <f>IF($B1353="",,SUMIFS(SalaryPayrollTaxes[Month 19],SalaryPayrollTaxes[exp_item],$H1353,SalaryPayrollTaxes[company_name],$B1353,SalaryPayrollTaxes[bu_name],$C1353)*(AD408+AD513+AD618)+SUMIFS(ExpensePayrollTaxes[Month 19],ExpensePayrollTaxes[exp_item],$H723,ExpensePayrollTaxes[company_name],$B1353)*AD723)</f>
        <v>0</v>
      </c>
      <c r="AE1353" s="652">
        <f>IF($B1353="",,SUMIFS(SalaryPayrollTaxes[Month 20],SalaryPayrollTaxes[exp_item],$H1353,SalaryPayrollTaxes[company_name],$B1353,SalaryPayrollTaxes[bu_name],$C1353)*(AE408+AE513+AE618)+SUMIFS(ExpensePayrollTaxes[Month 20],ExpensePayrollTaxes[exp_item],$H723,ExpensePayrollTaxes[company_name],$B1353)*AE723)</f>
        <v>0</v>
      </c>
      <c r="AF1353" s="652">
        <f>IF($B1353="",,SUMIFS(SalaryPayrollTaxes[Month 21],SalaryPayrollTaxes[exp_item],$H1353,SalaryPayrollTaxes[company_name],$B1353,SalaryPayrollTaxes[bu_name],$C1353)*(AF408+AF513+AF618)+SUMIFS(ExpensePayrollTaxes[Month 21],ExpensePayrollTaxes[exp_item],$H723,ExpensePayrollTaxes[company_name],$B1353)*AF723)</f>
        <v>0</v>
      </c>
      <c r="AG1353" s="652">
        <f>IF($B1353="",,SUMIFS(SalaryPayrollTaxes[Month 22],SalaryPayrollTaxes[exp_item],$H1353,SalaryPayrollTaxes[company_name],$B1353,SalaryPayrollTaxes[bu_name],$C1353)*(AG408+AG513+AG618)+SUMIFS(ExpensePayrollTaxes[Month 22],ExpensePayrollTaxes[exp_item],$H723,ExpensePayrollTaxes[company_name],$B1353)*AG723)</f>
        <v>0</v>
      </c>
      <c r="AH1353" s="652">
        <f>IF($B1353="",,SUMIFS(SalaryPayrollTaxes[Month 23],SalaryPayrollTaxes[exp_item],$H1353,SalaryPayrollTaxes[company_name],$B1353,SalaryPayrollTaxes[bu_name],$C1353)*(AH408+AH513+AH618)+SUMIFS(ExpensePayrollTaxes[Month 23],ExpensePayrollTaxes[exp_item],$H723,ExpensePayrollTaxes[company_name],$B1353)*AH723)</f>
        <v>0</v>
      </c>
      <c r="AI1353" s="652">
        <f>IF($B1353="",,SUMIFS(SalaryPayrollTaxes[Month 24],SalaryPayrollTaxes[exp_item],$H1353,SalaryPayrollTaxes[company_name],$B1353,SalaryPayrollTaxes[bu_name],$C1353)*(AI408+AI513+AI618)+SUMIFS(ExpensePayrollTaxes[Month 24],ExpensePayrollTaxes[exp_item],$H723,ExpensePayrollTaxes[company_name],$B1353)*AI723)</f>
        <v>0</v>
      </c>
      <c r="AJ1353" s="652">
        <f>IF($B1353="",,SUMIFS(SalaryPayrollTaxes[Month 25],SalaryPayrollTaxes[exp_item],$H1353,SalaryPayrollTaxes[company_name],$B1353,SalaryPayrollTaxes[bu_name],$C1353)*(AJ408+AJ513+AJ618)+SUMIFS(ExpensePayrollTaxes[Month 25],ExpensePayrollTaxes[exp_item],$H723,ExpensePayrollTaxes[company_name],$B1353)*AJ723)</f>
        <v>0</v>
      </c>
      <c r="AK1353" s="652">
        <f>IF($B1353="",,SUMIFS(SalaryPayrollTaxes[Month 26],SalaryPayrollTaxes[exp_item],$H1353,SalaryPayrollTaxes[company_name],$B1353,SalaryPayrollTaxes[bu_name],$C1353)*(AK408+AK513+AK618)+SUMIFS(ExpensePayrollTaxes[Month 26],ExpensePayrollTaxes[exp_item],$H723,ExpensePayrollTaxes[company_name],$B1353)*AK723)</f>
        <v>0</v>
      </c>
      <c r="AL1353" s="652">
        <f>IF($B1353="",,SUMIFS(SalaryPayrollTaxes[Month 27],SalaryPayrollTaxes[exp_item],$H1353,SalaryPayrollTaxes[company_name],$B1353,SalaryPayrollTaxes[bu_name],$C1353)*(AL408+AL513+AL618)+SUMIFS(ExpensePayrollTaxes[Month 27],ExpensePayrollTaxes[exp_item],$H723,ExpensePayrollTaxes[company_name],$B1353)*AL723)</f>
        <v>0</v>
      </c>
      <c r="AM1353" s="652">
        <f>IF($B1353="",,SUMIFS(SalaryPayrollTaxes[Month 28],SalaryPayrollTaxes[exp_item],$H1353,SalaryPayrollTaxes[company_name],$B1353,SalaryPayrollTaxes[bu_name],$C1353)*(AM408+AM513+AM618)+SUMIFS(ExpensePayrollTaxes[Month 28],ExpensePayrollTaxes[exp_item],$H723,ExpensePayrollTaxes[company_name],$B1353)*AM723)</f>
        <v>0</v>
      </c>
      <c r="AN1353" s="652">
        <f>IF($B1353="",,SUMIFS(SalaryPayrollTaxes[Month 29],SalaryPayrollTaxes[exp_item],$H1353,SalaryPayrollTaxes[company_name],$B1353,SalaryPayrollTaxes[bu_name],$C1353)*(AN408+AN513+AN618)+SUMIFS(ExpensePayrollTaxes[Month 29],ExpensePayrollTaxes[exp_item],$H723,ExpensePayrollTaxes[company_name],$B1353)*AN723)</f>
        <v>0</v>
      </c>
      <c r="AO1353" s="652">
        <f>IF($B1353="",,SUMIFS(SalaryPayrollTaxes[Month 30],SalaryPayrollTaxes[exp_item],$H1353,SalaryPayrollTaxes[company_name],$B1353,SalaryPayrollTaxes[bu_name],$C1353)*(AO408+AO513+AO618)+SUMIFS(ExpensePayrollTaxes[Month 30],ExpensePayrollTaxes[exp_item],$H723,ExpensePayrollTaxes[company_name],$B1353)*AO723)</f>
        <v>0</v>
      </c>
      <c r="AP1353" s="652">
        <f>IF($B1353="",,SUMIFS(SalaryPayrollTaxes[Month 31],SalaryPayrollTaxes[exp_item],$H1353,SalaryPayrollTaxes[company_name],$B1353,SalaryPayrollTaxes[bu_name],$C1353)*(AP408+AP513+AP618)+SUMIFS(ExpensePayrollTaxes[Month 31],ExpensePayrollTaxes[exp_item],$H723,ExpensePayrollTaxes[company_name],$B1353)*AP723)</f>
        <v>0</v>
      </c>
      <c r="AQ1353" s="652">
        <f>IF($B1353="",,SUMIFS(SalaryPayrollTaxes[Month 32],SalaryPayrollTaxes[exp_item],$H1353,SalaryPayrollTaxes[company_name],$B1353,SalaryPayrollTaxes[bu_name],$C1353)*(AQ408+AQ513+AQ618)+SUMIFS(ExpensePayrollTaxes[Month 32],ExpensePayrollTaxes[exp_item],$H723,ExpensePayrollTaxes[company_name],$B1353)*AQ723)</f>
        <v>0</v>
      </c>
      <c r="AR1353" s="652">
        <f>IF($B1353="",,SUMIFS(SalaryPayrollTaxes[Month 33],SalaryPayrollTaxes[exp_item],$H1353,SalaryPayrollTaxes[company_name],$B1353,SalaryPayrollTaxes[bu_name],$C1353)*(AR408+AR513+AR618)+SUMIFS(ExpensePayrollTaxes[Month 33],ExpensePayrollTaxes[exp_item],$H723,ExpensePayrollTaxes[company_name],$B1353)*AR723)</f>
        <v>0</v>
      </c>
      <c r="AS1353" s="652">
        <f>IF($B1353="",,SUMIFS(SalaryPayrollTaxes[Month 34],SalaryPayrollTaxes[exp_item],$H1353,SalaryPayrollTaxes[company_name],$B1353,SalaryPayrollTaxes[bu_name],$C1353)*(AS408+AS513+AS618)+SUMIFS(ExpensePayrollTaxes[Month 34],ExpensePayrollTaxes[exp_item],$H723,ExpensePayrollTaxes[company_name],$B1353)*AS723)</f>
        <v>0</v>
      </c>
      <c r="AT1353" s="652">
        <f>IF($B1353="",,SUMIFS(SalaryPayrollTaxes[Month 35],SalaryPayrollTaxes[exp_item],$H1353,SalaryPayrollTaxes[company_name],$B1353,SalaryPayrollTaxes[bu_name],$C1353)*(AT408+AT513+AT618)+SUMIFS(ExpensePayrollTaxes[Month 35],ExpensePayrollTaxes[exp_item],$H723,ExpensePayrollTaxes[company_name],$B1353)*AT723)</f>
        <v>0</v>
      </c>
      <c r="AU1353" s="652">
        <f>IF($B1353="",,SUMIFS(SalaryPayrollTaxes[Month 36],SalaryPayrollTaxes[exp_item],$H1353,SalaryPayrollTaxes[company_name],$B1353,SalaryPayrollTaxes[bu_name],$C1353)*(AU408+AU513+AU618)+SUMIFS(ExpensePayrollTaxes[Month 36],ExpensePayrollTaxes[exp_item],$H723,ExpensePayrollTaxes[company_name],$B1353)*AU723)</f>
        <v>0</v>
      </c>
    </row>
    <row r="1354" spans="2:47" x14ac:dyDescent="0.35">
      <c r="B1354" t="str">
        <f t="shared" si="991"/>
        <v/>
      </c>
      <c r="C1354" t="str">
        <f t="shared" si="991"/>
        <v/>
      </c>
      <c r="D1354" t="str">
        <f t="shared" si="991"/>
        <v/>
      </c>
      <c r="E1354" t="str">
        <f t="shared" si="991"/>
        <v/>
      </c>
      <c r="F1354" t="str">
        <f t="shared" si="991"/>
        <v/>
      </c>
      <c r="G1354" t="str">
        <f t="shared" si="991"/>
        <v/>
      </c>
      <c r="H1354" t="str">
        <f t="shared" si="989"/>
        <v/>
      </c>
      <c r="J1354" t="str">
        <f>IF($H1354="","",IF(VLOOKUP(H1354,ExpItems[],2,0),H1354&amp;" - "&amp;INDEX(DivisionMapping[category_code],MATCH($D1354&amp;$C1354,DivisionMapping[dept_bu],0)),H1354))</f>
        <v/>
      </c>
      <c r="K1354" t="str">
        <f t="shared" si="990"/>
        <v/>
      </c>
      <c r="L1354" s="652">
        <f>IF($B1354="",,SUMIFS(SalaryPayrollTaxes[Month 1],SalaryPayrollTaxes[exp_item],$H1354,SalaryPayrollTaxes[company_name],$B1354,SalaryPayrollTaxes[bu_name],$C1354)*(L409+L514+L619)+SUMIFS(ExpensePayrollTaxes[Month 1],ExpensePayrollTaxes[exp_item],$H724,ExpensePayrollTaxes[company_name],$B1354)*L724)</f>
        <v>0</v>
      </c>
      <c r="M1354" s="652">
        <f>IF($B1354="",,SUMIFS(SalaryPayrollTaxes[Month 2],SalaryPayrollTaxes[exp_item],$H1354,SalaryPayrollTaxes[company_name],$B1354,SalaryPayrollTaxes[bu_name],$C1354)*(M409+M514+M619)+SUMIFS(ExpensePayrollTaxes[Month 2],ExpensePayrollTaxes[exp_item],$H724,ExpensePayrollTaxes[company_name],$B1354)*M724)</f>
        <v>0</v>
      </c>
      <c r="N1354" s="652">
        <f>IF($B1354="",,SUMIFS(SalaryPayrollTaxes[Month 3],SalaryPayrollTaxes[exp_item],$H1354,SalaryPayrollTaxes[company_name],$B1354,SalaryPayrollTaxes[bu_name],$C1354)*(N409+N514+N619)+SUMIFS(ExpensePayrollTaxes[Month 3],ExpensePayrollTaxes[exp_item],$H724,ExpensePayrollTaxes[company_name],$B1354)*N724)</f>
        <v>0</v>
      </c>
      <c r="O1354" s="652">
        <f>IF($B1354="",,SUMIFS(SalaryPayrollTaxes[Month 4],SalaryPayrollTaxes[exp_item],$H1354,SalaryPayrollTaxes[company_name],$B1354,SalaryPayrollTaxes[bu_name],$C1354)*(O409+O514+O619)+SUMIFS(ExpensePayrollTaxes[Month 4],ExpensePayrollTaxes[exp_item],$H724,ExpensePayrollTaxes[company_name],$B1354)*O724)</f>
        <v>0</v>
      </c>
      <c r="P1354" s="652">
        <f>IF($B1354="",,SUMIFS(SalaryPayrollTaxes[Month 5],SalaryPayrollTaxes[exp_item],$H1354,SalaryPayrollTaxes[company_name],$B1354,SalaryPayrollTaxes[bu_name],$C1354)*(P409+P514+P619)+SUMIFS(ExpensePayrollTaxes[Month 5],ExpensePayrollTaxes[exp_item],$H724,ExpensePayrollTaxes[company_name],$B1354)*P724)</f>
        <v>0</v>
      </c>
      <c r="Q1354" s="652">
        <f>IF($B1354="",,SUMIFS(SalaryPayrollTaxes[Month 6],SalaryPayrollTaxes[exp_item],$H1354,SalaryPayrollTaxes[company_name],$B1354,SalaryPayrollTaxes[bu_name],$C1354)*(Q409+Q514+Q619)+SUMIFS(ExpensePayrollTaxes[Month 6],ExpensePayrollTaxes[exp_item],$H724,ExpensePayrollTaxes[company_name],$B1354)*Q724)</f>
        <v>0</v>
      </c>
      <c r="R1354" s="652">
        <f>IF($B1354="",,SUMIFS(SalaryPayrollTaxes[Month 7],SalaryPayrollTaxes[exp_item],$H1354,SalaryPayrollTaxes[company_name],$B1354,SalaryPayrollTaxes[bu_name],$C1354)*(R409+R514+R619)+SUMIFS(ExpensePayrollTaxes[Month 7],ExpensePayrollTaxes[exp_item],$H724,ExpensePayrollTaxes[company_name],$B1354)*R724)</f>
        <v>0</v>
      </c>
      <c r="S1354" s="652">
        <f>IF($B1354="",,SUMIFS(SalaryPayrollTaxes[Month 8],SalaryPayrollTaxes[exp_item],$H1354,SalaryPayrollTaxes[company_name],$B1354,SalaryPayrollTaxes[bu_name],$C1354)*(S409+S514+S619)+SUMIFS(ExpensePayrollTaxes[Month 8],ExpensePayrollTaxes[exp_item],$H724,ExpensePayrollTaxes[company_name],$B1354)*S724)</f>
        <v>0</v>
      </c>
      <c r="T1354" s="652">
        <f>IF($B1354="",,SUMIFS(SalaryPayrollTaxes[Month 9],SalaryPayrollTaxes[exp_item],$H1354,SalaryPayrollTaxes[company_name],$B1354,SalaryPayrollTaxes[bu_name],$C1354)*(T409+T514+T619)+SUMIFS(ExpensePayrollTaxes[Month 9],ExpensePayrollTaxes[exp_item],$H724,ExpensePayrollTaxes[company_name],$B1354)*T724)</f>
        <v>0</v>
      </c>
      <c r="U1354" s="652">
        <f>IF($B1354="",,SUMIFS(SalaryPayrollTaxes[Month 10],SalaryPayrollTaxes[exp_item],$H1354,SalaryPayrollTaxes[company_name],$B1354,SalaryPayrollTaxes[bu_name],$C1354)*(U409+U514+U619)+SUMIFS(ExpensePayrollTaxes[Month 10],ExpensePayrollTaxes[exp_item],$H724,ExpensePayrollTaxes[company_name],$B1354)*U724)</f>
        <v>0</v>
      </c>
      <c r="V1354" s="652">
        <f>IF($B1354="",,SUMIFS(SalaryPayrollTaxes[Month 11],SalaryPayrollTaxes[exp_item],$H1354,SalaryPayrollTaxes[company_name],$B1354,SalaryPayrollTaxes[bu_name],$C1354)*(V409+V514+V619)+SUMIFS(ExpensePayrollTaxes[Month 11],ExpensePayrollTaxes[exp_item],$H724,ExpensePayrollTaxes[company_name],$B1354)*V724)</f>
        <v>0</v>
      </c>
      <c r="W1354" s="652">
        <f>IF($B1354="",,SUMIFS(SalaryPayrollTaxes[Month 12],SalaryPayrollTaxes[exp_item],$H1354,SalaryPayrollTaxes[company_name],$B1354,SalaryPayrollTaxes[bu_name],$C1354)*(W409+W514+W619)+SUMIFS(ExpensePayrollTaxes[Month 12],ExpensePayrollTaxes[exp_item],$H724,ExpensePayrollTaxes[company_name],$B1354)*W724)</f>
        <v>0</v>
      </c>
      <c r="X1354" s="652">
        <f>IF($B1354="",,SUMIFS(SalaryPayrollTaxes[Month 13],SalaryPayrollTaxes[exp_item],$H1354,SalaryPayrollTaxes[company_name],$B1354,SalaryPayrollTaxes[bu_name],$C1354)*(X409+X514+X619)+SUMIFS(ExpensePayrollTaxes[Month 13],ExpensePayrollTaxes[exp_item],$H724,ExpensePayrollTaxes[company_name],$B1354)*X724)</f>
        <v>0</v>
      </c>
      <c r="Y1354" s="652">
        <f>IF($B1354="",,SUMIFS(SalaryPayrollTaxes[Month 14],SalaryPayrollTaxes[exp_item],$H1354,SalaryPayrollTaxes[company_name],$B1354,SalaryPayrollTaxes[bu_name],$C1354)*(Y409+Y514+Y619)+SUMIFS(ExpensePayrollTaxes[Month 14],ExpensePayrollTaxes[exp_item],$H724,ExpensePayrollTaxes[company_name],$B1354)*Y724)</f>
        <v>0</v>
      </c>
      <c r="Z1354" s="652">
        <f>IF($B1354="",,SUMIFS(SalaryPayrollTaxes[Month 15],SalaryPayrollTaxes[exp_item],$H1354,SalaryPayrollTaxes[company_name],$B1354,SalaryPayrollTaxes[bu_name],$C1354)*(Z409+Z514+Z619)+SUMIFS(ExpensePayrollTaxes[Month 15],ExpensePayrollTaxes[exp_item],$H724,ExpensePayrollTaxes[company_name],$B1354)*Z724)</f>
        <v>0</v>
      </c>
      <c r="AA1354" s="652">
        <f>IF($B1354="",,SUMIFS(SalaryPayrollTaxes[Month 16],SalaryPayrollTaxes[exp_item],$H1354,SalaryPayrollTaxes[company_name],$B1354,SalaryPayrollTaxes[bu_name],$C1354)*(AA409+AA514+AA619)+SUMIFS(ExpensePayrollTaxes[Month 16],ExpensePayrollTaxes[exp_item],$H724,ExpensePayrollTaxes[company_name],$B1354)*AA724)</f>
        <v>0</v>
      </c>
      <c r="AB1354" s="652">
        <f>IF($B1354="",,SUMIFS(SalaryPayrollTaxes[Month 17],SalaryPayrollTaxes[exp_item],$H1354,SalaryPayrollTaxes[company_name],$B1354,SalaryPayrollTaxes[bu_name],$C1354)*(AB409+AB514+AB619)+SUMIFS(ExpensePayrollTaxes[Month 17],ExpensePayrollTaxes[exp_item],$H724,ExpensePayrollTaxes[company_name],$B1354)*AB724)</f>
        <v>0</v>
      </c>
      <c r="AC1354" s="652">
        <f>IF($B1354="",,SUMIFS(SalaryPayrollTaxes[Month 18],SalaryPayrollTaxes[exp_item],$H1354,SalaryPayrollTaxes[company_name],$B1354,SalaryPayrollTaxes[bu_name],$C1354)*(AC409+AC514+AC619)+SUMIFS(ExpensePayrollTaxes[Month 18],ExpensePayrollTaxes[exp_item],$H724,ExpensePayrollTaxes[company_name],$B1354)*AC724)</f>
        <v>0</v>
      </c>
      <c r="AD1354" s="652">
        <f>IF($B1354="",,SUMIFS(SalaryPayrollTaxes[Month 19],SalaryPayrollTaxes[exp_item],$H1354,SalaryPayrollTaxes[company_name],$B1354,SalaryPayrollTaxes[bu_name],$C1354)*(AD409+AD514+AD619)+SUMIFS(ExpensePayrollTaxes[Month 19],ExpensePayrollTaxes[exp_item],$H724,ExpensePayrollTaxes[company_name],$B1354)*AD724)</f>
        <v>0</v>
      </c>
      <c r="AE1354" s="652">
        <f>IF($B1354="",,SUMIFS(SalaryPayrollTaxes[Month 20],SalaryPayrollTaxes[exp_item],$H1354,SalaryPayrollTaxes[company_name],$B1354,SalaryPayrollTaxes[bu_name],$C1354)*(AE409+AE514+AE619)+SUMIFS(ExpensePayrollTaxes[Month 20],ExpensePayrollTaxes[exp_item],$H724,ExpensePayrollTaxes[company_name],$B1354)*AE724)</f>
        <v>0</v>
      </c>
      <c r="AF1354" s="652">
        <f>IF($B1354="",,SUMIFS(SalaryPayrollTaxes[Month 21],SalaryPayrollTaxes[exp_item],$H1354,SalaryPayrollTaxes[company_name],$B1354,SalaryPayrollTaxes[bu_name],$C1354)*(AF409+AF514+AF619)+SUMIFS(ExpensePayrollTaxes[Month 21],ExpensePayrollTaxes[exp_item],$H724,ExpensePayrollTaxes[company_name],$B1354)*AF724)</f>
        <v>0</v>
      </c>
      <c r="AG1354" s="652">
        <f>IF($B1354="",,SUMIFS(SalaryPayrollTaxes[Month 22],SalaryPayrollTaxes[exp_item],$H1354,SalaryPayrollTaxes[company_name],$B1354,SalaryPayrollTaxes[bu_name],$C1354)*(AG409+AG514+AG619)+SUMIFS(ExpensePayrollTaxes[Month 22],ExpensePayrollTaxes[exp_item],$H724,ExpensePayrollTaxes[company_name],$B1354)*AG724)</f>
        <v>0</v>
      </c>
      <c r="AH1354" s="652">
        <f>IF($B1354="",,SUMIFS(SalaryPayrollTaxes[Month 23],SalaryPayrollTaxes[exp_item],$H1354,SalaryPayrollTaxes[company_name],$B1354,SalaryPayrollTaxes[bu_name],$C1354)*(AH409+AH514+AH619)+SUMIFS(ExpensePayrollTaxes[Month 23],ExpensePayrollTaxes[exp_item],$H724,ExpensePayrollTaxes[company_name],$B1354)*AH724)</f>
        <v>0</v>
      </c>
      <c r="AI1354" s="652">
        <f>IF($B1354="",,SUMIFS(SalaryPayrollTaxes[Month 24],SalaryPayrollTaxes[exp_item],$H1354,SalaryPayrollTaxes[company_name],$B1354,SalaryPayrollTaxes[bu_name],$C1354)*(AI409+AI514+AI619)+SUMIFS(ExpensePayrollTaxes[Month 24],ExpensePayrollTaxes[exp_item],$H724,ExpensePayrollTaxes[company_name],$B1354)*AI724)</f>
        <v>0</v>
      </c>
      <c r="AJ1354" s="652">
        <f>IF($B1354="",,SUMIFS(SalaryPayrollTaxes[Month 25],SalaryPayrollTaxes[exp_item],$H1354,SalaryPayrollTaxes[company_name],$B1354,SalaryPayrollTaxes[bu_name],$C1354)*(AJ409+AJ514+AJ619)+SUMIFS(ExpensePayrollTaxes[Month 25],ExpensePayrollTaxes[exp_item],$H724,ExpensePayrollTaxes[company_name],$B1354)*AJ724)</f>
        <v>0</v>
      </c>
      <c r="AK1354" s="652">
        <f>IF($B1354="",,SUMIFS(SalaryPayrollTaxes[Month 26],SalaryPayrollTaxes[exp_item],$H1354,SalaryPayrollTaxes[company_name],$B1354,SalaryPayrollTaxes[bu_name],$C1354)*(AK409+AK514+AK619)+SUMIFS(ExpensePayrollTaxes[Month 26],ExpensePayrollTaxes[exp_item],$H724,ExpensePayrollTaxes[company_name],$B1354)*AK724)</f>
        <v>0</v>
      </c>
      <c r="AL1354" s="652">
        <f>IF($B1354="",,SUMIFS(SalaryPayrollTaxes[Month 27],SalaryPayrollTaxes[exp_item],$H1354,SalaryPayrollTaxes[company_name],$B1354,SalaryPayrollTaxes[bu_name],$C1354)*(AL409+AL514+AL619)+SUMIFS(ExpensePayrollTaxes[Month 27],ExpensePayrollTaxes[exp_item],$H724,ExpensePayrollTaxes[company_name],$B1354)*AL724)</f>
        <v>0</v>
      </c>
      <c r="AM1354" s="652">
        <f>IF($B1354="",,SUMIFS(SalaryPayrollTaxes[Month 28],SalaryPayrollTaxes[exp_item],$H1354,SalaryPayrollTaxes[company_name],$B1354,SalaryPayrollTaxes[bu_name],$C1354)*(AM409+AM514+AM619)+SUMIFS(ExpensePayrollTaxes[Month 28],ExpensePayrollTaxes[exp_item],$H724,ExpensePayrollTaxes[company_name],$B1354)*AM724)</f>
        <v>0</v>
      </c>
      <c r="AN1354" s="652">
        <f>IF($B1354="",,SUMIFS(SalaryPayrollTaxes[Month 29],SalaryPayrollTaxes[exp_item],$H1354,SalaryPayrollTaxes[company_name],$B1354,SalaryPayrollTaxes[bu_name],$C1354)*(AN409+AN514+AN619)+SUMIFS(ExpensePayrollTaxes[Month 29],ExpensePayrollTaxes[exp_item],$H724,ExpensePayrollTaxes[company_name],$B1354)*AN724)</f>
        <v>0</v>
      </c>
      <c r="AO1354" s="652">
        <f>IF($B1354="",,SUMIFS(SalaryPayrollTaxes[Month 30],SalaryPayrollTaxes[exp_item],$H1354,SalaryPayrollTaxes[company_name],$B1354,SalaryPayrollTaxes[bu_name],$C1354)*(AO409+AO514+AO619)+SUMIFS(ExpensePayrollTaxes[Month 30],ExpensePayrollTaxes[exp_item],$H724,ExpensePayrollTaxes[company_name],$B1354)*AO724)</f>
        <v>0</v>
      </c>
      <c r="AP1354" s="652">
        <f>IF($B1354="",,SUMIFS(SalaryPayrollTaxes[Month 31],SalaryPayrollTaxes[exp_item],$H1354,SalaryPayrollTaxes[company_name],$B1354,SalaryPayrollTaxes[bu_name],$C1354)*(AP409+AP514+AP619)+SUMIFS(ExpensePayrollTaxes[Month 31],ExpensePayrollTaxes[exp_item],$H724,ExpensePayrollTaxes[company_name],$B1354)*AP724)</f>
        <v>0</v>
      </c>
      <c r="AQ1354" s="652">
        <f>IF($B1354="",,SUMIFS(SalaryPayrollTaxes[Month 32],SalaryPayrollTaxes[exp_item],$H1354,SalaryPayrollTaxes[company_name],$B1354,SalaryPayrollTaxes[bu_name],$C1354)*(AQ409+AQ514+AQ619)+SUMIFS(ExpensePayrollTaxes[Month 32],ExpensePayrollTaxes[exp_item],$H724,ExpensePayrollTaxes[company_name],$B1354)*AQ724)</f>
        <v>0</v>
      </c>
      <c r="AR1354" s="652">
        <f>IF($B1354="",,SUMIFS(SalaryPayrollTaxes[Month 33],SalaryPayrollTaxes[exp_item],$H1354,SalaryPayrollTaxes[company_name],$B1354,SalaryPayrollTaxes[bu_name],$C1354)*(AR409+AR514+AR619)+SUMIFS(ExpensePayrollTaxes[Month 33],ExpensePayrollTaxes[exp_item],$H724,ExpensePayrollTaxes[company_name],$B1354)*AR724)</f>
        <v>0</v>
      </c>
      <c r="AS1354" s="652">
        <f>IF($B1354="",,SUMIFS(SalaryPayrollTaxes[Month 34],SalaryPayrollTaxes[exp_item],$H1354,SalaryPayrollTaxes[company_name],$B1354,SalaryPayrollTaxes[bu_name],$C1354)*(AS409+AS514+AS619)+SUMIFS(ExpensePayrollTaxes[Month 34],ExpensePayrollTaxes[exp_item],$H724,ExpensePayrollTaxes[company_name],$B1354)*AS724)</f>
        <v>0</v>
      </c>
      <c r="AT1354" s="652">
        <f>IF($B1354="",,SUMIFS(SalaryPayrollTaxes[Month 35],SalaryPayrollTaxes[exp_item],$H1354,SalaryPayrollTaxes[company_name],$B1354,SalaryPayrollTaxes[bu_name],$C1354)*(AT409+AT514+AT619)+SUMIFS(ExpensePayrollTaxes[Month 35],ExpensePayrollTaxes[exp_item],$H724,ExpensePayrollTaxes[company_name],$B1354)*AT724)</f>
        <v>0</v>
      </c>
      <c r="AU1354" s="652">
        <f>IF($B1354="",,SUMIFS(SalaryPayrollTaxes[Month 36],SalaryPayrollTaxes[exp_item],$H1354,SalaryPayrollTaxes[company_name],$B1354,SalaryPayrollTaxes[bu_name],$C1354)*(AU409+AU514+AU619)+SUMIFS(ExpensePayrollTaxes[Month 36],ExpensePayrollTaxes[exp_item],$H724,ExpensePayrollTaxes[company_name],$B1354)*AU724)</f>
        <v>0</v>
      </c>
    </row>
    <row r="1355" spans="2:47" x14ac:dyDescent="0.35">
      <c r="B1355" t="str">
        <f t="shared" si="991"/>
        <v/>
      </c>
      <c r="C1355" t="str">
        <f t="shared" si="991"/>
        <v/>
      </c>
      <c r="D1355" t="str">
        <f t="shared" si="991"/>
        <v/>
      </c>
      <c r="E1355" t="str">
        <f t="shared" si="991"/>
        <v/>
      </c>
      <c r="F1355" t="str">
        <f t="shared" si="991"/>
        <v/>
      </c>
      <c r="G1355" t="str">
        <f t="shared" si="991"/>
        <v/>
      </c>
      <c r="H1355" t="str">
        <f t="shared" si="989"/>
        <v/>
      </c>
      <c r="J1355" t="str">
        <f>IF($H1355="","",IF(VLOOKUP(H1355,ExpItems[],2,0),H1355&amp;" - "&amp;INDEX(DivisionMapping[category_code],MATCH($D1355&amp;$C1355,DivisionMapping[dept_bu],0)),H1355))</f>
        <v/>
      </c>
      <c r="K1355" t="str">
        <f t="shared" si="990"/>
        <v/>
      </c>
      <c r="L1355" s="652">
        <f>IF($B1355="",,SUMIFS(SalaryPayrollTaxes[Month 1],SalaryPayrollTaxes[exp_item],$H1355,SalaryPayrollTaxes[company_name],$B1355,SalaryPayrollTaxes[bu_name],$C1355)*(L410+L515+L620)+SUMIFS(ExpensePayrollTaxes[Month 1],ExpensePayrollTaxes[exp_item],$H725,ExpensePayrollTaxes[company_name],$B1355)*L725)</f>
        <v>0</v>
      </c>
      <c r="M1355" s="652">
        <f>IF($B1355="",,SUMIFS(SalaryPayrollTaxes[Month 2],SalaryPayrollTaxes[exp_item],$H1355,SalaryPayrollTaxes[company_name],$B1355,SalaryPayrollTaxes[bu_name],$C1355)*(M410+M515+M620)+SUMIFS(ExpensePayrollTaxes[Month 2],ExpensePayrollTaxes[exp_item],$H725,ExpensePayrollTaxes[company_name],$B1355)*M725)</f>
        <v>0</v>
      </c>
      <c r="N1355" s="652">
        <f>IF($B1355="",,SUMIFS(SalaryPayrollTaxes[Month 3],SalaryPayrollTaxes[exp_item],$H1355,SalaryPayrollTaxes[company_name],$B1355,SalaryPayrollTaxes[bu_name],$C1355)*(N410+N515+N620)+SUMIFS(ExpensePayrollTaxes[Month 3],ExpensePayrollTaxes[exp_item],$H725,ExpensePayrollTaxes[company_name],$B1355)*N725)</f>
        <v>0</v>
      </c>
      <c r="O1355" s="652">
        <f>IF($B1355="",,SUMIFS(SalaryPayrollTaxes[Month 4],SalaryPayrollTaxes[exp_item],$H1355,SalaryPayrollTaxes[company_name],$B1355,SalaryPayrollTaxes[bu_name],$C1355)*(O410+O515+O620)+SUMIFS(ExpensePayrollTaxes[Month 4],ExpensePayrollTaxes[exp_item],$H725,ExpensePayrollTaxes[company_name],$B1355)*O725)</f>
        <v>0</v>
      </c>
      <c r="P1355" s="652">
        <f>IF($B1355="",,SUMIFS(SalaryPayrollTaxes[Month 5],SalaryPayrollTaxes[exp_item],$H1355,SalaryPayrollTaxes[company_name],$B1355,SalaryPayrollTaxes[bu_name],$C1355)*(P410+P515+P620)+SUMIFS(ExpensePayrollTaxes[Month 5],ExpensePayrollTaxes[exp_item],$H725,ExpensePayrollTaxes[company_name],$B1355)*P725)</f>
        <v>0</v>
      </c>
      <c r="Q1355" s="652">
        <f>IF($B1355="",,SUMIFS(SalaryPayrollTaxes[Month 6],SalaryPayrollTaxes[exp_item],$H1355,SalaryPayrollTaxes[company_name],$B1355,SalaryPayrollTaxes[bu_name],$C1355)*(Q410+Q515+Q620)+SUMIFS(ExpensePayrollTaxes[Month 6],ExpensePayrollTaxes[exp_item],$H725,ExpensePayrollTaxes[company_name],$B1355)*Q725)</f>
        <v>0</v>
      </c>
      <c r="R1355" s="652">
        <f>IF($B1355="",,SUMIFS(SalaryPayrollTaxes[Month 7],SalaryPayrollTaxes[exp_item],$H1355,SalaryPayrollTaxes[company_name],$B1355,SalaryPayrollTaxes[bu_name],$C1355)*(R410+R515+R620)+SUMIFS(ExpensePayrollTaxes[Month 7],ExpensePayrollTaxes[exp_item],$H725,ExpensePayrollTaxes[company_name],$B1355)*R725)</f>
        <v>0</v>
      </c>
      <c r="S1355" s="652">
        <f>IF($B1355="",,SUMIFS(SalaryPayrollTaxes[Month 8],SalaryPayrollTaxes[exp_item],$H1355,SalaryPayrollTaxes[company_name],$B1355,SalaryPayrollTaxes[bu_name],$C1355)*(S410+S515+S620)+SUMIFS(ExpensePayrollTaxes[Month 8],ExpensePayrollTaxes[exp_item],$H725,ExpensePayrollTaxes[company_name],$B1355)*S725)</f>
        <v>0</v>
      </c>
      <c r="T1355" s="652">
        <f>IF($B1355="",,SUMIFS(SalaryPayrollTaxes[Month 9],SalaryPayrollTaxes[exp_item],$H1355,SalaryPayrollTaxes[company_name],$B1355,SalaryPayrollTaxes[bu_name],$C1355)*(T410+T515+T620)+SUMIFS(ExpensePayrollTaxes[Month 9],ExpensePayrollTaxes[exp_item],$H725,ExpensePayrollTaxes[company_name],$B1355)*T725)</f>
        <v>0</v>
      </c>
      <c r="U1355" s="652">
        <f>IF($B1355="",,SUMIFS(SalaryPayrollTaxes[Month 10],SalaryPayrollTaxes[exp_item],$H1355,SalaryPayrollTaxes[company_name],$B1355,SalaryPayrollTaxes[bu_name],$C1355)*(U410+U515+U620)+SUMIFS(ExpensePayrollTaxes[Month 10],ExpensePayrollTaxes[exp_item],$H725,ExpensePayrollTaxes[company_name],$B1355)*U725)</f>
        <v>0</v>
      </c>
      <c r="V1355" s="652">
        <f>IF($B1355="",,SUMIFS(SalaryPayrollTaxes[Month 11],SalaryPayrollTaxes[exp_item],$H1355,SalaryPayrollTaxes[company_name],$B1355,SalaryPayrollTaxes[bu_name],$C1355)*(V410+V515+V620)+SUMIFS(ExpensePayrollTaxes[Month 11],ExpensePayrollTaxes[exp_item],$H725,ExpensePayrollTaxes[company_name],$B1355)*V725)</f>
        <v>0</v>
      </c>
      <c r="W1355" s="652">
        <f>IF($B1355="",,SUMIFS(SalaryPayrollTaxes[Month 12],SalaryPayrollTaxes[exp_item],$H1355,SalaryPayrollTaxes[company_name],$B1355,SalaryPayrollTaxes[bu_name],$C1355)*(W410+W515+W620)+SUMIFS(ExpensePayrollTaxes[Month 12],ExpensePayrollTaxes[exp_item],$H725,ExpensePayrollTaxes[company_name],$B1355)*W725)</f>
        <v>0</v>
      </c>
      <c r="X1355" s="652">
        <f>IF($B1355="",,SUMIFS(SalaryPayrollTaxes[Month 13],SalaryPayrollTaxes[exp_item],$H1355,SalaryPayrollTaxes[company_name],$B1355,SalaryPayrollTaxes[bu_name],$C1355)*(X410+X515+X620)+SUMIFS(ExpensePayrollTaxes[Month 13],ExpensePayrollTaxes[exp_item],$H725,ExpensePayrollTaxes[company_name],$B1355)*X725)</f>
        <v>0</v>
      </c>
      <c r="Y1355" s="652">
        <f>IF($B1355="",,SUMIFS(SalaryPayrollTaxes[Month 14],SalaryPayrollTaxes[exp_item],$H1355,SalaryPayrollTaxes[company_name],$B1355,SalaryPayrollTaxes[bu_name],$C1355)*(Y410+Y515+Y620)+SUMIFS(ExpensePayrollTaxes[Month 14],ExpensePayrollTaxes[exp_item],$H725,ExpensePayrollTaxes[company_name],$B1355)*Y725)</f>
        <v>0</v>
      </c>
      <c r="Z1355" s="652">
        <f>IF($B1355="",,SUMIFS(SalaryPayrollTaxes[Month 15],SalaryPayrollTaxes[exp_item],$H1355,SalaryPayrollTaxes[company_name],$B1355,SalaryPayrollTaxes[bu_name],$C1355)*(Z410+Z515+Z620)+SUMIFS(ExpensePayrollTaxes[Month 15],ExpensePayrollTaxes[exp_item],$H725,ExpensePayrollTaxes[company_name],$B1355)*Z725)</f>
        <v>0</v>
      </c>
      <c r="AA1355" s="652">
        <f>IF($B1355="",,SUMIFS(SalaryPayrollTaxes[Month 16],SalaryPayrollTaxes[exp_item],$H1355,SalaryPayrollTaxes[company_name],$B1355,SalaryPayrollTaxes[bu_name],$C1355)*(AA410+AA515+AA620)+SUMIFS(ExpensePayrollTaxes[Month 16],ExpensePayrollTaxes[exp_item],$H725,ExpensePayrollTaxes[company_name],$B1355)*AA725)</f>
        <v>0</v>
      </c>
      <c r="AB1355" s="652">
        <f>IF($B1355="",,SUMIFS(SalaryPayrollTaxes[Month 17],SalaryPayrollTaxes[exp_item],$H1355,SalaryPayrollTaxes[company_name],$B1355,SalaryPayrollTaxes[bu_name],$C1355)*(AB410+AB515+AB620)+SUMIFS(ExpensePayrollTaxes[Month 17],ExpensePayrollTaxes[exp_item],$H725,ExpensePayrollTaxes[company_name],$B1355)*AB725)</f>
        <v>0</v>
      </c>
      <c r="AC1355" s="652">
        <f>IF($B1355="",,SUMIFS(SalaryPayrollTaxes[Month 18],SalaryPayrollTaxes[exp_item],$H1355,SalaryPayrollTaxes[company_name],$B1355,SalaryPayrollTaxes[bu_name],$C1355)*(AC410+AC515+AC620)+SUMIFS(ExpensePayrollTaxes[Month 18],ExpensePayrollTaxes[exp_item],$H725,ExpensePayrollTaxes[company_name],$B1355)*AC725)</f>
        <v>0</v>
      </c>
      <c r="AD1355" s="652">
        <f>IF($B1355="",,SUMIFS(SalaryPayrollTaxes[Month 19],SalaryPayrollTaxes[exp_item],$H1355,SalaryPayrollTaxes[company_name],$B1355,SalaryPayrollTaxes[bu_name],$C1355)*(AD410+AD515+AD620)+SUMIFS(ExpensePayrollTaxes[Month 19],ExpensePayrollTaxes[exp_item],$H725,ExpensePayrollTaxes[company_name],$B1355)*AD725)</f>
        <v>0</v>
      </c>
      <c r="AE1355" s="652">
        <f>IF($B1355="",,SUMIFS(SalaryPayrollTaxes[Month 20],SalaryPayrollTaxes[exp_item],$H1355,SalaryPayrollTaxes[company_name],$B1355,SalaryPayrollTaxes[bu_name],$C1355)*(AE410+AE515+AE620)+SUMIFS(ExpensePayrollTaxes[Month 20],ExpensePayrollTaxes[exp_item],$H725,ExpensePayrollTaxes[company_name],$B1355)*AE725)</f>
        <v>0</v>
      </c>
      <c r="AF1355" s="652">
        <f>IF($B1355="",,SUMIFS(SalaryPayrollTaxes[Month 21],SalaryPayrollTaxes[exp_item],$H1355,SalaryPayrollTaxes[company_name],$B1355,SalaryPayrollTaxes[bu_name],$C1355)*(AF410+AF515+AF620)+SUMIFS(ExpensePayrollTaxes[Month 21],ExpensePayrollTaxes[exp_item],$H725,ExpensePayrollTaxes[company_name],$B1355)*AF725)</f>
        <v>0</v>
      </c>
      <c r="AG1355" s="652">
        <f>IF($B1355="",,SUMIFS(SalaryPayrollTaxes[Month 22],SalaryPayrollTaxes[exp_item],$H1355,SalaryPayrollTaxes[company_name],$B1355,SalaryPayrollTaxes[bu_name],$C1355)*(AG410+AG515+AG620)+SUMIFS(ExpensePayrollTaxes[Month 22],ExpensePayrollTaxes[exp_item],$H725,ExpensePayrollTaxes[company_name],$B1355)*AG725)</f>
        <v>0</v>
      </c>
      <c r="AH1355" s="652">
        <f>IF($B1355="",,SUMIFS(SalaryPayrollTaxes[Month 23],SalaryPayrollTaxes[exp_item],$H1355,SalaryPayrollTaxes[company_name],$B1355,SalaryPayrollTaxes[bu_name],$C1355)*(AH410+AH515+AH620)+SUMIFS(ExpensePayrollTaxes[Month 23],ExpensePayrollTaxes[exp_item],$H725,ExpensePayrollTaxes[company_name],$B1355)*AH725)</f>
        <v>0</v>
      </c>
      <c r="AI1355" s="652">
        <f>IF($B1355="",,SUMIFS(SalaryPayrollTaxes[Month 24],SalaryPayrollTaxes[exp_item],$H1355,SalaryPayrollTaxes[company_name],$B1355,SalaryPayrollTaxes[bu_name],$C1355)*(AI410+AI515+AI620)+SUMIFS(ExpensePayrollTaxes[Month 24],ExpensePayrollTaxes[exp_item],$H725,ExpensePayrollTaxes[company_name],$B1355)*AI725)</f>
        <v>0</v>
      </c>
      <c r="AJ1355" s="652">
        <f>IF($B1355="",,SUMIFS(SalaryPayrollTaxes[Month 25],SalaryPayrollTaxes[exp_item],$H1355,SalaryPayrollTaxes[company_name],$B1355,SalaryPayrollTaxes[bu_name],$C1355)*(AJ410+AJ515+AJ620)+SUMIFS(ExpensePayrollTaxes[Month 25],ExpensePayrollTaxes[exp_item],$H725,ExpensePayrollTaxes[company_name],$B1355)*AJ725)</f>
        <v>0</v>
      </c>
      <c r="AK1355" s="652">
        <f>IF($B1355="",,SUMIFS(SalaryPayrollTaxes[Month 26],SalaryPayrollTaxes[exp_item],$H1355,SalaryPayrollTaxes[company_name],$B1355,SalaryPayrollTaxes[bu_name],$C1355)*(AK410+AK515+AK620)+SUMIFS(ExpensePayrollTaxes[Month 26],ExpensePayrollTaxes[exp_item],$H725,ExpensePayrollTaxes[company_name],$B1355)*AK725)</f>
        <v>0</v>
      </c>
      <c r="AL1355" s="652">
        <f>IF($B1355="",,SUMIFS(SalaryPayrollTaxes[Month 27],SalaryPayrollTaxes[exp_item],$H1355,SalaryPayrollTaxes[company_name],$B1355,SalaryPayrollTaxes[bu_name],$C1355)*(AL410+AL515+AL620)+SUMIFS(ExpensePayrollTaxes[Month 27],ExpensePayrollTaxes[exp_item],$H725,ExpensePayrollTaxes[company_name],$B1355)*AL725)</f>
        <v>0</v>
      </c>
      <c r="AM1355" s="652">
        <f>IF($B1355="",,SUMIFS(SalaryPayrollTaxes[Month 28],SalaryPayrollTaxes[exp_item],$H1355,SalaryPayrollTaxes[company_name],$B1355,SalaryPayrollTaxes[bu_name],$C1355)*(AM410+AM515+AM620)+SUMIFS(ExpensePayrollTaxes[Month 28],ExpensePayrollTaxes[exp_item],$H725,ExpensePayrollTaxes[company_name],$B1355)*AM725)</f>
        <v>0</v>
      </c>
      <c r="AN1355" s="652">
        <f>IF($B1355="",,SUMIFS(SalaryPayrollTaxes[Month 29],SalaryPayrollTaxes[exp_item],$H1355,SalaryPayrollTaxes[company_name],$B1355,SalaryPayrollTaxes[bu_name],$C1355)*(AN410+AN515+AN620)+SUMIFS(ExpensePayrollTaxes[Month 29],ExpensePayrollTaxes[exp_item],$H725,ExpensePayrollTaxes[company_name],$B1355)*AN725)</f>
        <v>0</v>
      </c>
      <c r="AO1355" s="652">
        <f>IF($B1355="",,SUMIFS(SalaryPayrollTaxes[Month 30],SalaryPayrollTaxes[exp_item],$H1355,SalaryPayrollTaxes[company_name],$B1355,SalaryPayrollTaxes[bu_name],$C1355)*(AO410+AO515+AO620)+SUMIFS(ExpensePayrollTaxes[Month 30],ExpensePayrollTaxes[exp_item],$H725,ExpensePayrollTaxes[company_name],$B1355)*AO725)</f>
        <v>0</v>
      </c>
      <c r="AP1355" s="652">
        <f>IF($B1355="",,SUMIFS(SalaryPayrollTaxes[Month 31],SalaryPayrollTaxes[exp_item],$H1355,SalaryPayrollTaxes[company_name],$B1355,SalaryPayrollTaxes[bu_name],$C1355)*(AP410+AP515+AP620)+SUMIFS(ExpensePayrollTaxes[Month 31],ExpensePayrollTaxes[exp_item],$H725,ExpensePayrollTaxes[company_name],$B1355)*AP725)</f>
        <v>0</v>
      </c>
      <c r="AQ1355" s="652">
        <f>IF($B1355="",,SUMIFS(SalaryPayrollTaxes[Month 32],SalaryPayrollTaxes[exp_item],$H1355,SalaryPayrollTaxes[company_name],$B1355,SalaryPayrollTaxes[bu_name],$C1355)*(AQ410+AQ515+AQ620)+SUMIFS(ExpensePayrollTaxes[Month 32],ExpensePayrollTaxes[exp_item],$H725,ExpensePayrollTaxes[company_name],$B1355)*AQ725)</f>
        <v>0</v>
      </c>
      <c r="AR1355" s="652">
        <f>IF($B1355="",,SUMIFS(SalaryPayrollTaxes[Month 33],SalaryPayrollTaxes[exp_item],$H1355,SalaryPayrollTaxes[company_name],$B1355,SalaryPayrollTaxes[bu_name],$C1355)*(AR410+AR515+AR620)+SUMIFS(ExpensePayrollTaxes[Month 33],ExpensePayrollTaxes[exp_item],$H725,ExpensePayrollTaxes[company_name],$B1355)*AR725)</f>
        <v>0</v>
      </c>
      <c r="AS1355" s="652">
        <f>IF($B1355="",,SUMIFS(SalaryPayrollTaxes[Month 34],SalaryPayrollTaxes[exp_item],$H1355,SalaryPayrollTaxes[company_name],$B1355,SalaryPayrollTaxes[bu_name],$C1355)*(AS410+AS515+AS620)+SUMIFS(ExpensePayrollTaxes[Month 34],ExpensePayrollTaxes[exp_item],$H725,ExpensePayrollTaxes[company_name],$B1355)*AS725)</f>
        <v>0</v>
      </c>
      <c r="AT1355" s="652">
        <f>IF($B1355="",,SUMIFS(SalaryPayrollTaxes[Month 35],SalaryPayrollTaxes[exp_item],$H1355,SalaryPayrollTaxes[company_name],$B1355,SalaryPayrollTaxes[bu_name],$C1355)*(AT410+AT515+AT620)+SUMIFS(ExpensePayrollTaxes[Month 35],ExpensePayrollTaxes[exp_item],$H725,ExpensePayrollTaxes[company_name],$B1355)*AT725)</f>
        <v>0</v>
      </c>
      <c r="AU1355" s="652">
        <f>IF($B1355="",,SUMIFS(SalaryPayrollTaxes[Month 36],SalaryPayrollTaxes[exp_item],$H1355,SalaryPayrollTaxes[company_name],$B1355,SalaryPayrollTaxes[bu_name],$C1355)*(AU410+AU515+AU620)+SUMIFS(ExpensePayrollTaxes[Month 36],ExpensePayrollTaxes[exp_item],$H725,ExpensePayrollTaxes[company_name],$B1355)*AU725)</f>
        <v>0</v>
      </c>
    </row>
    <row r="1356" spans="2:47" x14ac:dyDescent="0.35">
      <c r="B1356" t="str">
        <f t="shared" si="991"/>
        <v/>
      </c>
      <c r="C1356" t="str">
        <f t="shared" si="991"/>
        <v/>
      </c>
      <c r="D1356" t="str">
        <f t="shared" si="991"/>
        <v/>
      </c>
      <c r="E1356" t="str">
        <f t="shared" si="991"/>
        <v/>
      </c>
      <c r="F1356" t="str">
        <f t="shared" si="991"/>
        <v/>
      </c>
      <c r="G1356" t="str">
        <f t="shared" si="991"/>
        <v/>
      </c>
      <c r="H1356" t="str">
        <f t="shared" si="989"/>
        <v/>
      </c>
      <c r="J1356" t="str">
        <f>IF($H1356="","",IF(VLOOKUP(H1356,ExpItems[],2,0),H1356&amp;" - "&amp;INDEX(DivisionMapping[category_code],MATCH($D1356&amp;$C1356,DivisionMapping[dept_bu],0)),H1356))</f>
        <v/>
      </c>
      <c r="K1356" t="str">
        <f t="shared" si="990"/>
        <v/>
      </c>
      <c r="L1356" s="652">
        <f>IF($B1356="",,SUMIFS(SalaryPayrollTaxes[Month 1],SalaryPayrollTaxes[exp_item],$H1356,SalaryPayrollTaxes[company_name],$B1356,SalaryPayrollTaxes[bu_name],$C1356)*(L411+L516+L621)+SUMIFS(ExpensePayrollTaxes[Month 1],ExpensePayrollTaxes[exp_item],$H726,ExpensePayrollTaxes[company_name],$B1356)*L726)</f>
        <v>0</v>
      </c>
      <c r="M1356" s="652">
        <f>IF($B1356="",,SUMIFS(SalaryPayrollTaxes[Month 2],SalaryPayrollTaxes[exp_item],$H1356,SalaryPayrollTaxes[company_name],$B1356,SalaryPayrollTaxes[bu_name],$C1356)*(M411+M516+M621)+SUMIFS(ExpensePayrollTaxes[Month 2],ExpensePayrollTaxes[exp_item],$H726,ExpensePayrollTaxes[company_name],$B1356)*M726)</f>
        <v>0</v>
      </c>
      <c r="N1356" s="652">
        <f>IF($B1356="",,SUMIFS(SalaryPayrollTaxes[Month 3],SalaryPayrollTaxes[exp_item],$H1356,SalaryPayrollTaxes[company_name],$B1356,SalaryPayrollTaxes[bu_name],$C1356)*(N411+N516+N621)+SUMIFS(ExpensePayrollTaxes[Month 3],ExpensePayrollTaxes[exp_item],$H726,ExpensePayrollTaxes[company_name],$B1356)*N726)</f>
        <v>0</v>
      </c>
      <c r="O1356" s="652">
        <f>IF($B1356="",,SUMIFS(SalaryPayrollTaxes[Month 4],SalaryPayrollTaxes[exp_item],$H1356,SalaryPayrollTaxes[company_name],$B1356,SalaryPayrollTaxes[bu_name],$C1356)*(O411+O516+O621)+SUMIFS(ExpensePayrollTaxes[Month 4],ExpensePayrollTaxes[exp_item],$H726,ExpensePayrollTaxes[company_name],$B1356)*O726)</f>
        <v>0</v>
      </c>
      <c r="P1356" s="652">
        <f>IF($B1356="",,SUMIFS(SalaryPayrollTaxes[Month 5],SalaryPayrollTaxes[exp_item],$H1356,SalaryPayrollTaxes[company_name],$B1356,SalaryPayrollTaxes[bu_name],$C1356)*(P411+P516+P621)+SUMIFS(ExpensePayrollTaxes[Month 5],ExpensePayrollTaxes[exp_item],$H726,ExpensePayrollTaxes[company_name],$B1356)*P726)</f>
        <v>0</v>
      </c>
      <c r="Q1356" s="652">
        <f>IF($B1356="",,SUMIFS(SalaryPayrollTaxes[Month 6],SalaryPayrollTaxes[exp_item],$H1356,SalaryPayrollTaxes[company_name],$B1356,SalaryPayrollTaxes[bu_name],$C1356)*(Q411+Q516+Q621)+SUMIFS(ExpensePayrollTaxes[Month 6],ExpensePayrollTaxes[exp_item],$H726,ExpensePayrollTaxes[company_name],$B1356)*Q726)</f>
        <v>0</v>
      </c>
      <c r="R1356" s="652">
        <f>IF($B1356="",,SUMIFS(SalaryPayrollTaxes[Month 7],SalaryPayrollTaxes[exp_item],$H1356,SalaryPayrollTaxes[company_name],$B1356,SalaryPayrollTaxes[bu_name],$C1356)*(R411+R516+R621)+SUMIFS(ExpensePayrollTaxes[Month 7],ExpensePayrollTaxes[exp_item],$H726,ExpensePayrollTaxes[company_name],$B1356)*R726)</f>
        <v>0</v>
      </c>
      <c r="S1356" s="652">
        <f>IF($B1356="",,SUMIFS(SalaryPayrollTaxes[Month 8],SalaryPayrollTaxes[exp_item],$H1356,SalaryPayrollTaxes[company_name],$B1356,SalaryPayrollTaxes[bu_name],$C1356)*(S411+S516+S621)+SUMIFS(ExpensePayrollTaxes[Month 8],ExpensePayrollTaxes[exp_item],$H726,ExpensePayrollTaxes[company_name],$B1356)*S726)</f>
        <v>0</v>
      </c>
      <c r="T1356" s="652">
        <f>IF($B1356="",,SUMIFS(SalaryPayrollTaxes[Month 9],SalaryPayrollTaxes[exp_item],$H1356,SalaryPayrollTaxes[company_name],$B1356,SalaryPayrollTaxes[bu_name],$C1356)*(T411+T516+T621)+SUMIFS(ExpensePayrollTaxes[Month 9],ExpensePayrollTaxes[exp_item],$H726,ExpensePayrollTaxes[company_name],$B1356)*T726)</f>
        <v>0</v>
      </c>
      <c r="U1356" s="652">
        <f>IF($B1356="",,SUMIFS(SalaryPayrollTaxes[Month 10],SalaryPayrollTaxes[exp_item],$H1356,SalaryPayrollTaxes[company_name],$B1356,SalaryPayrollTaxes[bu_name],$C1356)*(U411+U516+U621)+SUMIFS(ExpensePayrollTaxes[Month 10],ExpensePayrollTaxes[exp_item],$H726,ExpensePayrollTaxes[company_name],$B1356)*U726)</f>
        <v>0</v>
      </c>
      <c r="V1356" s="652">
        <f>IF($B1356="",,SUMIFS(SalaryPayrollTaxes[Month 11],SalaryPayrollTaxes[exp_item],$H1356,SalaryPayrollTaxes[company_name],$B1356,SalaryPayrollTaxes[bu_name],$C1356)*(V411+V516+V621)+SUMIFS(ExpensePayrollTaxes[Month 11],ExpensePayrollTaxes[exp_item],$H726,ExpensePayrollTaxes[company_name],$B1356)*V726)</f>
        <v>0</v>
      </c>
      <c r="W1356" s="652">
        <f>IF($B1356="",,SUMIFS(SalaryPayrollTaxes[Month 12],SalaryPayrollTaxes[exp_item],$H1356,SalaryPayrollTaxes[company_name],$B1356,SalaryPayrollTaxes[bu_name],$C1356)*(W411+W516+W621)+SUMIFS(ExpensePayrollTaxes[Month 12],ExpensePayrollTaxes[exp_item],$H726,ExpensePayrollTaxes[company_name],$B1356)*W726)</f>
        <v>0</v>
      </c>
      <c r="X1356" s="652">
        <f>IF($B1356="",,SUMIFS(SalaryPayrollTaxes[Month 13],SalaryPayrollTaxes[exp_item],$H1356,SalaryPayrollTaxes[company_name],$B1356,SalaryPayrollTaxes[bu_name],$C1356)*(X411+X516+X621)+SUMIFS(ExpensePayrollTaxes[Month 13],ExpensePayrollTaxes[exp_item],$H726,ExpensePayrollTaxes[company_name],$B1356)*X726)</f>
        <v>0</v>
      </c>
      <c r="Y1356" s="652">
        <f>IF($B1356="",,SUMIFS(SalaryPayrollTaxes[Month 14],SalaryPayrollTaxes[exp_item],$H1356,SalaryPayrollTaxes[company_name],$B1356,SalaryPayrollTaxes[bu_name],$C1356)*(Y411+Y516+Y621)+SUMIFS(ExpensePayrollTaxes[Month 14],ExpensePayrollTaxes[exp_item],$H726,ExpensePayrollTaxes[company_name],$B1356)*Y726)</f>
        <v>0</v>
      </c>
      <c r="Z1356" s="652">
        <f>IF($B1356="",,SUMIFS(SalaryPayrollTaxes[Month 15],SalaryPayrollTaxes[exp_item],$H1356,SalaryPayrollTaxes[company_name],$B1356,SalaryPayrollTaxes[bu_name],$C1356)*(Z411+Z516+Z621)+SUMIFS(ExpensePayrollTaxes[Month 15],ExpensePayrollTaxes[exp_item],$H726,ExpensePayrollTaxes[company_name],$B1356)*Z726)</f>
        <v>0</v>
      </c>
      <c r="AA1356" s="652">
        <f>IF($B1356="",,SUMIFS(SalaryPayrollTaxes[Month 16],SalaryPayrollTaxes[exp_item],$H1356,SalaryPayrollTaxes[company_name],$B1356,SalaryPayrollTaxes[bu_name],$C1356)*(AA411+AA516+AA621)+SUMIFS(ExpensePayrollTaxes[Month 16],ExpensePayrollTaxes[exp_item],$H726,ExpensePayrollTaxes[company_name],$B1356)*AA726)</f>
        <v>0</v>
      </c>
      <c r="AB1356" s="652">
        <f>IF($B1356="",,SUMIFS(SalaryPayrollTaxes[Month 17],SalaryPayrollTaxes[exp_item],$H1356,SalaryPayrollTaxes[company_name],$B1356,SalaryPayrollTaxes[bu_name],$C1356)*(AB411+AB516+AB621)+SUMIFS(ExpensePayrollTaxes[Month 17],ExpensePayrollTaxes[exp_item],$H726,ExpensePayrollTaxes[company_name],$B1356)*AB726)</f>
        <v>0</v>
      </c>
      <c r="AC1356" s="652">
        <f>IF($B1356="",,SUMIFS(SalaryPayrollTaxes[Month 18],SalaryPayrollTaxes[exp_item],$H1356,SalaryPayrollTaxes[company_name],$B1356,SalaryPayrollTaxes[bu_name],$C1356)*(AC411+AC516+AC621)+SUMIFS(ExpensePayrollTaxes[Month 18],ExpensePayrollTaxes[exp_item],$H726,ExpensePayrollTaxes[company_name],$B1356)*AC726)</f>
        <v>0</v>
      </c>
      <c r="AD1356" s="652">
        <f>IF($B1356="",,SUMIFS(SalaryPayrollTaxes[Month 19],SalaryPayrollTaxes[exp_item],$H1356,SalaryPayrollTaxes[company_name],$B1356,SalaryPayrollTaxes[bu_name],$C1356)*(AD411+AD516+AD621)+SUMIFS(ExpensePayrollTaxes[Month 19],ExpensePayrollTaxes[exp_item],$H726,ExpensePayrollTaxes[company_name],$B1356)*AD726)</f>
        <v>0</v>
      </c>
      <c r="AE1356" s="652">
        <f>IF($B1356="",,SUMIFS(SalaryPayrollTaxes[Month 20],SalaryPayrollTaxes[exp_item],$H1356,SalaryPayrollTaxes[company_name],$B1356,SalaryPayrollTaxes[bu_name],$C1356)*(AE411+AE516+AE621)+SUMIFS(ExpensePayrollTaxes[Month 20],ExpensePayrollTaxes[exp_item],$H726,ExpensePayrollTaxes[company_name],$B1356)*AE726)</f>
        <v>0</v>
      </c>
      <c r="AF1356" s="652">
        <f>IF($B1356="",,SUMIFS(SalaryPayrollTaxes[Month 21],SalaryPayrollTaxes[exp_item],$H1356,SalaryPayrollTaxes[company_name],$B1356,SalaryPayrollTaxes[bu_name],$C1356)*(AF411+AF516+AF621)+SUMIFS(ExpensePayrollTaxes[Month 21],ExpensePayrollTaxes[exp_item],$H726,ExpensePayrollTaxes[company_name],$B1356)*AF726)</f>
        <v>0</v>
      </c>
      <c r="AG1356" s="652">
        <f>IF($B1356="",,SUMIFS(SalaryPayrollTaxes[Month 22],SalaryPayrollTaxes[exp_item],$H1356,SalaryPayrollTaxes[company_name],$B1356,SalaryPayrollTaxes[bu_name],$C1356)*(AG411+AG516+AG621)+SUMIFS(ExpensePayrollTaxes[Month 22],ExpensePayrollTaxes[exp_item],$H726,ExpensePayrollTaxes[company_name],$B1356)*AG726)</f>
        <v>0</v>
      </c>
      <c r="AH1356" s="652">
        <f>IF($B1356="",,SUMIFS(SalaryPayrollTaxes[Month 23],SalaryPayrollTaxes[exp_item],$H1356,SalaryPayrollTaxes[company_name],$B1356,SalaryPayrollTaxes[bu_name],$C1356)*(AH411+AH516+AH621)+SUMIFS(ExpensePayrollTaxes[Month 23],ExpensePayrollTaxes[exp_item],$H726,ExpensePayrollTaxes[company_name],$B1356)*AH726)</f>
        <v>0</v>
      </c>
      <c r="AI1356" s="652">
        <f>IF($B1356="",,SUMIFS(SalaryPayrollTaxes[Month 24],SalaryPayrollTaxes[exp_item],$H1356,SalaryPayrollTaxes[company_name],$B1356,SalaryPayrollTaxes[bu_name],$C1356)*(AI411+AI516+AI621)+SUMIFS(ExpensePayrollTaxes[Month 24],ExpensePayrollTaxes[exp_item],$H726,ExpensePayrollTaxes[company_name],$B1356)*AI726)</f>
        <v>0</v>
      </c>
      <c r="AJ1356" s="652">
        <f>IF($B1356="",,SUMIFS(SalaryPayrollTaxes[Month 25],SalaryPayrollTaxes[exp_item],$H1356,SalaryPayrollTaxes[company_name],$B1356,SalaryPayrollTaxes[bu_name],$C1356)*(AJ411+AJ516+AJ621)+SUMIFS(ExpensePayrollTaxes[Month 25],ExpensePayrollTaxes[exp_item],$H726,ExpensePayrollTaxes[company_name],$B1356)*AJ726)</f>
        <v>0</v>
      </c>
      <c r="AK1356" s="652">
        <f>IF($B1356="",,SUMIFS(SalaryPayrollTaxes[Month 26],SalaryPayrollTaxes[exp_item],$H1356,SalaryPayrollTaxes[company_name],$B1356,SalaryPayrollTaxes[bu_name],$C1356)*(AK411+AK516+AK621)+SUMIFS(ExpensePayrollTaxes[Month 26],ExpensePayrollTaxes[exp_item],$H726,ExpensePayrollTaxes[company_name],$B1356)*AK726)</f>
        <v>0</v>
      </c>
      <c r="AL1356" s="652">
        <f>IF($B1356="",,SUMIFS(SalaryPayrollTaxes[Month 27],SalaryPayrollTaxes[exp_item],$H1356,SalaryPayrollTaxes[company_name],$B1356,SalaryPayrollTaxes[bu_name],$C1356)*(AL411+AL516+AL621)+SUMIFS(ExpensePayrollTaxes[Month 27],ExpensePayrollTaxes[exp_item],$H726,ExpensePayrollTaxes[company_name],$B1356)*AL726)</f>
        <v>0</v>
      </c>
      <c r="AM1356" s="652">
        <f>IF($B1356="",,SUMIFS(SalaryPayrollTaxes[Month 28],SalaryPayrollTaxes[exp_item],$H1356,SalaryPayrollTaxes[company_name],$B1356,SalaryPayrollTaxes[bu_name],$C1356)*(AM411+AM516+AM621)+SUMIFS(ExpensePayrollTaxes[Month 28],ExpensePayrollTaxes[exp_item],$H726,ExpensePayrollTaxes[company_name],$B1356)*AM726)</f>
        <v>0</v>
      </c>
      <c r="AN1356" s="652">
        <f>IF($B1356="",,SUMIFS(SalaryPayrollTaxes[Month 29],SalaryPayrollTaxes[exp_item],$H1356,SalaryPayrollTaxes[company_name],$B1356,SalaryPayrollTaxes[bu_name],$C1356)*(AN411+AN516+AN621)+SUMIFS(ExpensePayrollTaxes[Month 29],ExpensePayrollTaxes[exp_item],$H726,ExpensePayrollTaxes[company_name],$B1356)*AN726)</f>
        <v>0</v>
      </c>
      <c r="AO1356" s="652">
        <f>IF($B1356="",,SUMIFS(SalaryPayrollTaxes[Month 30],SalaryPayrollTaxes[exp_item],$H1356,SalaryPayrollTaxes[company_name],$B1356,SalaryPayrollTaxes[bu_name],$C1356)*(AO411+AO516+AO621)+SUMIFS(ExpensePayrollTaxes[Month 30],ExpensePayrollTaxes[exp_item],$H726,ExpensePayrollTaxes[company_name],$B1356)*AO726)</f>
        <v>0</v>
      </c>
      <c r="AP1356" s="652">
        <f>IF($B1356="",,SUMIFS(SalaryPayrollTaxes[Month 31],SalaryPayrollTaxes[exp_item],$H1356,SalaryPayrollTaxes[company_name],$B1356,SalaryPayrollTaxes[bu_name],$C1356)*(AP411+AP516+AP621)+SUMIFS(ExpensePayrollTaxes[Month 31],ExpensePayrollTaxes[exp_item],$H726,ExpensePayrollTaxes[company_name],$B1356)*AP726)</f>
        <v>0</v>
      </c>
      <c r="AQ1356" s="652">
        <f>IF($B1356="",,SUMIFS(SalaryPayrollTaxes[Month 32],SalaryPayrollTaxes[exp_item],$H1356,SalaryPayrollTaxes[company_name],$B1356,SalaryPayrollTaxes[bu_name],$C1356)*(AQ411+AQ516+AQ621)+SUMIFS(ExpensePayrollTaxes[Month 32],ExpensePayrollTaxes[exp_item],$H726,ExpensePayrollTaxes[company_name],$B1356)*AQ726)</f>
        <v>0</v>
      </c>
      <c r="AR1356" s="652">
        <f>IF($B1356="",,SUMIFS(SalaryPayrollTaxes[Month 33],SalaryPayrollTaxes[exp_item],$H1356,SalaryPayrollTaxes[company_name],$B1356,SalaryPayrollTaxes[bu_name],$C1356)*(AR411+AR516+AR621)+SUMIFS(ExpensePayrollTaxes[Month 33],ExpensePayrollTaxes[exp_item],$H726,ExpensePayrollTaxes[company_name],$B1356)*AR726)</f>
        <v>0</v>
      </c>
      <c r="AS1356" s="652">
        <f>IF($B1356="",,SUMIFS(SalaryPayrollTaxes[Month 34],SalaryPayrollTaxes[exp_item],$H1356,SalaryPayrollTaxes[company_name],$B1356,SalaryPayrollTaxes[bu_name],$C1356)*(AS411+AS516+AS621)+SUMIFS(ExpensePayrollTaxes[Month 34],ExpensePayrollTaxes[exp_item],$H726,ExpensePayrollTaxes[company_name],$B1356)*AS726)</f>
        <v>0</v>
      </c>
      <c r="AT1356" s="652">
        <f>IF($B1356="",,SUMIFS(SalaryPayrollTaxes[Month 35],SalaryPayrollTaxes[exp_item],$H1356,SalaryPayrollTaxes[company_name],$B1356,SalaryPayrollTaxes[bu_name],$C1356)*(AT411+AT516+AT621)+SUMIFS(ExpensePayrollTaxes[Month 35],ExpensePayrollTaxes[exp_item],$H726,ExpensePayrollTaxes[company_name],$B1356)*AT726)</f>
        <v>0</v>
      </c>
      <c r="AU1356" s="652">
        <f>IF($B1356="",,SUMIFS(SalaryPayrollTaxes[Month 36],SalaryPayrollTaxes[exp_item],$H1356,SalaryPayrollTaxes[company_name],$B1356,SalaryPayrollTaxes[bu_name],$C1356)*(AU411+AU516+AU621)+SUMIFS(ExpensePayrollTaxes[Month 36],ExpensePayrollTaxes[exp_item],$H726,ExpensePayrollTaxes[company_name],$B1356)*AU726)</f>
        <v>0</v>
      </c>
    </row>
    <row r="1357" spans="2:47" x14ac:dyDescent="0.35">
      <c r="B1357" t="str">
        <f t="shared" si="991"/>
        <v/>
      </c>
      <c r="C1357" t="str">
        <f t="shared" si="991"/>
        <v/>
      </c>
      <c r="D1357" t="str">
        <f t="shared" si="991"/>
        <v/>
      </c>
      <c r="E1357" t="str">
        <f t="shared" si="991"/>
        <v/>
      </c>
      <c r="F1357" t="str">
        <f t="shared" si="991"/>
        <v/>
      </c>
      <c r="G1357" t="str">
        <f t="shared" si="991"/>
        <v/>
      </c>
      <c r="H1357" t="str">
        <f t="shared" si="989"/>
        <v/>
      </c>
      <c r="J1357" t="str">
        <f>IF($H1357="","",IF(VLOOKUP(H1357,ExpItems[],2,0),H1357&amp;" - "&amp;INDEX(DivisionMapping[category_code],MATCH($D1357&amp;$C1357,DivisionMapping[dept_bu],0)),H1357))</f>
        <v/>
      </c>
      <c r="K1357" t="str">
        <f t="shared" si="990"/>
        <v/>
      </c>
      <c r="L1357" s="652">
        <f>IF($B1357="",,SUMIFS(SalaryPayrollTaxes[Month 1],SalaryPayrollTaxes[exp_item],$H1357,SalaryPayrollTaxes[company_name],$B1357,SalaryPayrollTaxes[bu_name],$C1357)*(L412+L517+L622)+SUMIFS(ExpensePayrollTaxes[Month 1],ExpensePayrollTaxes[exp_item],$H727,ExpensePayrollTaxes[company_name],$B1357)*L727)</f>
        <v>0</v>
      </c>
      <c r="M1357" s="652">
        <f>IF($B1357="",,SUMIFS(SalaryPayrollTaxes[Month 2],SalaryPayrollTaxes[exp_item],$H1357,SalaryPayrollTaxes[company_name],$B1357,SalaryPayrollTaxes[bu_name],$C1357)*(M412+M517+M622)+SUMIFS(ExpensePayrollTaxes[Month 2],ExpensePayrollTaxes[exp_item],$H727,ExpensePayrollTaxes[company_name],$B1357)*M727)</f>
        <v>0</v>
      </c>
      <c r="N1357" s="652">
        <f>IF($B1357="",,SUMIFS(SalaryPayrollTaxes[Month 3],SalaryPayrollTaxes[exp_item],$H1357,SalaryPayrollTaxes[company_name],$B1357,SalaryPayrollTaxes[bu_name],$C1357)*(N412+N517+N622)+SUMIFS(ExpensePayrollTaxes[Month 3],ExpensePayrollTaxes[exp_item],$H727,ExpensePayrollTaxes[company_name],$B1357)*N727)</f>
        <v>0</v>
      </c>
      <c r="O1357" s="652">
        <f>IF($B1357="",,SUMIFS(SalaryPayrollTaxes[Month 4],SalaryPayrollTaxes[exp_item],$H1357,SalaryPayrollTaxes[company_name],$B1357,SalaryPayrollTaxes[bu_name],$C1357)*(O412+O517+O622)+SUMIFS(ExpensePayrollTaxes[Month 4],ExpensePayrollTaxes[exp_item],$H727,ExpensePayrollTaxes[company_name],$B1357)*O727)</f>
        <v>0</v>
      </c>
      <c r="P1357" s="652">
        <f>IF($B1357="",,SUMIFS(SalaryPayrollTaxes[Month 5],SalaryPayrollTaxes[exp_item],$H1357,SalaryPayrollTaxes[company_name],$B1357,SalaryPayrollTaxes[bu_name],$C1357)*(P412+P517+P622)+SUMIFS(ExpensePayrollTaxes[Month 5],ExpensePayrollTaxes[exp_item],$H727,ExpensePayrollTaxes[company_name],$B1357)*P727)</f>
        <v>0</v>
      </c>
      <c r="Q1357" s="652">
        <f>IF($B1357="",,SUMIFS(SalaryPayrollTaxes[Month 6],SalaryPayrollTaxes[exp_item],$H1357,SalaryPayrollTaxes[company_name],$B1357,SalaryPayrollTaxes[bu_name],$C1357)*(Q412+Q517+Q622)+SUMIFS(ExpensePayrollTaxes[Month 6],ExpensePayrollTaxes[exp_item],$H727,ExpensePayrollTaxes[company_name],$B1357)*Q727)</f>
        <v>0</v>
      </c>
      <c r="R1357" s="652">
        <f>IF($B1357="",,SUMIFS(SalaryPayrollTaxes[Month 7],SalaryPayrollTaxes[exp_item],$H1357,SalaryPayrollTaxes[company_name],$B1357,SalaryPayrollTaxes[bu_name],$C1357)*(R412+R517+R622)+SUMIFS(ExpensePayrollTaxes[Month 7],ExpensePayrollTaxes[exp_item],$H727,ExpensePayrollTaxes[company_name],$B1357)*R727)</f>
        <v>0</v>
      </c>
      <c r="S1357" s="652">
        <f>IF($B1357="",,SUMIFS(SalaryPayrollTaxes[Month 8],SalaryPayrollTaxes[exp_item],$H1357,SalaryPayrollTaxes[company_name],$B1357,SalaryPayrollTaxes[bu_name],$C1357)*(S412+S517+S622)+SUMIFS(ExpensePayrollTaxes[Month 8],ExpensePayrollTaxes[exp_item],$H727,ExpensePayrollTaxes[company_name],$B1357)*S727)</f>
        <v>0</v>
      </c>
      <c r="T1357" s="652">
        <f>IF($B1357="",,SUMIFS(SalaryPayrollTaxes[Month 9],SalaryPayrollTaxes[exp_item],$H1357,SalaryPayrollTaxes[company_name],$B1357,SalaryPayrollTaxes[bu_name],$C1357)*(T412+T517+T622)+SUMIFS(ExpensePayrollTaxes[Month 9],ExpensePayrollTaxes[exp_item],$H727,ExpensePayrollTaxes[company_name],$B1357)*T727)</f>
        <v>0</v>
      </c>
      <c r="U1357" s="652">
        <f>IF($B1357="",,SUMIFS(SalaryPayrollTaxes[Month 10],SalaryPayrollTaxes[exp_item],$H1357,SalaryPayrollTaxes[company_name],$B1357,SalaryPayrollTaxes[bu_name],$C1357)*(U412+U517+U622)+SUMIFS(ExpensePayrollTaxes[Month 10],ExpensePayrollTaxes[exp_item],$H727,ExpensePayrollTaxes[company_name],$B1357)*U727)</f>
        <v>0</v>
      </c>
      <c r="V1357" s="652">
        <f>IF($B1357="",,SUMIFS(SalaryPayrollTaxes[Month 11],SalaryPayrollTaxes[exp_item],$H1357,SalaryPayrollTaxes[company_name],$B1357,SalaryPayrollTaxes[bu_name],$C1357)*(V412+V517+V622)+SUMIFS(ExpensePayrollTaxes[Month 11],ExpensePayrollTaxes[exp_item],$H727,ExpensePayrollTaxes[company_name],$B1357)*V727)</f>
        <v>0</v>
      </c>
      <c r="W1357" s="652">
        <f>IF($B1357="",,SUMIFS(SalaryPayrollTaxes[Month 12],SalaryPayrollTaxes[exp_item],$H1357,SalaryPayrollTaxes[company_name],$B1357,SalaryPayrollTaxes[bu_name],$C1357)*(W412+W517+W622)+SUMIFS(ExpensePayrollTaxes[Month 12],ExpensePayrollTaxes[exp_item],$H727,ExpensePayrollTaxes[company_name],$B1357)*W727)</f>
        <v>0</v>
      </c>
      <c r="X1357" s="652">
        <f>IF($B1357="",,SUMIFS(SalaryPayrollTaxes[Month 13],SalaryPayrollTaxes[exp_item],$H1357,SalaryPayrollTaxes[company_name],$B1357,SalaryPayrollTaxes[bu_name],$C1357)*(X412+X517+X622)+SUMIFS(ExpensePayrollTaxes[Month 13],ExpensePayrollTaxes[exp_item],$H727,ExpensePayrollTaxes[company_name],$B1357)*X727)</f>
        <v>0</v>
      </c>
      <c r="Y1357" s="652">
        <f>IF($B1357="",,SUMIFS(SalaryPayrollTaxes[Month 14],SalaryPayrollTaxes[exp_item],$H1357,SalaryPayrollTaxes[company_name],$B1357,SalaryPayrollTaxes[bu_name],$C1357)*(Y412+Y517+Y622)+SUMIFS(ExpensePayrollTaxes[Month 14],ExpensePayrollTaxes[exp_item],$H727,ExpensePayrollTaxes[company_name],$B1357)*Y727)</f>
        <v>0</v>
      </c>
      <c r="Z1357" s="652">
        <f>IF($B1357="",,SUMIFS(SalaryPayrollTaxes[Month 15],SalaryPayrollTaxes[exp_item],$H1357,SalaryPayrollTaxes[company_name],$B1357,SalaryPayrollTaxes[bu_name],$C1357)*(Z412+Z517+Z622)+SUMIFS(ExpensePayrollTaxes[Month 15],ExpensePayrollTaxes[exp_item],$H727,ExpensePayrollTaxes[company_name],$B1357)*Z727)</f>
        <v>0</v>
      </c>
      <c r="AA1357" s="652">
        <f>IF($B1357="",,SUMIFS(SalaryPayrollTaxes[Month 16],SalaryPayrollTaxes[exp_item],$H1357,SalaryPayrollTaxes[company_name],$B1357,SalaryPayrollTaxes[bu_name],$C1357)*(AA412+AA517+AA622)+SUMIFS(ExpensePayrollTaxes[Month 16],ExpensePayrollTaxes[exp_item],$H727,ExpensePayrollTaxes[company_name],$B1357)*AA727)</f>
        <v>0</v>
      </c>
      <c r="AB1357" s="652">
        <f>IF($B1357="",,SUMIFS(SalaryPayrollTaxes[Month 17],SalaryPayrollTaxes[exp_item],$H1357,SalaryPayrollTaxes[company_name],$B1357,SalaryPayrollTaxes[bu_name],$C1357)*(AB412+AB517+AB622)+SUMIFS(ExpensePayrollTaxes[Month 17],ExpensePayrollTaxes[exp_item],$H727,ExpensePayrollTaxes[company_name],$B1357)*AB727)</f>
        <v>0</v>
      </c>
      <c r="AC1357" s="652">
        <f>IF($B1357="",,SUMIFS(SalaryPayrollTaxes[Month 18],SalaryPayrollTaxes[exp_item],$H1357,SalaryPayrollTaxes[company_name],$B1357,SalaryPayrollTaxes[bu_name],$C1357)*(AC412+AC517+AC622)+SUMIFS(ExpensePayrollTaxes[Month 18],ExpensePayrollTaxes[exp_item],$H727,ExpensePayrollTaxes[company_name],$B1357)*AC727)</f>
        <v>0</v>
      </c>
      <c r="AD1357" s="652">
        <f>IF($B1357="",,SUMIFS(SalaryPayrollTaxes[Month 19],SalaryPayrollTaxes[exp_item],$H1357,SalaryPayrollTaxes[company_name],$B1357,SalaryPayrollTaxes[bu_name],$C1357)*(AD412+AD517+AD622)+SUMIFS(ExpensePayrollTaxes[Month 19],ExpensePayrollTaxes[exp_item],$H727,ExpensePayrollTaxes[company_name],$B1357)*AD727)</f>
        <v>0</v>
      </c>
      <c r="AE1357" s="652">
        <f>IF($B1357="",,SUMIFS(SalaryPayrollTaxes[Month 20],SalaryPayrollTaxes[exp_item],$H1357,SalaryPayrollTaxes[company_name],$B1357,SalaryPayrollTaxes[bu_name],$C1357)*(AE412+AE517+AE622)+SUMIFS(ExpensePayrollTaxes[Month 20],ExpensePayrollTaxes[exp_item],$H727,ExpensePayrollTaxes[company_name],$B1357)*AE727)</f>
        <v>0</v>
      </c>
      <c r="AF1357" s="652">
        <f>IF($B1357="",,SUMIFS(SalaryPayrollTaxes[Month 21],SalaryPayrollTaxes[exp_item],$H1357,SalaryPayrollTaxes[company_name],$B1357,SalaryPayrollTaxes[bu_name],$C1357)*(AF412+AF517+AF622)+SUMIFS(ExpensePayrollTaxes[Month 21],ExpensePayrollTaxes[exp_item],$H727,ExpensePayrollTaxes[company_name],$B1357)*AF727)</f>
        <v>0</v>
      </c>
      <c r="AG1357" s="652">
        <f>IF($B1357="",,SUMIFS(SalaryPayrollTaxes[Month 22],SalaryPayrollTaxes[exp_item],$H1357,SalaryPayrollTaxes[company_name],$B1357,SalaryPayrollTaxes[bu_name],$C1357)*(AG412+AG517+AG622)+SUMIFS(ExpensePayrollTaxes[Month 22],ExpensePayrollTaxes[exp_item],$H727,ExpensePayrollTaxes[company_name],$B1357)*AG727)</f>
        <v>0</v>
      </c>
      <c r="AH1357" s="652">
        <f>IF($B1357="",,SUMIFS(SalaryPayrollTaxes[Month 23],SalaryPayrollTaxes[exp_item],$H1357,SalaryPayrollTaxes[company_name],$B1357,SalaryPayrollTaxes[bu_name],$C1357)*(AH412+AH517+AH622)+SUMIFS(ExpensePayrollTaxes[Month 23],ExpensePayrollTaxes[exp_item],$H727,ExpensePayrollTaxes[company_name],$B1357)*AH727)</f>
        <v>0</v>
      </c>
      <c r="AI1357" s="652">
        <f>IF($B1357="",,SUMIFS(SalaryPayrollTaxes[Month 24],SalaryPayrollTaxes[exp_item],$H1357,SalaryPayrollTaxes[company_name],$B1357,SalaryPayrollTaxes[bu_name],$C1357)*(AI412+AI517+AI622)+SUMIFS(ExpensePayrollTaxes[Month 24],ExpensePayrollTaxes[exp_item],$H727,ExpensePayrollTaxes[company_name],$B1357)*AI727)</f>
        <v>0</v>
      </c>
      <c r="AJ1357" s="652">
        <f>IF($B1357="",,SUMIFS(SalaryPayrollTaxes[Month 25],SalaryPayrollTaxes[exp_item],$H1357,SalaryPayrollTaxes[company_name],$B1357,SalaryPayrollTaxes[bu_name],$C1357)*(AJ412+AJ517+AJ622)+SUMIFS(ExpensePayrollTaxes[Month 25],ExpensePayrollTaxes[exp_item],$H727,ExpensePayrollTaxes[company_name],$B1357)*AJ727)</f>
        <v>0</v>
      </c>
      <c r="AK1357" s="652">
        <f>IF($B1357="",,SUMIFS(SalaryPayrollTaxes[Month 26],SalaryPayrollTaxes[exp_item],$H1357,SalaryPayrollTaxes[company_name],$B1357,SalaryPayrollTaxes[bu_name],$C1357)*(AK412+AK517+AK622)+SUMIFS(ExpensePayrollTaxes[Month 26],ExpensePayrollTaxes[exp_item],$H727,ExpensePayrollTaxes[company_name],$B1357)*AK727)</f>
        <v>0</v>
      </c>
      <c r="AL1357" s="652">
        <f>IF($B1357="",,SUMIFS(SalaryPayrollTaxes[Month 27],SalaryPayrollTaxes[exp_item],$H1357,SalaryPayrollTaxes[company_name],$B1357,SalaryPayrollTaxes[bu_name],$C1357)*(AL412+AL517+AL622)+SUMIFS(ExpensePayrollTaxes[Month 27],ExpensePayrollTaxes[exp_item],$H727,ExpensePayrollTaxes[company_name],$B1357)*AL727)</f>
        <v>0</v>
      </c>
      <c r="AM1357" s="652">
        <f>IF($B1357="",,SUMIFS(SalaryPayrollTaxes[Month 28],SalaryPayrollTaxes[exp_item],$H1357,SalaryPayrollTaxes[company_name],$B1357,SalaryPayrollTaxes[bu_name],$C1357)*(AM412+AM517+AM622)+SUMIFS(ExpensePayrollTaxes[Month 28],ExpensePayrollTaxes[exp_item],$H727,ExpensePayrollTaxes[company_name],$B1357)*AM727)</f>
        <v>0</v>
      </c>
      <c r="AN1357" s="652">
        <f>IF($B1357="",,SUMIFS(SalaryPayrollTaxes[Month 29],SalaryPayrollTaxes[exp_item],$H1357,SalaryPayrollTaxes[company_name],$B1357,SalaryPayrollTaxes[bu_name],$C1357)*(AN412+AN517+AN622)+SUMIFS(ExpensePayrollTaxes[Month 29],ExpensePayrollTaxes[exp_item],$H727,ExpensePayrollTaxes[company_name],$B1357)*AN727)</f>
        <v>0</v>
      </c>
      <c r="AO1357" s="652">
        <f>IF($B1357="",,SUMIFS(SalaryPayrollTaxes[Month 30],SalaryPayrollTaxes[exp_item],$H1357,SalaryPayrollTaxes[company_name],$B1357,SalaryPayrollTaxes[bu_name],$C1357)*(AO412+AO517+AO622)+SUMIFS(ExpensePayrollTaxes[Month 30],ExpensePayrollTaxes[exp_item],$H727,ExpensePayrollTaxes[company_name],$B1357)*AO727)</f>
        <v>0</v>
      </c>
      <c r="AP1357" s="652">
        <f>IF($B1357="",,SUMIFS(SalaryPayrollTaxes[Month 31],SalaryPayrollTaxes[exp_item],$H1357,SalaryPayrollTaxes[company_name],$B1357,SalaryPayrollTaxes[bu_name],$C1357)*(AP412+AP517+AP622)+SUMIFS(ExpensePayrollTaxes[Month 31],ExpensePayrollTaxes[exp_item],$H727,ExpensePayrollTaxes[company_name],$B1357)*AP727)</f>
        <v>0</v>
      </c>
      <c r="AQ1357" s="652">
        <f>IF($B1357="",,SUMIFS(SalaryPayrollTaxes[Month 32],SalaryPayrollTaxes[exp_item],$H1357,SalaryPayrollTaxes[company_name],$B1357,SalaryPayrollTaxes[bu_name],$C1357)*(AQ412+AQ517+AQ622)+SUMIFS(ExpensePayrollTaxes[Month 32],ExpensePayrollTaxes[exp_item],$H727,ExpensePayrollTaxes[company_name],$B1357)*AQ727)</f>
        <v>0</v>
      </c>
      <c r="AR1357" s="652">
        <f>IF($B1357="",,SUMIFS(SalaryPayrollTaxes[Month 33],SalaryPayrollTaxes[exp_item],$H1357,SalaryPayrollTaxes[company_name],$B1357,SalaryPayrollTaxes[bu_name],$C1357)*(AR412+AR517+AR622)+SUMIFS(ExpensePayrollTaxes[Month 33],ExpensePayrollTaxes[exp_item],$H727,ExpensePayrollTaxes[company_name],$B1357)*AR727)</f>
        <v>0</v>
      </c>
      <c r="AS1357" s="652">
        <f>IF($B1357="",,SUMIFS(SalaryPayrollTaxes[Month 34],SalaryPayrollTaxes[exp_item],$H1357,SalaryPayrollTaxes[company_name],$B1357,SalaryPayrollTaxes[bu_name],$C1357)*(AS412+AS517+AS622)+SUMIFS(ExpensePayrollTaxes[Month 34],ExpensePayrollTaxes[exp_item],$H727,ExpensePayrollTaxes[company_name],$B1357)*AS727)</f>
        <v>0</v>
      </c>
      <c r="AT1357" s="652">
        <f>IF($B1357="",,SUMIFS(SalaryPayrollTaxes[Month 35],SalaryPayrollTaxes[exp_item],$H1357,SalaryPayrollTaxes[company_name],$B1357,SalaryPayrollTaxes[bu_name],$C1357)*(AT412+AT517+AT622)+SUMIFS(ExpensePayrollTaxes[Month 35],ExpensePayrollTaxes[exp_item],$H727,ExpensePayrollTaxes[company_name],$B1357)*AT727)</f>
        <v>0</v>
      </c>
      <c r="AU1357" s="652">
        <f>IF($B1357="",,SUMIFS(SalaryPayrollTaxes[Month 36],SalaryPayrollTaxes[exp_item],$H1357,SalaryPayrollTaxes[company_name],$B1357,SalaryPayrollTaxes[bu_name],$C1357)*(AU412+AU517+AU622)+SUMIFS(ExpensePayrollTaxes[Month 36],ExpensePayrollTaxes[exp_item],$H727,ExpensePayrollTaxes[company_name],$B1357)*AU727)</f>
        <v>0</v>
      </c>
    </row>
    <row r="1358" spans="2:47" x14ac:dyDescent="0.35">
      <c r="B1358" t="str">
        <f t="shared" si="991"/>
        <v/>
      </c>
      <c r="C1358" t="str">
        <f t="shared" si="991"/>
        <v/>
      </c>
      <c r="D1358" t="str">
        <f t="shared" si="991"/>
        <v/>
      </c>
      <c r="E1358" t="str">
        <f t="shared" si="991"/>
        <v/>
      </c>
      <c r="F1358" t="str">
        <f t="shared" si="991"/>
        <v/>
      </c>
      <c r="G1358" t="str">
        <f t="shared" si="991"/>
        <v/>
      </c>
      <c r="H1358" t="str">
        <f t="shared" si="989"/>
        <v/>
      </c>
      <c r="J1358" t="str">
        <f>IF($H1358="","",IF(VLOOKUP(H1358,ExpItems[],2,0),H1358&amp;" - "&amp;INDEX(DivisionMapping[category_code],MATCH($D1358&amp;$C1358,DivisionMapping[dept_bu],0)),H1358))</f>
        <v/>
      </c>
      <c r="K1358" t="str">
        <f t="shared" si="990"/>
        <v/>
      </c>
      <c r="L1358" s="652">
        <f>IF($B1358="",,SUMIFS(SalaryPayrollTaxes[Month 1],SalaryPayrollTaxes[exp_item],$H1358,SalaryPayrollTaxes[company_name],$B1358,SalaryPayrollTaxes[bu_name],$C1358)*(L413+L518+L623)+SUMIFS(ExpensePayrollTaxes[Month 1],ExpensePayrollTaxes[exp_item],$H728,ExpensePayrollTaxes[company_name],$B1358)*L728)</f>
        <v>0</v>
      </c>
      <c r="M1358" s="652">
        <f>IF($B1358="",,SUMIFS(SalaryPayrollTaxes[Month 2],SalaryPayrollTaxes[exp_item],$H1358,SalaryPayrollTaxes[company_name],$B1358,SalaryPayrollTaxes[bu_name],$C1358)*(M413+M518+M623)+SUMIFS(ExpensePayrollTaxes[Month 2],ExpensePayrollTaxes[exp_item],$H728,ExpensePayrollTaxes[company_name],$B1358)*M728)</f>
        <v>0</v>
      </c>
      <c r="N1358" s="652">
        <f>IF($B1358="",,SUMIFS(SalaryPayrollTaxes[Month 3],SalaryPayrollTaxes[exp_item],$H1358,SalaryPayrollTaxes[company_name],$B1358,SalaryPayrollTaxes[bu_name],$C1358)*(N413+N518+N623)+SUMIFS(ExpensePayrollTaxes[Month 3],ExpensePayrollTaxes[exp_item],$H728,ExpensePayrollTaxes[company_name],$B1358)*N728)</f>
        <v>0</v>
      </c>
      <c r="O1358" s="652">
        <f>IF($B1358="",,SUMIFS(SalaryPayrollTaxes[Month 4],SalaryPayrollTaxes[exp_item],$H1358,SalaryPayrollTaxes[company_name],$B1358,SalaryPayrollTaxes[bu_name],$C1358)*(O413+O518+O623)+SUMIFS(ExpensePayrollTaxes[Month 4],ExpensePayrollTaxes[exp_item],$H728,ExpensePayrollTaxes[company_name],$B1358)*O728)</f>
        <v>0</v>
      </c>
      <c r="P1358" s="652">
        <f>IF($B1358="",,SUMIFS(SalaryPayrollTaxes[Month 5],SalaryPayrollTaxes[exp_item],$H1358,SalaryPayrollTaxes[company_name],$B1358,SalaryPayrollTaxes[bu_name],$C1358)*(P413+P518+P623)+SUMIFS(ExpensePayrollTaxes[Month 5],ExpensePayrollTaxes[exp_item],$H728,ExpensePayrollTaxes[company_name],$B1358)*P728)</f>
        <v>0</v>
      </c>
      <c r="Q1358" s="652">
        <f>IF($B1358="",,SUMIFS(SalaryPayrollTaxes[Month 6],SalaryPayrollTaxes[exp_item],$H1358,SalaryPayrollTaxes[company_name],$B1358,SalaryPayrollTaxes[bu_name],$C1358)*(Q413+Q518+Q623)+SUMIFS(ExpensePayrollTaxes[Month 6],ExpensePayrollTaxes[exp_item],$H728,ExpensePayrollTaxes[company_name],$B1358)*Q728)</f>
        <v>0</v>
      </c>
      <c r="R1358" s="652">
        <f>IF($B1358="",,SUMIFS(SalaryPayrollTaxes[Month 7],SalaryPayrollTaxes[exp_item],$H1358,SalaryPayrollTaxes[company_name],$B1358,SalaryPayrollTaxes[bu_name],$C1358)*(R413+R518+R623)+SUMIFS(ExpensePayrollTaxes[Month 7],ExpensePayrollTaxes[exp_item],$H728,ExpensePayrollTaxes[company_name],$B1358)*R728)</f>
        <v>0</v>
      </c>
      <c r="S1358" s="652">
        <f>IF($B1358="",,SUMIFS(SalaryPayrollTaxes[Month 8],SalaryPayrollTaxes[exp_item],$H1358,SalaryPayrollTaxes[company_name],$B1358,SalaryPayrollTaxes[bu_name],$C1358)*(S413+S518+S623)+SUMIFS(ExpensePayrollTaxes[Month 8],ExpensePayrollTaxes[exp_item],$H728,ExpensePayrollTaxes[company_name],$B1358)*S728)</f>
        <v>0</v>
      </c>
      <c r="T1358" s="652">
        <f>IF($B1358="",,SUMIFS(SalaryPayrollTaxes[Month 9],SalaryPayrollTaxes[exp_item],$H1358,SalaryPayrollTaxes[company_name],$B1358,SalaryPayrollTaxes[bu_name],$C1358)*(T413+T518+T623)+SUMIFS(ExpensePayrollTaxes[Month 9],ExpensePayrollTaxes[exp_item],$H728,ExpensePayrollTaxes[company_name],$B1358)*T728)</f>
        <v>0</v>
      </c>
      <c r="U1358" s="652">
        <f>IF($B1358="",,SUMIFS(SalaryPayrollTaxes[Month 10],SalaryPayrollTaxes[exp_item],$H1358,SalaryPayrollTaxes[company_name],$B1358,SalaryPayrollTaxes[bu_name],$C1358)*(U413+U518+U623)+SUMIFS(ExpensePayrollTaxes[Month 10],ExpensePayrollTaxes[exp_item],$H728,ExpensePayrollTaxes[company_name],$B1358)*U728)</f>
        <v>0</v>
      </c>
      <c r="V1358" s="652">
        <f>IF($B1358="",,SUMIFS(SalaryPayrollTaxes[Month 11],SalaryPayrollTaxes[exp_item],$H1358,SalaryPayrollTaxes[company_name],$B1358,SalaryPayrollTaxes[bu_name],$C1358)*(V413+V518+V623)+SUMIFS(ExpensePayrollTaxes[Month 11],ExpensePayrollTaxes[exp_item],$H728,ExpensePayrollTaxes[company_name],$B1358)*V728)</f>
        <v>0</v>
      </c>
      <c r="W1358" s="652">
        <f>IF($B1358="",,SUMIFS(SalaryPayrollTaxes[Month 12],SalaryPayrollTaxes[exp_item],$H1358,SalaryPayrollTaxes[company_name],$B1358,SalaryPayrollTaxes[bu_name],$C1358)*(W413+W518+W623)+SUMIFS(ExpensePayrollTaxes[Month 12],ExpensePayrollTaxes[exp_item],$H728,ExpensePayrollTaxes[company_name],$B1358)*W728)</f>
        <v>0</v>
      </c>
      <c r="X1358" s="652">
        <f>IF($B1358="",,SUMIFS(SalaryPayrollTaxes[Month 13],SalaryPayrollTaxes[exp_item],$H1358,SalaryPayrollTaxes[company_name],$B1358,SalaryPayrollTaxes[bu_name],$C1358)*(X413+X518+X623)+SUMIFS(ExpensePayrollTaxes[Month 13],ExpensePayrollTaxes[exp_item],$H728,ExpensePayrollTaxes[company_name],$B1358)*X728)</f>
        <v>0</v>
      </c>
      <c r="Y1358" s="652">
        <f>IF($B1358="",,SUMIFS(SalaryPayrollTaxes[Month 14],SalaryPayrollTaxes[exp_item],$H1358,SalaryPayrollTaxes[company_name],$B1358,SalaryPayrollTaxes[bu_name],$C1358)*(Y413+Y518+Y623)+SUMIFS(ExpensePayrollTaxes[Month 14],ExpensePayrollTaxes[exp_item],$H728,ExpensePayrollTaxes[company_name],$B1358)*Y728)</f>
        <v>0</v>
      </c>
      <c r="Z1358" s="652">
        <f>IF($B1358="",,SUMIFS(SalaryPayrollTaxes[Month 15],SalaryPayrollTaxes[exp_item],$H1358,SalaryPayrollTaxes[company_name],$B1358,SalaryPayrollTaxes[bu_name],$C1358)*(Z413+Z518+Z623)+SUMIFS(ExpensePayrollTaxes[Month 15],ExpensePayrollTaxes[exp_item],$H728,ExpensePayrollTaxes[company_name],$B1358)*Z728)</f>
        <v>0</v>
      </c>
      <c r="AA1358" s="652">
        <f>IF($B1358="",,SUMIFS(SalaryPayrollTaxes[Month 16],SalaryPayrollTaxes[exp_item],$H1358,SalaryPayrollTaxes[company_name],$B1358,SalaryPayrollTaxes[bu_name],$C1358)*(AA413+AA518+AA623)+SUMIFS(ExpensePayrollTaxes[Month 16],ExpensePayrollTaxes[exp_item],$H728,ExpensePayrollTaxes[company_name],$B1358)*AA728)</f>
        <v>0</v>
      </c>
      <c r="AB1358" s="652">
        <f>IF($B1358="",,SUMIFS(SalaryPayrollTaxes[Month 17],SalaryPayrollTaxes[exp_item],$H1358,SalaryPayrollTaxes[company_name],$B1358,SalaryPayrollTaxes[bu_name],$C1358)*(AB413+AB518+AB623)+SUMIFS(ExpensePayrollTaxes[Month 17],ExpensePayrollTaxes[exp_item],$H728,ExpensePayrollTaxes[company_name],$B1358)*AB728)</f>
        <v>0</v>
      </c>
      <c r="AC1358" s="652">
        <f>IF($B1358="",,SUMIFS(SalaryPayrollTaxes[Month 18],SalaryPayrollTaxes[exp_item],$H1358,SalaryPayrollTaxes[company_name],$B1358,SalaryPayrollTaxes[bu_name],$C1358)*(AC413+AC518+AC623)+SUMIFS(ExpensePayrollTaxes[Month 18],ExpensePayrollTaxes[exp_item],$H728,ExpensePayrollTaxes[company_name],$B1358)*AC728)</f>
        <v>0</v>
      </c>
      <c r="AD1358" s="652">
        <f>IF($B1358="",,SUMIFS(SalaryPayrollTaxes[Month 19],SalaryPayrollTaxes[exp_item],$H1358,SalaryPayrollTaxes[company_name],$B1358,SalaryPayrollTaxes[bu_name],$C1358)*(AD413+AD518+AD623)+SUMIFS(ExpensePayrollTaxes[Month 19],ExpensePayrollTaxes[exp_item],$H728,ExpensePayrollTaxes[company_name],$B1358)*AD728)</f>
        <v>0</v>
      </c>
      <c r="AE1358" s="652">
        <f>IF($B1358="",,SUMIFS(SalaryPayrollTaxes[Month 20],SalaryPayrollTaxes[exp_item],$H1358,SalaryPayrollTaxes[company_name],$B1358,SalaryPayrollTaxes[bu_name],$C1358)*(AE413+AE518+AE623)+SUMIFS(ExpensePayrollTaxes[Month 20],ExpensePayrollTaxes[exp_item],$H728,ExpensePayrollTaxes[company_name],$B1358)*AE728)</f>
        <v>0</v>
      </c>
      <c r="AF1358" s="652">
        <f>IF($B1358="",,SUMIFS(SalaryPayrollTaxes[Month 21],SalaryPayrollTaxes[exp_item],$H1358,SalaryPayrollTaxes[company_name],$B1358,SalaryPayrollTaxes[bu_name],$C1358)*(AF413+AF518+AF623)+SUMIFS(ExpensePayrollTaxes[Month 21],ExpensePayrollTaxes[exp_item],$H728,ExpensePayrollTaxes[company_name],$B1358)*AF728)</f>
        <v>0</v>
      </c>
      <c r="AG1358" s="652">
        <f>IF($B1358="",,SUMIFS(SalaryPayrollTaxes[Month 22],SalaryPayrollTaxes[exp_item],$H1358,SalaryPayrollTaxes[company_name],$B1358,SalaryPayrollTaxes[bu_name],$C1358)*(AG413+AG518+AG623)+SUMIFS(ExpensePayrollTaxes[Month 22],ExpensePayrollTaxes[exp_item],$H728,ExpensePayrollTaxes[company_name],$B1358)*AG728)</f>
        <v>0</v>
      </c>
      <c r="AH1358" s="652">
        <f>IF($B1358="",,SUMIFS(SalaryPayrollTaxes[Month 23],SalaryPayrollTaxes[exp_item],$H1358,SalaryPayrollTaxes[company_name],$B1358,SalaryPayrollTaxes[bu_name],$C1358)*(AH413+AH518+AH623)+SUMIFS(ExpensePayrollTaxes[Month 23],ExpensePayrollTaxes[exp_item],$H728,ExpensePayrollTaxes[company_name],$B1358)*AH728)</f>
        <v>0</v>
      </c>
      <c r="AI1358" s="652">
        <f>IF($B1358="",,SUMIFS(SalaryPayrollTaxes[Month 24],SalaryPayrollTaxes[exp_item],$H1358,SalaryPayrollTaxes[company_name],$B1358,SalaryPayrollTaxes[bu_name],$C1358)*(AI413+AI518+AI623)+SUMIFS(ExpensePayrollTaxes[Month 24],ExpensePayrollTaxes[exp_item],$H728,ExpensePayrollTaxes[company_name],$B1358)*AI728)</f>
        <v>0</v>
      </c>
      <c r="AJ1358" s="652">
        <f>IF($B1358="",,SUMIFS(SalaryPayrollTaxes[Month 25],SalaryPayrollTaxes[exp_item],$H1358,SalaryPayrollTaxes[company_name],$B1358,SalaryPayrollTaxes[bu_name],$C1358)*(AJ413+AJ518+AJ623)+SUMIFS(ExpensePayrollTaxes[Month 25],ExpensePayrollTaxes[exp_item],$H728,ExpensePayrollTaxes[company_name],$B1358)*AJ728)</f>
        <v>0</v>
      </c>
      <c r="AK1358" s="652">
        <f>IF($B1358="",,SUMIFS(SalaryPayrollTaxes[Month 26],SalaryPayrollTaxes[exp_item],$H1358,SalaryPayrollTaxes[company_name],$B1358,SalaryPayrollTaxes[bu_name],$C1358)*(AK413+AK518+AK623)+SUMIFS(ExpensePayrollTaxes[Month 26],ExpensePayrollTaxes[exp_item],$H728,ExpensePayrollTaxes[company_name],$B1358)*AK728)</f>
        <v>0</v>
      </c>
      <c r="AL1358" s="652">
        <f>IF($B1358="",,SUMIFS(SalaryPayrollTaxes[Month 27],SalaryPayrollTaxes[exp_item],$H1358,SalaryPayrollTaxes[company_name],$B1358,SalaryPayrollTaxes[bu_name],$C1358)*(AL413+AL518+AL623)+SUMIFS(ExpensePayrollTaxes[Month 27],ExpensePayrollTaxes[exp_item],$H728,ExpensePayrollTaxes[company_name],$B1358)*AL728)</f>
        <v>0</v>
      </c>
      <c r="AM1358" s="652">
        <f>IF($B1358="",,SUMIFS(SalaryPayrollTaxes[Month 28],SalaryPayrollTaxes[exp_item],$H1358,SalaryPayrollTaxes[company_name],$B1358,SalaryPayrollTaxes[bu_name],$C1358)*(AM413+AM518+AM623)+SUMIFS(ExpensePayrollTaxes[Month 28],ExpensePayrollTaxes[exp_item],$H728,ExpensePayrollTaxes[company_name],$B1358)*AM728)</f>
        <v>0</v>
      </c>
      <c r="AN1358" s="652">
        <f>IF($B1358="",,SUMIFS(SalaryPayrollTaxes[Month 29],SalaryPayrollTaxes[exp_item],$H1358,SalaryPayrollTaxes[company_name],$B1358,SalaryPayrollTaxes[bu_name],$C1358)*(AN413+AN518+AN623)+SUMIFS(ExpensePayrollTaxes[Month 29],ExpensePayrollTaxes[exp_item],$H728,ExpensePayrollTaxes[company_name],$B1358)*AN728)</f>
        <v>0</v>
      </c>
      <c r="AO1358" s="652">
        <f>IF($B1358="",,SUMIFS(SalaryPayrollTaxes[Month 30],SalaryPayrollTaxes[exp_item],$H1358,SalaryPayrollTaxes[company_name],$B1358,SalaryPayrollTaxes[bu_name],$C1358)*(AO413+AO518+AO623)+SUMIFS(ExpensePayrollTaxes[Month 30],ExpensePayrollTaxes[exp_item],$H728,ExpensePayrollTaxes[company_name],$B1358)*AO728)</f>
        <v>0</v>
      </c>
      <c r="AP1358" s="652">
        <f>IF($B1358="",,SUMIFS(SalaryPayrollTaxes[Month 31],SalaryPayrollTaxes[exp_item],$H1358,SalaryPayrollTaxes[company_name],$B1358,SalaryPayrollTaxes[bu_name],$C1358)*(AP413+AP518+AP623)+SUMIFS(ExpensePayrollTaxes[Month 31],ExpensePayrollTaxes[exp_item],$H728,ExpensePayrollTaxes[company_name],$B1358)*AP728)</f>
        <v>0</v>
      </c>
      <c r="AQ1358" s="652">
        <f>IF($B1358="",,SUMIFS(SalaryPayrollTaxes[Month 32],SalaryPayrollTaxes[exp_item],$H1358,SalaryPayrollTaxes[company_name],$B1358,SalaryPayrollTaxes[bu_name],$C1358)*(AQ413+AQ518+AQ623)+SUMIFS(ExpensePayrollTaxes[Month 32],ExpensePayrollTaxes[exp_item],$H728,ExpensePayrollTaxes[company_name],$B1358)*AQ728)</f>
        <v>0</v>
      </c>
      <c r="AR1358" s="652">
        <f>IF($B1358="",,SUMIFS(SalaryPayrollTaxes[Month 33],SalaryPayrollTaxes[exp_item],$H1358,SalaryPayrollTaxes[company_name],$B1358,SalaryPayrollTaxes[bu_name],$C1358)*(AR413+AR518+AR623)+SUMIFS(ExpensePayrollTaxes[Month 33],ExpensePayrollTaxes[exp_item],$H728,ExpensePayrollTaxes[company_name],$B1358)*AR728)</f>
        <v>0</v>
      </c>
      <c r="AS1358" s="652">
        <f>IF($B1358="",,SUMIFS(SalaryPayrollTaxes[Month 34],SalaryPayrollTaxes[exp_item],$H1358,SalaryPayrollTaxes[company_name],$B1358,SalaryPayrollTaxes[bu_name],$C1358)*(AS413+AS518+AS623)+SUMIFS(ExpensePayrollTaxes[Month 34],ExpensePayrollTaxes[exp_item],$H728,ExpensePayrollTaxes[company_name],$B1358)*AS728)</f>
        <v>0</v>
      </c>
      <c r="AT1358" s="652">
        <f>IF($B1358="",,SUMIFS(SalaryPayrollTaxes[Month 35],SalaryPayrollTaxes[exp_item],$H1358,SalaryPayrollTaxes[company_name],$B1358,SalaryPayrollTaxes[bu_name],$C1358)*(AT413+AT518+AT623)+SUMIFS(ExpensePayrollTaxes[Month 35],ExpensePayrollTaxes[exp_item],$H728,ExpensePayrollTaxes[company_name],$B1358)*AT728)</f>
        <v>0</v>
      </c>
      <c r="AU1358" s="652">
        <f>IF($B1358="",,SUMIFS(SalaryPayrollTaxes[Month 36],SalaryPayrollTaxes[exp_item],$H1358,SalaryPayrollTaxes[company_name],$B1358,SalaryPayrollTaxes[bu_name],$C1358)*(AU413+AU518+AU623)+SUMIFS(ExpensePayrollTaxes[Month 36],ExpensePayrollTaxes[exp_item],$H728,ExpensePayrollTaxes[company_name],$B1358)*AU728)</f>
        <v>0</v>
      </c>
    </row>
    <row r="1359" spans="2:47" x14ac:dyDescent="0.35">
      <c r="B1359" t="str">
        <f t="shared" si="991"/>
        <v/>
      </c>
      <c r="C1359" t="str">
        <f t="shared" si="991"/>
        <v/>
      </c>
      <c r="D1359" t="str">
        <f t="shared" si="991"/>
        <v/>
      </c>
      <c r="E1359" t="str">
        <f t="shared" si="991"/>
        <v/>
      </c>
      <c r="F1359" t="str">
        <f t="shared" si="991"/>
        <v/>
      </c>
      <c r="G1359" t="str">
        <f t="shared" si="991"/>
        <v/>
      </c>
      <c r="H1359" t="str">
        <f t="shared" si="989"/>
        <v/>
      </c>
      <c r="J1359" t="str">
        <f>IF($H1359="","",IF(VLOOKUP(H1359,ExpItems[],2,0),H1359&amp;" - "&amp;INDEX(DivisionMapping[category_code],MATCH($D1359&amp;$C1359,DivisionMapping[dept_bu],0)),H1359))</f>
        <v/>
      </c>
      <c r="K1359" t="str">
        <f t="shared" si="990"/>
        <v/>
      </c>
      <c r="L1359" s="652">
        <f>IF($B1359="",,SUMIFS(SalaryPayrollTaxes[Month 1],SalaryPayrollTaxes[exp_item],$H1359,SalaryPayrollTaxes[company_name],$B1359,SalaryPayrollTaxes[bu_name],$C1359)*(L414+L519+L624)+SUMIFS(ExpensePayrollTaxes[Month 1],ExpensePayrollTaxes[exp_item],$H729,ExpensePayrollTaxes[company_name],$B1359)*L729)</f>
        <v>0</v>
      </c>
      <c r="M1359" s="652">
        <f>IF($B1359="",,SUMIFS(SalaryPayrollTaxes[Month 2],SalaryPayrollTaxes[exp_item],$H1359,SalaryPayrollTaxes[company_name],$B1359,SalaryPayrollTaxes[bu_name],$C1359)*(M414+M519+M624)+SUMIFS(ExpensePayrollTaxes[Month 2],ExpensePayrollTaxes[exp_item],$H729,ExpensePayrollTaxes[company_name],$B1359)*M729)</f>
        <v>0</v>
      </c>
      <c r="N1359" s="652">
        <f>IF($B1359="",,SUMIFS(SalaryPayrollTaxes[Month 3],SalaryPayrollTaxes[exp_item],$H1359,SalaryPayrollTaxes[company_name],$B1359,SalaryPayrollTaxes[bu_name],$C1359)*(N414+N519+N624)+SUMIFS(ExpensePayrollTaxes[Month 3],ExpensePayrollTaxes[exp_item],$H729,ExpensePayrollTaxes[company_name],$B1359)*N729)</f>
        <v>0</v>
      </c>
      <c r="O1359" s="652">
        <f>IF($B1359="",,SUMIFS(SalaryPayrollTaxes[Month 4],SalaryPayrollTaxes[exp_item],$H1359,SalaryPayrollTaxes[company_name],$B1359,SalaryPayrollTaxes[bu_name],$C1359)*(O414+O519+O624)+SUMIFS(ExpensePayrollTaxes[Month 4],ExpensePayrollTaxes[exp_item],$H729,ExpensePayrollTaxes[company_name],$B1359)*O729)</f>
        <v>0</v>
      </c>
      <c r="P1359" s="652">
        <f>IF($B1359="",,SUMIFS(SalaryPayrollTaxes[Month 5],SalaryPayrollTaxes[exp_item],$H1359,SalaryPayrollTaxes[company_name],$B1359,SalaryPayrollTaxes[bu_name],$C1359)*(P414+P519+P624)+SUMIFS(ExpensePayrollTaxes[Month 5],ExpensePayrollTaxes[exp_item],$H729,ExpensePayrollTaxes[company_name],$B1359)*P729)</f>
        <v>0</v>
      </c>
      <c r="Q1359" s="652">
        <f>IF($B1359="",,SUMIFS(SalaryPayrollTaxes[Month 6],SalaryPayrollTaxes[exp_item],$H1359,SalaryPayrollTaxes[company_name],$B1359,SalaryPayrollTaxes[bu_name],$C1359)*(Q414+Q519+Q624)+SUMIFS(ExpensePayrollTaxes[Month 6],ExpensePayrollTaxes[exp_item],$H729,ExpensePayrollTaxes[company_name],$B1359)*Q729)</f>
        <v>0</v>
      </c>
      <c r="R1359" s="652">
        <f>IF($B1359="",,SUMIFS(SalaryPayrollTaxes[Month 7],SalaryPayrollTaxes[exp_item],$H1359,SalaryPayrollTaxes[company_name],$B1359,SalaryPayrollTaxes[bu_name],$C1359)*(R414+R519+R624)+SUMIFS(ExpensePayrollTaxes[Month 7],ExpensePayrollTaxes[exp_item],$H729,ExpensePayrollTaxes[company_name],$B1359)*R729)</f>
        <v>0</v>
      </c>
      <c r="S1359" s="652">
        <f>IF($B1359="",,SUMIFS(SalaryPayrollTaxes[Month 8],SalaryPayrollTaxes[exp_item],$H1359,SalaryPayrollTaxes[company_name],$B1359,SalaryPayrollTaxes[bu_name],$C1359)*(S414+S519+S624)+SUMIFS(ExpensePayrollTaxes[Month 8],ExpensePayrollTaxes[exp_item],$H729,ExpensePayrollTaxes[company_name],$B1359)*S729)</f>
        <v>0</v>
      </c>
      <c r="T1359" s="652">
        <f>IF($B1359="",,SUMIFS(SalaryPayrollTaxes[Month 9],SalaryPayrollTaxes[exp_item],$H1359,SalaryPayrollTaxes[company_name],$B1359,SalaryPayrollTaxes[bu_name],$C1359)*(T414+T519+T624)+SUMIFS(ExpensePayrollTaxes[Month 9],ExpensePayrollTaxes[exp_item],$H729,ExpensePayrollTaxes[company_name],$B1359)*T729)</f>
        <v>0</v>
      </c>
      <c r="U1359" s="652">
        <f>IF($B1359="",,SUMIFS(SalaryPayrollTaxes[Month 10],SalaryPayrollTaxes[exp_item],$H1359,SalaryPayrollTaxes[company_name],$B1359,SalaryPayrollTaxes[bu_name],$C1359)*(U414+U519+U624)+SUMIFS(ExpensePayrollTaxes[Month 10],ExpensePayrollTaxes[exp_item],$H729,ExpensePayrollTaxes[company_name],$B1359)*U729)</f>
        <v>0</v>
      </c>
      <c r="V1359" s="652">
        <f>IF($B1359="",,SUMIFS(SalaryPayrollTaxes[Month 11],SalaryPayrollTaxes[exp_item],$H1359,SalaryPayrollTaxes[company_name],$B1359,SalaryPayrollTaxes[bu_name],$C1359)*(V414+V519+V624)+SUMIFS(ExpensePayrollTaxes[Month 11],ExpensePayrollTaxes[exp_item],$H729,ExpensePayrollTaxes[company_name],$B1359)*V729)</f>
        <v>0</v>
      </c>
      <c r="W1359" s="652">
        <f>IF($B1359="",,SUMIFS(SalaryPayrollTaxes[Month 12],SalaryPayrollTaxes[exp_item],$H1359,SalaryPayrollTaxes[company_name],$B1359,SalaryPayrollTaxes[bu_name],$C1359)*(W414+W519+W624)+SUMIFS(ExpensePayrollTaxes[Month 12],ExpensePayrollTaxes[exp_item],$H729,ExpensePayrollTaxes[company_name],$B1359)*W729)</f>
        <v>0</v>
      </c>
      <c r="X1359" s="652">
        <f>IF($B1359="",,SUMIFS(SalaryPayrollTaxes[Month 13],SalaryPayrollTaxes[exp_item],$H1359,SalaryPayrollTaxes[company_name],$B1359,SalaryPayrollTaxes[bu_name],$C1359)*(X414+X519+X624)+SUMIFS(ExpensePayrollTaxes[Month 13],ExpensePayrollTaxes[exp_item],$H729,ExpensePayrollTaxes[company_name],$B1359)*X729)</f>
        <v>0</v>
      </c>
      <c r="Y1359" s="652">
        <f>IF($B1359="",,SUMIFS(SalaryPayrollTaxes[Month 14],SalaryPayrollTaxes[exp_item],$H1359,SalaryPayrollTaxes[company_name],$B1359,SalaryPayrollTaxes[bu_name],$C1359)*(Y414+Y519+Y624)+SUMIFS(ExpensePayrollTaxes[Month 14],ExpensePayrollTaxes[exp_item],$H729,ExpensePayrollTaxes[company_name],$B1359)*Y729)</f>
        <v>0</v>
      </c>
      <c r="Z1359" s="652">
        <f>IF($B1359="",,SUMIFS(SalaryPayrollTaxes[Month 15],SalaryPayrollTaxes[exp_item],$H1359,SalaryPayrollTaxes[company_name],$B1359,SalaryPayrollTaxes[bu_name],$C1359)*(Z414+Z519+Z624)+SUMIFS(ExpensePayrollTaxes[Month 15],ExpensePayrollTaxes[exp_item],$H729,ExpensePayrollTaxes[company_name],$B1359)*Z729)</f>
        <v>0</v>
      </c>
      <c r="AA1359" s="652">
        <f>IF($B1359="",,SUMIFS(SalaryPayrollTaxes[Month 16],SalaryPayrollTaxes[exp_item],$H1359,SalaryPayrollTaxes[company_name],$B1359,SalaryPayrollTaxes[bu_name],$C1359)*(AA414+AA519+AA624)+SUMIFS(ExpensePayrollTaxes[Month 16],ExpensePayrollTaxes[exp_item],$H729,ExpensePayrollTaxes[company_name],$B1359)*AA729)</f>
        <v>0</v>
      </c>
      <c r="AB1359" s="652">
        <f>IF($B1359="",,SUMIFS(SalaryPayrollTaxes[Month 17],SalaryPayrollTaxes[exp_item],$H1359,SalaryPayrollTaxes[company_name],$B1359,SalaryPayrollTaxes[bu_name],$C1359)*(AB414+AB519+AB624)+SUMIFS(ExpensePayrollTaxes[Month 17],ExpensePayrollTaxes[exp_item],$H729,ExpensePayrollTaxes[company_name],$B1359)*AB729)</f>
        <v>0</v>
      </c>
      <c r="AC1359" s="652">
        <f>IF($B1359="",,SUMIFS(SalaryPayrollTaxes[Month 18],SalaryPayrollTaxes[exp_item],$H1359,SalaryPayrollTaxes[company_name],$B1359,SalaryPayrollTaxes[bu_name],$C1359)*(AC414+AC519+AC624)+SUMIFS(ExpensePayrollTaxes[Month 18],ExpensePayrollTaxes[exp_item],$H729,ExpensePayrollTaxes[company_name],$B1359)*AC729)</f>
        <v>0</v>
      </c>
      <c r="AD1359" s="652">
        <f>IF($B1359="",,SUMIFS(SalaryPayrollTaxes[Month 19],SalaryPayrollTaxes[exp_item],$H1359,SalaryPayrollTaxes[company_name],$B1359,SalaryPayrollTaxes[bu_name],$C1359)*(AD414+AD519+AD624)+SUMIFS(ExpensePayrollTaxes[Month 19],ExpensePayrollTaxes[exp_item],$H729,ExpensePayrollTaxes[company_name],$B1359)*AD729)</f>
        <v>0</v>
      </c>
      <c r="AE1359" s="652">
        <f>IF($B1359="",,SUMIFS(SalaryPayrollTaxes[Month 20],SalaryPayrollTaxes[exp_item],$H1359,SalaryPayrollTaxes[company_name],$B1359,SalaryPayrollTaxes[bu_name],$C1359)*(AE414+AE519+AE624)+SUMIFS(ExpensePayrollTaxes[Month 20],ExpensePayrollTaxes[exp_item],$H729,ExpensePayrollTaxes[company_name],$B1359)*AE729)</f>
        <v>0</v>
      </c>
      <c r="AF1359" s="652">
        <f>IF($B1359="",,SUMIFS(SalaryPayrollTaxes[Month 21],SalaryPayrollTaxes[exp_item],$H1359,SalaryPayrollTaxes[company_name],$B1359,SalaryPayrollTaxes[bu_name],$C1359)*(AF414+AF519+AF624)+SUMIFS(ExpensePayrollTaxes[Month 21],ExpensePayrollTaxes[exp_item],$H729,ExpensePayrollTaxes[company_name],$B1359)*AF729)</f>
        <v>0</v>
      </c>
      <c r="AG1359" s="652">
        <f>IF($B1359="",,SUMIFS(SalaryPayrollTaxes[Month 22],SalaryPayrollTaxes[exp_item],$H1359,SalaryPayrollTaxes[company_name],$B1359,SalaryPayrollTaxes[bu_name],$C1359)*(AG414+AG519+AG624)+SUMIFS(ExpensePayrollTaxes[Month 22],ExpensePayrollTaxes[exp_item],$H729,ExpensePayrollTaxes[company_name],$B1359)*AG729)</f>
        <v>0</v>
      </c>
      <c r="AH1359" s="652">
        <f>IF($B1359="",,SUMIFS(SalaryPayrollTaxes[Month 23],SalaryPayrollTaxes[exp_item],$H1359,SalaryPayrollTaxes[company_name],$B1359,SalaryPayrollTaxes[bu_name],$C1359)*(AH414+AH519+AH624)+SUMIFS(ExpensePayrollTaxes[Month 23],ExpensePayrollTaxes[exp_item],$H729,ExpensePayrollTaxes[company_name],$B1359)*AH729)</f>
        <v>0</v>
      </c>
      <c r="AI1359" s="652">
        <f>IF($B1359="",,SUMIFS(SalaryPayrollTaxes[Month 24],SalaryPayrollTaxes[exp_item],$H1359,SalaryPayrollTaxes[company_name],$B1359,SalaryPayrollTaxes[bu_name],$C1359)*(AI414+AI519+AI624)+SUMIFS(ExpensePayrollTaxes[Month 24],ExpensePayrollTaxes[exp_item],$H729,ExpensePayrollTaxes[company_name],$B1359)*AI729)</f>
        <v>0</v>
      </c>
      <c r="AJ1359" s="652">
        <f>IF($B1359="",,SUMIFS(SalaryPayrollTaxes[Month 25],SalaryPayrollTaxes[exp_item],$H1359,SalaryPayrollTaxes[company_name],$B1359,SalaryPayrollTaxes[bu_name],$C1359)*(AJ414+AJ519+AJ624)+SUMIFS(ExpensePayrollTaxes[Month 25],ExpensePayrollTaxes[exp_item],$H729,ExpensePayrollTaxes[company_name],$B1359)*AJ729)</f>
        <v>0</v>
      </c>
      <c r="AK1359" s="652">
        <f>IF($B1359="",,SUMIFS(SalaryPayrollTaxes[Month 26],SalaryPayrollTaxes[exp_item],$H1359,SalaryPayrollTaxes[company_name],$B1359,SalaryPayrollTaxes[bu_name],$C1359)*(AK414+AK519+AK624)+SUMIFS(ExpensePayrollTaxes[Month 26],ExpensePayrollTaxes[exp_item],$H729,ExpensePayrollTaxes[company_name],$B1359)*AK729)</f>
        <v>0</v>
      </c>
      <c r="AL1359" s="652">
        <f>IF($B1359="",,SUMIFS(SalaryPayrollTaxes[Month 27],SalaryPayrollTaxes[exp_item],$H1359,SalaryPayrollTaxes[company_name],$B1359,SalaryPayrollTaxes[bu_name],$C1359)*(AL414+AL519+AL624)+SUMIFS(ExpensePayrollTaxes[Month 27],ExpensePayrollTaxes[exp_item],$H729,ExpensePayrollTaxes[company_name],$B1359)*AL729)</f>
        <v>0</v>
      </c>
      <c r="AM1359" s="652">
        <f>IF($B1359="",,SUMIFS(SalaryPayrollTaxes[Month 28],SalaryPayrollTaxes[exp_item],$H1359,SalaryPayrollTaxes[company_name],$B1359,SalaryPayrollTaxes[bu_name],$C1359)*(AM414+AM519+AM624)+SUMIFS(ExpensePayrollTaxes[Month 28],ExpensePayrollTaxes[exp_item],$H729,ExpensePayrollTaxes[company_name],$B1359)*AM729)</f>
        <v>0</v>
      </c>
      <c r="AN1359" s="652">
        <f>IF($B1359="",,SUMIFS(SalaryPayrollTaxes[Month 29],SalaryPayrollTaxes[exp_item],$H1359,SalaryPayrollTaxes[company_name],$B1359,SalaryPayrollTaxes[bu_name],$C1359)*(AN414+AN519+AN624)+SUMIFS(ExpensePayrollTaxes[Month 29],ExpensePayrollTaxes[exp_item],$H729,ExpensePayrollTaxes[company_name],$B1359)*AN729)</f>
        <v>0</v>
      </c>
      <c r="AO1359" s="652">
        <f>IF($B1359="",,SUMIFS(SalaryPayrollTaxes[Month 30],SalaryPayrollTaxes[exp_item],$H1359,SalaryPayrollTaxes[company_name],$B1359,SalaryPayrollTaxes[bu_name],$C1359)*(AO414+AO519+AO624)+SUMIFS(ExpensePayrollTaxes[Month 30],ExpensePayrollTaxes[exp_item],$H729,ExpensePayrollTaxes[company_name],$B1359)*AO729)</f>
        <v>0</v>
      </c>
      <c r="AP1359" s="652">
        <f>IF($B1359="",,SUMIFS(SalaryPayrollTaxes[Month 31],SalaryPayrollTaxes[exp_item],$H1359,SalaryPayrollTaxes[company_name],$B1359,SalaryPayrollTaxes[bu_name],$C1359)*(AP414+AP519+AP624)+SUMIFS(ExpensePayrollTaxes[Month 31],ExpensePayrollTaxes[exp_item],$H729,ExpensePayrollTaxes[company_name],$B1359)*AP729)</f>
        <v>0</v>
      </c>
      <c r="AQ1359" s="652">
        <f>IF($B1359="",,SUMIFS(SalaryPayrollTaxes[Month 32],SalaryPayrollTaxes[exp_item],$H1359,SalaryPayrollTaxes[company_name],$B1359,SalaryPayrollTaxes[bu_name],$C1359)*(AQ414+AQ519+AQ624)+SUMIFS(ExpensePayrollTaxes[Month 32],ExpensePayrollTaxes[exp_item],$H729,ExpensePayrollTaxes[company_name],$B1359)*AQ729)</f>
        <v>0</v>
      </c>
      <c r="AR1359" s="652">
        <f>IF($B1359="",,SUMIFS(SalaryPayrollTaxes[Month 33],SalaryPayrollTaxes[exp_item],$H1359,SalaryPayrollTaxes[company_name],$B1359,SalaryPayrollTaxes[bu_name],$C1359)*(AR414+AR519+AR624)+SUMIFS(ExpensePayrollTaxes[Month 33],ExpensePayrollTaxes[exp_item],$H729,ExpensePayrollTaxes[company_name],$B1359)*AR729)</f>
        <v>0</v>
      </c>
      <c r="AS1359" s="652">
        <f>IF($B1359="",,SUMIFS(SalaryPayrollTaxes[Month 34],SalaryPayrollTaxes[exp_item],$H1359,SalaryPayrollTaxes[company_name],$B1359,SalaryPayrollTaxes[bu_name],$C1359)*(AS414+AS519+AS624)+SUMIFS(ExpensePayrollTaxes[Month 34],ExpensePayrollTaxes[exp_item],$H729,ExpensePayrollTaxes[company_name],$B1359)*AS729)</f>
        <v>0</v>
      </c>
      <c r="AT1359" s="652">
        <f>IF($B1359="",,SUMIFS(SalaryPayrollTaxes[Month 35],SalaryPayrollTaxes[exp_item],$H1359,SalaryPayrollTaxes[company_name],$B1359,SalaryPayrollTaxes[bu_name],$C1359)*(AT414+AT519+AT624)+SUMIFS(ExpensePayrollTaxes[Month 35],ExpensePayrollTaxes[exp_item],$H729,ExpensePayrollTaxes[company_name],$B1359)*AT729)</f>
        <v>0</v>
      </c>
      <c r="AU1359" s="652">
        <f>IF($B1359="",,SUMIFS(SalaryPayrollTaxes[Month 36],SalaryPayrollTaxes[exp_item],$H1359,SalaryPayrollTaxes[company_name],$B1359,SalaryPayrollTaxes[bu_name],$C1359)*(AU414+AU519+AU624)+SUMIFS(ExpensePayrollTaxes[Month 36],ExpensePayrollTaxes[exp_item],$H729,ExpensePayrollTaxes[company_name],$B1359)*AU729)</f>
        <v>0</v>
      </c>
    </row>
    <row r="1360" spans="2:47" x14ac:dyDescent="0.35">
      <c r="B1360" t="str">
        <f t="shared" si="991"/>
        <v/>
      </c>
      <c r="C1360" t="str">
        <f t="shared" si="991"/>
        <v/>
      </c>
      <c r="D1360" t="str">
        <f t="shared" si="991"/>
        <v/>
      </c>
      <c r="E1360" t="str">
        <f t="shared" si="991"/>
        <v/>
      </c>
      <c r="F1360" t="str">
        <f t="shared" si="991"/>
        <v/>
      </c>
      <c r="G1360" t="str">
        <f t="shared" si="991"/>
        <v/>
      </c>
      <c r="H1360" t="str">
        <f t="shared" si="989"/>
        <v/>
      </c>
      <c r="J1360" t="str">
        <f>IF($H1360="","",IF(VLOOKUP(H1360,ExpItems[],2,0),H1360&amp;" - "&amp;INDEX(DivisionMapping[category_code],MATCH($D1360&amp;$C1360,DivisionMapping[dept_bu],0)),H1360))</f>
        <v/>
      </c>
      <c r="K1360" t="str">
        <f t="shared" si="990"/>
        <v/>
      </c>
      <c r="L1360" s="652">
        <f>IF($B1360="",,SUMIFS(SalaryPayrollTaxes[Month 1],SalaryPayrollTaxes[exp_item],$H1360,SalaryPayrollTaxes[company_name],$B1360,SalaryPayrollTaxes[bu_name],$C1360)*(L415+L520+L625)+SUMIFS(ExpensePayrollTaxes[Month 1],ExpensePayrollTaxes[exp_item],$H730,ExpensePayrollTaxes[company_name],$B1360)*L730)</f>
        <v>0</v>
      </c>
      <c r="M1360" s="652">
        <f>IF($B1360="",,SUMIFS(SalaryPayrollTaxes[Month 2],SalaryPayrollTaxes[exp_item],$H1360,SalaryPayrollTaxes[company_name],$B1360,SalaryPayrollTaxes[bu_name],$C1360)*(M415+M520+M625)+SUMIFS(ExpensePayrollTaxes[Month 2],ExpensePayrollTaxes[exp_item],$H730,ExpensePayrollTaxes[company_name],$B1360)*M730)</f>
        <v>0</v>
      </c>
      <c r="N1360" s="652">
        <f>IF($B1360="",,SUMIFS(SalaryPayrollTaxes[Month 3],SalaryPayrollTaxes[exp_item],$H1360,SalaryPayrollTaxes[company_name],$B1360,SalaryPayrollTaxes[bu_name],$C1360)*(N415+N520+N625)+SUMIFS(ExpensePayrollTaxes[Month 3],ExpensePayrollTaxes[exp_item],$H730,ExpensePayrollTaxes[company_name],$B1360)*N730)</f>
        <v>0</v>
      </c>
      <c r="O1360" s="652">
        <f>IF($B1360="",,SUMIFS(SalaryPayrollTaxes[Month 4],SalaryPayrollTaxes[exp_item],$H1360,SalaryPayrollTaxes[company_name],$B1360,SalaryPayrollTaxes[bu_name],$C1360)*(O415+O520+O625)+SUMIFS(ExpensePayrollTaxes[Month 4],ExpensePayrollTaxes[exp_item],$H730,ExpensePayrollTaxes[company_name],$B1360)*O730)</f>
        <v>0</v>
      </c>
      <c r="P1360" s="652">
        <f>IF($B1360="",,SUMIFS(SalaryPayrollTaxes[Month 5],SalaryPayrollTaxes[exp_item],$H1360,SalaryPayrollTaxes[company_name],$B1360,SalaryPayrollTaxes[bu_name],$C1360)*(P415+P520+P625)+SUMIFS(ExpensePayrollTaxes[Month 5],ExpensePayrollTaxes[exp_item],$H730,ExpensePayrollTaxes[company_name],$B1360)*P730)</f>
        <v>0</v>
      </c>
      <c r="Q1360" s="652">
        <f>IF($B1360="",,SUMIFS(SalaryPayrollTaxes[Month 6],SalaryPayrollTaxes[exp_item],$H1360,SalaryPayrollTaxes[company_name],$B1360,SalaryPayrollTaxes[bu_name],$C1360)*(Q415+Q520+Q625)+SUMIFS(ExpensePayrollTaxes[Month 6],ExpensePayrollTaxes[exp_item],$H730,ExpensePayrollTaxes[company_name],$B1360)*Q730)</f>
        <v>0</v>
      </c>
      <c r="R1360" s="652">
        <f>IF($B1360="",,SUMIFS(SalaryPayrollTaxes[Month 7],SalaryPayrollTaxes[exp_item],$H1360,SalaryPayrollTaxes[company_name],$B1360,SalaryPayrollTaxes[bu_name],$C1360)*(R415+R520+R625)+SUMIFS(ExpensePayrollTaxes[Month 7],ExpensePayrollTaxes[exp_item],$H730,ExpensePayrollTaxes[company_name],$B1360)*R730)</f>
        <v>0</v>
      </c>
      <c r="S1360" s="652">
        <f>IF($B1360="",,SUMIFS(SalaryPayrollTaxes[Month 8],SalaryPayrollTaxes[exp_item],$H1360,SalaryPayrollTaxes[company_name],$B1360,SalaryPayrollTaxes[bu_name],$C1360)*(S415+S520+S625)+SUMIFS(ExpensePayrollTaxes[Month 8],ExpensePayrollTaxes[exp_item],$H730,ExpensePayrollTaxes[company_name],$B1360)*S730)</f>
        <v>0</v>
      </c>
      <c r="T1360" s="652">
        <f>IF($B1360="",,SUMIFS(SalaryPayrollTaxes[Month 9],SalaryPayrollTaxes[exp_item],$H1360,SalaryPayrollTaxes[company_name],$B1360,SalaryPayrollTaxes[bu_name],$C1360)*(T415+T520+T625)+SUMIFS(ExpensePayrollTaxes[Month 9],ExpensePayrollTaxes[exp_item],$H730,ExpensePayrollTaxes[company_name],$B1360)*T730)</f>
        <v>0</v>
      </c>
      <c r="U1360" s="652">
        <f>IF($B1360="",,SUMIFS(SalaryPayrollTaxes[Month 10],SalaryPayrollTaxes[exp_item],$H1360,SalaryPayrollTaxes[company_name],$B1360,SalaryPayrollTaxes[bu_name],$C1360)*(U415+U520+U625)+SUMIFS(ExpensePayrollTaxes[Month 10],ExpensePayrollTaxes[exp_item],$H730,ExpensePayrollTaxes[company_name],$B1360)*U730)</f>
        <v>0</v>
      </c>
      <c r="V1360" s="652">
        <f>IF($B1360="",,SUMIFS(SalaryPayrollTaxes[Month 11],SalaryPayrollTaxes[exp_item],$H1360,SalaryPayrollTaxes[company_name],$B1360,SalaryPayrollTaxes[bu_name],$C1360)*(V415+V520+V625)+SUMIFS(ExpensePayrollTaxes[Month 11],ExpensePayrollTaxes[exp_item],$H730,ExpensePayrollTaxes[company_name],$B1360)*V730)</f>
        <v>0</v>
      </c>
      <c r="W1360" s="652">
        <f>IF($B1360="",,SUMIFS(SalaryPayrollTaxes[Month 12],SalaryPayrollTaxes[exp_item],$H1360,SalaryPayrollTaxes[company_name],$B1360,SalaryPayrollTaxes[bu_name],$C1360)*(W415+W520+W625)+SUMIFS(ExpensePayrollTaxes[Month 12],ExpensePayrollTaxes[exp_item],$H730,ExpensePayrollTaxes[company_name],$B1360)*W730)</f>
        <v>0</v>
      </c>
      <c r="X1360" s="652">
        <f>IF($B1360="",,SUMIFS(SalaryPayrollTaxes[Month 13],SalaryPayrollTaxes[exp_item],$H1360,SalaryPayrollTaxes[company_name],$B1360,SalaryPayrollTaxes[bu_name],$C1360)*(X415+X520+X625)+SUMIFS(ExpensePayrollTaxes[Month 13],ExpensePayrollTaxes[exp_item],$H730,ExpensePayrollTaxes[company_name],$B1360)*X730)</f>
        <v>0</v>
      </c>
      <c r="Y1360" s="652">
        <f>IF($B1360="",,SUMIFS(SalaryPayrollTaxes[Month 14],SalaryPayrollTaxes[exp_item],$H1360,SalaryPayrollTaxes[company_name],$B1360,SalaryPayrollTaxes[bu_name],$C1360)*(Y415+Y520+Y625)+SUMIFS(ExpensePayrollTaxes[Month 14],ExpensePayrollTaxes[exp_item],$H730,ExpensePayrollTaxes[company_name],$B1360)*Y730)</f>
        <v>0</v>
      </c>
      <c r="Z1360" s="652">
        <f>IF($B1360="",,SUMIFS(SalaryPayrollTaxes[Month 15],SalaryPayrollTaxes[exp_item],$H1360,SalaryPayrollTaxes[company_name],$B1360,SalaryPayrollTaxes[bu_name],$C1360)*(Z415+Z520+Z625)+SUMIFS(ExpensePayrollTaxes[Month 15],ExpensePayrollTaxes[exp_item],$H730,ExpensePayrollTaxes[company_name],$B1360)*Z730)</f>
        <v>0</v>
      </c>
      <c r="AA1360" s="652">
        <f>IF($B1360="",,SUMIFS(SalaryPayrollTaxes[Month 16],SalaryPayrollTaxes[exp_item],$H1360,SalaryPayrollTaxes[company_name],$B1360,SalaryPayrollTaxes[bu_name],$C1360)*(AA415+AA520+AA625)+SUMIFS(ExpensePayrollTaxes[Month 16],ExpensePayrollTaxes[exp_item],$H730,ExpensePayrollTaxes[company_name],$B1360)*AA730)</f>
        <v>0</v>
      </c>
      <c r="AB1360" s="652">
        <f>IF($B1360="",,SUMIFS(SalaryPayrollTaxes[Month 17],SalaryPayrollTaxes[exp_item],$H1360,SalaryPayrollTaxes[company_name],$B1360,SalaryPayrollTaxes[bu_name],$C1360)*(AB415+AB520+AB625)+SUMIFS(ExpensePayrollTaxes[Month 17],ExpensePayrollTaxes[exp_item],$H730,ExpensePayrollTaxes[company_name],$B1360)*AB730)</f>
        <v>0</v>
      </c>
      <c r="AC1360" s="652">
        <f>IF($B1360="",,SUMIFS(SalaryPayrollTaxes[Month 18],SalaryPayrollTaxes[exp_item],$H1360,SalaryPayrollTaxes[company_name],$B1360,SalaryPayrollTaxes[bu_name],$C1360)*(AC415+AC520+AC625)+SUMIFS(ExpensePayrollTaxes[Month 18],ExpensePayrollTaxes[exp_item],$H730,ExpensePayrollTaxes[company_name],$B1360)*AC730)</f>
        <v>0</v>
      </c>
      <c r="AD1360" s="652">
        <f>IF($B1360="",,SUMIFS(SalaryPayrollTaxes[Month 19],SalaryPayrollTaxes[exp_item],$H1360,SalaryPayrollTaxes[company_name],$B1360,SalaryPayrollTaxes[bu_name],$C1360)*(AD415+AD520+AD625)+SUMIFS(ExpensePayrollTaxes[Month 19],ExpensePayrollTaxes[exp_item],$H730,ExpensePayrollTaxes[company_name],$B1360)*AD730)</f>
        <v>0</v>
      </c>
      <c r="AE1360" s="652">
        <f>IF($B1360="",,SUMIFS(SalaryPayrollTaxes[Month 20],SalaryPayrollTaxes[exp_item],$H1360,SalaryPayrollTaxes[company_name],$B1360,SalaryPayrollTaxes[bu_name],$C1360)*(AE415+AE520+AE625)+SUMIFS(ExpensePayrollTaxes[Month 20],ExpensePayrollTaxes[exp_item],$H730,ExpensePayrollTaxes[company_name],$B1360)*AE730)</f>
        <v>0</v>
      </c>
      <c r="AF1360" s="652">
        <f>IF($B1360="",,SUMIFS(SalaryPayrollTaxes[Month 21],SalaryPayrollTaxes[exp_item],$H1360,SalaryPayrollTaxes[company_name],$B1360,SalaryPayrollTaxes[bu_name],$C1360)*(AF415+AF520+AF625)+SUMIFS(ExpensePayrollTaxes[Month 21],ExpensePayrollTaxes[exp_item],$H730,ExpensePayrollTaxes[company_name],$B1360)*AF730)</f>
        <v>0</v>
      </c>
      <c r="AG1360" s="652">
        <f>IF($B1360="",,SUMIFS(SalaryPayrollTaxes[Month 22],SalaryPayrollTaxes[exp_item],$H1360,SalaryPayrollTaxes[company_name],$B1360,SalaryPayrollTaxes[bu_name],$C1360)*(AG415+AG520+AG625)+SUMIFS(ExpensePayrollTaxes[Month 22],ExpensePayrollTaxes[exp_item],$H730,ExpensePayrollTaxes[company_name],$B1360)*AG730)</f>
        <v>0</v>
      </c>
      <c r="AH1360" s="652">
        <f>IF($B1360="",,SUMIFS(SalaryPayrollTaxes[Month 23],SalaryPayrollTaxes[exp_item],$H1360,SalaryPayrollTaxes[company_name],$B1360,SalaryPayrollTaxes[bu_name],$C1360)*(AH415+AH520+AH625)+SUMIFS(ExpensePayrollTaxes[Month 23],ExpensePayrollTaxes[exp_item],$H730,ExpensePayrollTaxes[company_name],$B1360)*AH730)</f>
        <v>0</v>
      </c>
      <c r="AI1360" s="652">
        <f>IF($B1360="",,SUMIFS(SalaryPayrollTaxes[Month 24],SalaryPayrollTaxes[exp_item],$H1360,SalaryPayrollTaxes[company_name],$B1360,SalaryPayrollTaxes[bu_name],$C1360)*(AI415+AI520+AI625)+SUMIFS(ExpensePayrollTaxes[Month 24],ExpensePayrollTaxes[exp_item],$H730,ExpensePayrollTaxes[company_name],$B1360)*AI730)</f>
        <v>0</v>
      </c>
      <c r="AJ1360" s="652">
        <f>IF($B1360="",,SUMIFS(SalaryPayrollTaxes[Month 25],SalaryPayrollTaxes[exp_item],$H1360,SalaryPayrollTaxes[company_name],$B1360,SalaryPayrollTaxes[bu_name],$C1360)*(AJ415+AJ520+AJ625)+SUMIFS(ExpensePayrollTaxes[Month 25],ExpensePayrollTaxes[exp_item],$H730,ExpensePayrollTaxes[company_name],$B1360)*AJ730)</f>
        <v>0</v>
      </c>
      <c r="AK1360" s="652">
        <f>IF($B1360="",,SUMIFS(SalaryPayrollTaxes[Month 26],SalaryPayrollTaxes[exp_item],$H1360,SalaryPayrollTaxes[company_name],$B1360,SalaryPayrollTaxes[bu_name],$C1360)*(AK415+AK520+AK625)+SUMIFS(ExpensePayrollTaxes[Month 26],ExpensePayrollTaxes[exp_item],$H730,ExpensePayrollTaxes[company_name],$B1360)*AK730)</f>
        <v>0</v>
      </c>
      <c r="AL1360" s="652">
        <f>IF($B1360="",,SUMIFS(SalaryPayrollTaxes[Month 27],SalaryPayrollTaxes[exp_item],$H1360,SalaryPayrollTaxes[company_name],$B1360,SalaryPayrollTaxes[bu_name],$C1360)*(AL415+AL520+AL625)+SUMIFS(ExpensePayrollTaxes[Month 27],ExpensePayrollTaxes[exp_item],$H730,ExpensePayrollTaxes[company_name],$B1360)*AL730)</f>
        <v>0</v>
      </c>
      <c r="AM1360" s="652">
        <f>IF($B1360="",,SUMIFS(SalaryPayrollTaxes[Month 28],SalaryPayrollTaxes[exp_item],$H1360,SalaryPayrollTaxes[company_name],$B1360,SalaryPayrollTaxes[bu_name],$C1360)*(AM415+AM520+AM625)+SUMIFS(ExpensePayrollTaxes[Month 28],ExpensePayrollTaxes[exp_item],$H730,ExpensePayrollTaxes[company_name],$B1360)*AM730)</f>
        <v>0</v>
      </c>
      <c r="AN1360" s="652">
        <f>IF($B1360="",,SUMIFS(SalaryPayrollTaxes[Month 29],SalaryPayrollTaxes[exp_item],$H1360,SalaryPayrollTaxes[company_name],$B1360,SalaryPayrollTaxes[bu_name],$C1360)*(AN415+AN520+AN625)+SUMIFS(ExpensePayrollTaxes[Month 29],ExpensePayrollTaxes[exp_item],$H730,ExpensePayrollTaxes[company_name],$B1360)*AN730)</f>
        <v>0</v>
      </c>
      <c r="AO1360" s="652">
        <f>IF($B1360="",,SUMIFS(SalaryPayrollTaxes[Month 30],SalaryPayrollTaxes[exp_item],$H1360,SalaryPayrollTaxes[company_name],$B1360,SalaryPayrollTaxes[bu_name],$C1360)*(AO415+AO520+AO625)+SUMIFS(ExpensePayrollTaxes[Month 30],ExpensePayrollTaxes[exp_item],$H730,ExpensePayrollTaxes[company_name],$B1360)*AO730)</f>
        <v>0</v>
      </c>
      <c r="AP1360" s="652">
        <f>IF($B1360="",,SUMIFS(SalaryPayrollTaxes[Month 31],SalaryPayrollTaxes[exp_item],$H1360,SalaryPayrollTaxes[company_name],$B1360,SalaryPayrollTaxes[bu_name],$C1360)*(AP415+AP520+AP625)+SUMIFS(ExpensePayrollTaxes[Month 31],ExpensePayrollTaxes[exp_item],$H730,ExpensePayrollTaxes[company_name],$B1360)*AP730)</f>
        <v>0</v>
      </c>
      <c r="AQ1360" s="652">
        <f>IF($B1360="",,SUMIFS(SalaryPayrollTaxes[Month 32],SalaryPayrollTaxes[exp_item],$H1360,SalaryPayrollTaxes[company_name],$B1360,SalaryPayrollTaxes[bu_name],$C1360)*(AQ415+AQ520+AQ625)+SUMIFS(ExpensePayrollTaxes[Month 32],ExpensePayrollTaxes[exp_item],$H730,ExpensePayrollTaxes[company_name],$B1360)*AQ730)</f>
        <v>0</v>
      </c>
      <c r="AR1360" s="652">
        <f>IF($B1360="",,SUMIFS(SalaryPayrollTaxes[Month 33],SalaryPayrollTaxes[exp_item],$H1360,SalaryPayrollTaxes[company_name],$B1360,SalaryPayrollTaxes[bu_name],$C1360)*(AR415+AR520+AR625)+SUMIFS(ExpensePayrollTaxes[Month 33],ExpensePayrollTaxes[exp_item],$H730,ExpensePayrollTaxes[company_name],$B1360)*AR730)</f>
        <v>0</v>
      </c>
      <c r="AS1360" s="652">
        <f>IF($B1360="",,SUMIFS(SalaryPayrollTaxes[Month 34],SalaryPayrollTaxes[exp_item],$H1360,SalaryPayrollTaxes[company_name],$B1360,SalaryPayrollTaxes[bu_name],$C1360)*(AS415+AS520+AS625)+SUMIFS(ExpensePayrollTaxes[Month 34],ExpensePayrollTaxes[exp_item],$H730,ExpensePayrollTaxes[company_name],$B1360)*AS730)</f>
        <v>0</v>
      </c>
      <c r="AT1360" s="652">
        <f>IF($B1360="",,SUMIFS(SalaryPayrollTaxes[Month 35],SalaryPayrollTaxes[exp_item],$H1360,SalaryPayrollTaxes[company_name],$B1360,SalaryPayrollTaxes[bu_name],$C1360)*(AT415+AT520+AT625)+SUMIFS(ExpensePayrollTaxes[Month 35],ExpensePayrollTaxes[exp_item],$H730,ExpensePayrollTaxes[company_name],$B1360)*AT730)</f>
        <v>0</v>
      </c>
      <c r="AU1360" s="652">
        <f>IF($B1360="",,SUMIFS(SalaryPayrollTaxes[Month 36],SalaryPayrollTaxes[exp_item],$H1360,SalaryPayrollTaxes[company_name],$B1360,SalaryPayrollTaxes[bu_name],$C1360)*(AU415+AU520+AU625)+SUMIFS(ExpensePayrollTaxes[Month 36],ExpensePayrollTaxes[exp_item],$H730,ExpensePayrollTaxes[company_name],$B1360)*AU730)</f>
        <v>0</v>
      </c>
    </row>
    <row r="1361" spans="2:47" x14ac:dyDescent="0.35">
      <c r="B1361" t="str">
        <f t="shared" ref="B1361:G1370" si="992">IF(B1256="","",B1256)</f>
        <v/>
      </c>
      <c r="C1361" t="str">
        <f t="shared" si="992"/>
        <v/>
      </c>
      <c r="D1361" t="str">
        <f t="shared" si="992"/>
        <v/>
      </c>
      <c r="E1361" t="str">
        <f t="shared" si="992"/>
        <v/>
      </c>
      <c r="F1361" t="str">
        <f t="shared" si="992"/>
        <v/>
      </c>
      <c r="G1361" t="str">
        <f t="shared" si="992"/>
        <v/>
      </c>
      <c r="H1361" t="str">
        <f t="shared" si="989"/>
        <v/>
      </c>
      <c r="J1361" t="str">
        <f>IF($H1361="","",IF(VLOOKUP(H1361,ExpItems[],2,0),H1361&amp;" - "&amp;INDEX(DivisionMapping[category_code],MATCH($D1361&amp;$C1361,DivisionMapping[dept_bu],0)),H1361))</f>
        <v/>
      </c>
      <c r="K1361" t="str">
        <f t="shared" si="990"/>
        <v/>
      </c>
      <c r="L1361" s="652">
        <f>IF($B1361="",,SUMIFS(SalaryPayrollTaxes[Month 1],SalaryPayrollTaxes[exp_item],$H1361,SalaryPayrollTaxes[company_name],$B1361,SalaryPayrollTaxes[bu_name],$C1361)*(L416+L521+L626)+SUMIFS(ExpensePayrollTaxes[Month 1],ExpensePayrollTaxes[exp_item],$H731,ExpensePayrollTaxes[company_name],$B1361)*L731)</f>
        <v>0</v>
      </c>
      <c r="M1361" s="652">
        <f>IF($B1361="",,SUMIFS(SalaryPayrollTaxes[Month 2],SalaryPayrollTaxes[exp_item],$H1361,SalaryPayrollTaxes[company_name],$B1361,SalaryPayrollTaxes[bu_name],$C1361)*(M416+M521+M626)+SUMIFS(ExpensePayrollTaxes[Month 2],ExpensePayrollTaxes[exp_item],$H731,ExpensePayrollTaxes[company_name],$B1361)*M731)</f>
        <v>0</v>
      </c>
      <c r="N1361" s="652">
        <f>IF($B1361="",,SUMIFS(SalaryPayrollTaxes[Month 3],SalaryPayrollTaxes[exp_item],$H1361,SalaryPayrollTaxes[company_name],$B1361,SalaryPayrollTaxes[bu_name],$C1361)*(N416+N521+N626)+SUMIFS(ExpensePayrollTaxes[Month 3],ExpensePayrollTaxes[exp_item],$H731,ExpensePayrollTaxes[company_name],$B1361)*N731)</f>
        <v>0</v>
      </c>
      <c r="O1361" s="652">
        <f>IF($B1361="",,SUMIFS(SalaryPayrollTaxes[Month 4],SalaryPayrollTaxes[exp_item],$H1361,SalaryPayrollTaxes[company_name],$B1361,SalaryPayrollTaxes[bu_name],$C1361)*(O416+O521+O626)+SUMIFS(ExpensePayrollTaxes[Month 4],ExpensePayrollTaxes[exp_item],$H731,ExpensePayrollTaxes[company_name],$B1361)*O731)</f>
        <v>0</v>
      </c>
      <c r="P1361" s="652">
        <f>IF($B1361="",,SUMIFS(SalaryPayrollTaxes[Month 5],SalaryPayrollTaxes[exp_item],$H1361,SalaryPayrollTaxes[company_name],$B1361,SalaryPayrollTaxes[bu_name],$C1361)*(P416+P521+P626)+SUMIFS(ExpensePayrollTaxes[Month 5],ExpensePayrollTaxes[exp_item],$H731,ExpensePayrollTaxes[company_name],$B1361)*P731)</f>
        <v>0</v>
      </c>
      <c r="Q1361" s="652">
        <f>IF($B1361="",,SUMIFS(SalaryPayrollTaxes[Month 6],SalaryPayrollTaxes[exp_item],$H1361,SalaryPayrollTaxes[company_name],$B1361,SalaryPayrollTaxes[bu_name],$C1361)*(Q416+Q521+Q626)+SUMIFS(ExpensePayrollTaxes[Month 6],ExpensePayrollTaxes[exp_item],$H731,ExpensePayrollTaxes[company_name],$B1361)*Q731)</f>
        <v>0</v>
      </c>
      <c r="R1361" s="652">
        <f>IF($B1361="",,SUMIFS(SalaryPayrollTaxes[Month 7],SalaryPayrollTaxes[exp_item],$H1361,SalaryPayrollTaxes[company_name],$B1361,SalaryPayrollTaxes[bu_name],$C1361)*(R416+R521+R626)+SUMIFS(ExpensePayrollTaxes[Month 7],ExpensePayrollTaxes[exp_item],$H731,ExpensePayrollTaxes[company_name],$B1361)*R731)</f>
        <v>0</v>
      </c>
      <c r="S1361" s="652">
        <f>IF($B1361="",,SUMIFS(SalaryPayrollTaxes[Month 8],SalaryPayrollTaxes[exp_item],$H1361,SalaryPayrollTaxes[company_name],$B1361,SalaryPayrollTaxes[bu_name],$C1361)*(S416+S521+S626)+SUMIFS(ExpensePayrollTaxes[Month 8],ExpensePayrollTaxes[exp_item],$H731,ExpensePayrollTaxes[company_name],$B1361)*S731)</f>
        <v>0</v>
      </c>
      <c r="T1361" s="652">
        <f>IF($B1361="",,SUMIFS(SalaryPayrollTaxes[Month 9],SalaryPayrollTaxes[exp_item],$H1361,SalaryPayrollTaxes[company_name],$B1361,SalaryPayrollTaxes[bu_name],$C1361)*(T416+T521+T626)+SUMIFS(ExpensePayrollTaxes[Month 9],ExpensePayrollTaxes[exp_item],$H731,ExpensePayrollTaxes[company_name],$B1361)*T731)</f>
        <v>0</v>
      </c>
      <c r="U1361" s="652">
        <f>IF($B1361="",,SUMIFS(SalaryPayrollTaxes[Month 10],SalaryPayrollTaxes[exp_item],$H1361,SalaryPayrollTaxes[company_name],$B1361,SalaryPayrollTaxes[bu_name],$C1361)*(U416+U521+U626)+SUMIFS(ExpensePayrollTaxes[Month 10],ExpensePayrollTaxes[exp_item],$H731,ExpensePayrollTaxes[company_name],$B1361)*U731)</f>
        <v>0</v>
      </c>
      <c r="V1361" s="652">
        <f>IF($B1361="",,SUMIFS(SalaryPayrollTaxes[Month 11],SalaryPayrollTaxes[exp_item],$H1361,SalaryPayrollTaxes[company_name],$B1361,SalaryPayrollTaxes[bu_name],$C1361)*(V416+V521+V626)+SUMIFS(ExpensePayrollTaxes[Month 11],ExpensePayrollTaxes[exp_item],$H731,ExpensePayrollTaxes[company_name],$B1361)*V731)</f>
        <v>0</v>
      </c>
      <c r="W1361" s="652">
        <f>IF($B1361="",,SUMIFS(SalaryPayrollTaxes[Month 12],SalaryPayrollTaxes[exp_item],$H1361,SalaryPayrollTaxes[company_name],$B1361,SalaryPayrollTaxes[bu_name],$C1361)*(W416+W521+W626)+SUMIFS(ExpensePayrollTaxes[Month 12],ExpensePayrollTaxes[exp_item],$H731,ExpensePayrollTaxes[company_name],$B1361)*W731)</f>
        <v>0</v>
      </c>
      <c r="X1361" s="652">
        <f>IF($B1361="",,SUMIFS(SalaryPayrollTaxes[Month 13],SalaryPayrollTaxes[exp_item],$H1361,SalaryPayrollTaxes[company_name],$B1361,SalaryPayrollTaxes[bu_name],$C1361)*(X416+X521+X626)+SUMIFS(ExpensePayrollTaxes[Month 13],ExpensePayrollTaxes[exp_item],$H731,ExpensePayrollTaxes[company_name],$B1361)*X731)</f>
        <v>0</v>
      </c>
      <c r="Y1361" s="652">
        <f>IF($B1361="",,SUMIFS(SalaryPayrollTaxes[Month 14],SalaryPayrollTaxes[exp_item],$H1361,SalaryPayrollTaxes[company_name],$B1361,SalaryPayrollTaxes[bu_name],$C1361)*(Y416+Y521+Y626)+SUMIFS(ExpensePayrollTaxes[Month 14],ExpensePayrollTaxes[exp_item],$H731,ExpensePayrollTaxes[company_name],$B1361)*Y731)</f>
        <v>0</v>
      </c>
      <c r="Z1361" s="652">
        <f>IF($B1361="",,SUMIFS(SalaryPayrollTaxes[Month 15],SalaryPayrollTaxes[exp_item],$H1361,SalaryPayrollTaxes[company_name],$B1361,SalaryPayrollTaxes[bu_name],$C1361)*(Z416+Z521+Z626)+SUMIFS(ExpensePayrollTaxes[Month 15],ExpensePayrollTaxes[exp_item],$H731,ExpensePayrollTaxes[company_name],$B1361)*Z731)</f>
        <v>0</v>
      </c>
      <c r="AA1361" s="652">
        <f>IF($B1361="",,SUMIFS(SalaryPayrollTaxes[Month 16],SalaryPayrollTaxes[exp_item],$H1361,SalaryPayrollTaxes[company_name],$B1361,SalaryPayrollTaxes[bu_name],$C1361)*(AA416+AA521+AA626)+SUMIFS(ExpensePayrollTaxes[Month 16],ExpensePayrollTaxes[exp_item],$H731,ExpensePayrollTaxes[company_name],$B1361)*AA731)</f>
        <v>0</v>
      </c>
      <c r="AB1361" s="652">
        <f>IF($B1361="",,SUMIFS(SalaryPayrollTaxes[Month 17],SalaryPayrollTaxes[exp_item],$H1361,SalaryPayrollTaxes[company_name],$B1361,SalaryPayrollTaxes[bu_name],$C1361)*(AB416+AB521+AB626)+SUMIFS(ExpensePayrollTaxes[Month 17],ExpensePayrollTaxes[exp_item],$H731,ExpensePayrollTaxes[company_name],$B1361)*AB731)</f>
        <v>0</v>
      </c>
      <c r="AC1361" s="652">
        <f>IF($B1361="",,SUMIFS(SalaryPayrollTaxes[Month 18],SalaryPayrollTaxes[exp_item],$H1361,SalaryPayrollTaxes[company_name],$B1361,SalaryPayrollTaxes[bu_name],$C1361)*(AC416+AC521+AC626)+SUMIFS(ExpensePayrollTaxes[Month 18],ExpensePayrollTaxes[exp_item],$H731,ExpensePayrollTaxes[company_name],$B1361)*AC731)</f>
        <v>0</v>
      </c>
      <c r="AD1361" s="652">
        <f>IF($B1361="",,SUMIFS(SalaryPayrollTaxes[Month 19],SalaryPayrollTaxes[exp_item],$H1361,SalaryPayrollTaxes[company_name],$B1361,SalaryPayrollTaxes[bu_name],$C1361)*(AD416+AD521+AD626)+SUMIFS(ExpensePayrollTaxes[Month 19],ExpensePayrollTaxes[exp_item],$H731,ExpensePayrollTaxes[company_name],$B1361)*AD731)</f>
        <v>0</v>
      </c>
      <c r="AE1361" s="652">
        <f>IF($B1361="",,SUMIFS(SalaryPayrollTaxes[Month 20],SalaryPayrollTaxes[exp_item],$H1361,SalaryPayrollTaxes[company_name],$B1361,SalaryPayrollTaxes[bu_name],$C1361)*(AE416+AE521+AE626)+SUMIFS(ExpensePayrollTaxes[Month 20],ExpensePayrollTaxes[exp_item],$H731,ExpensePayrollTaxes[company_name],$B1361)*AE731)</f>
        <v>0</v>
      </c>
      <c r="AF1361" s="652">
        <f>IF($B1361="",,SUMIFS(SalaryPayrollTaxes[Month 21],SalaryPayrollTaxes[exp_item],$H1361,SalaryPayrollTaxes[company_name],$B1361,SalaryPayrollTaxes[bu_name],$C1361)*(AF416+AF521+AF626)+SUMIFS(ExpensePayrollTaxes[Month 21],ExpensePayrollTaxes[exp_item],$H731,ExpensePayrollTaxes[company_name],$B1361)*AF731)</f>
        <v>0</v>
      </c>
      <c r="AG1361" s="652">
        <f>IF($B1361="",,SUMIFS(SalaryPayrollTaxes[Month 22],SalaryPayrollTaxes[exp_item],$H1361,SalaryPayrollTaxes[company_name],$B1361,SalaryPayrollTaxes[bu_name],$C1361)*(AG416+AG521+AG626)+SUMIFS(ExpensePayrollTaxes[Month 22],ExpensePayrollTaxes[exp_item],$H731,ExpensePayrollTaxes[company_name],$B1361)*AG731)</f>
        <v>0</v>
      </c>
      <c r="AH1361" s="652">
        <f>IF($B1361="",,SUMIFS(SalaryPayrollTaxes[Month 23],SalaryPayrollTaxes[exp_item],$H1361,SalaryPayrollTaxes[company_name],$B1361,SalaryPayrollTaxes[bu_name],$C1361)*(AH416+AH521+AH626)+SUMIFS(ExpensePayrollTaxes[Month 23],ExpensePayrollTaxes[exp_item],$H731,ExpensePayrollTaxes[company_name],$B1361)*AH731)</f>
        <v>0</v>
      </c>
      <c r="AI1361" s="652">
        <f>IF($B1361="",,SUMIFS(SalaryPayrollTaxes[Month 24],SalaryPayrollTaxes[exp_item],$H1361,SalaryPayrollTaxes[company_name],$B1361,SalaryPayrollTaxes[bu_name],$C1361)*(AI416+AI521+AI626)+SUMIFS(ExpensePayrollTaxes[Month 24],ExpensePayrollTaxes[exp_item],$H731,ExpensePayrollTaxes[company_name],$B1361)*AI731)</f>
        <v>0</v>
      </c>
      <c r="AJ1361" s="652">
        <f>IF($B1361="",,SUMIFS(SalaryPayrollTaxes[Month 25],SalaryPayrollTaxes[exp_item],$H1361,SalaryPayrollTaxes[company_name],$B1361,SalaryPayrollTaxes[bu_name],$C1361)*(AJ416+AJ521+AJ626)+SUMIFS(ExpensePayrollTaxes[Month 25],ExpensePayrollTaxes[exp_item],$H731,ExpensePayrollTaxes[company_name],$B1361)*AJ731)</f>
        <v>0</v>
      </c>
      <c r="AK1361" s="652">
        <f>IF($B1361="",,SUMIFS(SalaryPayrollTaxes[Month 26],SalaryPayrollTaxes[exp_item],$H1361,SalaryPayrollTaxes[company_name],$B1361,SalaryPayrollTaxes[bu_name],$C1361)*(AK416+AK521+AK626)+SUMIFS(ExpensePayrollTaxes[Month 26],ExpensePayrollTaxes[exp_item],$H731,ExpensePayrollTaxes[company_name],$B1361)*AK731)</f>
        <v>0</v>
      </c>
      <c r="AL1361" s="652">
        <f>IF($B1361="",,SUMIFS(SalaryPayrollTaxes[Month 27],SalaryPayrollTaxes[exp_item],$H1361,SalaryPayrollTaxes[company_name],$B1361,SalaryPayrollTaxes[bu_name],$C1361)*(AL416+AL521+AL626)+SUMIFS(ExpensePayrollTaxes[Month 27],ExpensePayrollTaxes[exp_item],$H731,ExpensePayrollTaxes[company_name],$B1361)*AL731)</f>
        <v>0</v>
      </c>
      <c r="AM1361" s="652">
        <f>IF($B1361="",,SUMIFS(SalaryPayrollTaxes[Month 28],SalaryPayrollTaxes[exp_item],$H1361,SalaryPayrollTaxes[company_name],$B1361,SalaryPayrollTaxes[bu_name],$C1361)*(AM416+AM521+AM626)+SUMIFS(ExpensePayrollTaxes[Month 28],ExpensePayrollTaxes[exp_item],$H731,ExpensePayrollTaxes[company_name],$B1361)*AM731)</f>
        <v>0</v>
      </c>
      <c r="AN1361" s="652">
        <f>IF($B1361="",,SUMIFS(SalaryPayrollTaxes[Month 29],SalaryPayrollTaxes[exp_item],$H1361,SalaryPayrollTaxes[company_name],$B1361,SalaryPayrollTaxes[bu_name],$C1361)*(AN416+AN521+AN626)+SUMIFS(ExpensePayrollTaxes[Month 29],ExpensePayrollTaxes[exp_item],$H731,ExpensePayrollTaxes[company_name],$B1361)*AN731)</f>
        <v>0</v>
      </c>
      <c r="AO1361" s="652">
        <f>IF($B1361="",,SUMIFS(SalaryPayrollTaxes[Month 30],SalaryPayrollTaxes[exp_item],$H1361,SalaryPayrollTaxes[company_name],$B1361,SalaryPayrollTaxes[bu_name],$C1361)*(AO416+AO521+AO626)+SUMIFS(ExpensePayrollTaxes[Month 30],ExpensePayrollTaxes[exp_item],$H731,ExpensePayrollTaxes[company_name],$B1361)*AO731)</f>
        <v>0</v>
      </c>
      <c r="AP1361" s="652">
        <f>IF($B1361="",,SUMIFS(SalaryPayrollTaxes[Month 31],SalaryPayrollTaxes[exp_item],$H1361,SalaryPayrollTaxes[company_name],$B1361,SalaryPayrollTaxes[bu_name],$C1361)*(AP416+AP521+AP626)+SUMIFS(ExpensePayrollTaxes[Month 31],ExpensePayrollTaxes[exp_item],$H731,ExpensePayrollTaxes[company_name],$B1361)*AP731)</f>
        <v>0</v>
      </c>
      <c r="AQ1361" s="652">
        <f>IF($B1361="",,SUMIFS(SalaryPayrollTaxes[Month 32],SalaryPayrollTaxes[exp_item],$H1361,SalaryPayrollTaxes[company_name],$B1361,SalaryPayrollTaxes[bu_name],$C1361)*(AQ416+AQ521+AQ626)+SUMIFS(ExpensePayrollTaxes[Month 32],ExpensePayrollTaxes[exp_item],$H731,ExpensePayrollTaxes[company_name],$B1361)*AQ731)</f>
        <v>0</v>
      </c>
      <c r="AR1361" s="652">
        <f>IF($B1361="",,SUMIFS(SalaryPayrollTaxes[Month 33],SalaryPayrollTaxes[exp_item],$H1361,SalaryPayrollTaxes[company_name],$B1361,SalaryPayrollTaxes[bu_name],$C1361)*(AR416+AR521+AR626)+SUMIFS(ExpensePayrollTaxes[Month 33],ExpensePayrollTaxes[exp_item],$H731,ExpensePayrollTaxes[company_name],$B1361)*AR731)</f>
        <v>0</v>
      </c>
      <c r="AS1361" s="652">
        <f>IF($B1361="",,SUMIFS(SalaryPayrollTaxes[Month 34],SalaryPayrollTaxes[exp_item],$H1361,SalaryPayrollTaxes[company_name],$B1361,SalaryPayrollTaxes[bu_name],$C1361)*(AS416+AS521+AS626)+SUMIFS(ExpensePayrollTaxes[Month 34],ExpensePayrollTaxes[exp_item],$H731,ExpensePayrollTaxes[company_name],$B1361)*AS731)</f>
        <v>0</v>
      </c>
      <c r="AT1361" s="652">
        <f>IF($B1361="",,SUMIFS(SalaryPayrollTaxes[Month 35],SalaryPayrollTaxes[exp_item],$H1361,SalaryPayrollTaxes[company_name],$B1361,SalaryPayrollTaxes[bu_name],$C1361)*(AT416+AT521+AT626)+SUMIFS(ExpensePayrollTaxes[Month 35],ExpensePayrollTaxes[exp_item],$H731,ExpensePayrollTaxes[company_name],$B1361)*AT731)</f>
        <v>0</v>
      </c>
      <c r="AU1361" s="652">
        <f>IF($B1361="",,SUMIFS(SalaryPayrollTaxes[Month 36],SalaryPayrollTaxes[exp_item],$H1361,SalaryPayrollTaxes[company_name],$B1361,SalaryPayrollTaxes[bu_name],$C1361)*(AU416+AU521+AU626)+SUMIFS(ExpensePayrollTaxes[Month 36],ExpensePayrollTaxes[exp_item],$H731,ExpensePayrollTaxes[company_name],$B1361)*AU731)</f>
        <v>0</v>
      </c>
    </row>
    <row r="1362" spans="2:47" x14ac:dyDescent="0.35">
      <c r="B1362" t="str">
        <f t="shared" si="992"/>
        <v/>
      </c>
      <c r="C1362" t="str">
        <f t="shared" si="992"/>
        <v/>
      </c>
      <c r="D1362" t="str">
        <f t="shared" si="992"/>
        <v/>
      </c>
      <c r="E1362" t="str">
        <f t="shared" si="992"/>
        <v/>
      </c>
      <c r="F1362" t="str">
        <f t="shared" si="992"/>
        <v/>
      </c>
      <c r="G1362" t="str">
        <f t="shared" si="992"/>
        <v/>
      </c>
      <c r="H1362" t="str">
        <f t="shared" si="989"/>
        <v/>
      </c>
      <c r="J1362" t="str">
        <f>IF($H1362="","",IF(VLOOKUP(H1362,ExpItems[],2,0),H1362&amp;" - "&amp;INDEX(DivisionMapping[category_code],MATCH($D1362&amp;$C1362,DivisionMapping[dept_bu],0)),H1362))</f>
        <v/>
      </c>
      <c r="K1362" t="str">
        <f t="shared" si="990"/>
        <v/>
      </c>
      <c r="L1362" s="652">
        <f>IF($B1362="",,SUMIFS(SalaryPayrollTaxes[Month 1],SalaryPayrollTaxes[exp_item],$H1362,SalaryPayrollTaxes[company_name],$B1362,SalaryPayrollTaxes[bu_name],$C1362)*(L417+L522+L627)+SUMIFS(ExpensePayrollTaxes[Month 1],ExpensePayrollTaxes[exp_item],$H732,ExpensePayrollTaxes[company_name],$B1362)*L732)</f>
        <v>0</v>
      </c>
      <c r="M1362" s="652">
        <f>IF($B1362="",,SUMIFS(SalaryPayrollTaxes[Month 2],SalaryPayrollTaxes[exp_item],$H1362,SalaryPayrollTaxes[company_name],$B1362,SalaryPayrollTaxes[bu_name],$C1362)*(M417+M522+M627)+SUMIFS(ExpensePayrollTaxes[Month 2],ExpensePayrollTaxes[exp_item],$H732,ExpensePayrollTaxes[company_name],$B1362)*M732)</f>
        <v>0</v>
      </c>
      <c r="N1362" s="652">
        <f>IF($B1362="",,SUMIFS(SalaryPayrollTaxes[Month 3],SalaryPayrollTaxes[exp_item],$H1362,SalaryPayrollTaxes[company_name],$B1362,SalaryPayrollTaxes[bu_name],$C1362)*(N417+N522+N627)+SUMIFS(ExpensePayrollTaxes[Month 3],ExpensePayrollTaxes[exp_item],$H732,ExpensePayrollTaxes[company_name],$B1362)*N732)</f>
        <v>0</v>
      </c>
      <c r="O1362" s="652">
        <f>IF($B1362="",,SUMIFS(SalaryPayrollTaxes[Month 4],SalaryPayrollTaxes[exp_item],$H1362,SalaryPayrollTaxes[company_name],$B1362,SalaryPayrollTaxes[bu_name],$C1362)*(O417+O522+O627)+SUMIFS(ExpensePayrollTaxes[Month 4],ExpensePayrollTaxes[exp_item],$H732,ExpensePayrollTaxes[company_name],$B1362)*O732)</f>
        <v>0</v>
      </c>
      <c r="P1362" s="652">
        <f>IF($B1362="",,SUMIFS(SalaryPayrollTaxes[Month 5],SalaryPayrollTaxes[exp_item],$H1362,SalaryPayrollTaxes[company_name],$B1362,SalaryPayrollTaxes[bu_name],$C1362)*(P417+P522+P627)+SUMIFS(ExpensePayrollTaxes[Month 5],ExpensePayrollTaxes[exp_item],$H732,ExpensePayrollTaxes[company_name],$B1362)*P732)</f>
        <v>0</v>
      </c>
      <c r="Q1362" s="652">
        <f>IF($B1362="",,SUMIFS(SalaryPayrollTaxes[Month 6],SalaryPayrollTaxes[exp_item],$H1362,SalaryPayrollTaxes[company_name],$B1362,SalaryPayrollTaxes[bu_name],$C1362)*(Q417+Q522+Q627)+SUMIFS(ExpensePayrollTaxes[Month 6],ExpensePayrollTaxes[exp_item],$H732,ExpensePayrollTaxes[company_name],$B1362)*Q732)</f>
        <v>0</v>
      </c>
      <c r="R1362" s="652">
        <f>IF($B1362="",,SUMIFS(SalaryPayrollTaxes[Month 7],SalaryPayrollTaxes[exp_item],$H1362,SalaryPayrollTaxes[company_name],$B1362,SalaryPayrollTaxes[bu_name],$C1362)*(R417+R522+R627)+SUMIFS(ExpensePayrollTaxes[Month 7],ExpensePayrollTaxes[exp_item],$H732,ExpensePayrollTaxes[company_name],$B1362)*R732)</f>
        <v>0</v>
      </c>
      <c r="S1362" s="652">
        <f>IF($B1362="",,SUMIFS(SalaryPayrollTaxes[Month 8],SalaryPayrollTaxes[exp_item],$H1362,SalaryPayrollTaxes[company_name],$B1362,SalaryPayrollTaxes[bu_name],$C1362)*(S417+S522+S627)+SUMIFS(ExpensePayrollTaxes[Month 8],ExpensePayrollTaxes[exp_item],$H732,ExpensePayrollTaxes[company_name],$B1362)*S732)</f>
        <v>0</v>
      </c>
      <c r="T1362" s="652">
        <f>IF($B1362="",,SUMIFS(SalaryPayrollTaxes[Month 9],SalaryPayrollTaxes[exp_item],$H1362,SalaryPayrollTaxes[company_name],$B1362,SalaryPayrollTaxes[bu_name],$C1362)*(T417+T522+T627)+SUMIFS(ExpensePayrollTaxes[Month 9],ExpensePayrollTaxes[exp_item],$H732,ExpensePayrollTaxes[company_name],$B1362)*T732)</f>
        <v>0</v>
      </c>
      <c r="U1362" s="652">
        <f>IF($B1362="",,SUMIFS(SalaryPayrollTaxes[Month 10],SalaryPayrollTaxes[exp_item],$H1362,SalaryPayrollTaxes[company_name],$B1362,SalaryPayrollTaxes[bu_name],$C1362)*(U417+U522+U627)+SUMIFS(ExpensePayrollTaxes[Month 10],ExpensePayrollTaxes[exp_item],$H732,ExpensePayrollTaxes[company_name],$B1362)*U732)</f>
        <v>0</v>
      </c>
      <c r="V1362" s="652">
        <f>IF($B1362="",,SUMIFS(SalaryPayrollTaxes[Month 11],SalaryPayrollTaxes[exp_item],$H1362,SalaryPayrollTaxes[company_name],$B1362,SalaryPayrollTaxes[bu_name],$C1362)*(V417+V522+V627)+SUMIFS(ExpensePayrollTaxes[Month 11],ExpensePayrollTaxes[exp_item],$H732,ExpensePayrollTaxes[company_name],$B1362)*V732)</f>
        <v>0</v>
      </c>
      <c r="W1362" s="652">
        <f>IF($B1362="",,SUMIFS(SalaryPayrollTaxes[Month 12],SalaryPayrollTaxes[exp_item],$H1362,SalaryPayrollTaxes[company_name],$B1362,SalaryPayrollTaxes[bu_name],$C1362)*(W417+W522+W627)+SUMIFS(ExpensePayrollTaxes[Month 12],ExpensePayrollTaxes[exp_item],$H732,ExpensePayrollTaxes[company_name],$B1362)*W732)</f>
        <v>0</v>
      </c>
      <c r="X1362" s="652">
        <f>IF($B1362="",,SUMIFS(SalaryPayrollTaxes[Month 13],SalaryPayrollTaxes[exp_item],$H1362,SalaryPayrollTaxes[company_name],$B1362,SalaryPayrollTaxes[bu_name],$C1362)*(X417+X522+X627)+SUMIFS(ExpensePayrollTaxes[Month 13],ExpensePayrollTaxes[exp_item],$H732,ExpensePayrollTaxes[company_name],$B1362)*X732)</f>
        <v>0</v>
      </c>
      <c r="Y1362" s="652">
        <f>IF($B1362="",,SUMIFS(SalaryPayrollTaxes[Month 14],SalaryPayrollTaxes[exp_item],$H1362,SalaryPayrollTaxes[company_name],$B1362,SalaryPayrollTaxes[bu_name],$C1362)*(Y417+Y522+Y627)+SUMIFS(ExpensePayrollTaxes[Month 14],ExpensePayrollTaxes[exp_item],$H732,ExpensePayrollTaxes[company_name],$B1362)*Y732)</f>
        <v>0</v>
      </c>
      <c r="Z1362" s="652">
        <f>IF($B1362="",,SUMIFS(SalaryPayrollTaxes[Month 15],SalaryPayrollTaxes[exp_item],$H1362,SalaryPayrollTaxes[company_name],$B1362,SalaryPayrollTaxes[bu_name],$C1362)*(Z417+Z522+Z627)+SUMIFS(ExpensePayrollTaxes[Month 15],ExpensePayrollTaxes[exp_item],$H732,ExpensePayrollTaxes[company_name],$B1362)*Z732)</f>
        <v>0</v>
      </c>
      <c r="AA1362" s="652">
        <f>IF($B1362="",,SUMIFS(SalaryPayrollTaxes[Month 16],SalaryPayrollTaxes[exp_item],$H1362,SalaryPayrollTaxes[company_name],$B1362,SalaryPayrollTaxes[bu_name],$C1362)*(AA417+AA522+AA627)+SUMIFS(ExpensePayrollTaxes[Month 16],ExpensePayrollTaxes[exp_item],$H732,ExpensePayrollTaxes[company_name],$B1362)*AA732)</f>
        <v>0</v>
      </c>
      <c r="AB1362" s="652">
        <f>IF($B1362="",,SUMIFS(SalaryPayrollTaxes[Month 17],SalaryPayrollTaxes[exp_item],$H1362,SalaryPayrollTaxes[company_name],$B1362,SalaryPayrollTaxes[bu_name],$C1362)*(AB417+AB522+AB627)+SUMIFS(ExpensePayrollTaxes[Month 17],ExpensePayrollTaxes[exp_item],$H732,ExpensePayrollTaxes[company_name],$B1362)*AB732)</f>
        <v>0</v>
      </c>
      <c r="AC1362" s="652">
        <f>IF($B1362="",,SUMIFS(SalaryPayrollTaxes[Month 18],SalaryPayrollTaxes[exp_item],$H1362,SalaryPayrollTaxes[company_name],$B1362,SalaryPayrollTaxes[bu_name],$C1362)*(AC417+AC522+AC627)+SUMIFS(ExpensePayrollTaxes[Month 18],ExpensePayrollTaxes[exp_item],$H732,ExpensePayrollTaxes[company_name],$B1362)*AC732)</f>
        <v>0</v>
      </c>
      <c r="AD1362" s="652">
        <f>IF($B1362="",,SUMIFS(SalaryPayrollTaxes[Month 19],SalaryPayrollTaxes[exp_item],$H1362,SalaryPayrollTaxes[company_name],$B1362,SalaryPayrollTaxes[bu_name],$C1362)*(AD417+AD522+AD627)+SUMIFS(ExpensePayrollTaxes[Month 19],ExpensePayrollTaxes[exp_item],$H732,ExpensePayrollTaxes[company_name],$B1362)*AD732)</f>
        <v>0</v>
      </c>
      <c r="AE1362" s="652">
        <f>IF($B1362="",,SUMIFS(SalaryPayrollTaxes[Month 20],SalaryPayrollTaxes[exp_item],$H1362,SalaryPayrollTaxes[company_name],$B1362,SalaryPayrollTaxes[bu_name],$C1362)*(AE417+AE522+AE627)+SUMIFS(ExpensePayrollTaxes[Month 20],ExpensePayrollTaxes[exp_item],$H732,ExpensePayrollTaxes[company_name],$B1362)*AE732)</f>
        <v>0</v>
      </c>
      <c r="AF1362" s="652">
        <f>IF($B1362="",,SUMIFS(SalaryPayrollTaxes[Month 21],SalaryPayrollTaxes[exp_item],$H1362,SalaryPayrollTaxes[company_name],$B1362,SalaryPayrollTaxes[bu_name],$C1362)*(AF417+AF522+AF627)+SUMIFS(ExpensePayrollTaxes[Month 21],ExpensePayrollTaxes[exp_item],$H732,ExpensePayrollTaxes[company_name],$B1362)*AF732)</f>
        <v>0</v>
      </c>
      <c r="AG1362" s="652">
        <f>IF($B1362="",,SUMIFS(SalaryPayrollTaxes[Month 22],SalaryPayrollTaxes[exp_item],$H1362,SalaryPayrollTaxes[company_name],$B1362,SalaryPayrollTaxes[bu_name],$C1362)*(AG417+AG522+AG627)+SUMIFS(ExpensePayrollTaxes[Month 22],ExpensePayrollTaxes[exp_item],$H732,ExpensePayrollTaxes[company_name],$B1362)*AG732)</f>
        <v>0</v>
      </c>
      <c r="AH1362" s="652">
        <f>IF($B1362="",,SUMIFS(SalaryPayrollTaxes[Month 23],SalaryPayrollTaxes[exp_item],$H1362,SalaryPayrollTaxes[company_name],$B1362,SalaryPayrollTaxes[bu_name],$C1362)*(AH417+AH522+AH627)+SUMIFS(ExpensePayrollTaxes[Month 23],ExpensePayrollTaxes[exp_item],$H732,ExpensePayrollTaxes[company_name],$B1362)*AH732)</f>
        <v>0</v>
      </c>
      <c r="AI1362" s="652">
        <f>IF($B1362="",,SUMIFS(SalaryPayrollTaxes[Month 24],SalaryPayrollTaxes[exp_item],$H1362,SalaryPayrollTaxes[company_name],$B1362,SalaryPayrollTaxes[bu_name],$C1362)*(AI417+AI522+AI627)+SUMIFS(ExpensePayrollTaxes[Month 24],ExpensePayrollTaxes[exp_item],$H732,ExpensePayrollTaxes[company_name],$B1362)*AI732)</f>
        <v>0</v>
      </c>
      <c r="AJ1362" s="652">
        <f>IF($B1362="",,SUMIFS(SalaryPayrollTaxes[Month 25],SalaryPayrollTaxes[exp_item],$H1362,SalaryPayrollTaxes[company_name],$B1362,SalaryPayrollTaxes[bu_name],$C1362)*(AJ417+AJ522+AJ627)+SUMIFS(ExpensePayrollTaxes[Month 25],ExpensePayrollTaxes[exp_item],$H732,ExpensePayrollTaxes[company_name],$B1362)*AJ732)</f>
        <v>0</v>
      </c>
      <c r="AK1362" s="652">
        <f>IF($B1362="",,SUMIFS(SalaryPayrollTaxes[Month 26],SalaryPayrollTaxes[exp_item],$H1362,SalaryPayrollTaxes[company_name],$B1362,SalaryPayrollTaxes[bu_name],$C1362)*(AK417+AK522+AK627)+SUMIFS(ExpensePayrollTaxes[Month 26],ExpensePayrollTaxes[exp_item],$H732,ExpensePayrollTaxes[company_name],$B1362)*AK732)</f>
        <v>0</v>
      </c>
      <c r="AL1362" s="652">
        <f>IF($B1362="",,SUMIFS(SalaryPayrollTaxes[Month 27],SalaryPayrollTaxes[exp_item],$H1362,SalaryPayrollTaxes[company_name],$B1362,SalaryPayrollTaxes[bu_name],$C1362)*(AL417+AL522+AL627)+SUMIFS(ExpensePayrollTaxes[Month 27],ExpensePayrollTaxes[exp_item],$H732,ExpensePayrollTaxes[company_name],$B1362)*AL732)</f>
        <v>0</v>
      </c>
      <c r="AM1362" s="652">
        <f>IF($B1362="",,SUMIFS(SalaryPayrollTaxes[Month 28],SalaryPayrollTaxes[exp_item],$H1362,SalaryPayrollTaxes[company_name],$B1362,SalaryPayrollTaxes[bu_name],$C1362)*(AM417+AM522+AM627)+SUMIFS(ExpensePayrollTaxes[Month 28],ExpensePayrollTaxes[exp_item],$H732,ExpensePayrollTaxes[company_name],$B1362)*AM732)</f>
        <v>0</v>
      </c>
      <c r="AN1362" s="652">
        <f>IF($B1362="",,SUMIFS(SalaryPayrollTaxes[Month 29],SalaryPayrollTaxes[exp_item],$H1362,SalaryPayrollTaxes[company_name],$B1362,SalaryPayrollTaxes[bu_name],$C1362)*(AN417+AN522+AN627)+SUMIFS(ExpensePayrollTaxes[Month 29],ExpensePayrollTaxes[exp_item],$H732,ExpensePayrollTaxes[company_name],$B1362)*AN732)</f>
        <v>0</v>
      </c>
      <c r="AO1362" s="652">
        <f>IF($B1362="",,SUMIFS(SalaryPayrollTaxes[Month 30],SalaryPayrollTaxes[exp_item],$H1362,SalaryPayrollTaxes[company_name],$B1362,SalaryPayrollTaxes[bu_name],$C1362)*(AO417+AO522+AO627)+SUMIFS(ExpensePayrollTaxes[Month 30],ExpensePayrollTaxes[exp_item],$H732,ExpensePayrollTaxes[company_name],$B1362)*AO732)</f>
        <v>0</v>
      </c>
      <c r="AP1362" s="652">
        <f>IF($B1362="",,SUMIFS(SalaryPayrollTaxes[Month 31],SalaryPayrollTaxes[exp_item],$H1362,SalaryPayrollTaxes[company_name],$B1362,SalaryPayrollTaxes[bu_name],$C1362)*(AP417+AP522+AP627)+SUMIFS(ExpensePayrollTaxes[Month 31],ExpensePayrollTaxes[exp_item],$H732,ExpensePayrollTaxes[company_name],$B1362)*AP732)</f>
        <v>0</v>
      </c>
      <c r="AQ1362" s="652">
        <f>IF($B1362="",,SUMIFS(SalaryPayrollTaxes[Month 32],SalaryPayrollTaxes[exp_item],$H1362,SalaryPayrollTaxes[company_name],$B1362,SalaryPayrollTaxes[bu_name],$C1362)*(AQ417+AQ522+AQ627)+SUMIFS(ExpensePayrollTaxes[Month 32],ExpensePayrollTaxes[exp_item],$H732,ExpensePayrollTaxes[company_name],$B1362)*AQ732)</f>
        <v>0</v>
      </c>
      <c r="AR1362" s="652">
        <f>IF($B1362="",,SUMIFS(SalaryPayrollTaxes[Month 33],SalaryPayrollTaxes[exp_item],$H1362,SalaryPayrollTaxes[company_name],$B1362,SalaryPayrollTaxes[bu_name],$C1362)*(AR417+AR522+AR627)+SUMIFS(ExpensePayrollTaxes[Month 33],ExpensePayrollTaxes[exp_item],$H732,ExpensePayrollTaxes[company_name],$B1362)*AR732)</f>
        <v>0</v>
      </c>
      <c r="AS1362" s="652">
        <f>IF($B1362="",,SUMIFS(SalaryPayrollTaxes[Month 34],SalaryPayrollTaxes[exp_item],$H1362,SalaryPayrollTaxes[company_name],$B1362,SalaryPayrollTaxes[bu_name],$C1362)*(AS417+AS522+AS627)+SUMIFS(ExpensePayrollTaxes[Month 34],ExpensePayrollTaxes[exp_item],$H732,ExpensePayrollTaxes[company_name],$B1362)*AS732)</f>
        <v>0</v>
      </c>
      <c r="AT1362" s="652">
        <f>IF($B1362="",,SUMIFS(SalaryPayrollTaxes[Month 35],SalaryPayrollTaxes[exp_item],$H1362,SalaryPayrollTaxes[company_name],$B1362,SalaryPayrollTaxes[bu_name],$C1362)*(AT417+AT522+AT627)+SUMIFS(ExpensePayrollTaxes[Month 35],ExpensePayrollTaxes[exp_item],$H732,ExpensePayrollTaxes[company_name],$B1362)*AT732)</f>
        <v>0</v>
      </c>
      <c r="AU1362" s="652">
        <f>IF($B1362="",,SUMIFS(SalaryPayrollTaxes[Month 36],SalaryPayrollTaxes[exp_item],$H1362,SalaryPayrollTaxes[company_name],$B1362,SalaryPayrollTaxes[bu_name],$C1362)*(AU417+AU522+AU627)+SUMIFS(ExpensePayrollTaxes[Month 36],ExpensePayrollTaxes[exp_item],$H732,ExpensePayrollTaxes[company_name],$B1362)*AU732)</f>
        <v>0</v>
      </c>
    </row>
    <row r="1363" spans="2:47" x14ac:dyDescent="0.35">
      <c r="B1363" t="str">
        <f t="shared" si="992"/>
        <v/>
      </c>
      <c r="C1363" t="str">
        <f t="shared" si="992"/>
        <v/>
      </c>
      <c r="D1363" t="str">
        <f t="shared" si="992"/>
        <v/>
      </c>
      <c r="E1363" t="str">
        <f t="shared" si="992"/>
        <v/>
      </c>
      <c r="F1363" t="str">
        <f t="shared" si="992"/>
        <v/>
      </c>
      <c r="G1363" t="str">
        <f t="shared" si="992"/>
        <v/>
      </c>
      <c r="H1363" t="str">
        <f t="shared" si="989"/>
        <v/>
      </c>
      <c r="J1363" t="str">
        <f>IF($H1363="","",IF(VLOOKUP(H1363,ExpItems[],2,0),H1363&amp;" - "&amp;INDEX(DivisionMapping[category_code],MATCH($D1363&amp;$C1363,DivisionMapping[dept_bu],0)),H1363))</f>
        <v/>
      </c>
      <c r="K1363" t="str">
        <f t="shared" si="990"/>
        <v/>
      </c>
      <c r="L1363" s="652">
        <f>IF($B1363="",,SUMIFS(SalaryPayrollTaxes[Month 1],SalaryPayrollTaxes[exp_item],$H1363,SalaryPayrollTaxes[company_name],$B1363,SalaryPayrollTaxes[bu_name],$C1363)*(L418+L523+L628)+SUMIFS(ExpensePayrollTaxes[Month 1],ExpensePayrollTaxes[exp_item],$H733,ExpensePayrollTaxes[company_name],$B1363)*L733)</f>
        <v>0</v>
      </c>
      <c r="M1363" s="652">
        <f>IF($B1363="",,SUMIFS(SalaryPayrollTaxes[Month 2],SalaryPayrollTaxes[exp_item],$H1363,SalaryPayrollTaxes[company_name],$B1363,SalaryPayrollTaxes[bu_name],$C1363)*(M418+M523+M628)+SUMIFS(ExpensePayrollTaxes[Month 2],ExpensePayrollTaxes[exp_item],$H733,ExpensePayrollTaxes[company_name],$B1363)*M733)</f>
        <v>0</v>
      </c>
      <c r="N1363" s="652">
        <f>IF($B1363="",,SUMIFS(SalaryPayrollTaxes[Month 3],SalaryPayrollTaxes[exp_item],$H1363,SalaryPayrollTaxes[company_name],$B1363,SalaryPayrollTaxes[bu_name],$C1363)*(N418+N523+N628)+SUMIFS(ExpensePayrollTaxes[Month 3],ExpensePayrollTaxes[exp_item],$H733,ExpensePayrollTaxes[company_name],$B1363)*N733)</f>
        <v>0</v>
      </c>
      <c r="O1363" s="652">
        <f>IF($B1363="",,SUMIFS(SalaryPayrollTaxes[Month 4],SalaryPayrollTaxes[exp_item],$H1363,SalaryPayrollTaxes[company_name],$B1363,SalaryPayrollTaxes[bu_name],$C1363)*(O418+O523+O628)+SUMIFS(ExpensePayrollTaxes[Month 4],ExpensePayrollTaxes[exp_item],$H733,ExpensePayrollTaxes[company_name],$B1363)*O733)</f>
        <v>0</v>
      </c>
      <c r="P1363" s="652">
        <f>IF($B1363="",,SUMIFS(SalaryPayrollTaxes[Month 5],SalaryPayrollTaxes[exp_item],$H1363,SalaryPayrollTaxes[company_name],$B1363,SalaryPayrollTaxes[bu_name],$C1363)*(P418+P523+P628)+SUMIFS(ExpensePayrollTaxes[Month 5],ExpensePayrollTaxes[exp_item],$H733,ExpensePayrollTaxes[company_name],$B1363)*P733)</f>
        <v>0</v>
      </c>
      <c r="Q1363" s="652">
        <f>IF($B1363="",,SUMIFS(SalaryPayrollTaxes[Month 6],SalaryPayrollTaxes[exp_item],$H1363,SalaryPayrollTaxes[company_name],$B1363,SalaryPayrollTaxes[bu_name],$C1363)*(Q418+Q523+Q628)+SUMIFS(ExpensePayrollTaxes[Month 6],ExpensePayrollTaxes[exp_item],$H733,ExpensePayrollTaxes[company_name],$B1363)*Q733)</f>
        <v>0</v>
      </c>
      <c r="R1363" s="652">
        <f>IF($B1363="",,SUMIFS(SalaryPayrollTaxes[Month 7],SalaryPayrollTaxes[exp_item],$H1363,SalaryPayrollTaxes[company_name],$B1363,SalaryPayrollTaxes[bu_name],$C1363)*(R418+R523+R628)+SUMIFS(ExpensePayrollTaxes[Month 7],ExpensePayrollTaxes[exp_item],$H733,ExpensePayrollTaxes[company_name],$B1363)*R733)</f>
        <v>0</v>
      </c>
      <c r="S1363" s="652">
        <f>IF($B1363="",,SUMIFS(SalaryPayrollTaxes[Month 8],SalaryPayrollTaxes[exp_item],$H1363,SalaryPayrollTaxes[company_name],$B1363,SalaryPayrollTaxes[bu_name],$C1363)*(S418+S523+S628)+SUMIFS(ExpensePayrollTaxes[Month 8],ExpensePayrollTaxes[exp_item],$H733,ExpensePayrollTaxes[company_name],$B1363)*S733)</f>
        <v>0</v>
      </c>
      <c r="T1363" s="652">
        <f>IF($B1363="",,SUMIFS(SalaryPayrollTaxes[Month 9],SalaryPayrollTaxes[exp_item],$H1363,SalaryPayrollTaxes[company_name],$B1363,SalaryPayrollTaxes[bu_name],$C1363)*(T418+T523+T628)+SUMIFS(ExpensePayrollTaxes[Month 9],ExpensePayrollTaxes[exp_item],$H733,ExpensePayrollTaxes[company_name],$B1363)*T733)</f>
        <v>0</v>
      </c>
      <c r="U1363" s="652">
        <f>IF($B1363="",,SUMIFS(SalaryPayrollTaxes[Month 10],SalaryPayrollTaxes[exp_item],$H1363,SalaryPayrollTaxes[company_name],$B1363,SalaryPayrollTaxes[bu_name],$C1363)*(U418+U523+U628)+SUMIFS(ExpensePayrollTaxes[Month 10],ExpensePayrollTaxes[exp_item],$H733,ExpensePayrollTaxes[company_name],$B1363)*U733)</f>
        <v>0</v>
      </c>
      <c r="V1363" s="652">
        <f>IF($B1363="",,SUMIFS(SalaryPayrollTaxes[Month 11],SalaryPayrollTaxes[exp_item],$H1363,SalaryPayrollTaxes[company_name],$B1363,SalaryPayrollTaxes[bu_name],$C1363)*(V418+V523+V628)+SUMIFS(ExpensePayrollTaxes[Month 11],ExpensePayrollTaxes[exp_item],$H733,ExpensePayrollTaxes[company_name],$B1363)*V733)</f>
        <v>0</v>
      </c>
      <c r="W1363" s="652">
        <f>IF($B1363="",,SUMIFS(SalaryPayrollTaxes[Month 12],SalaryPayrollTaxes[exp_item],$H1363,SalaryPayrollTaxes[company_name],$B1363,SalaryPayrollTaxes[bu_name],$C1363)*(W418+W523+W628)+SUMIFS(ExpensePayrollTaxes[Month 12],ExpensePayrollTaxes[exp_item],$H733,ExpensePayrollTaxes[company_name],$B1363)*W733)</f>
        <v>0</v>
      </c>
      <c r="X1363" s="652">
        <f>IF($B1363="",,SUMIFS(SalaryPayrollTaxes[Month 13],SalaryPayrollTaxes[exp_item],$H1363,SalaryPayrollTaxes[company_name],$B1363,SalaryPayrollTaxes[bu_name],$C1363)*(X418+X523+X628)+SUMIFS(ExpensePayrollTaxes[Month 13],ExpensePayrollTaxes[exp_item],$H733,ExpensePayrollTaxes[company_name],$B1363)*X733)</f>
        <v>0</v>
      </c>
      <c r="Y1363" s="652">
        <f>IF($B1363="",,SUMIFS(SalaryPayrollTaxes[Month 14],SalaryPayrollTaxes[exp_item],$H1363,SalaryPayrollTaxes[company_name],$B1363,SalaryPayrollTaxes[bu_name],$C1363)*(Y418+Y523+Y628)+SUMIFS(ExpensePayrollTaxes[Month 14],ExpensePayrollTaxes[exp_item],$H733,ExpensePayrollTaxes[company_name],$B1363)*Y733)</f>
        <v>0</v>
      </c>
      <c r="Z1363" s="652">
        <f>IF($B1363="",,SUMIFS(SalaryPayrollTaxes[Month 15],SalaryPayrollTaxes[exp_item],$H1363,SalaryPayrollTaxes[company_name],$B1363,SalaryPayrollTaxes[bu_name],$C1363)*(Z418+Z523+Z628)+SUMIFS(ExpensePayrollTaxes[Month 15],ExpensePayrollTaxes[exp_item],$H733,ExpensePayrollTaxes[company_name],$B1363)*Z733)</f>
        <v>0</v>
      </c>
      <c r="AA1363" s="652">
        <f>IF($B1363="",,SUMIFS(SalaryPayrollTaxes[Month 16],SalaryPayrollTaxes[exp_item],$H1363,SalaryPayrollTaxes[company_name],$B1363,SalaryPayrollTaxes[bu_name],$C1363)*(AA418+AA523+AA628)+SUMIFS(ExpensePayrollTaxes[Month 16],ExpensePayrollTaxes[exp_item],$H733,ExpensePayrollTaxes[company_name],$B1363)*AA733)</f>
        <v>0</v>
      </c>
      <c r="AB1363" s="652">
        <f>IF($B1363="",,SUMIFS(SalaryPayrollTaxes[Month 17],SalaryPayrollTaxes[exp_item],$H1363,SalaryPayrollTaxes[company_name],$B1363,SalaryPayrollTaxes[bu_name],$C1363)*(AB418+AB523+AB628)+SUMIFS(ExpensePayrollTaxes[Month 17],ExpensePayrollTaxes[exp_item],$H733,ExpensePayrollTaxes[company_name],$B1363)*AB733)</f>
        <v>0</v>
      </c>
      <c r="AC1363" s="652">
        <f>IF($B1363="",,SUMIFS(SalaryPayrollTaxes[Month 18],SalaryPayrollTaxes[exp_item],$H1363,SalaryPayrollTaxes[company_name],$B1363,SalaryPayrollTaxes[bu_name],$C1363)*(AC418+AC523+AC628)+SUMIFS(ExpensePayrollTaxes[Month 18],ExpensePayrollTaxes[exp_item],$H733,ExpensePayrollTaxes[company_name],$B1363)*AC733)</f>
        <v>0</v>
      </c>
      <c r="AD1363" s="652">
        <f>IF($B1363="",,SUMIFS(SalaryPayrollTaxes[Month 19],SalaryPayrollTaxes[exp_item],$H1363,SalaryPayrollTaxes[company_name],$B1363,SalaryPayrollTaxes[bu_name],$C1363)*(AD418+AD523+AD628)+SUMIFS(ExpensePayrollTaxes[Month 19],ExpensePayrollTaxes[exp_item],$H733,ExpensePayrollTaxes[company_name],$B1363)*AD733)</f>
        <v>0</v>
      </c>
      <c r="AE1363" s="652">
        <f>IF($B1363="",,SUMIFS(SalaryPayrollTaxes[Month 20],SalaryPayrollTaxes[exp_item],$H1363,SalaryPayrollTaxes[company_name],$B1363,SalaryPayrollTaxes[bu_name],$C1363)*(AE418+AE523+AE628)+SUMIFS(ExpensePayrollTaxes[Month 20],ExpensePayrollTaxes[exp_item],$H733,ExpensePayrollTaxes[company_name],$B1363)*AE733)</f>
        <v>0</v>
      </c>
      <c r="AF1363" s="652">
        <f>IF($B1363="",,SUMIFS(SalaryPayrollTaxes[Month 21],SalaryPayrollTaxes[exp_item],$H1363,SalaryPayrollTaxes[company_name],$B1363,SalaryPayrollTaxes[bu_name],$C1363)*(AF418+AF523+AF628)+SUMIFS(ExpensePayrollTaxes[Month 21],ExpensePayrollTaxes[exp_item],$H733,ExpensePayrollTaxes[company_name],$B1363)*AF733)</f>
        <v>0</v>
      </c>
      <c r="AG1363" s="652">
        <f>IF($B1363="",,SUMIFS(SalaryPayrollTaxes[Month 22],SalaryPayrollTaxes[exp_item],$H1363,SalaryPayrollTaxes[company_name],$B1363,SalaryPayrollTaxes[bu_name],$C1363)*(AG418+AG523+AG628)+SUMIFS(ExpensePayrollTaxes[Month 22],ExpensePayrollTaxes[exp_item],$H733,ExpensePayrollTaxes[company_name],$B1363)*AG733)</f>
        <v>0</v>
      </c>
      <c r="AH1363" s="652">
        <f>IF($B1363="",,SUMIFS(SalaryPayrollTaxes[Month 23],SalaryPayrollTaxes[exp_item],$H1363,SalaryPayrollTaxes[company_name],$B1363,SalaryPayrollTaxes[bu_name],$C1363)*(AH418+AH523+AH628)+SUMIFS(ExpensePayrollTaxes[Month 23],ExpensePayrollTaxes[exp_item],$H733,ExpensePayrollTaxes[company_name],$B1363)*AH733)</f>
        <v>0</v>
      </c>
      <c r="AI1363" s="652">
        <f>IF($B1363="",,SUMIFS(SalaryPayrollTaxes[Month 24],SalaryPayrollTaxes[exp_item],$H1363,SalaryPayrollTaxes[company_name],$B1363,SalaryPayrollTaxes[bu_name],$C1363)*(AI418+AI523+AI628)+SUMIFS(ExpensePayrollTaxes[Month 24],ExpensePayrollTaxes[exp_item],$H733,ExpensePayrollTaxes[company_name],$B1363)*AI733)</f>
        <v>0</v>
      </c>
      <c r="AJ1363" s="652">
        <f>IF($B1363="",,SUMIFS(SalaryPayrollTaxes[Month 25],SalaryPayrollTaxes[exp_item],$H1363,SalaryPayrollTaxes[company_name],$B1363,SalaryPayrollTaxes[bu_name],$C1363)*(AJ418+AJ523+AJ628)+SUMIFS(ExpensePayrollTaxes[Month 25],ExpensePayrollTaxes[exp_item],$H733,ExpensePayrollTaxes[company_name],$B1363)*AJ733)</f>
        <v>0</v>
      </c>
      <c r="AK1363" s="652">
        <f>IF($B1363="",,SUMIFS(SalaryPayrollTaxes[Month 26],SalaryPayrollTaxes[exp_item],$H1363,SalaryPayrollTaxes[company_name],$B1363,SalaryPayrollTaxes[bu_name],$C1363)*(AK418+AK523+AK628)+SUMIFS(ExpensePayrollTaxes[Month 26],ExpensePayrollTaxes[exp_item],$H733,ExpensePayrollTaxes[company_name],$B1363)*AK733)</f>
        <v>0</v>
      </c>
      <c r="AL1363" s="652">
        <f>IF($B1363="",,SUMIFS(SalaryPayrollTaxes[Month 27],SalaryPayrollTaxes[exp_item],$H1363,SalaryPayrollTaxes[company_name],$B1363,SalaryPayrollTaxes[bu_name],$C1363)*(AL418+AL523+AL628)+SUMIFS(ExpensePayrollTaxes[Month 27],ExpensePayrollTaxes[exp_item],$H733,ExpensePayrollTaxes[company_name],$B1363)*AL733)</f>
        <v>0</v>
      </c>
      <c r="AM1363" s="652">
        <f>IF($B1363="",,SUMIFS(SalaryPayrollTaxes[Month 28],SalaryPayrollTaxes[exp_item],$H1363,SalaryPayrollTaxes[company_name],$B1363,SalaryPayrollTaxes[bu_name],$C1363)*(AM418+AM523+AM628)+SUMIFS(ExpensePayrollTaxes[Month 28],ExpensePayrollTaxes[exp_item],$H733,ExpensePayrollTaxes[company_name],$B1363)*AM733)</f>
        <v>0</v>
      </c>
      <c r="AN1363" s="652">
        <f>IF($B1363="",,SUMIFS(SalaryPayrollTaxes[Month 29],SalaryPayrollTaxes[exp_item],$H1363,SalaryPayrollTaxes[company_name],$B1363,SalaryPayrollTaxes[bu_name],$C1363)*(AN418+AN523+AN628)+SUMIFS(ExpensePayrollTaxes[Month 29],ExpensePayrollTaxes[exp_item],$H733,ExpensePayrollTaxes[company_name],$B1363)*AN733)</f>
        <v>0</v>
      </c>
      <c r="AO1363" s="652">
        <f>IF($B1363="",,SUMIFS(SalaryPayrollTaxes[Month 30],SalaryPayrollTaxes[exp_item],$H1363,SalaryPayrollTaxes[company_name],$B1363,SalaryPayrollTaxes[bu_name],$C1363)*(AO418+AO523+AO628)+SUMIFS(ExpensePayrollTaxes[Month 30],ExpensePayrollTaxes[exp_item],$H733,ExpensePayrollTaxes[company_name],$B1363)*AO733)</f>
        <v>0</v>
      </c>
      <c r="AP1363" s="652">
        <f>IF($B1363="",,SUMIFS(SalaryPayrollTaxes[Month 31],SalaryPayrollTaxes[exp_item],$H1363,SalaryPayrollTaxes[company_name],$B1363,SalaryPayrollTaxes[bu_name],$C1363)*(AP418+AP523+AP628)+SUMIFS(ExpensePayrollTaxes[Month 31],ExpensePayrollTaxes[exp_item],$H733,ExpensePayrollTaxes[company_name],$B1363)*AP733)</f>
        <v>0</v>
      </c>
      <c r="AQ1363" s="652">
        <f>IF($B1363="",,SUMIFS(SalaryPayrollTaxes[Month 32],SalaryPayrollTaxes[exp_item],$H1363,SalaryPayrollTaxes[company_name],$B1363,SalaryPayrollTaxes[bu_name],$C1363)*(AQ418+AQ523+AQ628)+SUMIFS(ExpensePayrollTaxes[Month 32],ExpensePayrollTaxes[exp_item],$H733,ExpensePayrollTaxes[company_name],$B1363)*AQ733)</f>
        <v>0</v>
      </c>
      <c r="AR1363" s="652">
        <f>IF($B1363="",,SUMIFS(SalaryPayrollTaxes[Month 33],SalaryPayrollTaxes[exp_item],$H1363,SalaryPayrollTaxes[company_name],$B1363,SalaryPayrollTaxes[bu_name],$C1363)*(AR418+AR523+AR628)+SUMIFS(ExpensePayrollTaxes[Month 33],ExpensePayrollTaxes[exp_item],$H733,ExpensePayrollTaxes[company_name],$B1363)*AR733)</f>
        <v>0</v>
      </c>
      <c r="AS1363" s="652">
        <f>IF($B1363="",,SUMIFS(SalaryPayrollTaxes[Month 34],SalaryPayrollTaxes[exp_item],$H1363,SalaryPayrollTaxes[company_name],$B1363,SalaryPayrollTaxes[bu_name],$C1363)*(AS418+AS523+AS628)+SUMIFS(ExpensePayrollTaxes[Month 34],ExpensePayrollTaxes[exp_item],$H733,ExpensePayrollTaxes[company_name],$B1363)*AS733)</f>
        <v>0</v>
      </c>
      <c r="AT1363" s="652">
        <f>IF($B1363="",,SUMIFS(SalaryPayrollTaxes[Month 35],SalaryPayrollTaxes[exp_item],$H1363,SalaryPayrollTaxes[company_name],$B1363,SalaryPayrollTaxes[bu_name],$C1363)*(AT418+AT523+AT628)+SUMIFS(ExpensePayrollTaxes[Month 35],ExpensePayrollTaxes[exp_item],$H733,ExpensePayrollTaxes[company_name],$B1363)*AT733)</f>
        <v>0</v>
      </c>
      <c r="AU1363" s="652">
        <f>IF($B1363="",,SUMIFS(SalaryPayrollTaxes[Month 36],SalaryPayrollTaxes[exp_item],$H1363,SalaryPayrollTaxes[company_name],$B1363,SalaryPayrollTaxes[bu_name],$C1363)*(AU418+AU523+AU628)+SUMIFS(ExpensePayrollTaxes[Month 36],ExpensePayrollTaxes[exp_item],$H733,ExpensePayrollTaxes[company_name],$B1363)*AU733)</f>
        <v>0</v>
      </c>
    </row>
    <row r="1364" spans="2:47" x14ac:dyDescent="0.35">
      <c r="B1364" t="str">
        <f t="shared" si="992"/>
        <v/>
      </c>
      <c r="C1364" t="str">
        <f t="shared" si="992"/>
        <v/>
      </c>
      <c r="D1364" t="str">
        <f t="shared" si="992"/>
        <v/>
      </c>
      <c r="E1364" t="str">
        <f t="shared" si="992"/>
        <v/>
      </c>
      <c r="F1364" t="str">
        <f t="shared" si="992"/>
        <v/>
      </c>
      <c r="G1364" t="str">
        <f t="shared" si="992"/>
        <v/>
      </c>
      <c r="H1364" t="str">
        <f t="shared" si="989"/>
        <v/>
      </c>
      <c r="J1364" t="str">
        <f>IF($H1364="","",IF(VLOOKUP(H1364,ExpItems[],2,0),H1364&amp;" - "&amp;INDEX(DivisionMapping[category_code],MATCH($D1364&amp;$C1364,DivisionMapping[dept_bu],0)),H1364))</f>
        <v/>
      </c>
      <c r="K1364" t="str">
        <f t="shared" si="990"/>
        <v/>
      </c>
      <c r="L1364" s="652">
        <f>IF($B1364="",,SUMIFS(SalaryPayrollTaxes[Month 1],SalaryPayrollTaxes[exp_item],$H1364,SalaryPayrollTaxes[company_name],$B1364,SalaryPayrollTaxes[bu_name],$C1364)*(L419+L524+L629)+SUMIFS(ExpensePayrollTaxes[Month 1],ExpensePayrollTaxes[exp_item],$H734,ExpensePayrollTaxes[company_name],$B1364)*L734)</f>
        <v>0</v>
      </c>
      <c r="M1364" s="652">
        <f>IF($B1364="",,SUMIFS(SalaryPayrollTaxes[Month 2],SalaryPayrollTaxes[exp_item],$H1364,SalaryPayrollTaxes[company_name],$B1364,SalaryPayrollTaxes[bu_name],$C1364)*(M419+M524+M629)+SUMIFS(ExpensePayrollTaxes[Month 2],ExpensePayrollTaxes[exp_item],$H734,ExpensePayrollTaxes[company_name],$B1364)*M734)</f>
        <v>0</v>
      </c>
      <c r="N1364" s="652">
        <f>IF($B1364="",,SUMIFS(SalaryPayrollTaxes[Month 3],SalaryPayrollTaxes[exp_item],$H1364,SalaryPayrollTaxes[company_name],$B1364,SalaryPayrollTaxes[bu_name],$C1364)*(N419+N524+N629)+SUMIFS(ExpensePayrollTaxes[Month 3],ExpensePayrollTaxes[exp_item],$H734,ExpensePayrollTaxes[company_name],$B1364)*N734)</f>
        <v>0</v>
      </c>
      <c r="O1364" s="652">
        <f>IF($B1364="",,SUMIFS(SalaryPayrollTaxes[Month 4],SalaryPayrollTaxes[exp_item],$H1364,SalaryPayrollTaxes[company_name],$B1364,SalaryPayrollTaxes[bu_name],$C1364)*(O419+O524+O629)+SUMIFS(ExpensePayrollTaxes[Month 4],ExpensePayrollTaxes[exp_item],$H734,ExpensePayrollTaxes[company_name],$B1364)*O734)</f>
        <v>0</v>
      </c>
      <c r="P1364" s="652">
        <f>IF($B1364="",,SUMIFS(SalaryPayrollTaxes[Month 5],SalaryPayrollTaxes[exp_item],$H1364,SalaryPayrollTaxes[company_name],$B1364,SalaryPayrollTaxes[bu_name],$C1364)*(P419+P524+P629)+SUMIFS(ExpensePayrollTaxes[Month 5],ExpensePayrollTaxes[exp_item],$H734,ExpensePayrollTaxes[company_name],$B1364)*P734)</f>
        <v>0</v>
      </c>
      <c r="Q1364" s="652">
        <f>IF($B1364="",,SUMIFS(SalaryPayrollTaxes[Month 6],SalaryPayrollTaxes[exp_item],$H1364,SalaryPayrollTaxes[company_name],$B1364,SalaryPayrollTaxes[bu_name],$C1364)*(Q419+Q524+Q629)+SUMIFS(ExpensePayrollTaxes[Month 6],ExpensePayrollTaxes[exp_item],$H734,ExpensePayrollTaxes[company_name],$B1364)*Q734)</f>
        <v>0</v>
      </c>
      <c r="R1364" s="652">
        <f>IF($B1364="",,SUMIFS(SalaryPayrollTaxes[Month 7],SalaryPayrollTaxes[exp_item],$H1364,SalaryPayrollTaxes[company_name],$B1364,SalaryPayrollTaxes[bu_name],$C1364)*(R419+R524+R629)+SUMIFS(ExpensePayrollTaxes[Month 7],ExpensePayrollTaxes[exp_item],$H734,ExpensePayrollTaxes[company_name],$B1364)*R734)</f>
        <v>0</v>
      </c>
      <c r="S1364" s="652">
        <f>IF($B1364="",,SUMIFS(SalaryPayrollTaxes[Month 8],SalaryPayrollTaxes[exp_item],$H1364,SalaryPayrollTaxes[company_name],$B1364,SalaryPayrollTaxes[bu_name],$C1364)*(S419+S524+S629)+SUMIFS(ExpensePayrollTaxes[Month 8],ExpensePayrollTaxes[exp_item],$H734,ExpensePayrollTaxes[company_name],$B1364)*S734)</f>
        <v>0</v>
      </c>
      <c r="T1364" s="652">
        <f>IF($B1364="",,SUMIFS(SalaryPayrollTaxes[Month 9],SalaryPayrollTaxes[exp_item],$H1364,SalaryPayrollTaxes[company_name],$B1364,SalaryPayrollTaxes[bu_name],$C1364)*(T419+T524+T629)+SUMIFS(ExpensePayrollTaxes[Month 9],ExpensePayrollTaxes[exp_item],$H734,ExpensePayrollTaxes[company_name],$B1364)*T734)</f>
        <v>0</v>
      </c>
      <c r="U1364" s="652">
        <f>IF($B1364="",,SUMIFS(SalaryPayrollTaxes[Month 10],SalaryPayrollTaxes[exp_item],$H1364,SalaryPayrollTaxes[company_name],$B1364,SalaryPayrollTaxes[bu_name],$C1364)*(U419+U524+U629)+SUMIFS(ExpensePayrollTaxes[Month 10],ExpensePayrollTaxes[exp_item],$H734,ExpensePayrollTaxes[company_name],$B1364)*U734)</f>
        <v>0</v>
      </c>
      <c r="V1364" s="652">
        <f>IF($B1364="",,SUMIFS(SalaryPayrollTaxes[Month 11],SalaryPayrollTaxes[exp_item],$H1364,SalaryPayrollTaxes[company_name],$B1364,SalaryPayrollTaxes[bu_name],$C1364)*(V419+V524+V629)+SUMIFS(ExpensePayrollTaxes[Month 11],ExpensePayrollTaxes[exp_item],$H734,ExpensePayrollTaxes[company_name],$B1364)*V734)</f>
        <v>0</v>
      </c>
      <c r="W1364" s="652">
        <f>IF($B1364="",,SUMIFS(SalaryPayrollTaxes[Month 12],SalaryPayrollTaxes[exp_item],$H1364,SalaryPayrollTaxes[company_name],$B1364,SalaryPayrollTaxes[bu_name],$C1364)*(W419+W524+W629)+SUMIFS(ExpensePayrollTaxes[Month 12],ExpensePayrollTaxes[exp_item],$H734,ExpensePayrollTaxes[company_name],$B1364)*W734)</f>
        <v>0</v>
      </c>
      <c r="X1364" s="652">
        <f>IF($B1364="",,SUMIFS(SalaryPayrollTaxes[Month 13],SalaryPayrollTaxes[exp_item],$H1364,SalaryPayrollTaxes[company_name],$B1364,SalaryPayrollTaxes[bu_name],$C1364)*(X419+X524+X629)+SUMIFS(ExpensePayrollTaxes[Month 13],ExpensePayrollTaxes[exp_item],$H734,ExpensePayrollTaxes[company_name],$B1364)*X734)</f>
        <v>0</v>
      </c>
      <c r="Y1364" s="652">
        <f>IF($B1364="",,SUMIFS(SalaryPayrollTaxes[Month 14],SalaryPayrollTaxes[exp_item],$H1364,SalaryPayrollTaxes[company_name],$B1364,SalaryPayrollTaxes[bu_name],$C1364)*(Y419+Y524+Y629)+SUMIFS(ExpensePayrollTaxes[Month 14],ExpensePayrollTaxes[exp_item],$H734,ExpensePayrollTaxes[company_name],$B1364)*Y734)</f>
        <v>0</v>
      </c>
      <c r="Z1364" s="652">
        <f>IF($B1364="",,SUMIFS(SalaryPayrollTaxes[Month 15],SalaryPayrollTaxes[exp_item],$H1364,SalaryPayrollTaxes[company_name],$B1364,SalaryPayrollTaxes[bu_name],$C1364)*(Z419+Z524+Z629)+SUMIFS(ExpensePayrollTaxes[Month 15],ExpensePayrollTaxes[exp_item],$H734,ExpensePayrollTaxes[company_name],$B1364)*Z734)</f>
        <v>0</v>
      </c>
      <c r="AA1364" s="652">
        <f>IF($B1364="",,SUMIFS(SalaryPayrollTaxes[Month 16],SalaryPayrollTaxes[exp_item],$H1364,SalaryPayrollTaxes[company_name],$B1364,SalaryPayrollTaxes[bu_name],$C1364)*(AA419+AA524+AA629)+SUMIFS(ExpensePayrollTaxes[Month 16],ExpensePayrollTaxes[exp_item],$H734,ExpensePayrollTaxes[company_name],$B1364)*AA734)</f>
        <v>0</v>
      </c>
      <c r="AB1364" s="652">
        <f>IF($B1364="",,SUMIFS(SalaryPayrollTaxes[Month 17],SalaryPayrollTaxes[exp_item],$H1364,SalaryPayrollTaxes[company_name],$B1364,SalaryPayrollTaxes[bu_name],$C1364)*(AB419+AB524+AB629)+SUMIFS(ExpensePayrollTaxes[Month 17],ExpensePayrollTaxes[exp_item],$H734,ExpensePayrollTaxes[company_name],$B1364)*AB734)</f>
        <v>0</v>
      </c>
      <c r="AC1364" s="652">
        <f>IF($B1364="",,SUMIFS(SalaryPayrollTaxes[Month 18],SalaryPayrollTaxes[exp_item],$H1364,SalaryPayrollTaxes[company_name],$B1364,SalaryPayrollTaxes[bu_name],$C1364)*(AC419+AC524+AC629)+SUMIFS(ExpensePayrollTaxes[Month 18],ExpensePayrollTaxes[exp_item],$H734,ExpensePayrollTaxes[company_name],$B1364)*AC734)</f>
        <v>0</v>
      </c>
      <c r="AD1364" s="652">
        <f>IF($B1364="",,SUMIFS(SalaryPayrollTaxes[Month 19],SalaryPayrollTaxes[exp_item],$H1364,SalaryPayrollTaxes[company_name],$B1364,SalaryPayrollTaxes[bu_name],$C1364)*(AD419+AD524+AD629)+SUMIFS(ExpensePayrollTaxes[Month 19],ExpensePayrollTaxes[exp_item],$H734,ExpensePayrollTaxes[company_name],$B1364)*AD734)</f>
        <v>0</v>
      </c>
      <c r="AE1364" s="652">
        <f>IF($B1364="",,SUMIFS(SalaryPayrollTaxes[Month 20],SalaryPayrollTaxes[exp_item],$H1364,SalaryPayrollTaxes[company_name],$B1364,SalaryPayrollTaxes[bu_name],$C1364)*(AE419+AE524+AE629)+SUMIFS(ExpensePayrollTaxes[Month 20],ExpensePayrollTaxes[exp_item],$H734,ExpensePayrollTaxes[company_name],$B1364)*AE734)</f>
        <v>0</v>
      </c>
      <c r="AF1364" s="652">
        <f>IF($B1364="",,SUMIFS(SalaryPayrollTaxes[Month 21],SalaryPayrollTaxes[exp_item],$H1364,SalaryPayrollTaxes[company_name],$B1364,SalaryPayrollTaxes[bu_name],$C1364)*(AF419+AF524+AF629)+SUMIFS(ExpensePayrollTaxes[Month 21],ExpensePayrollTaxes[exp_item],$H734,ExpensePayrollTaxes[company_name],$B1364)*AF734)</f>
        <v>0</v>
      </c>
      <c r="AG1364" s="652">
        <f>IF($B1364="",,SUMIFS(SalaryPayrollTaxes[Month 22],SalaryPayrollTaxes[exp_item],$H1364,SalaryPayrollTaxes[company_name],$B1364,SalaryPayrollTaxes[bu_name],$C1364)*(AG419+AG524+AG629)+SUMIFS(ExpensePayrollTaxes[Month 22],ExpensePayrollTaxes[exp_item],$H734,ExpensePayrollTaxes[company_name],$B1364)*AG734)</f>
        <v>0</v>
      </c>
      <c r="AH1364" s="652">
        <f>IF($B1364="",,SUMIFS(SalaryPayrollTaxes[Month 23],SalaryPayrollTaxes[exp_item],$H1364,SalaryPayrollTaxes[company_name],$B1364,SalaryPayrollTaxes[bu_name],$C1364)*(AH419+AH524+AH629)+SUMIFS(ExpensePayrollTaxes[Month 23],ExpensePayrollTaxes[exp_item],$H734,ExpensePayrollTaxes[company_name],$B1364)*AH734)</f>
        <v>0</v>
      </c>
      <c r="AI1364" s="652">
        <f>IF($B1364="",,SUMIFS(SalaryPayrollTaxes[Month 24],SalaryPayrollTaxes[exp_item],$H1364,SalaryPayrollTaxes[company_name],$B1364,SalaryPayrollTaxes[bu_name],$C1364)*(AI419+AI524+AI629)+SUMIFS(ExpensePayrollTaxes[Month 24],ExpensePayrollTaxes[exp_item],$H734,ExpensePayrollTaxes[company_name],$B1364)*AI734)</f>
        <v>0</v>
      </c>
      <c r="AJ1364" s="652">
        <f>IF($B1364="",,SUMIFS(SalaryPayrollTaxes[Month 25],SalaryPayrollTaxes[exp_item],$H1364,SalaryPayrollTaxes[company_name],$B1364,SalaryPayrollTaxes[bu_name],$C1364)*(AJ419+AJ524+AJ629)+SUMIFS(ExpensePayrollTaxes[Month 25],ExpensePayrollTaxes[exp_item],$H734,ExpensePayrollTaxes[company_name],$B1364)*AJ734)</f>
        <v>0</v>
      </c>
      <c r="AK1364" s="652">
        <f>IF($B1364="",,SUMIFS(SalaryPayrollTaxes[Month 26],SalaryPayrollTaxes[exp_item],$H1364,SalaryPayrollTaxes[company_name],$B1364,SalaryPayrollTaxes[bu_name],$C1364)*(AK419+AK524+AK629)+SUMIFS(ExpensePayrollTaxes[Month 26],ExpensePayrollTaxes[exp_item],$H734,ExpensePayrollTaxes[company_name],$B1364)*AK734)</f>
        <v>0</v>
      </c>
      <c r="AL1364" s="652">
        <f>IF($B1364="",,SUMIFS(SalaryPayrollTaxes[Month 27],SalaryPayrollTaxes[exp_item],$H1364,SalaryPayrollTaxes[company_name],$B1364,SalaryPayrollTaxes[bu_name],$C1364)*(AL419+AL524+AL629)+SUMIFS(ExpensePayrollTaxes[Month 27],ExpensePayrollTaxes[exp_item],$H734,ExpensePayrollTaxes[company_name],$B1364)*AL734)</f>
        <v>0</v>
      </c>
      <c r="AM1364" s="652">
        <f>IF($B1364="",,SUMIFS(SalaryPayrollTaxes[Month 28],SalaryPayrollTaxes[exp_item],$H1364,SalaryPayrollTaxes[company_name],$B1364,SalaryPayrollTaxes[bu_name],$C1364)*(AM419+AM524+AM629)+SUMIFS(ExpensePayrollTaxes[Month 28],ExpensePayrollTaxes[exp_item],$H734,ExpensePayrollTaxes[company_name],$B1364)*AM734)</f>
        <v>0</v>
      </c>
      <c r="AN1364" s="652">
        <f>IF($B1364="",,SUMIFS(SalaryPayrollTaxes[Month 29],SalaryPayrollTaxes[exp_item],$H1364,SalaryPayrollTaxes[company_name],$B1364,SalaryPayrollTaxes[bu_name],$C1364)*(AN419+AN524+AN629)+SUMIFS(ExpensePayrollTaxes[Month 29],ExpensePayrollTaxes[exp_item],$H734,ExpensePayrollTaxes[company_name],$B1364)*AN734)</f>
        <v>0</v>
      </c>
      <c r="AO1364" s="652">
        <f>IF($B1364="",,SUMIFS(SalaryPayrollTaxes[Month 30],SalaryPayrollTaxes[exp_item],$H1364,SalaryPayrollTaxes[company_name],$B1364,SalaryPayrollTaxes[bu_name],$C1364)*(AO419+AO524+AO629)+SUMIFS(ExpensePayrollTaxes[Month 30],ExpensePayrollTaxes[exp_item],$H734,ExpensePayrollTaxes[company_name],$B1364)*AO734)</f>
        <v>0</v>
      </c>
      <c r="AP1364" s="652">
        <f>IF($B1364="",,SUMIFS(SalaryPayrollTaxes[Month 31],SalaryPayrollTaxes[exp_item],$H1364,SalaryPayrollTaxes[company_name],$B1364,SalaryPayrollTaxes[bu_name],$C1364)*(AP419+AP524+AP629)+SUMIFS(ExpensePayrollTaxes[Month 31],ExpensePayrollTaxes[exp_item],$H734,ExpensePayrollTaxes[company_name],$B1364)*AP734)</f>
        <v>0</v>
      </c>
      <c r="AQ1364" s="652">
        <f>IF($B1364="",,SUMIFS(SalaryPayrollTaxes[Month 32],SalaryPayrollTaxes[exp_item],$H1364,SalaryPayrollTaxes[company_name],$B1364,SalaryPayrollTaxes[bu_name],$C1364)*(AQ419+AQ524+AQ629)+SUMIFS(ExpensePayrollTaxes[Month 32],ExpensePayrollTaxes[exp_item],$H734,ExpensePayrollTaxes[company_name],$B1364)*AQ734)</f>
        <v>0</v>
      </c>
      <c r="AR1364" s="652">
        <f>IF($B1364="",,SUMIFS(SalaryPayrollTaxes[Month 33],SalaryPayrollTaxes[exp_item],$H1364,SalaryPayrollTaxes[company_name],$B1364,SalaryPayrollTaxes[bu_name],$C1364)*(AR419+AR524+AR629)+SUMIFS(ExpensePayrollTaxes[Month 33],ExpensePayrollTaxes[exp_item],$H734,ExpensePayrollTaxes[company_name],$B1364)*AR734)</f>
        <v>0</v>
      </c>
      <c r="AS1364" s="652">
        <f>IF($B1364="",,SUMIFS(SalaryPayrollTaxes[Month 34],SalaryPayrollTaxes[exp_item],$H1364,SalaryPayrollTaxes[company_name],$B1364,SalaryPayrollTaxes[bu_name],$C1364)*(AS419+AS524+AS629)+SUMIFS(ExpensePayrollTaxes[Month 34],ExpensePayrollTaxes[exp_item],$H734,ExpensePayrollTaxes[company_name],$B1364)*AS734)</f>
        <v>0</v>
      </c>
      <c r="AT1364" s="652">
        <f>IF($B1364="",,SUMIFS(SalaryPayrollTaxes[Month 35],SalaryPayrollTaxes[exp_item],$H1364,SalaryPayrollTaxes[company_name],$B1364,SalaryPayrollTaxes[bu_name],$C1364)*(AT419+AT524+AT629)+SUMIFS(ExpensePayrollTaxes[Month 35],ExpensePayrollTaxes[exp_item],$H734,ExpensePayrollTaxes[company_name],$B1364)*AT734)</f>
        <v>0</v>
      </c>
      <c r="AU1364" s="652">
        <f>IF($B1364="",,SUMIFS(SalaryPayrollTaxes[Month 36],SalaryPayrollTaxes[exp_item],$H1364,SalaryPayrollTaxes[company_name],$B1364,SalaryPayrollTaxes[bu_name],$C1364)*(AU419+AU524+AU629)+SUMIFS(ExpensePayrollTaxes[Month 36],ExpensePayrollTaxes[exp_item],$H734,ExpensePayrollTaxes[company_name],$B1364)*AU734)</f>
        <v>0</v>
      </c>
    </row>
    <row r="1365" spans="2:47" x14ac:dyDescent="0.35">
      <c r="B1365" t="str">
        <f t="shared" si="992"/>
        <v/>
      </c>
      <c r="C1365" t="str">
        <f t="shared" si="992"/>
        <v/>
      </c>
      <c r="D1365" t="str">
        <f t="shared" si="992"/>
        <v/>
      </c>
      <c r="E1365" t="str">
        <f t="shared" si="992"/>
        <v/>
      </c>
      <c r="F1365" t="str">
        <f t="shared" si="992"/>
        <v/>
      </c>
      <c r="G1365" t="str">
        <f t="shared" si="992"/>
        <v/>
      </c>
      <c r="H1365" t="str">
        <f t="shared" si="989"/>
        <v/>
      </c>
      <c r="J1365" t="str">
        <f>IF($H1365="","",IF(VLOOKUP(H1365,ExpItems[],2,0),H1365&amp;" - "&amp;INDEX(DivisionMapping[category_code],MATCH($D1365&amp;$C1365,DivisionMapping[dept_bu],0)),H1365))</f>
        <v/>
      </c>
      <c r="K1365" t="str">
        <f t="shared" si="990"/>
        <v/>
      </c>
      <c r="L1365" s="652">
        <f>IF($B1365="",,SUMIFS(SalaryPayrollTaxes[Month 1],SalaryPayrollTaxes[exp_item],$H1365,SalaryPayrollTaxes[company_name],$B1365,SalaryPayrollTaxes[bu_name],$C1365)*(L420+L525+L630)+SUMIFS(ExpensePayrollTaxes[Month 1],ExpensePayrollTaxes[exp_item],$H735,ExpensePayrollTaxes[company_name],$B1365)*L735)</f>
        <v>0</v>
      </c>
      <c r="M1365" s="652">
        <f>IF($B1365="",,SUMIFS(SalaryPayrollTaxes[Month 2],SalaryPayrollTaxes[exp_item],$H1365,SalaryPayrollTaxes[company_name],$B1365,SalaryPayrollTaxes[bu_name],$C1365)*(M420+M525+M630)+SUMIFS(ExpensePayrollTaxes[Month 2],ExpensePayrollTaxes[exp_item],$H735,ExpensePayrollTaxes[company_name],$B1365)*M735)</f>
        <v>0</v>
      </c>
      <c r="N1365" s="652">
        <f>IF($B1365="",,SUMIFS(SalaryPayrollTaxes[Month 3],SalaryPayrollTaxes[exp_item],$H1365,SalaryPayrollTaxes[company_name],$B1365,SalaryPayrollTaxes[bu_name],$C1365)*(N420+N525+N630)+SUMIFS(ExpensePayrollTaxes[Month 3],ExpensePayrollTaxes[exp_item],$H735,ExpensePayrollTaxes[company_name],$B1365)*N735)</f>
        <v>0</v>
      </c>
      <c r="O1365" s="652">
        <f>IF($B1365="",,SUMIFS(SalaryPayrollTaxes[Month 4],SalaryPayrollTaxes[exp_item],$H1365,SalaryPayrollTaxes[company_name],$B1365,SalaryPayrollTaxes[bu_name],$C1365)*(O420+O525+O630)+SUMIFS(ExpensePayrollTaxes[Month 4],ExpensePayrollTaxes[exp_item],$H735,ExpensePayrollTaxes[company_name],$B1365)*O735)</f>
        <v>0</v>
      </c>
      <c r="P1365" s="652">
        <f>IF($B1365="",,SUMIFS(SalaryPayrollTaxes[Month 5],SalaryPayrollTaxes[exp_item],$H1365,SalaryPayrollTaxes[company_name],$B1365,SalaryPayrollTaxes[bu_name],$C1365)*(P420+P525+P630)+SUMIFS(ExpensePayrollTaxes[Month 5],ExpensePayrollTaxes[exp_item],$H735,ExpensePayrollTaxes[company_name],$B1365)*P735)</f>
        <v>0</v>
      </c>
      <c r="Q1365" s="652">
        <f>IF($B1365="",,SUMIFS(SalaryPayrollTaxes[Month 6],SalaryPayrollTaxes[exp_item],$H1365,SalaryPayrollTaxes[company_name],$B1365,SalaryPayrollTaxes[bu_name],$C1365)*(Q420+Q525+Q630)+SUMIFS(ExpensePayrollTaxes[Month 6],ExpensePayrollTaxes[exp_item],$H735,ExpensePayrollTaxes[company_name],$B1365)*Q735)</f>
        <v>0</v>
      </c>
      <c r="R1365" s="652">
        <f>IF($B1365="",,SUMIFS(SalaryPayrollTaxes[Month 7],SalaryPayrollTaxes[exp_item],$H1365,SalaryPayrollTaxes[company_name],$B1365,SalaryPayrollTaxes[bu_name],$C1365)*(R420+R525+R630)+SUMIFS(ExpensePayrollTaxes[Month 7],ExpensePayrollTaxes[exp_item],$H735,ExpensePayrollTaxes[company_name],$B1365)*R735)</f>
        <v>0</v>
      </c>
      <c r="S1365" s="652">
        <f>IF($B1365="",,SUMIFS(SalaryPayrollTaxes[Month 8],SalaryPayrollTaxes[exp_item],$H1365,SalaryPayrollTaxes[company_name],$B1365,SalaryPayrollTaxes[bu_name],$C1365)*(S420+S525+S630)+SUMIFS(ExpensePayrollTaxes[Month 8],ExpensePayrollTaxes[exp_item],$H735,ExpensePayrollTaxes[company_name],$B1365)*S735)</f>
        <v>0</v>
      </c>
      <c r="T1365" s="652">
        <f>IF($B1365="",,SUMIFS(SalaryPayrollTaxes[Month 9],SalaryPayrollTaxes[exp_item],$H1365,SalaryPayrollTaxes[company_name],$B1365,SalaryPayrollTaxes[bu_name],$C1365)*(T420+T525+T630)+SUMIFS(ExpensePayrollTaxes[Month 9],ExpensePayrollTaxes[exp_item],$H735,ExpensePayrollTaxes[company_name],$B1365)*T735)</f>
        <v>0</v>
      </c>
      <c r="U1365" s="652">
        <f>IF($B1365="",,SUMIFS(SalaryPayrollTaxes[Month 10],SalaryPayrollTaxes[exp_item],$H1365,SalaryPayrollTaxes[company_name],$B1365,SalaryPayrollTaxes[bu_name],$C1365)*(U420+U525+U630)+SUMIFS(ExpensePayrollTaxes[Month 10],ExpensePayrollTaxes[exp_item],$H735,ExpensePayrollTaxes[company_name],$B1365)*U735)</f>
        <v>0</v>
      </c>
      <c r="V1365" s="652">
        <f>IF($B1365="",,SUMIFS(SalaryPayrollTaxes[Month 11],SalaryPayrollTaxes[exp_item],$H1365,SalaryPayrollTaxes[company_name],$B1365,SalaryPayrollTaxes[bu_name],$C1365)*(V420+V525+V630)+SUMIFS(ExpensePayrollTaxes[Month 11],ExpensePayrollTaxes[exp_item],$H735,ExpensePayrollTaxes[company_name],$B1365)*V735)</f>
        <v>0</v>
      </c>
      <c r="W1365" s="652">
        <f>IF($B1365="",,SUMIFS(SalaryPayrollTaxes[Month 12],SalaryPayrollTaxes[exp_item],$H1365,SalaryPayrollTaxes[company_name],$B1365,SalaryPayrollTaxes[bu_name],$C1365)*(W420+W525+W630)+SUMIFS(ExpensePayrollTaxes[Month 12],ExpensePayrollTaxes[exp_item],$H735,ExpensePayrollTaxes[company_name],$B1365)*W735)</f>
        <v>0</v>
      </c>
      <c r="X1365" s="652">
        <f>IF($B1365="",,SUMIFS(SalaryPayrollTaxes[Month 13],SalaryPayrollTaxes[exp_item],$H1365,SalaryPayrollTaxes[company_name],$B1365,SalaryPayrollTaxes[bu_name],$C1365)*(X420+X525+X630)+SUMIFS(ExpensePayrollTaxes[Month 13],ExpensePayrollTaxes[exp_item],$H735,ExpensePayrollTaxes[company_name],$B1365)*X735)</f>
        <v>0</v>
      </c>
      <c r="Y1365" s="652">
        <f>IF($B1365="",,SUMIFS(SalaryPayrollTaxes[Month 14],SalaryPayrollTaxes[exp_item],$H1365,SalaryPayrollTaxes[company_name],$B1365,SalaryPayrollTaxes[bu_name],$C1365)*(Y420+Y525+Y630)+SUMIFS(ExpensePayrollTaxes[Month 14],ExpensePayrollTaxes[exp_item],$H735,ExpensePayrollTaxes[company_name],$B1365)*Y735)</f>
        <v>0</v>
      </c>
      <c r="Z1365" s="652">
        <f>IF($B1365="",,SUMIFS(SalaryPayrollTaxes[Month 15],SalaryPayrollTaxes[exp_item],$H1365,SalaryPayrollTaxes[company_name],$B1365,SalaryPayrollTaxes[bu_name],$C1365)*(Z420+Z525+Z630)+SUMIFS(ExpensePayrollTaxes[Month 15],ExpensePayrollTaxes[exp_item],$H735,ExpensePayrollTaxes[company_name],$B1365)*Z735)</f>
        <v>0</v>
      </c>
      <c r="AA1365" s="652">
        <f>IF($B1365="",,SUMIFS(SalaryPayrollTaxes[Month 16],SalaryPayrollTaxes[exp_item],$H1365,SalaryPayrollTaxes[company_name],$B1365,SalaryPayrollTaxes[bu_name],$C1365)*(AA420+AA525+AA630)+SUMIFS(ExpensePayrollTaxes[Month 16],ExpensePayrollTaxes[exp_item],$H735,ExpensePayrollTaxes[company_name],$B1365)*AA735)</f>
        <v>0</v>
      </c>
      <c r="AB1365" s="652">
        <f>IF($B1365="",,SUMIFS(SalaryPayrollTaxes[Month 17],SalaryPayrollTaxes[exp_item],$H1365,SalaryPayrollTaxes[company_name],$B1365,SalaryPayrollTaxes[bu_name],$C1365)*(AB420+AB525+AB630)+SUMIFS(ExpensePayrollTaxes[Month 17],ExpensePayrollTaxes[exp_item],$H735,ExpensePayrollTaxes[company_name],$B1365)*AB735)</f>
        <v>0</v>
      </c>
      <c r="AC1365" s="652">
        <f>IF($B1365="",,SUMIFS(SalaryPayrollTaxes[Month 18],SalaryPayrollTaxes[exp_item],$H1365,SalaryPayrollTaxes[company_name],$B1365,SalaryPayrollTaxes[bu_name],$C1365)*(AC420+AC525+AC630)+SUMIFS(ExpensePayrollTaxes[Month 18],ExpensePayrollTaxes[exp_item],$H735,ExpensePayrollTaxes[company_name],$B1365)*AC735)</f>
        <v>0</v>
      </c>
      <c r="AD1365" s="652">
        <f>IF($B1365="",,SUMIFS(SalaryPayrollTaxes[Month 19],SalaryPayrollTaxes[exp_item],$H1365,SalaryPayrollTaxes[company_name],$B1365,SalaryPayrollTaxes[bu_name],$C1365)*(AD420+AD525+AD630)+SUMIFS(ExpensePayrollTaxes[Month 19],ExpensePayrollTaxes[exp_item],$H735,ExpensePayrollTaxes[company_name],$B1365)*AD735)</f>
        <v>0</v>
      </c>
      <c r="AE1365" s="652">
        <f>IF($B1365="",,SUMIFS(SalaryPayrollTaxes[Month 20],SalaryPayrollTaxes[exp_item],$H1365,SalaryPayrollTaxes[company_name],$B1365,SalaryPayrollTaxes[bu_name],$C1365)*(AE420+AE525+AE630)+SUMIFS(ExpensePayrollTaxes[Month 20],ExpensePayrollTaxes[exp_item],$H735,ExpensePayrollTaxes[company_name],$B1365)*AE735)</f>
        <v>0</v>
      </c>
      <c r="AF1365" s="652">
        <f>IF($B1365="",,SUMIFS(SalaryPayrollTaxes[Month 21],SalaryPayrollTaxes[exp_item],$H1365,SalaryPayrollTaxes[company_name],$B1365,SalaryPayrollTaxes[bu_name],$C1365)*(AF420+AF525+AF630)+SUMIFS(ExpensePayrollTaxes[Month 21],ExpensePayrollTaxes[exp_item],$H735,ExpensePayrollTaxes[company_name],$B1365)*AF735)</f>
        <v>0</v>
      </c>
      <c r="AG1365" s="652">
        <f>IF($B1365="",,SUMIFS(SalaryPayrollTaxes[Month 22],SalaryPayrollTaxes[exp_item],$H1365,SalaryPayrollTaxes[company_name],$B1365,SalaryPayrollTaxes[bu_name],$C1365)*(AG420+AG525+AG630)+SUMIFS(ExpensePayrollTaxes[Month 22],ExpensePayrollTaxes[exp_item],$H735,ExpensePayrollTaxes[company_name],$B1365)*AG735)</f>
        <v>0</v>
      </c>
      <c r="AH1365" s="652">
        <f>IF($B1365="",,SUMIFS(SalaryPayrollTaxes[Month 23],SalaryPayrollTaxes[exp_item],$H1365,SalaryPayrollTaxes[company_name],$B1365,SalaryPayrollTaxes[bu_name],$C1365)*(AH420+AH525+AH630)+SUMIFS(ExpensePayrollTaxes[Month 23],ExpensePayrollTaxes[exp_item],$H735,ExpensePayrollTaxes[company_name],$B1365)*AH735)</f>
        <v>0</v>
      </c>
      <c r="AI1365" s="652">
        <f>IF($B1365="",,SUMIFS(SalaryPayrollTaxes[Month 24],SalaryPayrollTaxes[exp_item],$H1365,SalaryPayrollTaxes[company_name],$B1365,SalaryPayrollTaxes[bu_name],$C1365)*(AI420+AI525+AI630)+SUMIFS(ExpensePayrollTaxes[Month 24],ExpensePayrollTaxes[exp_item],$H735,ExpensePayrollTaxes[company_name],$B1365)*AI735)</f>
        <v>0</v>
      </c>
      <c r="AJ1365" s="652">
        <f>IF($B1365="",,SUMIFS(SalaryPayrollTaxes[Month 25],SalaryPayrollTaxes[exp_item],$H1365,SalaryPayrollTaxes[company_name],$B1365,SalaryPayrollTaxes[bu_name],$C1365)*(AJ420+AJ525+AJ630)+SUMIFS(ExpensePayrollTaxes[Month 25],ExpensePayrollTaxes[exp_item],$H735,ExpensePayrollTaxes[company_name],$B1365)*AJ735)</f>
        <v>0</v>
      </c>
      <c r="AK1365" s="652">
        <f>IF($B1365="",,SUMIFS(SalaryPayrollTaxes[Month 26],SalaryPayrollTaxes[exp_item],$H1365,SalaryPayrollTaxes[company_name],$B1365,SalaryPayrollTaxes[bu_name],$C1365)*(AK420+AK525+AK630)+SUMIFS(ExpensePayrollTaxes[Month 26],ExpensePayrollTaxes[exp_item],$H735,ExpensePayrollTaxes[company_name],$B1365)*AK735)</f>
        <v>0</v>
      </c>
      <c r="AL1365" s="652">
        <f>IF($B1365="",,SUMIFS(SalaryPayrollTaxes[Month 27],SalaryPayrollTaxes[exp_item],$H1365,SalaryPayrollTaxes[company_name],$B1365,SalaryPayrollTaxes[bu_name],$C1365)*(AL420+AL525+AL630)+SUMIFS(ExpensePayrollTaxes[Month 27],ExpensePayrollTaxes[exp_item],$H735,ExpensePayrollTaxes[company_name],$B1365)*AL735)</f>
        <v>0</v>
      </c>
      <c r="AM1365" s="652">
        <f>IF($B1365="",,SUMIFS(SalaryPayrollTaxes[Month 28],SalaryPayrollTaxes[exp_item],$H1365,SalaryPayrollTaxes[company_name],$B1365,SalaryPayrollTaxes[bu_name],$C1365)*(AM420+AM525+AM630)+SUMIFS(ExpensePayrollTaxes[Month 28],ExpensePayrollTaxes[exp_item],$H735,ExpensePayrollTaxes[company_name],$B1365)*AM735)</f>
        <v>0</v>
      </c>
      <c r="AN1365" s="652">
        <f>IF($B1365="",,SUMIFS(SalaryPayrollTaxes[Month 29],SalaryPayrollTaxes[exp_item],$H1365,SalaryPayrollTaxes[company_name],$B1365,SalaryPayrollTaxes[bu_name],$C1365)*(AN420+AN525+AN630)+SUMIFS(ExpensePayrollTaxes[Month 29],ExpensePayrollTaxes[exp_item],$H735,ExpensePayrollTaxes[company_name],$B1365)*AN735)</f>
        <v>0</v>
      </c>
      <c r="AO1365" s="652">
        <f>IF($B1365="",,SUMIFS(SalaryPayrollTaxes[Month 30],SalaryPayrollTaxes[exp_item],$H1365,SalaryPayrollTaxes[company_name],$B1365,SalaryPayrollTaxes[bu_name],$C1365)*(AO420+AO525+AO630)+SUMIFS(ExpensePayrollTaxes[Month 30],ExpensePayrollTaxes[exp_item],$H735,ExpensePayrollTaxes[company_name],$B1365)*AO735)</f>
        <v>0</v>
      </c>
      <c r="AP1365" s="652">
        <f>IF($B1365="",,SUMIFS(SalaryPayrollTaxes[Month 31],SalaryPayrollTaxes[exp_item],$H1365,SalaryPayrollTaxes[company_name],$B1365,SalaryPayrollTaxes[bu_name],$C1365)*(AP420+AP525+AP630)+SUMIFS(ExpensePayrollTaxes[Month 31],ExpensePayrollTaxes[exp_item],$H735,ExpensePayrollTaxes[company_name],$B1365)*AP735)</f>
        <v>0</v>
      </c>
      <c r="AQ1365" s="652">
        <f>IF($B1365="",,SUMIFS(SalaryPayrollTaxes[Month 32],SalaryPayrollTaxes[exp_item],$H1365,SalaryPayrollTaxes[company_name],$B1365,SalaryPayrollTaxes[bu_name],$C1365)*(AQ420+AQ525+AQ630)+SUMIFS(ExpensePayrollTaxes[Month 32],ExpensePayrollTaxes[exp_item],$H735,ExpensePayrollTaxes[company_name],$B1365)*AQ735)</f>
        <v>0</v>
      </c>
      <c r="AR1365" s="652">
        <f>IF($B1365="",,SUMIFS(SalaryPayrollTaxes[Month 33],SalaryPayrollTaxes[exp_item],$H1365,SalaryPayrollTaxes[company_name],$B1365,SalaryPayrollTaxes[bu_name],$C1365)*(AR420+AR525+AR630)+SUMIFS(ExpensePayrollTaxes[Month 33],ExpensePayrollTaxes[exp_item],$H735,ExpensePayrollTaxes[company_name],$B1365)*AR735)</f>
        <v>0</v>
      </c>
      <c r="AS1365" s="652">
        <f>IF($B1365="",,SUMIFS(SalaryPayrollTaxes[Month 34],SalaryPayrollTaxes[exp_item],$H1365,SalaryPayrollTaxes[company_name],$B1365,SalaryPayrollTaxes[bu_name],$C1365)*(AS420+AS525+AS630)+SUMIFS(ExpensePayrollTaxes[Month 34],ExpensePayrollTaxes[exp_item],$H735,ExpensePayrollTaxes[company_name],$B1365)*AS735)</f>
        <v>0</v>
      </c>
      <c r="AT1365" s="652">
        <f>IF($B1365="",,SUMIFS(SalaryPayrollTaxes[Month 35],SalaryPayrollTaxes[exp_item],$H1365,SalaryPayrollTaxes[company_name],$B1365,SalaryPayrollTaxes[bu_name],$C1365)*(AT420+AT525+AT630)+SUMIFS(ExpensePayrollTaxes[Month 35],ExpensePayrollTaxes[exp_item],$H735,ExpensePayrollTaxes[company_name],$B1365)*AT735)</f>
        <v>0</v>
      </c>
      <c r="AU1365" s="652">
        <f>IF($B1365="",,SUMIFS(SalaryPayrollTaxes[Month 36],SalaryPayrollTaxes[exp_item],$H1365,SalaryPayrollTaxes[company_name],$B1365,SalaryPayrollTaxes[bu_name],$C1365)*(AU420+AU525+AU630)+SUMIFS(ExpensePayrollTaxes[Month 36],ExpensePayrollTaxes[exp_item],$H735,ExpensePayrollTaxes[company_name],$B1365)*AU735)</f>
        <v>0</v>
      </c>
    </row>
    <row r="1366" spans="2:47" x14ac:dyDescent="0.35">
      <c r="B1366" t="str">
        <f t="shared" si="992"/>
        <v/>
      </c>
      <c r="C1366" t="str">
        <f t="shared" si="992"/>
        <v/>
      </c>
      <c r="D1366" t="str">
        <f t="shared" si="992"/>
        <v/>
      </c>
      <c r="E1366" t="str">
        <f t="shared" si="992"/>
        <v/>
      </c>
      <c r="F1366" t="str">
        <f t="shared" si="992"/>
        <v/>
      </c>
      <c r="G1366" t="str">
        <f t="shared" si="992"/>
        <v/>
      </c>
      <c r="H1366" t="str">
        <f t="shared" si="989"/>
        <v/>
      </c>
      <c r="J1366" t="str">
        <f>IF($H1366="","",IF(VLOOKUP(H1366,ExpItems[],2,0),H1366&amp;" - "&amp;INDEX(DivisionMapping[category_code],MATCH($D1366&amp;$C1366,DivisionMapping[dept_bu],0)),H1366))</f>
        <v/>
      </c>
      <c r="K1366" t="str">
        <f t="shared" si="990"/>
        <v/>
      </c>
      <c r="L1366" s="652">
        <f>IF($B1366="",,SUMIFS(SalaryPayrollTaxes[Month 1],SalaryPayrollTaxes[exp_item],$H1366,SalaryPayrollTaxes[company_name],$B1366,SalaryPayrollTaxes[bu_name],$C1366)*(L421+L526+L631)+SUMIFS(ExpensePayrollTaxes[Month 1],ExpensePayrollTaxes[exp_item],$H736,ExpensePayrollTaxes[company_name],$B1366)*L736)</f>
        <v>0</v>
      </c>
      <c r="M1366" s="652">
        <f>IF($B1366="",,SUMIFS(SalaryPayrollTaxes[Month 2],SalaryPayrollTaxes[exp_item],$H1366,SalaryPayrollTaxes[company_name],$B1366,SalaryPayrollTaxes[bu_name],$C1366)*(M421+M526+M631)+SUMIFS(ExpensePayrollTaxes[Month 2],ExpensePayrollTaxes[exp_item],$H736,ExpensePayrollTaxes[company_name],$B1366)*M736)</f>
        <v>0</v>
      </c>
      <c r="N1366" s="652">
        <f>IF($B1366="",,SUMIFS(SalaryPayrollTaxes[Month 3],SalaryPayrollTaxes[exp_item],$H1366,SalaryPayrollTaxes[company_name],$B1366,SalaryPayrollTaxes[bu_name],$C1366)*(N421+N526+N631)+SUMIFS(ExpensePayrollTaxes[Month 3],ExpensePayrollTaxes[exp_item],$H736,ExpensePayrollTaxes[company_name],$B1366)*N736)</f>
        <v>0</v>
      </c>
      <c r="O1366" s="652">
        <f>IF($B1366="",,SUMIFS(SalaryPayrollTaxes[Month 4],SalaryPayrollTaxes[exp_item],$H1366,SalaryPayrollTaxes[company_name],$B1366,SalaryPayrollTaxes[bu_name],$C1366)*(O421+O526+O631)+SUMIFS(ExpensePayrollTaxes[Month 4],ExpensePayrollTaxes[exp_item],$H736,ExpensePayrollTaxes[company_name],$B1366)*O736)</f>
        <v>0</v>
      </c>
      <c r="P1366" s="652">
        <f>IF($B1366="",,SUMIFS(SalaryPayrollTaxes[Month 5],SalaryPayrollTaxes[exp_item],$H1366,SalaryPayrollTaxes[company_name],$B1366,SalaryPayrollTaxes[bu_name],$C1366)*(P421+P526+P631)+SUMIFS(ExpensePayrollTaxes[Month 5],ExpensePayrollTaxes[exp_item],$H736,ExpensePayrollTaxes[company_name],$B1366)*P736)</f>
        <v>0</v>
      </c>
      <c r="Q1366" s="652">
        <f>IF($B1366="",,SUMIFS(SalaryPayrollTaxes[Month 6],SalaryPayrollTaxes[exp_item],$H1366,SalaryPayrollTaxes[company_name],$B1366,SalaryPayrollTaxes[bu_name],$C1366)*(Q421+Q526+Q631)+SUMIFS(ExpensePayrollTaxes[Month 6],ExpensePayrollTaxes[exp_item],$H736,ExpensePayrollTaxes[company_name],$B1366)*Q736)</f>
        <v>0</v>
      </c>
      <c r="R1366" s="652">
        <f>IF($B1366="",,SUMIFS(SalaryPayrollTaxes[Month 7],SalaryPayrollTaxes[exp_item],$H1366,SalaryPayrollTaxes[company_name],$B1366,SalaryPayrollTaxes[bu_name],$C1366)*(R421+R526+R631)+SUMIFS(ExpensePayrollTaxes[Month 7],ExpensePayrollTaxes[exp_item],$H736,ExpensePayrollTaxes[company_name],$B1366)*R736)</f>
        <v>0</v>
      </c>
      <c r="S1366" s="652">
        <f>IF($B1366="",,SUMIFS(SalaryPayrollTaxes[Month 8],SalaryPayrollTaxes[exp_item],$H1366,SalaryPayrollTaxes[company_name],$B1366,SalaryPayrollTaxes[bu_name],$C1366)*(S421+S526+S631)+SUMIFS(ExpensePayrollTaxes[Month 8],ExpensePayrollTaxes[exp_item],$H736,ExpensePayrollTaxes[company_name],$B1366)*S736)</f>
        <v>0</v>
      </c>
      <c r="T1366" s="652">
        <f>IF($B1366="",,SUMIFS(SalaryPayrollTaxes[Month 9],SalaryPayrollTaxes[exp_item],$H1366,SalaryPayrollTaxes[company_name],$B1366,SalaryPayrollTaxes[bu_name],$C1366)*(T421+T526+T631)+SUMIFS(ExpensePayrollTaxes[Month 9],ExpensePayrollTaxes[exp_item],$H736,ExpensePayrollTaxes[company_name],$B1366)*T736)</f>
        <v>0</v>
      </c>
      <c r="U1366" s="652">
        <f>IF($B1366="",,SUMIFS(SalaryPayrollTaxes[Month 10],SalaryPayrollTaxes[exp_item],$H1366,SalaryPayrollTaxes[company_name],$B1366,SalaryPayrollTaxes[bu_name],$C1366)*(U421+U526+U631)+SUMIFS(ExpensePayrollTaxes[Month 10],ExpensePayrollTaxes[exp_item],$H736,ExpensePayrollTaxes[company_name],$B1366)*U736)</f>
        <v>0</v>
      </c>
      <c r="V1366" s="652">
        <f>IF($B1366="",,SUMIFS(SalaryPayrollTaxes[Month 11],SalaryPayrollTaxes[exp_item],$H1366,SalaryPayrollTaxes[company_name],$B1366,SalaryPayrollTaxes[bu_name],$C1366)*(V421+V526+V631)+SUMIFS(ExpensePayrollTaxes[Month 11],ExpensePayrollTaxes[exp_item],$H736,ExpensePayrollTaxes[company_name],$B1366)*V736)</f>
        <v>0</v>
      </c>
      <c r="W1366" s="652">
        <f>IF($B1366="",,SUMIFS(SalaryPayrollTaxes[Month 12],SalaryPayrollTaxes[exp_item],$H1366,SalaryPayrollTaxes[company_name],$B1366,SalaryPayrollTaxes[bu_name],$C1366)*(W421+W526+W631)+SUMIFS(ExpensePayrollTaxes[Month 12],ExpensePayrollTaxes[exp_item],$H736,ExpensePayrollTaxes[company_name],$B1366)*W736)</f>
        <v>0</v>
      </c>
      <c r="X1366" s="652">
        <f>IF($B1366="",,SUMIFS(SalaryPayrollTaxes[Month 13],SalaryPayrollTaxes[exp_item],$H1366,SalaryPayrollTaxes[company_name],$B1366,SalaryPayrollTaxes[bu_name],$C1366)*(X421+X526+X631)+SUMIFS(ExpensePayrollTaxes[Month 13],ExpensePayrollTaxes[exp_item],$H736,ExpensePayrollTaxes[company_name],$B1366)*X736)</f>
        <v>0</v>
      </c>
      <c r="Y1366" s="652">
        <f>IF($B1366="",,SUMIFS(SalaryPayrollTaxes[Month 14],SalaryPayrollTaxes[exp_item],$H1366,SalaryPayrollTaxes[company_name],$B1366,SalaryPayrollTaxes[bu_name],$C1366)*(Y421+Y526+Y631)+SUMIFS(ExpensePayrollTaxes[Month 14],ExpensePayrollTaxes[exp_item],$H736,ExpensePayrollTaxes[company_name],$B1366)*Y736)</f>
        <v>0</v>
      </c>
      <c r="Z1366" s="652">
        <f>IF($B1366="",,SUMIFS(SalaryPayrollTaxes[Month 15],SalaryPayrollTaxes[exp_item],$H1366,SalaryPayrollTaxes[company_name],$B1366,SalaryPayrollTaxes[bu_name],$C1366)*(Z421+Z526+Z631)+SUMIFS(ExpensePayrollTaxes[Month 15],ExpensePayrollTaxes[exp_item],$H736,ExpensePayrollTaxes[company_name],$B1366)*Z736)</f>
        <v>0</v>
      </c>
      <c r="AA1366" s="652">
        <f>IF($B1366="",,SUMIFS(SalaryPayrollTaxes[Month 16],SalaryPayrollTaxes[exp_item],$H1366,SalaryPayrollTaxes[company_name],$B1366,SalaryPayrollTaxes[bu_name],$C1366)*(AA421+AA526+AA631)+SUMIFS(ExpensePayrollTaxes[Month 16],ExpensePayrollTaxes[exp_item],$H736,ExpensePayrollTaxes[company_name],$B1366)*AA736)</f>
        <v>0</v>
      </c>
      <c r="AB1366" s="652">
        <f>IF($B1366="",,SUMIFS(SalaryPayrollTaxes[Month 17],SalaryPayrollTaxes[exp_item],$H1366,SalaryPayrollTaxes[company_name],$B1366,SalaryPayrollTaxes[bu_name],$C1366)*(AB421+AB526+AB631)+SUMIFS(ExpensePayrollTaxes[Month 17],ExpensePayrollTaxes[exp_item],$H736,ExpensePayrollTaxes[company_name],$B1366)*AB736)</f>
        <v>0</v>
      </c>
      <c r="AC1366" s="652">
        <f>IF($B1366="",,SUMIFS(SalaryPayrollTaxes[Month 18],SalaryPayrollTaxes[exp_item],$H1366,SalaryPayrollTaxes[company_name],$B1366,SalaryPayrollTaxes[bu_name],$C1366)*(AC421+AC526+AC631)+SUMIFS(ExpensePayrollTaxes[Month 18],ExpensePayrollTaxes[exp_item],$H736,ExpensePayrollTaxes[company_name],$B1366)*AC736)</f>
        <v>0</v>
      </c>
      <c r="AD1366" s="652">
        <f>IF($B1366="",,SUMIFS(SalaryPayrollTaxes[Month 19],SalaryPayrollTaxes[exp_item],$H1366,SalaryPayrollTaxes[company_name],$B1366,SalaryPayrollTaxes[bu_name],$C1366)*(AD421+AD526+AD631)+SUMIFS(ExpensePayrollTaxes[Month 19],ExpensePayrollTaxes[exp_item],$H736,ExpensePayrollTaxes[company_name],$B1366)*AD736)</f>
        <v>0</v>
      </c>
      <c r="AE1366" s="652">
        <f>IF($B1366="",,SUMIFS(SalaryPayrollTaxes[Month 20],SalaryPayrollTaxes[exp_item],$H1366,SalaryPayrollTaxes[company_name],$B1366,SalaryPayrollTaxes[bu_name],$C1366)*(AE421+AE526+AE631)+SUMIFS(ExpensePayrollTaxes[Month 20],ExpensePayrollTaxes[exp_item],$H736,ExpensePayrollTaxes[company_name],$B1366)*AE736)</f>
        <v>0</v>
      </c>
      <c r="AF1366" s="652">
        <f>IF($B1366="",,SUMIFS(SalaryPayrollTaxes[Month 21],SalaryPayrollTaxes[exp_item],$H1366,SalaryPayrollTaxes[company_name],$B1366,SalaryPayrollTaxes[bu_name],$C1366)*(AF421+AF526+AF631)+SUMIFS(ExpensePayrollTaxes[Month 21],ExpensePayrollTaxes[exp_item],$H736,ExpensePayrollTaxes[company_name],$B1366)*AF736)</f>
        <v>0</v>
      </c>
      <c r="AG1366" s="652">
        <f>IF($B1366="",,SUMIFS(SalaryPayrollTaxes[Month 22],SalaryPayrollTaxes[exp_item],$H1366,SalaryPayrollTaxes[company_name],$B1366,SalaryPayrollTaxes[bu_name],$C1366)*(AG421+AG526+AG631)+SUMIFS(ExpensePayrollTaxes[Month 22],ExpensePayrollTaxes[exp_item],$H736,ExpensePayrollTaxes[company_name],$B1366)*AG736)</f>
        <v>0</v>
      </c>
      <c r="AH1366" s="652">
        <f>IF($B1366="",,SUMIFS(SalaryPayrollTaxes[Month 23],SalaryPayrollTaxes[exp_item],$H1366,SalaryPayrollTaxes[company_name],$B1366,SalaryPayrollTaxes[bu_name],$C1366)*(AH421+AH526+AH631)+SUMIFS(ExpensePayrollTaxes[Month 23],ExpensePayrollTaxes[exp_item],$H736,ExpensePayrollTaxes[company_name],$B1366)*AH736)</f>
        <v>0</v>
      </c>
      <c r="AI1366" s="652">
        <f>IF($B1366="",,SUMIFS(SalaryPayrollTaxes[Month 24],SalaryPayrollTaxes[exp_item],$H1366,SalaryPayrollTaxes[company_name],$B1366,SalaryPayrollTaxes[bu_name],$C1366)*(AI421+AI526+AI631)+SUMIFS(ExpensePayrollTaxes[Month 24],ExpensePayrollTaxes[exp_item],$H736,ExpensePayrollTaxes[company_name],$B1366)*AI736)</f>
        <v>0</v>
      </c>
      <c r="AJ1366" s="652">
        <f>IF($B1366="",,SUMIFS(SalaryPayrollTaxes[Month 25],SalaryPayrollTaxes[exp_item],$H1366,SalaryPayrollTaxes[company_name],$B1366,SalaryPayrollTaxes[bu_name],$C1366)*(AJ421+AJ526+AJ631)+SUMIFS(ExpensePayrollTaxes[Month 25],ExpensePayrollTaxes[exp_item],$H736,ExpensePayrollTaxes[company_name],$B1366)*AJ736)</f>
        <v>0</v>
      </c>
      <c r="AK1366" s="652">
        <f>IF($B1366="",,SUMIFS(SalaryPayrollTaxes[Month 26],SalaryPayrollTaxes[exp_item],$H1366,SalaryPayrollTaxes[company_name],$B1366,SalaryPayrollTaxes[bu_name],$C1366)*(AK421+AK526+AK631)+SUMIFS(ExpensePayrollTaxes[Month 26],ExpensePayrollTaxes[exp_item],$H736,ExpensePayrollTaxes[company_name],$B1366)*AK736)</f>
        <v>0</v>
      </c>
      <c r="AL1366" s="652">
        <f>IF($B1366="",,SUMIFS(SalaryPayrollTaxes[Month 27],SalaryPayrollTaxes[exp_item],$H1366,SalaryPayrollTaxes[company_name],$B1366,SalaryPayrollTaxes[bu_name],$C1366)*(AL421+AL526+AL631)+SUMIFS(ExpensePayrollTaxes[Month 27],ExpensePayrollTaxes[exp_item],$H736,ExpensePayrollTaxes[company_name],$B1366)*AL736)</f>
        <v>0</v>
      </c>
      <c r="AM1366" s="652">
        <f>IF($B1366="",,SUMIFS(SalaryPayrollTaxes[Month 28],SalaryPayrollTaxes[exp_item],$H1366,SalaryPayrollTaxes[company_name],$B1366,SalaryPayrollTaxes[bu_name],$C1366)*(AM421+AM526+AM631)+SUMIFS(ExpensePayrollTaxes[Month 28],ExpensePayrollTaxes[exp_item],$H736,ExpensePayrollTaxes[company_name],$B1366)*AM736)</f>
        <v>0</v>
      </c>
      <c r="AN1366" s="652">
        <f>IF($B1366="",,SUMIFS(SalaryPayrollTaxes[Month 29],SalaryPayrollTaxes[exp_item],$H1366,SalaryPayrollTaxes[company_name],$B1366,SalaryPayrollTaxes[bu_name],$C1366)*(AN421+AN526+AN631)+SUMIFS(ExpensePayrollTaxes[Month 29],ExpensePayrollTaxes[exp_item],$H736,ExpensePayrollTaxes[company_name],$B1366)*AN736)</f>
        <v>0</v>
      </c>
      <c r="AO1366" s="652">
        <f>IF($B1366="",,SUMIFS(SalaryPayrollTaxes[Month 30],SalaryPayrollTaxes[exp_item],$H1366,SalaryPayrollTaxes[company_name],$B1366,SalaryPayrollTaxes[bu_name],$C1366)*(AO421+AO526+AO631)+SUMIFS(ExpensePayrollTaxes[Month 30],ExpensePayrollTaxes[exp_item],$H736,ExpensePayrollTaxes[company_name],$B1366)*AO736)</f>
        <v>0</v>
      </c>
      <c r="AP1366" s="652">
        <f>IF($B1366="",,SUMIFS(SalaryPayrollTaxes[Month 31],SalaryPayrollTaxes[exp_item],$H1366,SalaryPayrollTaxes[company_name],$B1366,SalaryPayrollTaxes[bu_name],$C1366)*(AP421+AP526+AP631)+SUMIFS(ExpensePayrollTaxes[Month 31],ExpensePayrollTaxes[exp_item],$H736,ExpensePayrollTaxes[company_name],$B1366)*AP736)</f>
        <v>0</v>
      </c>
      <c r="AQ1366" s="652">
        <f>IF($B1366="",,SUMIFS(SalaryPayrollTaxes[Month 32],SalaryPayrollTaxes[exp_item],$H1366,SalaryPayrollTaxes[company_name],$B1366,SalaryPayrollTaxes[bu_name],$C1366)*(AQ421+AQ526+AQ631)+SUMIFS(ExpensePayrollTaxes[Month 32],ExpensePayrollTaxes[exp_item],$H736,ExpensePayrollTaxes[company_name],$B1366)*AQ736)</f>
        <v>0</v>
      </c>
      <c r="AR1366" s="652">
        <f>IF($B1366="",,SUMIFS(SalaryPayrollTaxes[Month 33],SalaryPayrollTaxes[exp_item],$H1366,SalaryPayrollTaxes[company_name],$B1366,SalaryPayrollTaxes[bu_name],$C1366)*(AR421+AR526+AR631)+SUMIFS(ExpensePayrollTaxes[Month 33],ExpensePayrollTaxes[exp_item],$H736,ExpensePayrollTaxes[company_name],$B1366)*AR736)</f>
        <v>0</v>
      </c>
      <c r="AS1366" s="652">
        <f>IF($B1366="",,SUMIFS(SalaryPayrollTaxes[Month 34],SalaryPayrollTaxes[exp_item],$H1366,SalaryPayrollTaxes[company_name],$B1366,SalaryPayrollTaxes[bu_name],$C1366)*(AS421+AS526+AS631)+SUMIFS(ExpensePayrollTaxes[Month 34],ExpensePayrollTaxes[exp_item],$H736,ExpensePayrollTaxes[company_name],$B1366)*AS736)</f>
        <v>0</v>
      </c>
      <c r="AT1366" s="652">
        <f>IF($B1366="",,SUMIFS(SalaryPayrollTaxes[Month 35],SalaryPayrollTaxes[exp_item],$H1366,SalaryPayrollTaxes[company_name],$B1366,SalaryPayrollTaxes[bu_name],$C1366)*(AT421+AT526+AT631)+SUMIFS(ExpensePayrollTaxes[Month 35],ExpensePayrollTaxes[exp_item],$H736,ExpensePayrollTaxes[company_name],$B1366)*AT736)</f>
        <v>0</v>
      </c>
      <c r="AU1366" s="652">
        <f>IF($B1366="",,SUMIFS(SalaryPayrollTaxes[Month 36],SalaryPayrollTaxes[exp_item],$H1366,SalaryPayrollTaxes[company_name],$B1366,SalaryPayrollTaxes[bu_name],$C1366)*(AU421+AU526+AU631)+SUMIFS(ExpensePayrollTaxes[Month 36],ExpensePayrollTaxes[exp_item],$H736,ExpensePayrollTaxes[company_name],$B1366)*AU736)</f>
        <v>0</v>
      </c>
    </row>
    <row r="1367" spans="2:47" x14ac:dyDescent="0.35">
      <c r="B1367" t="str">
        <f t="shared" si="992"/>
        <v/>
      </c>
      <c r="C1367" t="str">
        <f t="shared" si="992"/>
        <v/>
      </c>
      <c r="D1367" t="str">
        <f t="shared" si="992"/>
        <v/>
      </c>
      <c r="E1367" t="str">
        <f t="shared" si="992"/>
        <v/>
      </c>
      <c r="F1367" t="str">
        <f t="shared" si="992"/>
        <v/>
      </c>
      <c r="G1367" t="str">
        <f t="shared" si="992"/>
        <v/>
      </c>
      <c r="H1367" t="str">
        <f t="shared" si="989"/>
        <v/>
      </c>
      <c r="J1367" t="str">
        <f>IF($H1367="","",IF(VLOOKUP(H1367,ExpItems[],2,0),H1367&amp;" - "&amp;INDEX(DivisionMapping[category_code],MATCH($D1367&amp;$C1367,DivisionMapping[dept_bu],0)),H1367))</f>
        <v/>
      </c>
      <c r="K1367" t="str">
        <f t="shared" si="990"/>
        <v/>
      </c>
      <c r="L1367" s="652">
        <f>IF($B1367="",,SUMIFS(SalaryPayrollTaxes[Month 1],SalaryPayrollTaxes[exp_item],$H1367,SalaryPayrollTaxes[company_name],$B1367,SalaryPayrollTaxes[bu_name],$C1367)*(L422+L527+L632)+SUMIFS(ExpensePayrollTaxes[Month 1],ExpensePayrollTaxes[exp_item],$H737,ExpensePayrollTaxes[company_name],$B1367)*L737)</f>
        <v>0</v>
      </c>
      <c r="M1367" s="652">
        <f>IF($B1367="",,SUMIFS(SalaryPayrollTaxes[Month 2],SalaryPayrollTaxes[exp_item],$H1367,SalaryPayrollTaxes[company_name],$B1367,SalaryPayrollTaxes[bu_name],$C1367)*(M422+M527+M632)+SUMIFS(ExpensePayrollTaxes[Month 2],ExpensePayrollTaxes[exp_item],$H737,ExpensePayrollTaxes[company_name],$B1367)*M737)</f>
        <v>0</v>
      </c>
      <c r="N1367" s="652">
        <f>IF($B1367="",,SUMIFS(SalaryPayrollTaxes[Month 3],SalaryPayrollTaxes[exp_item],$H1367,SalaryPayrollTaxes[company_name],$B1367,SalaryPayrollTaxes[bu_name],$C1367)*(N422+N527+N632)+SUMIFS(ExpensePayrollTaxes[Month 3],ExpensePayrollTaxes[exp_item],$H737,ExpensePayrollTaxes[company_name],$B1367)*N737)</f>
        <v>0</v>
      </c>
      <c r="O1367" s="652">
        <f>IF($B1367="",,SUMIFS(SalaryPayrollTaxes[Month 4],SalaryPayrollTaxes[exp_item],$H1367,SalaryPayrollTaxes[company_name],$B1367,SalaryPayrollTaxes[bu_name],$C1367)*(O422+O527+O632)+SUMIFS(ExpensePayrollTaxes[Month 4],ExpensePayrollTaxes[exp_item],$H737,ExpensePayrollTaxes[company_name],$B1367)*O737)</f>
        <v>0</v>
      </c>
      <c r="P1367" s="652">
        <f>IF($B1367="",,SUMIFS(SalaryPayrollTaxes[Month 5],SalaryPayrollTaxes[exp_item],$H1367,SalaryPayrollTaxes[company_name],$B1367,SalaryPayrollTaxes[bu_name],$C1367)*(P422+P527+P632)+SUMIFS(ExpensePayrollTaxes[Month 5],ExpensePayrollTaxes[exp_item],$H737,ExpensePayrollTaxes[company_name],$B1367)*P737)</f>
        <v>0</v>
      </c>
      <c r="Q1367" s="652">
        <f>IF($B1367="",,SUMIFS(SalaryPayrollTaxes[Month 6],SalaryPayrollTaxes[exp_item],$H1367,SalaryPayrollTaxes[company_name],$B1367,SalaryPayrollTaxes[bu_name],$C1367)*(Q422+Q527+Q632)+SUMIFS(ExpensePayrollTaxes[Month 6],ExpensePayrollTaxes[exp_item],$H737,ExpensePayrollTaxes[company_name],$B1367)*Q737)</f>
        <v>0</v>
      </c>
      <c r="R1367" s="652">
        <f>IF($B1367="",,SUMIFS(SalaryPayrollTaxes[Month 7],SalaryPayrollTaxes[exp_item],$H1367,SalaryPayrollTaxes[company_name],$B1367,SalaryPayrollTaxes[bu_name],$C1367)*(R422+R527+R632)+SUMIFS(ExpensePayrollTaxes[Month 7],ExpensePayrollTaxes[exp_item],$H737,ExpensePayrollTaxes[company_name],$B1367)*R737)</f>
        <v>0</v>
      </c>
      <c r="S1367" s="652">
        <f>IF($B1367="",,SUMIFS(SalaryPayrollTaxes[Month 8],SalaryPayrollTaxes[exp_item],$H1367,SalaryPayrollTaxes[company_name],$B1367,SalaryPayrollTaxes[bu_name],$C1367)*(S422+S527+S632)+SUMIFS(ExpensePayrollTaxes[Month 8],ExpensePayrollTaxes[exp_item],$H737,ExpensePayrollTaxes[company_name],$B1367)*S737)</f>
        <v>0</v>
      </c>
      <c r="T1367" s="652">
        <f>IF($B1367="",,SUMIFS(SalaryPayrollTaxes[Month 9],SalaryPayrollTaxes[exp_item],$H1367,SalaryPayrollTaxes[company_name],$B1367,SalaryPayrollTaxes[bu_name],$C1367)*(T422+T527+T632)+SUMIFS(ExpensePayrollTaxes[Month 9],ExpensePayrollTaxes[exp_item],$H737,ExpensePayrollTaxes[company_name],$B1367)*T737)</f>
        <v>0</v>
      </c>
      <c r="U1367" s="652">
        <f>IF($B1367="",,SUMIFS(SalaryPayrollTaxes[Month 10],SalaryPayrollTaxes[exp_item],$H1367,SalaryPayrollTaxes[company_name],$B1367,SalaryPayrollTaxes[bu_name],$C1367)*(U422+U527+U632)+SUMIFS(ExpensePayrollTaxes[Month 10],ExpensePayrollTaxes[exp_item],$H737,ExpensePayrollTaxes[company_name],$B1367)*U737)</f>
        <v>0</v>
      </c>
      <c r="V1367" s="652">
        <f>IF($B1367="",,SUMIFS(SalaryPayrollTaxes[Month 11],SalaryPayrollTaxes[exp_item],$H1367,SalaryPayrollTaxes[company_name],$B1367,SalaryPayrollTaxes[bu_name],$C1367)*(V422+V527+V632)+SUMIFS(ExpensePayrollTaxes[Month 11],ExpensePayrollTaxes[exp_item],$H737,ExpensePayrollTaxes[company_name],$B1367)*V737)</f>
        <v>0</v>
      </c>
      <c r="W1367" s="652">
        <f>IF($B1367="",,SUMIFS(SalaryPayrollTaxes[Month 12],SalaryPayrollTaxes[exp_item],$H1367,SalaryPayrollTaxes[company_name],$B1367,SalaryPayrollTaxes[bu_name],$C1367)*(W422+W527+W632)+SUMIFS(ExpensePayrollTaxes[Month 12],ExpensePayrollTaxes[exp_item],$H737,ExpensePayrollTaxes[company_name],$B1367)*W737)</f>
        <v>0</v>
      </c>
      <c r="X1367" s="652">
        <f>IF($B1367="",,SUMIFS(SalaryPayrollTaxes[Month 13],SalaryPayrollTaxes[exp_item],$H1367,SalaryPayrollTaxes[company_name],$B1367,SalaryPayrollTaxes[bu_name],$C1367)*(X422+X527+X632)+SUMIFS(ExpensePayrollTaxes[Month 13],ExpensePayrollTaxes[exp_item],$H737,ExpensePayrollTaxes[company_name],$B1367)*X737)</f>
        <v>0</v>
      </c>
      <c r="Y1367" s="652">
        <f>IF($B1367="",,SUMIFS(SalaryPayrollTaxes[Month 14],SalaryPayrollTaxes[exp_item],$H1367,SalaryPayrollTaxes[company_name],$B1367,SalaryPayrollTaxes[bu_name],$C1367)*(Y422+Y527+Y632)+SUMIFS(ExpensePayrollTaxes[Month 14],ExpensePayrollTaxes[exp_item],$H737,ExpensePayrollTaxes[company_name],$B1367)*Y737)</f>
        <v>0</v>
      </c>
      <c r="Z1367" s="652">
        <f>IF($B1367="",,SUMIFS(SalaryPayrollTaxes[Month 15],SalaryPayrollTaxes[exp_item],$H1367,SalaryPayrollTaxes[company_name],$B1367,SalaryPayrollTaxes[bu_name],$C1367)*(Z422+Z527+Z632)+SUMIFS(ExpensePayrollTaxes[Month 15],ExpensePayrollTaxes[exp_item],$H737,ExpensePayrollTaxes[company_name],$B1367)*Z737)</f>
        <v>0</v>
      </c>
      <c r="AA1367" s="652">
        <f>IF($B1367="",,SUMIFS(SalaryPayrollTaxes[Month 16],SalaryPayrollTaxes[exp_item],$H1367,SalaryPayrollTaxes[company_name],$B1367,SalaryPayrollTaxes[bu_name],$C1367)*(AA422+AA527+AA632)+SUMIFS(ExpensePayrollTaxes[Month 16],ExpensePayrollTaxes[exp_item],$H737,ExpensePayrollTaxes[company_name],$B1367)*AA737)</f>
        <v>0</v>
      </c>
      <c r="AB1367" s="652">
        <f>IF($B1367="",,SUMIFS(SalaryPayrollTaxes[Month 17],SalaryPayrollTaxes[exp_item],$H1367,SalaryPayrollTaxes[company_name],$B1367,SalaryPayrollTaxes[bu_name],$C1367)*(AB422+AB527+AB632)+SUMIFS(ExpensePayrollTaxes[Month 17],ExpensePayrollTaxes[exp_item],$H737,ExpensePayrollTaxes[company_name],$B1367)*AB737)</f>
        <v>0</v>
      </c>
      <c r="AC1367" s="652">
        <f>IF($B1367="",,SUMIFS(SalaryPayrollTaxes[Month 18],SalaryPayrollTaxes[exp_item],$H1367,SalaryPayrollTaxes[company_name],$B1367,SalaryPayrollTaxes[bu_name],$C1367)*(AC422+AC527+AC632)+SUMIFS(ExpensePayrollTaxes[Month 18],ExpensePayrollTaxes[exp_item],$H737,ExpensePayrollTaxes[company_name],$B1367)*AC737)</f>
        <v>0</v>
      </c>
      <c r="AD1367" s="652">
        <f>IF($B1367="",,SUMIFS(SalaryPayrollTaxes[Month 19],SalaryPayrollTaxes[exp_item],$H1367,SalaryPayrollTaxes[company_name],$B1367,SalaryPayrollTaxes[bu_name],$C1367)*(AD422+AD527+AD632)+SUMIFS(ExpensePayrollTaxes[Month 19],ExpensePayrollTaxes[exp_item],$H737,ExpensePayrollTaxes[company_name],$B1367)*AD737)</f>
        <v>0</v>
      </c>
      <c r="AE1367" s="652">
        <f>IF($B1367="",,SUMIFS(SalaryPayrollTaxes[Month 20],SalaryPayrollTaxes[exp_item],$H1367,SalaryPayrollTaxes[company_name],$B1367,SalaryPayrollTaxes[bu_name],$C1367)*(AE422+AE527+AE632)+SUMIFS(ExpensePayrollTaxes[Month 20],ExpensePayrollTaxes[exp_item],$H737,ExpensePayrollTaxes[company_name],$B1367)*AE737)</f>
        <v>0</v>
      </c>
      <c r="AF1367" s="652">
        <f>IF($B1367="",,SUMIFS(SalaryPayrollTaxes[Month 21],SalaryPayrollTaxes[exp_item],$H1367,SalaryPayrollTaxes[company_name],$B1367,SalaryPayrollTaxes[bu_name],$C1367)*(AF422+AF527+AF632)+SUMIFS(ExpensePayrollTaxes[Month 21],ExpensePayrollTaxes[exp_item],$H737,ExpensePayrollTaxes[company_name],$B1367)*AF737)</f>
        <v>0</v>
      </c>
      <c r="AG1367" s="652">
        <f>IF($B1367="",,SUMIFS(SalaryPayrollTaxes[Month 22],SalaryPayrollTaxes[exp_item],$H1367,SalaryPayrollTaxes[company_name],$B1367,SalaryPayrollTaxes[bu_name],$C1367)*(AG422+AG527+AG632)+SUMIFS(ExpensePayrollTaxes[Month 22],ExpensePayrollTaxes[exp_item],$H737,ExpensePayrollTaxes[company_name],$B1367)*AG737)</f>
        <v>0</v>
      </c>
      <c r="AH1367" s="652">
        <f>IF($B1367="",,SUMIFS(SalaryPayrollTaxes[Month 23],SalaryPayrollTaxes[exp_item],$H1367,SalaryPayrollTaxes[company_name],$B1367,SalaryPayrollTaxes[bu_name],$C1367)*(AH422+AH527+AH632)+SUMIFS(ExpensePayrollTaxes[Month 23],ExpensePayrollTaxes[exp_item],$H737,ExpensePayrollTaxes[company_name],$B1367)*AH737)</f>
        <v>0</v>
      </c>
      <c r="AI1367" s="652">
        <f>IF($B1367="",,SUMIFS(SalaryPayrollTaxes[Month 24],SalaryPayrollTaxes[exp_item],$H1367,SalaryPayrollTaxes[company_name],$B1367,SalaryPayrollTaxes[bu_name],$C1367)*(AI422+AI527+AI632)+SUMIFS(ExpensePayrollTaxes[Month 24],ExpensePayrollTaxes[exp_item],$H737,ExpensePayrollTaxes[company_name],$B1367)*AI737)</f>
        <v>0</v>
      </c>
      <c r="AJ1367" s="652">
        <f>IF($B1367="",,SUMIFS(SalaryPayrollTaxes[Month 25],SalaryPayrollTaxes[exp_item],$H1367,SalaryPayrollTaxes[company_name],$B1367,SalaryPayrollTaxes[bu_name],$C1367)*(AJ422+AJ527+AJ632)+SUMIFS(ExpensePayrollTaxes[Month 25],ExpensePayrollTaxes[exp_item],$H737,ExpensePayrollTaxes[company_name],$B1367)*AJ737)</f>
        <v>0</v>
      </c>
      <c r="AK1367" s="652">
        <f>IF($B1367="",,SUMIFS(SalaryPayrollTaxes[Month 26],SalaryPayrollTaxes[exp_item],$H1367,SalaryPayrollTaxes[company_name],$B1367,SalaryPayrollTaxes[bu_name],$C1367)*(AK422+AK527+AK632)+SUMIFS(ExpensePayrollTaxes[Month 26],ExpensePayrollTaxes[exp_item],$H737,ExpensePayrollTaxes[company_name],$B1367)*AK737)</f>
        <v>0</v>
      </c>
      <c r="AL1367" s="652">
        <f>IF($B1367="",,SUMIFS(SalaryPayrollTaxes[Month 27],SalaryPayrollTaxes[exp_item],$H1367,SalaryPayrollTaxes[company_name],$B1367,SalaryPayrollTaxes[bu_name],$C1367)*(AL422+AL527+AL632)+SUMIFS(ExpensePayrollTaxes[Month 27],ExpensePayrollTaxes[exp_item],$H737,ExpensePayrollTaxes[company_name],$B1367)*AL737)</f>
        <v>0</v>
      </c>
      <c r="AM1367" s="652">
        <f>IF($B1367="",,SUMIFS(SalaryPayrollTaxes[Month 28],SalaryPayrollTaxes[exp_item],$H1367,SalaryPayrollTaxes[company_name],$B1367,SalaryPayrollTaxes[bu_name],$C1367)*(AM422+AM527+AM632)+SUMIFS(ExpensePayrollTaxes[Month 28],ExpensePayrollTaxes[exp_item],$H737,ExpensePayrollTaxes[company_name],$B1367)*AM737)</f>
        <v>0</v>
      </c>
      <c r="AN1367" s="652">
        <f>IF($B1367="",,SUMIFS(SalaryPayrollTaxes[Month 29],SalaryPayrollTaxes[exp_item],$H1367,SalaryPayrollTaxes[company_name],$B1367,SalaryPayrollTaxes[bu_name],$C1367)*(AN422+AN527+AN632)+SUMIFS(ExpensePayrollTaxes[Month 29],ExpensePayrollTaxes[exp_item],$H737,ExpensePayrollTaxes[company_name],$B1367)*AN737)</f>
        <v>0</v>
      </c>
      <c r="AO1367" s="652">
        <f>IF($B1367="",,SUMIFS(SalaryPayrollTaxes[Month 30],SalaryPayrollTaxes[exp_item],$H1367,SalaryPayrollTaxes[company_name],$B1367,SalaryPayrollTaxes[bu_name],$C1367)*(AO422+AO527+AO632)+SUMIFS(ExpensePayrollTaxes[Month 30],ExpensePayrollTaxes[exp_item],$H737,ExpensePayrollTaxes[company_name],$B1367)*AO737)</f>
        <v>0</v>
      </c>
      <c r="AP1367" s="652">
        <f>IF($B1367="",,SUMIFS(SalaryPayrollTaxes[Month 31],SalaryPayrollTaxes[exp_item],$H1367,SalaryPayrollTaxes[company_name],$B1367,SalaryPayrollTaxes[bu_name],$C1367)*(AP422+AP527+AP632)+SUMIFS(ExpensePayrollTaxes[Month 31],ExpensePayrollTaxes[exp_item],$H737,ExpensePayrollTaxes[company_name],$B1367)*AP737)</f>
        <v>0</v>
      </c>
      <c r="AQ1367" s="652">
        <f>IF($B1367="",,SUMIFS(SalaryPayrollTaxes[Month 32],SalaryPayrollTaxes[exp_item],$H1367,SalaryPayrollTaxes[company_name],$B1367,SalaryPayrollTaxes[bu_name],$C1367)*(AQ422+AQ527+AQ632)+SUMIFS(ExpensePayrollTaxes[Month 32],ExpensePayrollTaxes[exp_item],$H737,ExpensePayrollTaxes[company_name],$B1367)*AQ737)</f>
        <v>0</v>
      </c>
      <c r="AR1367" s="652">
        <f>IF($B1367="",,SUMIFS(SalaryPayrollTaxes[Month 33],SalaryPayrollTaxes[exp_item],$H1367,SalaryPayrollTaxes[company_name],$B1367,SalaryPayrollTaxes[bu_name],$C1367)*(AR422+AR527+AR632)+SUMIFS(ExpensePayrollTaxes[Month 33],ExpensePayrollTaxes[exp_item],$H737,ExpensePayrollTaxes[company_name],$B1367)*AR737)</f>
        <v>0</v>
      </c>
      <c r="AS1367" s="652">
        <f>IF($B1367="",,SUMIFS(SalaryPayrollTaxes[Month 34],SalaryPayrollTaxes[exp_item],$H1367,SalaryPayrollTaxes[company_name],$B1367,SalaryPayrollTaxes[bu_name],$C1367)*(AS422+AS527+AS632)+SUMIFS(ExpensePayrollTaxes[Month 34],ExpensePayrollTaxes[exp_item],$H737,ExpensePayrollTaxes[company_name],$B1367)*AS737)</f>
        <v>0</v>
      </c>
      <c r="AT1367" s="652">
        <f>IF($B1367="",,SUMIFS(SalaryPayrollTaxes[Month 35],SalaryPayrollTaxes[exp_item],$H1367,SalaryPayrollTaxes[company_name],$B1367,SalaryPayrollTaxes[bu_name],$C1367)*(AT422+AT527+AT632)+SUMIFS(ExpensePayrollTaxes[Month 35],ExpensePayrollTaxes[exp_item],$H737,ExpensePayrollTaxes[company_name],$B1367)*AT737)</f>
        <v>0</v>
      </c>
      <c r="AU1367" s="652">
        <f>IF($B1367="",,SUMIFS(SalaryPayrollTaxes[Month 36],SalaryPayrollTaxes[exp_item],$H1367,SalaryPayrollTaxes[company_name],$B1367,SalaryPayrollTaxes[bu_name],$C1367)*(AU422+AU527+AU632)+SUMIFS(ExpensePayrollTaxes[Month 36],ExpensePayrollTaxes[exp_item],$H737,ExpensePayrollTaxes[company_name],$B1367)*AU737)</f>
        <v>0</v>
      </c>
    </row>
    <row r="1368" spans="2:47" x14ac:dyDescent="0.35">
      <c r="B1368" t="str">
        <f t="shared" si="992"/>
        <v/>
      </c>
      <c r="C1368" t="str">
        <f t="shared" si="992"/>
        <v/>
      </c>
      <c r="D1368" t="str">
        <f t="shared" si="992"/>
        <v/>
      </c>
      <c r="E1368" t="str">
        <f t="shared" si="992"/>
        <v/>
      </c>
      <c r="F1368" t="str">
        <f t="shared" si="992"/>
        <v/>
      </c>
      <c r="G1368" t="str">
        <f t="shared" si="992"/>
        <v/>
      </c>
      <c r="H1368" t="str">
        <f t="shared" si="989"/>
        <v/>
      </c>
      <c r="J1368" t="str">
        <f>IF($H1368="","",IF(VLOOKUP(H1368,ExpItems[],2,0),H1368&amp;" - "&amp;INDEX(DivisionMapping[category_code],MATCH($D1368&amp;$C1368,DivisionMapping[dept_bu],0)),H1368))</f>
        <v/>
      </c>
      <c r="K1368" t="str">
        <f t="shared" si="990"/>
        <v/>
      </c>
      <c r="L1368" s="652">
        <f>IF($B1368="",,SUMIFS(SalaryPayrollTaxes[Month 1],SalaryPayrollTaxes[exp_item],$H1368,SalaryPayrollTaxes[company_name],$B1368,SalaryPayrollTaxes[bu_name],$C1368)*(L423+L528+L633)+SUMIFS(ExpensePayrollTaxes[Month 1],ExpensePayrollTaxes[exp_item],$H738,ExpensePayrollTaxes[company_name],$B1368)*L738)</f>
        <v>0</v>
      </c>
      <c r="M1368" s="652">
        <f>IF($B1368="",,SUMIFS(SalaryPayrollTaxes[Month 2],SalaryPayrollTaxes[exp_item],$H1368,SalaryPayrollTaxes[company_name],$B1368,SalaryPayrollTaxes[bu_name],$C1368)*(M423+M528+M633)+SUMIFS(ExpensePayrollTaxes[Month 2],ExpensePayrollTaxes[exp_item],$H738,ExpensePayrollTaxes[company_name],$B1368)*M738)</f>
        <v>0</v>
      </c>
      <c r="N1368" s="652">
        <f>IF($B1368="",,SUMIFS(SalaryPayrollTaxes[Month 3],SalaryPayrollTaxes[exp_item],$H1368,SalaryPayrollTaxes[company_name],$B1368,SalaryPayrollTaxes[bu_name],$C1368)*(N423+N528+N633)+SUMIFS(ExpensePayrollTaxes[Month 3],ExpensePayrollTaxes[exp_item],$H738,ExpensePayrollTaxes[company_name],$B1368)*N738)</f>
        <v>0</v>
      </c>
      <c r="O1368" s="652">
        <f>IF($B1368="",,SUMIFS(SalaryPayrollTaxes[Month 4],SalaryPayrollTaxes[exp_item],$H1368,SalaryPayrollTaxes[company_name],$B1368,SalaryPayrollTaxes[bu_name],$C1368)*(O423+O528+O633)+SUMIFS(ExpensePayrollTaxes[Month 4],ExpensePayrollTaxes[exp_item],$H738,ExpensePayrollTaxes[company_name],$B1368)*O738)</f>
        <v>0</v>
      </c>
      <c r="P1368" s="652">
        <f>IF($B1368="",,SUMIFS(SalaryPayrollTaxes[Month 5],SalaryPayrollTaxes[exp_item],$H1368,SalaryPayrollTaxes[company_name],$B1368,SalaryPayrollTaxes[bu_name],$C1368)*(P423+P528+P633)+SUMIFS(ExpensePayrollTaxes[Month 5],ExpensePayrollTaxes[exp_item],$H738,ExpensePayrollTaxes[company_name],$B1368)*P738)</f>
        <v>0</v>
      </c>
      <c r="Q1368" s="652">
        <f>IF($B1368="",,SUMIFS(SalaryPayrollTaxes[Month 6],SalaryPayrollTaxes[exp_item],$H1368,SalaryPayrollTaxes[company_name],$B1368,SalaryPayrollTaxes[bu_name],$C1368)*(Q423+Q528+Q633)+SUMIFS(ExpensePayrollTaxes[Month 6],ExpensePayrollTaxes[exp_item],$H738,ExpensePayrollTaxes[company_name],$B1368)*Q738)</f>
        <v>0</v>
      </c>
      <c r="R1368" s="652">
        <f>IF($B1368="",,SUMIFS(SalaryPayrollTaxes[Month 7],SalaryPayrollTaxes[exp_item],$H1368,SalaryPayrollTaxes[company_name],$B1368,SalaryPayrollTaxes[bu_name],$C1368)*(R423+R528+R633)+SUMIFS(ExpensePayrollTaxes[Month 7],ExpensePayrollTaxes[exp_item],$H738,ExpensePayrollTaxes[company_name],$B1368)*R738)</f>
        <v>0</v>
      </c>
      <c r="S1368" s="652">
        <f>IF($B1368="",,SUMIFS(SalaryPayrollTaxes[Month 8],SalaryPayrollTaxes[exp_item],$H1368,SalaryPayrollTaxes[company_name],$B1368,SalaryPayrollTaxes[bu_name],$C1368)*(S423+S528+S633)+SUMIFS(ExpensePayrollTaxes[Month 8],ExpensePayrollTaxes[exp_item],$H738,ExpensePayrollTaxes[company_name],$B1368)*S738)</f>
        <v>0</v>
      </c>
      <c r="T1368" s="652">
        <f>IF($B1368="",,SUMIFS(SalaryPayrollTaxes[Month 9],SalaryPayrollTaxes[exp_item],$H1368,SalaryPayrollTaxes[company_name],$B1368,SalaryPayrollTaxes[bu_name],$C1368)*(T423+T528+T633)+SUMIFS(ExpensePayrollTaxes[Month 9],ExpensePayrollTaxes[exp_item],$H738,ExpensePayrollTaxes[company_name],$B1368)*T738)</f>
        <v>0</v>
      </c>
      <c r="U1368" s="652">
        <f>IF($B1368="",,SUMIFS(SalaryPayrollTaxes[Month 10],SalaryPayrollTaxes[exp_item],$H1368,SalaryPayrollTaxes[company_name],$B1368,SalaryPayrollTaxes[bu_name],$C1368)*(U423+U528+U633)+SUMIFS(ExpensePayrollTaxes[Month 10],ExpensePayrollTaxes[exp_item],$H738,ExpensePayrollTaxes[company_name],$B1368)*U738)</f>
        <v>0</v>
      </c>
      <c r="V1368" s="652">
        <f>IF($B1368="",,SUMIFS(SalaryPayrollTaxes[Month 11],SalaryPayrollTaxes[exp_item],$H1368,SalaryPayrollTaxes[company_name],$B1368,SalaryPayrollTaxes[bu_name],$C1368)*(V423+V528+V633)+SUMIFS(ExpensePayrollTaxes[Month 11],ExpensePayrollTaxes[exp_item],$H738,ExpensePayrollTaxes[company_name],$B1368)*V738)</f>
        <v>0</v>
      </c>
      <c r="W1368" s="652">
        <f>IF($B1368="",,SUMIFS(SalaryPayrollTaxes[Month 12],SalaryPayrollTaxes[exp_item],$H1368,SalaryPayrollTaxes[company_name],$B1368,SalaryPayrollTaxes[bu_name],$C1368)*(W423+W528+W633)+SUMIFS(ExpensePayrollTaxes[Month 12],ExpensePayrollTaxes[exp_item],$H738,ExpensePayrollTaxes[company_name],$B1368)*W738)</f>
        <v>0</v>
      </c>
      <c r="X1368" s="652">
        <f>IF($B1368="",,SUMIFS(SalaryPayrollTaxes[Month 13],SalaryPayrollTaxes[exp_item],$H1368,SalaryPayrollTaxes[company_name],$B1368,SalaryPayrollTaxes[bu_name],$C1368)*(X423+X528+X633)+SUMIFS(ExpensePayrollTaxes[Month 13],ExpensePayrollTaxes[exp_item],$H738,ExpensePayrollTaxes[company_name],$B1368)*X738)</f>
        <v>0</v>
      </c>
      <c r="Y1368" s="652">
        <f>IF($B1368="",,SUMIFS(SalaryPayrollTaxes[Month 14],SalaryPayrollTaxes[exp_item],$H1368,SalaryPayrollTaxes[company_name],$B1368,SalaryPayrollTaxes[bu_name],$C1368)*(Y423+Y528+Y633)+SUMIFS(ExpensePayrollTaxes[Month 14],ExpensePayrollTaxes[exp_item],$H738,ExpensePayrollTaxes[company_name],$B1368)*Y738)</f>
        <v>0</v>
      </c>
      <c r="Z1368" s="652">
        <f>IF($B1368="",,SUMIFS(SalaryPayrollTaxes[Month 15],SalaryPayrollTaxes[exp_item],$H1368,SalaryPayrollTaxes[company_name],$B1368,SalaryPayrollTaxes[bu_name],$C1368)*(Z423+Z528+Z633)+SUMIFS(ExpensePayrollTaxes[Month 15],ExpensePayrollTaxes[exp_item],$H738,ExpensePayrollTaxes[company_name],$B1368)*Z738)</f>
        <v>0</v>
      </c>
      <c r="AA1368" s="652">
        <f>IF($B1368="",,SUMIFS(SalaryPayrollTaxes[Month 16],SalaryPayrollTaxes[exp_item],$H1368,SalaryPayrollTaxes[company_name],$B1368,SalaryPayrollTaxes[bu_name],$C1368)*(AA423+AA528+AA633)+SUMIFS(ExpensePayrollTaxes[Month 16],ExpensePayrollTaxes[exp_item],$H738,ExpensePayrollTaxes[company_name],$B1368)*AA738)</f>
        <v>0</v>
      </c>
      <c r="AB1368" s="652">
        <f>IF($B1368="",,SUMIFS(SalaryPayrollTaxes[Month 17],SalaryPayrollTaxes[exp_item],$H1368,SalaryPayrollTaxes[company_name],$B1368,SalaryPayrollTaxes[bu_name],$C1368)*(AB423+AB528+AB633)+SUMIFS(ExpensePayrollTaxes[Month 17],ExpensePayrollTaxes[exp_item],$H738,ExpensePayrollTaxes[company_name],$B1368)*AB738)</f>
        <v>0</v>
      </c>
      <c r="AC1368" s="652">
        <f>IF($B1368="",,SUMIFS(SalaryPayrollTaxes[Month 18],SalaryPayrollTaxes[exp_item],$H1368,SalaryPayrollTaxes[company_name],$B1368,SalaryPayrollTaxes[bu_name],$C1368)*(AC423+AC528+AC633)+SUMIFS(ExpensePayrollTaxes[Month 18],ExpensePayrollTaxes[exp_item],$H738,ExpensePayrollTaxes[company_name],$B1368)*AC738)</f>
        <v>0</v>
      </c>
      <c r="AD1368" s="652">
        <f>IF($B1368="",,SUMIFS(SalaryPayrollTaxes[Month 19],SalaryPayrollTaxes[exp_item],$H1368,SalaryPayrollTaxes[company_name],$B1368,SalaryPayrollTaxes[bu_name],$C1368)*(AD423+AD528+AD633)+SUMIFS(ExpensePayrollTaxes[Month 19],ExpensePayrollTaxes[exp_item],$H738,ExpensePayrollTaxes[company_name],$B1368)*AD738)</f>
        <v>0</v>
      </c>
      <c r="AE1368" s="652">
        <f>IF($B1368="",,SUMIFS(SalaryPayrollTaxes[Month 20],SalaryPayrollTaxes[exp_item],$H1368,SalaryPayrollTaxes[company_name],$B1368,SalaryPayrollTaxes[bu_name],$C1368)*(AE423+AE528+AE633)+SUMIFS(ExpensePayrollTaxes[Month 20],ExpensePayrollTaxes[exp_item],$H738,ExpensePayrollTaxes[company_name],$B1368)*AE738)</f>
        <v>0</v>
      </c>
      <c r="AF1368" s="652">
        <f>IF($B1368="",,SUMIFS(SalaryPayrollTaxes[Month 21],SalaryPayrollTaxes[exp_item],$H1368,SalaryPayrollTaxes[company_name],$B1368,SalaryPayrollTaxes[bu_name],$C1368)*(AF423+AF528+AF633)+SUMIFS(ExpensePayrollTaxes[Month 21],ExpensePayrollTaxes[exp_item],$H738,ExpensePayrollTaxes[company_name],$B1368)*AF738)</f>
        <v>0</v>
      </c>
      <c r="AG1368" s="652">
        <f>IF($B1368="",,SUMIFS(SalaryPayrollTaxes[Month 22],SalaryPayrollTaxes[exp_item],$H1368,SalaryPayrollTaxes[company_name],$B1368,SalaryPayrollTaxes[bu_name],$C1368)*(AG423+AG528+AG633)+SUMIFS(ExpensePayrollTaxes[Month 22],ExpensePayrollTaxes[exp_item],$H738,ExpensePayrollTaxes[company_name],$B1368)*AG738)</f>
        <v>0</v>
      </c>
      <c r="AH1368" s="652">
        <f>IF($B1368="",,SUMIFS(SalaryPayrollTaxes[Month 23],SalaryPayrollTaxes[exp_item],$H1368,SalaryPayrollTaxes[company_name],$B1368,SalaryPayrollTaxes[bu_name],$C1368)*(AH423+AH528+AH633)+SUMIFS(ExpensePayrollTaxes[Month 23],ExpensePayrollTaxes[exp_item],$H738,ExpensePayrollTaxes[company_name],$B1368)*AH738)</f>
        <v>0</v>
      </c>
      <c r="AI1368" s="652">
        <f>IF($B1368="",,SUMIFS(SalaryPayrollTaxes[Month 24],SalaryPayrollTaxes[exp_item],$H1368,SalaryPayrollTaxes[company_name],$B1368,SalaryPayrollTaxes[bu_name],$C1368)*(AI423+AI528+AI633)+SUMIFS(ExpensePayrollTaxes[Month 24],ExpensePayrollTaxes[exp_item],$H738,ExpensePayrollTaxes[company_name],$B1368)*AI738)</f>
        <v>0</v>
      </c>
      <c r="AJ1368" s="652">
        <f>IF($B1368="",,SUMIFS(SalaryPayrollTaxes[Month 25],SalaryPayrollTaxes[exp_item],$H1368,SalaryPayrollTaxes[company_name],$B1368,SalaryPayrollTaxes[bu_name],$C1368)*(AJ423+AJ528+AJ633)+SUMIFS(ExpensePayrollTaxes[Month 25],ExpensePayrollTaxes[exp_item],$H738,ExpensePayrollTaxes[company_name],$B1368)*AJ738)</f>
        <v>0</v>
      </c>
      <c r="AK1368" s="652">
        <f>IF($B1368="",,SUMIFS(SalaryPayrollTaxes[Month 26],SalaryPayrollTaxes[exp_item],$H1368,SalaryPayrollTaxes[company_name],$B1368,SalaryPayrollTaxes[bu_name],$C1368)*(AK423+AK528+AK633)+SUMIFS(ExpensePayrollTaxes[Month 26],ExpensePayrollTaxes[exp_item],$H738,ExpensePayrollTaxes[company_name],$B1368)*AK738)</f>
        <v>0</v>
      </c>
      <c r="AL1368" s="652">
        <f>IF($B1368="",,SUMIFS(SalaryPayrollTaxes[Month 27],SalaryPayrollTaxes[exp_item],$H1368,SalaryPayrollTaxes[company_name],$B1368,SalaryPayrollTaxes[bu_name],$C1368)*(AL423+AL528+AL633)+SUMIFS(ExpensePayrollTaxes[Month 27],ExpensePayrollTaxes[exp_item],$H738,ExpensePayrollTaxes[company_name],$B1368)*AL738)</f>
        <v>0</v>
      </c>
      <c r="AM1368" s="652">
        <f>IF($B1368="",,SUMIFS(SalaryPayrollTaxes[Month 28],SalaryPayrollTaxes[exp_item],$H1368,SalaryPayrollTaxes[company_name],$B1368,SalaryPayrollTaxes[bu_name],$C1368)*(AM423+AM528+AM633)+SUMIFS(ExpensePayrollTaxes[Month 28],ExpensePayrollTaxes[exp_item],$H738,ExpensePayrollTaxes[company_name],$B1368)*AM738)</f>
        <v>0</v>
      </c>
      <c r="AN1368" s="652">
        <f>IF($B1368="",,SUMIFS(SalaryPayrollTaxes[Month 29],SalaryPayrollTaxes[exp_item],$H1368,SalaryPayrollTaxes[company_name],$B1368,SalaryPayrollTaxes[bu_name],$C1368)*(AN423+AN528+AN633)+SUMIFS(ExpensePayrollTaxes[Month 29],ExpensePayrollTaxes[exp_item],$H738,ExpensePayrollTaxes[company_name],$B1368)*AN738)</f>
        <v>0</v>
      </c>
      <c r="AO1368" s="652">
        <f>IF($B1368="",,SUMIFS(SalaryPayrollTaxes[Month 30],SalaryPayrollTaxes[exp_item],$H1368,SalaryPayrollTaxes[company_name],$B1368,SalaryPayrollTaxes[bu_name],$C1368)*(AO423+AO528+AO633)+SUMIFS(ExpensePayrollTaxes[Month 30],ExpensePayrollTaxes[exp_item],$H738,ExpensePayrollTaxes[company_name],$B1368)*AO738)</f>
        <v>0</v>
      </c>
      <c r="AP1368" s="652">
        <f>IF($B1368="",,SUMIFS(SalaryPayrollTaxes[Month 31],SalaryPayrollTaxes[exp_item],$H1368,SalaryPayrollTaxes[company_name],$B1368,SalaryPayrollTaxes[bu_name],$C1368)*(AP423+AP528+AP633)+SUMIFS(ExpensePayrollTaxes[Month 31],ExpensePayrollTaxes[exp_item],$H738,ExpensePayrollTaxes[company_name],$B1368)*AP738)</f>
        <v>0</v>
      </c>
      <c r="AQ1368" s="652">
        <f>IF($B1368="",,SUMIFS(SalaryPayrollTaxes[Month 32],SalaryPayrollTaxes[exp_item],$H1368,SalaryPayrollTaxes[company_name],$B1368,SalaryPayrollTaxes[bu_name],$C1368)*(AQ423+AQ528+AQ633)+SUMIFS(ExpensePayrollTaxes[Month 32],ExpensePayrollTaxes[exp_item],$H738,ExpensePayrollTaxes[company_name],$B1368)*AQ738)</f>
        <v>0</v>
      </c>
      <c r="AR1368" s="652">
        <f>IF($B1368="",,SUMIFS(SalaryPayrollTaxes[Month 33],SalaryPayrollTaxes[exp_item],$H1368,SalaryPayrollTaxes[company_name],$B1368,SalaryPayrollTaxes[bu_name],$C1368)*(AR423+AR528+AR633)+SUMIFS(ExpensePayrollTaxes[Month 33],ExpensePayrollTaxes[exp_item],$H738,ExpensePayrollTaxes[company_name],$B1368)*AR738)</f>
        <v>0</v>
      </c>
      <c r="AS1368" s="652">
        <f>IF($B1368="",,SUMIFS(SalaryPayrollTaxes[Month 34],SalaryPayrollTaxes[exp_item],$H1368,SalaryPayrollTaxes[company_name],$B1368,SalaryPayrollTaxes[bu_name],$C1368)*(AS423+AS528+AS633)+SUMIFS(ExpensePayrollTaxes[Month 34],ExpensePayrollTaxes[exp_item],$H738,ExpensePayrollTaxes[company_name],$B1368)*AS738)</f>
        <v>0</v>
      </c>
      <c r="AT1368" s="652">
        <f>IF($B1368="",,SUMIFS(SalaryPayrollTaxes[Month 35],SalaryPayrollTaxes[exp_item],$H1368,SalaryPayrollTaxes[company_name],$B1368,SalaryPayrollTaxes[bu_name],$C1368)*(AT423+AT528+AT633)+SUMIFS(ExpensePayrollTaxes[Month 35],ExpensePayrollTaxes[exp_item],$H738,ExpensePayrollTaxes[company_name],$B1368)*AT738)</f>
        <v>0</v>
      </c>
      <c r="AU1368" s="652">
        <f>IF($B1368="",,SUMIFS(SalaryPayrollTaxes[Month 36],SalaryPayrollTaxes[exp_item],$H1368,SalaryPayrollTaxes[company_name],$B1368,SalaryPayrollTaxes[bu_name],$C1368)*(AU423+AU528+AU633)+SUMIFS(ExpensePayrollTaxes[Month 36],ExpensePayrollTaxes[exp_item],$H738,ExpensePayrollTaxes[company_name],$B1368)*AU738)</f>
        <v>0</v>
      </c>
    </row>
    <row r="1369" spans="2:47" x14ac:dyDescent="0.35">
      <c r="B1369" t="str">
        <f t="shared" si="992"/>
        <v/>
      </c>
      <c r="C1369" t="str">
        <f t="shared" si="992"/>
        <v/>
      </c>
      <c r="D1369" t="str">
        <f t="shared" si="992"/>
        <v/>
      </c>
      <c r="E1369" t="str">
        <f t="shared" si="992"/>
        <v/>
      </c>
      <c r="F1369" t="str">
        <f t="shared" si="992"/>
        <v/>
      </c>
      <c r="G1369" t="str">
        <f t="shared" si="992"/>
        <v/>
      </c>
      <c r="H1369" t="str">
        <f t="shared" si="989"/>
        <v/>
      </c>
      <c r="J1369" t="str">
        <f>IF($H1369="","",IF(VLOOKUP(H1369,ExpItems[],2,0),H1369&amp;" - "&amp;INDEX(DivisionMapping[category_code],MATCH($D1369&amp;$C1369,DivisionMapping[dept_bu],0)),H1369))</f>
        <v/>
      </c>
      <c r="K1369" t="str">
        <f t="shared" si="990"/>
        <v/>
      </c>
      <c r="L1369" s="652">
        <f>IF($B1369="",,SUMIFS(SalaryPayrollTaxes[Month 1],SalaryPayrollTaxes[exp_item],$H1369,SalaryPayrollTaxes[company_name],$B1369,SalaryPayrollTaxes[bu_name],$C1369)*(L424+L529+L634)+SUMIFS(ExpensePayrollTaxes[Month 1],ExpensePayrollTaxes[exp_item],$H739,ExpensePayrollTaxes[company_name],$B1369)*L739)</f>
        <v>0</v>
      </c>
      <c r="M1369" s="652">
        <f>IF($B1369="",,SUMIFS(SalaryPayrollTaxes[Month 2],SalaryPayrollTaxes[exp_item],$H1369,SalaryPayrollTaxes[company_name],$B1369,SalaryPayrollTaxes[bu_name],$C1369)*(M424+M529+M634)+SUMIFS(ExpensePayrollTaxes[Month 2],ExpensePayrollTaxes[exp_item],$H739,ExpensePayrollTaxes[company_name],$B1369)*M739)</f>
        <v>0</v>
      </c>
      <c r="N1369" s="652">
        <f>IF($B1369="",,SUMIFS(SalaryPayrollTaxes[Month 3],SalaryPayrollTaxes[exp_item],$H1369,SalaryPayrollTaxes[company_name],$B1369,SalaryPayrollTaxes[bu_name],$C1369)*(N424+N529+N634)+SUMIFS(ExpensePayrollTaxes[Month 3],ExpensePayrollTaxes[exp_item],$H739,ExpensePayrollTaxes[company_name],$B1369)*N739)</f>
        <v>0</v>
      </c>
      <c r="O1369" s="652">
        <f>IF($B1369="",,SUMIFS(SalaryPayrollTaxes[Month 4],SalaryPayrollTaxes[exp_item],$H1369,SalaryPayrollTaxes[company_name],$B1369,SalaryPayrollTaxes[bu_name],$C1369)*(O424+O529+O634)+SUMIFS(ExpensePayrollTaxes[Month 4],ExpensePayrollTaxes[exp_item],$H739,ExpensePayrollTaxes[company_name],$B1369)*O739)</f>
        <v>0</v>
      </c>
      <c r="P1369" s="652">
        <f>IF($B1369="",,SUMIFS(SalaryPayrollTaxes[Month 5],SalaryPayrollTaxes[exp_item],$H1369,SalaryPayrollTaxes[company_name],$B1369,SalaryPayrollTaxes[bu_name],$C1369)*(P424+P529+P634)+SUMIFS(ExpensePayrollTaxes[Month 5],ExpensePayrollTaxes[exp_item],$H739,ExpensePayrollTaxes[company_name],$B1369)*P739)</f>
        <v>0</v>
      </c>
      <c r="Q1369" s="652">
        <f>IF($B1369="",,SUMIFS(SalaryPayrollTaxes[Month 6],SalaryPayrollTaxes[exp_item],$H1369,SalaryPayrollTaxes[company_name],$B1369,SalaryPayrollTaxes[bu_name],$C1369)*(Q424+Q529+Q634)+SUMIFS(ExpensePayrollTaxes[Month 6],ExpensePayrollTaxes[exp_item],$H739,ExpensePayrollTaxes[company_name],$B1369)*Q739)</f>
        <v>0</v>
      </c>
      <c r="R1369" s="652">
        <f>IF($B1369="",,SUMIFS(SalaryPayrollTaxes[Month 7],SalaryPayrollTaxes[exp_item],$H1369,SalaryPayrollTaxes[company_name],$B1369,SalaryPayrollTaxes[bu_name],$C1369)*(R424+R529+R634)+SUMIFS(ExpensePayrollTaxes[Month 7],ExpensePayrollTaxes[exp_item],$H739,ExpensePayrollTaxes[company_name],$B1369)*R739)</f>
        <v>0</v>
      </c>
      <c r="S1369" s="652">
        <f>IF($B1369="",,SUMIFS(SalaryPayrollTaxes[Month 8],SalaryPayrollTaxes[exp_item],$H1369,SalaryPayrollTaxes[company_name],$B1369,SalaryPayrollTaxes[bu_name],$C1369)*(S424+S529+S634)+SUMIFS(ExpensePayrollTaxes[Month 8],ExpensePayrollTaxes[exp_item],$H739,ExpensePayrollTaxes[company_name],$B1369)*S739)</f>
        <v>0</v>
      </c>
      <c r="T1369" s="652">
        <f>IF($B1369="",,SUMIFS(SalaryPayrollTaxes[Month 9],SalaryPayrollTaxes[exp_item],$H1369,SalaryPayrollTaxes[company_name],$B1369,SalaryPayrollTaxes[bu_name],$C1369)*(T424+T529+T634)+SUMIFS(ExpensePayrollTaxes[Month 9],ExpensePayrollTaxes[exp_item],$H739,ExpensePayrollTaxes[company_name],$B1369)*T739)</f>
        <v>0</v>
      </c>
      <c r="U1369" s="652">
        <f>IF($B1369="",,SUMIFS(SalaryPayrollTaxes[Month 10],SalaryPayrollTaxes[exp_item],$H1369,SalaryPayrollTaxes[company_name],$B1369,SalaryPayrollTaxes[bu_name],$C1369)*(U424+U529+U634)+SUMIFS(ExpensePayrollTaxes[Month 10],ExpensePayrollTaxes[exp_item],$H739,ExpensePayrollTaxes[company_name],$B1369)*U739)</f>
        <v>0</v>
      </c>
      <c r="V1369" s="652">
        <f>IF($B1369="",,SUMIFS(SalaryPayrollTaxes[Month 11],SalaryPayrollTaxes[exp_item],$H1369,SalaryPayrollTaxes[company_name],$B1369,SalaryPayrollTaxes[bu_name],$C1369)*(V424+V529+V634)+SUMIFS(ExpensePayrollTaxes[Month 11],ExpensePayrollTaxes[exp_item],$H739,ExpensePayrollTaxes[company_name],$B1369)*V739)</f>
        <v>0</v>
      </c>
      <c r="W1369" s="652">
        <f>IF($B1369="",,SUMIFS(SalaryPayrollTaxes[Month 12],SalaryPayrollTaxes[exp_item],$H1369,SalaryPayrollTaxes[company_name],$B1369,SalaryPayrollTaxes[bu_name],$C1369)*(W424+W529+W634)+SUMIFS(ExpensePayrollTaxes[Month 12],ExpensePayrollTaxes[exp_item],$H739,ExpensePayrollTaxes[company_name],$B1369)*W739)</f>
        <v>0</v>
      </c>
      <c r="X1369" s="652">
        <f>IF($B1369="",,SUMIFS(SalaryPayrollTaxes[Month 13],SalaryPayrollTaxes[exp_item],$H1369,SalaryPayrollTaxes[company_name],$B1369,SalaryPayrollTaxes[bu_name],$C1369)*(X424+X529+X634)+SUMIFS(ExpensePayrollTaxes[Month 13],ExpensePayrollTaxes[exp_item],$H739,ExpensePayrollTaxes[company_name],$B1369)*X739)</f>
        <v>0</v>
      </c>
      <c r="Y1369" s="652">
        <f>IF($B1369="",,SUMIFS(SalaryPayrollTaxes[Month 14],SalaryPayrollTaxes[exp_item],$H1369,SalaryPayrollTaxes[company_name],$B1369,SalaryPayrollTaxes[bu_name],$C1369)*(Y424+Y529+Y634)+SUMIFS(ExpensePayrollTaxes[Month 14],ExpensePayrollTaxes[exp_item],$H739,ExpensePayrollTaxes[company_name],$B1369)*Y739)</f>
        <v>0</v>
      </c>
      <c r="Z1369" s="652">
        <f>IF($B1369="",,SUMIFS(SalaryPayrollTaxes[Month 15],SalaryPayrollTaxes[exp_item],$H1369,SalaryPayrollTaxes[company_name],$B1369,SalaryPayrollTaxes[bu_name],$C1369)*(Z424+Z529+Z634)+SUMIFS(ExpensePayrollTaxes[Month 15],ExpensePayrollTaxes[exp_item],$H739,ExpensePayrollTaxes[company_name],$B1369)*Z739)</f>
        <v>0</v>
      </c>
      <c r="AA1369" s="652">
        <f>IF($B1369="",,SUMIFS(SalaryPayrollTaxes[Month 16],SalaryPayrollTaxes[exp_item],$H1369,SalaryPayrollTaxes[company_name],$B1369,SalaryPayrollTaxes[bu_name],$C1369)*(AA424+AA529+AA634)+SUMIFS(ExpensePayrollTaxes[Month 16],ExpensePayrollTaxes[exp_item],$H739,ExpensePayrollTaxes[company_name],$B1369)*AA739)</f>
        <v>0</v>
      </c>
      <c r="AB1369" s="652">
        <f>IF($B1369="",,SUMIFS(SalaryPayrollTaxes[Month 17],SalaryPayrollTaxes[exp_item],$H1369,SalaryPayrollTaxes[company_name],$B1369,SalaryPayrollTaxes[bu_name],$C1369)*(AB424+AB529+AB634)+SUMIFS(ExpensePayrollTaxes[Month 17],ExpensePayrollTaxes[exp_item],$H739,ExpensePayrollTaxes[company_name],$B1369)*AB739)</f>
        <v>0</v>
      </c>
      <c r="AC1369" s="652">
        <f>IF($B1369="",,SUMIFS(SalaryPayrollTaxes[Month 18],SalaryPayrollTaxes[exp_item],$H1369,SalaryPayrollTaxes[company_name],$B1369,SalaryPayrollTaxes[bu_name],$C1369)*(AC424+AC529+AC634)+SUMIFS(ExpensePayrollTaxes[Month 18],ExpensePayrollTaxes[exp_item],$H739,ExpensePayrollTaxes[company_name],$B1369)*AC739)</f>
        <v>0</v>
      </c>
      <c r="AD1369" s="652">
        <f>IF($B1369="",,SUMIFS(SalaryPayrollTaxes[Month 19],SalaryPayrollTaxes[exp_item],$H1369,SalaryPayrollTaxes[company_name],$B1369,SalaryPayrollTaxes[bu_name],$C1369)*(AD424+AD529+AD634)+SUMIFS(ExpensePayrollTaxes[Month 19],ExpensePayrollTaxes[exp_item],$H739,ExpensePayrollTaxes[company_name],$B1369)*AD739)</f>
        <v>0</v>
      </c>
      <c r="AE1369" s="652">
        <f>IF($B1369="",,SUMIFS(SalaryPayrollTaxes[Month 20],SalaryPayrollTaxes[exp_item],$H1369,SalaryPayrollTaxes[company_name],$B1369,SalaryPayrollTaxes[bu_name],$C1369)*(AE424+AE529+AE634)+SUMIFS(ExpensePayrollTaxes[Month 20],ExpensePayrollTaxes[exp_item],$H739,ExpensePayrollTaxes[company_name],$B1369)*AE739)</f>
        <v>0</v>
      </c>
      <c r="AF1369" s="652">
        <f>IF($B1369="",,SUMIFS(SalaryPayrollTaxes[Month 21],SalaryPayrollTaxes[exp_item],$H1369,SalaryPayrollTaxes[company_name],$B1369,SalaryPayrollTaxes[bu_name],$C1369)*(AF424+AF529+AF634)+SUMIFS(ExpensePayrollTaxes[Month 21],ExpensePayrollTaxes[exp_item],$H739,ExpensePayrollTaxes[company_name],$B1369)*AF739)</f>
        <v>0</v>
      </c>
      <c r="AG1369" s="652">
        <f>IF($B1369="",,SUMIFS(SalaryPayrollTaxes[Month 22],SalaryPayrollTaxes[exp_item],$H1369,SalaryPayrollTaxes[company_name],$B1369,SalaryPayrollTaxes[bu_name],$C1369)*(AG424+AG529+AG634)+SUMIFS(ExpensePayrollTaxes[Month 22],ExpensePayrollTaxes[exp_item],$H739,ExpensePayrollTaxes[company_name],$B1369)*AG739)</f>
        <v>0</v>
      </c>
      <c r="AH1369" s="652">
        <f>IF($B1369="",,SUMIFS(SalaryPayrollTaxes[Month 23],SalaryPayrollTaxes[exp_item],$H1369,SalaryPayrollTaxes[company_name],$B1369,SalaryPayrollTaxes[bu_name],$C1369)*(AH424+AH529+AH634)+SUMIFS(ExpensePayrollTaxes[Month 23],ExpensePayrollTaxes[exp_item],$H739,ExpensePayrollTaxes[company_name],$B1369)*AH739)</f>
        <v>0</v>
      </c>
      <c r="AI1369" s="652">
        <f>IF($B1369="",,SUMIFS(SalaryPayrollTaxes[Month 24],SalaryPayrollTaxes[exp_item],$H1369,SalaryPayrollTaxes[company_name],$B1369,SalaryPayrollTaxes[bu_name],$C1369)*(AI424+AI529+AI634)+SUMIFS(ExpensePayrollTaxes[Month 24],ExpensePayrollTaxes[exp_item],$H739,ExpensePayrollTaxes[company_name],$B1369)*AI739)</f>
        <v>0</v>
      </c>
      <c r="AJ1369" s="652">
        <f>IF($B1369="",,SUMIFS(SalaryPayrollTaxes[Month 25],SalaryPayrollTaxes[exp_item],$H1369,SalaryPayrollTaxes[company_name],$B1369,SalaryPayrollTaxes[bu_name],$C1369)*(AJ424+AJ529+AJ634)+SUMIFS(ExpensePayrollTaxes[Month 25],ExpensePayrollTaxes[exp_item],$H739,ExpensePayrollTaxes[company_name],$B1369)*AJ739)</f>
        <v>0</v>
      </c>
      <c r="AK1369" s="652">
        <f>IF($B1369="",,SUMIFS(SalaryPayrollTaxes[Month 26],SalaryPayrollTaxes[exp_item],$H1369,SalaryPayrollTaxes[company_name],$B1369,SalaryPayrollTaxes[bu_name],$C1369)*(AK424+AK529+AK634)+SUMIFS(ExpensePayrollTaxes[Month 26],ExpensePayrollTaxes[exp_item],$H739,ExpensePayrollTaxes[company_name],$B1369)*AK739)</f>
        <v>0</v>
      </c>
      <c r="AL1369" s="652">
        <f>IF($B1369="",,SUMIFS(SalaryPayrollTaxes[Month 27],SalaryPayrollTaxes[exp_item],$H1369,SalaryPayrollTaxes[company_name],$B1369,SalaryPayrollTaxes[bu_name],$C1369)*(AL424+AL529+AL634)+SUMIFS(ExpensePayrollTaxes[Month 27],ExpensePayrollTaxes[exp_item],$H739,ExpensePayrollTaxes[company_name],$B1369)*AL739)</f>
        <v>0</v>
      </c>
      <c r="AM1369" s="652">
        <f>IF($B1369="",,SUMIFS(SalaryPayrollTaxes[Month 28],SalaryPayrollTaxes[exp_item],$H1369,SalaryPayrollTaxes[company_name],$B1369,SalaryPayrollTaxes[bu_name],$C1369)*(AM424+AM529+AM634)+SUMIFS(ExpensePayrollTaxes[Month 28],ExpensePayrollTaxes[exp_item],$H739,ExpensePayrollTaxes[company_name],$B1369)*AM739)</f>
        <v>0</v>
      </c>
      <c r="AN1369" s="652">
        <f>IF($B1369="",,SUMIFS(SalaryPayrollTaxes[Month 29],SalaryPayrollTaxes[exp_item],$H1369,SalaryPayrollTaxes[company_name],$B1369,SalaryPayrollTaxes[bu_name],$C1369)*(AN424+AN529+AN634)+SUMIFS(ExpensePayrollTaxes[Month 29],ExpensePayrollTaxes[exp_item],$H739,ExpensePayrollTaxes[company_name],$B1369)*AN739)</f>
        <v>0</v>
      </c>
      <c r="AO1369" s="652">
        <f>IF($B1369="",,SUMIFS(SalaryPayrollTaxes[Month 30],SalaryPayrollTaxes[exp_item],$H1369,SalaryPayrollTaxes[company_name],$B1369,SalaryPayrollTaxes[bu_name],$C1369)*(AO424+AO529+AO634)+SUMIFS(ExpensePayrollTaxes[Month 30],ExpensePayrollTaxes[exp_item],$H739,ExpensePayrollTaxes[company_name],$B1369)*AO739)</f>
        <v>0</v>
      </c>
      <c r="AP1369" s="652">
        <f>IF($B1369="",,SUMIFS(SalaryPayrollTaxes[Month 31],SalaryPayrollTaxes[exp_item],$H1369,SalaryPayrollTaxes[company_name],$B1369,SalaryPayrollTaxes[bu_name],$C1369)*(AP424+AP529+AP634)+SUMIFS(ExpensePayrollTaxes[Month 31],ExpensePayrollTaxes[exp_item],$H739,ExpensePayrollTaxes[company_name],$B1369)*AP739)</f>
        <v>0</v>
      </c>
      <c r="AQ1369" s="652">
        <f>IF($B1369="",,SUMIFS(SalaryPayrollTaxes[Month 32],SalaryPayrollTaxes[exp_item],$H1369,SalaryPayrollTaxes[company_name],$B1369,SalaryPayrollTaxes[bu_name],$C1369)*(AQ424+AQ529+AQ634)+SUMIFS(ExpensePayrollTaxes[Month 32],ExpensePayrollTaxes[exp_item],$H739,ExpensePayrollTaxes[company_name],$B1369)*AQ739)</f>
        <v>0</v>
      </c>
      <c r="AR1369" s="652">
        <f>IF($B1369="",,SUMIFS(SalaryPayrollTaxes[Month 33],SalaryPayrollTaxes[exp_item],$H1369,SalaryPayrollTaxes[company_name],$B1369,SalaryPayrollTaxes[bu_name],$C1369)*(AR424+AR529+AR634)+SUMIFS(ExpensePayrollTaxes[Month 33],ExpensePayrollTaxes[exp_item],$H739,ExpensePayrollTaxes[company_name],$B1369)*AR739)</f>
        <v>0</v>
      </c>
      <c r="AS1369" s="652">
        <f>IF($B1369="",,SUMIFS(SalaryPayrollTaxes[Month 34],SalaryPayrollTaxes[exp_item],$H1369,SalaryPayrollTaxes[company_name],$B1369,SalaryPayrollTaxes[bu_name],$C1369)*(AS424+AS529+AS634)+SUMIFS(ExpensePayrollTaxes[Month 34],ExpensePayrollTaxes[exp_item],$H739,ExpensePayrollTaxes[company_name],$B1369)*AS739)</f>
        <v>0</v>
      </c>
      <c r="AT1369" s="652">
        <f>IF($B1369="",,SUMIFS(SalaryPayrollTaxes[Month 35],SalaryPayrollTaxes[exp_item],$H1369,SalaryPayrollTaxes[company_name],$B1369,SalaryPayrollTaxes[bu_name],$C1369)*(AT424+AT529+AT634)+SUMIFS(ExpensePayrollTaxes[Month 35],ExpensePayrollTaxes[exp_item],$H739,ExpensePayrollTaxes[company_name],$B1369)*AT739)</f>
        <v>0</v>
      </c>
      <c r="AU1369" s="652">
        <f>IF($B1369="",,SUMIFS(SalaryPayrollTaxes[Month 36],SalaryPayrollTaxes[exp_item],$H1369,SalaryPayrollTaxes[company_name],$B1369,SalaryPayrollTaxes[bu_name],$C1369)*(AU424+AU529+AU634)+SUMIFS(ExpensePayrollTaxes[Month 36],ExpensePayrollTaxes[exp_item],$H739,ExpensePayrollTaxes[company_name],$B1369)*AU739)</f>
        <v>0</v>
      </c>
    </row>
    <row r="1370" spans="2:47" x14ac:dyDescent="0.35">
      <c r="B1370" t="str">
        <f t="shared" si="992"/>
        <v/>
      </c>
      <c r="C1370" t="str">
        <f t="shared" si="992"/>
        <v/>
      </c>
      <c r="D1370" t="str">
        <f t="shared" si="992"/>
        <v/>
      </c>
      <c r="E1370" t="str">
        <f t="shared" si="992"/>
        <v/>
      </c>
      <c r="F1370" t="str">
        <f t="shared" si="992"/>
        <v/>
      </c>
      <c r="G1370" t="str">
        <f t="shared" si="992"/>
        <v/>
      </c>
      <c r="H1370" t="str">
        <f t="shared" si="989"/>
        <v/>
      </c>
      <c r="J1370" t="str">
        <f>IF($H1370="","",IF(VLOOKUP(H1370,ExpItems[],2,0),H1370&amp;" - "&amp;INDEX(DivisionMapping[category_code],MATCH($D1370&amp;$C1370,DivisionMapping[dept_bu],0)),H1370))</f>
        <v/>
      </c>
      <c r="K1370" t="str">
        <f t="shared" si="990"/>
        <v/>
      </c>
      <c r="L1370" s="652">
        <f>IF($B1370="",,SUMIFS(SalaryPayrollTaxes[Month 1],SalaryPayrollTaxes[exp_item],$H1370,SalaryPayrollTaxes[company_name],$B1370,SalaryPayrollTaxes[bu_name],$C1370)*(L425+L530+L635)+SUMIFS(ExpensePayrollTaxes[Month 1],ExpensePayrollTaxes[exp_item],$H740,ExpensePayrollTaxes[company_name],$B1370)*L740)</f>
        <v>0</v>
      </c>
      <c r="M1370" s="652">
        <f>IF($B1370="",,SUMIFS(SalaryPayrollTaxes[Month 2],SalaryPayrollTaxes[exp_item],$H1370,SalaryPayrollTaxes[company_name],$B1370,SalaryPayrollTaxes[bu_name],$C1370)*(M425+M530+M635)+SUMIFS(ExpensePayrollTaxes[Month 2],ExpensePayrollTaxes[exp_item],$H740,ExpensePayrollTaxes[company_name],$B1370)*M740)</f>
        <v>0</v>
      </c>
      <c r="N1370" s="652">
        <f>IF($B1370="",,SUMIFS(SalaryPayrollTaxes[Month 3],SalaryPayrollTaxes[exp_item],$H1370,SalaryPayrollTaxes[company_name],$B1370,SalaryPayrollTaxes[bu_name],$C1370)*(N425+N530+N635)+SUMIFS(ExpensePayrollTaxes[Month 3],ExpensePayrollTaxes[exp_item],$H740,ExpensePayrollTaxes[company_name],$B1370)*N740)</f>
        <v>0</v>
      </c>
      <c r="O1370" s="652">
        <f>IF($B1370="",,SUMIFS(SalaryPayrollTaxes[Month 4],SalaryPayrollTaxes[exp_item],$H1370,SalaryPayrollTaxes[company_name],$B1370,SalaryPayrollTaxes[bu_name],$C1370)*(O425+O530+O635)+SUMIFS(ExpensePayrollTaxes[Month 4],ExpensePayrollTaxes[exp_item],$H740,ExpensePayrollTaxes[company_name],$B1370)*O740)</f>
        <v>0</v>
      </c>
      <c r="P1370" s="652">
        <f>IF($B1370="",,SUMIFS(SalaryPayrollTaxes[Month 5],SalaryPayrollTaxes[exp_item],$H1370,SalaryPayrollTaxes[company_name],$B1370,SalaryPayrollTaxes[bu_name],$C1370)*(P425+P530+P635)+SUMIFS(ExpensePayrollTaxes[Month 5],ExpensePayrollTaxes[exp_item],$H740,ExpensePayrollTaxes[company_name],$B1370)*P740)</f>
        <v>0</v>
      </c>
      <c r="Q1370" s="652">
        <f>IF($B1370="",,SUMIFS(SalaryPayrollTaxes[Month 6],SalaryPayrollTaxes[exp_item],$H1370,SalaryPayrollTaxes[company_name],$B1370,SalaryPayrollTaxes[bu_name],$C1370)*(Q425+Q530+Q635)+SUMIFS(ExpensePayrollTaxes[Month 6],ExpensePayrollTaxes[exp_item],$H740,ExpensePayrollTaxes[company_name],$B1370)*Q740)</f>
        <v>0</v>
      </c>
      <c r="R1370" s="652">
        <f>IF($B1370="",,SUMIFS(SalaryPayrollTaxes[Month 7],SalaryPayrollTaxes[exp_item],$H1370,SalaryPayrollTaxes[company_name],$B1370,SalaryPayrollTaxes[bu_name],$C1370)*(R425+R530+R635)+SUMIFS(ExpensePayrollTaxes[Month 7],ExpensePayrollTaxes[exp_item],$H740,ExpensePayrollTaxes[company_name],$B1370)*R740)</f>
        <v>0</v>
      </c>
      <c r="S1370" s="652">
        <f>IF($B1370="",,SUMIFS(SalaryPayrollTaxes[Month 8],SalaryPayrollTaxes[exp_item],$H1370,SalaryPayrollTaxes[company_name],$B1370,SalaryPayrollTaxes[bu_name],$C1370)*(S425+S530+S635)+SUMIFS(ExpensePayrollTaxes[Month 8],ExpensePayrollTaxes[exp_item],$H740,ExpensePayrollTaxes[company_name],$B1370)*S740)</f>
        <v>0</v>
      </c>
      <c r="T1370" s="652">
        <f>IF($B1370="",,SUMIFS(SalaryPayrollTaxes[Month 9],SalaryPayrollTaxes[exp_item],$H1370,SalaryPayrollTaxes[company_name],$B1370,SalaryPayrollTaxes[bu_name],$C1370)*(T425+T530+T635)+SUMIFS(ExpensePayrollTaxes[Month 9],ExpensePayrollTaxes[exp_item],$H740,ExpensePayrollTaxes[company_name],$B1370)*T740)</f>
        <v>0</v>
      </c>
      <c r="U1370" s="652">
        <f>IF($B1370="",,SUMIFS(SalaryPayrollTaxes[Month 10],SalaryPayrollTaxes[exp_item],$H1370,SalaryPayrollTaxes[company_name],$B1370,SalaryPayrollTaxes[bu_name],$C1370)*(U425+U530+U635)+SUMIFS(ExpensePayrollTaxes[Month 10],ExpensePayrollTaxes[exp_item],$H740,ExpensePayrollTaxes[company_name],$B1370)*U740)</f>
        <v>0</v>
      </c>
      <c r="V1370" s="652">
        <f>IF($B1370="",,SUMIFS(SalaryPayrollTaxes[Month 11],SalaryPayrollTaxes[exp_item],$H1370,SalaryPayrollTaxes[company_name],$B1370,SalaryPayrollTaxes[bu_name],$C1370)*(V425+V530+V635)+SUMIFS(ExpensePayrollTaxes[Month 11],ExpensePayrollTaxes[exp_item],$H740,ExpensePayrollTaxes[company_name],$B1370)*V740)</f>
        <v>0</v>
      </c>
      <c r="W1370" s="652">
        <f>IF($B1370="",,SUMIFS(SalaryPayrollTaxes[Month 12],SalaryPayrollTaxes[exp_item],$H1370,SalaryPayrollTaxes[company_name],$B1370,SalaryPayrollTaxes[bu_name],$C1370)*(W425+W530+W635)+SUMIFS(ExpensePayrollTaxes[Month 12],ExpensePayrollTaxes[exp_item],$H740,ExpensePayrollTaxes[company_name],$B1370)*W740)</f>
        <v>0</v>
      </c>
      <c r="X1370" s="652">
        <f>IF($B1370="",,SUMIFS(SalaryPayrollTaxes[Month 13],SalaryPayrollTaxes[exp_item],$H1370,SalaryPayrollTaxes[company_name],$B1370,SalaryPayrollTaxes[bu_name],$C1370)*(X425+X530+X635)+SUMIFS(ExpensePayrollTaxes[Month 13],ExpensePayrollTaxes[exp_item],$H740,ExpensePayrollTaxes[company_name],$B1370)*X740)</f>
        <v>0</v>
      </c>
      <c r="Y1370" s="652">
        <f>IF($B1370="",,SUMIFS(SalaryPayrollTaxes[Month 14],SalaryPayrollTaxes[exp_item],$H1370,SalaryPayrollTaxes[company_name],$B1370,SalaryPayrollTaxes[bu_name],$C1370)*(Y425+Y530+Y635)+SUMIFS(ExpensePayrollTaxes[Month 14],ExpensePayrollTaxes[exp_item],$H740,ExpensePayrollTaxes[company_name],$B1370)*Y740)</f>
        <v>0</v>
      </c>
      <c r="Z1370" s="652">
        <f>IF($B1370="",,SUMIFS(SalaryPayrollTaxes[Month 15],SalaryPayrollTaxes[exp_item],$H1370,SalaryPayrollTaxes[company_name],$B1370,SalaryPayrollTaxes[bu_name],$C1370)*(Z425+Z530+Z635)+SUMIFS(ExpensePayrollTaxes[Month 15],ExpensePayrollTaxes[exp_item],$H740,ExpensePayrollTaxes[company_name],$B1370)*Z740)</f>
        <v>0</v>
      </c>
      <c r="AA1370" s="652">
        <f>IF($B1370="",,SUMIFS(SalaryPayrollTaxes[Month 16],SalaryPayrollTaxes[exp_item],$H1370,SalaryPayrollTaxes[company_name],$B1370,SalaryPayrollTaxes[bu_name],$C1370)*(AA425+AA530+AA635)+SUMIFS(ExpensePayrollTaxes[Month 16],ExpensePayrollTaxes[exp_item],$H740,ExpensePayrollTaxes[company_name],$B1370)*AA740)</f>
        <v>0</v>
      </c>
      <c r="AB1370" s="652">
        <f>IF($B1370="",,SUMIFS(SalaryPayrollTaxes[Month 17],SalaryPayrollTaxes[exp_item],$H1370,SalaryPayrollTaxes[company_name],$B1370,SalaryPayrollTaxes[bu_name],$C1370)*(AB425+AB530+AB635)+SUMIFS(ExpensePayrollTaxes[Month 17],ExpensePayrollTaxes[exp_item],$H740,ExpensePayrollTaxes[company_name],$B1370)*AB740)</f>
        <v>0</v>
      </c>
      <c r="AC1370" s="652">
        <f>IF($B1370="",,SUMIFS(SalaryPayrollTaxes[Month 18],SalaryPayrollTaxes[exp_item],$H1370,SalaryPayrollTaxes[company_name],$B1370,SalaryPayrollTaxes[bu_name],$C1370)*(AC425+AC530+AC635)+SUMIFS(ExpensePayrollTaxes[Month 18],ExpensePayrollTaxes[exp_item],$H740,ExpensePayrollTaxes[company_name],$B1370)*AC740)</f>
        <v>0</v>
      </c>
      <c r="AD1370" s="652">
        <f>IF($B1370="",,SUMIFS(SalaryPayrollTaxes[Month 19],SalaryPayrollTaxes[exp_item],$H1370,SalaryPayrollTaxes[company_name],$B1370,SalaryPayrollTaxes[bu_name],$C1370)*(AD425+AD530+AD635)+SUMIFS(ExpensePayrollTaxes[Month 19],ExpensePayrollTaxes[exp_item],$H740,ExpensePayrollTaxes[company_name],$B1370)*AD740)</f>
        <v>0</v>
      </c>
      <c r="AE1370" s="652">
        <f>IF($B1370="",,SUMIFS(SalaryPayrollTaxes[Month 20],SalaryPayrollTaxes[exp_item],$H1370,SalaryPayrollTaxes[company_name],$B1370,SalaryPayrollTaxes[bu_name],$C1370)*(AE425+AE530+AE635)+SUMIFS(ExpensePayrollTaxes[Month 20],ExpensePayrollTaxes[exp_item],$H740,ExpensePayrollTaxes[company_name],$B1370)*AE740)</f>
        <v>0</v>
      </c>
      <c r="AF1370" s="652">
        <f>IF($B1370="",,SUMIFS(SalaryPayrollTaxes[Month 21],SalaryPayrollTaxes[exp_item],$H1370,SalaryPayrollTaxes[company_name],$B1370,SalaryPayrollTaxes[bu_name],$C1370)*(AF425+AF530+AF635)+SUMIFS(ExpensePayrollTaxes[Month 21],ExpensePayrollTaxes[exp_item],$H740,ExpensePayrollTaxes[company_name],$B1370)*AF740)</f>
        <v>0</v>
      </c>
      <c r="AG1370" s="652">
        <f>IF($B1370="",,SUMIFS(SalaryPayrollTaxes[Month 22],SalaryPayrollTaxes[exp_item],$H1370,SalaryPayrollTaxes[company_name],$B1370,SalaryPayrollTaxes[bu_name],$C1370)*(AG425+AG530+AG635)+SUMIFS(ExpensePayrollTaxes[Month 22],ExpensePayrollTaxes[exp_item],$H740,ExpensePayrollTaxes[company_name],$B1370)*AG740)</f>
        <v>0</v>
      </c>
      <c r="AH1370" s="652">
        <f>IF($B1370="",,SUMIFS(SalaryPayrollTaxes[Month 23],SalaryPayrollTaxes[exp_item],$H1370,SalaryPayrollTaxes[company_name],$B1370,SalaryPayrollTaxes[bu_name],$C1370)*(AH425+AH530+AH635)+SUMIFS(ExpensePayrollTaxes[Month 23],ExpensePayrollTaxes[exp_item],$H740,ExpensePayrollTaxes[company_name],$B1370)*AH740)</f>
        <v>0</v>
      </c>
      <c r="AI1370" s="652">
        <f>IF($B1370="",,SUMIFS(SalaryPayrollTaxes[Month 24],SalaryPayrollTaxes[exp_item],$H1370,SalaryPayrollTaxes[company_name],$B1370,SalaryPayrollTaxes[bu_name],$C1370)*(AI425+AI530+AI635)+SUMIFS(ExpensePayrollTaxes[Month 24],ExpensePayrollTaxes[exp_item],$H740,ExpensePayrollTaxes[company_name],$B1370)*AI740)</f>
        <v>0</v>
      </c>
      <c r="AJ1370" s="652">
        <f>IF($B1370="",,SUMIFS(SalaryPayrollTaxes[Month 25],SalaryPayrollTaxes[exp_item],$H1370,SalaryPayrollTaxes[company_name],$B1370,SalaryPayrollTaxes[bu_name],$C1370)*(AJ425+AJ530+AJ635)+SUMIFS(ExpensePayrollTaxes[Month 25],ExpensePayrollTaxes[exp_item],$H740,ExpensePayrollTaxes[company_name],$B1370)*AJ740)</f>
        <v>0</v>
      </c>
      <c r="AK1370" s="652">
        <f>IF($B1370="",,SUMIFS(SalaryPayrollTaxes[Month 26],SalaryPayrollTaxes[exp_item],$H1370,SalaryPayrollTaxes[company_name],$B1370,SalaryPayrollTaxes[bu_name],$C1370)*(AK425+AK530+AK635)+SUMIFS(ExpensePayrollTaxes[Month 26],ExpensePayrollTaxes[exp_item],$H740,ExpensePayrollTaxes[company_name],$B1370)*AK740)</f>
        <v>0</v>
      </c>
      <c r="AL1370" s="652">
        <f>IF($B1370="",,SUMIFS(SalaryPayrollTaxes[Month 27],SalaryPayrollTaxes[exp_item],$H1370,SalaryPayrollTaxes[company_name],$B1370,SalaryPayrollTaxes[bu_name],$C1370)*(AL425+AL530+AL635)+SUMIFS(ExpensePayrollTaxes[Month 27],ExpensePayrollTaxes[exp_item],$H740,ExpensePayrollTaxes[company_name],$B1370)*AL740)</f>
        <v>0</v>
      </c>
      <c r="AM1370" s="652">
        <f>IF($B1370="",,SUMIFS(SalaryPayrollTaxes[Month 28],SalaryPayrollTaxes[exp_item],$H1370,SalaryPayrollTaxes[company_name],$B1370,SalaryPayrollTaxes[bu_name],$C1370)*(AM425+AM530+AM635)+SUMIFS(ExpensePayrollTaxes[Month 28],ExpensePayrollTaxes[exp_item],$H740,ExpensePayrollTaxes[company_name],$B1370)*AM740)</f>
        <v>0</v>
      </c>
      <c r="AN1370" s="652">
        <f>IF($B1370="",,SUMIFS(SalaryPayrollTaxes[Month 29],SalaryPayrollTaxes[exp_item],$H1370,SalaryPayrollTaxes[company_name],$B1370,SalaryPayrollTaxes[bu_name],$C1370)*(AN425+AN530+AN635)+SUMIFS(ExpensePayrollTaxes[Month 29],ExpensePayrollTaxes[exp_item],$H740,ExpensePayrollTaxes[company_name],$B1370)*AN740)</f>
        <v>0</v>
      </c>
      <c r="AO1370" s="652">
        <f>IF($B1370="",,SUMIFS(SalaryPayrollTaxes[Month 30],SalaryPayrollTaxes[exp_item],$H1370,SalaryPayrollTaxes[company_name],$B1370,SalaryPayrollTaxes[bu_name],$C1370)*(AO425+AO530+AO635)+SUMIFS(ExpensePayrollTaxes[Month 30],ExpensePayrollTaxes[exp_item],$H740,ExpensePayrollTaxes[company_name],$B1370)*AO740)</f>
        <v>0</v>
      </c>
      <c r="AP1370" s="652">
        <f>IF($B1370="",,SUMIFS(SalaryPayrollTaxes[Month 31],SalaryPayrollTaxes[exp_item],$H1370,SalaryPayrollTaxes[company_name],$B1370,SalaryPayrollTaxes[bu_name],$C1370)*(AP425+AP530+AP635)+SUMIFS(ExpensePayrollTaxes[Month 31],ExpensePayrollTaxes[exp_item],$H740,ExpensePayrollTaxes[company_name],$B1370)*AP740)</f>
        <v>0</v>
      </c>
      <c r="AQ1370" s="652">
        <f>IF($B1370="",,SUMIFS(SalaryPayrollTaxes[Month 32],SalaryPayrollTaxes[exp_item],$H1370,SalaryPayrollTaxes[company_name],$B1370,SalaryPayrollTaxes[bu_name],$C1370)*(AQ425+AQ530+AQ635)+SUMIFS(ExpensePayrollTaxes[Month 32],ExpensePayrollTaxes[exp_item],$H740,ExpensePayrollTaxes[company_name],$B1370)*AQ740)</f>
        <v>0</v>
      </c>
      <c r="AR1370" s="652">
        <f>IF($B1370="",,SUMIFS(SalaryPayrollTaxes[Month 33],SalaryPayrollTaxes[exp_item],$H1370,SalaryPayrollTaxes[company_name],$B1370,SalaryPayrollTaxes[bu_name],$C1370)*(AR425+AR530+AR635)+SUMIFS(ExpensePayrollTaxes[Month 33],ExpensePayrollTaxes[exp_item],$H740,ExpensePayrollTaxes[company_name],$B1370)*AR740)</f>
        <v>0</v>
      </c>
      <c r="AS1370" s="652">
        <f>IF($B1370="",,SUMIFS(SalaryPayrollTaxes[Month 34],SalaryPayrollTaxes[exp_item],$H1370,SalaryPayrollTaxes[company_name],$B1370,SalaryPayrollTaxes[bu_name],$C1370)*(AS425+AS530+AS635)+SUMIFS(ExpensePayrollTaxes[Month 34],ExpensePayrollTaxes[exp_item],$H740,ExpensePayrollTaxes[company_name],$B1370)*AS740)</f>
        <v>0</v>
      </c>
      <c r="AT1370" s="652">
        <f>IF($B1370="",,SUMIFS(SalaryPayrollTaxes[Month 35],SalaryPayrollTaxes[exp_item],$H1370,SalaryPayrollTaxes[company_name],$B1370,SalaryPayrollTaxes[bu_name],$C1370)*(AT425+AT530+AT635)+SUMIFS(ExpensePayrollTaxes[Month 35],ExpensePayrollTaxes[exp_item],$H740,ExpensePayrollTaxes[company_name],$B1370)*AT740)</f>
        <v>0</v>
      </c>
      <c r="AU1370" s="652">
        <f>IF($B1370="",,SUMIFS(SalaryPayrollTaxes[Month 36],SalaryPayrollTaxes[exp_item],$H1370,SalaryPayrollTaxes[company_name],$B1370,SalaryPayrollTaxes[bu_name],$C1370)*(AU425+AU530+AU635)+SUMIFS(ExpensePayrollTaxes[Month 36],ExpensePayrollTaxes[exp_item],$H740,ExpensePayrollTaxes[company_name],$B1370)*AU740)</f>
        <v>0</v>
      </c>
    </row>
    <row r="1371" spans="2:47" x14ac:dyDescent="0.35">
      <c r="B1371" t="str">
        <f t="shared" ref="B1371:G1380" si="993">IF(B1266="","",B1266)</f>
        <v/>
      </c>
      <c r="C1371" t="str">
        <f t="shared" si="993"/>
        <v/>
      </c>
      <c r="D1371" t="str">
        <f t="shared" si="993"/>
        <v/>
      </c>
      <c r="E1371" t="str">
        <f t="shared" si="993"/>
        <v/>
      </c>
      <c r="F1371" t="str">
        <f t="shared" si="993"/>
        <v/>
      </c>
      <c r="G1371" t="str">
        <f t="shared" si="993"/>
        <v/>
      </c>
      <c r="H1371" t="str">
        <f t="shared" si="989"/>
        <v/>
      </c>
      <c r="J1371" t="str">
        <f>IF($H1371="","",IF(VLOOKUP(H1371,ExpItems[],2,0),H1371&amp;" - "&amp;INDEX(DivisionMapping[category_code],MATCH($D1371&amp;$C1371,DivisionMapping[dept_bu],0)),H1371))</f>
        <v/>
      </c>
      <c r="K1371" t="str">
        <f t="shared" si="990"/>
        <v/>
      </c>
      <c r="L1371" s="652">
        <f>IF($B1371="",,SUMIFS(SalaryPayrollTaxes[Month 1],SalaryPayrollTaxes[exp_item],$H1371,SalaryPayrollTaxes[company_name],$B1371,SalaryPayrollTaxes[bu_name],$C1371)*(L426+L531+L636)+SUMIFS(ExpensePayrollTaxes[Month 1],ExpensePayrollTaxes[exp_item],$H741,ExpensePayrollTaxes[company_name],$B1371)*L741)</f>
        <v>0</v>
      </c>
      <c r="M1371" s="652">
        <f>IF($B1371="",,SUMIFS(SalaryPayrollTaxes[Month 2],SalaryPayrollTaxes[exp_item],$H1371,SalaryPayrollTaxes[company_name],$B1371,SalaryPayrollTaxes[bu_name],$C1371)*(M426+M531+M636)+SUMIFS(ExpensePayrollTaxes[Month 2],ExpensePayrollTaxes[exp_item],$H741,ExpensePayrollTaxes[company_name],$B1371)*M741)</f>
        <v>0</v>
      </c>
      <c r="N1371" s="652">
        <f>IF($B1371="",,SUMIFS(SalaryPayrollTaxes[Month 3],SalaryPayrollTaxes[exp_item],$H1371,SalaryPayrollTaxes[company_name],$B1371,SalaryPayrollTaxes[bu_name],$C1371)*(N426+N531+N636)+SUMIFS(ExpensePayrollTaxes[Month 3],ExpensePayrollTaxes[exp_item],$H741,ExpensePayrollTaxes[company_name],$B1371)*N741)</f>
        <v>0</v>
      </c>
      <c r="O1371" s="652">
        <f>IF($B1371="",,SUMIFS(SalaryPayrollTaxes[Month 4],SalaryPayrollTaxes[exp_item],$H1371,SalaryPayrollTaxes[company_name],$B1371,SalaryPayrollTaxes[bu_name],$C1371)*(O426+O531+O636)+SUMIFS(ExpensePayrollTaxes[Month 4],ExpensePayrollTaxes[exp_item],$H741,ExpensePayrollTaxes[company_name],$B1371)*O741)</f>
        <v>0</v>
      </c>
      <c r="P1371" s="652">
        <f>IF($B1371="",,SUMIFS(SalaryPayrollTaxes[Month 5],SalaryPayrollTaxes[exp_item],$H1371,SalaryPayrollTaxes[company_name],$B1371,SalaryPayrollTaxes[bu_name],$C1371)*(P426+P531+P636)+SUMIFS(ExpensePayrollTaxes[Month 5],ExpensePayrollTaxes[exp_item],$H741,ExpensePayrollTaxes[company_name],$B1371)*P741)</f>
        <v>0</v>
      </c>
      <c r="Q1371" s="652">
        <f>IF($B1371="",,SUMIFS(SalaryPayrollTaxes[Month 6],SalaryPayrollTaxes[exp_item],$H1371,SalaryPayrollTaxes[company_name],$B1371,SalaryPayrollTaxes[bu_name],$C1371)*(Q426+Q531+Q636)+SUMIFS(ExpensePayrollTaxes[Month 6],ExpensePayrollTaxes[exp_item],$H741,ExpensePayrollTaxes[company_name],$B1371)*Q741)</f>
        <v>0</v>
      </c>
      <c r="R1371" s="652">
        <f>IF($B1371="",,SUMIFS(SalaryPayrollTaxes[Month 7],SalaryPayrollTaxes[exp_item],$H1371,SalaryPayrollTaxes[company_name],$B1371,SalaryPayrollTaxes[bu_name],$C1371)*(R426+R531+R636)+SUMIFS(ExpensePayrollTaxes[Month 7],ExpensePayrollTaxes[exp_item],$H741,ExpensePayrollTaxes[company_name],$B1371)*R741)</f>
        <v>0</v>
      </c>
      <c r="S1371" s="652">
        <f>IF($B1371="",,SUMIFS(SalaryPayrollTaxes[Month 8],SalaryPayrollTaxes[exp_item],$H1371,SalaryPayrollTaxes[company_name],$B1371,SalaryPayrollTaxes[bu_name],$C1371)*(S426+S531+S636)+SUMIFS(ExpensePayrollTaxes[Month 8],ExpensePayrollTaxes[exp_item],$H741,ExpensePayrollTaxes[company_name],$B1371)*S741)</f>
        <v>0</v>
      </c>
      <c r="T1371" s="652">
        <f>IF($B1371="",,SUMIFS(SalaryPayrollTaxes[Month 9],SalaryPayrollTaxes[exp_item],$H1371,SalaryPayrollTaxes[company_name],$B1371,SalaryPayrollTaxes[bu_name],$C1371)*(T426+T531+T636)+SUMIFS(ExpensePayrollTaxes[Month 9],ExpensePayrollTaxes[exp_item],$H741,ExpensePayrollTaxes[company_name],$B1371)*T741)</f>
        <v>0</v>
      </c>
      <c r="U1371" s="652">
        <f>IF($B1371="",,SUMIFS(SalaryPayrollTaxes[Month 10],SalaryPayrollTaxes[exp_item],$H1371,SalaryPayrollTaxes[company_name],$B1371,SalaryPayrollTaxes[bu_name],$C1371)*(U426+U531+U636)+SUMIFS(ExpensePayrollTaxes[Month 10],ExpensePayrollTaxes[exp_item],$H741,ExpensePayrollTaxes[company_name],$B1371)*U741)</f>
        <v>0</v>
      </c>
      <c r="V1371" s="652">
        <f>IF($B1371="",,SUMIFS(SalaryPayrollTaxes[Month 11],SalaryPayrollTaxes[exp_item],$H1371,SalaryPayrollTaxes[company_name],$B1371,SalaryPayrollTaxes[bu_name],$C1371)*(V426+V531+V636)+SUMIFS(ExpensePayrollTaxes[Month 11],ExpensePayrollTaxes[exp_item],$H741,ExpensePayrollTaxes[company_name],$B1371)*V741)</f>
        <v>0</v>
      </c>
      <c r="W1371" s="652">
        <f>IF($B1371="",,SUMIFS(SalaryPayrollTaxes[Month 12],SalaryPayrollTaxes[exp_item],$H1371,SalaryPayrollTaxes[company_name],$B1371,SalaryPayrollTaxes[bu_name],$C1371)*(W426+W531+W636)+SUMIFS(ExpensePayrollTaxes[Month 12],ExpensePayrollTaxes[exp_item],$H741,ExpensePayrollTaxes[company_name],$B1371)*W741)</f>
        <v>0</v>
      </c>
      <c r="X1371" s="652">
        <f>IF($B1371="",,SUMIFS(SalaryPayrollTaxes[Month 13],SalaryPayrollTaxes[exp_item],$H1371,SalaryPayrollTaxes[company_name],$B1371,SalaryPayrollTaxes[bu_name],$C1371)*(X426+X531+X636)+SUMIFS(ExpensePayrollTaxes[Month 13],ExpensePayrollTaxes[exp_item],$H741,ExpensePayrollTaxes[company_name],$B1371)*X741)</f>
        <v>0</v>
      </c>
      <c r="Y1371" s="652">
        <f>IF($B1371="",,SUMIFS(SalaryPayrollTaxes[Month 14],SalaryPayrollTaxes[exp_item],$H1371,SalaryPayrollTaxes[company_name],$B1371,SalaryPayrollTaxes[bu_name],$C1371)*(Y426+Y531+Y636)+SUMIFS(ExpensePayrollTaxes[Month 14],ExpensePayrollTaxes[exp_item],$H741,ExpensePayrollTaxes[company_name],$B1371)*Y741)</f>
        <v>0</v>
      </c>
      <c r="Z1371" s="652">
        <f>IF($B1371="",,SUMIFS(SalaryPayrollTaxes[Month 15],SalaryPayrollTaxes[exp_item],$H1371,SalaryPayrollTaxes[company_name],$B1371,SalaryPayrollTaxes[bu_name],$C1371)*(Z426+Z531+Z636)+SUMIFS(ExpensePayrollTaxes[Month 15],ExpensePayrollTaxes[exp_item],$H741,ExpensePayrollTaxes[company_name],$B1371)*Z741)</f>
        <v>0</v>
      </c>
      <c r="AA1371" s="652">
        <f>IF($B1371="",,SUMIFS(SalaryPayrollTaxes[Month 16],SalaryPayrollTaxes[exp_item],$H1371,SalaryPayrollTaxes[company_name],$B1371,SalaryPayrollTaxes[bu_name],$C1371)*(AA426+AA531+AA636)+SUMIFS(ExpensePayrollTaxes[Month 16],ExpensePayrollTaxes[exp_item],$H741,ExpensePayrollTaxes[company_name],$B1371)*AA741)</f>
        <v>0</v>
      </c>
      <c r="AB1371" s="652">
        <f>IF($B1371="",,SUMIFS(SalaryPayrollTaxes[Month 17],SalaryPayrollTaxes[exp_item],$H1371,SalaryPayrollTaxes[company_name],$B1371,SalaryPayrollTaxes[bu_name],$C1371)*(AB426+AB531+AB636)+SUMIFS(ExpensePayrollTaxes[Month 17],ExpensePayrollTaxes[exp_item],$H741,ExpensePayrollTaxes[company_name],$B1371)*AB741)</f>
        <v>0</v>
      </c>
      <c r="AC1371" s="652">
        <f>IF($B1371="",,SUMIFS(SalaryPayrollTaxes[Month 18],SalaryPayrollTaxes[exp_item],$H1371,SalaryPayrollTaxes[company_name],$B1371,SalaryPayrollTaxes[bu_name],$C1371)*(AC426+AC531+AC636)+SUMIFS(ExpensePayrollTaxes[Month 18],ExpensePayrollTaxes[exp_item],$H741,ExpensePayrollTaxes[company_name],$B1371)*AC741)</f>
        <v>0</v>
      </c>
      <c r="AD1371" s="652">
        <f>IF($B1371="",,SUMIFS(SalaryPayrollTaxes[Month 19],SalaryPayrollTaxes[exp_item],$H1371,SalaryPayrollTaxes[company_name],$B1371,SalaryPayrollTaxes[bu_name],$C1371)*(AD426+AD531+AD636)+SUMIFS(ExpensePayrollTaxes[Month 19],ExpensePayrollTaxes[exp_item],$H741,ExpensePayrollTaxes[company_name],$B1371)*AD741)</f>
        <v>0</v>
      </c>
      <c r="AE1371" s="652">
        <f>IF($B1371="",,SUMIFS(SalaryPayrollTaxes[Month 20],SalaryPayrollTaxes[exp_item],$H1371,SalaryPayrollTaxes[company_name],$B1371,SalaryPayrollTaxes[bu_name],$C1371)*(AE426+AE531+AE636)+SUMIFS(ExpensePayrollTaxes[Month 20],ExpensePayrollTaxes[exp_item],$H741,ExpensePayrollTaxes[company_name],$B1371)*AE741)</f>
        <v>0</v>
      </c>
      <c r="AF1371" s="652">
        <f>IF($B1371="",,SUMIFS(SalaryPayrollTaxes[Month 21],SalaryPayrollTaxes[exp_item],$H1371,SalaryPayrollTaxes[company_name],$B1371,SalaryPayrollTaxes[bu_name],$C1371)*(AF426+AF531+AF636)+SUMIFS(ExpensePayrollTaxes[Month 21],ExpensePayrollTaxes[exp_item],$H741,ExpensePayrollTaxes[company_name],$B1371)*AF741)</f>
        <v>0</v>
      </c>
      <c r="AG1371" s="652">
        <f>IF($B1371="",,SUMIFS(SalaryPayrollTaxes[Month 22],SalaryPayrollTaxes[exp_item],$H1371,SalaryPayrollTaxes[company_name],$B1371,SalaryPayrollTaxes[bu_name],$C1371)*(AG426+AG531+AG636)+SUMIFS(ExpensePayrollTaxes[Month 22],ExpensePayrollTaxes[exp_item],$H741,ExpensePayrollTaxes[company_name],$B1371)*AG741)</f>
        <v>0</v>
      </c>
      <c r="AH1371" s="652">
        <f>IF($B1371="",,SUMIFS(SalaryPayrollTaxes[Month 23],SalaryPayrollTaxes[exp_item],$H1371,SalaryPayrollTaxes[company_name],$B1371,SalaryPayrollTaxes[bu_name],$C1371)*(AH426+AH531+AH636)+SUMIFS(ExpensePayrollTaxes[Month 23],ExpensePayrollTaxes[exp_item],$H741,ExpensePayrollTaxes[company_name],$B1371)*AH741)</f>
        <v>0</v>
      </c>
      <c r="AI1371" s="652">
        <f>IF($B1371="",,SUMIFS(SalaryPayrollTaxes[Month 24],SalaryPayrollTaxes[exp_item],$H1371,SalaryPayrollTaxes[company_name],$B1371,SalaryPayrollTaxes[bu_name],$C1371)*(AI426+AI531+AI636)+SUMIFS(ExpensePayrollTaxes[Month 24],ExpensePayrollTaxes[exp_item],$H741,ExpensePayrollTaxes[company_name],$B1371)*AI741)</f>
        <v>0</v>
      </c>
      <c r="AJ1371" s="652">
        <f>IF($B1371="",,SUMIFS(SalaryPayrollTaxes[Month 25],SalaryPayrollTaxes[exp_item],$H1371,SalaryPayrollTaxes[company_name],$B1371,SalaryPayrollTaxes[bu_name],$C1371)*(AJ426+AJ531+AJ636)+SUMIFS(ExpensePayrollTaxes[Month 25],ExpensePayrollTaxes[exp_item],$H741,ExpensePayrollTaxes[company_name],$B1371)*AJ741)</f>
        <v>0</v>
      </c>
      <c r="AK1371" s="652">
        <f>IF($B1371="",,SUMIFS(SalaryPayrollTaxes[Month 26],SalaryPayrollTaxes[exp_item],$H1371,SalaryPayrollTaxes[company_name],$B1371,SalaryPayrollTaxes[bu_name],$C1371)*(AK426+AK531+AK636)+SUMIFS(ExpensePayrollTaxes[Month 26],ExpensePayrollTaxes[exp_item],$H741,ExpensePayrollTaxes[company_name],$B1371)*AK741)</f>
        <v>0</v>
      </c>
      <c r="AL1371" s="652">
        <f>IF($B1371="",,SUMIFS(SalaryPayrollTaxes[Month 27],SalaryPayrollTaxes[exp_item],$H1371,SalaryPayrollTaxes[company_name],$B1371,SalaryPayrollTaxes[bu_name],$C1371)*(AL426+AL531+AL636)+SUMIFS(ExpensePayrollTaxes[Month 27],ExpensePayrollTaxes[exp_item],$H741,ExpensePayrollTaxes[company_name],$B1371)*AL741)</f>
        <v>0</v>
      </c>
      <c r="AM1371" s="652">
        <f>IF($B1371="",,SUMIFS(SalaryPayrollTaxes[Month 28],SalaryPayrollTaxes[exp_item],$H1371,SalaryPayrollTaxes[company_name],$B1371,SalaryPayrollTaxes[bu_name],$C1371)*(AM426+AM531+AM636)+SUMIFS(ExpensePayrollTaxes[Month 28],ExpensePayrollTaxes[exp_item],$H741,ExpensePayrollTaxes[company_name],$B1371)*AM741)</f>
        <v>0</v>
      </c>
      <c r="AN1371" s="652">
        <f>IF($B1371="",,SUMIFS(SalaryPayrollTaxes[Month 29],SalaryPayrollTaxes[exp_item],$H1371,SalaryPayrollTaxes[company_name],$B1371,SalaryPayrollTaxes[bu_name],$C1371)*(AN426+AN531+AN636)+SUMIFS(ExpensePayrollTaxes[Month 29],ExpensePayrollTaxes[exp_item],$H741,ExpensePayrollTaxes[company_name],$B1371)*AN741)</f>
        <v>0</v>
      </c>
      <c r="AO1371" s="652">
        <f>IF($B1371="",,SUMIFS(SalaryPayrollTaxes[Month 30],SalaryPayrollTaxes[exp_item],$H1371,SalaryPayrollTaxes[company_name],$B1371,SalaryPayrollTaxes[bu_name],$C1371)*(AO426+AO531+AO636)+SUMIFS(ExpensePayrollTaxes[Month 30],ExpensePayrollTaxes[exp_item],$H741,ExpensePayrollTaxes[company_name],$B1371)*AO741)</f>
        <v>0</v>
      </c>
      <c r="AP1371" s="652">
        <f>IF($B1371="",,SUMIFS(SalaryPayrollTaxes[Month 31],SalaryPayrollTaxes[exp_item],$H1371,SalaryPayrollTaxes[company_name],$B1371,SalaryPayrollTaxes[bu_name],$C1371)*(AP426+AP531+AP636)+SUMIFS(ExpensePayrollTaxes[Month 31],ExpensePayrollTaxes[exp_item],$H741,ExpensePayrollTaxes[company_name],$B1371)*AP741)</f>
        <v>0</v>
      </c>
      <c r="AQ1371" s="652">
        <f>IF($B1371="",,SUMIFS(SalaryPayrollTaxes[Month 32],SalaryPayrollTaxes[exp_item],$H1371,SalaryPayrollTaxes[company_name],$B1371,SalaryPayrollTaxes[bu_name],$C1371)*(AQ426+AQ531+AQ636)+SUMIFS(ExpensePayrollTaxes[Month 32],ExpensePayrollTaxes[exp_item],$H741,ExpensePayrollTaxes[company_name],$B1371)*AQ741)</f>
        <v>0</v>
      </c>
      <c r="AR1371" s="652">
        <f>IF($B1371="",,SUMIFS(SalaryPayrollTaxes[Month 33],SalaryPayrollTaxes[exp_item],$H1371,SalaryPayrollTaxes[company_name],$B1371,SalaryPayrollTaxes[bu_name],$C1371)*(AR426+AR531+AR636)+SUMIFS(ExpensePayrollTaxes[Month 33],ExpensePayrollTaxes[exp_item],$H741,ExpensePayrollTaxes[company_name],$B1371)*AR741)</f>
        <v>0</v>
      </c>
      <c r="AS1371" s="652">
        <f>IF($B1371="",,SUMIFS(SalaryPayrollTaxes[Month 34],SalaryPayrollTaxes[exp_item],$H1371,SalaryPayrollTaxes[company_name],$B1371,SalaryPayrollTaxes[bu_name],$C1371)*(AS426+AS531+AS636)+SUMIFS(ExpensePayrollTaxes[Month 34],ExpensePayrollTaxes[exp_item],$H741,ExpensePayrollTaxes[company_name],$B1371)*AS741)</f>
        <v>0</v>
      </c>
      <c r="AT1371" s="652">
        <f>IF($B1371="",,SUMIFS(SalaryPayrollTaxes[Month 35],SalaryPayrollTaxes[exp_item],$H1371,SalaryPayrollTaxes[company_name],$B1371,SalaryPayrollTaxes[bu_name],$C1371)*(AT426+AT531+AT636)+SUMIFS(ExpensePayrollTaxes[Month 35],ExpensePayrollTaxes[exp_item],$H741,ExpensePayrollTaxes[company_name],$B1371)*AT741)</f>
        <v>0</v>
      </c>
      <c r="AU1371" s="652">
        <f>IF($B1371="",,SUMIFS(SalaryPayrollTaxes[Month 36],SalaryPayrollTaxes[exp_item],$H1371,SalaryPayrollTaxes[company_name],$B1371,SalaryPayrollTaxes[bu_name],$C1371)*(AU426+AU531+AU636)+SUMIFS(ExpensePayrollTaxes[Month 36],ExpensePayrollTaxes[exp_item],$H741,ExpensePayrollTaxes[company_name],$B1371)*AU741)</f>
        <v>0</v>
      </c>
    </row>
    <row r="1372" spans="2:47" x14ac:dyDescent="0.35">
      <c r="B1372" t="str">
        <f t="shared" si="993"/>
        <v/>
      </c>
      <c r="C1372" t="str">
        <f t="shared" si="993"/>
        <v/>
      </c>
      <c r="D1372" t="str">
        <f t="shared" si="993"/>
        <v/>
      </c>
      <c r="E1372" t="str">
        <f t="shared" si="993"/>
        <v/>
      </c>
      <c r="F1372" t="str">
        <f t="shared" si="993"/>
        <v/>
      </c>
      <c r="G1372" t="str">
        <f t="shared" si="993"/>
        <v/>
      </c>
      <c r="H1372" t="str">
        <f t="shared" si="989"/>
        <v/>
      </c>
      <c r="J1372" t="str">
        <f>IF($H1372="","",IF(VLOOKUP(H1372,ExpItems[],2,0),H1372&amp;" - "&amp;INDEX(DivisionMapping[category_code],MATCH($D1372&amp;$C1372,DivisionMapping[dept_bu],0)),H1372))</f>
        <v/>
      </c>
      <c r="K1372" t="str">
        <f t="shared" si="990"/>
        <v/>
      </c>
      <c r="L1372" s="652">
        <f>IF($B1372="",,SUMIFS(SalaryPayrollTaxes[Month 1],SalaryPayrollTaxes[exp_item],$H1372,SalaryPayrollTaxes[company_name],$B1372,SalaryPayrollTaxes[bu_name],$C1372)*(L427+L532+L637)+SUMIFS(ExpensePayrollTaxes[Month 1],ExpensePayrollTaxes[exp_item],$H742,ExpensePayrollTaxes[company_name],$B1372)*L742)</f>
        <v>0</v>
      </c>
      <c r="M1372" s="652">
        <f>IF($B1372="",,SUMIFS(SalaryPayrollTaxes[Month 2],SalaryPayrollTaxes[exp_item],$H1372,SalaryPayrollTaxes[company_name],$B1372,SalaryPayrollTaxes[bu_name],$C1372)*(M427+M532+M637)+SUMIFS(ExpensePayrollTaxes[Month 2],ExpensePayrollTaxes[exp_item],$H742,ExpensePayrollTaxes[company_name],$B1372)*M742)</f>
        <v>0</v>
      </c>
      <c r="N1372" s="652">
        <f>IF($B1372="",,SUMIFS(SalaryPayrollTaxes[Month 3],SalaryPayrollTaxes[exp_item],$H1372,SalaryPayrollTaxes[company_name],$B1372,SalaryPayrollTaxes[bu_name],$C1372)*(N427+N532+N637)+SUMIFS(ExpensePayrollTaxes[Month 3],ExpensePayrollTaxes[exp_item],$H742,ExpensePayrollTaxes[company_name],$B1372)*N742)</f>
        <v>0</v>
      </c>
      <c r="O1372" s="652">
        <f>IF($B1372="",,SUMIFS(SalaryPayrollTaxes[Month 4],SalaryPayrollTaxes[exp_item],$H1372,SalaryPayrollTaxes[company_name],$B1372,SalaryPayrollTaxes[bu_name],$C1372)*(O427+O532+O637)+SUMIFS(ExpensePayrollTaxes[Month 4],ExpensePayrollTaxes[exp_item],$H742,ExpensePayrollTaxes[company_name],$B1372)*O742)</f>
        <v>0</v>
      </c>
      <c r="P1372" s="652">
        <f>IF($B1372="",,SUMIFS(SalaryPayrollTaxes[Month 5],SalaryPayrollTaxes[exp_item],$H1372,SalaryPayrollTaxes[company_name],$B1372,SalaryPayrollTaxes[bu_name],$C1372)*(P427+P532+P637)+SUMIFS(ExpensePayrollTaxes[Month 5],ExpensePayrollTaxes[exp_item],$H742,ExpensePayrollTaxes[company_name],$B1372)*P742)</f>
        <v>0</v>
      </c>
      <c r="Q1372" s="652">
        <f>IF($B1372="",,SUMIFS(SalaryPayrollTaxes[Month 6],SalaryPayrollTaxes[exp_item],$H1372,SalaryPayrollTaxes[company_name],$B1372,SalaryPayrollTaxes[bu_name],$C1372)*(Q427+Q532+Q637)+SUMIFS(ExpensePayrollTaxes[Month 6],ExpensePayrollTaxes[exp_item],$H742,ExpensePayrollTaxes[company_name],$B1372)*Q742)</f>
        <v>0</v>
      </c>
      <c r="R1372" s="652">
        <f>IF($B1372="",,SUMIFS(SalaryPayrollTaxes[Month 7],SalaryPayrollTaxes[exp_item],$H1372,SalaryPayrollTaxes[company_name],$B1372,SalaryPayrollTaxes[bu_name],$C1372)*(R427+R532+R637)+SUMIFS(ExpensePayrollTaxes[Month 7],ExpensePayrollTaxes[exp_item],$H742,ExpensePayrollTaxes[company_name],$B1372)*R742)</f>
        <v>0</v>
      </c>
      <c r="S1372" s="652">
        <f>IF($B1372="",,SUMIFS(SalaryPayrollTaxes[Month 8],SalaryPayrollTaxes[exp_item],$H1372,SalaryPayrollTaxes[company_name],$B1372,SalaryPayrollTaxes[bu_name],$C1372)*(S427+S532+S637)+SUMIFS(ExpensePayrollTaxes[Month 8],ExpensePayrollTaxes[exp_item],$H742,ExpensePayrollTaxes[company_name],$B1372)*S742)</f>
        <v>0</v>
      </c>
      <c r="T1372" s="652">
        <f>IF($B1372="",,SUMIFS(SalaryPayrollTaxes[Month 9],SalaryPayrollTaxes[exp_item],$H1372,SalaryPayrollTaxes[company_name],$B1372,SalaryPayrollTaxes[bu_name],$C1372)*(T427+T532+T637)+SUMIFS(ExpensePayrollTaxes[Month 9],ExpensePayrollTaxes[exp_item],$H742,ExpensePayrollTaxes[company_name],$B1372)*T742)</f>
        <v>0</v>
      </c>
      <c r="U1372" s="652">
        <f>IF($B1372="",,SUMIFS(SalaryPayrollTaxes[Month 10],SalaryPayrollTaxes[exp_item],$H1372,SalaryPayrollTaxes[company_name],$B1372,SalaryPayrollTaxes[bu_name],$C1372)*(U427+U532+U637)+SUMIFS(ExpensePayrollTaxes[Month 10],ExpensePayrollTaxes[exp_item],$H742,ExpensePayrollTaxes[company_name],$B1372)*U742)</f>
        <v>0</v>
      </c>
      <c r="V1372" s="652">
        <f>IF($B1372="",,SUMIFS(SalaryPayrollTaxes[Month 11],SalaryPayrollTaxes[exp_item],$H1372,SalaryPayrollTaxes[company_name],$B1372,SalaryPayrollTaxes[bu_name],$C1372)*(V427+V532+V637)+SUMIFS(ExpensePayrollTaxes[Month 11],ExpensePayrollTaxes[exp_item],$H742,ExpensePayrollTaxes[company_name],$B1372)*V742)</f>
        <v>0</v>
      </c>
      <c r="W1372" s="652">
        <f>IF($B1372="",,SUMIFS(SalaryPayrollTaxes[Month 12],SalaryPayrollTaxes[exp_item],$H1372,SalaryPayrollTaxes[company_name],$B1372,SalaryPayrollTaxes[bu_name],$C1372)*(W427+W532+W637)+SUMIFS(ExpensePayrollTaxes[Month 12],ExpensePayrollTaxes[exp_item],$H742,ExpensePayrollTaxes[company_name],$B1372)*W742)</f>
        <v>0</v>
      </c>
      <c r="X1372" s="652">
        <f>IF($B1372="",,SUMIFS(SalaryPayrollTaxes[Month 13],SalaryPayrollTaxes[exp_item],$H1372,SalaryPayrollTaxes[company_name],$B1372,SalaryPayrollTaxes[bu_name],$C1372)*(X427+X532+X637)+SUMIFS(ExpensePayrollTaxes[Month 13],ExpensePayrollTaxes[exp_item],$H742,ExpensePayrollTaxes[company_name],$B1372)*X742)</f>
        <v>0</v>
      </c>
      <c r="Y1372" s="652">
        <f>IF($B1372="",,SUMIFS(SalaryPayrollTaxes[Month 14],SalaryPayrollTaxes[exp_item],$H1372,SalaryPayrollTaxes[company_name],$B1372,SalaryPayrollTaxes[bu_name],$C1372)*(Y427+Y532+Y637)+SUMIFS(ExpensePayrollTaxes[Month 14],ExpensePayrollTaxes[exp_item],$H742,ExpensePayrollTaxes[company_name],$B1372)*Y742)</f>
        <v>0</v>
      </c>
      <c r="Z1372" s="652">
        <f>IF($B1372="",,SUMIFS(SalaryPayrollTaxes[Month 15],SalaryPayrollTaxes[exp_item],$H1372,SalaryPayrollTaxes[company_name],$B1372,SalaryPayrollTaxes[bu_name],$C1372)*(Z427+Z532+Z637)+SUMIFS(ExpensePayrollTaxes[Month 15],ExpensePayrollTaxes[exp_item],$H742,ExpensePayrollTaxes[company_name],$B1372)*Z742)</f>
        <v>0</v>
      </c>
      <c r="AA1372" s="652">
        <f>IF($B1372="",,SUMIFS(SalaryPayrollTaxes[Month 16],SalaryPayrollTaxes[exp_item],$H1372,SalaryPayrollTaxes[company_name],$B1372,SalaryPayrollTaxes[bu_name],$C1372)*(AA427+AA532+AA637)+SUMIFS(ExpensePayrollTaxes[Month 16],ExpensePayrollTaxes[exp_item],$H742,ExpensePayrollTaxes[company_name],$B1372)*AA742)</f>
        <v>0</v>
      </c>
      <c r="AB1372" s="652">
        <f>IF($B1372="",,SUMIFS(SalaryPayrollTaxes[Month 17],SalaryPayrollTaxes[exp_item],$H1372,SalaryPayrollTaxes[company_name],$B1372,SalaryPayrollTaxes[bu_name],$C1372)*(AB427+AB532+AB637)+SUMIFS(ExpensePayrollTaxes[Month 17],ExpensePayrollTaxes[exp_item],$H742,ExpensePayrollTaxes[company_name],$B1372)*AB742)</f>
        <v>0</v>
      </c>
      <c r="AC1372" s="652">
        <f>IF($B1372="",,SUMIFS(SalaryPayrollTaxes[Month 18],SalaryPayrollTaxes[exp_item],$H1372,SalaryPayrollTaxes[company_name],$B1372,SalaryPayrollTaxes[bu_name],$C1372)*(AC427+AC532+AC637)+SUMIFS(ExpensePayrollTaxes[Month 18],ExpensePayrollTaxes[exp_item],$H742,ExpensePayrollTaxes[company_name],$B1372)*AC742)</f>
        <v>0</v>
      </c>
      <c r="AD1372" s="652">
        <f>IF($B1372="",,SUMIFS(SalaryPayrollTaxes[Month 19],SalaryPayrollTaxes[exp_item],$H1372,SalaryPayrollTaxes[company_name],$B1372,SalaryPayrollTaxes[bu_name],$C1372)*(AD427+AD532+AD637)+SUMIFS(ExpensePayrollTaxes[Month 19],ExpensePayrollTaxes[exp_item],$H742,ExpensePayrollTaxes[company_name],$B1372)*AD742)</f>
        <v>0</v>
      </c>
      <c r="AE1372" s="652">
        <f>IF($B1372="",,SUMIFS(SalaryPayrollTaxes[Month 20],SalaryPayrollTaxes[exp_item],$H1372,SalaryPayrollTaxes[company_name],$B1372,SalaryPayrollTaxes[bu_name],$C1372)*(AE427+AE532+AE637)+SUMIFS(ExpensePayrollTaxes[Month 20],ExpensePayrollTaxes[exp_item],$H742,ExpensePayrollTaxes[company_name],$B1372)*AE742)</f>
        <v>0</v>
      </c>
      <c r="AF1372" s="652">
        <f>IF($B1372="",,SUMIFS(SalaryPayrollTaxes[Month 21],SalaryPayrollTaxes[exp_item],$H1372,SalaryPayrollTaxes[company_name],$B1372,SalaryPayrollTaxes[bu_name],$C1372)*(AF427+AF532+AF637)+SUMIFS(ExpensePayrollTaxes[Month 21],ExpensePayrollTaxes[exp_item],$H742,ExpensePayrollTaxes[company_name],$B1372)*AF742)</f>
        <v>0</v>
      </c>
      <c r="AG1372" s="652">
        <f>IF($B1372="",,SUMIFS(SalaryPayrollTaxes[Month 22],SalaryPayrollTaxes[exp_item],$H1372,SalaryPayrollTaxes[company_name],$B1372,SalaryPayrollTaxes[bu_name],$C1372)*(AG427+AG532+AG637)+SUMIFS(ExpensePayrollTaxes[Month 22],ExpensePayrollTaxes[exp_item],$H742,ExpensePayrollTaxes[company_name],$B1372)*AG742)</f>
        <v>0</v>
      </c>
      <c r="AH1372" s="652">
        <f>IF($B1372="",,SUMIFS(SalaryPayrollTaxes[Month 23],SalaryPayrollTaxes[exp_item],$H1372,SalaryPayrollTaxes[company_name],$B1372,SalaryPayrollTaxes[bu_name],$C1372)*(AH427+AH532+AH637)+SUMIFS(ExpensePayrollTaxes[Month 23],ExpensePayrollTaxes[exp_item],$H742,ExpensePayrollTaxes[company_name],$B1372)*AH742)</f>
        <v>0</v>
      </c>
      <c r="AI1372" s="652">
        <f>IF($B1372="",,SUMIFS(SalaryPayrollTaxes[Month 24],SalaryPayrollTaxes[exp_item],$H1372,SalaryPayrollTaxes[company_name],$B1372,SalaryPayrollTaxes[bu_name],$C1372)*(AI427+AI532+AI637)+SUMIFS(ExpensePayrollTaxes[Month 24],ExpensePayrollTaxes[exp_item],$H742,ExpensePayrollTaxes[company_name],$B1372)*AI742)</f>
        <v>0</v>
      </c>
      <c r="AJ1372" s="652">
        <f>IF($B1372="",,SUMIFS(SalaryPayrollTaxes[Month 25],SalaryPayrollTaxes[exp_item],$H1372,SalaryPayrollTaxes[company_name],$B1372,SalaryPayrollTaxes[bu_name],$C1372)*(AJ427+AJ532+AJ637)+SUMIFS(ExpensePayrollTaxes[Month 25],ExpensePayrollTaxes[exp_item],$H742,ExpensePayrollTaxes[company_name],$B1372)*AJ742)</f>
        <v>0</v>
      </c>
      <c r="AK1372" s="652">
        <f>IF($B1372="",,SUMIFS(SalaryPayrollTaxes[Month 26],SalaryPayrollTaxes[exp_item],$H1372,SalaryPayrollTaxes[company_name],$B1372,SalaryPayrollTaxes[bu_name],$C1372)*(AK427+AK532+AK637)+SUMIFS(ExpensePayrollTaxes[Month 26],ExpensePayrollTaxes[exp_item],$H742,ExpensePayrollTaxes[company_name],$B1372)*AK742)</f>
        <v>0</v>
      </c>
      <c r="AL1372" s="652">
        <f>IF($B1372="",,SUMIFS(SalaryPayrollTaxes[Month 27],SalaryPayrollTaxes[exp_item],$H1372,SalaryPayrollTaxes[company_name],$B1372,SalaryPayrollTaxes[bu_name],$C1372)*(AL427+AL532+AL637)+SUMIFS(ExpensePayrollTaxes[Month 27],ExpensePayrollTaxes[exp_item],$H742,ExpensePayrollTaxes[company_name],$B1372)*AL742)</f>
        <v>0</v>
      </c>
      <c r="AM1372" s="652">
        <f>IF($B1372="",,SUMIFS(SalaryPayrollTaxes[Month 28],SalaryPayrollTaxes[exp_item],$H1372,SalaryPayrollTaxes[company_name],$B1372,SalaryPayrollTaxes[bu_name],$C1372)*(AM427+AM532+AM637)+SUMIFS(ExpensePayrollTaxes[Month 28],ExpensePayrollTaxes[exp_item],$H742,ExpensePayrollTaxes[company_name],$B1372)*AM742)</f>
        <v>0</v>
      </c>
      <c r="AN1372" s="652">
        <f>IF($B1372="",,SUMIFS(SalaryPayrollTaxes[Month 29],SalaryPayrollTaxes[exp_item],$H1372,SalaryPayrollTaxes[company_name],$B1372,SalaryPayrollTaxes[bu_name],$C1372)*(AN427+AN532+AN637)+SUMIFS(ExpensePayrollTaxes[Month 29],ExpensePayrollTaxes[exp_item],$H742,ExpensePayrollTaxes[company_name],$B1372)*AN742)</f>
        <v>0</v>
      </c>
      <c r="AO1372" s="652">
        <f>IF($B1372="",,SUMIFS(SalaryPayrollTaxes[Month 30],SalaryPayrollTaxes[exp_item],$H1372,SalaryPayrollTaxes[company_name],$B1372,SalaryPayrollTaxes[bu_name],$C1372)*(AO427+AO532+AO637)+SUMIFS(ExpensePayrollTaxes[Month 30],ExpensePayrollTaxes[exp_item],$H742,ExpensePayrollTaxes[company_name],$B1372)*AO742)</f>
        <v>0</v>
      </c>
      <c r="AP1372" s="652">
        <f>IF($B1372="",,SUMIFS(SalaryPayrollTaxes[Month 31],SalaryPayrollTaxes[exp_item],$H1372,SalaryPayrollTaxes[company_name],$B1372,SalaryPayrollTaxes[bu_name],$C1372)*(AP427+AP532+AP637)+SUMIFS(ExpensePayrollTaxes[Month 31],ExpensePayrollTaxes[exp_item],$H742,ExpensePayrollTaxes[company_name],$B1372)*AP742)</f>
        <v>0</v>
      </c>
      <c r="AQ1372" s="652">
        <f>IF($B1372="",,SUMIFS(SalaryPayrollTaxes[Month 32],SalaryPayrollTaxes[exp_item],$H1372,SalaryPayrollTaxes[company_name],$B1372,SalaryPayrollTaxes[bu_name],$C1372)*(AQ427+AQ532+AQ637)+SUMIFS(ExpensePayrollTaxes[Month 32],ExpensePayrollTaxes[exp_item],$H742,ExpensePayrollTaxes[company_name],$B1372)*AQ742)</f>
        <v>0</v>
      </c>
      <c r="AR1372" s="652">
        <f>IF($B1372="",,SUMIFS(SalaryPayrollTaxes[Month 33],SalaryPayrollTaxes[exp_item],$H1372,SalaryPayrollTaxes[company_name],$B1372,SalaryPayrollTaxes[bu_name],$C1372)*(AR427+AR532+AR637)+SUMIFS(ExpensePayrollTaxes[Month 33],ExpensePayrollTaxes[exp_item],$H742,ExpensePayrollTaxes[company_name],$B1372)*AR742)</f>
        <v>0</v>
      </c>
      <c r="AS1372" s="652">
        <f>IF($B1372="",,SUMIFS(SalaryPayrollTaxes[Month 34],SalaryPayrollTaxes[exp_item],$H1372,SalaryPayrollTaxes[company_name],$B1372,SalaryPayrollTaxes[bu_name],$C1372)*(AS427+AS532+AS637)+SUMIFS(ExpensePayrollTaxes[Month 34],ExpensePayrollTaxes[exp_item],$H742,ExpensePayrollTaxes[company_name],$B1372)*AS742)</f>
        <v>0</v>
      </c>
      <c r="AT1372" s="652">
        <f>IF($B1372="",,SUMIFS(SalaryPayrollTaxes[Month 35],SalaryPayrollTaxes[exp_item],$H1372,SalaryPayrollTaxes[company_name],$B1372,SalaryPayrollTaxes[bu_name],$C1372)*(AT427+AT532+AT637)+SUMIFS(ExpensePayrollTaxes[Month 35],ExpensePayrollTaxes[exp_item],$H742,ExpensePayrollTaxes[company_name],$B1372)*AT742)</f>
        <v>0</v>
      </c>
      <c r="AU1372" s="652">
        <f>IF($B1372="",,SUMIFS(SalaryPayrollTaxes[Month 36],SalaryPayrollTaxes[exp_item],$H1372,SalaryPayrollTaxes[company_name],$B1372,SalaryPayrollTaxes[bu_name],$C1372)*(AU427+AU532+AU637)+SUMIFS(ExpensePayrollTaxes[Month 36],ExpensePayrollTaxes[exp_item],$H742,ExpensePayrollTaxes[company_name],$B1372)*AU742)</f>
        <v>0</v>
      </c>
    </row>
    <row r="1373" spans="2:47" x14ac:dyDescent="0.35">
      <c r="B1373" t="str">
        <f t="shared" si="993"/>
        <v/>
      </c>
      <c r="C1373" t="str">
        <f t="shared" si="993"/>
        <v/>
      </c>
      <c r="D1373" t="str">
        <f t="shared" si="993"/>
        <v/>
      </c>
      <c r="E1373" t="str">
        <f t="shared" si="993"/>
        <v/>
      </c>
      <c r="F1373" t="str">
        <f t="shared" si="993"/>
        <v/>
      </c>
      <c r="G1373" t="str">
        <f t="shared" si="993"/>
        <v/>
      </c>
      <c r="H1373" t="str">
        <f t="shared" si="989"/>
        <v/>
      </c>
      <c r="J1373" t="str">
        <f>IF($H1373="","",IF(VLOOKUP(H1373,ExpItems[],2,0),H1373&amp;" - "&amp;INDEX(DivisionMapping[category_code],MATCH($D1373&amp;$C1373,DivisionMapping[dept_bu],0)),H1373))</f>
        <v/>
      </c>
      <c r="K1373" t="str">
        <f t="shared" si="990"/>
        <v/>
      </c>
      <c r="L1373" s="652">
        <f>IF($B1373="",,SUMIFS(SalaryPayrollTaxes[Month 1],SalaryPayrollTaxes[exp_item],$H1373,SalaryPayrollTaxes[company_name],$B1373,SalaryPayrollTaxes[bu_name],$C1373)*(L428+L533+L638)+SUMIFS(ExpensePayrollTaxes[Month 1],ExpensePayrollTaxes[exp_item],$H743,ExpensePayrollTaxes[company_name],$B1373)*L743)</f>
        <v>0</v>
      </c>
      <c r="M1373" s="652">
        <f>IF($B1373="",,SUMIFS(SalaryPayrollTaxes[Month 2],SalaryPayrollTaxes[exp_item],$H1373,SalaryPayrollTaxes[company_name],$B1373,SalaryPayrollTaxes[bu_name],$C1373)*(M428+M533+M638)+SUMIFS(ExpensePayrollTaxes[Month 2],ExpensePayrollTaxes[exp_item],$H743,ExpensePayrollTaxes[company_name],$B1373)*M743)</f>
        <v>0</v>
      </c>
      <c r="N1373" s="652">
        <f>IF($B1373="",,SUMIFS(SalaryPayrollTaxes[Month 3],SalaryPayrollTaxes[exp_item],$H1373,SalaryPayrollTaxes[company_name],$B1373,SalaryPayrollTaxes[bu_name],$C1373)*(N428+N533+N638)+SUMIFS(ExpensePayrollTaxes[Month 3],ExpensePayrollTaxes[exp_item],$H743,ExpensePayrollTaxes[company_name],$B1373)*N743)</f>
        <v>0</v>
      </c>
      <c r="O1373" s="652">
        <f>IF($B1373="",,SUMIFS(SalaryPayrollTaxes[Month 4],SalaryPayrollTaxes[exp_item],$H1373,SalaryPayrollTaxes[company_name],$B1373,SalaryPayrollTaxes[bu_name],$C1373)*(O428+O533+O638)+SUMIFS(ExpensePayrollTaxes[Month 4],ExpensePayrollTaxes[exp_item],$H743,ExpensePayrollTaxes[company_name],$B1373)*O743)</f>
        <v>0</v>
      </c>
      <c r="P1373" s="652">
        <f>IF($B1373="",,SUMIFS(SalaryPayrollTaxes[Month 5],SalaryPayrollTaxes[exp_item],$H1373,SalaryPayrollTaxes[company_name],$B1373,SalaryPayrollTaxes[bu_name],$C1373)*(P428+P533+P638)+SUMIFS(ExpensePayrollTaxes[Month 5],ExpensePayrollTaxes[exp_item],$H743,ExpensePayrollTaxes[company_name],$B1373)*P743)</f>
        <v>0</v>
      </c>
      <c r="Q1373" s="652">
        <f>IF($B1373="",,SUMIFS(SalaryPayrollTaxes[Month 6],SalaryPayrollTaxes[exp_item],$H1373,SalaryPayrollTaxes[company_name],$B1373,SalaryPayrollTaxes[bu_name],$C1373)*(Q428+Q533+Q638)+SUMIFS(ExpensePayrollTaxes[Month 6],ExpensePayrollTaxes[exp_item],$H743,ExpensePayrollTaxes[company_name],$B1373)*Q743)</f>
        <v>0</v>
      </c>
      <c r="R1373" s="652">
        <f>IF($B1373="",,SUMIFS(SalaryPayrollTaxes[Month 7],SalaryPayrollTaxes[exp_item],$H1373,SalaryPayrollTaxes[company_name],$B1373,SalaryPayrollTaxes[bu_name],$C1373)*(R428+R533+R638)+SUMIFS(ExpensePayrollTaxes[Month 7],ExpensePayrollTaxes[exp_item],$H743,ExpensePayrollTaxes[company_name],$B1373)*R743)</f>
        <v>0</v>
      </c>
      <c r="S1373" s="652">
        <f>IF($B1373="",,SUMIFS(SalaryPayrollTaxes[Month 8],SalaryPayrollTaxes[exp_item],$H1373,SalaryPayrollTaxes[company_name],$B1373,SalaryPayrollTaxes[bu_name],$C1373)*(S428+S533+S638)+SUMIFS(ExpensePayrollTaxes[Month 8],ExpensePayrollTaxes[exp_item],$H743,ExpensePayrollTaxes[company_name],$B1373)*S743)</f>
        <v>0</v>
      </c>
      <c r="T1373" s="652">
        <f>IF($B1373="",,SUMIFS(SalaryPayrollTaxes[Month 9],SalaryPayrollTaxes[exp_item],$H1373,SalaryPayrollTaxes[company_name],$B1373,SalaryPayrollTaxes[bu_name],$C1373)*(T428+T533+T638)+SUMIFS(ExpensePayrollTaxes[Month 9],ExpensePayrollTaxes[exp_item],$H743,ExpensePayrollTaxes[company_name],$B1373)*T743)</f>
        <v>0</v>
      </c>
      <c r="U1373" s="652">
        <f>IF($B1373="",,SUMIFS(SalaryPayrollTaxes[Month 10],SalaryPayrollTaxes[exp_item],$H1373,SalaryPayrollTaxes[company_name],$B1373,SalaryPayrollTaxes[bu_name],$C1373)*(U428+U533+U638)+SUMIFS(ExpensePayrollTaxes[Month 10],ExpensePayrollTaxes[exp_item],$H743,ExpensePayrollTaxes[company_name],$B1373)*U743)</f>
        <v>0</v>
      </c>
      <c r="V1373" s="652">
        <f>IF($B1373="",,SUMIFS(SalaryPayrollTaxes[Month 11],SalaryPayrollTaxes[exp_item],$H1373,SalaryPayrollTaxes[company_name],$B1373,SalaryPayrollTaxes[bu_name],$C1373)*(V428+V533+V638)+SUMIFS(ExpensePayrollTaxes[Month 11],ExpensePayrollTaxes[exp_item],$H743,ExpensePayrollTaxes[company_name],$B1373)*V743)</f>
        <v>0</v>
      </c>
      <c r="W1373" s="652">
        <f>IF($B1373="",,SUMIFS(SalaryPayrollTaxes[Month 12],SalaryPayrollTaxes[exp_item],$H1373,SalaryPayrollTaxes[company_name],$B1373,SalaryPayrollTaxes[bu_name],$C1373)*(W428+W533+W638)+SUMIFS(ExpensePayrollTaxes[Month 12],ExpensePayrollTaxes[exp_item],$H743,ExpensePayrollTaxes[company_name],$B1373)*W743)</f>
        <v>0</v>
      </c>
      <c r="X1373" s="652">
        <f>IF($B1373="",,SUMIFS(SalaryPayrollTaxes[Month 13],SalaryPayrollTaxes[exp_item],$H1373,SalaryPayrollTaxes[company_name],$B1373,SalaryPayrollTaxes[bu_name],$C1373)*(X428+X533+X638)+SUMIFS(ExpensePayrollTaxes[Month 13],ExpensePayrollTaxes[exp_item],$H743,ExpensePayrollTaxes[company_name],$B1373)*X743)</f>
        <v>0</v>
      </c>
      <c r="Y1373" s="652">
        <f>IF($B1373="",,SUMIFS(SalaryPayrollTaxes[Month 14],SalaryPayrollTaxes[exp_item],$H1373,SalaryPayrollTaxes[company_name],$B1373,SalaryPayrollTaxes[bu_name],$C1373)*(Y428+Y533+Y638)+SUMIFS(ExpensePayrollTaxes[Month 14],ExpensePayrollTaxes[exp_item],$H743,ExpensePayrollTaxes[company_name],$B1373)*Y743)</f>
        <v>0</v>
      </c>
      <c r="Z1373" s="652">
        <f>IF($B1373="",,SUMIFS(SalaryPayrollTaxes[Month 15],SalaryPayrollTaxes[exp_item],$H1373,SalaryPayrollTaxes[company_name],$B1373,SalaryPayrollTaxes[bu_name],$C1373)*(Z428+Z533+Z638)+SUMIFS(ExpensePayrollTaxes[Month 15],ExpensePayrollTaxes[exp_item],$H743,ExpensePayrollTaxes[company_name],$B1373)*Z743)</f>
        <v>0</v>
      </c>
      <c r="AA1373" s="652">
        <f>IF($B1373="",,SUMIFS(SalaryPayrollTaxes[Month 16],SalaryPayrollTaxes[exp_item],$H1373,SalaryPayrollTaxes[company_name],$B1373,SalaryPayrollTaxes[bu_name],$C1373)*(AA428+AA533+AA638)+SUMIFS(ExpensePayrollTaxes[Month 16],ExpensePayrollTaxes[exp_item],$H743,ExpensePayrollTaxes[company_name],$B1373)*AA743)</f>
        <v>0</v>
      </c>
      <c r="AB1373" s="652">
        <f>IF($B1373="",,SUMIFS(SalaryPayrollTaxes[Month 17],SalaryPayrollTaxes[exp_item],$H1373,SalaryPayrollTaxes[company_name],$B1373,SalaryPayrollTaxes[bu_name],$C1373)*(AB428+AB533+AB638)+SUMIFS(ExpensePayrollTaxes[Month 17],ExpensePayrollTaxes[exp_item],$H743,ExpensePayrollTaxes[company_name],$B1373)*AB743)</f>
        <v>0</v>
      </c>
      <c r="AC1373" s="652">
        <f>IF($B1373="",,SUMIFS(SalaryPayrollTaxes[Month 18],SalaryPayrollTaxes[exp_item],$H1373,SalaryPayrollTaxes[company_name],$B1373,SalaryPayrollTaxes[bu_name],$C1373)*(AC428+AC533+AC638)+SUMIFS(ExpensePayrollTaxes[Month 18],ExpensePayrollTaxes[exp_item],$H743,ExpensePayrollTaxes[company_name],$B1373)*AC743)</f>
        <v>0</v>
      </c>
      <c r="AD1373" s="652">
        <f>IF($B1373="",,SUMIFS(SalaryPayrollTaxes[Month 19],SalaryPayrollTaxes[exp_item],$H1373,SalaryPayrollTaxes[company_name],$B1373,SalaryPayrollTaxes[bu_name],$C1373)*(AD428+AD533+AD638)+SUMIFS(ExpensePayrollTaxes[Month 19],ExpensePayrollTaxes[exp_item],$H743,ExpensePayrollTaxes[company_name],$B1373)*AD743)</f>
        <v>0</v>
      </c>
      <c r="AE1373" s="652">
        <f>IF($B1373="",,SUMIFS(SalaryPayrollTaxes[Month 20],SalaryPayrollTaxes[exp_item],$H1373,SalaryPayrollTaxes[company_name],$B1373,SalaryPayrollTaxes[bu_name],$C1373)*(AE428+AE533+AE638)+SUMIFS(ExpensePayrollTaxes[Month 20],ExpensePayrollTaxes[exp_item],$H743,ExpensePayrollTaxes[company_name],$B1373)*AE743)</f>
        <v>0</v>
      </c>
      <c r="AF1373" s="652">
        <f>IF($B1373="",,SUMIFS(SalaryPayrollTaxes[Month 21],SalaryPayrollTaxes[exp_item],$H1373,SalaryPayrollTaxes[company_name],$B1373,SalaryPayrollTaxes[bu_name],$C1373)*(AF428+AF533+AF638)+SUMIFS(ExpensePayrollTaxes[Month 21],ExpensePayrollTaxes[exp_item],$H743,ExpensePayrollTaxes[company_name],$B1373)*AF743)</f>
        <v>0</v>
      </c>
      <c r="AG1373" s="652">
        <f>IF($B1373="",,SUMIFS(SalaryPayrollTaxes[Month 22],SalaryPayrollTaxes[exp_item],$H1373,SalaryPayrollTaxes[company_name],$B1373,SalaryPayrollTaxes[bu_name],$C1373)*(AG428+AG533+AG638)+SUMIFS(ExpensePayrollTaxes[Month 22],ExpensePayrollTaxes[exp_item],$H743,ExpensePayrollTaxes[company_name],$B1373)*AG743)</f>
        <v>0</v>
      </c>
      <c r="AH1373" s="652">
        <f>IF($B1373="",,SUMIFS(SalaryPayrollTaxes[Month 23],SalaryPayrollTaxes[exp_item],$H1373,SalaryPayrollTaxes[company_name],$B1373,SalaryPayrollTaxes[bu_name],$C1373)*(AH428+AH533+AH638)+SUMIFS(ExpensePayrollTaxes[Month 23],ExpensePayrollTaxes[exp_item],$H743,ExpensePayrollTaxes[company_name],$B1373)*AH743)</f>
        <v>0</v>
      </c>
      <c r="AI1373" s="652">
        <f>IF($B1373="",,SUMIFS(SalaryPayrollTaxes[Month 24],SalaryPayrollTaxes[exp_item],$H1373,SalaryPayrollTaxes[company_name],$B1373,SalaryPayrollTaxes[bu_name],$C1373)*(AI428+AI533+AI638)+SUMIFS(ExpensePayrollTaxes[Month 24],ExpensePayrollTaxes[exp_item],$H743,ExpensePayrollTaxes[company_name],$B1373)*AI743)</f>
        <v>0</v>
      </c>
      <c r="AJ1373" s="652">
        <f>IF($B1373="",,SUMIFS(SalaryPayrollTaxes[Month 25],SalaryPayrollTaxes[exp_item],$H1373,SalaryPayrollTaxes[company_name],$B1373,SalaryPayrollTaxes[bu_name],$C1373)*(AJ428+AJ533+AJ638)+SUMIFS(ExpensePayrollTaxes[Month 25],ExpensePayrollTaxes[exp_item],$H743,ExpensePayrollTaxes[company_name],$B1373)*AJ743)</f>
        <v>0</v>
      </c>
      <c r="AK1373" s="652">
        <f>IF($B1373="",,SUMIFS(SalaryPayrollTaxes[Month 26],SalaryPayrollTaxes[exp_item],$H1373,SalaryPayrollTaxes[company_name],$B1373,SalaryPayrollTaxes[bu_name],$C1373)*(AK428+AK533+AK638)+SUMIFS(ExpensePayrollTaxes[Month 26],ExpensePayrollTaxes[exp_item],$H743,ExpensePayrollTaxes[company_name],$B1373)*AK743)</f>
        <v>0</v>
      </c>
      <c r="AL1373" s="652">
        <f>IF($B1373="",,SUMIFS(SalaryPayrollTaxes[Month 27],SalaryPayrollTaxes[exp_item],$H1373,SalaryPayrollTaxes[company_name],$B1373,SalaryPayrollTaxes[bu_name],$C1373)*(AL428+AL533+AL638)+SUMIFS(ExpensePayrollTaxes[Month 27],ExpensePayrollTaxes[exp_item],$H743,ExpensePayrollTaxes[company_name],$B1373)*AL743)</f>
        <v>0</v>
      </c>
      <c r="AM1373" s="652">
        <f>IF($B1373="",,SUMIFS(SalaryPayrollTaxes[Month 28],SalaryPayrollTaxes[exp_item],$H1373,SalaryPayrollTaxes[company_name],$B1373,SalaryPayrollTaxes[bu_name],$C1373)*(AM428+AM533+AM638)+SUMIFS(ExpensePayrollTaxes[Month 28],ExpensePayrollTaxes[exp_item],$H743,ExpensePayrollTaxes[company_name],$B1373)*AM743)</f>
        <v>0</v>
      </c>
      <c r="AN1373" s="652">
        <f>IF($B1373="",,SUMIFS(SalaryPayrollTaxes[Month 29],SalaryPayrollTaxes[exp_item],$H1373,SalaryPayrollTaxes[company_name],$B1373,SalaryPayrollTaxes[bu_name],$C1373)*(AN428+AN533+AN638)+SUMIFS(ExpensePayrollTaxes[Month 29],ExpensePayrollTaxes[exp_item],$H743,ExpensePayrollTaxes[company_name],$B1373)*AN743)</f>
        <v>0</v>
      </c>
      <c r="AO1373" s="652">
        <f>IF($B1373="",,SUMIFS(SalaryPayrollTaxes[Month 30],SalaryPayrollTaxes[exp_item],$H1373,SalaryPayrollTaxes[company_name],$B1373,SalaryPayrollTaxes[bu_name],$C1373)*(AO428+AO533+AO638)+SUMIFS(ExpensePayrollTaxes[Month 30],ExpensePayrollTaxes[exp_item],$H743,ExpensePayrollTaxes[company_name],$B1373)*AO743)</f>
        <v>0</v>
      </c>
      <c r="AP1373" s="652">
        <f>IF($B1373="",,SUMIFS(SalaryPayrollTaxes[Month 31],SalaryPayrollTaxes[exp_item],$H1373,SalaryPayrollTaxes[company_name],$B1373,SalaryPayrollTaxes[bu_name],$C1373)*(AP428+AP533+AP638)+SUMIFS(ExpensePayrollTaxes[Month 31],ExpensePayrollTaxes[exp_item],$H743,ExpensePayrollTaxes[company_name],$B1373)*AP743)</f>
        <v>0</v>
      </c>
      <c r="AQ1373" s="652">
        <f>IF($B1373="",,SUMIFS(SalaryPayrollTaxes[Month 32],SalaryPayrollTaxes[exp_item],$H1373,SalaryPayrollTaxes[company_name],$B1373,SalaryPayrollTaxes[bu_name],$C1373)*(AQ428+AQ533+AQ638)+SUMIFS(ExpensePayrollTaxes[Month 32],ExpensePayrollTaxes[exp_item],$H743,ExpensePayrollTaxes[company_name],$B1373)*AQ743)</f>
        <v>0</v>
      </c>
      <c r="AR1373" s="652">
        <f>IF($B1373="",,SUMIFS(SalaryPayrollTaxes[Month 33],SalaryPayrollTaxes[exp_item],$H1373,SalaryPayrollTaxes[company_name],$B1373,SalaryPayrollTaxes[bu_name],$C1373)*(AR428+AR533+AR638)+SUMIFS(ExpensePayrollTaxes[Month 33],ExpensePayrollTaxes[exp_item],$H743,ExpensePayrollTaxes[company_name],$B1373)*AR743)</f>
        <v>0</v>
      </c>
      <c r="AS1373" s="652">
        <f>IF($B1373="",,SUMIFS(SalaryPayrollTaxes[Month 34],SalaryPayrollTaxes[exp_item],$H1373,SalaryPayrollTaxes[company_name],$B1373,SalaryPayrollTaxes[bu_name],$C1373)*(AS428+AS533+AS638)+SUMIFS(ExpensePayrollTaxes[Month 34],ExpensePayrollTaxes[exp_item],$H743,ExpensePayrollTaxes[company_name],$B1373)*AS743)</f>
        <v>0</v>
      </c>
      <c r="AT1373" s="652">
        <f>IF($B1373="",,SUMIFS(SalaryPayrollTaxes[Month 35],SalaryPayrollTaxes[exp_item],$H1373,SalaryPayrollTaxes[company_name],$B1373,SalaryPayrollTaxes[bu_name],$C1373)*(AT428+AT533+AT638)+SUMIFS(ExpensePayrollTaxes[Month 35],ExpensePayrollTaxes[exp_item],$H743,ExpensePayrollTaxes[company_name],$B1373)*AT743)</f>
        <v>0</v>
      </c>
      <c r="AU1373" s="652">
        <f>IF($B1373="",,SUMIFS(SalaryPayrollTaxes[Month 36],SalaryPayrollTaxes[exp_item],$H1373,SalaryPayrollTaxes[company_name],$B1373,SalaryPayrollTaxes[bu_name],$C1373)*(AU428+AU533+AU638)+SUMIFS(ExpensePayrollTaxes[Month 36],ExpensePayrollTaxes[exp_item],$H743,ExpensePayrollTaxes[company_name],$B1373)*AU743)</f>
        <v>0</v>
      </c>
    </row>
    <row r="1374" spans="2:47" x14ac:dyDescent="0.35">
      <c r="B1374" t="str">
        <f t="shared" si="993"/>
        <v/>
      </c>
      <c r="C1374" t="str">
        <f t="shared" si="993"/>
        <v/>
      </c>
      <c r="D1374" t="str">
        <f t="shared" si="993"/>
        <v/>
      </c>
      <c r="E1374" t="str">
        <f t="shared" si="993"/>
        <v/>
      </c>
      <c r="F1374" t="str">
        <f t="shared" si="993"/>
        <v/>
      </c>
      <c r="G1374" t="str">
        <f t="shared" si="993"/>
        <v/>
      </c>
      <c r="H1374" t="str">
        <f t="shared" si="989"/>
        <v/>
      </c>
      <c r="J1374" t="str">
        <f>IF($H1374="","",IF(VLOOKUP(H1374,ExpItems[],2,0),H1374&amp;" - "&amp;INDEX(DivisionMapping[category_code],MATCH($D1374&amp;$C1374,DivisionMapping[dept_bu],0)),H1374))</f>
        <v/>
      </c>
      <c r="K1374" t="str">
        <f t="shared" si="990"/>
        <v/>
      </c>
      <c r="L1374" s="652">
        <f>IF($B1374="",,SUMIFS(SalaryPayrollTaxes[Month 1],SalaryPayrollTaxes[exp_item],$H1374,SalaryPayrollTaxes[company_name],$B1374,SalaryPayrollTaxes[bu_name],$C1374)*(L429+L534+L639)+SUMIFS(ExpensePayrollTaxes[Month 1],ExpensePayrollTaxes[exp_item],$H744,ExpensePayrollTaxes[company_name],$B1374)*L744)</f>
        <v>0</v>
      </c>
      <c r="M1374" s="652">
        <f>IF($B1374="",,SUMIFS(SalaryPayrollTaxes[Month 2],SalaryPayrollTaxes[exp_item],$H1374,SalaryPayrollTaxes[company_name],$B1374,SalaryPayrollTaxes[bu_name],$C1374)*(M429+M534+M639)+SUMIFS(ExpensePayrollTaxes[Month 2],ExpensePayrollTaxes[exp_item],$H744,ExpensePayrollTaxes[company_name],$B1374)*M744)</f>
        <v>0</v>
      </c>
      <c r="N1374" s="652">
        <f>IF($B1374="",,SUMIFS(SalaryPayrollTaxes[Month 3],SalaryPayrollTaxes[exp_item],$H1374,SalaryPayrollTaxes[company_name],$B1374,SalaryPayrollTaxes[bu_name],$C1374)*(N429+N534+N639)+SUMIFS(ExpensePayrollTaxes[Month 3],ExpensePayrollTaxes[exp_item],$H744,ExpensePayrollTaxes[company_name],$B1374)*N744)</f>
        <v>0</v>
      </c>
      <c r="O1374" s="652">
        <f>IF($B1374="",,SUMIFS(SalaryPayrollTaxes[Month 4],SalaryPayrollTaxes[exp_item],$H1374,SalaryPayrollTaxes[company_name],$B1374,SalaryPayrollTaxes[bu_name],$C1374)*(O429+O534+O639)+SUMIFS(ExpensePayrollTaxes[Month 4],ExpensePayrollTaxes[exp_item],$H744,ExpensePayrollTaxes[company_name],$B1374)*O744)</f>
        <v>0</v>
      </c>
      <c r="P1374" s="652">
        <f>IF($B1374="",,SUMIFS(SalaryPayrollTaxes[Month 5],SalaryPayrollTaxes[exp_item],$H1374,SalaryPayrollTaxes[company_name],$B1374,SalaryPayrollTaxes[bu_name],$C1374)*(P429+P534+P639)+SUMIFS(ExpensePayrollTaxes[Month 5],ExpensePayrollTaxes[exp_item],$H744,ExpensePayrollTaxes[company_name],$B1374)*P744)</f>
        <v>0</v>
      </c>
      <c r="Q1374" s="652">
        <f>IF($B1374="",,SUMIFS(SalaryPayrollTaxes[Month 6],SalaryPayrollTaxes[exp_item],$H1374,SalaryPayrollTaxes[company_name],$B1374,SalaryPayrollTaxes[bu_name],$C1374)*(Q429+Q534+Q639)+SUMIFS(ExpensePayrollTaxes[Month 6],ExpensePayrollTaxes[exp_item],$H744,ExpensePayrollTaxes[company_name],$B1374)*Q744)</f>
        <v>0</v>
      </c>
      <c r="R1374" s="652">
        <f>IF($B1374="",,SUMIFS(SalaryPayrollTaxes[Month 7],SalaryPayrollTaxes[exp_item],$H1374,SalaryPayrollTaxes[company_name],$B1374,SalaryPayrollTaxes[bu_name],$C1374)*(R429+R534+R639)+SUMIFS(ExpensePayrollTaxes[Month 7],ExpensePayrollTaxes[exp_item],$H744,ExpensePayrollTaxes[company_name],$B1374)*R744)</f>
        <v>0</v>
      </c>
      <c r="S1374" s="652">
        <f>IF($B1374="",,SUMIFS(SalaryPayrollTaxes[Month 8],SalaryPayrollTaxes[exp_item],$H1374,SalaryPayrollTaxes[company_name],$B1374,SalaryPayrollTaxes[bu_name],$C1374)*(S429+S534+S639)+SUMIFS(ExpensePayrollTaxes[Month 8],ExpensePayrollTaxes[exp_item],$H744,ExpensePayrollTaxes[company_name],$B1374)*S744)</f>
        <v>0</v>
      </c>
      <c r="T1374" s="652">
        <f>IF($B1374="",,SUMIFS(SalaryPayrollTaxes[Month 9],SalaryPayrollTaxes[exp_item],$H1374,SalaryPayrollTaxes[company_name],$B1374,SalaryPayrollTaxes[bu_name],$C1374)*(T429+T534+T639)+SUMIFS(ExpensePayrollTaxes[Month 9],ExpensePayrollTaxes[exp_item],$H744,ExpensePayrollTaxes[company_name],$B1374)*T744)</f>
        <v>0</v>
      </c>
      <c r="U1374" s="652">
        <f>IF($B1374="",,SUMIFS(SalaryPayrollTaxes[Month 10],SalaryPayrollTaxes[exp_item],$H1374,SalaryPayrollTaxes[company_name],$B1374,SalaryPayrollTaxes[bu_name],$C1374)*(U429+U534+U639)+SUMIFS(ExpensePayrollTaxes[Month 10],ExpensePayrollTaxes[exp_item],$H744,ExpensePayrollTaxes[company_name],$B1374)*U744)</f>
        <v>0</v>
      </c>
      <c r="V1374" s="652">
        <f>IF($B1374="",,SUMIFS(SalaryPayrollTaxes[Month 11],SalaryPayrollTaxes[exp_item],$H1374,SalaryPayrollTaxes[company_name],$B1374,SalaryPayrollTaxes[bu_name],$C1374)*(V429+V534+V639)+SUMIFS(ExpensePayrollTaxes[Month 11],ExpensePayrollTaxes[exp_item],$H744,ExpensePayrollTaxes[company_name],$B1374)*V744)</f>
        <v>0</v>
      </c>
      <c r="W1374" s="652">
        <f>IF($B1374="",,SUMIFS(SalaryPayrollTaxes[Month 12],SalaryPayrollTaxes[exp_item],$H1374,SalaryPayrollTaxes[company_name],$B1374,SalaryPayrollTaxes[bu_name],$C1374)*(W429+W534+W639)+SUMIFS(ExpensePayrollTaxes[Month 12],ExpensePayrollTaxes[exp_item],$H744,ExpensePayrollTaxes[company_name],$B1374)*W744)</f>
        <v>0</v>
      </c>
      <c r="X1374" s="652">
        <f>IF($B1374="",,SUMIFS(SalaryPayrollTaxes[Month 13],SalaryPayrollTaxes[exp_item],$H1374,SalaryPayrollTaxes[company_name],$B1374,SalaryPayrollTaxes[bu_name],$C1374)*(X429+X534+X639)+SUMIFS(ExpensePayrollTaxes[Month 13],ExpensePayrollTaxes[exp_item],$H744,ExpensePayrollTaxes[company_name],$B1374)*X744)</f>
        <v>0</v>
      </c>
      <c r="Y1374" s="652">
        <f>IF($B1374="",,SUMIFS(SalaryPayrollTaxes[Month 14],SalaryPayrollTaxes[exp_item],$H1374,SalaryPayrollTaxes[company_name],$B1374,SalaryPayrollTaxes[bu_name],$C1374)*(Y429+Y534+Y639)+SUMIFS(ExpensePayrollTaxes[Month 14],ExpensePayrollTaxes[exp_item],$H744,ExpensePayrollTaxes[company_name],$B1374)*Y744)</f>
        <v>0</v>
      </c>
      <c r="Z1374" s="652">
        <f>IF($B1374="",,SUMIFS(SalaryPayrollTaxes[Month 15],SalaryPayrollTaxes[exp_item],$H1374,SalaryPayrollTaxes[company_name],$B1374,SalaryPayrollTaxes[bu_name],$C1374)*(Z429+Z534+Z639)+SUMIFS(ExpensePayrollTaxes[Month 15],ExpensePayrollTaxes[exp_item],$H744,ExpensePayrollTaxes[company_name],$B1374)*Z744)</f>
        <v>0</v>
      </c>
      <c r="AA1374" s="652">
        <f>IF($B1374="",,SUMIFS(SalaryPayrollTaxes[Month 16],SalaryPayrollTaxes[exp_item],$H1374,SalaryPayrollTaxes[company_name],$B1374,SalaryPayrollTaxes[bu_name],$C1374)*(AA429+AA534+AA639)+SUMIFS(ExpensePayrollTaxes[Month 16],ExpensePayrollTaxes[exp_item],$H744,ExpensePayrollTaxes[company_name],$B1374)*AA744)</f>
        <v>0</v>
      </c>
      <c r="AB1374" s="652">
        <f>IF($B1374="",,SUMIFS(SalaryPayrollTaxes[Month 17],SalaryPayrollTaxes[exp_item],$H1374,SalaryPayrollTaxes[company_name],$B1374,SalaryPayrollTaxes[bu_name],$C1374)*(AB429+AB534+AB639)+SUMIFS(ExpensePayrollTaxes[Month 17],ExpensePayrollTaxes[exp_item],$H744,ExpensePayrollTaxes[company_name],$B1374)*AB744)</f>
        <v>0</v>
      </c>
      <c r="AC1374" s="652">
        <f>IF($B1374="",,SUMIFS(SalaryPayrollTaxes[Month 18],SalaryPayrollTaxes[exp_item],$H1374,SalaryPayrollTaxes[company_name],$B1374,SalaryPayrollTaxes[bu_name],$C1374)*(AC429+AC534+AC639)+SUMIFS(ExpensePayrollTaxes[Month 18],ExpensePayrollTaxes[exp_item],$H744,ExpensePayrollTaxes[company_name],$B1374)*AC744)</f>
        <v>0</v>
      </c>
      <c r="AD1374" s="652">
        <f>IF($B1374="",,SUMIFS(SalaryPayrollTaxes[Month 19],SalaryPayrollTaxes[exp_item],$H1374,SalaryPayrollTaxes[company_name],$B1374,SalaryPayrollTaxes[bu_name],$C1374)*(AD429+AD534+AD639)+SUMIFS(ExpensePayrollTaxes[Month 19],ExpensePayrollTaxes[exp_item],$H744,ExpensePayrollTaxes[company_name],$B1374)*AD744)</f>
        <v>0</v>
      </c>
      <c r="AE1374" s="652">
        <f>IF($B1374="",,SUMIFS(SalaryPayrollTaxes[Month 20],SalaryPayrollTaxes[exp_item],$H1374,SalaryPayrollTaxes[company_name],$B1374,SalaryPayrollTaxes[bu_name],$C1374)*(AE429+AE534+AE639)+SUMIFS(ExpensePayrollTaxes[Month 20],ExpensePayrollTaxes[exp_item],$H744,ExpensePayrollTaxes[company_name],$B1374)*AE744)</f>
        <v>0</v>
      </c>
      <c r="AF1374" s="652">
        <f>IF($B1374="",,SUMIFS(SalaryPayrollTaxes[Month 21],SalaryPayrollTaxes[exp_item],$H1374,SalaryPayrollTaxes[company_name],$B1374,SalaryPayrollTaxes[bu_name],$C1374)*(AF429+AF534+AF639)+SUMIFS(ExpensePayrollTaxes[Month 21],ExpensePayrollTaxes[exp_item],$H744,ExpensePayrollTaxes[company_name],$B1374)*AF744)</f>
        <v>0</v>
      </c>
      <c r="AG1374" s="652">
        <f>IF($B1374="",,SUMIFS(SalaryPayrollTaxes[Month 22],SalaryPayrollTaxes[exp_item],$H1374,SalaryPayrollTaxes[company_name],$B1374,SalaryPayrollTaxes[bu_name],$C1374)*(AG429+AG534+AG639)+SUMIFS(ExpensePayrollTaxes[Month 22],ExpensePayrollTaxes[exp_item],$H744,ExpensePayrollTaxes[company_name],$B1374)*AG744)</f>
        <v>0</v>
      </c>
      <c r="AH1374" s="652">
        <f>IF($B1374="",,SUMIFS(SalaryPayrollTaxes[Month 23],SalaryPayrollTaxes[exp_item],$H1374,SalaryPayrollTaxes[company_name],$B1374,SalaryPayrollTaxes[bu_name],$C1374)*(AH429+AH534+AH639)+SUMIFS(ExpensePayrollTaxes[Month 23],ExpensePayrollTaxes[exp_item],$H744,ExpensePayrollTaxes[company_name],$B1374)*AH744)</f>
        <v>0</v>
      </c>
      <c r="AI1374" s="652">
        <f>IF($B1374="",,SUMIFS(SalaryPayrollTaxes[Month 24],SalaryPayrollTaxes[exp_item],$H1374,SalaryPayrollTaxes[company_name],$B1374,SalaryPayrollTaxes[bu_name],$C1374)*(AI429+AI534+AI639)+SUMIFS(ExpensePayrollTaxes[Month 24],ExpensePayrollTaxes[exp_item],$H744,ExpensePayrollTaxes[company_name],$B1374)*AI744)</f>
        <v>0</v>
      </c>
      <c r="AJ1374" s="652">
        <f>IF($B1374="",,SUMIFS(SalaryPayrollTaxes[Month 25],SalaryPayrollTaxes[exp_item],$H1374,SalaryPayrollTaxes[company_name],$B1374,SalaryPayrollTaxes[bu_name],$C1374)*(AJ429+AJ534+AJ639)+SUMIFS(ExpensePayrollTaxes[Month 25],ExpensePayrollTaxes[exp_item],$H744,ExpensePayrollTaxes[company_name],$B1374)*AJ744)</f>
        <v>0</v>
      </c>
      <c r="AK1374" s="652">
        <f>IF($B1374="",,SUMIFS(SalaryPayrollTaxes[Month 26],SalaryPayrollTaxes[exp_item],$H1374,SalaryPayrollTaxes[company_name],$B1374,SalaryPayrollTaxes[bu_name],$C1374)*(AK429+AK534+AK639)+SUMIFS(ExpensePayrollTaxes[Month 26],ExpensePayrollTaxes[exp_item],$H744,ExpensePayrollTaxes[company_name],$B1374)*AK744)</f>
        <v>0</v>
      </c>
      <c r="AL1374" s="652">
        <f>IF($B1374="",,SUMIFS(SalaryPayrollTaxes[Month 27],SalaryPayrollTaxes[exp_item],$H1374,SalaryPayrollTaxes[company_name],$B1374,SalaryPayrollTaxes[bu_name],$C1374)*(AL429+AL534+AL639)+SUMIFS(ExpensePayrollTaxes[Month 27],ExpensePayrollTaxes[exp_item],$H744,ExpensePayrollTaxes[company_name],$B1374)*AL744)</f>
        <v>0</v>
      </c>
      <c r="AM1374" s="652">
        <f>IF($B1374="",,SUMIFS(SalaryPayrollTaxes[Month 28],SalaryPayrollTaxes[exp_item],$H1374,SalaryPayrollTaxes[company_name],$B1374,SalaryPayrollTaxes[bu_name],$C1374)*(AM429+AM534+AM639)+SUMIFS(ExpensePayrollTaxes[Month 28],ExpensePayrollTaxes[exp_item],$H744,ExpensePayrollTaxes[company_name],$B1374)*AM744)</f>
        <v>0</v>
      </c>
      <c r="AN1374" s="652">
        <f>IF($B1374="",,SUMIFS(SalaryPayrollTaxes[Month 29],SalaryPayrollTaxes[exp_item],$H1374,SalaryPayrollTaxes[company_name],$B1374,SalaryPayrollTaxes[bu_name],$C1374)*(AN429+AN534+AN639)+SUMIFS(ExpensePayrollTaxes[Month 29],ExpensePayrollTaxes[exp_item],$H744,ExpensePayrollTaxes[company_name],$B1374)*AN744)</f>
        <v>0</v>
      </c>
      <c r="AO1374" s="652">
        <f>IF($B1374="",,SUMIFS(SalaryPayrollTaxes[Month 30],SalaryPayrollTaxes[exp_item],$H1374,SalaryPayrollTaxes[company_name],$B1374,SalaryPayrollTaxes[bu_name],$C1374)*(AO429+AO534+AO639)+SUMIFS(ExpensePayrollTaxes[Month 30],ExpensePayrollTaxes[exp_item],$H744,ExpensePayrollTaxes[company_name],$B1374)*AO744)</f>
        <v>0</v>
      </c>
      <c r="AP1374" s="652">
        <f>IF($B1374="",,SUMIFS(SalaryPayrollTaxes[Month 31],SalaryPayrollTaxes[exp_item],$H1374,SalaryPayrollTaxes[company_name],$B1374,SalaryPayrollTaxes[bu_name],$C1374)*(AP429+AP534+AP639)+SUMIFS(ExpensePayrollTaxes[Month 31],ExpensePayrollTaxes[exp_item],$H744,ExpensePayrollTaxes[company_name],$B1374)*AP744)</f>
        <v>0</v>
      </c>
      <c r="AQ1374" s="652">
        <f>IF($B1374="",,SUMIFS(SalaryPayrollTaxes[Month 32],SalaryPayrollTaxes[exp_item],$H1374,SalaryPayrollTaxes[company_name],$B1374,SalaryPayrollTaxes[bu_name],$C1374)*(AQ429+AQ534+AQ639)+SUMIFS(ExpensePayrollTaxes[Month 32],ExpensePayrollTaxes[exp_item],$H744,ExpensePayrollTaxes[company_name],$B1374)*AQ744)</f>
        <v>0</v>
      </c>
      <c r="AR1374" s="652">
        <f>IF($B1374="",,SUMIFS(SalaryPayrollTaxes[Month 33],SalaryPayrollTaxes[exp_item],$H1374,SalaryPayrollTaxes[company_name],$B1374,SalaryPayrollTaxes[bu_name],$C1374)*(AR429+AR534+AR639)+SUMIFS(ExpensePayrollTaxes[Month 33],ExpensePayrollTaxes[exp_item],$H744,ExpensePayrollTaxes[company_name],$B1374)*AR744)</f>
        <v>0</v>
      </c>
      <c r="AS1374" s="652">
        <f>IF($B1374="",,SUMIFS(SalaryPayrollTaxes[Month 34],SalaryPayrollTaxes[exp_item],$H1374,SalaryPayrollTaxes[company_name],$B1374,SalaryPayrollTaxes[bu_name],$C1374)*(AS429+AS534+AS639)+SUMIFS(ExpensePayrollTaxes[Month 34],ExpensePayrollTaxes[exp_item],$H744,ExpensePayrollTaxes[company_name],$B1374)*AS744)</f>
        <v>0</v>
      </c>
      <c r="AT1374" s="652">
        <f>IF($B1374="",,SUMIFS(SalaryPayrollTaxes[Month 35],SalaryPayrollTaxes[exp_item],$H1374,SalaryPayrollTaxes[company_name],$B1374,SalaryPayrollTaxes[bu_name],$C1374)*(AT429+AT534+AT639)+SUMIFS(ExpensePayrollTaxes[Month 35],ExpensePayrollTaxes[exp_item],$H744,ExpensePayrollTaxes[company_name],$B1374)*AT744)</f>
        <v>0</v>
      </c>
      <c r="AU1374" s="652">
        <f>IF($B1374="",,SUMIFS(SalaryPayrollTaxes[Month 36],SalaryPayrollTaxes[exp_item],$H1374,SalaryPayrollTaxes[company_name],$B1374,SalaryPayrollTaxes[bu_name],$C1374)*(AU429+AU534+AU639)+SUMIFS(ExpensePayrollTaxes[Month 36],ExpensePayrollTaxes[exp_item],$H744,ExpensePayrollTaxes[company_name],$B1374)*AU744)</f>
        <v>0</v>
      </c>
    </row>
    <row r="1375" spans="2:47" x14ac:dyDescent="0.35">
      <c r="B1375" t="str">
        <f t="shared" si="993"/>
        <v/>
      </c>
      <c r="C1375" t="str">
        <f t="shared" si="993"/>
        <v/>
      </c>
      <c r="D1375" t="str">
        <f t="shared" si="993"/>
        <v/>
      </c>
      <c r="E1375" t="str">
        <f t="shared" si="993"/>
        <v/>
      </c>
      <c r="F1375" t="str">
        <f t="shared" si="993"/>
        <v/>
      </c>
      <c r="G1375" t="str">
        <f t="shared" si="993"/>
        <v/>
      </c>
      <c r="H1375" t="str">
        <f t="shared" si="989"/>
        <v/>
      </c>
      <c r="J1375" t="str">
        <f>IF($H1375="","",IF(VLOOKUP(H1375,ExpItems[],2,0),H1375&amp;" - "&amp;INDEX(DivisionMapping[category_code],MATCH($D1375&amp;$C1375,DivisionMapping[dept_bu],0)),H1375))</f>
        <v/>
      </c>
      <c r="K1375" t="str">
        <f t="shared" si="990"/>
        <v/>
      </c>
      <c r="L1375" s="652">
        <f>IF($B1375="",,SUMIFS(SalaryPayrollTaxes[Month 1],SalaryPayrollTaxes[exp_item],$H1375,SalaryPayrollTaxes[company_name],$B1375,SalaryPayrollTaxes[bu_name],$C1375)*(L430+L535+L640)+SUMIFS(ExpensePayrollTaxes[Month 1],ExpensePayrollTaxes[exp_item],$H745,ExpensePayrollTaxes[company_name],$B1375)*L745)</f>
        <v>0</v>
      </c>
      <c r="M1375" s="652">
        <f>IF($B1375="",,SUMIFS(SalaryPayrollTaxes[Month 2],SalaryPayrollTaxes[exp_item],$H1375,SalaryPayrollTaxes[company_name],$B1375,SalaryPayrollTaxes[bu_name],$C1375)*(M430+M535+M640)+SUMIFS(ExpensePayrollTaxes[Month 2],ExpensePayrollTaxes[exp_item],$H745,ExpensePayrollTaxes[company_name],$B1375)*M745)</f>
        <v>0</v>
      </c>
      <c r="N1375" s="652">
        <f>IF($B1375="",,SUMIFS(SalaryPayrollTaxes[Month 3],SalaryPayrollTaxes[exp_item],$H1375,SalaryPayrollTaxes[company_name],$B1375,SalaryPayrollTaxes[bu_name],$C1375)*(N430+N535+N640)+SUMIFS(ExpensePayrollTaxes[Month 3],ExpensePayrollTaxes[exp_item],$H745,ExpensePayrollTaxes[company_name],$B1375)*N745)</f>
        <v>0</v>
      </c>
      <c r="O1375" s="652">
        <f>IF($B1375="",,SUMIFS(SalaryPayrollTaxes[Month 4],SalaryPayrollTaxes[exp_item],$H1375,SalaryPayrollTaxes[company_name],$B1375,SalaryPayrollTaxes[bu_name],$C1375)*(O430+O535+O640)+SUMIFS(ExpensePayrollTaxes[Month 4],ExpensePayrollTaxes[exp_item],$H745,ExpensePayrollTaxes[company_name],$B1375)*O745)</f>
        <v>0</v>
      </c>
      <c r="P1375" s="652">
        <f>IF($B1375="",,SUMIFS(SalaryPayrollTaxes[Month 5],SalaryPayrollTaxes[exp_item],$H1375,SalaryPayrollTaxes[company_name],$B1375,SalaryPayrollTaxes[bu_name],$C1375)*(P430+P535+P640)+SUMIFS(ExpensePayrollTaxes[Month 5],ExpensePayrollTaxes[exp_item],$H745,ExpensePayrollTaxes[company_name],$B1375)*P745)</f>
        <v>0</v>
      </c>
      <c r="Q1375" s="652">
        <f>IF($B1375="",,SUMIFS(SalaryPayrollTaxes[Month 6],SalaryPayrollTaxes[exp_item],$H1375,SalaryPayrollTaxes[company_name],$B1375,SalaryPayrollTaxes[bu_name],$C1375)*(Q430+Q535+Q640)+SUMIFS(ExpensePayrollTaxes[Month 6],ExpensePayrollTaxes[exp_item],$H745,ExpensePayrollTaxes[company_name],$B1375)*Q745)</f>
        <v>0</v>
      </c>
      <c r="R1375" s="652">
        <f>IF($B1375="",,SUMIFS(SalaryPayrollTaxes[Month 7],SalaryPayrollTaxes[exp_item],$H1375,SalaryPayrollTaxes[company_name],$B1375,SalaryPayrollTaxes[bu_name],$C1375)*(R430+R535+R640)+SUMIFS(ExpensePayrollTaxes[Month 7],ExpensePayrollTaxes[exp_item],$H745,ExpensePayrollTaxes[company_name],$B1375)*R745)</f>
        <v>0</v>
      </c>
      <c r="S1375" s="652">
        <f>IF($B1375="",,SUMIFS(SalaryPayrollTaxes[Month 8],SalaryPayrollTaxes[exp_item],$H1375,SalaryPayrollTaxes[company_name],$B1375,SalaryPayrollTaxes[bu_name],$C1375)*(S430+S535+S640)+SUMIFS(ExpensePayrollTaxes[Month 8],ExpensePayrollTaxes[exp_item],$H745,ExpensePayrollTaxes[company_name],$B1375)*S745)</f>
        <v>0</v>
      </c>
      <c r="T1375" s="652">
        <f>IF($B1375="",,SUMIFS(SalaryPayrollTaxes[Month 9],SalaryPayrollTaxes[exp_item],$H1375,SalaryPayrollTaxes[company_name],$B1375,SalaryPayrollTaxes[bu_name],$C1375)*(T430+T535+T640)+SUMIFS(ExpensePayrollTaxes[Month 9],ExpensePayrollTaxes[exp_item],$H745,ExpensePayrollTaxes[company_name],$B1375)*T745)</f>
        <v>0</v>
      </c>
      <c r="U1375" s="652">
        <f>IF($B1375="",,SUMIFS(SalaryPayrollTaxes[Month 10],SalaryPayrollTaxes[exp_item],$H1375,SalaryPayrollTaxes[company_name],$B1375,SalaryPayrollTaxes[bu_name],$C1375)*(U430+U535+U640)+SUMIFS(ExpensePayrollTaxes[Month 10],ExpensePayrollTaxes[exp_item],$H745,ExpensePayrollTaxes[company_name],$B1375)*U745)</f>
        <v>0</v>
      </c>
      <c r="V1375" s="652">
        <f>IF($B1375="",,SUMIFS(SalaryPayrollTaxes[Month 11],SalaryPayrollTaxes[exp_item],$H1375,SalaryPayrollTaxes[company_name],$B1375,SalaryPayrollTaxes[bu_name],$C1375)*(V430+V535+V640)+SUMIFS(ExpensePayrollTaxes[Month 11],ExpensePayrollTaxes[exp_item],$H745,ExpensePayrollTaxes[company_name],$B1375)*V745)</f>
        <v>0</v>
      </c>
      <c r="W1375" s="652">
        <f>IF($B1375="",,SUMIFS(SalaryPayrollTaxes[Month 12],SalaryPayrollTaxes[exp_item],$H1375,SalaryPayrollTaxes[company_name],$B1375,SalaryPayrollTaxes[bu_name],$C1375)*(W430+W535+W640)+SUMIFS(ExpensePayrollTaxes[Month 12],ExpensePayrollTaxes[exp_item],$H745,ExpensePayrollTaxes[company_name],$B1375)*W745)</f>
        <v>0</v>
      </c>
      <c r="X1375" s="652">
        <f>IF($B1375="",,SUMIFS(SalaryPayrollTaxes[Month 13],SalaryPayrollTaxes[exp_item],$H1375,SalaryPayrollTaxes[company_name],$B1375,SalaryPayrollTaxes[bu_name],$C1375)*(X430+X535+X640)+SUMIFS(ExpensePayrollTaxes[Month 13],ExpensePayrollTaxes[exp_item],$H745,ExpensePayrollTaxes[company_name],$B1375)*X745)</f>
        <v>0</v>
      </c>
      <c r="Y1375" s="652">
        <f>IF($B1375="",,SUMIFS(SalaryPayrollTaxes[Month 14],SalaryPayrollTaxes[exp_item],$H1375,SalaryPayrollTaxes[company_name],$B1375,SalaryPayrollTaxes[bu_name],$C1375)*(Y430+Y535+Y640)+SUMIFS(ExpensePayrollTaxes[Month 14],ExpensePayrollTaxes[exp_item],$H745,ExpensePayrollTaxes[company_name],$B1375)*Y745)</f>
        <v>0</v>
      </c>
      <c r="Z1375" s="652">
        <f>IF($B1375="",,SUMIFS(SalaryPayrollTaxes[Month 15],SalaryPayrollTaxes[exp_item],$H1375,SalaryPayrollTaxes[company_name],$B1375,SalaryPayrollTaxes[bu_name],$C1375)*(Z430+Z535+Z640)+SUMIFS(ExpensePayrollTaxes[Month 15],ExpensePayrollTaxes[exp_item],$H745,ExpensePayrollTaxes[company_name],$B1375)*Z745)</f>
        <v>0</v>
      </c>
      <c r="AA1375" s="652">
        <f>IF($B1375="",,SUMIFS(SalaryPayrollTaxes[Month 16],SalaryPayrollTaxes[exp_item],$H1375,SalaryPayrollTaxes[company_name],$B1375,SalaryPayrollTaxes[bu_name],$C1375)*(AA430+AA535+AA640)+SUMIFS(ExpensePayrollTaxes[Month 16],ExpensePayrollTaxes[exp_item],$H745,ExpensePayrollTaxes[company_name],$B1375)*AA745)</f>
        <v>0</v>
      </c>
      <c r="AB1375" s="652">
        <f>IF($B1375="",,SUMIFS(SalaryPayrollTaxes[Month 17],SalaryPayrollTaxes[exp_item],$H1375,SalaryPayrollTaxes[company_name],$B1375,SalaryPayrollTaxes[bu_name],$C1375)*(AB430+AB535+AB640)+SUMIFS(ExpensePayrollTaxes[Month 17],ExpensePayrollTaxes[exp_item],$H745,ExpensePayrollTaxes[company_name],$B1375)*AB745)</f>
        <v>0</v>
      </c>
      <c r="AC1375" s="652">
        <f>IF($B1375="",,SUMIFS(SalaryPayrollTaxes[Month 18],SalaryPayrollTaxes[exp_item],$H1375,SalaryPayrollTaxes[company_name],$B1375,SalaryPayrollTaxes[bu_name],$C1375)*(AC430+AC535+AC640)+SUMIFS(ExpensePayrollTaxes[Month 18],ExpensePayrollTaxes[exp_item],$H745,ExpensePayrollTaxes[company_name],$B1375)*AC745)</f>
        <v>0</v>
      </c>
      <c r="AD1375" s="652">
        <f>IF($B1375="",,SUMIFS(SalaryPayrollTaxes[Month 19],SalaryPayrollTaxes[exp_item],$H1375,SalaryPayrollTaxes[company_name],$B1375,SalaryPayrollTaxes[bu_name],$C1375)*(AD430+AD535+AD640)+SUMIFS(ExpensePayrollTaxes[Month 19],ExpensePayrollTaxes[exp_item],$H745,ExpensePayrollTaxes[company_name],$B1375)*AD745)</f>
        <v>0</v>
      </c>
      <c r="AE1375" s="652">
        <f>IF($B1375="",,SUMIFS(SalaryPayrollTaxes[Month 20],SalaryPayrollTaxes[exp_item],$H1375,SalaryPayrollTaxes[company_name],$B1375,SalaryPayrollTaxes[bu_name],$C1375)*(AE430+AE535+AE640)+SUMIFS(ExpensePayrollTaxes[Month 20],ExpensePayrollTaxes[exp_item],$H745,ExpensePayrollTaxes[company_name],$B1375)*AE745)</f>
        <v>0</v>
      </c>
      <c r="AF1375" s="652">
        <f>IF($B1375="",,SUMIFS(SalaryPayrollTaxes[Month 21],SalaryPayrollTaxes[exp_item],$H1375,SalaryPayrollTaxes[company_name],$B1375,SalaryPayrollTaxes[bu_name],$C1375)*(AF430+AF535+AF640)+SUMIFS(ExpensePayrollTaxes[Month 21],ExpensePayrollTaxes[exp_item],$H745,ExpensePayrollTaxes[company_name],$B1375)*AF745)</f>
        <v>0</v>
      </c>
      <c r="AG1375" s="652">
        <f>IF($B1375="",,SUMIFS(SalaryPayrollTaxes[Month 22],SalaryPayrollTaxes[exp_item],$H1375,SalaryPayrollTaxes[company_name],$B1375,SalaryPayrollTaxes[bu_name],$C1375)*(AG430+AG535+AG640)+SUMIFS(ExpensePayrollTaxes[Month 22],ExpensePayrollTaxes[exp_item],$H745,ExpensePayrollTaxes[company_name],$B1375)*AG745)</f>
        <v>0</v>
      </c>
      <c r="AH1375" s="652">
        <f>IF($B1375="",,SUMIFS(SalaryPayrollTaxes[Month 23],SalaryPayrollTaxes[exp_item],$H1375,SalaryPayrollTaxes[company_name],$B1375,SalaryPayrollTaxes[bu_name],$C1375)*(AH430+AH535+AH640)+SUMIFS(ExpensePayrollTaxes[Month 23],ExpensePayrollTaxes[exp_item],$H745,ExpensePayrollTaxes[company_name],$B1375)*AH745)</f>
        <v>0</v>
      </c>
      <c r="AI1375" s="652">
        <f>IF($B1375="",,SUMIFS(SalaryPayrollTaxes[Month 24],SalaryPayrollTaxes[exp_item],$H1375,SalaryPayrollTaxes[company_name],$B1375,SalaryPayrollTaxes[bu_name],$C1375)*(AI430+AI535+AI640)+SUMIFS(ExpensePayrollTaxes[Month 24],ExpensePayrollTaxes[exp_item],$H745,ExpensePayrollTaxes[company_name],$B1375)*AI745)</f>
        <v>0</v>
      </c>
      <c r="AJ1375" s="652">
        <f>IF($B1375="",,SUMIFS(SalaryPayrollTaxes[Month 25],SalaryPayrollTaxes[exp_item],$H1375,SalaryPayrollTaxes[company_name],$B1375,SalaryPayrollTaxes[bu_name],$C1375)*(AJ430+AJ535+AJ640)+SUMIFS(ExpensePayrollTaxes[Month 25],ExpensePayrollTaxes[exp_item],$H745,ExpensePayrollTaxes[company_name],$B1375)*AJ745)</f>
        <v>0</v>
      </c>
      <c r="AK1375" s="652">
        <f>IF($B1375="",,SUMIFS(SalaryPayrollTaxes[Month 26],SalaryPayrollTaxes[exp_item],$H1375,SalaryPayrollTaxes[company_name],$B1375,SalaryPayrollTaxes[bu_name],$C1375)*(AK430+AK535+AK640)+SUMIFS(ExpensePayrollTaxes[Month 26],ExpensePayrollTaxes[exp_item],$H745,ExpensePayrollTaxes[company_name],$B1375)*AK745)</f>
        <v>0</v>
      </c>
      <c r="AL1375" s="652">
        <f>IF($B1375="",,SUMIFS(SalaryPayrollTaxes[Month 27],SalaryPayrollTaxes[exp_item],$H1375,SalaryPayrollTaxes[company_name],$B1375,SalaryPayrollTaxes[bu_name],$C1375)*(AL430+AL535+AL640)+SUMIFS(ExpensePayrollTaxes[Month 27],ExpensePayrollTaxes[exp_item],$H745,ExpensePayrollTaxes[company_name],$B1375)*AL745)</f>
        <v>0</v>
      </c>
      <c r="AM1375" s="652">
        <f>IF($B1375="",,SUMIFS(SalaryPayrollTaxes[Month 28],SalaryPayrollTaxes[exp_item],$H1375,SalaryPayrollTaxes[company_name],$B1375,SalaryPayrollTaxes[bu_name],$C1375)*(AM430+AM535+AM640)+SUMIFS(ExpensePayrollTaxes[Month 28],ExpensePayrollTaxes[exp_item],$H745,ExpensePayrollTaxes[company_name],$B1375)*AM745)</f>
        <v>0</v>
      </c>
      <c r="AN1375" s="652">
        <f>IF($B1375="",,SUMIFS(SalaryPayrollTaxes[Month 29],SalaryPayrollTaxes[exp_item],$H1375,SalaryPayrollTaxes[company_name],$B1375,SalaryPayrollTaxes[bu_name],$C1375)*(AN430+AN535+AN640)+SUMIFS(ExpensePayrollTaxes[Month 29],ExpensePayrollTaxes[exp_item],$H745,ExpensePayrollTaxes[company_name],$B1375)*AN745)</f>
        <v>0</v>
      </c>
      <c r="AO1375" s="652">
        <f>IF($B1375="",,SUMIFS(SalaryPayrollTaxes[Month 30],SalaryPayrollTaxes[exp_item],$H1375,SalaryPayrollTaxes[company_name],$B1375,SalaryPayrollTaxes[bu_name],$C1375)*(AO430+AO535+AO640)+SUMIFS(ExpensePayrollTaxes[Month 30],ExpensePayrollTaxes[exp_item],$H745,ExpensePayrollTaxes[company_name],$B1375)*AO745)</f>
        <v>0</v>
      </c>
      <c r="AP1375" s="652">
        <f>IF($B1375="",,SUMIFS(SalaryPayrollTaxes[Month 31],SalaryPayrollTaxes[exp_item],$H1375,SalaryPayrollTaxes[company_name],$B1375,SalaryPayrollTaxes[bu_name],$C1375)*(AP430+AP535+AP640)+SUMIFS(ExpensePayrollTaxes[Month 31],ExpensePayrollTaxes[exp_item],$H745,ExpensePayrollTaxes[company_name],$B1375)*AP745)</f>
        <v>0</v>
      </c>
      <c r="AQ1375" s="652">
        <f>IF($B1375="",,SUMIFS(SalaryPayrollTaxes[Month 32],SalaryPayrollTaxes[exp_item],$H1375,SalaryPayrollTaxes[company_name],$B1375,SalaryPayrollTaxes[bu_name],$C1375)*(AQ430+AQ535+AQ640)+SUMIFS(ExpensePayrollTaxes[Month 32],ExpensePayrollTaxes[exp_item],$H745,ExpensePayrollTaxes[company_name],$B1375)*AQ745)</f>
        <v>0</v>
      </c>
      <c r="AR1375" s="652">
        <f>IF($B1375="",,SUMIFS(SalaryPayrollTaxes[Month 33],SalaryPayrollTaxes[exp_item],$H1375,SalaryPayrollTaxes[company_name],$B1375,SalaryPayrollTaxes[bu_name],$C1375)*(AR430+AR535+AR640)+SUMIFS(ExpensePayrollTaxes[Month 33],ExpensePayrollTaxes[exp_item],$H745,ExpensePayrollTaxes[company_name],$B1375)*AR745)</f>
        <v>0</v>
      </c>
      <c r="AS1375" s="652">
        <f>IF($B1375="",,SUMIFS(SalaryPayrollTaxes[Month 34],SalaryPayrollTaxes[exp_item],$H1375,SalaryPayrollTaxes[company_name],$B1375,SalaryPayrollTaxes[bu_name],$C1375)*(AS430+AS535+AS640)+SUMIFS(ExpensePayrollTaxes[Month 34],ExpensePayrollTaxes[exp_item],$H745,ExpensePayrollTaxes[company_name],$B1375)*AS745)</f>
        <v>0</v>
      </c>
      <c r="AT1375" s="652">
        <f>IF($B1375="",,SUMIFS(SalaryPayrollTaxes[Month 35],SalaryPayrollTaxes[exp_item],$H1375,SalaryPayrollTaxes[company_name],$B1375,SalaryPayrollTaxes[bu_name],$C1375)*(AT430+AT535+AT640)+SUMIFS(ExpensePayrollTaxes[Month 35],ExpensePayrollTaxes[exp_item],$H745,ExpensePayrollTaxes[company_name],$B1375)*AT745)</f>
        <v>0</v>
      </c>
      <c r="AU1375" s="652">
        <f>IF($B1375="",,SUMIFS(SalaryPayrollTaxes[Month 36],SalaryPayrollTaxes[exp_item],$H1375,SalaryPayrollTaxes[company_name],$B1375,SalaryPayrollTaxes[bu_name],$C1375)*(AU430+AU535+AU640)+SUMIFS(ExpensePayrollTaxes[Month 36],ExpensePayrollTaxes[exp_item],$H745,ExpensePayrollTaxes[company_name],$B1375)*AU745)</f>
        <v>0</v>
      </c>
    </row>
    <row r="1376" spans="2:47" x14ac:dyDescent="0.35">
      <c r="B1376" t="str">
        <f t="shared" si="993"/>
        <v/>
      </c>
      <c r="C1376" t="str">
        <f t="shared" si="993"/>
        <v/>
      </c>
      <c r="D1376" t="str">
        <f t="shared" si="993"/>
        <v/>
      </c>
      <c r="E1376" t="str">
        <f t="shared" si="993"/>
        <v/>
      </c>
      <c r="F1376" t="str">
        <f t="shared" si="993"/>
        <v/>
      </c>
      <c r="G1376" t="str">
        <f t="shared" si="993"/>
        <v/>
      </c>
      <c r="H1376" t="str">
        <f t="shared" si="989"/>
        <v/>
      </c>
      <c r="J1376" t="str">
        <f>IF($H1376="","",IF(VLOOKUP(H1376,ExpItems[],2,0),H1376&amp;" - "&amp;INDEX(DivisionMapping[category_code],MATCH($D1376&amp;$C1376,DivisionMapping[dept_bu],0)),H1376))</f>
        <v/>
      </c>
      <c r="K1376" t="str">
        <f t="shared" si="990"/>
        <v/>
      </c>
      <c r="L1376" s="652">
        <f>IF($B1376="",,SUMIFS(SalaryPayrollTaxes[Month 1],SalaryPayrollTaxes[exp_item],$H1376,SalaryPayrollTaxes[company_name],$B1376,SalaryPayrollTaxes[bu_name],$C1376)*(L431+L536+L641)+SUMIFS(ExpensePayrollTaxes[Month 1],ExpensePayrollTaxes[exp_item],$H746,ExpensePayrollTaxes[company_name],$B1376)*L746)</f>
        <v>0</v>
      </c>
      <c r="M1376" s="652">
        <f>IF($B1376="",,SUMIFS(SalaryPayrollTaxes[Month 2],SalaryPayrollTaxes[exp_item],$H1376,SalaryPayrollTaxes[company_name],$B1376,SalaryPayrollTaxes[bu_name],$C1376)*(M431+M536+M641)+SUMIFS(ExpensePayrollTaxes[Month 2],ExpensePayrollTaxes[exp_item],$H746,ExpensePayrollTaxes[company_name],$B1376)*M746)</f>
        <v>0</v>
      </c>
      <c r="N1376" s="652">
        <f>IF($B1376="",,SUMIFS(SalaryPayrollTaxes[Month 3],SalaryPayrollTaxes[exp_item],$H1376,SalaryPayrollTaxes[company_name],$B1376,SalaryPayrollTaxes[bu_name],$C1376)*(N431+N536+N641)+SUMIFS(ExpensePayrollTaxes[Month 3],ExpensePayrollTaxes[exp_item],$H746,ExpensePayrollTaxes[company_name],$B1376)*N746)</f>
        <v>0</v>
      </c>
      <c r="O1376" s="652">
        <f>IF($B1376="",,SUMIFS(SalaryPayrollTaxes[Month 4],SalaryPayrollTaxes[exp_item],$H1376,SalaryPayrollTaxes[company_name],$B1376,SalaryPayrollTaxes[bu_name],$C1376)*(O431+O536+O641)+SUMIFS(ExpensePayrollTaxes[Month 4],ExpensePayrollTaxes[exp_item],$H746,ExpensePayrollTaxes[company_name],$B1376)*O746)</f>
        <v>0</v>
      </c>
      <c r="P1376" s="652">
        <f>IF($B1376="",,SUMIFS(SalaryPayrollTaxes[Month 5],SalaryPayrollTaxes[exp_item],$H1376,SalaryPayrollTaxes[company_name],$B1376,SalaryPayrollTaxes[bu_name],$C1376)*(P431+P536+P641)+SUMIFS(ExpensePayrollTaxes[Month 5],ExpensePayrollTaxes[exp_item],$H746,ExpensePayrollTaxes[company_name],$B1376)*P746)</f>
        <v>0</v>
      </c>
      <c r="Q1376" s="652">
        <f>IF($B1376="",,SUMIFS(SalaryPayrollTaxes[Month 6],SalaryPayrollTaxes[exp_item],$H1376,SalaryPayrollTaxes[company_name],$B1376,SalaryPayrollTaxes[bu_name],$C1376)*(Q431+Q536+Q641)+SUMIFS(ExpensePayrollTaxes[Month 6],ExpensePayrollTaxes[exp_item],$H746,ExpensePayrollTaxes[company_name],$B1376)*Q746)</f>
        <v>0</v>
      </c>
      <c r="R1376" s="652">
        <f>IF($B1376="",,SUMIFS(SalaryPayrollTaxes[Month 7],SalaryPayrollTaxes[exp_item],$H1376,SalaryPayrollTaxes[company_name],$B1376,SalaryPayrollTaxes[bu_name],$C1376)*(R431+R536+R641)+SUMIFS(ExpensePayrollTaxes[Month 7],ExpensePayrollTaxes[exp_item],$H746,ExpensePayrollTaxes[company_name],$B1376)*R746)</f>
        <v>0</v>
      </c>
      <c r="S1376" s="652">
        <f>IF($B1376="",,SUMIFS(SalaryPayrollTaxes[Month 8],SalaryPayrollTaxes[exp_item],$H1376,SalaryPayrollTaxes[company_name],$B1376,SalaryPayrollTaxes[bu_name],$C1376)*(S431+S536+S641)+SUMIFS(ExpensePayrollTaxes[Month 8],ExpensePayrollTaxes[exp_item],$H746,ExpensePayrollTaxes[company_name],$B1376)*S746)</f>
        <v>0</v>
      </c>
      <c r="T1376" s="652">
        <f>IF($B1376="",,SUMIFS(SalaryPayrollTaxes[Month 9],SalaryPayrollTaxes[exp_item],$H1376,SalaryPayrollTaxes[company_name],$B1376,SalaryPayrollTaxes[bu_name],$C1376)*(T431+T536+T641)+SUMIFS(ExpensePayrollTaxes[Month 9],ExpensePayrollTaxes[exp_item],$H746,ExpensePayrollTaxes[company_name],$B1376)*T746)</f>
        <v>0</v>
      </c>
      <c r="U1376" s="652">
        <f>IF($B1376="",,SUMIFS(SalaryPayrollTaxes[Month 10],SalaryPayrollTaxes[exp_item],$H1376,SalaryPayrollTaxes[company_name],$B1376,SalaryPayrollTaxes[bu_name],$C1376)*(U431+U536+U641)+SUMIFS(ExpensePayrollTaxes[Month 10],ExpensePayrollTaxes[exp_item],$H746,ExpensePayrollTaxes[company_name],$B1376)*U746)</f>
        <v>0</v>
      </c>
      <c r="V1376" s="652">
        <f>IF($B1376="",,SUMIFS(SalaryPayrollTaxes[Month 11],SalaryPayrollTaxes[exp_item],$H1376,SalaryPayrollTaxes[company_name],$B1376,SalaryPayrollTaxes[bu_name],$C1376)*(V431+V536+V641)+SUMIFS(ExpensePayrollTaxes[Month 11],ExpensePayrollTaxes[exp_item],$H746,ExpensePayrollTaxes[company_name],$B1376)*V746)</f>
        <v>0</v>
      </c>
      <c r="W1376" s="652">
        <f>IF($B1376="",,SUMIFS(SalaryPayrollTaxes[Month 12],SalaryPayrollTaxes[exp_item],$H1376,SalaryPayrollTaxes[company_name],$B1376,SalaryPayrollTaxes[bu_name],$C1376)*(W431+W536+W641)+SUMIFS(ExpensePayrollTaxes[Month 12],ExpensePayrollTaxes[exp_item],$H746,ExpensePayrollTaxes[company_name],$B1376)*W746)</f>
        <v>0</v>
      </c>
      <c r="X1376" s="652">
        <f>IF($B1376="",,SUMIFS(SalaryPayrollTaxes[Month 13],SalaryPayrollTaxes[exp_item],$H1376,SalaryPayrollTaxes[company_name],$B1376,SalaryPayrollTaxes[bu_name],$C1376)*(X431+X536+X641)+SUMIFS(ExpensePayrollTaxes[Month 13],ExpensePayrollTaxes[exp_item],$H746,ExpensePayrollTaxes[company_name],$B1376)*X746)</f>
        <v>0</v>
      </c>
      <c r="Y1376" s="652">
        <f>IF($B1376="",,SUMIFS(SalaryPayrollTaxes[Month 14],SalaryPayrollTaxes[exp_item],$H1376,SalaryPayrollTaxes[company_name],$B1376,SalaryPayrollTaxes[bu_name],$C1376)*(Y431+Y536+Y641)+SUMIFS(ExpensePayrollTaxes[Month 14],ExpensePayrollTaxes[exp_item],$H746,ExpensePayrollTaxes[company_name],$B1376)*Y746)</f>
        <v>0</v>
      </c>
      <c r="Z1376" s="652">
        <f>IF($B1376="",,SUMIFS(SalaryPayrollTaxes[Month 15],SalaryPayrollTaxes[exp_item],$H1376,SalaryPayrollTaxes[company_name],$B1376,SalaryPayrollTaxes[bu_name],$C1376)*(Z431+Z536+Z641)+SUMIFS(ExpensePayrollTaxes[Month 15],ExpensePayrollTaxes[exp_item],$H746,ExpensePayrollTaxes[company_name],$B1376)*Z746)</f>
        <v>0</v>
      </c>
      <c r="AA1376" s="652">
        <f>IF($B1376="",,SUMIFS(SalaryPayrollTaxes[Month 16],SalaryPayrollTaxes[exp_item],$H1376,SalaryPayrollTaxes[company_name],$B1376,SalaryPayrollTaxes[bu_name],$C1376)*(AA431+AA536+AA641)+SUMIFS(ExpensePayrollTaxes[Month 16],ExpensePayrollTaxes[exp_item],$H746,ExpensePayrollTaxes[company_name],$B1376)*AA746)</f>
        <v>0</v>
      </c>
      <c r="AB1376" s="652">
        <f>IF($B1376="",,SUMIFS(SalaryPayrollTaxes[Month 17],SalaryPayrollTaxes[exp_item],$H1376,SalaryPayrollTaxes[company_name],$B1376,SalaryPayrollTaxes[bu_name],$C1376)*(AB431+AB536+AB641)+SUMIFS(ExpensePayrollTaxes[Month 17],ExpensePayrollTaxes[exp_item],$H746,ExpensePayrollTaxes[company_name],$B1376)*AB746)</f>
        <v>0</v>
      </c>
      <c r="AC1376" s="652">
        <f>IF($B1376="",,SUMIFS(SalaryPayrollTaxes[Month 18],SalaryPayrollTaxes[exp_item],$H1376,SalaryPayrollTaxes[company_name],$B1376,SalaryPayrollTaxes[bu_name],$C1376)*(AC431+AC536+AC641)+SUMIFS(ExpensePayrollTaxes[Month 18],ExpensePayrollTaxes[exp_item],$H746,ExpensePayrollTaxes[company_name],$B1376)*AC746)</f>
        <v>0</v>
      </c>
      <c r="AD1376" s="652">
        <f>IF($B1376="",,SUMIFS(SalaryPayrollTaxes[Month 19],SalaryPayrollTaxes[exp_item],$H1376,SalaryPayrollTaxes[company_name],$B1376,SalaryPayrollTaxes[bu_name],$C1376)*(AD431+AD536+AD641)+SUMIFS(ExpensePayrollTaxes[Month 19],ExpensePayrollTaxes[exp_item],$H746,ExpensePayrollTaxes[company_name],$B1376)*AD746)</f>
        <v>0</v>
      </c>
      <c r="AE1376" s="652">
        <f>IF($B1376="",,SUMIFS(SalaryPayrollTaxes[Month 20],SalaryPayrollTaxes[exp_item],$H1376,SalaryPayrollTaxes[company_name],$B1376,SalaryPayrollTaxes[bu_name],$C1376)*(AE431+AE536+AE641)+SUMIFS(ExpensePayrollTaxes[Month 20],ExpensePayrollTaxes[exp_item],$H746,ExpensePayrollTaxes[company_name],$B1376)*AE746)</f>
        <v>0</v>
      </c>
      <c r="AF1376" s="652">
        <f>IF($B1376="",,SUMIFS(SalaryPayrollTaxes[Month 21],SalaryPayrollTaxes[exp_item],$H1376,SalaryPayrollTaxes[company_name],$B1376,SalaryPayrollTaxes[bu_name],$C1376)*(AF431+AF536+AF641)+SUMIFS(ExpensePayrollTaxes[Month 21],ExpensePayrollTaxes[exp_item],$H746,ExpensePayrollTaxes[company_name],$B1376)*AF746)</f>
        <v>0</v>
      </c>
      <c r="AG1376" s="652">
        <f>IF($B1376="",,SUMIFS(SalaryPayrollTaxes[Month 22],SalaryPayrollTaxes[exp_item],$H1376,SalaryPayrollTaxes[company_name],$B1376,SalaryPayrollTaxes[bu_name],$C1376)*(AG431+AG536+AG641)+SUMIFS(ExpensePayrollTaxes[Month 22],ExpensePayrollTaxes[exp_item],$H746,ExpensePayrollTaxes[company_name],$B1376)*AG746)</f>
        <v>0</v>
      </c>
      <c r="AH1376" s="652">
        <f>IF($B1376="",,SUMIFS(SalaryPayrollTaxes[Month 23],SalaryPayrollTaxes[exp_item],$H1376,SalaryPayrollTaxes[company_name],$B1376,SalaryPayrollTaxes[bu_name],$C1376)*(AH431+AH536+AH641)+SUMIFS(ExpensePayrollTaxes[Month 23],ExpensePayrollTaxes[exp_item],$H746,ExpensePayrollTaxes[company_name],$B1376)*AH746)</f>
        <v>0</v>
      </c>
      <c r="AI1376" s="652">
        <f>IF($B1376="",,SUMIFS(SalaryPayrollTaxes[Month 24],SalaryPayrollTaxes[exp_item],$H1376,SalaryPayrollTaxes[company_name],$B1376,SalaryPayrollTaxes[bu_name],$C1376)*(AI431+AI536+AI641)+SUMIFS(ExpensePayrollTaxes[Month 24],ExpensePayrollTaxes[exp_item],$H746,ExpensePayrollTaxes[company_name],$B1376)*AI746)</f>
        <v>0</v>
      </c>
      <c r="AJ1376" s="652">
        <f>IF($B1376="",,SUMIFS(SalaryPayrollTaxes[Month 25],SalaryPayrollTaxes[exp_item],$H1376,SalaryPayrollTaxes[company_name],$B1376,SalaryPayrollTaxes[bu_name],$C1376)*(AJ431+AJ536+AJ641)+SUMIFS(ExpensePayrollTaxes[Month 25],ExpensePayrollTaxes[exp_item],$H746,ExpensePayrollTaxes[company_name],$B1376)*AJ746)</f>
        <v>0</v>
      </c>
      <c r="AK1376" s="652">
        <f>IF($B1376="",,SUMIFS(SalaryPayrollTaxes[Month 26],SalaryPayrollTaxes[exp_item],$H1376,SalaryPayrollTaxes[company_name],$B1376,SalaryPayrollTaxes[bu_name],$C1376)*(AK431+AK536+AK641)+SUMIFS(ExpensePayrollTaxes[Month 26],ExpensePayrollTaxes[exp_item],$H746,ExpensePayrollTaxes[company_name],$B1376)*AK746)</f>
        <v>0</v>
      </c>
      <c r="AL1376" s="652">
        <f>IF($B1376="",,SUMIFS(SalaryPayrollTaxes[Month 27],SalaryPayrollTaxes[exp_item],$H1376,SalaryPayrollTaxes[company_name],$B1376,SalaryPayrollTaxes[bu_name],$C1376)*(AL431+AL536+AL641)+SUMIFS(ExpensePayrollTaxes[Month 27],ExpensePayrollTaxes[exp_item],$H746,ExpensePayrollTaxes[company_name],$B1376)*AL746)</f>
        <v>0</v>
      </c>
      <c r="AM1376" s="652">
        <f>IF($B1376="",,SUMIFS(SalaryPayrollTaxes[Month 28],SalaryPayrollTaxes[exp_item],$H1376,SalaryPayrollTaxes[company_name],$B1376,SalaryPayrollTaxes[bu_name],$C1376)*(AM431+AM536+AM641)+SUMIFS(ExpensePayrollTaxes[Month 28],ExpensePayrollTaxes[exp_item],$H746,ExpensePayrollTaxes[company_name],$B1376)*AM746)</f>
        <v>0</v>
      </c>
      <c r="AN1376" s="652">
        <f>IF($B1376="",,SUMIFS(SalaryPayrollTaxes[Month 29],SalaryPayrollTaxes[exp_item],$H1376,SalaryPayrollTaxes[company_name],$B1376,SalaryPayrollTaxes[bu_name],$C1376)*(AN431+AN536+AN641)+SUMIFS(ExpensePayrollTaxes[Month 29],ExpensePayrollTaxes[exp_item],$H746,ExpensePayrollTaxes[company_name],$B1376)*AN746)</f>
        <v>0</v>
      </c>
      <c r="AO1376" s="652">
        <f>IF($B1376="",,SUMIFS(SalaryPayrollTaxes[Month 30],SalaryPayrollTaxes[exp_item],$H1376,SalaryPayrollTaxes[company_name],$B1376,SalaryPayrollTaxes[bu_name],$C1376)*(AO431+AO536+AO641)+SUMIFS(ExpensePayrollTaxes[Month 30],ExpensePayrollTaxes[exp_item],$H746,ExpensePayrollTaxes[company_name],$B1376)*AO746)</f>
        <v>0</v>
      </c>
      <c r="AP1376" s="652">
        <f>IF($B1376="",,SUMIFS(SalaryPayrollTaxes[Month 31],SalaryPayrollTaxes[exp_item],$H1376,SalaryPayrollTaxes[company_name],$B1376,SalaryPayrollTaxes[bu_name],$C1376)*(AP431+AP536+AP641)+SUMIFS(ExpensePayrollTaxes[Month 31],ExpensePayrollTaxes[exp_item],$H746,ExpensePayrollTaxes[company_name],$B1376)*AP746)</f>
        <v>0</v>
      </c>
      <c r="AQ1376" s="652">
        <f>IF($B1376="",,SUMIFS(SalaryPayrollTaxes[Month 32],SalaryPayrollTaxes[exp_item],$H1376,SalaryPayrollTaxes[company_name],$B1376,SalaryPayrollTaxes[bu_name],$C1376)*(AQ431+AQ536+AQ641)+SUMIFS(ExpensePayrollTaxes[Month 32],ExpensePayrollTaxes[exp_item],$H746,ExpensePayrollTaxes[company_name],$B1376)*AQ746)</f>
        <v>0</v>
      </c>
      <c r="AR1376" s="652">
        <f>IF($B1376="",,SUMIFS(SalaryPayrollTaxes[Month 33],SalaryPayrollTaxes[exp_item],$H1376,SalaryPayrollTaxes[company_name],$B1376,SalaryPayrollTaxes[bu_name],$C1376)*(AR431+AR536+AR641)+SUMIFS(ExpensePayrollTaxes[Month 33],ExpensePayrollTaxes[exp_item],$H746,ExpensePayrollTaxes[company_name],$B1376)*AR746)</f>
        <v>0</v>
      </c>
      <c r="AS1376" s="652">
        <f>IF($B1376="",,SUMIFS(SalaryPayrollTaxes[Month 34],SalaryPayrollTaxes[exp_item],$H1376,SalaryPayrollTaxes[company_name],$B1376,SalaryPayrollTaxes[bu_name],$C1376)*(AS431+AS536+AS641)+SUMIFS(ExpensePayrollTaxes[Month 34],ExpensePayrollTaxes[exp_item],$H746,ExpensePayrollTaxes[company_name],$B1376)*AS746)</f>
        <v>0</v>
      </c>
      <c r="AT1376" s="652">
        <f>IF($B1376="",,SUMIFS(SalaryPayrollTaxes[Month 35],SalaryPayrollTaxes[exp_item],$H1376,SalaryPayrollTaxes[company_name],$B1376,SalaryPayrollTaxes[bu_name],$C1376)*(AT431+AT536+AT641)+SUMIFS(ExpensePayrollTaxes[Month 35],ExpensePayrollTaxes[exp_item],$H746,ExpensePayrollTaxes[company_name],$B1376)*AT746)</f>
        <v>0</v>
      </c>
      <c r="AU1376" s="652">
        <f>IF($B1376="",,SUMIFS(SalaryPayrollTaxes[Month 36],SalaryPayrollTaxes[exp_item],$H1376,SalaryPayrollTaxes[company_name],$B1376,SalaryPayrollTaxes[bu_name],$C1376)*(AU431+AU536+AU641)+SUMIFS(ExpensePayrollTaxes[Month 36],ExpensePayrollTaxes[exp_item],$H746,ExpensePayrollTaxes[company_name],$B1376)*AU746)</f>
        <v>0</v>
      </c>
    </row>
    <row r="1377" spans="2:47" x14ac:dyDescent="0.35">
      <c r="B1377" t="str">
        <f t="shared" si="993"/>
        <v/>
      </c>
      <c r="C1377" t="str">
        <f t="shared" si="993"/>
        <v/>
      </c>
      <c r="D1377" t="str">
        <f t="shared" si="993"/>
        <v/>
      </c>
      <c r="E1377" t="str">
        <f t="shared" si="993"/>
        <v/>
      </c>
      <c r="F1377" t="str">
        <f t="shared" si="993"/>
        <v/>
      </c>
      <c r="G1377" t="str">
        <f t="shared" si="993"/>
        <v/>
      </c>
      <c r="H1377" t="str">
        <f t="shared" si="989"/>
        <v/>
      </c>
      <c r="J1377" t="str">
        <f>IF($H1377="","",IF(VLOOKUP(H1377,ExpItems[],2,0),H1377&amp;" - "&amp;INDEX(DivisionMapping[category_code],MATCH($D1377&amp;$C1377,DivisionMapping[dept_bu],0)),H1377))</f>
        <v/>
      </c>
      <c r="K1377" t="str">
        <f t="shared" si="990"/>
        <v/>
      </c>
      <c r="L1377" s="652">
        <f>IF($B1377="",,SUMIFS(SalaryPayrollTaxes[Month 1],SalaryPayrollTaxes[exp_item],$H1377,SalaryPayrollTaxes[company_name],$B1377,SalaryPayrollTaxes[bu_name],$C1377)*(L432+L537+L642)+SUMIFS(ExpensePayrollTaxes[Month 1],ExpensePayrollTaxes[exp_item],$H747,ExpensePayrollTaxes[company_name],$B1377)*L747)</f>
        <v>0</v>
      </c>
      <c r="M1377" s="652">
        <f>IF($B1377="",,SUMIFS(SalaryPayrollTaxes[Month 2],SalaryPayrollTaxes[exp_item],$H1377,SalaryPayrollTaxes[company_name],$B1377,SalaryPayrollTaxes[bu_name],$C1377)*(M432+M537+M642)+SUMIFS(ExpensePayrollTaxes[Month 2],ExpensePayrollTaxes[exp_item],$H747,ExpensePayrollTaxes[company_name],$B1377)*M747)</f>
        <v>0</v>
      </c>
      <c r="N1377" s="652">
        <f>IF($B1377="",,SUMIFS(SalaryPayrollTaxes[Month 3],SalaryPayrollTaxes[exp_item],$H1377,SalaryPayrollTaxes[company_name],$B1377,SalaryPayrollTaxes[bu_name],$C1377)*(N432+N537+N642)+SUMIFS(ExpensePayrollTaxes[Month 3],ExpensePayrollTaxes[exp_item],$H747,ExpensePayrollTaxes[company_name],$B1377)*N747)</f>
        <v>0</v>
      </c>
      <c r="O1377" s="652">
        <f>IF($B1377="",,SUMIFS(SalaryPayrollTaxes[Month 4],SalaryPayrollTaxes[exp_item],$H1377,SalaryPayrollTaxes[company_name],$B1377,SalaryPayrollTaxes[bu_name],$C1377)*(O432+O537+O642)+SUMIFS(ExpensePayrollTaxes[Month 4],ExpensePayrollTaxes[exp_item],$H747,ExpensePayrollTaxes[company_name],$B1377)*O747)</f>
        <v>0</v>
      </c>
      <c r="P1377" s="652">
        <f>IF($B1377="",,SUMIFS(SalaryPayrollTaxes[Month 5],SalaryPayrollTaxes[exp_item],$H1377,SalaryPayrollTaxes[company_name],$B1377,SalaryPayrollTaxes[bu_name],$C1377)*(P432+P537+P642)+SUMIFS(ExpensePayrollTaxes[Month 5],ExpensePayrollTaxes[exp_item],$H747,ExpensePayrollTaxes[company_name],$B1377)*P747)</f>
        <v>0</v>
      </c>
      <c r="Q1377" s="652">
        <f>IF($B1377="",,SUMIFS(SalaryPayrollTaxes[Month 6],SalaryPayrollTaxes[exp_item],$H1377,SalaryPayrollTaxes[company_name],$B1377,SalaryPayrollTaxes[bu_name],$C1377)*(Q432+Q537+Q642)+SUMIFS(ExpensePayrollTaxes[Month 6],ExpensePayrollTaxes[exp_item],$H747,ExpensePayrollTaxes[company_name],$B1377)*Q747)</f>
        <v>0</v>
      </c>
      <c r="R1377" s="652">
        <f>IF($B1377="",,SUMIFS(SalaryPayrollTaxes[Month 7],SalaryPayrollTaxes[exp_item],$H1377,SalaryPayrollTaxes[company_name],$B1377,SalaryPayrollTaxes[bu_name],$C1377)*(R432+R537+R642)+SUMIFS(ExpensePayrollTaxes[Month 7],ExpensePayrollTaxes[exp_item],$H747,ExpensePayrollTaxes[company_name],$B1377)*R747)</f>
        <v>0</v>
      </c>
      <c r="S1377" s="652">
        <f>IF($B1377="",,SUMIFS(SalaryPayrollTaxes[Month 8],SalaryPayrollTaxes[exp_item],$H1377,SalaryPayrollTaxes[company_name],$B1377,SalaryPayrollTaxes[bu_name],$C1377)*(S432+S537+S642)+SUMIFS(ExpensePayrollTaxes[Month 8],ExpensePayrollTaxes[exp_item],$H747,ExpensePayrollTaxes[company_name],$B1377)*S747)</f>
        <v>0</v>
      </c>
      <c r="T1377" s="652">
        <f>IF($B1377="",,SUMIFS(SalaryPayrollTaxes[Month 9],SalaryPayrollTaxes[exp_item],$H1377,SalaryPayrollTaxes[company_name],$B1377,SalaryPayrollTaxes[bu_name],$C1377)*(T432+T537+T642)+SUMIFS(ExpensePayrollTaxes[Month 9],ExpensePayrollTaxes[exp_item],$H747,ExpensePayrollTaxes[company_name],$B1377)*T747)</f>
        <v>0</v>
      </c>
      <c r="U1377" s="652">
        <f>IF($B1377="",,SUMIFS(SalaryPayrollTaxes[Month 10],SalaryPayrollTaxes[exp_item],$H1377,SalaryPayrollTaxes[company_name],$B1377,SalaryPayrollTaxes[bu_name],$C1377)*(U432+U537+U642)+SUMIFS(ExpensePayrollTaxes[Month 10],ExpensePayrollTaxes[exp_item],$H747,ExpensePayrollTaxes[company_name],$B1377)*U747)</f>
        <v>0</v>
      </c>
      <c r="V1377" s="652">
        <f>IF($B1377="",,SUMIFS(SalaryPayrollTaxes[Month 11],SalaryPayrollTaxes[exp_item],$H1377,SalaryPayrollTaxes[company_name],$B1377,SalaryPayrollTaxes[bu_name],$C1377)*(V432+V537+V642)+SUMIFS(ExpensePayrollTaxes[Month 11],ExpensePayrollTaxes[exp_item],$H747,ExpensePayrollTaxes[company_name],$B1377)*V747)</f>
        <v>0</v>
      </c>
      <c r="W1377" s="652">
        <f>IF($B1377="",,SUMIFS(SalaryPayrollTaxes[Month 12],SalaryPayrollTaxes[exp_item],$H1377,SalaryPayrollTaxes[company_name],$B1377,SalaryPayrollTaxes[bu_name],$C1377)*(W432+W537+W642)+SUMIFS(ExpensePayrollTaxes[Month 12],ExpensePayrollTaxes[exp_item],$H747,ExpensePayrollTaxes[company_name],$B1377)*W747)</f>
        <v>0</v>
      </c>
      <c r="X1377" s="652">
        <f>IF($B1377="",,SUMIFS(SalaryPayrollTaxes[Month 13],SalaryPayrollTaxes[exp_item],$H1377,SalaryPayrollTaxes[company_name],$B1377,SalaryPayrollTaxes[bu_name],$C1377)*(X432+X537+X642)+SUMIFS(ExpensePayrollTaxes[Month 13],ExpensePayrollTaxes[exp_item],$H747,ExpensePayrollTaxes[company_name],$B1377)*X747)</f>
        <v>0</v>
      </c>
      <c r="Y1377" s="652">
        <f>IF($B1377="",,SUMIFS(SalaryPayrollTaxes[Month 14],SalaryPayrollTaxes[exp_item],$H1377,SalaryPayrollTaxes[company_name],$B1377,SalaryPayrollTaxes[bu_name],$C1377)*(Y432+Y537+Y642)+SUMIFS(ExpensePayrollTaxes[Month 14],ExpensePayrollTaxes[exp_item],$H747,ExpensePayrollTaxes[company_name],$B1377)*Y747)</f>
        <v>0</v>
      </c>
      <c r="Z1377" s="652">
        <f>IF($B1377="",,SUMIFS(SalaryPayrollTaxes[Month 15],SalaryPayrollTaxes[exp_item],$H1377,SalaryPayrollTaxes[company_name],$B1377,SalaryPayrollTaxes[bu_name],$C1377)*(Z432+Z537+Z642)+SUMIFS(ExpensePayrollTaxes[Month 15],ExpensePayrollTaxes[exp_item],$H747,ExpensePayrollTaxes[company_name],$B1377)*Z747)</f>
        <v>0</v>
      </c>
      <c r="AA1377" s="652">
        <f>IF($B1377="",,SUMIFS(SalaryPayrollTaxes[Month 16],SalaryPayrollTaxes[exp_item],$H1377,SalaryPayrollTaxes[company_name],$B1377,SalaryPayrollTaxes[bu_name],$C1377)*(AA432+AA537+AA642)+SUMIFS(ExpensePayrollTaxes[Month 16],ExpensePayrollTaxes[exp_item],$H747,ExpensePayrollTaxes[company_name],$B1377)*AA747)</f>
        <v>0</v>
      </c>
      <c r="AB1377" s="652">
        <f>IF($B1377="",,SUMIFS(SalaryPayrollTaxes[Month 17],SalaryPayrollTaxes[exp_item],$H1377,SalaryPayrollTaxes[company_name],$B1377,SalaryPayrollTaxes[bu_name],$C1377)*(AB432+AB537+AB642)+SUMIFS(ExpensePayrollTaxes[Month 17],ExpensePayrollTaxes[exp_item],$H747,ExpensePayrollTaxes[company_name],$B1377)*AB747)</f>
        <v>0</v>
      </c>
      <c r="AC1377" s="652">
        <f>IF($B1377="",,SUMIFS(SalaryPayrollTaxes[Month 18],SalaryPayrollTaxes[exp_item],$H1377,SalaryPayrollTaxes[company_name],$B1377,SalaryPayrollTaxes[bu_name],$C1377)*(AC432+AC537+AC642)+SUMIFS(ExpensePayrollTaxes[Month 18],ExpensePayrollTaxes[exp_item],$H747,ExpensePayrollTaxes[company_name],$B1377)*AC747)</f>
        <v>0</v>
      </c>
      <c r="AD1377" s="652">
        <f>IF($B1377="",,SUMIFS(SalaryPayrollTaxes[Month 19],SalaryPayrollTaxes[exp_item],$H1377,SalaryPayrollTaxes[company_name],$B1377,SalaryPayrollTaxes[bu_name],$C1377)*(AD432+AD537+AD642)+SUMIFS(ExpensePayrollTaxes[Month 19],ExpensePayrollTaxes[exp_item],$H747,ExpensePayrollTaxes[company_name],$B1377)*AD747)</f>
        <v>0</v>
      </c>
      <c r="AE1377" s="652">
        <f>IF($B1377="",,SUMIFS(SalaryPayrollTaxes[Month 20],SalaryPayrollTaxes[exp_item],$H1377,SalaryPayrollTaxes[company_name],$B1377,SalaryPayrollTaxes[bu_name],$C1377)*(AE432+AE537+AE642)+SUMIFS(ExpensePayrollTaxes[Month 20],ExpensePayrollTaxes[exp_item],$H747,ExpensePayrollTaxes[company_name],$B1377)*AE747)</f>
        <v>0</v>
      </c>
      <c r="AF1377" s="652">
        <f>IF($B1377="",,SUMIFS(SalaryPayrollTaxes[Month 21],SalaryPayrollTaxes[exp_item],$H1377,SalaryPayrollTaxes[company_name],$B1377,SalaryPayrollTaxes[bu_name],$C1377)*(AF432+AF537+AF642)+SUMIFS(ExpensePayrollTaxes[Month 21],ExpensePayrollTaxes[exp_item],$H747,ExpensePayrollTaxes[company_name],$B1377)*AF747)</f>
        <v>0</v>
      </c>
      <c r="AG1377" s="652">
        <f>IF($B1377="",,SUMIFS(SalaryPayrollTaxes[Month 22],SalaryPayrollTaxes[exp_item],$H1377,SalaryPayrollTaxes[company_name],$B1377,SalaryPayrollTaxes[bu_name],$C1377)*(AG432+AG537+AG642)+SUMIFS(ExpensePayrollTaxes[Month 22],ExpensePayrollTaxes[exp_item],$H747,ExpensePayrollTaxes[company_name],$B1377)*AG747)</f>
        <v>0</v>
      </c>
      <c r="AH1377" s="652">
        <f>IF($B1377="",,SUMIFS(SalaryPayrollTaxes[Month 23],SalaryPayrollTaxes[exp_item],$H1377,SalaryPayrollTaxes[company_name],$B1377,SalaryPayrollTaxes[bu_name],$C1377)*(AH432+AH537+AH642)+SUMIFS(ExpensePayrollTaxes[Month 23],ExpensePayrollTaxes[exp_item],$H747,ExpensePayrollTaxes[company_name],$B1377)*AH747)</f>
        <v>0</v>
      </c>
      <c r="AI1377" s="652">
        <f>IF($B1377="",,SUMIFS(SalaryPayrollTaxes[Month 24],SalaryPayrollTaxes[exp_item],$H1377,SalaryPayrollTaxes[company_name],$B1377,SalaryPayrollTaxes[bu_name],$C1377)*(AI432+AI537+AI642)+SUMIFS(ExpensePayrollTaxes[Month 24],ExpensePayrollTaxes[exp_item],$H747,ExpensePayrollTaxes[company_name],$B1377)*AI747)</f>
        <v>0</v>
      </c>
      <c r="AJ1377" s="652">
        <f>IF($B1377="",,SUMIFS(SalaryPayrollTaxes[Month 25],SalaryPayrollTaxes[exp_item],$H1377,SalaryPayrollTaxes[company_name],$B1377,SalaryPayrollTaxes[bu_name],$C1377)*(AJ432+AJ537+AJ642)+SUMIFS(ExpensePayrollTaxes[Month 25],ExpensePayrollTaxes[exp_item],$H747,ExpensePayrollTaxes[company_name],$B1377)*AJ747)</f>
        <v>0</v>
      </c>
      <c r="AK1377" s="652">
        <f>IF($B1377="",,SUMIFS(SalaryPayrollTaxes[Month 26],SalaryPayrollTaxes[exp_item],$H1377,SalaryPayrollTaxes[company_name],$B1377,SalaryPayrollTaxes[bu_name],$C1377)*(AK432+AK537+AK642)+SUMIFS(ExpensePayrollTaxes[Month 26],ExpensePayrollTaxes[exp_item],$H747,ExpensePayrollTaxes[company_name],$B1377)*AK747)</f>
        <v>0</v>
      </c>
      <c r="AL1377" s="652">
        <f>IF($B1377="",,SUMIFS(SalaryPayrollTaxes[Month 27],SalaryPayrollTaxes[exp_item],$H1377,SalaryPayrollTaxes[company_name],$B1377,SalaryPayrollTaxes[bu_name],$C1377)*(AL432+AL537+AL642)+SUMIFS(ExpensePayrollTaxes[Month 27],ExpensePayrollTaxes[exp_item],$H747,ExpensePayrollTaxes[company_name],$B1377)*AL747)</f>
        <v>0</v>
      </c>
      <c r="AM1377" s="652">
        <f>IF($B1377="",,SUMIFS(SalaryPayrollTaxes[Month 28],SalaryPayrollTaxes[exp_item],$H1377,SalaryPayrollTaxes[company_name],$B1377,SalaryPayrollTaxes[bu_name],$C1377)*(AM432+AM537+AM642)+SUMIFS(ExpensePayrollTaxes[Month 28],ExpensePayrollTaxes[exp_item],$H747,ExpensePayrollTaxes[company_name],$B1377)*AM747)</f>
        <v>0</v>
      </c>
      <c r="AN1377" s="652">
        <f>IF($B1377="",,SUMIFS(SalaryPayrollTaxes[Month 29],SalaryPayrollTaxes[exp_item],$H1377,SalaryPayrollTaxes[company_name],$B1377,SalaryPayrollTaxes[bu_name],$C1377)*(AN432+AN537+AN642)+SUMIFS(ExpensePayrollTaxes[Month 29],ExpensePayrollTaxes[exp_item],$H747,ExpensePayrollTaxes[company_name],$B1377)*AN747)</f>
        <v>0</v>
      </c>
      <c r="AO1377" s="652">
        <f>IF($B1377="",,SUMIFS(SalaryPayrollTaxes[Month 30],SalaryPayrollTaxes[exp_item],$H1377,SalaryPayrollTaxes[company_name],$B1377,SalaryPayrollTaxes[bu_name],$C1377)*(AO432+AO537+AO642)+SUMIFS(ExpensePayrollTaxes[Month 30],ExpensePayrollTaxes[exp_item],$H747,ExpensePayrollTaxes[company_name],$B1377)*AO747)</f>
        <v>0</v>
      </c>
      <c r="AP1377" s="652">
        <f>IF($B1377="",,SUMIFS(SalaryPayrollTaxes[Month 31],SalaryPayrollTaxes[exp_item],$H1377,SalaryPayrollTaxes[company_name],$B1377,SalaryPayrollTaxes[bu_name],$C1377)*(AP432+AP537+AP642)+SUMIFS(ExpensePayrollTaxes[Month 31],ExpensePayrollTaxes[exp_item],$H747,ExpensePayrollTaxes[company_name],$B1377)*AP747)</f>
        <v>0</v>
      </c>
      <c r="AQ1377" s="652">
        <f>IF($B1377="",,SUMIFS(SalaryPayrollTaxes[Month 32],SalaryPayrollTaxes[exp_item],$H1377,SalaryPayrollTaxes[company_name],$B1377,SalaryPayrollTaxes[bu_name],$C1377)*(AQ432+AQ537+AQ642)+SUMIFS(ExpensePayrollTaxes[Month 32],ExpensePayrollTaxes[exp_item],$H747,ExpensePayrollTaxes[company_name],$B1377)*AQ747)</f>
        <v>0</v>
      </c>
      <c r="AR1377" s="652">
        <f>IF($B1377="",,SUMIFS(SalaryPayrollTaxes[Month 33],SalaryPayrollTaxes[exp_item],$H1377,SalaryPayrollTaxes[company_name],$B1377,SalaryPayrollTaxes[bu_name],$C1377)*(AR432+AR537+AR642)+SUMIFS(ExpensePayrollTaxes[Month 33],ExpensePayrollTaxes[exp_item],$H747,ExpensePayrollTaxes[company_name],$B1377)*AR747)</f>
        <v>0</v>
      </c>
      <c r="AS1377" s="652">
        <f>IF($B1377="",,SUMIFS(SalaryPayrollTaxes[Month 34],SalaryPayrollTaxes[exp_item],$H1377,SalaryPayrollTaxes[company_name],$B1377,SalaryPayrollTaxes[bu_name],$C1377)*(AS432+AS537+AS642)+SUMIFS(ExpensePayrollTaxes[Month 34],ExpensePayrollTaxes[exp_item],$H747,ExpensePayrollTaxes[company_name],$B1377)*AS747)</f>
        <v>0</v>
      </c>
      <c r="AT1377" s="652">
        <f>IF($B1377="",,SUMIFS(SalaryPayrollTaxes[Month 35],SalaryPayrollTaxes[exp_item],$H1377,SalaryPayrollTaxes[company_name],$B1377,SalaryPayrollTaxes[bu_name],$C1377)*(AT432+AT537+AT642)+SUMIFS(ExpensePayrollTaxes[Month 35],ExpensePayrollTaxes[exp_item],$H747,ExpensePayrollTaxes[company_name],$B1377)*AT747)</f>
        <v>0</v>
      </c>
      <c r="AU1377" s="652">
        <f>IF($B1377="",,SUMIFS(SalaryPayrollTaxes[Month 36],SalaryPayrollTaxes[exp_item],$H1377,SalaryPayrollTaxes[company_name],$B1377,SalaryPayrollTaxes[bu_name],$C1377)*(AU432+AU537+AU642)+SUMIFS(ExpensePayrollTaxes[Month 36],ExpensePayrollTaxes[exp_item],$H747,ExpensePayrollTaxes[company_name],$B1377)*AU747)</f>
        <v>0</v>
      </c>
    </row>
    <row r="1378" spans="2:47" x14ac:dyDescent="0.35">
      <c r="B1378" t="str">
        <f t="shared" si="993"/>
        <v/>
      </c>
      <c r="C1378" t="str">
        <f t="shared" si="993"/>
        <v/>
      </c>
      <c r="D1378" t="str">
        <f t="shared" si="993"/>
        <v/>
      </c>
      <c r="E1378" t="str">
        <f t="shared" si="993"/>
        <v/>
      </c>
      <c r="F1378" t="str">
        <f t="shared" si="993"/>
        <v/>
      </c>
      <c r="G1378" t="str">
        <f t="shared" si="993"/>
        <v/>
      </c>
      <c r="H1378" t="str">
        <f t="shared" si="989"/>
        <v/>
      </c>
      <c r="J1378" t="str">
        <f>IF($H1378="","",IF(VLOOKUP(H1378,ExpItems[],2,0),H1378&amp;" - "&amp;INDEX(DivisionMapping[category_code],MATCH($D1378&amp;$C1378,DivisionMapping[dept_bu],0)),H1378))</f>
        <v/>
      </c>
      <c r="K1378" t="str">
        <f t="shared" si="990"/>
        <v/>
      </c>
      <c r="L1378" s="652">
        <f>IF($B1378="",,SUMIFS(SalaryPayrollTaxes[Month 1],SalaryPayrollTaxes[exp_item],$H1378,SalaryPayrollTaxes[company_name],$B1378,SalaryPayrollTaxes[bu_name],$C1378)*(L433+L538+L643)+SUMIFS(ExpensePayrollTaxes[Month 1],ExpensePayrollTaxes[exp_item],$H748,ExpensePayrollTaxes[company_name],$B1378)*L748)</f>
        <v>0</v>
      </c>
      <c r="M1378" s="652">
        <f>IF($B1378="",,SUMIFS(SalaryPayrollTaxes[Month 2],SalaryPayrollTaxes[exp_item],$H1378,SalaryPayrollTaxes[company_name],$B1378,SalaryPayrollTaxes[bu_name],$C1378)*(M433+M538+M643)+SUMIFS(ExpensePayrollTaxes[Month 2],ExpensePayrollTaxes[exp_item],$H748,ExpensePayrollTaxes[company_name],$B1378)*M748)</f>
        <v>0</v>
      </c>
      <c r="N1378" s="652">
        <f>IF($B1378="",,SUMIFS(SalaryPayrollTaxes[Month 3],SalaryPayrollTaxes[exp_item],$H1378,SalaryPayrollTaxes[company_name],$B1378,SalaryPayrollTaxes[bu_name],$C1378)*(N433+N538+N643)+SUMIFS(ExpensePayrollTaxes[Month 3],ExpensePayrollTaxes[exp_item],$H748,ExpensePayrollTaxes[company_name],$B1378)*N748)</f>
        <v>0</v>
      </c>
      <c r="O1378" s="652">
        <f>IF($B1378="",,SUMIFS(SalaryPayrollTaxes[Month 4],SalaryPayrollTaxes[exp_item],$H1378,SalaryPayrollTaxes[company_name],$B1378,SalaryPayrollTaxes[bu_name],$C1378)*(O433+O538+O643)+SUMIFS(ExpensePayrollTaxes[Month 4],ExpensePayrollTaxes[exp_item],$H748,ExpensePayrollTaxes[company_name],$B1378)*O748)</f>
        <v>0</v>
      </c>
      <c r="P1378" s="652">
        <f>IF($B1378="",,SUMIFS(SalaryPayrollTaxes[Month 5],SalaryPayrollTaxes[exp_item],$H1378,SalaryPayrollTaxes[company_name],$B1378,SalaryPayrollTaxes[bu_name],$C1378)*(P433+P538+P643)+SUMIFS(ExpensePayrollTaxes[Month 5],ExpensePayrollTaxes[exp_item],$H748,ExpensePayrollTaxes[company_name],$B1378)*P748)</f>
        <v>0</v>
      </c>
      <c r="Q1378" s="652">
        <f>IF($B1378="",,SUMIFS(SalaryPayrollTaxes[Month 6],SalaryPayrollTaxes[exp_item],$H1378,SalaryPayrollTaxes[company_name],$B1378,SalaryPayrollTaxes[bu_name],$C1378)*(Q433+Q538+Q643)+SUMIFS(ExpensePayrollTaxes[Month 6],ExpensePayrollTaxes[exp_item],$H748,ExpensePayrollTaxes[company_name],$B1378)*Q748)</f>
        <v>0</v>
      </c>
      <c r="R1378" s="652">
        <f>IF($B1378="",,SUMIFS(SalaryPayrollTaxes[Month 7],SalaryPayrollTaxes[exp_item],$H1378,SalaryPayrollTaxes[company_name],$B1378,SalaryPayrollTaxes[bu_name],$C1378)*(R433+R538+R643)+SUMIFS(ExpensePayrollTaxes[Month 7],ExpensePayrollTaxes[exp_item],$H748,ExpensePayrollTaxes[company_name],$B1378)*R748)</f>
        <v>0</v>
      </c>
      <c r="S1378" s="652">
        <f>IF($B1378="",,SUMIFS(SalaryPayrollTaxes[Month 8],SalaryPayrollTaxes[exp_item],$H1378,SalaryPayrollTaxes[company_name],$B1378,SalaryPayrollTaxes[bu_name],$C1378)*(S433+S538+S643)+SUMIFS(ExpensePayrollTaxes[Month 8],ExpensePayrollTaxes[exp_item],$H748,ExpensePayrollTaxes[company_name],$B1378)*S748)</f>
        <v>0</v>
      </c>
      <c r="T1378" s="652">
        <f>IF($B1378="",,SUMIFS(SalaryPayrollTaxes[Month 9],SalaryPayrollTaxes[exp_item],$H1378,SalaryPayrollTaxes[company_name],$B1378,SalaryPayrollTaxes[bu_name],$C1378)*(T433+T538+T643)+SUMIFS(ExpensePayrollTaxes[Month 9],ExpensePayrollTaxes[exp_item],$H748,ExpensePayrollTaxes[company_name],$B1378)*T748)</f>
        <v>0</v>
      </c>
      <c r="U1378" s="652">
        <f>IF($B1378="",,SUMIFS(SalaryPayrollTaxes[Month 10],SalaryPayrollTaxes[exp_item],$H1378,SalaryPayrollTaxes[company_name],$B1378,SalaryPayrollTaxes[bu_name],$C1378)*(U433+U538+U643)+SUMIFS(ExpensePayrollTaxes[Month 10],ExpensePayrollTaxes[exp_item],$H748,ExpensePayrollTaxes[company_name],$B1378)*U748)</f>
        <v>0</v>
      </c>
      <c r="V1378" s="652">
        <f>IF($B1378="",,SUMIFS(SalaryPayrollTaxes[Month 11],SalaryPayrollTaxes[exp_item],$H1378,SalaryPayrollTaxes[company_name],$B1378,SalaryPayrollTaxes[bu_name],$C1378)*(V433+V538+V643)+SUMIFS(ExpensePayrollTaxes[Month 11],ExpensePayrollTaxes[exp_item],$H748,ExpensePayrollTaxes[company_name],$B1378)*V748)</f>
        <v>0</v>
      </c>
      <c r="W1378" s="652">
        <f>IF($B1378="",,SUMIFS(SalaryPayrollTaxes[Month 12],SalaryPayrollTaxes[exp_item],$H1378,SalaryPayrollTaxes[company_name],$B1378,SalaryPayrollTaxes[bu_name],$C1378)*(W433+W538+W643)+SUMIFS(ExpensePayrollTaxes[Month 12],ExpensePayrollTaxes[exp_item],$H748,ExpensePayrollTaxes[company_name],$B1378)*W748)</f>
        <v>0</v>
      </c>
      <c r="X1378" s="652">
        <f>IF($B1378="",,SUMIFS(SalaryPayrollTaxes[Month 13],SalaryPayrollTaxes[exp_item],$H1378,SalaryPayrollTaxes[company_name],$B1378,SalaryPayrollTaxes[bu_name],$C1378)*(X433+X538+X643)+SUMIFS(ExpensePayrollTaxes[Month 13],ExpensePayrollTaxes[exp_item],$H748,ExpensePayrollTaxes[company_name],$B1378)*X748)</f>
        <v>0</v>
      </c>
      <c r="Y1378" s="652">
        <f>IF($B1378="",,SUMIFS(SalaryPayrollTaxes[Month 14],SalaryPayrollTaxes[exp_item],$H1378,SalaryPayrollTaxes[company_name],$B1378,SalaryPayrollTaxes[bu_name],$C1378)*(Y433+Y538+Y643)+SUMIFS(ExpensePayrollTaxes[Month 14],ExpensePayrollTaxes[exp_item],$H748,ExpensePayrollTaxes[company_name],$B1378)*Y748)</f>
        <v>0</v>
      </c>
      <c r="Z1378" s="652">
        <f>IF($B1378="",,SUMIFS(SalaryPayrollTaxes[Month 15],SalaryPayrollTaxes[exp_item],$H1378,SalaryPayrollTaxes[company_name],$B1378,SalaryPayrollTaxes[bu_name],$C1378)*(Z433+Z538+Z643)+SUMIFS(ExpensePayrollTaxes[Month 15],ExpensePayrollTaxes[exp_item],$H748,ExpensePayrollTaxes[company_name],$B1378)*Z748)</f>
        <v>0</v>
      </c>
      <c r="AA1378" s="652">
        <f>IF($B1378="",,SUMIFS(SalaryPayrollTaxes[Month 16],SalaryPayrollTaxes[exp_item],$H1378,SalaryPayrollTaxes[company_name],$B1378,SalaryPayrollTaxes[bu_name],$C1378)*(AA433+AA538+AA643)+SUMIFS(ExpensePayrollTaxes[Month 16],ExpensePayrollTaxes[exp_item],$H748,ExpensePayrollTaxes[company_name],$B1378)*AA748)</f>
        <v>0</v>
      </c>
      <c r="AB1378" s="652">
        <f>IF($B1378="",,SUMIFS(SalaryPayrollTaxes[Month 17],SalaryPayrollTaxes[exp_item],$H1378,SalaryPayrollTaxes[company_name],$B1378,SalaryPayrollTaxes[bu_name],$C1378)*(AB433+AB538+AB643)+SUMIFS(ExpensePayrollTaxes[Month 17],ExpensePayrollTaxes[exp_item],$H748,ExpensePayrollTaxes[company_name],$B1378)*AB748)</f>
        <v>0</v>
      </c>
      <c r="AC1378" s="652">
        <f>IF($B1378="",,SUMIFS(SalaryPayrollTaxes[Month 18],SalaryPayrollTaxes[exp_item],$H1378,SalaryPayrollTaxes[company_name],$B1378,SalaryPayrollTaxes[bu_name],$C1378)*(AC433+AC538+AC643)+SUMIFS(ExpensePayrollTaxes[Month 18],ExpensePayrollTaxes[exp_item],$H748,ExpensePayrollTaxes[company_name],$B1378)*AC748)</f>
        <v>0</v>
      </c>
      <c r="AD1378" s="652">
        <f>IF($B1378="",,SUMIFS(SalaryPayrollTaxes[Month 19],SalaryPayrollTaxes[exp_item],$H1378,SalaryPayrollTaxes[company_name],$B1378,SalaryPayrollTaxes[bu_name],$C1378)*(AD433+AD538+AD643)+SUMIFS(ExpensePayrollTaxes[Month 19],ExpensePayrollTaxes[exp_item],$H748,ExpensePayrollTaxes[company_name],$B1378)*AD748)</f>
        <v>0</v>
      </c>
      <c r="AE1378" s="652">
        <f>IF($B1378="",,SUMIFS(SalaryPayrollTaxes[Month 20],SalaryPayrollTaxes[exp_item],$H1378,SalaryPayrollTaxes[company_name],$B1378,SalaryPayrollTaxes[bu_name],$C1378)*(AE433+AE538+AE643)+SUMIFS(ExpensePayrollTaxes[Month 20],ExpensePayrollTaxes[exp_item],$H748,ExpensePayrollTaxes[company_name],$B1378)*AE748)</f>
        <v>0</v>
      </c>
      <c r="AF1378" s="652">
        <f>IF($B1378="",,SUMIFS(SalaryPayrollTaxes[Month 21],SalaryPayrollTaxes[exp_item],$H1378,SalaryPayrollTaxes[company_name],$B1378,SalaryPayrollTaxes[bu_name],$C1378)*(AF433+AF538+AF643)+SUMIFS(ExpensePayrollTaxes[Month 21],ExpensePayrollTaxes[exp_item],$H748,ExpensePayrollTaxes[company_name],$B1378)*AF748)</f>
        <v>0</v>
      </c>
      <c r="AG1378" s="652">
        <f>IF($B1378="",,SUMIFS(SalaryPayrollTaxes[Month 22],SalaryPayrollTaxes[exp_item],$H1378,SalaryPayrollTaxes[company_name],$B1378,SalaryPayrollTaxes[bu_name],$C1378)*(AG433+AG538+AG643)+SUMIFS(ExpensePayrollTaxes[Month 22],ExpensePayrollTaxes[exp_item],$H748,ExpensePayrollTaxes[company_name],$B1378)*AG748)</f>
        <v>0</v>
      </c>
      <c r="AH1378" s="652">
        <f>IF($B1378="",,SUMIFS(SalaryPayrollTaxes[Month 23],SalaryPayrollTaxes[exp_item],$H1378,SalaryPayrollTaxes[company_name],$B1378,SalaryPayrollTaxes[bu_name],$C1378)*(AH433+AH538+AH643)+SUMIFS(ExpensePayrollTaxes[Month 23],ExpensePayrollTaxes[exp_item],$H748,ExpensePayrollTaxes[company_name],$B1378)*AH748)</f>
        <v>0</v>
      </c>
      <c r="AI1378" s="652">
        <f>IF($B1378="",,SUMIFS(SalaryPayrollTaxes[Month 24],SalaryPayrollTaxes[exp_item],$H1378,SalaryPayrollTaxes[company_name],$B1378,SalaryPayrollTaxes[bu_name],$C1378)*(AI433+AI538+AI643)+SUMIFS(ExpensePayrollTaxes[Month 24],ExpensePayrollTaxes[exp_item],$H748,ExpensePayrollTaxes[company_name],$B1378)*AI748)</f>
        <v>0</v>
      </c>
      <c r="AJ1378" s="652">
        <f>IF($B1378="",,SUMIFS(SalaryPayrollTaxes[Month 25],SalaryPayrollTaxes[exp_item],$H1378,SalaryPayrollTaxes[company_name],$B1378,SalaryPayrollTaxes[bu_name],$C1378)*(AJ433+AJ538+AJ643)+SUMIFS(ExpensePayrollTaxes[Month 25],ExpensePayrollTaxes[exp_item],$H748,ExpensePayrollTaxes[company_name],$B1378)*AJ748)</f>
        <v>0</v>
      </c>
      <c r="AK1378" s="652">
        <f>IF($B1378="",,SUMIFS(SalaryPayrollTaxes[Month 26],SalaryPayrollTaxes[exp_item],$H1378,SalaryPayrollTaxes[company_name],$B1378,SalaryPayrollTaxes[bu_name],$C1378)*(AK433+AK538+AK643)+SUMIFS(ExpensePayrollTaxes[Month 26],ExpensePayrollTaxes[exp_item],$H748,ExpensePayrollTaxes[company_name],$B1378)*AK748)</f>
        <v>0</v>
      </c>
      <c r="AL1378" s="652">
        <f>IF($B1378="",,SUMIFS(SalaryPayrollTaxes[Month 27],SalaryPayrollTaxes[exp_item],$H1378,SalaryPayrollTaxes[company_name],$B1378,SalaryPayrollTaxes[bu_name],$C1378)*(AL433+AL538+AL643)+SUMIFS(ExpensePayrollTaxes[Month 27],ExpensePayrollTaxes[exp_item],$H748,ExpensePayrollTaxes[company_name],$B1378)*AL748)</f>
        <v>0</v>
      </c>
      <c r="AM1378" s="652">
        <f>IF($B1378="",,SUMIFS(SalaryPayrollTaxes[Month 28],SalaryPayrollTaxes[exp_item],$H1378,SalaryPayrollTaxes[company_name],$B1378,SalaryPayrollTaxes[bu_name],$C1378)*(AM433+AM538+AM643)+SUMIFS(ExpensePayrollTaxes[Month 28],ExpensePayrollTaxes[exp_item],$H748,ExpensePayrollTaxes[company_name],$B1378)*AM748)</f>
        <v>0</v>
      </c>
      <c r="AN1378" s="652">
        <f>IF($B1378="",,SUMIFS(SalaryPayrollTaxes[Month 29],SalaryPayrollTaxes[exp_item],$H1378,SalaryPayrollTaxes[company_name],$B1378,SalaryPayrollTaxes[bu_name],$C1378)*(AN433+AN538+AN643)+SUMIFS(ExpensePayrollTaxes[Month 29],ExpensePayrollTaxes[exp_item],$H748,ExpensePayrollTaxes[company_name],$B1378)*AN748)</f>
        <v>0</v>
      </c>
      <c r="AO1378" s="652">
        <f>IF($B1378="",,SUMIFS(SalaryPayrollTaxes[Month 30],SalaryPayrollTaxes[exp_item],$H1378,SalaryPayrollTaxes[company_name],$B1378,SalaryPayrollTaxes[bu_name],$C1378)*(AO433+AO538+AO643)+SUMIFS(ExpensePayrollTaxes[Month 30],ExpensePayrollTaxes[exp_item],$H748,ExpensePayrollTaxes[company_name],$B1378)*AO748)</f>
        <v>0</v>
      </c>
      <c r="AP1378" s="652">
        <f>IF($B1378="",,SUMIFS(SalaryPayrollTaxes[Month 31],SalaryPayrollTaxes[exp_item],$H1378,SalaryPayrollTaxes[company_name],$B1378,SalaryPayrollTaxes[bu_name],$C1378)*(AP433+AP538+AP643)+SUMIFS(ExpensePayrollTaxes[Month 31],ExpensePayrollTaxes[exp_item],$H748,ExpensePayrollTaxes[company_name],$B1378)*AP748)</f>
        <v>0</v>
      </c>
      <c r="AQ1378" s="652">
        <f>IF($B1378="",,SUMIFS(SalaryPayrollTaxes[Month 32],SalaryPayrollTaxes[exp_item],$H1378,SalaryPayrollTaxes[company_name],$B1378,SalaryPayrollTaxes[bu_name],$C1378)*(AQ433+AQ538+AQ643)+SUMIFS(ExpensePayrollTaxes[Month 32],ExpensePayrollTaxes[exp_item],$H748,ExpensePayrollTaxes[company_name],$B1378)*AQ748)</f>
        <v>0</v>
      </c>
      <c r="AR1378" s="652">
        <f>IF($B1378="",,SUMIFS(SalaryPayrollTaxes[Month 33],SalaryPayrollTaxes[exp_item],$H1378,SalaryPayrollTaxes[company_name],$B1378,SalaryPayrollTaxes[bu_name],$C1378)*(AR433+AR538+AR643)+SUMIFS(ExpensePayrollTaxes[Month 33],ExpensePayrollTaxes[exp_item],$H748,ExpensePayrollTaxes[company_name],$B1378)*AR748)</f>
        <v>0</v>
      </c>
      <c r="AS1378" s="652">
        <f>IF($B1378="",,SUMIFS(SalaryPayrollTaxes[Month 34],SalaryPayrollTaxes[exp_item],$H1378,SalaryPayrollTaxes[company_name],$B1378,SalaryPayrollTaxes[bu_name],$C1378)*(AS433+AS538+AS643)+SUMIFS(ExpensePayrollTaxes[Month 34],ExpensePayrollTaxes[exp_item],$H748,ExpensePayrollTaxes[company_name],$B1378)*AS748)</f>
        <v>0</v>
      </c>
      <c r="AT1378" s="652">
        <f>IF($B1378="",,SUMIFS(SalaryPayrollTaxes[Month 35],SalaryPayrollTaxes[exp_item],$H1378,SalaryPayrollTaxes[company_name],$B1378,SalaryPayrollTaxes[bu_name],$C1378)*(AT433+AT538+AT643)+SUMIFS(ExpensePayrollTaxes[Month 35],ExpensePayrollTaxes[exp_item],$H748,ExpensePayrollTaxes[company_name],$B1378)*AT748)</f>
        <v>0</v>
      </c>
      <c r="AU1378" s="652">
        <f>IF($B1378="",,SUMIFS(SalaryPayrollTaxes[Month 36],SalaryPayrollTaxes[exp_item],$H1378,SalaryPayrollTaxes[company_name],$B1378,SalaryPayrollTaxes[bu_name],$C1378)*(AU433+AU538+AU643)+SUMIFS(ExpensePayrollTaxes[Month 36],ExpensePayrollTaxes[exp_item],$H748,ExpensePayrollTaxes[company_name],$B1378)*AU748)</f>
        <v>0</v>
      </c>
    </row>
    <row r="1379" spans="2:47" x14ac:dyDescent="0.35">
      <c r="B1379" t="str">
        <f t="shared" si="993"/>
        <v/>
      </c>
      <c r="C1379" t="str">
        <f t="shared" si="993"/>
        <v/>
      </c>
      <c r="D1379" t="str">
        <f t="shared" si="993"/>
        <v/>
      </c>
      <c r="E1379" t="str">
        <f t="shared" si="993"/>
        <v/>
      </c>
      <c r="F1379" t="str">
        <f t="shared" si="993"/>
        <v/>
      </c>
      <c r="G1379" t="str">
        <f t="shared" si="993"/>
        <v/>
      </c>
      <c r="H1379" t="str">
        <f t="shared" si="989"/>
        <v/>
      </c>
      <c r="J1379" t="str">
        <f>IF($H1379="","",IF(VLOOKUP(H1379,ExpItems[],2,0),H1379&amp;" - "&amp;INDEX(DivisionMapping[category_code],MATCH($D1379&amp;$C1379,DivisionMapping[dept_bu],0)),H1379))</f>
        <v/>
      </c>
      <c r="K1379" t="str">
        <f t="shared" si="990"/>
        <v/>
      </c>
      <c r="L1379" s="652">
        <f>IF($B1379="",,SUMIFS(SalaryPayrollTaxes[Month 1],SalaryPayrollTaxes[exp_item],$H1379,SalaryPayrollTaxes[company_name],$B1379,SalaryPayrollTaxes[bu_name],$C1379)*(L434+L539+L644)+SUMIFS(ExpensePayrollTaxes[Month 1],ExpensePayrollTaxes[exp_item],$H749,ExpensePayrollTaxes[company_name],$B1379)*L749)</f>
        <v>0</v>
      </c>
      <c r="M1379" s="652">
        <f>IF($B1379="",,SUMIFS(SalaryPayrollTaxes[Month 2],SalaryPayrollTaxes[exp_item],$H1379,SalaryPayrollTaxes[company_name],$B1379,SalaryPayrollTaxes[bu_name],$C1379)*(M434+M539+M644)+SUMIFS(ExpensePayrollTaxes[Month 2],ExpensePayrollTaxes[exp_item],$H749,ExpensePayrollTaxes[company_name],$B1379)*M749)</f>
        <v>0</v>
      </c>
      <c r="N1379" s="652">
        <f>IF($B1379="",,SUMIFS(SalaryPayrollTaxes[Month 3],SalaryPayrollTaxes[exp_item],$H1379,SalaryPayrollTaxes[company_name],$B1379,SalaryPayrollTaxes[bu_name],$C1379)*(N434+N539+N644)+SUMIFS(ExpensePayrollTaxes[Month 3],ExpensePayrollTaxes[exp_item],$H749,ExpensePayrollTaxes[company_name],$B1379)*N749)</f>
        <v>0</v>
      </c>
      <c r="O1379" s="652">
        <f>IF($B1379="",,SUMIFS(SalaryPayrollTaxes[Month 4],SalaryPayrollTaxes[exp_item],$H1379,SalaryPayrollTaxes[company_name],$B1379,SalaryPayrollTaxes[bu_name],$C1379)*(O434+O539+O644)+SUMIFS(ExpensePayrollTaxes[Month 4],ExpensePayrollTaxes[exp_item],$H749,ExpensePayrollTaxes[company_name],$B1379)*O749)</f>
        <v>0</v>
      </c>
      <c r="P1379" s="652">
        <f>IF($B1379="",,SUMIFS(SalaryPayrollTaxes[Month 5],SalaryPayrollTaxes[exp_item],$H1379,SalaryPayrollTaxes[company_name],$B1379,SalaryPayrollTaxes[bu_name],$C1379)*(P434+P539+P644)+SUMIFS(ExpensePayrollTaxes[Month 5],ExpensePayrollTaxes[exp_item],$H749,ExpensePayrollTaxes[company_name],$B1379)*P749)</f>
        <v>0</v>
      </c>
      <c r="Q1379" s="652">
        <f>IF($B1379="",,SUMIFS(SalaryPayrollTaxes[Month 6],SalaryPayrollTaxes[exp_item],$H1379,SalaryPayrollTaxes[company_name],$B1379,SalaryPayrollTaxes[bu_name],$C1379)*(Q434+Q539+Q644)+SUMIFS(ExpensePayrollTaxes[Month 6],ExpensePayrollTaxes[exp_item],$H749,ExpensePayrollTaxes[company_name],$B1379)*Q749)</f>
        <v>0</v>
      </c>
      <c r="R1379" s="652">
        <f>IF($B1379="",,SUMIFS(SalaryPayrollTaxes[Month 7],SalaryPayrollTaxes[exp_item],$H1379,SalaryPayrollTaxes[company_name],$B1379,SalaryPayrollTaxes[bu_name],$C1379)*(R434+R539+R644)+SUMIFS(ExpensePayrollTaxes[Month 7],ExpensePayrollTaxes[exp_item],$H749,ExpensePayrollTaxes[company_name],$B1379)*R749)</f>
        <v>0</v>
      </c>
      <c r="S1379" s="652">
        <f>IF($B1379="",,SUMIFS(SalaryPayrollTaxes[Month 8],SalaryPayrollTaxes[exp_item],$H1379,SalaryPayrollTaxes[company_name],$B1379,SalaryPayrollTaxes[bu_name],$C1379)*(S434+S539+S644)+SUMIFS(ExpensePayrollTaxes[Month 8],ExpensePayrollTaxes[exp_item],$H749,ExpensePayrollTaxes[company_name],$B1379)*S749)</f>
        <v>0</v>
      </c>
      <c r="T1379" s="652">
        <f>IF($B1379="",,SUMIFS(SalaryPayrollTaxes[Month 9],SalaryPayrollTaxes[exp_item],$H1379,SalaryPayrollTaxes[company_name],$B1379,SalaryPayrollTaxes[bu_name],$C1379)*(T434+T539+T644)+SUMIFS(ExpensePayrollTaxes[Month 9],ExpensePayrollTaxes[exp_item],$H749,ExpensePayrollTaxes[company_name],$B1379)*T749)</f>
        <v>0</v>
      </c>
      <c r="U1379" s="652">
        <f>IF($B1379="",,SUMIFS(SalaryPayrollTaxes[Month 10],SalaryPayrollTaxes[exp_item],$H1379,SalaryPayrollTaxes[company_name],$B1379,SalaryPayrollTaxes[bu_name],$C1379)*(U434+U539+U644)+SUMIFS(ExpensePayrollTaxes[Month 10],ExpensePayrollTaxes[exp_item],$H749,ExpensePayrollTaxes[company_name],$B1379)*U749)</f>
        <v>0</v>
      </c>
      <c r="V1379" s="652">
        <f>IF($B1379="",,SUMIFS(SalaryPayrollTaxes[Month 11],SalaryPayrollTaxes[exp_item],$H1379,SalaryPayrollTaxes[company_name],$B1379,SalaryPayrollTaxes[bu_name],$C1379)*(V434+V539+V644)+SUMIFS(ExpensePayrollTaxes[Month 11],ExpensePayrollTaxes[exp_item],$H749,ExpensePayrollTaxes[company_name],$B1379)*V749)</f>
        <v>0</v>
      </c>
      <c r="W1379" s="652">
        <f>IF($B1379="",,SUMIFS(SalaryPayrollTaxes[Month 12],SalaryPayrollTaxes[exp_item],$H1379,SalaryPayrollTaxes[company_name],$B1379,SalaryPayrollTaxes[bu_name],$C1379)*(W434+W539+W644)+SUMIFS(ExpensePayrollTaxes[Month 12],ExpensePayrollTaxes[exp_item],$H749,ExpensePayrollTaxes[company_name],$B1379)*W749)</f>
        <v>0</v>
      </c>
      <c r="X1379" s="652">
        <f>IF($B1379="",,SUMIFS(SalaryPayrollTaxes[Month 13],SalaryPayrollTaxes[exp_item],$H1379,SalaryPayrollTaxes[company_name],$B1379,SalaryPayrollTaxes[bu_name],$C1379)*(X434+X539+X644)+SUMIFS(ExpensePayrollTaxes[Month 13],ExpensePayrollTaxes[exp_item],$H749,ExpensePayrollTaxes[company_name],$B1379)*X749)</f>
        <v>0</v>
      </c>
      <c r="Y1379" s="652">
        <f>IF($B1379="",,SUMIFS(SalaryPayrollTaxes[Month 14],SalaryPayrollTaxes[exp_item],$H1379,SalaryPayrollTaxes[company_name],$B1379,SalaryPayrollTaxes[bu_name],$C1379)*(Y434+Y539+Y644)+SUMIFS(ExpensePayrollTaxes[Month 14],ExpensePayrollTaxes[exp_item],$H749,ExpensePayrollTaxes[company_name],$B1379)*Y749)</f>
        <v>0</v>
      </c>
      <c r="Z1379" s="652">
        <f>IF($B1379="",,SUMIFS(SalaryPayrollTaxes[Month 15],SalaryPayrollTaxes[exp_item],$H1379,SalaryPayrollTaxes[company_name],$B1379,SalaryPayrollTaxes[bu_name],$C1379)*(Z434+Z539+Z644)+SUMIFS(ExpensePayrollTaxes[Month 15],ExpensePayrollTaxes[exp_item],$H749,ExpensePayrollTaxes[company_name],$B1379)*Z749)</f>
        <v>0</v>
      </c>
      <c r="AA1379" s="652">
        <f>IF($B1379="",,SUMIFS(SalaryPayrollTaxes[Month 16],SalaryPayrollTaxes[exp_item],$H1379,SalaryPayrollTaxes[company_name],$B1379,SalaryPayrollTaxes[bu_name],$C1379)*(AA434+AA539+AA644)+SUMIFS(ExpensePayrollTaxes[Month 16],ExpensePayrollTaxes[exp_item],$H749,ExpensePayrollTaxes[company_name],$B1379)*AA749)</f>
        <v>0</v>
      </c>
      <c r="AB1379" s="652">
        <f>IF($B1379="",,SUMIFS(SalaryPayrollTaxes[Month 17],SalaryPayrollTaxes[exp_item],$H1379,SalaryPayrollTaxes[company_name],$B1379,SalaryPayrollTaxes[bu_name],$C1379)*(AB434+AB539+AB644)+SUMIFS(ExpensePayrollTaxes[Month 17],ExpensePayrollTaxes[exp_item],$H749,ExpensePayrollTaxes[company_name],$B1379)*AB749)</f>
        <v>0</v>
      </c>
      <c r="AC1379" s="652">
        <f>IF($B1379="",,SUMIFS(SalaryPayrollTaxes[Month 18],SalaryPayrollTaxes[exp_item],$H1379,SalaryPayrollTaxes[company_name],$B1379,SalaryPayrollTaxes[bu_name],$C1379)*(AC434+AC539+AC644)+SUMIFS(ExpensePayrollTaxes[Month 18],ExpensePayrollTaxes[exp_item],$H749,ExpensePayrollTaxes[company_name],$B1379)*AC749)</f>
        <v>0</v>
      </c>
      <c r="AD1379" s="652">
        <f>IF($B1379="",,SUMIFS(SalaryPayrollTaxes[Month 19],SalaryPayrollTaxes[exp_item],$H1379,SalaryPayrollTaxes[company_name],$B1379,SalaryPayrollTaxes[bu_name],$C1379)*(AD434+AD539+AD644)+SUMIFS(ExpensePayrollTaxes[Month 19],ExpensePayrollTaxes[exp_item],$H749,ExpensePayrollTaxes[company_name],$B1379)*AD749)</f>
        <v>0</v>
      </c>
      <c r="AE1379" s="652">
        <f>IF($B1379="",,SUMIFS(SalaryPayrollTaxes[Month 20],SalaryPayrollTaxes[exp_item],$H1379,SalaryPayrollTaxes[company_name],$B1379,SalaryPayrollTaxes[bu_name],$C1379)*(AE434+AE539+AE644)+SUMIFS(ExpensePayrollTaxes[Month 20],ExpensePayrollTaxes[exp_item],$H749,ExpensePayrollTaxes[company_name],$B1379)*AE749)</f>
        <v>0</v>
      </c>
      <c r="AF1379" s="652">
        <f>IF($B1379="",,SUMIFS(SalaryPayrollTaxes[Month 21],SalaryPayrollTaxes[exp_item],$H1379,SalaryPayrollTaxes[company_name],$B1379,SalaryPayrollTaxes[bu_name],$C1379)*(AF434+AF539+AF644)+SUMIFS(ExpensePayrollTaxes[Month 21],ExpensePayrollTaxes[exp_item],$H749,ExpensePayrollTaxes[company_name],$B1379)*AF749)</f>
        <v>0</v>
      </c>
      <c r="AG1379" s="652">
        <f>IF($B1379="",,SUMIFS(SalaryPayrollTaxes[Month 22],SalaryPayrollTaxes[exp_item],$H1379,SalaryPayrollTaxes[company_name],$B1379,SalaryPayrollTaxes[bu_name],$C1379)*(AG434+AG539+AG644)+SUMIFS(ExpensePayrollTaxes[Month 22],ExpensePayrollTaxes[exp_item],$H749,ExpensePayrollTaxes[company_name],$B1379)*AG749)</f>
        <v>0</v>
      </c>
      <c r="AH1379" s="652">
        <f>IF($B1379="",,SUMIFS(SalaryPayrollTaxes[Month 23],SalaryPayrollTaxes[exp_item],$H1379,SalaryPayrollTaxes[company_name],$B1379,SalaryPayrollTaxes[bu_name],$C1379)*(AH434+AH539+AH644)+SUMIFS(ExpensePayrollTaxes[Month 23],ExpensePayrollTaxes[exp_item],$H749,ExpensePayrollTaxes[company_name],$B1379)*AH749)</f>
        <v>0</v>
      </c>
      <c r="AI1379" s="652">
        <f>IF($B1379="",,SUMIFS(SalaryPayrollTaxes[Month 24],SalaryPayrollTaxes[exp_item],$H1379,SalaryPayrollTaxes[company_name],$B1379,SalaryPayrollTaxes[bu_name],$C1379)*(AI434+AI539+AI644)+SUMIFS(ExpensePayrollTaxes[Month 24],ExpensePayrollTaxes[exp_item],$H749,ExpensePayrollTaxes[company_name],$B1379)*AI749)</f>
        <v>0</v>
      </c>
      <c r="AJ1379" s="652">
        <f>IF($B1379="",,SUMIFS(SalaryPayrollTaxes[Month 25],SalaryPayrollTaxes[exp_item],$H1379,SalaryPayrollTaxes[company_name],$B1379,SalaryPayrollTaxes[bu_name],$C1379)*(AJ434+AJ539+AJ644)+SUMIFS(ExpensePayrollTaxes[Month 25],ExpensePayrollTaxes[exp_item],$H749,ExpensePayrollTaxes[company_name],$B1379)*AJ749)</f>
        <v>0</v>
      </c>
      <c r="AK1379" s="652">
        <f>IF($B1379="",,SUMIFS(SalaryPayrollTaxes[Month 26],SalaryPayrollTaxes[exp_item],$H1379,SalaryPayrollTaxes[company_name],$B1379,SalaryPayrollTaxes[bu_name],$C1379)*(AK434+AK539+AK644)+SUMIFS(ExpensePayrollTaxes[Month 26],ExpensePayrollTaxes[exp_item],$H749,ExpensePayrollTaxes[company_name],$B1379)*AK749)</f>
        <v>0</v>
      </c>
      <c r="AL1379" s="652">
        <f>IF($B1379="",,SUMIFS(SalaryPayrollTaxes[Month 27],SalaryPayrollTaxes[exp_item],$H1379,SalaryPayrollTaxes[company_name],$B1379,SalaryPayrollTaxes[bu_name],$C1379)*(AL434+AL539+AL644)+SUMIFS(ExpensePayrollTaxes[Month 27],ExpensePayrollTaxes[exp_item],$H749,ExpensePayrollTaxes[company_name],$B1379)*AL749)</f>
        <v>0</v>
      </c>
      <c r="AM1379" s="652">
        <f>IF($B1379="",,SUMIFS(SalaryPayrollTaxes[Month 28],SalaryPayrollTaxes[exp_item],$H1379,SalaryPayrollTaxes[company_name],$B1379,SalaryPayrollTaxes[bu_name],$C1379)*(AM434+AM539+AM644)+SUMIFS(ExpensePayrollTaxes[Month 28],ExpensePayrollTaxes[exp_item],$H749,ExpensePayrollTaxes[company_name],$B1379)*AM749)</f>
        <v>0</v>
      </c>
      <c r="AN1379" s="652">
        <f>IF($B1379="",,SUMIFS(SalaryPayrollTaxes[Month 29],SalaryPayrollTaxes[exp_item],$H1379,SalaryPayrollTaxes[company_name],$B1379,SalaryPayrollTaxes[bu_name],$C1379)*(AN434+AN539+AN644)+SUMIFS(ExpensePayrollTaxes[Month 29],ExpensePayrollTaxes[exp_item],$H749,ExpensePayrollTaxes[company_name],$B1379)*AN749)</f>
        <v>0</v>
      </c>
      <c r="AO1379" s="652">
        <f>IF($B1379="",,SUMIFS(SalaryPayrollTaxes[Month 30],SalaryPayrollTaxes[exp_item],$H1379,SalaryPayrollTaxes[company_name],$B1379,SalaryPayrollTaxes[bu_name],$C1379)*(AO434+AO539+AO644)+SUMIFS(ExpensePayrollTaxes[Month 30],ExpensePayrollTaxes[exp_item],$H749,ExpensePayrollTaxes[company_name],$B1379)*AO749)</f>
        <v>0</v>
      </c>
      <c r="AP1379" s="652">
        <f>IF($B1379="",,SUMIFS(SalaryPayrollTaxes[Month 31],SalaryPayrollTaxes[exp_item],$H1379,SalaryPayrollTaxes[company_name],$B1379,SalaryPayrollTaxes[bu_name],$C1379)*(AP434+AP539+AP644)+SUMIFS(ExpensePayrollTaxes[Month 31],ExpensePayrollTaxes[exp_item],$H749,ExpensePayrollTaxes[company_name],$B1379)*AP749)</f>
        <v>0</v>
      </c>
      <c r="AQ1379" s="652">
        <f>IF($B1379="",,SUMIFS(SalaryPayrollTaxes[Month 32],SalaryPayrollTaxes[exp_item],$H1379,SalaryPayrollTaxes[company_name],$B1379,SalaryPayrollTaxes[bu_name],$C1379)*(AQ434+AQ539+AQ644)+SUMIFS(ExpensePayrollTaxes[Month 32],ExpensePayrollTaxes[exp_item],$H749,ExpensePayrollTaxes[company_name],$B1379)*AQ749)</f>
        <v>0</v>
      </c>
      <c r="AR1379" s="652">
        <f>IF($B1379="",,SUMIFS(SalaryPayrollTaxes[Month 33],SalaryPayrollTaxes[exp_item],$H1379,SalaryPayrollTaxes[company_name],$B1379,SalaryPayrollTaxes[bu_name],$C1379)*(AR434+AR539+AR644)+SUMIFS(ExpensePayrollTaxes[Month 33],ExpensePayrollTaxes[exp_item],$H749,ExpensePayrollTaxes[company_name],$B1379)*AR749)</f>
        <v>0</v>
      </c>
      <c r="AS1379" s="652">
        <f>IF($B1379="",,SUMIFS(SalaryPayrollTaxes[Month 34],SalaryPayrollTaxes[exp_item],$H1379,SalaryPayrollTaxes[company_name],$B1379,SalaryPayrollTaxes[bu_name],$C1379)*(AS434+AS539+AS644)+SUMIFS(ExpensePayrollTaxes[Month 34],ExpensePayrollTaxes[exp_item],$H749,ExpensePayrollTaxes[company_name],$B1379)*AS749)</f>
        <v>0</v>
      </c>
      <c r="AT1379" s="652">
        <f>IF($B1379="",,SUMIFS(SalaryPayrollTaxes[Month 35],SalaryPayrollTaxes[exp_item],$H1379,SalaryPayrollTaxes[company_name],$B1379,SalaryPayrollTaxes[bu_name],$C1379)*(AT434+AT539+AT644)+SUMIFS(ExpensePayrollTaxes[Month 35],ExpensePayrollTaxes[exp_item],$H749,ExpensePayrollTaxes[company_name],$B1379)*AT749)</f>
        <v>0</v>
      </c>
      <c r="AU1379" s="652">
        <f>IF($B1379="",,SUMIFS(SalaryPayrollTaxes[Month 36],SalaryPayrollTaxes[exp_item],$H1379,SalaryPayrollTaxes[company_name],$B1379,SalaryPayrollTaxes[bu_name],$C1379)*(AU434+AU539+AU644)+SUMIFS(ExpensePayrollTaxes[Month 36],ExpensePayrollTaxes[exp_item],$H749,ExpensePayrollTaxes[company_name],$B1379)*AU749)</f>
        <v>0</v>
      </c>
    </row>
    <row r="1380" spans="2:47" x14ac:dyDescent="0.35">
      <c r="B1380" t="str">
        <f t="shared" si="993"/>
        <v/>
      </c>
      <c r="C1380" t="str">
        <f t="shared" si="993"/>
        <v/>
      </c>
      <c r="D1380" t="str">
        <f t="shared" si="993"/>
        <v/>
      </c>
      <c r="E1380" t="str">
        <f t="shared" si="993"/>
        <v/>
      </c>
      <c r="F1380" t="str">
        <f t="shared" si="993"/>
        <v/>
      </c>
      <c r="G1380" t="str">
        <f t="shared" si="993"/>
        <v/>
      </c>
      <c r="H1380" t="str">
        <f t="shared" si="989"/>
        <v/>
      </c>
      <c r="J1380" t="str">
        <f>IF($H1380="","",IF(VLOOKUP(H1380,ExpItems[],2,0),H1380&amp;" - "&amp;INDEX(DivisionMapping[category_code],MATCH($D1380&amp;$C1380,DivisionMapping[dept_bu],0)),H1380))</f>
        <v/>
      </c>
      <c r="K1380" t="str">
        <f t="shared" si="990"/>
        <v/>
      </c>
      <c r="L1380" s="652">
        <f>IF($B1380="",,SUMIFS(SalaryPayrollTaxes[Month 1],SalaryPayrollTaxes[exp_item],$H1380,SalaryPayrollTaxes[company_name],$B1380,SalaryPayrollTaxes[bu_name],$C1380)*(L435+L540+L645)+SUMIFS(ExpensePayrollTaxes[Month 1],ExpensePayrollTaxes[exp_item],$H750,ExpensePayrollTaxes[company_name],$B1380)*L750)</f>
        <v>0</v>
      </c>
      <c r="M1380" s="652">
        <f>IF($B1380="",,SUMIFS(SalaryPayrollTaxes[Month 2],SalaryPayrollTaxes[exp_item],$H1380,SalaryPayrollTaxes[company_name],$B1380,SalaryPayrollTaxes[bu_name],$C1380)*(M435+M540+M645)+SUMIFS(ExpensePayrollTaxes[Month 2],ExpensePayrollTaxes[exp_item],$H750,ExpensePayrollTaxes[company_name],$B1380)*M750)</f>
        <v>0</v>
      </c>
      <c r="N1380" s="652">
        <f>IF($B1380="",,SUMIFS(SalaryPayrollTaxes[Month 3],SalaryPayrollTaxes[exp_item],$H1380,SalaryPayrollTaxes[company_name],$B1380,SalaryPayrollTaxes[bu_name],$C1380)*(N435+N540+N645)+SUMIFS(ExpensePayrollTaxes[Month 3],ExpensePayrollTaxes[exp_item],$H750,ExpensePayrollTaxes[company_name],$B1380)*N750)</f>
        <v>0</v>
      </c>
      <c r="O1380" s="652">
        <f>IF($B1380="",,SUMIFS(SalaryPayrollTaxes[Month 4],SalaryPayrollTaxes[exp_item],$H1380,SalaryPayrollTaxes[company_name],$B1380,SalaryPayrollTaxes[bu_name],$C1380)*(O435+O540+O645)+SUMIFS(ExpensePayrollTaxes[Month 4],ExpensePayrollTaxes[exp_item],$H750,ExpensePayrollTaxes[company_name],$B1380)*O750)</f>
        <v>0</v>
      </c>
      <c r="P1380" s="652">
        <f>IF($B1380="",,SUMIFS(SalaryPayrollTaxes[Month 5],SalaryPayrollTaxes[exp_item],$H1380,SalaryPayrollTaxes[company_name],$B1380,SalaryPayrollTaxes[bu_name],$C1380)*(P435+P540+P645)+SUMIFS(ExpensePayrollTaxes[Month 5],ExpensePayrollTaxes[exp_item],$H750,ExpensePayrollTaxes[company_name],$B1380)*P750)</f>
        <v>0</v>
      </c>
      <c r="Q1380" s="652">
        <f>IF($B1380="",,SUMIFS(SalaryPayrollTaxes[Month 6],SalaryPayrollTaxes[exp_item],$H1380,SalaryPayrollTaxes[company_name],$B1380,SalaryPayrollTaxes[bu_name],$C1380)*(Q435+Q540+Q645)+SUMIFS(ExpensePayrollTaxes[Month 6],ExpensePayrollTaxes[exp_item],$H750,ExpensePayrollTaxes[company_name],$B1380)*Q750)</f>
        <v>0</v>
      </c>
      <c r="R1380" s="652">
        <f>IF($B1380="",,SUMIFS(SalaryPayrollTaxes[Month 7],SalaryPayrollTaxes[exp_item],$H1380,SalaryPayrollTaxes[company_name],$B1380,SalaryPayrollTaxes[bu_name],$C1380)*(R435+R540+R645)+SUMIFS(ExpensePayrollTaxes[Month 7],ExpensePayrollTaxes[exp_item],$H750,ExpensePayrollTaxes[company_name],$B1380)*R750)</f>
        <v>0</v>
      </c>
      <c r="S1380" s="652">
        <f>IF($B1380="",,SUMIFS(SalaryPayrollTaxes[Month 8],SalaryPayrollTaxes[exp_item],$H1380,SalaryPayrollTaxes[company_name],$B1380,SalaryPayrollTaxes[bu_name],$C1380)*(S435+S540+S645)+SUMIFS(ExpensePayrollTaxes[Month 8],ExpensePayrollTaxes[exp_item],$H750,ExpensePayrollTaxes[company_name],$B1380)*S750)</f>
        <v>0</v>
      </c>
      <c r="T1380" s="652">
        <f>IF($B1380="",,SUMIFS(SalaryPayrollTaxes[Month 9],SalaryPayrollTaxes[exp_item],$H1380,SalaryPayrollTaxes[company_name],$B1380,SalaryPayrollTaxes[bu_name],$C1380)*(T435+T540+T645)+SUMIFS(ExpensePayrollTaxes[Month 9],ExpensePayrollTaxes[exp_item],$H750,ExpensePayrollTaxes[company_name],$B1380)*T750)</f>
        <v>0</v>
      </c>
      <c r="U1380" s="652">
        <f>IF($B1380="",,SUMIFS(SalaryPayrollTaxes[Month 10],SalaryPayrollTaxes[exp_item],$H1380,SalaryPayrollTaxes[company_name],$B1380,SalaryPayrollTaxes[bu_name],$C1380)*(U435+U540+U645)+SUMIFS(ExpensePayrollTaxes[Month 10],ExpensePayrollTaxes[exp_item],$H750,ExpensePayrollTaxes[company_name],$B1380)*U750)</f>
        <v>0</v>
      </c>
      <c r="V1380" s="652">
        <f>IF($B1380="",,SUMIFS(SalaryPayrollTaxes[Month 11],SalaryPayrollTaxes[exp_item],$H1380,SalaryPayrollTaxes[company_name],$B1380,SalaryPayrollTaxes[bu_name],$C1380)*(V435+V540+V645)+SUMIFS(ExpensePayrollTaxes[Month 11],ExpensePayrollTaxes[exp_item],$H750,ExpensePayrollTaxes[company_name],$B1380)*V750)</f>
        <v>0</v>
      </c>
      <c r="W1380" s="652">
        <f>IF($B1380="",,SUMIFS(SalaryPayrollTaxes[Month 12],SalaryPayrollTaxes[exp_item],$H1380,SalaryPayrollTaxes[company_name],$B1380,SalaryPayrollTaxes[bu_name],$C1380)*(W435+W540+W645)+SUMIFS(ExpensePayrollTaxes[Month 12],ExpensePayrollTaxes[exp_item],$H750,ExpensePayrollTaxes[company_name],$B1380)*W750)</f>
        <v>0</v>
      </c>
      <c r="X1380" s="652">
        <f>IF($B1380="",,SUMIFS(SalaryPayrollTaxes[Month 13],SalaryPayrollTaxes[exp_item],$H1380,SalaryPayrollTaxes[company_name],$B1380,SalaryPayrollTaxes[bu_name],$C1380)*(X435+X540+X645)+SUMIFS(ExpensePayrollTaxes[Month 13],ExpensePayrollTaxes[exp_item],$H750,ExpensePayrollTaxes[company_name],$B1380)*X750)</f>
        <v>0</v>
      </c>
      <c r="Y1380" s="652">
        <f>IF($B1380="",,SUMIFS(SalaryPayrollTaxes[Month 14],SalaryPayrollTaxes[exp_item],$H1380,SalaryPayrollTaxes[company_name],$B1380,SalaryPayrollTaxes[bu_name],$C1380)*(Y435+Y540+Y645)+SUMIFS(ExpensePayrollTaxes[Month 14],ExpensePayrollTaxes[exp_item],$H750,ExpensePayrollTaxes[company_name],$B1380)*Y750)</f>
        <v>0</v>
      </c>
      <c r="Z1380" s="652">
        <f>IF($B1380="",,SUMIFS(SalaryPayrollTaxes[Month 15],SalaryPayrollTaxes[exp_item],$H1380,SalaryPayrollTaxes[company_name],$B1380,SalaryPayrollTaxes[bu_name],$C1380)*(Z435+Z540+Z645)+SUMIFS(ExpensePayrollTaxes[Month 15],ExpensePayrollTaxes[exp_item],$H750,ExpensePayrollTaxes[company_name],$B1380)*Z750)</f>
        <v>0</v>
      </c>
      <c r="AA1380" s="652">
        <f>IF($B1380="",,SUMIFS(SalaryPayrollTaxes[Month 16],SalaryPayrollTaxes[exp_item],$H1380,SalaryPayrollTaxes[company_name],$B1380,SalaryPayrollTaxes[bu_name],$C1380)*(AA435+AA540+AA645)+SUMIFS(ExpensePayrollTaxes[Month 16],ExpensePayrollTaxes[exp_item],$H750,ExpensePayrollTaxes[company_name],$B1380)*AA750)</f>
        <v>0</v>
      </c>
      <c r="AB1380" s="652">
        <f>IF($B1380="",,SUMIFS(SalaryPayrollTaxes[Month 17],SalaryPayrollTaxes[exp_item],$H1380,SalaryPayrollTaxes[company_name],$B1380,SalaryPayrollTaxes[bu_name],$C1380)*(AB435+AB540+AB645)+SUMIFS(ExpensePayrollTaxes[Month 17],ExpensePayrollTaxes[exp_item],$H750,ExpensePayrollTaxes[company_name],$B1380)*AB750)</f>
        <v>0</v>
      </c>
      <c r="AC1380" s="652">
        <f>IF($B1380="",,SUMIFS(SalaryPayrollTaxes[Month 18],SalaryPayrollTaxes[exp_item],$H1380,SalaryPayrollTaxes[company_name],$B1380,SalaryPayrollTaxes[bu_name],$C1380)*(AC435+AC540+AC645)+SUMIFS(ExpensePayrollTaxes[Month 18],ExpensePayrollTaxes[exp_item],$H750,ExpensePayrollTaxes[company_name],$B1380)*AC750)</f>
        <v>0</v>
      </c>
      <c r="AD1380" s="652">
        <f>IF($B1380="",,SUMIFS(SalaryPayrollTaxes[Month 19],SalaryPayrollTaxes[exp_item],$H1380,SalaryPayrollTaxes[company_name],$B1380,SalaryPayrollTaxes[bu_name],$C1380)*(AD435+AD540+AD645)+SUMIFS(ExpensePayrollTaxes[Month 19],ExpensePayrollTaxes[exp_item],$H750,ExpensePayrollTaxes[company_name],$B1380)*AD750)</f>
        <v>0</v>
      </c>
      <c r="AE1380" s="652">
        <f>IF($B1380="",,SUMIFS(SalaryPayrollTaxes[Month 20],SalaryPayrollTaxes[exp_item],$H1380,SalaryPayrollTaxes[company_name],$B1380,SalaryPayrollTaxes[bu_name],$C1380)*(AE435+AE540+AE645)+SUMIFS(ExpensePayrollTaxes[Month 20],ExpensePayrollTaxes[exp_item],$H750,ExpensePayrollTaxes[company_name],$B1380)*AE750)</f>
        <v>0</v>
      </c>
      <c r="AF1380" s="652">
        <f>IF($B1380="",,SUMIFS(SalaryPayrollTaxes[Month 21],SalaryPayrollTaxes[exp_item],$H1380,SalaryPayrollTaxes[company_name],$B1380,SalaryPayrollTaxes[bu_name],$C1380)*(AF435+AF540+AF645)+SUMIFS(ExpensePayrollTaxes[Month 21],ExpensePayrollTaxes[exp_item],$H750,ExpensePayrollTaxes[company_name],$B1380)*AF750)</f>
        <v>0</v>
      </c>
      <c r="AG1380" s="652">
        <f>IF($B1380="",,SUMIFS(SalaryPayrollTaxes[Month 22],SalaryPayrollTaxes[exp_item],$H1380,SalaryPayrollTaxes[company_name],$B1380,SalaryPayrollTaxes[bu_name],$C1380)*(AG435+AG540+AG645)+SUMIFS(ExpensePayrollTaxes[Month 22],ExpensePayrollTaxes[exp_item],$H750,ExpensePayrollTaxes[company_name],$B1380)*AG750)</f>
        <v>0</v>
      </c>
      <c r="AH1380" s="652">
        <f>IF($B1380="",,SUMIFS(SalaryPayrollTaxes[Month 23],SalaryPayrollTaxes[exp_item],$H1380,SalaryPayrollTaxes[company_name],$B1380,SalaryPayrollTaxes[bu_name],$C1380)*(AH435+AH540+AH645)+SUMIFS(ExpensePayrollTaxes[Month 23],ExpensePayrollTaxes[exp_item],$H750,ExpensePayrollTaxes[company_name],$B1380)*AH750)</f>
        <v>0</v>
      </c>
      <c r="AI1380" s="652">
        <f>IF($B1380="",,SUMIFS(SalaryPayrollTaxes[Month 24],SalaryPayrollTaxes[exp_item],$H1380,SalaryPayrollTaxes[company_name],$B1380,SalaryPayrollTaxes[bu_name],$C1380)*(AI435+AI540+AI645)+SUMIFS(ExpensePayrollTaxes[Month 24],ExpensePayrollTaxes[exp_item],$H750,ExpensePayrollTaxes[company_name],$B1380)*AI750)</f>
        <v>0</v>
      </c>
      <c r="AJ1380" s="652">
        <f>IF($B1380="",,SUMIFS(SalaryPayrollTaxes[Month 25],SalaryPayrollTaxes[exp_item],$H1380,SalaryPayrollTaxes[company_name],$B1380,SalaryPayrollTaxes[bu_name],$C1380)*(AJ435+AJ540+AJ645)+SUMIFS(ExpensePayrollTaxes[Month 25],ExpensePayrollTaxes[exp_item],$H750,ExpensePayrollTaxes[company_name],$B1380)*AJ750)</f>
        <v>0</v>
      </c>
      <c r="AK1380" s="652">
        <f>IF($B1380="",,SUMIFS(SalaryPayrollTaxes[Month 26],SalaryPayrollTaxes[exp_item],$H1380,SalaryPayrollTaxes[company_name],$B1380,SalaryPayrollTaxes[bu_name],$C1380)*(AK435+AK540+AK645)+SUMIFS(ExpensePayrollTaxes[Month 26],ExpensePayrollTaxes[exp_item],$H750,ExpensePayrollTaxes[company_name],$B1380)*AK750)</f>
        <v>0</v>
      </c>
      <c r="AL1380" s="652">
        <f>IF($B1380="",,SUMIFS(SalaryPayrollTaxes[Month 27],SalaryPayrollTaxes[exp_item],$H1380,SalaryPayrollTaxes[company_name],$B1380,SalaryPayrollTaxes[bu_name],$C1380)*(AL435+AL540+AL645)+SUMIFS(ExpensePayrollTaxes[Month 27],ExpensePayrollTaxes[exp_item],$H750,ExpensePayrollTaxes[company_name],$B1380)*AL750)</f>
        <v>0</v>
      </c>
      <c r="AM1380" s="652">
        <f>IF($B1380="",,SUMIFS(SalaryPayrollTaxes[Month 28],SalaryPayrollTaxes[exp_item],$H1380,SalaryPayrollTaxes[company_name],$B1380,SalaryPayrollTaxes[bu_name],$C1380)*(AM435+AM540+AM645)+SUMIFS(ExpensePayrollTaxes[Month 28],ExpensePayrollTaxes[exp_item],$H750,ExpensePayrollTaxes[company_name],$B1380)*AM750)</f>
        <v>0</v>
      </c>
      <c r="AN1380" s="652">
        <f>IF($B1380="",,SUMIFS(SalaryPayrollTaxes[Month 29],SalaryPayrollTaxes[exp_item],$H1380,SalaryPayrollTaxes[company_name],$B1380,SalaryPayrollTaxes[bu_name],$C1380)*(AN435+AN540+AN645)+SUMIFS(ExpensePayrollTaxes[Month 29],ExpensePayrollTaxes[exp_item],$H750,ExpensePayrollTaxes[company_name],$B1380)*AN750)</f>
        <v>0</v>
      </c>
      <c r="AO1380" s="652">
        <f>IF($B1380="",,SUMIFS(SalaryPayrollTaxes[Month 30],SalaryPayrollTaxes[exp_item],$H1380,SalaryPayrollTaxes[company_name],$B1380,SalaryPayrollTaxes[bu_name],$C1380)*(AO435+AO540+AO645)+SUMIFS(ExpensePayrollTaxes[Month 30],ExpensePayrollTaxes[exp_item],$H750,ExpensePayrollTaxes[company_name],$B1380)*AO750)</f>
        <v>0</v>
      </c>
      <c r="AP1380" s="652">
        <f>IF($B1380="",,SUMIFS(SalaryPayrollTaxes[Month 31],SalaryPayrollTaxes[exp_item],$H1380,SalaryPayrollTaxes[company_name],$B1380,SalaryPayrollTaxes[bu_name],$C1380)*(AP435+AP540+AP645)+SUMIFS(ExpensePayrollTaxes[Month 31],ExpensePayrollTaxes[exp_item],$H750,ExpensePayrollTaxes[company_name],$B1380)*AP750)</f>
        <v>0</v>
      </c>
      <c r="AQ1380" s="652">
        <f>IF($B1380="",,SUMIFS(SalaryPayrollTaxes[Month 32],SalaryPayrollTaxes[exp_item],$H1380,SalaryPayrollTaxes[company_name],$B1380,SalaryPayrollTaxes[bu_name],$C1380)*(AQ435+AQ540+AQ645)+SUMIFS(ExpensePayrollTaxes[Month 32],ExpensePayrollTaxes[exp_item],$H750,ExpensePayrollTaxes[company_name],$B1380)*AQ750)</f>
        <v>0</v>
      </c>
      <c r="AR1380" s="652">
        <f>IF($B1380="",,SUMIFS(SalaryPayrollTaxes[Month 33],SalaryPayrollTaxes[exp_item],$H1380,SalaryPayrollTaxes[company_name],$B1380,SalaryPayrollTaxes[bu_name],$C1380)*(AR435+AR540+AR645)+SUMIFS(ExpensePayrollTaxes[Month 33],ExpensePayrollTaxes[exp_item],$H750,ExpensePayrollTaxes[company_name],$B1380)*AR750)</f>
        <v>0</v>
      </c>
      <c r="AS1380" s="652">
        <f>IF($B1380="",,SUMIFS(SalaryPayrollTaxes[Month 34],SalaryPayrollTaxes[exp_item],$H1380,SalaryPayrollTaxes[company_name],$B1380,SalaryPayrollTaxes[bu_name],$C1380)*(AS435+AS540+AS645)+SUMIFS(ExpensePayrollTaxes[Month 34],ExpensePayrollTaxes[exp_item],$H750,ExpensePayrollTaxes[company_name],$B1380)*AS750)</f>
        <v>0</v>
      </c>
      <c r="AT1380" s="652">
        <f>IF($B1380="",,SUMIFS(SalaryPayrollTaxes[Month 35],SalaryPayrollTaxes[exp_item],$H1380,SalaryPayrollTaxes[company_name],$B1380,SalaryPayrollTaxes[bu_name],$C1380)*(AT435+AT540+AT645)+SUMIFS(ExpensePayrollTaxes[Month 35],ExpensePayrollTaxes[exp_item],$H750,ExpensePayrollTaxes[company_name],$B1380)*AT750)</f>
        <v>0</v>
      </c>
      <c r="AU1380" s="652">
        <f>IF($B1380="",,SUMIFS(SalaryPayrollTaxes[Month 36],SalaryPayrollTaxes[exp_item],$H1380,SalaryPayrollTaxes[company_name],$B1380,SalaryPayrollTaxes[bu_name],$C1380)*(AU435+AU540+AU645)+SUMIFS(ExpensePayrollTaxes[Month 36],ExpensePayrollTaxes[exp_item],$H750,ExpensePayrollTaxes[company_name],$B1380)*AU750)</f>
        <v>0</v>
      </c>
    </row>
    <row r="1381" spans="2:47" x14ac:dyDescent="0.35">
      <c r="B1381" t="str">
        <f t="shared" ref="B1381:G1390" si="994">IF(B1276="","",B1276)</f>
        <v/>
      </c>
      <c r="C1381" t="str">
        <f t="shared" si="994"/>
        <v/>
      </c>
      <c r="D1381" t="str">
        <f t="shared" si="994"/>
        <v/>
      </c>
      <c r="E1381" t="str">
        <f t="shared" si="994"/>
        <v/>
      </c>
      <c r="F1381" t="str">
        <f t="shared" si="994"/>
        <v/>
      </c>
      <c r="G1381" t="str">
        <f t="shared" si="994"/>
        <v/>
      </c>
      <c r="H1381" t="str">
        <f t="shared" si="989"/>
        <v/>
      </c>
      <c r="J1381" t="str">
        <f>IF($H1381="","",IF(VLOOKUP(H1381,ExpItems[],2,0),H1381&amp;" - "&amp;INDEX(DivisionMapping[category_code],MATCH($D1381&amp;$C1381,DivisionMapping[dept_bu],0)),H1381))</f>
        <v/>
      </c>
      <c r="K1381" t="str">
        <f t="shared" si="990"/>
        <v/>
      </c>
      <c r="L1381" s="652">
        <f>IF($B1381="",,SUMIFS(SalaryPayrollTaxes[Month 1],SalaryPayrollTaxes[exp_item],$H1381,SalaryPayrollTaxes[company_name],$B1381,SalaryPayrollTaxes[bu_name],$C1381)*(L436+L541+L646)+SUMIFS(ExpensePayrollTaxes[Month 1],ExpensePayrollTaxes[exp_item],$H751,ExpensePayrollTaxes[company_name],$B1381)*L751)</f>
        <v>0</v>
      </c>
      <c r="M1381" s="652">
        <f>IF($B1381="",,SUMIFS(SalaryPayrollTaxes[Month 2],SalaryPayrollTaxes[exp_item],$H1381,SalaryPayrollTaxes[company_name],$B1381,SalaryPayrollTaxes[bu_name],$C1381)*(M436+M541+M646)+SUMIFS(ExpensePayrollTaxes[Month 2],ExpensePayrollTaxes[exp_item],$H751,ExpensePayrollTaxes[company_name],$B1381)*M751)</f>
        <v>0</v>
      </c>
      <c r="N1381" s="652">
        <f>IF($B1381="",,SUMIFS(SalaryPayrollTaxes[Month 3],SalaryPayrollTaxes[exp_item],$H1381,SalaryPayrollTaxes[company_name],$B1381,SalaryPayrollTaxes[bu_name],$C1381)*(N436+N541+N646)+SUMIFS(ExpensePayrollTaxes[Month 3],ExpensePayrollTaxes[exp_item],$H751,ExpensePayrollTaxes[company_name],$B1381)*N751)</f>
        <v>0</v>
      </c>
      <c r="O1381" s="652">
        <f>IF($B1381="",,SUMIFS(SalaryPayrollTaxes[Month 4],SalaryPayrollTaxes[exp_item],$H1381,SalaryPayrollTaxes[company_name],$B1381,SalaryPayrollTaxes[bu_name],$C1381)*(O436+O541+O646)+SUMIFS(ExpensePayrollTaxes[Month 4],ExpensePayrollTaxes[exp_item],$H751,ExpensePayrollTaxes[company_name],$B1381)*O751)</f>
        <v>0</v>
      </c>
      <c r="P1381" s="652">
        <f>IF($B1381="",,SUMIFS(SalaryPayrollTaxes[Month 5],SalaryPayrollTaxes[exp_item],$H1381,SalaryPayrollTaxes[company_name],$B1381,SalaryPayrollTaxes[bu_name],$C1381)*(P436+P541+P646)+SUMIFS(ExpensePayrollTaxes[Month 5],ExpensePayrollTaxes[exp_item],$H751,ExpensePayrollTaxes[company_name],$B1381)*P751)</f>
        <v>0</v>
      </c>
      <c r="Q1381" s="652">
        <f>IF($B1381="",,SUMIFS(SalaryPayrollTaxes[Month 6],SalaryPayrollTaxes[exp_item],$H1381,SalaryPayrollTaxes[company_name],$B1381,SalaryPayrollTaxes[bu_name],$C1381)*(Q436+Q541+Q646)+SUMIFS(ExpensePayrollTaxes[Month 6],ExpensePayrollTaxes[exp_item],$H751,ExpensePayrollTaxes[company_name],$B1381)*Q751)</f>
        <v>0</v>
      </c>
      <c r="R1381" s="652">
        <f>IF($B1381="",,SUMIFS(SalaryPayrollTaxes[Month 7],SalaryPayrollTaxes[exp_item],$H1381,SalaryPayrollTaxes[company_name],$B1381,SalaryPayrollTaxes[bu_name],$C1381)*(R436+R541+R646)+SUMIFS(ExpensePayrollTaxes[Month 7],ExpensePayrollTaxes[exp_item],$H751,ExpensePayrollTaxes[company_name],$B1381)*R751)</f>
        <v>0</v>
      </c>
      <c r="S1381" s="652">
        <f>IF($B1381="",,SUMIFS(SalaryPayrollTaxes[Month 8],SalaryPayrollTaxes[exp_item],$H1381,SalaryPayrollTaxes[company_name],$B1381,SalaryPayrollTaxes[bu_name],$C1381)*(S436+S541+S646)+SUMIFS(ExpensePayrollTaxes[Month 8],ExpensePayrollTaxes[exp_item],$H751,ExpensePayrollTaxes[company_name],$B1381)*S751)</f>
        <v>0</v>
      </c>
      <c r="T1381" s="652">
        <f>IF($B1381="",,SUMIFS(SalaryPayrollTaxes[Month 9],SalaryPayrollTaxes[exp_item],$H1381,SalaryPayrollTaxes[company_name],$B1381,SalaryPayrollTaxes[bu_name],$C1381)*(T436+T541+T646)+SUMIFS(ExpensePayrollTaxes[Month 9],ExpensePayrollTaxes[exp_item],$H751,ExpensePayrollTaxes[company_name],$B1381)*T751)</f>
        <v>0</v>
      </c>
      <c r="U1381" s="652">
        <f>IF($B1381="",,SUMIFS(SalaryPayrollTaxes[Month 10],SalaryPayrollTaxes[exp_item],$H1381,SalaryPayrollTaxes[company_name],$B1381,SalaryPayrollTaxes[bu_name],$C1381)*(U436+U541+U646)+SUMIFS(ExpensePayrollTaxes[Month 10],ExpensePayrollTaxes[exp_item],$H751,ExpensePayrollTaxes[company_name],$B1381)*U751)</f>
        <v>0</v>
      </c>
      <c r="V1381" s="652">
        <f>IF($B1381="",,SUMIFS(SalaryPayrollTaxes[Month 11],SalaryPayrollTaxes[exp_item],$H1381,SalaryPayrollTaxes[company_name],$B1381,SalaryPayrollTaxes[bu_name],$C1381)*(V436+V541+V646)+SUMIFS(ExpensePayrollTaxes[Month 11],ExpensePayrollTaxes[exp_item],$H751,ExpensePayrollTaxes[company_name],$B1381)*V751)</f>
        <v>0</v>
      </c>
      <c r="W1381" s="652">
        <f>IF($B1381="",,SUMIFS(SalaryPayrollTaxes[Month 12],SalaryPayrollTaxes[exp_item],$H1381,SalaryPayrollTaxes[company_name],$B1381,SalaryPayrollTaxes[bu_name],$C1381)*(W436+W541+W646)+SUMIFS(ExpensePayrollTaxes[Month 12],ExpensePayrollTaxes[exp_item],$H751,ExpensePayrollTaxes[company_name],$B1381)*W751)</f>
        <v>0</v>
      </c>
      <c r="X1381" s="652">
        <f>IF($B1381="",,SUMIFS(SalaryPayrollTaxes[Month 13],SalaryPayrollTaxes[exp_item],$H1381,SalaryPayrollTaxes[company_name],$B1381,SalaryPayrollTaxes[bu_name],$C1381)*(X436+X541+X646)+SUMIFS(ExpensePayrollTaxes[Month 13],ExpensePayrollTaxes[exp_item],$H751,ExpensePayrollTaxes[company_name],$B1381)*X751)</f>
        <v>0</v>
      </c>
      <c r="Y1381" s="652">
        <f>IF($B1381="",,SUMIFS(SalaryPayrollTaxes[Month 14],SalaryPayrollTaxes[exp_item],$H1381,SalaryPayrollTaxes[company_name],$B1381,SalaryPayrollTaxes[bu_name],$C1381)*(Y436+Y541+Y646)+SUMIFS(ExpensePayrollTaxes[Month 14],ExpensePayrollTaxes[exp_item],$H751,ExpensePayrollTaxes[company_name],$B1381)*Y751)</f>
        <v>0</v>
      </c>
      <c r="Z1381" s="652">
        <f>IF($B1381="",,SUMIFS(SalaryPayrollTaxes[Month 15],SalaryPayrollTaxes[exp_item],$H1381,SalaryPayrollTaxes[company_name],$B1381,SalaryPayrollTaxes[bu_name],$C1381)*(Z436+Z541+Z646)+SUMIFS(ExpensePayrollTaxes[Month 15],ExpensePayrollTaxes[exp_item],$H751,ExpensePayrollTaxes[company_name],$B1381)*Z751)</f>
        <v>0</v>
      </c>
      <c r="AA1381" s="652">
        <f>IF($B1381="",,SUMIFS(SalaryPayrollTaxes[Month 16],SalaryPayrollTaxes[exp_item],$H1381,SalaryPayrollTaxes[company_name],$B1381,SalaryPayrollTaxes[bu_name],$C1381)*(AA436+AA541+AA646)+SUMIFS(ExpensePayrollTaxes[Month 16],ExpensePayrollTaxes[exp_item],$H751,ExpensePayrollTaxes[company_name],$B1381)*AA751)</f>
        <v>0</v>
      </c>
      <c r="AB1381" s="652">
        <f>IF($B1381="",,SUMIFS(SalaryPayrollTaxes[Month 17],SalaryPayrollTaxes[exp_item],$H1381,SalaryPayrollTaxes[company_name],$B1381,SalaryPayrollTaxes[bu_name],$C1381)*(AB436+AB541+AB646)+SUMIFS(ExpensePayrollTaxes[Month 17],ExpensePayrollTaxes[exp_item],$H751,ExpensePayrollTaxes[company_name],$B1381)*AB751)</f>
        <v>0</v>
      </c>
      <c r="AC1381" s="652">
        <f>IF($B1381="",,SUMIFS(SalaryPayrollTaxes[Month 18],SalaryPayrollTaxes[exp_item],$H1381,SalaryPayrollTaxes[company_name],$B1381,SalaryPayrollTaxes[bu_name],$C1381)*(AC436+AC541+AC646)+SUMIFS(ExpensePayrollTaxes[Month 18],ExpensePayrollTaxes[exp_item],$H751,ExpensePayrollTaxes[company_name],$B1381)*AC751)</f>
        <v>0</v>
      </c>
      <c r="AD1381" s="652">
        <f>IF($B1381="",,SUMIFS(SalaryPayrollTaxes[Month 19],SalaryPayrollTaxes[exp_item],$H1381,SalaryPayrollTaxes[company_name],$B1381,SalaryPayrollTaxes[bu_name],$C1381)*(AD436+AD541+AD646)+SUMIFS(ExpensePayrollTaxes[Month 19],ExpensePayrollTaxes[exp_item],$H751,ExpensePayrollTaxes[company_name],$B1381)*AD751)</f>
        <v>0</v>
      </c>
      <c r="AE1381" s="652">
        <f>IF($B1381="",,SUMIFS(SalaryPayrollTaxes[Month 20],SalaryPayrollTaxes[exp_item],$H1381,SalaryPayrollTaxes[company_name],$B1381,SalaryPayrollTaxes[bu_name],$C1381)*(AE436+AE541+AE646)+SUMIFS(ExpensePayrollTaxes[Month 20],ExpensePayrollTaxes[exp_item],$H751,ExpensePayrollTaxes[company_name],$B1381)*AE751)</f>
        <v>0</v>
      </c>
      <c r="AF1381" s="652">
        <f>IF($B1381="",,SUMIFS(SalaryPayrollTaxes[Month 21],SalaryPayrollTaxes[exp_item],$H1381,SalaryPayrollTaxes[company_name],$B1381,SalaryPayrollTaxes[bu_name],$C1381)*(AF436+AF541+AF646)+SUMIFS(ExpensePayrollTaxes[Month 21],ExpensePayrollTaxes[exp_item],$H751,ExpensePayrollTaxes[company_name],$B1381)*AF751)</f>
        <v>0</v>
      </c>
      <c r="AG1381" s="652">
        <f>IF($B1381="",,SUMIFS(SalaryPayrollTaxes[Month 22],SalaryPayrollTaxes[exp_item],$H1381,SalaryPayrollTaxes[company_name],$B1381,SalaryPayrollTaxes[bu_name],$C1381)*(AG436+AG541+AG646)+SUMIFS(ExpensePayrollTaxes[Month 22],ExpensePayrollTaxes[exp_item],$H751,ExpensePayrollTaxes[company_name],$B1381)*AG751)</f>
        <v>0</v>
      </c>
      <c r="AH1381" s="652">
        <f>IF($B1381="",,SUMIFS(SalaryPayrollTaxes[Month 23],SalaryPayrollTaxes[exp_item],$H1381,SalaryPayrollTaxes[company_name],$B1381,SalaryPayrollTaxes[bu_name],$C1381)*(AH436+AH541+AH646)+SUMIFS(ExpensePayrollTaxes[Month 23],ExpensePayrollTaxes[exp_item],$H751,ExpensePayrollTaxes[company_name],$B1381)*AH751)</f>
        <v>0</v>
      </c>
      <c r="AI1381" s="652">
        <f>IF($B1381="",,SUMIFS(SalaryPayrollTaxes[Month 24],SalaryPayrollTaxes[exp_item],$H1381,SalaryPayrollTaxes[company_name],$B1381,SalaryPayrollTaxes[bu_name],$C1381)*(AI436+AI541+AI646)+SUMIFS(ExpensePayrollTaxes[Month 24],ExpensePayrollTaxes[exp_item],$H751,ExpensePayrollTaxes[company_name],$B1381)*AI751)</f>
        <v>0</v>
      </c>
      <c r="AJ1381" s="652">
        <f>IF($B1381="",,SUMIFS(SalaryPayrollTaxes[Month 25],SalaryPayrollTaxes[exp_item],$H1381,SalaryPayrollTaxes[company_name],$B1381,SalaryPayrollTaxes[bu_name],$C1381)*(AJ436+AJ541+AJ646)+SUMIFS(ExpensePayrollTaxes[Month 25],ExpensePayrollTaxes[exp_item],$H751,ExpensePayrollTaxes[company_name],$B1381)*AJ751)</f>
        <v>0</v>
      </c>
      <c r="AK1381" s="652">
        <f>IF($B1381="",,SUMIFS(SalaryPayrollTaxes[Month 26],SalaryPayrollTaxes[exp_item],$H1381,SalaryPayrollTaxes[company_name],$B1381,SalaryPayrollTaxes[bu_name],$C1381)*(AK436+AK541+AK646)+SUMIFS(ExpensePayrollTaxes[Month 26],ExpensePayrollTaxes[exp_item],$H751,ExpensePayrollTaxes[company_name],$B1381)*AK751)</f>
        <v>0</v>
      </c>
      <c r="AL1381" s="652">
        <f>IF($B1381="",,SUMIFS(SalaryPayrollTaxes[Month 27],SalaryPayrollTaxes[exp_item],$H1381,SalaryPayrollTaxes[company_name],$B1381,SalaryPayrollTaxes[bu_name],$C1381)*(AL436+AL541+AL646)+SUMIFS(ExpensePayrollTaxes[Month 27],ExpensePayrollTaxes[exp_item],$H751,ExpensePayrollTaxes[company_name],$B1381)*AL751)</f>
        <v>0</v>
      </c>
      <c r="AM1381" s="652">
        <f>IF($B1381="",,SUMIFS(SalaryPayrollTaxes[Month 28],SalaryPayrollTaxes[exp_item],$H1381,SalaryPayrollTaxes[company_name],$B1381,SalaryPayrollTaxes[bu_name],$C1381)*(AM436+AM541+AM646)+SUMIFS(ExpensePayrollTaxes[Month 28],ExpensePayrollTaxes[exp_item],$H751,ExpensePayrollTaxes[company_name],$B1381)*AM751)</f>
        <v>0</v>
      </c>
      <c r="AN1381" s="652">
        <f>IF($B1381="",,SUMIFS(SalaryPayrollTaxes[Month 29],SalaryPayrollTaxes[exp_item],$H1381,SalaryPayrollTaxes[company_name],$B1381,SalaryPayrollTaxes[bu_name],$C1381)*(AN436+AN541+AN646)+SUMIFS(ExpensePayrollTaxes[Month 29],ExpensePayrollTaxes[exp_item],$H751,ExpensePayrollTaxes[company_name],$B1381)*AN751)</f>
        <v>0</v>
      </c>
      <c r="AO1381" s="652">
        <f>IF($B1381="",,SUMIFS(SalaryPayrollTaxes[Month 30],SalaryPayrollTaxes[exp_item],$H1381,SalaryPayrollTaxes[company_name],$B1381,SalaryPayrollTaxes[bu_name],$C1381)*(AO436+AO541+AO646)+SUMIFS(ExpensePayrollTaxes[Month 30],ExpensePayrollTaxes[exp_item],$H751,ExpensePayrollTaxes[company_name],$B1381)*AO751)</f>
        <v>0</v>
      </c>
      <c r="AP1381" s="652">
        <f>IF($B1381="",,SUMIFS(SalaryPayrollTaxes[Month 31],SalaryPayrollTaxes[exp_item],$H1381,SalaryPayrollTaxes[company_name],$B1381,SalaryPayrollTaxes[bu_name],$C1381)*(AP436+AP541+AP646)+SUMIFS(ExpensePayrollTaxes[Month 31],ExpensePayrollTaxes[exp_item],$H751,ExpensePayrollTaxes[company_name],$B1381)*AP751)</f>
        <v>0</v>
      </c>
      <c r="AQ1381" s="652">
        <f>IF($B1381="",,SUMIFS(SalaryPayrollTaxes[Month 32],SalaryPayrollTaxes[exp_item],$H1381,SalaryPayrollTaxes[company_name],$B1381,SalaryPayrollTaxes[bu_name],$C1381)*(AQ436+AQ541+AQ646)+SUMIFS(ExpensePayrollTaxes[Month 32],ExpensePayrollTaxes[exp_item],$H751,ExpensePayrollTaxes[company_name],$B1381)*AQ751)</f>
        <v>0</v>
      </c>
      <c r="AR1381" s="652">
        <f>IF($B1381="",,SUMIFS(SalaryPayrollTaxes[Month 33],SalaryPayrollTaxes[exp_item],$H1381,SalaryPayrollTaxes[company_name],$B1381,SalaryPayrollTaxes[bu_name],$C1381)*(AR436+AR541+AR646)+SUMIFS(ExpensePayrollTaxes[Month 33],ExpensePayrollTaxes[exp_item],$H751,ExpensePayrollTaxes[company_name],$B1381)*AR751)</f>
        <v>0</v>
      </c>
      <c r="AS1381" s="652">
        <f>IF($B1381="",,SUMIFS(SalaryPayrollTaxes[Month 34],SalaryPayrollTaxes[exp_item],$H1381,SalaryPayrollTaxes[company_name],$B1381,SalaryPayrollTaxes[bu_name],$C1381)*(AS436+AS541+AS646)+SUMIFS(ExpensePayrollTaxes[Month 34],ExpensePayrollTaxes[exp_item],$H751,ExpensePayrollTaxes[company_name],$B1381)*AS751)</f>
        <v>0</v>
      </c>
      <c r="AT1381" s="652">
        <f>IF($B1381="",,SUMIFS(SalaryPayrollTaxes[Month 35],SalaryPayrollTaxes[exp_item],$H1381,SalaryPayrollTaxes[company_name],$B1381,SalaryPayrollTaxes[bu_name],$C1381)*(AT436+AT541+AT646)+SUMIFS(ExpensePayrollTaxes[Month 35],ExpensePayrollTaxes[exp_item],$H751,ExpensePayrollTaxes[company_name],$B1381)*AT751)</f>
        <v>0</v>
      </c>
      <c r="AU1381" s="652">
        <f>IF($B1381="",,SUMIFS(SalaryPayrollTaxes[Month 36],SalaryPayrollTaxes[exp_item],$H1381,SalaryPayrollTaxes[company_name],$B1381,SalaryPayrollTaxes[bu_name],$C1381)*(AU436+AU541+AU646)+SUMIFS(ExpensePayrollTaxes[Month 36],ExpensePayrollTaxes[exp_item],$H751,ExpensePayrollTaxes[company_name],$B1381)*AU751)</f>
        <v>0</v>
      </c>
    </row>
    <row r="1382" spans="2:47" x14ac:dyDescent="0.35">
      <c r="B1382" t="str">
        <f t="shared" si="994"/>
        <v/>
      </c>
      <c r="C1382" t="str">
        <f t="shared" si="994"/>
        <v/>
      </c>
      <c r="D1382" t="str">
        <f t="shared" si="994"/>
        <v/>
      </c>
      <c r="E1382" t="str">
        <f t="shared" si="994"/>
        <v/>
      </c>
      <c r="F1382" t="str">
        <f t="shared" si="994"/>
        <v/>
      </c>
      <c r="G1382" t="str">
        <f t="shared" si="994"/>
        <v/>
      </c>
      <c r="H1382" t="str">
        <f t="shared" si="989"/>
        <v/>
      </c>
      <c r="J1382" t="str">
        <f>IF($H1382="","",IF(VLOOKUP(H1382,ExpItems[],2,0),H1382&amp;" - "&amp;INDEX(DivisionMapping[category_code],MATCH($D1382&amp;$C1382,DivisionMapping[dept_bu],0)),H1382))</f>
        <v/>
      </c>
      <c r="K1382" t="str">
        <f t="shared" si="990"/>
        <v/>
      </c>
      <c r="L1382" s="652">
        <f>IF($B1382="",,SUMIFS(SalaryPayrollTaxes[Month 1],SalaryPayrollTaxes[exp_item],$H1382,SalaryPayrollTaxes[company_name],$B1382,SalaryPayrollTaxes[bu_name],$C1382)*(L437+L542+L647)+SUMIFS(ExpensePayrollTaxes[Month 1],ExpensePayrollTaxes[exp_item],$H752,ExpensePayrollTaxes[company_name],$B1382)*L752)</f>
        <v>0</v>
      </c>
      <c r="M1382" s="652">
        <f>IF($B1382="",,SUMIFS(SalaryPayrollTaxes[Month 2],SalaryPayrollTaxes[exp_item],$H1382,SalaryPayrollTaxes[company_name],$B1382,SalaryPayrollTaxes[bu_name],$C1382)*(M437+M542+M647)+SUMIFS(ExpensePayrollTaxes[Month 2],ExpensePayrollTaxes[exp_item],$H752,ExpensePayrollTaxes[company_name],$B1382)*M752)</f>
        <v>0</v>
      </c>
      <c r="N1382" s="652">
        <f>IF($B1382="",,SUMIFS(SalaryPayrollTaxes[Month 3],SalaryPayrollTaxes[exp_item],$H1382,SalaryPayrollTaxes[company_name],$B1382,SalaryPayrollTaxes[bu_name],$C1382)*(N437+N542+N647)+SUMIFS(ExpensePayrollTaxes[Month 3],ExpensePayrollTaxes[exp_item],$H752,ExpensePayrollTaxes[company_name],$B1382)*N752)</f>
        <v>0</v>
      </c>
      <c r="O1382" s="652">
        <f>IF($B1382="",,SUMIFS(SalaryPayrollTaxes[Month 4],SalaryPayrollTaxes[exp_item],$H1382,SalaryPayrollTaxes[company_name],$B1382,SalaryPayrollTaxes[bu_name],$C1382)*(O437+O542+O647)+SUMIFS(ExpensePayrollTaxes[Month 4],ExpensePayrollTaxes[exp_item],$H752,ExpensePayrollTaxes[company_name],$B1382)*O752)</f>
        <v>0</v>
      </c>
      <c r="P1382" s="652">
        <f>IF($B1382="",,SUMIFS(SalaryPayrollTaxes[Month 5],SalaryPayrollTaxes[exp_item],$H1382,SalaryPayrollTaxes[company_name],$B1382,SalaryPayrollTaxes[bu_name],$C1382)*(P437+P542+P647)+SUMIFS(ExpensePayrollTaxes[Month 5],ExpensePayrollTaxes[exp_item],$H752,ExpensePayrollTaxes[company_name],$B1382)*P752)</f>
        <v>0</v>
      </c>
      <c r="Q1382" s="652">
        <f>IF($B1382="",,SUMIFS(SalaryPayrollTaxes[Month 6],SalaryPayrollTaxes[exp_item],$H1382,SalaryPayrollTaxes[company_name],$B1382,SalaryPayrollTaxes[bu_name],$C1382)*(Q437+Q542+Q647)+SUMIFS(ExpensePayrollTaxes[Month 6],ExpensePayrollTaxes[exp_item],$H752,ExpensePayrollTaxes[company_name],$B1382)*Q752)</f>
        <v>0</v>
      </c>
      <c r="R1382" s="652">
        <f>IF($B1382="",,SUMIFS(SalaryPayrollTaxes[Month 7],SalaryPayrollTaxes[exp_item],$H1382,SalaryPayrollTaxes[company_name],$B1382,SalaryPayrollTaxes[bu_name],$C1382)*(R437+R542+R647)+SUMIFS(ExpensePayrollTaxes[Month 7],ExpensePayrollTaxes[exp_item],$H752,ExpensePayrollTaxes[company_name],$B1382)*R752)</f>
        <v>0</v>
      </c>
      <c r="S1382" s="652">
        <f>IF($B1382="",,SUMIFS(SalaryPayrollTaxes[Month 8],SalaryPayrollTaxes[exp_item],$H1382,SalaryPayrollTaxes[company_name],$B1382,SalaryPayrollTaxes[bu_name],$C1382)*(S437+S542+S647)+SUMIFS(ExpensePayrollTaxes[Month 8],ExpensePayrollTaxes[exp_item],$H752,ExpensePayrollTaxes[company_name],$B1382)*S752)</f>
        <v>0</v>
      </c>
      <c r="T1382" s="652">
        <f>IF($B1382="",,SUMIFS(SalaryPayrollTaxes[Month 9],SalaryPayrollTaxes[exp_item],$H1382,SalaryPayrollTaxes[company_name],$B1382,SalaryPayrollTaxes[bu_name],$C1382)*(T437+T542+T647)+SUMIFS(ExpensePayrollTaxes[Month 9],ExpensePayrollTaxes[exp_item],$H752,ExpensePayrollTaxes[company_name],$B1382)*T752)</f>
        <v>0</v>
      </c>
      <c r="U1382" s="652">
        <f>IF($B1382="",,SUMIFS(SalaryPayrollTaxes[Month 10],SalaryPayrollTaxes[exp_item],$H1382,SalaryPayrollTaxes[company_name],$B1382,SalaryPayrollTaxes[bu_name],$C1382)*(U437+U542+U647)+SUMIFS(ExpensePayrollTaxes[Month 10],ExpensePayrollTaxes[exp_item],$H752,ExpensePayrollTaxes[company_name],$B1382)*U752)</f>
        <v>0</v>
      </c>
      <c r="V1382" s="652">
        <f>IF($B1382="",,SUMIFS(SalaryPayrollTaxes[Month 11],SalaryPayrollTaxes[exp_item],$H1382,SalaryPayrollTaxes[company_name],$B1382,SalaryPayrollTaxes[bu_name],$C1382)*(V437+V542+V647)+SUMIFS(ExpensePayrollTaxes[Month 11],ExpensePayrollTaxes[exp_item],$H752,ExpensePayrollTaxes[company_name],$B1382)*V752)</f>
        <v>0</v>
      </c>
      <c r="W1382" s="652">
        <f>IF($B1382="",,SUMIFS(SalaryPayrollTaxes[Month 12],SalaryPayrollTaxes[exp_item],$H1382,SalaryPayrollTaxes[company_name],$B1382,SalaryPayrollTaxes[bu_name],$C1382)*(W437+W542+W647)+SUMIFS(ExpensePayrollTaxes[Month 12],ExpensePayrollTaxes[exp_item],$H752,ExpensePayrollTaxes[company_name],$B1382)*W752)</f>
        <v>0</v>
      </c>
      <c r="X1382" s="652">
        <f>IF($B1382="",,SUMIFS(SalaryPayrollTaxes[Month 13],SalaryPayrollTaxes[exp_item],$H1382,SalaryPayrollTaxes[company_name],$B1382,SalaryPayrollTaxes[bu_name],$C1382)*(X437+X542+X647)+SUMIFS(ExpensePayrollTaxes[Month 13],ExpensePayrollTaxes[exp_item],$H752,ExpensePayrollTaxes[company_name],$B1382)*X752)</f>
        <v>0</v>
      </c>
      <c r="Y1382" s="652">
        <f>IF($B1382="",,SUMIFS(SalaryPayrollTaxes[Month 14],SalaryPayrollTaxes[exp_item],$H1382,SalaryPayrollTaxes[company_name],$B1382,SalaryPayrollTaxes[bu_name],$C1382)*(Y437+Y542+Y647)+SUMIFS(ExpensePayrollTaxes[Month 14],ExpensePayrollTaxes[exp_item],$H752,ExpensePayrollTaxes[company_name],$B1382)*Y752)</f>
        <v>0</v>
      </c>
      <c r="Z1382" s="652">
        <f>IF($B1382="",,SUMIFS(SalaryPayrollTaxes[Month 15],SalaryPayrollTaxes[exp_item],$H1382,SalaryPayrollTaxes[company_name],$B1382,SalaryPayrollTaxes[bu_name],$C1382)*(Z437+Z542+Z647)+SUMIFS(ExpensePayrollTaxes[Month 15],ExpensePayrollTaxes[exp_item],$H752,ExpensePayrollTaxes[company_name],$B1382)*Z752)</f>
        <v>0</v>
      </c>
      <c r="AA1382" s="652">
        <f>IF($B1382="",,SUMIFS(SalaryPayrollTaxes[Month 16],SalaryPayrollTaxes[exp_item],$H1382,SalaryPayrollTaxes[company_name],$B1382,SalaryPayrollTaxes[bu_name],$C1382)*(AA437+AA542+AA647)+SUMIFS(ExpensePayrollTaxes[Month 16],ExpensePayrollTaxes[exp_item],$H752,ExpensePayrollTaxes[company_name],$B1382)*AA752)</f>
        <v>0</v>
      </c>
      <c r="AB1382" s="652">
        <f>IF($B1382="",,SUMIFS(SalaryPayrollTaxes[Month 17],SalaryPayrollTaxes[exp_item],$H1382,SalaryPayrollTaxes[company_name],$B1382,SalaryPayrollTaxes[bu_name],$C1382)*(AB437+AB542+AB647)+SUMIFS(ExpensePayrollTaxes[Month 17],ExpensePayrollTaxes[exp_item],$H752,ExpensePayrollTaxes[company_name],$B1382)*AB752)</f>
        <v>0</v>
      </c>
      <c r="AC1382" s="652">
        <f>IF($B1382="",,SUMIFS(SalaryPayrollTaxes[Month 18],SalaryPayrollTaxes[exp_item],$H1382,SalaryPayrollTaxes[company_name],$B1382,SalaryPayrollTaxes[bu_name],$C1382)*(AC437+AC542+AC647)+SUMIFS(ExpensePayrollTaxes[Month 18],ExpensePayrollTaxes[exp_item],$H752,ExpensePayrollTaxes[company_name],$B1382)*AC752)</f>
        <v>0</v>
      </c>
      <c r="AD1382" s="652">
        <f>IF($B1382="",,SUMIFS(SalaryPayrollTaxes[Month 19],SalaryPayrollTaxes[exp_item],$H1382,SalaryPayrollTaxes[company_name],$B1382,SalaryPayrollTaxes[bu_name],$C1382)*(AD437+AD542+AD647)+SUMIFS(ExpensePayrollTaxes[Month 19],ExpensePayrollTaxes[exp_item],$H752,ExpensePayrollTaxes[company_name],$B1382)*AD752)</f>
        <v>0</v>
      </c>
      <c r="AE1382" s="652">
        <f>IF($B1382="",,SUMIFS(SalaryPayrollTaxes[Month 20],SalaryPayrollTaxes[exp_item],$H1382,SalaryPayrollTaxes[company_name],$B1382,SalaryPayrollTaxes[bu_name],$C1382)*(AE437+AE542+AE647)+SUMIFS(ExpensePayrollTaxes[Month 20],ExpensePayrollTaxes[exp_item],$H752,ExpensePayrollTaxes[company_name],$B1382)*AE752)</f>
        <v>0</v>
      </c>
      <c r="AF1382" s="652">
        <f>IF($B1382="",,SUMIFS(SalaryPayrollTaxes[Month 21],SalaryPayrollTaxes[exp_item],$H1382,SalaryPayrollTaxes[company_name],$B1382,SalaryPayrollTaxes[bu_name],$C1382)*(AF437+AF542+AF647)+SUMIFS(ExpensePayrollTaxes[Month 21],ExpensePayrollTaxes[exp_item],$H752,ExpensePayrollTaxes[company_name],$B1382)*AF752)</f>
        <v>0</v>
      </c>
      <c r="AG1382" s="652">
        <f>IF($B1382="",,SUMIFS(SalaryPayrollTaxes[Month 22],SalaryPayrollTaxes[exp_item],$H1382,SalaryPayrollTaxes[company_name],$B1382,SalaryPayrollTaxes[bu_name],$C1382)*(AG437+AG542+AG647)+SUMIFS(ExpensePayrollTaxes[Month 22],ExpensePayrollTaxes[exp_item],$H752,ExpensePayrollTaxes[company_name],$B1382)*AG752)</f>
        <v>0</v>
      </c>
      <c r="AH1382" s="652">
        <f>IF($B1382="",,SUMIFS(SalaryPayrollTaxes[Month 23],SalaryPayrollTaxes[exp_item],$H1382,SalaryPayrollTaxes[company_name],$B1382,SalaryPayrollTaxes[bu_name],$C1382)*(AH437+AH542+AH647)+SUMIFS(ExpensePayrollTaxes[Month 23],ExpensePayrollTaxes[exp_item],$H752,ExpensePayrollTaxes[company_name],$B1382)*AH752)</f>
        <v>0</v>
      </c>
      <c r="AI1382" s="652">
        <f>IF($B1382="",,SUMIFS(SalaryPayrollTaxes[Month 24],SalaryPayrollTaxes[exp_item],$H1382,SalaryPayrollTaxes[company_name],$B1382,SalaryPayrollTaxes[bu_name],$C1382)*(AI437+AI542+AI647)+SUMIFS(ExpensePayrollTaxes[Month 24],ExpensePayrollTaxes[exp_item],$H752,ExpensePayrollTaxes[company_name],$B1382)*AI752)</f>
        <v>0</v>
      </c>
      <c r="AJ1382" s="652">
        <f>IF($B1382="",,SUMIFS(SalaryPayrollTaxes[Month 25],SalaryPayrollTaxes[exp_item],$H1382,SalaryPayrollTaxes[company_name],$B1382,SalaryPayrollTaxes[bu_name],$C1382)*(AJ437+AJ542+AJ647)+SUMIFS(ExpensePayrollTaxes[Month 25],ExpensePayrollTaxes[exp_item],$H752,ExpensePayrollTaxes[company_name],$B1382)*AJ752)</f>
        <v>0</v>
      </c>
      <c r="AK1382" s="652">
        <f>IF($B1382="",,SUMIFS(SalaryPayrollTaxes[Month 26],SalaryPayrollTaxes[exp_item],$H1382,SalaryPayrollTaxes[company_name],$B1382,SalaryPayrollTaxes[bu_name],$C1382)*(AK437+AK542+AK647)+SUMIFS(ExpensePayrollTaxes[Month 26],ExpensePayrollTaxes[exp_item],$H752,ExpensePayrollTaxes[company_name],$B1382)*AK752)</f>
        <v>0</v>
      </c>
      <c r="AL1382" s="652">
        <f>IF($B1382="",,SUMIFS(SalaryPayrollTaxes[Month 27],SalaryPayrollTaxes[exp_item],$H1382,SalaryPayrollTaxes[company_name],$B1382,SalaryPayrollTaxes[bu_name],$C1382)*(AL437+AL542+AL647)+SUMIFS(ExpensePayrollTaxes[Month 27],ExpensePayrollTaxes[exp_item],$H752,ExpensePayrollTaxes[company_name],$B1382)*AL752)</f>
        <v>0</v>
      </c>
      <c r="AM1382" s="652">
        <f>IF($B1382="",,SUMIFS(SalaryPayrollTaxes[Month 28],SalaryPayrollTaxes[exp_item],$H1382,SalaryPayrollTaxes[company_name],$B1382,SalaryPayrollTaxes[bu_name],$C1382)*(AM437+AM542+AM647)+SUMIFS(ExpensePayrollTaxes[Month 28],ExpensePayrollTaxes[exp_item],$H752,ExpensePayrollTaxes[company_name],$B1382)*AM752)</f>
        <v>0</v>
      </c>
      <c r="AN1382" s="652">
        <f>IF($B1382="",,SUMIFS(SalaryPayrollTaxes[Month 29],SalaryPayrollTaxes[exp_item],$H1382,SalaryPayrollTaxes[company_name],$B1382,SalaryPayrollTaxes[bu_name],$C1382)*(AN437+AN542+AN647)+SUMIFS(ExpensePayrollTaxes[Month 29],ExpensePayrollTaxes[exp_item],$H752,ExpensePayrollTaxes[company_name],$B1382)*AN752)</f>
        <v>0</v>
      </c>
      <c r="AO1382" s="652">
        <f>IF($B1382="",,SUMIFS(SalaryPayrollTaxes[Month 30],SalaryPayrollTaxes[exp_item],$H1382,SalaryPayrollTaxes[company_name],$B1382,SalaryPayrollTaxes[bu_name],$C1382)*(AO437+AO542+AO647)+SUMIFS(ExpensePayrollTaxes[Month 30],ExpensePayrollTaxes[exp_item],$H752,ExpensePayrollTaxes[company_name],$B1382)*AO752)</f>
        <v>0</v>
      </c>
      <c r="AP1382" s="652">
        <f>IF($B1382="",,SUMIFS(SalaryPayrollTaxes[Month 31],SalaryPayrollTaxes[exp_item],$H1382,SalaryPayrollTaxes[company_name],$B1382,SalaryPayrollTaxes[bu_name],$C1382)*(AP437+AP542+AP647)+SUMIFS(ExpensePayrollTaxes[Month 31],ExpensePayrollTaxes[exp_item],$H752,ExpensePayrollTaxes[company_name],$B1382)*AP752)</f>
        <v>0</v>
      </c>
      <c r="AQ1382" s="652">
        <f>IF($B1382="",,SUMIFS(SalaryPayrollTaxes[Month 32],SalaryPayrollTaxes[exp_item],$H1382,SalaryPayrollTaxes[company_name],$B1382,SalaryPayrollTaxes[bu_name],$C1382)*(AQ437+AQ542+AQ647)+SUMIFS(ExpensePayrollTaxes[Month 32],ExpensePayrollTaxes[exp_item],$H752,ExpensePayrollTaxes[company_name],$B1382)*AQ752)</f>
        <v>0</v>
      </c>
      <c r="AR1382" s="652">
        <f>IF($B1382="",,SUMIFS(SalaryPayrollTaxes[Month 33],SalaryPayrollTaxes[exp_item],$H1382,SalaryPayrollTaxes[company_name],$B1382,SalaryPayrollTaxes[bu_name],$C1382)*(AR437+AR542+AR647)+SUMIFS(ExpensePayrollTaxes[Month 33],ExpensePayrollTaxes[exp_item],$H752,ExpensePayrollTaxes[company_name],$B1382)*AR752)</f>
        <v>0</v>
      </c>
      <c r="AS1382" s="652">
        <f>IF($B1382="",,SUMIFS(SalaryPayrollTaxes[Month 34],SalaryPayrollTaxes[exp_item],$H1382,SalaryPayrollTaxes[company_name],$B1382,SalaryPayrollTaxes[bu_name],$C1382)*(AS437+AS542+AS647)+SUMIFS(ExpensePayrollTaxes[Month 34],ExpensePayrollTaxes[exp_item],$H752,ExpensePayrollTaxes[company_name],$B1382)*AS752)</f>
        <v>0</v>
      </c>
      <c r="AT1382" s="652">
        <f>IF($B1382="",,SUMIFS(SalaryPayrollTaxes[Month 35],SalaryPayrollTaxes[exp_item],$H1382,SalaryPayrollTaxes[company_name],$B1382,SalaryPayrollTaxes[bu_name],$C1382)*(AT437+AT542+AT647)+SUMIFS(ExpensePayrollTaxes[Month 35],ExpensePayrollTaxes[exp_item],$H752,ExpensePayrollTaxes[company_name],$B1382)*AT752)</f>
        <v>0</v>
      </c>
      <c r="AU1382" s="652">
        <f>IF($B1382="",,SUMIFS(SalaryPayrollTaxes[Month 36],SalaryPayrollTaxes[exp_item],$H1382,SalaryPayrollTaxes[company_name],$B1382,SalaryPayrollTaxes[bu_name],$C1382)*(AU437+AU542+AU647)+SUMIFS(ExpensePayrollTaxes[Month 36],ExpensePayrollTaxes[exp_item],$H752,ExpensePayrollTaxes[company_name],$B1382)*AU752)</f>
        <v>0</v>
      </c>
    </row>
    <row r="1383" spans="2:47" x14ac:dyDescent="0.35">
      <c r="B1383" t="str">
        <f t="shared" si="994"/>
        <v/>
      </c>
      <c r="C1383" t="str">
        <f t="shared" si="994"/>
        <v/>
      </c>
      <c r="D1383" t="str">
        <f t="shared" si="994"/>
        <v/>
      </c>
      <c r="E1383" t="str">
        <f t="shared" si="994"/>
        <v/>
      </c>
      <c r="F1383" t="str">
        <f t="shared" si="994"/>
        <v/>
      </c>
      <c r="G1383" t="str">
        <f t="shared" si="994"/>
        <v/>
      </c>
      <c r="H1383" t="str">
        <f t="shared" si="989"/>
        <v/>
      </c>
      <c r="J1383" t="str">
        <f>IF($H1383="","",IF(VLOOKUP(H1383,ExpItems[],2,0),H1383&amp;" - "&amp;INDEX(DivisionMapping[category_code],MATCH($D1383&amp;$C1383,DivisionMapping[dept_bu],0)),H1383))</f>
        <v/>
      </c>
      <c r="K1383" t="str">
        <f t="shared" si="990"/>
        <v/>
      </c>
      <c r="L1383" s="652">
        <f>IF($B1383="",,SUMIFS(SalaryPayrollTaxes[Month 1],SalaryPayrollTaxes[exp_item],$H1383,SalaryPayrollTaxes[company_name],$B1383,SalaryPayrollTaxes[bu_name],$C1383)*(L438+L543+L648)+SUMIFS(ExpensePayrollTaxes[Month 1],ExpensePayrollTaxes[exp_item],$H753,ExpensePayrollTaxes[company_name],$B1383)*L753)</f>
        <v>0</v>
      </c>
      <c r="M1383" s="652">
        <f>IF($B1383="",,SUMIFS(SalaryPayrollTaxes[Month 2],SalaryPayrollTaxes[exp_item],$H1383,SalaryPayrollTaxes[company_name],$B1383,SalaryPayrollTaxes[bu_name],$C1383)*(M438+M543+M648)+SUMIFS(ExpensePayrollTaxes[Month 2],ExpensePayrollTaxes[exp_item],$H753,ExpensePayrollTaxes[company_name],$B1383)*M753)</f>
        <v>0</v>
      </c>
      <c r="N1383" s="652">
        <f>IF($B1383="",,SUMIFS(SalaryPayrollTaxes[Month 3],SalaryPayrollTaxes[exp_item],$H1383,SalaryPayrollTaxes[company_name],$B1383,SalaryPayrollTaxes[bu_name],$C1383)*(N438+N543+N648)+SUMIFS(ExpensePayrollTaxes[Month 3],ExpensePayrollTaxes[exp_item],$H753,ExpensePayrollTaxes[company_name],$B1383)*N753)</f>
        <v>0</v>
      </c>
      <c r="O1383" s="652">
        <f>IF($B1383="",,SUMIFS(SalaryPayrollTaxes[Month 4],SalaryPayrollTaxes[exp_item],$H1383,SalaryPayrollTaxes[company_name],$B1383,SalaryPayrollTaxes[bu_name],$C1383)*(O438+O543+O648)+SUMIFS(ExpensePayrollTaxes[Month 4],ExpensePayrollTaxes[exp_item],$H753,ExpensePayrollTaxes[company_name],$B1383)*O753)</f>
        <v>0</v>
      </c>
      <c r="P1383" s="652">
        <f>IF($B1383="",,SUMIFS(SalaryPayrollTaxes[Month 5],SalaryPayrollTaxes[exp_item],$H1383,SalaryPayrollTaxes[company_name],$B1383,SalaryPayrollTaxes[bu_name],$C1383)*(P438+P543+P648)+SUMIFS(ExpensePayrollTaxes[Month 5],ExpensePayrollTaxes[exp_item],$H753,ExpensePayrollTaxes[company_name],$B1383)*P753)</f>
        <v>0</v>
      </c>
      <c r="Q1383" s="652">
        <f>IF($B1383="",,SUMIFS(SalaryPayrollTaxes[Month 6],SalaryPayrollTaxes[exp_item],$H1383,SalaryPayrollTaxes[company_name],$B1383,SalaryPayrollTaxes[bu_name],$C1383)*(Q438+Q543+Q648)+SUMIFS(ExpensePayrollTaxes[Month 6],ExpensePayrollTaxes[exp_item],$H753,ExpensePayrollTaxes[company_name],$B1383)*Q753)</f>
        <v>0</v>
      </c>
      <c r="R1383" s="652">
        <f>IF($B1383="",,SUMIFS(SalaryPayrollTaxes[Month 7],SalaryPayrollTaxes[exp_item],$H1383,SalaryPayrollTaxes[company_name],$B1383,SalaryPayrollTaxes[bu_name],$C1383)*(R438+R543+R648)+SUMIFS(ExpensePayrollTaxes[Month 7],ExpensePayrollTaxes[exp_item],$H753,ExpensePayrollTaxes[company_name],$B1383)*R753)</f>
        <v>0</v>
      </c>
      <c r="S1383" s="652">
        <f>IF($B1383="",,SUMIFS(SalaryPayrollTaxes[Month 8],SalaryPayrollTaxes[exp_item],$H1383,SalaryPayrollTaxes[company_name],$B1383,SalaryPayrollTaxes[bu_name],$C1383)*(S438+S543+S648)+SUMIFS(ExpensePayrollTaxes[Month 8],ExpensePayrollTaxes[exp_item],$H753,ExpensePayrollTaxes[company_name],$B1383)*S753)</f>
        <v>0</v>
      </c>
      <c r="T1383" s="652">
        <f>IF($B1383="",,SUMIFS(SalaryPayrollTaxes[Month 9],SalaryPayrollTaxes[exp_item],$H1383,SalaryPayrollTaxes[company_name],$B1383,SalaryPayrollTaxes[bu_name],$C1383)*(T438+T543+T648)+SUMIFS(ExpensePayrollTaxes[Month 9],ExpensePayrollTaxes[exp_item],$H753,ExpensePayrollTaxes[company_name],$B1383)*T753)</f>
        <v>0</v>
      </c>
      <c r="U1383" s="652">
        <f>IF($B1383="",,SUMIFS(SalaryPayrollTaxes[Month 10],SalaryPayrollTaxes[exp_item],$H1383,SalaryPayrollTaxes[company_name],$B1383,SalaryPayrollTaxes[bu_name],$C1383)*(U438+U543+U648)+SUMIFS(ExpensePayrollTaxes[Month 10],ExpensePayrollTaxes[exp_item],$H753,ExpensePayrollTaxes[company_name],$B1383)*U753)</f>
        <v>0</v>
      </c>
      <c r="V1383" s="652">
        <f>IF($B1383="",,SUMIFS(SalaryPayrollTaxes[Month 11],SalaryPayrollTaxes[exp_item],$H1383,SalaryPayrollTaxes[company_name],$B1383,SalaryPayrollTaxes[bu_name],$C1383)*(V438+V543+V648)+SUMIFS(ExpensePayrollTaxes[Month 11],ExpensePayrollTaxes[exp_item],$H753,ExpensePayrollTaxes[company_name],$B1383)*V753)</f>
        <v>0</v>
      </c>
      <c r="W1383" s="652">
        <f>IF($B1383="",,SUMIFS(SalaryPayrollTaxes[Month 12],SalaryPayrollTaxes[exp_item],$H1383,SalaryPayrollTaxes[company_name],$B1383,SalaryPayrollTaxes[bu_name],$C1383)*(W438+W543+W648)+SUMIFS(ExpensePayrollTaxes[Month 12],ExpensePayrollTaxes[exp_item],$H753,ExpensePayrollTaxes[company_name],$B1383)*W753)</f>
        <v>0</v>
      </c>
      <c r="X1383" s="652">
        <f>IF($B1383="",,SUMIFS(SalaryPayrollTaxes[Month 13],SalaryPayrollTaxes[exp_item],$H1383,SalaryPayrollTaxes[company_name],$B1383,SalaryPayrollTaxes[bu_name],$C1383)*(X438+X543+X648)+SUMIFS(ExpensePayrollTaxes[Month 13],ExpensePayrollTaxes[exp_item],$H753,ExpensePayrollTaxes[company_name],$B1383)*X753)</f>
        <v>0</v>
      </c>
      <c r="Y1383" s="652">
        <f>IF($B1383="",,SUMIFS(SalaryPayrollTaxes[Month 14],SalaryPayrollTaxes[exp_item],$H1383,SalaryPayrollTaxes[company_name],$B1383,SalaryPayrollTaxes[bu_name],$C1383)*(Y438+Y543+Y648)+SUMIFS(ExpensePayrollTaxes[Month 14],ExpensePayrollTaxes[exp_item],$H753,ExpensePayrollTaxes[company_name],$B1383)*Y753)</f>
        <v>0</v>
      </c>
      <c r="Z1383" s="652">
        <f>IF($B1383="",,SUMIFS(SalaryPayrollTaxes[Month 15],SalaryPayrollTaxes[exp_item],$H1383,SalaryPayrollTaxes[company_name],$B1383,SalaryPayrollTaxes[bu_name],$C1383)*(Z438+Z543+Z648)+SUMIFS(ExpensePayrollTaxes[Month 15],ExpensePayrollTaxes[exp_item],$H753,ExpensePayrollTaxes[company_name],$B1383)*Z753)</f>
        <v>0</v>
      </c>
      <c r="AA1383" s="652">
        <f>IF($B1383="",,SUMIFS(SalaryPayrollTaxes[Month 16],SalaryPayrollTaxes[exp_item],$H1383,SalaryPayrollTaxes[company_name],$B1383,SalaryPayrollTaxes[bu_name],$C1383)*(AA438+AA543+AA648)+SUMIFS(ExpensePayrollTaxes[Month 16],ExpensePayrollTaxes[exp_item],$H753,ExpensePayrollTaxes[company_name],$B1383)*AA753)</f>
        <v>0</v>
      </c>
      <c r="AB1383" s="652">
        <f>IF($B1383="",,SUMIFS(SalaryPayrollTaxes[Month 17],SalaryPayrollTaxes[exp_item],$H1383,SalaryPayrollTaxes[company_name],$B1383,SalaryPayrollTaxes[bu_name],$C1383)*(AB438+AB543+AB648)+SUMIFS(ExpensePayrollTaxes[Month 17],ExpensePayrollTaxes[exp_item],$H753,ExpensePayrollTaxes[company_name],$B1383)*AB753)</f>
        <v>0</v>
      </c>
      <c r="AC1383" s="652">
        <f>IF($B1383="",,SUMIFS(SalaryPayrollTaxes[Month 18],SalaryPayrollTaxes[exp_item],$H1383,SalaryPayrollTaxes[company_name],$B1383,SalaryPayrollTaxes[bu_name],$C1383)*(AC438+AC543+AC648)+SUMIFS(ExpensePayrollTaxes[Month 18],ExpensePayrollTaxes[exp_item],$H753,ExpensePayrollTaxes[company_name],$B1383)*AC753)</f>
        <v>0</v>
      </c>
      <c r="AD1383" s="652">
        <f>IF($B1383="",,SUMIFS(SalaryPayrollTaxes[Month 19],SalaryPayrollTaxes[exp_item],$H1383,SalaryPayrollTaxes[company_name],$B1383,SalaryPayrollTaxes[bu_name],$C1383)*(AD438+AD543+AD648)+SUMIFS(ExpensePayrollTaxes[Month 19],ExpensePayrollTaxes[exp_item],$H753,ExpensePayrollTaxes[company_name],$B1383)*AD753)</f>
        <v>0</v>
      </c>
      <c r="AE1383" s="652">
        <f>IF($B1383="",,SUMIFS(SalaryPayrollTaxes[Month 20],SalaryPayrollTaxes[exp_item],$H1383,SalaryPayrollTaxes[company_name],$B1383,SalaryPayrollTaxes[bu_name],$C1383)*(AE438+AE543+AE648)+SUMIFS(ExpensePayrollTaxes[Month 20],ExpensePayrollTaxes[exp_item],$H753,ExpensePayrollTaxes[company_name],$B1383)*AE753)</f>
        <v>0</v>
      </c>
      <c r="AF1383" s="652">
        <f>IF($B1383="",,SUMIFS(SalaryPayrollTaxes[Month 21],SalaryPayrollTaxes[exp_item],$H1383,SalaryPayrollTaxes[company_name],$B1383,SalaryPayrollTaxes[bu_name],$C1383)*(AF438+AF543+AF648)+SUMIFS(ExpensePayrollTaxes[Month 21],ExpensePayrollTaxes[exp_item],$H753,ExpensePayrollTaxes[company_name],$B1383)*AF753)</f>
        <v>0</v>
      </c>
      <c r="AG1383" s="652">
        <f>IF($B1383="",,SUMIFS(SalaryPayrollTaxes[Month 22],SalaryPayrollTaxes[exp_item],$H1383,SalaryPayrollTaxes[company_name],$B1383,SalaryPayrollTaxes[bu_name],$C1383)*(AG438+AG543+AG648)+SUMIFS(ExpensePayrollTaxes[Month 22],ExpensePayrollTaxes[exp_item],$H753,ExpensePayrollTaxes[company_name],$B1383)*AG753)</f>
        <v>0</v>
      </c>
      <c r="AH1383" s="652">
        <f>IF($B1383="",,SUMIFS(SalaryPayrollTaxes[Month 23],SalaryPayrollTaxes[exp_item],$H1383,SalaryPayrollTaxes[company_name],$B1383,SalaryPayrollTaxes[bu_name],$C1383)*(AH438+AH543+AH648)+SUMIFS(ExpensePayrollTaxes[Month 23],ExpensePayrollTaxes[exp_item],$H753,ExpensePayrollTaxes[company_name],$B1383)*AH753)</f>
        <v>0</v>
      </c>
      <c r="AI1383" s="652">
        <f>IF($B1383="",,SUMIFS(SalaryPayrollTaxes[Month 24],SalaryPayrollTaxes[exp_item],$H1383,SalaryPayrollTaxes[company_name],$B1383,SalaryPayrollTaxes[bu_name],$C1383)*(AI438+AI543+AI648)+SUMIFS(ExpensePayrollTaxes[Month 24],ExpensePayrollTaxes[exp_item],$H753,ExpensePayrollTaxes[company_name],$B1383)*AI753)</f>
        <v>0</v>
      </c>
      <c r="AJ1383" s="652">
        <f>IF($B1383="",,SUMIFS(SalaryPayrollTaxes[Month 25],SalaryPayrollTaxes[exp_item],$H1383,SalaryPayrollTaxes[company_name],$B1383,SalaryPayrollTaxes[bu_name],$C1383)*(AJ438+AJ543+AJ648)+SUMIFS(ExpensePayrollTaxes[Month 25],ExpensePayrollTaxes[exp_item],$H753,ExpensePayrollTaxes[company_name],$B1383)*AJ753)</f>
        <v>0</v>
      </c>
      <c r="AK1383" s="652">
        <f>IF($B1383="",,SUMIFS(SalaryPayrollTaxes[Month 26],SalaryPayrollTaxes[exp_item],$H1383,SalaryPayrollTaxes[company_name],$B1383,SalaryPayrollTaxes[bu_name],$C1383)*(AK438+AK543+AK648)+SUMIFS(ExpensePayrollTaxes[Month 26],ExpensePayrollTaxes[exp_item],$H753,ExpensePayrollTaxes[company_name],$B1383)*AK753)</f>
        <v>0</v>
      </c>
      <c r="AL1383" s="652">
        <f>IF($B1383="",,SUMIFS(SalaryPayrollTaxes[Month 27],SalaryPayrollTaxes[exp_item],$H1383,SalaryPayrollTaxes[company_name],$B1383,SalaryPayrollTaxes[bu_name],$C1383)*(AL438+AL543+AL648)+SUMIFS(ExpensePayrollTaxes[Month 27],ExpensePayrollTaxes[exp_item],$H753,ExpensePayrollTaxes[company_name],$B1383)*AL753)</f>
        <v>0</v>
      </c>
      <c r="AM1383" s="652">
        <f>IF($B1383="",,SUMIFS(SalaryPayrollTaxes[Month 28],SalaryPayrollTaxes[exp_item],$H1383,SalaryPayrollTaxes[company_name],$B1383,SalaryPayrollTaxes[bu_name],$C1383)*(AM438+AM543+AM648)+SUMIFS(ExpensePayrollTaxes[Month 28],ExpensePayrollTaxes[exp_item],$H753,ExpensePayrollTaxes[company_name],$B1383)*AM753)</f>
        <v>0</v>
      </c>
      <c r="AN1383" s="652">
        <f>IF($B1383="",,SUMIFS(SalaryPayrollTaxes[Month 29],SalaryPayrollTaxes[exp_item],$H1383,SalaryPayrollTaxes[company_name],$B1383,SalaryPayrollTaxes[bu_name],$C1383)*(AN438+AN543+AN648)+SUMIFS(ExpensePayrollTaxes[Month 29],ExpensePayrollTaxes[exp_item],$H753,ExpensePayrollTaxes[company_name],$B1383)*AN753)</f>
        <v>0</v>
      </c>
      <c r="AO1383" s="652">
        <f>IF($B1383="",,SUMIFS(SalaryPayrollTaxes[Month 30],SalaryPayrollTaxes[exp_item],$H1383,SalaryPayrollTaxes[company_name],$B1383,SalaryPayrollTaxes[bu_name],$C1383)*(AO438+AO543+AO648)+SUMIFS(ExpensePayrollTaxes[Month 30],ExpensePayrollTaxes[exp_item],$H753,ExpensePayrollTaxes[company_name],$B1383)*AO753)</f>
        <v>0</v>
      </c>
      <c r="AP1383" s="652">
        <f>IF($B1383="",,SUMIFS(SalaryPayrollTaxes[Month 31],SalaryPayrollTaxes[exp_item],$H1383,SalaryPayrollTaxes[company_name],$B1383,SalaryPayrollTaxes[bu_name],$C1383)*(AP438+AP543+AP648)+SUMIFS(ExpensePayrollTaxes[Month 31],ExpensePayrollTaxes[exp_item],$H753,ExpensePayrollTaxes[company_name],$B1383)*AP753)</f>
        <v>0</v>
      </c>
      <c r="AQ1383" s="652">
        <f>IF($B1383="",,SUMIFS(SalaryPayrollTaxes[Month 32],SalaryPayrollTaxes[exp_item],$H1383,SalaryPayrollTaxes[company_name],$B1383,SalaryPayrollTaxes[bu_name],$C1383)*(AQ438+AQ543+AQ648)+SUMIFS(ExpensePayrollTaxes[Month 32],ExpensePayrollTaxes[exp_item],$H753,ExpensePayrollTaxes[company_name],$B1383)*AQ753)</f>
        <v>0</v>
      </c>
      <c r="AR1383" s="652">
        <f>IF($B1383="",,SUMIFS(SalaryPayrollTaxes[Month 33],SalaryPayrollTaxes[exp_item],$H1383,SalaryPayrollTaxes[company_name],$B1383,SalaryPayrollTaxes[bu_name],$C1383)*(AR438+AR543+AR648)+SUMIFS(ExpensePayrollTaxes[Month 33],ExpensePayrollTaxes[exp_item],$H753,ExpensePayrollTaxes[company_name],$B1383)*AR753)</f>
        <v>0</v>
      </c>
      <c r="AS1383" s="652">
        <f>IF($B1383="",,SUMIFS(SalaryPayrollTaxes[Month 34],SalaryPayrollTaxes[exp_item],$H1383,SalaryPayrollTaxes[company_name],$B1383,SalaryPayrollTaxes[bu_name],$C1383)*(AS438+AS543+AS648)+SUMIFS(ExpensePayrollTaxes[Month 34],ExpensePayrollTaxes[exp_item],$H753,ExpensePayrollTaxes[company_name],$B1383)*AS753)</f>
        <v>0</v>
      </c>
      <c r="AT1383" s="652">
        <f>IF($B1383="",,SUMIFS(SalaryPayrollTaxes[Month 35],SalaryPayrollTaxes[exp_item],$H1383,SalaryPayrollTaxes[company_name],$B1383,SalaryPayrollTaxes[bu_name],$C1383)*(AT438+AT543+AT648)+SUMIFS(ExpensePayrollTaxes[Month 35],ExpensePayrollTaxes[exp_item],$H753,ExpensePayrollTaxes[company_name],$B1383)*AT753)</f>
        <v>0</v>
      </c>
      <c r="AU1383" s="652">
        <f>IF($B1383="",,SUMIFS(SalaryPayrollTaxes[Month 36],SalaryPayrollTaxes[exp_item],$H1383,SalaryPayrollTaxes[company_name],$B1383,SalaryPayrollTaxes[bu_name],$C1383)*(AU438+AU543+AU648)+SUMIFS(ExpensePayrollTaxes[Month 36],ExpensePayrollTaxes[exp_item],$H753,ExpensePayrollTaxes[company_name],$B1383)*AU753)</f>
        <v>0</v>
      </c>
    </row>
    <row r="1384" spans="2:47" x14ac:dyDescent="0.35">
      <c r="B1384" t="str">
        <f t="shared" si="994"/>
        <v/>
      </c>
      <c r="C1384" t="str">
        <f t="shared" si="994"/>
        <v/>
      </c>
      <c r="D1384" t="str">
        <f t="shared" si="994"/>
        <v/>
      </c>
      <c r="E1384" t="str">
        <f t="shared" si="994"/>
        <v/>
      </c>
      <c r="F1384" t="str">
        <f t="shared" si="994"/>
        <v/>
      </c>
      <c r="G1384" t="str">
        <f t="shared" si="994"/>
        <v/>
      </c>
      <c r="H1384" t="str">
        <f t="shared" si="989"/>
        <v/>
      </c>
      <c r="J1384" t="str">
        <f>IF($H1384="","",IF(VLOOKUP(H1384,ExpItems[],2,0),H1384&amp;" - "&amp;INDEX(DivisionMapping[category_code],MATCH($D1384&amp;$C1384,DivisionMapping[dept_bu],0)),H1384))</f>
        <v/>
      </c>
      <c r="K1384" t="str">
        <f t="shared" si="990"/>
        <v/>
      </c>
      <c r="L1384" s="652">
        <f>IF($B1384="",,SUMIFS(SalaryPayrollTaxes[Month 1],SalaryPayrollTaxes[exp_item],$H1384,SalaryPayrollTaxes[company_name],$B1384,SalaryPayrollTaxes[bu_name],$C1384)*(L439+L544+L649)+SUMIFS(ExpensePayrollTaxes[Month 1],ExpensePayrollTaxes[exp_item],$H754,ExpensePayrollTaxes[company_name],$B1384)*L754)</f>
        <v>0</v>
      </c>
      <c r="M1384" s="652">
        <f>IF($B1384="",,SUMIFS(SalaryPayrollTaxes[Month 2],SalaryPayrollTaxes[exp_item],$H1384,SalaryPayrollTaxes[company_name],$B1384,SalaryPayrollTaxes[bu_name],$C1384)*(M439+M544+M649)+SUMIFS(ExpensePayrollTaxes[Month 2],ExpensePayrollTaxes[exp_item],$H754,ExpensePayrollTaxes[company_name],$B1384)*M754)</f>
        <v>0</v>
      </c>
      <c r="N1384" s="652">
        <f>IF($B1384="",,SUMIFS(SalaryPayrollTaxes[Month 3],SalaryPayrollTaxes[exp_item],$H1384,SalaryPayrollTaxes[company_name],$B1384,SalaryPayrollTaxes[bu_name],$C1384)*(N439+N544+N649)+SUMIFS(ExpensePayrollTaxes[Month 3],ExpensePayrollTaxes[exp_item],$H754,ExpensePayrollTaxes[company_name],$B1384)*N754)</f>
        <v>0</v>
      </c>
      <c r="O1384" s="652">
        <f>IF($B1384="",,SUMIFS(SalaryPayrollTaxes[Month 4],SalaryPayrollTaxes[exp_item],$H1384,SalaryPayrollTaxes[company_name],$B1384,SalaryPayrollTaxes[bu_name],$C1384)*(O439+O544+O649)+SUMIFS(ExpensePayrollTaxes[Month 4],ExpensePayrollTaxes[exp_item],$H754,ExpensePayrollTaxes[company_name],$B1384)*O754)</f>
        <v>0</v>
      </c>
      <c r="P1384" s="652">
        <f>IF($B1384="",,SUMIFS(SalaryPayrollTaxes[Month 5],SalaryPayrollTaxes[exp_item],$H1384,SalaryPayrollTaxes[company_name],$B1384,SalaryPayrollTaxes[bu_name],$C1384)*(P439+P544+P649)+SUMIFS(ExpensePayrollTaxes[Month 5],ExpensePayrollTaxes[exp_item],$H754,ExpensePayrollTaxes[company_name],$B1384)*P754)</f>
        <v>0</v>
      </c>
      <c r="Q1384" s="652">
        <f>IF($B1384="",,SUMIFS(SalaryPayrollTaxes[Month 6],SalaryPayrollTaxes[exp_item],$H1384,SalaryPayrollTaxes[company_name],$B1384,SalaryPayrollTaxes[bu_name],$C1384)*(Q439+Q544+Q649)+SUMIFS(ExpensePayrollTaxes[Month 6],ExpensePayrollTaxes[exp_item],$H754,ExpensePayrollTaxes[company_name],$B1384)*Q754)</f>
        <v>0</v>
      </c>
      <c r="R1384" s="652">
        <f>IF($B1384="",,SUMIFS(SalaryPayrollTaxes[Month 7],SalaryPayrollTaxes[exp_item],$H1384,SalaryPayrollTaxes[company_name],$B1384,SalaryPayrollTaxes[bu_name],$C1384)*(R439+R544+R649)+SUMIFS(ExpensePayrollTaxes[Month 7],ExpensePayrollTaxes[exp_item],$H754,ExpensePayrollTaxes[company_name],$B1384)*R754)</f>
        <v>0</v>
      </c>
      <c r="S1384" s="652">
        <f>IF($B1384="",,SUMIFS(SalaryPayrollTaxes[Month 8],SalaryPayrollTaxes[exp_item],$H1384,SalaryPayrollTaxes[company_name],$B1384,SalaryPayrollTaxes[bu_name],$C1384)*(S439+S544+S649)+SUMIFS(ExpensePayrollTaxes[Month 8],ExpensePayrollTaxes[exp_item],$H754,ExpensePayrollTaxes[company_name],$B1384)*S754)</f>
        <v>0</v>
      </c>
      <c r="T1384" s="652">
        <f>IF($B1384="",,SUMIFS(SalaryPayrollTaxes[Month 9],SalaryPayrollTaxes[exp_item],$H1384,SalaryPayrollTaxes[company_name],$B1384,SalaryPayrollTaxes[bu_name],$C1384)*(T439+T544+T649)+SUMIFS(ExpensePayrollTaxes[Month 9],ExpensePayrollTaxes[exp_item],$H754,ExpensePayrollTaxes[company_name],$B1384)*T754)</f>
        <v>0</v>
      </c>
      <c r="U1384" s="652">
        <f>IF($B1384="",,SUMIFS(SalaryPayrollTaxes[Month 10],SalaryPayrollTaxes[exp_item],$H1384,SalaryPayrollTaxes[company_name],$B1384,SalaryPayrollTaxes[bu_name],$C1384)*(U439+U544+U649)+SUMIFS(ExpensePayrollTaxes[Month 10],ExpensePayrollTaxes[exp_item],$H754,ExpensePayrollTaxes[company_name],$B1384)*U754)</f>
        <v>0</v>
      </c>
      <c r="V1384" s="652">
        <f>IF($B1384="",,SUMIFS(SalaryPayrollTaxes[Month 11],SalaryPayrollTaxes[exp_item],$H1384,SalaryPayrollTaxes[company_name],$B1384,SalaryPayrollTaxes[bu_name],$C1384)*(V439+V544+V649)+SUMIFS(ExpensePayrollTaxes[Month 11],ExpensePayrollTaxes[exp_item],$H754,ExpensePayrollTaxes[company_name],$B1384)*V754)</f>
        <v>0</v>
      </c>
      <c r="W1384" s="652">
        <f>IF($B1384="",,SUMIFS(SalaryPayrollTaxes[Month 12],SalaryPayrollTaxes[exp_item],$H1384,SalaryPayrollTaxes[company_name],$B1384,SalaryPayrollTaxes[bu_name],$C1384)*(W439+W544+W649)+SUMIFS(ExpensePayrollTaxes[Month 12],ExpensePayrollTaxes[exp_item],$H754,ExpensePayrollTaxes[company_name],$B1384)*W754)</f>
        <v>0</v>
      </c>
      <c r="X1384" s="652">
        <f>IF($B1384="",,SUMIFS(SalaryPayrollTaxes[Month 13],SalaryPayrollTaxes[exp_item],$H1384,SalaryPayrollTaxes[company_name],$B1384,SalaryPayrollTaxes[bu_name],$C1384)*(X439+X544+X649)+SUMIFS(ExpensePayrollTaxes[Month 13],ExpensePayrollTaxes[exp_item],$H754,ExpensePayrollTaxes[company_name],$B1384)*X754)</f>
        <v>0</v>
      </c>
      <c r="Y1384" s="652">
        <f>IF($B1384="",,SUMIFS(SalaryPayrollTaxes[Month 14],SalaryPayrollTaxes[exp_item],$H1384,SalaryPayrollTaxes[company_name],$B1384,SalaryPayrollTaxes[bu_name],$C1384)*(Y439+Y544+Y649)+SUMIFS(ExpensePayrollTaxes[Month 14],ExpensePayrollTaxes[exp_item],$H754,ExpensePayrollTaxes[company_name],$B1384)*Y754)</f>
        <v>0</v>
      </c>
      <c r="Z1384" s="652">
        <f>IF($B1384="",,SUMIFS(SalaryPayrollTaxes[Month 15],SalaryPayrollTaxes[exp_item],$H1384,SalaryPayrollTaxes[company_name],$B1384,SalaryPayrollTaxes[bu_name],$C1384)*(Z439+Z544+Z649)+SUMIFS(ExpensePayrollTaxes[Month 15],ExpensePayrollTaxes[exp_item],$H754,ExpensePayrollTaxes[company_name],$B1384)*Z754)</f>
        <v>0</v>
      </c>
      <c r="AA1384" s="652">
        <f>IF($B1384="",,SUMIFS(SalaryPayrollTaxes[Month 16],SalaryPayrollTaxes[exp_item],$H1384,SalaryPayrollTaxes[company_name],$B1384,SalaryPayrollTaxes[bu_name],$C1384)*(AA439+AA544+AA649)+SUMIFS(ExpensePayrollTaxes[Month 16],ExpensePayrollTaxes[exp_item],$H754,ExpensePayrollTaxes[company_name],$B1384)*AA754)</f>
        <v>0</v>
      </c>
      <c r="AB1384" s="652">
        <f>IF($B1384="",,SUMIFS(SalaryPayrollTaxes[Month 17],SalaryPayrollTaxes[exp_item],$H1384,SalaryPayrollTaxes[company_name],$B1384,SalaryPayrollTaxes[bu_name],$C1384)*(AB439+AB544+AB649)+SUMIFS(ExpensePayrollTaxes[Month 17],ExpensePayrollTaxes[exp_item],$H754,ExpensePayrollTaxes[company_name],$B1384)*AB754)</f>
        <v>0</v>
      </c>
      <c r="AC1384" s="652">
        <f>IF($B1384="",,SUMIFS(SalaryPayrollTaxes[Month 18],SalaryPayrollTaxes[exp_item],$H1384,SalaryPayrollTaxes[company_name],$B1384,SalaryPayrollTaxes[bu_name],$C1384)*(AC439+AC544+AC649)+SUMIFS(ExpensePayrollTaxes[Month 18],ExpensePayrollTaxes[exp_item],$H754,ExpensePayrollTaxes[company_name],$B1384)*AC754)</f>
        <v>0</v>
      </c>
      <c r="AD1384" s="652">
        <f>IF($B1384="",,SUMIFS(SalaryPayrollTaxes[Month 19],SalaryPayrollTaxes[exp_item],$H1384,SalaryPayrollTaxes[company_name],$B1384,SalaryPayrollTaxes[bu_name],$C1384)*(AD439+AD544+AD649)+SUMIFS(ExpensePayrollTaxes[Month 19],ExpensePayrollTaxes[exp_item],$H754,ExpensePayrollTaxes[company_name],$B1384)*AD754)</f>
        <v>0</v>
      </c>
      <c r="AE1384" s="652">
        <f>IF($B1384="",,SUMIFS(SalaryPayrollTaxes[Month 20],SalaryPayrollTaxes[exp_item],$H1384,SalaryPayrollTaxes[company_name],$B1384,SalaryPayrollTaxes[bu_name],$C1384)*(AE439+AE544+AE649)+SUMIFS(ExpensePayrollTaxes[Month 20],ExpensePayrollTaxes[exp_item],$H754,ExpensePayrollTaxes[company_name],$B1384)*AE754)</f>
        <v>0</v>
      </c>
      <c r="AF1384" s="652">
        <f>IF($B1384="",,SUMIFS(SalaryPayrollTaxes[Month 21],SalaryPayrollTaxes[exp_item],$H1384,SalaryPayrollTaxes[company_name],$B1384,SalaryPayrollTaxes[bu_name],$C1384)*(AF439+AF544+AF649)+SUMIFS(ExpensePayrollTaxes[Month 21],ExpensePayrollTaxes[exp_item],$H754,ExpensePayrollTaxes[company_name],$B1384)*AF754)</f>
        <v>0</v>
      </c>
      <c r="AG1384" s="652">
        <f>IF($B1384="",,SUMIFS(SalaryPayrollTaxes[Month 22],SalaryPayrollTaxes[exp_item],$H1384,SalaryPayrollTaxes[company_name],$B1384,SalaryPayrollTaxes[bu_name],$C1384)*(AG439+AG544+AG649)+SUMIFS(ExpensePayrollTaxes[Month 22],ExpensePayrollTaxes[exp_item],$H754,ExpensePayrollTaxes[company_name],$B1384)*AG754)</f>
        <v>0</v>
      </c>
      <c r="AH1384" s="652">
        <f>IF($B1384="",,SUMIFS(SalaryPayrollTaxes[Month 23],SalaryPayrollTaxes[exp_item],$H1384,SalaryPayrollTaxes[company_name],$B1384,SalaryPayrollTaxes[bu_name],$C1384)*(AH439+AH544+AH649)+SUMIFS(ExpensePayrollTaxes[Month 23],ExpensePayrollTaxes[exp_item],$H754,ExpensePayrollTaxes[company_name],$B1384)*AH754)</f>
        <v>0</v>
      </c>
      <c r="AI1384" s="652">
        <f>IF($B1384="",,SUMIFS(SalaryPayrollTaxes[Month 24],SalaryPayrollTaxes[exp_item],$H1384,SalaryPayrollTaxes[company_name],$B1384,SalaryPayrollTaxes[bu_name],$C1384)*(AI439+AI544+AI649)+SUMIFS(ExpensePayrollTaxes[Month 24],ExpensePayrollTaxes[exp_item],$H754,ExpensePayrollTaxes[company_name],$B1384)*AI754)</f>
        <v>0</v>
      </c>
      <c r="AJ1384" s="652">
        <f>IF($B1384="",,SUMIFS(SalaryPayrollTaxes[Month 25],SalaryPayrollTaxes[exp_item],$H1384,SalaryPayrollTaxes[company_name],$B1384,SalaryPayrollTaxes[bu_name],$C1384)*(AJ439+AJ544+AJ649)+SUMIFS(ExpensePayrollTaxes[Month 25],ExpensePayrollTaxes[exp_item],$H754,ExpensePayrollTaxes[company_name],$B1384)*AJ754)</f>
        <v>0</v>
      </c>
      <c r="AK1384" s="652">
        <f>IF($B1384="",,SUMIFS(SalaryPayrollTaxes[Month 26],SalaryPayrollTaxes[exp_item],$H1384,SalaryPayrollTaxes[company_name],$B1384,SalaryPayrollTaxes[bu_name],$C1384)*(AK439+AK544+AK649)+SUMIFS(ExpensePayrollTaxes[Month 26],ExpensePayrollTaxes[exp_item],$H754,ExpensePayrollTaxes[company_name],$B1384)*AK754)</f>
        <v>0</v>
      </c>
      <c r="AL1384" s="652">
        <f>IF($B1384="",,SUMIFS(SalaryPayrollTaxes[Month 27],SalaryPayrollTaxes[exp_item],$H1384,SalaryPayrollTaxes[company_name],$B1384,SalaryPayrollTaxes[bu_name],$C1384)*(AL439+AL544+AL649)+SUMIFS(ExpensePayrollTaxes[Month 27],ExpensePayrollTaxes[exp_item],$H754,ExpensePayrollTaxes[company_name],$B1384)*AL754)</f>
        <v>0</v>
      </c>
      <c r="AM1384" s="652">
        <f>IF($B1384="",,SUMIFS(SalaryPayrollTaxes[Month 28],SalaryPayrollTaxes[exp_item],$H1384,SalaryPayrollTaxes[company_name],$B1384,SalaryPayrollTaxes[bu_name],$C1384)*(AM439+AM544+AM649)+SUMIFS(ExpensePayrollTaxes[Month 28],ExpensePayrollTaxes[exp_item],$H754,ExpensePayrollTaxes[company_name],$B1384)*AM754)</f>
        <v>0</v>
      </c>
      <c r="AN1384" s="652">
        <f>IF($B1384="",,SUMIFS(SalaryPayrollTaxes[Month 29],SalaryPayrollTaxes[exp_item],$H1384,SalaryPayrollTaxes[company_name],$B1384,SalaryPayrollTaxes[bu_name],$C1384)*(AN439+AN544+AN649)+SUMIFS(ExpensePayrollTaxes[Month 29],ExpensePayrollTaxes[exp_item],$H754,ExpensePayrollTaxes[company_name],$B1384)*AN754)</f>
        <v>0</v>
      </c>
      <c r="AO1384" s="652">
        <f>IF($B1384="",,SUMIFS(SalaryPayrollTaxes[Month 30],SalaryPayrollTaxes[exp_item],$H1384,SalaryPayrollTaxes[company_name],$B1384,SalaryPayrollTaxes[bu_name],$C1384)*(AO439+AO544+AO649)+SUMIFS(ExpensePayrollTaxes[Month 30],ExpensePayrollTaxes[exp_item],$H754,ExpensePayrollTaxes[company_name],$B1384)*AO754)</f>
        <v>0</v>
      </c>
      <c r="AP1384" s="652">
        <f>IF($B1384="",,SUMIFS(SalaryPayrollTaxes[Month 31],SalaryPayrollTaxes[exp_item],$H1384,SalaryPayrollTaxes[company_name],$B1384,SalaryPayrollTaxes[bu_name],$C1384)*(AP439+AP544+AP649)+SUMIFS(ExpensePayrollTaxes[Month 31],ExpensePayrollTaxes[exp_item],$H754,ExpensePayrollTaxes[company_name],$B1384)*AP754)</f>
        <v>0</v>
      </c>
      <c r="AQ1384" s="652">
        <f>IF($B1384="",,SUMIFS(SalaryPayrollTaxes[Month 32],SalaryPayrollTaxes[exp_item],$H1384,SalaryPayrollTaxes[company_name],$B1384,SalaryPayrollTaxes[bu_name],$C1384)*(AQ439+AQ544+AQ649)+SUMIFS(ExpensePayrollTaxes[Month 32],ExpensePayrollTaxes[exp_item],$H754,ExpensePayrollTaxes[company_name],$B1384)*AQ754)</f>
        <v>0</v>
      </c>
      <c r="AR1384" s="652">
        <f>IF($B1384="",,SUMIFS(SalaryPayrollTaxes[Month 33],SalaryPayrollTaxes[exp_item],$H1384,SalaryPayrollTaxes[company_name],$B1384,SalaryPayrollTaxes[bu_name],$C1384)*(AR439+AR544+AR649)+SUMIFS(ExpensePayrollTaxes[Month 33],ExpensePayrollTaxes[exp_item],$H754,ExpensePayrollTaxes[company_name],$B1384)*AR754)</f>
        <v>0</v>
      </c>
      <c r="AS1384" s="652">
        <f>IF($B1384="",,SUMIFS(SalaryPayrollTaxes[Month 34],SalaryPayrollTaxes[exp_item],$H1384,SalaryPayrollTaxes[company_name],$B1384,SalaryPayrollTaxes[bu_name],$C1384)*(AS439+AS544+AS649)+SUMIFS(ExpensePayrollTaxes[Month 34],ExpensePayrollTaxes[exp_item],$H754,ExpensePayrollTaxes[company_name],$B1384)*AS754)</f>
        <v>0</v>
      </c>
      <c r="AT1384" s="652">
        <f>IF($B1384="",,SUMIFS(SalaryPayrollTaxes[Month 35],SalaryPayrollTaxes[exp_item],$H1384,SalaryPayrollTaxes[company_name],$B1384,SalaryPayrollTaxes[bu_name],$C1384)*(AT439+AT544+AT649)+SUMIFS(ExpensePayrollTaxes[Month 35],ExpensePayrollTaxes[exp_item],$H754,ExpensePayrollTaxes[company_name],$B1384)*AT754)</f>
        <v>0</v>
      </c>
      <c r="AU1384" s="652">
        <f>IF($B1384="",,SUMIFS(SalaryPayrollTaxes[Month 36],SalaryPayrollTaxes[exp_item],$H1384,SalaryPayrollTaxes[company_name],$B1384,SalaryPayrollTaxes[bu_name],$C1384)*(AU439+AU544+AU649)+SUMIFS(ExpensePayrollTaxes[Month 36],ExpensePayrollTaxes[exp_item],$H754,ExpensePayrollTaxes[company_name],$B1384)*AU754)</f>
        <v>0</v>
      </c>
    </row>
    <row r="1385" spans="2:47" x14ac:dyDescent="0.35">
      <c r="B1385" t="str">
        <f t="shared" si="994"/>
        <v/>
      </c>
      <c r="C1385" t="str">
        <f t="shared" si="994"/>
        <v/>
      </c>
      <c r="D1385" t="str">
        <f t="shared" si="994"/>
        <v/>
      </c>
      <c r="E1385" t="str">
        <f t="shared" si="994"/>
        <v/>
      </c>
      <c r="F1385" t="str">
        <f t="shared" si="994"/>
        <v/>
      </c>
      <c r="G1385" t="str">
        <f t="shared" si="994"/>
        <v/>
      </c>
      <c r="H1385" t="str">
        <f t="shared" si="989"/>
        <v/>
      </c>
      <c r="J1385" t="str">
        <f>IF($H1385="","",IF(VLOOKUP(H1385,ExpItems[],2,0),H1385&amp;" - "&amp;INDEX(DivisionMapping[category_code],MATCH($D1385&amp;$C1385,DivisionMapping[dept_bu],0)),H1385))</f>
        <v/>
      </c>
      <c r="K1385" t="str">
        <f t="shared" si="990"/>
        <v/>
      </c>
      <c r="L1385" s="652">
        <f>IF($B1385="",,SUMIFS(SalaryPayrollTaxes[Month 1],SalaryPayrollTaxes[exp_item],$H1385,SalaryPayrollTaxes[company_name],$B1385,SalaryPayrollTaxes[bu_name],$C1385)*(L440+L545+L650)+SUMIFS(ExpensePayrollTaxes[Month 1],ExpensePayrollTaxes[exp_item],$H755,ExpensePayrollTaxes[company_name],$B1385)*L755)</f>
        <v>0</v>
      </c>
      <c r="M1385" s="652">
        <f>IF($B1385="",,SUMIFS(SalaryPayrollTaxes[Month 2],SalaryPayrollTaxes[exp_item],$H1385,SalaryPayrollTaxes[company_name],$B1385,SalaryPayrollTaxes[bu_name],$C1385)*(M440+M545+M650)+SUMIFS(ExpensePayrollTaxes[Month 2],ExpensePayrollTaxes[exp_item],$H755,ExpensePayrollTaxes[company_name],$B1385)*M755)</f>
        <v>0</v>
      </c>
      <c r="N1385" s="652">
        <f>IF($B1385="",,SUMIFS(SalaryPayrollTaxes[Month 3],SalaryPayrollTaxes[exp_item],$H1385,SalaryPayrollTaxes[company_name],$B1385,SalaryPayrollTaxes[bu_name],$C1385)*(N440+N545+N650)+SUMIFS(ExpensePayrollTaxes[Month 3],ExpensePayrollTaxes[exp_item],$H755,ExpensePayrollTaxes[company_name],$B1385)*N755)</f>
        <v>0</v>
      </c>
      <c r="O1385" s="652">
        <f>IF($B1385="",,SUMIFS(SalaryPayrollTaxes[Month 4],SalaryPayrollTaxes[exp_item],$H1385,SalaryPayrollTaxes[company_name],$B1385,SalaryPayrollTaxes[bu_name],$C1385)*(O440+O545+O650)+SUMIFS(ExpensePayrollTaxes[Month 4],ExpensePayrollTaxes[exp_item],$H755,ExpensePayrollTaxes[company_name],$B1385)*O755)</f>
        <v>0</v>
      </c>
      <c r="P1385" s="652">
        <f>IF($B1385="",,SUMIFS(SalaryPayrollTaxes[Month 5],SalaryPayrollTaxes[exp_item],$H1385,SalaryPayrollTaxes[company_name],$B1385,SalaryPayrollTaxes[bu_name],$C1385)*(P440+P545+P650)+SUMIFS(ExpensePayrollTaxes[Month 5],ExpensePayrollTaxes[exp_item],$H755,ExpensePayrollTaxes[company_name],$B1385)*P755)</f>
        <v>0</v>
      </c>
      <c r="Q1385" s="652">
        <f>IF($B1385="",,SUMIFS(SalaryPayrollTaxes[Month 6],SalaryPayrollTaxes[exp_item],$H1385,SalaryPayrollTaxes[company_name],$B1385,SalaryPayrollTaxes[bu_name],$C1385)*(Q440+Q545+Q650)+SUMIFS(ExpensePayrollTaxes[Month 6],ExpensePayrollTaxes[exp_item],$H755,ExpensePayrollTaxes[company_name],$B1385)*Q755)</f>
        <v>0</v>
      </c>
      <c r="R1385" s="652">
        <f>IF($B1385="",,SUMIFS(SalaryPayrollTaxes[Month 7],SalaryPayrollTaxes[exp_item],$H1385,SalaryPayrollTaxes[company_name],$B1385,SalaryPayrollTaxes[bu_name],$C1385)*(R440+R545+R650)+SUMIFS(ExpensePayrollTaxes[Month 7],ExpensePayrollTaxes[exp_item],$H755,ExpensePayrollTaxes[company_name],$B1385)*R755)</f>
        <v>0</v>
      </c>
      <c r="S1385" s="652">
        <f>IF($B1385="",,SUMIFS(SalaryPayrollTaxes[Month 8],SalaryPayrollTaxes[exp_item],$H1385,SalaryPayrollTaxes[company_name],$B1385,SalaryPayrollTaxes[bu_name],$C1385)*(S440+S545+S650)+SUMIFS(ExpensePayrollTaxes[Month 8],ExpensePayrollTaxes[exp_item],$H755,ExpensePayrollTaxes[company_name],$B1385)*S755)</f>
        <v>0</v>
      </c>
      <c r="T1385" s="652">
        <f>IF($B1385="",,SUMIFS(SalaryPayrollTaxes[Month 9],SalaryPayrollTaxes[exp_item],$H1385,SalaryPayrollTaxes[company_name],$B1385,SalaryPayrollTaxes[bu_name],$C1385)*(T440+T545+T650)+SUMIFS(ExpensePayrollTaxes[Month 9],ExpensePayrollTaxes[exp_item],$H755,ExpensePayrollTaxes[company_name],$B1385)*T755)</f>
        <v>0</v>
      </c>
      <c r="U1385" s="652">
        <f>IF($B1385="",,SUMIFS(SalaryPayrollTaxes[Month 10],SalaryPayrollTaxes[exp_item],$H1385,SalaryPayrollTaxes[company_name],$B1385,SalaryPayrollTaxes[bu_name],$C1385)*(U440+U545+U650)+SUMIFS(ExpensePayrollTaxes[Month 10],ExpensePayrollTaxes[exp_item],$H755,ExpensePayrollTaxes[company_name],$B1385)*U755)</f>
        <v>0</v>
      </c>
      <c r="V1385" s="652">
        <f>IF($B1385="",,SUMIFS(SalaryPayrollTaxes[Month 11],SalaryPayrollTaxes[exp_item],$H1385,SalaryPayrollTaxes[company_name],$B1385,SalaryPayrollTaxes[bu_name],$C1385)*(V440+V545+V650)+SUMIFS(ExpensePayrollTaxes[Month 11],ExpensePayrollTaxes[exp_item],$H755,ExpensePayrollTaxes[company_name],$B1385)*V755)</f>
        <v>0</v>
      </c>
      <c r="W1385" s="652">
        <f>IF($B1385="",,SUMIFS(SalaryPayrollTaxes[Month 12],SalaryPayrollTaxes[exp_item],$H1385,SalaryPayrollTaxes[company_name],$B1385,SalaryPayrollTaxes[bu_name],$C1385)*(W440+W545+W650)+SUMIFS(ExpensePayrollTaxes[Month 12],ExpensePayrollTaxes[exp_item],$H755,ExpensePayrollTaxes[company_name],$B1385)*W755)</f>
        <v>0</v>
      </c>
      <c r="X1385" s="652">
        <f>IF($B1385="",,SUMIFS(SalaryPayrollTaxes[Month 13],SalaryPayrollTaxes[exp_item],$H1385,SalaryPayrollTaxes[company_name],$B1385,SalaryPayrollTaxes[bu_name],$C1385)*(X440+X545+X650)+SUMIFS(ExpensePayrollTaxes[Month 13],ExpensePayrollTaxes[exp_item],$H755,ExpensePayrollTaxes[company_name],$B1385)*X755)</f>
        <v>0</v>
      </c>
      <c r="Y1385" s="652">
        <f>IF($B1385="",,SUMIFS(SalaryPayrollTaxes[Month 14],SalaryPayrollTaxes[exp_item],$H1385,SalaryPayrollTaxes[company_name],$B1385,SalaryPayrollTaxes[bu_name],$C1385)*(Y440+Y545+Y650)+SUMIFS(ExpensePayrollTaxes[Month 14],ExpensePayrollTaxes[exp_item],$H755,ExpensePayrollTaxes[company_name],$B1385)*Y755)</f>
        <v>0</v>
      </c>
      <c r="Z1385" s="652">
        <f>IF($B1385="",,SUMIFS(SalaryPayrollTaxes[Month 15],SalaryPayrollTaxes[exp_item],$H1385,SalaryPayrollTaxes[company_name],$B1385,SalaryPayrollTaxes[bu_name],$C1385)*(Z440+Z545+Z650)+SUMIFS(ExpensePayrollTaxes[Month 15],ExpensePayrollTaxes[exp_item],$H755,ExpensePayrollTaxes[company_name],$B1385)*Z755)</f>
        <v>0</v>
      </c>
      <c r="AA1385" s="652">
        <f>IF($B1385="",,SUMIFS(SalaryPayrollTaxes[Month 16],SalaryPayrollTaxes[exp_item],$H1385,SalaryPayrollTaxes[company_name],$B1385,SalaryPayrollTaxes[bu_name],$C1385)*(AA440+AA545+AA650)+SUMIFS(ExpensePayrollTaxes[Month 16],ExpensePayrollTaxes[exp_item],$H755,ExpensePayrollTaxes[company_name],$B1385)*AA755)</f>
        <v>0</v>
      </c>
      <c r="AB1385" s="652">
        <f>IF($B1385="",,SUMIFS(SalaryPayrollTaxes[Month 17],SalaryPayrollTaxes[exp_item],$H1385,SalaryPayrollTaxes[company_name],$B1385,SalaryPayrollTaxes[bu_name],$C1385)*(AB440+AB545+AB650)+SUMIFS(ExpensePayrollTaxes[Month 17],ExpensePayrollTaxes[exp_item],$H755,ExpensePayrollTaxes[company_name],$B1385)*AB755)</f>
        <v>0</v>
      </c>
      <c r="AC1385" s="652">
        <f>IF($B1385="",,SUMIFS(SalaryPayrollTaxes[Month 18],SalaryPayrollTaxes[exp_item],$H1385,SalaryPayrollTaxes[company_name],$B1385,SalaryPayrollTaxes[bu_name],$C1385)*(AC440+AC545+AC650)+SUMIFS(ExpensePayrollTaxes[Month 18],ExpensePayrollTaxes[exp_item],$H755,ExpensePayrollTaxes[company_name],$B1385)*AC755)</f>
        <v>0</v>
      </c>
      <c r="AD1385" s="652">
        <f>IF($B1385="",,SUMIFS(SalaryPayrollTaxes[Month 19],SalaryPayrollTaxes[exp_item],$H1385,SalaryPayrollTaxes[company_name],$B1385,SalaryPayrollTaxes[bu_name],$C1385)*(AD440+AD545+AD650)+SUMIFS(ExpensePayrollTaxes[Month 19],ExpensePayrollTaxes[exp_item],$H755,ExpensePayrollTaxes[company_name],$B1385)*AD755)</f>
        <v>0</v>
      </c>
      <c r="AE1385" s="652">
        <f>IF($B1385="",,SUMIFS(SalaryPayrollTaxes[Month 20],SalaryPayrollTaxes[exp_item],$H1385,SalaryPayrollTaxes[company_name],$B1385,SalaryPayrollTaxes[bu_name],$C1385)*(AE440+AE545+AE650)+SUMIFS(ExpensePayrollTaxes[Month 20],ExpensePayrollTaxes[exp_item],$H755,ExpensePayrollTaxes[company_name],$B1385)*AE755)</f>
        <v>0</v>
      </c>
      <c r="AF1385" s="652">
        <f>IF($B1385="",,SUMIFS(SalaryPayrollTaxes[Month 21],SalaryPayrollTaxes[exp_item],$H1385,SalaryPayrollTaxes[company_name],$B1385,SalaryPayrollTaxes[bu_name],$C1385)*(AF440+AF545+AF650)+SUMIFS(ExpensePayrollTaxes[Month 21],ExpensePayrollTaxes[exp_item],$H755,ExpensePayrollTaxes[company_name],$B1385)*AF755)</f>
        <v>0</v>
      </c>
      <c r="AG1385" s="652">
        <f>IF($B1385="",,SUMIFS(SalaryPayrollTaxes[Month 22],SalaryPayrollTaxes[exp_item],$H1385,SalaryPayrollTaxes[company_name],$B1385,SalaryPayrollTaxes[bu_name],$C1385)*(AG440+AG545+AG650)+SUMIFS(ExpensePayrollTaxes[Month 22],ExpensePayrollTaxes[exp_item],$H755,ExpensePayrollTaxes[company_name],$B1385)*AG755)</f>
        <v>0</v>
      </c>
      <c r="AH1385" s="652">
        <f>IF($B1385="",,SUMIFS(SalaryPayrollTaxes[Month 23],SalaryPayrollTaxes[exp_item],$H1385,SalaryPayrollTaxes[company_name],$B1385,SalaryPayrollTaxes[bu_name],$C1385)*(AH440+AH545+AH650)+SUMIFS(ExpensePayrollTaxes[Month 23],ExpensePayrollTaxes[exp_item],$H755,ExpensePayrollTaxes[company_name],$B1385)*AH755)</f>
        <v>0</v>
      </c>
      <c r="AI1385" s="652">
        <f>IF($B1385="",,SUMIFS(SalaryPayrollTaxes[Month 24],SalaryPayrollTaxes[exp_item],$H1385,SalaryPayrollTaxes[company_name],$B1385,SalaryPayrollTaxes[bu_name],$C1385)*(AI440+AI545+AI650)+SUMIFS(ExpensePayrollTaxes[Month 24],ExpensePayrollTaxes[exp_item],$H755,ExpensePayrollTaxes[company_name],$B1385)*AI755)</f>
        <v>0</v>
      </c>
      <c r="AJ1385" s="652">
        <f>IF($B1385="",,SUMIFS(SalaryPayrollTaxes[Month 25],SalaryPayrollTaxes[exp_item],$H1385,SalaryPayrollTaxes[company_name],$B1385,SalaryPayrollTaxes[bu_name],$C1385)*(AJ440+AJ545+AJ650)+SUMIFS(ExpensePayrollTaxes[Month 25],ExpensePayrollTaxes[exp_item],$H755,ExpensePayrollTaxes[company_name],$B1385)*AJ755)</f>
        <v>0</v>
      </c>
      <c r="AK1385" s="652">
        <f>IF($B1385="",,SUMIFS(SalaryPayrollTaxes[Month 26],SalaryPayrollTaxes[exp_item],$H1385,SalaryPayrollTaxes[company_name],$B1385,SalaryPayrollTaxes[bu_name],$C1385)*(AK440+AK545+AK650)+SUMIFS(ExpensePayrollTaxes[Month 26],ExpensePayrollTaxes[exp_item],$H755,ExpensePayrollTaxes[company_name],$B1385)*AK755)</f>
        <v>0</v>
      </c>
      <c r="AL1385" s="652">
        <f>IF($B1385="",,SUMIFS(SalaryPayrollTaxes[Month 27],SalaryPayrollTaxes[exp_item],$H1385,SalaryPayrollTaxes[company_name],$B1385,SalaryPayrollTaxes[bu_name],$C1385)*(AL440+AL545+AL650)+SUMIFS(ExpensePayrollTaxes[Month 27],ExpensePayrollTaxes[exp_item],$H755,ExpensePayrollTaxes[company_name],$B1385)*AL755)</f>
        <v>0</v>
      </c>
      <c r="AM1385" s="652">
        <f>IF($B1385="",,SUMIFS(SalaryPayrollTaxes[Month 28],SalaryPayrollTaxes[exp_item],$H1385,SalaryPayrollTaxes[company_name],$B1385,SalaryPayrollTaxes[bu_name],$C1385)*(AM440+AM545+AM650)+SUMIFS(ExpensePayrollTaxes[Month 28],ExpensePayrollTaxes[exp_item],$H755,ExpensePayrollTaxes[company_name],$B1385)*AM755)</f>
        <v>0</v>
      </c>
      <c r="AN1385" s="652">
        <f>IF($B1385="",,SUMIFS(SalaryPayrollTaxes[Month 29],SalaryPayrollTaxes[exp_item],$H1385,SalaryPayrollTaxes[company_name],$B1385,SalaryPayrollTaxes[bu_name],$C1385)*(AN440+AN545+AN650)+SUMIFS(ExpensePayrollTaxes[Month 29],ExpensePayrollTaxes[exp_item],$H755,ExpensePayrollTaxes[company_name],$B1385)*AN755)</f>
        <v>0</v>
      </c>
      <c r="AO1385" s="652">
        <f>IF($B1385="",,SUMIFS(SalaryPayrollTaxes[Month 30],SalaryPayrollTaxes[exp_item],$H1385,SalaryPayrollTaxes[company_name],$B1385,SalaryPayrollTaxes[bu_name],$C1385)*(AO440+AO545+AO650)+SUMIFS(ExpensePayrollTaxes[Month 30],ExpensePayrollTaxes[exp_item],$H755,ExpensePayrollTaxes[company_name],$B1385)*AO755)</f>
        <v>0</v>
      </c>
      <c r="AP1385" s="652">
        <f>IF($B1385="",,SUMIFS(SalaryPayrollTaxes[Month 31],SalaryPayrollTaxes[exp_item],$H1385,SalaryPayrollTaxes[company_name],$B1385,SalaryPayrollTaxes[bu_name],$C1385)*(AP440+AP545+AP650)+SUMIFS(ExpensePayrollTaxes[Month 31],ExpensePayrollTaxes[exp_item],$H755,ExpensePayrollTaxes[company_name],$B1385)*AP755)</f>
        <v>0</v>
      </c>
      <c r="AQ1385" s="652">
        <f>IF($B1385="",,SUMIFS(SalaryPayrollTaxes[Month 32],SalaryPayrollTaxes[exp_item],$H1385,SalaryPayrollTaxes[company_name],$B1385,SalaryPayrollTaxes[bu_name],$C1385)*(AQ440+AQ545+AQ650)+SUMIFS(ExpensePayrollTaxes[Month 32],ExpensePayrollTaxes[exp_item],$H755,ExpensePayrollTaxes[company_name],$B1385)*AQ755)</f>
        <v>0</v>
      </c>
      <c r="AR1385" s="652">
        <f>IF($B1385="",,SUMIFS(SalaryPayrollTaxes[Month 33],SalaryPayrollTaxes[exp_item],$H1385,SalaryPayrollTaxes[company_name],$B1385,SalaryPayrollTaxes[bu_name],$C1385)*(AR440+AR545+AR650)+SUMIFS(ExpensePayrollTaxes[Month 33],ExpensePayrollTaxes[exp_item],$H755,ExpensePayrollTaxes[company_name],$B1385)*AR755)</f>
        <v>0</v>
      </c>
      <c r="AS1385" s="652">
        <f>IF($B1385="",,SUMIFS(SalaryPayrollTaxes[Month 34],SalaryPayrollTaxes[exp_item],$H1385,SalaryPayrollTaxes[company_name],$B1385,SalaryPayrollTaxes[bu_name],$C1385)*(AS440+AS545+AS650)+SUMIFS(ExpensePayrollTaxes[Month 34],ExpensePayrollTaxes[exp_item],$H755,ExpensePayrollTaxes[company_name],$B1385)*AS755)</f>
        <v>0</v>
      </c>
      <c r="AT1385" s="652">
        <f>IF($B1385="",,SUMIFS(SalaryPayrollTaxes[Month 35],SalaryPayrollTaxes[exp_item],$H1385,SalaryPayrollTaxes[company_name],$B1385,SalaryPayrollTaxes[bu_name],$C1385)*(AT440+AT545+AT650)+SUMIFS(ExpensePayrollTaxes[Month 35],ExpensePayrollTaxes[exp_item],$H755,ExpensePayrollTaxes[company_name],$B1385)*AT755)</f>
        <v>0</v>
      </c>
      <c r="AU1385" s="652">
        <f>IF($B1385="",,SUMIFS(SalaryPayrollTaxes[Month 36],SalaryPayrollTaxes[exp_item],$H1385,SalaryPayrollTaxes[company_name],$B1385,SalaryPayrollTaxes[bu_name],$C1385)*(AU440+AU545+AU650)+SUMIFS(ExpensePayrollTaxes[Month 36],ExpensePayrollTaxes[exp_item],$H755,ExpensePayrollTaxes[company_name],$B1385)*AU755)</f>
        <v>0</v>
      </c>
    </row>
    <row r="1386" spans="2:47" x14ac:dyDescent="0.35">
      <c r="B1386" t="str">
        <f t="shared" si="994"/>
        <v/>
      </c>
      <c r="C1386" t="str">
        <f t="shared" si="994"/>
        <v/>
      </c>
      <c r="D1386" t="str">
        <f t="shared" si="994"/>
        <v/>
      </c>
      <c r="E1386" t="str">
        <f t="shared" si="994"/>
        <v/>
      </c>
      <c r="F1386" t="str">
        <f t="shared" si="994"/>
        <v/>
      </c>
      <c r="G1386" t="str">
        <f t="shared" si="994"/>
        <v/>
      </c>
      <c r="H1386" t="str">
        <f t="shared" si="989"/>
        <v/>
      </c>
      <c r="J1386" t="str">
        <f>IF($H1386="","",IF(VLOOKUP(H1386,ExpItems[],2,0),H1386&amp;" - "&amp;INDEX(DivisionMapping[category_code],MATCH($D1386&amp;$C1386,DivisionMapping[dept_bu],0)),H1386))</f>
        <v/>
      </c>
      <c r="K1386" t="str">
        <f t="shared" si="990"/>
        <v/>
      </c>
      <c r="L1386" s="652">
        <f>IF($B1386="",,SUMIFS(SalaryPayrollTaxes[Month 1],SalaryPayrollTaxes[exp_item],$H1386,SalaryPayrollTaxes[company_name],$B1386,SalaryPayrollTaxes[bu_name],$C1386)*(L441+L546+L651)+SUMIFS(ExpensePayrollTaxes[Month 1],ExpensePayrollTaxes[exp_item],$H756,ExpensePayrollTaxes[company_name],$B1386)*L756)</f>
        <v>0</v>
      </c>
      <c r="M1386" s="652">
        <f>IF($B1386="",,SUMIFS(SalaryPayrollTaxes[Month 2],SalaryPayrollTaxes[exp_item],$H1386,SalaryPayrollTaxes[company_name],$B1386,SalaryPayrollTaxes[bu_name],$C1386)*(M441+M546+M651)+SUMIFS(ExpensePayrollTaxes[Month 2],ExpensePayrollTaxes[exp_item],$H756,ExpensePayrollTaxes[company_name],$B1386)*M756)</f>
        <v>0</v>
      </c>
      <c r="N1386" s="652">
        <f>IF($B1386="",,SUMIFS(SalaryPayrollTaxes[Month 3],SalaryPayrollTaxes[exp_item],$H1386,SalaryPayrollTaxes[company_name],$B1386,SalaryPayrollTaxes[bu_name],$C1386)*(N441+N546+N651)+SUMIFS(ExpensePayrollTaxes[Month 3],ExpensePayrollTaxes[exp_item],$H756,ExpensePayrollTaxes[company_name],$B1386)*N756)</f>
        <v>0</v>
      </c>
      <c r="O1386" s="652">
        <f>IF($B1386="",,SUMIFS(SalaryPayrollTaxes[Month 4],SalaryPayrollTaxes[exp_item],$H1386,SalaryPayrollTaxes[company_name],$B1386,SalaryPayrollTaxes[bu_name],$C1386)*(O441+O546+O651)+SUMIFS(ExpensePayrollTaxes[Month 4],ExpensePayrollTaxes[exp_item],$H756,ExpensePayrollTaxes[company_name],$B1386)*O756)</f>
        <v>0</v>
      </c>
      <c r="P1386" s="652">
        <f>IF($B1386="",,SUMIFS(SalaryPayrollTaxes[Month 5],SalaryPayrollTaxes[exp_item],$H1386,SalaryPayrollTaxes[company_name],$B1386,SalaryPayrollTaxes[bu_name],$C1386)*(P441+P546+P651)+SUMIFS(ExpensePayrollTaxes[Month 5],ExpensePayrollTaxes[exp_item],$H756,ExpensePayrollTaxes[company_name],$B1386)*P756)</f>
        <v>0</v>
      </c>
      <c r="Q1386" s="652">
        <f>IF($B1386="",,SUMIFS(SalaryPayrollTaxes[Month 6],SalaryPayrollTaxes[exp_item],$H1386,SalaryPayrollTaxes[company_name],$B1386,SalaryPayrollTaxes[bu_name],$C1386)*(Q441+Q546+Q651)+SUMIFS(ExpensePayrollTaxes[Month 6],ExpensePayrollTaxes[exp_item],$H756,ExpensePayrollTaxes[company_name],$B1386)*Q756)</f>
        <v>0</v>
      </c>
      <c r="R1386" s="652">
        <f>IF($B1386="",,SUMIFS(SalaryPayrollTaxes[Month 7],SalaryPayrollTaxes[exp_item],$H1386,SalaryPayrollTaxes[company_name],$B1386,SalaryPayrollTaxes[bu_name],$C1386)*(R441+R546+R651)+SUMIFS(ExpensePayrollTaxes[Month 7],ExpensePayrollTaxes[exp_item],$H756,ExpensePayrollTaxes[company_name],$B1386)*R756)</f>
        <v>0</v>
      </c>
      <c r="S1386" s="652">
        <f>IF($B1386="",,SUMIFS(SalaryPayrollTaxes[Month 8],SalaryPayrollTaxes[exp_item],$H1386,SalaryPayrollTaxes[company_name],$B1386,SalaryPayrollTaxes[bu_name],$C1386)*(S441+S546+S651)+SUMIFS(ExpensePayrollTaxes[Month 8],ExpensePayrollTaxes[exp_item],$H756,ExpensePayrollTaxes[company_name],$B1386)*S756)</f>
        <v>0</v>
      </c>
      <c r="T1386" s="652">
        <f>IF($B1386="",,SUMIFS(SalaryPayrollTaxes[Month 9],SalaryPayrollTaxes[exp_item],$H1386,SalaryPayrollTaxes[company_name],$B1386,SalaryPayrollTaxes[bu_name],$C1386)*(T441+T546+T651)+SUMIFS(ExpensePayrollTaxes[Month 9],ExpensePayrollTaxes[exp_item],$H756,ExpensePayrollTaxes[company_name],$B1386)*T756)</f>
        <v>0</v>
      </c>
      <c r="U1386" s="652">
        <f>IF($B1386="",,SUMIFS(SalaryPayrollTaxes[Month 10],SalaryPayrollTaxes[exp_item],$H1386,SalaryPayrollTaxes[company_name],$B1386,SalaryPayrollTaxes[bu_name],$C1386)*(U441+U546+U651)+SUMIFS(ExpensePayrollTaxes[Month 10],ExpensePayrollTaxes[exp_item],$H756,ExpensePayrollTaxes[company_name],$B1386)*U756)</f>
        <v>0</v>
      </c>
      <c r="V1386" s="652">
        <f>IF($B1386="",,SUMIFS(SalaryPayrollTaxes[Month 11],SalaryPayrollTaxes[exp_item],$H1386,SalaryPayrollTaxes[company_name],$B1386,SalaryPayrollTaxes[bu_name],$C1386)*(V441+V546+V651)+SUMIFS(ExpensePayrollTaxes[Month 11],ExpensePayrollTaxes[exp_item],$H756,ExpensePayrollTaxes[company_name],$B1386)*V756)</f>
        <v>0</v>
      </c>
      <c r="W1386" s="652">
        <f>IF($B1386="",,SUMIFS(SalaryPayrollTaxes[Month 12],SalaryPayrollTaxes[exp_item],$H1386,SalaryPayrollTaxes[company_name],$B1386,SalaryPayrollTaxes[bu_name],$C1386)*(W441+W546+W651)+SUMIFS(ExpensePayrollTaxes[Month 12],ExpensePayrollTaxes[exp_item],$H756,ExpensePayrollTaxes[company_name],$B1386)*W756)</f>
        <v>0</v>
      </c>
      <c r="X1386" s="652">
        <f>IF($B1386="",,SUMIFS(SalaryPayrollTaxes[Month 13],SalaryPayrollTaxes[exp_item],$H1386,SalaryPayrollTaxes[company_name],$B1386,SalaryPayrollTaxes[bu_name],$C1386)*(X441+X546+X651)+SUMIFS(ExpensePayrollTaxes[Month 13],ExpensePayrollTaxes[exp_item],$H756,ExpensePayrollTaxes[company_name],$B1386)*X756)</f>
        <v>0</v>
      </c>
      <c r="Y1386" s="652">
        <f>IF($B1386="",,SUMIFS(SalaryPayrollTaxes[Month 14],SalaryPayrollTaxes[exp_item],$H1386,SalaryPayrollTaxes[company_name],$B1386,SalaryPayrollTaxes[bu_name],$C1386)*(Y441+Y546+Y651)+SUMIFS(ExpensePayrollTaxes[Month 14],ExpensePayrollTaxes[exp_item],$H756,ExpensePayrollTaxes[company_name],$B1386)*Y756)</f>
        <v>0</v>
      </c>
      <c r="Z1386" s="652">
        <f>IF($B1386="",,SUMIFS(SalaryPayrollTaxes[Month 15],SalaryPayrollTaxes[exp_item],$H1386,SalaryPayrollTaxes[company_name],$B1386,SalaryPayrollTaxes[bu_name],$C1386)*(Z441+Z546+Z651)+SUMIFS(ExpensePayrollTaxes[Month 15],ExpensePayrollTaxes[exp_item],$H756,ExpensePayrollTaxes[company_name],$B1386)*Z756)</f>
        <v>0</v>
      </c>
      <c r="AA1386" s="652">
        <f>IF($B1386="",,SUMIFS(SalaryPayrollTaxes[Month 16],SalaryPayrollTaxes[exp_item],$H1386,SalaryPayrollTaxes[company_name],$B1386,SalaryPayrollTaxes[bu_name],$C1386)*(AA441+AA546+AA651)+SUMIFS(ExpensePayrollTaxes[Month 16],ExpensePayrollTaxes[exp_item],$H756,ExpensePayrollTaxes[company_name],$B1386)*AA756)</f>
        <v>0</v>
      </c>
      <c r="AB1386" s="652">
        <f>IF($B1386="",,SUMIFS(SalaryPayrollTaxes[Month 17],SalaryPayrollTaxes[exp_item],$H1386,SalaryPayrollTaxes[company_name],$B1386,SalaryPayrollTaxes[bu_name],$C1386)*(AB441+AB546+AB651)+SUMIFS(ExpensePayrollTaxes[Month 17],ExpensePayrollTaxes[exp_item],$H756,ExpensePayrollTaxes[company_name],$B1386)*AB756)</f>
        <v>0</v>
      </c>
      <c r="AC1386" s="652">
        <f>IF($B1386="",,SUMIFS(SalaryPayrollTaxes[Month 18],SalaryPayrollTaxes[exp_item],$H1386,SalaryPayrollTaxes[company_name],$B1386,SalaryPayrollTaxes[bu_name],$C1386)*(AC441+AC546+AC651)+SUMIFS(ExpensePayrollTaxes[Month 18],ExpensePayrollTaxes[exp_item],$H756,ExpensePayrollTaxes[company_name],$B1386)*AC756)</f>
        <v>0</v>
      </c>
      <c r="AD1386" s="652">
        <f>IF($B1386="",,SUMIFS(SalaryPayrollTaxes[Month 19],SalaryPayrollTaxes[exp_item],$H1386,SalaryPayrollTaxes[company_name],$B1386,SalaryPayrollTaxes[bu_name],$C1386)*(AD441+AD546+AD651)+SUMIFS(ExpensePayrollTaxes[Month 19],ExpensePayrollTaxes[exp_item],$H756,ExpensePayrollTaxes[company_name],$B1386)*AD756)</f>
        <v>0</v>
      </c>
      <c r="AE1386" s="652">
        <f>IF($B1386="",,SUMIFS(SalaryPayrollTaxes[Month 20],SalaryPayrollTaxes[exp_item],$H1386,SalaryPayrollTaxes[company_name],$B1386,SalaryPayrollTaxes[bu_name],$C1386)*(AE441+AE546+AE651)+SUMIFS(ExpensePayrollTaxes[Month 20],ExpensePayrollTaxes[exp_item],$H756,ExpensePayrollTaxes[company_name],$B1386)*AE756)</f>
        <v>0</v>
      </c>
      <c r="AF1386" s="652">
        <f>IF($B1386="",,SUMIFS(SalaryPayrollTaxes[Month 21],SalaryPayrollTaxes[exp_item],$H1386,SalaryPayrollTaxes[company_name],$B1386,SalaryPayrollTaxes[bu_name],$C1386)*(AF441+AF546+AF651)+SUMIFS(ExpensePayrollTaxes[Month 21],ExpensePayrollTaxes[exp_item],$H756,ExpensePayrollTaxes[company_name],$B1386)*AF756)</f>
        <v>0</v>
      </c>
      <c r="AG1386" s="652">
        <f>IF($B1386="",,SUMIFS(SalaryPayrollTaxes[Month 22],SalaryPayrollTaxes[exp_item],$H1386,SalaryPayrollTaxes[company_name],$B1386,SalaryPayrollTaxes[bu_name],$C1386)*(AG441+AG546+AG651)+SUMIFS(ExpensePayrollTaxes[Month 22],ExpensePayrollTaxes[exp_item],$H756,ExpensePayrollTaxes[company_name],$B1386)*AG756)</f>
        <v>0</v>
      </c>
      <c r="AH1386" s="652">
        <f>IF($B1386="",,SUMIFS(SalaryPayrollTaxes[Month 23],SalaryPayrollTaxes[exp_item],$H1386,SalaryPayrollTaxes[company_name],$B1386,SalaryPayrollTaxes[bu_name],$C1386)*(AH441+AH546+AH651)+SUMIFS(ExpensePayrollTaxes[Month 23],ExpensePayrollTaxes[exp_item],$H756,ExpensePayrollTaxes[company_name],$B1386)*AH756)</f>
        <v>0</v>
      </c>
      <c r="AI1386" s="652">
        <f>IF($B1386="",,SUMIFS(SalaryPayrollTaxes[Month 24],SalaryPayrollTaxes[exp_item],$H1386,SalaryPayrollTaxes[company_name],$B1386,SalaryPayrollTaxes[bu_name],$C1386)*(AI441+AI546+AI651)+SUMIFS(ExpensePayrollTaxes[Month 24],ExpensePayrollTaxes[exp_item],$H756,ExpensePayrollTaxes[company_name],$B1386)*AI756)</f>
        <v>0</v>
      </c>
      <c r="AJ1386" s="652">
        <f>IF($B1386="",,SUMIFS(SalaryPayrollTaxes[Month 25],SalaryPayrollTaxes[exp_item],$H1386,SalaryPayrollTaxes[company_name],$B1386,SalaryPayrollTaxes[bu_name],$C1386)*(AJ441+AJ546+AJ651)+SUMIFS(ExpensePayrollTaxes[Month 25],ExpensePayrollTaxes[exp_item],$H756,ExpensePayrollTaxes[company_name],$B1386)*AJ756)</f>
        <v>0</v>
      </c>
      <c r="AK1386" s="652">
        <f>IF($B1386="",,SUMIFS(SalaryPayrollTaxes[Month 26],SalaryPayrollTaxes[exp_item],$H1386,SalaryPayrollTaxes[company_name],$B1386,SalaryPayrollTaxes[bu_name],$C1386)*(AK441+AK546+AK651)+SUMIFS(ExpensePayrollTaxes[Month 26],ExpensePayrollTaxes[exp_item],$H756,ExpensePayrollTaxes[company_name],$B1386)*AK756)</f>
        <v>0</v>
      </c>
      <c r="AL1386" s="652">
        <f>IF($B1386="",,SUMIFS(SalaryPayrollTaxes[Month 27],SalaryPayrollTaxes[exp_item],$H1386,SalaryPayrollTaxes[company_name],$B1386,SalaryPayrollTaxes[bu_name],$C1386)*(AL441+AL546+AL651)+SUMIFS(ExpensePayrollTaxes[Month 27],ExpensePayrollTaxes[exp_item],$H756,ExpensePayrollTaxes[company_name],$B1386)*AL756)</f>
        <v>0</v>
      </c>
      <c r="AM1386" s="652">
        <f>IF($B1386="",,SUMIFS(SalaryPayrollTaxes[Month 28],SalaryPayrollTaxes[exp_item],$H1386,SalaryPayrollTaxes[company_name],$B1386,SalaryPayrollTaxes[bu_name],$C1386)*(AM441+AM546+AM651)+SUMIFS(ExpensePayrollTaxes[Month 28],ExpensePayrollTaxes[exp_item],$H756,ExpensePayrollTaxes[company_name],$B1386)*AM756)</f>
        <v>0</v>
      </c>
      <c r="AN1386" s="652">
        <f>IF($B1386="",,SUMIFS(SalaryPayrollTaxes[Month 29],SalaryPayrollTaxes[exp_item],$H1386,SalaryPayrollTaxes[company_name],$B1386,SalaryPayrollTaxes[bu_name],$C1386)*(AN441+AN546+AN651)+SUMIFS(ExpensePayrollTaxes[Month 29],ExpensePayrollTaxes[exp_item],$H756,ExpensePayrollTaxes[company_name],$B1386)*AN756)</f>
        <v>0</v>
      </c>
      <c r="AO1386" s="652">
        <f>IF($B1386="",,SUMIFS(SalaryPayrollTaxes[Month 30],SalaryPayrollTaxes[exp_item],$H1386,SalaryPayrollTaxes[company_name],$B1386,SalaryPayrollTaxes[bu_name],$C1386)*(AO441+AO546+AO651)+SUMIFS(ExpensePayrollTaxes[Month 30],ExpensePayrollTaxes[exp_item],$H756,ExpensePayrollTaxes[company_name],$B1386)*AO756)</f>
        <v>0</v>
      </c>
      <c r="AP1386" s="652">
        <f>IF($B1386="",,SUMIFS(SalaryPayrollTaxes[Month 31],SalaryPayrollTaxes[exp_item],$H1386,SalaryPayrollTaxes[company_name],$B1386,SalaryPayrollTaxes[bu_name],$C1386)*(AP441+AP546+AP651)+SUMIFS(ExpensePayrollTaxes[Month 31],ExpensePayrollTaxes[exp_item],$H756,ExpensePayrollTaxes[company_name],$B1386)*AP756)</f>
        <v>0</v>
      </c>
      <c r="AQ1386" s="652">
        <f>IF($B1386="",,SUMIFS(SalaryPayrollTaxes[Month 32],SalaryPayrollTaxes[exp_item],$H1386,SalaryPayrollTaxes[company_name],$B1386,SalaryPayrollTaxes[bu_name],$C1386)*(AQ441+AQ546+AQ651)+SUMIFS(ExpensePayrollTaxes[Month 32],ExpensePayrollTaxes[exp_item],$H756,ExpensePayrollTaxes[company_name],$B1386)*AQ756)</f>
        <v>0</v>
      </c>
      <c r="AR1386" s="652">
        <f>IF($B1386="",,SUMIFS(SalaryPayrollTaxes[Month 33],SalaryPayrollTaxes[exp_item],$H1386,SalaryPayrollTaxes[company_name],$B1386,SalaryPayrollTaxes[bu_name],$C1386)*(AR441+AR546+AR651)+SUMIFS(ExpensePayrollTaxes[Month 33],ExpensePayrollTaxes[exp_item],$H756,ExpensePayrollTaxes[company_name],$B1386)*AR756)</f>
        <v>0</v>
      </c>
      <c r="AS1386" s="652">
        <f>IF($B1386="",,SUMIFS(SalaryPayrollTaxes[Month 34],SalaryPayrollTaxes[exp_item],$H1386,SalaryPayrollTaxes[company_name],$B1386,SalaryPayrollTaxes[bu_name],$C1386)*(AS441+AS546+AS651)+SUMIFS(ExpensePayrollTaxes[Month 34],ExpensePayrollTaxes[exp_item],$H756,ExpensePayrollTaxes[company_name],$B1386)*AS756)</f>
        <v>0</v>
      </c>
      <c r="AT1386" s="652">
        <f>IF($B1386="",,SUMIFS(SalaryPayrollTaxes[Month 35],SalaryPayrollTaxes[exp_item],$H1386,SalaryPayrollTaxes[company_name],$B1386,SalaryPayrollTaxes[bu_name],$C1386)*(AT441+AT546+AT651)+SUMIFS(ExpensePayrollTaxes[Month 35],ExpensePayrollTaxes[exp_item],$H756,ExpensePayrollTaxes[company_name],$B1386)*AT756)</f>
        <v>0</v>
      </c>
      <c r="AU1386" s="652">
        <f>IF($B1386="",,SUMIFS(SalaryPayrollTaxes[Month 36],SalaryPayrollTaxes[exp_item],$H1386,SalaryPayrollTaxes[company_name],$B1386,SalaryPayrollTaxes[bu_name],$C1386)*(AU441+AU546+AU651)+SUMIFS(ExpensePayrollTaxes[Month 36],ExpensePayrollTaxes[exp_item],$H756,ExpensePayrollTaxes[company_name],$B1386)*AU756)</f>
        <v>0</v>
      </c>
    </row>
    <row r="1387" spans="2:47" x14ac:dyDescent="0.35">
      <c r="B1387" t="str">
        <f t="shared" si="994"/>
        <v/>
      </c>
      <c r="C1387" t="str">
        <f t="shared" si="994"/>
        <v/>
      </c>
      <c r="D1387" t="str">
        <f t="shared" si="994"/>
        <v/>
      </c>
      <c r="E1387" t="str">
        <f t="shared" si="994"/>
        <v/>
      </c>
      <c r="F1387" t="str">
        <f t="shared" si="994"/>
        <v/>
      </c>
      <c r="G1387" t="str">
        <f t="shared" si="994"/>
        <v/>
      </c>
      <c r="H1387" t="str">
        <f t="shared" si="989"/>
        <v/>
      </c>
      <c r="J1387" t="str">
        <f>IF($H1387="","",IF(VLOOKUP(H1387,ExpItems[],2,0),H1387&amp;" - "&amp;INDEX(DivisionMapping[category_code],MATCH($D1387&amp;$C1387,DivisionMapping[dept_bu],0)),H1387))</f>
        <v/>
      </c>
      <c r="K1387" t="str">
        <f t="shared" si="990"/>
        <v/>
      </c>
      <c r="L1387" s="652">
        <f>IF($B1387="",,SUMIFS(SalaryPayrollTaxes[Month 1],SalaryPayrollTaxes[exp_item],$H1387,SalaryPayrollTaxes[company_name],$B1387,SalaryPayrollTaxes[bu_name],$C1387)*(L442+L547+L652)+SUMIFS(ExpensePayrollTaxes[Month 1],ExpensePayrollTaxes[exp_item],$H757,ExpensePayrollTaxes[company_name],$B1387)*L757)</f>
        <v>0</v>
      </c>
      <c r="M1387" s="652">
        <f>IF($B1387="",,SUMIFS(SalaryPayrollTaxes[Month 2],SalaryPayrollTaxes[exp_item],$H1387,SalaryPayrollTaxes[company_name],$B1387,SalaryPayrollTaxes[bu_name],$C1387)*(M442+M547+M652)+SUMIFS(ExpensePayrollTaxes[Month 2],ExpensePayrollTaxes[exp_item],$H757,ExpensePayrollTaxes[company_name],$B1387)*M757)</f>
        <v>0</v>
      </c>
      <c r="N1387" s="652">
        <f>IF($B1387="",,SUMIFS(SalaryPayrollTaxes[Month 3],SalaryPayrollTaxes[exp_item],$H1387,SalaryPayrollTaxes[company_name],$B1387,SalaryPayrollTaxes[bu_name],$C1387)*(N442+N547+N652)+SUMIFS(ExpensePayrollTaxes[Month 3],ExpensePayrollTaxes[exp_item],$H757,ExpensePayrollTaxes[company_name],$B1387)*N757)</f>
        <v>0</v>
      </c>
      <c r="O1387" s="652">
        <f>IF($B1387="",,SUMIFS(SalaryPayrollTaxes[Month 4],SalaryPayrollTaxes[exp_item],$H1387,SalaryPayrollTaxes[company_name],$B1387,SalaryPayrollTaxes[bu_name],$C1387)*(O442+O547+O652)+SUMIFS(ExpensePayrollTaxes[Month 4],ExpensePayrollTaxes[exp_item],$H757,ExpensePayrollTaxes[company_name],$B1387)*O757)</f>
        <v>0</v>
      </c>
      <c r="P1387" s="652">
        <f>IF($B1387="",,SUMIFS(SalaryPayrollTaxes[Month 5],SalaryPayrollTaxes[exp_item],$H1387,SalaryPayrollTaxes[company_name],$B1387,SalaryPayrollTaxes[bu_name],$C1387)*(P442+P547+P652)+SUMIFS(ExpensePayrollTaxes[Month 5],ExpensePayrollTaxes[exp_item],$H757,ExpensePayrollTaxes[company_name],$B1387)*P757)</f>
        <v>0</v>
      </c>
      <c r="Q1387" s="652">
        <f>IF($B1387="",,SUMIFS(SalaryPayrollTaxes[Month 6],SalaryPayrollTaxes[exp_item],$H1387,SalaryPayrollTaxes[company_name],$B1387,SalaryPayrollTaxes[bu_name],$C1387)*(Q442+Q547+Q652)+SUMIFS(ExpensePayrollTaxes[Month 6],ExpensePayrollTaxes[exp_item],$H757,ExpensePayrollTaxes[company_name],$B1387)*Q757)</f>
        <v>0</v>
      </c>
      <c r="R1387" s="652">
        <f>IF($B1387="",,SUMIFS(SalaryPayrollTaxes[Month 7],SalaryPayrollTaxes[exp_item],$H1387,SalaryPayrollTaxes[company_name],$B1387,SalaryPayrollTaxes[bu_name],$C1387)*(R442+R547+R652)+SUMIFS(ExpensePayrollTaxes[Month 7],ExpensePayrollTaxes[exp_item],$H757,ExpensePayrollTaxes[company_name],$B1387)*R757)</f>
        <v>0</v>
      </c>
      <c r="S1387" s="652">
        <f>IF($B1387="",,SUMIFS(SalaryPayrollTaxes[Month 8],SalaryPayrollTaxes[exp_item],$H1387,SalaryPayrollTaxes[company_name],$B1387,SalaryPayrollTaxes[bu_name],$C1387)*(S442+S547+S652)+SUMIFS(ExpensePayrollTaxes[Month 8],ExpensePayrollTaxes[exp_item],$H757,ExpensePayrollTaxes[company_name],$B1387)*S757)</f>
        <v>0</v>
      </c>
      <c r="T1387" s="652">
        <f>IF($B1387="",,SUMIFS(SalaryPayrollTaxes[Month 9],SalaryPayrollTaxes[exp_item],$H1387,SalaryPayrollTaxes[company_name],$B1387,SalaryPayrollTaxes[bu_name],$C1387)*(T442+T547+T652)+SUMIFS(ExpensePayrollTaxes[Month 9],ExpensePayrollTaxes[exp_item],$H757,ExpensePayrollTaxes[company_name],$B1387)*T757)</f>
        <v>0</v>
      </c>
      <c r="U1387" s="652">
        <f>IF($B1387="",,SUMIFS(SalaryPayrollTaxes[Month 10],SalaryPayrollTaxes[exp_item],$H1387,SalaryPayrollTaxes[company_name],$B1387,SalaryPayrollTaxes[bu_name],$C1387)*(U442+U547+U652)+SUMIFS(ExpensePayrollTaxes[Month 10],ExpensePayrollTaxes[exp_item],$H757,ExpensePayrollTaxes[company_name],$B1387)*U757)</f>
        <v>0</v>
      </c>
      <c r="V1387" s="652">
        <f>IF($B1387="",,SUMIFS(SalaryPayrollTaxes[Month 11],SalaryPayrollTaxes[exp_item],$H1387,SalaryPayrollTaxes[company_name],$B1387,SalaryPayrollTaxes[bu_name],$C1387)*(V442+V547+V652)+SUMIFS(ExpensePayrollTaxes[Month 11],ExpensePayrollTaxes[exp_item],$H757,ExpensePayrollTaxes[company_name],$B1387)*V757)</f>
        <v>0</v>
      </c>
      <c r="W1387" s="652">
        <f>IF($B1387="",,SUMIFS(SalaryPayrollTaxes[Month 12],SalaryPayrollTaxes[exp_item],$H1387,SalaryPayrollTaxes[company_name],$B1387,SalaryPayrollTaxes[bu_name],$C1387)*(W442+W547+W652)+SUMIFS(ExpensePayrollTaxes[Month 12],ExpensePayrollTaxes[exp_item],$H757,ExpensePayrollTaxes[company_name],$B1387)*W757)</f>
        <v>0</v>
      </c>
      <c r="X1387" s="652">
        <f>IF($B1387="",,SUMIFS(SalaryPayrollTaxes[Month 13],SalaryPayrollTaxes[exp_item],$H1387,SalaryPayrollTaxes[company_name],$B1387,SalaryPayrollTaxes[bu_name],$C1387)*(X442+X547+X652)+SUMIFS(ExpensePayrollTaxes[Month 13],ExpensePayrollTaxes[exp_item],$H757,ExpensePayrollTaxes[company_name],$B1387)*X757)</f>
        <v>0</v>
      </c>
      <c r="Y1387" s="652">
        <f>IF($B1387="",,SUMIFS(SalaryPayrollTaxes[Month 14],SalaryPayrollTaxes[exp_item],$H1387,SalaryPayrollTaxes[company_name],$B1387,SalaryPayrollTaxes[bu_name],$C1387)*(Y442+Y547+Y652)+SUMIFS(ExpensePayrollTaxes[Month 14],ExpensePayrollTaxes[exp_item],$H757,ExpensePayrollTaxes[company_name],$B1387)*Y757)</f>
        <v>0</v>
      </c>
      <c r="Z1387" s="652">
        <f>IF($B1387="",,SUMIFS(SalaryPayrollTaxes[Month 15],SalaryPayrollTaxes[exp_item],$H1387,SalaryPayrollTaxes[company_name],$B1387,SalaryPayrollTaxes[bu_name],$C1387)*(Z442+Z547+Z652)+SUMIFS(ExpensePayrollTaxes[Month 15],ExpensePayrollTaxes[exp_item],$H757,ExpensePayrollTaxes[company_name],$B1387)*Z757)</f>
        <v>0</v>
      </c>
      <c r="AA1387" s="652">
        <f>IF($B1387="",,SUMIFS(SalaryPayrollTaxes[Month 16],SalaryPayrollTaxes[exp_item],$H1387,SalaryPayrollTaxes[company_name],$B1387,SalaryPayrollTaxes[bu_name],$C1387)*(AA442+AA547+AA652)+SUMIFS(ExpensePayrollTaxes[Month 16],ExpensePayrollTaxes[exp_item],$H757,ExpensePayrollTaxes[company_name],$B1387)*AA757)</f>
        <v>0</v>
      </c>
      <c r="AB1387" s="652">
        <f>IF($B1387="",,SUMIFS(SalaryPayrollTaxes[Month 17],SalaryPayrollTaxes[exp_item],$H1387,SalaryPayrollTaxes[company_name],$B1387,SalaryPayrollTaxes[bu_name],$C1387)*(AB442+AB547+AB652)+SUMIFS(ExpensePayrollTaxes[Month 17],ExpensePayrollTaxes[exp_item],$H757,ExpensePayrollTaxes[company_name],$B1387)*AB757)</f>
        <v>0</v>
      </c>
      <c r="AC1387" s="652">
        <f>IF($B1387="",,SUMIFS(SalaryPayrollTaxes[Month 18],SalaryPayrollTaxes[exp_item],$H1387,SalaryPayrollTaxes[company_name],$B1387,SalaryPayrollTaxes[bu_name],$C1387)*(AC442+AC547+AC652)+SUMIFS(ExpensePayrollTaxes[Month 18],ExpensePayrollTaxes[exp_item],$H757,ExpensePayrollTaxes[company_name],$B1387)*AC757)</f>
        <v>0</v>
      </c>
      <c r="AD1387" s="652">
        <f>IF($B1387="",,SUMIFS(SalaryPayrollTaxes[Month 19],SalaryPayrollTaxes[exp_item],$H1387,SalaryPayrollTaxes[company_name],$B1387,SalaryPayrollTaxes[bu_name],$C1387)*(AD442+AD547+AD652)+SUMIFS(ExpensePayrollTaxes[Month 19],ExpensePayrollTaxes[exp_item],$H757,ExpensePayrollTaxes[company_name],$B1387)*AD757)</f>
        <v>0</v>
      </c>
      <c r="AE1387" s="652">
        <f>IF($B1387="",,SUMIFS(SalaryPayrollTaxes[Month 20],SalaryPayrollTaxes[exp_item],$H1387,SalaryPayrollTaxes[company_name],$B1387,SalaryPayrollTaxes[bu_name],$C1387)*(AE442+AE547+AE652)+SUMIFS(ExpensePayrollTaxes[Month 20],ExpensePayrollTaxes[exp_item],$H757,ExpensePayrollTaxes[company_name],$B1387)*AE757)</f>
        <v>0</v>
      </c>
      <c r="AF1387" s="652">
        <f>IF($B1387="",,SUMIFS(SalaryPayrollTaxes[Month 21],SalaryPayrollTaxes[exp_item],$H1387,SalaryPayrollTaxes[company_name],$B1387,SalaryPayrollTaxes[bu_name],$C1387)*(AF442+AF547+AF652)+SUMIFS(ExpensePayrollTaxes[Month 21],ExpensePayrollTaxes[exp_item],$H757,ExpensePayrollTaxes[company_name],$B1387)*AF757)</f>
        <v>0</v>
      </c>
      <c r="AG1387" s="652">
        <f>IF($B1387="",,SUMIFS(SalaryPayrollTaxes[Month 22],SalaryPayrollTaxes[exp_item],$H1387,SalaryPayrollTaxes[company_name],$B1387,SalaryPayrollTaxes[bu_name],$C1387)*(AG442+AG547+AG652)+SUMIFS(ExpensePayrollTaxes[Month 22],ExpensePayrollTaxes[exp_item],$H757,ExpensePayrollTaxes[company_name],$B1387)*AG757)</f>
        <v>0</v>
      </c>
      <c r="AH1387" s="652">
        <f>IF($B1387="",,SUMIFS(SalaryPayrollTaxes[Month 23],SalaryPayrollTaxes[exp_item],$H1387,SalaryPayrollTaxes[company_name],$B1387,SalaryPayrollTaxes[bu_name],$C1387)*(AH442+AH547+AH652)+SUMIFS(ExpensePayrollTaxes[Month 23],ExpensePayrollTaxes[exp_item],$H757,ExpensePayrollTaxes[company_name],$B1387)*AH757)</f>
        <v>0</v>
      </c>
      <c r="AI1387" s="652">
        <f>IF($B1387="",,SUMIFS(SalaryPayrollTaxes[Month 24],SalaryPayrollTaxes[exp_item],$H1387,SalaryPayrollTaxes[company_name],$B1387,SalaryPayrollTaxes[bu_name],$C1387)*(AI442+AI547+AI652)+SUMIFS(ExpensePayrollTaxes[Month 24],ExpensePayrollTaxes[exp_item],$H757,ExpensePayrollTaxes[company_name],$B1387)*AI757)</f>
        <v>0</v>
      </c>
      <c r="AJ1387" s="652">
        <f>IF($B1387="",,SUMIFS(SalaryPayrollTaxes[Month 25],SalaryPayrollTaxes[exp_item],$H1387,SalaryPayrollTaxes[company_name],$B1387,SalaryPayrollTaxes[bu_name],$C1387)*(AJ442+AJ547+AJ652)+SUMIFS(ExpensePayrollTaxes[Month 25],ExpensePayrollTaxes[exp_item],$H757,ExpensePayrollTaxes[company_name],$B1387)*AJ757)</f>
        <v>0</v>
      </c>
      <c r="AK1387" s="652">
        <f>IF($B1387="",,SUMIFS(SalaryPayrollTaxes[Month 26],SalaryPayrollTaxes[exp_item],$H1387,SalaryPayrollTaxes[company_name],$B1387,SalaryPayrollTaxes[bu_name],$C1387)*(AK442+AK547+AK652)+SUMIFS(ExpensePayrollTaxes[Month 26],ExpensePayrollTaxes[exp_item],$H757,ExpensePayrollTaxes[company_name],$B1387)*AK757)</f>
        <v>0</v>
      </c>
      <c r="AL1387" s="652">
        <f>IF($B1387="",,SUMIFS(SalaryPayrollTaxes[Month 27],SalaryPayrollTaxes[exp_item],$H1387,SalaryPayrollTaxes[company_name],$B1387,SalaryPayrollTaxes[bu_name],$C1387)*(AL442+AL547+AL652)+SUMIFS(ExpensePayrollTaxes[Month 27],ExpensePayrollTaxes[exp_item],$H757,ExpensePayrollTaxes[company_name],$B1387)*AL757)</f>
        <v>0</v>
      </c>
      <c r="AM1387" s="652">
        <f>IF($B1387="",,SUMIFS(SalaryPayrollTaxes[Month 28],SalaryPayrollTaxes[exp_item],$H1387,SalaryPayrollTaxes[company_name],$B1387,SalaryPayrollTaxes[bu_name],$C1387)*(AM442+AM547+AM652)+SUMIFS(ExpensePayrollTaxes[Month 28],ExpensePayrollTaxes[exp_item],$H757,ExpensePayrollTaxes[company_name],$B1387)*AM757)</f>
        <v>0</v>
      </c>
      <c r="AN1387" s="652">
        <f>IF($B1387="",,SUMIFS(SalaryPayrollTaxes[Month 29],SalaryPayrollTaxes[exp_item],$H1387,SalaryPayrollTaxes[company_name],$B1387,SalaryPayrollTaxes[bu_name],$C1387)*(AN442+AN547+AN652)+SUMIFS(ExpensePayrollTaxes[Month 29],ExpensePayrollTaxes[exp_item],$H757,ExpensePayrollTaxes[company_name],$B1387)*AN757)</f>
        <v>0</v>
      </c>
      <c r="AO1387" s="652">
        <f>IF($B1387="",,SUMIFS(SalaryPayrollTaxes[Month 30],SalaryPayrollTaxes[exp_item],$H1387,SalaryPayrollTaxes[company_name],$B1387,SalaryPayrollTaxes[bu_name],$C1387)*(AO442+AO547+AO652)+SUMIFS(ExpensePayrollTaxes[Month 30],ExpensePayrollTaxes[exp_item],$H757,ExpensePayrollTaxes[company_name],$B1387)*AO757)</f>
        <v>0</v>
      </c>
      <c r="AP1387" s="652">
        <f>IF($B1387="",,SUMIFS(SalaryPayrollTaxes[Month 31],SalaryPayrollTaxes[exp_item],$H1387,SalaryPayrollTaxes[company_name],$B1387,SalaryPayrollTaxes[bu_name],$C1387)*(AP442+AP547+AP652)+SUMIFS(ExpensePayrollTaxes[Month 31],ExpensePayrollTaxes[exp_item],$H757,ExpensePayrollTaxes[company_name],$B1387)*AP757)</f>
        <v>0</v>
      </c>
      <c r="AQ1387" s="652">
        <f>IF($B1387="",,SUMIFS(SalaryPayrollTaxes[Month 32],SalaryPayrollTaxes[exp_item],$H1387,SalaryPayrollTaxes[company_name],$B1387,SalaryPayrollTaxes[bu_name],$C1387)*(AQ442+AQ547+AQ652)+SUMIFS(ExpensePayrollTaxes[Month 32],ExpensePayrollTaxes[exp_item],$H757,ExpensePayrollTaxes[company_name],$B1387)*AQ757)</f>
        <v>0</v>
      </c>
      <c r="AR1387" s="652">
        <f>IF($B1387="",,SUMIFS(SalaryPayrollTaxes[Month 33],SalaryPayrollTaxes[exp_item],$H1387,SalaryPayrollTaxes[company_name],$B1387,SalaryPayrollTaxes[bu_name],$C1387)*(AR442+AR547+AR652)+SUMIFS(ExpensePayrollTaxes[Month 33],ExpensePayrollTaxes[exp_item],$H757,ExpensePayrollTaxes[company_name],$B1387)*AR757)</f>
        <v>0</v>
      </c>
      <c r="AS1387" s="652">
        <f>IF($B1387="",,SUMIFS(SalaryPayrollTaxes[Month 34],SalaryPayrollTaxes[exp_item],$H1387,SalaryPayrollTaxes[company_name],$B1387,SalaryPayrollTaxes[bu_name],$C1387)*(AS442+AS547+AS652)+SUMIFS(ExpensePayrollTaxes[Month 34],ExpensePayrollTaxes[exp_item],$H757,ExpensePayrollTaxes[company_name],$B1387)*AS757)</f>
        <v>0</v>
      </c>
      <c r="AT1387" s="652">
        <f>IF($B1387="",,SUMIFS(SalaryPayrollTaxes[Month 35],SalaryPayrollTaxes[exp_item],$H1387,SalaryPayrollTaxes[company_name],$B1387,SalaryPayrollTaxes[bu_name],$C1387)*(AT442+AT547+AT652)+SUMIFS(ExpensePayrollTaxes[Month 35],ExpensePayrollTaxes[exp_item],$H757,ExpensePayrollTaxes[company_name],$B1387)*AT757)</f>
        <v>0</v>
      </c>
      <c r="AU1387" s="652">
        <f>IF($B1387="",,SUMIFS(SalaryPayrollTaxes[Month 36],SalaryPayrollTaxes[exp_item],$H1387,SalaryPayrollTaxes[company_name],$B1387,SalaryPayrollTaxes[bu_name],$C1387)*(AU442+AU547+AU652)+SUMIFS(ExpensePayrollTaxes[Month 36],ExpensePayrollTaxes[exp_item],$H757,ExpensePayrollTaxes[company_name],$B1387)*AU757)</f>
        <v>0</v>
      </c>
    </row>
    <row r="1388" spans="2:47" x14ac:dyDescent="0.35">
      <c r="B1388" t="str">
        <f t="shared" si="994"/>
        <v/>
      </c>
      <c r="C1388" t="str">
        <f t="shared" si="994"/>
        <v/>
      </c>
      <c r="D1388" t="str">
        <f t="shared" si="994"/>
        <v/>
      </c>
      <c r="E1388" t="str">
        <f t="shared" si="994"/>
        <v/>
      </c>
      <c r="F1388" t="str">
        <f t="shared" si="994"/>
        <v/>
      </c>
      <c r="G1388" t="str">
        <f t="shared" si="994"/>
        <v/>
      </c>
      <c r="H1388" t="str">
        <f t="shared" si="989"/>
        <v/>
      </c>
      <c r="J1388" t="str">
        <f>IF($H1388="","",IF(VLOOKUP(H1388,ExpItems[],2,0),H1388&amp;" - "&amp;INDEX(DivisionMapping[category_code],MATCH($D1388&amp;$C1388,DivisionMapping[dept_bu],0)),H1388))</f>
        <v/>
      </c>
      <c r="K1388" t="str">
        <f t="shared" si="990"/>
        <v/>
      </c>
      <c r="L1388" s="652">
        <f>IF($B1388="",,SUMIFS(SalaryPayrollTaxes[Month 1],SalaryPayrollTaxes[exp_item],$H1388,SalaryPayrollTaxes[company_name],$B1388,SalaryPayrollTaxes[bu_name],$C1388)*(L443+L548+L653)+SUMIFS(ExpensePayrollTaxes[Month 1],ExpensePayrollTaxes[exp_item],$H758,ExpensePayrollTaxes[company_name],$B1388)*L758)</f>
        <v>0</v>
      </c>
      <c r="M1388" s="652">
        <f>IF($B1388="",,SUMIFS(SalaryPayrollTaxes[Month 2],SalaryPayrollTaxes[exp_item],$H1388,SalaryPayrollTaxes[company_name],$B1388,SalaryPayrollTaxes[bu_name],$C1388)*(M443+M548+M653)+SUMIFS(ExpensePayrollTaxes[Month 2],ExpensePayrollTaxes[exp_item],$H758,ExpensePayrollTaxes[company_name],$B1388)*M758)</f>
        <v>0</v>
      </c>
      <c r="N1388" s="652">
        <f>IF($B1388="",,SUMIFS(SalaryPayrollTaxes[Month 3],SalaryPayrollTaxes[exp_item],$H1388,SalaryPayrollTaxes[company_name],$B1388,SalaryPayrollTaxes[bu_name],$C1388)*(N443+N548+N653)+SUMIFS(ExpensePayrollTaxes[Month 3],ExpensePayrollTaxes[exp_item],$H758,ExpensePayrollTaxes[company_name],$B1388)*N758)</f>
        <v>0</v>
      </c>
      <c r="O1388" s="652">
        <f>IF($B1388="",,SUMIFS(SalaryPayrollTaxes[Month 4],SalaryPayrollTaxes[exp_item],$H1388,SalaryPayrollTaxes[company_name],$B1388,SalaryPayrollTaxes[bu_name],$C1388)*(O443+O548+O653)+SUMIFS(ExpensePayrollTaxes[Month 4],ExpensePayrollTaxes[exp_item],$H758,ExpensePayrollTaxes[company_name],$B1388)*O758)</f>
        <v>0</v>
      </c>
      <c r="P1388" s="652">
        <f>IF($B1388="",,SUMIFS(SalaryPayrollTaxes[Month 5],SalaryPayrollTaxes[exp_item],$H1388,SalaryPayrollTaxes[company_name],$B1388,SalaryPayrollTaxes[bu_name],$C1388)*(P443+P548+P653)+SUMIFS(ExpensePayrollTaxes[Month 5],ExpensePayrollTaxes[exp_item],$H758,ExpensePayrollTaxes[company_name],$B1388)*P758)</f>
        <v>0</v>
      </c>
      <c r="Q1388" s="652">
        <f>IF($B1388="",,SUMIFS(SalaryPayrollTaxes[Month 6],SalaryPayrollTaxes[exp_item],$H1388,SalaryPayrollTaxes[company_name],$B1388,SalaryPayrollTaxes[bu_name],$C1388)*(Q443+Q548+Q653)+SUMIFS(ExpensePayrollTaxes[Month 6],ExpensePayrollTaxes[exp_item],$H758,ExpensePayrollTaxes[company_name],$B1388)*Q758)</f>
        <v>0</v>
      </c>
      <c r="R1388" s="652">
        <f>IF($B1388="",,SUMIFS(SalaryPayrollTaxes[Month 7],SalaryPayrollTaxes[exp_item],$H1388,SalaryPayrollTaxes[company_name],$B1388,SalaryPayrollTaxes[bu_name],$C1388)*(R443+R548+R653)+SUMIFS(ExpensePayrollTaxes[Month 7],ExpensePayrollTaxes[exp_item],$H758,ExpensePayrollTaxes[company_name],$B1388)*R758)</f>
        <v>0</v>
      </c>
      <c r="S1388" s="652">
        <f>IF($B1388="",,SUMIFS(SalaryPayrollTaxes[Month 8],SalaryPayrollTaxes[exp_item],$H1388,SalaryPayrollTaxes[company_name],$B1388,SalaryPayrollTaxes[bu_name],$C1388)*(S443+S548+S653)+SUMIFS(ExpensePayrollTaxes[Month 8],ExpensePayrollTaxes[exp_item],$H758,ExpensePayrollTaxes[company_name],$B1388)*S758)</f>
        <v>0</v>
      </c>
      <c r="T1388" s="652">
        <f>IF($B1388="",,SUMIFS(SalaryPayrollTaxes[Month 9],SalaryPayrollTaxes[exp_item],$H1388,SalaryPayrollTaxes[company_name],$B1388,SalaryPayrollTaxes[bu_name],$C1388)*(T443+T548+T653)+SUMIFS(ExpensePayrollTaxes[Month 9],ExpensePayrollTaxes[exp_item],$H758,ExpensePayrollTaxes[company_name],$B1388)*T758)</f>
        <v>0</v>
      </c>
      <c r="U1388" s="652">
        <f>IF($B1388="",,SUMIFS(SalaryPayrollTaxes[Month 10],SalaryPayrollTaxes[exp_item],$H1388,SalaryPayrollTaxes[company_name],$B1388,SalaryPayrollTaxes[bu_name],$C1388)*(U443+U548+U653)+SUMIFS(ExpensePayrollTaxes[Month 10],ExpensePayrollTaxes[exp_item],$H758,ExpensePayrollTaxes[company_name],$B1388)*U758)</f>
        <v>0</v>
      </c>
      <c r="V1388" s="652">
        <f>IF($B1388="",,SUMIFS(SalaryPayrollTaxes[Month 11],SalaryPayrollTaxes[exp_item],$H1388,SalaryPayrollTaxes[company_name],$B1388,SalaryPayrollTaxes[bu_name],$C1388)*(V443+V548+V653)+SUMIFS(ExpensePayrollTaxes[Month 11],ExpensePayrollTaxes[exp_item],$H758,ExpensePayrollTaxes[company_name],$B1388)*V758)</f>
        <v>0</v>
      </c>
      <c r="W1388" s="652">
        <f>IF($B1388="",,SUMIFS(SalaryPayrollTaxes[Month 12],SalaryPayrollTaxes[exp_item],$H1388,SalaryPayrollTaxes[company_name],$B1388,SalaryPayrollTaxes[bu_name],$C1388)*(W443+W548+W653)+SUMIFS(ExpensePayrollTaxes[Month 12],ExpensePayrollTaxes[exp_item],$H758,ExpensePayrollTaxes[company_name],$B1388)*W758)</f>
        <v>0</v>
      </c>
      <c r="X1388" s="652">
        <f>IF($B1388="",,SUMIFS(SalaryPayrollTaxes[Month 13],SalaryPayrollTaxes[exp_item],$H1388,SalaryPayrollTaxes[company_name],$B1388,SalaryPayrollTaxes[bu_name],$C1388)*(X443+X548+X653)+SUMIFS(ExpensePayrollTaxes[Month 13],ExpensePayrollTaxes[exp_item],$H758,ExpensePayrollTaxes[company_name],$B1388)*X758)</f>
        <v>0</v>
      </c>
      <c r="Y1388" s="652">
        <f>IF($B1388="",,SUMIFS(SalaryPayrollTaxes[Month 14],SalaryPayrollTaxes[exp_item],$H1388,SalaryPayrollTaxes[company_name],$B1388,SalaryPayrollTaxes[bu_name],$C1388)*(Y443+Y548+Y653)+SUMIFS(ExpensePayrollTaxes[Month 14],ExpensePayrollTaxes[exp_item],$H758,ExpensePayrollTaxes[company_name],$B1388)*Y758)</f>
        <v>0</v>
      </c>
      <c r="Z1388" s="652">
        <f>IF($B1388="",,SUMIFS(SalaryPayrollTaxes[Month 15],SalaryPayrollTaxes[exp_item],$H1388,SalaryPayrollTaxes[company_name],$B1388,SalaryPayrollTaxes[bu_name],$C1388)*(Z443+Z548+Z653)+SUMIFS(ExpensePayrollTaxes[Month 15],ExpensePayrollTaxes[exp_item],$H758,ExpensePayrollTaxes[company_name],$B1388)*Z758)</f>
        <v>0</v>
      </c>
      <c r="AA1388" s="652">
        <f>IF($B1388="",,SUMIFS(SalaryPayrollTaxes[Month 16],SalaryPayrollTaxes[exp_item],$H1388,SalaryPayrollTaxes[company_name],$B1388,SalaryPayrollTaxes[bu_name],$C1388)*(AA443+AA548+AA653)+SUMIFS(ExpensePayrollTaxes[Month 16],ExpensePayrollTaxes[exp_item],$H758,ExpensePayrollTaxes[company_name],$B1388)*AA758)</f>
        <v>0</v>
      </c>
      <c r="AB1388" s="652">
        <f>IF($B1388="",,SUMIFS(SalaryPayrollTaxes[Month 17],SalaryPayrollTaxes[exp_item],$H1388,SalaryPayrollTaxes[company_name],$B1388,SalaryPayrollTaxes[bu_name],$C1388)*(AB443+AB548+AB653)+SUMIFS(ExpensePayrollTaxes[Month 17],ExpensePayrollTaxes[exp_item],$H758,ExpensePayrollTaxes[company_name],$B1388)*AB758)</f>
        <v>0</v>
      </c>
      <c r="AC1388" s="652">
        <f>IF($B1388="",,SUMIFS(SalaryPayrollTaxes[Month 18],SalaryPayrollTaxes[exp_item],$H1388,SalaryPayrollTaxes[company_name],$B1388,SalaryPayrollTaxes[bu_name],$C1388)*(AC443+AC548+AC653)+SUMIFS(ExpensePayrollTaxes[Month 18],ExpensePayrollTaxes[exp_item],$H758,ExpensePayrollTaxes[company_name],$B1388)*AC758)</f>
        <v>0</v>
      </c>
      <c r="AD1388" s="652">
        <f>IF($B1388="",,SUMIFS(SalaryPayrollTaxes[Month 19],SalaryPayrollTaxes[exp_item],$H1388,SalaryPayrollTaxes[company_name],$B1388,SalaryPayrollTaxes[bu_name],$C1388)*(AD443+AD548+AD653)+SUMIFS(ExpensePayrollTaxes[Month 19],ExpensePayrollTaxes[exp_item],$H758,ExpensePayrollTaxes[company_name],$B1388)*AD758)</f>
        <v>0</v>
      </c>
      <c r="AE1388" s="652">
        <f>IF($B1388="",,SUMIFS(SalaryPayrollTaxes[Month 20],SalaryPayrollTaxes[exp_item],$H1388,SalaryPayrollTaxes[company_name],$B1388,SalaryPayrollTaxes[bu_name],$C1388)*(AE443+AE548+AE653)+SUMIFS(ExpensePayrollTaxes[Month 20],ExpensePayrollTaxes[exp_item],$H758,ExpensePayrollTaxes[company_name],$B1388)*AE758)</f>
        <v>0</v>
      </c>
      <c r="AF1388" s="652">
        <f>IF($B1388="",,SUMIFS(SalaryPayrollTaxes[Month 21],SalaryPayrollTaxes[exp_item],$H1388,SalaryPayrollTaxes[company_name],$B1388,SalaryPayrollTaxes[bu_name],$C1388)*(AF443+AF548+AF653)+SUMIFS(ExpensePayrollTaxes[Month 21],ExpensePayrollTaxes[exp_item],$H758,ExpensePayrollTaxes[company_name],$B1388)*AF758)</f>
        <v>0</v>
      </c>
      <c r="AG1388" s="652">
        <f>IF($B1388="",,SUMIFS(SalaryPayrollTaxes[Month 22],SalaryPayrollTaxes[exp_item],$H1388,SalaryPayrollTaxes[company_name],$B1388,SalaryPayrollTaxes[bu_name],$C1388)*(AG443+AG548+AG653)+SUMIFS(ExpensePayrollTaxes[Month 22],ExpensePayrollTaxes[exp_item],$H758,ExpensePayrollTaxes[company_name],$B1388)*AG758)</f>
        <v>0</v>
      </c>
      <c r="AH1388" s="652">
        <f>IF($B1388="",,SUMIFS(SalaryPayrollTaxes[Month 23],SalaryPayrollTaxes[exp_item],$H1388,SalaryPayrollTaxes[company_name],$B1388,SalaryPayrollTaxes[bu_name],$C1388)*(AH443+AH548+AH653)+SUMIFS(ExpensePayrollTaxes[Month 23],ExpensePayrollTaxes[exp_item],$H758,ExpensePayrollTaxes[company_name],$B1388)*AH758)</f>
        <v>0</v>
      </c>
      <c r="AI1388" s="652">
        <f>IF($B1388="",,SUMIFS(SalaryPayrollTaxes[Month 24],SalaryPayrollTaxes[exp_item],$H1388,SalaryPayrollTaxes[company_name],$B1388,SalaryPayrollTaxes[bu_name],$C1388)*(AI443+AI548+AI653)+SUMIFS(ExpensePayrollTaxes[Month 24],ExpensePayrollTaxes[exp_item],$H758,ExpensePayrollTaxes[company_name],$B1388)*AI758)</f>
        <v>0</v>
      </c>
      <c r="AJ1388" s="652">
        <f>IF($B1388="",,SUMIFS(SalaryPayrollTaxes[Month 25],SalaryPayrollTaxes[exp_item],$H1388,SalaryPayrollTaxes[company_name],$B1388,SalaryPayrollTaxes[bu_name],$C1388)*(AJ443+AJ548+AJ653)+SUMIFS(ExpensePayrollTaxes[Month 25],ExpensePayrollTaxes[exp_item],$H758,ExpensePayrollTaxes[company_name],$B1388)*AJ758)</f>
        <v>0</v>
      </c>
      <c r="AK1388" s="652">
        <f>IF($B1388="",,SUMIFS(SalaryPayrollTaxes[Month 26],SalaryPayrollTaxes[exp_item],$H1388,SalaryPayrollTaxes[company_name],$B1388,SalaryPayrollTaxes[bu_name],$C1388)*(AK443+AK548+AK653)+SUMIFS(ExpensePayrollTaxes[Month 26],ExpensePayrollTaxes[exp_item],$H758,ExpensePayrollTaxes[company_name],$B1388)*AK758)</f>
        <v>0</v>
      </c>
      <c r="AL1388" s="652">
        <f>IF($B1388="",,SUMIFS(SalaryPayrollTaxes[Month 27],SalaryPayrollTaxes[exp_item],$H1388,SalaryPayrollTaxes[company_name],$B1388,SalaryPayrollTaxes[bu_name],$C1388)*(AL443+AL548+AL653)+SUMIFS(ExpensePayrollTaxes[Month 27],ExpensePayrollTaxes[exp_item],$H758,ExpensePayrollTaxes[company_name],$B1388)*AL758)</f>
        <v>0</v>
      </c>
      <c r="AM1388" s="652">
        <f>IF($B1388="",,SUMIFS(SalaryPayrollTaxes[Month 28],SalaryPayrollTaxes[exp_item],$H1388,SalaryPayrollTaxes[company_name],$B1388,SalaryPayrollTaxes[bu_name],$C1388)*(AM443+AM548+AM653)+SUMIFS(ExpensePayrollTaxes[Month 28],ExpensePayrollTaxes[exp_item],$H758,ExpensePayrollTaxes[company_name],$B1388)*AM758)</f>
        <v>0</v>
      </c>
      <c r="AN1388" s="652">
        <f>IF($B1388="",,SUMIFS(SalaryPayrollTaxes[Month 29],SalaryPayrollTaxes[exp_item],$H1388,SalaryPayrollTaxes[company_name],$B1388,SalaryPayrollTaxes[bu_name],$C1388)*(AN443+AN548+AN653)+SUMIFS(ExpensePayrollTaxes[Month 29],ExpensePayrollTaxes[exp_item],$H758,ExpensePayrollTaxes[company_name],$B1388)*AN758)</f>
        <v>0</v>
      </c>
      <c r="AO1388" s="652">
        <f>IF($B1388="",,SUMIFS(SalaryPayrollTaxes[Month 30],SalaryPayrollTaxes[exp_item],$H1388,SalaryPayrollTaxes[company_name],$B1388,SalaryPayrollTaxes[bu_name],$C1388)*(AO443+AO548+AO653)+SUMIFS(ExpensePayrollTaxes[Month 30],ExpensePayrollTaxes[exp_item],$H758,ExpensePayrollTaxes[company_name],$B1388)*AO758)</f>
        <v>0</v>
      </c>
      <c r="AP1388" s="652">
        <f>IF($B1388="",,SUMIFS(SalaryPayrollTaxes[Month 31],SalaryPayrollTaxes[exp_item],$H1388,SalaryPayrollTaxes[company_name],$B1388,SalaryPayrollTaxes[bu_name],$C1388)*(AP443+AP548+AP653)+SUMIFS(ExpensePayrollTaxes[Month 31],ExpensePayrollTaxes[exp_item],$H758,ExpensePayrollTaxes[company_name],$B1388)*AP758)</f>
        <v>0</v>
      </c>
      <c r="AQ1388" s="652">
        <f>IF($B1388="",,SUMIFS(SalaryPayrollTaxes[Month 32],SalaryPayrollTaxes[exp_item],$H1388,SalaryPayrollTaxes[company_name],$B1388,SalaryPayrollTaxes[bu_name],$C1388)*(AQ443+AQ548+AQ653)+SUMIFS(ExpensePayrollTaxes[Month 32],ExpensePayrollTaxes[exp_item],$H758,ExpensePayrollTaxes[company_name],$B1388)*AQ758)</f>
        <v>0</v>
      </c>
      <c r="AR1388" s="652">
        <f>IF($B1388="",,SUMIFS(SalaryPayrollTaxes[Month 33],SalaryPayrollTaxes[exp_item],$H1388,SalaryPayrollTaxes[company_name],$B1388,SalaryPayrollTaxes[bu_name],$C1388)*(AR443+AR548+AR653)+SUMIFS(ExpensePayrollTaxes[Month 33],ExpensePayrollTaxes[exp_item],$H758,ExpensePayrollTaxes[company_name],$B1388)*AR758)</f>
        <v>0</v>
      </c>
      <c r="AS1388" s="652">
        <f>IF($B1388="",,SUMIFS(SalaryPayrollTaxes[Month 34],SalaryPayrollTaxes[exp_item],$H1388,SalaryPayrollTaxes[company_name],$B1388,SalaryPayrollTaxes[bu_name],$C1388)*(AS443+AS548+AS653)+SUMIFS(ExpensePayrollTaxes[Month 34],ExpensePayrollTaxes[exp_item],$H758,ExpensePayrollTaxes[company_name],$B1388)*AS758)</f>
        <v>0</v>
      </c>
      <c r="AT1388" s="652">
        <f>IF($B1388="",,SUMIFS(SalaryPayrollTaxes[Month 35],SalaryPayrollTaxes[exp_item],$H1388,SalaryPayrollTaxes[company_name],$B1388,SalaryPayrollTaxes[bu_name],$C1388)*(AT443+AT548+AT653)+SUMIFS(ExpensePayrollTaxes[Month 35],ExpensePayrollTaxes[exp_item],$H758,ExpensePayrollTaxes[company_name],$B1388)*AT758)</f>
        <v>0</v>
      </c>
      <c r="AU1388" s="652">
        <f>IF($B1388="",,SUMIFS(SalaryPayrollTaxes[Month 36],SalaryPayrollTaxes[exp_item],$H1388,SalaryPayrollTaxes[company_name],$B1388,SalaryPayrollTaxes[bu_name],$C1388)*(AU443+AU548+AU653)+SUMIFS(ExpensePayrollTaxes[Month 36],ExpensePayrollTaxes[exp_item],$H758,ExpensePayrollTaxes[company_name],$B1388)*AU758)</f>
        <v>0</v>
      </c>
    </row>
    <row r="1389" spans="2:47" x14ac:dyDescent="0.35">
      <c r="B1389" t="str">
        <f t="shared" si="994"/>
        <v/>
      </c>
      <c r="C1389" t="str">
        <f t="shared" si="994"/>
        <v/>
      </c>
      <c r="D1389" t="str">
        <f t="shared" si="994"/>
        <v/>
      </c>
      <c r="E1389" t="str">
        <f t="shared" si="994"/>
        <v/>
      </c>
      <c r="F1389" t="str">
        <f t="shared" si="994"/>
        <v/>
      </c>
      <c r="G1389" t="str">
        <f t="shared" si="994"/>
        <v/>
      </c>
      <c r="H1389" t="str">
        <f t="shared" si="989"/>
        <v/>
      </c>
      <c r="J1389" t="str">
        <f>IF($H1389="","",IF(VLOOKUP(H1389,ExpItems[],2,0),H1389&amp;" - "&amp;INDEX(DivisionMapping[category_code],MATCH($D1389&amp;$C1389,DivisionMapping[dept_bu],0)),H1389))</f>
        <v/>
      </c>
      <c r="K1389" t="str">
        <f t="shared" si="990"/>
        <v/>
      </c>
      <c r="L1389" s="652">
        <f>IF($B1389="",,SUMIFS(SalaryPayrollTaxes[Month 1],SalaryPayrollTaxes[exp_item],$H1389,SalaryPayrollTaxes[company_name],$B1389,SalaryPayrollTaxes[bu_name],$C1389)*(L444+L549+L654)+SUMIFS(ExpensePayrollTaxes[Month 1],ExpensePayrollTaxes[exp_item],$H759,ExpensePayrollTaxes[company_name],$B1389)*L759)</f>
        <v>0</v>
      </c>
      <c r="M1389" s="652">
        <f>IF($B1389="",,SUMIFS(SalaryPayrollTaxes[Month 2],SalaryPayrollTaxes[exp_item],$H1389,SalaryPayrollTaxes[company_name],$B1389,SalaryPayrollTaxes[bu_name],$C1389)*(M444+M549+M654)+SUMIFS(ExpensePayrollTaxes[Month 2],ExpensePayrollTaxes[exp_item],$H759,ExpensePayrollTaxes[company_name],$B1389)*M759)</f>
        <v>0</v>
      </c>
      <c r="N1389" s="652">
        <f>IF($B1389="",,SUMIFS(SalaryPayrollTaxes[Month 3],SalaryPayrollTaxes[exp_item],$H1389,SalaryPayrollTaxes[company_name],$B1389,SalaryPayrollTaxes[bu_name],$C1389)*(N444+N549+N654)+SUMIFS(ExpensePayrollTaxes[Month 3],ExpensePayrollTaxes[exp_item],$H759,ExpensePayrollTaxes[company_name],$B1389)*N759)</f>
        <v>0</v>
      </c>
      <c r="O1389" s="652">
        <f>IF($B1389="",,SUMIFS(SalaryPayrollTaxes[Month 4],SalaryPayrollTaxes[exp_item],$H1389,SalaryPayrollTaxes[company_name],$B1389,SalaryPayrollTaxes[bu_name],$C1389)*(O444+O549+O654)+SUMIFS(ExpensePayrollTaxes[Month 4],ExpensePayrollTaxes[exp_item],$H759,ExpensePayrollTaxes[company_name],$B1389)*O759)</f>
        <v>0</v>
      </c>
      <c r="P1389" s="652">
        <f>IF($B1389="",,SUMIFS(SalaryPayrollTaxes[Month 5],SalaryPayrollTaxes[exp_item],$H1389,SalaryPayrollTaxes[company_name],$B1389,SalaryPayrollTaxes[bu_name],$C1389)*(P444+P549+P654)+SUMIFS(ExpensePayrollTaxes[Month 5],ExpensePayrollTaxes[exp_item],$H759,ExpensePayrollTaxes[company_name],$B1389)*P759)</f>
        <v>0</v>
      </c>
      <c r="Q1389" s="652">
        <f>IF($B1389="",,SUMIFS(SalaryPayrollTaxes[Month 6],SalaryPayrollTaxes[exp_item],$H1389,SalaryPayrollTaxes[company_name],$B1389,SalaryPayrollTaxes[bu_name],$C1389)*(Q444+Q549+Q654)+SUMIFS(ExpensePayrollTaxes[Month 6],ExpensePayrollTaxes[exp_item],$H759,ExpensePayrollTaxes[company_name],$B1389)*Q759)</f>
        <v>0</v>
      </c>
      <c r="R1389" s="652">
        <f>IF($B1389="",,SUMIFS(SalaryPayrollTaxes[Month 7],SalaryPayrollTaxes[exp_item],$H1389,SalaryPayrollTaxes[company_name],$B1389,SalaryPayrollTaxes[bu_name],$C1389)*(R444+R549+R654)+SUMIFS(ExpensePayrollTaxes[Month 7],ExpensePayrollTaxes[exp_item],$H759,ExpensePayrollTaxes[company_name],$B1389)*R759)</f>
        <v>0</v>
      </c>
      <c r="S1389" s="652">
        <f>IF($B1389="",,SUMIFS(SalaryPayrollTaxes[Month 8],SalaryPayrollTaxes[exp_item],$H1389,SalaryPayrollTaxes[company_name],$B1389,SalaryPayrollTaxes[bu_name],$C1389)*(S444+S549+S654)+SUMIFS(ExpensePayrollTaxes[Month 8],ExpensePayrollTaxes[exp_item],$H759,ExpensePayrollTaxes[company_name],$B1389)*S759)</f>
        <v>0</v>
      </c>
      <c r="T1389" s="652">
        <f>IF($B1389="",,SUMIFS(SalaryPayrollTaxes[Month 9],SalaryPayrollTaxes[exp_item],$H1389,SalaryPayrollTaxes[company_name],$B1389,SalaryPayrollTaxes[bu_name],$C1389)*(T444+T549+T654)+SUMIFS(ExpensePayrollTaxes[Month 9],ExpensePayrollTaxes[exp_item],$H759,ExpensePayrollTaxes[company_name],$B1389)*T759)</f>
        <v>0</v>
      </c>
      <c r="U1389" s="652">
        <f>IF($B1389="",,SUMIFS(SalaryPayrollTaxes[Month 10],SalaryPayrollTaxes[exp_item],$H1389,SalaryPayrollTaxes[company_name],$B1389,SalaryPayrollTaxes[bu_name],$C1389)*(U444+U549+U654)+SUMIFS(ExpensePayrollTaxes[Month 10],ExpensePayrollTaxes[exp_item],$H759,ExpensePayrollTaxes[company_name],$B1389)*U759)</f>
        <v>0</v>
      </c>
      <c r="V1389" s="652">
        <f>IF($B1389="",,SUMIFS(SalaryPayrollTaxes[Month 11],SalaryPayrollTaxes[exp_item],$H1389,SalaryPayrollTaxes[company_name],$B1389,SalaryPayrollTaxes[bu_name],$C1389)*(V444+V549+V654)+SUMIFS(ExpensePayrollTaxes[Month 11],ExpensePayrollTaxes[exp_item],$H759,ExpensePayrollTaxes[company_name],$B1389)*V759)</f>
        <v>0</v>
      </c>
      <c r="W1389" s="652">
        <f>IF($B1389="",,SUMIFS(SalaryPayrollTaxes[Month 12],SalaryPayrollTaxes[exp_item],$H1389,SalaryPayrollTaxes[company_name],$B1389,SalaryPayrollTaxes[bu_name],$C1389)*(W444+W549+W654)+SUMIFS(ExpensePayrollTaxes[Month 12],ExpensePayrollTaxes[exp_item],$H759,ExpensePayrollTaxes[company_name],$B1389)*W759)</f>
        <v>0</v>
      </c>
      <c r="X1389" s="652">
        <f>IF($B1389="",,SUMIFS(SalaryPayrollTaxes[Month 13],SalaryPayrollTaxes[exp_item],$H1389,SalaryPayrollTaxes[company_name],$B1389,SalaryPayrollTaxes[bu_name],$C1389)*(X444+X549+X654)+SUMIFS(ExpensePayrollTaxes[Month 13],ExpensePayrollTaxes[exp_item],$H759,ExpensePayrollTaxes[company_name],$B1389)*X759)</f>
        <v>0</v>
      </c>
      <c r="Y1389" s="652">
        <f>IF($B1389="",,SUMIFS(SalaryPayrollTaxes[Month 14],SalaryPayrollTaxes[exp_item],$H1389,SalaryPayrollTaxes[company_name],$B1389,SalaryPayrollTaxes[bu_name],$C1389)*(Y444+Y549+Y654)+SUMIFS(ExpensePayrollTaxes[Month 14],ExpensePayrollTaxes[exp_item],$H759,ExpensePayrollTaxes[company_name],$B1389)*Y759)</f>
        <v>0</v>
      </c>
      <c r="Z1389" s="652">
        <f>IF($B1389="",,SUMIFS(SalaryPayrollTaxes[Month 15],SalaryPayrollTaxes[exp_item],$H1389,SalaryPayrollTaxes[company_name],$B1389,SalaryPayrollTaxes[bu_name],$C1389)*(Z444+Z549+Z654)+SUMIFS(ExpensePayrollTaxes[Month 15],ExpensePayrollTaxes[exp_item],$H759,ExpensePayrollTaxes[company_name],$B1389)*Z759)</f>
        <v>0</v>
      </c>
      <c r="AA1389" s="652">
        <f>IF($B1389="",,SUMIFS(SalaryPayrollTaxes[Month 16],SalaryPayrollTaxes[exp_item],$H1389,SalaryPayrollTaxes[company_name],$B1389,SalaryPayrollTaxes[bu_name],$C1389)*(AA444+AA549+AA654)+SUMIFS(ExpensePayrollTaxes[Month 16],ExpensePayrollTaxes[exp_item],$H759,ExpensePayrollTaxes[company_name],$B1389)*AA759)</f>
        <v>0</v>
      </c>
      <c r="AB1389" s="652">
        <f>IF($B1389="",,SUMIFS(SalaryPayrollTaxes[Month 17],SalaryPayrollTaxes[exp_item],$H1389,SalaryPayrollTaxes[company_name],$B1389,SalaryPayrollTaxes[bu_name],$C1389)*(AB444+AB549+AB654)+SUMIFS(ExpensePayrollTaxes[Month 17],ExpensePayrollTaxes[exp_item],$H759,ExpensePayrollTaxes[company_name],$B1389)*AB759)</f>
        <v>0</v>
      </c>
      <c r="AC1389" s="652">
        <f>IF($B1389="",,SUMIFS(SalaryPayrollTaxes[Month 18],SalaryPayrollTaxes[exp_item],$H1389,SalaryPayrollTaxes[company_name],$B1389,SalaryPayrollTaxes[bu_name],$C1389)*(AC444+AC549+AC654)+SUMIFS(ExpensePayrollTaxes[Month 18],ExpensePayrollTaxes[exp_item],$H759,ExpensePayrollTaxes[company_name],$B1389)*AC759)</f>
        <v>0</v>
      </c>
      <c r="AD1389" s="652">
        <f>IF($B1389="",,SUMIFS(SalaryPayrollTaxes[Month 19],SalaryPayrollTaxes[exp_item],$H1389,SalaryPayrollTaxes[company_name],$B1389,SalaryPayrollTaxes[bu_name],$C1389)*(AD444+AD549+AD654)+SUMIFS(ExpensePayrollTaxes[Month 19],ExpensePayrollTaxes[exp_item],$H759,ExpensePayrollTaxes[company_name],$B1389)*AD759)</f>
        <v>0</v>
      </c>
      <c r="AE1389" s="652">
        <f>IF($B1389="",,SUMIFS(SalaryPayrollTaxes[Month 20],SalaryPayrollTaxes[exp_item],$H1389,SalaryPayrollTaxes[company_name],$B1389,SalaryPayrollTaxes[bu_name],$C1389)*(AE444+AE549+AE654)+SUMIFS(ExpensePayrollTaxes[Month 20],ExpensePayrollTaxes[exp_item],$H759,ExpensePayrollTaxes[company_name],$B1389)*AE759)</f>
        <v>0</v>
      </c>
      <c r="AF1389" s="652">
        <f>IF($B1389="",,SUMIFS(SalaryPayrollTaxes[Month 21],SalaryPayrollTaxes[exp_item],$H1389,SalaryPayrollTaxes[company_name],$B1389,SalaryPayrollTaxes[bu_name],$C1389)*(AF444+AF549+AF654)+SUMIFS(ExpensePayrollTaxes[Month 21],ExpensePayrollTaxes[exp_item],$H759,ExpensePayrollTaxes[company_name],$B1389)*AF759)</f>
        <v>0</v>
      </c>
      <c r="AG1389" s="652">
        <f>IF($B1389="",,SUMIFS(SalaryPayrollTaxes[Month 22],SalaryPayrollTaxes[exp_item],$H1389,SalaryPayrollTaxes[company_name],$B1389,SalaryPayrollTaxes[bu_name],$C1389)*(AG444+AG549+AG654)+SUMIFS(ExpensePayrollTaxes[Month 22],ExpensePayrollTaxes[exp_item],$H759,ExpensePayrollTaxes[company_name],$B1389)*AG759)</f>
        <v>0</v>
      </c>
      <c r="AH1389" s="652">
        <f>IF($B1389="",,SUMIFS(SalaryPayrollTaxes[Month 23],SalaryPayrollTaxes[exp_item],$H1389,SalaryPayrollTaxes[company_name],$B1389,SalaryPayrollTaxes[bu_name],$C1389)*(AH444+AH549+AH654)+SUMIFS(ExpensePayrollTaxes[Month 23],ExpensePayrollTaxes[exp_item],$H759,ExpensePayrollTaxes[company_name],$B1389)*AH759)</f>
        <v>0</v>
      </c>
      <c r="AI1389" s="652">
        <f>IF($B1389="",,SUMIFS(SalaryPayrollTaxes[Month 24],SalaryPayrollTaxes[exp_item],$H1389,SalaryPayrollTaxes[company_name],$B1389,SalaryPayrollTaxes[bu_name],$C1389)*(AI444+AI549+AI654)+SUMIFS(ExpensePayrollTaxes[Month 24],ExpensePayrollTaxes[exp_item],$H759,ExpensePayrollTaxes[company_name],$B1389)*AI759)</f>
        <v>0</v>
      </c>
      <c r="AJ1389" s="652">
        <f>IF($B1389="",,SUMIFS(SalaryPayrollTaxes[Month 25],SalaryPayrollTaxes[exp_item],$H1389,SalaryPayrollTaxes[company_name],$B1389,SalaryPayrollTaxes[bu_name],$C1389)*(AJ444+AJ549+AJ654)+SUMIFS(ExpensePayrollTaxes[Month 25],ExpensePayrollTaxes[exp_item],$H759,ExpensePayrollTaxes[company_name],$B1389)*AJ759)</f>
        <v>0</v>
      </c>
      <c r="AK1389" s="652">
        <f>IF($B1389="",,SUMIFS(SalaryPayrollTaxes[Month 26],SalaryPayrollTaxes[exp_item],$H1389,SalaryPayrollTaxes[company_name],$B1389,SalaryPayrollTaxes[bu_name],$C1389)*(AK444+AK549+AK654)+SUMIFS(ExpensePayrollTaxes[Month 26],ExpensePayrollTaxes[exp_item],$H759,ExpensePayrollTaxes[company_name],$B1389)*AK759)</f>
        <v>0</v>
      </c>
      <c r="AL1389" s="652">
        <f>IF($B1389="",,SUMIFS(SalaryPayrollTaxes[Month 27],SalaryPayrollTaxes[exp_item],$H1389,SalaryPayrollTaxes[company_name],$B1389,SalaryPayrollTaxes[bu_name],$C1389)*(AL444+AL549+AL654)+SUMIFS(ExpensePayrollTaxes[Month 27],ExpensePayrollTaxes[exp_item],$H759,ExpensePayrollTaxes[company_name],$B1389)*AL759)</f>
        <v>0</v>
      </c>
      <c r="AM1389" s="652">
        <f>IF($B1389="",,SUMIFS(SalaryPayrollTaxes[Month 28],SalaryPayrollTaxes[exp_item],$H1389,SalaryPayrollTaxes[company_name],$B1389,SalaryPayrollTaxes[bu_name],$C1389)*(AM444+AM549+AM654)+SUMIFS(ExpensePayrollTaxes[Month 28],ExpensePayrollTaxes[exp_item],$H759,ExpensePayrollTaxes[company_name],$B1389)*AM759)</f>
        <v>0</v>
      </c>
      <c r="AN1389" s="652">
        <f>IF($B1389="",,SUMIFS(SalaryPayrollTaxes[Month 29],SalaryPayrollTaxes[exp_item],$H1389,SalaryPayrollTaxes[company_name],$B1389,SalaryPayrollTaxes[bu_name],$C1389)*(AN444+AN549+AN654)+SUMIFS(ExpensePayrollTaxes[Month 29],ExpensePayrollTaxes[exp_item],$H759,ExpensePayrollTaxes[company_name],$B1389)*AN759)</f>
        <v>0</v>
      </c>
      <c r="AO1389" s="652">
        <f>IF($B1389="",,SUMIFS(SalaryPayrollTaxes[Month 30],SalaryPayrollTaxes[exp_item],$H1389,SalaryPayrollTaxes[company_name],$B1389,SalaryPayrollTaxes[bu_name],$C1389)*(AO444+AO549+AO654)+SUMIFS(ExpensePayrollTaxes[Month 30],ExpensePayrollTaxes[exp_item],$H759,ExpensePayrollTaxes[company_name],$B1389)*AO759)</f>
        <v>0</v>
      </c>
      <c r="AP1389" s="652">
        <f>IF($B1389="",,SUMIFS(SalaryPayrollTaxes[Month 31],SalaryPayrollTaxes[exp_item],$H1389,SalaryPayrollTaxes[company_name],$B1389,SalaryPayrollTaxes[bu_name],$C1389)*(AP444+AP549+AP654)+SUMIFS(ExpensePayrollTaxes[Month 31],ExpensePayrollTaxes[exp_item],$H759,ExpensePayrollTaxes[company_name],$B1389)*AP759)</f>
        <v>0</v>
      </c>
      <c r="AQ1389" s="652">
        <f>IF($B1389="",,SUMIFS(SalaryPayrollTaxes[Month 32],SalaryPayrollTaxes[exp_item],$H1389,SalaryPayrollTaxes[company_name],$B1389,SalaryPayrollTaxes[bu_name],$C1389)*(AQ444+AQ549+AQ654)+SUMIFS(ExpensePayrollTaxes[Month 32],ExpensePayrollTaxes[exp_item],$H759,ExpensePayrollTaxes[company_name],$B1389)*AQ759)</f>
        <v>0</v>
      </c>
      <c r="AR1389" s="652">
        <f>IF($B1389="",,SUMIFS(SalaryPayrollTaxes[Month 33],SalaryPayrollTaxes[exp_item],$H1389,SalaryPayrollTaxes[company_name],$B1389,SalaryPayrollTaxes[bu_name],$C1389)*(AR444+AR549+AR654)+SUMIFS(ExpensePayrollTaxes[Month 33],ExpensePayrollTaxes[exp_item],$H759,ExpensePayrollTaxes[company_name],$B1389)*AR759)</f>
        <v>0</v>
      </c>
      <c r="AS1389" s="652">
        <f>IF($B1389="",,SUMIFS(SalaryPayrollTaxes[Month 34],SalaryPayrollTaxes[exp_item],$H1389,SalaryPayrollTaxes[company_name],$B1389,SalaryPayrollTaxes[bu_name],$C1389)*(AS444+AS549+AS654)+SUMIFS(ExpensePayrollTaxes[Month 34],ExpensePayrollTaxes[exp_item],$H759,ExpensePayrollTaxes[company_name],$B1389)*AS759)</f>
        <v>0</v>
      </c>
      <c r="AT1389" s="652">
        <f>IF($B1389="",,SUMIFS(SalaryPayrollTaxes[Month 35],SalaryPayrollTaxes[exp_item],$H1389,SalaryPayrollTaxes[company_name],$B1389,SalaryPayrollTaxes[bu_name],$C1389)*(AT444+AT549+AT654)+SUMIFS(ExpensePayrollTaxes[Month 35],ExpensePayrollTaxes[exp_item],$H759,ExpensePayrollTaxes[company_name],$B1389)*AT759)</f>
        <v>0</v>
      </c>
      <c r="AU1389" s="652">
        <f>IF($B1389="",,SUMIFS(SalaryPayrollTaxes[Month 36],SalaryPayrollTaxes[exp_item],$H1389,SalaryPayrollTaxes[company_name],$B1389,SalaryPayrollTaxes[bu_name],$C1389)*(AU444+AU549+AU654)+SUMIFS(ExpensePayrollTaxes[Month 36],ExpensePayrollTaxes[exp_item],$H759,ExpensePayrollTaxes[company_name],$B1389)*AU759)</f>
        <v>0</v>
      </c>
    </row>
    <row r="1390" spans="2:47" x14ac:dyDescent="0.35">
      <c r="B1390" t="str">
        <f t="shared" si="994"/>
        <v/>
      </c>
      <c r="C1390" t="str">
        <f t="shared" si="994"/>
        <v/>
      </c>
      <c r="D1390" t="str">
        <f t="shared" si="994"/>
        <v/>
      </c>
      <c r="E1390" t="str">
        <f t="shared" si="994"/>
        <v/>
      </c>
      <c r="F1390" t="str">
        <f t="shared" si="994"/>
        <v/>
      </c>
      <c r="G1390" t="str">
        <f t="shared" si="994"/>
        <v/>
      </c>
      <c r="H1390" t="str">
        <f t="shared" si="989"/>
        <v/>
      </c>
      <c r="J1390" t="str">
        <f>IF($H1390="","",IF(VLOOKUP(H1390,ExpItems[],2,0),H1390&amp;" - "&amp;INDEX(DivisionMapping[category_code],MATCH($D1390&amp;$C1390,DivisionMapping[dept_bu],0)),H1390))</f>
        <v/>
      </c>
      <c r="K1390" t="str">
        <f t="shared" si="990"/>
        <v/>
      </c>
      <c r="L1390" s="652">
        <f>IF($B1390="",,SUMIFS(SalaryPayrollTaxes[Month 1],SalaryPayrollTaxes[exp_item],$H1390,SalaryPayrollTaxes[company_name],$B1390,SalaryPayrollTaxes[bu_name],$C1390)*(L445+L550+L655)+SUMIFS(ExpensePayrollTaxes[Month 1],ExpensePayrollTaxes[exp_item],$H760,ExpensePayrollTaxes[company_name],$B1390)*L760)</f>
        <v>0</v>
      </c>
      <c r="M1390" s="652">
        <f>IF($B1390="",,SUMIFS(SalaryPayrollTaxes[Month 2],SalaryPayrollTaxes[exp_item],$H1390,SalaryPayrollTaxes[company_name],$B1390,SalaryPayrollTaxes[bu_name],$C1390)*(M445+M550+M655)+SUMIFS(ExpensePayrollTaxes[Month 2],ExpensePayrollTaxes[exp_item],$H760,ExpensePayrollTaxes[company_name],$B1390)*M760)</f>
        <v>0</v>
      </c>
      <c r="N1390" s="652">
        <f>IF($B1390="",,SUMIFS(SalaryPayrollTaxes[Month 3],SalaryPayrollTaxes[exp_item],$H1390,SalaryPayrollTaxes[company_name],$B1390,SalaryPayrollTaxes[bu_name],$C1390)*(N445+N550+N655)+SUMIFS(ExpensePayrollTaxes[Month 3],ExpensePayrollTaxes[exp_item],$H760,ExpensePayrollTaxes[company_name],$B1390)*N760)</f>
        <v>0</v>
      </c>
      <c r="O1390" s="652">
        <f>IF($B1390="",,SUMIFS(SalaryPayrollTaxes[Month 4],SalaryPayrollTaxes[exp_item],$H1390,SalaryPayrollTaxes[company_name],$B1390,SalaryPayrollTaxes[bu_name],$C1390)*(O445+O550+O655)+SUMIFS(ExpensePayrollTaxes[Month 4],ExpensePayrollTaxes[exp_item],$H760,ExpensePayrollTaxes[company_name],$B1390)*O760)</f>
        <v>0</v>
      </c>
      <c r="P1390" s="652">
        <f>IF($B1390="",,SUMIFS(SalaryPayrollTaxes[Month 5],SalaryPayrollTaxes[exp_item],$H1390,SalaryPayrollTaxes[company_name],$B1390,SalaryPayrollTaxes[bu_name],$C1390)*(P445+P550+P655)+SUMIFS(ExpensePayrollTaxes[Month 5],ExpensePayrollTaxes[exp_item],$H760,ExpensePayrollTaxes[company_name],$B1390)*P760)</f>
        <v>0</v>
      </c>
      <c r="Q1390" s="652">
        <f>IF($B1390="",,SUMIFS(SalaryPayrollTaxes[Month 6],SalaryPayrollTaxes[exp_item],$H1390,SalaryPayrollTaxes[company_name],$B1390,SalaryPayrollTaxes[bu_name],$C1390)*(Q445+Q550+Q655)+SUMIFS(ExpensePayrollTaxes[Month 6],ExpensePayrollTaxes[exp_item],$H760,ExpensePayrollTaxes[company_name],$B1390)*Q760)</f>
        <v>0</v>
      </c>
      <c r="R1390" s="652">
        <f>IF($B1390="",,SUMIFS(SalaryPayrollTaxes[Month 7],SalaryPayrollTaxes[exp_item],$H1390,SalaryPayrollTaxes[company_name],$B1390,SalaryPayrollTaxes[bu_name],$C1390)*(R445+R550+R655)+SUMIFS(ExpensePayrollTaxes[Month 7],ExpensePayrollTaxes[exp_item],$H760,ExpensePayrollTaxes[company_name],$B1390)*R760)</f>
        <v>0</v>
      </c>
      <c r="S1390" s="652">
        <f>IF($B1390="",,SUMIFS(SalaryPayrollTaxes[Month 8],SalaryPayrollTaxes[exp_item],$H1390,SalaryPayrollTaxes[company_name],$B1390,SalaryPayrollTaxes[bu_name],$C1390)*(S445+S550+S655)+SUMIFS(ExpensePayrollTaxes[Month 8],ExpensePayrollTaxes[exp_item],$H760,ExpensePayrollTaxes[company_name],$B1390)*S760)</f>
        <v>0</v>
      </c>
      <c r="T1390" s="652">
        <f>IF($B1390="",,SUMIFS(SalaryPayrollTaxes[Month 9],SalaryPayrollTaxes[exp_item],$H1390,SalaryPayrollTaxes[company_name],$B1390,SalaryPayrollTaxes[bu_name],$C1390)*(T445+T550+T655)+SUMIFS(ExpensePayrollTaxes[Month 9],ExpensePayrollTaxes[exp_item],$H760,ExpensePayrollTaxes[company_name],$B1390)*T760)</f>
        <v>0</v>
      </c>
      <c r="U1390" s="652">
        <f>IF($B1390="",,SUMIFS(SalaryPayrollTaxes[Month 10],SalaryPayrollTaxes[exp_item],$H1390,SalaryPayrollTaxes[company_name],$B1390,SalaryPayrollTaxes[bu_name],$C1390)*(U445+U550+U655)+SUMIFS(ExpensePayrollTaxes[Month 10],ExpensePayrollTaxes[exp_item],$H760,ExpensePayrollTaxes[company_name],$B1390)*U760)</f>
        <v>0</v>
      </c>
      <c r="V1390" s="652">
        <f>IF($B1390="",,SUMIFS(SalaryPayrollTaxes[Month 11],SalaryPayrollTaxes[exp_item],$H1390,SalaryPayrollTaxes[company_name],$B1390,SalaryPayrollTaxes[bu_name],$C1390)*(V445+V550+V655)+SUMIFS(ExpensePayrollTaxes[Month 11],ExpensePayrollTaxes[exp_item],$H760,ExpensePayrollTaxes[company_name],$B1390)*V760)</f>
        <v>0</v>
      </c>
      <c r="W1390" s="652">
        <f>IF($B1390="",,SUMIFS(SalaryPayrollTaxes[Month 12],SalaryPayrollTaxes[exp_item],$H1390,SalaryPayrollTaxes[company_name],$B1390,SalaryPayrollTaxes[bu_name],$C1390)*(W445+W550+W655)+SUMIFS(ExpensePayrollTaxes[Month 12],ExpensePayrollTaxes[exp_item],$H760,ExpensePayrollTaxes[company_name],$B1390)*W760)</f>
        <v>0</v>
      </c>
      <c r="X1390" s="652">
        <f>IF($B1390="",,SUMIFS(SalaryPayrollTaxes[Month 13],SalaryPayrollTaxes[exp_item],$H1390,SalaryPayrollTaxes[company_name],$B1390,SalaryPayrollTaxes[bu_name],$C1390)*(X445+X550+X655)+SUMIFS(ExpensePayrollTaxes[Month 13],ExpensePayrollTaxes[exp_item],$H760,ExpensePayrollTaxes[company_name],$B1390)*X760)</f>
        <v>0</v>
      </c>
      <c r="Y1390" s="652">
        <f>IF($B1390="",,SUMIFS(SalaryPayrollTaxes[Month 14],SalaryPayrollTaxes[exp_item],$H1390,SalaryPayrollTaxes[company_name],$B1390,SalaryPayrollTaxes[bu_name],$C1390)*(Y445+Y550+Y655)+SUMIFS(ExpensePayrollTaxes[Month 14],ExpensePayrollTaxes[exp_item],$H760,ExpensePayrollTaxes[company_name],$B1390)*Y760)</f>
        <v>0</v>
      </c>
      <c r="Z1390" s="652">
        <f>IF($B1390="",,SUMIFS(SalaryPayrollTaxes[Month 15],SalaryPayrollTaxes[exp_item],$H1390,SalaryPayrollTaxes[company_name],$B1390,SalaryPayrollTaxes[bu_name],$C1390)*(Z445+Z550+Z655)+SUMIFS(ExpensePayrollTaxes[Month 15],ExpensePayrollTaxes[exp_item],$H760,ExpensePayrollTaxes[company_name],$B1390)*Z760)</f>
        <v>0</v>
      </c>
      <c r="AA1390" s="652">
        <f>IF($B1390="",,SUMIFS(SalaryPayrollTaxes[Month 16],SalaryPayrollTaxes[exp_item],$H1390,SalaryPayrollTaxes[company_name],$B1390,SalaryPayrollTaxes[bu_name],$C1390)*(AA445+AA550+AA655)+SUMIFS(ExpensePayrollTaxes[Month 16],ExpensePayrollTaxes[exp_item],$H760,ExpensePayrollTaxes[company_name],$B1390)*AA760)</f>
        <v>0</v>
      </c>
      <c r="AB1390" s="652">
        <f>IF($B1390="",,SUMIFS(SalaryPayrollTaxes[Month 17],SalaryPayrollTaxes[exp_item],$H1390,SalaryPayrollTaxes[company_name],$B1390,SalaryPayrollTaxes[bu_name],$C1390)*(AB445+AB550+AB655)+SUMIFS(ExpensePayrollTaxes[Month 17],ExpensePayrollTaxes[exp_item],$H760,ExpensePayrollTaxes[company_name],$B1390)*AB760)</f>
        <v>0</v>
      </c>
      <c r="AC1390" s="652">
        <f>IF($B1390="",,SUMIFS(SalaryPayrollTaxes[Month 18],SalaryPayrollTaxes[exp_item],$H1390,SalaryPayrollTaxes[company_name],$B1390,SalaryPayrollTaxes[bu_name],$C1390)*(AC445+AC550+AC655)+SUMIFS(ExpensePayrollTaxes[Month 18],ExpensePayrollTaxes[exp_item],$H760,ExpensePayrollTaxes[company_name],$B1390)*AC760)</f>
        <v>0</v>
      </c>
      <c r="AD1390" s="652">
        <f>IF($B1390="",,SUMIFS(SalaryPayrollTaxes[Month 19],SalaryPayrollTaxes[exp_item],$H1390,SalaryPayrollTaxes[company_name],$B1390,SalaryPayrollTaxes[bu_name],$C1390)*(AD445+AD550+AD655)+SUMIFS(ExpensePayrollTaxes[Month 19],ExpensePayrollTaxes[exp_item],$H760,ExpensePayrollTaxes[company_name],$B1390)*AD760)</f>
        <v>0</v>
      </c>
      <c r="AE1390" s="652">
        <f>IF($B1390="",,SUMIFS(SalaryPayrollTaxes[Month 20],SalaryPayrollTaxes[exp_item],$H1390,SalaryPayrollTaxes[company_name],$B1390,SalaryPayrollTaxes[bu_name],$C1390)*(AE445+AE550+AE655)+SUMIFS(ExpensePayrollTaxes[Month 20],ExpensePayrollTaxes[exp_item],$H760,ExpensePayrollTaxes[company_name],$B1390)*AE760)</f>
        <v>0</v>
      </c>
      <c r="AF1390" s="652">
        <f>IF($B1390="",,SUMIFS(SalaryPayrollTaxes[Month 21],SalaryPayrollTaxes[exp_item],$H1390,SalaryPayrollTaxes[company_name],$B1390,SalaryPayrollTaxes[bu_name],$C1390)*(AF445+AF550+AF655)+SUMIFS(ExpensePayrollTaxes[Month 21],ExpensePayrollTaxes[exp_item],$H760,ExpensePayrollTaxes[company_name],$B1390)*AF760)</f>
        <v>0</v>
      </c>
      <c r="AG1390" s="652">
        <f>IF($B1390="",,SUMIFS(SalaryPayrollTaxes[Month 22],SalaryPayrollTaxes[exp_item],$H1390,SalaryPayrollTaxes[company_name],$B1390,SalaryPayrollTaxes[bu_name],$C1390)*(AG445+AG550+AG655)+SUMIFS(ExpensePayrollTaxes[Month 22],ExpensePayrollTaxes[exp_item],$H760,ExpensePayrollTaxes[company_name],$B1390)*AG760)</f>
        <v>0</v>
      </c>
      <c r="AH1390" s="652">
        <f>IF($B1390="",,SUMIFS(SalaryPayrollTaxes[Month 23],SalaryPayrollTaxes[exp_item],$H1390,SalaryPayrollTaxes[company_name],$B1390,SalaryPayrollTaxes[bu_name],$C1390)*(AH445+AH550+AH655)+SUMIFS(ExpensePayrollTaxes[Month 23],ExpensePayrollTaxes[exp_item],$H760,ExpensePayrollTaxes[company_name],$B1390)*AH760)</f>
        <v>0</v>
      </c>
      <c r="AI1390" s="652">
        <f>IF($B1390="",,SUMIFS(SalaryPayrollTaxes[Month 24],SalaryPayrollTaxes[exp_item],$H1390,SalaryPayrollTaxes[company_name],$B1390,SalaryPayrollTaxes[bu_name],$C1390)*(AI445+AI550+AI655)+SUMIFS(ExpensePayrollTaxes[Month 24],ExpensePayrollTaxes[exp_item],$H760,ExpensePayrollTaxes[company_name],$B1390)*AI760)</f>
        <v>0</v>
      </c>
      <c r="AJ1390" s="652">
        <f>IF($B1390="",,SUMIFS(SalaryPayrollTaxes[Month 25],SalaryPayrollTaxes[exp_item],$H1390,SalaryPayrollTaxes[company_name],$B1390,SalaryPayrollTaxes[bu_name],$C1390)*(AJ445+AJ550+AJ655)+SUMIFS(ExpensePayrollTaxes[Month 25],ExpensePayrollTaxes[exp_item],$H760,ExpensePayrollTaxes[company_name],$B1390)*AJ760)</f>
        <v>0</v>
      </c>
      <c r="AK1390" s="652">
        <f>IF($B1390="",,SUMIFS(SalaryPayrollTaxes[Month 26],SalaryPayrollTaxes[exp_item],$H1390,SalaryPayrollTaxes[company_name],$B1390,SalaryPayrollTaxes[bu_name],$C1390)*(AK445+AK550+AK655)+SUMIFS(ExpensePayrollTaxes[Month 26],ExpensePayrollTaxes[exp_item],$H760,ExpensePayrollTaxes[company_name],$B1390)*AK760)</f>
        <v>0</v>
      </c>
      <c r="AL1390" s="652">
        <f>IF($B1390="",,SUMIFS(SalaryPayrollTaxes[Month 27],SalaryPayrollTaxes[exp_item],$H1390,SalaryPayrollTaxes[company_name],$B1390,SalaryPayrollTaxes[bu_name],$C1390)*(AL445+AL550+AL655)+SUMIFS(ExpensePayrollTaxes[Month 27],ExpensePayrollTaxes[exp_item],$H760,ExpensePayrollTaxes[company_name],$B1390)*AL760)</f>
        <v>0</v>
      </c>
      <c r="AM1390" s="652">
        <f>IF($B1390="",,SUMIFS(SalaryPayrollTaxes[Month 28],SalaryPayrollTaxes[exp_item],$H1390,SalaryPayrollTaxes[company_name],$B1390,SalaryPayrollTaxes[bu_name],$C1390)*(AM445+AM550+AM655)+SUMIFS(ExpensePayrollTaxes[Month 28],ExpensePayrollTaxes[exp_item],$H760,ExpensePayrollTaxes[company_name],$B1390)*AM760)</f>
        <v>0</v>
      </c>
      <c r="AN1390" s="652">
        <f>IF($B1390="",,SUMIFS(SalaryPayrollTaxes[Month 29],SalaryPayrollTaxes[exp_item],$H1390,SalaryPayrollTaxes[company_name],$B1390,SalaryPayrollTaxes[bu_name],$C1390)*(AN445+AN550+AN655)+SUMIFS(ExpensePayrollTaxes[Month 29],ExpensePayrollTaxes[exp_item],$H760,ExpensePayrollTaxes[company_name],$B1390)*AN760)</f>
        <v>0</v>
      </c>
      <c r="AO1390" s="652">
        <f>IF($B1390="",,SUMIFS(SalaryPayrollTaxes[Month 30],SalaryPayrollTaxes[exp_item],$H1390,SalaryPayrollTaxes[company_name],$B1390,SalaryPayrollTaxes[bu_name],$C1390)*(AO445+AO550+AO655)+SUMIFS(ExpensePayrollTaxes[Month 30],ExpensePayrollTaxes[exp_item],$H760,ExpensePayrollTaxes[company_name],$B1390)*AO760)</f>
        <v>0</v>
      </c>
      <c r="AP1390" s="652">
        <f>IF($B1390="",,SUMIFS(SalaryPayrollTaxes[Month 31],SalaryPayrollTaxes[exp_item],$H1390,SalaryPayrollTaxes[company_name],$B1390,SalaryPayrollTaxes[bu_name],$C1390)*(AP445+AP550+AP655)+SUMIFS(ExpensePayrollTaxes[Month 31],ExpensePayrollTaxes[exp_item],$H760,ExpensePayrollTaxes[company_name],$B1390)*AP760)</f>
        <v>0</v>
      </c>
      <c r="AQ1390" s="652">
        <f>IF($B1390="",,SUMIFS(SalaryPayrollTaxes[Month 32],SalaryPayrollTaxes[exp_item],$H1390,SalaryPayrollTaxes[company_name],$B1390,SalaryPayrollTaxes[bu_name],$C1390)*(AQ445+AQ550+AQ655)+SUMIFS(ExpensePayrollTaxes[Month 32],ExpensePayrollTaxes[exp_item],$H760,ExpensePayrollTaxes[company_name],$B1390)*AQ760)</f>
        <v>0</v>
      </c>
      <c r="AR1390" s="652">
        <f>IF($B1390="",,SUMIFS(SalaryPayrollTaxes[Month 33],SalaryPayrollTaxes[exp_item],$H1390,SalaryPayrollTaxes[company_name],$B1390,SalaryPayrollTaxes[bu_name],$C1390)*(AR445+AR550+AR655)+SUMIFS(ExpensePayrollTaxes[Month 33],ExpensePayrollTaxes[exp_item],$H760,ExpensePayrollTaxes[company_name],$B1390)*AR760)</f>
        <v>0</v>
      </c>
      <c r="AS1390" s="652">
        <f>IF($B1390="",,SUMIFS(SalaryPayrollTaxes[Month 34],SalaryPayrollTaxes[exp_item],$H1390,SalaryPayrollTaxes[company_name],$B1390,SalaryPayrollTaxes[bu_name],$C1390)*(AS445+AS550+AS655)+SUMIFS(ExpensePayrollTaxes[Month 34],ExpensePayrollTaxes[exp_item],$H760,ExpensePayrollTaxes[company_name],$B1390)*AS760)</f>
        <v>0</v>
      </c>
      <c r="AT1390" s="652">
        <f>IF($B1390="",,SUMIFS(SalaryPayrollTaxes[Month 35],SalaryPayrollTaxes[exp_item],$H1390,SalaryPayrollTaxes[company_name],$B1390,SalaryPayrollTaxes[bu_name],$C1390)*(AT445+AT550+AT655)+SUMIFS(ExpensePayrollTaxes[Month 35],ExpensePayrollTaxes[exp_item],$H760,ExpensePayrollTaxes[company_name],$B1390)*AT760)</f>
        <v>0</v>
      </c>
      <c r="AU1390" s="652">
        <f>IF($B1390="",,SUMIFS(SalaryPayrollTaxes[Month 36],SalaryPayrollTaxes[exp_item],$H1390,SalaryPayrollTaxes[company_name],$B1390,SalaryPayrollTaxes[bu_name],$C1390)*(AU445+AU550+AU655)+SUMIFS(ExpensePayrollTaxes[Month 36],ExpensePayrollTaxes[exp_item],$H760,ExpensePayrollTaxes[company_name],$B1390)*AU760)</f>
        <v>0</v>
      </c>
    </row>
    <row r="1391" spans="2:47" x14ac:dyDescent="0.35">
      <c r="B1391" t="str">
        <f t="shared" ref="B1391:G1400" si="995">IF(B1286="","",B1286)</f>
        <v/>
      </c>
      <c r="C1391" t="str">
        <f t="shared" si="995"/>
        <v/>
      </c>
      <c r="D1391" t="str">
        <f t="shared" si="995"/>
        <v/>
      </c>
      <c r="E1391" t="str">
        <f t="shared" si="995"/>
        <v/>
      </c>
      <c r="F1391" t="str">
        <f t="shared" si="995"/>
        <v/>
      </c>
      <c r="G1391" t="str">
        <f t="shared" si="995"/>
        <v/>
      </c>
      <c r="H1391" t="str">
        <f t="shared" si="989"/>
        <v/>
      </c>
      <c r="J1391" t="str">
        <f>IF($H1391="","",IF(VLOOKUP(H1391,ExpItems[],2,0),H1391&amp;" - "&amp;INDEX(DivisionMapping[category_code],MATCH($D1391&amp;$C1391,DivisionMapping[dept_bu],0)),H1391))</f>
        <v/>
      </c>
      <c r="K1391" t="str">
        <f t="shared" si="990"/>
        <v/>
      </c>
      <c r="L1391" s="652">
        <f>IF($B1391="",,SUMIFS(SalaryPayrollTaxes[Month 1],SalaryPayrollTaxes[exp_item],$H1391,SalaryPayrollTaxes[company_name],$B1391,SalaryPayrollTaxes[bu_name],$C1391)*(L446+L551+L656)+SUMIFS(ExpensePayrollTaxes[Month 1],ExpensePayrollTaxes[exp_item],$H761,ExpensePayrollTaxes[company_name],$B1391)*L761)</f>
        <v>0</v>
      </c>
      <c r="M1391" s="652">
        <f>IF($B1391="",,SUMIFS(SalaryPayrollTaxes[Month 2],SalaryPayrollTaxes[exp_item],$H1391,SalaryPayrollTaxes[company_name],$B1391,SalaryPayrollTaxes[bu_name],$C1391)*(M446+M551+M656)+SUMIFS(ExpensePayrollTaxes[Month 2],ExpensePayrollTaxes[exp_item],$H761,ExpensePayrollTaxes[company_name],$B1391)*M761)</f>
        <v>0</v>
      </c>
      <c r="N1391" s="652">
        <f>IF($B1391="",,SUMIFS(SalaryPayrollTaxes[Month 3],SalaryPayrollTaxes[exp_item],$H1391,SalaryPayrollTaxes[company_name],$B1391,SalaryPayrollTaxes[bu_name],$C1391)*(N446+N551+N656)+SUMIFS(ExpensePayrollTaxes[Month 3],ExpensePayrollTaxes[exp_item],$H761,ExpensePayrollTaxes[company_name],$B1391)*N761)</f>
        <v>0</v>
      </c>
      <c r="O1391" s="652">
        <f>IF($B1391="",,SUMIFS(SalaryPayrollTaxes[Month 4],SalaryPayrollTaxes[exp_item],$H1391,SalaryPayrollTaxes[company_name],$B1391,SalaryPayrollTaxes[bu_name],$C1391)*(O446+O551+O656)+SUMIFS(ExpensePayrollTaxes[Month 4],ExpensePayrollTaxes[exp_item],$H761,ExpensePayrollTaxes[company_name],$B1391)*O761)</f>
        <v>0</v>
      </c>
      <c r="P1391" s="652">
        <f>IF($B1391="",,SUMIFS(SalaryPayrollTaxes[Month 5],SalaryPayrollTaxes[exp_item],$H1391,SalaryPayrollTaxes[company_name],$B1391,SalaryPayrollTaxes[bu_name],$C1391)*(P446+P551+P656)+SUMIFS(ExpensePayrollTaxes[Month 5],ExpensePayrollTaxes[exp_item],$H761,ExpensePayrollTaxes[company_name],$B1391)*P761)</f>
        <v>0</v>
      </c>
      <c r="Q1391" s="652">
        <f>IF($B1391="",,SUMIFS(SalaryPayrollTaxes[Month 6],SalaryPayrollTaxes[exp_item],$H1391,SalaryPayrollTaxes[company_name],$B1391,SalaryPayrollTaxes[bu_name],$C1391)*(Q446+Q551+Q656)+SUMIFS(ExpensePayrollTaxes[Month 6],ExpensePayrollTaxes[exp_item],$H761,ExpensePayrollTaxes[company_name],$B1391)*Q761)</f>
        <v>0</v>
      </c>
      <c r="R1391" s="652">
        <f>IF($B1391="",,SUMIFS(SalaryPayrollTaxes[Month 7],SalaryPayrollTaxes[exp_item],$H1391,SalaryPayrollTaxes[company_name],$B1391,SalaryPayrollTaxes[bu_name],$C1391)*(R446+R551+R656)+SUMIFS(ExpensePayrollTaxes[Month 7],ExpensePayrollTaxes[exp_item],$H761,ExpensePayrollTaxes[company_name],$B1391)*R761)</f>
        <v>0</v>
      </c>
      <c r="S1391" s="652">
        <f>IF($B1391="",,SUMIFS(SalaryPayrollTaxes[Month 8],SalaryPayrollTaxes[exp_item],$H1391,SalaryPayrollTaxes[company_name],$B1391,SalaryPayrollTaxes[bu_name],$C1391)*(S446+S551+S656)+SUMIFS(ExpensePayrollTaxes[Month 8],ExpensePayrollTaxes[exp_item],$H761,ExpensePayrollTaxes[company_name],$B1391)*S761)</f>
        <v>0</v>
      </c>
      <c r="T1391" s="652">
        <f>IF($B1391="",,SUMIFS(SalaryPayrollTaxes[Month 9],SalaryPayrollTaxes[exp_item],$H1391,SalaryPayrollTaxes[company_name],$B1391,SalaryPayrollTaxes[bu_name],$C1391)*(T446+T551+T656)+SUMIFS(ExpensePayrollTaxes[Month 9],ExpensePayrollTaxes[exp_item],$H761,ExpensePayrollTaxes[company_name],$B1391)*T761)</f>
        <v>0</v>
      </c>
      <c r="U1391" s="652">
        <f>IF($B1391="",,SUMIFS(SalaryPayrollTaxes[Month 10],SalaryPayrollTaxes[exp_item],$H1391,SalaryPayrollTaxes[company_name],$B1391,SalaryPayrollTaxes[bu_name],$C1391)*(U446+U551+U656)+SUMIFS(ExpensePayrollTaxes[Month 10],ExpensePayrollTaxes[exp_item],$H761,ExpensePayrollTaxes[company_name],$B1391)*U761)</f>
        <v>0</v>
      </c>
      <c r="V1391" s="652">
        <f>IF($B1391="",,SUMIFS(SalaryPayrollTaxes[Month 11],SalaryPayrollTaxes[exp_item],$H1391,SalaryPayrollTaxes[company_name],$B1391,SalaryPayrollTaxes[bu_name],$C1391)*(V446+V551+V656)+SUMIFS(ExpensePayrollTaxes[Month 11],ExpensePayrollTaxes[exp_item],$H761,ExpensePayrollTaxes[company_name],$B1391)*V761)</f>
        <v>0</v>
      </c>
      <c r="W1391" s="652">
        <f>IF($B1391="",,SUMIFS(SalaryPayrollTaxes[Month 12],SalaryPayrollTaxes[exp_item],$H1391,SalaryPayrollTaxes[company_name],$B1391,SalaryPayrollTaxes[bu_name],$C1391)*(W446+W551+W656)+SUMIFS(ExpensePayrollTaxes[Month 12],ExpensePayrollTaxes[exp_item],$H761,ExpensePayrollTaxes[company_name],$B1391)*W761)</f>
        <v>0</v>
      </c>
      <c r="X1391" s="652">
        <f>IF($B1391="",,SUMIFS(SalaryPayrollTaxes[Month 13],SalaryPayrollTaxes[exp_item],$H1391,SalaryPayrollTaxes[company_name],$B1391,SalaryPayrollTaxes[bu_name],$C1391)*(X446+X551+X656)+SUMIFS(ExpensePayrollTaxes[Month 13],ExpensePayrollTaxes[exp_item],$H761,ExpensePayrollTaxes[company_name],$B1391)*X761)</f>
        <v>0</v>
      </c>
      <c r="Y1391" s="652">
        <f>IF($B1391="",,SUMIFS(SalaryPayrollTaxes[Month 14],SalaryPayrollTaxes[exp_item],$H1391,SalaryPayrollTaxes[company_name],$B1391,SalaryPayrollTaxes[bu_name],$C1391)*(Y446+Y551+Y656)+SUMIFS(ExpensePayrollTaxes[Month 14],ExpensePayrollTaxes[exp_item],$H761,ExpensePayrollTaxes[company_name],$B1391)*Y761)</f>
        <v>0</v>
      </c>
      <c r="Z1391" s="652">
        <f>IF($B1391="",,SUMIFS(SalaryPayrollTaxes[Month 15],SalaryPayrollTaxes[exp_item],$H1391,SalaryPayrollTaxes[company_name],$B1391,SalaryPayrollTaxes[bu_name],$C1391)*(Z446+Z551+Z656)+SUMIFS(ExpensePayrollTaxes[Month 15],ExpensePayrollTaxes[exp_item],$H761,ExpensePayrollTaxes[company_name],$B1391)*Z761)</f>
        <v>0</v>
      </c>
      <c r="AA1391" s="652">
        <f>IF($B1391="",,SUMIFS(SalaryPayrollTaxes[Month 16],SalaryPayrollTaxes[exp_item],$H1391,SalaryPayrollTaxes[company_name],$B1391,SalaryPayrollTaxes[bu_name],$C1391)*(AA446+AA551+AA656)+SUMIFS(ExpensePayrollTaxes[Month 16],ExpensePayrollTaxes[exp_item],$H761,ExpensePayrollTaxes[company_name],$B1391)*AA761)</f>
        <v>0</v>
      </c>
      <c r="AB1391" s="652">
        <f>IF($B1391="",,SUMIFS(SalaryPayrollTaxes[Month 17],SalaryPayrollTaxes[exp_item],$H1391,SalaryPayrollTaxes[company_name],$B1391,SalaryPayrollTaxes[bu_name],$C1391)*(AB446+AB551+AB656)+SUMIFS(ExpensePayrollTaxes[Month 17],ExpensePayrollTaxes[exp_item],$H761,ExpensePayrollTaxes[company_name],$B1391)*AB761)</f>
        <v>0</v>
      </c>
      <c r="AC1391" s="652">
        <f>IF($B1391="",,SUMIFS(SalaryPayrollTaxes[Month 18],SalaryPayrollTaxes[exp_item],$H1391,SalaryPayrollTaxes[company_name],$B1391,SalaryPayrollTaxes[bu_name],$C1391)*(AC446+AC551+AC656)+SUMIFS(ExpensePayrollTaxes[Month 18],ExpensePayrollTaxes[exp_item],$H761,ExpensePayrollTaxes[company_name],$B1391)*AC761)</f>
        <v>0</v>
      </c>
      <c r="AD1391" s="652">
        <f>IF($B1391="",,SUMIFS(SalaryPayrollTaxes[Month 19],SalaryPayrollTaxes[exp_item],$H1391,SalaryPayrollTaxes[company_name],$B1391,SalaryPayrollTaxes[bu_name],$C1391)*(AD446+AD551+AD656)+SUMIFS(ExpensePayrollTaxes[Month 19],ExpensePayrollTaxes[exp_item],$H761,ExpensePayrollTaxes[company_name],$B1391)*AD761)</f>
        <v>0</v>
      </c>
      <c r="AE1391" s="652">
        <f>IF($B1391="",,SUMIFS(SalaryPayrollTaxes[Month 20],SalaryPayrollTaxes[exp_item],$H1391,SalaryPayrollTaxes[company_name],$B1391,SalaryPayrollTaxes[bu_name],$C1391)*(AE446+AE551+AE656)+SUMIFS(ExpensePayrollTaxes[Month 20],ExpensePayrollTaxes[exp_item],$H761,ExpensePayrollTaxes[company_name],$B1391)*AE761)</f>
        <v>0</v>
      </c>
      <c r="AF1391" s="652">
        <f>IF($B1391="",,SUMIFS(SalaryPayrollTaxes[Month 21],SalaryPayrollTaxes[exp_item],$H1391,SalaryPayrollTaxes[company_name],$B1391,SalaryPayrollTaxes[bu_name],$C1391)*(AF446+AF551+AF656)+SUMIFS(ExpensePayrollTaxes[Month 21],ExpensePayrollTaxes[exp_item],$H761,ExpensePayrollTaxes[company_name],$B1391)*AF761)</f>
        <v>0</v>
      </c>
      <c r="AG1391" s="652">
        <f>IF($B1391="",,SUMIFS(SalaryPayrollTaxes[Month 22],SalaryPayrollTaxes[exp_item],$H1391,SalaryPayrollTaxes[company_name],$B1391,SalaryPayrollTaxes[bu_name],$C1391)*(AG446+AG551+AG656)+SUMIFS(ExpensePayrollTaxes[Month 22],ExpensePayrollTaxes[exp_item],$H761,ExpensePayrollTaxes[company_name],$B1391)*AG761)</f>
        <v>0</v>
      </c>
      <c r="AH1391" s="652">
        <f>IF($B1391="",,SUMIFS(SalaryPayrollTaxes[Month 23],SalaryPayrollTaxes[exp_item],$H1391,SalaryPayrollTaxes[company_name],$B1391,SalaryPayrollTaxes[bu_name],$C1391)*(AH446+AH551+AH656)+SUMIFS(ExpensePayrollTaxes[Month 23],ExpensePayrollTaxes[exp_item],$H761,ExpensePayrollTaxes[company_name],$B1391)*AH761)</f>
        <v>0</v>
      </c>
      <c r="AI1391" s="652">
        <f>IF($B1391="",,SUMIFS(SalaryPayrollTaxes[Month 24],SalaryPayrollTaxes[exp_item],$H1391,SalaryPayrollTaxes[company_name],$B1391,SalaryPayrollTaxes[bu_name],$C1391)*(AI446+AI551+AI656)+SUMIFS(ExpensePayrollTaxes[Month 24],ExpensePayrollTaxes[exp_item],$H761,ExpensePayrollTaxes[company_name],$B1391)*AI761)</f>
        <v>0</v>
      </c>
      <c r="AJ1391" s="652">
        <f>IF($B1391="",,SUMIFS(SalaryPayrollTaxes[Month 25],SalaryPayrollTaxes[exp_item],$H1391,SalaryPayrollTaxes[company_name],$B1391,SalaryPayrollTaxes[bu_name],$C1391)*(AJ446+AJ551+AJ656)+SUMIFS(ExpensePayrollTaxes[Month 25],ExpensePayrollTaxes[exp_item],$H761,ExpensePayrollTaxes[company_name],$B1391)*AJ761)</f>
        <v>0</v>
      </c>
      <c r="AK1391" s="652">
        <f>IF($B1391="",,SUMIFS(SalaryPayrollTaxes[Month 26],SalaryPayrollTaxes[exp_item],$H1391,SalaryPayrollTaxes[company_name],$B1391,SalaryPayrollTaxes[bu_name],$C1391)*(AK446+AK551+AK656)+SUMIFS(ExpensePayrollTaxes[Month 26],ExpensePayrollTaxes[exp_item],$H761,ExpensePayrollTaxes[company_name],$B1391)*AK761)</f>
        <v>0</v>
      </c>
      <c r="AL1391" s="652">
        <f>IF($B1391="",,SUMIFS(SalaryPayrollTaxes[Month 27],SalaryPayrollTaxes[exp_item],$H1391,SalaryPayrollTaxes[company_name],$B1391,SalaryPayrollTaxes[bu_name],$C1391)*(AL446+AL551+AL656)+SUMIFS(ExpensePayrollTaxes[Month 27],ExpensePayrollTaxes[exp_item],$H761,ExpensePayrollTaxes[company_name],$B1391)*AL761)</f>
        <v>0</v>
      </c>
      <c r="AM1391" s="652">
        <f>IF($B1391="",,SUMIFS(SalaryPayrollTaxes[Month 28],SalaryPayrollTaxes[exp_item],$H1391,SalaryPayrollTaxes[company_name],$B1391,SalaryPayrollTaxes[bu_name],$C1391)*(AM446+AM551+AM656)+SUMIFS(ExpensePayrollTaxes[Month 28],ExpensePayrollTaxes[exp_item],$H761,ExpensePayrollTaxes[company_name],$B1391)*AM761)</f>
        <v>0</v>
      </c>
      <c r="AN1391" s="652">
        <f>IF($B1391="",,SUMIFS(SalaryPayrollTaxes[Month 29],SalaryPayrollTaxes[exp_item],$H1391,SalaryPayrollTaxes[company_name],$B1391,SalaryPayrollTaxes[bu_name],$C1391)*(AN446+AN551+AN656)+SUMIFS(ExpensePayrollTaxes[Month 29],ExpensePayrollTaxes[exp_item],$H761,ExpensePayrollTaxes[company_name],$B1391)*AN761)</f>
        <v>0</v>
      </c>
      <c r="AO1391" s="652">
        <f>IF($B1391="",,SUMIFS(SalaryPayrollTaxes[Month 30],SalaryPayrollTaxes[exp_item],$H1391,SalaryPayrollTaxes[company_name],$B1391,SalaryPayrollTaxes[bu_name],$C1391)*(AO446+AO551+AO656)+SUMIFS(ExpensePayrollTaxes[Month 30],ExpensePayrollTaxes[exp_item],$H761,ExpensePayrollTaxes[company_name],$B1391)*AO761)</f>
        <v>0</v>
      </c>
      <c r="AP1391" s="652">
        <f>IF($B1391="",,SUMIFS(SalaryPayrollTaxes[Month 31],SalaryPayrollTaxes[exp_item],$H1391,SalaryPayrollTaxes[company_name],$B1391,SalaryPayrollTaxes[bu_name],$C1391)*(AP446+AP551+AP656)+SUMIFS(ExpensePayrollTaxes[Month 31],ExpensePayrollTaxes[exp_item],$H761,ExpensePayrollTaxes[company_name],$B1391)*AP761)</f>
        <v>0</v>
      </c>
      <c r="AQ1391" s="652">
        <f>IF($B1391="",,SUMIFS(SalaryPayrollTaxes[Month 32],SalaryPayrollTaxes[exp_item],$H1391,SalaryPayrollTaxes[company_name],$B1391,SalaryPayrollTaxes[bu_name],$C1391)*(AQ446+AQ551+AQ656)+SUMIFS(ExpensePayrollTaxes[Month 32],ExpensePayrollTaxes[exp_item],$H761,ExpensePayrollTaxes[company_name],$B1391)*AQ761)</f>
        <v>0</v>
      </c>
      <c r="AR1391" s="652">
        <f>IF($B1391="",,SUMIFS(SalaryPayrollTaxes[Month 33],SalaryPayrollTaxes[exp_item],$H1391,SalaryPayrollTaxes[company_name],$B1391,SalaryPayrollTaxes[bu_name],$C1391)*(AR446+AR551+AR656)+SUMIFS(ExpensePayrollTaxes[Month 33],ExpensePayrollTaxes[exp_item],$H761,ExpensePayrollTaxes[company_name],$B1391)*AR761)</f>
        <v>0</v>
      </c>
      <c r="AS1391" s="652">
        <f>IF($B1391="",,SUMIFS(SalaryPayrollTaxes[Month 34],SalaryPayrollTaxes[exp_item],$H1391,SalaryPayrollTaxes[company_name],$B1391,SalaryPayrollTaxes[bu_name],$C1391)*(AS446+AS551+AS656)+SUMIFS(ExpensePayrollTaxes[Month 34],ExpensePayrollTaxes[exp_item],$H761,ExpensePayrollTaxes[company_name],$B1391)*AS761)</f>
        <v>0</v>
      </c>
      <c r="AT1391" s="652">
        <f>IF($B1391="",,SUMIFS(SalaryPayrollTaxes[Month 35],SalaryPayrollTaxes[exp_item],$H1391,SalaryPayrollTaxes[company_name],$B1391,SalaryPayrollTaxes[bu_name],$C1391)*(AT446+AT551+AT656)+SUMIFS(ExpensePayrollTaxes[Month 35],ExpensePayrollTaxes[exp_item],$H761,ExpensePayrollTaxes[company_name],$B1391)*AT761)</f>
        <v>0</v>
      </c>
      <c r="AU1391" s="652">
        <f>IF($B1391="",,SUMIFS(SalaryPayrollTaxes[Month 36],SalaryPayrollTaxes[exp_item],$H1391,SalaryPayrollTaxes[company_name],$B1391,SalaryPayrollTaxes[bu_name],$C1391)*(AU446+AU551+AU656)+SUMIFS(ExpensePayrollTaxes[Month 36],ExpensePayrollTaxes[exp_item],$H761,ExpensePayrollTaxes[company_name],$B1391)*AU761)</f>
        <v>0</v>
      </c>
    </row>
    <row r="1392" spans="2:47" x14ac:dyDescent="0.35">
      <c r="B1392" t="str">
        <f t="shared" si="995"/>
        <v/>
      </c>
      <c r="C1392" t="str">
        <f t="shared" si="995"/>
        <v/>
      </c>
      <c r="D1392" t="str">
        <f t="shared" si="995"/>
        <v/>
      </c>
      <c r="E1392" t="str">
        <f t="shared" si="995"/>
        <v/>
      </c>
      <c r="F1392" t="str">
        <f t="shared" si="995"/>
        <v/>
      </c>
      <c r="G1392" t="str">
        <f t="shared" si="995"/>
        <v/>
      </c>
      <c r="H1392" t="str">
        <f t="shared" si="989"/>
        <v/>
      </c>
      <c r="J1392" t="str">
        <f>IF($H1392="","",IF(VLOOKUP(H1392,ExpItems[],2,0),H1392&amp;" - "&amp;INDEX(DivisionMapping[category_code],MATCH($D1392&amp;$C1392,DivisionMapping[dept_bu],0)),H1392))</f>
        <v/>
      </c>
      <c r="K1392" t="str">
        <f t="shared" si="990"/>
        <v/>
      </c>
      <c r="L1392" s="652">
        <f>IF($B1392="",,SUMIFS(SalaryPayrollTaxes[Month 1],SalaryPayrollTaxes[exp_item],$H1392,SalaryPayrollTaxes[company_name],$B1392,SalaryPayrollTaxes[bu_name],$C1392)*(L447+L552+L657)+SUMIFS(ExpensePayrollTaxes[Month 1],ExpensePayrollTaxes[exp_item],$H762,ExpensePayrollTaxes[company_name],$B1392)*L762)</f>
        <v>0</v>
      </c>
      <c r="M1392" s="652">
        <f>IF($B1392="",,SUMIFS(SalaryPayrollTaxes[Month 2],SalaryPayrollTaxes[exp_item],$H1392,SalaryPayrollTaxes[company_name],$B1392,SalaryPayrollTaxes[bu_name],$C1392)*(M447+M552+M657)+SUMIFS(ExpensePayrollTaxes[Month 2],ExpensePayrollTaxes[exp_item],$H762,ExpensePayrollTaxes[company_name],$B1392)*M762)</f>
        <v>0</v>
      </c>
      <c r="N1392" s="652">
        <f>IF($B1392="",,SUMIFS(SalaryPayrollTaxes[Month 3],SalaryPayrollTaxes[exp_item],$H1392,SalaryPayrollTaxes[company_name],$B1392,SalaryPayrollTaxes[bu_name],$C1392)*(N447+N552+N657)+SUMIFS(ExpensePayrollTaxes[Month 3],ExpensePayrollTaxes[exp_item],$H762,ExpensePayrollTaxes[company_name],$B1392)*N762)</f>
        <v>0</v>
      </c>
      <c r="O1392" s="652">
        <f>IF($B1392="",,SUMIFS(SalaryPayrollTaxes[Month 4],SalaryPayrollTaxes[exp_item],$H1392,SalaryPayrollTaxes[company_name],$B1392,SalaryPayrollTaxes[bu_name],$C1392)*(O447+O552+O657)+SUMIFS(ExpensePayrollTaxes[Month 4],ExpensePayrollTaxes[exp_item],$H762,ExpensePayrollTaxes[company_name],$B1392)*O762)</f>
        <v>0</v>
      </c>
      <c r="P1392" s="652">
        <f>IF($B1392="",,SUMIFS(SalaryPayrollTaxes[Month 5],SalaryPayrollTaxes[exp_item],$H1392,SalaryPayrollTaxes[company_name],$B1392,SalaryPayrollTaxes[bu_name],$C1392)*(P447+P552+P657)+SUMIFS(ExpensePayrollTaxes[Month 5],ExpensePayrollTaxes[exp_item],$H762,ExpensePayrollTaxes[company_name],$B1392)*P762)</f>
        <v>0</v>
      </c>
      <c r="Q1392" s="652">
        <f>IF($B1392="",,SUMIFS(SalaryPayrollTaxes[Month 6],SalaryPayrollTaxes[exp_item],$H1392,SalaryPayrollTaxes[company_name],$B1392,SalaryPayrollTaxes[bu_name],$C1392)*(Q447+Q552+Q657)+SUMIFS(ExpensePayrollTaxes[Month 6],ExpensePayrollTaxes[exp_item],$H762,ExpensePayrollTaxes[company_name],$B1392)*Q762)</f>
        <v>0</v>
      </c>
      <c r="R1392" s="652">
        <f>IF($B1392="",,SUMIFS(SalaryPayrollTaxes[Month 7],SalaryPayrollTaxes[exp_item],$H1392,SalaryPayrollTaxes[company_name],$B1392,SalaryPayrollTaxes[bu_name],$C1392)*(R447+R552+R657)+SUMIFS(ExpensePayrollTaxes[Month 7],ExpensePayrollTaxes[exp_item],$H762,ExpensePayrollTaxes[company_name],$B1392)*R762)</f>
        <v>0</v>
      </c>
      <c r="S1392" s="652">
        <f>IF($B1392="",,SUMIFS(SalaryPayrollTaxes[Month 8],SalaryPayrollTaxes[exp_item],$H1392,SalaryPayrollTaxes[company_name],$B1392,SalaryPayrollTaxes[bu_name],$C1392)*(S447+S552+S657)+SUMIFS(ExpensePayrollTaxes[Month 8],ExpensePayrollTaxes[exp_item],$H762,ExpensePayrollTaxes[company_name],$B1392)*S762)</f>
        <v>0</v>
      </c>
      <c r="T1392" s="652">
        <f>IF($B1392="",,SUMIFS(SalaryPayrollTaxes[Month 9],SalaryPayrollTaxes[exp_item],$H1392,SalaryPayrollTaxes[company_name],$B1392,SalaryPayrollTaxes[bu_name],$C1392)*(T447+T552+T657)+SUMIFS(ExpensePayrollTaxes[Month 9],ExpensePayrollTaxes[exp_item],$H762,ExpensePayrollTaxes[company_name],$B1392)*T762)</f>
        <v>0</v>
      </c>
      <c r="U1392" s="652">
        <f>IF($B1392="",,SUMIFS(SalaryPayrollTaxes[Month 10],SalaryPayrollTaxes[exp_item],$H1392,SalaryPayrollTaxes[company_name],$B1392,SalaryPayrollTaxes[bu_name],$C1392)*(U447+U552+U657)+SUMIFS(ExpensePayrollTaxes[Month 10],ExpensePayrollTaxes[exp_item],$H762,ExpensePayrollTaxes[company_name],$B1392)*U762)</f>
        <v>0</v>
      </c>
      <c r="V1392" s="652">
        <f>IF($B1392="",,SUMIFS(SalaryPayrollTaxes[Month 11],SalaryPayrollTaxes[exp_item],$H1392,SalaryPayrollTaxes[company_name],$B1392,SalaryPayrollTaxes[bu_name],$C1392)*(V447+V552+V657)+SUMIFS(ExpensePayrollTaxes[Month 11],ExpensePayrollTaxes[exp_item],$H762,ExpensePayrollTaxes[company_name],$B1392)*V762)</f>
        <v>0</v>
      </c>
      <c r="W1392" s="652">
        <f>IF($B1392="",,SUMIFS(SalaryPayrollTaxes[Month 12],SalaryPayrollTaxes[exp_item],$H1392,SalaryPayrollTaxes[company_name],$B1392,SalaryPayrollTaxes[bu_name],$C1392)*(W447+W552+W657)+SUMIFS(ExpensePayrollTaxes[Month 12],ExpensePayrollTaxes[exp_item],$H762,ExpensePayrollTaxes[company_name],$B1392)*W762)</f>
        <v>0</v>
      </c>
      <c r="X1392" s="652">
        <f>IF($B1392="",,SUMIFS(SalaryPayrollTaxes[Month 13],SalaryPayrollTaxes[exp_item],$H1392,SalaryPayrollTaxes[company_name],$B1392,SalaryPayrollTaxes[bu_name],$C1392)*(X447+X552+X657)+SUMIFS(ExpensePayrollTaxes[Month 13],ExpensePayrollTaxes[exp_item],$H762,ExpensePayrollTaxes[company_name],$B1392)*X762)</f>
        <v>0</v>
      </c>
      <c r="Y1392" s="652">
        <f>IF($B1392="",,SUMIFS(SalaryPayrollTaxes[Month 14],SalaryPayrollTaxes[exp_item],$H1392,SalaryPayrollTaxes[company_name],$B1392,SalaryPayrollTaxes[bu_name],$C1392)*(Y447+Y552+Y657)+SUMIFS(ExpensePayrollTaxes[Month 14],ExpensePayrollTaxes[exp_item],$H762,ExpensePayrollTaxes[company_name],$B1392)*Y762)</f>
        <v>0</v>
      </c>
      <c r="Z1392" s="652">
        <f>IF($B1392="",,SUMIFS(SalaryPayrollTaxes[Month 15],SalaryPayrollTaxes[exp_item],$H1392,SalaryPayrollTaxes[company_name],$B1392,SalaryPayrollTaxes[bu_name],$C1392)*(Z447+Z552+Z657)+SUMIFS(ExpensePayrollTaxes[Month 15],ExpensePayrollTaxes[exp_item],$H762,ExpensePayrollTaxes[company_name],$B1392)*Z762)</f>
        <v>0</v>
      </c>
      <c r="AA1392" s="652">
        <f>IF($B1392="",,SUMIFS(SalaryPayrollTaxes[Month 16],SalaryPayrollTaxes[exp_item],$H1392,SalaryPayrollTaxes[company_name],$B1392,SalaryPayrollTaxes[bu_name],$C1392)*(AA447+AA552+AA657)+SUMIFS(ExpensePayrollTaxes[Month 16],ExpensePayrollTaxes[exp_item],$H762,ExpensePayrollTaxes[company_name],$B1392)*AA762)</f>
        <v>0</v>
      </c>
      <c r="AB1392" s="652">
        <f>IF($B1392="",,SUMIFS(SalaryPayrollTaxes[Month 17],SalaryPayrollTaxes[exp_item],$H1392,SalaryPayrollTaxes[company_name],$B1392,SalaryPayrollTaxes[bu_name],$C1392)*(AB447+AB552+AB657)+SUMIFS(ExpensePayrollTaxes[Month 17],ExpensePayrollTaxes[exp_item],$H762,ExpensePayrollTaxes[company_name],$B1392)*AB762)</f>
        <v>0</v>
      </c>
      <c r="AC1392" s="652">
        <f>IF($B1392="",,SUMIFS(SalaryPayrollTaxes[Month 18],SalaryPayrollTaxes[exp_item],$H1392,SalaryPayrollTaxes[company_name],$B1392,SalaryPayrollTaxes[bu_name],$C1392)*(AC447+AC552+AC657)+SUMIFS(ExpensePayrollTaxes[Month 18],ExpensePayrollTaxes[exp_item],$H762,ExpensePayrollTaxes[company_name],$B1392)*AC762)</f>
        <v>0</v>
      </c>
      <c r="AD1392" s="652">
        <f>IF($B1392="",,SUMIFS(SalaryPayrollTaxes[Month 19],SalaryPayrollTaxes[exp_item],$H1392,SalaryPayrollTaxes[company_name],$B1392,SalaryPayrollTaxes[bu_name],$C1392)*(AD447+AD552+AD657)+SUMIFS(ExpensePayrollTaxes[Month 19],ExpensePayrollTaxes[exp_item],$H762,ExpensePayrollTaxes[company_name],$B1392)*AD762)</f>
        <v>0</v>
      </c>
      <c r="AE1392" s="652">
        <f>IF($B1392="",,SUMIFS(SalaryPayrollTaxes[Month 20],SalaryPayrollTaxes[exp_item],$H1392,SalaryPayrollTaxes[company_name],$B1392,SalaryPayrollTaxes[bu_name],$C1392)*(AE447+AE552+AE657)+SUMIFS(ExpensePayrollTaxes[Month 20],ExpensePayrollTaxes[exp_item],$H762,ExpensePayrollTaxes[company_name],$B1392)*AE762)</f>
        <v>0</v>
      </c>
      <c r="AF1392" s="652">
        <f>IF($B1392="",,SUMIFS(SalaryPayrollTaxes[Month 21],SalaryPayrollTaxes[exp_item],$H1392,SalaryPayrollTaxes[company_name],$B1392,SalaryPayrollTaxes[bu_name],$C1392)*(AF447+AF552+AF657)+SUMIFS(ExpensePayrollTaxes[Month 21],ExpensePayrollTaxes[exp_item],$H762,ExpensePayrollTaxes[company_name],$B1392)*AF762)</f>
        <v>0</v>
      </c>
      <c r="AG1392" s="652">
        <f>IF($B1392="",,SUMIFS(SalaryPayrollTaxes[Month 22],SalaryPayrollTaxes[exp_item],$H1392,SalaryPayrollTaxes[company_name],$B1392,SalaryPayrollTaxes[bu_name],$C1392)*(AG447+AG552+AG657)+SUMIFS(ExpensePayrollTaxes[Month 22],ExpensePayrollTaxes[exp_item],$H762,ExpensePayrollTaxes[company_name],$B1392)*AG762)</f>
        <v>0</v>
      </c>
      <c r="AH1392" s="652">
        <f>IF($B1392="",,SUMIFS(SalaryPayrollTaxes[Month 23],SalaryPayrollTaxes[exp_item],$H1392,SalaryPayrollTaxes[company_name],$B1392,SalaryPayrollTaxes[bu_name],$C1392)*(AH447+AH552+AH657)+SUMIFS(ExpensePayrollTaxes[Month 23],ExpensePayrollTaxes[exp_item],$H762,ExpensePayrollTaxes[company_name],$B1392)*AH762)</f>
        <v>0</v>
      </c>
      <c r="AI1392" s="652">
        <f>IF($B1392="",,SUMIFS(SalaryPayrollTaxes[Month 24],SalaryPayrollTaxes[exp_item],$H1392,SalaryPayrollTaxes[company_name],$B1392,SalaryPayrollTaxes[bu_name],$C1392)*(AI447+AI552+AI657)+SUMIFS(ExpensePayrollTaxes[Month 24],ExpensePayrollTaxes[exp_item],$H762,ExpensePayrollTaxes[company_name],$B1392)*AI762)</f>
        <v>0</v>
      </c>
      <c r="AJ1392" s="652">
        <f>IF($B1392="",,SUMIFS(SalaryPayrollTaxes[Month 25],SalaryPayrollTaxes[exp_item],$H1392,SalaryPayrollTaxes[company_name],$B1392,SalaryPayrollTaxes[bu_name],$C1392)*(AJ447+AJ552+AJ657)+SUMIFS(ExpensePayrollTaxes[Month 25],ExpensePayrollTaxes[exp_item],$H762,ExpensePayrollTaxes[company_name],$B1392)*AJ762)</f>
        <v>0</v>
      </c>
      <c r="AK1392" s="652">
        <f>IF($B1392="",,SUMIFS(SalaryPayrollTaxes[Month 26],SalaryPayrollTaxes[exp_item],$H1392,SalaryPayrollTaxes[company_name],$B1392,SalaryPayrollTaxes[bu_name],$C1392)*(AK447+AK552+AK657)+SUMIFS(ExpensePayrollTaxes[Month 26],ExpensePayrollTaxes[exp_item],$H762,ExpensePayrollTaxes[company_name],$B1392)*AK762)</f>
        <v>0</v>
      </c>
      <c r="AL1392" s="652">
        <f>IF($B1392="",,SUMIFS(SalaryPayrollTaxes[Month 27],SalaryPayrollTaxes[exp_item],$H1392,SalaryPayrollTaxes[company_name],$B1392,SalaryPayrollTaxes[bu_name],$C1392)*(AL447+AL552+AL657)+SUMIFS(ExpensePayrollTaxes[Month 27],ExpensePayrollTaxes[exp_item],$H762,ExpensePayrollTaxes[company_name],$B1392)*AL762)</f>
        <v>0</v>
      </c>
      <c r="AM1392" s="652">
        <f>IF($B1392="",,SUMIFS(SalaryPayrollTaxes[Month 28],SalaryPayrollTaxes[exp_item],$H1392,SalaryPayrollTaxes[company_name],$B1392,SalaryPayrollTaxes[bu_name],$C1392)*(AM447+AM552+AM657)+SUMIFS(ExpensePayrollTaxes[Month 28],ExpensePayrollTaxes[exp_item],$H762,ExpensePayrollTaxes[company_name],$B1392)*AM762)</f>
        <v>0</v>
      </c>
      <c r="AN1392" s="652">
        <f>IF($B1392="",,SUMIFS(SalaryPayrollTaxes[Month 29],SalaryPayrollTaxes[exp_item],$H1392,SalaryPayrollTaxes[company_name],$B1392,SalaryPayrollTaxes[bu_name],$C1392)*(AN447+AN552+AN657)+SUMIFS(ExpensePayrollTaxes[Month 29],ExpensePayrollTaxes[exp_item],$H762,ExpensePayrollTaxes[company_name],$B1392)*AN762)</f>
        <v>0</v>
      </c>
      <c r="AO1392" s="652">
        <f>IF($B1392="",,SUMIFS(SalaryPayrollTaxes[Month 30],SalaryPayrollTaxes[exp_item],$H1392,SalaryPayrollTaxes[company_name],$B1392,SalaryPayrollTaxes[bu_name],$C1392)*(AO447+AO552+AO657)+SUMIFS(ExpensePayrollTaxes[Month 30],ExpensePayrollTaxes[exp_item],$H762,ExpensePayrollTaxes[company_name],$B1392)*AO762)</f>
        <v>0</v>
      </c>
      <c r="AP1392" s="652">
        <f>IF($B1392="",,SUMIFS(SalaryPayrollTaxes[Month 31],SalaryPayrollTaxes[exp_item],$H1392,SalaryPayrollTaxes[company_name],$B1392,SalaryPayrollTaxes[bu_name],$C1392)*(AP447+AP552+AP657)+SUMIFS(ExpensePayrollTaxes[Month 31],ExpensePayrollTaxes[exp_item],$H762,ExpensePayrollTaxes[company_name],$B1392)*AP762)</f>
        <v>0</v>
      </c>
      <c r="AQ1392" s="652">
        <f>IF($B1392="",,SUMIFS(SalaryPayrollTaxes[Month 32],SalaryPayrollTaxes[exp_item],$H1392,SalaryPayrollTaxes[company_name],$B1392,SalaryPayrollTaxes[bu_name],$C1392)*(AQ447+AQ552+AQ657)+SUMIFS(ExpensePayrollTaxes[Month 32],ExpensePayrollTaxes[exp_item],$H762,ExpensePayrollTaxes[company_name],$B1392)*AQ762)</f>
        <v>0</v>
      </c>
      <c r="AR1392" s="652">
        <f>IF($B1392="",,SUMIFS(SalaryPayrollTaxes[Month 33],SalaryPayrollTaxes[exp_item],$H1392,SalaryPayrollTaxes[company_name],$B1392,SalaryPayrollTaxes[bu_name],$C1392)*(AR447+AR552+AR657)+SUMIFS(ExpensePayrollTaxes[Month 33],ExpensePayrollTaxes[exp_item],$H762,ExpensePayrollTaxes[company_name],$B1392)*AR762)</f>
        <v>0</v>
      </c>
      <c r="AS1392" s="652">
        <f>IF($B1392="",,SUMIFS(SalaryPayrollTaxes[Month 34],SalaryPayrollTaxes[exp_item],$H1392,SalaryPayrollTaxes[company_name],$B1392,SalaryPayrollTaxes[bu_name],$C1392)*(AS447+AS552+AS657)+SUMIFS(ExpensePayrollTaxes[Month 34],ExpensePayrollTaxes[exp_item],$H762,ExpensePayrollTaxes[company_name],$B1392)*AS762)</f>
        <v>0</v>
      </c>
      <c r="AT1392" s="652">
        <f>IF($B1392="",,SUMIFS(SalaryPayrollTaxes[Month 35],SalaryPayrollTaxes[exp_item],$H1392,SalaryPayrollTaxes[company_name],$B1392,SalaryPayrollTaxes[bu_name],$C1392)*(AT447+AT552+AT657)+SUMIFS(ExpensePayrollTaxes[Month 35],ExpensePayrollTaxes[exp_item],$H762,ExpensePayrollTaxes[company_name],$B1392)*AT762)</f>
        <v>0</v>
      </c>
      <c r="AU1392" s="652">
        <f>IF($B1392="",,SUMIFS(SalaryPayrollTaxes[Month 36],SalaryPayrollTaxes[exp_item],$H1392,SalaryPayrollTaxes[company_name],$B1392,SalaryPayrollTaxes[bu_name],$C1392)*(AU447+AU552+AU657)+SUMIFS(ExpensePayrollTaxes[Month 36],ExpensePayrollTaxes[exp_item],$H762,ExpensePayrollTaxes[company_name],$B1392)*AU762)</f>
        <v>0</v>
      </c>
    </row>
    <row r="1393" spans="2:47" x14ac:dyDescent="0.35">
      <c r="B1393" t="str">
        <f t="shared" si="995"/>
        <v/>
      </c>
      <c r="C1393" t="str">
        <f t="shared" si="995"/>
        <v/>
      </c>
      <c r="D1393" t="str">
        <f t="shared" si="995"/>
        <v/>
      </c>
      <c r="E1393" t="str">
        <f t="shared" si="995"/>
        <v/>
      </c>
      <c r="F1393" t="str">
        <f t="shared" si="995"/>
        <v/>
      </c>
      <c r="G1393" t="str">
        <f t="shared" si="995"/>
        <v/>
      </c>
      <c r="H1393" t="str">
        <f t="shared" si="989"/>
        <v/>
      </c>
      <c r="J1393" t="str">
        <f>IF($H1393="","",IF(VLOOKUP(H1393,ExpItems[],2,0),H1393&amp;" - "&amp;INDEX(DivisionMapping[category_code],MATCH($D1393&amp;$C1393,DivisionMapping[dept_bu],0)),H1393))</f>
        <v/>
      </c>
      <c r="K1393" t="str">
        <f t="shared" si="990"/>
        <v/>
      </c>
      <c r="L1393" s="652">
        <f>IF($B1393="",,SUMIFS(SalaryPayrollTaxes[Month 1],SalaryPayrollTaxes[exp_item],$H1393,SalaryPayrollTaxes[company_name],$B1393,SalaryPayrollTaxes[bu_name],$C1393)*(L448+L553+L658)+SUMIFS(ExpensePayrollTaxes[Month 1],ExpensePayrollTaxes[exp_item],$H763,ExpensePayrollTaxes[company_name],$B1393)*L763)</f>
        <v>0</v>
      </c>
      <c r="M1393" s="652">
        <f>IF($B1393="",,SUMIFS(SalaryPayrollTaxes[Month 2],SalaryPayrollTaxes[exp_item],$H1393,SalaryPayrollTaxes[company_name],$B1393,SalaryPayrollTaxes[bu_name],$C1393)*(M448+M553+M658)+SUMIFS(ExpensePayrollTaxes[Month 2],ExpensePayrollTaxes[exp_item],$H763,ExpensePayrollTaxes[company_name],$B1393)*M763)</f>
        <v>0</v>
      </c>
      <c r="N1393" s="652">
        <f>IF($B1393="",,SUMIFS(SalaryPayrollTaxes[Month 3],SalaryPayrollTaxes[exp_item],$H1393,SalaryPayrollTaxes[company_name],$B1393,SalaryPayrollTaxes[bu_name],$C1393)*(N448+N553+N658)+SUMIFS(ExpensePayrollTaxes[Month 3],ExpensePayrollTaxes[exp_item],$H763,ExpensePayrollTaxes[company_name],$B1393)*N763)</f>
        <v>0</v>
      </c>
      <c r="O1393" s="652">
        <f>IF($B1393="",,SUMIFS(SalaryPayrollTaxes[Month 4],SalaryPayrollTaxes[exp_item],$H1393,SalaryPayrollTaxes[company_name],$B1393,SalaryPayrollTaxes[bu_name],$C1393)*(O448+O553+O658)+SUMIFS(ExpensePayrollTaxes[Month 4],ExpensePayrollTaxes[exp_item],$H763,ExpensePayrollTaxes[company_name],$B1393)*O763)</f>
        <v>0</v>
      </c>
      <c r="P1393" s="652">
        <f>IF($B1393="",,SUMIFS(SalaryPayrollTaxes[Month 5],SalaryPayrollTaxes[exp_item],$H1393,SalaryPayrollTaxes[company_name],$B1393,SalaryPayrollTaxes[bu_name],$C1393)*(P448+P553+P658)+SUMIFS(ExpensePayrollTaxes[Month 5],ExpensePayrollTaxes[exp_item],$H763,ExpensePayrollTaxes[company_name],$B1393)*P763)</f>
        <v>0</v>
      </c>
      <c r="Q1393" s="652">
        <f>IF($B1393="",,SUMIFS(SalaryPayrollTaxes[Month 6],SalaryPayrollTaxes[exp_item],$H1393,SalaryPayrollTaxes[company_name],$B1393,SalaryPayrollTaxes[bu_name],$C1393)*(Q448+Q553+Q658)+SUMIFS(ExpensePayrollTaxes[Month 6],ExpensePayrollTaxes[exp_item],$H763,ExpensePayrollTaxes[company_name],$B1393)*Q763)</f>
        <v>0</v>
      </c>
      <c r="R1393" s="652">
        <f>IF($B1393="",,SUMIFS(SalaryPayrollTaxes[Month 7],SalaryPayrollTaxes[exp_item],$H1393,SalaryPayrollTaxes[company_name],$B1393,SalaryPayrollTaxes[bu_name],$C1393)*(R448+R553+R658)+SUMIFS(ExpensePayrollTaxes[Month 7],ExpensePayrollTaxes[exp_item],$H763,ExpensePayrollTaxes[company_name],$B1393)*R763)</f>
        <v>0</v>
      </c>
      <c r="S1393" s="652">
        <f>IF($B1393="",,SUMIFS(SalaryPayrollTaxes[Month 8],SalaryPayrollTaxes[exp_item],$H1393,SalaryPayrollTaxes[company_name],$B1393,SalaryPayrollTaxes[bu_name],$C1393)*(S448+S553+S658)+SUMIFS(ExpensePayrollTaxes[Month 8],ExpensePayrollTaxes[exp_item],$H763,ExpensePayrollTaxes[company_name],$B1393)*S763)</f>
        <v>0</v>
      </c>
      <c r="T1393" s="652">
        <f>IF($B1393="",,SUMIFS(SalaryPayrollTaxes[Month 9],SalaryPayrollTaxes[exp_item],$H1393,SalaryPayrollTaxes[company_name],$B1393,SalaryPayrollTaxes[bu_name],$C1393)*(T448+T553+T658)+SUMIFS(ExpensePayrollTaxes[Month 9],ExpensePayrollTaxes[exp_item],$H763,ExpensePayrollTaxes[company_name],$B1393)*T763)</f>
        <v>0</v>
      </c>
      <c r="U1393" s="652">
        <f>IF($B1393="",,SUMIFS(SalaryPayrollTaxes[Month 10],SalaryPayrollTaxes[exp_item],$H1393,SalaryPayrollTaxes[company_name],$B1393,SalaryPayrollTaxes[bu_name],$C1393)*(U448+U553+U658)+SUMIFS(ExpensePayrollTaxes[Month 10],ExpensePayrollTaxes[exp_item],$H763,ExpensePayrollTaxes[company_name],$B1393)*U763)</f>
        <v>0</v>
      </c>
      <c r="V1393" s="652">
        <f>IF($B1393="",,SUMIFS(SalaryPayrollTaxes[Month 11],SalaryPayrollTaxes[exp_item],$H1393,SalaryPayrollTaxes[company_name],$B1393,SalaryPayrollTaxes[bu_name],$C1393)*(V448+V553+V658)+SUMIFS(ExpensePayrollTaxes[Month 11],ExpensePayrollTaxes[exp_item],$H763,ExpensePayrollTaxes[company_name],$B1393)*V763)</f>
        <v>0</v>
      </c>
      <c r="W1393" s="652">
        <f>IF($B1393="",,SUMIFS(SalaryPayrollTaxes[Month 12],SalaryPayrollTaxes[exp_item],$H1393,SalaryPayrollTaxes[company_name],$B1393,SalaryPayrollTaxes[bu_name],$C1393)*(W448+W553+W658)+SUMIFS(ExpensePayrollTaxes[Month 12],ExpensePayrollTaxes[exp_item],$H763,ExpensePayrollTaxes[company_name],$B1393)*W763)</f>
        <v>0</v>
      </c>
      <c r="X1393" s="652">
        <f>IF($B1393="",,SUMIFS(SalaryPayrollTaxes[Month 13],SalaryPayrollTaxes[exp_item],$H1393,SalaryPayrollTaxes[company_name],$B1393,SalaryPayrollTaxes[bu_name],$C1393)*(X448+X553+X658)+SUMIFS(ExpensePayrollTaxes[Month 13],ExpensePayrollTaxes[exp_item],$H763,ExpensePayrollTaxes[company_name],$B1393)*X763)</f>
        <v>0</v>
      </c>
      <c r="Y1393" s="652">
        <f>IF($B1393="",,SUMIFS(SalaryPayrollTaxes[Month 14],SalaryPayrollTaxes[exp_item],$H1393,SalaryPayrollTaxes[company_name],$B1393,SalaryPayrollTaxes[bu_name],$C1393)*(Y448+Y553+Y658)+SUMIFS(ExpensePayrollTaxes[Month 14],ExpensePayrollTaxes[exp_item],$H763,ExpensePayrollTaxes[company_name],$B1393)*Y763)</f>
        <v>0</v>
      </c>
      <c r="Z1393" s="652">
        <f>IF($B1393="",,SUMIFS(SalaryPayrollTaxes[Month 15],SalaryPayrollTaxes[exp_item],$H1393,SalaryPayrollTaxes[company_name],$B1393,SalaryPayrollTaxes[bu_name],$C1393)*(Z448+Z553+Z658)+SUMIFS(ExpensePayrollTaxes[Month 15],ExpensePayrollTaxes[exp_item],$H763,ExpensePayrollTaxes[company_name],$B1393)*Z763)</f>
        <v>0</v>
      </c>
      <c r="AA1393" s="652">
        <f>IF($B1393="",,SUMIFS(SalaryPayrollTaxes[Month 16],SalaryPayrollTaxes[exp_item],$H1393,SalaryPayrollTaxes[company_name],$B1393,SalaryPayrollTaxes[bu_name],$C1393)*(AA448+AA553+AA658)+SUMIFS(ExpensePayrollTaxes[Month 16],ExpensePayrollTaxes[exp_item],$H763,ExpensePayrollTaxes[company_name],$B1393)*AA763)</f>
        <v>0</v>
      </c>
      <c r="AB1393" s="652">
        <f>IF($B1393="",,SUMIFS(SalaryPayrollTaxes[Month 17],SalaryPayrollTaxes[exp_item],$H1393,SalaryPayrollTaxes[company_name],$B1393,SalaryPayrollTaxes[bu_name],$C1393)*(AB448+AB553+AB658)+SUMIFS(ExpensePayrollTaxes[Month 17],ExpensePayrollTaxes[exp_item],$H763,ExpensePayrollTaxes[company_name],$B1393)*AB763)</f>
        <v>0</v>
      </c>
      <c r="AC1393" s="652">
        <f>IF($B1393="",,SUMIFS(SalaryPayrollTaxes[Month 18],SalaryPayrollTaxes[exp_item],$H1393,SalaryPayrollTaxes[company_name],$B1393,SalaryPayrollTaxes[bu_name],$C1393)*(AC448+AC553+AC658)+SUMIFS(ExpensePayrollTaxes[Month 18],ExpensePayrollTaxes[exp_item],$H763,ExpensePayrollTaxes[company_name],$B1393)*AC763)</f>
        <v>0</v>
      </c>
      <c r="AD1393" s="652">
        <f>IF($B1393="",,SUMIFS(SalaryPayrollTaxes[Month 19],SalaryPayrollTaxes[exp_item],$H1393,SalaryPayrollTaxes[company_name],$B1393,SalaryPayrollTaxes[bu_name],$C1393)*(AD448+AD553+AD658)+SUMIFS(ExpensePayrollTaxes[Month 19],ExpensePayrollTaxes[exp_item],$H763,ExpensePayrollTaxes[company_name],$B1393)*AD763)</f>
        <v>0</v>
      </c>
      <c r="AE1393" s="652">
        <f>IF($B1393="",,SUMIFS(SalaryPayrollTaxes[Month 20],SalaryPayrollTaxes[exp_item],$H1393,SalaryPayrollTaxes[company_name],$B1393,SalaryPayrollTaxes[bu_name],$C1393)*(AE448+AE553+AE658)+SUMIFS(ExpensePayrollTaxes[Month 20],ExpensePayrollTaxes[exp_item],$H763,ExpensePayrollTaxes[company_name],$B1393)*AE763)</f>
        <v>0</v>
      </c>
      <c r="AF1393" s="652">
        <f>IF($B1393="",,SUMIFS(SalaryPayrollTaxes[Month 21],SalaryPayrollTaxes[exp_item],$H1393,SalaryPayrollTaxes[company_name],$B1393,SalaryPayrollTaxes[bu_name],$C1393)*(AF448+AF553+AF658)+SUMIFS(ExpensePayrollTaxes[Month 21],ExpensePayrollTaxes[exp_item],$H763,ExpensePayrollTaxes[company_name],$B1393)*AF763)</f>
        <v>0</v>
      </c>
      <c r="AG1393" s="652">
        <f>IF($B1393="",,SUMIFS(SalaryPayrollTaxes[Month 22],SalaryPayrollTaxes[exp_item],$H1393,SalaryPayrollTaxes[company_name],$B1393,SalaryPayrollTaxes[bu_name],$C1393)*(AG448+AG553+AG658)+SUMIFS(ExpensePayrollTaxes[Month 22],ExpensePayrollTaxes[exp_item],$H763,ExpensePayrollTaxes[company_name],$B1393)*AG763)</f>
        <v>0</v>
      </c>
      <c r="AH1393" s="652">
        <f>IF($B1393="",,SUMIFS(SalaryPayrollTaxes[Month 23],SalaryPayrollTaxes[exp_item],$H1393,SalaryPayrollTaxes[company_name],$B1393,SalaryPayrollTaxes[bu_name],$C1393)*(AH448+AH553+AH658)+SUMIFS(ExpensePayrollTaxes[Month 23],ExpensePayrollTaxes[exp_item],$H763,ExpensePayrollTaxes[company_name],$B1393)*AH763)</f>
        <v>0</v>
      </c>
      <c r="AI1393" s="652">
        <f>IF($B1393="",,SUMIFS(SalaryPayrollTaxes[Month 24],SalaryPayrollTaxes[exp_item],$H1393,SalaryPayrollTaxes[company_name],$B1393,SalaryPayrollTaxes[bu_name],$C1393)*(AI448+AI553+AI658)+SUMIFS(ExpensePayrollTaxes[Month 24],ExpensePayrollTaxes[exp_item],$H763,ExpensePayrollTaxes[company_name],$B1393)*AI763)</f>
        <v>0</v>
      </c>
      <c r="AJ1393" s="652">
        <f>IF($B1393="",,SUMIFS(SalaryPayrollTaxes[Month 25],SalaryPayrollTaxes[exp_item],$H1393,SalaryPayrollTaxes[company_name],$B1393,SalaryPayrollTaxes[bu_name],$C1393)*(AJ448+AJ553+AJ658)+SUMIFS(ExpensePayrollTaxes[Month 25],ExpensePayrollTaxes[exp_item],$H763,ExpensePayrollTaxes[company_name],$B1393)*AJ763)</f>
        <v>0</v>
      </c>
      <c r="AK1393" s="652">
        <f>IF($B1393="",,SUMIFS(SalaryPayrollTaxes[Month 26],SalaryPayrollTaxes[exp_item],$H1393,SalaryPayrollTaxes[company_name],$B1393,SalaryPayrollTaxes[bu_name],$C1393)*(AK448+AK553+AK658)+SUMIFS(ExpensePayrollTaxes[Month 26],ExpensePayrollTaxes[exp_item],$H763,ExpensePayrollTaxes[company_name],$B1393)*AK763)</f>
        <v>0</v>
      </c>
      <c r="AL1393" s="652">
        <f>IF($B1393="",,SUMIFS(SalaryPayrollTaxes[Month 27],SalaryPayrollTaxes[exp_item],$H1393,SalaryPayrollTaxes[company_name],$B1393,SalaryPayrollTaxes[bu_name],$C1393)*(AL448+AL553+AL658)+SUMIFS(ExpensePayrollTaxes[Month 27],ExpensePayrollTaxes[exp_item],$H763,ExpensePayrollTaxes[company_name],$B1393)*AL763)</f>
        <v>0</v>
      </c>
      <c r="AM1393" s="652">
        <f>IF($B1393="",,SUMIFS(SalaryPayrollTaxes[Month 28],SalaryPayrollTaxes[exp_item],$H1393,SalaryPayrollTaxes[company_name],$B1393,SalaryPayrollTaxes[bu_name],$C1393)*(AM448+AM553+AM658)+SUMIFS(ExpensePayrollTaxes[Month 28],ExpensePayrollTaxes[exp_item],$H763,ExpensePayrollTaxes[company_name],$B1393)*AM763)</f>
        <v>0</v>
      </c>
      <c r="AN1393" s="652">
        <f>IF($B1393="",,SUMIFS(SalaryPayrollTaxes[Month 29],SalaryPayrollTaxes[exp_item],$H1393,SalaryPayrollTaxes[company_name],$B1393,SalaryPayrollTaxes[bu_name],$C1393)*(AN448+AN553+AN658)+SUMIFS(ExpensePayrollTaxes[Month 29],ExpensePayrollTaxes[exp_item],$H763,ExpensePayrollTaxes[company_name],$B1393)*AN763)</f>
        <v>0</v>
      </c>
      <c r="AO1393" s="652">
        <f>IF($B1393="",,SUMIFS(SalaryPayrollTaxes[Month 30],SalaryPayrollTaxes[exp_item],$H1393,SalaryPayrollTaxes[company_name],$B1393,SalaryPayrollTaxes[bu_name],$C1393)*(AO448+AO553+AO658)+SUMIFS(ExpensePayrollTaxes[Month 30],ExpensePayrollTaxes[exp_item],$H763,ExpensePayrollTaxes[company_name],$B1393)*AO763)</f>
        <v>0</v>
      </c>
      <c r="AP1393" s="652">
        <f>IF($B1393="",,SUMIFS(SalaryPayrollTaxes[Month 31],SalaryPayrollTaxes[exp_item],$H1393,SalaryPayrollTaxes[company_name],$B1393,SalaryPayrollTaxes[bu_name],$C1393)*(AP448+AP553+AP658)+SUMIFS(ExpensePayrollTaxes[Month 31],ExpensePayrollTaxes[exp_item],$H763,ExpensePayrollTaxes[company_name],$B1393)*AP763)</f>
        <v>0</v>
      </c>
      <c r="AQ1393" s="652">
        <f>IF($B1393="",,SUMIFS(SalaryPayrollTaxes[Month 32],SalaryPayrollTaxes[exp_item],$H1393,SalaryPayrollTaxes[company_name],$B1393,SalaryPayrollTaxes[bu_name],$C1393)*(AQ448+AQ553+AQ658)+SUMIFS(ExpensePayrollTaxes[Month 32],ExpensePayrollTaxes[exp_item],$H763,ExpensePayrollTaxes[company_name],$B1393)*AQ763)</f>
        <v>0</v>
      </c>
      <c r="AR1393" s="652">
        <f>IF($B1393="",,SUMIFS(SalaryPayrollTaxes[Month 33],SalaryPayrollTaxes[exp_item],$H1393,SalaryPayrollTaxes[company_name],$B1393,SalaryPayrollTaxes[bu_name],$C1393)*(AR448+AR553+AR658)+SUMIFS(ExpensePayrollTaxes[Month 33],ExpensePayrollTaxes[exp_item],$H763,ExpensePayrollTaxes[company_name],$B1393)*AR763)</f>
        <v>0</v>
      </c>
      <c r="AS1393" s="652">
        <f>IF($B1393="",,SUMIFS(SalaryPayrollTaxes[Month 34],SalaryPayrollTaxes[exp_item],$H1393,SalaryPayrollTaxes[company_name],$B1393,SalaryPayrollTaxes[bu_name],$C1393)*(AS448+AS553+AS658)+SUMIFS(ExpensePayrollTaxes[Month 34],ExpensePayrollTaxes[exp_item],$H763,ExpensePayrollTaxes[company_name],$B1393)*AS763)</f>
        <v>0</v>
      </c>
      <c r="AT1393" s="652">
        <f>IF($B1393="",,SUMIFS(SalaryPayrollTaxes[Month 35],SalaryPayrollTaxes[exp_item],$H1393,SalaryPayrollTaxes[company_name],$B1393,SalaryPayrollTaxes[bu_name],$C1393)*(AT448+AT553+AT658)+SUMIFS(ExpensePayrollTaxes[Month 35],ExpensePayrollTaxes[exp_item],$H763,ExpensePayrollTaxes[company_name],$B1393)*AT763)</f>
        <v>0</v>
      </c>
      <c r="AU1393" s="652">
        <f>IF($B1393="",,SUMIFS(SalaryPayrollTaxes[Month 36],SalaryPayrollTaxes[exp_item],$H1393,SalaryPayrollTaxes[company_name],$B1393,SalaryPayrollTaxes[bu_name],$C1393)*(AU448+AU553+AU658)+SUMIFS(ExpensePayrollTaxes[Month 36],ExpensePayrollTaxes[exp_item],$H763,ExpensePayrollTaxes[company_name],$B1393)*AU763)</f>
        <v>0</v>
      </c>
    </row>
    <row r="1394" spans="2:47" x14ac:dyDescent="0.35">
      <c r="B1394" t="str">
        <f t="shared" si="995"/>
        <v/>
      </c>
      <c r="C1394" t="str">
        <f t="shared" si="995"/>
        <v/>
      </c>
      <c r="D1394" t="str">
        <f t="shared" si="995"/>
        <v/>
      </c>
      <c r="E1394" t="str">
        <f t="shared" si="995"/>
        <v/>
      </c>
      <c r="F1394" t="str">
        <f t="shared" si="995"/>
        <v/>
      </c>
      <c r="G1394" t="str">
        <f t="shared" si="995"/>
        <v/>
      </c>
      <c r="H1394" t="str">
        <f t="shared" si="989"/>
        <v/>
      </c>
      <c r="J1394" t="str">
        <f>IF($H1394="","",IF(VLOOKUP(H1394,ExpItems[],2,0),H1394&amp;" - "&amp;INDEX(DivisionMapping[category_code],MATCH($D1394&amp;$C1394,DivisionMapping[dept_bu],0)),H1394))</f>
        <v/>
      </c>
      <c r="K1394" t="str">
        <f t="shared" si="990"/>
        <v/>
      </c>
      <c r="L1394" s="652">
        <f>IF($B1394="",,SUMIFS(SalaryPayrollTaxes[Month 1],SalaryPayrollTaxes[exp_item],$H1394,SalaryPayrollTaxes[company_name],$B1394,SalaryPayrollTaxes[bu_name],$C1394)*(L449+L554+L659)+SUMIFS(ExpensePayrollTaxes[Month 1],ExpensePayrollTaxes[exp_item],$H764,ExpensePayrollTaxes[company_name],$B1394)*L764)</f>
        <v>0</v>
      </c>
      <c r="M1394" s="652">
        <f>IF($B1394="",,SUMIFS(SalaryPayrollTaxes[Month 2],SalaryPayrollTaxes[exp_item],$H1394,SalaryPayrollTaxes[company_name],$B1394,SalaryPayrollTaxes[bu_name],$C1394)*(M449+M554+M659)+SUMIFS(ExpensePayrollTaxes[Month 2],ExpensePayrollTaxes[exp_item],$H764,ExpensePayrollTaxes[company_name],$B1394)*M764)</f>
        <v>0</v>
      </c>
      <c r="N1394" s="652">
        <f>IF($B1394="",,SUMIFS(SalaryPayrollTaxes[Month 3],SalaryPayrollTaxes[exp_item],$H1394,SalaryPayrollTaxes[company_name],$B1394,SalaryPayrollTaxes[bu_name],$C1394)*(N449+N554+N659)+SUMIFS(ExpensePayrollTaxes[Month 3],ExpensePayrollTaxes[exp_item],$H764,ExpensePayrollTaxes[company_name],$B1394)*N764)</f>
        <v>0</v>
      </c>
      <c r="O1394" s="652">
        <f>IF($B1394="",,SUMIFS(SalaryPayrollTaxes[Month 4],SalaryPayrollTaxes[exp_item],$H1394,SalaryPayrollTaxes[company_name],$B1394,SalaryPayrollTaxes[bu_name],$C1394)*(O449+O554+O659)+SUMIFS(ExpensePayrollTaxes[Month 4],ExpensePayrollTaxes[exp_item],$H764,ExpensePayrollTaxes[company_name],$B1394)*O764)</f>
        <v>0</v>
      </c>
      <c r="P1394" s="652">
        <f>IF($B1394="",,SUMIFS(SalaryPayrollTaxes[Month 5],SalaryPayrollTaxes[exp_item],$H1394,SalaryPayrollTaxes[company_name],$B1394,SalaryPayrollTaxes[bu_name],$C1394)*(P449+P554+P659)+SUMIFS(ExpensePayrollTaxes[Month 5],ExpensePayrollTaxes[exp_item],$H764,ExpensePayrollTaxes[company_name],$B1394)*P764)</f>
        <v>0</v>
      </c>
      <c r="Q1394" s="652">
        <f>IF($B1394="",,SUMIFS(SalaryPayrollTaxes[Month 6],SalaryPayrollTaxes[exp_item],$H1394,SalaryPayrollTaxes[company_name],$B1394,SalaryPayrollTaxes[bu_name],$C1394)*(Q449+Q554+Q659)+SUMIFS(ExpensePayrollTaxes[Month 6],ExpensePayrollTaxes[exp_item],$H764,ExpensePayrollTaxes[company_name],$B1394)*Q764)</f>
        <v>0</v>
      </c>
      <c r="R1394" s="652">
        <f>IF($B1394="",,SUMIFS(SalaryPayrollTaxes[Month 7],SalaryPayrollTaxes[exp_item],$H1394,SalaryPayrollTaxes[company_name],$B1394,SalaryPayrollTaxes[bu_name],$C1394)*(R449+R554+R659)+SUMIFS(ExpensePayrollTaxes[Month 7],ExpensePayrollTaxes[exp_item],$H764,ExpensePayrollTaxes[company_name],$B1394)*R764)</f>
        <v>0</v>
      </c>
      <c r="S1394" s="652">
        <f>IF($B1394="",,SUMIFS(SalaryPayrollTaxes[Month 8],SalaryPayrollTaxes[exp_item],$H1394,SalaryPayrollTaxes[company_name],$B1394,SalaryPayrollTaxes[bu_name],$C1394)*(S449+S554+S659)+SUMIFS(ExpensePayrollTaxes[Month 8],ExpensePayrollTaxes[exp_item],$H764,ExpensePayrollTaxes[company_name],$B1394)*S764)</f>
        <v>0</v>
      </c>
      <c r="T1394" s="652">
        <f>IF($B1394="",,SUMIFS(SalaryPayrollTaxes[Month 9],SalaryPayrollTaxes[exp_item],$H1394,SalaryPayrollTaxes[company_name],$B1394,SalaryPayrollTaxes[bu_name],$C1394)*(T449+T554+T659)+SUMIFS(ExpensePayrollTaxes[Month 9],ExpensePayrollTaxes[exp_item],$H764,ExpensePayrollTaxes[company_name],$B1394)*T764)</f>
        <v>0</v>
      </c>
      <c r="U1394" s="652">
        <f>IF($B1394="",,SUMIFS(SalaryPayrollTaxes[Month 10],SalaryPayrollTaxes[exp_item],$H1394,SalaryPayrollTaxes[company_name],$B1394,SalaryPayrollTaxes[bu_name],$C1394)*(U449+U554+U659)+SUMIFS(ExpensePayrollTaxes[Month 10],ExpensePayrollTaxes[exp_item],$H764,ExpensePayrollTaxes[company_name],$B1394)*U764)</f>
        <v>0</v>
      </c>
      <c r="V1394" s="652">
        <f>IF($B1394="",,SUMIFS(SalaryPayrollTaxes[Month 11],SalaryPayrollTaxes[exp_item],$H1394,SalaryPayrollTaxes[company_name],$B1394,SalaryPayrollTaxes[bu_name],$C1394)*(V449+V554+V659)+SUMIFS(ExpensePayrollTaxes[Month 11],ExpensePayrollTaxes[exp_item],$H764,ExpensePayrollTaxes[company_name],$B1394)*V764)</f>
        <v>0</v>
      </c>
      <c r="W1394" s="652">
        <f>IF($B1394="",,SUMIFS(SalaryPayrollTaxes[Month 12],SalaryPayrollTaxes[exp_item],$H1394,SalaryPayrollTaxes[company_name],$B1394,SalaryPayrollTaxes[bu_name],$C1394)*(W449+W554+W659)+SUMIFS(ExpensePayrollTaxes[Month 12],ExpensePayrollTaxes[exp_item],$H764,ExpensePayrollTaxes[company_name],$B1394)*W764)</f>
        <v>0</v>
      </c>
      <c r="X1394" s="652">
        <f>IF($B1394="",,SUMIFS(SalaryPayrollTaxes[Month 13],SalaryPayrollTaxes[exp_item],$H1394,SalaryPayrollTaxes[company_name],$B1394,SalaryPayrollTaxes[bu_name],$C1394)*(X449+X554+X659)+SUMIFS(ExpensePayrollTaxes[Month 13],ExpensePayrollTaxes[exp_item],$H764,ExpensePayrollTaxes[company_name],$B1394)*X764)</f>
        <v>0</v>
      </c>
      <c r="Y1394" s="652">
        <f>IF($B1394="",,SUMIFS(SalaryPayrollTaxes[Month 14],SalaryPayrollTaxes[exp_item],$H1394,SalaryPayrollTaxes[company_name],$B1394,SalaryPayrollTaxes[bu_name],$C1394)*(Y449+Y554+Y659)+SUMIFS(ExpensePayrollTaxes[Month 14],ExpensePayrollTaxes[exp_item],$H764,ExpensePayrollTaxes[company_name],$B1394)*Y764)</f>
        <v>0</v>
      </c>
      <c r="Z1394" s="652">
        <f>IF($B1394="",,SUMIFS(SalaryPayrollTaxes[Month 15],SalaryPayrollTaxes[exp_item],$H1394,SalaryPayrollTaxes[company_name],$B1394,SalaryPayrollTaxes[bu_name],$C1394)*(Z449+Z554+Z659)+SUMIFS(ExpensePayrollTaxes[Month 15],ExpensePayrollTaxes[exp_item],$H764,ExpensePayrollTaxes[company_name],$B1394)*Z764)</f>
        <v>0</v>
      </c>
      <c r="AA1394" s="652">
        <f>IF($B1394="",,SUMIFS(SalaryPayrollTaxes[Month 16],SalaryPayrollTaxes[exp_item],$H1394,SalaryPayrollTaxes[company_name],$B1394,SalaryPayrollTaxes[bu_name],$C1394)*(AA449+AA554+AA659)+SUMIFS(ExpensePayrollTaxes[Month 16],ExpensePayrollTaxes[exp_item],$H764,ExpensePayrollTaxes[company_name],$B1394)*AA764)</f>
        <v>0</v>
      </c>
      <c r="AB1394" s="652">
        <f>IF($B1394="",,SUMIFS(SalaryPayrollTaxes[Month 17],SalaryPayrollTaxes[exp_item],$H1394,SalaryPayrollTaxes[company_name],$B1394,SalaryPayrollTaxes[bu_name],$C1394)*(AB449+AB554+AB659)+SUMIFS(ExpensePayrollTaxes[Month 17],ExpensePayrollTaxes[exp_item],$H764,ExpensePayrollTaxes[company_name],$B1394)*AB764)</f>
        <v>0</v>
      </c>
      <c r="AC1394" s="652">
        <f>IF($B1394="",,SUMIFS(SalaryPayrollTaxes[Month 18],SalaryPayrollTaxes[exp_item],$H1394,SalaryPayrollTaxes[company_name],$B1394,SalaryPayrollTaxes[bu_name],$C1394)*(AC449+AC554+AC659)+SUMIFS(ExpensePayrollTaxes[Month 18],ExpensePayrollTaxes[exp_item],$H764,ExpensePayrollTaxes[company_name],$B1394)*AC764)</f>
        <v>0</v>
      </c>
      <c r="AD1394" s="652">
        <f>IF($B1394="",,SUMIFS(SalaryPayrollTaxes[Month 19],SalaryPayrollTaxes[exp_item],$H1394,SalaryPayrollTaxes[company_name],$B1394,SalaryPayrollTaxes[bu_name],$C1394)*(AD449+AD554+AD659)+SUMIFS(ExpensePayrollTaxes[Month 19],ExpensePayrollTaxes[exp_item],$H764,ExpensePayrollTaxes[company_name],$B1394)*AD764)</f>
        <v>0</v>
      </c>
      <c r="AE1394" s="652">
        <f>IF($B1394="",,SUMIFS(SalaryPayrollTaxes[Month 20],SalaryPayrollTaxes[exp_item],$H1394,SalaryPayrollTaxes[company_name],$B1394,SalaryPayrollTaxes[bu_name],$C1394)*(AE449+AE554+AE659)+SUMIFS(ExpensePayrollTaxes[Month 20],ExpensePayrollTaxes[exp_item],$H764,ExpensePayrollTaxes[company_name],$B1394)*AE764)</f>
        <v>0</v>
      </c>
      <c r="AF1394" s="652">
        <f>IF($B1394="",,SUMIFS(SalaryPayrollTaxes[Month 21],SalaryPayrollTaxes[exp_item],$H1394,SalaryPayrollTaxes[company_name],$B1394,SalaryPayrollTaxes[bu_name],$C1394)*(AF449+AF554+AF659)+SUMIFS(ExpensePayrollTaxes[Month 21],ExpensePayrollTaxes[exp_item],$H764,ExpensePayrollTaxes[company_name],$B1394)*AF764)</f>
        <v>0</v>
      </c>
      <c r="AG1394" s="652">
        <f>IF($B1394="",,SUMIFS(SalaryPayrollTaxes[Month 22],SalaryPayrollTaxes[exp_item],$H1394,SalaryPayrollTaxes[company_name],$B1394,SalaryPayrollTaxes[bu_name],$C1394)*(AG449+AG554+AG659)+SUMIFS(ExpensePayrollTaxes[Month 22],ExpensePayrollTaxes[exp_item],$H764,ExpensePayrollTaxes[company_name],$B1394)*AG764)</f>
        <v>0</v>
      </c>
      <c r="AH1394" s="652">
        <f>IF($B1394="",,SUMIFS(SalaryPayrollTaxes[Month 23],SalaryPayrollTaxes[exp_item],$H1394,SalaryPayrollTaxes[company_name],$B1394,SalaryPayrollTaxes[bu_name],$C1394)*(AH449+AH554+AH659)+SUMIFS(ExpensePayrollTaxes[Month 23],ExpensePayrollTaxes[exp_item],$H764,ExpensePayrollTaxes[company_name],$B1394)*AH764)</f>
        <v>0</v>
      </c>
      <c r="AI1394" s="652">
        <f>IF($B1394="",,SUMIFS(SalaryPayrollTaxes[Month 24],SalaryPayrollTaxes[exp_item],$H1394,SalaryPayrollTaxes[company_name],$B1394,SalaryPayrollTaxes[bu_name],$C1394)*(AI449+AI554+AI659)+SUMIFS(ExpensePayrollTaxes[Month 24],ExpensePayrollTaxes[exp_item],$H764,ExpensePayrollTaxes[company_name],$B1394)*AI764)</f>
        <v>0</v>
      </c>
      <c r="AJ1394" s="652">
        <f>IF($B1394="",,SUMIFS(SalaryPayrollTaxes[Month 25],SalaryPayrollTaxes[exp_item],$H1394,SalaryPayrollTaxes[company_name],$B1394,SalaryPayrollTaxes[bu_name],$C1394)*(AJ449+AJ554+AJ659)+SUMIFS(ExpensePayrollTaxes[Month 25],ExpensePayrollTaxes[exp_item],$H764,ExpensePayrollTaxes[company_name],$B1394)*AJ764)</f>
        <v>0</v>
      </c>
      <c r="AK1394" s="652">
        <f>IF($B1394="",,SUMIFS(SalaryPayrollTaxes[Month 26],SalaryPayrollTaxes[exp_item],$H1394,SalaryPayrollTaxes[company_name],$B1394,SalaryPayrollTaxes[bu_name],$C1394)*(AK449+AK554+AK659)+SUMIFS(ExpensePayrollTaxes[Month 26],ExpensePayrollTaxes[exp_item],$H764,ExpensePayrollTaxes[company_name],$B1394)*AK764)</f>
        <v>0</v>
      </c>
      <c r="AL1394" s="652">
        <f>IF($B1394="",,SUMIFS(SalaryPayrollTaxes[Month 27],SalaryPayrollTaxes[exp_item],$H1394,SalaryPayrollTaxes[company_name],$B1394,SalaryPayrollTaxes[bu_name],$C1394)*(AL449+AL554+AL659)+SUMIFS(ExpensePayrollTaxes[Month 27],ExpensePayrollTaxes[exp_item],$H764,ExpensePayrollTaxes[company_name],$B1394)*AL764)</f>
        <v>0</v>
      </c>
      <c r="AM1394" s="652">
        <f>IF($B1394="",,SUMIFS(SalaryPayrollTaxes[Month 28],SalaryPayrollTaxes[exp_item],$H1394,SalaryPayrollTaxes[company_name],$B1394,SalaryPayrollTaxes[bu_name],$C1394)*(AM449+AM554+AM659)+SUMIFS(ExpensePayrollTaxes[Month 28],ExpensePayrollTaxes[exp_item],$H764,ExpensePayrollTaxes[company_name],$B1394)*AM764)</f>
        <v>0</v>
      </c>
      <c r="AN1394" s="652">
        <f>IF($B1394="",,SUMIFS(SalaryPayrollTaxes[Month 29],SalaryPayrollTaxes[exp_item],$H1394,SalaryPayrollTaxes[company_name],$B1394,SalaryPayrollTaxes[bu_name],$C1394)*(AN449+AN554+AN659)+SUMIFS(ExpensePayrollTaxes[Month 29],ExpensePayrollTaxes[exp_item],$H764,ExpensePayrollTaxes[company_name],$B1394)*AN764)</f>
        <v>0</v>
      </c>
      <c r="AO1394" s="652">
        <f>IF($B1394="",,SUMIFS(SalaryPayrollTaxes[Month 30],SalaryPayrollTaxes[exp_item],$H1394,SalaryPayrollTaxes[company_name],$B1394,SalaryPayrollTaxes[bu_name],$C1394)*(AO449+AO554+AO659)+SUMIFS(ExpensePayrollTaxes[Month 30],ExpensePayrollTaxes[exp_item],$H764,ExpensePayrollTaxes[company_name],$B1394)*AO764)</f>
        <v>0</v>
      </c>
      <c r="AP1394" s="652">
        <f>IF($B1394="",,SUMIFS(SalaryPayrollTaxes[Month 31],SalaryPayrollTaxes[exp_item],$H1394,SalaryPayrollTaxes[company_name],$B1394,SalaryPayrollTaxes[bu_name],$C1394)*(AP449+AP554+AP659)+SUMIFS(ExpensePayrollTaxes[Month 31],ExpensePayrollTaxes[exp_item],$H764,ExpensePayrollTaxes[company_name],$B1394)*AP764)</f>
        <v>0</v>
      </c>
      <c r="AQ1394" s="652">
        <f>IF($B1394="",,SUMIFS(SalaryPayrollTaxes[Month 32],SalaryPayrollTaxes[exp_item],$H1394,SalaryPayrollTaxes[company_name],$B1394,SalaryPayrollTaxes[bu_name],$C1394)*(AQ449+AQ554+AQ659)+SUMIFS(ExpensePayrollTaxes[Month 32],ExpensePayrollTaxes[exp_item],$H764,ExpensePayrollTaxes[company_name],$B1394)*AQ764)</f>
        <v>0</v>
      </c>
      <c r="AR1394" s="652">
        <f>IF($B1394="",,SUMIFS(SalaryPayrollTaxes[Month 33],SalaryPayrollTaxes[exp_item],$H1394,SalaryPayrollTaxes[company_name],$B1394,SalaryPayrollTaxes[bu_name],$C1394)*(AR449+AR554+AR659)+SUMIFS(ExpensePayrollTaxes[Month 33],ExpensePayrollTaxes[exp_item],$H764,ExpensePayrollTaxes[company_name],$B1394)*AR764)</f>
        <v>0</v>
      </c>
      <c r="AS1394" s="652">
        <f>IF($B1394="",,SUMIFS(SalaryPayrollTaxes[Month 34],SalaryPayrollTaxes[exp_item],$H1394,SalaryPayrollTaxes[company_name],$B1394,SalaryPayrollTaxes[bu_name],$C1394)*(AS449+AS554+AS659)+SUMIFS(ExpensePayrollTaxes[Month 34],ExpensePayrollTaxes[exp_item],$H764,ExpensePayrollTaxes[company_name],$B1394)*AS764)</f>
        <v>0</v>
      </c>
      <c r="AT1394" s="652">
        <f>IF($B1394="",,SUMIFS(SalaryPayrollTaxes[Month 35],SalaryPayrollTaxes[exp_item],$H1394,SalaryPayrollTaxes[company_name],$B1394,SalaryPayrollTaxes[bu_name],$C1394)*(AT449+AT554+AT659)+SUMIFS(ExpensePayrollTaxes[Month 35],ExpensePayrollTaxes[exp_item],$H764,ExpensePayrollTaxes[company_name],$B1394)*AT764)</f>
        <v>0</v>
      </c>
      <c r="AU1394" s="652">
        <f>IF($B1394="",,SUMIFS(SalaryPayrollTaxes[Month 36],SalaryPayrollTaxes[exp_item],$H1394,SalaryPayrollTaxes[company_name],$B1394,SalaryPayrollTaxes[bu_name],$C1394)*(AU449+AU554+AU659)+SUMIFS(ExpensePayrollTaxes[Month 36],ExpensePayrollTaxes[exp_item],$H764,ExpensePayrollTaxes[company_name],$B1394)*AU764)</f>
        <v>0</v>
      </c>
    </row>
    <row r="1395" spans="2:47" x14ac:dyDescent="0.35">
      <c r="B1395" t="str">
        <f t="shared" si="995"/>
        <v/>
      </c>
      <c r="C1395" t="str">
        <f t="shared" si="995"/>
        <v/>
      </c>
      <c r="D1395" t="str">
        <f t="shared" si="995"/>
        <v/>
      </c>
      <c r="E1395" t="str">
        <f t="shared" si="995"/>
        <v/>
      </c>
      <c r="F1395" t="str">
        <f t="shared" si="995"/>
        <v/>
      </c>
      <c r="G1395" t="str">
        <f t="shared" si="995"/>
        <v/>
      </c>
      <c r="H1395" t="str">
        <f t="shared" si="989"/>
        <v/>
      </c>
      <c r="J1395" t="str">
        <f>IF($H1395="","",IF(VLOOKUP(H1395,ExpItems[],2,0),H1395&amp;" - "&amp;INDEX(DivisionMapping[category_code],MATCH($D1395&amp;$C1395,DivisionMapping[dept_bu],0)),H1395))</f>
        <v/>
      </c>
      <c r="K1395" t="str">
        <f t="shared" si="990"/>
        <v/>
      </c>
      <c r="L1395" s="652">
        <f>IF($B1395="",,SUMIFS(SalaryPayrollTaxes[Month 1],SalaryPayrollTaxes[exp_item],$H1395,SalaryPayrollTaxes[company_name],$B1395,SalaryPayrollTaxes[bu_name],$C1395)*(L450+L555+L660)+SUMIFS(ExpensePayrollTaxes[Month 1],ExpensePayrollTaxes[exp_item],$H765,ExpensePayrollTaxes[company_name],$B1395)*L765)</f>
        <v>0</v>
      </c>
      <c r="M1395" s="652">
        <f>IF($B1395="",,SUMIFS(SalaryPayrollTaxes[Month 2],SalaryPayrollTaxes[exp_item],$H1395,SalaryPayrollTaxes[company_name],$B1395,SalaryPayrollTaxes[bu_name],$C1395)*(M450+M555+M660)+SUMIFS(ExpensePayrollTaxes[Month 2],ExpensePayrollTaxes[exp_item],$H765,ExpensePayrollTaxes[company_name],$B1395)*M765)</f>
        <v>0</v>
      </c>
      <c r="N1395" s="652">
        <f>IF($B1395="",,SUMIFS(SalaryPayrollTaxes[Month 3],SalaryPayrollTaxes[exp_item],$H1395,SalaryPayrollTaxes[company_name],$B1395,SalaryPayrollTaxes[bu_name],$C1395)*(N450+N555+N660)+SUMIFS(ExpensePayrollTaxes[Month 3],ExpensePayrollTaxes[exp_item],$H765,ExpensePayrollTaxes[company_name],$B1395)*N765)</f>
        <v>0</v>
      </c>
      <c r="O1395" s="652">
        <f>IF($B1395="",,SUMIFS(SalaryPayrollTaxes[Month 4],SalaryPayrollTaxes[exp_item],$H1395,SalaryPayrollTaxes[company_name],$B1395,SalaryPayrollTaxes[bu_name],$C1395)*(O450+O555+O660)+SUMIFS(ExpensePayrollTaxes[Month 4],ExpensePayrollTaxes[exp_item],$H765,ExpensePayrollTaxes[company_name],$B1395)*O765)</f>
        <v>0</v>
      </c>
      <c r="P1395" s="652">
        <f>IF($B1395="",,SUMIFS(SalaryPayrollTaxes[Month 5],SalaryPayrollTaxes[exp_item],$H1395,SalaryPayrollTaxes[company_name],$B1395,SalaryPayrollTaxes[bu_name],$C1395)*(P450+P555+P660)+SUMIFS(ExpensePayrollTaxes[Month 5],ExpensePayrollTaxes[exp_item],$H765,ExpensePayrollTaxes[company_name],$B1395)*P765)</f>
        <v>0</v>
      </c>
      <c r="Q1395" s="652">
        <f>IF($B1395="",,SUMIFS(SalaryPayrollTaxes[Month 6],SalaryPayrollTaxes[exp_item],$H1395,SalaryPayrollTaxes[company_name],$B1395,SalaryPayrollTaxes[bu_name],$C1395)*(Q450+Q555+Q660)+SUMIFS(ExpensePayrollTaxes[Month 6],ExpensePayrollTaxes[exp_item],$H765,ExpensePayrollTaxes[company_name],$B1395)*Q765)</f>
        <v>0</v>
      </c>
      <c r="R1395" s="652">
        <f>IF($B1395="",,SUMIFS(SalaryPayrollTaxes[Month 7],SalaryPayrollTaxes[exp_item],$H1395,SalaryPayrollTaxes[company_name],$B1395,SalaryPayrollTaxes[bu_name],$C1395)*(R450+R555+R660)+SUMIFS(ExpensePayrollTaxes[Month 7],ExpensePayrollTaxes[exp_item],$H765,ExpensePayrollTaxes[company_name],$B1395)*R765)</f>
        <v>0</v>
      </c>
      <c r="S1395" s="652">
        <f>IF($B1395="",,SUMIFS(SalaryPayrollTaxes[Month 8],SalaryPayrollTaxes[exp_item],$H1395,SalaryPayrollTaxes[company_name],$B1395,SalaryPayrollTaxes[bu_name],$C1395)*(S450+S555+S660)+SUMIFS(ExpensePayrollTaxes[Month 8],ExpensePayrollTaxes[exp_item],$H765,ExpensePayrollTaxes[company_name],$B1395)*S765)</f>
        <v>0</v>
      </c>
      <c r="T1395" s="652">
        <f>IF($B1395="",,SUMIFS(SalaryPayrollTaxes[Month 9],SalaryPayrollTaxes[exp_item],$H1395,SalaryPayrollTaxes[company_name],$B1395,SalaryPayrollTaxes[bu_name],$C1395)*(T450+T555+T660)+SUMIFS(ExpensePayrollTaxes[Month 9],ExpensePayrollTaxes[exp_item],$H765,ExpensePayrollTaxes[company_name],$B1395)*T765)</f>
        <v>0</v>
      </c>
      <c r="U1395" s="652">
        <f>IF($B1395="",,SUMIFS(SalaryPayrollTaxes[Month 10],SalaryPayrollTaxes[exp_item],$H1395,SalaryPayrollTaxes[company_name],$B1395,SalaryPayrollTaxes[bu_name],$C1395)*(U450+U555+U660)+SUMIFS(ExpensePayrollTaxes[Month 10],ExpensePayrollTaxes[exp_item],$H765,ExpensePayrollTaxes[company_name],$B1395)*U765)</f>
        <v>0</v>
      </c>
      <c r="V1395" s="652">
        <f>IF($B1395="",,SUMIFS(SalaryPayrollTaxes[Month 11],SalaryPayrollTaxes[exp_item],$H1395,SalaryPayrollTaxes[company_name],$B1395,SalaryPayrollTaxes[bu_name],$C1395)*(V450+V555+V660)+SUMIFS(ExpensePayrollTaxes[Month 11],ExpensePayrollTaxes[exp_item],$H765,ExpensePayrollTaxes[company_name],$B1395)*V765)</f>
        <v>0</v>
      </c>
      <c r="W1395" s="652">
        <f>IF($B1395="",,SUMIFS(SalaryPayrollTaxes[Month 12],SalaryPayrollTaxes[exp_item],$H1395,SalaryPayrollTaxes[company_name],$B1395,SalaryPayrollTaxes[bu_name],$C1395)*(W450+W555+W660)+SUMIFS(ExpensePayrollTaxes[Month 12],ExpensePayrollTaxes[exp_item],$H765,ExpensePayrollTaxes[company_name],$B1395)*W765)</f>
        <v>0</v>
      </c>
      <c r="X1395" s="652">
        <f>IF($B1395="",,SUMIFS(SalaryPayrollTaxes[Month 13],SalaryPayrollTaxes[exp_item],$H1395,SalaryPayrollTaxes[company_name],$B1395,SalaryPayrollTaxes[bu_name],$C1395)*(X450+X555+X660)+SUMIFS(ExpensePayrollTaxes[Month 13],ExpensePayrollTaxes[exp_item],$H765,ExpensePayrollTaxes[company_name],$B1395)*X765)</f>
        <v>0</v>
      </c>
      <c r="Y1395" s="652">
        <f>IF($B1395="",,SUMIFS(SalaryPayrollTaxes[Month 14],SalaryPayrollTaxes[exp_item],$H1395,SalaryPayrollTaxes[company_name],$B1395,SalaryPayrollTaxes[bu_name],$C1395)*(Y450+Y555+Y660)+SUMIFS(ExpensePayrollTaxes[Month 14],ExpensePayrollTaxes[exp_item],$H765,ExpensePayrollTaxes[company_name],$B1395)*Y765)</f>
        <v>0</v>
      </c>
      <c r="Z1395" s="652">
        <f>IF($B1395="",,SUMIFS(SalaryPayrollTaxes[Month 15],SalaryPayrollTaxes[exp_item],$H1395,SalaryPayrollTaxes[company_name],$B1395,SalaryPayrollTaxes[bu_name],$C1395)*(Z450+Z555+Z660)+SUMIFS(ExpensePayrollTaxes[Month 15],ExpensePayrollTaxes[exp_item],$H765,ExpensePayrollTaxes[company_name],$B1395)*Z765)</f>
        <v>0</v>
      </c>
      <c r="AA1395" s="652">
        <f>IF($B1395="",,SUMIFS(SalaryPayrollTaxes[Month 16],SalaryPayrollTaxes[exp_item],$H1395,SalaryPayrollTaxes[company_name],$B1395,SalaryPayrollTaxes[bu_name],$C1395)*(AA450+AA555+AA660)+SUMIFS(ExpensePayrollTaxes[Month 16],ExpensePayrollTaxes[exp_item],$H765,ExpensePayrollTaxes[company_name],$B1395)*AA765)</f>
        <v>0</v>
      </c>
      <c r="AB1395" s="652">
        <f>IF($B1395="",,SUMIFS(SalaryPayrollTaxes[Month 17],SalaryPayrollTaxes[exp_item],$H1395,SalaryPayrollTaxes[company_name],$B1395,SalaryPayrollTaxes[bu_name],$C1395)*(AB450+AB555+AB660)+SUMIFS(ExpensePayrollTaxes[Month 17],ExpensePayrollTaxes[exp_item],$H765,ExpensePayrollTaxes[company_name],$B1395)*AB765)</f>
        <v>0</v>
      </c>
      <c r="AC1395" s="652">
        <f>IF($B1395="",,SUMIFS(SalaryPayrollTaxes[Month 18],SalaryPayrollTaxes[exp_item],$H1395,SalaryPayrollTaxes[company_name],$B1395,SalaryPayrollTaxes[bu_name],$C1395)*(AC450+AC555+AC660)+SUMIFS(ExpensePayrollTaxes[Month 18],ExpensePayrollTaxes[exp_item],$H765,ExpensePayrollTaxes[company_name],$B1395)*AC765)</f>
        <v>0</v>
      </c>
      <c r="AD1395" s="652">
        <f>IF($B1395="",,SUMIFS(SalaryPayrollTaxes[Month 19],SalaryPayrollTaxes[exp_item],$H1395,SalaryPayrollTaxes[company_name],$B1395,SalaryPayrollTaxes[bu_name],$C1395)*(AD450+AD555+AD660)+SUMIFS(ExpensePayrollTaxes[Month 19],ExpensePayrollTaxes[exp_item],$H765,ExpensePayrollTaxes[company_name],$B1395)*AD765)</f>
        <v>0</v>
      </c>
      <c r="AE1395" s="652">
        <f>IF($B1395="",,SUMIFS(SalaryPayrollTaxes[Month 20],SalaryPayrollTaxes[exp_item],$H1395,SalaryPayrollTaxes[company_name],$B1395,SalaryPayrollTaxes[bu_name],$C1395)*(AE450+AE555+AE660)+SUMIFS(ExpensePayrollTaxes[Month 20],ExpensePayrollTaxes[exp_item],$H765,ExpensePayrollTaxes[company_name],$B1395)*AE765)</f>
        <v>0</v>
      </c>
      <c r="AF1395" s="652">
        <f>IF($B1395="",,SUMIFS(SalaryPayrollTaxes[Month 21],SalaryPayrollTaxes[exp_item],$H1395,SalaryPayrollTaxes[company_name],$B1395,SalaryPayrollTaxes[bu_name],$C1395)*(AF450+AF555+AF660)+SUMIFS(ExpensePayrollTaxes[Month 21],ExpensePayrollTaxes[exp_item],$H765,ExpensePayrollTaxes[company_name],$B1395)*AF765)</f>
        <v>0</v>
      </c>
      <c r="AG1395" s="652">
        <f>IF($B1395="",,SUMIFS(SalaryPayrollTaxes[Month 22],SalaryPayrollTaxes[exp_item],$H1395,SalaryPayrollTaxes[company_name],$B1395,SalaryPayrollTaxes[bu_name],$C1395)*(AG450+AG555+AG660)+SUMIFS(ExpensePayrollTaxes[Month 22],ExpensePayrollTaxes[exp_item],$H765,ExpensePayrollTaxes[company_name],$B1395)*AG765)</f>
        <v>0</v>
      </c>
      <c r="AH1395" s="652">
        <f>IF($B1395="",,SUMIFS(SalaryPayrollTaxes[Month 23],SalaryPayrollTaxes[exp_item],$H1395,SalaryPayrollTaxes[company_name],$B1395,SalaryPayrollTaxes[bu_name],$C1395)*(AH450+AH555+AH660)+SUMIFS(ExpensePayrollTaxes[Month 23],ExpensePayrollTaxes[exp_item],$H765,ExpensePayrollTaxes[company_name],$B1395)*AH765)</f>
        <v>0</v>
      </c>
      <c r="AI1395" s="652">
        <f>IF($B1395="",,SUMIFS(SalaryPayrollTaxes[Month 24],SalaryPayrollTaxes[exp_item],$H1395,SalaryPayrollTaxes[company_name],$B1395,SalaryPayrollTaxes[bu_name],$C1395)*(AI450+AI555+AI660)+SUMIFS(ExpensePayrollTaxes[Month 24],ExpensePayrollTaxes[exp_item],$H765,ExpensePayrollTaxes[company_name],$B1395)*AI765)</f>
        <v>0</v>
      </c>
      <c r="AJ1395" s="652">
        <f>IF($B1395="",,SUMIFS(SalaryPayrollTaxes[Month 25],SalaryPayrollTaxes[exp_item],$H1395,SalaryPayrollTaxes[company_name],$B1395,SalaryPayrollTaxes[bu_name],$C1395)*(AJ450+AJ555+AJ660)+SUMIFS(ExpensePayrollTaxes[Month 25],ExpensePayrollTaxes[exp_item],$H765,ExpensePayrollTaxes[company_name],$B1395)*AJ765)</f>
        <v>0</v>
      </c>
      <c r="AK1395" s="652">
        <f>IF($B1395="",,SUMIFS(SalaryPayrollTaxes[Month 26],SalaryPayrollTaxes[exp_item],$H1395,SalaryPayrollTaxes[company_name],$B1395,SalaryPayrollTaxes[bu_name],$C1395)*(AK450+AK555+AK660)+SUMIFS(ExpensePayrollTaxes[Month 26],ExpensePayrollTaxes[exp_item],$H765,ExpensePayrollTaxes[company_name],$B1395)*AK765)</f>
        <v>0</v>
      </c>
      <c r="AL1395" s="652">
        <f>IF($B1395="",,SUMIFS(SalaryPayrollTaxes[Month 27],SalaryPayrollTaxes[exp_item],$H1395,SalaryPayrollTaxes[company_name],$B1395,SalaryPayrollTaxes[bu_name],$C1395)*(AL450+AL555+AL660)+SUMIFS(ExpensePayrollTaxes[Month 27],ExpensePayrollTaxes[exp_item],$H765,ExpensePayrollTaxes[company_name],$B1395)*AL765)</f>
        <v>0</v>
      </c>
      <c r="AM1395" s="652">
        <f>IF($B1395="",,SUMIFS(SalaryPayrollTaxes[Month 28],SalaryPayrollTaxes[exp_item],$H1395,SalaryPayrollTaxes[company_name],$B1395,SalaryPayrollTaxes[bu_name],$C1395)*(AM450+AM555+AM660)+SUMIFS(ExpensePayrollTaxes[Month 28],ExpensePayrollTaxes[exp_item],$H765,ExpensePayrollTaxes[company_name],$B1395)*AM765)</f>
        <v>0</v>
      </c>
      <c r="AN1395" s="652">
        <f>IF($B1395="",,SUMIFS(SalaryPayrollTaxes[Month 29],SalaryPayrollTaxes[exp_item],$H1395,SalaryPayrollTaxes[company_name],$B1395,SalaryPayrollTaxes[bu_name],$C1395)*(AN450+AN555+AN660)+SUMIFS(ExpensePayrollTaxes[Month 29],ExpensePayrollTaxes[exp_item],$H765,ExpensePayrollTaxes[company_name],$B1395)*AN765)</f>
        <v>0</v>
      </c>
      <c r="AO1395" s="652">
        <f>IF($B1395="",,SUMIFS(SalaryPayrollTaxes[Month 30],SalaryPayrollTaxes[exp_item],$H1395,SalaryPayrollTaxes[company_name],$B1395,SalaryPayrollTaxes[bu_name],$C1395)*(AO450+AO555+AO660)+SUMIFS(ExpensePayrollTaxes[Month 30],ExpensePayrollTaxes[exp_item],$H765,ExpensePayrollTaxes[company_name],$B1395)*AO765)</f>
        <v>0</v>
      </c>
      <c r="AP1395" s="652">
        <f>IF($B1395="",,SUMIFS(SalaryPayrollTaxes[Month 31],SalaryPayrollTaxes[exp_item],$H1395,SalaryPayrollTaxes[company_name],$B1395,SalaryPayrollTaxes[bu_name],$C1395)*(AP450+AP555+AP660)+SUMIFS(ExpensePayrollTaxes[Month 31],ExpensePayrollTaxes[exp_item],$H765,ExpensePayrollTaxes[company_name],$B1395)*AP765)</f>
        <v>0</v>
      </c>
      <c r="AQ1395" s="652">
        <f>IF($B1395="",,SUMIFS(SalaryPayrollTaxes[Month 32],SalaryPayrollTaxes[exp_item],$H1395,SalaryPayrollTaxes[company_name],$B1395,SalaryPayrollTaxes[bu_name],$C1395)*(AQ450+AQ555+AQ660)+SUMIFS(ExpensePayrollTaxes[Month 32],ExpensePayrollTaxes[exp_item],$H765,ExpensePayrollTaxes[company_name],$B1395)*AQ765)</f>
        <v>0</v>
      </c>
      <c r="AR1395" s="652">
        <f>IF($B1395="",,SUMIFS(SalaryPayrollTaxes[Month 33],SalaryPayrollTaxes[exp_item],$H1395,SalaryPayrollTaxes[company_name],$B1395,SalaryPayrollTaxes[bu_name],$C1395)*(AR450+AR555+AR660)+SUMIFS(ExpensePayrollTaxes[Month 33],ExpensePayrollTaxes[exp_item],$H765,ExpensePayrollTaxes[company_name],$B1395)*AR765)</f>
        <v>0</v>
      </c>
      <c r="AS1395" s="652">
        <f>IF($B1395="",,SUMIFS(SalaryPayrollTaxes[Month 34],SalaryPayrollTaxes[exp_item],$H1395,SalaryPayrollTaxes[company_name],$B1395,SalaryPayrollTaxes[bu_name],$C1395)*(AS450+AS555+AS660)+SUMIFS(ExpensePayrollTaxes[Month 34],ExpensePayrollTaxes[exp_item],$H765,ExpensePayrollTaxes[company_name],$B1395)*AS765)</f>
        <v>0</v>
      </c>
      <c r="AT1395" s="652">
        <f>IF($B1395="",,SUMIFS(SalaryPayrollTaxes[Month 35],SalaryPayrollTaxes[exp_item],$H1395,SalaryPayrollTaxes[company_name],$B1395,SalaryPayrollTaxes[bu_name],$C1395)*(AT450+AT555+AT660)+SUMIFS(ExpensePayrollTaxes[Month 35],ExpensePayrollTaxes[exp_item],$H765,ExpensePayrollTaxes[company_name],$B1395)*AT765)</f>
        <v>0</v>
      </c>
      <c r="AU1395" s="652">
        <f>IF($B1395="",,SUMIFS(SalaryPayrollTaxes[Month 36],SalaryPayrollTaxes[exp_item],$H1395,SalaryPayrollTaxes[company_name],$B1395,SalaryPayrollTaxes[bu_name],$C1395)*(AU450+AU555+AU660)+SUMIFS(ExpensePayrollTaxes[Month 36],ExpensePayrollTaxes[exp_item],$H765,ExpensePayrollTaxes[company_name],$B1395)*AU765)</f>
        <v>0</v>
      </c>
    </row>
    <row r="1396" spans="2:47" x14ac:dyDescent="0.35">
      <c r="B1396" t="str">
        <f t="shared" si="995"/>
        <v/>
      </c>
      <c r="C1396" t="str">
        <f t="shared" si="995"/>
        <v/>
      </c>
      <c r="D1396" t="str">
        <f t="shared" si="995"/>
        <v/>
      </c>
      <c r="E1396" t="str">
        <f t="shared" si="995"/>
        <v/>
      </c>
      <c r="F1396" t="str">
        <f t="shared" si="995"/>
        <v/>
      </c>
      <c r="G1396" t="str">
        <f t="shared" si="995"/>
        <v/>
      </c>
      <c r="H1396" t="str">
        <f t="shared" si="989"/>
        <v/>
      </c>
      <c r="J1396" t="str">
        <f>IF($H1396="","",IF(VLOOKUP(H1396,ExpItems[],2,0),H1396&amp;" - "&amp;INDEX(DivisionMapping[category_code],MATCH($D1396&amp;$C1396,DivisionMapping[dept_bu],0)),H1396))</f>
        <v/>
      </c>
      <c r="K1396" t="str">
        <f t="shared" si="990"/>
        <v/>
      </c>
      <c r="L1396" s="652">
        <f>IF($B1396="",,SUMIFS(SalaryPayrollTaxes[Month 1],SalaryPayrollTaxes[exp_item],$H1396,SalaryPayrollTaxes[company_name],$B1396,SalaryPayrollTaxes[bu_name],$C1396)*(L451+L556+L661)+SUMIFS(ExpensePayrollTaxes[Month 1],ExpensePayrollTaxes[exp_item],$H766,ExpensePayrollTaxes[company_name],$B1396)*L766)</f>
        <v>0</v>
      </c>
      <c r="M1396" s="652">
        <f>IF($B1396="",,SUMIFS(SalaryPayrollTaxes[Month 2],SalaryPayrollTaxes[exp_item],$H1396,SalaryPayrollTaxes[company_name],$B1396,SalaryPayrollTaxes[bu_name],$C1396)*(M451+M556+M661)+SUMIFS(ExpensePayrollTaxes[Month 2],ExpensePayrollTaxes[exp_item],$H766,ExpensePayrollTaxes[company_name],$B1396)*M766)</f>
        <v>0</v>
      </c>
      <c r="N1396" s="652">
        <f>IF($B1396="",,SUMIFS(SalaryPayrollTaxes[Month 3],SalaryPayrollTaxes[exp_item],$H1396,SalaryPayrollTaxes[company_name],$B1396,SalaryPayrollTaxes[bu_name],$C1396)*(N451+N556+N661)+SUMIFS(ExpensePayrollTaxes[Month 3],ExpensePayrollTaxes[exp_item],$H766,ExpensePayrollTaxes[company_name],$B1396)*N766)</f>
        <v>0</v>
      </c>
      <c r="O1396" s="652">
        <f>IF($B1396="",,SUMIFS(SalaryPayrollTaxes[Month 4],SalaryPayrollTaxes[exp_item],$H1396,SalaryPayrollTaxes[company_name],$B1396,SalaryPayrollTaxes[bu_name],$C1396)*(O451+O556+O661)+SUMIFS(ExpensePayrollTaxes[Month 4],ExpensePayrollTaxes[exp_item],$H766,ExpensePayrollTaxes[company_name],$B1396)*O766)</f>
        <v>0</v>
      </c>
      <c r="P1396" s="652">
        <f>IF($B1396="",,SUMIFS(SalaryPayrollTaxes[Month 5],SalaryPayrollTaxes[exp_item],$H1396,SalaryPayrollTaxes[company_name],$B1396,SalaryPayrollTaxes[bu_name],$C1396)*(P451+P556+P661)+SUMIFS(ExpensePayrollTaxes[Month 5],ExpensePayrollTaxes[exp_item],$H766,ExpensePayrollTaxes[company_name],$B1396)*P766)</f>
        <v>0</v>
      </c>
      <c r="Q1396" s="652">
        <f>IF($B1396="",,SUMIFS(SalaryPayrollTaxes[Month 6],SalaryPayrollTaxes[exp_item],$H1396,SalaryPayrollTaxes[company_name],$B1396,SalaryPayrollTaxes[bu_name],$C1396)*(Q451+Q556+Q661)+SUMIFS(ExpensePayrollTaxes[Month 6],ExpensePayrollTaxes[exp_item],$H766,ExpensePayrollTaxes[company_name],$B1396)*Q766)</f>
        <v>0</v>
      </c>
      <c r="R1396" s="652">
        <f>IF($B1396="",,SUMIFS(SalaryPayrollTaxes[Month 7],SalaryPayrollTaxes[exp_item],$H1396,SalaryPayrollTaxes[company_name],$B1396,SalaryPayrollTaxes[bu_name],$C1396)*(R451+R556+R661)+SUMIFS(ExpensePayrollTaxes[Month 7],ExpensePayrollTaxes[exp_item],$H766,ExpensePayrollTaxes[company_name],$B1396)*R766)</f>
        <v>0</v>
      </c>
      <c r="S1396" s="652">
        <f>IF($B1396="",,SUMIFS(SalaryPayrollTaxes[Month 8],SalaryPayrollTaxes[exp_item],$H1396,SalaryPayrollTaxes[company_name],$B1396,SalaryPayrollTaxes[bu_name],$C1396)*(S451+S556+S661)+SUMIFS(ExpensePayrollTaxes[Month 8],ExpensePayrollTaxes[exp_item],$H766,ExpensePayrollTaxes[company_name],$B1396)*S766)</f>
        <v>0</v>
      </c>
      <c r="T1396" s="652">
        <f>IF($B1396="",,SUMIFS(SalaryPayrollTaxes[Month 9],SalaryPayrollTaxes[exp_item],$H1396,SalaryPayrollTaxes[company_name],$B1396,SalaryPayrollTaxes[bu_name],$C1396)*(T451+T556+T661)+SUMIFS(ExpensePayrollTaxes[Month 9],ExpensePayrollTaxes[exp_item],$H766,ExpensePayrollTaxes[company_name],$B1396)*T766)</f>
        <v>0</v>
      </c>
      <c r="U1396" s="652">
        <f>IF($B1396="",,SUMIFS(SalaryPayrollTaxes[Month 10],SalaryPayrollTaxes[exp_item],$H1396,SalaryPayrollTaxes[company_name],$B1396,SalaryPayrollTaxes[bu_name],$C1396)*(U451+U556+U661)+SUMIFS(ExpensePayrollTaxes[Month 10],ExpensePayrollTaxes[exp_item],$H766,ExpensePayrollTaxes[company_name],$B1396)*U766)</f>
        <v>0</v>
      </c>
      <c r="V1396" s="652">
        <f>IF($B1396="",,SUMIFS(SalaryPayrollTaxes[Month 11],SalaryPayrollTaxes[exp_item],$H1396,SalaryPayrollTaxes[company_name],$B1396,SalaryPayrollTaxes[bu_name],$C1396)*(V451+V556+V661)+SUMIFS(ExpensePayrollTaxes[Month 11],ExpensePayrollTaxes[exp_item],$H766,ExpensePayrollTaxes[company_name],$B1396)*V766)</f>
        <v>0</v>
      </c>
      <c r="W1396" s="652">
        <f>IF($B1396="",,SUMIFS(SalaryPayrollTaxes[Month 12],SalaryPayrollTaxes[exp_item],$H1396,SalaryPayrollTaxes[company_name],$B1396,SalaryPayrollTaxes[bu_name],$C1396)*(W451+W556+W661)+SUMIFS(ExpensePayrollTaxes[Month 12],ExpensePayrollTaxes[exp_item],$H766,ExpensePayrollTaxes[company_name],$B1396)*W766)</f>
        <v>0</v>
      </c>
      <c r="X1396" s="652">
        <f>IF($B1396="",,SUMIFS(SalaryPayrollTaxes[Month 13],SalaryPayrollTaxes[exp_item],$H1396,SalaryPayrollTaxes[company_name],$B1396,SalaryPayrollTaxes[bu_name],$C1396)*(X451+X556+X661)+SUMIFS(ExpensePayrollTaxes[Month 13],ExpensePayrollTaxes[exp_item],$H766,ExpensePayrollTaxes[company_name],$B1396)*X766)</f>
        <v>0</v>
      </c>
      <c r="Y1396" s="652">
        <f>IF($B1396="",,SUMIFS(SalaryPayrollTaxes[Month 14],SalaryPayrollTaxes[exp_item],$H1396,SalaryPayrollTaxes[company_name],$B1396,SalaryPayrollTaxes[bu_name],$C1396)*(Y451+Y556+Y661)+SUMIFS(ExpensePayrollTaxes[Month 14],ExpensePayrollTaxes[exp_item],$H766,ExpensePayrollTaxes[company_name],$B1396)*Y766)</f>
        <v>0</v>
      </c>
      <c r="Z1396" s="652">
        <f>IF($B1396="",,SUMIFS(SalaryPayrollTaxes[Month 15],SalaryPayrollTaxes[exp_item],$H1396,SalaryPayrollTaxes[company_name],$B1396,SalaryPayrollTaxes[bu_name],$C1396)*(Z451+Z556+Z661)+SUMIFS(ExpensePayrollTaxes[Month 15],ExpensePayrollTaxes[exp_item],$H766,ExpensePayrollTaxes[company_name],$B1396)*Z766)</f>
        <v>0</v>
      </c>
      <c r="AA1396" s="652">
        <f>IF($B1396="",,SUMIFS(SalaryPayrollTaxes[Month 16],SalaryPayrollTaxes[exp_item],$H1396,SalaryPayrollTaxes[company_name],$B1396,SalaryPayrollTaxes[bu_name],$C1396)*(AA451+AA556+AA661)+SUMIFS(ExpensePayrollTaxes[Month 16],ExpensePayrollTaxes[exp_item],$H766,ExpensePayrollTaxes[company_name],$B1396)*AA766)</f>
        <v>0</v>
      </c>
      <c r="AB1396" s="652">
        <f>IF($B1396="",,SUMIFS(SalaryPayrollTaxes[Month 17],SalaryPayrollTaxes[exp_item],$H1396,SalaryPayrollTaxes[company_name],$B1396,SalaryPayrollTaxes[bu_name],$C1396)*(AB451+AB556+AB661)+SUMIFS(ExpensePayrollTaxes[Month 17],ExpensePayrollTaxes[exp_item],$H766,ExpensePayrollTaxes[company_name],$B1396)*AB766)</f>
        <v>0</v>
      </c>
      <c r="AC1396" s="652">
        <f>IF($B1396="",,SUMIFS(SalaryPayrollTaxes[Month 18],SalaryPayrollTaxes[exp_item],$H1396,SalaryPayrollTaxes[company_name],$B1396,SalaryPayrollTaxes[bu_name],$C1396)*(AC451+AC556+AC661)+SUMIFS(ExpensePayrollTaxes[Month 18],ExpensePayrollTaxes[exp_item],$H766,ExpensePayrollTaxes[company_name],$B1396)*AC766)</f>
        <v>0</v>
      </c>
      <c r="AD1396" s="652">
        <f>IF($B1396="",,SUMIFS(SalaryPayrollTaxes[Month 19],SalaryPayrollTaxes[exp_item],$H1396,SalaryPayrollTaxes[company_name],$B1396,SalaryPayrollTaxes[bu_name],$C1396)*(AD451+AD556+AD661)+SUMIFS(ExpensePayrollTaxes[Month 19],ExpensePayrollTaxes[exp_item],$H766,ExpensePayrollTaxes[company_name],$B1396)*AD766)</f>
        <v>0</v>
      </c>
      <c r="AE1396" s="652">
        <f>IF($B1396="",,SUMIFS(SalaryPayrollTaxes[Month 20],SalaryPayrollTaxes[exp_item],$H1396,SalaryPayrollTaxes[company_name],$B1396,SalaryPayrollTaxes[bu_name],$C1396)*(AE451+AE556+AE661)+SUMIFS(ExpensePayrollTaxes[Month 20],ExpensePayrollTaxes[exp_item],$H766,ExpensePayrollTaxes[company_name],$B1396)*AE766)</f>
        <v>0</v>
      </c>
      <c r="AF1396" s="652">
        <f>IF($B1396="",,SUMIFS(SalaryPayrollTaxes[Month 21],SalaryPayrollTaxes[exp_item],$H1396,SalaryPayrollTaxes[company_name],$B1396,SalaryPayrollTaxes[bu_name],$C1396)*(AF451+AF556+AF661)+SUMIFS(ExpensePayrollTaxes[Month 21],ExpensePayrollTaxes[exp_item],$H766,ExpensePayrollTaxes[company_name],$B1396)*AF766)</f>
        <v>0</v>
      </c>
      <c r="AG1396" s="652">
        <f>IF($B1396="",,SUMIFS(SalaryPayrollTaxes[Month 22],SalaryPayrollTaxes[exp_item],$H1396,SalaryPayrollTaxes[company_name],$B1396,SalaryPayrollTaxes[bu_name],$C1396)*(AG451+AG556+AG661)+SUMIFS(ExpensePayrollTaxes[Month 22],ExpensePayrollTaxes[exp_item],$H766,ExpensePayrollTaxes[company_name],$B1396)*AG766)</f>
        <v>0</v>
      </c>
      <c r="AH1396" s="652">
        <f>IF($B1396="",,SUMIFS(SalaryPayrollTaxes[Month 23],SalaryPayrollTaxes[exp_item],$H1396,SalaryPayrollTaxes[company_name],$B1396,SalaryPayrollTaxes[bu_name],$C1396)*(AH451+AH556+AH661)+SUMIFS(ExpensePayrollTaxes[Month 23],ExpensePayrollTaxes[exp_item],$H766,ExpensePayrollTaxes[company_name],$B1396)*AH766)</f>
        <v>0</v>
      </c>
      <c r="AI1396" s="652">
        <f>IF($B1396="",,SUMIFS(SalaryPayrollTaxes[Month 24],SalaryPayrollTaxes[exp_item],$H1396,SalaryPayrollTaxes[company_name],$B1396,SalaryPayrollTaxes[bu_name],$C1396)*(AI451+AI556+AI661)+SUMIFS(ExpensePayrollTaxes[Month 24],ExpensePayrollTaxes[exp_item],$H766,ExpensePayrollTaxes[company_name],$B1396)*AI766)</f>
        <v>0</v>
      </c>
      <c r="AJ1396" s="652">
        <f>IF($B1396="",,SUMIFS(SalaryPayrollTaxes[Month 25],SalaryPayrollTaxes[exp_item],$H1396,SalaryPayrollTaxes[company_name],$B1396,SalaryPayrollTaxes[bu_name],$C1396)*(AJ451+AJ556+AJ661)+SUMIFS(ExpensePayrollTaxes[Month 25],ExpensePayrollTaxes[exp_item],$H766,ExpensePayrollTaxes[company_name],$B1396)*AJ766)</f>
        <v>0</v>
      </c>
      <c r="AK1396" s="652">
        <f>IF($B1396="",,SUMIFS(SalaryPayrollTaxes[Month 26],SalaryPayrollTaxes[exp_item],$H1396,SalaryPayrollTaxes[company_name],$B1396,SalaryPayrollTaxes[bu_name],$C1396)*(AK451+AK556+AK661)+SUMIFS(ExpensePayrollTaxes[Month 26],ExpensePayrollTaxes[exp_item],$H766,ExpensePayrollTaxes[company_name],$B1396)*AK766)</f>
        <v>0</v>
      </c>
      <c r="AL1396" s="652">
        <f>IF($B1396="",,SUMIFS(SalaryPayrollTaxes[Month 27],SalaryPayrollTaxes[exp_item],$H1396,SalaryPayrollTaxes[company_name],$B1396,SalaryPayrollTaxes[bu_name],$C1396)*(AL451+AL556+AL661)+SUMIFS(ExpensePayrollTaxes[Month 27],ExpensePayrollTaxes[exp_item],$H766,ExpensePayrollTaxes[company_name],$B1396)*AL766)</f>
        <v>0</v>
      </c>
      <c r="AM1396" s="652">
        <f>IF($B1396="",,SUMIFS(SalaryPayrollTaxes[Month 28],SalaryPayrollTaxes[exp_item],$H1396,SalaryPayrollTaxes[company_name],$B1396,SalaryPayrollTaxes[bu_name],$C1396)*(AM451+AM556+AM661)+SUMIFS(ExpensePayrollTaxes[Month 28],ExpensePayrollTaxes[exp_item],$H766,ExpensePayrollTaxes[company_name],$B1396)*AM766)</f>
        <v>0</v>
      </c>
      <c r="AN1396" s="652">
        <f>IF($B1396="",,SUMIFS(SalaryPayrollTaxes[Month 29],SalaryPayrollTaxes[exp_item],$H1396,SalaryPayrollTaxes[company_name],$B1396,SalaryPayrollTaxes[bu_name],$C1396)*(AN451+AN556+AN661)+SUMIFS(ExpensePayrollTaxes[Month 29],ExpensePayrollTaxes[exp_item],$H766,ExpensePayrollTaxes[company_name],$B1396)*AN766)</f>
        <v>0</v>
      </c>
      <c r="AO1396" s="652">
        <f>IF($B1396="",,SUMIFS(SalaryPayrollTaxes[Month 30],SalaryPayrollTaxes[exp_item],$H1396,SalaryPayrollTaxes[company_name],$B1396,SalaryPayrollTaxes[bu_name],$C1396)*(AO451+AO556+AO661)+SUMIFS(ExpensePayrollTaxes[Month 30],ExpensePayrollTaxes[exp_item],$H766,ExpensePayrollTaxes[company_name],$B1396)*AO766)</f>
        <v>0</v>
      </c>
      <c r="AP1396" s="652">
        <f>IF($B1396="",,SUMIFS(SalaryPayrollTaxes[Month 31],SalaryPayrollTaxes[exp_item],$H1396,SalaryPayrollTaxes[company_name],$B1396,SalaryPayrollTaxes[bu_name],$C1396)*(AP451+AP556+AP661)+SUMIFS(ExpensePayrollTaxes[Month 31],ExpensePayrollTaxes[exp_item],$H766,ExpensePayrollTaxes[company_name],$B1396)*AP766)</f>
        <v>0</v>
      </c>
      <c r="AQ1396" s="652">
        <f>IF($B1396="",,SUMIFS(SalaryPayrollTaxes[Month 32],SalaryPayrollTaxes[exp_item],$H1396,SalaryPayrollTaxes[company_name],$B1396,SalaryPayrollTaxes[bu_name],$C1396)*(AQ451+AQ556+AQ661)+SUMIFS(ExpensePayrollTaxes[Month 32],ExpensePayrollTaxes[exp_item],$H766,ExpensePayrollTaxes[company_name],$B1396)*AQ766)</f>
        <v>0</v>
      </c>
      <c r="AR1396" s="652">
        <f>IF($B1396="",,SUMIFS(SalaryPayrollTaxes[Month 33],SalaryPayrollTaxes[exp_item],$H1396,SalaryPayrollTaxes[company_name],$B1396,SalaryPayrollTaxes[bu_name],$C1396)*(AR451+AR556+AR661)+SUMIFS(ExpensePayrollTaxes[Month 33],ExpensePayrollTaxes[exp_item],$H766,ExpensePayrollTaxes[company_name],$B1396)*AR766)</f>
        <v>0</v>
      </c>
      <c r="AS1396" s="652">
        <f>IF($B1396="",,SUMIFS(SalaryPayrollTaxes[Month 34],SalaryPayrollTaxes[exp_item],$H1396,SalaryPayrollTaxes[company_name],$B1396,SalaryPayrollTaxes[bu_name],$C1396)*(AS451+AS556+AS661)+SUMIFS(ExpensePayrollTaxes[Month 34],ExpensePayrollTaxes[exp_item],$H766,ExpensePayrollTaxes[company_name],$B1396)*AS766)</f>
        <v>0</v>
      </c>
      <c r="AT1396" s="652">
        <f>IF($B1396="",,SUMIFS(SalaryPayrollTaxes[Month 35],SalaryPayrollTaxes[exp_item],$H1396,SalaryPayrollTaxes[company_name],$B1396,SalaryPayrollTaxes[bu_name],$C1396)*(AT451+AT556+AT661)+SUMIFS(ExpensePayrollTaxes[Month 35],ExpensePayrollTaxes[exp_item],$H766,ExpensePayrollTaxes[company_name],$B1396)*AT766)</f>
        <v>0</v>
      </c>
      <c r="AU1396" s="652">
        <f>IF($B1396="",,SUMIFS(SalaryPayrollTaxes[Month 36],SalaryPayrollTaxes[exp_item],$H1396,SalaryPayrollTaxes[company_name],$B1396,SalaryPayrollTaxes[bu_name],$C1396)*(AU451+AU556+AU661)+SUMIFS(ExpensePayrollTaxes[Month 36],ExpensePayrollTaxes[exp_item],$H766,ExpensePayrollTaxes[company_name],$B1396)*AU766)</f>
        <v>0</v>
      </c>
    </row>
    <row r="1397" spans="2:47" x14ac:dyDescent="0.35">
      <c r="B1397" t="str">
        <f t="shared" si="995"/>
        <v/>
      </c>
      <c r="C1397" t="str">
        <f t="shared" si="995"/>
        <v/>
      </c>
      <c r="D1397" t="str">
        <f t="shared" si="995"/>
        <v/>
      </c>
      <c r="E1397" t="str">
        <f t="shared" si="995"/>
        <v/>
      </c>
      <c r="F1397" t="str">
        <f t="shared" si="995"/>
        <v/>
      </c>
      <c r="G1397" t="str">
        <f t="shared" si="995"/>
        <v/>
      </c>
      <c r="H1397" t="str">
        <f t="shared" si="989"/>
        <v/>
      </c>
      <c r="J1397" t="str">
        <f>IF($H1397="","",IF(VLOOKUP(H1397,ExpItems[],2,0),H1397&amp;" - "&amp;INDEX(DivisionMapping[category_code],MATCH($D1397&amp;$C1397,DivisionMapping[dept_bu],0)),H1397))</f>
        <v/>
      </c>
      <c r="K1397" t="str">
        <f t="shared" si="990"/>
        <v/>
      </c>
      <c r="L1397" s="652">
        <f>IF($B1397="",,SUMIFS(SalaryPayrollTaxes[Month 1],SalaryPayrollTaxes[exp_item],$H1397,SalaryPayrollTaxes[company_name],$B1397,SalaryPayrollTaxes[bu_name],$C1397)*(L452+L557+L662)+SUMIFS(ExpensePayrollTaxes[Month 1],ExpensePayrollTaxes[exp_item],$H767,ExpensePayrollTaxes[company_name],$B1397)*L767)</f>
        <v>0</v>
      </c>
      <c r="M1397" s="652">
        <f>IF($B1397="",,SUMIFS(SalaryPayrollTaxes[Month 2],SalaryPayrollTaxes[exp_item],$H1397,SalaryPayrollTaxes[company_name],$B1397,SalaryPayrollTaxes[bu_name],$C1397)*(M452+M557+M662)+SUMIFS(ExpensePayrollTaxes[Month 2],ExpensePayrollTaxes[exp_item],$H767,ExpensePayrollTaxes[company_name],$B1397)*M767)</f>
        <v>0</v>
      </c>
      <c r="N1397" s="652">
        <f>IF($B1397="",,SUMIFS(SalaryPayrollTaxes[Month 3],SalaryPayrollTaxes[exp_item],$H1397,SalaryPayrollTaxes[company_name],$B1397,SalaryPayrollTaxes[bu_name],$C1397)*(N452+N557+N662)+SUMIFS(ExpensePayrollTaxes[Month 3],ExpensePayrollTaxes[exp_item],$H767,ExpensePayrollTaxes[company_name],$B1397)*N767)</f>
        <v>0</v>
      </c>
      <c r="O1397" s="652">
        <f>IF($B1397="",,SUMIFS(SalaryPayrollTaxes[Month 4],SalaryPayrollTaxes[exp_item],$H1397,SalaryPayrollTaxes[company_name],$B1397,SalaryPayrollTaxes[bu_name],$C1397)*(O452+O557+O662)+SUMIFS(ExpensePayrollTaxes[Month 4],ExpensePayrollTaxes[exp_item],$H767,ExpensePayrollTaxes[company_name],$B1397)*O767)</f>
        <v>0</v>
      </c>
      <c r="P1397" s="652">
        <f>IF($B1397="",,SUMIFS(SalaryPayrollTaxes[Month 5],SalaryPayrollTaxes[exp_item],$H1397,SalaryPayrollTaxes[company_name],$B1397,SalaryPayrollTaxes[bu_name],$C1397)*(P452+P557+P662)+SUMIFS(ExpensePayrollTaxes[Month 5],ExpensePayrollTaxes[exp_item],$H767,ExpensePayrollTaxes[company_name],$B1397)*P767)</f>
        <v>0</v>
      </c>
      <c r="Q1397" s="652">
        <f>IF($B1397="",,SUMIFS(SalaryPayrollTaxes[Month 6],SalaryPayrollTaxes[exp_item],$H1397,SalaryPayrollTaxes[company_name],$B1397,SalaryPayrollTaxes[bu_name],$C1397)*(Q452+Q557+Q662)+SUMIFS(ExpensePayrollTaxes[Month 6],ExpensePayrollTaxes[exp_item],$H767,ExpensePayrollTaxes[company_name],$B1397)*Q767)</f>
        <v>0</v>
      </c>
      <c r="R1397" s="652">
        <f>IF($B1397="",,SUMIFS(SalaryPayrollTaxes[Month 7],SalaryPayrollTaxes[exp_item],$H1397,SalaryPayrollTaxes[company_name],$B1397,SalaryPayrollTaxes[bu_name],$C1397)*(R452+R557+R662)+SUMIFS(ExpensePayrollTaxes[Month 7],ExpensePayrollTaxes[exp_item],$H767,ExpensePayrollTaxes[company_name],$B1397)*R767)</f>
        <v>0</v>
      </c>
      <c r="S1397" s="652">
        <f>IF($B1397="",,SUMIFS(SalaryPayrollTaxes[Month 8],SalaryPayrollTaxes[exp_item],$H1397,SalaryPayrollTaxes[company_name],$B1397,SalaryPayrollTaxes[bu_name],$C1397)*(S452+S557+S662)+SUMIFS(ExpensePayrollTaxes[Month 8],ExpensePayrollTaxes[exp_item],$H767,ExpensePayrollTaxes[company_name],$B1397)*S767)</f>
        <v>0</v>
      </c>
      <c r="T1397" s="652">
        <f>IF($B1397="",,SUMIFS(SalaryPayrollTaxes[Month 9],SalaryPayrollTaxes[exp_item],$H1397,SalaryPayrollTaxes[company_name],$B1397,SalaryPayrollTaxes[bu_name],$C1397)*(T452+T557+T662)+SUMIFS(ExpensePayrollTaxes[Month 9],ExpensePayrollTaxes[exp_item],$H767,ExpensePayrollTaxes[company_name],$B1397)*T767)</f>
        <v>0</v>
      </c>
      <c r="U1397" s="652">
        <f>IF($B1397="",,SUMIFS(SalaryPayrollTaxes[Month 10],SalaryPayrollTaxes[exp_item],$H1397,SalaryPayrollTaxes[company_name],$B1397,SalaryPayrollTaxes[bu_name],$C1397)*(U452+U557+U662)+SUMIFS(ExpensePayrollTaxes[Month 10],ExpensePayrollTaxes[exp_item],$H767,ExpensePayrollTaxes[company_name],$B1397)*U767)</f>
        <v>0</v>
      </c>
      <c r="V1397" s="652">
        <f>IF($B1397="",,SUMIFS(SalaryPayrollTaxes[Month 11],SalaryPayrollTaxes[exp_item],$H1397,SalaryPayrollTaxes[company_name],$B1397,SalaryPayrollTaxes[bu_name],$C1397)*(V452+V557+V662)+SUMIFS(ExpensePayrollTaxes[Month 11],ExpensePayrollTaxes[exp_item],$H767,ExpensePayrollTaxes[company_name],$B1397)*V767)</f>
        <v>0</v>
      </c>
      <c r="W1397" s="652">
        <f>IF($B1397="",,SUMIFS(SalaryPayrollTaxes[Month 12],SalaryPayrollTaxes[exp_item],$H1397,SalaryPayrollTaxes[company_name],$B1397,SalaryPayrollTaxes[bu_name],$C1397)*(W452+W557+W662)+SUMIFS(ExpensePayrollTaxes[Month 12],ExpensePayrollTaxes[exp_item],$H767,ExpensePayrollTaxes[company_name],$B1397)*W767)</f>
        <v>0</v>
      </c>
      <c r="X1397" s="652">
        <f>IF($B1397="",,SUMIFS(SalaryPayrollTaxes[Month 13],SalaryPayrollTaxes[exp_item],$H1397,SalaryPayrollTaxes[company_name],$B1397,SalaryPayrollTaxes[bu_name],$C1397)*(X452+X557+X662)+SUMIFS(ExpensePayrollTaxes[Month 13],ExpensePayrollTaxes[exp_item],$H767,ExpensePayrollTaxes[company_name],$B1397)*X767)</f>
        <v>0</v>
      </c>
      <c r="Y1397" s="652">
        <f>IF($B1397="",,SUMIFS(SalaryPayrollTaxes[Month 14],SalaryPayrollTaxes[exp_item],$H1397,SalaryPayrollTaxes[company_name],$B1397,SalaryPayrollTaxes[bu_name],$C1397)*(Y452+Y557+Y662)+SUMIFS(ExpensePayrollTaxes[Month 14],ExpensePayrollTaxes[exp_item],$H767,ExpensePayrollTaxes[company_name],$B1397)*Y767)</f>
        <v>0</v>
      </c>
      <c r="Z1397" s="652">
        <f>IF($B1397="",,SUMIFS(SalaryPayrollTaxes[Month 15],SalaryPayrollTaxes[exp_item],$H1397,SalaryPayrollTaxes[company_name],$B1397,SalaryPayrollTaxes[bu_name],$C1397)*(Z452+Z557+Z662)+SUMIFS(ExpensePayrollTaxes[Month 15],ExpensePayrollTaxes[exp_item],$H767,ExpensePayrollTaxes[company_name],$B1397)*Z767)</f>
        <v>0</v>
      </c>
      <c r="AA1397" s="652">
        <f>IF($B1397="",,SUMIFS(SalaryPayrollTaxes[Month 16],SalaryPayrollTaxes[exp_item],$H1397,SalaryPayrollTaxes[company_name],$B1397,SalaryPayrollTaxes[bu_name],$C1397)*(AA452+AA557+AA662)+SUMIFS(ExpensePayrollTaxes[Month 16],ExpensePayrollTaxes[exp_item],$H767,ExpensePayrollTaxes[company_name],$B1397)*AA767)</f>
        <v>0</v>
      </c>
      <c r="AB1397" s="652">
        <f>IF($B1397="",,SUMIFS(SalaryPayrollTaxes[Month 17],SalaryPayrollTaxes[exp_item],$H1397,SalaryPayrollTaxes[company_name],$B1397,SalaryPayrollTaxes[bu_name],$C1397)*(AB452+AB557+AB662)+SUMIFS(ExpensePayrollTaxes[Month 17],ExpensePayrollTaxes[exp_item],$H767,ExpensePayrollTaxes[company_name],$B1397)*AB767)</f>
        <v>0</v>
      </c>
      <c r="AC1397" s="652">
        <f>IF($B1397="",,SUMIFS(SalaryPayrollTaxes[Month 18],SalaryPayrollTaxes[exp_item],$H1397,SalaryPayrollTaxes[company_name],$B1397,SalaryPayrollTaxes[bu_name],$C1397)*(AC452+AC557+AC662)+SUMIFS(ExpensePayrollTaxes[Month 18],ExpensePayrollTaxes[exp_item],$H767,ExpensePayrollTaxes[company_name],$B1397)*AC767)</f>
        <v>0</v>
      </c>
      <c r="AD1397" s="652">
        <f>IF($B1397="",,SUMIFS(SalaryPayrollTaxes[Month 19],SalaryPayrollTaxes[exp_item],$H1397,SalaryPayrollTaxes[company_name],$B1397,SalaryPayrollTaxes[bu_name],$C1397)*(AD452+AD557+AD662)+SUMIFS(ExpensePayrollTaxes[Month 19],ExpensePayrollTaxes[exp_item],$H767,ExpensePayrollTaxes[company_name],$B1397)*AD767)</f>
        <v>0</v>
      </c>
      <c r="AE1397" s="652">
        <f>IF($B1397="",,SUMIFS(SalaryPayrollTaxes[Month 20],SalaryPayrollTaxes[exp_item],$H1397,SalaryPayrollTaxes[company_name],$B1397,SalaryPayrollTaxes[bu_name],$C1397)*(AE452+AE557+AE662)+SUMIFS(ExpensePayrollTaxes[Month 20],ExpensePayrollTaxes[exp_item],$H767,ExpensePayrollTaxes[company_name],$B1397)*AE767)</f>
        <v>0</v>
      </c>
      <c r="AF1397" s="652">
        <f>IF($B1397="",,SUMIFS(SalaryPayrollTaxes[Month 21],SalaryPayrollTaxes[exp_item],$H1397,SalaryPayrollTaxes[company_name],$B1397,SalaryPayrollTaxes[bu_name],$C1397)*(AF452+AF557+AF662)+SUMIFS(ExpensePayrollTaxes[Month 21],ExpensePayrollTaxes[exp_item],$H767,ExpensePayrollTaxes[company_name],$B1397)*AF767)</f>
        <v>0</v>
      </c>
      <c r="AG1397" s="652">
        <f>IF($B1397="",,SUMIFS(SalaryPayrollTaxes[Month 22],SalaryPayrollTaxes[exp_item],$H1397,SalaryPayrollTaxes[company_name],$B1397,SalaryPayrollTaxes[bu_name],$C1397)*(AG452+AG557+AG662)+SUMIFS(ExpensePayrollTaxes[Month 22],ExpensePayrollTaxes[exp_item],$H767,ExpensePayrollTaxes[company_name],$B1397)*AG767)</f>
        <v>0</v>
      </c>
      <c r="AH1397" s="652">
        <f>IF($B1397="",,SUMIFS(SalaryPayrollTaxes[Month 23],SalaryPayrollTaxes[exp_item],$H1397,SalaryPayrollTaxes[company_name],$B1397,SalaryPayrollTaxes[bu_name],$C1397)*(AH452+AH557+AH662)+SUMIFS(ExpensePayrollTaxes[Month 23],ExpensePayrollTaxes[exp_item],$H767,ExpensePayrollTaxes[company_name],$B1397)*AH767)</f>
        <v>0</v>
      </c>
      <c r="AI1397" s="652">
        <f>IF($B1397="",,SUMIFS(SalaryPayrollTaxes[Month 24],SalaryPayrollTaxes[exp_item],$H1397,SalaryPayrollTaxes[company_name],$B1397,SalaryPayrollTaxes[bu_name],$C1397)*(AI452+AI557+AI662)+SUMIFS(ExpensePayrollTaxes[Month 24],ExpensePayrollTaxes[exp_item],$H767,ExpensePayrollTaxes[company_name],$B1397)*AI767)</f>
        <v>0</v>
      </c>
      <c r="AJ1397" s="652">
        <f>IF($B1397="",,SUMIFS(SalaryPayrollTaxes[Month 25],SalaryPayrollTaxes[exp_item],$H1397,SalaryPayrollTaxes[company_name],$B1397,SalaryPayrollTaxes[bu_name],$C1397)*(AJ452+AJ557+AJ662)+SUMIFS(ExpensePayrollTaxes[Month 25],ExpensePayrollTaxes[exp_item],$H767,ExpensePayrollTaxes[company_name],$B1397)*AJ767)</f>
        <v>0</v>
      </c>
      <c r="AK1397" s="652">
        <f>IF($B1397="",,SUMIFS(SalaryPayrollTaxes[Month 26],SalaryPayrollTaxes[exp_item],$H1397,SalaryPayrollTaxes[company_name],$B1397,SalaryPayrollTaxes[bu_name],$C1397)*(AK452+AK557+AK662)+SUMIFS(ExpensePayrollTaxes[Month 26],ExpensePayrollTaxes[exp_item],$H767,ExpensePayrollTaxes[company_name],$B1397)*AK767)</f>
        <v>0</v>
      </c>
      <c r="AL1397" s="652">
        <f>IF($B1397="",,SUMIFS(SalaryPayrollTaxes[Month 27],SalaryPayrollTaxes[exp_item],$H1397,SalaryPayrollTaxes[company_name],$B1397,SalaryPayrollTaxes[bu_name],$C1397)*(AL452+AL557+AL662)+SUMIFS(ExpensePayrollTaxes[Month 27],ExpensePayrollTaxes[exp_item],$H767,ExpensePayrollTaxes[company_name],$B1397)*AL767)</f>
        <v>0</v>
      </c>
      <c r="AM1397" s="652">
        <f>IF($B1397="",,SUMIFS(SalaryPayrollTaxes[Month 28],SalaryPayrollTaxes[exp_item],$H1397,SalaryPayrollTaxes[company_name],$B1397,SalaryPayrollTaxes[bu_name],$C1397)*(AM452+AM557+AM662)+SUMIFS(ExpensePayrollTaxes[Month 28],ExpensePayrollTaxes[exp_item],$H767,ExpensePayrollTaxes[company_name],$B1397)*AM767)</f>
        <v>0</v>
      </c>
      <c r="AN1397" s="652">
        <f>IF($B1397="",,SUMIFS(SalaryPayrollTaxes[Month 29],SalaryPayrollTaxes[exp_item],$H1397,SalaryPayrollTaxes[company_name],$B1397,SalaryPayrollTaxes[bu_name],$C1397)*(AN452+AN557+AN662)+SUMIFS(ExpensePayrollTaxes[Month 29],ExpensePayrollTaxes[exp_item],$H767,ExpensePayrollTaxes[company_name],$B1397)*AN767)</f>
        <v>0</v>
      </c>
      <c r="AO1397" s="652">
        <f>IF($B1397="",,SUMIFS(SalaryPayrollTaxes[Month 30],SalaryPayrollTaxes[exp_item],$H1397,SalaryPayrollTaxes[company_name],$B1397,SalaryPayrollTaxes[bu_name],$C1397)*(AO452+AO557+AO662)+SUMIFS(ExpensePayrollTaxes[Month 30],ExpensePayrollTaxes[exp_item],$H767,ExpensePayrollTaxes[company_name],$B1397)*AO767)</f>
        <v>0</v>
      </c>
      <c r="AP1397" s="652">
        <f>IF($B1397="",,SUMIFS(SalaryPayrollTaxes[Month 31],SalaryPayrollTaxes[exp_item],$H1397,SalaryPayrollTaxes[company_name],$B1397,SalaryPayrollTaxes[bu_name],$C1397)*(AP452+AP557+AP662)+SUMIFS(ExpensePayrollTaxes[Month 31],ExpensePayrollTaxes[exp_item],$H767,ExpensePayrollTaxes[company_name],$B1397)*AP767)</f>
        <v>0</v>
      </c>
      <c r="AQ1397" s="652">
        <f>IF($B1397="",,SUMIFS(SalaryPayrollTaxes[Month 32],SalaryPayrollTaxes[exp_item],$H1397,SalaryPayrollTaxes[company_name],$B1397,SalaryPayrollTaxes[bu_name],$C1397)*(AQ452+AQ557+AQ662)+SUMIFS(ExpensePayrollTaxes[Month 32],ExpensePayrollTaxes[exp_item],$H767,ExpensePayrollTaxes[company_name],$B1397)*AQ767)</f>
        <v>0</v>
      </c>
      <c r="AR1397" s="652">
        <f>IF($B1397="",,SUMIFS(SalaryPayrollTaxes[Month 33],SalaryPayrollTaxes[exp_item],$H1397,SalaryPayrollTaxes[company_name],$B1397,SalaryPayrollTaxes[bu_name],$C1397)*(AR452+AR557+AR662)+SUMIFS(ExpensePayrollTaxes[Month 33],ExpensePayrollTaxes[exp_item],$H767,ExpensePayrollTaxes[company_name],$B1397)*AR767)</f>
        <v>0</v>
      </c>
      <c r="AS1397" s="652">
        <f>IF($B1397="",,SUMIFS(SalaryPayrollTaxes[Month 34],SalaryPayrollTaxes[exp_item],$H1397,SalaryPayrollTaxes[company_name],$B1397,SalaryPayrollTaxes[bu_name],$C1397)*(AS452+AS557+AS662)+SUMIFS(ExpensePayrollTaxes[Month 34],ExpensePayrollTaxes[exp_item],$H767,ExpensePayrollTaxes[company_name],$B1397)*AS767)</f>
        <v>0</v>
      </c>
      <c r="AT1397" s="652">
        <f>IF($B1397="",,SUMIFS(SalaryPayrollTaxes[Month 35],SalaryPayrollTaxes[exp_item],$H1397,SalaryPayrollTaxes[company_name],$B1397,SalaryPayrollTaxes[bu_name],$C1397)*(AT452+AT557+AT662)+SUMIFS(ExpensePayrollTaxes[Month 35],ExpensePayrollTaxes[exp_item],$H767,ExpensePayrollTaxes[company_name],$B1397)*AT767)</f>
        <v>0</v>
      </c>
      <c r="AU1397" s="652">
        <f>IF($B1397="",,SUMIFS(SalaryPayrollTaxes[Month 36],SalaryPayrollTaxes[exp_item],$H1397,SalaryPayrollTaxes[company_name],$B1397,SalaryPayrollTaxes[bu_name],$C1397)*(AU452+AU557+AU662)+SUMIFS(ExpensePayrollTaxes[Month 36],ExpensePayrollTaxes[exp_item],$H767,ExpensePayrollTaxes[company_name],$B1397)*AU767)</f>
        <v>0</v>
      </c>
    </row>
    <row r="1398" spans="2:47" x14ac:dyDescent="0.35">
      <c r="B1398" t="str">
        <f t="shared" si="995"/>
        <v/>
      </c>
      <c r="C1398" t="str">
        <f t="shared" si="995"/>
        <v/>
      </c>
      <c r="D1398" t="str">
        <f t="shared" si="995"/>
        <v/>
      </c>
      <c r="E1398" t="str">
        <f t="shared" si="995"/>
        <v/>
      </c>
      <c r="F1398" t="str">
        <f t="shared" si="995"/>
        <v/>
      </c>
      <c r="G1398" t="str">
        <f t="shared" si="995"/>
        <v/>
      </c>
      <c r="H1398" t="str">
        <f t="shared" si="989"/>
        <v/>
      </c>
      <c r="J1398" t="str">
        <f>IF($H1398="","",IF(VLOOKUP(H1398,ExpItems[],2,0),H1398&amp;" - "&amp;INDEX(DivisionMapping[category_code],MATCH($D1398&amp;$C1398,DivisionMapping[dept_bu],0)),H1398))</f>
        <v/>
      </c>
      <c r="K1398" t="str">
        <f t="shared" si="990"/>
        <v/>
      </c>
      <c r="L1398" s="652">
        <f>IF($B1398="",,SUMIFS(SalaryPayrollTaxes[Month 1],SalaryPayrollTaxes[exp_item],$H1398,SalaryPayrollTaxes[company_name],$B1398,SalaryPayrollTaxes[bu_name],$C1398)*(L453+L558+L663)+SUMIFS(ExpensePayrollTaxes[Month 1],ExpensePayrollTaxes[exp_item],$H768,ExpensePayrollTaxes[company_name],$B1398)*L768)</f>
        <v>0</v>
      </c>
      <c r="M1398" s="652">
        <f>IF($B1398="",,SUMIFS(SalaryPayrollTaxes[Month 2],SalaryPayrollTaxes[exp_item],$H1398,SalaryPayrollTaxes[company_name],$B1398,SalaryPayrollTaxes[bu_name],$C1398)*(M453+M558+M663)+SUMIFS(ExpensePayrollTaxes[Month 2],ExpensePayrollTaxes[exp_item],$H768,ExpensePayrollTaxes[company_name],$B1398)*M768)</f>
        <v>0</v>
      </c>
      <c r="N1398" s="652">
        <f>IF($B1398="",,SUMIFS(SalaryPayrollTaxes[Month 3],SalaryPayrollTaxes[exp_item],$H1398,SalaryPayrollTaxes[company_name],$B1398,SalaryPayrollTaxes[bu_name],$C1398)*(N453+N558+N663)+SUMIFS(ExpensePayrollTaxes[Month 3],ExpensePayrollTaxes[exp_item],$H768,ExpensePayrollTaxes[company_name],$B1398)*N768)</f>
        <v>0</v>
      </c>
      <c r="O1398" s="652">
        <f>IF($B1398="",,SUMIFS(SalaryPayrollTaxes[Month 4],SalaryPayrollTaxes[exp_item],$H1398,SalaryPayrollTaxes[company_name],$B1398,SalaryPayrollTaxes[bu_name],$C1398)*(O453+O558+O663)+SUMIFS(ExpensePayrollTaxes[Month 4],ExpensePayrollTaxes[exp_item],$H768,ExpensePayrollTaxes[company_name],$B1398)*O768)</f>
        <v>0</v>
      </c>
      <c r="P1398" s="652">
        <f>IF($B1398="",,SUMIFS(SalaryPayrollTaxes[Month 5],SalaryPayrollTaxes[exp_item],$H1398,SalaryPayrollTaxes[company_name],$B1398,SalaryPayrollTaxes[bu_name],$C1398)*(P453+P558+P663)+SUMIFS(ExpensePayrollTaxes[Month 5],ExpensePayrollTaxes[exp_item],$H768,ExpensePayrollTaxes[company_name],$B1398)*P768)</f>
        <v>0</v>
      </c>
      <c r="Q1398" s="652">
        <f>IF($B1398="",,SUMIFS(SalaryPayrollTaxes[Month 6],SalaryPayrollTaxes[exp_item],$H1398,SalaryPayrollTaxes[company_name],$B1398,SalaryPayrollTaxes[bu_name],$C1398)*(Q453+Q558+Q663)+SUMIFS(ExpensePayrollTaxes[Month 6],ExpensePayrollTaxes[exp_item],$H768,ExpensePayrollTaxes[company_name],$B1398)*Q768)</f>
        <v>0</v>
      </c>
      <c r="R1398" s="652">
        <f>IF($B1398="",,SUMIFS(SalaryPayrollTaxes[Month 7],SalaryPayrollTaxes[exp_item],$H1398,SalaryPayrollTaxes[company_name],$B1398,SalaryPayrollTaxes[bu_name],$C1398)*(R453+R558+R663)+SUMIFS(ExpensePayrollTaxes[Month 7],ExpensePayrollTaxes[exp_item],$H768,ExpensePayrollTaxes[company_name],$B1398)*R768)</f>
        <v>0</v>
      </c>
      <c r="S1398" s="652">
        <f>IF($B1398="",,SUMIFS(SalaryPayrollTaxes[Month 8],SalaryPayrollTaxes[exp_item],$H1398,SalaryPayrollTaxes[company_name],$B1398,SalaryPayrollTaxes[bu_name],$C1398)*(S453+S558+S663)+SUMIFS(ExpensePayrollTaxes[Month 8],ExpensePayrollTaxes[exp_item],$H768,ExpensePayrollTaxes[company_name],$B1398)*S768)</f>
        <v>0</v>
      </c>
      <c r="T1398" s="652">
        <f>IF($B1398="",,SUMIFS(SalaryPayrollTaxes[Month 9],SalaryPayrollTaxes[exp_item],$H1398,SalaryPayrollTaxes[company_name],$B1398,SalaryPayrollTaxes[bu_name],$C1398)*(T453+T558+T663)+SUMIFS(ExpensePayrollTaxes[Month 9],ExpensePayrollTaxes[exp_item],$H768,ExpensePayrollTaxes[company_name],$B1398)*T768)</f>
        <v>0</v>
      </c>
      <c r="U1398" s="652">
        <f>IF($B1398="",,SUMIFS(SalaryPayrollTaxes[Month 10],SalaryPayrollTaxes[exp_item],$H1398,SalaryPayrollTaxes[company_name],$B1398,SalaryPayrollTaxes[bu_name],$C1398)*(U453+U558+U663)+SUMIFS(ExpensePayrollTaxes[Month 10],ExpensePayrollTaxes[exp_item],$H768,ExpensePayrollTaxes[company_name],$B1398)*U768)</f>
        <v>0</v>
      </c>
      <c r="V1398" s="652">
        <f>IF($B1398="",,SUMIFS(SalaryPayrollTaxes[Month 11],SalaryPayrollTaxes[exp_item],$H1398,SalaryPayrollTaxes[company_name],$B1398,SalaryPayrollTaxes[bu_name],$C1398)*(V453+V558+V663)+SUMIFS(ExpensePayrollTaxes[Month 11],ExpensePayrollTaxes[exp_item],$H768,ExpensePayrollTaxes[company_name],$B1398)*V768)</f>
        <v>0</v>
      </c>
      <c r="W1398" s="652">
        <f>IF($B1398="",,SUMIFS(SalaryPayrollTaxes[Month 12],SalaryPayrollTaxes[exp_item],$H1398,SalaryPayrollTaxes[company_name],$B1398,SalaryPayrollTaxes[bu_name],$C1398)*(W453+W558+W663)+SUMIFS(ExpensePayrollTaxes[Month 12],ExpensePayrollTaxes[exp_item],$H768,ExpensePayrollTaxes[company_name],$B1398)*W768)</f>
        <v>0</v>
      </c>
      <c r="X1398" s="652">
        <f>IF($B1398="",,SUMIFS(SalaryPayrollTaxes[Month 13],SalaryPayrollTaxes[exp_item],$H1398,SalaryPayrollTaxes[company_name],$B1398,SalaryPayrollTaxes[bu_name],$C1398)*(X453+X558+X663)+SUMIFS(ExpensePayrollTaxes[Month 13],ExpensePayrollTaxes[exp_item],$H768,ExpensePayrollTaxes[company_name],$B1398)*X768)</f>
        <v>0</v>
      </c>
      <c r="Y1398" s="652">
        <f>IF($B1398="",,SUMIFS(SalaryPayrollTaxes[Month 14],SalaryPayrollTaxes[exp_item],$H1398,SalaryPayrollTaxes[company_name],$B1398,SalaryPayrollTaxes[bu_name],$C1398)*(Y453+Y558+Y663)+SUMIFS(ExpensePayrollTaxes[Month 14],ExpensePayrollTaxes[exp_item],$H768,ExpensePayrollTaxes[company_name],$B1398)*Y768)</f>
        <v>0</v>
      </c>
      <c r="Z1398" s="652">
        <f>IF($B1398="",,SUMIFS(SalaryPayrollTaxes[Month 15],SalaryPayrollTaxes[exp_item],$H1398,SalaryPayrollTaxes[company_name],$B1398,SalaryPayrollTaxes[bu_name],$C1398)*(Z453+Z558+Z663)+SUMIFS(ExpensePayrollTaxes[Month 15],ExpensePayrollTaxes[exp_item],$H768,ExpensePayrollTaxes[company_name],$B1398)*Z768)</f>
        <v>0</v>
      </c>
      <c r="AA1398" s="652">
        <f>IF($B1398="",,SUMIFS(SalaryPayrollTaxes[Month 16],SalaryPayrollTaxes[exp_item],$H1398,SalaryPayrollTaxes[company_name],$B1398,SalaryPayrollTaxes[bu_name],$C1398)*(AA453+AA558+AA663)+SUMIFS(ExpensePayrollTaxes[Month 16],ExpensePayrollTaxes[exp_item],$H768,ExpensePayrollTaxes[company_name],$B1398)*AA768)</f>
        <v>0</v>
      </c>
      <c r="AB1398" s="652">
        <f>IF($B1398="",,SUMIFS(SalaryPayrollTaxes[Month 17],SalaryPayrollTaxes[exp_item],$H1398,SalaryPayrollTaxes[company_name],$B1398,SalaryPayrollTaxes[bu_name],$C1398)*(AB453+AB558+AB663)+SUMIFS(ExpensePayrollTaxes[Month 17],ExpensePayrollTaxes[exp_item],$H768,ExpensePayrollTaxes[company_name],$B1398)*AB768)</f>
        <v>0</v>
      </c>
      <c r="AC1398" s="652">
        <f>IF($B1398="",,SUMIFS(SalaryPayrollTaxes[Month 18],SalaryPayrollTaxes[exp_item],$H1398,SalaryPayrollTaxes[company_name],$B1398,SalaryPayrollTaxes[bu_name],$C1398)*(AC453+AC558+AC663)+SUMIFS(ExpensePayrollTaxes[Month 18],ExpensePayrollTaxes[exp_item],$H768,ExpensePayrollTaxes[company_name],$B1398)*AC768)</f>
        <v>0</v>
      </c>
      <c r="AD1398" s="652">
        <f>IF($B1398="",,SUMIFS(SalaryPayrollTaxes[Month 19],SalaryPayrollTaxes[exp_item],$H1398,SalaryPayrollTaxes[company_name],$B1398,SalaryPayrollTaxes[bu_name],$C1398)*(AD453+AD558+AD663)+SUMIFS(ExpensePayrollTaxes[Month 19],ExpensePayrollTaxes[exp_item],$H768,ExpensePayrollTaxes[company_name],$B1398)*AD768)</f>
        <v>0</v>
      </c>
      <c r="AE1398" s="652">
        <f>IF($B1398="",,SUMIFS(SalaryPayrollTaxes[Month 20],SalaryPayrollTaxes[exp_item],$H1398,SalaryPayrollTaxes[company_name],$B1398,SalaryPayrollTaxes[bu_name],$C1398)*(AE453+AE558+AE663)+SUMIFS(ExpensePayrollTaxes[Month 20],ExpensePayrollTaxes[exp_item],$H768,ExpensePayrollTaxes[company_name],$B1398)*AE768)</f>
        <v>0</v>
      </c>
      <c r="AF1398" s="652">
        <f>IF($B1398="",,SUMIFS(SalaryPayrollTaxes[Month 21],SalaryPayrollTaxes[exp_item],$H1398,SalaryPayrollTaxes[company_name],$B1398,SalaryPayrollTaxes[bu_name],$C1398)*(AF453+AF558+AF663)+SUMIFS(ExpensePayrollTaxes[Month 21],ExpensePayrollTaxes[exp_item],$H768,ExpensePayrollTaxes[company_name],$B1398)*AF768)</f>
        <v>0</v>
      </c>
      <c r="AG1398" s="652">
        <f>IF($B1398="",,SUMIFS(SalaryPayrollTaxes[Month 22],SalaryPayrollTaxes[exp_item],$H1398,SalaryPayrollTaxes[company_name],$B1398,SalaryPayrollTaxes[bu_name],$C1398)*(AG453+AG558+AG663)+SUMIFS(ExpensePayrollTaxes[Month 22],ExpensePayrollTaxes[exp_item],$H768,ExpensePayrollTaxes[company_name],$B1398)*AG768)</f>
        <v>0</v>
      </c>
      <c r="AH1398" s="652">
        <f>IF($B1398="",,SUMIFS(SalaryPayrollTaxes[Month 23],SalaryPayrollTaxes[exp_item],$H1398,SalaryPayrollTaxes[company_name],$B1398,SalaryPayrollTaxes[bu_name],$C1398)*(AH453+AH558+AH663)+SUMIFS(ExpensePayrollTaxes[Month 23],ExpensePayrollTaxes[exp_item],$H768,ExpensePayrollTaxes[company_name],$B1398)*AH768)</f>
        <v>0</v>
      </c>
      <c r="AI1398" s="652">
        <f>IF($B1398="",,SUMIFS(SalaryPayrollTaxes[Month 24],SalaryPayrollTaxes[exp_item],$H1398,SalaryPayrollTaxes[company_name],$B1398,SalaryPayrollTaxes[bu_name],$C1398)*(AI453+AI558+AI663)+SUMIFS(ExpensePayrollTaxes[Month 24],ExpensePayrollTaxes[exp_item],$H768,ExpensePayrollTaxes[company_name],$B1398)*AI768)</f>
        <v>0</v>
      </c>
      <c r="AJ1398" s="652">
        <f>IF($B1398="",,SUMIFS(SalaryPayrollTaxes[Month 25],SalaryPayrollTaxes[exp_item],$H1398,SalaryPayrollTaxes[company_name],$B1398,SalaryPayrollTaxes[bu_name],$C1398)*(AJ453+AJ558+AJ663)+SUMIFS(ExpensePayrollTaxes[Month 25],ExpensePayrollTaxes[exp_item],$H768,ExpensePayrollTaxes[company_name],$B1398)*AJ768)</f>
        <v>0</v>
      </c>
      <c r="AK1398" s="652">
        <f>IF($B1398="",,SUMIFS(SalaryPayrollTaxes[Month 26],SalaryPayrollTaxes[exp_item],$H1398,SalaryPayrollTaxes[company_name],$B1398,SalaryPayrollTaxes[bu_name],$C1398)*(AK453+AK558+AK663)+SUMIFS(ExpensePayrollTaxes[Month 26],ExpensePayrollTaxes[exp_item],$H768,ExpensePayrollTaxes[company_name],$B1398)*AK768)</f>
        <v>0</v>
      </c>
      <c r="AL1398" s="652">
        <f>IF($B1398="",,SUMIFS(SalaryPayrollTaxes[Month 27],SalaryPayrollTaxes[exp_item],$H1398,SalaryPayrollTaxes[company_name],$B1398,SalaryPayrollTaxes[bu_name],$C1398)*(AL453+AL558+AL663)+SUMIFS(ExpensePayrollTaxes[Month 27],ExpensePayrollTaxes[exp_item],$H768,ExpensePayrollTaxes[company_name],$B1398)*AL768)</f>
        <v>0</v>
      </c>
      <c r="AM1398" s="652">
        <f>IF($B1398="",,SUMIFS(SalaryPayrollTaxes[Month 28],SalaryPayrollTaxes[exp_item],$H1398,SalaryPayrollTaxes[company_name],$B1398,SalaryPayrollTaxes[bu_name],$C1398)*(AM453+AM558+AM663)+SUMIFS(ExpensePayrollTaxes[Month 28],ExpensePayrollTaxes[exp_item],$H768,ExpensePayrollTaxes[company_name],$B1398)*AM768)</f>
        <v>0</v>
      </c>
      <c r="AN1398" s="652">
        <f>IF($B1398="",,SUMIFS(SalaryPayrollTaxes[Month 29],SalaryPayrollTaxes[exp_item],$H1398,SalaryPayrollTaxes[company_name],$B1398,SalaryPayrollTaxes[bu_name],$C1398)*(AN453+AN558+AN663)+SUMIFS(ExpensePayrollTaxes[Month 29],ExpensePayrollTaxes[exp_item],$H768,ExpensePayrollTaxes[company_name],$B1398)*AN768)</f>
        <v>0</v>
      </c>
      <c r="AO1398" s="652">
        <f>IF($B1398="",,SUMIFS(SalaryPayrollTaxes[Month 30],SalaryPayrollTaxes[exp_item],$H1398,SalaryPayrollTaxes[company_name],$B1398,SalaryPayrollTaxes[bu_name],$C1398)*(AO453+AO558+AO663)+SUMIFS(ExpensePayrollTaxes[Month 30],ExpensePayrollTaxes[exp_item],$H768,ExpensePayrollTaxes[company_name],$B1398)*AO768)</f>
        <v>0</v>
      </c>
      <c r="AP1398" s="652">
        <f>IF($B1398="",,SUMIFS(SalaryPayrollTaxes[Month 31],SalaryPayrollTaxes[exp_item],$H1398,SalaryPayrollTaxes[company_name],$B1398,SalaryPayrollTaxes[bu_name],$C1398)*(AP453+AP558+AP663)+SUMIFS(ExpensePayrollTaxes[Month 31],ExpensePayrollTaxes[exp_item],$H768,ExpensePayrollTaxes[company_name],$B1398)*AP768)</f>
        <v>0</v>
      </c>
      <c r="AQ1398" s="652">
        <f>IF($B1398="",,SUMIFS(SalaryPayrollTaxes[Month 32],SalaryPayrollTaxes[exp_item],$H1398,SalaryPayrollTaxes[company_name],$B1398,SalaryPayrollTaxes[bu_name],$C1398)*(AQ453+AQ558+AQ663)+SUMIFS(ExpensePayrollTaxes[Month 32],ExpensePayrollTaxes[exp_item],$H768,ExpensePayrollTaxes[company_name],$B1398)*AQ768)</f>
        <v>0</v>
      </c>
      <c r="AR1398" s="652">
        <f>IF($B1398="",,SUMIFS(SalaryPayrollTaxes[Month 33],SalaryPayrollTaxes[exp_item],$H1398,SalaryPayrollTaxes[company_name],$B1398,SalaryPayrollTaxes[bu_name],$C1398)*(AR453+AR558+AR663)+SUMIFS(ExpensePayrollTaxes[Month 33],ExpensePayrollTaxes[exp_item],$H768,ExpensePayrollTaxes[company_name],$B1398)*AR768)</f>
        <v>0</v>
      </c>
      <c r="AS1398" s="652">
        <f>IF($B1398="",,SUMIFS(SalaryPayrollTaxes[Month 34],SalaryPayrollTaxes[exp_item],$H1398,SalaryPayrollTaxes[company_name],$B1398,SalaryPayrollTaxes[bu_name],$C1398)*(AS453+AS558+AS663)+SUMIFS(ExpensePayrollTaxes[Month 34],ExpensePayrollTaxes[exp_item],$H768,ExpensePayrollTaxes[company_name],$B1398)*AS768)</f>
        <v>0</v>
      </c>
      <c r="AT1398" s="652">
        <f>IF($B1398="",,SUMIFS(SalaryPayrollTaxes[Month 35],SalaryPayrollTaxes[exp_item],$H1398,SalaryPayrollTaxes[company_name],$B1398,SalaryPayrollTaxes[bu_name],$C1398)*(AT453+AT558+AT663)+SUMIFS(ExpensePayrollTaxes[Month 35],ExpensePayrollTaxes[exp_item],$H768,ExpensePayrollTaxes[company_name],$B1398)*AT768)</f>
        <v>0</v>
      </c>
      <c r="AU1398" s="652">
        <f>IF($B1398="",,SUMIFS(SalaryPayrollTaxes[Month 36],SalaryPayrollTaxes[exp_item],$H1398,SalaryPayrollTaxes[company_name],$B1398,SalaryPayrollTaxes[bu_name],$C1398)*(AU453+AU558+AU663)+SUMIFS(ExpensePayrollTaxes[Month 36],ExpensePayrollTaxes[exp_item],$H768,ExpensePayrollTaxes[company_name],$B1398)*AU768)</f>
        <v>0</v>
      </c>
    </row>
    <row r="1399" spans="2:47" x14ac:dyDescent="0.35">
      <c r="B1399" t="str">
        <f t="shared" si="995"/>
        <v/>
      </c>
      <c r="C1399" t="str">
        <f t="shared" si="995"/>
        <v/>
      </c>
      <c r="D1399" t="str">
        <f t="shared" si="995"/>
        <v/>
      </c>
      <c r="E1399" t="str">
        <f t="shared" si="995"/>
        <v/>
      </c>
      <c r="F1399" t="str">
        <f t="shared" si="995"/>
        <v/>
      </c>
      <c r="G1399" t="str">
        <f t="shared" si="995"/>
        <v/>
      </c>
      <c r="H1399" t="str">
        <f t="shared" si="989"/>
        <v/>
      </c>
      <c r="J1399" t="str">
        <f>IF($H1399="","",IF(VLOOKUP(H1399,ExpItems[],2,0),H1399&amp;" - "&amp;INDEX(DivisionMapping[category_code],MATCH($D1399&amp;$C1399,DivisionMapping[dept_bu],0)),H1399))</f>
        <v/>
      </c>
      <c r="K1399" t="str">
        <f t="shared" si="990"/>
        <v/>
      </c>
      <c r="L1399" s="652">
        <f>IF($B1399="",,SUMIFS(SalaryPayrollTaxes[Month 1],SalaryPayrollTaxes[exp_item],$H1399,SalaryPayrollTaxes[company_name],$B1399,SalaryPayrollTaxes[bu_name],$C1399)*(L454+L559+L664)+SUMIFS(ExpensePayrollTaxes[Month 1],ExpensePayrollTaxes[exp_item],$H769,ExpensePayrollTaxes[company_name],$B1399)*L769)</f>
        <v>0</v>
      </c>
      <c r="M1399" s="652">
        <f>IF($B1399="",,SUMIFS(SalaryPayrollTaxes[Month 2],SalaryPayrollTaxes[exp_item],$H1399,SalaryPayrollTaxes[company_name],$B1399,SalaryPayrollTaxes[bu_name],$C1399)*(M454+M559+M664)+SUMIFS(ExpensePayrollTaxes[Month 2],ExpensePayrollTaxes[exp_item],$H769,ExpensePayrollTaxes[company_name],$B1399)*M769)</f>
        <v>0</v>
      </c>
      <c r="N1399" s="652">
        <f>IF($B1399="",,SUMIFS(SalaryPayrollTaxes[Month 3],SalaryPayrollTaxes[exp_item],$H1399,SalaryPayrollTaxes[company_name],$B1399,SalaryPayrollTaxes[bu_name],$C1399)*(N454+N559+N664)+SUMIFS(ExpensePayrollTaxes[Month 3],ExpensePayrollTaxes[exp_item],$H769,ExpensePayrollTaxes[company_name],$B1399)*N769)</f>
        <v>0</v>
      </c>
      <c r="O1399" s="652">
        <f>IF($B1399="",,SUMIFS(SalaryPayrollTaxes[Month 4],SalaryPayrollTaxes[exp_item],$H1399,SalaryPayrollTaxes[company_name],$B1399,SalaryPayrollTaxes[bu_name],$C1399)*(O454+O559+O664)+SUMIFS(ExpensePayrollTaxes[Month 4],ExpensePayrollTaxes[exp_item],$H769,ExpensePayrollTaxes[company_name],$B1399)*O769)</f>
        <v>0</v>
      </c>
      <c r="P1399" s="652">
        <f>IF($B1399="",,SUMIFS(SalaryPayrollTaxes[Month 5],SalaryPayrollTaxes[exp_item],$H1399,SalaryPayrollTaxes[company_name],$B1399,SalaryPayrollTaxes[bu_name],$C1399)*(P454+P559+P664)+SUMIFS(ExpensePayrollTaxes[Month 5],ExpensePayrollTaxes[exp_item],$H769,ExpensePayrollTaxes[company_name],$B1399)*P769)</f>
        <v>0</v>
      </c>
      <c r="Q1399" s="652">
        <f>IF($B1399="",,SUMIFS(SalaryPayrollTaxes[Month 6],SalaryPayrollTaxes[exp_item],$H1399,SalaryPayrollTaxes[company_name],$B1399,SalaryPayrollTaxes[bu_name],$C1399)*(Q454+Q559+Q664)+SUMIFS(ExpensePayrollTaxes[Month 6],ExpensePayrollTaxes[exp_item],$H769,ExpensePayrollTaxes[company_name],$B1399)*Q769)</f>
        <v>0</v>
      </c>
      <c r="R1399" s="652">
        <f>IF($B1399="",,SUMIFS(SalaryPayrollTaxes[Month 7],SalaryPayrollTaxes[exp_item],$H1399,SalaryPayrollTaxes[company_name],$B1399,SalaryPayrollTaxes[bu_name],$C1399)*(R454+R559+R664)+SUMIFS(ExpensePayrollTaxes[Month 7],ExpensePayrollTaxes[exp_item],$H769,ExpensePayrollTaxes[company_name],$B1399)*R769)</f>
        <v>0</v>
      </c>
      <c r="S1399" s="652">
        <f>IF($B1399="",,SUMIFS(SalaryPayrollTaxes[Month 8],SalaryPayrollTaxes[exp_item],$H1399,SalaryPayrollTaxes[company_name],$B1399,SalaryPayrollTaxes[bu_name],$C1399)*(S454+S559+S664)+SUMIFS(ExpensePayrollTaxes[Month 8],ExpensePayrollTaxes[exp_item],$H769,ExpensePayrollTaxes[company_name],$B1399)*S769)</f>
        <v>0</v>
      </c>
      <c r="T1399" s="652">
        <f>IF($B1399="",,SUMIFS(SalaryPayrollTaxes[Month 9],SalaryPayrollTaxes[exp_item],$H1399,SalaryPayrollTaxes[company_name],$B1399,SalaryPayrollTaxes[bu_name],$C1399)*(T454+T559+T664)+SUMIFS(ExpensePayrollTaxes[Month 9],ExpensePayrollTaxes[exp_item],$H769,ExpensePayrollTaxes[company_name],$B1399)*T769)</f>
        <v>0</v>
      </c>
      <c r="U1399" s="652">
        <f>IF($B1399="",,SUMIFS(SalaryPayrollTaxes[Month 10],SalaryPayrollTaxes[exp_item],$H1399,SalaryPayrollTaxes[company_name],$B1399,SalaryPayrollTaxes[bu_name],$C1399)*(U454+U559+U664)+SUMIFS(ExpensePayrollTaxes[Month 10],ExpensePayrollTaxes[exp_item],$H769,ExpensePayrollTaxes[company_name],$B1399)*U769)</f>
        <v>0</v>
      </c>
      <c r="V1399" s="652">
        <f>IF($B1399="",,SUMIFS(SalaryPayrollTaxes[Month 11],SalaryPayrollTaxes[exp_item],$H1399,SalaryPayrollTaxes[company_name],$B1399,SalaryPayrollTaxes[bu_name],$C1399)*(V454+V559+V664)+SUMIFS(ExpensePayrollTaxes[Month 11],ExpensePayrollTaxes[exp_item],$H769,ExpensePayrollTaxes[company_name],$B1399)*V769)</f>
        <v>0</v>
      </c>
      <c r="W1399" s="652">
        <f>IF($B1399="",,SUMIFS(SalaryPayrollTaxes[Month 12],SalaryPayrollTaxes[exp_item],$H1399,SalaryPayrollTaxes[company_name],$B1399,SalaryPayrollTaxes[bu_name],$C1399)*(W454+W559+W664)+SUMIFS(ExpensePayrollTaxes[Month 12],ExpensePayrollTaxes[exp_item],$H769,ExpensePayrollTaxes[company_name],$B1399)*W769)</f>
        <v>0</v>
      </c>
      <c r="X1399" s="652">
        <f>IF($B1399="",,SUMIFS(SalaryPayrollTaxes[Month 13],SalaryPayrollTaxes[exp_item],$H1399,SalaryPayrollTaxes[company_name],$B1399,SalaryPayrollTaxes[bu_name],$C1399)*(X454+X559+X664)+SUMIFS(ExpensePayrollTaxes[Month 13],ExpensePayrollTaxes[exp_item],$H769,ExpensePayrollTaxes[company_name],$B1399)*X769)</f>
        <v>0</v>
      </c>
      <c r="Y1399" s="652">
        <f>IF($B1399="",,SUMIFS(SalaryPayrollTaxes[Month 14],SalaryPayrollTaxes[exp_item],$H1399,SalaryPayrollTaxes[company_name],$B1399,SalaryPayrollTaxes[bu_name],$C1399)*(Y454+Y559+Y664)+SUMIFS(ExpensePayrollTaxes[Month 14],ExpensePayrollTaxes[exp_item],$H769,ExpensePayrollTaxes[company_name],$B1399)*Y769)</f>
        <v>0</v>
      </c>
      <c r="Z1399" s="652">
        <f>IF($B1399="",,SUMIFS(SalaryPayrollTaxes[Month 15],SalaryPayrollTaxes[exp_item],$H1399,SalaryPayrollTaxes[company_name],$B1399,SalaryPayrollTaxes[bu_name],$C1399)*(Z454+Z559+Z664)+SUMIFS(ExpensePayrollTaxes[Month 15],ExpensePayrollTaxes[exp_item],$H769,ExpensePayrollTaxes[company_name],$B1399)*Z769)</f>
        <v>0</v>
      </c>
      <c r="AA1399" s="652">
        <f>IF($B1399="",,SUMIFS(SalaryPayrollTaxes[Month 16],SalaryPayrollTaxes[exp_item],$H1399,SalaryPayrollTaxes[company_name],$B1399,SalaryPayrollTaxes[bu_name],$C1399)*(AA454+AA559+AA664)+SUMIFS(ExpensePayrollTaxes[Month 16],ExpensePayrollTaxes[exp_item],$H769,ExpensePayrollTaxes[company_name],$B1399)*AA769)</f>
        <v>0</v>
      </c>
      <c r="AB1399" s="652">
        <f>IF($B1399="",,SUMIFS(SalaryPayrollTaxes[Month 17],SalaryPayrollTaxes[exp_item],$H1399,SalaryPayrollTaxes[company_name],$B1399,SalaryPayrollTaxes[bu_name],$C1399)*(AB454+AB559+AB664)+SUMIFS(ExpensePayrollTaxes[Month 17],ExpensePayrollTaxes[exp_item],$H769,ExpensePayrollTaxes[company_name],$B1399)*AB769)</f>
        <v>0</v>
      </c>
      <c r="AC1399" s="652">
        <f>IF($B1399="",,SUMIFS(SalaryPayrollTaxes[Month 18],SalaryPayrollTaxes[exp_item],$H1399,SalaryPayrollTaxes[company_name],$B1399,SalaryPayrollTaxes[bu_name],$C1399)*(AC454+AC559+AC664)+SUMIFS(ExpensePayrollTaxes[Month 18],ExpensePayrollTaxes[exp_item],$H769,ExpensePayrollTaxes[company_name],$B1399)*AC769)</f>
        <v>0</v>
      </c>
      <c r="AD1399" s="652">
        <f>IF($B1399="",,SUMIFS(SalaryPayrollTaxes[Month 19],SalaryPayrollTaxes[exp_item],$H1399,SalaryPayrollTaxes[company_name],$B1399,SalaryPayrollTaxes[bu_name],$C1399)*(AD454+AD559+AD664)+SUMIFS(ExpensePayrollTaxes[Month 19],ExpensePayrollTaxes[exp_item],$H769,ExpensePayrollTaxes[company_name],$B1399)*AD769)</f>
        <v>0</v>
      </c>
      <c r="AE1399" s="652">
        <f>IF($B1399="",,SUMIFS(SalaryPayrollTaxes[Month 20],SalaryPayrollTaxes[exp_item],$H1399,SalaryPayrollTaxes[company_name],$B1399,SalaryPayrollTaxes[bu_name],$C1399)*(AE454+AE559+AE664)+SUMIFS(ExpensePayrollTaxes[Month 20],ExpensePayrollTaxes[exp_item],$H769,ExpensePayrollTaxes[company_name],$B1399)*AE769)</f>
        <v>0</v>
      </c>
      <c r="AF1399" s="652">
        <f>IF($B1399="",,SUMIFS(SalaryPayrollTaxes[Month 21],SalaryPayrollTaxes[exp_item],$H1399,SalaryPayrollTaxes[company_name],$B1399,SalaryPayrollTaxes[bu_name],$C1399)*(AF454+AF559+AF664)+SUMIFS(ExpensePayrollTaxes[Month 21],ExpensePayrollTaxes[exp_item],$H769,ExpensePayrollTaxes[company_name],$B1399)*AF769)</f>
        <v>0</v>
      </c>
      <c r="AG1399" s="652">
        <f>IF($B1399="",,SUMIFS(SalaryPayrollTaxes[Month 22],SalaryPayrollTaxes[exp_item],$H1399,SalaryPayrollTaxes[company_name],$B1399,SalaryPayrollTaxes[bu_name],$C1399)*(AG454+AG559+AG664)+SUMIFS(ExpensePayrollTaxes[Month 22],ExpensePayrollTaxes[exp_item],$H769,ExpensePayrollTaxes[company_name],$B1399)*AG769)</f>
        <v>0</v>
      </c>
      <c r="AH1399" s="652">
        <f>IF($B1399="",,SUMIFS(SalaryPayrollTaxes[Month 23],SalaryPayrollTaxes[exp_item],$H1399,SalaryPayrollTaxes[company_name],$B1399,SalaryPayrollTaxes[bu_name],$C1399)*(AH454+AH559+AH664)+SUMIFS(ExpensePayrollTaxes[Month 23],ExpensePayrollTaxes[exp_item],$H769,ExpensePayrollTaxes[company_name],$B1399)*AH769)</f>
        <v>0</v>
      </c>
      <c r="AI1399" s="652">
        <f>IF($B1399="",,SUMIFS(SalaryPayrollTaxes[Month 24],SalaryPayrollTaxes[exp_item],$H1399,SalaryPayrollTaxes[company_name],$B1399,SalaryPayrollTaxes[bu_name],$C1399)*(AI454+AI559+AI664)+SUMIFS(ExpensePayrollTaxes[Month 24],ExpensePayrollTaxes[exp_item],$H769,ExpensePayrollTaxes[company_name],$B1399)*AI769)</f>
        <v>0</v>
      </c>
      <c r="AJ1399" s="652">
        <f>IF($B1399="",,SUMIFS(SalaryPayrollTaxes[Month 25],SalaryPayrollTaxes[exp_item],$H1399,SalaryPayrollTaxes[company_name],$B1399,SalaryPayrollTaxes[bu_name],$C1399)*(AJ454+AJ559+AJ664)+SUMIFS(ExpensePayrollTaxes[Month 25],ExpensePayrollTaxes[exp_item],$H769,ExpensePayrollTaxes[company_name],$B1399)*AJ769)</f>
        <v>0</v>
      </c>
      <c r="AK1399" s="652">
        <f>IF($B1399="",,SUMIFS(SalaryPayrollTaxes[Month 26],SalaryPayrollTaxes[exp_item],$H1399,SalaryPayrollTaxes[company_name],$B1399,SalaryPayrollTaxes[bu_name],$C1399)*(AK454+AK559+AK664)+SUMIFS(ExpensePayrollTaxes[Month 26],ExpensePayrollTaxes[exp_item],$H769,ExpensePayrollTaxes[company_name],$B1399)*AK769)</f>
        <v>0</v>
      </c>
      <c r="AL1399" s="652">
        <f>IF($B1399="",,SUMIFS(SalaryPayrollTaxes[Month 27],SalaryPayrollTaxes[exp_item],$H1399,SalaryPayrollTaxes[company_name],$B1399,SalaryPayrollTaxes[bu_name],$C1399)*(AL454+AL559+AL664)+SUMIFS(ExpensePayrollTaxes[Month 27],ExpensePayrollTaxes[exp_item],$H769,ExpensePayrollTaxes[company_name],$B1399)*AL769)</f>
        <v>0</v>
      </c>
      <c r="AM1399" s="652">
        <f>IF($B1399="",,SUMIFS(SalaryPayrollTaxes[Month 28],SalaryPayrollTaxes[exp_item],$H1399,SalaryPayrollTaxes[company_name],$B1399,SalaryPayrollTaxes[bu_name],$C1399)*(AM454+AM559+AM664)+SUMIFS(ExpensePayrollTaxes[Month 28],ExpensePayrollTaxes[exp_item],$H769,ExpensePayrollTaxes[company_name],$B1399)*AM769)</f>
        <v>0</v>
      </c>
      <c r="AN1399" s="652">
        <f>IF($B1399="",,SUMIFS(SalaryPayrollTaxes[Month 29],SalaryPayrollTaxes[exp_item],$H1399,SalaryPayrollTaxes[company_name],$B1399,SalaryPayrollTaxes[bu_name],$C1399)*(AN454+AN559+AN664)+SUMIFS(ExpensePayrollTaxes[Month 29],ExpensePayrollTaxes[exp_item],$H769,ExpensePayrollTaxes[company_name],$B1399)*AN769)</f>
        <v>0</v>
      </c>
      <c r="AO1399" s="652">
        <f>IF($B1399="",,SUMIFS(SalaryPayrollTaxes[Month 30],SalaryPayrollTaxes[exp_item],$H1399,SalaryPayrollTaxes[company_name],$B1399,SalaryPayrollTaxes[bu_name],$C1399)*(AO454+AO559+AO664)+SUMIFS(ExpensePayrollTaxes[Month 30],ExpensePayrollTaxes[exp_item],$H769,ExpensePayrollTaxes[company_name],$B1399)*AO769)</f>
        <v>0</v>
      </c>
      <c r="AP1399" s="652">
        <f>IF($B1399="",,SUMIFS(SalaryPayrollTaxes[Month 31],SalaryPayrollTaxes[exp_item],$H1399,SalaryPayrollTaxes[company_name],$B1399,SalaryPayrollTaxes[bu_name],$C1399)*(AP454+AP559+AP664)+SUMIFS(ExpensePayrollTaxes[Month 31],ExpensePayrollTaxes[exp_item],$H769,ExpensePayrollTaxes[company_name],$B1399)*AP769)</f>
        <v>0</v>
      </c>
      <c r="AQ1399" s="652">
        <f>IF($B1399="",,SUMIFS(SalaryPayrollTaxes[Month 32],SalaryPayrollTaxes[exp_item],$H1399,SalaryPayrollTaxes[company_name],$B1399,SalaryPayrollTaxes[bu_name],$C1399)*(AQ454+AQ559+AQ664)+SUMIFS(ExpensePayrollTaxes[Month 32],ExpensePayrollTaxes[exp_item],$H769,ExpensePayrollTaxes[company_name],$B1399)*AQ769)</f>
        <v>0</v>
      </c>
      <c r="AR1399" s="652">
        <f>IF($B1399="",,SUMIFS(SalaryPayrollTaxes[Month 33],SalaryPayrollTaxes[exp_item],$H1399,SalaryPayrollTaxes[company_name],$B1399,SalaryPayrollTaxes[bu_name],$C1399)*(AR454+AR559+AR664)+SUMIFS(ExpensePayrollTaxes[Month 33],ExpensePayrollTaxes[exp_item],$H769,ExpensePayrollTaxes[company_name],$B1399)*AR769)</f>
        <v>0</v>
      </c>
      <c r="AS1399" s="652">
        <f>IF($B1399="",,SUMIFS(SalaryPayrollTaxes[Month 34],SalaryPayrollTaxes[exp_item],$H1399,SalaryPayrollTaxes[company_name],$B1399,SalaryPayrollTaxes[bu_name],$C1399)*(AS454+AS559+AS664)+SUMIFS(ExpensePayrollTaxes[Month 34],ExpensePayrollTaxes[exp_item],$H769,ExpensePayrollTaxes[company_name],$B1399)*AS769)</f>
        <v>0</v>
      </c>
      <c r="AT1399" s="652">
        <f>IF($B1399="",,SUMIFS(SalaryPayrollTaxes[Month 35],SalaryPayrollTaxes[exp_item],$H1399,SalaryPayrollTaxes[company_name],$B1399,SalaryPayrollTaxes[bu_name],$C1399)*(AT454+AT559+AT664)+SUMIFS(ExpensePayrollTaxes[Month 35],ExpensePayrollTaxes[exp_item],$H769,ExpensePayrollTaxes[company_name],$B1399)*AT769)</f>
        <v>0</v>
      </c>
      <c r="AU1399" s="652">
        <f>IF($B1399="",,SUMIFS(SalaryPayrollTaxes[Month 36],SalaryPayrollTaxes[exp_item],$H1399,SalaryPayrollTaxes[company_name],$B1399,SalaryPayrollTaxes[bu_name],$C1399)*(AU454+AU559+AU664)+SUMIFS(ExpensePayrollTaxes[Month 36],ExpensePayrollTaxes[exp_item],$H769,ExpensePayrollTaxes[company_name],$B1399)*AU769)</f>
        <v>0</v>
      </c>
    </row>
    <row r="1400" spans="2:47" x14ac:dyDescent="0.35">
      <c r="B1400" t="str">
        <f t="shared" si="995"/>
        <v/>
      </c>
      <c r="C1400" t="str">
        <f t="shared" si="995"/>
        <v/>
      </c>
      <c r="D1400" t="str">
        <f t="shared" si="995"/>
        <v/>
      </c>
      <c r="E1400" t="str">
        <f t="shared" si="995"/>
        <v/>
      </c>
      <c r="F1400" t="str">
        <f t="shared" si="995"/>
        <v/>
      </c>
      <c r="G1400" t="str">
        <f t="shared" si="995"/>
        <v/>
      </c>
      <c r="H1400" t="str">
        <f t="shared" si="989"/>
        <v/>
      </c>
      <c r="J1400" t="str">
        <f>IF($H1400="","",IF(VLOOKUP(H1400,ExpItems[],2,0),H1400&amp;" - "&amp;INDEX(DivisionMapping[category_code],MATCH($D1400&amp;$C1400,DivisionMapping[dept_bu],0)),H1400))</f>
        <v/>
      </c>
      <c r="K1400" t="str">
        <f t="shared" si="990"/>
        <v/>
      </c>
      <c r="L1400" s="652">
        <f>IF($B1400="",,SUMIFS(SalaryPayrollTaxes[Month 1],SalaryPayrollTaxes[exp_item],$H1400,SalaryPayrollTaxes[company_name],$B1400,SalaryPayrollTaxes[bu_name],$C1400)*(L455+L560+L665)+SUMIFS(ExpensePayrollTaxes[Month 1],ExpensePayrollTaxes[exp_item],$H770,ExpensePayrollTaxes[company_name],$B1400)*L770)</f>
        <v>0</v>
      </c>
      <c r="M1400" s="652">
        <f>IF($B1400="",,SUMIFS(SalaryPayrollTaxes[Month 2],SalaryPayrollTaxes[exp_item],$H1400,SalaryPayrollTaxes[company_name],$B1400,SalaryPayrollTaxes[bu_name],$C1400)*(M455+M560+M665)+SUMIFS(ExpensePayrollTaxes[Month 2],ExpensePayrollTaxes[exp_item],$H770,ExpensePayrollTaxes[company_name],$B1400)*M770)</f>
        <v>0</v>
      </c>
      <c r="N1400" s="652">
        <f>IF($B1400="",,SUMIFS(SalaryPayrollTaxes[Month 3],SalaryPayrollTaxes[exp_item],$H1400,SalaryPayrollTaxes[company_name],$B1400,SalaryPayrollTaxes[bu_name],$C1400)*(N455+N560+N665)+SUMIFS(ExpensePayrollTaxes[Month 3],ExpensePayrollTaxes[exp_item],$H770,ExpensePayrollTaxes[company_name],$B1400)*N770)</f>
        <v>0</v>
      </c>
      <c r="O1400" s="652">
        <f>IF($B1400="",,SUMIFS(SalaryPayrollTaxes[Month 4],SalaryPayrollTaxes[exp_item],$H1400,SalaryPayrollTaxes[company_name],$B1400,SalaryPayrollTaxes[bu_name],$C1400)*(O455+O560+O665)+SUMIFS(ExpensePayrollTaxes[Month 4],ExpensePayrollTaxes[exp_item],$H770,ExpensePayrollTaxes[company_name],$B1400)*O770)</f>
        <v>0</v>
      </c>
      <c r="P1400" s="652">
        <f>IF($B1400="",,SUMIFS(SalaryPayrollTaxes[Month 5],SalaryPayrollTaxes[exp_item],$H1400,SalaryPayrollTaxes[company_name],$B1400,SalaryPayrollTaxes[bu_name],$C1400)*(P455+P560+P665)+SUMIFS(ExpensePayrollTaxes[Month 5],ExpensePayrollTaxes[exp_item],$H770,ExpensePayrollTaxes[company_name],$B1400)*P770)</f>
        <v>0</v>
      </c>
      <c r="Q1400" s="652">
        <f>IF($B1400="",,SUMIFS(SalaryPayrollTaxes[Month 6],SalaryPayrollTaxes[exp_item],$H1400,SalaryPayrollTaxes[company_name],$B1400,SalaryPayrollTaxes[bu_name],$C1400)*(Q455+Q560+Q665)+SUMIFS(ExpensePayrollTaxes[Month 6],ExpensePayrollTaxes[exp_item],$H770,ExpensePayrollTaxes[company_name],$B1400)*Q770)</f>
        <v>0</v>
      </c>
      <c r="R1400" s="652">
        <f>IF($B1400="",,SUMIFS(SalaryPayrollTaxes[Month 7],SalaryPayrollTaxes[exp_item],$H1400,SalaryPayrollTaxes[company_name],$B1400,SalaryPayrollTaxes[bu_name],$C1400)*(R455+R560+R665)+SUMIFS(ExpensePayrollTaxes[Month 7],ExpensePayrollTaxes[exp_item],$H770,ExpensePayrollTaxes[company_name],$B1400)*R770)</f>
        <v>0</v>
      </c>
      <c r="S1400" s="652">
        <f>IF($B1400="",,SUMIFS(SalaryPayrollTaxes[Month 8],SalaryPayrollTaxes[exp_item],$H1400,SalaryPayrollTaxes[company_name],$B1400,SalaryPayrollTaxes[bu_name],$C1400)*(S455+S560+S665)+SUMIFS(ExpensePayrollTaxes[Month 8],ExpensePayrollTaxes[exp_item],$H770,ExpensePayrollTaxes[company_name],$B1400)*S770)</f>
        <v>0</v>
      </c>
      <c r="T1400" s="652">
        <f>IF($B1400="",,SUMIFS(SalaryPayrollTaxes[Month 9],SalaryPayrollTaxes[exp_item],$H1400,SalaryPayrollTaxes[company_name],$B1400,SalaryPayrollTaxes[bu_name],$C1400)*(T455+T560+T665)+SUMIFS(ExpensePayrollTaxes[Month 9],ExpensePayrollTaxes[exp_item],$H770,ExpensePayrollTaxes[company_name],$B1400)*T770)</f>
        <v>0</v>
      </c>
      <c r="U1400" s="652">
        <f>IF($B1400="",,SUMIFS(SalaryPayrollTaxes[Month 10],SalaryPayrollTaxes[exp_item],$H1400,SalaryPayrollTaxes[company_name],$B1400,SalaryPayrollTaxes[bu_name],$C1400)*(U455+U560+U665)+SUMIFS(ExpensePayrollTaxes[Month 10],ExpensePayrollTaxes[exp_item],$H770,ExpensePayrollTaxes[company_name],$B1400)*U770)</f>
        <v>0</v>
      </c>
      <c r="V1400" s="652">
        <f>IF($B1400="",,SUMIFS(SalaryPayrollTaxes[Month 11],SalaryPayrollTaxes[exp_item],$H1400,SalaryPayrollTaxes[company_name],$B1400,SalaryPayrollTaxes[bu_name],$C1400)*(V455+V560+V665)+SUMIFS(ExpensePayrollTaxes[Month 11],ExpensePayrollTaxes[exp_item],$H770,ExpensePayrollTaxes[company_name],$B1400)*V770)</f>
        <v>0</v>
      </c>
      <c r="W1400" s="652">
        <f>IF($B1400="",,SUMIFS(SalaryPayrollTaxes[Month 12],SalaryPayrollTaxes[exp_item],$H1400,SalaryPayrollTaxes[company_name],$B1400,SalaryPayrollTaxes[bu_name],$C1400)*(W455+W560+W665)+SUMIFS(ExpensePayrollTaxes[Month 12],ExpensePayrollTaxes[exp_item],$H770,ExpensePayrollTaxes[company_name],$B1400)*W770)</f>
        <v>0</v>
      </c>
      <c r="X1400" s="652">
        <f>IF($B1400="",,SUMIFS(SalaryPayrollTaxes[Month 13],SalaryPayrollTaxes[exp_item],$H1400,SalaryPayrollTaxes[company_name],$B1400,SalaryPayrollTaxes[bu_name],$C1400)*(X455+X560+X665)+SUMIFS(ExpensePayrollTaxes[Month 13],ExpensePayrollTaxes[exp_item],$H770,ExpensePayrollTaxes[company_name],$B1400)*X770)</f>
        <v>0</v>
      </c>
      <c r="Y1400" s="652">
        <f>IF($B1400="",,SUMIFS(SalaryPayrollTaxes[Month 14],SalaryPayrollTaxes[exp_item],$H1400,SalaryPayrollTaxes[company_name],$B1400,SalaryPayrollTaxes[bu_name],$C1400)*(Y455+Y560+Y665)+SUMIFS(ExpensePayrollTaxes[Month 14],ExpensePayrollTaxes[exp_item],$H770,ExpensePayrollTaxes[company_name],$B1400)*Y770)</f>
        <v>0</v>
      </c>
      <c r="Z1400" s="652">
        <f>IF($B1400="",,SUMIFS(SalaryPayrollTaxes[Month 15],SalaryPayrollTaxes[exp_item],$H1400,SalaryPayrollTaxes[company_name],$B1400,SalaryPayrollTaxes[bu_name],$C1400)*(Z455+Z560+Z665)+SUMIFS(ExpensePayrollTaxes[Month 15],ExpensePayrollTaxes[exp_item],$H770,ExpensePayrollTaxes[company_name],$B1400)*Z770)</f>
        <v>0</v>
      </c>
      <c r="AA1400" s="652">
        <f>IF($B1400="",,SUMIFS(SalaryPayrollTaxes[Month 16],SalaryPayrollTaxes[exp_item],$H1400,SalaryPayrollTaxes[company_name],$B1400,SalaryPayrollTaxes[bu_name],$C1400)*(AA455+AA560+AA665)+SUMIFS(ExpensePayrollTaxes[Month 16],ExpensePayrollTaxes[exp_item],$H770,ExpensePayrollTaxes[company_name],$B1400)*AA770)</f>
        <v>0</v>
      </c>
      <c r="AB1400" s="652">
        <f>IF($B1400="",,SUMIFS(SalaryPayrollTaxes[Month 17],SalaryPayrollTaxes[exp_item],$H1400,SalaryPayrollTaxes[company_name],$B1400,SalaryPayrollTaxes[bu_name],$C1400)*(AB455+AB560+AB665)+SUMIFS(ExpensePayrollTaxes[Month 17],ExpensePayrollTaxes[exp_item],$H770,ExpensePayrollTaxes[company_name],$B1400)*AB770)</f>
        <v>0</v>
      </c>
      <c r="AC1400" s="652">
        <f>IF($B1400="",,SUMIFS(SalaryPayrollTaxes[Month 18],SalaryPayrollTaxes[exp_item],$H1400,SalaryPayrollTaxes[company_name],$B1400,SalaryPayrollTaxes[bu_name],$C1400)*(AC455+AC560+AC665)+SUMIFS(ExpensePayrollTaxes[Month 18],ExpensePayrollTaxes[exp_item],$H770,ExpensePayrollTaxes[company_name],$B1400)*AC770)</f>
        <v>0</v>
      </c>
      <c r="AD1400" s="652">
        <f>IF($B1400="",,SUMIFS(SalaryPayrollTaxes[Month 19],SalaryPayrollTaxes[exp_item],$H1400,SalaryPayrollTaxes[company_name],$B1400,SalaryPayrollTaxes[bu_name],$C1400)*(AD455+AD560+AD665)+SUMIFS(ExpensePayrollTaxes[Month 19],ExpensePayrollTaxes[exp_item],$H770,ExpensePayrollTaxes[company_name],$B1400)*AD770)</f>
        <v>0</v>
      </c>
      <c r="AE1400" s="652">
        <f>IF($B1400="",,SUMIFS(SalaryPayrollTaxes[Month 20],SalaryPayrollTaxes[exp_item],$H1400,SalaryPayrollTaxes[company_name],$B1400,SalaryPayrollTaxes[bu_name],$C1400)*(AE455+AE560+AE665)+SUMIFS(ExpensePayrollTaxes[Month 20],ExpensePayrollTaxes[exp_item],$H770,ExpensePayrollTaxes[company_name],$B1400)*AE770)</f>
        <v>0</v>
      </c>
      <c r="AF1400" s="652">
        <f>IF($B1400="",,SUMIFS(SalaryPayrollTaxes[Month 21],SalaryPayrollTaxes[exp_item],$H1400,SalaryPayrollTaxes[company_name],$B1400,SalaryPayrollTaxes[bu_name],$C1400)*(AF455+AF560+AF665)+SUMIFS(ExpensePayrollTaxes[Month 21],ExpensePayrollTaxes[exp_item],$H770,ExpensePayrollTaxes[company_name],$B1400)*AF770)</f>
        <v>0</v>
      </c>
      <c r="AG1400" s="652">
        <f>IF($B1400="",,SUMIFS(SalaryPayrollTaxes[Month 22],SalaryPayrollTaxes[exp_item],$H1400,SalaryPayrollTaxes[company_name],$B1400,SalaryPayrollTaxes[bu_name],$C1400)*(AG455+AG560+AG665)+SUMIFS(ExpensePayrollTaxes[Month 22],ExpensePayrollTaxes[exp_item],$H770,ExpensePayrollTaxes[company_name],$B1400)*AG770)</f>
        <v>0</v>
      </c>
      <c r="AH1400" s="652">
        <f>IF($B1400="",,SUMIFS(SalaryPayrollTaxes[Month 23],SalaryPayrollTaxes[exp_item],$H1400,SalaryPayrollTaxes[company_name],$B1400,SalaryPayrollTaxes[bu_name],$C1400)*(AH455+AH560+AH665)+SUMIFS(ExpensePayrollTaxes[Month 23],ExpensePayrollTaxes[exp_item],$H770,ExpensePayrollTaxes[company_name],$B1400)*AH770)</f>
        <v>0</v>
      </c>
      <c r="AI1400" s="652">
        <f>IF($B1400="",,SUMIFS(SalaryPayrollTaxes[Month 24],SalaryPayrollTaxes[exp_item],$H1400,SalaryPayrollTaxes[company_name],$B1400,SalaryPayrollTaxes[bu_name],$C1400)*(AI455+AI560+AI665)+SUMIFS(ExpensePayrollTaxes[Month 24],ExpensePayrollTaxes[exp_item],$H770,ExpensePayrollTaxes[company_name],$B1400)*AI770)</f>
        <v>0</v>
      </c>
      <c r="AJ1400" s="652">
        <f>IF($B1400="",,SUMIFS(SalaryPayrollTaxes[Month 25],SalaryPayrollTaxes[exp_item],$H1400,SalaryPayrollTaxes[company_name],$B1400,SalaryPayrollTaxes[bu_name],$C1400)*(AJ455+AJ560+AJ665)+SUMIFS(ExpensePayrollTaxes[Month 25],ExpensePayrollTaxes[exp_item],$H770,ExpensePayrollTaxes[company_name],$B1400)*AJ770)</f>
        <v>0</v>
      </c>
      <c r="AK1400" s="652">
        <f>IF($B1400="",,SUMIFS(SalaryPayrollTaxes[Month 26],SalaryPayrollTaxes[exp_item],$H1400,SalaryPayrollTaxes[company_name],$B1400,SalaryPayrollTaxes[bu_name],$C1400)*(AK455+AK560+AK665)+SUMIFS(ExpensePayrollTaxes[Month 26],ExpensePayrollTaxes[exp_item],$H770,ExpensePayrollTaxes[company_name],$B1400)*AK770)</f>
        <v>0</v>
      </c>
      <c r="AL1400" s="652">
        <f>IF($B1400="",,SUMIFS(SalaryPayrollTaxes[Month 27],SalaryPayrollTaxes[exp_item],$H1400,SalaryPayrollTaxes[company_name],$B1400,SalaryPayrollTaxes[bu_name],$C1400)*(AL455+AL560+AL665)+SUMIFS(ExpensePayrollTaxes[Month 27],ExpensePayrollTaxes[exp_item],$H770,ExpensePayrollTaxes[company_name],$B1400)*AL770)</f>
        <v>0</v>
      </c>
      <c r="AM1400" s="652">
        <f>IF($B1400="",,SUMIFS(SalaryPayrollTaxes[Month 28],SalaryPayrollTaxes[exp_item],$H1400,SalaryPayrollTaxes[company_name],$B1400,SalaryPayrollTaxes[bu_name],$C1400)*(AM455+AM560+AM665)+SUMIFS(ExpensePayrollTaxes[Month 28],ExpensePayrollTaxes[exp_item],$H770,ExpensePayrollTaxes[company_name],$B1400)*AM770)</f>
        <v>0</v>
      </c>
      <c r="AN1400" s="652">
        <f>IF($B1400="",,SUMIFS(SalaryPayrollTaxes[Month 29],SalaryPayrollTaxes[exp_item],$H1400,SalaryPayrollTaxes[company_name],$B1400,SalaryPayrollTaxes[bu_name],$C1400)*(AN455+AN560+AN665)+SUMIFS(ExpensePayrollTaxes[Month 29],ExpensePayrollTaxes[exp_item],$H770,ExpensePayrollTaxes[company_name],$B1400)*AN770)</f>
        <v>0</v>
      </c>
      <c r="AO1400" s="652">
        <f>IF($B1400="",,SUMIFS(SalaryPayrollTaxes[Month 30],SalaryPayrollTaxes[exp_item],$H1400,SalaryPayrollTaxes[company_name],$B1400,SalaryPayrollTaxes[bu_name],$C1400)*(AO455+AO560+AO665)+SUMIFS(ExpensePayrollTaxes[Month 30],ExpensePayrollTaxes[exp_item],$H770,ExpensePayrollTaxes[company_name],$B1400)*AO770)</f>
        <v>0</v>
      </c>
      <c r="AP1400" s="652">
        <f>IF($B1400="",,SUMIFS(SalaryPayrollTaxes[Month 31],SalaryPayrollTaxes[exp_item],$H1400,SalaryPayrollTaxes[company_name],$B1400,SalaryPayrollTaxes[bu_name],$C1400)*(AP455+AP560+AP665)+SUMIFS(ExpensePayrollTaxes[Month 31],ExpensePayrollTaxes[exp_item],$H770,ExpensePayrollTaxes[company_name],$B1400)*AP770)</f>
        <v>0</v>
      </c>
      <c r="AQ1400" s="652">
        <f>IF($B1400="",,SUMIFS(SalaryPayrollTaxes[Month 32],SalaryPayrollTaxes[exp_item],$H1400,SalaryPayrollTaxes[company_name],$B1400,SalaryPayrollTaxes[bu_name],$C1400)*(AQ455+AQ560+AQ665)+SUMIFS(ExpensePayrollTaxes[Month 32],ExpensePayrollTaxes[exp_item],$H770,ExpensePayrollTaxes[company_name],$B1400)*AQ770)</f>
        <v>0</v>
      </c>
      <c r="AR1400" s="652">
        <f>IF($B1400="",,SUMIFS(SalaryPayrollTaxes[Month 33],SalaryPayrollTaxes[exp_item],$H1400,SalaryPayrollTaxes[company_name],$B1400,SalaryPayrollTaxes[bu_name],$C1400)*(AR455+AR560+AR665)+SUMIFS(ExpensePayrollTaxes[Month 33],ExpensePayrollTaxes[exp_item],$H770,ExpensePayrollTaxes[company_name],$B1400)*AR770)</f>
        <v>0</v>
      </c>
      <c r="AS1400" s="652">
        <f>IF($B1400="",,SUMIFS(SalaryPayrollTaxes[Month 34],SalaryPayrollTaxes[exp_item],$H1400,SalaryPayrollTaxes[company_name],$B1400,SalaryPayrollTaxes[bu_name],$C1400)*(AS455+AS560+AS665)+SUMIFS(ExpensePayrollTaxes[Month 34],ExpensePayrollTaxes[exp_item],$H770,ExpensePayrollTaxes[company_name],$B1400)*AS770)</f>
        <v>0</v>
      </c>
      <c r="AT1400" s="652">
        <f>IF($B1400="",,SUMIFS(SalaryPayrollTaxes[Month 35],SalaryPayrollTaxes[exp_item],$H1400,SalaryPayrollTaxes[company_name],$B1400,SalaryPayrollTaxes[bu_name],$C1400)*(AT455+AT560+AT665)+SUMIFS(ExpensePayrollTaxes[Month 35],ExpensePayrollTaxes[exp_item],$H770,ExpensePayrollTaxes[company_name],$B1400)*AT770)</f>
        <v>0</v>
      </c>
      <c r="AU1400" s="652">
        <f>IF($B1400="",,SUMIFS(SalaryPayrollTaxes[Month 36],SalaryPayrollTaxes[exp_item],$H1400,SalaryPayrollTaxes[company_name],$B1400,SalaryPayrollTaxes[bu_name],$C1400)*(AU455+AU560+AU665)+SUMIFS(ExpensePayrollTaxes[Month 36],ExpensePayrollTaxes[exp_item],$H770,ExpensePayrollTaxes[company_name],$B1400)*AU770)</f>
        <v>0</v>
      </c>
    </row>
    <row r="1401" spans="2:47" x14ac:dyDescent="0.35">
      <c r="B1401" t="str">
        <f t="shared" ref="B1401:G1410" si="996">IF(B1296="","",B1296)</f>
        <v/>
      </c>
      <c r="C1401" t="str">
        <f t="shared" si="996"/>
        <v/>
      </c>
      <c r="D1401" t="str">
        <f t="shared" si="996"/>
        <v/>
      </c>
      <c r="E1401" t="str">
        <f t="shared" si="996"/>
        <v/>
      </c>
      <c r="F1401" t="str">
        <f t="shared" si="996"/>
        <v/>
      </c>
      <c r="G1401" t="str">
        <f t="shared" si="996"/>
        <v/>
      </c>
      <c r="H1401" t="str">
        <f t="shared" si="989"/>
        <v/>
      </c>
      <c r="J1401" t="str">
        <f>IF($H1401="","",IF(VLOOKUP(H1401,ExpItems[],2,0),H1401&amp;" - "&amp;INDEX(DivisionMapping[category_code],MATCH($D1401&amp;$C1401,DivisionMapping[dept_bu],0)),H1401))</f>
        <v/>
      </c>
      <c r="K1401" t="str">
        <f t="shared" si="990"/>
        <v/>
      </c>
      <c r="L1401" s="652">
        <f>IF($B1401="",,SUMIFS(SalaryPayrollTaxes[Month 1],SalaryPayrollTaxes[exp_item],$H1401,SalaryPayrollTaxes[company_name],$B1401,SalaryPayrollTaxes[bu_name],$C1401)*(L456+L561+L666)+SUMIFS(ExpensePayrollTaxes[Month 1],ExpensePayrollTaxes[exp_item],$H771,ExpensePayrollTaxes[company_name],$B1401)*L771)</f>
        <v>0</v>
      </c>
      <c r="M1401" s="652">
        <f>IF($B1401="",,SUMIFS(SalaryPayrollTaxes[Month 2],SalaryPayrollTaxes[exp_item],$H1401,SalaryPayrollTaxes[company_name],$B1401,SalaryPayrollTaxes[bu_name],$C1401)*(M456+M561+M666)+SUMIFS(ExpensePayrollTaxes[Month 2],ExpensePayrollTaxes[exp_item],$H771,ExpensePayrollTaxes[company_name],$B1401)*M771)</f>
        <v>0</v>
      </c>
      <c r="N1401" s="652">
        <f>IF($B1401="",,SUMIFS(SalaryPayrollTaxes[Month 3],SalaryPayrollTaxes[exp_item],$H1401,SalaryPayrollTaxes[company_name],$B1401,SalaryPayrollTaxes[bu_name],$C1401)*(N456+N561+N666)+SUMIFS(ExpensePayrollTaxes[Month 3],ExpensePayrollTaxes[exp_item],$H771,ExpensePayrollTaxes[company_name],$B1401)*N771)</f>
        <v>0</v>
      </c>
      <c r="O1401" s="652">
        <f>IF($B1401="",,SUMIFS(SalaryPayrollTaxes[Month 4],SalaryPayrollTaxes[exp_item],$H1401,SalaryPayrollTaxes[company_name],$B1401,SalaryPayrollTaxes[bu_name],$C1401)*(O456+O561+O666)+SUMIFS(ExpensePayrollTaxes[Month 4],ExpensePayrollTaxes[exp_item],$H771,ExpensePayrollTaxes[company_name],$B1401)*O771)</f>
        <v>0</v>
      </c>
      <c r="P1401" s="652">
        <f>IF($B1401="",,SUMIFS(SalaryPayrollTaxes[Month 5],SalaryPayrollTaxes[exp_item],$H1401,SalaryPayrollTaxes[company_name],$B1401,SalaryPayrollTaxes[bu_name],$C1401)*(P456+P561+P666)+SUMIFS(ExpensePayrollTaxes[Month 5],ExpensePayrollTaxes[exp_item],$H771,ExpensePayrollTaxes[company_name],$B1401)*P771)</f>
        <v>0</v>
      </c>
      <c r="Q1401" s="652">
        <f>IF($B1401="",,SUMIFS(SalaryPayrollTaxes[Month 6],SalaryPayrollTaxes[exp_item],$H1401,SalaryPayrollTaxes[company_name],$B1401,SalaryPayrollTaxes[bu_name],$C1401)*(Q456+Q561+Q666)+SUMIFS(ExpensePayrollTaxes[Month 6],ExpensePayrollTaxes[exp_item],$H771,ExpensePayrollTaxes[company_name],$B1401)*Q771)</f>
        <v>0</v>
      </c>
      <c r="R1401" s="652">
        <f>IF($B1401="",,SUMIFS(SalaryPayrollTaxes[Month 7],SalaryPayrollTaxes[exp_item],$H1401,SalaryPayrollTaxes[company_name],$B1401,SalaryPayrollTaxes[bu_name],$C1401)*(R456+R561+R666)+SUMIFS(ExpensePayrollTaxes[Month 7],ExpensePayrollTaxes[exp_item],$H771,ExpensePayrollTaxes[company_name],$B1401)*R771)</f>
        <v>0</v>
      </c>
      <c r="S1401" s="652">
        <f>IF($B1401="",,SUMIFS(SalaryPayrollTaxes[Month 8],SalaryPayrollTaxes[exp_item],$H1401,SalaryPayrollTaxes[company_name],$B1401,SalaryPayrollTaxes[bu_name],$C1401)*(S456+S561+S666)+SUMIFS(ExpensePayrollTaxes[Month 8],ExpensePayrollTaxes[exp_item],$H771,ExpensePayrollTaxes[company_name],$B1401)*S771)</f>
        <v>0</v>
      </c>
      <c r="T1401" s="652">
        <f>IF($B1401="",,SUMIFS(SalaryPayrollTaxes[Month 9],SalaryPayrollTaxes[exp_item],$H1401,SalaryPayrollTaxes[company_name],$B1401,SalaryPayrollTaxes[bu_name],$C1401)*(T456+T561+T666)+SUMIFS(ExpensePayrollTaxes[Month 9],ExpensePayrollTaxes[exp_item],$H771,ExpensePayrollTaxes[company_name],$B1401)*T771)</f>
        <v>0</v>
      </c>
      <c r="U1401" s="652">
        <f>IF($B1401="",,SUMIFS(SalaryPayrollTaxes[Month 10],SalaryPayrollTaxes[exp_item],$H1401,SalaryPayrollTaxes[company_name],$B1401,SalaryPayrollTaxes[bu_name],$C1401)*(U456+U561+U666)+SUMIFS(ExpensePayrollTaxes[Month 10],ExpensePayrollTaxes[exp_item],$H771,ExpensePayrollTaxes[company_name],$B1401)*U771)</f>
        <v>0</v>
      </c>
      <c r="V1401" s="652">
        <f>IF($B1401="",,SUMIFS(SalaryPayrollTaxes[Month 11],SalaryPayrollTaxes[exp_item],$H1401,SalaryPayrollTaxes[company_name],$B1401,SalaryPayrollTaxes[bu_name],$C1401)*(V456+V561+V666)+SUMIFS(ExpensePayrollTaxes[Month 11],ExpensePayrollTaxes[exp_item],$H771,ExpensePayrollTaxes[company_name],$B1401)*V771)</f>
        <v>0</v>
      </c>
      <c r="W1401" s="652">
        <f>IF($B1401="",,SUMIFS(SalaryPayrollTaxes[Month 12],SalaryPayrollTaxes[exp_item],$H1401,SalaryPayrollTaxes[company_name],$B1401,SalaryPayrollTaxes[bu_name],$C1401)*(W456+W561+W666)+SUMIFS(ExpensePayrollTaxes[Month 12],ExpensePayrollTaxes[exp_item],$H771,ExpensePayrollTaxes[company_name],$B1401)*W771)</f>
        <v>0</v>
      </c>
      <c r="X1401" s="652">
        <f>IF($B1401="",,SUMIFS(SalaryPayrollTaxes[Month 13],SalaryPayrollTaxes[exp_item],$H1401,SalaryPayrollTaxes[company_name],$B1401,SalaryPayrollTaxes[bu_name],$C1401)*(X456+X561+X666)+SUMIFS(ExpensePayrollTaxes[Month 13],ExpensePayrollTaxes[exp_item],$H771,ExpensePayrollTaxes[company_name],$B1401)*X771)</f>
        <v>0</v>
      </c>
      <c r="Y1401" s="652">
        <f>IF($B1401="",,SUMIFS(SalaryPayrollTaxes[Month 14],SalaryPayrollTaxes[exp_item],$H1401,SalaryPayrollTaxes[company_name],$B1401,SalaryPayrollTaxes[bu_name],$C1401)*(Y456+Y561+Y666)+SUMIFS(ExpensePayrollTaxes[Month 14],ExpensePayrollTaxes[exp_item],$H771,ExpensePayrollTaxes[company_name],$B1401)*Y771)</f>
        <v>0</v>
      </c>
      <c r="Z1401" s="652">
        <f>IF($B1401="",,SUMIFS(SalaryPayrollTaxes[Month 15],SalaryPayrollTaxes[exp_item],$H1401,SalaryPayrollTaxes[company_name],$B1401,SalaryPayrollTaxes[bu_name],$C1401)*(Z456+Z561+Z666)+SUMIFS(ExpensePayrollTaxes[Month 15],ExpensePayrollTaxes[exp_item],$H771,ExpensePayrollTaxes[company_name],$B1401)*Z771)</f>
        <v>0</v>
      </c>
      <c r="AA1401" s="652">
        <f>IF($B1401="",,SUMIFS(SalaryPayrollTaxes[Month 16],SalaryPayrollTaxes[exp_item],$H1401,SalaryPayrollTaxes[company_name],$B1401,SalaryPayrollTaxes[bu_name],$C1401)*(AA456+AA561+AA666)+SUMIFS(ExpensePayrollTaxes[Month 16],ExpensePayrollTaxes[exp_item],$H771,ExpensePayrollTaxes[company_name],$B1401)*AA771)</f>
        <v>0</v>
      </c>
      <c r="AB1401" s="652">
        <f>IF($B1401="",,SUMIFS(SalaryPayrollTaxes[Month 17],SalaryPayrollTaxes[exp_item],$H1401,SalaryPayrollTaxes[company_name],$B1401,SalaryPayrollTaxes[bu_name],$C1401)*(AB456+AB561+AB666)+SUMIFS(ExpensePayrollTaxes[Month 17],ExpensePayrollTaxes[exp_item],$H771,ExpensePayrollTaxes[company_name],$B1401)*AB771)</f>
        <v>0</v>
      </c>
      <c r="AC1401" s="652">
        <f>IF($B1401="",,SUMIFS(SalaryPayrollTaxes[Month 18],SalaryPayrollTaxes[exp_item],$H1401,SalaryPayrollTaxes[company_name],$B1401,SalaryPayrollTaxes[bu_name],$C1401)*(AC456+AC561+AC666)+SUMIFS(ExpensePayrollTaxes[Month 18],ExpensePayrollTaxes[exp_item],$H771,ExpensePayrollTaxes[company_name],$B1401)*AC771)</f>
        <v>0</v>
      </c>
      <c r="AD1401" s="652">
        <f>IF($B1401="",,SUMIFS(SalaryPayrollTaxes[Month 19],SalaryPayrollTaxes[exp_item],$H1401,SalaryPayrollTaxes[company_name],$B1401,SalaryPayrollTaxes[bu_name],$C1401)*(AD456+AD561+AD666)+SUMIFS(ExpensePayrollTaxes[Month 19],ExpensePayrollTaxes[exp_item],$H771,ExpensePayrollTaxes[company_name],$B1401)*AD771)</f>
        <v>0</v>
      </c>
      <c r="AE1401" s="652">
        <f>IF($B1401="",,SUMIFS(SalaryPayrollTaxes[Month 20],SalaryPayrollTaxes[exp_item],$H1401,SalaryPayrollTaxes[company_name],$B1401,SalaryPayrollTaxes[bu_name],$C1401)*(AE456+AE561+AE666)+SUMIFS(ExpensePayrollTaxes[Month 20],ExpensePayrollTaxes[exp_item],$H771,ExpensePayrollTaxes[company_name],$B1401)*AE771)</f>
        <v>0</v>
      </c>
      <c r="AF1401" s="652">
        <f>IF($B1401="",,SUMIFS(SalaryPayrollTaxes[Month 21],SalaryPayrollTaxes[exp_item],$H1401,SalaryPayrollTaxes[company_name],$B1401,SalaryPayrollTaxes[bu_name],$C1401)*(AF456+AF561+AF666)+SUMIFS(ExpensePayrollTaxes[Month 21],ExpensePayrollTaxes[exp_item],$H771,ExpensePayrollTaxes[company_name],$B1401)*AF771)</f>
        <v>0</v>
      </c>
      <c r="AG1401" s="652">
        <f>IF($B1401="",,SUMIFS(SalaryPayrollTaxes[Month 22],SalaryPayrollTaxes[exp_item],$H1401,SalaryPayrollTaxes[company_name],$B1401,SalaryPayrollTaxes[bu_name],$C1401)*(AG456+AG561+AG666)+SUMIFS(ExpensePayrollTaxes[Month 22],ExpensePayrollTaxes[exp_item],$H771,ExpensePayrollTaxes[company_name],$B1401)*AG771)</f>
        <v>0</v>
      </c>
      <c r="AH1401" s="652">
        <f>IF($B1401="",,SUMIFS(SalaryPayrollTaxes[Month 23],SalaryPayrollTaxes[exp_item],$H1401,SalaryPayrollTaxes[company_name],$B1401,SalaryPayrollTaxes[bu_name],$C1401)*(AH456+AH561+AH666)+SUMIFS(ExpensePayrollTaxes[Month 23],ExpensePayrollTaxes[exp_item],$H771,ExpensePayrollTaxes[company_name],$B1401)*AH771)</f>
        <v>0</v>
      </c>
      <c r="AI1401" s="652">
        <f>IF($B1401="",,SUMIFS(SalaryPayrollTaxes[Month 24],SalaryPayrollTaxes[exp_item],$H1401,SalaryPayrollTaxes[company_name],$B1401,SalaryPayrollTaxes[bu_name],$C1401)*(AI456+AI561+AI666)+SUMIFS(ExpensePayrollTaxes[Month 24],ExpensePayrollTaxes[exp_item],$H771,ExpensePayrollTaxes[company_name],$B1401)*AI771)</f>
        <v>0</v>
      </c>
      <c r="AJ1401" s="652">
        <f>IF($B1401="",,SUMIFS(SalaryPayrollTaxes[Month 25],SalaryPayrollTaxes[exp_item],$H1401,SalaryPayrollTaxes[company_name],$B1401,SalaryPayrollTaxes[bu_name],$C1401)*(AJ456+AJ561+AJ666)+SUMIFS(ExpensePayrollTaxes[Month 25],ExpensePayrollTaxes[exp_item],$H771,ExpensePayrollTaxes[company_name],$B1401)*AJ771)</f>
        <v>0</v>
      </c>
      <c r="AK1401" s="652">
        <f>IF($B1401="",,SUMIFS(SalaryPayrollTaxes[Month 26],SalaryPayrollTaxes[exp_item],$H1401,SalaryPayrollTaxes[company_name],$B1401,SalaryPayrollTaxes[bu_name],$C1401)*(AK456+AK561+AK666)+SUMIFS(ExpensePayrollTaxes[Month 26],ExpensePayrollTaxes[exp_item],$H771,ExpensePayrollTaxes[company_name],$B1401)*AK771)</f>
        <v>0</v>
      </c>
      <c r="AL1401" s="652">
        <f>IF($B1401="",,SUMIFS(SalaryPayrollTaxes[Month 27],SalaryPayrollTaxes[exp_item],$H1401,SalaryPayrollTaxes[company_name],$B1401,SalaryPayrollTaxes[bu_name],$C1401)*(AL456+AL561+AL666)+SUMIFS(ExpensePayrollTaxes[Month 27],ExpensePayrollTaxes[exp_item],$H771,ExpensePayrollTaxes[company_name],$B1401)*AL771)</f>
        <v>0</v>
      </c>
      <c r="AM1401" s="652">
        <f>IF($B1401="",,SUMIFS(SalaryPayrollTaxes[Month 28],SalaryPayrollTaxes[exp_item],$H1401,SalaryPayrollTaxes[company_name],$B1401,SalaryPayrollTaxes[bu_name],$C1401)*(AM456+AM561+AM666)+SUMIFS(ExpensePayrollTaxes[Month 28],ExpensePayrollTaxes[exp_item],$H771,ExpensePayrollTaxes[company_name],$B1401)*AM771)</f>
        <v>0</v>
      </c>
      <c r="AN1401" s="652">
        <f>IF($B1401="",,SUMIFS(SalaryPayrollTaxes[Month 29],SalaryPayrollTaxes[exp_item],$H1401,SalaryPayrollTaxes[company_name],$B1401,SalaryPayrollTaxes[bu_name],$C1401)*(AN456+AN561+AN666)+SUMIFS(ExpensePayrollTaxes[Month 29],ExpensePayrollTaxes[exp_item],$H771,ExpensePayrollTaxes[company_name],$B1401)*AN771)</f>
        <v>0</v>
      </c>
      <c r="AO1401" s="652">
        <f>IF($B1401="",,SUMIFS(SalaryPayrollTaxes[Month 30],SalaryPayrollTaxes[exp_item],$H1401,SalaryPayrollTaxes[company_name],$B1401,SalaryPayrollTaxes[bu_name],$C1401)*(AO456+AO561+AO666)+SUMIFS(ExpensePayrollTaxes[Month 30],ExpensePayrollTaxes[exp_item],$H771,ExpensePayrollTaxes[company_name],$B1401)*AO771)</f>
        <v>0</v>
      </c>
      <c r="AP1401" s="652">
        <f>IF($B1401="",,SUMIFS(SalaryPayrollTaxes[Month 31],SalaryPayrollTaxes[exp_item],$H1401,SalaryPayrollTaxes[company_name],$B1401,SalaryPayrollTaxes[bu_name],$C1401)*(AP456+AP561+AP666)+SUMIFS(ExpensePayrollTaxes[Month 31],ExpensePayrollTaxes[exp_item],$H771,ExpensePayrollTaxes[company_name],$B1401)*AP771)</f>
        <v>0</v>
      </c>
      <c r="AQ1401" s="652">
        <f>IF($B1401="",,SUMIFS(SalaryPayrollTaxes[Month 32],SalaryPayrollTaxes[exp_item],$H1401,SalaryPayrollTaxes[company_name],$B1401,SalaryPayrollTaxes[bu_name],$C1401)*(AQ456+AQ561+AQ666)+SUMIFS(ExpensePayrollTaxes[Month 32],ExpensePayrollTaxes[exp_item],$H771,ExpensePayrollTaxes[company_name],$B1401)*AQ771)</f>
        <v>0</v>
      </c>
      <c r="AR1401" s="652">
        <f>IF($B1401="",,SUMIFS(SalaryPayrollTaxes[Month 33],SalaryPayrollTaxes[exp_item],$H1401,SalaryPayrollTaxes[company_name],$B1401,SalaryPayrollTaxes[bu_name],$C1401)*(AR456+AR561+AR666)+SUMIFS(ExpensePayrollTaxes[Month 33],ExpensePayrollTaxes[exp_item],$H771,ExpensePayrollTaxes[company_name],$B1401)*AR771)</f>
        <v>0</v>
      </c>
      <c r="AS1401" s="652">
        <f>IF($B1401="",,SUMIFS(SalaryPayrollTaxes[Month 34],SalaryPayrollTaxes[exp_item],$H1401,SalaryPayrollTaxes[company_name],$B1401,SalaryPayrollTaxes[bu_name],$C1401)*(AS456+AS561+AS666)+SUMIFS(ExpensePayrollTaxes[Month 34],ExpensePayrollTaxes[exp_item],$H771,ExpensePayrollTaxes[company_name],$B1401)*AS771)</f>
        <v>0</v>
      </c>
      <c r="AT1401" s="652">
        <f>IF($B1401="",,SUMIFS(SalaryPayrollTaxes[Month 35],SalaryPayrollTaxes[exp_item],$H1401,SalaryPayrollTaxes[company_name],$B1401,SalaryPayrollTaxes[bu_name],$C1401)*(AT456+AT561+AT666)+SUMIFS(ExpensePayrollTaxes[Month 35],ExpensePayrollTaxes[exp_item],$H771,ExpensePayrollTaxes[company_name],$B1401)*AT771)</f>
        <v>0</v>
      </c>
      <c r="AU1401" s="652">
        <f>IF($B1401="",,SUMIFS(SalaryPayrollTaxes[Month 36],SalaryPayrollTaxes[exp_item],$H1401,SalaryPayrollTaxes[company_name],$B1401,SalaryPayrollTaxes[bu_name],$C1401)*(AU456+AU561+AU666)+SUMIFS(ExpensePayrollTaxes[Month 36],ExpensePayrollTaxes[exp_item],$H771,ExpensePayrollTaxes[company_name],$B1401)*AU771)</f>
        <v>0</v>
      </c>
    </row>
    <row r="1402" spans="2:47" x14ac:dyDescent="0.35">
      <c r="B1402" t="str">
        <f t="shared" si="996"/>
        <v/>
      </c>
      <c r="C1402" t="str">
        <f t="shared" si="996"/>
        <v/>
      </c>
      <c r="D1402" t="str">
        <f t="shared" si="996"/>
        <v/>
      </c>
      <c r="E1402" t="str">
        <f t="shared" si="996"/>
        <v/>
      </c>
      <c r="F1402" t="str">
        <f t="shared" si="996"/>
        <v/>
      </c>
      <c r="G1402" t="str">
        <f t="shared" si="996"/>
        <v/>
      </c>
      <c r="H1402" t="str">
        <f t="shared" si="989"/>
        <v/>
      </c>
      <c r="J1402" t="str">
        <f>IF($H1402="","",IF(VLOOKUP(H1402,ExpItems[],2,0),H1402&amp;" - "&amp;INDEX(DivisionMapping[category_code],MATCH($D1402&amp;$C1402,DivisionMapping[dept_bu],0)),H1402))</f>
        <v/>
      </c>
      <c r="K1402" t="str">
        <f t="shared" si="990"/>
        <v/>
      </c>
      <c r="L1402" s="652">
        <f>IF($B1402="",,SUMIFS(SalaryPayrollTaxes[Month 1],SalaryPayrollTaxes[exp_item],$H1402,SalaryPayrollTaxes[company_name],$B1402,SalaryPayrollTaxes[bu_name],$C1402)*(L457+L562+L667)+SUMIFS(ExpensePayrollTaxes[Month 1],ExpensePayrollTaxes[exp_item],$H772,ExpensePayrollTaxes[company_name],$B1402)*L772)</f>
        <v>0</v>
      </c>
      <c r="M1402" s="652">
        <f>IF($B1402="",,SUMIFS(SalaryPayrollTaxes[Month 2],SalaryPayrollTaxes[exp_item],$H1402,SalaryPayrollTaxes[company_name],$B1402,SalaryPayrollTaxes[bu_name],$C1402)*(M457+M562+M667)+SUMIFS(ExpensePayrollTaxes[Month 2],ExpensePayrollTaxes[exp_item],$H772,ExpensePayrollTaxes[company_name],$B1402)*M772)</f>
        <v>0</v>
      </c>
      <c r="N1402" s="652">
        <f>IF($B1402="",,SUMIFS(SalaryPayrollTaxes[Month 3],SalaryPayrollTaxes[exp_item],$H1402,SalaryPayrollTaxes[company_name],$B1402,SalaryPayrollTaxes[bu_name],$C1402)*(N457+N562+N667)+SUMIFS(ExpensePayrollTaxes[Month 3],ExpensePayrollTaxes[exp_item],$H772,ExpensePayrollTaxes[company_name],$B1402)*N772)</f>
        <v>0</v>
      </c>
      <c r="O1402" s="652">
        <f>IF($B1402="",,SUMIFS(SalaryPayrollTaxes[Month 4],SalaryPayrollTaxes[exp_item],$H1402,SalaryPayrollTaxes[company_name],$B1402,SalaryPayrollTaxes[bu_name],$C1402)*(O457+O562+O667)+SUMIFS(ExpensePayrollTaxes[Month 4],ExpensePayrollTaxes[exp_item],$H772,ExpensePayrollTaxes[company_name],$B1402)*O772)</f>
        <v>0</v>
      </c>
      <c r="P1402" s="652">
        <f>IF($B1402="",,SUMIFS(SalaryPayrollTaxes[Month 5],SalaryPayrollTaxes[exp_item],$H1402,SalaryPayrollTaxes[company_name],$B1402,SalaryPayrollTaxes[bu_name],$C1402)*(P457+P562+P667)+SUMIFS(ExpensePayrollTaxes[Month 5],ExpensePayrollTaxes[exp_item],$H772,ExpensePayrollTaxes[company_name],$B1402)*P772)</f>
        <v>0</v>
      </c>
      <c r="Q1402" s="652">
        <f>IF($B1402="",,SUMIFS(SalaryPayrollTaxes[Month 6],SalaryPayrollTaxes[exp_item],$H1402,SalaryPayrollTaxes[company_name],$B1402,SalaryPayrollTaxes[bu_name],$C1402)*(Q457+Q562+Q667)+SUMIFS(ExpensePayrollTaxes[Month 6],ExpensePayrollTaxes[exp_item],$H772,ExpensePayrollTaxes[company_name],$B1402)*Q772)</f>
        <v>0</v>
      </c>
      <c r="R1402" s="652">
        <f>IF($B1402="",,SUMIFS(SalaryPayrollTaxes[Month 7],SalaryPayrollTaxes[exp_item],$H1402,SalaryPayrollTaxes[company_name],$B1402,SalaryPayrollTaxes[bu_name],$C1402)*(R457+R562+R667)+SUMIFS(ExpensePayrollTaxes[Month 7],ExpensePayrollTaxes[exp_item],$H772,ExpensePayrollTaxes[company_name],$B1402)*R772)</f>
        <v>0</v>
      </c>
      <c r="S1402" s="652">
        <f>IF($B1402="",,SUMIFS(SalaryPayrollTaxes[Month 8],SalaryPayrollTaxes[exp_item],$H1402,SalaryPayrollTaxes[company_name],$B1402,SalaryPayrollTaxes[bu_name],$C1402)*(S457+S562+S667)+SUMIFS(ExpensePayrollTaxes[Month 8],ExpensePayrollTaxes[exp_item],$H772,ExpensePayrollTaxes[company_name],$B1402)*S772)</f>
        <v>0</v>
      </c>
      <c r="T1402" s="652">
        <f>IF($B1402="",,SUMIFS(SalaryPayrollTaxes[Month 9],SalaryPayrollTaxes[exp_item],$H1402,SalaryPayrollTaxes[company_name],$B1402,SalaryPayrollTaxes[bu_name],$C1402)*(T457+T562+T667)+SUMIFS(ExpensePayrollTaxes[Month 9],ExpensePayrollTaxes[exp_item],$H772,ExpensePayrollTaxes[company_name],$B1402)*T772)</f>
        <v>0</v>
      </c>
      <c r="U1402" s="652">
        <f>IF($B1402="",,SUMIFS(SalaryPayrollTaxes[Month 10],SalaryPayrollTaxes[exp_item],$H1402,SalaryPayrollTaxes[company_name],$B1402,SalaryPayrollTaxes[bu_name],$C1402)*(U457+U562+U667)+SUMIFS(ExpensePayrollTaxes[Month 10],ExpensePayrollTaxes[exp_item],$H772,ExpensePayrollTaxes[company_name],$B1402)*U772)</f>
        <v>0</v>
      </c>
      <c r="V1402" s="652">
        <f>IF($B1402="",,SUMIFS(SalaryPayrollTaxes[Month 11],SalaryPayrollTaxes[exp_item],$H1402,SalaryPayrollTaxes[company_name],$B1402,SalaryPayrollTaxes[bu_name],$C1402)*(V457+V562+V667)+SUMIFS(ExpensePayrollTaxes[Month 11],ExpensePayrollTaxes[exp_item],$H772,ExpensePayrollTaxes[company_name],$B1402)*V772)</f>
        <v>0</v>
      </c>
      <c r="W1402" s="652">
        <f>IF($B1402="",,SUMIFS(SalaryPayrollTaxes[Month 12],SalaryPayrollTaxes[exp_item],$H1402,SalaryPayrollTaxes[company_name],$B1402,SalaryPayrollTaxes[bu_name],$C1402)*(W457+W562+W667)+SUMIFS(ExpensePayrollTaxes[Month 12],ExpensePayrollTaxes[exp_item],$H772,ExpensePayrollTaxes[company_name],$B1402)*W772)</f>
        <v>0</v>
      </c>
      <c r="X1402" s="652">
        <f>IF($B1402="",,SUMIFS(SalaryPayrollTaxes[Month 13],SalaryPayrollTaxes[exp_item],$H1402,SalaryPayrollTaxes[company_name],$B1402,SalaryPayrollTaxes[bu_name],$C1402)*(X457+X562+X667)+SUMIFS(ExpensePayrollTaxes[Month 13],ExpensePayrollTaxes[exp_item],$H772,ExpensePayrollTaxes[company_name],$B1402)*X772)</f>
        <v>0</v>
      </c>
      <c r="Y1402" s="652">
        <f>IF($B1402="",,SUMIFS(SalaryPayrollTaxes[Month 14],SalaryPayrollTaxes[exp_item],$H1402,SalaryPayrollTaxes[company_name],$B1402,SalaryPayrollTaxes[bu_name],$C1402)*(Y457+Y562+Y667)+SUMIFS(ExpensePayrollTaxes[Month 14],ExpensePayrollTaxes[exp_item],$H772,ExpensePayrollTaxes[company_name],$B1402)*Y772)</f>
        <v>0</v>
      </c>
      <c r="Z1402" s="652">
        <f>IF($B1402="",,SUMIFS(SalaryPayrollTaxes[Month 15],SalaryPayrollTaxes[exp_item],$H1402,SalaryPayrollTaxes[company_name],$B1402,SalaryPayrollTaxes[bu_name],$C1402)*(Z457+Z562+Z667)+SUMIFS(ExpensePayrollTaxes[Month 15],ExpensePayrollTaxes[exp_item],$H772,ExpensePayrollTaxes[company_name],$B1402)*Z772)</f>
        <v>0</v>
      </c>
      <c r="AA1402" s="652">
        <f>IF($B1402="",,SUMIFS(SalaryPayrollTaxes[Month 16],SalaryPayrollTaxes[exp_item],$H1402,SalaryPayrollTaxes[company_name],$B1402,SalaryPayrollTaxes[bu_name],$C1402)*(AA457+AA562+AA667)+SUMIFS(ExpensePayrollTaxes[Month 16],ExpensePayrollTaxes[exp_item],$H772,ExpensePayrollTaxes[company_name],$B1402)*AA772)</f>
        <v>0</v>
      </c>
      <c r="AB1402" s="652">
        <f>IF($B1402="",,SUMIFS(SalaryPayrollTaxes[Month 17],SalaryPayrollTaxes[exp_item],$H1402,SalaryPayrollTaxes[company_name],$B1402,SalaryPayrollTaxes[bu_name],$C1402)*(AB457+AB562+AB667)+SUMIFS(ExpensePayrollTaxes[Month 17],ExpensePayrollTaxes[exp_item],$H772,ExpensePayrollTaxes[company_name],$B1402)*AB772)</f>
        <v>0</v>
      </c>
      <c r="AC1402" s="652">
        <f>IF($B1402="",,SUMIFS(SalaryPayrollTaxes[Month 18],SalaryPayrollTaxes[exp_item],$H1402,SalaryPayrollTaxes[company_name],$B1402,SalaryPayrollTaxes[bu_name],$C1402)*(AC457+AC562+AC667)+SUMIFS(ExpensePayrollTaxes[Month 18],ExpensePayrollTaxes[exp_item],$H772,ExpensePayrollTaxes[company_name],$B1402)*AC772)</f>
        <v>0</v>
      </c>
      <c r="AD1402" s="652">
        <f>IF($B1402="",,SUMIFS(SalaryPayrollTaxes[Month 19],SalaryPayrollTaxes[exp_item],$H1402,SalaryPayrollTaxes[company_name],$B1402,SalaryPayrollTaxes[bu_name],$C1402)*(AD457+AD562+AD667)+SUMIFS(ExpensePayrollTaxes[Month 19],ExpensePayrollTaxes[exp_item],$H772,ExpensePayrollTaxes[company_name],$B1402)*AD772)</f>
        <v>0</v>
      </c>
      <c r="AE1402" s="652">
        <f>IF($B1402="",,SUMIFS(SalaryPayrollTaxes[Month 20],SalaryPayrollTaxes[exp_item],$H1402,SalaryPayrollTaxes[company_name],$B1402,SalaryPayrollTaxes[bu_name],$C1402)*(AE457+AE562+AE667)+SUMIFS(ExpensePayrollTaxes[Month 20],ExpensePayrollTaxes[exp_item],$H772,ExpensePayrollTaxes[company_name],$B1402)*AE772)</f>
        <v>0</v>
      </c>
      <c r="AF1402" s="652">
        <f>IF($B1402="",,SUMIFS(SalaryPayrollTaxes[Month 21],SalaryPayrollTaxes[exp_item],$H1402,SalaryPayrollTaxes[company_name],$B1402,SalaryPayrollTaxes[bu_name],$C1402)*(AF457+AF562+AF667)+SUMIFS(ExpensePayrollTaxes[Month 21],ExpensePayrollTaxes[exp_item],$H772,ExpensePayrollTaxes[company_name],$B1402)*AF772)</f>
        <v>0</v>
      </c>
      <c r="AG1402" s="652">
        <f>IF($B1402="",,SUMIFS(SalaryPayrollTaxes[Month 22],SalaryPayrollTaxes[exp_item],$H1402,SalaryPayrollTaxes[company_name],$B1402,SalaryPayrollTaxes[bu_name],$C1402)*(AG457+AG562+AG667)+SUMIFS(ExpensePayrollTaxes[Month 22],ExpensePayrollTaxes[exp_item],$H772,ExpensePayrollTaxes[company_name],$B1402)*AG772)</f>
        <v>0</v>
      </c>
      <c r="AH1402" s="652">
        <f>IF($B1402="",,SUMIFS(SalaryPayrollTaxes[Month 23],SalaryPayrollTaxes[exp_item],$H1402,SalaryPayrollTaxes[company_name],$B1402,SalaryPayrollTaxes[bu_name],$C1402)*(AH457+AH562+AH667)+SUMIFS(ExpensePayrollTaxes[Month 23],ExpensePayrollTaxes[exp_item],$H772,ExpensePayrollTaxes[company_name],$B1402)*AH772)</f>
        <v>0</v>
      </c>
      <c r="AI1402" s="652">
        <f>IF($B1402="",,SUMIFS(SalaryPayrollTaxes[Month 24],SalaryPayrollTaxes[exp_item],$H1402,SalaryPayrollTaxes[company_name],$B1402,SalaryPayrollTaxes[bu_name],$C1402)*(AI457+AI562+AI667)+SUMIFS(ExpensePayrollTaxes[Month 24],ExpensePayrollTaxes[exp_item],$H772,ExpensePayrollTaxes[company_name],$B1402)*AI772)</f>
        <v>0</v>
      </c>
      <c r="AJ1402" s="652">
        <f>IF($B1402="",,SUMIFS(SalaryPayrollTaxes[Month 25],SalaryPayrollTaxes[exp_item],$H1402,SalaryPayrollTaxes[company_name],$B1402,SalaryPayrollTaxes[bu_name],$C1402)*(AJ457+AJ562+AJ667)+SUMIFS(ExpensePayrollTaxes[Month 25],ExpensePayrollTaxes[exp_item],$H772,ExpensePayrollTaxes[company_name],$B1402)*AJ772)</f>
        <v>0</v>
      </c>
      <c r="AK1402" s="652">
        <f>IF($B1402="",,SUMIFS(SalaryPayrollTaxes[Month 26],SalaryPayrollTaxes[exp_item],$H1402,SalaryPayrollTaxes[company_name],$B1402,SalaryPayrollTaxes[bu_name],$C1402)*(AK457+AK562+AK667)+SUMIFS(ExpensePayrollTaxes[Month 26],ExpensePayrollTaxes[exp_item],$H772,ExpensePayrollTaxes[company_name],$B1402)*AK772)</f>
        <v>0</v>
      </c>
      <c r="AL1402" s="652">
        <f>IF($B1402="",,SUMIFS(SalaryPayrollTaxes[Month 27],SalaryPayrollTaxes[exp_item],$H1402,SalaryPayrollTaxes[company_name],$B1402,SalaryPayrollTaxes[bu_name],$C1402)*(AL457+AL562+AL667)+SUMIFS(ExpensePayrollTaxes[Month 27],ExpensePayrollTaxes[exp_item],$H772,ExpensePayrollTaxes[company_name],$B1402)*AL772)</f>
        <v>0</v>
      </c>
      <c r="AM1402" s="652">
        <f>IF($B1402="",,SUMIFS(SalaryPayrollTaxes[Month 28],SalaryPayrollTaxes[exp_item],$H1402,SalaryPayrollTaxes[company_name],$B1402,SalaryPayrollTaxes[bu_name],$C1402)*(AM457+AM562+AM667)+SUMIFS(ExpensePayrollTaxes[Month 28],ExpensePayrollTaxes[exp_item],$H772,ExpensePayrollTaxes[company_name],$B1402)*AM772)</f>
        <v>0</v>
      </c>
      <c r="AN1402" s="652">
        <f>IF($B1402="",,SUMIFS(SalaryPayrollTaxes[Month 29],SalaryPayrollTaxes[exp_item],$H1402,SalaryPayrollTaxes[company_name],$B1402,SalaryPayrollTaxes[bu_name],$C1402)*(AN457+AN562+AN667)+SUMIFS(ExpensePayrollTaxes[Month 29],ExpensePayrollTaxes[exp_item],$H772,ExpensePayrollTaxes[company_name],$B1402)*AN772)</f>
        <v>0</v>
      </c>
      <c r="AO1402" s="652">
        <f>IF($B1402="",,SUMIFS(SalaryPayrollTaxes[Month 30],SalaryPayrollTaxes[exp_item],$H1402,SalaryPayrollTaxes[company_name],$B1402,SalaryPayrollTaxes[bu_name],$C1402)*(AO457+AO562+AO667)+SUMIFS(ExpensePayrollTaxes[Month 30],ExpensePayrollTaxes[exp_item],$H772,ExpensePayrollTaxes[company_name],$B1402)*AO772)</f>
        <v>0</v>
      </c>
      <c r="AP1402" s="652">
        <f>IF($B1402="",,SUMIFS(SalaryPayrollTaxes[Month 31],SalaryPayrollTaxes[exp_item],$H1402,SalaryPayrollTaxes[company_name],$B1402,SalaryPayrollTaxes[bu_name],$C1402)*(AP457+AP562+AP667)+SUMIFS(ExpensePayrollTaxes[Month 31],ExpensePayrollTaxes[exp_item],$H772,ExpensePayrollTaxes[company_name],$B1402)*AP772)</f>
        <v>0</v>
      </c>
      <c r="AQ1402" s="652">
        <f>IF($B1402="",,SUMIFS(SalaryPayrollTaxes[Month 32],SalaryPayrollTaxes[exp_item],$H1402,SalaryPayrollTaxes[company_name],$B1402,SalaryPayrollTaxes[bu_name],$C1402)*(AQ457+AQ562+AQ667)+SUMIFS(ExpensePayrollTaxes[Month 32],ExpensePayrollTaxes[exp_item],$H772,ExpensePayrollTaxes[company_name],$B1402)*AQ772)</f>
        <v>0</v>
      </c>
      <c r="AR1402" s="652">
        <f>IF($B1402="",,SUMIFS(SalaryPayrollTaxes[Month 33],SalaryPayrollTaxes[exp_item],$H1402,SalaryPayrollTaxes[company_name],$B1402,SalaryPayrollTaxes[bu_name],$C1402)*(AR457+AR562+AR667)+SUMIFS(ExpensePayrollTaxes[Month 33],ExpensePayrollTaxes[exp_item],$H772,ExpensePayrollTaxes[company_name],$B1402)*AR772)</f>
        <v>0</v>
      </c>
      <c r="AS1402" s="652">
        <f>IF($B1402="",,SUMIFS(SalaryPayrollTaxes[Month 34],SalaryPayrollTaxes[exp_item],$H1402,SalaryPayrollTaxes[company_name],$B1402,SalaryPayrollTaxes[bu_name],$C1402)*(AS457+AS562+AS667)+SUMIFS(ExpensePayrollTaxes[Month 34],ExpensePayrollTaxes[exp_item],$H772,ExpensePayrollTaxes[company_name],$B1402)*AS772)</f>
        <v>0</v>
      </c>
      <c r="AT1402" s="652">
        <f>IF($B1402="",,SUMIFS(SalaryPayrollTaxes[Month 35],SalaryPayrollTaxes[exp_item],$H1402,SalaryPayrollTaxes[company_name],$B1402,SalaryPayrollTaxes[bu_name],$C1402)*(AT457+AT562+AT667)+SUMIFS(ExpensePayrollTaxes[Month 35],ExpensePayrollTaxes[exp_item],$H772,ExpensePayrollTaxes[company_name],$B1402)*AT772)</f>
        <v>0</v>
      </c>
      <c r="AU1402" s="652">
        <f>IF($B1402="",,SUMIFS(SalaryPayrollTaxes[Month 36],SalaryPayrollTaxes[exp_item],$H1402,SalaryPayrollTaxes[company_name],$B1402,SalaryPayrollTaxes[bu_name],$C1402)*(AU457+AU562+AU667)+SUMIFS(ExpensePayrollTaxes[Month 36],ExpensePayrollTaxes[exp_item],$H772,ExpensePayrollTaxes[company_name],$B1402)*AU772)</f>
        <v>0</v>
      </c>
    </row>
    <row r="1403" spans="2:47" x14ac:dyDescent="0.35">
      <c r="B1403" t="str">
        <f t="shared" si="996"/>
        <v/>
      </c>
      <c r="C1403" t="str">
        <f t="shared" si="996"/>
        <v/>
      </c>
      <c r="D1403" t="str">
        <f t="shared" si="996"/>
        <v/>
      </c>
      <c r="E1403" t="str">
        <f t="shared" si="996"/>
        <v/>
      </c>
      <c r="F1403" t="str">
        <f t="shared" si="996"/>
        <v/>
      </c>
      <c r="G1403" t="str">
        <f t="shared" si="996"/>
        <v/>
      </c>
      <c r="H1403" t="str">
        <f t="shared" si="989"/>
        <v/>
      </c>
      <c r="J1403" t="str">
        <f>IF($H1403="","",IF(VLOOKUP(H1403,ExpItems[],2,0),H1403&amp;" - "&amp;INDEX(DivisionMapping[category_code],MATCH($D1403&amp;$C1403,DivisionMapping[dept_bu],0)),H1403))</f>
        <v/>
      </c>
      <c r="K1403" t="str">
        <f t="shared" si="990"/>
        <v/>
      </c>
      <c r="L1403" s="652">
        <f>IF($B1403="",,SUMIFS(SalaryPayrollTaxes[Month 1],SalaryPayrollTaxes[exp_item],$H1403,SalaryPayrollTaxes[company_name],$B1403,SalaryPayrollTaxes[bu_name],$C1403)*(L458+L563+L668)+SUMIFS(ExpensePayrollTaxes[Month 1],ExpensePayrollTaxes[exp_item],$H773,ExpensePayrollTaxes[company_name],$B1403)*L773)</f>
        <v>0</v>
      </c>
      <c r="M1403" s="652">
        <f>IF($B1403="",,SUMIFS(SalaryPayrollTaxes[Month 2],SalaryPayrollTaxes[exp_item],$H1403,SalaryPayrollTaxes[company_name],$B1403,SalaryPayrollTaxes[bu_name],$C1403)*(M458+M563+M668)+SUMIFS(ExpensePayrollTaxes[Month 2],ExpensePayrollTaxes[exp_item],$H773,ExpensePayrollTaxes[company_name],$B1403)*M773)</f>
        <v>0</v>
      </c>
      <c r="N1403" s="652">
        <f>IF($B1403="",,SUMIFS(SalaryPayrollTaxes[Month 3],SalaryPayrollTaxes[exp_item],$H1403,SalaryPayrollTaxes[company_name],$B1403,SalaryPayrollTaxes[bu_name],$C1403)*(N458+N563+N668)+SUMIFS(ExpensePayrollTaxes[Month 3],ExpensePayrollTaxes[exp_item],$H773,ExpensePayrollTaxes[company_name],$B1403)*N773)</f>
        <v>0</v>
      </c>
      <c r="O1403" s="652">
        <f>IF($B1403="",,SUMIFS(SalaryPayrollTaxes[Month 4],SalaryPayrollTaxes[exp_item],$H1403,SalaryPayrollTaxes[company_name],$B1403,SalaryPayrollTaxes[bu_name],$C1403)*(O458+O563+O668)+SUMIFS(ExpensePayrollTaxes[Month 4],ExpensePayrollTaxes[exp_item],$H773,ExpensePayrollTaxes[company_name],$B1403)*O773)</f>
        <v>0</v>
      </c>
      <c r="P1403" s="652">
        <f>IF($B1403="",,SUMIFS(SalaryPayrollTaxes[Month 5],SalaryPayrollTaxes[exp_item],$H1403,SalaryPayrollTaxes[company_name],$B1403,SalaryPayrollTaxes[bu_name],$C1403)*(P458+P563+P668)+SUMIFS(ExpensePayrollTaxes[Month 5],ExpensePayrollTaxes[exp_item],$H773,ExpensePayrollTaxes[company_name],$B1403)*P773)</f>
        <v>0</v>
      </c>
      <c r="Q1403" s="652">
        <f>IF($B1403="",,SUMIFS(SalaryPayrollTaxes[Month 6],SalaryPayrollTaxes[exp_item],$H1403,SalaryPayrollTaxes[company_name],$B1403,SalaryPayrollTaxes[bu_name],$C1403)*(Q458+Q563+Q668)+SUMIFS(ExpensePayrollTaxes[Month 6],ExpensePayrollTaxes[exp_item],$H773,ExpensePayrollTaxes[company_name],$B1403)*Q773)</f>
        <v>0</v>
      </c>
      <c r="R1403" s="652">
        <f>IF($B1403="",,SUMIFS(SalaryPayrollTaxes[Month 7],SalaryPayrollTaxes[exp_item],$H1403,SalaryPayrollTaxes[company_name],$B1403,SalaryPayrollTaxes[bu_name],$C1403)*(R458+R563+R668)+SUMIFS(ExpensePayrollTaxes[Month 7],ExpensePayrollTaxes[exp_item],$H773,ExpensePayrollTaxes[company_name],$B1403)*R773)</f>
        <v>0</v>
      </c>
      <c r="S1403" s="652">
        <f>IF($B1403="",,SUMIFS(SalaryPayrollTaxes[Month 8],SalaryPayrollTaxes[exp_item],$H1403,SalaryPayrollTaxes[company_name],$B1403,SalaryPayrollTaxes[bu_name],$C1403)*(S458+S563+S668)+SUMIFS(ExpensePayrollTaxes[Month 8],ExpensePayrollTaxes[exp_item],$H773,ExpensePayrollTaxes[company_name],$B1403)*S773)</f>
        <v>0</v>
      </c>
      <c r="T1403" s="652">
        <f>IF($B1403="",,SUMIFS(SalaryPayrollTaxes[Month 9],SalaryPayrollTaxes[exp_item],$H1403,SalaryPayrollTaxes[company_name],$B1403,SalaryPayrollTaxes[bu_name],$C1403)*(T458+T563+T668)+SUMIFS(ExpensePayrollTaxes[Month 9],ExpensePayrollTaxes[exp_item],$H773,ExpensePayrollTaxes[company_name],$B1403)*T773)</f>
        <v>0</v>
      </c>
      <c r="U1403" s="652">
        <f>IF($B1403="",,SUMIFS(SalaryPayrollTaxes[Month 10],SalaryPayrollTaxes[exp_item],$H1403,SalaryPayrollTaxes[company_name],$B1403,SalaryPayrollTaxes[bu_name],$C1403)*(U458+U563+U668)+SUMIFS(ExpensePayrollTaxes[Month 10],ExpensePayrollTaxes[exp_item],$H773,ExpensePayrollTaxes[company_name],$B1403)*U773)</f>
        <v>0</v>
      </c>
      <c r="V1403" s="652">
        <f>IF($B1403="",,SUMIFS(SalaryPayrollTaxes[Month 11],SalaryPayrollTaxes[exp_item],$H1403,SalaryPayrollTaxes[company_name],$B1403,SalaryPayrollTaxes[bu_name],$C1403)*(V458+V563+V668)+SUMIFS(ExpensePayrollTaxes[Month 11],ExpensePayrollTaxes[exp_item],$H773,ExpensePayrollTaxes[company_name],$B1403)*V773)</f>
        <v>0</v>
      </c>
      <c r="W1403" s="652">
        <f>IF($B1403="",,SUMIFS(SalaryPayrollTaxes[Month 12],SalaryPayrollTaxes[exp_item],$H1403,SalaryPayrollTaxes[company_name],$B1403,SalaryPayrollTaxes[bu_name],$C1403)*(W458+W563+W668)+SUMIFS(ExpensePayrollTaxes[Month 12],ExpensePayrollTaxes[exp_item],$H773,ExpensePayrollTaxes[company_name],$B1403)*W773)</f>
        <v>0</v>
      </c>
      <c r="X1403" s="652">
        <f>IF($B1403="",,SUMIFS(SalaryPayrollTaxes[Month 13],SalaryPayrollTaxes[exp_item],$H1403,SalaryPayrollTaxes[company_name],$B1403,SalaryPayrollTaxes[bu_name],$C1403)*(X458+X563+X668)+SUMIFS(ExpensePayrollTaxes[Month 13],ExpensePayrollTaxes[exp_item],$H773,ExpensePayrollTaxes[company_name],$B1403)*X773)</f>
        <v>0</v>
      </c>
      <c r="Y1403" s="652">
        <f>IF($B1403="",,SUMIFS(SalaryPayrollTaxes[Month 14],SalaryPayrollTaxes[exp_item],$H1403,SalaryPayrollTaxes[company_name],$B1403,SalaryPayrollTaxes[bu_name],$C1403)*(Y458+Y563+Y668)+SUMIFS(ExpensePayrollTaxes[Month 14],ExpensePayrollTaxes[exp_item],$H773,ExpensePayrollTaxes[company_name],$B1403)*Y773)</f>
        <v>0</v>
      </c>
      <c r="Z1403" s="652">
        <f>IF($B1403="",,SUMIFS(SalaryPayrollTaxes[Month 15],SalaryPayrollTaxes[exp_item],$H1403,SalaryPayrollTaxes[company_name],$B1403,SalaryPayrollTaxes[bu_name],$C1403)*(Z458+Z563+Z668)+SUMIFS(ExpensePayrollTaxes[Month 15],ExpensePayrollTaxes[exp_item],$H773,ExpensePayrollTaxes[company_name],$B1403)*Z773)</f>
        <v>0</v>
      </c>
      <c r="AA1403" s="652">
        <f>IF($B1403="",,SUMIFS(SalaryPayrollTaxes[Month 16],SalaryPayrollTaxes[exp_item],$H1403,SalaryPayrollTaxes[company_name],$B1403,SalaryPayrollTaxes[bu_name],$C1403)*(AA458+AA563+AA668)+SUMIFS(ExpensePayrollTaxes[Month 16],ExpensePayrollTaxes[exp_item],$H773,ExpensePayrollTaxes[company_name],$B1403)*AA773)</f>
        <v>0</v>
      </c>
      <c r="AB1403" s="652">
        <f>IF($B1403="",,SUMIFS(SalaryPayrollTaxes[Month 17],SalaryPayrollTaxes[exp_item],$H1403,SalaryPayrollTaxes[company_name],$B1403,SalaryPayrollTaxes[bu_name],$C1403)*(AB458+AB563+AB668)+SUMIFS(ExpensePayrollTaxes[Month 17],ExpensePayrollTaxes[exp_item],$H773,ExpensePayrollTaxes[company_name],$B1403)*AB773)</f>
        <v>0</v>
      </c>
      <c r="AC1403" s="652">
        <f>IF($B1403="",,SUMIFS(SalaryPayrollTaxes[Month 18],SalaryPayrollTaxes[exp_item],$H1403,SalaryPayrollTaxes[company_name],$B1403,SalaryPayrollTaxes[bu_name],$C1403)*(AC458+AC563+AC668)+SUMIFS(ExpensePayrollTaxes[Month 18],ExpensePayrollTaxes[exp_item],$H773,ExpensePayrollTaxes[company_name],$B1403)*AC773)</f>
        <v>0</v>
      </c>
      <c r="AD1403" s="652">
        <f>IF($B1403="",,SUMIFS(SalaryPayrollTaxes[Month 19],SalaryPayrollTaxes[exp_item],$H1403,SalaryPayrollTaxes[company_name],$B1403,SalaryPayrollTaxes[bu_name],$C1403)*(AD458+AD563+AD668)+SUMIFS(ExpensePayrollTaxes[Month 19],ExpensePayrollTaxes[exp_item],$H773,ExpensePayrollTaxes[company_name],$B1403)*AD773)</f>
        <v>0</v>
      </c>
      <c r="AE1403" s="652">
        <f>IF($B1403="",,SUMIFS(SalaryPayrollTaxes[Month 20],SalaryPayrollTaxes[exp_item],$H1403,SalaryPayrollTaxes[company_name],$B1403,SalaryPayrollTaxes[bu_name],$C1403)*(AE458+AE563+AE668)+SUMIFS(ExpensePayrollTaxes[Month 20],ExpensePayrollTaxes[exp_item],$H773,ExpensePayrollTaxes[company_name],$B1403)*AE773)</f>
        <v>0</v>
      </c>
      <c r="AF1403" s="652">
        <f>IF($B1403="",,SUMIFS(SalaryPayrollTaxes[Month 21],SalaryPayrollTaxes[exp_item],$H1403,SalaryPayrollTaxes[company_name],$B1403,SalaryPayrollTaxes[bu_name],$C1403)*(AF458+AF563+AF668)+SUMIFS(ExpensePayrollTaxes[Month 21],ExpensePayrollTaxes[exp_item],$H773,ExpensePayrollTaxes[company_name],$B1403)*AF773)</f>
        <v>0</v>
      </c>
      <c r="AG1403" s="652">
        <f>IF($B1403="",,SUMIFS(SalaryPayrollTaxes[Month 22],SalaryPayrollTaxes[exp_item],$H1403,SalaryPayrollTaxes[company_name],$B1403,SalaryPayrollTaxes[bu_name],$C1403)*(AG458+AG563+AG668)+SUMIFS(ExpensePayrollTaxes[Month 22],ExpensePayrollTaxes[exp_item],$H773,ExpensePayrollTaxes[company_name],$B1403)*AG773)</f>
        <v>0</v>
      </c>
      <c r="AH1403" s="652">
        <f>IF($B1403="",,SUMIFS(SalaryPayrollTaxes[Month 23],SalaryPayrollTaxes[exp_item],$H1403,SalaryPayrollTaxes[company_name],$B1403,SalaryPayrollTaxes[bu_name],$C1403)*(AH458+AH563+AH668)+SUMIFS(ExpensePayrollTaxes[Month 23],ExpensePayrollTaxes[exp_item],$H773,ExpensePayrollTaxes[company_name],$B1403)*AH773)</f>
        <v>0</v>
      </c>
      <c r="AI1403" s="652">
        <f>IF($B1403="",,SUMIFS(SalaryPayrollTaxes[Month 24],SalaryPayrollTaxes[exp_item],$H1403,SalaryPayrollTaxes[company_name],$B1403,SalaryPayrollTaxes[bu_name],$C1403)*(AI458+AI563+AI668)+SUMIFS(ExpensePayrollTaxes[Month 24],ExpensePayrollTaxes[exp_item],$H773,ExpensePayrollTaxes[company_name],$B1403)*AI773)</f>
        <v>0</v>
      </c>
      <c r="AJ1403" s="652">
        <f>IF($B1403="",,SUMIFS(SalaryPayrollTaxes[Month 25],SalaryPayrollTaxes[exp_item],$H1403,SalaryPayrollTaxes[company_name],$B1403,SalaryPayrollTaxes[bu_name],$C1403)*(AJ458+AJ563+AJ668)+SUMIFS(ExpensePayrollTaxes[Month 25],ExpensePayrollTaxes[exp_item],$H773,ExpensePayrollTaxes[company_name],$B1403)*AJ773)</f>
        <v>0</v>
      </c>
      <c r="AK1403" s="652">
        <f>IF($B1403="",,SUMIFS(SalaryPayrollTaxes[Month 26],SalaryPayrollTaxes[exp_item],$H1403,SalaryPayrollTaxes[company_name],$B1403,SalaryPayrollTaxes[bu_name],$C1403)*(AK458+AK563+AK668)+SUMIFS(ExpensePayrollTaxes[Month 26],ExpensePayrollTaxes[exp_item],$H773,ExpensePayrollTaxes[company_name],$B1403)*AK773)</f>
        <v>0</v>
      </c>
      <c r="AL1403" s="652">
        <f>IF($B1403="",,SUMIFS(SalaryPayrollTaxes[Month 27],SalaryPayrollTaxes[exp_item],$H1403,SalaryPayrollTaxes[company_name],$B1403,SalaryPayrollTaxes[bu_name],$C1403)*(AL458+AL563+AL668)+SUMIFS(ExpensePayrollTaxes[Month 27],ExpensePayrollTaxes[exp_item],$H773,ExpensePayrollTaxes[company_name],$B1403)*AL773)</f>
        <v>0</v>
      </c>
      <c r="AM1403" s="652">
        <f>IF($B1403="",,SUMIFS(SalaryPayrollTaxes[Month 28],SalaryPayrollTaxes[exp_item],$H1403,SalaryPayrollTaxes[company_name],$B1403,SalaryPayrollTaxes[bu_name],$C1403)*(AM458+AM563+AM668)+SUMIFS(ExpensePayrollTaxes[Month 28],ExpensePayrollTaxes[exp_item],$H773,ExpensePayrollTaxes[company_name],$B1403)*AM773)</f>
        <v>0</v>
      </c>
      <c r="AN1403" s="652">
        <f>IF($B1403="",,SUMIFS(SalaryPayrollTaxes[Month 29],SalaryPayrollTaxes[exp_item],$H1403,SalaryPayrollTaxes[company_name],$B1403,SalaryPayrollTaxes[bu_name],$C1403)*(AN458+AN563+AN668)+SUMIFS(ExpensePayrollTaxes[Month 29],ExpensePayrollTaxes[exp_item],$H773,ExpensePayrollTaxes[company_name],$B1403)*AN773)</f>
        <v>0</v>
      </c>
      <c r="AO1403" s="652">
        <f>IF($B1403="",,SUMIFS(SalaryPayrollTaxes[Month 30],SalaryPayrollTaxes[exp_item],$H1403,SalaryPayrollTaxes[company_name],$B1403,SalaryPayrollTaxes[bu_name],$C1403)*(AO458+AO563+AO668)+SUMIFS(ExpensePayrollTaxes[Month 30],ExpensePayrollTaxes[exp_item],$H773,ExpensePayrollTaxes[company_name],$B1403)*AO773)</f>
        <v>0</v>
      </c>
      <c r="AP1403" s="652">
        <f>IF($B1403="",,SUMIFS(SalaryPayrollTaxes[Month 31],SalaryPayrollTaxes[exp_item],$H1403,SalaryPayrollTaxes[company_name],$B1403,SalaryPayrollTaxes[bu_name],$C1403)*(AP458+AP563+AP668)+SUMIFS(ExpensePayrollTaxes[Month 31],ExpensePayrollTaxes[exp_item],$H773,ExpensePayrollTaxes[company_name],$B1403)*AP773)</f>
        <v>0</v>
      </c>
      <c r="AQ1403" s="652">
        <f>IF($B1403="",,SUMIFS(SalaryPayrollTaxes[Month 32],SalaryPayrollTaxes[exp_item],$H1403,SalaryPayrollTaxes[company_name],$B1403,SalaryPayrollTaxes[bu_name],$C1403)*(AQ458+AQ563+AQ668)+SUMIFS(ExpensePayrollTaxes[Month 32],ExpensePayrollTaxes[exp_item],$H773,ExpensePayrollTaxes[company_name],$B1403)*AQ773)</f>
        <v>0</v>
      </c>
      <c r="AR1403" s="652">
        <f>IF($B1403="",,SUMIFS(SalaryPayrollTaxes[Month 33],SalaryPayrollTaxes[exp_item],$H1403,SalaryPayrollTaxes[company_name],$B1403,SalaryPayrollTaxes[bu_name],$C1403)*(AR458+AR563+AR668)+SUMIFS(ExpensePayrollTaxes[Month 33],ExpensePayrollTaxes[exp_item],$H773,ExpensePayrollTaxes[company_name],$B1403)*AR773)</f>
        <v>0</v>
      </c>
      <c r="AS1403" s="652">
        <f>IF($B1403="",,SUMIFS(SalaryPayrollTaxes[Month 34],SalaryPayrollTaxes[exp_item],$H1403,SalaryPayrollTaxes[company_name],$B1403,SalaryPayrollTaxes[bu_name],$C1403)*(AS458+AS563+AS668)+SUMIFS(ExpensePayrollTaxes[Month 34],ExpensePayrollTaxes[exp_item],$H773,ExpensePayrollTaxes[company_name],$B1403)*AS773)</f>
        <v>0</v>
      </c>
      <c r="AT1403" s="652">
        <f>IF($B1403="",,SUMIFS(SalaryPayrollTaxes[Month 35],SalaryPayrollTaxes[exp_item],$H1403,SalaryPayrollTaxes[company_name],$B1403,SalaryPayrollTaxes[bu_name],$C1403)*(AT458+AT563+AT668)+SUMIFS(ExpensePayrollTaxes[Month 35],ExpensePayrollTaxes[exp_item],$H773,ExpensePayrollTaxes[company_name],$B1403)*AT773)</f>
        <v>0</v>
      </c>
      <c r="AU1403" s="652">
        <f>IF($B1403="",,SUMIFS(SalaryPayrollTaxes[Month 36],SalaryPayrollTaxes[exp_item],$H1403,SalaryPayrollTaxes[company_name],$B1403,SalaryPayrollTaxes[bu_name],$C1403)*(AU458+AU563+AU668)+SUMIFS(ExpensePayrollTaxes[Month 36],ExpensePayrollTaxes[exp_item],$H773,ExpensePayrollTaxes[company_name],$B1403)*AU773)</f>
        <v>0</v>
      </c>
    </row>
    <row r="1404" spans="2:47" x14ac:dyDescent="0.35">
      <c r="B1404" t="str">
        <f t="shared" si="996"/>
        <v/>
      </c>
      <c r="C1404" t="str">
        <f t="shared" si="996"/>
        <v/>
      </c>
      <c r="D1404" t="str">
        <f t="shared" si="996"/>
        <v/>
      </c>
      <c r="E1404" t="str">
        <f t="shared" si="996"/>
        <v/>
      </c>
      <c r="F1404" t="str">
        <f t="shared" si="996"/>
        <v/>
      </c>
      <c r="G1404" t="str">
        <f t="shared" si="996"/>
        <v/>
      </c>
      <c r="H1404" t="str">
        <f t="shared" si="989"/>
        <v/>
      </c>
      <c r="J1404" t="str">
        <f>IF($H1404="","",IF(VLOOKUP(H1404,ExpItems[],2,0),H1404&amp;" - "&amp;INDEX(DivisionMapping[category_code],MATCH($D1404&amp;$C1404,DivisionMapping[dept_bu],0)),H1404))</f>
        <v/>
      </c>
      <c r="K1404" t="str">
        <f t="shared" si="990"/>
        <v/>
      </c>
      <c r="L1404" s="652">
        <f>IF($B1404="",,SUMIFS(SalaryPayrollTaxes[Month 1],SalaryPayrollTaxes[exp_item],$H1404,SalaryPayrollTaxes[company_name],$B1404,SalaryPayrollTaxes[bu_name],$C1404)*(L459+L564+L669)+SUMIFS(ExpensePayrollTaxes[Month 1],ExpensePayrollTaxes[exp_item],$H774,ExpensePayrollTaxes[company_name],$B1404)*L774)</f>
        <v>0</v>
      </c>
      <c r="M1404" s="652">
        <f>IF($B1404="",,SUMIFS(SalaryPayrollTaxes[Month 2],SalaryPayrollTaxes[exp_item],$H1404,SalaryPayrollTaxes[company_name],$B1404,SalaryPayrollTaxes[bu_name],$C1404)*(M459+M564+M669)+SUMIFS(ExpensePayrollTaxes[Month 2],ExpensePayrollTaxes[exp_item],$H774,ExpensePayrollTaxes[company_name],$B1404)*M774)</f>
        <v>0</v>
      </c>
      <c r="N1404" s="652">
        <f>IF($B1404="",,SUMIFS(SalaryPayrollTaxes[Month 3],SalaryPayrollTaxes[exp_item],$H1404,SalaryPayrollTaxes[company_name],$B1404,SalaryPayrollTaxes[bu_name],$C1404)*(N459+N564+N669)+SUMIFS(ExpensePayrollTaxes[Month 3],ExpensePayrollTaxes[exp_item],$H774,ExpensePayrollTaxes[company_name],$B1404)*N774)</f>
        <v>0</v>
      </c>
      <c r="O1404" s="652">
        <f>IF($B1404="",,SUMIFS(SalaryPayrollTaxes[Month 4],SalaryPayrollTaxes[exp_item],$H1404,SalaryPayrollTaxes[company_name],$B1404,SalaryPayrollTaxes[bu_name],$C1404)*(O459+O564+O669)+SUMIFS(ExpensePayrollTaxes[Month 4],ExpensePayrollTaxes[exp_item],$H774,ExpensePayrollTaxes[company_name],$B1404)*O774)</f>
        <v>0</v>
      </c>
      <c r="P1404" s="652">
        <f>IF($B1404="",,SUMIFS(SalaryPayrollTaxes[Month 5],SalaryPayrollTaxes[exp_item],$H1404,SalaryPayrollTaxes[company_name],$B1404,SalaryPayrollTaxes[bu_name],$C1404)*(P459+P564+P669)+SUMIFS(ExpensePayrollTaxes[Month 5],ExpensePayrollTaxes[exp_item],$H774,ExpensePayrollTaxes[company_name],$B1404)*P774)</f>
        <v>0</v>
      </c>
      <c r="Q1404" s="652">
        <f>IF($B1404="",,SUMIFS(SalaryPayrollTaxes[Month 6],SalaryPayrollTaxes[exp_item],$H1404,SalaryPayrollTaxes[company_name],$B1404,SalaryPayrollTaxes[bu_name],$C1404)*(Q459+Q564+Q669)+SUMIFS(ExpensePayrollTaxes[Month 6],ExpensePayrollTaxes[exp_item],$H774,ExpensePayrollTaxes[company_name],$B1404)*Q774)</f>
        <v>0</v>
      </c>
      <c r="R1404" s="652">
        <f>IF($B1404="",,SUMIFS(SalaryPayrollTaxes[Month 7],SalaryPayrollTaxes[exp_item],$H1404,SalaryPayrollTaxes[company_name],$B1404,SalaryPayrollTaxes[bu_name],$C1404)*(R459+R564+R669)+SUMIFS(ExpensePayrollTaxes[Month 7],ExpensePayrollTaxes[exp_item],$H774,ExpensePayrollTaxes[company_name],$B1404)*R774)</f>
        <v>0</v>
      </c>
      <c r="S1404" s="652">
        <f>IF($B1404="",,SUMIFS(SalaryPayrollTaxes[Month 8],SalaryPayrollTaxes[exp_item],$H1404,SalaryPayrollTaxes[company_name],$B1404,SalaryPayrollTaxes[bu_name],$C1404)*(S459+S564+S669)+SUMIFS(ExpensePayrollTaxes[Month 8],ExpensePayrollTaxes[exp_item],$H774,ExpensePayrollTaxes[company_name],$B1404)*S774)</f>
        <v>0</v>
      </c>
      <c r="T1404" s="652">
        <f>IF($B1404="",,SUMIFS(SalaryPayrollTaxes[Month 9],SalaryPayrollTaxes[exp_item],$H1404,SalaryPayrollTaxes[company_name],$B1404,SalaryPayrollTaxes[bu_name],$C1404)*(T459+T564+T669)+SUMIFS(ExpensePayrollTaxes[Month 9],ExpensePayrollTaxes[exp_item],$H774,ExpensePayrollTaxes[company_name],$B1404)*T774)</f>
        <v>0</v>
      </c>
      <c r="U1404" s="652">
        <f>IF($B1404="",,SUMIFS(SalaryPayrollTaxes[Month 10],SalaryPayrollTaxes[exp_item],$H1404,SalaryPayrollTaxes[company_name],$B1404,SalaryPayrollTaxes[bu_name],$C1404)*(U459+U564+U669)+SUMIFS(ExpensePayrollTaxes[Month 10],ExpensePayrollTaxes[exp_item],$H774,ExpensePayrollTaxes[company_name],$B1404)*U774)</f>
        <v>0</v>
      </c>
      <c r="V1404" s="652">
        <f>IF($B1404="",,SUMIFS(SalaryPayrollTaxes[Month 11],SalaryPayrollTaxes[exp_item],$H1404,SalaryPayrollTaxes[company_name],$B1404,SalaryPayrollTaxes[bu_name],$C1404)*(V459+V564+V669)+SUMIFS(ExpensePayrollTaxes[Month 11],ExpensePayrollTaxes[exp_item],$H774,ExpensePayrollTaxes[company_name],$B1404)*V774)</f>
        <v>0</v>
      </c>
      <c r="W1404" s="652">
        <f>IF($B1404="",,SUMIFS(SalaryPayrollTaxes[Month 12],SalaryPayrollTaxes[exp_item],$H1404,SalaryPayrollTaxes[company_name],$B1404,SalaryPayrollTaxes[bu_name],$C1404)*(W459+W564+W669)+SUMIFS(ExpensePayrollTaxes[Month 12],ExpensePayrollTaxes[exp_item],$H774,ExpensePayrollTaxes[company_name],$B1404)*W774)</f>
        <v>0</v>
      </c>
      <c r="X1404" s="652">
        <f>IF($B1404="",,SUMIFS(SalaryPayrollTaxes[Month 13],SalaryPayrollTaxes[exp_item],$H1404,SalaryPayrollTaxes[company_name],$B1404,SalaryPayrollTaxes[bu_name],$C1404)*(X459+X564+X669)+SUMIFS(ExpensePayrollTaxes[Month 13],ExpensePayrollTaxes[exp_item],$H774,ExpensePayrollTaxes[company_name],$B1404)*X774)</f>
        <v>0</v>
      </c>
      <c r="Y1404" s="652">
        <f>IF($B1404="",,SUMIFS(SalaryPayrollTaxes[Month 14],SalaryPayrollTaxes[exp_item],$H1404,SalaryPayrollTaxes[company_name],$B1404,SalaryPayrollTaxes[bu_name],$C1404)*(Y459+Y564+Y669)+SUMIFS(ExpensePayrollTaxes[Month 14],ExpensePayrollTaxes[exp_item],$H774,ExpensePayrollTaxes[company_name],$B1404)*Y774)</f>
        <v>0</v>
      </c>
      <c r="Z1404" s="652">
        <f>IF($B1404="",,SUMIFS(SalaryPayrollTaxes[Month 15],SalaryPayrollTaxes[exp_item],$H1404,SalaryPayrollTaxes[company_name],$B1404,SalaryPayrollTaxes[bu_name],$C1404)*(Z459+Z564+Z669)+SUMIFS(ExpensePayrollTaxes[Month 15],ExpensePayrollTaxes[exp_item],$H774,ExpensePayrollTaxes[company_name],$B1404)*Z774)</f>
        <v>0</v>
      </c>
      <c r="AA1404" s="652">
        <f>IF($B1404="",,SUMIFS(SalaryPayrollTaxes[Month 16],SalaryPayrollTaxes[exp_item],$H1404,SalaryPayrollTaxes[company_name],$B1404,SalaryPayrollTaxes[bu_name],$C1404)*(AA459+AA564+AA669)+SUMIFS(ExpensePayrollTaxes[Month 16],ExpensePayrollTaxes[exp_item],$H774,ExpensePayrollTaxes[company_name],$B1404)*AA774)</f>
        <v>0</v>
      </c>
      <c r="AB1404" s="652">
        <f>IF($B1404="",,SUMIFS(SalaryPayrollTaxes[Month 17],SalaryPayrollTaxes[exp_item],$H1404,SalaryPayrollTaxes[company_name],$B1404,SalaryPayrollTaxes[bu_name],$C1404)*(AB459+AB564+AB669)+SUMIFS(ExpensePayrollTaxes[Month 17],ExpensePayrollTaxes[exp_item],$H774,ExpensePayrollTaxes[company_name],$B1404)*AB774)</f>
        <v>0</v>
      </c>
      <c r="AC1404" s="652">
        <f>IF($B1404="",,SUMIFS(SalaryPayrollTaxes[Month 18],SalaryPayrollTaxes[exp_item],$H1404,SalaryPayrollTaxes[company_name],$B1404,SalaryPayrollTaxes[bu_name],$C1404)*(AC459+AC564+AC669)+SUMIFS(ExpensePayrollTaxes[Month 18],ExpensePayrollTaxes[exp_item],$H774,ExpensePayrollTaxes[company_name],$B1404)*AC774)</f>
        <v>0</v>
      </c>
      <c r="AD1404" s="652">
        <f>IF($B1404="",,SUMIFS(SalaryPayrollTaxes[Month 19],SalaryPayrollTaxes[exp_item],$H1404,SalaryPayrollTaxes[company_name],$B1404,SalaryPayrollTaxes[bu_name],$C1404)*(AD459+AD564+AD669)+SUMIFS(ExpensePayrollTaxes[Month 19],ExpensePayrollTaxes[exp_item],$H774,ExpensePayrollTaxes[company_name],$B1404)*AD774)</f>
        <v>0</v>
      </c>
      <c r="AE1404" s="652">
        <f>IF($B1404="",,SUMIFS(SalaryPayrollTaxes[Month 20],SalaryPayrollTaxes[exp_item],$H1404,SalaryPayrollTaxes[company_name],$B1404,SalaryPayrollTaxes[bu_name],$C1404)*(AE459+AE564+AE669)+SUMIFS(ExpensePayrollTaxes[Month 20],ExpensePayrollTaxes[exp_item],$H774,ExpensePayrollTaxes[company_name],$B1404)*AE774)</f>
        <v>0</v>
      </c>
      <c r="AF1404" s="652">
        <f>IF($B1404="",,SUMIFS(SalaryPayrollTaxes[Month 21],SalaryPayrollTaxes[exp_item],$H1404,SalaryPayrollTaxes[company_name],$B1404,SalaryPayrollTaxes[bu_name],$C1404)*(AF459+AF564+AF669)+SUMIFS(ExpensePayrollTaxes[Month 21],ExpensePayrollTaxes[exp_item],$H774,ExpensePayrollTaxes[company_name],$B1404)*AF774)</f>
        <v>0</v>
      </c>
      <c r="AG1404" s="652">
        <f>IF($B1404="",,SUMIFS(SalaryPayrollTaxes[Month 22],SalaryPayrollTaxes[exp_item],$H1404,SalaryPayrollTaxes[company_name],$B1404,SalaryPayrollTaxes[bu_name],$C1404)*(AG459+AG564+AG669)+SUMIFS(ExpensePayrollTaxes[Month 22],ExpensePayrollTaxes[exp_item],$H774,ExpensePayrollTaxes[company_name],$B1404)*AG774)</f>
        <v>0</v>
      </c>
      <c r="AH1404" s="652">
        <f>IF($B1404="",,SUMIFS(SalaryPayrollTaxes[Month 23],SalaryPayrollTaxes[exp_item],$H1404,SalaryPayrollTaxes[company_name],$B1404,SalaryPayrollTaxes[bu_name],$C1404)*(AH459+AH564+AH669)+SUMIFS(ExpensePayrollTaxes[Month 23],ExpensePayrollTaxes[exp_item],$H774,ExpensePayrollTaxes[company_name],$B1404)*AH774)</f>
        <v>0</v>
      </c>
      <c r="AI1404" s="652">
        <f>IF($B1404="",,SUMIFS(SalaryPayrollTaxes[Month 24],SalaryPayrollTaxes[exp_item],$H1404,SalaryPayrollTaxes[company_name],$B1404,SalaryPayrollTaxes[bu_name],$C1404)*(AI459+AI564+AI669)+SUMIFS(ExpensePayrollTaxes[Month 24],ExpensePayrollTaxes[exp_item],$H774,ExpensePayrollTaxes[company_name],$B1404)*AI774)</f>
        <v>0</v>
      </c>
      <c r="AJ1404" s="652">
        <f>IF($B1404="",,SUMIFS(SalaryPayrollTaxes[Month 25],SalaryPayrollTaxes[exp_item],$H1404,SalaryPayrollTaxes[company_name],$B1404,SalaryPayrollTaxes[bu_name],$C1404)*(AJ459+AJ564+AJ669)+SUMIFS(ExpensePayrollTaxes[Month 25],ExpensePayrollTaxes[exp_item],$H774,ExpensePayrollTaxes[company_name],$B1404)*AJ774)</f>
        <v>0</v>
      </c>
      <c r="AK1404" s="652">
        <f>IF($B1404="",,SUMIFS(SalaryPayrollTaxes[Month 26],SalaryPayrollTaxes[exp_item],$H1404,SalaryPayrollTaxes[company_name],$B1404,SalaryPayrollTaxes[bu_name],$C1404)*(AK459+AK564+AK669)+SUMIFS(ExpensePayrollTaxes[Month 26],ExpensePayrollTaxes[exp_item],$H774,ExpensePayrollTaxes[company_name],$B1404)*AK774)</f>
        <v>0</v>
      </c>
      <c r="AL1404" s="652">
        <f>IF($B1404="",,SUMIFS(SalaryPayrollTaxes[Month 27],SalaryPayrollTaxes[exp_item],$H1404,SalaryPayrollTaxes[company_name],$B1404,SalaryPayrollTaxes[bu_name],$C1404)*(AL459+AL564+AL669)+SUMIFS(ExpensePayrollTaxes[Month 27],ExpensePayrollTaxes[exp_item],$H774,ExpensePayrollTaxes[company_name],$B1404)*AL774)</f>
        <v>0</v>
      </c>
      <c r="AM1404" s="652">
        <f>IF($B1404="",,SUMIFS(SalaryPayrollTaxes[Month 28],SalaryPayrollTaxes[exp_item],$H1404,SalaryPayrollTaxes[company_name],$B1404,SalaryPayrollTaxes[bu_name],$C1404)*(AM459+AM564+AM669)+SUMIFS(ExpensePayrollTaxes[Month 28],ExpensePayrollTaxes[exp_item],$H774,ExpensePayrollTaxes[company_name],$B1404)*AM774)</f>
        <v>0</v>
      </c>
      <c r="AN1404" s="652">
        <f>IF($B1404="",,SUMIFS(SalaryPayrollTaxes[Month 29],SalaryPayrollTaxes[exp_item],$H1404,SalaryPayrollTaxes[company_name],$B1404,SalaryPayrollTaxes[bu_name],$C1404)*(AN459+AN564+AN669)+SUMIFS(ExpensePayrollTaxes[Month 29],ExpensePayrollTaxes[exp_item],$H774,ExpensePayrollTaxes[company_name],$B1404)*AN774)</f>
        <v>0</v>
      </c>
      <c r="AO1404" s="652">
        <f>IF($B1404="",,SUMIFS(SalaryPayrollTaxes[Month 30],SalaryPayrollTaxes[exp_item],$H1404,SalaryPayrollTaxes[company_name],$B1404,SalaryPayrollTaxes[bu_name],$C1404)*(AO459+AO564+AO669)+SUMIFS(ExpensePayrollTaxes[Month 30],ExpensePayrollTaxes[exp_item],$H774,ExpensePayrollTaxes[company_name],$B1404)*AO774)</f>
        <v>0</v>
      </c>
      <c r="AP1404" s="652">
        <f>IF($B1404="",,SUMIFS(SalaryPayrollTaxes[Month 31],SalaryPayrollTaxes[exp_item],$H1404,SalaryPayrollTaxes[company_name],$B1404,SalaryPayrollTaxes[bu_name],$C1404)*(AP459+AP564+AP669)+SUMIFS(ExpensePayrollTaxes[Month 31],ExpensePayrollTaxes[exp_item],$H774,ExpensePayrollTaxes[company_name],$B1404)*AP774)</f>
        <v>0</v>
      </c>
      <c r="AQ1404" s="652">
        <f>IF($B1404="",,SUMIFS(SalaryPayrollTaxes[Month 32],SalaryPayrollTaxes[exp_item],$H1404,SalaryPayrollTaxes[company_name],$B1404,SalaryPayrollTaxes[bu_name],$C1404)*(AQ459+AQ564+AQ669)+SUMIFS(ExpensePayrollTaxes[Month 32],ExpensePayrollTaxes[exp_item],$H774,ExpensePayrollTaxes[company_name],$B1404)*AQ774)</f>
        <v>0</v>
      </c>
      <c r="AR1404" s="652">
        <f>IF($B1404="",,SUMIFS(SalaryPayrollTaxes[Month 33],SalaryPayrollTaxes[exp_item],$H1404,SalaryPayrollTaxes[company_name],$B1404,SalaryPayrollTaxes[bu_name],$C1404)*(AR459+AR564+AR669)+SUMIFS(ExpensePayrollTaxes[Month 33],ExpensePayrollTaxes[exp_item],$H774,ExpensePayrollTaxes[company_name],$B1404)*AR774)</f>
        <v>0</v>
      </c>
      <c r="AS1404" s="652">
        <f>IF($B1404="",,SUMIFS(SalaryPayrollTaxes[Month 34],SalaryPayrollTaxes[exp_item],$H1404,SalaryPayrollTaxes[company_name],$B1404,SalaryPayrollTaxes[bu_name],$C1404)*(AS459+AS564+AS669)+SUMIFS(ExpensePayrollTaxes[Month 34],ExpensePayrollTaxes[exp_item],$H774,ExpensePayrollTaxes[company_name],$B1404)*AS774)</f>
        <v>0</v>
      </c>
      <c r="AT1404" s="652">
        <f>IF($B1404="",,SUMIFS(SalaryPayrollTaxes[Month 35],SalaryPayrollTaxes[exp_item],$H1404,SalaryPayrollTaxes[company_name],$B1404,SalaryPayrollTaxes[bu_name],$C1404)*(AT459+AT564+AT669)+SUMIFS(ExpensePayrollTaxes[Month 35],ExpensePayrollTaxes[exp_item],$H774,ExpensePayrollTaxes[company_name],$B1404)*AT774)</f>
        <v>0</v>
      </c>
      <c r="AU1404" s="652">
        <f>IF($B1404="",,SUMIFS(SalaryPayrollTaxes[Month 36],SalaryPayrollTaxes[exp_item],$H1404,SalaryPayrollTaxes[company_name],$B1404,SalaryPayrollTaxes[bu_name],$C1404)*(AU459+AU564+AU669)+SUMIFS(ExpensePayrollTaxes[Month 36],ExpensePayrollTaxes[exp_item],$H774,ExpensePayrollTaxes[company_name],$B1404)*AU774)</f>
        <v>0</v>
      </c>
    </row>
    <row r="1405" spans="2:47" x14ac:dyDescent="0.35">
      <c r="B1405" t="str">
        <f t="shared" si="996"/>
        <v/>
      </c>
      <c r="C1405" t="str">
        <f t="shared" si="996"/>
        <v/>
      </c>
      <c r="D1405" t="str">
        <f t="shared" si="996"/>
        <v/>
      </c>
      <c r="E1405" t="str">
        <f t="shared" si="996"/>
        <v/>
      </c>
      <c r="F1405" t="str">
        <f t="shared" si="996"/>
        <v/>
      </c>
      <c r="G1405" t="str">
        <f t="shared" si="996"/>
        <v/>
      </c>
      <c r="H1405" t="str">
        <f t="shared" si="989"/>
        <v/>
      </c>
      <c r="J1405" t="str">
        <f>IF($H1405="","",IF(VLOOKUP(H1405,ExpItems[],2,0),H1405&amp;" - "&amp;INDEX(DivisionMapping[category_code],MATCH($D1405&amp;$C1405,DivisionMapping[dept_bu],0)),H1405))</f>
        <v/>
      </c>
      <c r="K1405" t="str">
        <f t="shared" si="990"/>
        <v/>
      </c>
      <c r="L1405" s="652">
        <f>IF($B1405="",,SUMIFS(SalaryPayrollTaxes[Month 1],SalaryPayrollTaxes[exp_item],$H1405,SalaryPayrollTaxes[company_name],$B1405,SalaryPayrollTaxes[bu_name],$C1405)*(L460+L565+L670)+SUMIFS(ExpensePayrollTaxes[Month 1],ExpensePayrollTaxes[exp_item],$H775,ExpensePayrollTaxes[company_name],$B1405)*L775)</f>
        <v>0</v>
      </c>
      <c r="M1405" s="652">
        <f>IF($B1405="",,SUMIFS(SalaryPayrollTaxes[Month 2],SalaryPayrollTaxes[exp_item],$H1405,SalaryPayrollTaxes[company_name],$B1405,SalaryPayrollTaxes[bu_name],$C1405)*(M460+M565+M670)+SUMIFS(ExpensePayrollTaxes[Month 2],ExpensePayrollTaxes[exp_item],$H775,ExpensePayrollTaxes[company_name],$B1405)*M775)</f>
        <v>0</v>
      </c>
      <c r="N1405" s="652">
        <f>IF($B1405="",,SUMIFS(SalaryPayrollTaxes[Month 3],SalaryPayrollTaxes[exp_item],$H1405,SalaryPayrollTaxes[company_name],$B1405,SalaryPayrollTaxes[bu_name],$C1405)*(N460+N565+N670)+SUMIFS(ExpensePayrollTaxes[Month 3],ExpensePayrollTaxes[exp_item],$H775,ExpensePayrollTaxes[company_name],$B1405)*N775)</f>
        <v>0</v>
      </c>
      <c r="O1405" s="652">
        <f>IF($B1405="",,SUMIFS(SalaryPayrollTaxes[Month 4],SalaryPayrollTaxes[exp_item],$H1405,SalaryPayrollTaxes[company_name],$B1405,SalaryPayrollTaxes[bu_name],$C1405)*(O460+O565+O670)+SUMIFS(ExpensePayrollTaxes[Month 4],ExpensePayrollTaxes[exp_item],$H775,ExpensePayrollTaxes[company_name],$B1405)*O775)</f>
        <v>0</v>
      </c>
      <c r="P1405" s="652">
        <f>IF($B1405="",,SUMIFS(SalaryPayrollTaxes[Month 5],SalaryPayrollTaxes[exp_item],$H1405,SalaryPayrollTaxes[company_name],$B1405,SalaryPayrollTaxes[bu_name],$C1405)*(P460+P565+P670)+SUMIFS(ExpensePayrollTaxes[Month 5],ExpensePayrollTaxes[exp_item],$H775,ExpensePayrollTaxes[company_name],$B1405)*P775)</f>
        <v>0</v>
      </c>
      <c r="Q1405" s="652">
        <f>IF($B1405="",,SUMIFS(SalaryPayrollTaxes[Month 6],SalaryPayrollTaxes[exp_item],$H1405,SalaryPayrollTaxes[company_name],$B1405,SalaryPayrollTaxes[bu_name],$C1405)*(Q460+Q565+Q670)+SUMIFS(ExpensePayrollTaxes[Month 6],ExpensePayrollTaxes[exp_item],$H775,ExpensePayrollTaxes[company_name],$B1405)*Q775)</f>
        <v>0</v>
      </c>
      <c r="R1405" s="652">
        <f>IF($B1405="",,SUMIFS(SalaryPayrollTaxes[Month 7],SalaryPayrollTaxes[exp_item],$H1405,SalaryPayrollTaxes[company_name],$B1405,SalaryPayrollTaxes[bu_name],$C1405)*(R460+R565+R670)+SUMIFS(ExpensePayrollTaxes[Month 7],ExpensePayrollTaxes[exp_item],$H775,ExpensePayrollTaxes[company_name],$B1405)*R775)</f>
        <v>0</v>
      </c>
      <c r="S1405" s="652">
        <f>IF($B1405="",,SUMIFS(SalaryPayrollTaxes[Month 8],SalaryPayrollTaxes[exp_item],$H1405,SalaryPayrollTaxes[company_name],$B1405,SalaryPayrollTaxes[bu_name],$C1405)*(S460+S565+S670)+SUMIFS(ExpensePayrollTaxes[Month 8],ExpensePayrollTaxes[exp_item],$H775,ExpensePayrollTaxes[company_name],$B1405)*S775)</f>
        <v>0</v>
      </c>
      <c r="T1405" s="652">
        <f>IF($B1405="",,SUMIFS(SalaryPayrollTaxes[Month 9],SalaryPayrollTaxes[exp_item],$H1405,SalaryPayrollTaxes[company_name],$B1405,SalaryPayrollTaxes[bu_name],$C1405)*(T460+T565+T670)+SUMIFS(ExpensePayrollTaxes[Month 9],ExpensePayrollTaxes[exp_item],$H775,ExpensePayrollTaxes[company_name],$B1405)*T775)</f>
        <v>0</v>
      </c>
      <c r="U1405" s="652">
        <f>IF($B1405="",,SUMIFS(SalaryPayrollTaxes[Month 10],SalaryPayrollTaxes[exp_item],$H1405,SalaryPayrollTaxes[company_name],$B1405,SalaryPayrollTaxes[bu_name],$C1405)*(U460+U565+U670)+SUMIFS(ExpensePayrollTaxes[Month 10],ExpensePayrollTaxes[exp_item],$H775,ExpensePayrollTaxes[company_name],$B1405)*U775)</f>
        <v>0</v>
      </c>
      <c r="V1405" s="652">
        <f>IF($B1405="",,SUMIFS(SalaryPayrollTaxes[Month 11],SalaryPayrollTaxes[exp_item],$H1405,SalaryPayrollTaxes[company_name],$B1405,SalaryPayrollTaxes[bu_name],$C1405)*(V460+V565+V670)+SUMIFS(ExpensePayrollTaxes[Month 11],ExpensePayrollTaxes[exp_item],$H775,ExpensePayrollTaxes[company_name],$B1405)*V775)</f>
        <v>0</v>
      </c>
      <c r="W1405" s="652">
        <f>IF($B1405="",,SUMIFS(SalaryPayrollTaxes[Month 12],SalaryPayrollTaxes[exp_item],$H1405,SalaryPayrollTaxes[company_name],$B1405,SalaryPayrollTaxes[bu_name],$C1405)*(W460+W565+W670)+SUMIFS(ExpensePayrollTaxes[Month 12],ExpensePayrollTaxes[exp_item],$H775,ExpensePayrollTaxes[company_name],$B1405)*W775)</f>
        <v>0</v>
      </c>
      <c r="X1405" s="652">
        <f>IF($B1405="",,SUMIFS(SalaryPayrollTaxes[Month 13],SalaryPayrollTaxes[exp_item],$H1405,SalaryPayrollTaxes[company_name],$B1405,SalaryPayrollTaxes[bu_name],$C1405)*(X460+X565+X670)+SUMIFS(ExpensePayrollTaxes[Month 13],ExpensePayrollTaxes[exp_item],$H775,ExpensePayrollTaxes[company_name],$B1405)*X775)</f>
        <v>0</v>
      </c>
      <c r="Y1405" s="652">
        <f>IF($B1405="",,SUMIFS(SalaryPayrollTaxes[Month 14],SalaryPayrollTaxes[exp_item],$H1405,SalaryPayrollTaxes[company_name],$B1405,SalaryPayrollTaxes[bu_name],$C1405)*(Y460+Y565+Y670)+SUMIFS(ExpensePayrollTaxes[Month 14],ExpensePayrollTaxes[exp_item],$H775,ExpensePayrollTaxes[company_name],$B1405)*Y775)</f>
        <v>0</v>
      </c>
      <c r="Z1405" s="652">
        <f>IF($B1405="",,SUMIFS(SalaryPayrollTaxes[Month 15],SalaryPayrollTaxes[exp_item],$H1405,SalaryPayrollTaxes[company_name],$B1405,SalaryPayrollTaxes[bu_name],$C1405)*(Z460+Z565+Z670)+SUMIFS(ExpensePayrollTaxes[Month 15],ExpensePayrollTaxes[exp_item],$H775,ExpensePayrollTaxes[company_name],$B1405)*Z775)</f>
        <v>0</v>
      </c>
      <c r="AA1405" s="652">
        <f>IF($B1405="",,SUMIFS(SalaryPayrollTaxes[Month 16],SalaryPayrollTaxes[exp_item],$H1405,SalaryPayrollTaxes[company_name],$B1405,SalaryPayrollTaxes[bu_name],$C1405)*(AA460+AA565+AA670)+SUMIFS(ExpensePayrollTaxes[Month 16],ExpensePayrollTaxes[exp_item],$H775,ExpensePayrollTaxes[company_name],$B1405)*AA775)</f>
        <v>0</v>
      </c>
      <c r="AB1405" s="652">
        <f>IF($B1405="",,SUMIFS(SalaryPayrollTaxes[Month 17],SalaryPayrollTaxes[exp_item],$H1405,SalaryPayrollTaxes[company_name],$B1405,SalaryPayrollTaxes[bu_name],$C1405)*(AB460+AB565+AB670)+SUMIFS(ExpensePayrollTaxes[Month 17],ExpensePayrollTaxes[exp_item],$H775,ExpensePayrollTaxes[company_name],$B1405)*AB775)</f>
        <v>0</v>
      </c>
      <c r="AC1405" s="652">
        <f>IF($B1405="",,SUMIFS(SalaryPayrollTaxes[Month 18],SalaryPayrollTaxes[exp_item],$H1405,SalaryPayrollTaxes[company_name],$B1405,SalaryPayrollTaxes[bu_name],$C1405)*(AC460+AC565+AC670)+SUMIFS(ExpensePayrollTaxes[Month 18],ExpensePayrollTaxes[exp_item],$H775,ExpensePayrollTaxes[company_name],$B1405)*AC775)</f>
        <v>0</v>
      </c>
      <c r="AD1405" s="652">
        <f>IF($B1405="",,SUMIFS(SalaryPayrollTaxes[Month 19],SalaryPayrollTaxes[exp_item],$H1405,SalaryPayrollTaxes[company_name],$B1405,SalaryPayrollTaxes[bu_name],$C1405)*(AD460+AD565+AD670)+SUMIFS(ExpensePayrollTaxes[Month 19],ExpensePayrollTaxes[exp_item],$H775,ExpensePayrollTaxes[company_name],$B1405)*AD775)</f>
        <v>0</v>
      </c>
      <c r="AE1405" s="652">
        <f>IF($B1405="",,SUMIFS(SalaryPayrollTaxes[Month 20],SalaryPayrollTaxes[exp_item],$H1405,SalaryPayrollTaxes[company_name],$B1405,SalaryPayrollTaxes[bu_name],$C1405)*(AE460+AE565+AE670)+SUMIFS(ExpensePayrollTaxes[Month 20],ExpensePayrollTaxes[exp_item],$H775,ExpensePayrollTaxes[company_name],$B1405)*AE775)</f>
        <v>0</v>
      </c>
      <c r="AF1405" s="652">
        <f>IF($B1405="",,SUMIFS(SalaryPayrollTaxes[Month 21],SalaryPayrollTaxes[exp_item],$H1405,SalaryPayrollTaxes[company_name],$B1405,SalaryPayrollTaxes[bu_name],$C1405)*(AF460+AF565+AF670)+SUMIFS(ExpensePayrollTaxes[Month 21],ExpensePayrollTaxes[exp_item],$H775,ExpensePayrollTaxes[company_name],$B1405)*AF775)</f>
        <v>0</v>
      </c>
      <c r="AG1405" s="652">
        <f>IF($B1405="",,SUMIFS(SalaryPayrollTaxes[Month 22],SalaryPayrollTaxes[exp_item],$H1405,SalaryPayrollTaxes[company_name],$B1405,SalaryPayrollTaxes[bu_name],$C1405)*(AG460+AG565+AG670)+SUMIFS(ExpensePayrollTaxes[Month 22],ExpensePayrollTaxes[exp_item],$H775,ExpensePayrollTaxes[company_name],$B1405)*AG775)</f>
        <v>0</v>
      </c>
      <c r="AH1405" s="652">
        <f>IF($B1405="",,SUMIFS(SalaryPayrollTaxes[Month 23],SalaryPayrollTaxes[exp_item],$H1405,SalaryPayrollTaxes[company_name],$B1405,SalaryPayrollTaxes[bu_name],$C1405)*(AH460+AH565+AH670)+SUMIFS(ExpensePayrollTaxes[Month 23],ExpensePayrollTaxes[exp_item],$H775,ExpensePayrollTaxes[company_name],$B1405)*AH775)</f>
        <v>0</v>
      </c>
      <c r="AI1405" s="652">
        <f>IF($B1405="",,SUMIFS(SalaryPayrollTaxes[Month 24],SalaryPayrollTaxes[exp_item],$H1405,SalaryPayrollTaxes[company_name],$B1405,SalaryPayrollTaxes[bu_name],$C1405)*(AI460+AI565+AI670)+SUMIFS(ExpensePayrollTaxes[Month 24],ExpensePayrollTaxes[exp_item],$H775,ExpensePayrollTaxes[company_name],$B1405)*AI775)</f>
        <v>0</v>
      </c>
      <c r="AJ1405" s="652">
        <f>IF($B1405="",,SUMIFS(SalaryPayrollTaxes[Month 25],SalaryPayrollTaxes[exp_item],$H1405,SalaryPayrollTaxes[company_name],$B1405,SalaryPayrollTaxes[bu_name],$C1405)*(AJ460+AJ565+AJ670)+SUMIFS(ExpensePayrollTaxes[Month 25],ExpensePayrollTaxes[exp_item],$H775,ExpensePayrollTaxes[company_name],$B1405)*AJ775)</f>
        <v>0</v>
      </c>
      <c r="AK1405" s="652">
        <f>IF($B1405="",,SUMIFS(SalaryPayrollTaxes[Month 26],SalaryPayrollTaxes[exp_item],$H1405,SalaryPayrollTaxes[company_name],$B1405,SalaryPayrollTaxes[bu_name],$C1405)*(AK460+AK565+AK670)+SUMIFS(ExpensePayrollTaxes[Month 26],ExpensePayrollTaxes[exp_item],$H775,ExpensePayrollTaxes[company_name],$B1405)*AK775)</f>
        <v>0</v>
      </c>
      <c r="AL1405" s="652">
        <f>IF($B1405="",,SUMIFS(SalaryPayrollTaxes[Month 27],SalaryPayrollTaxes[exp_item],$H1405,SalaryPayrollTaxes[company_name],$B1405,SalaryPayrollTaxes[bu_name],$C1405)*(AL460+AL565+AL670)+SUMIFS(ExpensePayrollTaxes[Month 27],ExpensePayrollTaxes[exp_item],$H775,ExpensePayrollTaxes[company_name],$B1405)*AL775)</f>
        <v>0</v>
      </c>
      <c r="AM1405" s="652">
        <f>IF($B1405="",,SUMIFS(SalaryPayrollTaxes[Month 28],SalaryPayrollTaxes[exp_item],$H1405,SalaryPayrollTaxes[company_name],$B1405,SalaryPayrollTaxes[bu_name],$C1405)*(AM460+AM565+AM670)+SUMIFS(ExpensePayrollTaxes[Month 28],ExpensePayrollTaxes[exp_item],$H775,ExpensePayrollTaxes[company_name],$B1405)*AM775)</f>
        <v>0</v>
      </c>
      <c r="AN1405" s="652">
        <f>IF($B1405="",,SUMIFS(SalaryPayrollTaxes[Month 29],SalaryPayrollTaxes[exp_item],$H1405,SalaryPayrollTaxes[company_name],$B1405,SalaryPayrollTaxes[bu_name],$C1405)*(AN460+AN565+AN670)+SUMIFS(ExpensePayrollTaxes[Month 29],ExpensePayrollTaxes[exp_item],$H775,ExpensePayrollTaxes[company_name],$B1405)*AN775)</f>
        <v>0</v>
      </c>
      <c r="AO1405" s="652">
        <f>IF($B1405="",,SUMIFS(SalaryPayrollTaxes[Month 30],SalaryPayrollTaxes[exp_item],$H1405,SalaryPayrollTaxes[company_name],$B1405,SalaryPayrollTaxes[bu_name],$C1405)*(AO460+AO565+AO670)+SUMIFS(ExpensePayrollTaxes[Month 30],ExpensePayrollTaxes[exp_item],$H775,ExpensePayrollTaxes[company_name],$B1405)*AO775)</f>
        <v>0</v>
      </c>
      <c r="AP1405" s="652">
        <f>IF($B1405="",,SUMIFS(SalaryPayrollTaxes[Month 31],SalaryPayrollTaxes[exp_item],$H1405,SalaryPayrollTaxes[company_name],$B1405,SalaryPayrollTaxes[bu_name],$C1405)*(AP460+AP565+AP670)+SUMIFS(ExpensePayrollTaxes[Month 31],ExpensePayrollTaxes[exp_item],$H775,ExpensePayrollTaxes[company_name],$B1405)*AP775)</f>
        <v>0</v>
      </c>
      <c r="AQ1405" s="652">
        <f>IF($B1405="",,SUMIFS(SalaryPayrollTaxes[Month 32],SalaryPayrollTaxes[exp_item],$H1405,SalaryPayrollTaxes[company_name],$B1405,SalaryPayrollTaxes[bu_name],$C1405)*(AQ460+AQ565+AQ670)+SUMIFS(ExpensePayrollTaxes[Month 32],ExpensePayrollTaxes[exp_item],$H775,ExpensePayrollTaxes[company_name],$B1405)*AQ775)</f>
        <v>0</v>
      </c>
      <c r="AR1405" s="652">
        <f>IF($B1405="",,SUMIFS(SalaryPayrollTaxes[Month 33],SalaryPayrollTaxes[exp_item],$H1405,SalaryPayrollTaxes[company_name],$B1405,SalaryPayrollTaxes[bu_name],$C1405)*(AR460+AR565+AR670)+SUMIFS(ExpensePayrollTaxes[Month 33],ExpensePayrollTaxes[exp_item],$H775,ExpensePayrollTaxes[company_name],$B1405)*AR775)</f>
        <v>0</v>
      </c>
      <c r="AS1405" s="652">
        <f>IF($B1405="",,SUMIFS(SalaryPayrollTaxes[Month 34],SalaryPayrollTaxes[exp_item],$H1405,SalaryPayrollTaxes[company_name],$B1405,SalaryPayrollTaxes[bu_name],$C1405)*(AS460+AS565+AS670)+SUMIFS(ExpensePayrollTaxes[Month 34],ExpensePayrollTaxes[exp_item],$H775,ExpensePayrollTaxes[company_name],$B1405)*AS775)</f>
        <v>0</v>
      </c>
      <c r="AT1405" s="652">
        <f>IF($B1405="",,SUMIFS(SalaryPayrollTaxes[Month 35],SalaryPayrollTaxes[exp_item],$H1405,SalaryPayrollTaxes[company_name],$B1405,SalaryPayrollTaxes[bu_name],$C1405)*(AT460+AT565+AT670)+SUMIFS(ExpensePayrollTaxes[Month 35],ExpensePayrollTaxes[exp_item],$H775,ExpensePayrollTaxes[company_name],$B1405)*AT775)</f>
        <v>0</v>
      </c>
      <c r="AU1405" s="652">
        <f>IF($B1405="",,SUMIFS(SalaryPayrollTaxes[Month 36],SalaryPayrollTaxes[exp_item],$H1405,SalaryPayrollTaxes[company_name],$B1405,SalaryPayrollTaxes[bu_name],$C1405)*(AU460+AU565+AU670)+SUMIFS(ExpensePayrollTaxes[Month 36],ExpensePayrollTaxes[exp_item],$H775,ExpensePayrollTaxes[company_name],$B1405)*AU775)</f>
        <v>0</v>
      </c>
    </row>
    <row r="1406" spans="2:47" x14ac:dyDescent="0.35">
      <c r="B1406" t="str">
        <f t="shared" si="996"/>
        <v/>
      </c>
      <c r="C1406" t="str">
        <f t="shared" si="996"/>
        <v/>
      </c>
      <c r="D1406" t="str">
        <f t="shared" si="996"/>
        <v/>
      </c>
      <c r="E1406" t="str">
        <f t="shared" si="996"/>
        <v/>
      </c>
      <c r="F1406" t="str">
        <f t="shared" si="996"/>
        <v/>
      </c>
      <c r="G1406" t="str">
        <f t="shared" si="996"/>
        <v/>
      </c>
      <c r="H1406" t="str">
        <f t="shared" ref="H1406:H1441" si="997">IF(B1406="","",$B$1340)</f>
        <v/>
      </c>
      <c r="J1406" t="str">
        <f>IF($H1406="","",IF(VLOOKUP(H1406,ExpItems[],2,0),H1406&amp;" - "&amp;INDEX(DivisionMapping[category_code],MATCH($D1406&amp;$C1406,DivisionMapping[dept_bu],0)),H1406))</f>
        <v/>
      </c>
      <c r="K1406" t="str">
        <f t="shared" ref="K1406:K1441" si="998">K1301</f>
        <v/>
      </c>
      <c r="L1406" s="652">
        <f>IF($B1406="",,SUMIFS(SalaryPayrollTaxes[Month 1],SalaryPayrollTaxes[exp_item],$H1406,SalaryPayrollTaxes[company_name],$B1406,SalaryPayrollTaxes[bu_name],$C1406)*(L461+L566+L671)+SUMIFS(ExpensePayrollTaxes[Month 1],ExpensePayrollTaxes[exp_item],$H776,ExpensePayrollTaxes[company_name],$B1406)*L776)</f>
        <v>0</v>
      </c>
      <c r="M1406" s="652">
        <f>IF($B1406="",,SUMIFS(SalaryPayrollTaxes[Month 2],SalaryPayrollTaxes[exp_item],$H1406,SalaryPayrollTaxes[company_name],$B1406,SalaryPayrollTaxes[bu_name],$C1406)*(M461+M566+M671)+SUMIFS(ExpensePayrollTaxes[Month 2],ExpensePayrollTaxes[exp_item],$H776,ExpensePayrollTaxes[company_name],$B1406)*M776)</f>
        <v>0</v>
      </c>
      <c r="N1406" s="652">
        <f>IF($B1406="",,SUMIFS(SalaryPayrollTaxes[Month 3],SalaryPayrollTaxes[exp_item],$H1406,SalaryPayrollTaxes[company_name],$B1406,SalaryPayrollTaxes[bu_name],$C1406)*(N461+N566+N671)+SUMIFS(ExpensePayrollTaxes[Month 3],ExpensePayrollTaxes[exp_item],$H776,ExpensePayrollTaxes[company_name],$B1406)*N776)</f>
        <v>0</v>
      </c>
      <c r="O1406" s="652">
        <f>IF($B1406="",,SUMIFS(SalaryPayrollTaxes[Month 4],SalaryPayrollTaxes[exp_item],$H1406,SalaryPayrollTaxes[company_name],$B1406,SalaryPayrollTaxes[bu_name],$C1406)*(O461+O566+O671)+SUMIFS(ExpensePayrollTaxes[Month 4],ExpensePayrollTaxes[exp_item],$H776,ExpensePayrollTaxes[company_name],$B1406)*O776)</f>
        <v>0</v>
      </c>
      <c r="P1406" s="652">
        <f>IF($B1406="",,SUMIFS(SalaryPayrollTaxes[Month 5],SalaryPayrollTaxes[exp_item],$H1406,SalaryPayrollTaxes[company_name],$B1406,SalaryPayrollTaxes[bu_name],$C1406)*(P461+P566+P671)+SUMIFS(ExpensePayrollTaxes[Month 5],ExpensePayrollTaxes[exp_item],$H776,ExpensePayrollTaxes[company_name],$B1406)*P776)</f>
        <v>0</v>
      </c>
      <c r="Q1406" s="652">
        <f>IF($B1406="",,SUMIFS(SalaryPayrollTaxes[Month 6],SalaryPayrollTaxes[exp_item],$H1406,SalaryPayrollTaxes[company_name],$B1406,SalaryPayrollTaxes[bu_name],$C1406)*(Q461+Q566+Q671)+SUMIFS(ExpensePayrollTaxes[Month 6],ExpensePayrollTaxes[exp_item],$H776,ExpensePayrollTaxes[company_name],$B1406)*Q776)</f>
        <v>0</v>
      </c>
      <c r="R1406" s="652">
        <f>IF($B1406="",,SUMIFS(SalaryPayrollTaxes[Month 7],SalaryPayrollTaxes[exp_item],$H1406,SalaryPayrollTaxes[company_name],$B1406,SalaryPayrollTaxes[bu_name],$C1406)*(R461+R566+R671)+SUMIFS(ExpensePayrollTaxes[Month 7],ExpensePayrollTaxes[exp_item],$H776,ExpensePayrollTaxes[company_name],$B1406)*R776)</f>
        <v>0</v>
      </c>
      <c r="S1406" s="652">
        <f>IF($B1406="",,SUMIFS(SalaryPayrollTaxes[Month 8],SalaryPayrollTaxes[exp_item],$H1406,SalaryPayrollTaxes[company_name],$B1406,SalaryPayrollTaxes[bu_name],$C1406)*(S461+S566+S671)+SUMIFS(ExpensePayrollTaxes[Month 8],ExpensePayrollTaxes[exp_item],$H776,ExpensePayrollTaxes[company_name],$B1406)*S776)</f>
        <v>0</v>
      </c>
      <c r="T1406" s="652">
        <f>IF($B1406="",,SUMIFS(SalaryPayrollTaxes[Month 9],SalaryPayrollTaxes[exp_item],$H1406,SalaryPayrollTaxes[company_name],$B1406,SalaryPayrollTaxes[bu_name],$C1406)*(T461+T566+T671)+SUMIFS(ExpensePayrollTaxes[Month 9],ExpensePayrollTaxes[exp_item],$H776,ExpensePayrollTaxes[company_name],$B1406)*T776)</f>
        <v>0</v>
      </c>
      <c r="U1406" s="652">
        <f>IF($B1406="",,SUMIFS(SalaryPayrollTaxes[Month 10],SalaryPayrollTaxes[exp_item],$H1406,SalaryPayrollTaxes[company_name],$B1406,SalaryPayrollTaxes[bu_name],$C1406)*(U461+U566+U671)+SUMIFS(ExpensePayrollTaxes[Month 10],ExpensePayrollTaxes[exp_item],$H776,ExpensePayrollTaxes[company_name],$B1406)*U776)</f>
        <v>0</v>
      </c>
      <c r="V1406" s="652">
        <f>IF($B1406="",,SUMIFS(SalaryPayrollTaxes[Month 11],SalaryPayrollTaxes[exp_item],$H1406,SalaryPayrollTaxes[company_name],$B1406,SalaryPayrollTaxes[bu_name],$C1406)*(V461+V566+V671)+SUMIFS(ExpensePayrollTaxes[Month 11],ExpensePayrollTaxes[exp_item],$H776,ExpensePayrollTaxes[company_name],$B1406)*V776)</f>
        <v>0</v>
      </c>
      <c r="W1406" s="652">
        <f>IF($B1406="",,SUMIFS(SalaryPayrollTaxes[Month 12],SalaryPayrollTaxes[exp_item],$H1406,SalaryPayrollTaxes[company_name],$B1406,SalaryPayrollTaxes[bu_name],$C1406)*(W461+W566+W671)+SUMIFS(ExpensePayrollTaxes[Month 12],ExpensePayrollTaxes[exp_item],$H776,ExpensePayrollTaxes[company_name],$B1406)*W776)</f>
        <v>0</v>
      </c>
      <c r="X1406" s="652">
        <f>IF($B1406="",,SUMIFS(SalaryPayrollTaxes[Month 13],SalaryPayrollTaxes[exp_item],$H1406,SalaryPayrollTaxes[company_name],$B1406,SalaryPayrollTaxes[bu_name],$C1406)*(X461+X566+X671)+SUMIFS(ExpensePayrollTaxes[Month 13],ExpensePayrollTaxes[exp_item],$H776,ExpensePayrollTaxes[company_name],$B1406)*X776)</f>
        <v>0</v>
      </c>
      <c r="Y1406" s="652">
        <f>IF($B1406="",,SUMIFS(SalaryPayrollTaxes[Month 14],SalaryPayrollTaxes[exp_item],$H1406,SalaryPayrollTaxes[company_name],$B1406,SalaryPayrollTaxes[bu_name],$C1406)*(Y461+Y566+Y671)+SUMIFS(ExpensePayrollTaxes[Month 14],ExpensePayrollTaxes[exp_item],$H776,ExpensePayrollTaxes[company_name],$B1406)*Y776)</f>
        <v>0</v>
      </c>
      <c r="Z1406" s="652">
        <f>IF($B1406="",,SUMIFS(SalaryPayrollTaxes[Month 15],SalaryPayrollTaxes[exp_item],$H1406,SalaryPayrollTaxes[company_name],$B1406,SalaryPayrollTaxes[bu_name],$C1406)*(Z461+Z566+Z671)+SUMIFS(ExpensePayrollTaxes[Month 15],ExpensePayrollTaxes[exp_item],$H776,ExpensePayrollTaxes[company_name],$B1406)*Z776)</f>
        <v>0</v>
      </c>
      <c r="AA1406" s="652">
        <f>IF($B1406="",,SUMIFS(SalaryPayrollTaxes[Month 16],SalaryPayrollTaxes[exp_item],$H1406,SalaryPayrollTaxes[company_name],$B1406,SalaryPayrollTaxes[bu_name],$C1406)*(AA461+AA566+AA671)+SUMIFS(ExpensePayrollTaxes[Month 16],ExpensePayrollTaxes[exp_item],$H776,ExpensePayrollTaxes[company_name],$B1406)*AA776)</f>
        <v>0</v>
      </c>
      <c r="AB1406" s="652">
        <f>IF($B1406="",,SUMIFS(SalaryPayrollTaxes[Month 17],SalaryPayrollTaxes[exp_item],$H1406,SalaryPayrollTaxes[company_name],$B1406,SalaryPayrollTaxes[bu_name],$C1406)*(AB461+AB566+AB671)+SUMIFS(ExpensePayrollTaxes[Month 17],ExpensePayrollTaxes[exp_item],$H776,ExpensePayrollTaxes[company_name],$B1406)*AB776)</f>
        <v>0</v>
      </c>
      <c r="AC1406" s="652">
        <f>IF($B1406="",,SUMIFS(SalaryPayrollTaxes[Month 18],SalaryPayrollTaxes[exp_item],$H1406,SalaryPayrollTaxes[company_name],$B1406,SalaryPayrollTaxes[bu_name],$C1406)*(AC461+AC566+AC671)+SUMIFS(ExpensePayrollTaxes[Month 18],ExpensePayrollTaxes[exp_item],$H776,ExpensePayrollTaxes[company_name],$B1406)*AC776)</f>
        <v>0</v>
      </c>
      <c r="AD1406" s="652">
        <f>IF($B1406="",,SUMIFS(SalaryPayrollTaxes[Month 19],SalaryPayrollTaxes[exp_item],$H1406,SalaryPayrollTaxes[company_name],$B1406,SalaryPayrollTaxes[bu_name],$C1406)*(AD461+AD566+AD671)+SUMIFS(ExpensePayrollTaxes[Month 19],ExpensePayrollTaxes[exp_item],$H776,ExpensePayrollTaxes[company_name],$B1406)*AD776)</f>
        <v>0</v>
      </c>
      <c r="AE1406" s="652">
        <f>IF($B1406="",,SUMIFS(SalaryPayrollTaxes[Month 20],SalaryPayrollTaxes[exp_item],$H1406,SalaryPayrollTaxes[company_name],$B1406,SalaryPayrollTaxes[bu_name],$C1406)*(AE461+AE566+AE671)+SUMIFS(ExpensePayrollTaxes[Month 20],ExpensePayrollTaxes[exp_item],$H776,ExpensePayrollTaxes[company_name],$B1406)*AE776)</f>
        <v>0</v>
      </c>
      <c r="AF1406" s="652">
        <f>IF($B1406="",,SUMIFS(SalaryPayrollTaxes[Month 21],SalaryPayrollTaxes[exp_item],$H1406,SalaryPayrollTaxes[company_name],$B1406,SalaryPayrollTaxes[bu_name],$C1406)*(AF461+AF566+AF671)+SUMIFS(ExpensePayrollTaxes[Month 21],ExpensePayrollTaxes[exp_item],$H776,ExpensePayrollTaxes[company_name],$B1406)*AF776)</f>
        <v>0</v>
      </c>
      <c r="AG1406" s="652">
        <f>IF($B1406="",,SUMIFS(SalaryPayrollTaxes[Month 22],SalaryPayrollTaxes[exp_item],$H1406,SalaryPayrollTaxes[company_name],$B1406,SalaryPayrollTaxes[bu_name],$C1406)*(AG461+AG566+AG671)+SUMIFS(ExpensePayrollTaxes[Month 22],ExpensePayrollTaxes[exp_item],$H776,ExpensePayrollTaxes[company_name],$B1406)*AG776)</f>
        <v>0</v>
      </c>
      <c r="AH1406" s="652">
        <f>IF($B1406="",,SUMIFS(SalaryPayrollTaxes[Month 23],SalaryPayrollTaxes[exp_item],$H1406,SalaryPayrollTaxes[company_name],$B1406,SalaryPayrollTaxes[bu_name],$C1406)*(AH461+AH566+AH671)+SUMIFS(ExpensePayrollTaxes[Month 23],ExpensePayrollTaxes[exp_item],$H776,ExpensePayrollTaxes[company_name],$B1406)*AH776)</f>
        <v>0</v>
      </c>
      <c r="AI1406" s="652">
        <f>IF($B1406="",,SUMIFS(SalaryPayrollTaxes[Month 24],SalaryPayrollTaxes[exp_item],$H1406,SalaryPayrollTaxes[company_name],$B1406,SalaryPayrollTaxes[bu_name],$C1406)*(AI461+AI566+AI671)+SUMIFS(ExpensePayrollTaxes[Month 24],ExpensePayrollTaxes[exp_item],$H776,ExpensePayrollTaxes[company_name],$B1406)*AI776)</f>
        <v>0</v>
      </c>
      <c r="AJ1406" s="652">
        <f>IF($B1406="",,SUMIFS(SalaryPayrollTaxes[Month 25],SalaryPayrollTaxes[exp_item],$H1406,SalaryPayrollTaxes[company_name],$B1406,SalaryPayrollTaxes[bu_name],$C1406)*(AJ461+AJ566+AJ671)+SUMIFS(ExpensePayrollTaxes[Month 25],ExpensePayrollTaxes[exp_item],$H776,ExpensePayrollTaxes[company_name],$B1406)*AJ776)</f>
        <v>0</v>
      </c>
      <c r="AK1406" s="652">
        <f>IF($B1406="",,SUMIFS(SalaryPayrollTaxes[Month 26],SalaryPayrollTaxes[exp_item],$H1406,SalaryPayrollTaxes[company_name],$B1406,SalaryPayrollTaxes[bu_name],$C1406)*(AK461+AK566+AK671)+SUMIFS(ExpensePayrollTaxes[Month 26],ExpensePayrollTaxes[exp_item],$H776,ExpensePayrollTaxes[company_name],$B1406)*AK776)</f>
        <v>0</v>
      </c>
      <c r="AL1406" s="652">
        <f>IF($B1406="",,SUMIFS(SalaryPayrollTaxes[Month 27],SalaryPayrollTaxes[exp_item],$H1406,SalaryPayrollTaxes[company_name],$B1406,SalaryPayrollTaxes[bu_name],$C1406)*(AL461+AL566+AL671)+SUMIFS(ExpensePayrollTaxes[Month 27],ExpensePayrollTaxes[exp_item],$H776,ExpensePayrollTaxes[company_name],$B1406)*AL776)</f>
        <v>0</v>
      </c>
      <c r="AM1406" s="652">
        <f>IF($B1406="",,SUMIFS(SalaryPayrollTaxes[Month 28],SalaryPayrollTaxes[exp_item],$H1406,SalaryPayrollTaxes[company_name],$B1406,SalaryPayrollTaxes[bu_name],$C1406)*(AM461+AM566+AM671)+SUMIFS(ExpensePayrollTaxes[Month 28],ExpensePayrollTaxes[exp_item],$H776,ExpensePayrollTaxes[company_name],$B1406)*AM776)</f>
        <v>0</v>
      </c>
      <c r="AN1406" s="652">
        <f>IF($B1406="",,SUMIFS(SalaryPayrollTaxes[Month 29],SalaryPayrollTaxes[exp_item],$H1406,SalaryPayrollTaxes[company_name],$B1406,SalaryPayrollTaxes[bu_name],$C1406)*(AN461+AN566+AN671)+SUMIFS(ExpensePayrollTaxes[Month 29],ExpensePayrollTaxes[exp_item],$H776,ExpensePayrollTaxes[company_name],$B1406)*AN776)</f>
        <v>0</v>
      </c>
      <c r="AO1406" s="652">
        <f>IF($B1406="",,SUMIFS(SalaryPayrollTaxes[Month 30],SalaryPayrollTaxes[exp_item],$H1406,SalaryPayrollTaxes[company_name],$B1406,SalaryPayrollTaxes[bu_name],$C1406)*(AO461+AO566+AO671)+SUMIFS(ExpensePayrollTaxes[Month 30],ExpensePayrollTaxes[exp_item],$H776,ExpensePayrollTaxes[company_name],$B1406)*AO776)</f>
        <v>0</v>
      </c>
      <c r="AP1406" s="652">
        <f>IF($B1406="",,SUMIFS(SalaryPayrollTaxes[Month 31],SalaryPayrollTaxes[exp_item],$H1406,SalaryPayrollTaxes[company_name],$B1406,SalaryPayrollTaxes[bu_name],$C1406)*(AP461+AP566+AP671)+SUMIFS(ExpensePayrollTaxes[Month 31],ExpensePayrollTaxes[exp_item],$H776,ExpensePayrollTaxes[company_name],$B1406)*AP776)</f>
        <v>0</v>
      </c>
      <c r="AQ1406" s="652">
        <f>IF($B1406="",,SUMIFS(SalaryPayrollTaxes[Month 32],SalaryPayrollTaxes[exp_item],$H1406,SalaryPayrollTaxes[company_name],$B1406,SalaryPayrollTaxes[bu_name],$C1406)*(AQ461+AQ566+AQ671)+SUMIFS(ExpensePayrollTaxes[Month 32],ExpensePayrollTaxes[exp_item],$H776,ExpensePayrollTaxes[company_name],$B1406)*AQ776)</f>
        <v>0</v>
      </c>
      <c r="AR1406" s="652">
        <f>IF($B1406="",,SUMIFS(SalaryPayrollTaxes[Month 33],SalaryPayrollTaxes[exp_item],$H1406,SalaryPayrollTaxes[company_name],$B1406,SalaryPayrollTaxes[bu_name],$C1406)*(AR461+AR566+AR671)+SUMIFS(ExpensePayrollTaxes[Month 33],ExpensePayrollTaxes[exp_item],$H776,ExpensePayrollTaxes[company_name],$B1406)*AR776)</f>
        <v>0</v>
      </c>
      <c r="AS1406" s="652">
        <f>IF($B1406="",,SUMIFS(SalaryPayrollTaxes[Month 34],SalaryPayrollTaxes[exp_item],$H1406,SalaryPayrollTaxes[company_name],$B1406,SalaryPayrollTaxes[bu_name],$C1406)*(AS461+AS566+AS671)+SUMIFS(ExpensePayrollTaxes[Month 34],ExpensePayrollTaxes[exp_item],$H776,ExpensePayrollTaxes[company_name],$B1406)*AS776)</f>
        <v>0</v>
      </c>
      <c r="AT1406" s="652">
        <f>IF($B1406="",,SUMIFS(SalaryPayrollTaxes[Month 35],SalaryPayrollTaxes[exp_item],$H1406,SalaryPayrollTaxes[company_name],$B1406,SalaryPayrollTaxes[bu_name],$C1406)*(AT461+AT566+AT671)+SUMIFS(ExpensePayrollTaxes[Month 35],ExpensePayrollTaxes[exp_item],$H776,ExpensePayrollTaxes[company_name],$B1406)*AT776)</f>
        <v>0</v>
      </c>
      <c r="AU1406" s="652">
        <f>IF($B1406="",,SUMIFS(SalaryPayrollTaxes[Month 36],SalaryPayrollTaxes[exp_item],$H1406,SalaryPayrollTaxes[company_name],$B1406,SalaryPayrollTaxes[bu_name],$C1406)*(AU461+AU566+AU671)+SUMIFS(ExpensePayrollTaxes[Month 36],ExpensePayrollTaxes[exp_item],$H776,ExpensePayrollTaxes[company_name],$B1406)*AU776)</f>
        <v>0</v>
      </c>
    </row>
    <row r="1407" spans="2:47" x14ac:dyDescent="0.35">
      <c r="B1407" t="str">
        <f t="shared" si="996"/>
        <v/>
      </c>
      <c r="C1407" t="str">
        <f t="shared" si="996"/>
        <v/>
      </c>
      <c r="D1407" t="str">
        <f t="shared" si="996"/>
        <v/>
      </c>
      <c r="E1407" t="str">
        <f t="shared" si="996"/>
        <v/>
      </c>
      <c r="F1407" t="str">
        <f t="shared" si="996"/>
        <v/>
      </c>
      <c r="G1407" t="str">
        <f t="shared" si="996"/>
        <v/>
      </c>
      <c r="H1407" t="str">
        <f t="shared" si="997"/>
        <v/>
      </c>
      <c r="J1407" t="str">
        <f>IF($H1407="","",IF(VLOOKUP(H1407,ExpItems[],2,0),H1407&amp;" - "&amp;INDEX(DivisionMapping[category_code],MATCH($D1407&amp;$C1407,DivisionMapping[dept_bu],0)),H1407))</f>
        <v/>
      </c>
      <c r="K1407" t="str">
        <f t="shared" si="998"/>
        <v/>
      </c>
      <c r="L1407" s="652">
        <f>IF($B1407="",,SUMIFS(SalaryPayrollTaxes[Month 1],SalaryPayrollTaxes[exp_item],$H1407,SalaryPayrollTaxes[company_name],$B1407,SalaryPayrollTaxes[bu_name],$C1407)*(L462+L567+L672)+SUMIFS(ExpensePayrollTaxes[Month 1],ExpensePayrollTaxes[exp_item],$H777,ExpensePayrollTaxes[company_name],$B1407)*L777)</f>
        <v>0</v>
      </c>
      <c r="M1407" s="652">
        <f>IF($B1407="",,SUMIFS(SalaryPayrollTaxes[Month 2],SalaryPayrollTaxes[exp_item],$H1407,SalaryPayrollTaxes[company_name],$B1407,SalaryPayrollTaxes[bu_name],$C1407)*(M462+M567+M672)+SUMIFS(ExpensePayrollTaxes[Month 2],ExpensePayrollTaxes[exp_item],$H777,ExpensePayrollTaxes[company_name],$B1407)*M777)</f>
        <v>0</v>
      </c>
      <c r="N1407" s="652">
        <f>IF($B1407="",,SUMIFS(SalaryPayrollTaxes[Month 3],SalaryPayrollTaxes[exp_item],$H1407,SalaryPayrollTaxes[company_name],$B1407,SalaryPayrollTaxes[bu_name],$C1407)*(N462+N567+N672)+SUMIFS(ExpensePayrollTaxes[Month 3],ExpensePayrollTaxes[exp_item],$H777,ExpensePayrollTaxes[company_name],$B1407)*N777)</f>
        <v>0</v>
      </c>
      <c r="O1407" s="652">
        <f>IF($B1407="",,SUMIFS(SalaryPayrollTaxes[Month 4],SalaryPayrollTaxes[exp_item],$H1407,SalaryPayrollTaxes[company_name],$B1407,SalaryPayrollTaxes[bu_name],$C1407)*(O462+O567+O672)+SUMIFS(ExpensePayrollTaxes[Month 4],ExpensePayrollTaxes[exp_item],$H777,ExpensePayrollTaxes[company_name],$B1407)*O777)</f>
        <v>0</v>
      </c>
      <c r="P1407" s="652">
        <f>IF($B1407="",,SUMIFS(SalaryPayrollTaxes[Month 5],SalaryPayrollTaxes[exp_item],$H1407,SalaryPayrollTaxes[company_name],$B1407,SalaryPayrollTaxes[bu_name],$C1407)*(P462+P567+P672)+SUMIFS(ExpensePayrollTaxes[Month 5],ExpensePayrollTaxes[exp_item],$H777,ExpensePayrollTaxes[company_name],$B1407)*P777)</f>
        <v>0</v>
      </c>
      <c r="Q1407" s="652">
        <f>IF($B1407="",,SUMIFS(SalaryPayrollTaxes[Month 6],SalaryPayrollTaxes[exp_item],$H1407,SalaryPayrollTaxes[company_name],$B1407,SalaryPayrollTaxes[bu_name],$C1407)*(Q462+Q567+Q672)+SUMIFS(ExpensePayrollTaxes[Month 6],ExpensePayrollTaxes[exp_item],$H777,ExpensePayrollTaxes[company_name],$B1407)*Q777)</f>
        <v>0</v>
      </c>
      <c r="R1407" s="652">
        <f>IF($B1407="",,SUMIFS(SalaryPayrollTaxes[Month 7],SalaryPayrollTaxes[exp_item],$H1407,SalaryPayrollTaxes[company_name],$B1407,SalaryPayrollTaxes[bu_name],$C1407)*(R462+R567+R672)+SUMIFS(ExpensePayrollTaxes[Month 7],ExpensePayrollTaxes[exp_item],$H777,ExpensePayrollTaxes[company_name],$B1407)*R777)</f>
        <v>0</v>
      </c>
      <c r="S1407" s="652">
        <f>IF($B1407="",,SUMIFS(SalaryPayrollTaxes[Month 8],SalaryPayrollTaxes[exp_item],$H1407,SalaryPayrollTaxes[company_name],$B1407,SalaryPayrollTaxes[bu_name],$C1407)*(S462+S567+S672)+SUMIFS(ExpensePayrollTaxes[Month 8],ExpensePayrollTaxes[exp_item],$H777,ExpensePayrollTaxes[company_name],$B1407)*S777)</f>
        <v>0</v>
      </c>
      <c r="T1407" s="652">
        <f>IF($B1407="",,SUMIFS(SalaryPayrollTaxes[Month 9],SalaryPayrollTaxes[exp_item],$H1407,SalaryPayrollTaxes[company_name],$B1407,SalaryPayrollTaxes[bu_name],$C1407)*(T462+T567+T672)+SUMIFS(ExpensePayrollTaxes[Month 9],ExpensePayrollTaxes[exp_item],$H777,ExpensePayrollTaxes[company_name],$B1407)*T777)</f>
        <v>0</v>
      </c>
      <c r="U1407" s="652">
        <f>IF($B1407="",,SUMIFS(SalaryPayrollTaxes[Month 10],SalaryPayrollTaxes[exp_item],$H1407,SalaryPayrollTaxes[company_name],$B1407,SalaryPayrollTaxes[bu_name],$C1407)*(U462+U567+U672)+SUMIFS(ExpensePayrollTaxes[Month 10],ExpensePayrollTaxes[exp_item],$H777,ExpensePayrollTaxes[company_name],$B1407)*U777)</f>
        <v>0</v>
      </c>
      <c r="V1407" s="652">
        <f>IF($B1407="",,SUMIFS(SalaryPayrollTaxes[Month 11],SalaryPayrollTaxes[exp_item],$H1407,SalaryPayrollTaxes[company_name],$B1407,SalaryPayrollTaxes[bu_name],$C1407)*(V462+V567+V672)+SUMIFS(ExpensePayrollTaxes[Month 11],ExpensePayrollTaxes[exp_item],$H777,ExpensePayrollTaxes[company_name],$B1407)*V777)</f>
        <v>0</v>
      </c>
      <c r="W1407" s="652">
        <f>IF($B1407="",,SUMIFS(SalaryPayrollTaxes[Month 12],SalaryPayrollTaxes[exp_item],$H1407,SalaryPayrollTaxes[company_name],$B1407,SalaryPayrollTaxes[bu_name],$C1407)*(W462+W567+W672)+SUMIFS(ExpensePayrollTaxes[Month 12],ExpensePayrollTaxes[exp_item],$H777,ExpensePayrollTaxes[company_name],$B1407)*W777)</f>
        <v>0</v>
      </c>
      <c r="X1407" s="652">
        <f>IF($B1407="",,SUMIFS(SalaryPayrollTaxes[Month 13],SalaryPayrollTaxes[exp_item],$H1407,SalaryPayrollTaxes[company_name],$B1407,SalaryPayrollTaxes[bu_name],$C1407)*(X462+X567+X672)+SUMIFS(ExpensePayrollTaxes[Month 13],ExpensePayrollTaxes[exp_item],$H777,ExpensePayrollTaxes[company_name],$B1407)*X777)</f>
        <v>0</v>
      </c>
      <c r="Y1407" s="652">
        <f>IF($B1407="",,SUMIFS(SalaryPayrollTaxes[Month 14],SalaryPayrollTaxes[exp_item],$H1407,SalaryPayrollTaxes[company_name],$B1407,SalaryPayrollTaxes[bu_name],$C1407)*(Y462+Y567+Y672)+SUMIFS(ExpensePayrollTaxes[Month 14],ExpensePayrollTaxes[exp_item],$H777,ExpensePayrollTaxes[company_name],$B1407)*Y777)</f>
        <v>0</v>
      </c>
      <c r="Z1407" s="652">
        <f>IF($B1407="",,SUMIFS(SalaryPayrollTaxes[Month 15],SalaryPayrollTaxes[exp_item],$H1407,SalaryPayrollTaxes[company_name],$B1407,SalaryPayrollTaxes[bu_name],$C1407)*(Z462+Z567+Z672)+SUMIFS(ExpensePayrollTaxes[Month 15],ExpensePayrollTaxes[exp_item],$H777,ExpensePayrollTaxes[company_name],$B1407)*Z777)</f>
        <v>0</v>
      </c>
      <c r="AA1407" s="652">
        <f>IF($B1407="",,SUMIFS(SalaryPayrollTaxes[Month 16],SalaryPayrollTaxes[exp_item],$H1407,SalaryPayrollTaxes[company_name],$B1407,SalaryPayrollTaxes[bu_name],$C1407)*(AA462+AA567+AA672)+SUMIFS(ExpensePayrollTaxes[Month 16],ExpensePayrollTaxes[exp_item],$H777,ExpensePayrollTaxes[company_name],$B1407)*AA777)</f>
        <v>0</v>
      </c>
      <c r="AB1407" s="652">
        <f>IF($B1407="",,SUMIFS(SalaryPayrollTaxes[Month 17],SalaryPayrollTaxes[exp_item],$H1407,SalaryPayrollTaxes[company_name],$B1407,SalaryPayrollTaxes[bu_name],$C1407)*(AB462+AB567+AB672)+SUMIFS(ExpensePayrollTaxes[Month 17],ExpensePayrollTaxes[exp_item],$H777,ExpensePayrollTaxes[company_name],$B1407)*AB777)</f>
        <v>0</v>
      </c>
      <c r="AC1407" s="652">
        <f>IF($B1407="",,SUMIFS(SalaryPayrollTaxes[Month 18],SalaryPayrollTaxes[exp_item],$H1407,SalaryPayrollTaxes[company_name],$B1407,SalaryPayrollTaxes[bu_name],$C1407)*(AC462+AC567+AC672)+SUMIFS(ExpensePayrollTaxes[Month 18],ExpensePayrollTaxes[exp_item],$H777,ExpensePayrollTaxes[company_name],$B1407)*AC777)</f>
        <v>0</v>
      </c>
      <c r="AD1407" s="652">
        <f>IF($B1407="",,SUMIFS(SalaryPayrollTaxes[Month 19],SalaryPayrollTaxes[exp_item],$H1407,SalaryPayrollTaxes[company_name],$B1407,SalaryPayrollTaxes[bu_name],$C1407)*(AD462+AD567+AD672)+SUMIFS(ExpensePayrollTaxes[Month 19],ExpensePayrollTaxes[exp_item],$H777,ExpensePayrollTaxes[company_name],$B1407)*AD777)</f>
        <v>0</v>
      </c>
      <c r="AE1407" s="652">
        <f>IF($B1407="",,SUMIFS(SalaryPayrollTaxes[Month 20],SalaryPayrollTaxes[exp_item],$H1407,SalaryPayrollTaxes[company_name],$B1407,SalaryPayrollTaxes[bu_name],$C1407)*(AE462+AE567+AE672)+SUMIFS(ExpensePayrollTaxes[Month 20],ExpensePayrollTaxes[exp_item],$H777,ExpensePayrollTaxes[company_name],$B1407)*AE777)</f>
        <v>0</v>
      </c>
      <c r="AF1407" s="652">
        <f>IF($B1407="",,SUMIFS(SalaryPayrollTaxes[Month 21],SalaryPayrollTaxes[exp_item],$H1407,SalaryPayrollTaxes[company_name],$B1407,SalaryPayrollTaxes[bu_name],$C1407)*(AF462+AF567+AF672)+SUMIFS(ExpensePayrollTaxes[Month 21],ExpensePayrollTaxes[exp_item],$H777,ExpensePayrollTaxes[company_name],$B1407)*AF777)</f>
        <v>0</v>
      </c>
      <c r="AG1407" s="652">
        <f>IF($B1407="",,SUMIFS(SalaryPayrollTaxes[Month 22],SalaryPayrollTaxes[exp_item],$H1407,SalaryPayrollTaxes[company_name],$B1407,SalaryPayrollTaxes[bu_name],$C1407)*(AG462+AG567+AG672)+SUMIFS(ExpensePayrollTaxes[Month 22],ExpensePayrollTaxes[exp_item],$H777,ExpensePayrollTaxes[company_name],$B1407)*AG777)</f>
        <v>0</v>
      </c>
      <c r="AH1407" s="652">
        <f>IF($B1407="",,SUMIFS(SalaryPayrollTaxes[Month 23],SalaryPayrollTaxes[exp_item],$H1407,SalaryPayrollTaxes[company_name],$B1407,SalaryPayrollTaxes[bu_name],$C1407)*(AH462+AH567+AH672)+SUMIFS(ExpensePayrollTaxes[Month 23],ExpensePayrollTaxes[exp_item],$H777,ExpensePayrollTaxes[company_name],$B1407)*AH777)</f>
        <v>0</v>
      </c>
      <c r="AI1407" s="652">
        <f>IF($B1407="",,SUMIFS(SalaryPayrollTaxes[Month 24],SalaryPayrollTaxes[exp_item],$H1407,SalaryPayrollTaxes[company_name],$B1407,SalaryPayrollTaxes[bu_name],$C1407)*(AI462+AI567+AI672)+SUMIFS(ExpensePayrollTaxes[Month 24],ExpensePayrollTaxes[exp_item],$H777,ExpensePayrollTaxes[company_name],$B1407)*AI777)</f>
        <v>0</v>
      </c>
      <c r="AJ1407" s="652">
        <f>IF($B1407="",,SUMIFS(SalaryPayrollTaxes[Month 25],SalaryPayrollTaxes[exp_item],$H1407,SalaryPayrollTaxes[company_name],$B1407,SalaryPayrollTaxes[bu_name],$C1407)*(AJ462+AJ567+AJ672)+SUMIFS(ExpensePayrollTaxes[Month 25],ExpensePayrollTaxes[exp_item],$H777,ExpensePayrollTaxes[company_name],$B1407)*AJ777)</f>
        <v>0</v>
      </c>
      <c r="AK1407" s="652">
        <f>IF($B1407="",,SUMIFS(SalaryPayrollTaxes[Month 26],SalaryPayrollTaxes[exp_item],$H1407,SalaryPayrollTaxes[company_name],$B1407,SalaryPayrollTaxes[bu_name],$C1407)*(AK462+AK567+AK672)+SUMIFS(ExpensePayrollTaxes[Month 26],ExpensePayrollTaxes[exp_item],$H777,ExpensePayrollTaxes[company_name],$B1407)*AK777)</f>
        <v>0</v>
      </c>
      <c r="AL1407" s="652">
        <f>IF($B1407="",,SUMIFS(SalaryPayrollTaxes[Month 27],SalaryPayrollTaxes[exp_item],$H1407,SalaryPayrollTaxes[company_name],$B1407,SalaryPayrollTaxes[bu_name],$C1407)*(AL462+AL567+AL672)+SUMIFS(ExpensePayrollTaxes[Month 27],ExpensePayrollTaxes[exp_item],$H777,ExpensePayrollTaxes[company_name],$B1407)*AL777)</f>
        <v>0</v>
      </c>
      <c r="AM1407" s="652">
        <f>IF($B1407="",,SUMIFS(SalaryPayrollTaxes[Month 28],SalaryPayrollTaxes[exp_item],$H1407,SalaryPayrollTaxes[company_name],$B1407,SalaryPayrollTaxes[bu_name],$C1407)*(AM462+AM567+AM672)+SUMIFS(ExpensePayrollTaxes[Month 28],ExpensePayrollTaxes[exp_item],$H777,ExpensePayrollTaxes[company_name],$B1407)*AM777)</f>
        <v>0</v>
      </c>
      <c r="AN1407" s="652">
        <f>IF($B1407="",,SUMIFS(SalaryPayrollTaxes[Month 29],SalaryPayrollTaxes[exp_item],$H1407,SalaryPayrollTaxes[company_name],$B1407,SalaryPayrollTaxes[bu_name],$C1407)*(AN462+AN567+AN672)+SUMIFS(ExpensePayrollTaxes[Month 29],ExpensePayrollTaxes[exp_item],$H777,ExpensePayrollTaxes[company_name],$B1407)*AN777)</f>
        <v>0</v>
      </c>
      <c r="AO1407" s="652">
        <f>IF($B1407="",,SUMIFS(SalaryPayrollTaxes[Month 30],SalaryPayrollTaxes[exp_item],$H1407,SalaryPayrollTaxes[company_name],$B1407,SalaryPayrollTaxes[bu_name],$C1407)*(AO462+AO567+AO672)+SUMIFS(ExpensePayrollTaxes[Month 30],ExpensePayrollTaxes[exp_item],$H777,ExpensePayrollTaxes[company_name],$B1407)*AO777)</f>
        <v>0</v>
      </c>
      <c r="AP1407" s="652">
        <f>IF($B1407="",,SUMIFS(SalaryPayrollTaxes[Month 31],SalaryPayrollTaxes[exp_item],$H1407,SalaryPayrollTaxes[company_name],$B1407,SalaryPayrollTaxes[bu_name],$C1407)*(AP462+AP567+AP672)+SUMIFS(ExpensePayrollTaxes[Month 31],ExpensePayrollTaxes[exp_item],$H777,ExpensePayrollTaxes[company_name],$B1407)*AP777)</f>
        <v>0</v>
      </c>
      <c r="AQ1407" s="652">
        <f>IF($B1407="",,SUMIFS(SalaryPayrollTaxes[Month 32],SalaryPayrollTaxes[exp_item],$H1407,SalaryPayrollTaxes[company_name],$B1407,SalaryPayrollTaxes[bu_name],$C1407)*(AQ462+AQ567+AQ672)+SUMIFS(ExpensePayrollTaxes[Month 32],ExpensePayrollTaxes[exp_item],$H777,ExpensePayrollTaxes[company_name],$B1407)*AQ777)</f>
        <v>0</v>
      </c>
      <c r="AR1407" s="652">
        <f>IF($B1407="",,SUMIFS(SalaryPayrollTaxes[Month 33],SalaryPayrollTaxes[exp_item],$H1407,SalaryPayrollTaxes[company_name],$B1407,SalaryPayrollTaxes[bu_name],$C1407)*(AR462+AR567+AR672)+SUMIFS(ExpensePayrollTaxes[Month 33],ExpensePayrollTaxes[exp_item],$H777,ExpensePayrollTaxes[company_name],$B1407)*AR777)</f>
        <v>0</v>
      </c>
      <c r="AS1407" s="652">
        <f>IF($B1407="",,SUMIFS(SalaryPayrollTaxes[Month 34],SalaryPayrollTaxes[exp_item],$H1407,SalaryPayrollTaxes[company_name],$B1407,SalaryPayrollTaxes[bu_name],$C1407)*(AS462+AS567+AS672)+SUMIFS(ExpensePayrollTaxes[Month 34],ExpensePayrollTaxes[exp_item],$H777,ExpensePayrollTaxes[company_name],$B1407)*AS777)</f>
        <v>0</v>
      </c>
      <c r="AT1407" s="652">
        <f>IF($B1407="",,SUMIFS(SalaryPayrollTaxes[Month 35],SalaryPayrollTaxes[exp_item],$H1407,SalaryPayrollTaxes[company_name],$B1407,SalaryPayrollTaxes[bu_name],$C1407)*(AT462+AT567+AT672)+SUMIFS(ExpensePayrollTaxes[Month 35],ExpensePayrollTaxes[exp_item],$H777,ExpensePayrollTaxes[company_name],$B1407)*AT777)</f>
        <v>0</v>
      </c>
      <c r="AU1407" s="652">
        <f>IF($B1407="",,SUMIFS(SalaryPayrollTaxes[Month 36],SalaryPayrollTaxes[exp_item],$H1407,SalaryPayrollTaxes[company_name],$B1407,SalaryPayrollTaxes[bu_name],$C1407)*(AU462+AU567+AU672)+SUMIFS(ExpensePayrollTaxes[Month 36],ExpensePayrollTaxes[exp_item],$H777,ExpensePayrollTaxes[company_name],$B1407)*AU777)</f>
        <v>0</v>
      </c>
    </row>
    <row r="1408" spans="2:47" x14ac:dyDescent="0.35">
      <c r="B1408" t="str">
        <f t="shared" si="996"/>
        <v/>
      </c>
      <c r="C1408" t="str">
        <f t="shared" si="996"/>
        <v/>
      </c>
      <c r="D1408" t="str">
        <f t="shared" si="996"/>
        <v/>
      </c>
      <c r="E1408" t="str">
        <f t="shared" si="996"/>
        <v/>
      </c>
      <c r="F1408" t="str">
        <f t="shared" si="996"/>
        <v/>
      </c>
      <c r="G1408" t="str">
        <f t="shared" si="996"/>
        <v/>
      </c>
      <c r="H1408" t="str">
        <f t="shared" si="997"/>
        <v/>
      </c>
      <c r="J1408" t="str">
        <f>IF($H1408="","",IF(VLOOKUP(H1408,ExpItems[],2,0),H1408&amp;" - "&amp;INDEX(DivisionMapping[category_code],MATCH($D1408&amp;$C1408,DivisionMapping[dept_bu],0)),H1408))</f>
        <v/>
      </c>
      <c r="K1408" t="str">
        <f t="shared" si="998"/>
        <v/>
      </c>
      <c r="L1408" s="652">
        <f>IF($B1408="",,SUMIFS(SalaryPayrollTaxes[Month 1],SalaryPayrollTaxes[exp_item],$H1408,SalaryPayrollTaxes[company_name],$B1408,SalaryPayrollTaxes[bu_name],$C1408)*(L463+L568+L673)+SUMIFS(ExpensePayrollTaxes[Month 1],ExpensePayrollTaxes[exp_item],$H778,ExpensePayrollTaxes[company_name],$B1408)*L778)</f>
        <v>0</v>
      </c>
      <c r="M1408" s="652">
        <f>IF($B1408="",,SUMIFS(SalaryPayrollTaxes[Month 2],SalaryPayrollTaxes[exp_item],$H1408,SalaryPayrollTaxes[company_name],$B1408,SalaryPayrollTaxes[bu_name],$C1408)*(M463+M568+M673)+SUMIFS(ExpensePayrollTaxes[Month 2],ExpensePayrollTaxes[exp_item],$H778,ExpensePayrollTaxes[company_name],$B1408)*M778)</f>
        <v>0</v>
      </c>
      <c r="N1408" s="652">
        <f>IF($B1408="",,SUMIFS(SalaryPayrollTaxes[Month 3],SalaryPayrollTaxes[exp_item],$H1408,SalaryPayrollTaxes[company_name],$B1408,SalaryPayrollTaxes[bu_name],$C1408)*(N463+N568+N673)+SUMIFS(ExpensePayrollTaxes[Month 3],ExpensePayrollTaxes[exp_item],$H778,ExpensePayrollTaxes[company_name],$B1408)*N778)</f>
        <v>0</v>
      </c>
      <c r="O1408" s="652">
        <f>IF($B1408="",,SUMIFS(SalaryPayrollTaxes[Month 4],SalaryPayrollTaxes[exp_item],$H1408,SalaryPayrollTaxes[company_name],$B1408,SalaryPayrollTaxes[bu_name],$C1408)*(O463+O568+O673)+SUMIFS(ExpensePayrollTaxes[Month 4],ExpensePayrollTaxes[exp_item],$H778,ExpensePayrollTaxes[company_name],$B1408)*O778)</f>
        <v>0</v>
      </c>
      <c r="P1408" s="652">
        <f>IF($B1408="",,SUMIFS(SalaryPayrollTaxes[Month 5],SalaryPayrollTaxes[exp_item],$H1408,SalaryPayrollTaxes[company_name],$B1408,SalaryPayrollTaxes[bu_name],$C1408)*(P463+P568+P673)+SUMIFS(ExpensePayrollTaxes[Month 5],ExpensePayrollTaxes[exp_item],$H778,ExpensePayrollTaxes[company_name],$B1408)*P778)</f>
        <v>0</v>
      </c>
      <c r="Q1408" s="652">
        <f>IF($B1408="",,SUMIFS(SalaryPayrollTaxes[Month 6],SalaryPayrollTaxes[exp_item],$H1408,SalaryPayrollTaxes[company_name],$B1408,SalaryPayrollTaxes[bu_name],$C1408)*(Q463+Q568+Q673)+SUMIFS(ExpensePayrollTaxes[Month 6],ExpensePayrollTaxes[exp_item],$H778,ExpensePayrollTaxes[company_name],$B1408)*Q778)</f>
        <v>0</v>
      </c>
      <c r="R1408" s="652">
        <f>IF($B1408="",,SUMIFS(SalaryPayrollTaxes[Month 7],SalaryPayrollTaxes[exp_item],$H1408,SalaryPayrollTaxes[company_name],$B1408,SalaryPayrollTaxes[bu_name],$C1408)*(R463+R568+R673)+SUMIFS(ExpensePayrollTaxes[Month 7],ExpensePayrollTaxes[exp_item],$H778,ExpensePayrollTaxes[company_name],$B1408)*R778)</f>
        <v>0</v>
      </c>
      <c r="S1408" s="652">
        <f>IF($B1408="",,SUMIFS(SalaryPayrollTaxes[Month 8],SalaryPayrollTaxes[exp_item],$H1408,SalaryPayrollTaxes[company_name],$B1408,SalaryPayrollTaxes[bu_name],$C1408)*(S463+S568+S673)+SUMIFS(ExpensePayrollTaxes[Month 8],ExpensePayrollTaxes[exp_item],$H778,ExpensePayrollTaxes[company_name],$B1408)*S778)</f>
        <v>0</v>
      </c>
      <c r="T1408" s="652">
        <f>IF($B1408="",,SUMIFS(SalaryPayrollTaxes[Month 9],SalaryPayrollTaxes[exp_item],$H1408,SalaryPayrollTaxes[company_name],$B1408,SalaryPayrollTaxes[bu_name],$C1408)*(T463+T568+T673)+SUMIFS(ExpensePayrollTaxes[Month 9],ExpensePayrollTaxes[exp_item],$H778,ExpensePayrollTaxes[company_name],$B1408)*T778)</f>
        <v>0</v>
      </c>
      <c r="U1408" s="652">
        <f>IF($B1408="",,SUMIFS(SalaryPayrollTaxes[Month 10],SalaryPayrollTaxes[exp_item],$H1408,SalaryPayrollTaxes[company_name],$B1408,SalaryPayrollTaxes[bu_name],$C1408)*(U463+U568+U673)+SUMIFS(ExpensePayrollTaxes[Month 10],ExpensePayrollTaxes[exp_item],$H778,ExpensePayrollTaxes[company_name],$B1408)*U778)</f>
        <v>0</v>
      </c>
      <c r="V1408" s="652">
        <f>IF($B1408="",,SUMIFS(SalaryPayrollTaxes[Month 11],SalaryPayrollTaxes[exp_item],$H1408,SalaryPayrollTaxes[company_name],$B1408,SalaryPayrollTaxes[bu_name],$C1408)*(V463+V568+V673)+SUMIFS(ExpensePayrollTaxes[Month 11],ExpensePayrollTaxes[exp_item],$H778,ExpensePayrollTaxes[company_name],$B1408)*V778)</f>
        <v>0</v>
      </c>
      <c r="W1408" s="652">
        <f>IF($B1408="",,SUMIFS(SalaryPayrollTaxes[Month 12],SalaryPayrollTaxes[exp_item],$H1408,SalaryPayrollTaxes[company_name],$B1408,SalaryPayrollTaxes[bu_name],$C1408)*(W463+W568+W673)+SUMIFS(ExpensePayrollTaxes[Month 12],ExpensePayrollTaxes[exp_item],$H778,ExpensePayrollTaxes[company_name],$B1408)*W778)</f>
        <v>0</v>
      </c>
      <c r="X1408" s="652">
        <f>IF($B1408="",,SUMIFS(SalaryPayrollTaxes[Month 13],SalaryPayrollTaxes[exp_item],$H1408,SalaryPayrollTaxes[company_name],$B1408,SalaryPayrollTaxes[bu_name],$C1408)*(X463+X568+X673)+SUMIFS(ExpensePayrollTaxes[Month 13],ExpensePayrollTaxes[exp_item],$H778,ExpensePayrollTaxes[company_name],$B1408)*X778)</f>
        <v>0</v>
      </c>
      <c r="Y1408" s="652">
        <f>IF($B1408="",,SUMIFS(SalaryPayrollTaxes[Month 14],SalaryPayrollTaxes[exp_item],$H1408,SalaryPayrollTaxes[company_name],$B1408,SalaryPayrollTaxes[bu_name],$C1408)*(Y463+Y568+Y673)+SUMIFS(ExpensePayrollTaxes[Month 14],ExpensePayrollTaxes[exp_item],$H778,ExpensePayrollTaxes[company_name],$B1408)*Y778)</f>
        <v>0</v>
      </c>
      <c r="Z1408" s="652">
        <f>IF($B1408="",,SUMIFS(SalaryPayrollTaxes[Month 15],SalaryPayrollTaxes[exp_item],$H1408,SalaryPayrollTaxes[company_name],$B1408,SalaryPayrollTaxes[bu_name],$C1408)*(Z463+Z568+Z673)+SUMIFS(ExpensePayrollTaxes[Month 15],ExpensePayrollTaxes[exp_item],$H778,ExpensePayrollTaxes[company_name],$B1408)*Z778)</f>
        <v>0</v>
      </c>
      <c r="AA1408" s="652">
        <f>IF($B1408="",,SUMIFS(SalaryPayrollTaxes[Month 16],SalaryPayrollTaxes[exp_item],$H1408,SalaryPayrollTaxes[company_name],$B1408,SalaryPayrollTaxes[bu_name],$C1408)*(AA463+AA568+AA673)+SUMIFS(ExpensePayrollTaxes[Month 16],ExpensePayrollTaxes[exp_item],$H778,ExpensePayrollTaxes[company_name],$B1408)*AA778)</f>
        <v>0</v>
      </c>
      <c r="AB1408" s="652">
        <f>IF($B1408="",,SUMIFS(SalaryPayrollTaxes[Month 17],SalaryPayrollTaxes[exp_item],$H1408,SalaryPayrollTaxes[company_name],$B1408,SalaryPayrollTaxes[bu_name],$C1408)*(AB463+AB568+AB673)+SUMIFS(ExpensePayrollTaxes[Month 17],ExpensePayrollTaxes[exp_item],$H778,ExpensePayrollTaxes[company_name],$B1408)*AB778)</f>
        <v>0</v>
      </c>
      <c r="AC1408" s="652">
        <f>IF($B1408="",,SUMIFS(SalaryPayrollTaxes[Month 18],SalaryPayrollTaxes[exp_item],$H1408,SalaryPayrollTaxes[company_name],$B1408,SalaryPayrollTaxes[bu_name],$C1408)*(AC463+AC568+AC673)+SUMIFS(ExpensePayrollTaxes[Month 18],ExpensePayrollTaxes[exp_item],$H778,ExpensePayrollTaxes[company_name],$B1408)*AC778)</f>
        <v>0</v>
      </c>
      <c r="AD1408" s="652">
        <f>IF($B1408="",,SUMIFS(SalaryPayrollTaxes[Month 19],SalaryPayrollTaxes[exp_item],$H1408,SalaryPayrollTaxes[company_name],$B1408,SalaryPayrollTaxes[bu_name],$C1408)*(AD463+AD568+AD673)+SUMIFS(ExpensePayrollTaxes[Month 19],ExpensePayrollTaxes[exp_item],$H778,ExpensePayrollTaxes[company_name],$B1408)*AD778)</f>
        <v>0</v>
      </c>
      <c r="AE1408" s="652">
        <f>IF($B1408="",,SUMIFS(SalaryPayrollTaxes[Month 20],SalaryPayrollTaxes[exp_item],$H1408,SalaryPayrollTaxes[company_name],$B1408,SalaryPayrollTaxes[bu_name],$C1408)*(AE463+AE568+AE673)+SUMIFS(ExpensePayrollTaxes[Month 20],ExpensePayrollTaxes[exp_item],$H778,ExpensePayrollTaxes[company_name],$B1408)*AE778)</f>
        <v>0</v>
      </c>
      <c r="AF1408" s="652">
        <f>IF($B1408="",,SUMIFS(SalaryPayrollTaxes[Month 21],SalaryPayrollTaxes[exp_item],$H1408,SalaryPayrollTaxes[company_name],$B1408,SalaryPayrollTaxes[bu_name],$C1408)*(AF463+AF568+AF673)+SUMIFS(ExpensePayrollTaxes[Month 21],ExpensePayrollTaxes[exp_item],$H778,ExpensePayrollTaxes[company_name],$B1408)*AF778)</f>
        <v>0</v>
      </c>
      <c r="AG1408" s="652">
        <f>IF($B1408="",,SUMIFS(SalaryPayrollTaxes[Month 22],SalaryPayrollTaxes[exp_item],$H1408,SalaryPayrollTaxes[company_name],$B1408,SalaryPayrollTaxes[bu_name],$C1408)*(AG463+AG568+AG673)+SUMIFS(ExpensePayrollTaxes[Month 22],ExpensePayrollTaxes[exp_item],$H778,ExpensePayrollTaxes[company_name],$B1408)*AG778)</f>
        <v>0</v>
      </c>
      <c r="AH1408" s="652">
        <f>IF($B1408="",,SUMIFS(SalaryPayrollTaxes[Month 23],SalaryPayrollTaxes[exp_item],$H1408,SalaryPayrollTaxes[company_name],$B1408,SalaryPayrollTaxes[bu_name],$C1408)*(AH463+AH568+AH673)+SUMIFS(ExpensePayrollTaxes[Month 23],ExpensePayrollTaxes[exp_item],$H778,ExpensePayrollTaxes[company_name],$B1408)*AH778)</f>
        <v>0</v>
      </c>
      <c r="AI1408" s="652">
        <f>IF($B1408="",,SUMIFS(SalaryPayrollTaxes[Month 24],SalaryPayrollTaxes[exp_item],$H1408,SalaryPayrollTaxes[company_name],$B1408,SalaryPayrollTaxes[bu_name],$C1408)*(AI463+AI568+AI673)+SUMIFS(ExpensePayrollTaxes[Month 24],ExpensePayrollTaxes[exp_item],$H778,ExpensePayrollTaxes[company_name],$B1408)*AI778)</f>
        <v>0</v>
      </c>
      <c r="AJ1408" s="652">
        <f>IF($B1408="",,SUMIFS(SalaryPayrollTaxes[Month 25],SalaryPayrollTaxes[exp_item],$H1408,SalaryPayrollTaxes[company_name],$B1408,SalaryPayrollTaxes[bu_name],$C1408)*(AJ463+AJ568+AJ673)+SUMIFS(ExpensePayrollTaxes[Month 25],ExpensePayrollTaxes[exp_item],$H778,ExpensePayrollTaxes[company_name],$B1408)*AJ778)</f>
        <v>0</v>
      </c>
      <c r="AK1408" s="652">
        <f>IF($B1408="",,SUMIFS(SalaryPayrollTaxes[Month 26],SalaryPayrollTaxes[exp_item],$H1408,SalaryPayrollTaxes[company_name],$B1408,SalaryPayrollTaxes[bu_name],$C1408)*(AK463+AK568+AK673)+SUMIFS(ExpensePayrollTaxes[Month 26],ExpensePayrollTaxes[exp_item],$H778,ExpensePayrollTaxes[company_name],$B1408)*AK778)</f>
        <v>0</v>
      </c>
      <c r="AL1408" s="652">
        <f>IF($B1408="",,SUMIFS(SalaryPayrollTaxes[Month 27],SalaryPayrollTaxes[exp_item],$H1408,SalaryPayrollTaxes[company_name],$B1408,SalaryPayrollTaxes[bu_name],$C1408)*(AL463+AL568+AL673)+SUMIFS(ExpensePayrollTaxes[Month 27],ExpensePayrollTaxes[exp_item],$H778,ExpensePayrollTaxes[company_name],$B1408)*AL778)</f>
        <v>0</v>
      </c>
      <c r="AM1408" s="652">
        <f>IF($B1408="",,SUMIFS(SalaryPayrollTaxes[Month 28],SalaryPayrollTaxes[exp_item],$H1408,SalaryPayrollTaxes[company_name],$B1408,SalaryPayrollTaxes[bu_name],$C1408)*(AM463+AM568+AM673)+SUMIFS(ExpensePayrollTaxes[Month 28],ExpensePayrollTaxes[exp_item],$H778,ExpensePayrollTaxes[company_name],$B1408)*AM778)</f>
        <v>0</v>
      </c>
      <c r="AN1408" s="652">
        <f>IF($B1408="",,SUMIFS(SalaryPayrollTaxes[Month 29],SalaryPayrollTaxes[exp_item],$H1408,SalaryPayrollTaxes[company_name],$B1408,SalaryPayrollTaxes[bu_name],$C1408)*(AN463+AN568+AN673)+SUMIFS(ExpensePayrollTaxes[Month 29],ExpensePayrollTaxes[exp_item],$H778,ExpensePayrollTaxes[company_name],$B1408)*AN778)</f>
        <v>0</v>
      </c>
      <c r="AO1408" s="652">
        <f>IF($B1408="",,SUMIFS(SalaryPayrollTaxes[Month 30],SalaryPayrollTaxes[exp_item],$H1408,SalaryPayrollTaxes[company_name],$B1408,SalaryPayrollTaxes[bu_name],$C1408)*(AO463+AO568+AO673)+SUMIFS(ExpensePayrollTaxes[Month 30],ExpensePayrollTaxes[exp_item],$H778,ExpensePayrollTaxes[company_name],$B1408)*AO778)</f>
        <v>0</v>
      </c>
      <c r="AP1408" s="652">
        <f>IF($B1408="",,SUMIFS(SalaryPayrollTaxes[Month 31],SalaryPayrollTaxes[exp_item],$H1408,SalaryPayrollTaxes[company_name],$B1408,SalaryPayrollTaxes[bu_name],$C1408)*(AP463+AP568+AP673)+SUMIFS(ExpensePayrollTaxes[Month 31],ExpensePayrollTaxes[exp_item],$H778,ExpensePayrollTaxes[company_name],$B1408)*AP778)</f>
        <v>0</v>
      </c>
      <c r="AQ1408" s="652">
        <f>IF($B1408="",,SUMIFS(SalaryPayrollTaxes[Month 32],SalaryPayrollTaxes[exp_item],$H1408,SalaryPayrollTaxes[company_name],$B1408,SalaryPayrollTaxes[bu_name],$C1408)*(AQ463+AQ568+AQ673)+SUMIFS(ExpensePayrollTaxes[Month 32],ExpensePayrollTaxes[exp_item],$H778,ExpensePayrollTaxes[company_name],$B1408)*AQ778)</f>
        <v>0</v>
      </c>
      <c r="AR1408" s="652">
        <f>IF($B1408="",,SUMIFS(SalaryPayrollTaxes[Month 33],SalaryPayrollTaxes[exp_item],$H1408,SalaryPayrollTaxes[company_name],$B1408,SalaryPayrollTaxes[bu_name],$C1408)*(AR463+AR568+AR673)+SUMIFS(ExpensePayrollTaxes[Month 33],ExpensePayrollTaxes[exp_item],$H778,ExpensePayrollTaxes[company_name],$B1408)*AR778)</f>
        <v>0</v>
      </c>
      <c r="AS1408" s="652">
        <f>IF($B1408="",,SUMIFS(SalaryPayrollTaxes[Month 34],SalaryPayrollTaxes[exp_item],$H1408,SalaryPayrollTaxes[company_name],$B1408,SalaryPayrollTaxes[bu_name],$C1408)*(AS463+AS568+AS673)+SUMIFS(ExpensePayrollTaxes[Month 34],ExpensePayrollTaxes[exp_item],$H778,ExpensePayrollTaxes[company_name],$B1408)*AS778)</f>
        <v>0</v>
      </c>
      <c r="AT1408" s="652">
        <f>IF($B1408="",,SUMIFS(SalaryPayrollTaxes[Month 35],SalaryPayrollTaxes[exp_item],$H1408,SalaryPayrollTaxes[company_name],$B1408,SalaryPayrollTaxes[bu_name],$C1408)*(AT463+AT568+AT673)+SUMIFS(ExpensePayrollTaxes[Month 35],ExpensePayrollTaxes[exp_item],$H778,ExpensePayrollTaxes[company_name],$B1408)*AT778)</f>
        <v>0</v>
      </c>
      <c r="AU1408" s="652">
        <f>IF($B1408="",,SUMIFS(SalaryPayrollTaxes[Month 36],SalaryPayrollTaxes[exp_item],$H1408,SalaryPayrollTaxes[company_name],$B1408,SalaryPayrollTaxes[bu_name],$C1408)*(AU463+AU568+AU673)+SUMIFS(ExpensePayrollTaxes[Month 36],ExpensePayrollTaxes[exp_item],$H778,ExpensePayrollTaxes[company_name],$B1408)*AU778)</f>
        <v>0</v>
      </c>
    </row>
    <row r="1409" spans="2:47" x14ac:dyDescent="0.35">
      <c r="B1409" t="str">
        <f t="shared" si="996"/>
        <v/>
      </c>
      <c r="C1409" t="str">
        <f t="shared" si="996"/>
        <v/>
      </c>
      <c r="D1409" t="str">
        <f t="shared" si="996"/>
        <v/>
      </c>
      <c r="E1409" t="str">
        <f t="shared" si="996"/>
        <v/>
      </c>
      <c r="F1409" t="str">
        <f t="shared" si="996"/>
        <v/>
      </c>
      <c r="G1409" t="str">
        <f t="shared" si="996"/>
        <v/>
      </c>
      <c r="H1409" t="str">
        <f t="shared" si="997"/>
        <v/>
      </c>
      <c r="J1409" t="str">
        <f>IF($H1409="","",IF(VLOOKUP(H1409,ExpItems[],2,0),H1409&amp;" - "&amp;INDEX(DivisionMapping[category_code],MATCH($D1409&amp;$C1409,DivisionMapping[dept_bu],0)),H1409))</f>
        <v/>
      </c>
      <c r="K1409" t="str">
        <f t="shared" si="998"/>
        <v/>
      </c>
      <c r="L1409" s="652">
        <f>IF($B1409="",,SUMIFS(SalaryPayrollTaxes[Month 1],SalaryPayrollTaxes[exp_item],$H1409,SalaryPayrollTaxes[company_name],$B1409,SalaryPayrollTaxes[bu_name],$C1409)*(L464+L569+L674)+SUMIFS(ExpensePayrollTaxes[Month 1],ExpensePayrollTaxes[exp_item],$H779,ExpensePayrollTaxes[company_name],$B1409)*L779)</f>
        <v>0</v>
      </c>
      <c r="M1409" s="652">
        <f>IF($B1409="",,SUMIFS(SalaryPayrollTaxes[Month 2],SalaryPayrollTaxes[exp_item],$H1409,SalaryPayrollTaxes[company_name],$B1409,SalaryPayrollTaxes[bu_name],$C1409)*(M464+M569+M674)+SUMIFS(ExpensePayrollTaxes[Month 2],ExpensePayrollTaxes[exp_item],$H779,ExpensePayrollTaxes[company_name],$B1409)*M779)</f>
        <v>0</v>
      </c>
      <c r="N1409" s="652">
        <f>IF($B1409="",,SUMIFS(SalaryPayrollTaxes[Month 3],SalaryPayrollTaxes[exp_item],$H1409,SalaryPayrollTaxes[company_name],$B1409,SalaryPayrollTaxes[bu_name],$C1409)*(N464+N569+N674)+SUMIFS(ExpensePayrollTaxes[Month 3],ExpensePayrollTaxes[exp_item],$H779,ExpensePayrollTaxes[company_name],$B1409)*N779)</f>
        <v>0</v>
      </c>
      <c r="O1409" s="652">
        <f>IF($B1409="",,SUMIFS(SalaryPayrollTaxes[Month 4],SalaryPayrollTaxes[exp_item],$H1409,SalaryPayrollTaxes[company_name],$B1409,SalaryPayrollTaxes[bu_name],$C1409)*(O464+O569+O674)+SUMIFS(ExpensePayrollTaxes[Month 4],ExpensePayrollTaxes[exp_item],$H779,ExpensePayrollTaxes[company_name],$B1409)*O779)</f>
        <v>0</v>
      </c>
      <c r="P1409" s="652">
        <f>IF($B1409="",,SUMIFS(SalaryPayrollTaxes[Month 5],SalaryPayrollTaxes[exp_item],$H1409,SalaryPayrollTaxes[company_name],$B1409,SalaryPayrollTaxes[bu_name],$C1409)*(P464+P569+P674)+SUMIFS(ExpensePayrollTaxes[Month 5],ExpensePayrollTaxes[exp_item],$H779,ExpensePayrollTaxes[company_name],$B1409)*P779)</f>
        <v>0</v>
      </c>
      <c r="Q1409" s="652">
        <f>IF($B1409="",,SUMIFS(SalaryPayrollTaxes[Month 6],SalaryPayrollTaxes[exp_item],$H1409,SalaryPayrollTaxes[company_name],$B1409,SalaryPayrollTaxes[bu_name],$C1409)*(Q464+Q569+Q674)+SUMIFS(ExpensePayrollTaxes[Month 6],ExpensePayrollTaxes[exp_item],$H779,ExpensePayrollTaxes[company_name],$B1409)*Q779)</f>
        <v>0</v>
      </c>
      <c r="R1409" s="652">
        <f>IF($B1409="",,SUMIFS(SalaryPayrollTaxes[Month 7],SalaryPayrollTaxes[exp_item],$H1409,SalaryPayrollTaxes[company_name],$B1409,SalaryPayrollTaxes[bu_name],$C1409)*(R464+R569+R674)+SUMIFS(ExpensePayrollTaxes[Month 7],ExpensePayrollTaxes[exp_item],$H779,ExpensePayrollTaxes[company_name],$B1409)*R779)</f>
        <v>0</v>
      </c>
      <c r="S1409" s="652">
        <f>IF($B1409="",,SUMIFS(SalaryPayrollTaxes[Month 8],SalaryPayrollTaxes[exp_item],$H1409,SalaryPayrollTaxes[company_name],$B1409,SalaryPayrollTaxes[bu_name],$C1409)*(S464+S569+S674)+SUMIFS(ExpensePayrollTaxes[Month 8],ExpensePayrollTaxes[exp_item],$H779,ExpensePayrollTaxes[company_name],$B1409)*S779)</f>
        <v>0</v>
      </c>
      <c r="T1409" s="652">
        <f>IF($B1409="",,SUMIFS(SalaryPayrollTaxes[Month 9],SalaryPayrollTaxes[exp_item],$H1409,SalaryPayrollTaxes[company_name],$B1409,SalaryPayrollTaxes[bu_name],$C1409)*(T464+T569+T674)+SUMIFS(ExpensePayrollTaxes[Month 9],ExpensePayrollTaxes[exp_item],$H779,ExpensePayrollTaxes[company_name],$B1409)*T779)</f>
        <v>0</v>
      </c>
      <c r="U1409" s="652">
        <f>IF($B1409="",,SUMIFS(SalaryPayrollTaxes[Month 10],SalaryPayrollTaxes[exp_item],$H1409,SalaryPayrollTaxes[company_name],$B1409,SalaryPayrollTaxes[bu_name],$C1409)*(U464+U569+U674)+SUMIFS(ExpensePayrollTaxes[Month 10],ExpensePayrollTaxes[exp_item],$H779,ExpensePayrollTaxes[company_name],$B1409)*U779)</f>
        <v>0</v>
      </c>
      <c r="V1409" s="652">
        <f>IF($B1409="",,SUMIFS(SalaryPayrollTaxes[Month 11],SalaryPayrollTaxes[exp_item],$H1409,SalaryPayrollTaxes[company_name],$B1409,SalaryPayrollTaxes[bu_name],$C1409)*(V464+V569+V674)+SUMIFS(ExpensePayrollTaxes[Month 11],ExpensePayrollTaxes[exp_item],$H779,ExpensePayrollTaxes[company_name],$B1409)*V779)</f>
        <v>0</v>
      </c>
      <c r="W1409" s="652">
        <f>IF($B1409="",,SUMIFS(SalaryPayrollTaxes[Month 12],SalaryPayrollTaxes[exp_item],$H1409,SalaryPayrollTaxes[company_name],$B1409,SalaryPayrollTaxes[bu_name],$C1409)*(W464+W569+W674)+SUMIFS(ExpensePayrollTaxes[Month 12],ExpensePayrollTaxes[exp_item],$H779,ExpensePayrollTaxes[company_name],$B1409)*W779)</f>
        <v>0</v>
      </c>
      <c r="X1409" s="652">
        <f>IF($B1409="",,SUMIFS(SalaryPayrollTaxes[Month 13],SalaryPayrollTaxes[exp_item],$H1409,SalaryPayrollTaxes[company_name],$B1409,SalaryPayrollTaxes[bu_name],$C1409)*(X464+X569+X674)+SUMIFS(ExpensePayrollTaxes[Month 13],ExpensePayrollTaxes[exp_item],$H779,ExpensePayrollTaxes[company_name],$B1409)*X779)</f>
        <v>0</v>
      </c>
      <c r="Y1409" s="652">
        <f>IF($B1409="",,SUMIFS(SalaryPayrollTaxes[Month 14],SalaryPayrollTaxes[exp_item],$H1409,SalaryPayrollTaxes[company_name],$B1409,SalaryPayrollTaxes[bu_name],$C1409)*(Y464+Y569+Y674)+SUMIFS(ExpensePayrollTaxes[Month 14],ExpensePayrollTaxes[exp_item],$H779,ExpensePayrollTaxes[company_name],$B1409)*Y779)</f>
        <v>0</v>
      </c>
      <c r="Z1409" s="652">
        <f>IF($B1409="",,SUMIFS(SalaryPayrollTaxes[Month 15],SalaryPayrollTaxes[exp_item],$H1409,SalaryPayrollTaxes[company_name],$B1409,SalaryPayrollTaxes[bu_name],$C1409)*(Z464+Z569+Z674)+SUMIFS(ExpensePayrollTaxes[Month 15],ExpensePayrollTaxes[exp_item],$H779,ExpensePayrollTaxes[company_name],$B1409)*Z779)</f>
        <v>0</v>
      </c>
      <c r="AA1409" s="652">
        <f>IF($B1409="",,SUMIFS(SalaryPayrollTaxes[Month 16],SalaryPayrollTaxes[exp_item],$H1409,SalaryPayrollTaxes[company_name],$B1409,SalaryPayrollTaxes[bu_name],$C1409)*(AA464+AA569+AA674)+SUMIFS(ExpensePayrollTaxes[Month 16],ExpensePayrollTaxes[exp_item],$H779,ExpensePayrollTaxes[company_name],$B1409)*AA779)</f>
        <v>0</v>
      </c>
      <c r="AB1409" s="652">
        <f>IF($B1409="",,SUMIFS(SalaryPayrollTaxes[Month 17],SalaryPayrollTaxes[exp_item],$H1409,SalaryPayrollTaxes[company_name],$B1409,SalaryPayrollTaxes[bu_name],$C1409)*(AB464+AB569+AB674)+SUMIFS(ExpensePayrollTaxes[Month 17],ExpensePayrollTaxes[exp_item],$H779,ExpensePayrollTaxes[company_name],$B1409)*AB779)</f>
        <v>0</v>
      </c>
      <c r="AC1409" s="652">
        <f>IF($B1409="",,SUMIFS(SalaryPayrollTaxes[Month 18],SalaryPayrollTaxes[exp_item],$H1409,SalaryPayrollTaxes[company_name],$B1409,SalaryPayrollTaxes[bu_name],$C1409)*(AC464+AC569+AC674)+SUMIFS(ExpensePayrollTaxes[Month 18],ExpensePayrollTaxes[exp_item],$H779,ExpensePayrollTaxes[company_name],$B1409)*AC779)</f>
        <v>0</v>
      </c>
      <c r="AD1409" s="652">
        <f>IF($B1409="",,SUMIFS(SalaryPayrollTaxes[Month 19],SalaryPayrollTaxes[exp_item],$H1409,SalaryPayrollTaxes[company_name],$B1409,SalaryPayrollTaxes[bu_name],$C1409)*(AD464+AD569+AD674)+SUMIFS(ExpensePayrollTaxes[Month 19],ExpensePayrollTaxes[exp_item],$H779,ExpensePayrollTaxes[company_name],$B1409)*AD779)</f>
        <v>0</v>
      </c>
      <c r="AE1409" s="652">
        <f>IF($B1409="",,SUMIFS(SalaryPayrollTaxes[Month 20],SalaryPayrollTaxes[exp_item],$H1409,SalaryPayrollTaxes[company_name],$B1409,SalaryPayrollTaxes[bu_name],$C1409)*(AE464+AE569+AE674)+SUMIFS(ExpensePayrollTaxes[Month 20],ExpensePayrollTaxes[exp_item],$H779,ExpensePayrollTaxes[company_name],$B1409)*AE779)</f>
        <v>0</v>
      </c>
      <c r="AF1409" s="652">
        <f>IF($B1409="",,SUMIFS(SalaryPayrollTaxes[Month 21],SalaryPayrollTaxes[exp_item],$H1409,SalaryPayrollTaxes[company_name],$B1409,SalaryPayrollTaxes[bu_name],$C1409)*(AF464+AF569+AF674)+SUMIFS(ExpensePayrollTaxes[Month 21],ExpensePayrollTaxes[exp_item],$H779,ExpensePayrollTaxes[company_name],$B1409)*AF779)</f>
        <v>0</v>
      </c>
      <c r="AG1409" s="652">
        <f>IF($B1409="",,SUMIFS(SalaryPayrollTaxes[Month 22],SalaryPayrollTaxes[exp_item],$H1409,SalaryPayrollTaxes[company_name],$B1409,SalaryPayrollTaxes[bu_name],$C1409)*(AG464+AG569+AG674)+SUMIFS(ExpensePayrollTaxes[Month 22],ExpensePayrollTaxes[exp_item],$H779,ExpensePayrollTaxes[company_name],$B1409)*AG779)</f>
        <v>0</v>
      </c>
      <c r="AH1409" s="652">
        <f>IF($B1409="",,SUMIFS(SalaryPayrollTaxes[Month 23],SalaryPayrollTaxes[exp_item],$H1409,SalaryPayrollTaxes[company_name],$B1409,SalaryPayrollTaxes[bu_name],$C1409)*(AH464+AH569+AH674)+SUMIFS(ExpensePayrollTaxes[Month 23],ExpensePayrollTaxes[exp_item],$H779,ExpensePayrollTaxes[company_name],$B1409)*AH779)</f>
        <v>0</v>
      </c>
      <c r="AI1409" s="652">
        <f>IF($B1409="",,SUMIFS(SalaryPayrollTaxes[Month 24],SalaryPayrollTaxes[exp_item],$H1409,SalaryPayrollTaxes[company_name],$B1409,SalaryPayrollTaxes[bu_name],$C1409)*(AI464+AI569+AI674)+SUMIFS(ExpensePayrollTaxes[Month 24],ExpensePayrollTaxes[exp_item],$H779,ExpensePayrollTaxes[company_name],$B1409)*AI779)</f>
        <v>0</v>
      </c>
      <c r="AJ1409" s="652">
        <f>IF($B1409="",,SUMIFS(SalaryPayrollTaxes[Month 25],SalaryPayrollTaxes[exp_item],$H1409,SalaryPayrollTaxes[company_name],$B1409,SalaryPayrollTaxes[bu_name],$C1409)*(AJ464+AJ569+AJ674)+SUMIFS(ExpensePayrollTaxes[Month 25],ExpensePayrollTaxes[exp_item],$H779,ExpensePayrollTaxes[company_name],$B1409)*AJ779)</f>
        <v>0</v>
      </c>
      <c r="AK1409" s="652">
        <f>IF($B1409="",,SUMIFS(SalaryPayrollTaxes[Month 26],SalaryPayrollTaxes[exp_item],$H1409,SalaryPayrollTaxes[company_name],$B1409,SalaryPayrollTaxes[bu_name],$C1409)*(AK464+AK569+AK674)+SUMIFS(ExpensePayrollTaxes[Month 26],ExpensePayrollTaxes[exp_item],$H779,ExpensePayrollTaxes[company_name],$B1409)*AK779)</f>
        <v>0</v>
      </c>
      <c r="AL1409" s="652">
        <f>IF($B1409="",,SUMIFS(SalaryPayrollTaxes[Month 27],SalaryPayrollTaxes[exp_item],$H1409,SalaryPayrollTaxes[company_name],$B1409,SalaryPayrollTaxes[bu_name],$C1409)*(AL464+AL569+AL674)+SUMIFS(ExpensePayrollTaxes[Month 27],ExpensePayrollTaxes[exp_item],$H779,ExpensePayrollTaxes[company_name],$B1409)*AL779)</f>
        <v>0</v>
      </c>
      <c r="AM1409" s="652">
        <f>IF($B1409="",,SUMIFS(SalaryPayrollTaxes[Month 28],SalaryPayrollTaxes[exp_item],$H1409,SalaryPayrollTaxes[company_name],$B1409,SalaryPayrollTaxes[bu_name],$C1409)*(AM464+AM569+AM674)+SUMIFS(ExpensePayrollTaxes[Month 28],ExpensePayrollTaxes[exp_item],$H779,ExpensePayrollTaxes[company_name],$B1409)*AM779)</f>
        <v>0</v>
      </c>
      <c r="AN1409" s="652">
        <f>IF($B1409="",,SUMIFS(SalaryPayrollTaxes[Month 29],SalaryPayrollTaxes[exp_item],$H1409,SalaryPayrollTaxes[company_name],$B1409,SalaryPayrollTaxes[bu_name],$C1409)*(AN464+AN569+AN674)+SUMIFS(ExpensePayrollTaxes[Month 29],ExpensePayrollTaxes[exp_item],$H779,ExpensePayrollTaxes[company_name],$B1409)*AN779)</f>
        <v>0</v>
      </c>
      <c r="AO1409" s="652">
        <f>IF($B1409="",,SUMIFS(SalaryPayrollTaxes[Month 30],SalaryPayrollTaxes[exp_item],$H1409,SalaryPayrollTaxes[company_name],$B1409,SalaryPayrollTaxes[bu_name],$C1409)*(AO464+AO569+AO674)+SUMIFS(ExpensePayrollTaxes[Month 30],ExpensePayrollTaxes[exp_item],$H779,ExpensePayrollTaxes[company_name],$B1409)*AO779)</f>
        <v>0</v>
      </c>
      <c r="AP1409" s="652">
        <f>IF($B1409="",,SUMIFS(SalaryPayrollTaxes[Month 31],SalaryPayrollTaxes[exp_item],$H1409,SalaryPayrollTaxes[company_name],$B1409,SalaryPayrollTaxes[bu_name],$C1409)*(AP464+AP569+AP674)+SUMIFS(ExpensePayrollTaxes[Month 31],ExpensePayrollTaxes[exp_item],$H779,ExpensePayrollTaxes[company_name],$B1409)*AP779)</f>
        <v>0</v>
      </c>
      <c r="AQ1409" s="652">
        <f>IF($B1409="",,SUMIFS(SalaryPayrollTaxes[Month 32],SalaryPayrollTaxes[exp_item],$H1409,SalaryPayrollTaxes[company_name],$B1409,SalaryPayrollTaxes[bu_name],$C1409)*(AQ464+AQ569+AQ674)+SUMIFS(ExpensePayrollTaxes[Month 32],ExpensePayrollTaxes[exp_item],$H779,ExpensePayrollTaxes[company_name],$B1409)*AQ779)</f>
        <v>0</v>
      </c>
      <c r="AR1409" s="652">
        <f>IF($B1409="",,SUMIFS(SalaryPayrollTaxes[Month 33],SalaryPayrollTaxes[exp_item],$H1409,SalaryPayrollTaxes[company_name],$B1409,SalaryPayrollTaxes[bu_name],$C1409)*(AR464+AR569+AR674)+SUMIFS(ExpensePayrollTaxes[Month 33],ExpensePayrollTaxes[exp_item],$H779,ExpensePayrollTaxes[company_name],$B1409)*AR779)</f>
        <v>0</v>
      </c>
      <c r="AS1409" s="652">
        <f>IF($B1409="",,SUMIFS(SalaryPayrollTaxes[Month 34],SalaryPayrollTaxes[exp_item],$H1409,SalaryPayrollTaxes[company_name],$B1409,SalaryPayrollTaxes[bu_name],$C1409)*(AS464+AS569+AS674)+SUMIFS(ExpensePayrollTaxes[Month 34],ExpensePayrollTaxes[exp_item],$H779,ExpensePayrollTaxes[company_name],$B1409)*AS779)</f>
        <v>0</v>
      </c>
      <c r="AT1409" s="652">
        <f>IF($B1409="",,SUMIFS(SalaryPayrollTaxes[Month 35],SalaryPayrollTaxes[exp_item],$H1409,SalaryPayrollTaxes[company_name],$B1409,SalaryPayrollTaxes[bu_name],$C1409)*(AT464+AT569+AT674)+SUMIFS(ExpensePayrollTaxes[Month 35],ExpensePayrollTaxes[exp_item],$H779,ExpensePayrollTaxes[company_name],$B1409)*AT779)</f>
        <v>0</v>
      </c>
      <c r="AU1409" s="652">
        <f>IF($B1409="",,SUMIFS(SalaryPayrollTaxes[Month 36],SalaryPayrollTaxes[exp_item],$H1409,SalaryPayrollTaxes[company_name],$B1409,SalaryPayrollTaxes[bu_name],$C1409)*(AU464+AU569+AU674)+SUMIFS(ExpensePayrollTaxes[Month 36],ExpensePayrollTaxes[exp_item],$H779,ExpensePayrollTaxes[company_name],$B1409)*AU779)</f>
        <v>0</v>
      </c>
    </row>
    <row r="1410" spans="2:47" x14ac:dyDescent="0.35">
      <c r="B1410" t="str">
        <f t="shared" si="996"/>
        <v/>
      </c>
      <c r="C1410" t="str">
        <f t="shared" si="996"/>
        <v/>
      </c>
      <c r="D1410" t="str">
        <f t="shared" si="996"/>
        <v/>
      </c>
      <c r="E1410" t="str">
        <f t="shared" si="996"/>
        <v/>
      </c>
      <c r="F1410" t="str">
        <f t="shared" si="996"/>
        <v/>
      </c>
      <c r="G1410" t="str">
        <f t="shared" si="996"/>
        <v/>
      </c>
      <c r="H1410" t="str">
        <f t="shared" si="997"/>
        <v/>
      </c>
      <c r="J1410" t="str">
        <f>IF($H1410="","",IF(VLOOKUP(H1410,ExpItems[],2,0),H1410&amp;" - "&amp;INDEX(DivisionMapping[category_code],MATCH($D1410&amp;$C1410,DivisionMapping[dept_bu],0)),H1410))</f>
        <v/>
      </c>
      <c r="K1410" t="str">
        <f t="shared" si="998"/>
        <v/>
      </c>
      <c r="L1410" s="652">
        <f>IF($B1410="",,SUMIFS(SalaryPayrollTaxes[Month 1],SalaryPayrollTaxes[exp_item],$H1410,SalaryPayrollTaxes[company_name],$B1410,SalaryPayrollTaxes[bu_name],$C1410)*(L465+L570+L675)+SUMIFS(ExpensePayrollTaxes[Month 1],ExpensePayrollTaxes[exp_item],$H780,ExpensePayrollTaxes[company_name],$B1410)*L780)</f>
        <v>0</v>
      </c>
      <c r="M1410" s="652">
        <f>IF($B1410="",,SUMIFS(SalaryPayrollTaxes[Month 2],SalaryPayrollTaxes[exp_item],$H1410,SalaryPayrollTaxes[company_name],$B1410,SalaryPayrollTaxes[bu_name],$C1410)*(M465+M570+M675)+SUMIFS(ExpensePayrollTaxes[Month 2],ExpensePayrollTaxes[exp_item],$H780,ExpensePayrollTaxes[company_name],$B1410)*M780)</f>
        <v>0</v>
      </c>
      <c r="N1410" s="652">
        <f>IF($B1410="",,SUMIFS(SalaryPayrollTaxes[Month 3],SalaryPayrollTaxes[exp_item],$H1410,SalaryPayrollTaxes[company_name],$B1410,SalaryPayrollTaxes[bu_name],$C1410)*(N465+N570+N675)+SUMIFS(ExpensePayrollTaxes[Month 3],ExpensePayrollTaxes[exp_item],$H780,ExpensePayrollTaxes[company_name],$B1410)*N780)</f>
        <v>0</v>
      </c>
      <c r="O1410" s="652">
        <f>IF($B1410="",,SUMIFS(SalaryPayrollTaxes[Month 4],SalaryPayrollTaxes[exp_item],$H1410,SalaryPayrollTaxes[company_name],$B1410,SalaryPayrollTaxes[bu_name],$C1410)*(O465+O570+O675)+SUMIFS(ExpensePayrollTaxes[Month 4],ExpensePayrollTaxes[exp_item],$H780,ExpensePayrollTaxes[company_name],$B1410)*O780)</f>
        <v>0</v>
      </c>
      <c r="P1410" s="652">
        <f>IF($B1410="",,SUMIFS(SalaryPayrollTaxes[Month 5],SalaryPayrollTaxes[exp_item],$H1410,SalaryPayrollTaxes[company_name],$B1410,SalaryPayrollTaxes[bu_name],$C1410)*(P465+P570+P675)+SUMIFS(ExpensePayrollTaxes[Month 5],ExpensePayrollTaxes[exp_item],$H780,ExpensePayrollTaxes[company_name],$B1410)*P780)</f>
        <v>0</v>
      </c>
      <c r="Q1410" s="652">
        <f>IF($B1410="",,SUMIFS(SalaryPayrollTaxes[Month 6],SalaryPayrollTaxes[exp_item],$H1410,SalaryPayrollTaxes[company_name],$B1410,SalaryPayrollTaxes[bu_name],$C1410)*(Q465+Q570+Q675)+SUMIFS(ExpensePayrollTaxes[Month 6],ExpensePayrollTaxes[exp_item],$H780,ExpensePayrollTaxes[company_name],$B1410)*Q780)</f>
        <v>0</v>
      </c>
      <c r="R1410" s="652">
        <f>IF($B1410="",,SUMIFS(SalaryPayrollTaxes[Month 7],SalaryPayrollTaxes[exp_item],$H1410,SalaryPayrollTaxes[company_name],$B1410,SalaryPayrollTaxes[bu_name],$C1410)*(R465+R570+R675)+SUMIFS(ExpensePayrollTaxes[Month 7],ExpensePayrollTaxes[exp_item],$H780,ExpensePayrollTaxes[company_name],$B1410)*R780)</f>
        <v>0</v>
      </c>
      <c r="S1410" s="652">
        <f>IF($B1410="",,SUMIFS(SalaryPayrollTaxes[Month 8],SalaryPayrollTaxes[exp_item],$H1410,SalaryPayrollTaxes[company_name],$B1410,SalaryPayrollTaxes[bu_name],$C1410)*(S465+S570+S675)+SUMIFS(ExpensePayrollTaxes[Month 8],ExpensePayrollTaxes[exp_item],$H780,ExpensePayrollTaxes[company_name],$B1410)*S780)</f>
        <v>0</v>
      </c>
      <c r="T1410" s="652">
        <f>IF($B1410="",,SUMIFS(SalaryPayrollTaxes[Month 9],SalaryPayrollTaxes[exp_item],$H1410,SalaryPayrollTaxes[company_name],$B1410,SalaryPayrollTaxes[bu_name],$C1410)*(T465+T570+T675)+SUMIFS(ExpensePayrollTaxes[Month 9],ExpensePayrollTaxes[exp_item],$H780,ExpensePayrollTaxes[company_name],$B1410)*T780)</f>
        <v>0</v>
      </c>
      <c r="U1410" s="652">
        <f>IF($B1410="",,SUMIFS(SalaryPayrollTaxes[Month 10],SalaryPayrollTaxes[exp_item],$H1410,SalaryPayrollTaxes[company_name],$B1410,SalaryPayrollTaxes[bu_name],$C1410)*(U465+U570+U675)+SUMIFS(ExpensePayrollTaxes[Month 10],ExpensePayrollTaxes[exp_item],$H780,ExpensePayrollTaxes[company_name],$B1410)*U780)</f>
        <v>0</v>
      </c>
      <c r="V1410" s="652">
        <f>IF($B1410="",,SUMIFS(SalaryPayrollTaxes[Month 11],SalaryPayrollTaxes[exp_item],$H1410,SalaryPayrollTaxes[company_name],$B1410,SalaryPayrollTaxes[bu_name],$C1410)*(V465+V570+V675)+SUMIFS(ExpensePayrollTaxes[Month 11],ExpensePayrollTaxes[exp_item],$H780,ExpensePayrollTaxes[company_name],$B1410)*V780)</f>
        <v>0</v>
      </c>
      <c r="W1410" s="652">
        <f>IF($B1410="",,SUMIFS(SalaryPayrollTaxes[Month 12],SalaryPayrollTaxes[exp_item],$H1410,SalaryPayrollTaxes[company_name],$B1410,SalaryPayrollTaxes[bu_name],$C1410)*(W465+W570+W675)+SUMIFS(ExpensePayrollTaxes[Month 12],ExpensePayrollTaxes[exp_item],$H780,ExpensePayrollTaxes[company_name],$B1410)*W780)</f>
        <v>0</v>
      </c>
      <c r="X1410" s="652">
        <f>IF($B1410="",,SUMIFS(SalaryPayrollTaxes[Month 13],SalaryPayrollTaxes[exp_item],$H1410,SalaryPayrollTaxes[company_name],$B1410,SalaryPayrollTaxes[bu_name],$C1410)*(X465+X570+X675)+SUMIFS(ExpensePayrollTaxes[Month 13],ExpensePayrollTaxes[exp_item],$H780,ExpensePayrollTaxes[company_name],$B1410)*X780)</f>
        <v>0</v>
      </c>
      <c r="Y1410" s="652">
        <f>IF($B1410="",,SUMIFS(SalaryPayrollTaxes[Month 14],SalaryPayrollTaxes[exp_item],$H1410,SalaryPayrollTaxes[company_name],$B1410,SalaryPayrollTaxes[bu_name],$C1410)*(Y465+Y570+Y675)+SUMIFS(ExpensePayrollTaxes[Month 14],ExpensePayrollTaxes[exp_item],$H780,ExpensePayrollTaxes[company_name],$B1410)*Y780)</f>
        <v>0</v>
      </c>
      <c r="Z1410" s="652">
        <f>IF($B1410="",,SUMIFS(SalaryPayrollTaxes[Month 15],SalaryPayrollTaxes[exp_item],$H1410,SalaryPayrollTaxes[company_name],$B1410,SalaryPayrollTaxes[bu_name],$C1410)*(Z465+Z570+Z675)+SUMIFS(ExpensePayrollTaxes[Month 15],ExpensePayrollTaxes[exp_item],$H780,ExpensePayrollTaxes[company_name],$B1410)*Z780)</f>
        <v>0</v>
      </c>
      <c r="AA1410" s="652">
        <f>IF($B1410="",,SUMIFS(SalaryPayrollTaxes[Month 16],SalaryPayrollTaxes[exp_item],$H1410,SalaryPayrollTaxes[company_name],$B1410,SalaryPayrollTaxes[bu_name],$C1410)*(AA465+AA570+AA675)+SUMIFS(ExpensePayrollTaxes[Month 16],ExpensePayrollTaxes[exp_item],$H780,ExpensePayrollTaxes[company_name],$B1410)*AA780)</f>
        <v>0</v>
      </c>
      <c r="AB1410" s="652">
        <f>IF($B1410="",,SUMIFS(SalaryPayrollTaxes[Month 17],SalaryPayrollTaxes[exp_item],$H1410,SalaryPayrollTaxes[company_name],$B1410,SalaryPayrollTaxes[bu_name],$C1410)*(AB465+AB570+AB675)+SUMIFS(ExpensePayrollTaxes[Month 17],ExpensePayrollTaxes[exp_item],$H780,ExpensePayrollTaxes[company_name],$B1410)*AB780)</f>
        <v>0</v>
      </c>
      <c r="AC1410" s="652">
        <f>IF($B1410="",,SUMIFS(SalaryPayrollTaxes[Month 18],SalaryPayrollTaxes[exp_item],$H1410,SalaryPayrollTaxes[company_name],$B1410,SalaryPayrollTaxes[bu_name],$C1410)*(AC465+AC570+AC675)+SUMIFS(ExpensePayrollTaxes[Month 18],ExpensePayrollTaxes[exp_item],$H780,ExpensePayrollTaxes[company_name],$B1410)*AC780)</f>
        <v>0</v>
      </c>
      <c r="AD1410" s="652">
        <f>IF($B1410="",,SUMIFS(SalaryPayrollTaxes[Month 19],SalaryPayrollTaxes[exp_item],$H1410,SalaryPayrollTaxes[company_name],$B1410,SalaryPayrollTaxes[bu_name],$C1410)*(AD465+AD570+AD675)+SUMIFS(ExpensePayrollTaxes[Month 19],ExpensePayrollTaxes[exp_item],$H780,ExpensePayrollTaxes[company_name],$B1410)*AD780)</f>
        <v>0</v>
      </c>
      <c r="AE1410" s="652">
        <f>IF($B1410="",,SUMIFS(SalaryPayrollTaxes[Month 20],SalaryPayrollTaxes[exp_item],$H1410,SalaryPayrollTaxes[company_name],$B1410,SalaryPayrollTaxes[bu_name],$C1410)*(AE465+AE570+AE675)+SUMIFS(ExpensePayrollTaxes[Month 20],ExpensePayrollTaxes[exp_item],$H780,ExpensePayrollTaxes[company_name],$B1410)*AE780)</f>
        <v>0</v>
      </c>
      <c r="AF1410" s="652">
        <f>IF($B1410="",,SUMIFS(SalaryPayrollTaxes[Month 21],SalaryPayrollTaxes[exp_item],$H1410,SalaryPayrollTaxes[company_name],$B1410,SalaryPayrollTaxes[bu_name],$C1410)*(AF465+AF570+AF675)+SUMIFS(ExpensePayrollTaxes[Month 21],ExpensePayrollTaxes[exp_item],$H780,ExpensePayrollTaxes[company_name],$B1410)*AF780)</f>
        <v>0</v>
      </c>
      <c r="AG1410" s="652">
        <f>IF($B1410="",,SUMIFS(SalaryPayrollTaxes[Month 22],SalaryPayrollTaxes[exp_item],$H1410,SalaryPayrollTaxes[company_name],$B1410,SalaryPayrollTaxes[bu_name],$C1410)*(AG465+AG570+AG675)+SUMIFS(ExpensePayrollTaxes[Month 22],ExpensePayrollTaxes[exp_item],$H780,ExpensePayrollTaxes[company_name],$B1410)*AG780)</f>
        <v>0</v>
      </c>
      <c r="AH1410" s="652">
        <f>IF($B1410="",,SUMIFS(SalaryPayrollTaxes[Month 23],SalaryPayrollTaxes[exp_item],$H1410,SalaryPayrollTaxes[company_name],$B1410,SalaryPayrollTaxes[bu_name],$C1410)*(AH465+AH570+AH675)+SUMIFS(ExpensePayrollTaxes[Month 23],ExpensePayrollTaxes[exp_item],$H780,ExpensePayrollTaxes[company_name],$B1410)*AH780)</f>
        <v>0</v>
      </c>
      <c r="AI1410" s="652">
        <f>IF($B1410="",,SUMIFS(SalaryPayrollTaxes[Month 24],SalaryPayrollTaxes[exp_item],$H1410,SalaryPayrollTaxes[company_name],$B1410,SalaryPayrollTaxes[bu_name],$C1410)*(AI465+AI570+AI675)+SUMIFS(ExpensePayrollTaxes[Month 24],ExpensePayrollTaxes[exp_item],$H780,ExpensePayrollTaxes[company_name],$B1410)*AI780)</f>
        <v>0</v>
      </c>
      <c r="AJ1410" s="652">
        <f>IF($B1410="",,SUMIFS(SalaryPayrollTaxes[Month 25],SalaryPayrollTaxes[exp_item],$H1410,SalaryPayrollTaxes[company_name],$B1410,SalaryPayrollTaxes[bu_name],$C1410)*(AJ465+AJ570+AJ675)+SUMIFS(ExpensePayrollTaxes[Month 25],ExpensePayrollTaxes[exp_item],$H780,ExpensePayrollTaxes[company_name],$B1410)*AJ780)</f>
        <v>0</v>
      </c>
      <c r="AK1410" s="652">
        <f>IF($B1410="",,SUMIFS(SalaryPayrollTaxes[Month 26],SalaryPayrollTaxes[exp_item],$H1410,SalaryPayrollTaxes[company_name],$B1410,SalaryPayrollTaxes[bu_name],$C1410)*(AK465+AK570+AK675)+SUMIFS(ExpensePayrollTaxes[Month 26],ExpensePayrollTaxes[exp_item],$H780,ExpensePayrollTaxes[company_name],$B1410)*AK780)</f>
        <v>0</v>
      </c>
      <c r="AL1410" s="652">
        <f>IF($B1410="",,SUMIFS(SalaryPayrollTaxes[Month 27],SalaryPayrollTaxes[exp_item],$H1410,SalaryPayrollTaxes[company_name],$B1410,SalaryPayrollTaxes[bu_name],$C1410)*(AL465+AL570+AL675)+SUMIFS(ExpensePayrollTaxes[Month 27],ExpensePayrollTaxes[exp_item],$H780,ExpensePayrollTaxes[company_name],$B1410)*AL780)</f>
        <v>0</v>
      </c>
      <c r="AM1410" s="652">
        <f>IF($B1410="",,SUMIFS(SalaryPayrollTaxes[Month 28],SalaryPayrollTaxes[exp_item],$H1410,SalaryPayrollTaxes[company_name],$B1410,SalaryPayrollTaxes[bu_name],$C1410)*(AM465+AM570+AM675)+SUMIFS(ExpensePayrollTaxes[Month 28],ExpensePayrollTaxes[exp_item],$H780,ExpensePayrollTaxes[company_name],$B1410)*AM780)</f>
        <v>0</v>
      </c>
      <c r="AN1410" s="652">
        <f>IF($B1410="",,SUMIFS(SalaryPayrollTaxes[Month 29],SalaryPayrollTaxes[exp_item],$H1410,SalaryPayrollTaxes[company_name],$B1410,SalaryPayrollTaxes[bu_name],$C1410)*(AN465+AN570+AN675)+SUMIFS(ExpensePayrollTaxes[Month 29],ExpensePayrollTaxes[exp_item],$H780,ExpensePayrollTaxes[company_name],$B1410)*AN780)</f>
        <v>0</v>
      </c>
      <c r="AO1410" s="652">
        <f>IF($B1410="",,SUMIFS(SalaryPayrollTaxes[Month 30],SalaryPayrollTaxes[exp_item],$H1410,SalaryPayrollTaxes[company_name],$B1410,SalaryPayrollTaxes[bu_name],$C1410)*(AO465+AO570+AO675)+SUMIFS(ExpensePayrollTaxes[Month 30],ExpensePayrollTaxes[exp_item],$H780,ExpensePayrollTaxes[company_name],$B1410)*AO780)</f>
        <v>0</v>
      </c>
      <c r="AP1410" s="652">
        <f>IF($B1410="",,SUMIFS(SalaryPayrollTaxes[Month 31],SalaryPayrollTaxes[exp_item],$H1410,SalaryPayrollTaxes[company_name],$B1410,SalaryPayrollTaxes[bu_name],$C1410)*(AP465+AP570+AP675)+SUMIFS(ExpensePayrollTaxes[Month 31],ExpensePayrollTaxes[exp_item],$H780,ExpensePayrollTaxes[company_name],$B1410)*AP780)</f>
        <v>0</v>
      </c>
      <c r="AQ1410" s="652">
        <f>IF($B1410="",,SUMIFS(SalaryPayrollTaxes[Month 32],SalaryPayrollTaxes[exp_item],$H1410,SalaryPayrollTaxes[company_name],$B1410,SalaryPayrollTaxes[bu_name],$C1410)*(AQ465+AQ570+AQ675)+SUMIFS(ExpensePayrollTaxes[Month 32],ExpensePayrollTaxes[exp_item],$H780,ExpensePayrollTaxes[company_name],$B1410)*AQ780)</f>
        <v>0</v>
      </c>
      <c r="AR1410" s="652">
        <f>IF($B1410="",,SUMIFS(SalaryPayrollTaxes[Month 33],SalaryPayrollTaxes[exp_item],$H1410,SalaryPayrollTaxes[company_name],$B1410,SalaryPayrollTaxes[bu_name],$C1410)*(AR465+AR570+AR675)+SUMIFS(ExpensePayrollTaxes[Month 33],ExpensePayrollTaxes[exp_item],$H780,ExpensePayrollTaxes[company_name],$B1410)*AR780)</f>
        <v>0</v>
      </c>
      <c r="AS1410" s="652">
        <f>IF($B1410="",,SUMIFS(SalaryPayrollTaxes[Month 34],SalaryPayrollTaxes[exp_item],$H1410,SalaryPayrollTaxes[company_name],$B1410,SalaryPayrollTaxes[bu_name],$C1410)*(AS465+AS570+AS675)+SUMIFS(ExpensePayrollTaxes[Month 34],ExpensePayrollTaxes[exp_item],$H780,ExpensePayrollTaxes[company_name],$B1410)*AS780)</f>
        <v>0</v>
      </c>
      <c r="AT1410" s="652">
        <f>IF($B1410="",,SUMIFS(SalaryPayrollTaxes[Month 35],SalaryPayrollTaxes[exp_item],$H1410,SalaryPayrollTaxes[company_name],$B1410,SalaryPayrollTaxes[bu_name],$C1410)*(AT465+AT570+AT675)+SUMIFS(ExpensePayrollTaxes[Month 35],ExpensePayrollTaxes[exp_item],$H780,ExpensePayrollTaxes[company_name],$B1410)*AT780)</f>
        <v>0</v>
      </c>
      <c r="AU1410" s="652">
        <f>IF($B1410="",,SUMIFS(SalaryPayrollTaxes[Month 36],SalaryPayrollTaxes[exp_item],$H1410,SalaryPayrollTaxes[company_name],$B1410,SalaryPayrollTaxes[bu_name],$C1410)*(AU465+AU570+AU675)+SUMIFS(ExpensePayrollTaxes[Month 36],ExpensePayrollTaxes[exp_item],$H780,ExpensePayrollTaxes[company_name],$B1410)*AU780)</f>
        <v>0</v>
      </c>
    </row>
    <row r="1411" spans="2:47" x14ac:dyDescent="0.35">
      <c r="B1411" t="str">
        <f t="shared" ref="B1411:G1420" si="999">IF(B1306="","",B1306)</f>
        <v/>
      </c>
      <c r="C1411" t="str">
        <f t="shared" si="999"/>
        <v/>
      </c>
      <c r="D1411" t="str">
        <f t="shared" si="999"/>
        <v/>
      </c>
      <c r="E1411" t="str">
        <f t="shared" si="999"/>
        <v/>
      </c>
      <c r="F1411" t="str">
        <f t="shared" si="999"/>
        <v/>
      </c>
      <c r="G1411" t="str">
        <f t="shared" si="999"/>
        <v/>
      </c>
      <c r="H1411" t="str">
        <f t="shared" si="997"/>
        <v/>
      </c>
      <c r="J1411" t="str">
        <f>IF($H1411="","",IF(VLOOKUP(H1411,ExpItems[],2,0),H1411&amp;" - "&amp;INDEX(DivisionMapping[category_code],MATCH($D1411&amp;$C1411,DivisionMapping[dept_bu],0)),H1411))</f>
        <v/>
      </c>
      <c r="K1411" t="str">
        <f t="shared" si="998"/>
        <v/>
      </c>
      <c r="L1411" s="652">
        <f>IF($B1411="",,SUMIFS(SalaryPayrollTaxes[Month 1],SalaryPayrollTaxes[exp_item],$H1411,SalaryPayrollTaxes[company_name],$B1411,SalaryPayrollTaxes[bu_name],$C1411)*(L466+L571+L676)+SUMIFS(ExpensePayrollTaxes[Month 1],ExpensePayrollTaxes[exp_item],$H781,ExpensePayrollTaxes[company_name],$B1411)*L781)</f>
        <v>0</v>
      </c>
      <c r="M1411" s="652">
        <f>IF($B1411="",,SUMIFS(SalaryPayrollTaxes[Month 2],SalaryPayrollTaxes[exp_item],$H1411,SalaryPayrollTaxes[company_name],$B1411,SalaryPayrollTaxes[bu_name],$C1411)*(M466+M571+M676)+SUMIFS(ExpensePayrollTaxes[Month 2],ExpensePayrollTaxes[exp_item],$H781,ExpensePayrollTaxes[company_name],$B1411)*M781)</f>
        <v>0</v>
      </c>
      <c r="N1411" s="652">
        <f>IF($B1411="",,SUMIFS(SalaryPayrollTaxes[Month 3],SalaryPayrollTaxes[exp_item],$H1411,SalaryPayrollTaxes[company_name],$B1411,SalaryPayrollTaxes[bu_name],$C1411)*(N466+N571+N676)+SUMIFS(ExpensePayrollTaxes[Month 3],ExpensePayrollTaxes[exp_item],$H781,ExpensePayrollTaxes[company_name],$B1411)*N781)</f>
        <v>0</v>
      </c>
      <c r="O1411" s="652">
        <f>IF($B1411="",,SUMIFS(SalaryPayrollTaxes[Month 4],SalaryPayrollTaxes[exp_item],$H1411,SalaryPayrollTaxes[company_name],$B1411,SalaryPayrollTaxes[bu_name],$C1411)*(O466+O571+O676)+SUMIFS(ExpensePayrollTaxes[Month 4],ExpensePayrollTaxes[exp_item],$H781,ExpensePayrollTaxes[company_name],$B1411)*O781)</f>
        <v>0</v>
      </c>
      <c r="P1411" s="652">
        <f>IF($B1411="",,SUMIFS(SalaryPayrollTaxes[Month 5],SalaryPayrollTaxes[exp_item],$H1411,SalaryPayrollTaxes[company_name],$B1411,SalaryPayrollTaxes[bu_name],$C1411)*(P466+P571+P676)+SUMIFS(ExpensePayrollTaxes[Month 5],ExpensePayrollTaxes[exp_item],$H781,ExpensePayrollTaxes[company_name],$B1411)*P781)</f>
        <v>0</v>
      </c>
      <c r="Q1411" s="652">
        <f>IF($B1411="",,SUMIFS(SalaryPayrollTaxes[Month 6],SalaryPayrollTaxes[exp_item],$H1411,SalaryPayrollTaxes[company_name],$B1411,SalaryPayrollTaxes[bu_name],$C1411)*(Q466+Q571+Q676)+SUMIFS(ExpensePayrollTaxes[Month 6],ExpensePayrollTaxes[exp_item],$H781,ExpensePayrollTaxes[company_name],$B1411)*Q781)</f>
        <v>0</v>
      </c>
      <c r="R1411" s="652">
        <f>IF($B1411="",,SUMIFS(SalaryPayrollTaxes[Month 7],SalaryPayrollTaxes[exp_item],$H1411,SalaryPayrollTaxes[company_name],$B1411,SalaryPayrollTaxes[bu_name],$C1411)*(R466+R571+R676)+SUMIFS(ExpensePayrollTaxes[Month 7],ExpensePayrollTaxes[exp_item],$H781,ExpensePayrollTaxes[company_name],$B1411)*R781)</f>
        <v>0</v>
      </c>
      <c r="S1411" s="652">
        <f>IF($B1411="",,SUMIFS(SalaryPayrollTaxes[Month 8],SalaryPayrollTaxes[exp_item],$H1411,SalaryPayrollTaxes[company_name],$B1411,SalaryPayrollTaxes[bu_name],$C1411)*(S466+S571+S676)+SUMIFS(ExpensePayrollTaxes[Month 8],ExpensePayrollTaxes[exp_item],$H781,ExpensePayrollTaxes[company_name],$B1411)*S781)</f>
        <v>0</v>
      </c>
      <c r="T1411" s="652">
        <f>IF($B1411="",,SUMIFS(SalaryPayrollTaxes[Month 9],SalaryPayrollTaxes[exp_item],$H1411,SalaryPayrollTaxes[company_name],$B1411,SalaryPayrollTaxes[bu_name],$C1411)*(T466+T571+T676)+SUMIFS(ExpensePayrollTaxes[Month 9],ExpensePayrollTaxes[exp_item],$H781,ExpensePayrollTaxes[company_name],$B1411)*T781)</f>
        <v>0</v>
      </c>
      <c r="U1411" s="652">
        <f>IF($B1411="",,SUMIFS(SalaryPayrollTaxes[Month 10],SalaryPayrollTaxes[exp_item],$H1411,SalaryPayrollTaxes[company_name],$B1411,SalaryPayrollTaxes[bu_name],$C1411)*(U466+U571+U676)+SUMIFS(ExpensePayrollTaxes[Month 10],ExpensePayrollTaxes[exp_item],$H781,ExpensePayrollTaxes[company_name],$B1411)*U781)</f>
        <v>0</v>
      </c>
      <c r="V1411" s="652">
        <f>IF($B1411="",,SUMIFS(SalaryPayrollTaxes[Month 11],SalaryPayrollTaxes[exp_item],$H1411,SalaryPayrollTaxes[company_name],$B1411,SalaryPayrollTaxes[bu_name],$C1411)*(V466+V571+V676)+SUMIFS(ExpensePayrollTaxes[Month 11],ExpensePayrollTaxes[exp_item],$H781,ExpensePayrollTaxes[company_name],$B1411)*V781)</f>
        <v>0</v>
      </c>
      <c r="W1411" s="652">
        <f>IF($B1411="",,SUMIFS(SalaryPayrollTaxes[Month 12],SalaryPayrollTaxes[exp_item],$H1411,SalaryPayrollTaxes[company_name],$B1411,SalaryPayrollTaxes[bu_name],$C1411)*(W466+W571+W676)+SUMIFS(ExpensePayrollTaxes[Month 12],ExpensePayrollTaxes[exp_item],$H781,ExpensePayrollTaxes[company_name],$B1411)*W781)</f>
        <v>0</v>
      </c>
      <c r="X1411" s="652">
        <f>IF($B1411="",,SUMIFS(SalaryPayrollTaxes[Month 13],SalaryPayrollTaxes[exp_item],$H1411,SalaryPayrollTaxes[company_name],$B1411,SalaryPayrollTaxes[bu_name],$C1411)*(X466+X571+X676)+SUMIFS(ExpensePayrollTaxes[Month 13],ExpensePayrollTaxes[exp_item],$H781,ExpensePayrollTaxes[company_name],$B1411)*X781)</f>
        <v>0</v>
      </c>
      <c r="Y1411" s="652">
        <f>IF($B1411="",,SUMIFS(SalaryPayrollTaxes[Month 14],SalaryPayrollTaxes[exp_item],$H1411,SalaryPayrollTaxes[company_name],$B1411,SalaryPayrollTaxes[bu_name],$C1411)*(Y466+Y571+Y676)+SUMIFS(ExpensePayrollTaxes[Month 14],ExpensePayrollTaxes[exp_item],$H781,ExpensePayrollTaxes[company_name],$B1411)*Y781)</f>
        <v>0</v>
      </c>
      <c r="Z1411" s="652">
        <f>IF($B1411="",,SUMIFS(SalaryPayrollTaxes[Month 15],SalaryPayrollTaxes[exp_item],$H1411,SalaryPayrollTaxes[company_name],$B1411,SalaryPayrollTaxes[bu_name],$C1411)*(Z466+Z571+Z676)+SUMIFS(ExpensePayrollTaxes[Month 15],ExpensePayrollTaxes[exp_item],$H781,ExpensePayrollTaxes[company_name],$B1411)*Z781)</f>
        <v>0</v>
      </c>
      <c r="AA1411" s="652">
        <f>IF($B1411="",,SUMIFS(SalaryPayrollTaxes[Month 16],SalaryPayrollTaxes[exp_item],$H1411,SalaryPayrollTaxes[company_name],$B1411,SalaryPayrollTaxes[bu_name],$C1411)*(AA466+AA571+AA676)+SUMIFS(ExpensePayrollTaxes[Month 16],ExpensePayrollTaxes[exp_item],$H781,ExpensePayrollTaxes[company_name],$B1411)*AA781)</f>
        <v>0</v>
      </c>
      <c r="AB1411" s="652">
        <f>IF($B1411="",,SUMIFS(SalaryPayrollTaxes[Month 17],SalaryPayrollTaxes[exp_item],$H1411,SalaryPayrollTaxes[company_name],$B1411,SalaryPayrollTaxes[bu_name],$C1411)*(AB466+AB571+AB676)+SUMIFS(ExpensePayrollTaxes[Month 17],ExpensePayrollTaxes[exp_item],$H781,ExpensePayrollTaxes[company_name],$B1411)*AB781)</f>
        <v>0</v>
      </c>
      <c r="AC1411" s="652">
        <f>IF($B1411="",,SUMIFS(SalaryPayrollTaxes[Month 18],SalaryPayrollTaxes[exp_item],$H1411,SalaryPayrollTaxes[company_name],$B1411,SalaryPayrollTaxes[bu_name],$C1411)*(AC466+AC571+AC676)+SUMIFS(ExpensePayrollTaxes[Month 18],ExpensePayrollTaxes[exp_item],$H781,ExpensePayrollTaxes[company_name],$B1411)*AC781)</f>
        <v>0</v>
      </c>
      <c r="AD1411" s="652">
        <f>IF($B1411="",,SUMIFS(SalaryPayrollTaxes[Month 19],SalaryPayrollTaxes[exp_item],$H1411,SalaryPayrollTaxes[company_name],$B1411,SalaryPayrollTaxes[bu_name],$C1411)*(AD466+AD571+AD676)+SUMIFS(ExpensePayrollTaxes[Month 19],ExpensePayrollTaxes[exp_item],$H781,ExpensePayrollTaxes[company_name],$B1411)*AD781)</f>
        <v>0</v>
      </c>
      <c r="AE1411" s="652">
        <f>IF($B1411="",,SUMIFS(SalaryPayrollTaxes[Month 20],SalaryPayrollTaxes[exp_item],$H1411,SalaryPayrollTaxes[company_name],$B1411,SalaryPayrollTaxes[bu_name],$C1411)*(AE466+AE571+AE676)+SUMIFS(ExpensePayrollTaxes[Month 20],ExpensePayrollTaxes[exp_item],$H781,ExpensePayrollTaxes[company_name],$B1411)*AE781)</f>
        <v>0</v>
      </c>
      <c r="AF1411" s="652">
        <f>IF($B1411="",,SUMIFS(SalaryPayrollTaxes[Month 21],SalaryPayrollTaxes[exp_item],$H1411,SalaryPayrollTaxes[company_name],$B1411,SalaryPayrollTaxes[bu_name],$C1411)*(AF466+AF571+AF676)+SUMIFS(ExpensePayrollTaxes[Month 21],ExpensePayrollTaxes[exp_item],$H781,ExpensePayrollTaxes[company_name],$B1411)*AF781)</f>
        <v>0</v>
      </c>
      <c r="AG1411" s="652">
        <f>IF($B1411="",,SUMIFS(SalaryPayrollTaxes[Month 22],SalaryPayrollTaxes[exp_item],$H1411,SalaryPayrollTaxes[company_name],$B1411,SalaryPayrollTaxes[bu_name],$C1411)*(AG466+AG571+AG676)+SUMIFS(ExpensePayrollTaxes[Month 22],ExpensePayrollTaxes[exp_item],$H781,ExpensePayrollTaxes[company_name],$B1411)*AG781)</f>
        <v>0</v>
      </c>
      <c r="AH1411" s="652">
        <f>IF($B1411="",,SUMIFS(SalaryPayrollTaxes[Month 23],SalaryPayrollTaxes[exp_item],$H1411,SalaryPayrollTaxes[company_name],$B1411,SalaryPayrollTaxes[bu_name],$C1411)*(AH466+AH571+AH676)+SUMIFS(ExpensePayrollTaxes[Month 23],ExpensePayrollTaxes[exp_item],$H781,ExpensePayrollTaxes[company_name],$B1411)*AH781)</f>
        <v>0</v>
      </c>
      <c r="AI1411" s="652">
        <f>IF($B1411="",,SUMIFS(SalaryPayrollTaxes[Month 24],SalaryPayrollTaxes[exp_item],$H1411,SalaryPayrollTaxes[company_name],$B1411,SalaryPayrollTaxes[bu_name],$C1411)*(AI466+AI571+AI676)+SUMIFS(ExpensePayrollTaxes[Month 24],ExpensePayrollTaxes[exp_item],$H781,ExpensePayrollTaxes[company_name],$B1411)*AI781)</f>
        <v>0</v>
      </c>
      <c r="AJ1411" s="652">
        <f>IF($B1411="",,SUMIFS(SalaryPayrollTaxes[Month 25],SalaryPayrollTaxes[exp_item],$H1411,SalaryPayrollTaxes[company_name],$B1411,SalaryPayrollTaxes[bu_name],$C1411)*(AJ466+AJ571+AJ676)+SUMIFS(ExpensePayrollTaxes[Month 25],ExpensePayrollTaxes[exp_item],$H781,ExpensePayrollTaxes[company_name],$B1411)*AJ781)</f>
        <v>0</v>
      </c>
      <c r="AK1411" s="652">
        <f>IF($B1411="",,SUMIFS(SalaryPayrollTaxes[Month 26],SalaryPayrollTaxes[exp_item],$H1411,SalaryPayrollTaxes[company_name],$B1411,SalaryPayrollTaxes[bu_name],$C1411)*(AK466+AK571+AK676)+SUMIFS(ExpensePayrollTaxes[Month 26],ExpensePayrollTaxes[exp_item],$H781,ExpensePayrollTaxes[company_name],$B1411)*AK781)</f>
        <v>0</v>
      </c>
      <c r="AL1411" s="652">
        <f>IF($B1411="",,SUMIFS(SalaryPayrollTaxes[Month 27],SalaryPayrollTaxes[exp_item],$H1411,SalaryPayrollTaxes[company_name],$B1411,SalaryPayrollTaxes[bu_name],$C1411)*(AL466+AL571+AL676)+SUMIFS(ExpensePayrollTaxes[Month 27],ExpensePayrollTaxes[exp_item],$H781,ExpensePayrollTaxes[company_name],$B1411)*AL781)</f>
        <v>0</v>
      </c>
      <c r="AM1411" s="652">
        <f>IF($B1411="",,SUMIFS(SalaryPayrollTaxes[Month 28],SalaryPayrollTaxes[exp_item],$H1411,SalaryPayrollTaxes[company_name],$B1411,SalaryPayrollTaxes[bu_name],$C1411)*(AM466+AM571+AM676)+SUMIFS(ExpensePayrollTaxes[Month 28],ExpensePayrollTaxes[exp_item],$H781,ExpensePayrollTaxes[company_name],$B1411)*AM781)</f>
        <v>0</v>
      </c>
      <c r="AN1411" s="652">
        <f>IF($B1411="",,SUMIFS(SalaryPayrollTaxes[Month 29],SalaryPayrollTaxes[exp_item],$H1411,SalaryPayrollTaxes[company_name],$B1411,SalaryPayrollTaxes[bu_name],$C1411)*(AN466+AN571+AN676)+SUMIFS(ExpensePayrollTaxes[Month 29],ExpensePayrollTaxes[exp_item],$H781,ExpensePayrollTaxes[company_name],$B1411)*AN781)</f>
        <v>0</v>
      </c>
      <c r="AO1411" s="652">
        <f>IF($B1411="",,SUMIFS(SalaryPayrollTaxes[Month 30],SalaryPayrollTaxes[exp_item],$H1411,SalaryPayrollTaxes[company_name],$B1411,SalaryPayrollTaxes[bu_name],$C1411)*(AO466+AO571+AO676)+SUMIFS(ExpensePayrollTaxes[Month 30],ExpensePayrollTaxes[exp_item],$H781,ExpensePayrollTaxes[company_name],$B1411)*AO781)</f>
        <v>0</v>
      </c>
      <c r="AP1411" s="652">
        <f>IF($B1411="",,SUMIFS(SalaryPayrollTaxes[Month 31],SalaryPayrollTaxes[exp_item],$H1411,SalaryPayrollTaxes[company_name],$B1411,SalaryPayrollTaxes[bu_name],$C1411)*(AP466+AP571+AP676)+SUMIFS(ExpensePayrollTaxes[Month 31],ExpensePayrollTaxes[exp_item],$H781,ExpensePayrollTaxes[company_name],$B1411)*AP781)</f>
        <v>0</v>
      </c>
      <c r="AQ1411" s="652">
        <f>IF($B1411="",,SUMIFS(SalaryPayrollTaxes[Month 32],SalaryPayrollTaxes[exp_item],$H1411,SalaryPayrollTaxes[company_name],$B1411,SalaryPayrollTaxes[bu_name],$C1411)*(AQ466+AQ571+AQ676)+SUMIFS(ExpensePayrollTaxes[Month 32],ExpensePayrollTaxes[exp_item],$H781,ExpensePayrollTaxes[company_name],$B1411)*AQ781)</f>
        <v>0</v>
      </c>
      <c r="AR1411" s="652">
        <f>IF($B1411="",,SUMIFS(SalaryPayrollTaxes[Month 33],SalaryPayrollTaxes[exp_item],$H1411,SalaryPayrollTaxes[company_name],$B1411,SalaryPayrollTaxes[bu_name],$C1411)*(AR466+AR571+AR676)+SUMIFS(ExpensePayrollTaxes[Month 33],ExpensePayrollTaxes[exp_item],$H781,ExpensePayrollTaxes[company_name],$B1411)*AR781)</f>
        <v>0</v>
      </c>
      <c r="AS1411" s="652">
        <f>IF($B1411="",,SUMIFS(SalaryPayrollTaxes[Month 34],SalaryPayrollTaxes[exp_item],$H1411,SalaryPayrollTaxes[company_name],$B1411,SalaryPayrollTaxes[bu_name],$C1411)*(AS466+AS571+AS676)+SUMIFS(ExpensePayrollTaxes[Month 34],ExpensePayrollTaxes[exp_item],$H781,ExpensePayrollTaxes[company_name],$B1411)*AS781)</f>
        <v>0</v>
      </c>
      <c r="AT1411" s="652">
        <f>IF($B1411="",,SUMIFS(SalaryPayrollTaxes[Month 35],SalaryPayrollTaxes[exp_item],$H1411,SalaryPayrollTaxes[company_name],$B1411,SalaryPayrollTaxes[bu_name],$C1411)*(AT466+AT571+AT676)+SUMIFS(ExpensePayrollTaxes[Month 35],ExpensePayrollTaxes[exp_item],$H781,ExpensePayrollTaxes[company_name],$B1411)*AT781)</f>
        <v>0</v>
      </c>
      <c r="AU1411" s="652">
        <f>IF($B1411="",,SUMIFS(SalaryPayrollTaxes[Month 36],SalaryPayrollTaxes[exp_item],$H1411,SalaryPayrollTaxes[company_name],$B1411,SalaryPayrollTaxes[bu_name],$C1411)*(AU466+AU571+AU676)+SUMIFS(ExpensePayrollTaxes[Month 36],ExpensePayrollTaxes[exp_item],$H781,ExpensePayrollTaxes[company_name],$B1411)*AU781)</f>
        <v>0</v>
      </c>
    </row>
    <row r="1412" spans="2:47" x14ac:dyDescent="0.35">
      <c r="B1412" t="str">
        <f t="shared" si="999"/>
        <v/>
      </c>
      <c r="C1412" t="str">
        <f t="shared" si="999"/>
        <v/>
      </c>
      <c r="D1412" t="str">
        <f t="shared" si="999"/>
        <v/>
      </c>
      <c r="E1412" t="str">
        <f t="shared" si="999"/>
        <v/>
      </c>
      <c r="F1412" t="str">
        <f t="shared" si="999"/>
        <v/>
      </c>
      <c r="G1412" t="str">
        <f t="shared" si="999"/>
        <v/>
      </c>
      <c r="H1412" t="str">
        <f t="shared" si="997"/>
        <v/>
      </c>
      <c r="J1412" t="str">
        <f>IF($H1412="","",IF(VLOOKUP(H1412,ExpItems[],2,0),H1412&amp;" - "&amp;INDEX(DivisionMapping[category_code],MATCH($D1412&amp;$C1412,DivisionMapping[dept_bu],0)),H1412))</f>
        <v/>
      </c>
      <c r="K1412" t="str">
        <f t="shared" si="998"/>
        <v/>
      </c>
      <c r="L1412" s="652">
        <f>IF($B1412="",,SUMIFS(SalaryPayrollTaxes[Month 1],SalaryPayrollTaxes[exp_item],$H1412,SalaryPayrollTaxes[company_name],$B1412,SalaryPayrollTaxes[bu_name],$C1412)*(L467+L572+L677)+SUMIFS(ExpensePayrollTaxes[Month 1],ExpensePayrollTaxes[exp_item],$H782,ExpensePayrollTaxes[company_name],$B1412)*L782)</f>
        <v>0</v>
      </c>
      <c r="M1412" s="652">
        <f>IF($B1412="",,SUMIFS(SalaryPayrollTaxes[Month 2],SalaryPayrollTaxes[exp_item],$H1412,SalaryPayrollTaxes[company_name],$B1412,SalaryPayrollTaxes[bu_name],$C1412)*(M467+M572+M677)+SUMIFS(ExpensePayrollTaxes[Month 2],ExpensePayrollTaxes[exp_item],$H782,ExpensePayrollTaxes[company_name],$B1412)*M782)</f>
        <v>0</v>
      </c>
      <c r="N1412" s="652">
        <f>IF($B1412="",,SUMIFS(SalaryPayrollTaxes[Month 3],SalaryPayrollTaxes[exp_item],$H1412,SalaryPayrollTaxes[company_name],$B1412,SalaryPayrollTaxes[bu_name],$C1412)*(N467+N572+N677)+SUMIFS(ExpensePayrollTaxes[Month 3],ExpensePayrollTaxes[exp_item],$H782,ExpensePayrollTaxes[company_name],$B1412)*N782)</f>
        <v>0</v>
      </c>
      <c r="O1412" s="652">
        <f>IF($B1412="",,SUMIFS(SalaryPayrollTaxes[Month 4],SalaryPayrollTaxes[exp_item],$H1412,SalaryPayrollTaxes[company_name],$B1412,SalaryPayrollTaxes[bu_name],$C1412)*(O467+O572+O677)+SUMIFS(ExpensePayrollTaxes[Month 4],ExpensePayrollTaxes[exp_item],$H782,ExpensePayrollTaxes[company_name],$B1412)*O782)</f>
        <v>0</v>
      </c>
      <c r="P1412" s="652">
        <f>IF($B1412="",,SUMIFS(SalaryPayrollTaxes[Month 5],SalaryPayrollTaxes[exp_item],$H1412,SalaryPayrollTaxes[company_name],$B1412,SalaryPayrollTaxes[bu_name],$C1412)*(P467+P572+P677)+SUMIFS(ExpensePayrollTaxes[Month 5],ExpensePayrollTaxes[exp_item],$H782,ExpensePayrollTaxes[company_name],$B1412)*P782)</f>
        <v>0</v>
      </c>
      <c r="Q1412" s="652">
        <f>IF($B1412="",,SUMIFS(SalaryPayrollTaxes[Month 6],SalaryPayrollTaxes[exp_item],$H1412,SalaryPayrollTaxes[company_name],$B1412,SalaryPayrollTaxes[bu_name],$C1412)*(Q467+Q572+Q677)+SUMIFS(ExpensePayrollTaxes[Month 6],ExpensePayrollTaxes[exp_item],$H782,ExpensePayrollTaxes[company_name],$B1412)*Q782)</f>
        <v>0</v>
      </c>
      <c r="R1412" s="652">
        <f>IF($B1412="",,SUMIFS(SalaryPayrollTaxes[Month 7],SalaryPayrollTaxes[exp_item],$H1412,SalaryPayrollTaxes[company_name],$B1412,SalaryPayrollTaxes[bu_name],$C1412)*(R467+R572+R677)+SUMIFS(ExpensePayrollTaxes[Month 7],ExpensePayrollTaxes[exp_item],$H782,ExpensePayrollTaxes[company_name],$B1412)*R782)</f>
        <v>0</v>
      </c>
      <c r="S1412" s="652">
        <f>IF($B1412="",,SUMIFS(SalaryPayrollTaxes[Month 8],SalaryPayrollTaxes[exp_item],$H1412,SalaryPayrollTaxes[company_name],$B1412,SalaryPayrollTaxes[bu_name],$C1412)*(S467+S572+S677)+SUMIFS(ExpensePayrollTaxes[Month 8],ExpensePayrollTaxes[exp_item],$H782,ExpensePayrollTaxes[company_name],$B1412)*S782)</f>
        <v>0</v>
      </c>
      <c r="T1412" s="652">
        <f>IF($B1412="",,SUMIFS(SalaryPayrollTaxes[Month 9],SalaryPayrollTaxes[exp_item],$H1412,SalaryPayrollTaxes[company_name],$B1412,SalaryPayrollTaxes[bu_name],$C1412)*(T467+T572+T677)+SUMIFS(ExpensePayrollTaxes[Month 9],ExpensePayrollTaxes[exp_item],$H782,ExpensePayrollTaxes[company_name],$B1412)*T782)</f>
        <v>0</v>
      </c>
      <c r="U1412" s="652">
        <f>IF($B1412="",,SUMIFS(SalaryPayrollTaxes[Month 10],SalaryPayrollTaxes[exp_item],$H1412,SalaryPayrollTaxes[company_name],$B1412,SalaryPayrollTaxes[bu_name],$C1412)*(U467+U572+U677)+SUMIFS(ExpensePayrollTaxes[Month 10],ExpensePayrollTaxes[exp_item],$H782,ExpensePayrollTaxes[company_name],$B1412)*U782)</f>
        <v>0</v>
      </c>
      <c r="V1412" s="652">
        <f>IF($B1412="",,SUMIFS(SalaryPayrollTaxes[Month 11],SalaryPayrollTaxes[exp_item],$H1412,SalaryPayrollTaxes[company_name],$B1412,SalaryPayrollTaxes[bu_name],$C1412)*(V467+V572+V677)+SUMIFS(ExpensePayrollTaxes[Month 11],ExpensePayrollTaxes[exp_item],$H782,ExpensePayrollTaxes[company_name],$B1412)*V782)</f>
        <v>0</v>
      </c>
      <c r="W1412" s="652">
        <f>IF($B1412="",,SUMIFS(SalaryPayrollTaxes[Month 12],SalaryPayrollTaxes[exp_item],$H1412,SalaryPayrollTaxes[company_name],$B1412,SalaryPayrollTaxes[bu_name],$C1412)*(W467+W572+W677)+SUMIFS(ExpensePayrollTaxes[Month 12],ExpensePayrollTaxes[exp_item],$H782,ExpensePayrollTaxes[company_name],$B1412)*W782)</f>
        <v>0</v>
      </c>
      <c r="X1412" s="652">
        <f>IF($B1412="",,SUMIFS(SalaryPayrollTaxes[Month 13],SalaryPayrollTaxes[exp_item],$H1412,SalaryPayrollTaxes[company_name],$B1412,SalaryPayrollTaxes[bu_name],$C1412)*(X467+X572+X677)+SUMIFS(ExpensePayrollTaxes[Month 13],ExpensePayrollTaxes[exp_item],$H782,ExpensePayrollTaxes[company_name],$B1412)*X782)</f>
        <v>0</v>
      </c>
      <c r="Y1412" s="652">
        <f>IF($B1412="",,SUMIFS(SalaryPayrollTaxes[Month 14],SalaryPayrollTaxes[exp_item],$H1412,SalaryPayrollTaxes[company_name],$B1412,SalaryPayrollTaxes[bu_name],$C1412)*(Y467+Y572+Y677)+SUMIFS(ExpensePayrollTaxes[Month 14],ExpensePayrollTaxes[exp_item],$H782,ExpensePayrollTaxes[company_name],$B1412)*Y782)</f>
        <v>0</v>
      </c>
      <c r="Z1412" s="652">
        <f>IF($B1412="",,SUMIFS(SalaryPayrollTaxes[Month 15],SalaryPayrollTaxes[exp_item],$H1412,SalaryPayrollTaxes[company_name],$B1412,SalaryPayrollTaxes[bu_name],$C1412)*(Z467+Z572+Z677)+SUMIFS(ExpensePayrollTaxes[Month 15],ExpensePayrollTaxes[exp_item],$H782,ExpensePayrollTaxes[company_name],$B1412)*Z782)</f>
        <v>0</v>
      </c>
      <c r="AA1412" s="652">
        <f>IF($B1412="",,SUMIFS(SalaryPayrollTaxes[Month 16],SalaryPayrollTaxes[exp_item],$H1412,SalaryPayrollTaxes[company_name],$B1412,SalaryPayrollTaxes[bu_name],$C1412)*(AA467+AA572+AA677)+SUMIFS(ExpensePayrollTaxes[Month 16],ExpensePayrollTaxes[exp_item],$H782,ExpensePayrollTaxes[company_name],$B1412)*AA782)</f>
        <v>0</v>
      </c>
      <c r="AB1412" s="652">
        <f>IF($B1412="",,SUMIFS(SalaryPayrollTaxes[Month 17],SalaryPayrollTaxes[exp_item],$H1412,SalaryPayrollTaxes[company_name],$B1412,SalaryPayrollTaxes[bu_name],$C1412)*(AB467+AB572+AB677)+SUMIFS(ExpensePayrollTaxes[Month 17],ExpensePayrollTaxes[exp_item],$H782,ExpensePayrollTaxes[company_name],$B1412)*AB782)</f>
        <v>0</v>
      </c>
      <c r="AC1412" s="652">
        <f>IF($B1412="",,SUMIFS(SalaryPayrollTaxes[Month 18],SalaryPayrollTaxes[exp_item],$H1412,SalaryPayrollTaxes[company_name],$B1412,SalaryPayrollTaxes[bu_name],$C1412)*(AC467+AC572+AC677)+SUMIFS(ExpensePayrollTaxes[Month 18],ExpensePayrollTaxes[exp_item],$H782,ExpensePayrollTaxes[company_name],$B1412)*AC782)</f>
        <v>0</v>
      </c>
      <c r="AD1412" s="652">
        <f>IF($B1412="",,SUMIFS(SalaryPayrollTaxes[Month 19],SalaryPayrollTaxes[exp_item],$H1412,SalaryPayrollTaxes[company_name],$B1412,SalaryPayrollTaxes[bu_name],$C1412)*(AD467+AD572+AD677)+SUMIFS(ExpensePayrollTaxes[Month 19],ExpensePayrollTaxes[exp_item],$H782,ExpensePayrollTaxes[company_name],$B1412)*AD782)</f>
        <v>0</v>
      </c>
      <c r="AE1412" s="652">
        <f>IF($B1412="",,SUMIFS(SalaryPayrollTaxes[Month 20],SalaryPayrollTaxes[exp_item],$H1412,SalaryPayrollTaxes[company_name],$B1412,SalaryPayrollTaxes[bu_name],$C1412)*(AE467+AE572+AE677)+SUMIFS(ExpensePayrollTaxes[Month 20],ExpensePayrollTaxes[exp_item],$H782,ExpensePayrollTaxes[company_name],$B1412)*AE782)</f>
        <v>0</v>
      </c>
      <c r="AF1412" s="652">
        <f>IF($B1412="",,SUMIFS(SalaryPayrollTaxes[Month 21],SalaryPayrollTaxes[exp_item],$H1412,SalaryPayrollTaxes[company_name],$B1412,SalaryPayrollTaxes[bu_name],$C1412)*(AF467+AF572+AF677)+SUMIFS(ExpensePayrollTaxes[Month 21],ExpensePayrollTaxes[exp_item],$H782,ExpensePayrollTaxes[company_name],$B1412)*AF782)</f>
        <v>0</v>
      </c>
      <c r="AG1412" s="652">
        <f>IF($B1412="",,SUMIFS(SalaryPayrollTaxes[Month 22],SalaryPayrollTaxes[exp_item],$H1412,SalaryPayrollTaxes[company_name],$B1412,SalaryPayrollTaxes[bu_name],$C1412)*(AG467+AG572+AG677)+SUMIFS(ExpensePayrollTaxes[Month 22],ExpensePayrollTaxes[exp_item],$H782,ExpensePayrollTaxes[company_name],$B1412)*AG782)</f>
        <v>0</v>
      </c>
      <c r="AH1412" s="652">
        <f>IF($B1412="",,SUMIFS(SalaryPayrollTaxes[Month 23],SalaryPayrollTaxes[exp_item],$H1412,SalaryPayrollTaxes[company_name],$B1412,SalaryPayrollTaxes[bu_name],$C1412)*(AH467+AH572+AH677)+SUMIFS(ExpensePayrollTaxes[Month 23],ExpensePayrollTaxes[exp_item],$H782,ExpensePayrollTaxes[company_name],$B1412)*AH782)</f>
        <v>0</v>
      </c>
      <c r="AI1412" s="652">
        <f>IF($B1412="",,SUMIFS(SalaryPayrollTaxes[Month 24],SalaryPayrollTaxes[exp_item],$H1412,SalaryPayrollTaxes[company_name],$B1412,SalaryPayrollTaxes[bu_name],$C1412)*(AI467+AI572+AI677)+SUMIFS(ExpensePayrollTaxes[Month 24],ExpensePayrollTaxes[exp_item],$H782,ExpensePayrollTaxes[company_name],$B1412)*AI782)</f>
        <v>0</v>
      </c>
      <c r="AJ1412" s="652">
        <f>IF($B1412="",,SUMIFS(SalaryPayrollTaxes[Month 25],SalaryPayrollTaxes[exp_item],$H1412,SalaryPayrollTaxes[company_name],$B1412,SalaryPayrollTaxes[bu_name],$C1412)*(AJ467+AJ572+AJ677)+SUMIFS(ExpensePayrollTaxes[Month 25],ExpensePayrollTaxes[exp_item],$H782,ExpensePayrollTaxes[company_name],$B1412)*AJ782)</f>
        <v>0</v>
      </c>
      <c r="AK1412" s="652">
        <f>IF($B1412="",,SUMIFS(SalaryPayrollTaxes[Month 26],SalaryPayrollTaxes[exp_item],$H1412,SalaryPayrollTaxes[company_name],$B1412,SalaryPayrollTaxes[bu_name],$C1412)*(AK467+AK572+AK677)+SUMIFS(ExpensePayrollTaxes[Month 26],ExpensePayrollTaxes[exp_item],$H782,ExpensePayrollTaxes[company_name],$B1412)*AK782)</f>
        <v>0</v>
      </c>
      <c r="AL1412" s="652">
        <f>IF($B1412="",,SUMIFS(SalaryPayrollTaxes[Month 27],SalaryPayrollTaxes[exp_item],$H1412,SalaryPayrollTaxes[company_name],$B1412,SalaryPayrollTaxes[bu_name],$C1412)*(AL467+AL572+AL677)+SUMIFS(ExpensePayrollTaxes[Month 27],ExpensePayrollTaxes[exp_item],$H782,ExpensePayrollTaxes[company_name],$B1412)*AL782)</f>
        <v>0</v>
      </c>
      <c r="AM1412" s="652">
        <f>IF($B1412="",,SUMIFS(SalaryPayrollTaxes[Month 28],SalaryPayrollTaxes[exp_item],$H1412,SalaryPayrollTaxes[company_name],$B1412,SalaryPayrollTaxes[bu_name],$C1412)*(AM467+AM572+AM677)+SUMIFS(ExpensePayrollTaxes[Month 28],ExpensePayrollTaxes[exp_item],$H782,ExpensePayrollTaxes[company_name],$B1412)*AM782)</f>
        <v>0</v>
      </c>
      <c r="AN1412" s="652">
        <f>IF($B1412="",,SUMIFS(SalaryPayrollTaxes[Month 29],SalaryPayrollTaxes[exp_item],$H1412,SalaryPayrollTaxes[company_name],$B1412,SalaryPayrollTaxes[bu_name],$C1412)*(AN467+AN572+AN677)+SUMIFS(ExpensePayrollTaxes[Month 29],ExpensePayrollTaxes[exp_item],$H782,ExpensePayrollTaxes[company_name],$B1412)*AN782)</f>
        <v>0</v>
      </c>
      <c r="AO1412" s="652">
        <f>IF($B1412="",,SUMIFS(SalaryPayrollTaxes[Month 30],SalaryPayrollTaxes[exp_item],$H1412,SalaryPayrollTaxes[company_name],$B1412,SalaryPayrollTaxes[bu_name],$C1412)*(AO467+AO572+AO677)+SUMIFS(ExpensePayrollTaxes[Month 30],ExpensePayrollTaxes[exp_item],$H782,ExpensePayrollTaxes[company_name],$B1412)*AO782)</f>
        <v>0</v>
      </c>
      <c r="AP1412" s="652">
        <f>IF($B1412="",,SUMIFS(SalaryPayrollTaxes[Month 31],SalaryPayrollTaxes[exp_item],$H1412,SalaryPayrollTaxes[company_name],$B1412,SalaryPayrollTaxes[bu_name],$C1412)*(AP467+AP572+AP677)+SUMIFS(ExpensePayrollTaxes[Month 31],ExpensePayrollTaxes[exp_item],$H782,ExpensePayrollTaxes[company_name],$B1412)*AP782)</f>
        <v>0</v>
      </c>
      <c r="AQ1412" s="652">
        <f>IF($B1412="",,SUMIFS(SalaryPayrollTaxes[Month 32],SalaryPayrollTaxes[exp_item],$H1412,SalaryPayrollTaxes[company_name],$B1412,SalaryPayrollTaxes[bu_name],$C1412)*(AQ467+AQ572+AQ677)+SUMIFS(ExpensePayrollTaxes[Month 32],ExpensePayrollTaxes[exp_item],$H782,ExpensePayrollTaxes[company_name],$B1412)*AQ782)</f>
        <v>0</v>
      </c>
      <c r="AR1412" s="652">
        <f>IF($B1412="",,SUMIFS(SalaryPayrollTaxes[Month 33],SalaryPayrollTaxes[exp_item],$H1412,SalaryPayrollTaxes[company_name],$B1412,SalaryPayrollTaxes[bu_name],$C1412)*(AR467+AR572+AR677)+SUMIFS(ExpensePayrollTaxes[Month 33],ExpensePayrollTaxes[exp_item],$H782,ExpensePayrollTaxes[company_name],$B1412)*AR782)</f>
        <v>0</v>
      </c>
      <c r="AS1412" s="652">
        <f>IF($B1412="",,SUMIFS(SalaryPayrollTaxes[Month 34],SalaryPayrollTaxes[exp_item],$H1412,SalaryPayrollTaxes[company_name],$B1412,SalaryPayrollTaxes[bu_name],$C1412)*(AS467+AS572+AS677)+SUMIFS(ExpensePayrollTaxes[Month 34],ExpensePayrollTaxes[exp_item],$H782,ExpensePayrollTaxes[company_name],$B1412)*AS782)</f>
        <v>0</v>
      </c>
      <c r="AT1412" s="652">
        <f>IF($B1412="",,SUMIFS(SalaryPayrollTaxes[Month 35],SalaryPayrollTaxes[exp_item],$H1412,SalaryPayrollTaxes[company_name],$B1412,SalaryPayrollTaxes[bu_name],$C1412)*(AT467+AT572+AT677)+SUMIFS(ExpensePayrollTaxes[Month 35],ExpensePayrollTaxes[exp_item],$H782,ExpensePayrollTaxes[company_name],$B1412)*AT782)</f>
        <v>0</v>
      </c>
      <c r="AU1412" s="652">
        <f>IF($B1412="",,SUMIFS(SalaryPayrollTaxes[Month 36],SalaryPayrollTaxes[exp_item],$H1412,SalaryPayrollTaxes[company_name],$B1412,SalaryPayrollTaxes[bu_name],$C1412)*(AU467+AU572+AU677)+SUMIFS(ExpensePayrollTaxes[Month 36],ExpensePayrollTaxes[exp_item],$H782,ExpensePayrollTaxes[company_name],$B1412)*AU782)</f>
        <v>0</v>
      </c>
    </row>
    <row r="1413" spans="2:47" x14ac:dyDescent="0.35">
      <c r="B1413" t="str">
        <f t="shared" si="999"/>
        <v/>
      </c>
      <c r="C1413" t="str">
        <f t="shared" si="999"/>
        <v/>
      </c>
      <c r="D1413" t="str">
        <f t="shared" si="999"/>
        <v/>
      </c>
      <c r="E1413" t="str">
        <f t="shared" si="999"/>
        <v/>
      </c>
      <c r="F1413" t="str">
        <f t="shared" si="999"/>
        <v/>
      </c>
      <c r="G1413" t="str">
        <f t="shared" si="999"/>
        <v/>
      </c>
      <c r="H1413" t="str">
        <f t="shared" si="997"/>
        <v/>
      </c>
      <c r="J1413" t="str">
        <f>IF($H1413="","",IF(VLOOKUP(H1413,ExpItems[],2,0),H1413&amp;" - "&amp;INDEX(DivisionMapping[category_code],MATCH($D1413&amp;$C1413,DivisionMapping[dept_bu],0)),H1413))</f>
        <v/>
      </c>
      <c r="K1413" t="str">
        <f t="shared" si="998"/>
        <v/>
      </c>
      <c r="L1413" s="652">
        <f>IF($B1413="",,SUMIFS(SalaryPayrollTaxes[Month 1],SalaryPayrollTaxes[exp_item],$H1413,SalaryPayrollTaxes[company_name],$B1413,SalaryPayrollTaxes[bu_name],$C1413)*(L468+L573+L678)+SUMIFS(ExpensePayrollTaxes[Month 1],ExpensePayrollTaxes[exp_item],$H783,ExpensePayrollTaxes[company_name],$B1413)*L783)</f>
        <v>0</v>
      </c>
      <c r="M1413" s="652">
        <f>IF($B1413="",,SUMIFS(SalaryPayrollTaxes[Month 2],SalaryPayrollTaxes[exp_item],$H1413,SalaryPayrollTaxes[company_name],$B1413,SalaryPayrollTaxes[bu_name],$C1413)*(M468+M573+M678)+SUMIFS(ExpensePayrollTaxes[Month 2],ExpensePayrollTaxes[exp_item],$H783,ExpensePayrollTaxes[company_name],$B1413)*M783)</f>
        <v>0</v>
      </c>
      <c r="N1413" s="652">
        <f>IF($B1413="",,SUMIFS(SalaryPayrollTaxes[Month 3],SalaryPayrollTaxes[exp_item],$H1413,SalaryPayrollTaxes[company_name],$B1413,SalaryPayrollTaxes[bu_name],$C1413)*(N468+N573+N678)+SUMIFS(ExpensePayrollTaxes[Month 3],ExpensePayrollTaxes[exp_item],$H783,ExpensePayrollTaxes[company_name],$B1413)*N783)</f>
        <v>0</v>
      </c>
      <c r="O1413" s="652">
        <f>IF($B1413="",,SUMIFS(SalaryPayrollTaxes[Month 4],SalaryPayrollTaxes[exp_item],$H1413,SalaryPayrollTaxes[company_name],$B1413,SalaryPayrollTaxes[bu_name],$C1413)*(O468+O573+O678)+SUMIFS(ExpensePayrollTaxes[Month 4],ExpensePayrollTaxes[exp_item],$H783,ExpensePayrollTaxes[company_name],$B1413)*O783)</f>
        <v>0</v>
      </c>
      <c r="P1413" s="652">
        <f>IF($B1413="",,SUMIFS(SalaryPayrollTaxes[Month 5],SalaryPayrollTaxes[exp_item],$H1413,SalaryPayrollTaxes[company_name],$B1413,SalaryPayrollTaxes[bu_name],$C1413)*(P468+P573+P678)+SUMIFS(ExpensePayrollTaxes[Month 5],ExpensePayrollTaxes[exp_item],$H783,ExpensePayrollTaxes[company_name],$B1413)*P783)</f>
        <v>0</v>
      </c>
      <c r="Q1413" s="652">
        <f>IF($B1413="",,SUMIFS(SalaryPayrollTaxes[Month 6],SalaryPayrollTaxes[exp_item],$H1413,SalaryPayrollTaxes[company_name],$B1413,SalaryPayrollTaxes[bu_name],$C1413)*(Q468+Q573+Q678)+SUMIFS(ExpensePayrollTaxes[Month 6],ExpensePayrollTaxes[exp_item],$H783,ExpensePayrollTaxes[company_name],$B1413)*Q783)</f>
        <v>0</v>
      </c>
      <c r="R1413" s="652">
        <f>IF($B1413="",,SUMIFS(SalaryPayrollTaxes[Month 7],SalaryPayrollTaxes[exp_item],$H1413,SalaryPayrollTaxes[company_name],$B1413,SalaryPayrollTaxes[bu_name],$C1413)*(R468+R573+R678)+SUMIFS(ExpensePayrollTaxes[Month 7],ExpensePayrollTaxes[exp_item],$H783,ExpensePayrollTaxes[company_name],$B1413)*R783)</f>
        <v>0</v>
      </c>
      <c r="S1413" s="652">
        <f>IF($B1413="",,SUMIFS(SalaryPayrollTaxes[Month 8],SalaryPayrollTaxes[exp_item],$H1413,SalaryPayrollTaxes[company_name],$B1413,SalaryPayrollTaxes[bu_name],$C1413)*(S468+S573+S678)+SUMIFS(ExpensePayrollTaxes[Month 8],ExpensePayrollTaxes[exp_item],$H783,ExpensePayrollTaxes[company_name],$B1413)*S783)</f>
        <v>0</v>
      </c>
      <c r="T1413" s="652">
        <f>IF($B1413="",,SUMIFS(SalaryPayrollTaxes[Month 9],SalaryPayrollTaxes[exp_item],$H1413,SalaryPayrollTaxes[company_name],$B1413,SalaryPayrollTaxes[bu_name],$C1413)*(T468+T573+T678)+SUMIFS(ExpensePayrollTaxes[Month 9],ExpensePayrollTaxes[exp_item],$H783,ExpensePayrollTaxes[company_name],$B1413)*T783)</f>
        <v>0</v>
      </c>
      <c r="U1413" s="652">
        <f>IF($B1413="",,SUMIFS(SalaryPayrollTaxes[Month 10],SalaryPayrollTaxes[exp_item],$H1413,SalaryPayrollTaxes[company_name],$B1413,SalaryPayrollTaxes[bu_name],$C1413)*(U468+U573+U678)+SUMIFS(ExpensePayrollTaxes[Month 10],ExpensePayrollTaxes[exp_item],$H783,ExpensePayrollTaxes[company_name],$B1413)*U783)</f>
        <v>0</v>
      </c>
      <c r="V1413" s="652">
        <f>IF($B1413="",,SUMIFS(SalaryPayrollTaxes[Month 11],SalaryPayrollTaxes[exp_item],$H1413,SalaryPayrollTaxes[company_name],$B1413,SalaryPayrollTaxes[bu_name],$C1413)*(V468+V573+V678)+SUMIFS(ExpensePayrollTaxes[Month 11],ExpensePayrollTaxes[exp_item],$H783,ExpensePayrollTaxes[company_name],$B1413)*V783)</f>
        <v>0</v>
      </c>
      <c r="W1413" s="652">
        <f>IF($B1413="",,SUMIFS(SalaryPayrollTaxes[Month 12],SalaryPayrollTaxes[exp_item],$H1413,SalaryPayrollTaxes[company_name],$B1413,SalaryPayrollTaxes[bu_name],$C1413)*(W468+W573+W678)+SUMIFS(ExpensePayrollTaxes[Month 12],ExpensePayrollTaxes[exp_item],$H783,ExpensePayrollTaxes[company_name],$B1413)*W783)</f>
        <v>0</v>
      </c>
      <c r="X1413" s="652">
        <f>IF($B1413="",,SUMIFS(SalaryPayrollTaxes[Month 13],SalaryPayrollTaxes[exp_item],$H1413,SalaryPayrollTaxes[company_name],$B1413,SalaryPayrollTaxes[bu_name],$C1413)*(X468+X573+X678)+SUMIFS(ExpensePayrollTaxes[Month 13],ExpensePayrollTaxes[exp_item],$H783,ExpensePayrollTaxes[company_name],$B1413)*X783)</f>
        <v>0</v>
      </c>
      <c r="Y1413" s="652">
        <f>IF($B1413="",,SUMIFS(SalaryPayrollTaxes[Month 14],SalaryPayrollTaxes[exp_item],$H1413,SalaryPayrollTaxes[company_name],$B1413,SalaryPayrollTaxes[bu_name],$C1413)*(Y468+Y573+Y678)+SUMIFS(ExpensePayrollTaxes[Month 14],ExpensePayrollTaxes[exp_item],$H783,ExpensePayrollTaxes[company_name],$B1413)*Y783)</f>
        <v>0</v>
      </c>
      <c r="Z1413" s="652">
        <f>IF($B1413="",,SUMIFS(SalaryPayrollTaxes[Month 15],SalaryPayrollTaxes[exp_item],$H1413,SalaryPayrollTaxes[company_name],$B1413,SalaryPayrollTaxes[bu_name],$C1413)*(Z468+Z573+Z678)+SUMIFS(ExpensePayrollTaxes[Month 15],ExpensePayrollTaxes[exp_item],$H783,ExpensePayrollTaxes[company_name],$B1413)*Z783)</f>
        <v>0</v>
      </c>
      <c r="AA1413" s="652">
        <f>IF($B1413="",,SUMIFS(SalaryPayrollTaxes[Month 16],SalaryPayrollTaxes[exp_item],$H1413,SalaryPayrollTaxes[company_name],$B1413,SalaryPayrollTaxes[bu_name],$C1413)*(AA468+AA573+AA678)+SUMIFS(ExpensePayrollTaxes[Month 16],ExpensePayrollTaxes[exp_item],$H783,ExpensePayrollTaxes[company_name],$B1413)*AA783)</f>
        <v>0</v>
      </c>
      <c r="AB1413" s="652">
        <f>IF($B1413="",,SUMIFS(SalaryPayrollTaxes[Month 17],SalaryPayrollTaxes[exp_item],$H1413,SalaryPayrollTaxes[company_name],$B1413,SalaryPayrollTaxes[bu_name],$C1413)*(AB468+AB573+AB678)+SUMIFS(ExpensePayrollTaxes[Month 17],ExpensePayrollTaxes[exp_item],$H783,ExpensePayrollTaxes[company_name],$B1413)*AB783)</f>
        <v>0</v>
      </c>
      <c r="AC1413" s="652">
        <f>IF($B1413="",,SUMIFS(SalaryPayrollTaxes[Month 18],SalaryPayrollTaxes[exp_item],$H1413,SalaryPayrollTaxes[company_name],$B1413,SalaryPayrollTaxes[bu_name],$C1413)*(AC468+AC573+AC678)+SUMIFS(ExpensePayrollTaxes[Month 18],ExpensePayrollTaxes[exp_item],$H783,ExpensePayrollTaxes[company_name],$B1413)*AC783)</f>
        <v>0</v>
      </c>
      <c r="AD1413" s="652">
        <f>IF($B1413="",,SUMIFS(SalaryPayrollTaxes[Month 19],SalaryPayrollTaxes[exp_item],$H1413,SalaryPayrollTaxes[company_name],$B1413,SalaryPayrollTaxes[bu_name],$C1413)*(AD468+AD573+AD678)+SUMIFS(ExpensePayrollTaxes[Month 19],ExpensePayrollTaxes[exp_item],$H783,ExpensePayrollTaxes[company_name],$B1413)*AD783)</f>
        <v>0</v>
      </c>
      <c r="AE1413" s="652">
        <f>IF($B1413="",,SUMIFS(SalaryPayrollTaxes[Month 20],SalaryPayrollTaxes[exp_item],$H1413,SalaryPayrollTaxes[company_name],$B1413,SalaryPayrollTaxes[bu_name],$C1413)*(AE468+AE573+AE678)+SUMIFS(ExpensePayrollTaxes[Month 20],ExpensePayrollTaxes[exp_item],$H783,ExpensePayrollTaxes[company_name],$B1413)*AE783)</f>
        <v>0</v>
      </c>
      <c r="AF1413" s="652">
        <f>IF($B1413="",,SUMIFS(SalaryPayrollTaxes[Month 21],SalaryPayrollTaxes[exp_item],$H1413,SalaryPayrollTaxes[company_name],$B1413,SalaryPayrollTaxes[bu_name],$C1413)*(AF468+AF573+AF678)+SUMIFS(ExpensePayrollTaxes[Month 21],ExpensePayrollTaxes[exp_item],$H783,ExpensePayrollTaxes[company_name],$B1413)*AF783)</f>
        <v>0</v>
      </c>
      <c r="AG1413" s="652">
        <f>IF($B1413="",,SUMIFS(SalaryPayrollTaxes[Month 22],SalaryPayrollTaxes[exp_item],$H1413,SalaryPayrollTaxes[company_name],$B1413,SalaryPayrollTaxes[bu_name],$C1413)*(AG468+AG573+AG678)+SUMIFS(ExpensePayrollTaxes[Month 22],ExpensePayrollTaxes[exp_item],$H783,ExpensePayrollTaxes[company_name],$B1413)*AG783)</f>
        <v>0</v>
      </c>
      <c r="AH1413" s="652">
        <f>IF($B1413="",,SUMIFS(SalaryPayrollTaxes[Month 23],SalaryPayrollTaxes[exp_item],$H1413,SalaryPayrollTaxes[company_name],$B1413,SalaryPayrollTaxes[bu_name],$C1413)*(AH468+AH573+AH678)+SUMIFS(ExpensePayrollTaxes[Month 23],ExpensePayrollTaxes[exp_item],$H783,ExpensePayrollTaxes[company_name],$B1413)*AH783)</f>
        <v>0</v>
      </c>
      <c r="AI1413" s="652">
        <f>IF($B1413="",,SUMIFS(SalaryPayrollTaxes[Month 24],SalaryPayrollTaxes[exp_item],$H1413,SalaryPayrollTaxes[company_name],$B1413,SalaryPayrollTaxes[bu_name],$C1413)*(AI468+AI573+AI678)+SUMIFS(ExpensePayrollTaxes[Month 24],ExpensePayrollTaxes[exp_item],$H783,ExpensePayrollTaxes[company_name],$B1413)*AI783)</f>
        <v>0</v>
      </c>
      <c r="AJ1413" s="652">
        <f>IF($B1413="",,SUMIFS(SalaryPayrollTaxes[Month 25],SalaryPayrollTaxes[exp_item],$H1413,SalaryPayrollTaxes[company_name],$B1413,SalaryPayrollTaxes[bu_name],$C1413)*(AJ468+AJ573+AJ678)+SUMIFS(ExpensePayrollTaxes[Month 25],ExpensePayrollTaxes[exp_item],$H783,ExpensePayrollTaxes[company_name],$B1413)*AJ783)</f>
        <v>0</v>
      </c>
      <c r="AK1413" s="652">
        <f>IF($B1413="",,SUMIFS(SalaryPayrollTaxes[Month 26],SalaryPayrollTaxes[exp_item],$H1413,SalaryPayrollTaxes[company_name],$B1413,SalaryPayrollTaxes[bu_name],$C1413)*(AK468+AK573+AK678)+SUMIFS(ExpensePayrollTaxes[Month 26],ExpensePayrollTaxes[exp_item],$H783,ExpensePayrollTaxes[company_name],$B1413)*AK783)</f>
        <v>0</v>
      </c>
      <c r="AL1413" s="652">
        <f>IF($B1413="",,SUMIFS(SalaryPayrollTaxes[Month 27],SalaryPayrollTaxes[exp_item],$H1413,SalaryPayrollTaxes[company_name],$B1413,SalaryPayrollTaxes[bu_name],$C1413)*(AL468+AL573+AL678)+SUMIFS(ExpensePayrollTaxes[Month 27],ExpensePayrollTaxes[exp_item],$H783,ExpensePayrollTaxes[company_name],$B1413)*AL783)</f>
        <v>0</v>
      </c>
      <c r="AM1413" s="652">
        <f>IF($B1413="",,SUMIFS(SalaryPayrollTaxes[Month 28],SalaryPayrollTaxes[exp_item],$H1413,SalaryPayrollTaxes[company_name],$B1413,SalaryPayrollTaxes[bu_name],$C1413)*(AM468+AM573+AM678)+SUMIFS(ExpensePayrollTaxes[Month 28],ExpensePayrollTaxes[exp_item],$H783,ExpensePayrollTaxes[company_name],$B1413)*AM783)</f>
        <v>0</v>
      </c>
      <c r="AN1413" s="652">
        <f>IF($B1413="",,SUMIFS(SalaryPayrollTaxes[Month 29],SalaryPayrollTaxes[exp_item],$H1413,SalaryPayrollTaxes[company_name],$B1413,SalaryPayrollTaxes[bu_name],$C1413)*(AN468+AN573+AN678)+SUMIFS(ExpensePayrollTaxes[Month 29],ExpensePayrollTaxes[exp_item],$H783,ExpensePayrollTaxes[company_name],$B1413)*AN783)</f>
        <v>0</v>
      </c>
      <c r="AO1413" s="652">
        <f>IF($B1413="",,SUMIFS(SalaryPayrollTaxes[Month 30],SalaryPayrollTaxes[exp_item],$H1413,SalaryPayrollTaxes[company_name],$B1413,SalaryPayrollTaxes[bu_name],$C1413)*(AO468+AO573+AO678)+SUMIFS(ExpensePayrollTaxes[Month 30],ExpensePayrollTaxes[exp_item],$H783,ExpensePayrollTaxes[company_name],$B1413)*AO783)</f>
        <v>0</v>
      </c>
      <c r="AP1413" s="652">
        <f>IF($B1413="",,SUMIFS(SalaryPayrollTaxes[Month 31],SalaryPayrollTaxes[exp_item],$H1413,SalaryPayrollTaxes[company_name],$B1413,SalaryPayrollTaxes[bu_name],$C1413)*(AP468+AP573+AP678)+SUMIFS(ExpensePayrollTaxes[Month 31],ExpensePayrollTaxes[exp_item],$H783,ExpensePayrollTaxes[company_name],$B1413)*AP783)</f>
        <v>0</v>
      </c>
      <c r="AQ1413" s="652">
        <f>IF($B1413="",,SUMIFS(SalaryPayrollTaxes[Month 32],SalaryPayrollTaxes[exp_item],$H1413,SalaryPayrollTaxes[company_name],$B1413,SalaryPayrollTaxes[bu_name],$C1413)*(AQ468+AQ573+AQ678)+SUMIFS(ExpensePayrollTaxes[Month 32],ExpensePayrollTaxes[exp_item],$H783,ExpensePayrollTaxes[company_name],$B1413)*AQ783)</f>
        <v>0</v>
      </c>
      <c r="AR1413" s="652">
        <f>IF($B1413="",,SUMIFS(SalaryPayrollTaxes[Month 33],SalaryPayrollTaxes[exp_item],$H1413,SalaryPayrollTaxes[company_name],$B1413,SalaryPayrollTaxes[bu_name],$C1413)*(AR468+AR573+AR678)+SUMIFS(ExpensePayrollTaxes[Month 33],ExpensePayrollTaxes[exp_item],$H783,ExpensePayrollTaxes[company_name],$B1413)*AR783)</f>
        <v>0</v>
      </c>
      <c r="AS1413" s="652">
        <f>IF($B1413="",,SUMIFS(SalaryPayrollTaxes[Month 34],SalaryPayrollTaxes[exp_item],$H1413,SalaryPayrollTaxes[company_name],$B1413,SalaryPayrollTaxes[bu_name],$C1413)*(AS468+AS573+AS678)+SUMIFS(ExpensePayrollTaxes[Month 34],ExpensePayrollTaxes[exp_item],$H783,ExpensePayrollTaxes[company_name],$B1413)*AS783)</f>
        <v>0</v>
      </c>
      <c r="AT1413" s="652">
        <f>IF($B1413="",,SUMIFS(SalaryPayrollTaxes[Month 35],SalaryPayrollTaxes[exp_item],$H1413,SalaryPayrollTaxes[company_name],$B1413,SalaryPayrollTaxes[bu_name],$C1413)*(AT468+AT573+AT678)+SUMIFS(ExpensePayrollTaxes[Month 35],ExpensePayrollTaxes[exp_item],$H783,ExpensePayrollTaxes[company_name],$B1413)*AT783)</f>
        <v>0</v>
      </c>
      <c r="AU1413" s="652">
        <f>IF($B1413="",,SUMIFS(SalaryPayrollTaxes[Month 36],SalaryPayrollTaxes[exp_item],$H1413,SalaryPayrollTaxes[company_name],$B1413,SalaryPayrollTaxes[bu_name],$C1413)*(AU468+AU573+AU678)+SUMIFS(ExpensePayrollTaxes[Month 36],ExpensePayrollTaxes[exp_item],$H783,ExpensePayrollTaxes[company_name],$B1413)*AU783)</f>
        <v>0</v>
      </c>
    </row>
    <row r="1414" spans="2:47" x14ac:dyDescent="0.35">
      <c r="B1414" t="str">
        <f t="shared" si="999"/>
        <v/>
      </c>
      <c r="C1414" t="str">
        <f t="shared" si="999"/>
        <v/>
      </c>
      <c r="D1414" t="str">
        <f t="shared" si="999"/>
        <v/>
      </c>
      <c r="E1414" t="str">
        <f t="shared" si="999"/>
        <v/>
      </c>
      <c r="F1414" t="str">
        <f t="shared" si="999"/>
        <v/>
      </c>
      <c r="G1414" t="str">
        <f t="shared" si="999"/>
        <v/>
      </c>
      <c r="H1414" t="str">
        <f t="shared" si="997"/>
        <v/>
      </c>
      <c r="J1414" t="str">
        <f>IF($H1414="","",IF(VLOOKUP(H1414,ExpItems[],2,0),H1414&amp;" - "&amp;INDEX(DivisionMapping[category_code],MATCH($D1414&amp;$C1414,DivisionMapping[dept_bu],0)),H1414))</f>
        <v/>
      </c>
      <c r="K1414" t="str">
        <f t="shared" si="998"/>
        <v/>
      </c>
      <c r="L1414" s="652">
        <f>IF($B1414="",,SUMIFS(SalaryPayrollTaxes[Month 1],SalaryPayrollTaxes[exp_item],$H1414,SalaryPayrollTaxes[company_name],$B1414,SalaryPayrollTaxes[bu_name],$C1414)*(L469+L574+L679)+SUMIFS(ExpensePayrollTaxes[Month 1],ExpensePayrollTaxes[exp_item],$H784,ExpensePayrollTaxes[company_name],$B1414)*L784)</f>
        <v>0</v>
      </c>
      <c r="M1414" s="652">
        <f>IF($B1414="",,SUMIFS(SalaryPayrollTaxes[Month 2],SalaryPayrollTaxes[exp_item],$H1414,SalaryPayrollTaxes[company_name],$B1414,SalaryPayrollTaxes[bu_name],$C1414)*(M469+M574+M679)+SUMIFS(ExpensePayrollTaxes[Month 2],ExpensePayrollTaxes[exp_item],$H784,ExpensePayrollTaxes[company_name],$B1414)*M784)</f>
        <v>0</v>
      </c>
      <c r="N1414" s="652">
        <f>IF($B1414="",,SUMIFS(SalaryPayrollTaxes[Month 3],SalaryPayrollTaxes[exp_item],$H1414,SalaryPayrollTaxes[company_name],$B1414,SalaryPayrollTaxes[bu_name],$C1414)*(N469+N574+N679)+SUMIFS(ExpensePayrollTaxes[Month 3],ExpensePayrollTaxes[exp_item],$H784,ExpensePayrollTaxes[company_name],$B1414)*N784)</f>
        <v>0</v>
      </c>
      <c r="O1414" s="652">
        <f>IF($B1414="",,SUMIFS(SalaryPayrollTaxes[Month 4],SalaryPayrollTaxes[exp_item],$H1414,SalaryPayrollTaxes[company_name],$B1414,SalaryPayrollTaxes[bu_name],$C1414)*(O469+O574+O679)+SUMIFS(ExpensePayrollTaxes[Month 4],ExpensePayrollTaxes[exp_item],$H784,ExpensePayrollTaxes[company_name],$B1414)*O784)</f>
        <v>0</v>
      </c>
      <c r="P1414" s="652">
        <f>IF($B1414="",,SUMIFS(SalaryPayrollTaxes[Month 5],SalaryPayrollTaxes[exp_item],$H1414,SalaryPayrollTaxes[company_name],$B1414,SalaryPayrollTaxes[bu_name],$C1414)*(P469+P574+P679)+SUMIFS(ExpensePayrollTaxes[Month 5],ExpensePayrollTaxes[exp_item],$H784,ExpensePayrollTaxes[company_name],$B1414)*P784)</f>
        <v>0</v>
      </c>
      <c r="Q1414" s="652">
        <f>IF($B1414="",,SUMIFS(SalaryPayrollTaxes[Month 6],SalaryPayrollTaxes[exp_item],$H1414,SalaryPayrollTaxes[company_name],$B1414,SalaryPayrollTaxes[bu_name],$C1414)*(Q469+Q574+Q679)+SUMIFS(ExpensePayrollTaxes[Month 6],ExpensePayrollTaxes[exp_item],$H784,ExpensePayrollTaxes[company_name],$B1414)*Q784)</f>
        <v>0</v>
      </c>
      <c r="R1414" s="652">
        <f>IF($B1414="",,SUMIFS(SalaryPayrollTaxes[Month 7],SalaryPayrollTaxes[exp_item],$H1414,SalaryPayrollTaxes[company_name],$B1414,SalaryPayrollTaxes[bu_name],$C1414)*(R469+R574+R679)+SUMIFS(ExpensePayrollTaxes[Month 7],ExpensePayrollTaxes[exp_item],$H784,ExpensePayrollTaxes[company_name],$B1414)*R784)</f>
        <v>0</v>
      </c>
      <c r="S1414" s="652">
        <f>IF($B1414="",,SUMIFS(SalaryPayrollTaxes[Month 8],SalaryPayrollTaxes[exp_item],$H1414,SalaryPayrollTaxes[company_name],$B1414,SalaryPayrollTaxes[bu_name],$C1414)*(S469+S574+S679)+SUMIFS(ExpensePayrollTaxes[Month 8],ExpensePayrollTaxes[exp_item],$H784,ExpensePayrollTaxes[company_name],$B1414)*S784)</f>
        <v>0</v>
      </c>
      <c r="T1414" s="652">
        <f>IF($B1414="",,SUMIFS(SalaryPayrollTaxes[Month 9],SalaryPayrollTaxes[exp_item],$H1414,SalaryPayrollTaxes[company_name],$B1414,SalaryPayrollTaxes[bu_name],$C1414)*(T469+T574+T679)+SUMIFS(ExpensePayrollTaxes[Month 9],ExpensePayrollTaxes[exp_item],$H784,ExpensePayrollTaxes[company_name],$B1414)*T784)</f>
        <v>0</v>
      </c>
      <c r="U1414" s="652">
        <f>IF($B1414="",,SUMIFS(SalaryPayrollTaxes[Month 10],SalaryPayrollTaxes[exp_item],$H1414,SalaryPayrollTaxes[company_name],$B1414,SalaryPayrollTaxes[bu_name],$C1414)*(U469+U574+U679)+SUMIFS(ExpensePayrollTaxes[Month 10],ExpensePayrollTaxes[exp_item],$H784,ExpensePayrollTaxes[company_name],$B1414)*U784)</f>
        <v>0</v>
      </c>
      <c r="V1414" s="652">
        <f>IF($B1414="",,SUMIFS(SalaryPayrollTaxes[Month 11],SalaryPayrollTaxes[exp_item],$H1414,SalaryPayrollTaxes[company_name],$B1414,SalaryPayrollTaxes[bu_name],$C1414)*(V469+V574+V679)+SUMIFS(ExpensePayrollTaxes[Month 11],ExpensePayrollTaxes[exp_item],$H784,ExpensePayrollTaxes[company_name],$B1414)*V784)</f>
        <v>0</v>
      </c>
      <c r="W1414" s="652">
        <f>IF($B1414="",,SUMIFS(SalaryPayrollTaxes[Month 12],SalaryPayrollTaxes[exp_item],$H1414,SalaryPayrollTaxes[company_name],$B1414,SalaryPayrollTaxes[bu_name],$C1414)*(W469+W574+W679)+SUMIFS(ExpensePayrollTaxes[Month 12],ExpensePayrollTaxes[exp_item],$H784,ExpensePayrollTaxes[company_name],$B1414)*W784)</f>
        <v>0</v>
      </c>
      <c r="X1414" s="652">
        <f>IF($B1414="",,SUMIFS(SalaryPayrollTaxes[Month 13],SalaryPayrollTaxes[exp_item],$H1414,SalaryPayrollTaxes[company_name],$B1414,SalaryPayrollTaxes[bu_name],$C1414)*(X469+X574+X679)+SUMIFS(ExpensePayrollTaxes[Month 13],ExpensePayrollTaxes[exp_item],$H784,ExpensePayrollTaxes[company_name],$B1414)*X784)</f>
        <v>0</v>
      </c>
      <c r="Y1414" s="652">
        <f>IF($B1414="",,SUMIFS(SalaryPayrollTaxes[Month 14],SalaryPayrollTaxes[exp_item],$H1414,SalaryPayrollTaxes[company_name],$B1414,SalaryPayrollTaxes[bu_name],$C1414)*(Y469+Y574+Y679)+SUMIFS(ExpensePayrollTaxes[Month 14],ExpensePayrollTaxes[exp_item],$H784,ExpensePayrollTaxes[company_name],$B1414)*Y784)</f>
        <v>0</v>
      </c>
      <c r="Z1414" s="652">
        <f>IF($B1414="",,SUMIFS(SalaryPayrollTaxes[Month 15],SalaryPayrollTaxes[exp_item],$H1414,SalaryPayrollTaxes[company_name],$B1414,SalaryPayrollTaxes[bu_name],$C1414)*(Z469+Z574+Z679)+SUMIFS(ExpensePayrollTaxes[Month 15],ExpensePayrollTaxes[exp_item],$H784,ExpensePayrollTaxes[company_name],$B1414)*Z784)</f>
        <v>0</v>
      </c>
      <c r="AA1414" s="652">
        <f>IF($B1414="",,SUMIFS(SalaryPayrollTaxes[Month 16],SalaryPayrollTaxes[exp_item],$H1414,SalaryPayrollTaxes[company_name],$B1414,SalaryPayrollTaxes[bu_name],$C1414)*(AA469+AA574+AA679)+SUMIFS(ExpensePayrollTaxes[Month 16],ExpensePayrollTaxes[exp_item],$H784,ExpensePayrollTaxes[company_name],$B1414)*AA784)</f>
        <v>0</v>
      </c>
      <c r="AB1414" s="652">
        <f>IF($B1414="",,SUMIFS(SalaryPayrollTaxes[Month 17],SalaryPayrollTaxes[exp_item],$H1414,SalaryPayrollTaxes[company_name],$B1414,SalaryPayrollTaxes[bu_name],$C1414)*(AB469+AB574+AB679)+SUMIFS(ExpensePayrollTaxes[Month 17],ExpensePayrollTaxes[exp_item],$H784,ExpensePayrollTaxes[company_name],$B1414)*AB784)</f>
        <v>0</v>
      </c>
      <c r="AC1414" s="652">
        <f>IF($B1414="",,SUMIFS(SalaryPayrollTaxes[Month 18],SalaryPayrollTaxes[exp_item],$H1414,SalaryPayrollTaxes[company_name],$B1414,SalaryPayrollTaxes[bu_name],$C1414)*(AC469+AC574+AC679)+SUMIFS(ExpensePayrollTaxes[Month 18],ExpensePayrollTaxes[exp_item],$H784,ExpensePayrollTaxes[company_name],$B1414)*AC784)</f>
        <v>0</v>
      </c>
      <c r="AD1414" s="652">
        <f>IF($B1414="",,SUMIFS(SalaryPayrollTaxes[Month 19],SalaryPayrollTaxes[exp_item],$H1414,SalaryPayrollTaxes[company_name],$B1414,SalaryPayrollTaxes[bu_name],$C1414)*(AD469+AD574+AD679)+SUMIFS(ExpensePayrollTaxes[Month 19],ExpensePayrollTaxes[exp_item],$H784,ExpensePayrollTaxes[company_name],$B1414)*AD784)</f>
        <v>0</v>
      </c>
      <c r="AE1414" s="652">
        <f>IF($B1414="",,SUMIFS(SalaryPayrollTaxes[Month 20],SalaryPayrollTaxes[exp_item],$H1414,SalaryPayrollTaxes[company_name],$B1414,SalaryPayrollTaxes[bu_name],$C1414)*(AE469+AE574+AE679)+SUMIFS(ExpensePayrollTaxes[Month 20],ExpensePayrollTaxes[exp_item],$H784,ExpensePayrollTaxes[company_name],$B1414)*AE784)</f>
        <v>0</v>
      </c>
      <c r="AF1414" s="652">
        <f>IF($B1414="",,SUMIFS(SalaryPayrollTaxes[Month 21],SalaryPayrollTaxes[exp_item],$H1414,SalaryPayrollTaxes[company_name],$B1414,SalaryPayrollTaxes[bu_name],$C1414)*(AF469+AF574+AF679)+SUMIFS(ExpensePayrollTaxes[Month 21],ExpensePayrollTaxes[exp_item],$H784,ExpensePayrollTaxes[company_name],$B1414)*AF784)</f>
        <v>0</v>
      </c>
      <c r="AG1414" s="652">
        <f>IF($B1414="",,SUMIFS(SalaryPayrollTaxes[Month 22],SalaryPayrollTaxes[exp_item],$H1414,SalaryPayrollTaxes[company_name],$B1414,SalaryPayrollTaxes[bu_name],$C1414)*(AG469+AG574+AG679)+SUMIFS(ExpensePayrollTaxes[Month 22],ExpensePayrollTaxes[exp_item],$H784,ExpensePayrollTaxes[company_name],$B1414)*AG784)</f>
        <v>0</v>
      </c>
      <c r="AH1414" s="652">
        <f>IF($B1414="",,SUMIFS(SalaryPayrollTaxes[Month 23],SalaryPayrollTaxes[exp_item],$H1414,SalaryPayrollTaxes[company_name],$B1414,SalaryPayrollTaxes[bu_name],$C1414)*(AH469+AH574+AH679)+SUMIFS(ExpensePayrollTaxes[Month 23],ExpensePayrollTaxes[exp_item],$H784,ExpensePayrollTaxes[company_name],$B1414)*AH784)</f>
        <v>0</v>
      </c>
      <c r="AI1414" s="652">
        <f>IF($B1414="",,SUMIFS(SalaryPayrollTaxes[Month 24],SalaryPayrollTaxes[exp_item],$H1414,SalaryPayrollTaxes[company_name],$B1414,SalaryPayrollTaxes[bu_name],$C1414)*(AI469+AI574+AI679)+SUMIFS(ExpensePayrollTaxes[Month 24],ExpensePayrollTaxes[exp_item],$H784,ExpensePayrollTaxes[company_name],$B1414)*AI784)</f>
        <v>0</v>
      </c>
      <c r="AJ1414" s="652">
        <f>IF($B1414="",,SUMIFS(SalaryPayrollTaxes[Month 25],SalaryPayrollTaxes[exp_item],$H1414,SalaryPayrollTaxes[company_name],$B1414,SalaryPayrollTaxes[bu_name],$C1414)*(AJ469+AJ574+AJ679)+SUMIFS(ExpensePayrollTaxes[Month 25],ExpensePayrollTaxes[exp_item],$H784,ExpensePayrollTaxes[company_name],$B1414)*AJ784)</f>
        <v>0</v>
      </c>
      <c r="AK1414" s="652">
        <f>IF($B1414="",,SUMIFS(SalaryPayrollTaxes[Month 26],SalaryPayrollTaxes[exp_item],$H1414,SalaryPayrollTaxes[company_name],$B1414,SalaryPayrollTaxes[bu_name],$C1414)*(AK469+AK574+AK679)+SUMIFS(ExpensePayrollTaxes[Month 26],ExpensePayrollTaxes[exp_item],$H784,ExpensePayrollTaxes[company_name],$B1414)*AK784)</f>
        <v>0</v>
      </c>
      <c r="AL1414" s="652">
        <f>IF($B1414="",,SUMIFS(SalaryPayrollTaxes[Month 27],SalaryPayrollTaxes[exp_item],$H1414,SalaryPayrollTaxes[company_name],$B1414,SalaryPayrollTaxes[bu_name],$C1414)*(AL469+AL574+AL679)+SUMIFS(ExpensePayrollTaxes[Month 27],ExpensePayrollTaxes[exp_item],$H784,ExpensePayrollTaxes[company_name],$B1414)*AL784)</f>
        <v>0</v>
      </c>
      <c r="AM1414" s="652">
        <f>IF($B1414="",,SUMIFS(SalaryPayrollTaxes[Month 28],SalaryPayrollTaxes[exp_item],$H1414,SalaryPayrollTaxes[company_name],$B1414,SalaryPayrollTaxes[bu_name],$C1414)*(AM469+AM574+AM679)+SUMIFS(ExpensePayrollTaxes[Month 28],ExpensePayrollTaxes[exp_item],$H784,ExpensePayrollTaxes[company_name],$B1414)*AM784)</f>
        <v>0</v>
      </c>
      <c r="AN1414" s="652">
        <f>IF($B1414="",,SUMIFS(SalaryPayrollTaxes[Month 29],SalaryPayrollTaxes[exp_item],$H1414,SalaryPayrollTaxes[company_name],$B1414,SalaryPayrollTaxes[bu_name],$C1414)*(AN469+AN574+AN679)+SUMIFS(ExpensePayrollTaxes[Month 29],ExpensePayrollTaxes[exp_item],$H784,ExpensePayrollTaxes[company_name],$B1414)*AN784)</f>
        <v>0</v>
      </c>
      <c r="AO1414" s="652">
        <f>IF($B1414="",,SUMIFS(SalaryPayrollTaxes[Month 30],SalaryPayrollTaxes[exp_item],$H1414,SalaryPayrollTaxes[company_name],$B1414,SalaryPayrollTaxes[bu_name],$C1414)*(AO469+AO574+AO679)+SUMIFS(ExpensePayrollTaxes[Month 30],ExpensePayrollTaxes[exp_item],$H784,ExpensePayrollTaxes[company_name],$B1414)*AO784)</f>
        <v>0</v>
      </c>
      <c r="AP1414" s="652">
        <f>IF($B1414="",,SUMIFS(SalaryPayrollTaxes[Month 31],SalaryPayrollTaxes[exp_item],$H1414,SalaryPayrollTaxes[company_name],$B1414,SalaryPayrollTaxes[bu_name],$C1414)*(AP469+AP574+AP679)+SUMIFS(ExpensePayrollTaxes[Month 31],ExpensePayrollTaxes[exp_item],$H784,ExpensePayrollTaxes[company_name],$B1414)*AP784)</f>
        <v>0</v>
      </c>
      <c r="AQ1414" s="652">
        <f>IF($B1414="",,SUMIFS(SalaryPayrollTaxes[Month 32],SalaryPayrollTaxes[exp_item],$H1414,SalaryPayrollTaxes[company_name],$B1414,SalaryPayrollTaxes[bu_name],$C1414)*(AQ469+AQ574+AQ679)+SUMIFS(ExpensePayrollTaxes[Month 32],ExpensePayrollTaxes[exp_item],$H784,ExpensePayrollTaxes[company_name],$B1414)*AQ784)</f>
        <v>0</v>
      </c>
      <c r="AR1414" s="652">
        <f>IF($B1414="",,SUMIFS(SalaryPayrollTaxes[Month 33],SalaryPayrollTaxes[exp_item],$H1414,SalaryPayrollTaxes[company_name],$B1414,SalaryPayrollTaxes[bu_name],$C1414)*(AR469+AR574+AR679)+SUMIFS(ExpensePayrollTaxes[Month 33],ExpensePayrollTaxes[exp_item],$H784,ExpensePayrollTaxes[company_name],$B1414)*AR784)</f>
        <v>0</v>
      </c>
      <c r="AS1414" s="652">
        <f>IF($B1414="",,SUMIFS(SalaryPayrollTaxes[Month 34],SalaryPayrollTaxes[exp_item],$H1414,SalaryPayrollTaxes[company_name],$B1414,SalaryPayrollTaxes[bu_name],$C1414)*(AS469+AS574+AS679)+SUMIFS(ExpensePayrollTaxes[Month 34],ExpensePayrollTaxes[exp_item],$H784,ExpensePayrollTaxes[company_name],$B1414)*AS784)</f>
        <v>0</v>
      </c>
      <c r="AT1414" s="652">
        <f>IF($B1414="",,SUMIFS(SalaryPayrollTaxes[Month 35],SalaryPayrollTaxes[exp_item],$H1414,SalaryPayrollTaxes[company_name],$B1414,SalaryPayrollTaxes[bu_name],$C1414)*(AT469+AT574+AT679)+SUMIFS(ExpensePayrollTaxes[Month 35],ExpensePayrollTaxes[exp_item],$H784,ExpensePayrollTaxes[company_name],$B1414)*AT784)</f>
        <v>0</v>
      </c>
      <c r="AU1414" s="652">
        <f>IF($B1414="",,SUMIFS(SalaryPayrollTaxes[Month 36],SalaryPayrollTaxes[exp_item],$H1414,SalaryPayrollTaxes[company_name],$B1414,SalaryPayrollTaxes[bu_name],$C1414)*(AU469+AU574+AU679)+SUMIFS(ExpensePayrollTaxes[Month 36],ExpensePayrollTaxes[exp_item],$H784,ExpensePayrollTaxes[company_name],$B1414)*AU784)</f>
        <v>0</v>
      </c>
    </row>
    <row r="1415" spans="2:47" x14ac:dyDescent="0.35">
      <c r="B1415" t="str">
        <f t="shared" si="999"/>
        <v/>
      </c>
      <c r="C1415" t="str">
        <f t="shared" si="999"/>
        <v/>
      </c>
      <c r="D1415" t="str">
        <f t="shared" si="999"/>
        <v/>
      </c>
      <c r="E1415" t="str">
        <f t="shared" si="999"/>
        <v/>
      </c>
      <c r="F1415" t="str">
        <f t="shared" si="999"/>
        <v/>
      </c>
      <c r="G1415" t="str">
        <f t="shared" si="999"/>
        <v/>
      </c>
      <c r="H1415" t="str">
        <f t="shared" si="997"/>
        <v/>
      </c>
      <c r="J1415" t="str">
        <f>IF($H1415="","",IF(VLOOKUP(H1415,ExpItems[],2,0),H1415&amp;" - "&amp;INDEX(DivisionMapping[category_code],MATCH($D1415&amp;$C1415,DivisionMapping[dept_bu],0)),H1415))</f>
        <v/>
      </c>
      <c r="K1415" t="str">
        <f t="shared" si="998"/>
        <v/>
      </c>
      <c r="L1415" s="652">
        <f>IF($B1415="",,SUMIFS(SalaryPayrollTaxes[Month 1],SalaryPayrollTaxes[exp_item],$H1415,SalaryPayrollTaxes[company_name],$B1415,SalaryPayrollTaxes[bu_name],$C1415)*(L470+L575+L680)+SUMIFS(ExpensePayrollTaxes[Month 1],ExpensePayrollTaxes[exp_item],$H785,ExpensePayrollTaxes[company_name],$B1415)*L785)</f>
        <v>0</v>
      </c>
      <c r="M1415" s="652">
        <f>IF($B1415="",,SUMIFS(SalaryPayrollTaxes[Month 2],SalaryPayrollTaxes[exp_item],$H1415,SalaryPayrollTaxes[company_name],$B1415,SalaryPayrollTaxes[bu_name],$C1415)*(M470+M575+M680)+SUMIFS(ExpensePayrollTaxes[Month 2],ExpensePayrollTaxes[exp_item],$H785,ExpensePayrollTaxes[company_name],$B1415)*M785)</f>
        <v>0</v>
      </c>
      <c r="N1415" s="652">
        <f>IF($B1415="",,SUMIFS(SalaryPayrollTaxes[Month 3],SalaryPayrollTaxes[exp_item],$H1415,SalaryPayrollTaxes[company_name],$B1415,SalaryPayrollTaxes[bu_name],$C1415)*(N470+N575+N680)+SUMIFS(ExpensePayrollTaxes[Month 3],ExpensePayrollTaxes[exp_item],$H785,ExpensePayrollTaxes[company_name],$B1415)*N785)</f>
        <v>0</v>
      </c>
      <c r="O1415" s="652">
        <f>IF($B1415="",,SUMIFS(SalaryPayrollTaxes[Month 4],SalaryPayrollTaxes[exp_item],$H1415,SalaryPayrollTaxes[company_name],$B1415,SalaryPayrollTaxes[bu_name],$C1415)*(O470+O575+O680)+SUMIFS(ExpensePayrollTaxes[Month 4],ExpensePayrollTaxes[exp_item],$H785,ExpensePayrollTaxes[company_name],$B1415)*O785)</f>
        <v>0</v>
      </c>
      <c r="P1415" s="652">
        <f>IF($B1415="",,SUMIFS(SalaryPayrollTaxes[Month 5],SalaryPayrollTaxes[exp_item],$H1415,SalaryPayrollTaxes[company_name],$B1415,SalaryPayrollTaxes[bu_name],$C1415)*(P470+P575+P680)+SUMIFS(ExpensePayrollTaxes[Month 5],ExpensePayrollTaxes[exp_item],$H785,ExpensePayrollTaxes[company_name],$B1415)*P785)</f>
        <v>0</v>
      </c>
      <c r="Q1415" s="652">
        <f>IF($B1415="",,SUMIFS(SalaryPayrollTaxes[Month 6],SalaryPayrollTaxes[exp_item],$H1415,SalaryPayrollTaxes[company_name],$B1415,SalaryPayrollTaxes[bu_name],$C1415)*(Q470+Q575+Q680)+SUMIFS(ExpensePayrollTaxes[Month 6],ExpensePayrollTaxes[exp_item],$H785,ExpensePayrollTaxes[company_name],$B1415)*Q785)</f>
        <v>0</v>
      </c>
      <c r="R1415" s="652">
        <f>IF($B1415="",,SUMIFS(SalaryPayrollTaxes[Month 7],SalaryPayrollTaxes[exp_item],$H1415,SalaryPayrollTaxes[company_name],$B1415,SalaryPayrollTaxes[bu_name],$C1415)*(R470+R575+R680)+SUMIFS(ExpensePayrollTaxes[Month 7],ExpensePayrollTaxes[exp_item],$H785,ExpensePayrollTaxes[company_name],$B1415)*R785)</f>
        <v>0</v>
      </c>
      <c r="S1415" s="652">
        <f>IF($B1415="",,SUMIFS(SalaryPayrollTaxes[Month 8],SalaryPayrollTaxes[exp_item],$H1415,SalaryPayrollTaxes[company_name],$B1415,SalaryPayrollTaxes[bu_name],$C1415)*(S470+S575+S680)+SUMIFS(ExpensePayrollTaxes[Month 8],ExpensePayrollTaxes[exp_item],$H785,ExpensePayrollTaxes[company_name],$B1415)*S785)</f>
        <v>0</v>
      </c>
      <c r="T1415" s="652">
        <f>IF($B1415="",,SUMIFS(SalaryPayrollTaxes[Month 9],SalaryPayrollTaxes[exp_item],$H1415,SalaryPayrollTaxes[company_name],$B1415,SalaryPayrollTaxes[bu_name],$C1415)*(T470+T575+T680)+SUMIFS(ExpensePayrollTaxes[Month 9],ExpensePayrollTaxes[exp_item],$H785,ExpensePayrollTaxes[company_name],$B1415)*T785)</f>
        <v>0</v>
      </c>
      <c r="U1415" s="652">
        <f>IF($B1415="",,SUMIFS(SalaryPayrollTaxes[Month 10],SalaryPayrollTaxes[exp_item],$H1415,SalaryPayrollTaxes[company_name],$B1415,SalaryPayrollTaxes[bu_name],$C1415)*(U470+U575+U680)+SUMIFS(ExpensePayrollTaxes[Month 10],ExpensePayrollTaxes[exp_item],$H785,ExpensePayrollTaxes[company_name],$B1415)*U785)</f>
        <v>0</v>
      </c>
      <c r="V1415" s="652">
        <f>IF($B1415="",,SUMIFS(SalaryPayrollTaxes[Month 11],SalaryPayrollTaxes[exp_item],$H1415,SalaryPayrollTaxes[company_name],$B1415,SalaryPayrollTaxes[bu_name],$C1415)*(V470+V575+V680)+SUMIFS(ExpensePayrollTaxes[Month 11],ExpensePayrollTaxes[exp_item],$H785,ExpensePayrollTaxes[company_name],$B1415)*V785)</f>
        <v>0</v>
      </c>
      <c r="W1415" s="652">
        <f>IF($B1415="",,SUMIFS(SalaryPayrollTaxes[Month 12],SalaryPayrollTaxes[exp_item],$H1415,SalaryPayrollTaxes[company_name],$B1415,SalaryPayrollTaxes[bu_name],$C1415)*(W470+W575+W680)+SUMIFS(ExpensePayrollTaxes[Month 12],ExpensePayrollTaxes[exp_item],$H785,ExpensePayrollTaxes[company_name],$B1415)*W785)</f>
        <v>0</v>
      </c>
      <c r="X1415" s="652">
        <f>IF($B1415="",,SUMIFS(SalaryPayrollTaxes[Month 13],SalaryPayrollTaxes[exp_item],$H1415,SalaryPayrollTaxes[company_name],$B1415,SalaryPayrollTaxes[bu_name],$C1415)*(X470+X575+X680)+SUMIFS(ExpensePayrollTaxes[Month 13],ExpensePayrollTaxes[exp_item],$H785,ExpensePayrollTaxes[company_name],$B1415)*X785)</f>
        <v>0</v>
      </c>
      <c r="Y1415" s="652">
        <f>IF($B1415="",,SUMIFS(SalaryPayrollTaxes[Month 14],SalaryPayrollTaxes[exp_item],$H1415,SalaryPayrollTaxes[company_name],$B1415,SalaryPayrollTaxes[bu_name],$C1415)*(Y470+Y575+Y680)+SUMIFS(ExpensePayrollTaxes[Month 14],ExpensePayrollTaxes[exp_item],$H785,ExpensePayrollTaxes[company_name],$B1415)*Y785)</f>
        <v>0</v>
      </c>
      <c r="Z1415" s="652">
        <f>IF($B1415="",,SUMIFS(SalaryPayrollTaxes[Month 15],SalaryPayrollTaxes[exp_item],$H1415,SalaryPayrollTaxes[company_name],$B1415,SalaryPayrollTaxes[bu_name],$C1415)*(Z470+Z575+Z680)+SUMIFS(ExpensePayrollTaxes[Month 15],ExpensePayrollTaxes[exp_item],$H785,ExpensePayrollTaxes[company_name],$B1415)*Z785)</f>
        <v>0</v>
      </c>
      <c r="AA1415" s="652">
        <f>IF($B1415="",,SUMIFS(SalaryPayrollTaxes[Month 16],SalaryPayrollTaxes[exp_item],$H1415,SalaryPayrollTaxes[company_name],$B1415,SalaryPayrollTaxes[bu_name],$C1415)*(AA470+AA575+AA680)+SUMIFS(ExpensePayrollTaxes[Month 16],ExpensePayrollTaxes[exp_item],$H785,ExpensePayrollTaxes[company_name],$B1415)*AA785)</f>
        <v>0</v>
      </c>
      <c r="AB1415" s="652">
        <f>IF($B1415="",,SUMIFS(SalaryPayrollTaxes[Month 17],SalaryPayrollTaxes[exp_item],$H1415,SalaryPayrollTaxes[company_name],$B1415,SalaryPayrollTaxes[bu_name],$C1415)*(AB470+AB575+AB680)+SUMIFS(ExpensePayrollTaxes[Month 17],ExpensePayrollTaxes[exp_item],$H785,ExpensePayrollTaxes[company_name],$B1415)*AB785)</f>
        <v>0</v>
      </c>
      <c r="AC1415" s="652">
        <f>IF($B1415="",,SUMIFS(SalaryPayrollTaxes[Month 18],SalaryPayrollTaxes[exp_item],$H1415,SalaryPayrollTaxes[company_name],$B1415,SalaryPayrollTaxes[bu_name],$C1415)*(AC470+AC575+AC680)+SUMIFS(ExpensePayrollTaxes[Month 18],ExpensePayrollTaxes[exp_item],$H785,ExpensePayrollTaxes[company_name],$B1415)*AC785)</f>
        <v>0</v>
      </c>
      <c r="AD1415" s="652">
        <f>IF($B1415="",,SUMIFS(SalaryPayrollTaxes[Month 19],SalaryPayrollTaxes[exp_item],$H1415,SalaryPayrollTaxes[company_name],$B1415,SalaryPayrollTaxes[bu_name],$C1415)*(AD470+AD575+AD680)+SUMIFS(ExpensePayrollTaxes[Month 19],ExpensePayrollTaxes[exp_item],$H785,ExpensePayrollTaxes[company_name],$B1415)*AD785)</f>
        <v>0</v>
      </c>
      <c r="AE1415" s="652">
        <f>IF($B1415="",,SUMIFS(SalaryPayrollTaxes[Month 20],SalaryPayrollTaxes[exp_item],$H1415,SalaryPayrollTaxes[company_name],$B1415,SalaryPayrollTaxes[bu_name],$C1415)*(AE470+AE575+AE680)+SUMIFS(ExpensePayrollTaxes[Month 20],ExpensePayrollTaxes[exp_item],$H785,ExpensePayrollTaxes[company_name],$B1415)*AE785)</f>
        <v>0</v>
      </c>
      <c r="AF1415" s="652">
        <f>IF($B1415="",,SUMIFS(SalaryPayrollTaxes[Month 21],SalaryPayrollTaxes[exp_item],$H1415,SalaryPayrollTaxes[company_name],$B1415,SalaryPayrollTaxes[bu_name],$C1415)*(AF470+AF575+AF680)+SUMIFS(ExpensePayrollTaxes[Month 21],ExpensePayrollTaxes[exp_item],$H785,ExpensePayrollTaxes[company_name],$B1415)*AF785)</f>
        <v>0</v>
      </c>
      <c r="AG1415" s="652">
        <f>IF($B1415="",,SUMIFS(SalaryPayrollTaxes[Month 22],SalaryPayrollTaxes[exp_item],$H1415,SalaryPayrollTaxes[company_name],$B1415,SalaryPayrollTaxes[bu_name],$C1415)*(AG470+AG575+AG680)+SUMIFS(ExpensePayrollTaxes[Month 22],ExpensePayrollTaxes[exp_item],$H785,ExpensePayrollTaxes[company_name],$B1415)*AG785)</f>
        <v>0</v>
      </c>
      <c r="AH1415" s="652">
        <f>IF($B1415="",,SUMIFS(SalaryPayrollTaxes[Month 23],SalaryPayrollTaxes[exp_item],$H1415,SalaryPayrollTaxes[company_name],$B1415,SalaryPayrollTaxes[bu_name],$C1415)*(AH470+AH575+AH680)+SUMIFS(ExpensePayrollTaxes[Month 23],ExpensePayrollTaxes[exp_item],$H785,ExpensePayrollTaxes[company_name],$B1415)*AH785)</f>
        <v>0</v>
      </c>
      <c r="AI1415" s="652">
        <f>IF($B1415="",,SUMIFS(SalaryPayrollTaxes[Month 24],SalaryPayrollTaxes[exp_item],$H1415,SalaryPayrollTaxes[company_name],$B1415,SalaryPayrollTaxes[bu_name],$C1415)*(AI470+AI575+AI680)+SUMIFS(ExpensePayrollTaxes[Month 24],ExpensePayrollTaxes[exp_item],$H785,ExpensePayrollTaxes[company_name],$B1415)*AI785)</f>
        <v>0</v>
      </c>
      <c r="AJ1415" s="652">
        <f>IF($B1415="",,SUMIFS(SalaryPayrollTaxes[Month 25],SalaryPayrollTaxes[exp_item],$H1415,SalaryPayrollTaxes[company_name],$B1415,SalaryPayrollTaxes[bu_name],$C1415)*(AJ470+AJ575+AJ680)+SUMIFS(ExpensePayrollTaxes[Month 25],ExpensePayrollTaxes[exp_item],$H785,ExpensePayrollTaxes[company_name],$B1415)*AJ785)</f>
        <v>0</v>
      </c>
      <c r="AK1415" s="652">
        <f>IF($B1415="",,SUMIFS(SalaryPayrollTaxes[Month 26],SalaryPayrollTaxes[exp_item],$H1415,SalaryPayrollTaxes[company_name],$B1415,SalaryPayrollTaxes[bu_name],$C1415)*(AK470+AK575+AK680)+SUMIFS(ExpensePayrollTaxes[Month 26],ExpensePayrollTaxes[exp_item],$H785,ExpensePayrollTaxes[company_name],$B1415)*AK785)</f>
        <v>0</v>
      </c>
      <c r="AL1415" s="652">
        <f>IF($B1415="",,SUMIFS(SalaryPayrollTaxes[Month 27],SalaryPayrollTaxes[exp_item],$H1415,SalaryPayrollTaxes[company_name],$B1415,SalaryPayrollTaxes[bu_name],$C1415)*(AL470+AL575+AL680)+SUMIFS(ExpensePayrollTaxes[Month 27],ExpensePayrollTaxes[exp_item],$H785,ExpensePayrollTaxes[company_name],$B1415)*AL785)</f>
        <v>0</v>
      </c>
      <c r="AM1415" s="652">
        <f>IF($B1415="",,SUMIFS(SalaryPayrollTaxes[Month 28],SalaryPayrollTaxes[exp_item],$H1415,SalaryPayrollTaxes[company_name],$B1415,SalaryPayrollTaxes[bu_name],$C1415)*(AM470+AM575+AM680)+SUMIFS(ExpensePayrollTaxes[Month 28],ExpensePayrollTaxes[exp_item],$H785,ExpensePayrollTaxes[company_name],$B1415)*AM785)</f>
        <v>0</v>
      </c>
      <c r="AN1415" s="652">
        <f>IF($B1415="",,SUMIFS(SalaryPayrollTaxes[Month 29],SalaryPayrollTaxes[exp_item],$H1415,SalaryPayrollTaxes[company_name],$B1415,SalaryPayrollTaxes[bu_name],$C1415)*(AN470+AN575+AN680)+SUMIFS(ExpensePayrollTaxes[Month 29],ExpensePayrollTaxes[exp_item],$H785,ExpensePayrollTaxes[company_name],$B1415)*AN785)</f>
        <v>0</v>
      </c>
      <c r="AO1415" s="652">
        <f>IF($B1415="",,SUMIFS(SalaryPayrollTaxes[Month 30],SalaryPayrollTaxes[exp_item],$H1415,SalaryPayrollTaxes[company_name],$B1415,SalaryPayrollTaxes[bu_name],$C1415)*(AO470+AO575+AO680)+SUMIFS(ExpensePayrollTaxes[Month 30],ExpensePayrollTaxes[exp_item],$H785,ExpensePayrollTaxes[company_name],$B1415)*AO785)</f>
        <v>0</v>
      </c>
      <c r="AP1415" s="652">
        <f>IF($B1415="",,SUMIFS(SalaryPayrollTaxes[Month 31],SalaryPayrollTaxes[exp_item],$H1415,SalaryPayrollTaxes[company_name],$B1415,SalaryPayrollTaxes[bu_name],$C1415)*(AP470+AP575+AP680)+SUMIFS(ExpensePayrollTaxes[Month 31],ExpensePayrollTaxes[exp_item],$H785,ExpensePayrollTaxes[company_name],$B1415)*AP785)</f>
        <v>0</v>
      </c>
      <c r="AQ1415" s="652">
        <f>IF($B1415="",,SUMIFS(SalaryPayrollTaxes[Month 32],SalaryPayrollTaxes[exp_item],$H1415,SalaryPayrollTaxes[company_name],$B1415,SalaryPayrollTaxes[bu_name],$C1415)*(AQ470+AQ575+AQ680)+SUMIFS(ExpensePayrollTaxes[Month 32],ExpensePayrollTaxes[exp_item],$H785,ExpensePayrollTaxes[company_name],$B1415)*AQ785)</f>
        <v>0</v>
      </c>
      <c r="AR1415" s="652">
        <f>IF($B1415="",,SUMIFS(SalaryPayrollTaxes[Month 33],SalaryPayrollTaxes[exp_item],$H1415,SalaryPayrollTaxes[company_name],$B1415,SalaryPayrollTaxes[bu_name],$C1415)*(AR470+AR575+AR680)+SUMIFS(ExpensePayrollTaxes[Month 33],ExpensePayrollTaxes[exp_item],$H785,ExpensePayrollTaxes[company_name],$B1415)*AR785)</f>
        <v>0</v>
      </c>
      <c r="AS1415" s="652">
        <f>IF($B1415="",,SUMIFS(SalaryPayrollTaxes[Month 34],SalaryPayrollTaxes[exp_item],$H1415,SalaryPayrollTaxes[company_name],$B1415,SalaryPayrollTaxes[bu_name],$C1415)*(AS470+AS575+AS680)+SUMIFS(ExpensePayrollTaxes[Month 34],ExpensePayrollTaxes[exp_item],$H785,ExpensePayrollTaxes[company_name],$B1415)*AS785)</f>
        <v>0</v>
      </c>
      <c r="AT1415" s="652">
        <f>IF($B1415="",,SUMIFS(SalaryPayrollTaxes[Month 35],SalaryPayrollTaxes[exp_item],$H1415,SalaryPayrollTaxes[company_name],$B1415,SalaryPayrollTaxes[bu_name],$C1415)*(AT470+AT575+AT680)+SUMIFS(ExpensePayrollTaxes[Month 35],ExpensePayrollTaxes[exp_item],$H785,ExpensePayrollTaxes[company_name],$B1415)*AT785)</f>
        <v>0</v>
      </c>
      <c r="AU1415" s="652">
        <f>IF($B1415="",,SUMIFS(SalaryPayrollTaxes[Month 36],SalaryPayrollTaxes[exp_item],$H1415,SalaryPayrollTaxes[company_name],$B1415,SalaryPayrollTaxes[bu_name],$C1415)*(AU470+AU575+AU680)+SUMIFS(ExpensePayrollTaxes[Month 36],ExpensePayrollTaxes[exp_item],$H785,ExpensePayrollTaxes[company_name],$B1415)*AU785)</f>
        <v>0</v>
      </c>
    </row>
    <row r="1416" spans="2:47" x14ac:dyDescent="0.35">
      <c r="B1416" t="str">
        <f t="shared" si="999"/>
        <v/>
      </c>
      <c r="C1416" t="str">
        <f t="shared" si="999"/>
        <v/>
      </c>
      <c r="D1416" t="str">
        <f t="shared" si="999"/>
        <v/>
      </c>
      <c r="E1416" t="str">
        <f t="shared" si="999"/>
        <v/>
      </c>
      <c r="F1416" t="str">
        <f t="shared" si="999"/>
        <v/>
      </c>
      <c r="G1416" t="str">
        <f t="shared" si="999"/>
        <v/>
      </c>
      <c r="H1416" t="str">
        <f t="shared" si="997"/>
        <v/>
      </c>
      <c r="J1416" t="str">
        <f>IF($H1416="","",IF(VLOOKUP(H1416,ExpItems[],2,0),H1416&amp;" - "&amp;INDEX(DivisionMapping[category_code],MATCH($D1416&amp;$C1416,DivisionMapping[dept_bu],0)),H1416))</f>
        <v/>
      </c>
      <c r="K1416" t="str">
        <f t="shared" si="998"/>
        <v/>
      </c>
      <c r="L1416" s="652">
        <f>IF($B1416="",,SUMIFS(SalaryPayrollTaxes[Month 1],SalaryPayrollTaxes[exp_item],$H1416,SalaryPayrollTaxes[company_name],$B1416,SalaryPayrollTaxes[bu_name],$C1416)*(L471+L576+L681)+SUMIFS(ExpensePayrollTaxes[Month 1],ExpensePayrollTaxes[exp_item],$H786,ExpensePayrollTaxes[company_name],$B1416)*L786)</f>
        <v>0</v>
      </c>
      <c r="M1416" s="652">
        <f>IF($B1416="",,SUMIFS(SalaryPayrollTaxes[Month 2],SalaryPayrollTaxes[exp_item],$H1416,SalaryPayrollTaxes[company_name],$B1416,SalaryPayrollTaxes[bu_name],$C1416)*(M471+M576+M681)+SUMIFS(ExpensePayrollTaxes[Month 2],ExpensePayrollTaxes[exp_item],$H786,ExpensePayrollTaxes[company_name],$B1416)*M786)</f>
        <v>0</v>
      </c>
      <c r="N1416" s="652">
        <f>IF($B1416="",,SUMIFS(SalaryPayrollTaxes[Month 3],SalaryPayrollTaxes[exp_item],$H1416,SalaryPayrollTaxes[company_name],$B1416,SalaryPayrollTaxes[bu_name],$C1416)*(N471+N576+N681)+SUMIFS(ExpensePayrollTaxes[Month 3],ExpensePayrollTaxes[exp_item],$H786,ExpensePayrollTaxes[company_name],$B1416)*N786)</f>
        <v>0</v>
      </c>
      <c r="O1416" s="652">
        <f>IF($B1416="",,SUMIFS(SalaryPayrollTaxes[Month 4],SalaryPayrollTaxes[exp_item],$H1416,SalaryPayrollTaxes[company_name],$B1416,SalaryPayrollTaxes[bu_name],$C1416)*(O471+O576+O681)+SUMIFS(ExpensePayrollTaxes[Month 4],ExpensePayrollTaxes[exp_item],$H786,ExpensePayrollTaxes[company_name],$B1416)*O786)</f>
        <v>0</v>
      </c>
      <c r="P1416" s="652">
        <f>IF($B1416="",,SUMIFS(SalaryPayrollTaxes[Month 5],SalaryPayrollTaxes[exp_item],$H1416,SalaryPayrollTaxes[company_name],$B1416,SalaryPayrollTaxes[bu_name],$C1416)*(P471+P576+P681)+SUMIFS(ExpensePayrollTaxes[Month 5],ExpensePayrollTaxes[exp_item],$H786,ExpensePayrollTaxes[company_name],$B1416)*P786)</f>
        <v>0</v>
      </c>
      <c r="Q1416" s="652">
        <f>IF($B1416="",,SUMIFS(SalaryPayrollTaxes[Month 6],SalaryPayrollTaxes[exp_item],$H1416,SalaryPayrollTaxes[company_name],$B1416,SalaryPayrollTaxes[bu_name],$C1416)*(Q471+Q576+Q681)+SUMIFS(ExpensePayrollTaxes[Month 6],ExpensePayrollTaxes[exp_item],$H786,ExpensePayrollTaxes[company_name],$B1416)*Q786)</f>
        <v>0</v>
      </c>
      <c r="R1416" s="652">
        <f>IF($B1416="",,SUMIFS(SalaryPayrollTaxes[Month 7],SalaryPayrollTaxes[exp_item],$H1416,SalaryPayrollTaxes[company_name],$B1416,SalaryPayrollTaxes[bu_name],$C1416)*(R471+R576+R681)+SUMIFS(ExpensePayrollTaxes[Month 7],ExpensePayrollTaxes[exp_item],$H786,ExpensePayrollTaxes[company_name],$B1416)*R786)</f>
        <v>0</v>
      </c>
      <c r="S1416" s="652">
        <f>IF($B1416="",,SUMIFS(SalaryPayrollTaxes[Month 8],SalaryPayrollTaxes[exp_item],$H1416,SalaryPayrollTaxes[company_name],$B1416,SalaryPayrollTaxes[bu_name],$C1416)*(S471+S576+S681)+SUMIFS(ExpensePayrollTaxes[Month 8],ExpensePayrollTaxes[exp_item],$H786,ExpensePayrollTaxes[company_name],$B1416)*S786)</f>
        <v>0</v>
      </c>
      <c r="T1416" s="652">
        <f>IF($B1416="",,SUMIFS(SalaryPayrollTaxes[Month 9],SalaryPayrollTaxes[exp_item],$H1416,SalaryPayrollTaxes[company_name],$B1416,SalaryPayrollTaxes[bu_name],$C1416)*(T471+T576+T681)+SUMIFS(ExpensePayrollTaxes[Month 9],ExpensePayrollTaxes[exp_item],$H786,ExpensePayrollTaxes[company_name],$B1416)*T786)</f>
        <v>0</v>
      </c>
      <c r="U1416" s="652">
        <f>IF($B1416="",,SUMIFS(SalaryPayrollTaxes[Month 10],SalaryPayrollTaxes[exp_item],$H1416,SalaryPayrollTaxes[company_name],$B1416,SalaryPayrollTaxes[bu_name],$C1416)*(U471+U576+U681)+SUMIFS(ExpensePayrollTaxes[Month 10],ExpensePayrollTaxes[exp_item],$H786,ExpensePayrollTaxes[company_name],$B1416)*U786)</f>
        <v>0</v>
      </c>
      <c r="V1416" s="652">
        <f>IF($B1416="",,SUMIFS(SalaryPayrollTaxes[Month 11],SalaryPayrollTaxes[exp_item],$H1416,SalaryPayrollTaxes[company_name],$B1416,SalaryPayrollTaxes[bu_name],$C1416)*(V471+V576+V681)+SUMIFS(ExpensePayrollTaxes[Month 11],ExpensePayrollTaxes[exp_item],$H786,ExpensePayrollTaxes[company_name],$B1416)*V786)</f>
        <v>0</v>
      </c>
      <c r="W1416" s="652">
        <f>IF($B1416="",,SUMIFS(SalaryPayrollTaxes[Month 12],SalaryPayrollTaxes[exp_item],$H1416,SalaryPayrollTaxes[company_name],$B1416,SalaryPayrollTaxes[bu_name],$C1416)*(W471+W576+W681)+SUMIFS(ExpensePayrollTaxes[Month 12],ExpensePayrollTaxes[exp_item],$H786,ExpensePayrollTaxes[company_name],$B1416)*W786)</f>
        <v>0</v>
      </c>
      <c r="X1416" s="652">
        <f>IF($B1416="",,SUMIFS(SalaryPayrollTaxes[Month 13],SalaryPayrollTaxes[exp_item],$H1416,SalaryPayrollTaxes[company_name],$B1416,SalaryPayrollTaxes[bu_name],$C1416)*(X471+X576+X681)+SUMIFS(ExpensePayrollTaxes[Month 13],ExpensePayrollTaxes[exp_item],$H786,ExpensePayrollTaxes[company_name],$B1416)*X786)</f>
        <v>0</v>
      </c>
      <c r="Y1416" s="652">
        <f>IF($B1416="",,SUMIFS(SalaryPayrollTaxes[Month 14],SalaryPayrollTaxes[exp_item],$H1416,SalaryPayrollTaxes[company_name],$B1416,SalaryPayrollTaxes[bu_name],$C1416)*(Y471+Y576+Y681)+SUMIFS(ExpensePayrollTaxes[Month 14],ExpensePayrollTaxes[exp_item],$H786,ExpensePayrollTaxes[company_name],$B1416)*Y786)</f>
        <v>0</v>
      </c>
      <c r="Z1416" s="652">
        <f>IF($B1416="",,SUMIFS(SalaryPayrollTaxes[Month 15],SalaryPayrollTaxes[exp_item],$H1416,SalaryPayrollTaxes[company_name],$B1416,SalaryPayrollTaxes[bu_name],$C1416)*(Z471+Z576+Z681)+SUMIFS(ExpensePayrollTaxes[Month 15],ExpensePayrollTaxes[exp_item],$H786,ExpensePayrollTaxes[company_name],$B1416)*Z786)</f>
        <v>0</v>
      </c>
      <c r="AA1416" s="652">
        <f>IF($B1416="",,SUMIFS(SalaryPayrollTaxes[Month 16],SalaryPayrollTaxes[exp_item],$H1416,SalaryPayrollTaxes[company_name],$B1416,SalaryPayrollTaxes[bu_name],$C1416)*(AA471+AA576+AA681)+SUMIFS(ExpensePayrollTaxes[Month 16],ExpensePayrollTaxes[exp_item],$H786,ExpensePayrollTaxes[company_name],$B1416)*AA786)</f>
        <v>0</v>
      </c>
      <c r="AB1416" s="652">
        <f>IF($B1416="",,SUMIFS(SalaryPayrollTaxes[Month 17],SalaryPayrollTaxes[exp_item],$H1416,SalaryPayrollTaxes[company_name],$B1416,SalaryPayrollTaxes[bu_name],$C1416)*(AB471+AB576+AB681)+SUMIFS(ExpensePayrollTaxes[Month 17],ExpensePayrollTaxes[exp_item],$H786,ExpensePayrollTaxes[company_name],$B1416)*AB786)</f>
        <v>0</v>
      </c>
      <c r="AC1416" s="652">
        <f>IF($B1416="",,SUMIFS(SalaryPayrollTaxes[Month 18],SalaryPayrollTaxes[exp_item],$H1416,SalaryPayrollTaxes[company_name],$B1416,SalaryPayrollTaxes[bu_name],$C1416)*(AC471+AC576+AC681)+SUMIFS(ExpensePayrollTaxes[Month 18],ExpensePayrollTaxes[exp_item],$H786,ExpensePayrollTaxes[company_name],$B1416)*AC786)</f>
        <v>0</v>
      </c>
      <c r="AD1416" s="652">
        <f>IF($B1416="",,SUMIFS(SalaryPayrollTaxes[Month 19],SalaryPayrollTaxes[exp_item],$H1416,SalaryPayrollTaxes[company_name],$B1416,SalaryPayrollTaxes[bu_name],$C1416)*(AD471+AD576+AD681)+SUMIFS(ExpensePayrollTaxes[Month 19],ExpensePayrollTaxes[exp_item],$H786,ExpensePayrollTaxes[company_name],$B1416)*AD786)</f>
        <v>0</v>
      </c>
      <c r="AE1416" s="652">
        <f>IF($B1416="",,SUMIFS(SalaryPayrollTaxes[Month 20],SalaryPayrollTaxes[exp_item],$H1416,SalaryPayrollTaxes[company_name],$B1416,SalaryPayrollTaxes[bu_name],$C1416)*(AE471+AE576+AE681)+SUMIFS(ExpensePayrollTaxes[Month 20],ExpensePayrollTaxes[exp_item],$H786,ExpensePayrollTaxes[company_name],$B1416)*AE786)</f>
        <v>0</v>
      </c>
      <c r="AF1416" s="652">
        <f>IF($B1416="",,SUMIFS(SalaryPayrollTaxes[Month 21],SalaryPayrollTaxes[exp_item],$H1416,SalaryPayrollTaxes[company_name],$B1416,SalaryPayrollTaxes[bu_name],$C1416)*(AF471+AF576+AF681)+SUMIFS(ExpensePayrollTaxes[Month 21],ExpensePayrollTaxes[exp_item],$H786,ExpensePayrollTaxes[company_name],$B1416)*AF786)</f>
        <v>0</v>
      </c>
      <c r="AG1416" s="652">
        <f>IF($B1416="",,SUMIFS(SalaryPayrollTaxes[Month 22],SalaryPayrollTaxes[exp_item],$H1416,SalaryPayrollTaxes[company_name],$B1416,SalaryPayrollTaxes[bu_name],$C1416)*(AG471+AG576+AG681)+SUMIFS(ExpensePayrollTaxes[Month 22],ExpensePayrollTaxes[exp_item],$H786,ExpensePayrollTaxes[company_name],$B1416)*AG786)</f>
        <v>0</v>
      </c>
      <c r="AH1416" s="652">
        <f>IF($B1416="",,SUMIFS(SalaryPayrollTaxes[Month 23],SalaryPayrollTaxes[exp_item],$H1416,SalaryPayrollTaxes[company_name],$B1416,SalaryPayrollTaxes[bu_name],$C1416)*(AH471+AH576+AH681)+SUMIFS(ExpensePayrollTaxes[Month 23],ExpensePayrollTaxes[exp_item],$H786,ExpensePayrollTaxes[company_name],$B1416)*AH786)</f>
        <v>0</v>
      </c>
      <c r="AI1416" s="652">
        <f>IF($B1416="",,SUMIFS(SalaryPayrollTaxes[Month 24],SalaryPayrollTaxes[exp_item],$H1416,SalaryPayrollTaxes[company_name],$B1416,SalaryPayrollTaxes[bu_name],$C1416)*(AI471+AI576+AI681)+SUMIFS(ExpensePayrollTaxes[Month 24],ExpensePayrollTaxes[exp_item],$H786,ExpensePayrollTaxes[company_name],$B1416)*AI786)</f>
        <v>0</v>
      </c>
      <c r="AJ1416" s="652">
        <f>IF($B1416="",,SUMIFS(SalaryPayrollTaxes[Month 25],SalaryPayrollTaxes[exp_item],$H1416,SalaryPayrollTaxes[company_name],$B1416,SalaryPayrollTaxes[bu_name],$C1416)*(AJ471+AJ576+AJ681)+SUMIFS(ExpensePayrollTaxes[Month 25],ExpensePayrollTaxes[exp_item],$H786,ExpensePayrollTaxes[company_name],$B1416)*AJ786)</f>
        <v>0</v>
      </c>
      <c r="AK1416" s="652">
        <f>IF($B1416="",,SUMIFS(SalaryPayrollTaxes[Month 26],SalaryPayrollTaxes[exp_item],$H1416,SalaryPayrollTaxes[company_name],$B1416,SalaryPayrollTaxes[bu_name],$C1416)*(AK471+AK576+AK681)+SUMIFS(ExpensePayrollTaxes[Month 26],ExpensePayrollTaxes[exp_item],$H786,ExpensePayrollTaxes[company_name],$B1416)*AK786)</f>
        <v>0</v>
      </c>
      <c r="AL1416" s="652">
        <f>IF($B1416="",,SUMIFS(SalaryPayrollTaxes[Month 27],SalaryPayrollTaxes[exp_item],$H1416,SalaryPayrollTaxes[company_name],$B1416,SalaryPayrollTaxes[bu_name],$C1416)*(AL471+AL576+AL681)+SUMIFS(ExpensePayrollTaxes[Month 27],ExpensePayrollTaxes[exp_item],$H786,ExpensePayrollTaxes[company_name],$B1416)*AL786)</f>
        <v>0</v>
      </c>
      <c r="AM1416" s="652">
        <f>IF($B1416="",,SUMIFS(SalaryPayrollTaxes[Month 28],SalaryPayrollTaxes[exp_item],$H1416,SalaryPayrollTaxes[company_name],$B1416,SalaryPayrollTaxes[bu_name],$C1416)*(AM471+AM576+AM681)+SUMIFS(ExpensePayrollTaxes[Month 28],ExpensePayrollTaxes[exp_item],$H786,ExpensePayrollTaxes[company_name],$B1416)*AM786)</f>
        <v>0</v>
      </c>
      <c r="AN1416" s="652">
        <f>IF($B1416="",,SUMIFS(SalaryPayrollTaxes[Month 29],SalaryPayrollTaxes[exp_item],$H1416,SalaryPayrollTaxes[company_name],$B1416,SalaryPayrollTaxes[bu_name],$C1416)*(AN471+AN576+AN681)+SUMIFS(ExpensePayrollTaxes[Month 29],ExpensePayrollTaxes[exp_item],$H786,ExpensePayrollTaxes[company_name],$B1416)*AN786)</f>
        <v>0</v>
      </c>
      <c r="AO1416" s="652">
        <f>IF($B1416="",,SUMIFS(SalaryPayrollTaxes[Month 30],SalaryPayrollTaxes[exp_item],$H1416,SalaryPayrollTaxes[company_name],$B1416,SalaryPayrollTaxes[bu_name],$C1416)*(AO471+AO576+AO681)+SUMIFS(ExpensePayrollTaxes[Month 30],ExpensePayrollTaxes[exp_item],$H786,ExpensePayrollTaxes[company_name],$B1416)*AO786)</f>
        <v>0</v>
      </c>
      <c r="AP1416" s="652">
        <f>IF($B1416="",,SUMIFS(SalaryPayrollTaxes[Month 31],SalaryPayrollTaxes[exp_item],$H1416,SalaryPayrollTaxes[company_name],$B1416,SalaryPayrollTaxes[bu_name],$C1416)*(AP471+AP576+AP681)+SUMIFS(ExpensePayrollTaxes[Month 31],ExpensePayrollTaxes[exp_item],$H786,ExpensePayrollTaxes[company_name],$B1416)*AP786)</f>
        <v>0</v>
      </c>
      <c r="AQ1416" s="652">
        <f>IF($B1416="",,SUMIFS(SalaryPayrollTaxes[Month 32],SalaryPayrollTaxes[exp_item],$H1416,SalaryPayrollTaxes[company_name],$B1416,SalaryPayrollTaxes[bu_name],$C1416)*(AQ471+AQ576+AQ681)+SUMIFS(ExpensePayrollTaxes[Month 32],ExpensePayrollTaxes[exp_item],$H786,ExpensePayrollTaxes[company_name],$B1416)*AQ786)</f>
        <v>0</v>
      </c>
      <c r="AR1416" s="652">
        <f>IF($B1416="",,SUMIFS(SalaryPayrollTaxes[Month 33],SalaryPayrollTaxes[exp_item],$H1416,SalaryPayrollTaxes[company_name],$B1416,SalaryPayrollTaxes[bu_name],$C1416)*(AR471+AR576+AR681)+SUMIFS(ExpensePayrollTaxes[Month 33],ExpensePayrollTaxes[exp_item],$H786,ExpensePayrollTaxes[company_name],$B1416)*AR786)</f>
        <v>0</v>
      </c>
      <c r="AS1416" s="652">
        <f>IF($B1416="",,SUMIFS(SalaryPayrollTaxes[Month 34],SalaryPayrollTaxes[exp_item],$H1416,SalaryPayrollTaxes[company_name],$B1416,SalaryPayrollTaxes[bu_name],$C1416)*(AS471+AS576+AS681)+SUMIFS(ExpensePayrollTaxes[Month 34],ExpensePayrollTaxes[exp_item],$H786,ExpensePayrollTaxes[company_name],$B1416)*AS786)</f>
        <v>0</v>
      </c>
      <c r="AT1416" s="652">
        <f>IF($B1416="",,SUMIFS(SalaryPayrollTaxes[Month 35],SalaryPayrollTaxes[exp_item],$H1416,SalaryPayrollTaxes[company_name],$B1416,SalaryPayrollTaxes[bu_name],$C1416)*(AT471+AT576+AT681)+SUMIFS(ExpensePayrollTaxes[Month 35],ExpensePayrollTaxes[exp_item],$H786,ExpensePayrollTaxes[company_name],$B1416)*AT786)</f>
        <v>0</v>
      </c>
      <c r="AU1416" s="652">
        <f>IF($B1416="",,SUMIFS(SalaryPayrollTaxes[Month 36],SalaryPayrollTaxes[exp_item],$H1416,SalaryPayrollTaxes[company_name],$B1416,SalaryPayrollTaxes[bu_name],$C1416)*(AU471+AU576+AU681)+SUMIFS(ExpensePayrollTaxes[Month 36],ExpensePayrollTaxes[exp_item],$H786,ExpensePayrollTaxes[company_name],$B1416)*AU786)</f>
        <v>0</v>
      </c>
    </row>
    <row r="1417" spans="2:47" x14ac:dyDescent="0.35">
      <c r="B1417" t="str">
        <f t="shared" si="999"/>
        <v/>
      </c>
      <c r="C1417" t="str">
        <f t="shared" si="999"/>
        <v/>
      </c>
      <c r="D1417" t="str">
        <f t="shared" si="999"/>
        <v/>
      </c>
      <c r="E1417" t="str">
        <f t="shared" si="999"/>
        <v/>
      </c>
      <c r="F1417" t="str">
        <f t="shared" si="999"/>
        <v/>
      </c>
      <c r="G1417" t="str">
        <f t="shared" si="999"/>
        <v/>
      </c>
      <c r="H1417" t="str">
        <f t="shared" si="997"/>
        <v/>
      </c>
      <c r="J1417" t="str">
        <f>IF($H1417="","",IF(VLOOKUP(H1417,ExpItems[],2,0),H1417&amp;" - "&amp;INDEX(DivisionMapping[category_code],MATCH($D1417&amp;$C1417,DivisionMapping[dept_bu],0)),H1417))</f>
        <v/>
      </c>
      <c r="K1417" t="str">
        <f t="shared" si="998"/>
        <v/>
      </c>
      <c r="L1417" s="652">
        <f>IF($B1417="",,SUMIFS(SalaryPayrollTaxes[Month 1],SalaryPayrollTaxes[exp_item],$H1417,SalaryPayrollTaxes[company_name],$B1417,SalaryPayrollTaxes[bu_name],$C1417)*(L472+L577+L682)+SUMIFS(ExpensePayrollTaxes[Month 1],ExpensePayrollTaxes[exp_item],$H787,ExpensePayrollTaxes[company_name],$B1417)*L787)</f>
        <v>0</v>
      </c>
      <c r="M1417" s="652">
        <f>IF($B1417="",,SUMIFS(SalaryPayrollTaxes[Month 2],SalaryPayrollTaxes[exp_item],$H1417,SalaryPayrollTaxes[company_name],$B1417,SalaryPayrollTaxes[bu_name],$C1417)*(M472+M577+M682)+SUMIFS(ExpensePayrollTaxes[Month 2],ExpensePayrollTaxes[exp_item],$H787,ExpensePayrollTaxes[company_name],$B1417)*M787)</f>
        <v>0</v>
      </c>
      <c r="N1417" s="652">
        <f>IF($B1417="",,SUMIFS(SalaryPayrollTaxes[Month 3],SalaryPayrollTaxes[exp_item],$H1417,SalaryPayrollTaxes[company_name],$B1417,SalaryPayrollTaxes[bu_name],$C1417)*(N472+N577+N682)+SUMIFS(ExpensePayrollTaxes[Month 3],ExpensePayrollTaxes[exp_item],$H787,ExpensePayrollTaxes[company_name],$B1417)*N787)</f>
        <v>0</v>
      </c>
      <c r="O1417" s="652">
        <f>IF($B1417="",,SUMIFS(SalaryPayrollTaxes[Month 4],SalaryPayrollTaxes[exp_item],$H1417,SalaryPayrollTaxes[company_name],$B1417,SalaryPayrollTaxes[bu_name],$C1417)*(O472+O577+O682)+SUMIFS(ExpensePayrollTaxes[Month 4],ExpensePayrollTaxes[exp_item],$H787,ExpensePayrollTaxes[company_name],$B1417)*O787)</f>
        <v>0</v>
      </c>
      <c r="P1417" s="652">
        <f>IF($B1417="",,SUMIFS(SalaryPayrollTaxes[Month 5],SalaryPayrollTaxes[exp_item],$H1417,SalaryPayrollTaxes[company_name],$B1417,SalaryPayrollTaxes[bu_name],$C1417)*(P472+P577+P682)+SUMIFS(ExpensePayrollTaxes[Month 5],ExpensePayrollTaxes[exp_item],$H787,ExpensePayrollTaxes[company_name],$B1417)*P787)</f>
        <v>0</v>
      </c>
      <c r="Q1417" s="652">
        <f>IF($B1417="",,SUMIFS(SalaryPayrollTaxes[Month 6],SalaryPayrollTaxes[exp_item],$H1417,SalaryPayrollTaxes[company_name],$B1417,SalaryPayrollTaxes[bu_name],$C1417)*(Q472+Q577+Q682)+SUMIFS(ExpensePayrollTaxes[Month 6],ExpensePayrollTaxes[exp_item],$H787,ExpensePayrollTaxes[company_name],$B1417)*Q787)</f>
        <v>0</v>
      </c>
      <c r="R1417" s="652">
        <f>IF($B1417="",,SUMIFS(SalaryPayrollTaxes[Month 7],SalaryPayrollTaxes[exp_item],$H1417,SalaryPayrollTaxes[company_name],$B1417,SalaryPayrollTaxes[bu_name],$C1417)*(R472+R577+R682)+SUMIFS(ExpensePayrollTaxes[Month 7],ExpensePayrollTaxes[exp_item],$H787,ExpensePayrollTaxes[company_name],$B1417)*R787)</f>
        <v>0</v>
      </c>
      <c r="S1417" s="652">
        <f>IF($B1417="",,SUMIFS(SalaryPayrollTaxes[Month 8],SalaryPayrollTaxes[exp_item],$H1417,SalaryPayrollTaxes[company_name],$B1417,SalaryPayrollTaxes[bu_name],$C1417)*(S472+S577+S682)+SUMIFS(ExpensePayrollTaxes[Month 8],ExpensePayrollTaxes[exp_item],$H787,ExpensePayrollTaxes[company_name],$B1417)*S787)</f>
        <v>0</v>
      </c>
      <c r="T1417" s="652">
        <f>IF($B1417="",,SUMIFS(SalaryPayrollTaxes[Month 9],SalaryPayrollTaxes[exp_item],$H1417,SalaryPayrollTaxes[company_name],$B1417,SalaryPayrollTaxes[bu_name],$C1417)*(T472+T577+T682)+SUMIFS(ExpensePayrollTaxes[Month 9],ExpensePayrollTaxes[exp_item],$H787,ExpensePayrollTaxes[company_name],$B1417)*T787)</f>
        <v>0</v>
      </c>
      <c r="U1417" s="652">
        <f>IF($B1417="",,SUMIFS(SalaryPayrollTaxes[Month 10],SalaryPayrollTaxes[exp_item],$H1417,SalaryPayrollTaxes[company_name],$B1417,SalaryPayrollTaxes[bu_name],$C1417)*(U472+U577+U682)+SUMIFS(ExpensePayrollTaxes[Month 10],ExpensePayrollTaxes[exp_item],$H787,ExpensePayrollTaxes[company_name],$B1417)*U787)</f>
        <v>0</v>
      </c>
      <c r="V1417" s="652">
        <f>IF($B1417="",,SUMIFS(SalaryPayrollTaxes[Month 11],SalaryPayrollTaxes[exp_item],$H1417,SalaryPayrollTaxes[company_name],$B1417,SalaryPayrollTaxes[bu_name],$C1417)*(V472+V577+V682)+SUMIFS(ExpensePayrollTaxes[Month 11],ExpensePayrollTaxes[exp_item],$H787,ExpensePayrollTaxes[company_name],$B1417)*V787)</f>
        <v>0</v>
      </c>
      <c r="W1417" s="652">
        <f>IF($B1417="",,SUMIFS(SalaryPayrollTaxes[Month 12],SalaryPayrollTaxes[exp_item],$H1417,SalaryPayrollTaxes[company_name],$B1417,SalaryPayrollTaxes[bu_name],$C1417)*(W472+W577+W682)+SUMIFS(ExpensePayrollTaxes[Month 12],ExpensePayrollTaxes[exp_item],$H787,ExpensePayrollTaxes[company_name],$B1417)*W787)</f>
        <v>0</v>
      </c>
      <c r="X1417" s="652">
        <f>IF($B1417="",,SUMIFS(SalaryPayrollTaxes[Month 13],SalaryPayrollTaxes[exp_item],$H1417,SalaryPayrollTaxes[company_name],$B1417,SalaryPayrollTaxes[bu_name],$C1417)*(X472+X577+X682)+SUMIFS(ExpensePayrollTaxes[Month 13],ExpensePayrollTaxes[exp_item],$H787,ExpensePayrollTaxes[company_name],$B1417)*X787)</f>
        <v>0</v>
      </c>
      <c r="Y1417" s="652">
        <f>IF($B1417="",,SUMIFS(SalaryPayrollTaxes[Month 14],SalaryPayrollTaxes[exp_item],$H1417,SalaryPayrollTaxes[company_name],$B1417,SalaryPayrollTaxes[bu_name],$C1417)*(Y472+Y577+Y682)+SUMIFS(ExpensePayrollTaxes[Month 14],ExpensePayrollTaxes[exp_item],$H787,ExpensePayrollTaxes[company_name],$B1417)*Y787)</f>
        <v>0</v>
      </c>
      <c r="Z1417" s="652">
        <f>IF($B1417="",,SUMIFS(SalaryPayrollTaxes[Month 15],SalaryPayrollTaxes[exp_item],$H1417,SalaryPayrollTaxes[company_name],$B1417,SalaryPayrollTaxes[bu_name],$C1417)*(Z472+Z577+Z682)+SUMIFS(ExpensePayrollTaxes[Month 15],ExpensePayrollTaxes[exp_item],$H787,ExpensePayrollTaxes[company_name],$B1417)*Z787)</f>
        <v>0</v>
      </c>
      <c r="AA1417" s="652">
        <f>IF($B1417="",,SUMIFS(SalaryPayrollTaxes[Month 16],SalaryPayrollTaxes[exp_item],$H1417,SalaryPayrollTaxes[company_name],$B1417,SalaryPayrollTaxes[bu_name],$C1417)*(AA472+AA577+AA682)+SUMIFS(ExpensePayrollTaxes[Month 16],ExpensePayrollTaxes[exp_item],$H787,ExpensePayrollTaxes[company_name],$B1417)*AA787)</f>
        <v>0</v>
      </c>
      <c r="AB1417" s="652">
        <f>IF($B1417="",,SUMIFS(SalaryPayrollTaxes[Month 17],SalaryPayrollTaxes[exp_item],$H1417,SalaryPayrollTaxes[company_name],$B1417,SalaryPayrollTaxes[bu_name],$C1417)*(AB472+AB577+AB682)+SUMIFS(ExpensePayrollTaxes[Month 17],ExpensePayrollTaxes[exp_item],$H787,ExpensePayrollTaxes[company_name],$B1417)*AB787)</f>
        <v>0</v>
      </c>
      <c r="AC1417" s="652">
        <f>IF($B1417="",,SUMIFS(SalaryPayrollTaxes[Month 18],SalaryPayrollTaxes[exp_item],$H1417,SalaryPayrollTaxes[company_name],$B1417,SalaryPayrollTaxes[bu_name],$C1417)*(AC472+AC577+AC682)+SUMIFS(ExpensePayrollTaxes[Month 18],ExpensePayrollTaxes[exp_item],$H787,ExpensePayrollTaxes[company_name],$B1417)*AC787)</f>
        <v>0</v>
      </c>
      <c r="AD1417" s="652">
        <f>IF($B1417="",,SUMIFS(SalaryPayrollTaxes[Month 19],SalaryPayrollTaxes[exp_item],$H1417,SalaryPayrollTaxes[company_name],$B1417,SalaryPayrollTaxes[bu_name],$C1417)*(AD472+AD577+AD682)+SUMIFS(ExpensePayrollTaxes[Month 19],ExpensePayrollTaxes[exp_item],$H787,ExpensePayrollTaxes[company_name],$B1417)*AD787)</f>
        <v>0</v>
      </c>
      <c r="AE1417" s="652">
        <f>IF($B1417="",,SUMIFS(SalaryPayrollTaxes[Month 20],SalaryPayrollTaxes[exp_item],$H1417,SalaryPayrollTaxes[company_name],$B1417,SalaryPayrollTaxes[bu_name],$C1417)*(AE472+AE577+AE682)+SUMIFS(ExpensePayrollTaxes[Month 20],ExpensePayrollTaxes[exp_item],$H787,ExpensePayrollTaxes[company_name],$B1417)*AE787)</f>
        <v>0</v>
      </c>
      <c r="AF1417" s="652">
        <f>IF($B1417="",,SUMIFS(SalaryPayrollTaxes[Month 21],SalaryPayrollTaxes[exp_item],$H1417,SalaryPayrollTaxes[company_name],$B1417,SalaryPayrollTaxes[bu_name],$C1417)*(AF472+AF577+AF682)+SUMIFS(ExpensePayrollTaxes[Month 21],ExpensePayrollTaxes[exp_item],$H787,ExpensePayrollTaxes[company_name],$B1417)*AF787)</f>
        <v>0</v>
      </c>
      <c r="AG1417" s="652">
        <f>IF($B1417="",,SUMIFS(SalaryPayrollTaxes[Month 22],SalaryPayrollTaxes[exp_item],$H1417,SalaryPayrollTaxes[company_name],$B1417,SalaryPayrollTaxes[bu_name],$C1417)*(AG472+AG577+AG682)+SUMIFS(ExpensePayrollTaxes[Month 22],ExpensePayrollTaxes[exp_item],$H787,ExpensePayrollTaxes[company_name],$B1417)*AG787)</f>
        <v>0</v>
      </c>
      <c r="AH1417" s="652">
        <f>IF($B1417="",,SUMIFS(SalaryPayrollTaxes[Month 23],SalaryPayrollTaxes[exp_item],$H1417,SalaryPayrollTaxes[company_name],$B1417,SalaryPayrollTaxes[bu_name],$C1417)*(AH472+AH577+AH682)+SUMIFS(ExpensePayrollTaxes[Month 23],ExpensePayrollTaxes[exp_item],$H787,ExpensePayrollTaxes[company_name],$B1417)*AH787)</f>
        <v>0</v>
      </c>
      <c r="AI1417" s="652">
        <f>IF($B1417="",,SUMIFS(SalaryPayrollTaxes[Month 24],SalaryPayrollTaxes[exp_item],$H1417,SalaryPayrollTaxes[company_name],$B1417,SalaryPayrollTaxes[bu_name],$C1417)*(AI472+AI577+AI682)+SUMIFS(ExpensePayrollTaxes[Month 24],ExpensePayrollTaxes[exp_item],$H787,ExpensePayrollTaxes[company_name],$B1417)*AI787)</f>
        <v>0</v>
      </c>
      <c r="AJ1417" s="652">
        <f>IF($B1417="",,SUMIFS(SalaryPayrollTaxes[Month 25],SalaryPayrollTaxes[exp_item],$H1417,SalaryPayrollTaxes[company_name],$B1417,SalaryPayrollTaxes[bu_name],$C1417)*(AJ472+AJ577+AJ682)+SUMIFS(ExpensePayrollTaxes[Month 25],ExpensePayrollTaxes[exp_item],$H787,ExpensePayrollTaxes[company_name],$B1417)*AJ787)</f>
        <v>0</v>
      </c>
      <c r="AK1417" s="652">
        <f>IF($B1417="",,SUMIFS(SalaryPayrollTaxes[Month 26],SalaryPayrollTaxes[exp_item],$H1417,SalaryPayrollTaxes[company_name],$B1417,SalaryPayrollTaxes[bu_name],$C1417)*(AK472+AK577+AK682)+SUMIFS(ExpensePayrollTaxes[Month 26],ExpensePayrollTaxes[exp_item],$H787,ExpensePayrollTaxes[company_name],$B1417)*AK787)</f>
        <v>0</v>
      </c>
      <c r="AL1417" s="652">
        <f>IF($B1417="",,SUMIFS(SalaryPayrollTaxes[Month 27],SalaryPayrollTaxes[exp_item],$H1417,SalaryPayrollTaxes[company_name],$B1417,SalaryPayrollTaxes[bu_name],$C1417)*(AL472+AL577+AL682)+SUMIFS(ExpensePayrollTaxes[Month 27],ExpensePayrollTaxes[exp_item],$H787,ExpensePayrollTaxes[company_name],$B1417)*AL787)</f>
        <v>0</v>
      </c>
      <c r="AM1417" s="652">
        <f>IF($B1417="",,SUMIFS(SalaryPayrollTaxes[Month 28],SalaryPayrollTaxes[exp_item],$H1417,SalaryPayrollTaxes[company_name],$B1417,SalaryPayrollTaxes[bu_name],$C1417)*(AM472+AM577+AM682)+SUMIFS(ExpensePayrollTaxes[Month 28],ExpensePayrollTaxes[exp_item],$H787,ExpensePayrollTaxes[company_name],$B1417)*AM787)</f>
        <v>0</v>
      </c>
      <c r="AN1417" s="652">
        <f>IF($B1417="",,SUMIFS(SalaryPayrollTaxes[Month 29],SalaryPayrollTaxes[exp_item],$H1417,SalaryPayrollTaxes[company_name],$B1417,SalaryPayrollTaxes[bu_name],$C1417)*(AN472+AN577+AN682)+SUMIFS(ExpensePayrollTaxes[Month 29],ExpensePayrollTaxes[exp_item],$H787,ExpensePayrollTaxes[company_name],$B1417)*AN787)</f>
        <v>0</v>
      </c>
      <c r="AO1417" s="652">
        <f>IF($B1417="",,SUMIFS(SalaryPayrollTaxes[Month 30],SalaryPayrollTaxes[exp_item],$H1417,SalaryPayrollTaxes[company_name],$B1417,SalaryPayrollTaxes[bu_name],$C1417)*(AO472+AO577+AO682)+SUMIFS(ExpensePayrollTaxes[Month 30],ExpensePayrollTaxes[exp_item],$H787,ExpensePayrollTaxes[company_name],$B1417)*AO787)</f>
        <v>0</v>
      </c>
      <c r="AP1417" s="652">
        <f>IF($B1417="",,SUMIFS(SalaryPayrollTaxes[Month 31],SalaryPayrollTaxes[exp_item],$H1417,SalaryPayrollTaxes[company_name],$B1417,SalaryPayrollTaxes[bu_name],$C1417)*(AP472+AP577+AP682)+SUMIFS(ExpensePayrollTaxes[Month 31],ExpensePayrollTaxes[exp_item],$H787,ExpensePayrollTaxes[company_name],$B1417)*AP787)</f>
        <v>0</v>
      </c>
      <c r="AQ1417" s="652">
        <f>IF($B1417="",,SUMIFS(SalaryPayrollTaxes[Month 32],SalaryPayrollTaxes[exp_item],$H1417,SalaryPayrollTaxes[company_name],$B1417,SalaryPayrollTaxes[bu_name],$C1417)*(AQ472+AQ577+AQ682)+SUMIFS(ExpensePayrollTaxes[Month 32],ExpensePayrollTaxes[exp_item],$H787,ExpensePayrollTaxes[company_name],$B1417)*AQ787)</f>
        <v>0</v>
      </c>
      <c r="AR1417" s="652">
        <f>IF($B1417="",,SUMIFS(SalaryPayrollTaxes[Month 33],SalaryPayrollTaxes[exp_item],$H1417,SalaryPayrollTaxes[company_name],$B1417,SalaryPayrollTaxes[bu_name],$C1417)*(AR472+AR577+AR682)+SUMIFS(ExpensePayrollTaxes[Month 33],ExpensePayrollTaxes[exp_item],$H787,ExpensePayrollTaxes[company_name],$B1417)*AR787)</f>
        <v>0</v>
      </c>
      <c r="AS1417" s="652">
        <f>IF($B1417="",,SUMIFS(SalaryPayrollTaxes[Month 34],SalaryPayrollTaxes[exp_item],$H1417,SalaryPayrollTaxes[company_name],$B1417,SalaryPayrollTaxes[bu_name],$C1417)*(AS472+AS577+AS682)+SUMIFS(ExpensePayrollTaxes[Month 34],ExpensePayrollTaxes[exp_item],$H787,ExpensePayrollTaxes[company_name],$B1417)*AS787)</f>
        <v>0</v>
      </c>
      <c r="AT1417" s="652">
        <f>IF($B1417="",,SUMIFS(SalaryPayrollTaxes[Month 35],SalaryPayrollTaxes[exp_item],$H1417,SalaryPayrollTaxes[company_name],$B1417,SalaryPayrollTaxes[bu_name],$C1417)*(AT472+AT577+AT682)+SUMIFS(ExpensePayrollTaxes[Month 35],ExpensePayrollTaxes[exp_item],$H787,ExpensePayrollTaxes[company_name],$B1417)*AT787)</f>
        <v>0</v>
      </c>
      <c r="AU1417" s="652">
        <f>IF($B1417="",,SUMIFS(SalaryPayrollTaxes[Month 36],SalaryPayrollTaxes[exp_item],$H1417,SalaryPayrollTaxes[company_name],$B1417,SalaryPayrollTaxes[bu_name],$C1417)*(AU472+AU577+AU682)+SUMIFS(ExpensePayrollTaxes[Month 36],ExpensePayrollTaxes[exp_item],$H787,ExpensePayrollTaxes[company_name],$B1417)*AU787)</f>
        <v>0</v>
      </c>
    </row>
    <row r="1418" spans="2:47" x14ac:dyDescent="0.35">
      <c r="B1418" t="str">
        <f t="shared" si="999"/>
        <v/>
      </c>
      <c r="C1418" t="str">
        <f t="shared" si="999"/>
        <v/>
      </c>
      <c r="D1418" t="str">
        <f t="shared" si="999"/>
        <v/>
      </c>
      <c r="E1418" t="str">
        <f t="shared" si="999"/>
        <v/>
      </c>
      <c r="F1418" t="str">
        <f t="shared" si="999"/>
        <v/>
      </c>
      <c r="G1418" t="str">
        <f t="shared" si="999"/>
        <v/>
      </c>
      <c r="H1418" t="str">
        <f t="shared" si="997"/>
        <v/>
      </c>
      <c r="J1418" t="str">
        <f>IF($H1418="","",IF(VLOOKUP(H1418,ExpItems[],2,0),H1418&amp;" - "&amp;INDEX(DivisionMapping[category_code],MATCH($D1418&amp;$C1418,DivisionMapping[dept_bu],0)),H1418))</f>
        <v/>
      </c>
      <c r="K1418" t="str">
        <f t="shared" si="998"/>
        <v/>
      </c>
      <c r="L1418" s="652">
        <f>IF($B1418="",,SUMIFS(SalaryPayrollTaxes[Month 1],SalaryPayrollTaxes[exp_item],$H1418,SalaryPayrollTaxes[company_name],$B1418,SalaryPayrollTaxes[bu_name],$C1418)*(L473+L578+L683)+SUMIFS(ExpensePayrollTaxes[Month 1],ExpensePayrollTaxes[exp_item],$H788,ExpensePayrollTaxes[company_name],$B1418)*L788)</f>
        <v>0</v>
      </c>
      <c r="M1418" s="652">
        <f>IF($B1418="",,SUMIFS(SalaryPayrollTaxes[Month 2],SalaryPayrollTaxes[exp_item],$H1418,SalaryPayrollTaxes[company_name],$B1418,SalaryPayrollTaxes[bu_name],$C1418)*(M473+M578+M683)+SUMIFS(ExpensePayrollTaxes[Month 2],ExpensePayrollTaxes[exp_item],$H788,ExpensePayrollTaxes[company_name],$B1418)*M788)</f>
        <v>0</v>
      </c>
      <c r="N1418" s="652">
        <f>IF($B1418="",,SUMIFS(SalaryPayrollTaxes[Month 3],SalaryPayrollTaxes[exp_item],$H1418,SalaryPayrollTaxes[company_name],$B1418,SalaryPayrollTaxes[bu_name],$C1418)*(N473+N578+N683)+SUMIFS(ExpensePayrollTaxes[Month 3],ExpensePayrollTaxes[exp_item],$H788,ExpensePayrollTaxes[company_name],$B1418)*N788)</f>
        <v>0</v>
      </c>
      <c r="O1418" s="652">
        <f>IF($B1418="",,SUMIFS(SalaryPayrollTaxes[Month 4],SalaryPayrollTaxes[exp_item],$H1418,SalaryPayrollTaxes[company_name],$B1418,SalaryPayrollTaxes[bu_name],$C1418)*(O473+O578+O683)+SUMIFS(ExpensePayrollTaxes[Month 4],ExpensePayrollTaxes[exp_item],$H788,ExpensePayrollTaxes[company_name],$B1418)*O788)</f>
        <v>0</v>
      </c>
      <c r="P1418" s="652">
        <f>IF($B1418="",,SUMIFS(SalaryPayrollTaxes[Month 5],SalaryPayrollTaxes[exp_item],$H1418,SalaryPayrollTaxes[company_name],$B1418,SalaryPayrollTaxes[bu_name],$C1418)*(P473+P578+P683)+SUMIFS(ExpensePayrollTaxes[Month 5],ExpensePayrollTaxes[exp_item],$H788,ExpensePayrollTaxes[company_name],$B1418)*P788)</f>
        <v>0</v>
      </c>
      <c r="Q1418" s="652">
        <f>IF($B1418="",,SUMIFS(SalaryPayrollTaxes[Month 6],SalaryPayrollTaxes[exp_item],$H1418,SalaryPayrollTaxes[company_name],$B1418,SalaryPayrollTaxes[bu_name],$C1418)*(Q473+Q578+Q683)+SUMIFS(ExpensePayrollTaxes[Month 6],ExpensePayrollTaxes[exp_item],$H788,ExpensePayrollTaxes[company_name],$B1418)*Q788)</f>
        <v>0</v>
      </c>
      <c r="R1418" s="652">
        <f>IF($B1418="",,SUMIFS(SalaryPayrollTaxes[Month 7],SalaryPayrollTaxes[exp_item],$H1418,SalaryPayrollTaxes[company_name],$B1418,SalaryPayrollTaxes[bu_name],$C1418)*(R473+R578+R683)+SUMIFS(ExpensePayrollTaxes[Month 7],ExpensePayrollTaxes[exp_item],$H788,ExpensePayrollTaxes[company_name],$B1418)*R788)</f>
        <v>0</v>
      </c>
      <c r="S1418" s="652">
        <f>IF($B1418="",,SUMIFS(SalaryPayrollTaxes[Month 8],SalaryPayrollTaxes[exp_item],$H1418,SalaryPayrollTaxes[company_name],$B1418,SalaryPayrollTaxes[bu_name],$C1418)*(S473+S578+S683)+SUMIFS(ExpensePayrollTaxes[Month 8],ExpensePayrollTaxes[exp_item],$H788,ExpensePayrollTaxes[company_name],$B1418)*S788)</f>
        <v>0</v>
      </c>
      <c r="T1418" s="652">
        <f>IF($B1418="",,SUMIFS(SalaryPayrollTaxes[Month 9],SalaryPayrollTaxes[exp_item],$H1418,SalaryPayrollTaxes[company_name],$B1418,SalaryPayrollTaxes[bu_name],$C1418)*(T473+T578+T683)+SUMIFS(ExpensePayrollTaxes[Month 9],ExpensePayrollTaxes[exp_item],$H788,ExpensePayrollTaxes[company_name],$B1418)*T788)</f>
        <v>0</v>
      </c>
      <c r="U1418" s="652">
        <f>IF($B1418="",,SUMIFS(SalaryPayrollTaxes[Month 10],SalaryPayrollTaxes[exp_item],$H1418,SalaryPayrollTaxes[company_name],$B1418,SalaryPayrollTaxes[bu_name],$C1418)*(U473+U578+U683)+SUMIFS(ExpensePayrollTaxes[Month 10],ExpensePayrollTaxes[exp_item],$H788,ExpensePayrollTaxes[company_name],$B1418)*U788)</f>
        <v>0</v>
      </c>
      <c r="V1418" s="652">
        <f>IF($B1418="",,SUMIFS(SalaryPayrollTaxes[Month 11],SalaryPayrollTaxes[exp_item],$H1418,SalaryPayrollTaxes[company_name],$B1418,SalaryPayrollTaxes[bu_name],$C1418)*(V473+V578+V683)+SUMIFS(ExpensePayrollTaxes[Month 11],ExpensePayrollTaxes[exp_item],$H788,ExpensePayrollTaxes[company_name],$B1418)*V788)</f>
        <v>0</v>
      </c>
      <c r="W1418" s="652">
        <f>IF($B1418="",,SUMIFS(SalaryPayrollTaxes[Month 12],SalaryPayrollTaxes[exp_item],$H1418,SalaryPayrollTaxes[company_name],$B1418,SalaryPayrollTaxes[bu_name],$C1418)*(W473+W578+W683)+SUMIFS(ExpensePayrollTaxes[Month 12],ExpensePayrollTaxes[exp_item],$H788,ExpensePayrollTaxes[company_name],$B1418)*W788)</f>
        <v>0</v>
      </c>
      <c r="X1418" s="652">
        <f>IF($B1418="",,SUMIFS(SalaryPayrollTaxes[Month 13],SalaryPayrollTaxes[exp_item],$H1418,SalaryPayrollTaxes[company_name],$B1418,SalaryPayrollTaxes[bu_name],$C1418)*(X473+X578+X683)+SUMIFS(ExpensePayrollTaxes[Month 13],ExpensePayrollTaxes[exp_item],$H788,ExpensePayrollTaxes[company_name],$B1418)*X788)</f>
        <v>0</v>
      </c>
      <c r="Y1418" s="652">
        <f>IF($B1418="",,SUMIFS(SalaryPayrollTaxes[Month 14],SalaryPayrollTaxes[exp_item],$H1418,SalaryPayrollTaxes[company_name],$B1418,SalaryPayrollTaxes[bu_name],$C1418)*(Y473+Y578+Y683)+SUMIFS(ExpensePayrollTaxes[Month 14],ExpensePayrollTaxes[exp_item],$H788,ExpensePayrollTaxes[company_name],$B1418)*Y788)</f>
        <v>0</v>
      </c>
      <c r="Z1418" s="652">
        <f>IF($B1418="",,SUMIFS(SalaryPayrollTaxes[Month 15],SalaryPayrollTaxes[exp_item],$H1418,SalaryPayrollTaxes[company_name],$B1418,SalaryPayrollTaxes[bu_name],$C1418)*(Z473+Z578+Z683)+SUMIFS(ExpensePayrollTaxes[Month 15],ExpensePayrollTaxes[exp_item],$H788,ExpensePayrollTaxes[company_name],$B1418)*Z788)</f>
        <v>0</v>
      </c>
      <c r="AA1418" s="652">
        <f>IF($B1418="",,SUMIFS(SalaryPayrollTaxes[Month 16],SalaryPayrollTaxes[exp_item],$H1418,SalaryPayrollTaxes[company_name],$B1418,SalaryPayrollTaxes[bu_name],$C1418)*(AA473+AA578+AA683)+SUMIFS(ExpensePayrollTaxes[Month 16],ExpensePayrollTaxes[exp_item],$H788,ExpensePayrollTaxes[company_name],$B1418)*AA788)</f>
        <v>0</v>
      </c>
      <c r="AB1418" s="652">
        <f>IF($B1418="",,SUMIFS(SalaryPayrollTaxes[Month 17],SalaryPayrollTaxes[exp_item],$H1418,SalaryPayrollTaxes[company_name],$B1418,SalaryPayrollTaxes[bu_name],$C1418)*(AB473+AB578+AB683)+SUMIFS(ExpensePayrollTaxes[Month 17],ExpensePayrollTaxes[exp_item],$H788,ExpensePayrollTaxes[company_name],$B1418)*AB788)</f>
        <v>0</v>
      </c>
      <c r="AC1418" s="652">
        <f>IF($B1418="",,SUMIFS(SalaryPayrollTaxes[Month 18],SalaryPayrollTaxes[exp_item],$H1418,SalaryPayrollTaxes[company_name],$B1418,SalaryPayrollTaxes[bu_name],$C1418)*(AC473+AC578+AC683)+SUMIFS(ExpensePayrollTaxes[Month 18],ExpensePayrollTaxes[exp_item],$H788,ExpensePayrollTaxes[company_name],$B1418)*AC788)</f>
        <v>0</v>
      </c>
      <c r="AD1418" s="652">
        <f>IF($B1418="",,SUMIFS(SalaryPayrollTaxes[Month 19],SalaryPayrollTaxes[exp_item],$H1418,SalaryPayrollTaxes[company_name],$B1418,SalaryPayrollTaxes[bu_name],$C1418)*(AD473+AD578+AD683)+SUMIFS(ExpensePayrollTaxes[Month 19],ExpensePayrollTaxes[exp_item],$H788,ExpensePayrollTaxes[company_name],$B1418)*AD788)</f>
        <v>0</v>
      </c>
      <c r="AE1418" s="652">
        <f>IF($B1418="",,SUMIFS(SalaryPayrollTaxes[Month 20],SalaryPayrollTaxes[exp_item],$H1418,SalaryPayrollTaxes[company_name],$B1418,SalaryPayrollTaxes[bu_name],$C1418)*(AE473+AE578+AE683)+SUMIFS(ExpensePayrollTaxes[Month 20],ExpensePayrollTaxes[exp_item],$H788,ExpensePayrollTaxes[company_name],$B1418)*AE788)</f>
        <v>0</v>
      </c>
      <c r="AF1418" s="652">
        <f>IF($B1418="",,SUMIFS(SalaryPayrollTaxes[Month 21],SalaryPayrollTaxes[exp_item],$H1418,SalaryPayrollTaxes[company_name],$B1418,SalaryPayrollTaxes[bu_name],$C1418)*(AF473+AF578+AF683)+SUMIFS(ExpensePayrollTaxes[Month 21],ExpensePayrollTaxes[exp_item],$H788,ExpensePayrollTaxes[company_name],$B1418)*AF788)</f>
        <v>0</v>
      </c>
      <c r="AG1418" s="652">
        <f>IF($B1418="",,SUMIFS(SalaryPayrollTaxes[Month 22],SalaryPayrollTaxes[exp_item],$H1418,SalaryPayrollTaxes[company_name],$B1418,SalaryPayrollTaxes[bu_name],$C1418)*(AG473+AG578+AG683)+SUMIFS(ExpensePayrollTaxes[Month 22],ExpensePayrollTaxes[exp_item],$H788,ExpensePayrollTaxes[company_name],$B1418)*AG788)</f>
        <v>0</v>
      </c>
      <c r="AH1418" s="652">
        <f>IF($B1418="",,SUMIFS(SalaryPayrollTaxes[Month 23],SalaryPayrollTaxes[exp_item],$H1418,SalaryPayrollTaxes[company_name],$B1418,SalaryPayrollTaxes[bu_name],$C1418)*(AH473+AH578+AH683)+SUMIFS(ExpensePayrollTaxes[Month 23],ExpensePayrollTaxes[exp_item],$H788,ExpensePayrollTaxes[company_name],$B1418)*AH788)</f>
        <v>0</v>
      </c>
      <c r="AI1418" s="652">
        <f>IF($B1418="",,SUMIFS(SalaryPayrollTaxes[Month 24],SalaryPayrollTaxes[exp_item],$H1418,SalaryPayrollTaxes[company_name],$B1418,SalaryPayrollTaxes[bu_name],$C1418)*(AI473+AI578+AI683)+SUMIFS(ExpensePayrollTaxes[Month 24],ExpensePayrollTaxes[exp_item],$H788,ExpensePayrollTaxes[company_name],$B1418)*AI788)</f>
        <v>0</v>
      </c>
      <c r="AJ1418" s="652">
        <f>IF($B1418="",,SUMIFS(SalaryPayrollTaxes[Month 25],SalaryPayrollTaxes[exp_item],$H1418,SalaryPayrollTaxes[company_name],$B1418,SalaryPayrollTaxes[bu_name],$C1418)*(AJ473+AJ578+AJ683)+SUMIFS(ExpensePayrollTaxes[Month 25],ExpensePayrollTaxes[exp_item],$H788,ExpensePayrollTaxes[company_name],$B1418)*AJ788)</f>
        <v>0</v>
      </c>
      <c r="AK1418" s="652">
        <f>IF($B1418="",,SUMIFS(SalaryPayrollTaxes[Month 26],SalaryPayrollTaxes[exp_item],$H1418,SalaryPayrollTaxes[company_name],$B1418,SalaryPayrollTaxes[bu_name],$C1418)*(AK473+AK578+AK683)+SUMIFS(ExpensePayrollTaxes[Month 26],ExpensePayrollTaxes[exp_item],$H788,ExpensePayrollTaxes[company_name],$B1418)*AK788)</f>
        <v>0</v>
      </c>
      <c r="AL1418" s="652">
        <f>IF($B1418="",,SUMIFS(SalaryPayrollTaxes[Month 27],SalaryPayrollTaxes[exp_item],$H1418,SalaryPayrollTaxes[company_name],$B1418,SalaryPayrollTaxes[bu_name],$C1418)*(AL473+AL578+AL683)+SUMIFS(ExpensePayrollTaxes[Month 27],ExpensePayrollTaxes[exp_item],$H788,ExpensePayrollTaxes[company_name],$B1418)*AL788)</f>
        <v>0</v>
      </c>
      <c r="AM1418" s="652">
        <f>IF($B1418="",,SUMIFS(SalaryPayrollTaxes[Month 28],SalaryPayrollTaxes[exp_item],$H1418,SalaryPayrollTaxes[company_name],$B1418,SalaryPayrollTaxes[bu_name],$C1418)*(AM473+AM578+AM683)+SUMIFS(ExpensePayrollTaxes[Month 28],ExpensePayrollTaxes[exp_item],$H788,ExpensePayrollTaxes[company_name],$B1418)*AM788)</f>
        <v>0</v>
      </c>
      <c r="AN1418" s="652">
        <f>IF($B1418="",,SUMIFS(SalaryPayrollTaxes[Month 29],SalaryPayrollTaxes[exp_item],$H1418,SalaryPayrollTaxes[company_name],$B1418,SalaryPayrollTaxes[bu_name],$C1418)*(AN473+AN578+AN683)+SUMIFS(ExpensePayrollTaxes[Month 29],ExpensePayrollTaxes[exp_item],$H788,ExpensePayrollTaxes[company_name],$B1418)*AN788)</f>
        <v>0</v>
      </c>
      <c r="AO1418" s="652">
        <f>IF($B1418="",,SUMIFS(SalaryPayrollTaxes[Month 30],SalaryPayrollTaxes[exp_item],$H1418,SalaryPayrollTaxes[company_name],$B1418,SalaryPayrollTaxes[bu_name],$C1418)*(AO473+AO578+AO683)+SUMIFS(ExpensePayrollTaxes[Month 30],ExpensePayrollTaxes[exp_item],$H788,ExpensePayrollTaxes[company_name],$B1418)*AO788)</f>
        <v>0</v>
      </c>
      <c r="AP1418" s="652">
        <f>IF($B1418="",,SUMIFS(SalaryPayrollTaxes[Month 31],SalaryPayrollTaxes[exp_item],$H1418,SalaryPayrollTaxes[company_name],$B1418,SalaryPayrollTaxes[bu_name],$C1418)*(AP473+AP578+AP683)+SUMIFS(ExpensePayrollTaxes[Month 31],ExpensePayrollTaxes[exp_item],$H788,ExpensePayrollTaxes[company_name],$B1418)*AP788)</f>
        <v>0</v>
      </c>
      <c r="AQ1418" s="652">
        <f>IF($B1418="",,SUMIFS(SalaryPayrollTaxes[Month 32],SalaryPayrollTaxes[exp_item],$H1418,SalaryPayrollTaxes[company_name],$B1418,SalaryPayrollTaxes[bu_name],$C1418)*(AQ473+AQ578+AQ683)+SUMIFS(ExpensePayrollTaxes[Month 32],ExpensePayrollTaxes[exp_item],$H788,ExpensePayrollTaxes[company_name],$B1418)*AQ788)</f>
        <v>0</v>
      </c>
      <c r="AR1418" s="652">
        <f>IF($B1418="",,SUMIFS(SalaryPayrollTaxes[Month 33],SalaryPayrollTaxes[exp_item],$H1418,SalaryPayrollTaxes[company_name],$B1418,SalaryPayrollTaxes[bu_name],$C1418)*(AR473+AR578+AR683)+SUMIFS(ExpensePayrollTaxes[Month 33],ExpensePayrollTaxes[exp_item],$H788,ExpensePayrollTaxes[company_name],$B1418)*AR788)</f>
        <v>0</v>
      </c>
      <c r="AS1418" s="652">
        <f>IF($B1418="",,SUMIFS(SalaryPayrollTaxes[Month 34],SalaryPayrollTaxes[exp_item],$H1418,SalaryPayrollTaxes[company_name],$B1418,SalaryPayrollTaxes[bu_name],$C1418)*(AS473+AS578+AS683)+SUMIFS(ExpensePayrollTaxes[Month 34],ExpensePayrollTaxes[exp_item],$H788,ExpensePayrollTaxes[company_name],$B1418)*AS788)</f>
        <v>0</v>
      </c>
      <c r="AT1418" s="652">
        <f>IF($B1418="",,SUMIFS(SalaryPayrollTaxes[Month 35],SalaryPayrollTaxes[exp_item],$H1418,SalaryPayrollTaxes[company_name],$B1418,SalaryPayrollTaxes[bu_name],$C1418)*(AT473+AT578+AT683)+SUMIFS(ExpensePayrollTaxes[Month 35],ExpensePayrollTaxes[exp_item],$H788,ExpensePayrollTaxes[company_name],$B1418)*AT788)</f>
        <v>0</v>
      </c>
      <c r="AU1418" s="652">
        <f>IF($B1418="",,SUMIFS(SalaryPayrollTaxes[Month 36],SalaryPayrollTaxes[exp_item],$H1418,SalaryPayrollTaxes[company_name],$B1418,SalaryPayrollTaxes[bu_name],$C1418)*(AU473+AU578+AU683)+SUMIFS(ExpensePayrollTaxes[Month 36],ExpensePayrollTaxes[exp_item],$H788,ExpensePayrollTaxes[company_name],$B1418)*AU788)</f>
        <v>0</v>
      </c>
    </row>
    <row r="1419" spans="2:47" x14ac:dyDescent="0.35">
      <c r="B1419" t="str">
        <f t="shared" si="999"/>
        <v/>
      </c>
      <c r="C1419" t="str">
        <f t="shared" si="999"/>
        <v/>
      </c>
      <c r="D1419" t="str">
        <f t="shared" si="999"/>
        <v/>
      </c>
      <c r="E1419" t="str">
        <f t="shared" si="999"/>
        <v/>
      </c>
      <c r="F1419" t="str">
        <f t="shared" si="999"/>
        <v/>
      </c>
      <c r="G1419" t="str">
        <f t="shared" si="999"/>
        <v/>
      </c>
      <c r="H1419" t="str">
        <f t="shared" si="997"/>
        <v/>
      </c>
      <c r="J1419" t="str">
        <f>IF($H1419="","",IF(VLOOKUP(H1419,ExpItems[],2,0),H1419&amp;" - "&amp;INDEX(DivisionMapping[category_code],MATCH($D1419&amp;$C1419,DivisionMapping[dept_bu],0)),H1419))</f>
        <v/>
      </c>
      <c r="K1419" t="str">
        <f t="shared" si="998"/>
        <v/>
      </c>
      <c r="L1419" s="652">
        <f>IF($B1419="",,SUMIFS(SalaryPayrollTaxes[Month 1],SalaryPayrollTaxes[exp_item],$H1419,SalaryPayrollTaxes[company_name],$B1419,SalaryPayrollTaxes[bu_name],$C1419)*(L474+L579+L684)+SUMIFS(ExpensePayrollTaxes[Month 1],ExpensePayrollTaxes[exp_item],$H789,ExpensePayrollTaxes[company_name],$B1419)*L789)</f>
        <v>0</v>
      </c>
      <c r="M1419" s="652">
        <f>IF($B1419="",,SUMIFS(SalaryPayrollTaxes[Month 2],SalaryPayrollTaxes[exp_item],$H1419,SalaryPayrollTaxes[company_name],$B1419,SalaryPayrollTaxes[bu_name],$C1419)*(M474+M579+M684)+SUMIFS(ExpensePayrollTaxes[Month 2],ExpensePayrollTaxes[exp_item],$H789,ExpensePayrollTaxes[company_name],$B1419)*M789)</f>
        <v>0</v>
      </c>
      <c r="N1419" s="652">
        <f>IF($B1419="",,SUMIFS(SalaryPayrollTaxes[Month 3],SalaryPayrollTaxes[exp_item],$H1419,SalaryPayrollTaxes[company_name],$B1419,SalaryPayrollTaxes[bu_name],$C1419)*(N474+N579+N684)+SUMIFS(ExpensePayrollTaxes[Month 3],ExpensePayrollTaxes[exp_item],$H789,ExpensePayrollTaxes[company_name],$B1419)*N789)</f>
        <v>0</v>
      </c>
      <c r="O1419" s="652">
        <f>IF($B1419="",,SUMIFS(SalaryPayrollTaxes[Month 4],SalaryPayrollTaxes[exp_item],$H1419,SalaryPayrollTaxes[company_name],$B1419,SalaryPayrollTaxes[bu_name],$C1419)*(O474+O579+O684)+SUMIFS(ExpensePayrollTaxes[Month 4],ExpensePayrollTaxes[exp_item],$H789,ExpensePayrollTaxes[company_name],$B1419)*O789)</f>
        <v>0</v>
      </c>
      <c r="P1419" s="652">
        <f>IF($B1419="",,SUMIFS(SalaryPayrollTaxes[Month 5],SalaryPayrollTaxes[exp_item],$H1419,SalaryPayrollTaxes[company_name],$B1419,SalaryPayrollTaxes[bu_name],$C1419)*(P474+P579+P684)+SUMIFS(ExpensePayrollTaxes[Month 5],ExpensePayrollTaxes[exp_item],$H789,ExpensePayrollTaxes[company_name],$B1419)*P789)</f>
        <v>0</v>
      </c>
      <c r="Q1419" s="652">
        <f>IF($B1419="",,SUMIFS(SalaryPayrollTaxes[Month 6],SalaryPayrollTaxes[exp_item],$H1419,SalaryPayrollTaxes[company_name],$B1419,SalaryPayrollTaxes[bu_name],$C1419)*(Q474+Q579+Q684)+SUMIFS(ExpensePayrollTaxes[Month 6],ExpensePayrollTaxes[exp_item],$H789,ExpensePayrollTaxes[company_name],$B1419)*Q789)</f>
        <v>0</v>
      </c>
      <c r="R1419" s="652">
        <f>IF($B1419="",,SUMIFS(SalaryPayrollTaxes[Month 7],SalaryPayrollTaxes[exp_item],$H1419,SalaryPayrollTaxes[company_name],$B1419,SalaryPayrollTaxes[bu_name],$C1419)*(R474+R579+R684)+SUMIFS(ExpensePayrollTaxes[Month 7],ExpensePayrollTaxes[exp_item],$H789,ExpensePayrollTaxes[company_name],$B1419)*R789)</f>
        <v>0</v>
      </c>
      <c r="S1419" s="652">
        <f>IF($B1419="",,SUMIFS(SalaryPayrollTaxes[Month 8],SalaryPayrollTaxes[exp_item],$H1419,SalaryPayrollTaxes[company_name],$B1419,SalaryPayrollTaxes[bu_name],$C1419)*(S474+S579+S684)+SUMIFS(ExpensePayrollTaxes[Month 8],ExpensePayrollTaxes[exp_item],$H789,ExpensePayrollTaxes[company_name],$B1419)*S789)</f>
        <v>0</v>
      </c>
      <c r="T1419" s="652">
        <f>IF($B1419="",,SUMIFS(SalaryPayrollTaxes[Month 9],SalaryPayrollTaxes[exp_item],$H1419,SalaryPayrollTaxes[company_name],$B1419,SalaryPayrollTaxes[bu_name],$C1419)*(T474+T579+T684)+SUMIFS(ExpensePayrollTaxes[Month 9],ExpensePayrollTaxes[exp_item],$H789,ExpensePayrollTaxes[company_name],$B1419)*T789)</f>
        <v>0</v>
      </c>
      <c r="U1419" s="652">
        <f>IF($B1419="",,SUMIFS(SalaryPayrollTaxes[Month 10],SalaryPayrollTaxes[exp_item],$H1419,SalaryPayrollTaxes[company_name],$B1419,SalaryPayrollTaxes[bu_name],$C1419)*(U474+U579+U684)+SUMIFS(ExpensePayrollTaxes[Month 10],ExpensePayrollTaxes[exp_item],$H789,ExpensePayrollTaxes[company_name],$B1419)*U789)</f>
        <v>0</v>
      </c>
      <c r="V1419" s="652">
        <f>IF($B1419="",,SUMIFS(SalaryPayrollTaxes[Month 11],SalaryPayrollTaxes[exp_item],$H1419,SalaryPayrollTaxes[company_name],$B1419,SalaryPayrollTaxes[bu_name],$C1419)*(V474+V579+V684)+SUMIFS(ExpensePayrollTaxes[Month 11],ExpensePayrollTaxes[exp_item],$H789,ExpensePayrollTaxes[company_name],$B1419)*V789)</f>
        <v>0</v>
      </c>
      <c r="W1419" s="652">
        <f>IF($B1419="",,SUMIFS(SalaryPayrollTaxes[Month 12],SalaryPayrollTaxes[exp_item],$H1419,SalaryPayrollTaxes[company_name],$B1419,SalaryPayrollTaxes[bu_name],$C1419)*(W474+W579+W684)+SUMIFS(ExpensePayrollTaxes[Month 12],ExpensePayrollTaxes[exp_item],$H789,ExpensePayrollTaxes[company_name],$B1419)*W789)</f>
        <v>0</v>
      </c>
      <c r="X1419" s="652">
        <f>IF($B1419="",,SUMIFS(SalaryPayrollTaxes[Month 13],SalaryPayrollTaxes[exp_item],$H1419,SalaryPayrollTaxes[company_name],$B1419,SalaryPayrollTaxes[bu_name],$C1419)*(X474+X579+X684)+SUMIFS(ExpensePayrollTaxes[Month 13],ExpensePayrollTaxes[exp_item],$H789,ExpensePayrollTaxes[company_name],$B1419)*X789)</f>
        <v>0</v>
      </c>
      <c r="Y1419" s="652">
        <f>IF($B1419="",,SUMIFS(SalaryPayrollTaxes[Month 14],SalaryPayrollTaxes[exp_item],$H1419,SalaryPayrollTaxes[company_name],$B1419,SalaryPayrollTaxes[bu_name],$C1419)*(Y474+Y579+Y684)+SUMIFS(ExpensePayrollTaxes[Month 14],ExpensePayrollTaxes[exp_item],$H789,ExpensePayrollTaxes[company_name],$B1419)*Y789)</f>
        <v>0</v>
      </c>
      <c r="Z1419" s="652">
        <f>IF($B1419="",,SUMIFS(SalaryPayrollTaxes[Month 15],SalaryPayrollTaxes[exp_item],$H1419,SalaryPayrollTaxes[company_name],$B1419,SalaryPayrollTaxes[bu_name],$C1419)*(Z474+Z579+Z684)+SUMIFS(ExpensePayrollTaxes[Month 15],ExpensePayrollTaxes[exp_item],$H789,ExpensePayrollTaxes[company_name],$B1419)*Z789)</f>
        <v>0</v>
      </c>
      <c r="AA1419" s="652">
        <f>IF($B1419="",,SUMIFS(SalaryPayrollTaxes[Month 16],SalaryPayrollTaxes[exp_item],$H1419,SalaryPayrollTaxes[company_name],$B1419,SalaryPayrollTaxes[bu_name],$C1419)*(AA474+AA579+AA684)+SUMIFS(ExpensePayrollTaxes[Month 16],ExpensePayrollTaxes[exp_item],$H789,ExpensePayrollTaxes[company_name],$B1419)*AA789)</f>
        <v>0</v>
      </c>
      <c r="AB1419" s="652">
        <f>IF($B1419="",,SUMIFS(SalaryPayrollTaxes[Month 17],SalaryPayrollTaxes[exp_item],$H1419,SalaryPayrollTaxes[company_name],$B1419,SalaryPayrollTaxes[bu_name],$C1419)*(AB474+AB579+AB684)+SUMIFS(ExpensePayrollTaxes[Month 17],ExpensePayrollTaxes[exp_item],$H789,ExpensePayrollTaxes[company_name],$B1419)*AB789)</f>
        <v>0</v>
      </c>
      <c r="AC1419" s="652">
        <f>IF($B1419="",,SUMIFS(SalaryPayrollTaxes[Month 18],SalaryPayrollTaxes[exp_item],$H1419,SalaryPayrollTaxes[company_name],$B1419,SalaryPayrollTaxes[bu_name],$C1419)*(AC474+AC579+AC684)+SUMIFS(ExpensePayrollTaxes[Month 18],ExpensePayrollTaxes[exp_item],$H789,ExpensePayrollTaxes[company_name],$B1419)*AC789)</f>
        <v>0</v>
      </c>
      <c r="AD1419" s="652">
        <f>IF($B1419="",,SUMIFS(SalaryPayrollTaxes[Month 19],SalaryPayrollTaxes[exp_item],$H1419,SalaryPayrollTaxes[company_name],$B1419,SalaryPayrollTaxes[bu_name],$C1419)*(AD474+AD579+AD684)+SUMIFS(ExpensePayrollTaxes[Month 19],ExpensePayrollTaxes[exp_item],$H789,ExpensePayrollTaxes[company_name],$B1419)*AD789)</f>
        <v>0</v>
      </c>
      <c r="AE1419" s="652">
        <f>IF($B1419="",,SUMIFS(SalaryPayrollTaxes[Month 20],SalaryPayrollTaxes[exp_item],$H1419,SalaryPayrollTaxes[company_name],$B1419,SalaryPayrollTaxes[bu_name],$C1419)*(AE474+AE579+AE684)+SUMIFS(ExpensePayrollTaxes[Month 20],ExpensePayrollTaxes[exp_item],$H789,ExpensePayrollTaxes[company_name],$B1419)*AE789)</f>
        <v>0</v>
      </c>
      <c r="AF1419" s="652">
        <f>IF($B1419="",,SUMIFS(SalaryPayrollTaxes[Month 21],SalaryPayrollTaxes[exp_item],$H1419,SalaryPayrollTaxes[company_name],$B1419,SalaryPayrollTaxes[bu_name],$C1419)*(AF474+AF579+AF684)+SUMIFS(ExpensePayrollTaxes[Month 21],ExpensePayrollTaxes[exp_item],$H789,ExpensePayrollTaxes[company_name],$B1419)*AF789)</f>
        <v>0</v>
      </c>
      <c r="AG1419" s="652">
        <f>IF($B1419="",,SUMIFS(SalaryPayrollTaxes[Month 22],SalaryPayrollTaxes[exp_item],$H1419,SalaryPayrollTaxes[company_name],$B1419,SalaryPayrollTaxes[bu_name],$C1419)*(AG474+AG579+AG684)+SUMIFS(ExpensePayrollTaxes[Month 22],ExpensePayrollTaxes[exp_item],$H789,ExpensePayrollTaxes[company_name],$B1419)*AG789)</f>
        <v>0</v>
      </c>
      <c r="AH1419" s="652">
        <f>IF($B1419="",,SUMIFS(SalaryPayrollTaxes[Month 23],SalaryPayrollTaxes[exp_item],$H1419,SalaryPayrollTaxes[company_name],$B1419,SalaryPayrollTaxes[bu_name],$C1419)*(AH474+AH579+AH684)+SUMIFS(ExpensePayrollTaxes[Month 23],ExpensePayrollTaxes[exp_item],$H789,ExpensePayrollTaxes[company_name],$B1419)*AH789)</f>
        <v>0</v>
      </c>
      <c r="AI1419" s="652">
        <f>IF($B1419="",,SUMIFS(SalaryPayrollTaxes[Month 24],SalaryPayrollTaxes[exp_item],$H1419,SalaryPayrollTaxes[company_name],$B1419,SalaryPayrollTaxes[bu_name],$C1419)*(AI474+AI579+AI684)+SUMIFS(ExpensePayrollTaxes[Month 24],ExpensePayrollTaxes[exp_item],$H789,ExpensePayrollTaxes[company_name],$B1419)*AI789)</f>
        <v>0</v>
      </c>
      <c r="AJ1419" s="652">
        <f>IF($B1419="",,SUMIFS(SalaryPayrollTaxes[Month 25],SalaryPayrollTaxes[exp_item],$H1419,SalaryPayrollTaxes[company_name],$B1419,SalaryPayrollTaxes[bu_name],$C1419)*(AJ474+AJ579+AJ684)+SUMIFS(ExpensePayrollTaxes[Month 25],ExpensePayrollTaxes[exp_item],$H789,ExpensePayrollTaxes[company_name],$B1419)*AJ789)</f>
        <v>0</v>
      </c>
      <c r="AK1419" s="652">
        <f>IF($B1419="",,SUMIFS(SalaryPayrollTaxes[Month 26],SalaryPayrollTaxes[exp_item],$H1419,SalaryPayrollTaxes[company_name],$B1419,SalaryPayrollTaxes[bu_name],$C1419)*(AK474+AK579+AK684)+SUMIFS(ExpensePayrollTaxes[Month 26],ExpensePayrollTaxes[exp_item],$H789,ExpensePayrollTaxes[company_name],$B1419)*AK789)</f>
        <v>0</v>
      </c>
      <c r="AL1419" s="652">
        <f>IF($B1419="",,SUMIFS(SalaryPayrollTaxes[Month 27],SalaryPayrollTaxes[exp_item],$H1419,SalaryPayrollTaxes[company_name],$B1419,SalaryPayrollTaxes[bu_name],$C1419)*(AL474+AL579+AL684)+SUMIFS(ExpensePayrollTaxes[Month 27],ExpensePayrollTaxes[exp_item],$H789,ExpensePayrollTaxes[company_name],$B1419)*AL789)</f>
        <v>0</v>
      </c>
      <c r="AM1419" s="652">
        <f>IF($B1419="",,SUMIFS(SalaryPayrollTaxes[Month 28],SalaryPayrollTaxes[exp_item],$H1419,SalaryPayrollTaxes[company_name],$B1419,SalaryPayrollTaxes[bu_name],$C1419)*(AM474+AM579+AM684)+SUMIFS(ExpensePayrollTaxes[Month 28],ExpensePayrollTaxes[exp_item],$H789,ExpensePayrollTaxes[company_name],$B1419)*AM789)</f>
        <v>0</v>
      </c>
      <c r="AN1419" s="652">
        <f>IF($B1419="",,SUMIFS(SalaryPayrollTaxes[Month 29],SalaryPayrollTaxes[exp_item],$H1419,SalaryPayrollTaxes[company_name],$B1419,SalaryPayrollTaxes[bu_name],$C1419)*(AN474+AN579+AN684)+SUMIFS(ExpensePayrollTaxes[Month 29],ExpensePayrollTaxes[exp_item],$H789,ExpensePayrollTaxes[company_name],$B1419)*AN789)</f>
        <v>0</v>
      </c>
      <c r="AO1419" s="652">
        <f>IF($B1419="",,SUMIFS(SalaryPayrollTaxes[Month 30],SalaryPayrollTaxes[exp_item],$H1419,SalaryPayrollTaxes[company_name],$B1419,SalaryPayrollTaxes[bu_name],$C1419)*(AO474+AO579+AO684)+SUMIFS(ExpensePayrollTaxes[Month 30],ExpensePayrollTaxes[exp_item],$H789,ExpensePayrollTaxes[company_name],$B1419)*AO789)</f>
        <v>0</v>
      </c>
      <c r="AP1419" s="652">
        <f>IF($B1419="",,SUMIFS(SalaryPayrollTaxes[Month 31],SalaryPayrollTaxes[exp_item],$H1419,SalaryPayrollTaxes[company_name],$B1419,SalaryPayrollTaxes[bu_name],$C1419)*(AP474+AP579+AP684)+SUMIFS(ExpensePayrollTaxes[Month 31],ExpensePayrollTaxes[exp_item],$H789,ExpensePayrollTaxes[company_name],$B1419)*AP789)</f>
        <v>0</v>
      </c>
      <c r="AQ1419" s="652">
        <f>IF($B1419="",,SUMIFS(SalaryPayrollTaxes[Month 32],SalaryPayrollTaxes[exp_item],$H1419,SalaryPayrollTaxes[company_name],$B1419,SalaryPayrollTaxes[bu_name],$C1419)*(AQ474+AQ579+AQ684)+SUMIFS(ExpensePayrollTaxes[Month 32],ExpensePayrollTaxes[exp_item],$H789,ExpensePayrollTaxes[company_name],$B1419)*AQ789)</f>
        <v>0</v>
      </c>
      <c r="AR1419" s="652">
        <f>IF($B1419="",,SUMIFS(SalaryPayrollTaxes[Month 33],SalaryPayrollTaxes[exp_item],$H1419,SalaryPayrollTaxes[company_name],$B1419,SalaryPayrollTaxes[bu_name],$C1419)*(AR474+AR579+AR684)+SUMIFS(ExpensePayrollTaxes[Month 33],ExpensePayrollTaxes[exp_item],$H789,ExpensePayrollTaxes[company_name],$B1419)*AR789)</f>
        <v>0</v>
      </c>
      <c r="AS1419" s="652">
        <f>IF($B1419="",,SUMIFS(SalaryPayrollTaxes[Month 34],SalaryPayrollTaxes[exp_item],$H1419,SalaryPayrollTaxes[company_name],$B1419,SalaryPayrollTaxes[bu_name],$C1419)*(AS474+AS579+AS684)+SUMIFS(ExpensePayrollTaxes[Month 34],ExpensePayrollTaxes[exp_item],$H789,ExpensePayrollTaxes[company_name],$B1419)*AS789)</f>
        <v>0</v>
      </c>
      <c r="AT1419" s="652">
        <f>IF($B1419="",,SUMIFS(SalaryPayrollTaxes[Month 35],SalaryPayrollTaxes[exp_item],$H1419,SalaryPayrollTaxes[company_name],$B1419,SalaryPayrollTaxes[bu_name],$C1419)*(AT474+AT579+AT684)+SUMIFS(ExpensePayrollTaxes[Month 35],ExpensePayrollTaxes[exp_item],$H789,ExpensePayrollTaxes[company_name],$B1419)*AT789)</f>
        <v>0</v>
      </c>
      <c r="AU1419" s="652">
        <f>IF($B1419="",,SUMIFS(SalaryPayrollTaxes[Month 36],SalaryPayrollTaxes[exp_item],$H1419,SalaryPayrollTaxes[company_name],$B1419,SalaryPayrollTaxes[bu_name],$C1419)*(AU474+AU579+AU684)+SUMIFS(ExpensePayrollTaxes[Month 36],ExpensePayrollTaxes[exp_item],$H789,ExpensePayrollTaxes[company_name],$B1419)*AU789)</f>
        <v>0</v>
      </c>
    </row>
    <row r="1420" spans="2:47" x14ac:dyDescent="0.35">
      <c r="B1420" t="str">
        <f t="shared" si="999"/>
        <v/>
      </c>
      <c r="C1420" t="str">
        <f t="shared" si="999"/>
        <v/>
      </c>
      <c r="D1420" t="str">
        <f t="shared" si="999"/>
        <v/>
      </c>
      <c r="E1420" t="str">
        <f t="shared" si="999"/>
        <v/>
      </c>
      <c r="F1420" t="str">
        <f t="shared" si="999"/>
        <v/>
      </c>
      <c r="G1420" t="str">
        <f t="shared" si="999"/>
        <v/>
      </c>
      <c r="H1420" t="str">
        <f t="shared" si="997"/>
        <v/>
      </c>
      <c r="J1420" t="str">
        <f>IF($H1420="","",IF(VLOOKUP(H1420,ExpItems[],2,0),H1420&amp;" - "&amp;INDEX(DivisionMapping[category_code],MATCH($D1420&amp;$C1420,DivisionMapping[dept_bu],0)),H1420))</f>
        <v/>
      </c>
      <c r="K1420" t="str">
        <f t="shared" si="998"/>
        <v/>
      </c>
      <c r="L1420" s="652">
        <f>IF($B1420="",,SUMIFS(SalaryPayrollTaxes[Month 1],SalaryPayrollTaxes[exp_item],$H1420,SalaryPayrollTaxes[company_name],$B1420,SalaryPayrollTaxes[bu_name],$C1420)*(L475+L580+L685)+SUMIFS(ExpensePayrollTaxes[Month 1],ExpensePayrollTaxes[exp_item],$H790,ExpensePayrollTaxes[company_name],$B1420)*L790)</f>
        <v>0</v>
      </c>
      <c r="M1420" s="652">
        <f>IF($B1420="",,SUMIFS(SalaryPayrollTaxes[Month 2],SalaryPayrollTaxes[exp_item],$H1420,SalaryPayrollTaxes[company_name],$B1420,SalaryPayrollTaxes[bu_name],$C1420)*(M475+M580+M685)+SUMIFS(ExpensePayrollTaxes[Month 2],ExpensePayrollTaxes[exp_item],$H790,ExpensePayrollTaxes[company_name],$B1420)*M790)</f>
        <v>0</v>
      </c>
      <c r="N1420" s="652">
        <f>IF($B1420="",,SUMIFS(SalaryPayrollTaxes[Month 3],SalaryPayrollTaxes[exp_item],$H1420,SalaryPayrollTaxes[company_name],$B1420,SalaryPayrollTaxes[bu_name],$C1420)*(N475+N580+N685)+SUMIFS(ExpensePayrollTaxes[Month 3],ExpensePayrollTaxes[exp_item],$H790,ExpensePayrollTaxes[company_name],$B1420)*N790)</f>
        <v>0</v>
      </c>
      <c r="O1420" s="652">
        <f>IF($B1420="",,SUMIFS(SalaryPayrollTaxes[Month 4],SalaryPayrollTaxes[exp_item],$H1420,SalaryPayrollTaxes[company_name],$B1420,SalaryPayrollTaxes[bu_name],$C1420)*(O475+O580+O685)+SUMIFS(ExpensePayrollTaxes[Month 4],ExpensePayrollTaxes[exp_item],$H790,ExpensePayrollTaxes[company_name],$B1420)*O790)</f>
        <v>0</v>
      </c>
      <c r="P1420" s="652">
        <f>IF($B1420="",,SUMIFS(SalaryPayrollTaxes[Month 5],SalaryPayrollTaxes[exp_item],$H1420,SalaryPayrollTaxes[company_name],$B1420,SalaryPayrollTaxes[bu_name],$C1420)*(P475+P580+P685)+SUMIFS(ExpensePayrollTaxes[Month 5],ExpensePayrollTaxes[exp_item],$H790,ExpensePayrollTaxes[company_name],$B1420)*P790)</f>
        <v>0</v>
      </c>
      <c r="Q1420" s="652">
        <f>IF($B1420="",,SUMIFS(SalaryPayrollTaxes[Month 6],SalaryPayrollTaxes[exp_item],$H1420,SalaryPayrollTaxes[company_name],$B1420,SalaryPayrollTaxes[bu_name],$C1420)*(Q475+Q580+Q685)+SUMIFS(ExpensePayrollTaxes[Month 6],ExpensePayrollTaxes[exp_item],$H790,ExpensePayrollTaxes[company_name],$B1420)*Q790)</f>
        <v>0</v>
      </c>
      <c r="R1420" s="652">
        <f>IF($B1420="",,SUMIFS(SalaryPayrollTaxes[Month 7],SalaryPayrollTaxes[exp_item],$H1420,SalaryPayrollTaxes[company_name],$B1420,SalaryPayrollTaxes[bu_name],$C1420)*(R475+R580+R685)+SUMIFS(ExpensePayrollTaxes[Month 7],ExpensePayrollTaxes[exp_item],$H790,ExpensePayrollTaxes[company_name],$B1420)*R790)</f>
        <v>0</v>
      </c>
      <c r="S1420" s="652">
        <f>IF($B1420="",,SUMIFS(SalaryPayrollTaxes[Month 8],SalaryPayrollTaxes[exp_item],$H1420,SalaryPayrollTaxes[company_name],$B1420,SalaryPayrollTaxes[bu_name],$C1420)*(S475+S580+S685)+SUMIFS(ExpensePayrollTaxes[Month 8],ExpensePayrollTaxes[exp_item],$H790,ExpensePayrollTaxes[company_name],$B1420)*S790)</f>
        <v>0</v>
      </c>
      <c r="T1420" s="652">
        <f>IF($B1420="",,SUMIFS(SalaryPayrollTaxes[Month 9],SalaryPayrollTaxes[exp_item],$H1420,SalaryPayrollTaxes[company_name],$B1420,SalaryPayrollTaxes[bu_name],$C1420)*(T475+T580+T685)+SUMIFS(ExpensePayrollTaxes[Month 9],ExpensePayrollTaxes[exp_item],$H790,ExpensePayrollTaxes[company_name],$B1420)*T790)</f>
        <v>0</v>
      </c>
      <c r="U1420" s="652">
        <f>IF($B1420="",,SUMIFS(SalaryPayrollTaxes[Month 10],SalaryPayrollTaxes[exp_item],$H1420,SalaryPayrollTaxes[company_name],$B1420,SalaryPayrollTaxes[bu_name],$C1420)*(U475+U580+U685)+SUMIFS(ExpensePayrollTaxes[Month 10],ExpensePayrollTaxes[exp_item],$H790,ExpensePayrollTaxes[company_name],$B1420)*U790)</f>
        <v>0</v>
      </c>
      <c r="V1420" s="652">
        <f>IF($B1420="",,SUMIFS(SalaryPayrollTaxes[Month 11],SalaryPayrollTaxes[exp_item],$H1420,SalaryPayrollTaxes[company_name],$B1420,SalaryPayrollTaxes[bu_name],$C1420)*(V475+V580+V685)+SUMIFS(ExpensePayrollTaxes[Month 11],ExpensePayrollTaxes[exp_item],$H790,ExpensePayrollTaxes[company_name],$B1420)*V790)</f>
        <v>0</v>
      </c>
      <c r="W1420" s="652">
        <f>IF($B1420="",,SUMIFS(SalaryPayrollTaxes[Month 12],SalaryPayrollTaxes[exp_item],$H1420,SalaryPayrollTaxes[company_name],$B1420,SalaryPayrollTaxes[bu_name],$C1420)*(W475+W580+W685)+SUMIFS(ExpensePayrollTaxes[Month 12],ExpensePayrollTaxes[exp_item],$H790,ExpensePayrollTaxes[company_name],$B1420)*W790)</f>
        <v>0</v>
      </c>
      <c r="X1420" s="652">
        <f>IF($B1420="",,SUMIFS(SalaryPayrollTaxes[Month 13],SalaryPayrollTaxes[exp_item],$H1420,SalaryPayrollTaxes[company_name],$B1420,SalaryPayrollTaxes[bu_name],$C1420)*(X475+X580+X685)+SUMIFS(ExpensePayrollTaxes[Month 13],ExpensePayrollTaxes[exp_item],$H790,ExpensePayrollTaxes[company_name],$B1420)*X790)</f>
        <v>0</v>
      </c>
      <c r="Y1420" s="652">
        <f>IF($B1420="",,SUMIFS(SalaryPayrollTaxes[Month 14],SalaryPayrollTaxes[exp_item],$H1420,SalaryPayrollTaxes[company_name],$B1420,SalaryPayrollTaxes[bu_name],$C1420)*(Y475+Y580+Y685)+SUMIFS(ExpensePayrollTaxes[Month 14],ExpensePayrollTaxes[exp_item],$H790,ExpensePayrollTaxes[company_name],$B1420)*Y790)</f>
        <v>0</v>
      </c>
      <c r="Z1420" s="652">
        <f>IF($B1420="",,SUMIFS(SalaryPayrollTaxes[Month 15],SalaryPayrollTaxes[exp_item],$H1420,SalaryPayrollTaxes[company_name],$B1420,SalaryPayrollTaxes[bu_name],$C1420)*(Z475+Z580+Z685)+SUMIFS(ExpensePayrollTaxes[Month 15],ExpensePayrollTaxes[exp_item],$H790,ExpensePayrollTaxes[company_name],$B1420)*Z790)</f>
        <v>0</v>
      </c>
      <c r="AA1420" s="652">
        <f>IF($B1420="",,SUMIFS(SalaryPayrollTaxes[Month 16],SalaryPayrollTaxes[exp_item],$H1420,SalaryPayrollTaxes[company_name],$B1420,SalaryPayrollTaxes[bu_name],$C1420)*(AA475+AA580+AA685)+SUMIFS(ExpensePayrollTaxes[Month 16],ExpensePayrollTaxes[exp_item],$H790,ExpensePayrollTaxes[company_name],$B1420)*AA790)</f>
        <v>0</v>
      </c>
      <c r="AB1420" s="652">
        <f>IF($B1420="",,SUMIFS(SalaryPayrollTaxes[Month 17],SalaryPayrollTaxes[exp_item],$H1420,SalaryPayrollTaxes[company_name],$B1420,SalaryPayrollTaxes[bu_name],$C1420)*(AB475+AB580+AB685)+SUMIFS(ExpensePayrollTaxes[Month 17],ExpensePayrollTaxes[exp_item],$H790,ExpensePayrollTaxes[company_name],$B1420)*AB790)</f>
        <v>0</v>
      </c>
      <c r="AC1420" s="652">
        <f>IF($B1420="",,SUMIFS(SalaryPayrollTaxes[Month 18],SalaryPayrollTaxes[exp_item],$H1420,SalaryPayrollTaxes[company_name],$B1420,SalaryPayrollTaxes[bu_name],$C1420)*(AC475+AC580+AC685)+SUMIFS(ExpensePayrollTaxes[Month 18],ExpensePayrollTaxes[exp_item],$H790,ExpensePayrollTaxes[company_name],$B1420)*AC790)</f>
        <v>0</v>
      </c>
      <c r="AD1420" s="652">
        <f>IF($B1420="",,SUMIFS(SalaryPayrollTaxes[Month 19],SalaryPayrollTaxes[exp_item],$H1420,SalaryPayrollTaxes[company_name],$B1420,SalaryPayrollTaxes[bu_name],$C1420)*(AD475+AD580+AD685)+SUMIFS(ExpensePayrollTaxes[Month 19],ExpensePayrollTaxes[exp_item],$H790,ExpensePayrollTaxes[company_name],$B1420)*AD790)</f>
        <v>0</v>
      </c>
      <c r="AE1420" s="652">
        <f>IF($B1420="",,SUMIFS(SalaryPayrollTaxes[Month 20],SalaryPayrollTaxes[exp_item],$H1420,SalaryPayrollTaxes[company_name],$B1420,SalaryPayrollTaxes[bu_name],$C1420)*(AE475+AE580+AE685)+SUMIFS(ExpensePayrollTaxes[Month 20],ExpensePayrollTaxes[exp_item],$H790,ExpensePayrollTaxes[company_name],$B1420)*AE790)</f>
        <v>0</v>
      </c>
      <c r="AF1420" s="652">
        <f>IF($B1420="",,SUMIFS(SalaryPayrollTaxes[Month 21],SalaryPayrollTaxes[exp_item],$H1420,SalaryPayrollTaxes[company_name],$B1420,SalaryPayrollTaxes[bu_name],$C1420)*(AF475+AF580+AF685)+SUMIFS(ExpensePayrollTaxes[Month 21],ExpensePayrollTaxes[exp_item],$H790,ExpensePayrollTaxes[company_name],$B1420)*AF790)</f>
        <v>0</v>
      </c>
      <c r="AG1420" s="652">
        <f>IF($B1420="",,SUMIFS(SalaryPayrollTaxes[Month 22],SalaryPayrollTaxes[exp_item],$H1420,SalaryPayrollTaxes[company_name],$B1420,SalaryPayrollTaxes[bu_name],$C1420)*(AG475+AG580+AG685)+SUMIFS(ExpensePayrollTaxes[Month 22],ExpensePayrollTaxes[exp_item],$H790,ExpensePayrollTaxes[company_name],$B1420)*AG790)</f>
        <v>0</v>
      </c>
      <c r="AH1420" s="652">
        <f>IF($B1420="",,SUMIFS(SalaryPayrollTaxes[Month 23],SalaryPayrollTaxes[exp_item],$H1420,SalaryPayrollTaxes[company_name],$B1420,SalaryPayrollTaxes[bu_name],$C1420)*(AH475+AH580+AH685)+SUMIFS(ExpensePayrollTaxes[Month 23],ExpensePayrollTaxes[exp_item],$H790,ExpensePayrollTaxes[company_name],$B1420)*AH790)</f>
        <v>0</v>
      </c>
      <c r="AI1420" s="652">
        <f>IF($B1420="",,SUMIFS(SalaryPayrollTaxes[Month 24],SalaryPayrollTaxes[exp_item],$H1420,SalaryPayrollTaxes[company_name],$B1420,SalaryPayrollTaxes[bu_name],$C1420)*(AI475+AI580+AI685)+SUMIFS(ExpensePayrollTaxes[Month 24],ExpensePayrollTaxes[exp_item],$H790,ExpensePayrollTaxes[company_name],$B1420)*AI790)</f>
        <v>0</v>
      </c>
      <c r="AJ1420" s="652">
        <f>IF($B1420="",,SUMIFS(SalaryPayrollTaxes[Month 25],SalaryPayrollTaxes[exp_item],$H1420,SalaryPayrollTaxes[company_name],$B1420,SalaryPayrollTaxes[bu_name],$C1420)*(AJ475+AJ580+AJ685)+SUMIFS(ExpensePayrollTaxes[Month 25],ExpensePayrollTaxes[exp_item],$H790,ExpensePayrollTaxes[company_name],$B1420)*AJ790)</f>
        <v>0</v>
      </c>
      <c r="AK1420" s="652">
        <f>IF($B1420="",,SUMIFS(SalaryPayrollTaxes[Month 26],SalaryPayrollTaxes[exp_item],$H1420,SalaryPayrollTaxes[company_name],$B1420,SalaryPayrollTaxes[bu_name],$C1420)*(AK475+AK580+AK685)+SUMIFS(ExpensePayrollTaxes[Month 26],ExpensePayrollTaxes[exp_item],$H790,ExpensePayrollTaxes[company_name],$B1420)*AK790)</f>
        <v>0</v>
      </c>
      <c r="AL1420" s="652">
        <f>IF($B1420="",,SUMIFS(SalaryPayrollTaxes[Month 27],SalaryPayrollTaxes[exp_item],$H1420,SalaryPayrollTaxes[company_name],$B1420,SalaryPayrollTaxes[bu_name],$C1420)*(AL475+AL580+AL685)+SUMIFS(ExpensePayrollTaxes[Month 27],ExpensePayrollTaxes[exp_item],$H790,ExpensePayrollTaxes[company_name],$B1420)*AL790)</f>
        <v>0</v>
      </c>
      <c r="AM1420" s="652">
        <f>IF($B1420="",,SUMIFS(SalaryPayrollTaxes[Month 28],SalaryPayrollTaxes[exp_item],$H1420,SalaryPayrollTaxes[company_name],$B1420,SalaryPayrollTaxes[bu_name],$C1420)*(AM475+AM580+AM685)+SUMIFS(ExpensePayrollTaxes[Month 28],ExpensePayrollTaxes[exp_item],$H790,ExpensePayrollTaxes[company_name],$B1420)*AM790)</f>
        <v>0</v>
      </c>
      <c r="AN1420" s="652">
        <f>IF($B1420="",,SUMIFS(SalaryPayrollTaxes[Month 29],SalaryPayrollTaxes[exp_item],$H1420,SalaryPayrollTaxes[company_name],$B1420,SalaryPayrollTaxes[bu_name],$C1420)*(AN475+AN580+AN685)+SUMIFS(ExpensePayrollTaxes[Month 29],ExpensePayrollTaxes[exp_item],$H790,ExpensePayrollTaxes[company_name],$B1420)*AN790)</f>
        <v>0</v>
      </c>
      <c r="AO1420" s="652">
        <f>IF($B1420="",,SUMIFS(SalaryPayrollTaxes[Month 30],SalaryPayrollTaxes[exp_item],$H1420,SalaryPayrollTaxes[company_name],$B1420,SalaryPayrollTaxes[bu_name],$C1420)*(AO475+AO580+AO685)+SUMIFS(ExpensePayrollTaxes[Month 30],ExpensePayrollTaxes[exp_item],$H790,ExpensePayrollTaxes[company_name],$B1420)*AO790)</f>
        <v>0</v>
      </c>
      <c r="AP1420" s="652">
        <f>IF($B1420="",,SUMIFS(SalaryPayrollTaxes[Month 31],SalaryPayrollTaxes[exp_item],$H1420,SalaryPayrollTaxes[company_name],$B1420,SalaryPayrollTaxes[bu_name],$C1420)*(AP475+AP580+AP685)+SUMIFS(ExpensePayrollTaxes[Month 31],ExpensePayrollTaxes[exp_item],$H790,ExpensePayrollTaxes[company_name],$B1420)*AP790)</f>
        <v>0</v>
      </c>
      <c r="AQ1420" s="652">
        <f>IF($B1420="",,SUMIFS(SalaryPayrollTaxes[Month 32],SalaryPayrollTaxes[exp_item],$H1420,SalaryPayrollTaxes[company_name],$B1420,SalaryPayrollTaxes[bu_name],$C1420)*(AQ475+AQ580+AQ685)+SUMIFS(ExpensePayrollTaxes[Month 32],ExpensePayrollTaxes[exp_item],$H790,ExpensePayrollTaxes[company_name],$B1420)*AQ790)</f>
        <v>0</v>
      </c>
      <c r="AR1420" s="652">
        <f>IF($B1420="",,SUMIFS(SalaryPayrollTaxes[Month 33],SalaryPayrollTaxes[exp_item],$H1420,SalaryPayrollTaxes[company_name],$B1420,SalaryPayrollTaxes[bu_name],$C1420)*(AR475+AR580+AR685)+SUMIFS(ExpensePayrollTaxes[Month 33],ExpensePayrollTaxes[exp_item],$H790,ExpensePayrollTaxes[company_name],$B1420)*AR790)</f>
        <v>0</v>
      </c>
      <c r="AS1420" s="652">
        <f>IF($B1420="",,SUMIFS(SalaryPayrollTaxes[Month 34],SalaryPayrollTaxes[exp_item],$H1420,SalaryPayrollTaxes[company_name],$B1420,SalaryPayrollTaxes[bu_name],$C1420)*(AS475+AS580+AS685)+SUMIFS(ExpensePayrollTaxes[Month 34],ExpensePayrollTaxes[exp_item],$H790,ExpensePayrollTaxes[company_name],$B1420)*AS790)</f>
        <v>0</v>
      </c>
      <c r="AT1420" s="652">
        <f>IF($B1420="",,SUMIFS(SalaryPayrollTaxes[Month 35],SalaryPayrollTaxes[exp_item],$H1420,SalaryPayrollTaxes[company_name],$B1420,SalaryPayrollTaxes[bu_name],$C1420)*(AT475+AT580+AT685)+SUMIFS(ExpensePayrollTaxes[Month 35],ExpensePayrollTaxes[exp_item],$H790,ExpensePayrollTaxes[company_name],$B1420)*AT790)</f>
        <v>0</v>
      </c>
      <c r="AU1420" s="652">
        <f>IF($B1420="",,SUMIFS(SalaryPayrollTaxes[Month 36],SalaryPayrollTaxes[exp_item],$H1420,SalaryPayrollTaxes[company_name],$B1420,SalaryPayrollTaxes[bu_name],$C1420)*(AU475+AU580+AU685)+SUMIFS(ExpensePayrollTaxes[Month 36],ExpensePayrollTaxes[exp_item],$H790,ExpensePayrollTaxes[company_name],$B1420)*AU790)</f>
        <v>0</v>
      </c>
    </row>
    <row r="1421" spans="2:47" x14ac:dyDescent="0.35">
      <c r="B1421" t="str">
        <f t="shared" ref="B1421:G1430" si="1000">IF(B1316="","",B1316)</f>
        <v/>
      </c>
      <c r="C1421" t="str">
        <f t="shared" si="1000"/>
        <v/>
      </c>
      <c r="D1421" t="str">
        <f t="shared" si="1000"/>
        <v/>
      </c>
      <c r="E1421" t="str">
        <f t="shared" si="1000"/>
        <v/>
      </c>
      <c r="F1421" t="str">
        <f t="shared" si="1000"/>
        <v/>
      </c>
      <c r="G1421" t="str">
        <f t="shared" si="1000"/>
        <v/>
      </c>
      <c r="H1421" t="str">
        <f t="shared" si="997"/>
        <v/>
      </c>
      <c r="J1421" t="str">
        <f>IF($H1421="","",IF(VLOOKUP(H1421,ExpItems[],2,0),H1421&amp;" - "&amp;INDEX(DivisionMapping[category_code],MATCH($D1421&amp;$C1421,DivisionMapping[dept_bu],0)),H1421))</f>
        <v/>
      </c>
      <c r="K1421" t="str">
        <f t="shared" si="998"/>
        <v/>
      </c>
      <c r="L1421" s="652">
        <f>IF($B1421="",,SUMIFS(SalaryPayrollTaxes[Month 1],SalaryPayrollTaxes[exp_item],$H1421,SalaryPayrollTaxes[company_name],$B1421,SalaryPayrollTaxes[bu_name],$C1421)*(L476+L581+L686)+SUMIFS(ExpensePayrollTaxes[Month 1],ExpensePayrollTaxes[exp_item],$H791,ExpensePayrollTaxes[company_name],$B1421)*L791)</f>
        <v>0</v>
      </c>
      <c r="M1421" s="652">
        <f>IF($B1421="",,SUMIFS(SalaryPayrollTaxes[Month 2],SalaryPayrollTaxes[exp_item],$H1421,SalaryPayrollTaxes[company_name],$B1421,SalaryPayrollTaxes[bu_name],$C1421)*(M476+M581+M686)+SUMIFS(ExpensePayrollTaxes[Month 2],ExpensePayrollTaxes[exp_item],$H791,ExpensePayrollTaxes[company_name],$B1421)*M791)</f>
        <v>0</v>
      </c>
      <c r="N1421" s="652">
        <f>IF($B1421="",,SUMIFS(SalaryPayrollTaxes[Month 3],SalaryPayrollTaxes[exp_item],$H1421,SalaryPayrollTaxes[company_name],$B1421,SalaryPayrollTaxes[bu_name],$C1421)*(N476+N581+N686)+SUMIFS(ExpensePayrollTaxes[Month 3],ExpensePayrollTaxes[exp_item],$H791,ExpensePayrollTaxes[company_name],$B1421)*N791)</f>
        <v>0</v>
      </c>
      <c r="O1421" s="652">
        <f>IF($B1421="",,SUMIFS(SalaryPayrollTaxes[Month 4],SalaryPayrollTaxes[exp_item],$H1421,SalaryPayrollTaxes[company_name],$B1421,SalaryPayrollTaxes[bu_name],$C1421)*(O476+O581+O686)+SUMIFS(ExpensePayrollTaxes[Month 4],ExpensePayrollTaxes[exp_item],$H791,ExpensePayrollTaxes[company_name],$B1421)*O791)</f>
        <v>0</v>
      </c>
      <c r="P1421" s="652">
        <f>IF($B1421="",,SUMIFS(SalaryPayrollTaxes[Month 5],SalaryPayrollTaxes[exp_item],$H1421,SalaryPayrollTaxes[company_name],$B1421,SalaryPayrollTaxes[bu_name],$C1421)*(P476+P581+P686)+SUMIFS(ExpensePayrollTaxes[Month 5],ExpensePayrollTaxes[exp_item],$H791,ExpensePayrollTaxes[company_name],$B1421)*P791)</f>
        <v>0</v>
      </c>
      <c r="Q1421" s="652">
        <f>IF($B1421="",,SUMIFS(SalaryPayrollTaxes[Month 6],SalaryPayrollTaxes[exp_item],$H1421,SalaryPayrollTaxes[company_name],$B1421,SalaryPayrollTaxes[bu_name],$C1421)*(Q476+Q581+Q686)+SUMIFS(ExpensePayrollTaxes[Month 6],ExpensePayrollTaxes[exp_item],$H791,ExpensePayrollTaxes[company_name],$B1421)*Q791)</f>
        <v>0</v>
      </c>
      <c r="R1421" s="652">
        <f>IF($B1421="",,SUMIFS(SalaryPayrollTaxes[Month 7],SalaryPayrollTaxes[exp_item],$H1421,SalaryPayrollTaxes[company_name],$B1421,SalaryPayrollTaxes[bu_name],$C1421)*(R476+R581+R686)+SUMIFS(ExpensePayrollTaxes[Month 7],ExpensePayrollTaxes[exp_item],$H791,ExpensePayrollTaxes[company_name],$B1421)*R791)</f>
        <v>0</v>
      </c>
      <c r="S1421" s="652">
        <f>IF($B1421="",,SUMIFS(SalaryPayrollTaxes[Month 8],SalaryPayrollTaxes[exp_item],$H1421,SalaryPayrollTaxes[company_name],$B1421,SalaryPayrollTaxes[bu_name],$C1421)*(S476+S581+S686)+SUMIFS(ExpensePayrollTaxes[Month 8],ExpensePayrollTaxes[exp_item],$H791,ExpensePayrollTaxes[company_name],$B1421)*S791)</f>
        <v>0</v>
      </c>
      <c r="T1421" s="652">
        <f>IF($B1421="",,SUMIFS(SalaryPayrollTaxes[Month 9],SalaryPayrollTaxes[exp_item],$H1421,SalaryPayrollTaxes[company_name],$B1421,SalaryPayrollTaxes[bu_name],$C1421)*(T476+T581+T686)+SUMIFS(ExpensePayrollTaxes[Month 9],ExpensePayrollTaxes[exp_item],$H791,ExpensePayrollTaxes[company_name],$B1421)*T791)</f>
        <v>0</v>
      </c>
      <c r="U1421" s="652">
        <f>IF($B1421="",,SUMIFS(SalaryPayrollTaxes[Month 10],SalaryPayrollTaxes[exp_item],$H1421,SalaryPayrollTaxes[company_name],$B1421,SalaryPayrollTaxes[bu_name],$C1421)*(U476+U581+U686)+SUMIFS(ExpensePayrollTaxes[Month 10],ExpensePayrollTaxes[exp_item],$H791,ExpensePayrollTaxes[company_name],$B1421)*U791)</f>
        <v>0</v>
      </c>
      <c r="V1421" s="652">
        <f>IF($B1421="",,SUMIFS(SalaryPayrollTaxes[Month 11],SalaryPayrollTaxes[exp_item],$H1421,SalaryPayrollTaxes[company_name],$B1421,SalaryPayrollTaxes[bu_name],$C1421)*(V476+V581+V686)+SUMIFS(ExpensePayrollTaxes[Month 11],ExpensePayrollTaxes[exp_item],$H791,ExpensePayrollTaxes[company_name],$B1421)*V791)</f>
        <v>0</v>
      </c>
      <c r="W1421" s="652">
        <f>IF($B1421="",,SUMIFS(SalaryPayrollTaxes[Month 12],SalaryPayrollTaxes[exp_item],$H1421,SalaryPayrollTaxes[company_name],$B1421,SalaryPayrollTaxes[bu_name],$C1421)*(W476+W581+W686)+SUMIFS(ExpensePayrollTaxes[Month 12],ExpensePayrollTaxes[exp_item],$H791,ExpensePayrollTaxes[company_name],$B1421)*W791)</f>
        <v>0</v>
      </c>
      <c r="X1421" s="652">
        <f>IF($B1421="",,SUMIFS(SalaryPayrollTaxes[Month 13],SalaryPayrollTaxes[exp_item],$H1421,SalaryPayrollTaxes[company_name],$B1421,SalaryPayrollTaxes[bu_name],$C1421)*(X476+X581+X686)+SUMIFS(ExpensePayrollTaxes[Month 13],ExpensePayrollTaxes[exp_item],$H791,ExpensePayrollTaxes[company_name],$B1421)*X791)</f>
        <v>0</v>
      </c>
      <c r="Y1421" s="652">
        <f>IF($B1421="",,SUMIFS(SalaryPayrollTaxes[Month 14],SalaryPayrollTaxes[exp_item],$H1421,SalaryPayrollTaxes[company_name],$B1421,SalaryPayrollTaxes[bu_name],$C1421)*(Y476+Y581+Y686)+SUMIFS(ExpensePayrollTaxes[Month 14],ExpensePayrollTaxes[exp_item],$H791,ExpensePayrollTaxes[company_name],$B1421)*Y791)</f>
        <v>0</v>
      </c>
      <c r="Z1421" s="652">
        <f>IF($B1421="",,SUMIFS(SalaryPayrollTaxes[Month 15],SalaryPayrollTaxes[exp_item],$H1421,SalaryPayrollTaxes[company_name],$B1421,SalaryPayrollTaxes[bu_name],$C1421)*(Z476+Z581+Z686)+SUMIFS(ExpensePayrollTaxes[Month 15],ExpensePayrollTaxes[exp_item],$H791,ExpensePayrollTaxes[company_name],$B1421)*Z791)</f>
        <v>0</v>
      </c>
      <c r="AA1421" s="652">
        <f>IF($B1421="",,SUMIFS(SalaryPayrollTaxes[Month 16],SalaryPayrollTaxes[exp_item],$H1421,SalaryPayrollTaxes[company_name],$B1421,SalaryPayrollTaxes[bu_name],$C1421)*(AA476+AA581+AA686)+SUMIFS(ExpensePayrollTaxes[Month 16],ExpensePayrollTaxes[exp_item],$H791,ExpensePayrollTaxes[company_name],$B1421)*AA791)</f>
        <v>0</v>
      </c>
      <c r="AB1421" s="652">
        <f>IF($B1421="",,SUMIFS(SalaryPayrollTaxes[Month 17],SalaryPayrollTaxes[exp_item],$H1421,SalaryPayrollTaxes[company_name],$B1421,SalaryPayrollTaxes[bu_name],$C1421)*(AB476+AB581+AB686)+SUMIFS(ExpensePayrollTaxes[Month 17],ExpensePayrollTaxes[exp_item],$H791,ExpensePayrollTaxes[company_name],$B1421)*AB791)</f>
        <v>0</v>
      </c>
      <c r="AC1421" s="652">
        <f>IF($B1421="",,SUMIFS(SalaryPayrollTaxes[Month 18],SalaryPayrollTaxes[exp_item],$H1421,SalaryPayrollTaxes[company_name],$B1421,SalaryPayrollTaxes[bu_name],$C1421)*(AC476+AC581+AC686)+SUMIFS(ExpensePayrollTaxes[Month 18],ExpensePayrollTaxes[exp_item],$H791,ExpensePayrollTaxes[company_name],$B1421)*AC791)</f>
        <v>0</v>
      </c>
      <c r="AD1421" s="652">
        <f>IF($B1421="",,SUMIFS(SalaryPayrollTaxes[Month 19],SalaryPayrollTaxes[exp_item],$H1421,SalaryPayrollTaxes[company_name],$B1421,SalaryPayrollTaxes[bu_name],$C1421)*(AD476+AD581+AD686)+SUMIFS(ExpensePayrollTaxes[Month 19],ExpensePayrollTaxes[exp_item],$H791,ExpensePayrollTaxes[company_name],$B1421)*AD791)</f>
        <v>0</v>
      </c>
      <c r="AE1421" s="652">
        <f>IF($B1421="",,SUMIFS(SalaryPayrollTaxes[Month 20],SalaryPayrollTaxes[exp_item],$H1421,SalaryPayrollTaxes[company_name],$B1421,SalaryPayrollTaxes[bu_name],$C1421)*(AE476+AE581+AE686)+SUMIFS(ExpensePayrollTaxes[Month 20],ExpensePayrollTaxes[exp_item],$H791,ExpensePayrollTaxes[company_name],$B1421)*AE791)</f>
        <v>0</v>
      </c>
      <c r="AF1421" s="652">
        <f>IF($B1421="",,SUMIFS(SalaryPayrollTaxes[Month 21],SalaryPayrollTaxes[exp_item],$H1421,SalaryPayrollTaxes[company_name],$B1421,SalaryPayrollTaxes[bu_name],$C1421)*(AF476+AF581+AF686)+SUMIFS(ExpensePayrollTaxes[Month 21],ExpensePayrollTaxes[exp_item],$H791,ExpensePayrollTaxes[company_name],$B1421)*AF791)</f>
        <v>0</v>
      </c>
      <c r="AG1421" s="652">
        <f>IF($B1421="",,SUMIFS(SalaryPayrollTaxes[Month 22],SalaryPayrollTaxes[exp_item],$H1421,SalaryPayrollTaxes[company_name],$B1421,SalaryPayrollTaxes[bu_name],$C1421)*(AG476+AG581+AG686)+SUMIFS(ExpensePayrollTaxes[Month 22],ExpensePayrollTaxes[exp_item],$H791,ExpensePayrollTaxes[company_name],$B1421)*AG791)</f>
        <v>0</v>
      </c>
      <c r="AH1421" s="652">
        <f>IF($B1421="",,SUMIFS(SalaryPayrollTaxes[Month 23],SalaryPayrollTaxes[exp_item],$H1421,SalaryPayrollTaxes[company_name],$B1421,SalaryPayrollTaxes[bu_name],$C1421)*(AH476+AH581+AH686)+SUMIFS(ExpensePayrollTaxes[Month 23],ExpensePayrollTaxes[exp_item],$H791,ExpensePayrollTaxes[company_name],$B1421)*AH791)</f>
        <v>0</v>
      </c>
      <c r="AI1421" s="652">
        <f>IF($B1421="",,SUMIFS(SalaryPayrollTaxes[Month 24],SalaryPayrollTaxes[exp_item],$H1421,SalaryPayrollTaxes[company_name],$B1421,SalaryPayrollTaxes[bu_name],$C1421)*(AI476+AI581+AI686)+SUMIFS(ExpensePayrollTaxes[Month 24],ExpensePayrollTaxes[exp_item],$H791,ExpensePayrollTaxes[company_name],$B1421)*AI791)</f>
        <v>0</v>
      </c>
      <c r="AJ1421" s="652">
        <f>IF($B1421="",,SUMIFS(SalaryPayrollTaxes[Month 25],SalaryPayrollTaxes[exp_item],$H1421,SalaryPayrollTaxes[company_name],$B1421,SalaryPayrollTaxes[bu_name],$C1421)*(AJ476+AJ581+AJ686)+SUMIFS(ExpensePayrollTaxes[Month 25],ExpensePayrollTaxes[exp_item],$H791,ExpensePayrollTaxes[company_name],$B1421)*AJ791)</f>
        <v>0</v>
      </c>
      <c r="AK1421" s="652">
        <f>IF($B1421="",,SUMIFS(SalaryPayrollTaxes[Month 26],SalaryPayrollTaxes[exp_item],$H1421,SalaryPayrollTaxes[company_name],$B1421,SalaryPayrollTaxes[bu_name],$C1421)*(AK476+AK581+AK686)+SUMIFS(ExpensePayrollTaxes[Month 26],ExpensePayrollTaxes[exp_item],$H791,ExpensePayrollTaxes[company_name],$B1421)*AK791)</f>
        <v>0</v>
      </c>
      <c r="AL1421" s="652">
        <f>IF($B1421="",,SUMIFS(SalaryPayrollTaxes[Month 27],SalaryPayrollTaxes[exp_item],$H1421,SalaryPayrollTaxes[company_name],$B1421,SalaryPayrollTaxes[bu_name],$C1421)*(AL476+AL581+AL686)+SUMIFS(ExpensePayrollTaxes[Month 27],ExpensePayrollTaxes[exp_item],$H791,ExpensePayrollTaxes[company_name],$B1421)*AL791)</f>
        <v>0</v>
      </c>
      <c r="AM1421" s="652">
        <f>IF($B1421="",,SUMIFS(SalaryPayrollTaxes[Month 28],SalaryPayrollTaxes[exp_item],$H1421,SalaryPayrollTaxes[company_name],$B1421,SalaryPayrollTaxes[bu_name],$C1421)*(AM476+AM581+AM686)+SUMIFS(ExpensePayrollTaxes[Month 28],ExpensePayrollTaxes[exp_item],$H791,ExpensePayrollTaxes[company_name],$B1421)*AM791)</f>
        <v>0</v>
      </c>
      <c r="AN1421" s="652">
        <f>IF($B1421="",,SUMIFS(SalaryPayrollTaxes[Month 29],SalaryPayrollTaxes[exp_item],$H1421,SalaryPayrollTaxes[company_name],$B1421,SalaryPayrollTaxes[bu_name],$C1421)*(AN476+AN581+AN686)+SUMIFS(ExpensePayrollTaxes[Month 29],ExpensePayrollTaxes[exp_item],$H791,ExpensePayrollTaxes[company_name],$B1421)*AN791)</f>
        <v>0</v>
      </c>
      <c r="AO1421" s="652">
        <f>IF($B1421="",,SUMIFS(SalaryPayrollTaxes[Month 30],SalaryPayrollTaxes[exp_item],$H1421,SalaryPayrollTaxes[company_name],$B1421,SalaryPayrollTaxes[bu_name],$C1421)*(AO476+AO581+AO686)+SUMIFS(ExpensePayrollTaxes[Month 30],ExpensePayrollTaxes[exp_item],$H791,ExpensePayrollTaxes[company_name],$B1421)*AO791)</f>
        <v>0</v>
      </c>
      <c r="AP1421" s="652">
        <f>IF($B1421="",,SUMIFS(SalaryPayrollTaxes[Month 31],SalaryPayrollTaxes[exp_item],$H1421,SalaryPayrollTaxes[company_name],$B1421,SalaryPayrollTaxes[bu_name],$C1421)*(AP476+AP581+AP686)+SUMIFS(ExpensePayrollTaxes[Month 31],ExpensePayrollTaxes[exp_item],$H791,ExpensePayrollTaxes[company_name],$B1421)*AP791)</f>
        <v>0</v>
      </c>
      <c r="AQ1421" s="652">
        <f>IF($B1421="",,SUMIFS(SalaryPayrollTaxes[Month 32],SalaryPayrollTaxes[exp_item],$H1421,SalaryPayrollTaxes[company_name],$B1421,SalaryPayrollTaxes[bu_name],$C1421)*(AQ476+AQ581+AQ686)+SUMIFS(ExpensePayrollTaxes[Month 32],ExpensePayrollTaxes[exp_item],$H791,ExpensePayrollTaxes[company_name],$B1421)*AQ791)</f>
        <v>0</v>
      </c>
      <c r="AR1421" s="652">
        <f>IF($B1421="",,SUMIFS(SalaryPayrollTaxes[Month 33],SalaryPayrollTaxes[exp_item],$H1421,SalaryPayrollTaxes[company_name],$B1421,SalaryPayrollTaxes[bu_name],$C1421)*(AR476+AR581+AR686)+SUMIFS(ExpensePayrollTaxes[Month 33],ExpensePayrollTaxes[exp_item],$H791,ExpensePayrollTaxes[company_name],$B1421)*AR791)</f>
        <v>0</v>
      </c>
      <c r="AS1421" s="652">
        <f>IF($B1421="",,SUMIFS(SalaryPayrollTaxes[Month 34],SalaryPayrollTaxes[exp_item],$H1421,SalaryPayrollTaxes[company_name],$B1421,SalaryPayrollTaxes[bu_name],$C1421)*(AS476+AS581+AS686)+SUMIFS(ExpensePayrollTaxes[Month 34],ExpensePayrollTaxes[exp_item],$H791,ExpensePayrollTaxes[company_name],$B1421)*AS791)</f>
        <v>0</v>
      </c>
      <c r="AT1421" s="652">
        <f>IF($B1421="",,SUMIFS(SalaryPayrollTaxes[Month 35],SalaryPayrollTaxes[exp_item],$H1421,SalaryPayrollTaxes[company_name],$B1421,SalaryPayrollTaxes[bu_name],$C1421)*(AT476+AT581+AT686)+SUMIFS(ExpensePayrollTaxes[Month 35],ExpensePayrollTaxes[exp_item],$H791,ExpensePayrollTaxes[company_name],$B1421)*AT791)</f>
        <v>0</v>
      </c>
      <c r="AU1421" s="652">
        <f>IF($B1421="",,SUMIFS(SalaryPayrollTaxes[Month 36],SalaryPayrollTaxes[exp_item],$H1421,SalaryPayrollTaxes[company_name],$B1421,SalaryPayrollTaxes[bu_name],$C1421)*(AU476+AU581+AU686)+SUMIFS(ExpensePayrollTaxes[Month 36],ExpensePayrollTaxes[exp_item],$H791,ExpensePayrollTaxes[company_name],$B1421)*AU791)</f>
        <v>0</v>
      </c>
    </row>
    <row r="1422" spans="2:47" x14ac:dyDescent="0.35">
      <c r="B1422" t="str">
        <f t="shared" si="1000"/>
        <v/>
      </c>
      <c r="C1422" t="str">
        <f t="shared" si="1000"/>
        <v/>
      </c>
      <c r="D1422" t="str">
        <f t="shared" si="1000"/>
        <v/>
      </c>
      <c r="E1422" t="str">
        <f t="shared" si="1000"/>
        <v/>
      </c>
      <c r="F1422" t="str">
        <f t="shared" si="1000"/>
        <v/>
      </c>
      <c r="G1422" t="str">
        <f t="shared" si="1000"/>
        <v/>
      </c>
      <c r="H1422" t="str">
        <f t="shared" si="997"/>
        <v/>
      </c>
      <c r="J1422" t="str">
        <f>IF($H1422="","",IF(VLOOKUP(H1422,ExpItems[],2,0),H1422&amp;" - "&amp;INDEX(DivisionMapping[category_code],MATCH($D1422&amp;$C1422,DivisionMapping[dept_bu],0)),H1422))</f>
        <v/>
      </c>
      <c r="K1422" t="str">
        <f t="shared" si="998"/>
        <v/>
      </c>
      <c r="L1422" s="652">
        <f>IF($B1422="",,SUMIFS(SalaryPayrollTaxes[Month 1],SalaryPayrollTaxes[exp_item],$H1422,SalaryPayrollTaxes[company_name],$B1422,SalaryPayrollTaxes[bu_name],$C1422)*(L477+L582+L687)+SUMIFS(ExpensePayrollTaxes[Month 1],ExpensePayrollTaxes[exp_item],$H792,ExpensePayrollTaxes[company_name],$B1422)*L792)</f>
        <v>0</v>
      </c>
      <c r="M1422" s="652">
        <f>IF($B1422="",,SUMIFS(SalaryPayrollTaxes[Month 2],SalaryPayrollTaxes[exp_item],$H1422,SalaryPayrollTaxes[company_name],$B1422,SalaryPayrollTaxes[bu_name],$C1422)*(M477+M582+M687)+SUMIFS(ExpensePayrollTaxes[Month 2],ExpensePayrollTaxes[exp_item],$H792,ExpensePayrollTaxes[company_name],$B1422)*M792)</f>
        <v>0</v>
      </c>
      <c r="N1422" s="652">
        <f>IF($B1422="",,SUMIFS(SalaryPayrollTaxes[Month 3],SalaryPayrollTaxes[exp_item],$H1422,SalaryPayrollTaxes[company_name],$B1422,SalaryPayrollTaxes[bu_name],$C1422)*(N477+N582+N687)+SUMIFS(ExpensePayrollTaxes[Month 3],ExpensePayrollTaxes[exp_item],$H792,ExpensePayrollTaxes[company_name],$B1422)*N792)</f>
        <v>0</v>
      </c>
      <c r="O1422" s="652">
        <f>IF($B1422="",,SUMIFS(SalaryPayrollTaxes[Month 4],SalaryPayrollTaxes[exp_item],$H1422,SalaryPayrollTaxes[company_name],$B1422,SalaryPayrollTaxes[bu_name],$C1422)*(O477+O582+O687)+SUMIFS(ExpensePayrollTaxes[Month 4],ExpensePayrollTaxes[exp_item],$H792,ExpensePayrollTaxes[company_name],$B1422)*O792)</f>
        <v>0</v>
      </c>
      <c r="P1422" s="652">
        <f>IF($B1422="",,SUMIFS(SalaryPayrollTaxes[Month 5],SalaryPayrollTaxes[exp_item],$H1422,SalaryPayrollTaxes[company_name],$B1422,SalaryPayrollTaxes[bu_name],$C1422)*(P477+P582+P687)+SUMIFS(ExpensePayrollTaxes[Month 5],ExpensePayrollTaxes[exp_item],$H792,ExpensePayrollTaxes[company_name],$B1422)*P792)</f>
        <v>0</v>
      </c>
      <c r="Q1422" s="652">
        <f>IF($B1422="",,SUMIFS(SalaryPayrollTaxes[Month 6],SalaryPayrollTaxes[exp_item],$H1422,SalaryPayrollTaxes[company_name],$B1422,SalaryPayrollTaxes[bu_name],$C1422)*(Q477+Q582+Q687)+SUMIFS(ExpensePayrollTaxes[Month 6],ExpensePayrollTaxes[exp_item],$H792,ExpensePayrollTaxes[company_name],$B1422)*Q792)</f>
        <v>0</v>
      </c>
      <c r="R1422" s="652">
        <f>IF($B1422="",,SUMIFS(SalaryPayrollTaxes[Month 7],SalaryPayrollTaxes[exp_item],$H1422,SalaryPayrollTaxes[company_name],$B1422,SalaryPayrollTaxes[bu_name],$C1422)*(R477+R582+R687)+SUMIFS(ExpensePayrollTaxes[Month 7],ExpensePayrollTaxes[exp_item],$H792,ExpensePayrollTaxes[company_name],$B1422)*R792)</f>
        <v>0</v>
      </c>
      <c r="S1422" s="652">
        <f>IF($B1422="",,SUMIFS(SalaryPayrollTaxes[Month 8],SalaryPayrollTaxes[exp_item],$H1422,SalaryPayrollTaxes[company_name],$B1422,SalaryPayrollTaxes[bu_name],$C1422)*(S477+S582+S687)+SUMIFS(ExpensePayrollTaxes[Month 8],ExpensePayrollTaxes[exp_item],$H792,ExpensePayrollTaxes[company_name],$B1422)*S792)</f>
        <v>0</v>
      </c>
      <c r="T1422" s="652">
        <f>IF($B1422="",,SUMIFS(SalaryPayrollTaxes[Month 9],SalaryPayrollTaxes[exp_item],$H1422,SalaryPayrollTaxes[company_name],$B1422,SalaryPayrollTaxes[bu_name],$C1422)*(T477+T582+T687)+SUMIFS(ExpensePayrollTaxes[Month 9],ExpensePayrollTaxes[exp_item],$H792,ExpensePayrollTaxes[company_name],$B1422)*T792)</f>
        <v>0</v>
      </c>
      <c r="U1422" s="652">
        <f>IF($B1422="",,SUMIFS(SalaryPayrollTaxes[Month 10],SalaryPayrollTaxes[exp_item],$H1422,SalaryPayrollTaxes[company_name],$B1422,SalaryPayrollTaxes[bu_name],$C1422)*(U477+U582+U687)+SUMIFS(ExpensePayrollTaxes[Month 10],ExpensePayrollTaxes[exp_item],$H792,ExpensePayrollTaxes[company_name],$B1422)*U792)</f>
        <v>0</v>
      </c>
      <c r="V1422" s="652">
        <f>IF($B1422="",,SUMIFS(SalaryPayrollTaxes[Month 11],SalaryPayrollTaxes[exp_item],$H1422,SalaryPayrollTaxes[company_name],$B1422,SalaryPayrollTaxes[bu_name],$C1422)*(V477+V582+V687)+SUMIFS(ExpensePayrollTaxes[Month 11],ExpensePayrollTaxes[exp_item],$H792,ExpensePayrollTaxes[company_name],$B1422)*V792)</f>
        <v>0</v>
      </c>
      <c r="W1422" s="652">
        <f>IF($B1422="",,SUMIFS(SalaryPayrollTaxes[Month 12],SalaryPayrollTaxes[exp_item],$H1422,SalaryPayrollTaxes[company_name],$B1422,SalaryPayrollTaxes[bu_name],$C1422)*(W477+W582+W687)+SUMIFS(ExpensePayrollTaxes[Month 12],ExpensePayrollTaxes[exp_item],$H792,ExpensePayrollTaxes[company_name],$B1422)*W792)</f>
        <v>0</v>
      </c>
      <c r="X1422" s="652">
        <f>IF($B1422="",,SUMIFS(SalaryPayrollTaxes[Month 13],SalaryPayrollTaxes[exp_item],$H1422,SalaryPayrollTaxes[company_name],$B1422,SalaryPayrollTaxes[bu_name],$C1422)*(X477+X582+X687)+SUMIFS(ExpensePayrollTaxes[Month 13],ExpensePayrollTaxes[exp_item],$H792,ExpensePayrollTaxes[company_name],$B1422)*X792)</f>
        <v>0</v>
      </c>
      <c r="Y1422" s="652">
        <f>IF($B1422="",,SUMIFS(SalaryPayrollTaxes[Month 14],SalaryPayrollTaxes[exp_item],$H1422,SalaryPayrollTaxes[company_name],$B1422,SalaryPayrollTaxes[bu_name],$C1422)*(Y477+Y582+Y687)+SUMIFS(ExpensePayrollTaxes[Month 14],ExpensePayrollTaxes[exp_item],$H792,ExpensePayrollTaxes[company_name],$B1422)*Y792)</f>
        <v>0</v>
      </c>
      <c r="Z1422" s="652">
        <f>IF($B1422="",,SUMIFS(SalaryPayrollTaxes[Month 15],SalaryPayrollTaxes[exp_item],$H1422,SalaryPayrollTaxes[company_name],$B1422,SalaryPayrollTaxes[bu_name],$C1422)*(Z477+Z582+Z687)+SUMIFS(ExpensePayrollTaxes[Month 15],ExpensePayrollTaxes[exp_item],$H792,ExpensePayrollTaxes[company_name],$B1422)*Z792)</f>
        <v>0</v>
      </c>
      <c r="AA1422" s="652">
        <f>IF($B1422="",,SUMIFS(SalaryPayrollTaxes[Month 16],SalaryPayrollTaxes[exp_item],$H1422,SalaryPayrollTaxes[company_name],$B1422,SalaryPayrollTaxes[bu_name],$C1422)*(AA477+AA582+AA687)+SUMIFS(ExpensePayrollTaxes[Month 16],ExpensePayrollTaxes[exp_item],$H792,ExpensePayrollTaxes[company_name],$B1422)*AA792)</f>
        <v>0</v>
      </c>
      <c r="AB1422" s="652">
        <f>IF($B1422="",,SUMIFS(SalaryPayrollTaxes[Month 17],SalaryPayrollTaxes[exp_item],$H1422,SalaryPayrollTaxes[company_name],$B1422,SalaryPayrollTaxes[bu_name],$C1422)*(AB477+AB582+AB687)+SUMIFS(ExpensePayrollTaxes[Month 17],ExpensePayrollTaxes[exp_item],$H792,ExpensePayrollTaxes[company_name],$B1422)*AB792)</f>
        <v>0</v>
      </c>
      <c r="AC1422" s="652">
        <f>IF($B1422="",,SUMIFS(SalaryPayrollTaxes[Month 18],SalaryPayrollTaxes[exp_item],$H1422,SalaryPayrollTaxes[company_name],$B1422,SalaryPayrollTaxes[bu_name],$C1422)*(AC477+AC582+AC687)+SUMIFS(ExpensePayrollTaxes[Month 18],ExpensePayrollTaxes[exp_item],$H792,ExpensePayrollTaxes[company_name],$B1422)*AC792)</f>
        <v>0</v>
      </c>
      <c r="AD1422" s="652">
        <f>IF($B1422="",,SUMIFS(SalaryPayrollTaxes[Month 19],SalaryPayrollTaxes[exp_item],$H1422,SalaryPayrollTaxes[company_name],$B1422,SalaryPayrollTaxes[bu_name],$C1422)*(AD477+AD582+AD687)+SUMIFS(ExpensePayrollTaxes[Month 19],ExpensePayrollTaxes[exp_item],$H792,ExpensePayrollTaxes[company_name],$B1422)*AD792)</f>
        <v>0</v>
      </c>
      <c r="AE1422" s="652">
        <f>IF($B1422="",,SUMIFS(SalaryPayrollTaxes[Month 20],SalaryPayrollTaxes[exp_item],$H1422,SalaryPayrollTaxes[company_name],$B1422,SalaryPayrollTaxes[bu_name],$C1422)*(AE477+AE582+AE687)+SUMIFS(ExpensePayrollTaxes[Month 20],ExpensePayrollTaxes[exp_item],$H792,ExpensePayrollTaxes[company_name],$B1422)*AE792)</f>
        <v>0</v>
      </c>
      <c r="AF1422" s="652">
        <f>IF($B1422="",,SUMIFS(SalaryPayrollTaxes[Month 21],SalaryPayrollTaxes[exp_item],$H1422,SalaryPayrollTaxes[company_name],$B1422,SalaryPayrollTaxes[bu_name],$C1422)*(AF477+AF582+AF687)+SUMIFS(ExpensePayrollTaxes[Month 21],ExpensePayrollTaxes[exp_item],$H792,ExpensePayrollTaxes[company_name],$B1422)*AF792)</f>
        <v>0</v>
      </c>
      <c r="AG1422" s="652">
        <f>IF($B1422="",,SUMIFS(SalaryPayrollTaxes[Month 22],SalaryPayrollTaxes[exp_item],$H1422,SalaryPayrollTaxes[company_name],$B1422,SalaryPayrollTaxes[bu_name],$C1422)*(AG477+AG582+AG687)+SUMIFS(ExpensePayrollTaxes[Month 22],ExpensePayrollTaxes[exp_item],$H792,ExpensePayrollTaxes[company_name],$B1422)*AG792)</f>
        <v>0</v>
      </c>
      <c r="AH1422" s="652">
        <f>IF($B1422="",,SUMIFS(SalaryPayrollTaxes[Month 23],SalaryPayrollTaxes[exp_item],$H1422,SalaryPayrollTaxes[company_name],$B1422,SalaryPayrollTaxes[bu_name],$C1422)*(AH477+AH582+AH687)+SUMIFS(ExpensePayrollTaxes[Month 23],ExpensePayrollTaxes[exp_item],$H792,ExpensePayrollTaxes[company_name],$B1422)*AH792)</f>
        <v>0</v>
      </c>
      <c r="AI1422" s="652">
        <f>IF($B1422="",,SUMIFS(SalaryPayrollTaxes[Month 24],SalaryPayrollTaxes[exp_item],$H1422,SalaryPayrollTaxes[company_name],$B1422,SalaryPayrollTaxes[bu_name],$C1422)*(AI477+AI582+AI687)+SUMIFS(ExpensePayrollTaxes[Month 24],ExpensePayrollTaxes[exp_item],$H792,ExpensePayrollTaxes[company_name],$B1422)*AI792)</f>
        <v>0</v>
      </c>
      <c r="AJ1422" s="652">
        <f>IF($B1422="",,SUMIFS(SalaryPayrollTaxes[Month 25],SalaryPayrollTaxes[exp_item],$H1422,SalaryPayrollTaxes[company_name],$B1422,SalaryPayrollTaxes[bu_name],$C1422)*(AJ477+AJ582+AJ687)+SUMIFS(ExpensePayrollTaxes[Month 25],ExpensePayrollTaxes[exp_item],$H792,ExpensePayrollTaxes[company_name],$B1422)*AJ792)</f>
        <v>0</v>
      </c>
      <c r="AK1422" s="652">
        <f>IF($B1422="",,SUMIFS(SalaryPayrollTaxes[Month 26],SalaryPayrollTaxes[exp_item],$H1422,SalaryPayrollTaxes[company_name],$B1422,SalaryPayrollTaxes[bu_name],$C1422)*(AK477+AK582+AK687)+SUMIFS(ExpensePayrollTaxes[Month 26],ExpensePayrollTaxes[exp_item],$H792,ExpensePayrollTaxes[company_name],$B1422)*AK792)</f>
        <v>0</v>
      </c>
      <c r="AL1422" s="652">
        <f>IF($B1422="",,SUMIFS(SalaryPayrollTaxes[Month 27],SalaryPayrollTaxes[exp_item],$H1422,SalaryPayrollTaxes[company_name],$B1422,SalaryPayrollTaxes[bu_name],$C1422)*(AL477+AL582+AL687)+SUMIFS(ExpensePayrollTaxes[Month 27],ExpensePayrollTaxes[exp_item],$H792,ExpensePayrollTaxes[company_name],$B1422)*AL792)</f>
        <v>0</v>
      </c>
      <c r="AM1422" s="652">
        <f>IF($B1422="",,SUMIFS(SalaryPayrollTaxes[Month 28],SalaryPayrollTaxes[exp_item],$H1422,SalaryPayrollTaxes[company_name],$B1422,SalaryPayrollTaxes[bu_name],$C1422)*(AM477+AM582+AM687)+SUMIFS(ExpensePayrollTaxes[Month 28],ExpensePayrollTaxes[exp_item],$H792,ExpensePayrollTaxes[company_name],$B1422)*AM792)</f>
        <v>0</v>
      </c>
      <c r="AN1422" s="652">
        <f>IF($B1422="",,SUMIFS(SalaryPayrollTaxes[Month 29],SalaryPayrollTaxes[exp_item],$H1422,SalaryPayrollTaxes[company_name],$B1422,SalaryPayrollTaxes[bu_name],$C1422)*(AN477+AN582+AN687)+SUMIFS(ExpensePayrollTaxes[Month 29],ExpensePayrollTaxes[exp_item],$H792,ExpensePayrollTaxes[company_name],$B1422)*AN792)</f>
        <v>0</v>
      </c>
      <c r="AO1422" s="652">
        <f>IF($B1422="",,SUMIFS(SalaryPayrollTaxes[Month 30],SalaryPayrollTaxes[exp_item],$H1422,SalaryPayrollTaxes[company_name],$B1422,SalaryPayrollTaxes[bu_name],$C1422)*(AO477+AO582+AO687)+SUMIFS(ExpensePayrollTaxes[Month 30],ExpensePayrollTaxes[exp_item],$H792,ExpensePayrollTaxes[company_name],$B1422)*AO792)</f>
        <v>0</v>
      </c>
      <c r="AP1422" s="652">
        <f>IF($B1422="",,SUMIFS(SalaryPayrollTaxes[Month 31],SalaryPayrollTaxes[exp_item],$H1422,SalaryPayrollTaxes[company_name],$B1422,SalaryPayrollTaxes[bu_name],$C1422)*(AP477+AP582+AP687)+SUMIFS(ExpensePayrollTaxes[Month 31],ExpensePayrollTaxes[exp_item],$H792,ExpensePayrollTaxes[company_name],$B1422)*AP792)</f>
        <v>0</v>
      </c>
      <c r="AQ1422" s="652">
        <f>IF($B1422="",,SUMIFS(SalaryPayrollTaxes[Month 32],SalaryPayrollTaxes[exp_item],$H1422,SalaryPayrollTaxes[company_name],$B1422,SalaryPayrollTaxes[bu_name],$C1422)*(AQ477+AQ582+AQ687)+SUMIFS(ExpensePayrollTaxes[Month 32],ExpensePayrollTaxes[exp_item],$H792,ExpensePayrollTaxes[company_name],$B1422)*AQ792)</f>
        <v>0</v>
      </c>
      <c r="AR1422" s="652">
        <f>IF($B1422="",,SUMIFS(SalaryPayrollTaxes[Month 33],SalaryPayrollTaxes[exp_item],$H1422,SalaryPayrollTaxes[company_name],$B1422,SalaryPayrollTaxes[bu_name],$C1422)*(AR477+AR582+AR687)+SUMIFS(ExpensePayrollTaxes[Month 33],ExpensePayrollTaxes[exp_item],$H792,ExpensePayrollTaxes[company_name],$B1422)*AR792)</f>
        <v>0</v>
      </c>
      <c r="AS1422" s="652">
        <f>IF($B1422="",,SUMIFS(SalaryPayrollTaxes[Month 34],SalaryPayrollTaxes[exp_item],$H1422,SalaryPayrollTaxes[company_name],$B1422,SalaryPayrollTaxes[bu_name],$C1422)*(AS477+AS582+AS687)+SUMIFS(ExpensePayrollTaxes[Month 34],ExpensePayrollTaxes[exp_item],$H792,ExpensePayrollTaxes[company_name],$B1422)*AS792)</f>
        <v>0</v>
      </c>
      <c r="AT1422" s="652">
        <f>IF($B1422="",,SUMIFS(SalaryPayrollTaxes[Month 35],SalaryPayrollTaxes[exp_item],$H1422,SalaryPayrollTaxes[company_name],$B1422,SalaryPayrollTaxes[bu_name],$C1422)*(AT477+AT582+AT687)+SUMIFS(ExpensePayrollTaxes[Month 35],ExpensePayrollTaxes[exp_item],$H792,ExpensePayrollTaxes[company_name],$B1422)*AT792)</f>
        <v>0</v>
      </c>
      <c r="AU1422" s="652">
        <f>IF($B1422="",,SUMIFS(SalaryPayrollTaxes[Month 36],SalaryPayrollTaxes[exp_item],$H1422,SalaryPayrollTaxes[company_name],$B1422,SalaryPayrollTaxes[bu_name],$C1422)*(AU477+AU582+AU687)+SUMIFS(ExpensePayrollTaxes[Month 36],ExpensePayrollTaxes[exp_item],$H792,ExpensePayrollTaxes[company_name],$B1422)*AU792)</f>
        <v>0</v>
      </c>
    </row>
    <row r="1423" spans="2:47" x14ac:dyDescent="0.35">
      <c r="B1423" t="str">
        <f t="shared" si="1000"/>
        <v/>
      </c>
      <c r="C1423" t="str">
        <f t="shared" si="1000"/>
        <v/>
      </c>
      <c r="D1423" t="str">
        <f t="shared" si="1000"/>
        <v/>
      </c>
      <c r="E1423" t="str">
        <f t="shared" si="1000"/>
        <v/>
      </c>
      <c r="F1423" t="str">
        <f t="shared" si="1000"/>
        <v/>
      </c>
      <c r="G1423" t="str">
        <f t="shared" si="1000"/>
        <v/>
      </c>
      <c r="H1423" t="str">
        <f t="shared" si="997"/>
        <v/>
      </c>
      <c r="J1423" t="str">
        <f>IF($H1423="","",IF(VLOOKUP(H1423,ExpItems[],2,0),H1423&amp;" - "&amp;INDEX(DivisionMapping[category_code],MATCH($D1423&amp;$C1423,DivisionMapping[dept_bu],0)),H1423))</f>
        <v/>
      </c>
      <c r="K1423" t="str">
        <f t="shared" si="998"/>
        <v/>
      </c>
      <c r="L1423" s="652">
        <f>IF($B1423="",,SUMIFS(SalaryPayrollTaxes[Month 1],SalaryPayrollTaxes[exp_item],$H1423,SalaryPayrollTaxes[company_name],$B1423,SalaryPayrollTaxes[bu_name],$C1423)*(L478+L583+L688)+SUMIFS(ExpensePayrollTaxes[Month 1],ExpensePayrollTaxes[exp_item],$H793,ExpensePayrollTaxes[company_name],$B1423)*L793)</f>
        <v>0</v>
      </c>
      <c r="M1423" s="652">
        <f>IF($B1423="",,SUMIFS(SalaryPayrollTaxes[Month 2],SalaryPayrollTaxes[exp_item],$H1423,SalaryPayrollTaxes[company_name],$B1423,SalaryPayrollTaxes[bu_name],$C1423)*(M478+M583+M688)+SUMIFS(ExpensePayrollTaxes[Month 2],ExpensePayrollTaxes[exp_item],$H793,ExpensePayrollTaxes[company_name],$B1423)*M793)</f>
        <v>0</v>
      </c>
      <c r="N1423" s="652">
        <f>IF($B1423="",,SUMIFS(SalaryPayrollTaxes[Month 3],SalaryPayrollTaxes[exp_item],$H1423,SalaryPayrollTaxes[company_name],$B1423,SalaryPayrollTaxes[bu_name],$C1423)*(N478+N583+N688)+SUMIFS(ExpensePayrollTaxes[Month 3],ExpensePayrollTaxes[exp_item],$H793,ExpensePayrollTaxes[company_name],$B1423)*N793)</f>
        <v>0</v>
      </c>
      <c r="O1423" s="652">
        <f>IF($B1423="",,SUMIFS(SalaryPayrollTaxes[Month 4],SalaryPayrollTaxes[exp_item],$H1423,SalaryPayrollTaxes[company_name],$B1423,SalaryPayrollTaxes[bu_name],$C1423)*(O478+O583+O688)+SUMIFS(ExpensePayrollTaxes[Month 4],ExpensePayrollTaxes[exp_item],$H793,ExpensePayrollTaxes[company_name],$B1423)*O793)</f>
        <v>0</v>
      </c>
      <c r="P1423" s="652">
        <f>IF($B1423="",,SUMIFS(SalaryPayrollTaxes[Month 5],SalaryPayrollTaxes[exp_item],$H1423,SalaryPayrollTaxes[company_name],$B1423,SalaryPayrollTaxes[bu_name],$C1423)*(P478+P583+P688)+SUMIFS(ExpensePayrollTaxes[Month 5],ExpensePayrollTaxes[exp_item],$H793,ExpensePayrollTaxes[company_name],$B1423)*P793)</f>
        <v>0</v>
      </c>
      <c r="Q1423" s="652">
        <f>IF($B1423="",,SUMIFS(SalaryPayrollTaxes[Month 6],SalaryPayrollTaxes[exp_item],$H1423,SalaryPayrollTaxes[company_name],$B1423,SalaryPayrollTaxes[bu_name],$C1423)*(Q478+Q583+Q688)+SUMIFS(ExpensePayrollTaxes[Month 6],ExpensePayrollTaxes[exp_item],$H793,ExpensePayrollTaxes[company_name],$B1423)*Q793)</f>
        <v>0</v>
      </c>
      <c r="R1423" s="652">
        <f>IF($B1423="",,SUMIFS(SalaryPayrollTaxes[Month 7],SalaryPayrollTaxes[exp_item],$H1423,SalaryPayrollTaxes[company_name],$B1423,SalaryPayrollTaxes[bu_name],$C1423)*(R478+R583+R688)+SUMIFS(ExpensePayrollTaxes[Month 7],ExpensePayrollTaxes[exp_item],$H793,ExpensePayrollTaxes[company_name],$B1423)*R793)</f>
        <v>0</v>
      </c>
      <c r="S1423" s="652">
        <f>IF($B1423="",,SUMIFS(SalaryPayrollTaxes[Month 8],SalaryPayrollTaxes[exp_item],$H1423,SalaryPayrollTaxes[company_name],$B1423,SalaryPayrollTaxes[bu_name],$C1423)*(S478+S583+S688)+SUMIFS(ExpensePayrollTaxes[Month 8],ExpensePayrollTaxes[exp_item],$H793,ExpensePayrollTaxes[company_name],$B1423)*S793)</f>
        <v>0</v>
      </c>
      <c r="T1423" s="652">
        <f>IF($B1423="",,SUMIFS(SalaryPayrollTaxes[Month 9],SalaryPayrollTaxes[exp_item],$H1423,SalaryPayrollTaxes[company_name],$B1423,SalaryPayrollTaxes[bu_name],$C1423)*(T478+T583+T688)+SUMIFS(ExpensePayrollTaxes[Month 9],ExpensePayrollTaxes[exp_item],$H793,ExpensePayrollTaxes[company_name],$B1423)*T793)</f>
        <v>0</v>
      </c>
      <c r="U1423" s="652">
        <f>IF($B1423="",,SUMIFS(SalaryPayrollTaxes[Month 10],SalaryPayrollTaxes[exp_item],$H1423,SalaryPayrollTaxes[company_name],$B1423,SalaryPayrollTaxes[bu_name],$C1423)*(U478+U583+U688)+SUMIFS(ExpensePayrollTaxes[Month 10],ExpensePayrollTaxes[exp_item],$H793,ExpensePayrollTaxes[company_name],$B1423)*U793)</f>
        <v>0</v>
      </c>
      <c r="V1423" s="652">
        <f>IF($B1423="",,SUMIFS(SalaryPayrollTaxes[Month 11],SalaryPayrollTaxes[exp_item],$H1423,SalaryPayrollTaxes[company_name],$B1423,SalaryPayrollTaxes[bu_name],$C1423)*(V478+V583+V688)+SUMIFS(ExpensePayrollTaxes[Month 11],ExpensePayrollTaxes[exp_item],$H793,ExpensePayrollTaxes[company_name],$B1423)*V793)</f>
        <v>0</v>
      </c>
      <c r="W1423" s="652">
        <f>IF($B1423="",,SUMIFS(SalaryPayrollTaxes[Month 12],SalaryPayrollTaxes[exp_item],$H1423,SalaryPayrollTaxes[company_name],$B1423,SalaryPayrollTaxes[bu_name],$C1423)*(W478+W583+W688)+SUMIFS(ExpensePayrollTaxes[Month 12],ExpensePayrollTaxes[exp_item],$H793,ExpensePayrollTaxes[company_name],$B1423)*W793)</f>
        <v>0</v>
      </c>
      <c r="X1423" s="652">
        <f>IF($B1423="",,SUMIFS(SalaryPayrollTaxes[Month 13],SalaryPayrollTaxes[exp_item],$H1423,SalaryPayrollTaxes[company_name],$B1423,SalaryPayrollTaxes[bu_name],$C1423)*(X478+X583+X688)+SUMIFS(ExpensePayrollTaxes[Month 13],ExpensePayrollTaxes[exp_item],$H793,ExpensePayrollTaxes[company_name],$B1423)*X793)</f>
        <v>0</v>
      </c>
      <c r="Y1423" s="652">
        <f>IF($B1423="",,SUMIFS(SalaryPayrollTaxes[Month 14],SalaryPayrollTaxes[exp_item],$H1423,SalaryPayrollTaxes[company_name],$B1423,SalaryPayrollTaxes[bu_name],$C1423)*(Y478+Y583+Y688)+SUMIFS(ExpensePayrollTaxes[Month 14],ExpensePayrollTaxes[exp_item],$H793,ExpensePayrollTaxes[company_name],$B1423)*Y793)</f>
        <v>0</v>
      </c>
      <c r="Z1423" s="652">
        <f>IF($B1423="",,SUMIFS(SalaryPayrollTaxes[Month 15],SalaryPayrollTaxes[exp_item],$H1423,SalaryPayrollTaxes[company_name],$B1423,SalaryPayrollTaxes[bu_name],$C1423)*(Z478+Z583+Z688)+SUMIFS(ExpensePayrollTaxes[Month 15],ExpensePayrollTaxes[exp_item],$H793,ExpensePayrollTaxes[company_name],$B1423)*Z793)</f>
        <v>0</v>
      </c>
      <c r="AA1423" s="652">
        <f>IF($B1423="",,SUMIFS(SalaryPayrollTaxes[Month 16],SalaryPayrollTaxes[exp_item],$H1423,SalaryPayrollTaxes[company_name],$B1423,SalaryPayrollTaxes[bu_name],$C1423)*(AA478+AA583+AA688)+SUMIFS(ExpensePayrollTaxes[Month 16],ExpensePayrollTaxes[exp_item],$H793,ExpensePayrollTaxes[company_name],$B1423)*AA793)</f>
        <v>0</v>
      </c>
      <c r="AB1423" s="652">
        <f>IF($B1423="",,SUMIFS(SalaryPayrollTaxes[Month 17],SalaryPayrollTaxes[exp_item],$H1423,SalaryPayrollTaxes[company_name],$B1423,SalaryPayrollTaxes[bu_name],$C1423)*(AB478+AB583+AB688)+SUMIFS(ExpensePayrollTaxes[Month 17],ExpensePayrollTaxes[exp_item],$H793,ExpensePayrollTaxes[company_name],$B1423)*AB793)</f>
        <v>0</v>
      </c>
      <c r="AC1423" s="652">
        <f>IF($B1423="",,SUMIFS(SalaryPayrollTaxes[Month 18],SalaryPayrollTaxes[exp_item],$H1423,SalaryPayrollTaxes[company_name],$B1423,SalaryPayrollTaxes[bu_name],$C1423)*(AC478+AC583+AC688)+SUMIFS(ExpensePayrollTaxes[Month 18],ExpensePayrollTaxes[exp_item],$H793,ExpensePayrollTaxes[company_name],$B1423)*AC793)</f>
        <v>0</v>
      </c>
      <c r="AD1423" s="652">
        <f>IF($B1423="",,SUMIFS(SalaryPayrollTaxes[Month 19],SalaryPayrollTaxes[exp_item],$H1423,SalaryPayrollTaxes[company_name],$B1423,SalaryPayrollTaxes[bu_name],$C1423)*(AD478+AD583+AD688)+SUMIFS(ExpensePayrollTaxes[Month 19],ExpensePayrollTaxes[exp_item],$H793,ExpensePayrollTaxes[company_name],$B1423)*AD793)</f>
        <v>0</v>
      </c>
      <c r="AE1423" s="652">
        <f>IF($B1423="",,SUMIFS(SalaryPayrollTaxes[Month 20],SalaryPayrollTaxes[exp_item],$H1423,SalaryPayrollTaxes[company_name],$B1423,SalaryPayrollTaxes[bu_name],$C1423)*(AE478+AE583+AE688)+SUMIFS(ExpensePayrollTaxes[Month 20],ExpensePayrollTaxes[exp_item],$H793,ExpensePayrollTaxes[company_name],$B1423)*AE793)</f>
        <v>0</v>
      </c>
      <c r="AF1423" s="652">
        <f>IF($B1423="",,SUMIFS(SalaryPayrollTaxes[Month 21],SalaryPayrollTaxes[exp_item],$H1423,SalaryPayrollTaxes[company_name],$B1423,SalaryPayrollTaxes[bu_name],$C1423)*(AF478+AF583+AF688)+SUMIFS(ExpensePayrollTaxes[Month 21],ExpensePayrollTaxes[exp_item],$H793,ExpensePayrollTaxes[company_name],$B1423)*AF793)</f>
        <v>0</v>
      </c>
      <c r="AG1423" s="652">
        <f>IF($B1423="",,SUMIFS(SalaryPayrollTaxes[Month 22],SalaryPayrollTaxes[exp_item],$H1423,SalaryPayrollTaxes[company_name],$B1423,SalaryPayrollTaxes[bu_name],$C1423)*(AG478+AG583+AG688)+SUMIFS(ExpensePayrollTaxes[Month 22],ExpensePayrollTaxes[exp_item],$H793,ExpensePayrollTaxes[company_name],$B1423)*AG793)</f>
        <v>0</v>
      </c>
      <c r="AH1423" s="652">
        <f>IF($B1423="",,SUMIFS(SalaryPayrollTaxes[Month 23],SalaryPayrollTaxes[exp_item],$H1423,SalaryPayrollTaxes[company_name],$B1423,SalaryPayrollTaxes[bu_name],$C1423)*(AH478+AH583+AH688)+SUMIFS(ExpensePayrollTaxes[Month 23],ExpensePayrollTaxes[exp_item],$H793,ExpensePayrollTaxes[company_name],$B1423)*AH793)</f>
        <v>0</v>
      </c>
      <c r="AI1423" s="652">
        <f>IF($B1423="",,SUMIFS(SalaryPayrollTaxes[Month 24],SalaryPayrollTaxes[exp_item],$H1423,SalaryPayrollTaxes[company_name],$B1423,SalaryPayrollTaxes[bu_name],$C1423)*(AI478+AI583+AI688)+SUMIFS(ExpensePayrollTaxes[Month 24],ExpensePayrollTaxes[exp_item],$H793,ExpensePayrollTaxes[company_name],$B1423)*AI793)</f>
        <v>0</v>
      </c>
      <c r="AJ1423" s="652">
        <f>IF($B1423="",,SUMIFS(SalaryPayrollTaxes[Month 25],SalaryPayrollTaxes[exp_item],$H1423,SalaryPayrollTaxes[company_name],$B1423,SalaryPayrollTaxes[bu_name],$C1423)*(AJ478+AJ583+AJ688)+SUMIFS(ExpensePayrollTaxes[Month 25],ExpensePayrollTaxes[exp_item],$H793,ExpensePayrollTaxes[company_name],$B1423)*AJ793)</f>
        <v>0</v>
      </c>
      <c r="AK1423" s="652">
        <f>IF($B1423="",,SUMIFS(SalaryPayrollTaxes[Month 26],SalaryPayrollTaxes[exp_item],$H1423,SalaryPayrollTaxes[company_name],$B1423,SalaryPayrollTaxes[bu_name],$C1423)*(AK478+AK583+AK688)+SUMIFS(ExpensePayrollTaxes[Month 26],ExpensePayrollTaxes[exp_item],$H793,ExpensePayrollTaxes[company_name],$B1423)*AK793)</f>
        <v>0</v>
      </c>
      <c r="AL1423" s="652">
        <f>IF($B1423="",,SUMIFS(SalaryPayrollTaxes[Month 27],SalaryPayrollTaxes[exp_item],$H1423,SalaryPayrollTaxes[company_name],$B1423,SalaryPayrollTaxes[bu_name],$C1423)*(AL478+AL583+AL688)+SUMIFS(ExpensePayrollTaxes[Month 27],ExpensePayrollTaxes[exp_item],$H793,ExpensePayrollTaxes[company_name],$B1423)*AL793)</f>
        <v>0</v>
      </c>
      <c r="AM1423" s="652">
        <f>IF($B1423="",,SUMIFS(SalaryPayrollTaxes[Month 28],SalaryPayrollTaxes[exp_item],$H1423,SalaryPayrollTaxes[company_name],$B1423,SalaryPayrollTaxes[bu_name],$C1423)*(AM478+AM583+AM688)+SUMIFS(ExpensePayrollTaxes[Month 28],ExpensePayrollTaxes[exp_item],$H793,ExpensePayrollTaxes[company_name],$B1423)*AM793)</f>
        <v>0</v>
      </c>
      <c r="AN1423" s="652">
        <f>IF($B1423="",,SUMIFS(SalaryPayrollTaxes[Month 29],SalaryPayrollTaxes[exp_item],$H1423,SalaryPayrollTaxes[company_name],$B1423,SalaryPayrollTaxes[bu_name],$C1423)*(AN478+AN583+AN688)+SUMIFS(ExpensePayrollTaxes[Month 29],ExpensePayrollTaxes[exp_item],$H793,ExpensePayrollTaxes[company_name],$B1423)*AN793)</f>
        <v>0</v>
      </c>
      <c r="AO1423" s="652">
        <f>IF($B1423="",,SUMIFS(SalaryPayrollTaxes[Month 30],SalaryPayrollTaxes[exp_item],$H1423,SalaryPayrollTaxes[company_name],$B1423,SalaryPayrollTaxes[bu_name],$C1423)*(AO478+AO583+AO688)+SUMIFS(ExpensePayrollTaxes[Month 30],ExpensePayrollTaxes[exp_item],$H793,ExpensePayrollTaxes[company_name],$B1423)*AO793)</f>
        <v>0</v>
      </c>
      <c r="AP1423" s="652">
        <f>IF($B1423="",,SUMIFS(SalaryPayrollTaxes[Month 31],SalaryPayrollTaxes[exp_item],$H1423,SalaryPayrollTaxes[company_name],$B1423,SalaryPayrollTaxes[bu_name],$C1423)*(AP478+AP583+AP688)+SUMIFS(ExpensePayrollTaxes[Month 31],ExpensePayrollTaxes[exp_item],$H793,ExpensePayrollTaxes[company_name],$B1423)*AP793)</f>
        <v>0</v>
      </c>
      <c r="AQ1423" s="652">
        <f>IF($B1423="",,SUMIFS(SalaryPayrollTaxes[Month 32],SalaryPayrollTaxes[exp_item],$H1423,SalaryPayrollTaxes[company_name],$B1423,SalaryPayrollTaxes[bu_name],$C1423)*(AQ478+AQ583+AQ688)+SUMIFS(ExpensePayrollTaxes[Month 32],ExpensePayrollTaxes[exp_item],$H793,ExpensePayrollTaxes[company_name],$B1423)*AQ793)</f>
        <v>0</v>
      </c>
      <c r="AR1423" s="652">
        <f>IF($B1423="",,SUMIFS(SalaryPayrollTaxes[Month 33],SalaryPayrollTaxes[exp_item],$H1423,SalaryPayrollTaxes[company_name],$B1423,SalaryPayrollTaxes[bu_name],$C1423)*(AR478+AR583+AR688)+SUMIFS(ExpensePayrollTaxes[Month 33],ExpensePayrollTaxes[exp_item],$H793,ExpensePayrollTaxes[company_name],$B1423)*AR793)</f>
        <v>0</v>
      </c>
      <c r="AS1423" s="652">
        <f>IF($B1423="",,SUMIFS(SalaryPayrollTaxes[Month 34],SalaryPayrollTaxes[exp_item],$H1423,SalaryPayrollTaxes[company_name],$B1423,SalaryPayrollTaxes[bu_name],$C1423)*(AS478+AS583+AS688)+SUMIFS(ExpensePayrollTaxes[Month 34],ExpensePayrollTaxes[exp_item],$H793,ExpensePayrollTaxes[company_name],$B1423)*AS793)</f>
        <v>0</v>
      </c>
      <c r="AT1423" s="652">
        <f>IF($B1423="",,SUMIFS(SalaryPayrollTaxes[Month 35],SalaryPayrollTaxes[exp_item],$H1423,SalaryPayrollTaxes[company_name],$B1423,SalaryPayrollTaxes[bu_name],$C1423)*(AT478+AT583+AT688)+SUMIFS(ExpensePayrollTaxes[Month 35],ExpensePayrollTaxes[exp_item],$H793,ExpensePayrollTaxes[company_name],$B1423)*AT793)</f>
        <v>0</v>
      </c>
      <c r="AU1423" s="652">
        <f>IF($B1423="",,SUMIFS(SalaryPayrollTaxes[Month 36],SalaryPayrollTaxes[exp_item],$H1423,SalaryPayrollTaxes[company_name],$B1423,SalaryPayrollTaxes[bu_name],$C1423)*(AU478+AU583+AU688)+SUMIFS(ExpensePayrollTaxes[Month 36],ExpensePayrollTaxes[exp_item],$H793,ExpensePayrollTaxes[company_name],$B1423)*AU793)</f>
        <v>0</v>
      </c>
    </row>
    <row r="1424" spans="2:47" x14ac:dyDescent="0.35">
      <c r="B1424" t="str">
        <f t="shared" si="1000"/>
        <v/>
      </c>
      <c r="C1424" t="str">
        <f t="shared" si="1000"/>
        <v/>
      </c>
      <c r="D1424" t="str">
        <f t="shared" si="1000"/>
        <v/>
      </c>
      <c r="E1424" t="str">
        <f t="shared" si="1000"/>
        <v/>
      </c>
      <c r="F1424" t="str">
        <f t="shared" si="1000"/>
        <v/>
      </c>
      <c r="G1424" t="str">
        <f t="shared" si="1000"/>
        <v/>
      </c>
      <c r="H1424" t="str">
        <f t="shared" si="997"/>
        <v/>
      </c>
      <c r="J1424" t="str">
        <f>IF($H1424="","",IF(VLOOKUP(H1424,ExpItems[],2,0),H1424&amp;" - "&amp;INDEX(DivisionMapping[category_code],MATCH($D1424&amp;$C1424,DivisionMapping[dept_bu],0)),H1424))</f>
        <v/>
      </c>
      <c r="K1424" t="str">
        <f t="shared" si="998"/>
        <v/>
      </c>
      <c r="L1424" s="652">
        <f>IF($B1424="",,SUMIFS(SalaryPayrollTaxes[Month 1],SalaryPayrollTaxes[exp_item],$H1424,SalaryPayrollTaxes[company_name],$B1424,SalaryPayrollTaxes[bu_name],$C1424)*(L479+L584+L689)+SUMIFS(ExpensePayrollTaxes[Month 1],ExpensePayrollTaxes[exp_item],$H794,ExpensePayrollTaxes[company_name],$B1424)*L794)</f>
        <v>0</v>
      </c>
      <c r="M1424" s="652">
        <f>IF($B1424="",,SUMIFS(SalaryPayrollTaxes[Month 2],SalaryPayrollTaxes[exp_item],$H1424,SalaryPayrollTaxes[company_name],$B1424,SalaryPayrollTaxes[bu_name],$C1424)*(M479+M584+M689)+SUMIFS(ExpensePayrollTaxes[Month 2],ExpensePayrollTaxes[exp_item],$H794,ExpensePayrollTaxes[company_name],$B1424)*M794)</f>
        <v>0</v>
      </c>
      <c r="N1424" s="652">
        <f>IF($B1424="",,SUMIFS(SalaryPayrollTaxes[Month 3],SalaryPayrollTaxes[exp_item],$H1424,SalaryPayrollTaxes[company_name],$B1424,SalaryPayrollTaxes[bu_name],$C1424)*(N479+N584+N689)+SUMIFS(ExpensePayrollTaxes[Month 3],ExpensePayrollTaxes[exp_item],$H794,ExpensePayrollTaxes[company_name],$B1424)*N794)</f>
        <v>0</v>
      </c>
      <c r="O1424" s="652">
        <f>IF($B1424="",,SUMIFS(SalaryPayrollTaxes[Month 4],SalaryPayrollTaxes[exp_item],$H1424,SalaryPayrollTaxes[company_name],$B1424,SalaryPayrollTaxes[bu_name],$C1424)*(O479+O584+O689)+SUMIFS(ExpensePayrollTaxes[Month 4],ExpensePayrollTaxes[exp_item],$H794,ExpensePayrollTaxes[company_name],$B1424)*O794)</f>
        <v>0</v>
      </c>
      <c r="P1424" s="652">
        <f>IF($B1424="",,SUMIFS(SalaryPayrollTaxes[Month 5],SalaryPayrollTaxes[exp_item],$H1424,SalaryPayrollTaxes[company_name],$B1424,SalaryPayrollTaxes[bu_name],$C1424)*(P479+P584+P689)+SUMIFS(ExpensePayrollTaxes[Month 5],ExpensePayrollTaxes[exp_item],$H794,ExpensePayrollTaxes[company_name],$B1424)*P794)</f>
        <v>0</v>
      </c>
      <c r="Q1424" s="652">
        <f>IF($B1424="",,SUMIFS(SalaryPayrollTaxes[Month 6],SalaryPayrollTaxes[exp_item],$H1424,SalaryPayrollTaxes[company_name],$B1424,SalaryPayrollTaxes[bu_name],$C1424)*(Q479+Q584+Q689)+SUMIFS(ExpensePayrollTaxes[Month 6],ExpensePayrollTaxes[exp_item],$H794,ExpensePayrollTaxes[company_name],$B1424)*Q794)</f>
        <v>0</v>
      </c>
      <c r="R1424" s="652">
        <f>IF($B1424="",,SUMIFS(SalaryPayrollTaxes[Month 7],SalaryPayrollTaxes[exp_item],$H1424,SalaryPayrollTaxes[company_name],$B1424,SalaryPayrollTaxes[bu_name],$C1424)*(R479+R584+R689)+SUMIFS(ExpensePayrollTaxes[Month 7],ExpensePayrollTaxes[exp_item],$H794,ExpensePayrollTaxes[company_name],$B1424)*R794)</f>
        <v>0</v>
      </c>
      <c r="S1424" s="652">
        <f>IF($B1424="",,SUMIFS(SalaryPayrollTaxes[Month 8],SalaryPayrollTaxes[exp_item],$H1424,SalaryPayrollTaxes[company_name],$B1424,SalaryPayrollTaxes[bu_name],$C1424)*(S479+S584+S689)+SUMIFS(ExpensePayrollTaxes[Month 8],ExpensePayrollTaxes[exp_item],$H794,ExpensePayrollTaxes[company_name],$B1424)*S794)</f>
        <v>0</v>
      </c>
      <c r="T1424" s="652">
        <f>IF($B1424="",,SUMIFS(SalaryPayrollTaxes[Month 9],SalaryPayrollTaxes[exp_item],$H1424,SalaryPayrollTaxes[company_name],$B1424,SalaryPayrollTaxes[bu_name],$C1424)*(T479+T584+T689)+SUMIFS(ExpensePayrollTaxes[Month 9],ExpensePayrollTaxes[exp_item],$H794,ExpensePayrollTaxes[company_name],$B1424)*T794)</f>
        <v>0</v>
      </c>
      <c r="U1424" s="652">
        <f>IF($B1424="",,SUMIFS(SalaryPayrollTaxes[Month 10],SalaryPayrollTaxes[exp_item],$H1424,SalaryPayrollTaxes[company_name],$B1424,SalaryPayrollTaxes[bu_name],$C1424)*(U479+U584+U689)+SUMIFS(ExpensePayrollTaxes[Month 10],ExpensePayrollTaxes[exp_item],$H794,ExpensePayrollTaxes[company_name],$B1424)*U794)</f>
        <v>0</v>
      </c>
      <c r="V1424" s="652">
        <f>IF($B1424="",,SUMIFS(SalaryPayrollTaxes[Month 11],SalaryPayrollTaxes[exp_item],$H1424,SalaryPayrollTaxes[company_name],$B1424,SalaryPayrollTaxes[bu_name],$C1424)*(V479+V584+V689)+SUMIFS(ExpensePayrollTaxes[Month 11],ExpensePayrollTaxes[exp_item],$H794,ExpensePayrollTaxes[company_name],$B1424)*V794)</f>
        <v>0</v>
      </c>
      <c r="W1424" s="652">
        <f>IF($B1424="",,SUMIFS(SalaryPayrollTaxes[Month 12],SalaryPayrollTaxes[exp_item],$H1424,SalaryPayrollTaxes[company_name],$B1424,SalaryPayrollTaxes[bu_name],$C1424)*(W479+W584+W689)+SUMIFS(ExpensePayrollTaxes[Month 12],ExpensePayrollTaxes[exp_item],$H794,ExpensePayrollTaxes[company_name],$B1424)*W794)</f>
        <v>0</v>
      </c>
      <c r="X1424" s="652">
        <f>IF($B1424="",,SUMIFS(SalaryPayrollTaxes[Month 13],SalaryPayrollTaxes[exp_item],$H1424,SalaryPayrollTaxes[company_name],$B1424,SalaryPayrollTaxes[bu_name],$C1424)*(X479+X584+X689)+SUMIFS(ExpensePayrollTaxes[Month 13],ExpensePayrollTaxes[exp_item],$H794,ExpensePayrollTaxes[company_name],$B1424)*X794)</f>
        <v>0</v>
      </c>
      <c r="Y1424" s="652">
        <f>IF($B1424="",,SUMIFS(SalaryPayrollTaxes[Month 14],SalaryPayrollTaxes[exp_item],$H1424,SalaryPayrollTaxes[company_name],$B1424,SalaryPayrollTaxes[bu_name],$C1424)*(Y479+Y584+Y689)+SUMIFS(ExpensePayrollTaxes[Month 14],ExpensePayrollTaxes[exp_item],$H794,ExpensePayrollTaxes[company_name],$B1424)*Y794)</f>
        <v>0</v>
      </c>
      <c r="Z1424" s="652">
        <f>IF($B1424="",,SUMIFS(SalaryPayrollTaxes[Month 15],SalaryPayrollTaxes[exp_item],$H1424,SalaryPayrollTaxes[company_name],$B1424,SalaryPayrollTaxes[bu_name],$C1424)*(Z479+Z584+Z689)+SUMIFS(ExpensePayrollTaxes[Month 15],ExpensePayrollTaxes[exp_item],$H794,ExpensePayrollTaxes[company_name],$B1424)*Z794)</f>
        <v>0</v>
      </c>
      <c r="AA1424" s="652">
        <f>IF($B1424="",,SUMIFS(SalaryPayrollTaxes[Month 16],SalaryPayrollTaxes[exp_item],$H1424,SalaryPayrollTaxes[company_name],$B1424,SalaryPayrollTaxes[bu_name],$C1424)*(AA479+AA584+AA689)+SUMIFS(ExpensePayrollTaxes[Month 16],ExpensePayrollTaxes[exp_item],$H794,ExpensePayrollTaxes[company_name],$B1424)*AA794)</f>
        <v>0</v>
      </c>
      <c r="AB1424" s="652">
        <f>IF($B1424="",,SUMIFS(SalaryPayrollTaxes[Month 17],SalaryPayrollTaxes[exp_item],$H1424,SalaryPayrollTaxes[company_name],$B1424,SalaryPayrollTaxes[bu_name],$C1424)*(AB479+AB584+AB689)+SUMIFS(ExpensePayrollTaxes[Month 17],ExpensePayrollTaxes[exp_item],$H794,ExpensePayrollTaxes[company_name],$B1424)*AB794)</f>
        <v>0</v>
      </c>
      <c r="AC1424" s="652">
        <f>IF($B1424="",,SUMIFS(SalaryPayrollTaxes[Month 18],SalaryPayrollTaxes[exp_item],$H1424,SalaryPayrollTaxes[company_name],$B1424,SalaryPayrollTaxes[bu_name],$C1424)*(AC479+AC584+AC689)+SUMIFS(ExpensePayrollTaxes[Month 18],ExpensePayrollTaxes[exp_item],$H794,ExpensePayrollTaxes[company_name],$B1424)*AC794)</f>
        <v>0</v>
      </c>
      <c r="AD1424" s="652">
        <f>IF($B1424="",,SUMIFS(SalaryPayrollTaxes[Month 19],SalaryPayrollTaxes[exp_item],$H1424,SalaryPayrollTaxes[company_name],$B1424,SalaryPayrollTaxes[bu_name],$C1424)*(AD479+AD584+AD689)+SUMIFS(ExpensePayrollTaxes[Month 19],ExpensePayrollTaxes[exp_item],$H794,ExpensePayrollTaxes[company_name],$B1424)*AD794)</f>
        <v>0</v>
      </c>
      <c r="AE1424" s="652">
        <f>IF($B1424="",,SUMIFS(SalaryPayrollTaxes[Month 20],SalaryPayrollTaxes[exp_item],$H1424,SalaryPayrollTaxes[company_name],$B1424,SalaryPayrollTaxes[bu_name],$C1424)*(AE479+AE584+AE689)+SUMIFS(ExpensePayrollTaxes[Month 20],ExpensePayrollTaxes[exp_item],$H794,ExpensePayrollTaxes[company_name],$B1424)*AE794)</f>
        <v>0</v>
      </c>
      <c r="AF1424" s="652">
        <f>IF($B1424="",,SUMIFS(SalaryPayrollTaxes[Month 21],SalaryPayrollTaxes[exp_item],$H1424,SalaryPayrollTaxes[company_name],$B1424,SalaryPayrollTaxes[bu_name],$C1424)*(AF479+AF584+AF689)+SUMIFS(ExpensePayrollTaxes[Month 21],ExpensePayrollTaxes[exp_item],$H794,ExpensePayrollTaxes[company_name],$B1424)*AF794)</f>
        <v>0</v>
      </c>
      <c r="AG1424" s="652">
        <f>IF($B1424="",,SUMIFS(SalaryPayrollTaxes[Month 22],SalaryPayrollTaxes[exp_item],$H1424,SalaryPayrollTaxes[company_name],$B1424,SalaryPayrollTaxes[bu_name],$C1424)*(AG479+AG584+AG689)+SUMIFS(ExpensePayrollTaxes[Month 22],ExpensePayrollTaxes[exp_item],$H794,ExpensePayrollTaxes[company_name],$B1424)*AG794)</f>
        <v>0</v>
      </c>
      <c r="AH1424" s="652">
        <f>IF($B1424="",,SUMIFS(SalaryPayrollTaxes[Month 23],SalaryPayrollTaxes[exp_item],$H1424,SalaryPayrollTaxes[company_name],$B1424,SalaryPayrollTaxes[bu_name],$C1424)*(AH479+AH584+AH689)+SUMIFS(ExpensePayrollTaxes[Month 23],ExpensePayrollTaxes[exp_item],$H794,ExpensePayrollTaxes[company_name],$B1424)*AH794)</f>
        <v>0</v>
      </c>
      <c r="AI1424" s="652">
        <f>IF($B1424="",,SUMIFS(SalaryPayrollTaxes[Month 24],SalaryPayrollTaxes[exp_item],$H1424,SalaryPayrollTaxes[company_name],$B1424,SalaryPayrollTaxes[bu_name],$C1424)*(AI479+AI584+AI689)+SUMIFS(ExpensePayrollTaxes[Month 24],ExpensePayrollTaxes[exp_item],$H794,ExpensePayrollTaxes[company_name],$B1424)*AI794)</f>
        <v>0</v>
      </c>
      <c r="AJ1424" s="652">
        <f>IF($B1424="",,SUMIFS(SalaryPayrollTaxes[Month 25],SalaryPayrollTaxes[exp_item],$H1424,SalaryPayrollTaxes[company_name],$B1424,SalaryPayrollTaxes[bu_name],$C1424)*(AJ479+AJ584+AJ689)+SUMIFS(ExpensePayrollTaxes[Month 25],ExpensePayrollTaxes[exp_item],$H794,ExpensePayrollTaxes[company_name],$B1424)*AJ794)</f>
        <v>0</v>
      </c>
      <c r="AK1424" s="652">
        <f>IF($B1424="",,SUMIFS(SalaryPayrollTaxes[Month 26],SalaryPayrollTaxes[exp_item],$H1424,SalaryPayrollTaxes[company_name],$B1424,SalaryPayrollTaxes[bu_name],$C1424)*(AK479+AK584+AK689)+SUMIFS(ExpensePayrollTaxes[Month 26],ExpensePayrollTaxes[exp_item],$H794,ExpensePayrollTaxes[company_name],$B1424)*AK794)</f>
        <v>0</v>
      </c>
      <c r="AL1424" s="652">
        <f>IF($B1424="",,SUMIFS(SalaryPayrollTaxes[Month 27],SalaryPayrollTaxes[exp_item],$H1424,SalaryPayrollTaxes[company_name],$B1424,SalaryPayrollTaxes[bu_name],$C1424)*(AL479+AL584+AL689)+SUMIFS(ExpensePayrollTaxes[Month 27],ExpensePayrollTaxes[exp_item],$H794,ExpensePayrollTaxes[company_name],$B1424)*AL794)</f>
        <v>0</v>
      </c>
      <c r="AM1424" s="652">
        <f>IF($B1424="",,SUMIFS(SalaryPayrollTaxes[Month 28],SalaryPayrollTaxes[exp_item],$H1424,SalaryPayrollTaxes[company_name],$B1424,SalaryPayrollTaxes[bu_name],$C1424)*(AM479+AM584+AM689)+SUMIFS(ExpensePayrollTaxes[Month 28],ExpensePayrollTaxes[exp_item],$H794,ExpensePayrollTaxes[company_name],$B1424)*AM794)</f>
        <v>0</v>
      </c>
      <c r="AN1424" s="652">
        <f>IF($B1424="",,SUMIFS(SalaryPayrollTaxes[Month 29],SalaryPayrollTaxes[exp_item],$H1424,SalaryPayrollTaxes[company_name],$B1424,SalaryPayrollTaxes[bu_name],$C1424)*(AN479+AN584+AN689)+SUMIFS(ExpensePayrollTaxes[Month 29],ExpensePayrollTaxes[exp_item],$H794,ExpensePayrollTaxes[company_name],$B1424)*AN794)</f>
        <v>0</v>
      </c>
      <c r="AO1424" s="652">
        <f>IF($B1424="",,SUMIFS(SalaryPayrollTaxes[Month 30],SalaryPayrollTaxes[exp_item],$H1424,SalaryPayrollTaxes[company_name],$B1424,SalaryPayrollTaxes[bu_name],$C1424)*(AO479+AO584+AO689)+SUMIFS(ExpensePayrollTaxes[Month 30],ExpensePayrollTaxes[exp_item],$H794,ExpensePayrollTaxes[company_name],$B1424)*AO794)</f>
        <v>0</v>
      </c>
      <c r="AP1424" s="652">
        <f>IF($B1424="",,SUMIFS(SalaryPayrollTaxes[Month 31],SalaryPayrollTaxes[exp_item],$H1424,SalaryPayrollTaxes[company_name],$B1424,SalaryPayrollTaxes[bu_name],$C1424)*(AP479+AP584+AP689)+SUMIFS(ExpensePayrollTaxes[Month 31],ExpensePayrollTaxes[exp_item],$H794,ExpensePayrollTaxes[company_name],$B1424)*AP794)</f>
        <v>0</v>
      </c>
      <c r="AQ1424" s="652">
        <f>IF($B1424="",,SUMIFS(SalaryPayrollTaxes[Month 32],SalaryPayrollTaxes[exp_item],$H1424,SalaryPayrollTaxes[company_name],$B1424,SalaryPayrollTaxes[bu_name],$C1424)*(AQ479+AQ584+AQ689)+SUMIFS(ExpensePayrollTaxes[Month 32],ExpensePayrollTaxes[exp_item],$H794,ExpensePayrollTaxes[company_name],$B1424)*AQ794)</f>
        <v>0</v>
      </c>
      <c r="AR1424" s="652">
        <f>IF($B1424="",,SUMIFS(SalaryPayrollTaxes[Month 33],SalaryPayrollTaxes[exp_item],$H1424,SalaryPayrollTaxes[company_name],$B1424,SalaryPayrollTaxes[bu_name],$C1424)*(AR479+AR584+AR689)+SUMIFS(ExpensePayrollTaxes[Month 33],ExpensePayrollTaxes[exp_item],$H794,ExpensePayrollTaxes[company_name],$B1424)*AR794)</f>
        <v>0</v>
      </c>
      <c r="AS1424" s="652">
        <f>IF($B1424="",,SUMIFS(SalaryPayrollTaxes[Month 34],SalaryPayrollTaxes[exp_item],$H1424,SalaryPayrollTaxes[company_name],$B1424,SalaryPayrollTaxes[bu_name],$C1424)*(AS479+AS584+AS689)+SUMIFS(ExpensePayrollTaxes[Month 34],ExpensePayrollTaxes[exp_item],$H794,ExpensePayrollTaxes[company_name],$B1424)*AS794)</f>
        <v>0</v>
      </c>
      <c r="AT1424" s="652">
        <f>IF($B1424="",,SUMIFS(SalaryPayrollTaxes[Month 35],SalaryPayrollTaxes[exp_item],$H1424,SalaryPayrollTaxes[company_name],$B1424,SalaryPayrollTaxes[bu_name],$C1424)*(AT479+AT584+AT689)+SUMIFS(ExpensePayrollTaxes[Month 35],ExpensePayrollTaxes[exp_item],$H794,ExpensePayrollTaxes[company_name],$B1424)*AT794)</f>
        <v>0</v>
      </c>
      <c r="AU1424" s="652">
        <f>IF($B1424="",,SUMIFS(SalaryPayrollTaxes[Month 36],SalaryPayrollTaxes[exp_item],$H1424,SalaryPayrollTaxes[company_name],$B1424,SalaryPayrollTaxes[bu_name],$C1424)*(AU479+AU584+AU689)+SUMIFS(ExpensePayrollTaxes[Month 36],ExpensePayrollTaxes[exp_item],$H794,ExpensePayrollTaxes[company_name],$B1424)*AU794)</f>
        <v>0</v>
      </c>
    </row>
    <row r="1425" spans="2:47" x14ac:dyDescent="0.35">
      <c r="B1425" t="str">
        <f t="shared" si="1000"/>
        <v/>
      </c>
      <c r="C1425" t="str">
        <f t="shared" si="1000"/>
        <v/>
      </c>
      <c r="D1425" t="str">
        <f t="shared" si="1000"/>
        <v/>
      </c>
      <c r="E1425" t="str">
        <f t="shared" si="1000"/>
        <v/>
      </c>
      <c r="F1425" t="str">
        <f t="shared" si="1000"/>
        <v/>
      </c>
      <c r="G1425" t="str">
        <f t="shared" si="1000"/>
        <v/>
      </c>
      <c r="H1425" t="str">
        <f t="shared" si="997"/>
        <v/>
      </c>
      <c r="J1425" t="str">
        <f>IF($H1425="","",IF(VLOOKUP(H1425,ExpItems[],2,0),H1425&amp;" - "&amp;INDEX(DivisionMapping[category_code],MATCH($D1425&amp;$C1425,DivisionMapping[dept_bu],0)),H1425))</f>
        <v/>
      </c>
      <c r="K1425" t="str">
        <f t="shared" si="998"/>
        <v/>
      </c>
      <c r="L1425" s="652">
        <f>IF($B1425="",,SUMIFS(SalaryPayrollTaxes[Month 1],SalaryPayrollTaxes[exp_item],$H1425,SalaryPayrollTaxes[company_name],$B1425,SalaryPayrollTaxes[bu_name],$C1425)*(L480+L585+L690)+SUMIFS(ExpensePayrollTaxes[Month 1],ExpensePayrollTaxes[exp_item],$H795,ExpensePayrollTaxes[company_name],$B1425)*L795)</f>
        <v>0</v>
      </c>
      <c r="M1425" s="652">
        <f>IF($B1425="",,SUMIFS(SalaryPayrollTaxes[Month 2],SalaryPayrollTaxes[exp_item],$H1425,SalaryPayrollTaxes[company_name],$B1425,SalaryPayrollTaxes[bu_name],$C1425)*(M480+M585+M690)+SUMIFS(ExpensePayrollTaxes[Month 2],ExpensePayrollTaxes[exp_item],$H795,ExpensePayrollTaxes[company_name],$B1425)*M795)</f>
        <v>0</v>
      </c>
      <c r="N1425" s="652">
        <f>IF($B1425="",,SUMIFS(SalaryPayrollTaxes[Month 3],SalaryPayrollTaxes[exp_item],$H1425,SalaryPayrollTaxes[company_name],$B1425,SalaryPayrollTaxes[bu_name],$C1425)*(N480+N585+N690)+SUMIFS(ExpensePayrollTaxes[Month 3],ExpensePayrollTaxes[exp_item],$H795,ExpensePayrollTaxes[company_name],$B1425)*N795)</f>
        <v>0</v>
      </c>
      <c r="O1425" s="652">
        <f>IF($B1425="",,SUMIFS(SalaryPayrollTaxes[Month 4],SalaryPayrollTaxes[exp_item],$H1425,SalaryPayrollTaxes[company_name],$B1425,SalaryPayrollTaxes[bu_name],$C1425)*(O480+O585+O690)+SUMIFS(ExpensePayrollTaxes[Month 4],ExpensePayrollTaxes[exp_item],$H795,ExpensePayrollTaxes[company_name],$B1425)*O795)</f>
        <v>0</v>
      </c>
      <c r="P1425" s="652">
        <f>IF($B1425="",,SUMIFS(SalaryPayrollTaxes[Month 5],SalaryPayrollTaxes[exp_item],$H1425,SalaryPayrollTaxes[company_name],$B1425,SalaryPayrollTaxes[bu_name],$C1425)*(P480+P585+P690)+SUMIFS(ExpensePayrollTaxes[Month 5],ExpensePayrollTaxes[exp_item],$H795,ExpensePayrollTaxes[company_name],$B1425)*P795)</f>
        <v>0</v>
      </c>
      <c r="Q1425" s="652">
        <f>IF($B1425="",,SUMIFS(SalaryPayrollTaxes[Month 6],SalaryPayrollTaxes[exp_item],$H1425,SalaryPayrollTaxes[company_name],$B1425,SalaryPayrollTaxes[bu_name],$C1425)*(Q480+Q585+Q690)+SUMIFS(ExpensePayrollTaxes[Month 6],ExpensePayrollTaxes[exp_item],$H795,ExpensePayrollTaxes[company_name],$B1425)*Q795)</f>
        <v>0</v>
      </c>
      <c r="R1425" s="652">
        <f>IF($B1425="",,SUMIFS(SalaryPayrollTaxes[Month 7],SalaryPayrollTaxes[exp_item],$H1425,SalaryPayrollTaxes[company_name],$B1425,SalaryPayrollTaxes[bu_name],$C1425)*(R480+R585+R690)+SUMIFS(ExpensePayrollTaxes[Month 7],ExpensePayrollTaxes[exp_item],$H795,ExpensePayrollTaxes[company_name],$B1425)*R795)</f>
        <v>0</v>
      </c>
      <c r="S1425" s="652">
        <f>IF($B1425="",,SUMIFS(SalaryPayrollTaxes[Month 8],SalaryPayrollTaxes[exp_item],$H1425,SalaryPayrollTaxes[company_name],$B1425,SalaryPayrollTaxes[bu_name],$C1425)*(S480+S585+S690)+SUMIFS(ExpensePayrollTaxes[Month 8],ExpensePayrollTaxes[exp_item],$H795,ExpensePayrollTaxes[company_name],$B1425)*S795)</f>
        <v>0</v>
      </c>
      <c r="T1425" s="652">
        <f>IF($B1425="",,SUMIFS(SalaryPayrollTaxes[Month 9],SalaryPayrollTaxes[exp_item],$H1425,SalaryPayrollTaxes[company_name],$B1425,SalaryPayrollTaxes[bu_name],$C1425)*(T480+T585+T690)+SUMIFS(ExpensePayrollTaxes[Month 9],ExpensePayrollTaxes[exp_item],$H795,ExpensePayrollTaxes[company_name],$B1425)*T795)</f>
        <v>0</v>
      </c>
      <c r="U1425" s="652">
        <f>IF($B1425="",,SUMIFS(SalaryPayrollTaxes[Month 10],SalaryPayrollTaxes[exp_item],$H1425,SalaryPayrollTaxes[company_name],$B1425,SalaryPayrollTaxes[bu_name],$C1425)*(U480+U585+U690)+SUMIFS(ExpensePayrollTaxes[Month 10],ExpensePayrollTaxes[exp_item],$H795,ExpensePayrollTaxes[company_name],$B1425)*U795)</f>
        <v>0</v>
      </c>
      <c r="V1425" s="652">
        <f>IF($B1425="",,SUMIFS(SalaryPayrollTaxes[Month 11],SalaryPayrollTaxes[exp_item],$H1425,SalaryPayrollTaxes[company_name],$B1425,SalaryPayrollTaxes[bu_name],$C1425)*(V480+V585+V690)+SUMIFS(ExpensePayrollTaxes[Month 11],ExpensePayrollTaxes[exp_item],$H795,ExpensePayrollTaxes[company_name],$B1425)*V795)</f>
        <v>0</v>
      </c>
      <c r="W1425" s="652">
        <f>IF($B1425="",,SUMIFS(SalaryPayrollTaxes[Month 12],SalaryPayrollTaxes[exp_item],$H1425,SalaryPayrollTaxes[company_name],$B1425,SalaryPayrollTaxes[bu_name],$C1425)*(W480+W585+W690)+SUMIFS(ExpensePayrollTaxes[Month 12],ExpensePayrollTaxes[exp_item],$H795,ExpensePayrollTaxes[company_name],$B1425)*W795)</f>
        <v>0</v>
      </c>
      <c r="X1425" s="652">
        <f>IF($B1425="",,SUMIFS(SalaryPayrollTaxes[Month 13],SalaryPayrollTaxes[exp_item],$H1425,SalaryPayrollTaxes[company_name],$B1425,SalaryPayrollTaxes[bu_name],$C1425)*(X480+X585+X690)+SUMIFS(ExpensePayrollTaxes[Month 13],ExpensePayrollTaxes[exp_item],$H795,ExpensePayrollTaxes[company_name],$B1425)*X795)</f>
        <v>0</v>
      </c>
      <c r="Y1425" s="652">
        <f>IF($B1425="",,SUMIFS(SalaryPayrollTaxes[Month 14],SalaryPayrollTaxes[exp_item],$H1425,SalaryPayrollTaxes[company_name],$B1425,SalaryPayrollTaxes[bu_name],$C1425)*(Y480+Y585+Y690)+SUMIFS(ExpensePayrollTaxes[Month 14],ExpensePayrollTaxes[exp_item],$H795,ExpensePayrollTaxes[company_name],$B1425)*Y795)</f>
        <v>0</v>
      </c>
      <c r="Z1425" s="652">
        <f>IF($B1425="",,SUMIFS(SalaryPayrollTaxes[Month 15],SalaryPayrollTaxes[exp_item],$H1425,SalaryPayrollTaxes[company_name],$B1425,SalaryPayrollTaxes[bu_name],$C1425)*(Z480+Z585+Z690)+SUMIFS(ExpensePayrollTaxes[Month 15],ExpensePayrollTaxes[exp_item],$H795,ExpensePayrollTaxes[company_name],$B1425)*Z795)</f>
        <v>0</v>
      </c>
      <c r="AA1425" s="652">
        <f>IF($B1425="",,SUMIFS(SalaryPayrollTaxes[Month 16],SalaryPayrollTaxes[exp_item],$H1425,SalaryPayrollTaxes[company_name],$B1425,SalaryPayrollTaxes[bu_name],$C1425)*(AA480+AA585+AA690)+SUMIFS(ExpensePayrollTaxes[Month 16],ExpensePayrollTaxes[exp_item],$H795,ExpensePayrollTaxes[company_name],$B1425)*AA795)</f>
        <v>0</v>
      </c>
      <c r="AB1425" s="652">
        <f>IF($B1425="",,SUMIFS(SalaryPayrollTaxes[Month 17],SalaryPayrollTaxes[exp_item],$H1425,SalaryPayrollTaxes[company_name],$B1425,SalaryPayrollTaxes[bu_name],$C1425)*(AB480+AB585+AB690)+SUMIFS(ExpensePayrollTaxes[Month 17],ExpensePayrollTaxes[exp_item],$H795,ExpensePayrollTaxes[company_name],$B1425)*AB795)</f>
        <v>0</v>
      </c>
      <c r="AC1425" s="652">
        <f>IF($B1425="",,SUMIFS(SalaryPayrollTaxes[Month 18],SalaryPayrollTaxes[exp_item],$H1425,SalaryPayrollTaxes[company_name],$B1425,SalaryPayrollTaxes[bu_name],$C1425)*(AC480+AC585+AC690)+SUMIFS(ExpensePayrollTaxes[Month 18],ExpensePayrollTaxes[exp_item],$H795,ExpensePayrollTaxes[company_name],$B1425)*AC795)</f>
        <v>0</v>
      </c>
      <c r="AD1425" s="652">
        <f>IF($B1425="",,SUMIFS(SalaryPayrollTaxes[Month 19],SalaryPayrollTaxes[exp_item],$H1425,SalaryPayrollTaxes[company_name],$B1425,SalaryPayrollTaxes[bu_name],$C1425)*(AD480+AD585+AD690)+SUMIFS(ExpensePayrollTaxes[Month 19],ExpensePayrollTaxes[exp_item],$H795,ExpensePayrollTaxes[company_name],$B1425)*AD795)</f>
        <v>0</v>
      </c>
      <c r="AE1425" s="652">
        <f>IF($B1425="",,SUMIFS(SalaryPayrollTaxes[Month 20],SalaryPayrollTaxes[exp_item],$H1425,SalaryPayrollTaxes[company_name],$B1425,SalaryPayrollTaxes[bu_name],$C1425)*(AE480+AE585+AE690)+SUMIFS(ExpensePayrollTaxes[Month 20],ExpensePayrollTaxes[exp_item],$H795,ExpensePayrollTaxes[company_name],$B1425)*AE795)</f>
        <v>0</v>
      </c>
      <c r="AF1425" s="652">
        <f>IF($B1425="",,SUMIFS(SalaryPayrollTaxes[Month 21],SalaryPayrollTaxes[exp_item],$H1425,SalaryPayrollTaxes[company_name],$B1425,SalaryPayrollTaxes[bu_name],$C1425)*(AF480+AF585+AF690)+SUMIFS(ExpensePayrollTaxes[Month 21],ExpensePayrollTaxes[exp_item],$H795,ExpensePayrollTaxes[company_name],$B1425)*AF795)</f>
        <v>0</v>
      </c>
      <c r="AG1425" s="652">
        <f>IF($B1425="",,SUMIFS(SalaryPayrollTaxes[Month 22],SalaryPayrollTaxes[exp_item],$H1425,SalaryPayrollTaxes[company_name],$B1425,SalaryPayrollTaxes[bu_name],$C1425)*(AG480+AG585+AG690)+SUMIFS(ExpensePayrollTaxes[Month 22],ExpensePayrollTaxes[exp_item],$H795,ExpensePayrollTaxes[company_name],$B1425)*AG795)</f>
        <v>0</v>
      </c>
      <c r="AH1425" s="652">
        <f>IF($B1425="",,SUMIFS(SalaryPayrollTaxes[Month 23],SalaryPayrollTaxes[exp_item],$H1425,SalaryPayrollTaxes[company_name],$B1425,SalaryPayrollTaxes[bu_name],$C1425)*(AH480+AH585+AH690)+SUMIFS(ExpensePayrollTaxes[Month 23],ExpensePayrollTaxes[exp_item],$H795,ExpensePayrollTaxes[company_name],$B1425)*AH795)</f>
        <v>0</v>
      </c>
      <c r="AI1425" s="652">
        <f>IF($B1425="",,SUMIFS(SalaryPayrollTaxes[Month 24],SalaryPayrollTaxes[exp_item],$H1425,SalaryPayrollTaxes[company_name],$B1425,SalaryPayrollTaxes[bu_name],$C1425)*(AI480+AI585+AI690)+SUMIFS(ExpensePayrollTaxes[Month 24],ExpensePayrollTaxes[exp_item],$H795,ExpensePayrollTaxes[company_name],$B1425)*AI795)</f>
        <v>0</v>
      </c>
      <c r="AJ1425" s="652">
        <f>IF($B1425="",,SUMIFS(SalaryPayrollTaxes[Month 25],SalaryPayrollTaxes[exp_item],$H1425,SalaryPayrollTaxes[company_name],$B1425,SalaryPayrollTaxes[bu_name],$C1425)*(AJ480+AJ585+AJ690)+SUMIFS(ExpensePayrollTaxes[Month 25],ExpensePayrollTaxes[exp_item],$H795,ExpensePayrollTaxes[company_name],$B1425)*AJ795)</f>
        <v>0</v>
      </c>
      <c r="AK1425" s="652">
        <f>IF($B1425="",,SUMIFS(SalaryPayrollTaxes[Month 26],SalaryPayrollTaxes[exp_item],$H1425,SalaryPayrollTaxes[company_name],$B1425,SalaryPayrollTaxes[bu_name],$C1425)*(AK480+AK585+AK690)+SUMIFS(ExpensePayrollTaxes[Month 26],ExpensePayrollTaxes[exp_item],$H795,ExpensePayrollTaxes[company_name],$B1425)*AK795)</f>
        <v>0</v>
      </c>
      <c r="AL1425" s="652">
        <f>IF($B1425="",,SUMIFS(SalaryPayrollTaxes[Month 27],SalaryPayrollTaxes[exp_item],$H1425,SalaryPayrollTaxes[company_name],$B1425,SalaryPayrollTaxes[bu_name],$C1425)*(AL480+AL585+AL690)+SUMIFS(ExpensePayrollTaxes[Month 27],ExpensePayrollTaxes[exp_item],$H795,ExpensePayrollTaxes[company_name],$B1425)*AL795)</f>
        <v>0</v>
      </c>
      <c r="AM1425" s="652">
        <f>IF($B1425="",,SUMIFS(SalaryPayrollTaxes[Month 28],SalaryPayrollTaxes[exp_item],$H1425,SalaryPayrollTaxes[company_name],$B1425,SalaryPayrollTaxes[bu_name],$C1425)*(AM480+AM585+AM690)+SUMIFS(ExpensePayrollTaxes[Month 28],ExpensePayrollTaxes[exp_item],$H795,ExpensePayrollTaxes[company_name],$B1425)*AM795)</f>
        <v>0</v>
      </c>
      <c r="AN1425" s="652">
        <f>IF($B1425="",,SUMIFS(SalaryPayrollTaxes[Month 29],SalaryPayrollTaxes[exp_item],$H1425,SalaryPayrollTaxes[company_name],$B1425,SalaryPayrollTaxes[bu_name],$C1425)*(AN480+AN585+AN690)+SUMIFS(ExpensePayrollTaxes[Month 29],ExpensePayrollTaxes[exp_item],$H795,ExpensePayrollTaxes[company_name],$B1425)*AN795)</f>
        <v>0</v>
      </c>
      <c r="AO1425" s="652">
        <f>IF($B1425="",,SUMIFS(SalaryPayrollTaxes[Month 30],SalaryPayrollTaxes[exp_item],$H1425,SalaryPayrollTaxes[company_name],$B1425,SalaryPayrollTaxes[bu_name],$C1425)*(AO480+AO585+AO690)+SUMIFS(ExpensePayrollTaxes[Month 30],ExpensePayrollTaxes[exp_item],$H795,ExpensePayrollTaxes[company_name],$B1425)*AO795)</f>
        <v>0</v>
      </c>
      <c r="AP1425" s="652">
        <f>IF($B1425="",,SUMIFS(SalaryPayrollTaxes[Month 31],SalaryPayrollTaxes[exp_item],$H1425,SalaryPayrollTaxes[company_name],$B1425,SalaryPayrollTaxes[bu_name],$C1425)*(AP480+AP585+AP690)+SUMIFS(ExpensePayrollTaxes[Month 31],ExpensePayrollTaxes[exp_item],$H795,ExpensePayrollTaxes[company_name],$B1425)*AP795)</f>
        <v>0</v>
      </c>
      <c r="AQ1425" s="652">
        <f>IF($B1425="",,SUMIFS(SalaryPayrollTaxes[Month 32],SalaryPayrollTaxes[exp_item],$H1425,SalaryPayrollTaxes[company_name],$B1425,SalaryPayrollTaxes[bu_name],$C1425)*(AQ480+AQ585+AQ690)+SUMIFS(ExpensePayrollTaxes[Month 32],ExpensePayrollTaxes[exp_item],$H795,ExpensePayrollTaxes[company_name],$B1425)*AQ795)</f>
        <v>0</v>
      </c>
      <c r="AR1425" s="652">
        <f>IF($B1425="",,SUMIFS(SalaryPayrollTaxes[Month 33],SalaryPayrollTaxes[exp_item],$H1425,SalaryPayrollTaxes[company_name],$B1425,SalaryPayrollTaxes[bu_name],$C1425)*(AR480+AR585+AR690)+SUMIFS(ExpensePayrollTaxes[Month 33],ExpensePayrollTaxes[exp_item],$H795,ExpensePayrollTaxes[company_name],$B1425)*AR795)</f>
        <v>0</v>
      </c>
      <c r="AS1425" s="652">
        <f>IF($B1425="",,SUMIFS(SalaryPayrollTaxes[Month 34],SalaryPayrollTaxes[exp_item],$H1425,SalaryPayrollTaxes[company_name],$B1425,SalaryPayrollTaxes[bu_name],$C1425)*(AS480+AS585+AS690)+SUMIFS(ExpensePayrollTaxes[Month 34],ExpensePayrollTaxes[exp_item],$H795,ExpensePayrollTaxes[company_name],$B1425)*AS795)</f>
        <v>0</v>
      </c>
      <c r="AT1425" s="652">
        <f>IF($B1425="",,SUMIFS(SalaryPayrollTaxes[Month 35],SalaryPayrollTaxes[exp_item],$H1425,SalaryPayrollTaxes[company_name],$B1425,SalaryPayrollTaxes[bu_name],$C1425)*(AT480+AT585+AT690)+SUMIFS(ExpensePayrollTaxes[Month 35],ExpensePayrollTaxes[exp_item],$H795,ExpensePayrollTaxes[company_name],$B1425)*AT795)</f>
        <v>0</v>
      </c>
      <c r="AU1425" s="652">
        <f>IF($B1425="",,SUMIFS(SalaryPayrollTaxes[Month 36],SalaryPayrollTaxes[exp_item],$H1425,SalaryPayrollTaxes[company_name],$B1425,SalaryPayrollTaxes[bu_name],$C1425)*(AU480+AU585+AU690)+SUMIFS(ExpensePayrollTaxes[Month 36],ExpensePayrollTaxes[exp_item],$H795,ExpensePayrollTaxes[company_name],$B1425)*AU795)</f>
        <v>0</v>
      </c>
    </row>
    <row r="1426" spans="2:47" x14ac:dyDescent="0.35">
      <c r="B1426" t="str">
        <f t="shared" si="1000"/>
        <v/>
      </c>
      <c r="C1426" t="str">
        <f t="shared" si="1000"/>
        <v/>
      </c>
      <c r="D1426" t="str">
        <f t="shared" si="1000"/>
        <v/>
      </c>
      <c r="E1426" t="str">
        <f t="shared" si="1000"/>
        <v/>
      </c>
      <c r="F1426" t="str">
        <f t="shared" si="1000"/>
        <v/>
      </c>
      <c r="G1426" t="str">
        <f t="shared" si="1000"/>
        <v/>
      </c>
      <c r="H1426" t="str">
        <f t="shared" si="997"/>
        <v/>
      </c>
      <c r="J1426" t="str">
        <f>IF($H1426="","",IF(VLOOKUP(H1426,ExpItems[],2,0),H1426&amp;" - "&amp;INDEX(DivisionMapping[category_code],MATCH($D1426&amp;$C1426,DivisionMapping[dept_bu],0)),H1426))</f>
        <v/>
      </c>
      <c r="K1426" t="str">
        <f t="shared" si="998"/>
        <v/>
      </c>
      <c r="L1426" s="652">
        <f>IF($B1426="",,SUMIFS(SalaryPayrollTaxes[Month 1],SalaryPayrollTaxes[exp_item],$H1426,SalaryPayrollTaxes[company_name],$B1426,SalaryPayrollTaxes[bu_name],$C1426)*(L481+L586+L691)+SUMIFS(ExpensePayrollTaxes[Month 1],ExpensePayrollTaxes[exp_item],$H796,ExpensePayrollTaxes[company_name],$B1426)*L796)</f>
        <v>0</v>
      </c>
      <c r="M1426" s="652">
        <f>IF($B1426="",,SUMIFS(SalaryPayrollTaxes[Month 2],SalaryPayrollTaxes[exp_item],$H1426,SalaryPayrollTaxes[company_name],$B1426,SalaryPayrollTaxes[bu_name],$C1426)*(M481+M586+M691)+SUMIFS(ExpensePayrollTaxes[Month 2],ExpensePayrollTaxes[exp_item],$H796,ExpensePayrollTaxes[company_name],$B1426)*M796)</f>
        <v>0</v>
      </c>
      <c r="N1426" s="652">
        <f>IF($B1426="",,SUMIFS(SalaryPayrollTaxes[Month 3],SalaryPayrollTaxes[exp_item],$H1426,SalaryPayrollTaxes[company_name],$B1426,SalaryPayrollTaxes[bu_name],$C1426)*(N481+N586+N691)+SUMIFS(ExpensePayrollTaxes[Month 3],ExpensePayrollTaxes[exp_item],$H796,ExpensePayrollTaxes[company_name],$B1426)*N796)</f>
        <v>0</v>
      </c>
      <c r="O1426" s="652">
        <f>IF($B1426="",,SUMIFS(SalaryPayrollTaxes[Month 4],SalaryPayrollTaxes[exp_item],$H1426,SalaryPayrollTaxes[company_name],$B1426,SalaryPayrollTaxes[bu_name],$C1426)*(O481+O586+O691)+SUMIFS(ExpensePayrollTaxes[Month 4],ExpensePayrollTaxes[exp_item],$H796,ExpensePayrollTaxes[company_name],$B1426)*O796)</f>
        <v>0</v>
      </c>
      <c r="P1426" s="652">
        <f>IF($B1426="",,SUMIFS(SalaryPayrollTaxes[Month 5],SalaryPayrollTaxes[exp_item],$H1426,SalaryPayrollTaxes[company_name],$B1426,SalaryPayrollTaxes[bu_name],$C1426)*(P481+P586+P691)+SUMIFS(ExpensePayrollTaxes[Month 5],ExpensePayrollTaxes[exp_item],$H796,ExpensePayrollTaxes[company_name],$B1426)*P796)</f>
        <v>0</v>
      </c>
      <c r="Q1426" s="652">
        <f>IF($B1426="",,SUMIFS(SalaryPayrollTaxes[Month 6],SalaryPayrollTaxes[exp_item],$H1426,SalaryPayrollTaxes[company_name],$B1426,SalaryPayrollTaxes[bu_name],$C1426)*(Q481+Q586+Q691)+SUMIFS(ExpensePayrollTaxes[Month 6],ExpensePayrollTaxes[exp_item],$H796,ExpensePayrollTaxes[company_name],$B1426)*Q796)</f>
        <v>0</v>
      </c>
      <c r="R1426" s="652">
        <f>IF($B1426="",,SUMIFS(SalaryPayrollTaxes[Month 7],SalaryPayrollTaxes[exp_item],$H1426,SalaryPayrollTaxes[company_name],$B1426,SalaryPayrollTaxes[bu_name],$C1426)*(R481+R586+R691)+SUMIFS(ExpensePayrollTaxes[Month 7],ExpensePayrollTaxes[exp_item],$H796,ExpensePayrollTaxes[company_name],$B1426)*R796)</f>
        <v>0</v>
      </c>
      <c r="S1426" s="652">
        <f>IF($B1426="",,SUMIFS(SalaryPayrollTaxes[Month 8],SalaryPayrollTaxes[exp_item],$H1426,SalaryPayrollTaxes[company_name],$B1426,SalaryPayrollTaxes[bu_name],$C1426)*(S481+S586+S691)+SUMIFS(ExpensePayrollTaxes[Month 8],ExpensePayrollTaxes[exp_item],$H796,ExpensePayrollTaxes[company_name],$B1426)*S796)</f>
        <v>0</v>
      </c>
      <c r="T1426" s="652">
        <f>IF($B1426="",,SUMIFS(SalaryPayrollTaxes[Month 9],SalaryPayrollTaxes[exp_item],$H1426,SalaryPayrollTaxes[company_name],$B1426,SalaryPayrollTaxes[bu_name],$C1426)*(T481+T586+T691)+SUMIFS(ExpensePayrollTaxes[Month 9],ExpensePayrollTaxes[exp_item],$H796,ExpensePayrollTaxes[company_name],$B1426)*T796)</f>
        <v>0</v>
      </c>
      <c r="U1426" s="652">
        <f>IF($B1426="",,SUMIFS(SalaryPayrollTaxes[Month 10],SalaryPayrollTaxes[exp_item],$H1426,SalaryPayrollTaxes[company_name],$B1426,SalaryPayrollTaxes[bu_name],$C1426)*(U481+U586+U691)+SUMIFS(ExpensePayrollTaxes[Month 10],ExpensePayrollTaxes[exp_item],$H796,ExpensePayrollTaxes[company_name],$B1426)*U796)</f>
        <v>0</v>
      </c>
      <c r="V1426" s="652">
        <f>IF($B1426="",,SUMIFS(SalaryPayrollTaxes[Month 11],SalaryPayrollTaxes[exp_item],$H1426,SalaryPayrollTaxes[company_name],$B1426,SalaryPayrollTaxes[bu_name],$C1426)*(V481+V586+V691)+SUMIFS(ExpensePayrollTaxes[Month 11],ExpensePayrollTaxes[exp_item],$H796,ExpensePayrollTaxes[company_name],$B1426)*V796)</f>
        <v>0</v>
      </c>
      <c r="W1426" s="652">
        <f>IF($B1426="",,SUMIFS(SalaryPayrollTaxes[Month 12],SalaryPayrollTaxes[exp_item],$H1426,SalaryPayrollTaxes[company_name],$B1426,SalaryPayrollTaxes[bu_name],$C1426)*(W481+W586+W691)+SUMIFS(ExpensePayrollTaxes[Month 12],ExpensePayrollTaxes[exp_item],$H796,ExpensePayrollTaxes[company_name],$B1426)*W796)</f>
        <v>0</v>
      </c>
      <c r="X1426" s="652">
        <f>IF($B1426="",,SUMIFS(SalaryPayrollTaxes[Month 13],SalaryPayrollTaxes[exp_item],$H1426,SalaryPayrollTaxes[company_name],$B1426,SalaryPayrollTaxes[bu_name],$C1426)*(X481+X586+X691)+SUMIFS(ExpensePayrollTaxes[Month 13],ExpensePayrollTaxes[exp_item],$H796,ExpensePayrollTaxes[company_name],$B1426)*X796)</f>
        <v>0</v>
      </c>
      <c r="Y1426" s="652">
        <f>IF($B1426="",,SUMIFS(SalaryPayrollTaxes[Month 14],SalaryPayrollTaxes[exp_item],$H1426,SalaryPayrollTaxes[company_name],$B1426,SalaryPayrollTaxes[bu_name],$C1426)*(Y481+Y586+Y691)+SUMIFS(ExpensePayrollTaxes[Month 14],ExpensePayrollTaxes[exp_item],$H796,ExpensePayrollTaxes[company_name],$B1426)*Y796)</f>
        <v>0</v>
      </c>
      <c r="Z1426" s="652">
        <f>IF($B1426="",,SUMIFS(SalaryPayrollTaxes[Month 15],SalaryPayrollTaxes[exp_item],$H1426,SalaryPayrollTaxes[company_name],$B1426,SalaryPayrollTaxes[bu_name],$C1426)*(Z481+Z586+Z691)+SUMIFS(ExpensePayrollTaxes[Month 15],ExpensePayrollTaxes[exp_item],$H796,ExpensePayrollTaxes[company_name],$B1426)*Z796)</f>
        <v>0</v>
      </c>
      <c r="AA1426" s="652">
        <f>IF($B1426="",,SUMIFS(SalaryPayrollTaxes[Month 16],SalaryPayrollTaxes[exp_item],$H1426,SalaryPayrollTaxes[company_name],$B1426,SalaryPayrollTaxes[bu_name],$C1426)*(AA481+AA586+AA691)+SUMIFS(ExpensePayrollTaxes[Month 16],ExpensePayrollTaxes[exp_item],$H796,ExpensePayrollTaxes[company_name],$B1426)*AA796)</f>
        <v>0</v>
      </c>
      <c r="AB1426" s="652">
        <f>IF($B1426="",,SUMIFS(SalaryPayrollTaxes[Month 17],SalaryPayrollTaxes[exp_item],$H1426,SalaryPayrollTaxes[company_name],$B1426,SalaryPayrollTaxes[bu_name],$C1426)*(AB481+AB586+AB691)+SUMIFS(ExpensePayrollTaxes[Month 17],ExpensePayrollTaxes[exp_item],$H796,ExpensePayrollTaxes[company_name],$B1426)*AB796)</f>
        <v>0</v>
      </c>
      <c r="AC1426" s="652">
        <f>IF($B1426="",,SUMIFS(SalaryPayrollTaxes[Month 18],SalaryPayrollTaxes[exp_item],$H1426,SalaryPayrollTaxes[company_name],$B1426,SalaryPayrollTaxes[bu_name],$C1426)*(AC481+AC586+AC691)+SUMIFS(ExpensePayrollTaxes[Month 18],ExpensePayrollTaxes[exp_item],$H796,ExpensePayrollTaxes[company_name],$B1426)*AC796)</f>
        <v>0</v>
      </c>
      <c r="AD1426" s="652">
        <f>IF($B1426="",,SUMIFS(SalaryPayrollTaxes[Month 19],SalaryPayrollTaxes[exp_item],$H1426,SalaryPayrollTaxes[company_name],$B1426,SalaryPayrollTaxes[bu_name],$C1426)*(AD481+AD586+AD691)+SUMIFS(ExpensePayrollTaxes[Month 19],ExpensePayrollTaxes[exp_item],$H796,ExpensePayrollTaxes[company_name],$B1426)*AD796)</f>
        <v>0</v>
      </c>
      <c r="AE1426" s="652">
        <f>IF($B1426="",,SUMIFS(SalaryPayrollTaxes[Month 20],SalaryPayrollTaxes[exp_item],$H1426,SalaryPayrollTaxes[company_name],$B1426,SalaryPayrollTaxes[bu_name],$C1426)*(AE481+AE586+AE691)+SUMIFS(ExpensePayrollTaxes[Month 20],ExpensePayrollTaxes[exp_item],$H796,ExpensePayrollTaxes[company_name],$B1426)*AE796)</f>
        <v>0</v>
      </c>
      <c r="AF1426" s="652">
        <f>IF($B1426="",,SUMIFS(SalaryPayrollTaxes[Month 21],SalaryPayrollTaxes[exp_item],$H1426,SalaryPayrollTaxes[company_name],$B1426,SalaryPayrollTaxes[bu_name],$C1426)*(AF481+AF586+AF691)+SUMIFS(ExpensePayrollTaxes[Month 21],ExpensePayrollTaxes[exp_item],$H796,ExpensePayrollTaxes[company_name],$B1426)*AF796)</f>
        <v>0</v>
      </c>
      <c r="AG1426" s="652">
        <f>IF($B1426="",,SUMIFS(SalaryPayrollTaxes[Month 22],SalaryPayrollTaxes[exp_item],$H1426,SalaryPayrollTaxes[company_name],$B1426,SalaryPayrollTaxes[bu_name],$C1426)*(AG481+AG586+AG691)+SUMIFS(ExpensePayrollTaxes[Month 22],ExpensePayrollTaxes[exp_item],$H796,ExpensePayrollTaxes[company_name],$B1426)*AG796)</f>
        <v>0</v>
      </c>
      <c r="AH1426" s="652">
        <f>IF($B1426="",,SUMIFS(SalaryPayrollTaxes[Month 23],SalaryPayrollTaxes[exp_item],$H1426,SalaryPayrollTaxes[company_name],$B1426,SalaryPayrollTaxes[bu_name],$C1426)*(AH481+AH586+AH691)+SUMIFS(ExpensePayrollTaxes[Month 23],ExpensePayrollTaxes[exp_item],$H796,ExpensePayrollTaxes[company_name],$B1426)*AH796)</f>
        <v>0</v>
      </c>
      <c r="AI1426" s="652">
        <f>IF($B1426="",,SUMIFS(SalaryPayrollTaxes[Month 24],SalaryPayrollTaxes[exp_item],$H1426,SalaryPayrollTaxes[company_name],$B1426,SalaryPayrollTaxes[bu_name],$C1426)*(AI481+AI586+AI691)+SUMIFS(ExpensePayrollTaxes[Month 24],ExpensePayrollTaxes[exp_item],$H796,ExpensePayrollTaxes[company_name],$B1426)*AI796)</f>
        <v>0</v>
      </c>
      <c r="AJ1426" s="652">
        <f>IF($B1426="",,SUMIFS(SalaryPayrollTaxes[Month 25],SalaryPayrollTaxes[exp_item],$H1426,SalaryPayrollTaxes[company_name],$B1426,SalaryPayrollTaxes[bu_name],$C1426)*(AJ481+AJ586+AJ691)+SUMIFS(ExpensePayrollTaxes[Month 25],ExpensePayrollTaxes[exp_item],$H796,ExpensePayrollTaxes[company_name],$B1426)*AJ796)</f>
        <v>0</v>
      </c>
      <c r="AK1426" s="652">
        <f>IF($B1426="",,SUMIFS(SalaryPayrollTaxes[Month 26],SalaryPayrollTaxes[exp_item],$H1426,SalaryPayrollTaxes[company_name],$B1426,SalaryPayrollTaxes[bu_name],$C1426)*(AK481+AK586+AK691)+SUMIFS(ExpensePayrollTaxes[Month 26],ExpensePayrollTaxes[exp_item],$H796,ExpensePayrollTaxes[company_name],$B1426)*AK796)</f>
        <v>0</v>
      </c>
      <c r="AL1426" s="652">
        <f>IF($B1426="",,SUMIFS(SalaryPayrollTaxes[Month 27],SalaryPayrollTaxes[exp_item],$H1426,SalaryPayrollTaxes[company_name],$B1426,SalaryPayrollTaxes[bu_name],$C1426)*(AL481+AL586+AL691)+SUMIFS(ExpensePayrollTaxes[Month 27],ExpensePayrollTaxes[exp_item],$H796,ExpensePayrollTaxes[company_name],$B1426)*AL796)</f>
        <v>0</v>
      </c>
      <c r="AM1426" s="652">
        <f>IF($B1426="",,SUMIFS(SalaryPayrollTaxes[Month 28],SalaryPayrollTaxes[exp_item],$H1426,SalaryPayrollTaxes[company_name],$B1426,SalaryPayrollTaxes[bu_name],$C1426)*(AM481+AM586+AM691)+SUMIFS(ExpensePayrollTaxes[Month 28],ExpensePayrollTaxes[exp_item],$H796,ExpensePayrollTaxes[company_name],$B1426)*AM796)</f>
        <v>0</v>
      </c>
      <c r="AN1426" s="652">
        <f>IF($B1426="",,SUMIFS(SalaryPayrollTaxes[Month 29],SalaryPayrollTaxes[exp_item],$H1426,SalaryPayrollTaxes[company_name],$B1426,SalaryPayrollTaxes[bu_name],$C1426)*(AN481+AN586+AN691)+SUMIFS(ExpensePayrollTaxes[Month 29],ExpensePayrollTaxes[exp_item],$H796,ExpensePayrollTaxes[company_name],$B1426)*AN796)</f>
        <v>0</v>
      </c>
      <c r="AO1426" s="652">
        <f>IF($B1426="",,SUMIFS(SalaryPayrollTaxes[Month 30],SalaryPayrollTaxes[exp_item],$H1426,SalaryPayrollTaxes[company_name],$B1426,SalaryPayrollTaxes[bu_name],$C1426)*(AO481+AO586+AO691)+SUMIFS(ExpensePayrollTaxes[Month 30],ExpensePayrollTaxes[exp_item],$H796,ExpensePayrollTaxes[company_name],$B1426)*AO796)</f>
        <v>0</v>
      </c>
      <c r="AP1426" s="652">
        <f>IF($B1426="",,SUMIFS(SalaryPayrollTaxes[Month 31],SalaryPayrollTaxes[exp_item],$H1426,SalaryPayrollTaxes[company_name],$B1426,SalaryPayrollTaxes[bu_name],$C1426)*(AP481+AP586+AP691)+SUMIFS(ExpensePayrollTaxes[Month 31],ExpensePayrollTaxes[exp_item],$H796,ExpensePayrollTaxes[company_name],$B1426)*AP796)</f>
        <v>0</v>
      </c>
      <c r="AQ1426" s="652">
        <f>IF($B1426="",,SUMIFS(SalaryPayrollTaxes[Month 32],SalaryPayrollTaxes[exp_item],$H1426,SalaryPayrollTaxes[company_name],$B1426,SalaryPayrollTaxes[bu_name],$C1426)*(AQ481+AQ586+AQ691)+SUMIFS(ExpensePayrollTaxes[Month 32],ExpensePayrollTaxes[exp_item],$H796,ExpensePayrollTaxes[company_name],$B1426)*AQ796)</f>
        <v>0</v>
      </c>
      <c r="AR1426" s="652">
        <f>IF($B1426="",,SUMIFS(SalaryPayrollTaxes[Month 33],SalaryPayrollTaxes[exp_item],$H1426,SalaryPayrollTaxes[company_name],$B1426,SalaryPayrollTaxes[bu_name],$C1426)*(AR481+AR586+AR691)+SUMIFS(ExpensePayrollTaxes[Month 33],ExpensePayrollTaxes[exp_item],$H796,ExpensePayrollTaxes[company_name],$B1426)*AR796)</f>
        <v>0</v>
      </c>
      <c r="AS1426" s="652">
        <f>IF($B1426="",,SUMIFS(SalaryPayrollTaxes[Month 34],SalaryPayrollTaxes[exp_item],$H1426,SalaryPayrollTaxes[company_name],$B1426,SalaryPayrollTaxes[bu_name],$C1426)*(AS481+AS586+AS691)+SUMIFS(ExpensePayrollTaxes[Month 34],ExpensePayrollTaxes[exp_item],$H796,ExpensePayrollTaxes[company_name],$B1426)*AS796)</f>
        <v>0</v>
      </c>
      <c r="AT1426" s="652">
        <f>IF($B1426="",,SUMIFS(SalaryPayrollTaxes[Month 35],SalaryPayrollTaxes[exp_item],$H1426,SalaryPayrollTaxes[company_name],$B1426,SalaryPayrollTaxes[bu_name],$C1426)*(AT481+AT586+AT691)+SUMIFS(ExpensePayrollTaxes[Month 35],ExpensePayrollTaxes[exp_item],$H796,ExpensePayrollTaxes[company_name],$B1426)*AT796)</f>
        <v>0</v>
      </c>
      <c r="AU1426" s="652">
        <f>IF($B1426="",,SUMIFS(SalaryPayrollTaxes[Month 36],SalaryPayrollTaxes[exp_item],$H1426,SalaryPayrollTaxes[company_name],$B1426,SalaryPayrollTaxes[bu_name],$C1426)*(AU481+AU586+AU691)+SUMIFS(ExpensePayrollTaxes[Month 36],ExpensePayrollTaxes[exp_item],$H796,ExpensePayrollTaxes[company_name],$B1426)*AU796)</f>
        <v>0</v>
      </c>
    </row>
    <row r="1427" spans="2:47" x14ac:dyDescent="0.35">
      <c r="B1427" t="str">
        <f t="shared" si="1000"/>
        <v/>
      </c>
      <c r="C1427" t="str">
        <f t="shared" si="1000"/>
        <v/>
      </c>
      <c r="D1427" t="str">
        <f t="shared" si="1000"/>
        <v/>
      </c>
      <c r="E1427" t="str">
        <f t="shared" si="1000"/>
        <v/>
      </c>
      <c r="F1427" t="str">
        <f t="shared" si="1000"/>
        <v/>
      </c>
      <c r="G1427" t="str">
        <f t="shared" si="1000"/>
        <v/>
      </c>
      <c r="H1427" t="str">
        <f t="shared" si="997"/>
        <v/>
      </c>
      <c r="J1427" t="str">
        <f>IF($H1427="","",IF(VLOOKUP(H1427,ExpItems[],2,0),H1427&amp;" - "&amp;INDEX(DivisionMapping[category_code],MATCH($D1427&amp;$C1427,DivisionMapping[dept_bu],0)),H1427))</f>
        <v/>
      </c>
      <c r="K1427" t="str">
        <f t="shared" si="998"/>
        <v/>
      </c>
      <c r="L1427" s="652">
        <f>IF($B1427="",,SUMIFS(SalaryPayrollTaxes[Month 1],SalaryPayrollTaxes[exp_item],$H1427,SalaryPayrollTaxes[company_name],$B1427,SalaryPayrollTaxes[bu_name],$C1427)*(L482+L587+L692)+SUMIFS(ExpensePayrollTaxes[Month 1],ExpensePayrollTaxes[exp_item],$H797,ExpensePayrollTaxes[company_name],$B1427)*L797)</f>
        <v>0</v>
      </c>
      <c r="M1427" s="652">
        <f>IF($B1427="",,SUMIFS(SalaryPayrollTaxes[Month 2],SalaryPayrollTaxes[exp_item],$H1427,SalaryPayrollTaxes[company_name],$B1427,SalaryPayrollTaxes[bu_name],$C1427)*(M482+M587+M692)+SUMIFS(ExpensePayrollTaxes[Month 2],ExpensePayrollTaxes[exp_item],$H797,ExpensePayrollTaxes[company_name],$B1427)*M797)</f>
        <v>0</v>
      </c>
      <c r="N1427" s="652">
        <f>IF($B1427="",,SUMIFS(SalaryPayrollTaxes[Month 3],SalaryPayrollTaxes[exp_item],$H1427,SalaryPayrollTaxes[company_name],$B1427,SalaryPayrollTaxes[bu_name],$C1427)*(N482+N587+N692)+SUMIFS(ExpensePayrollTaxes[Month 3],ExpensePayrollTaxes[exp_item],$H797,ExpensePayrollTaxes[company_name],$B1427)*N797)</f>
        <v>0</v>
      </c>
      <c r="O1427" s="652">
        <f>IF($B1427="",,SUMIFS(SalaryPayrollTaxes[Month 4],SalaryPayrollTaxes[exp_item],$H1427,SalaryPayrollTaxes[company_name],$B1427,SalaryPayrollTaxes[bu_name],$C1427)*(O482+O587+O692)+SUMIFS(ExpensePayrollTaxes[Month 4],ExpensePayrollTaxes[exp_item],$H797,ExpensePayrollTaxes[company_name],$B1427)*O797)</f>
        <v>0</v>
      </c>
      <c r="P1427" s="652">
        <f>IF($B1427="",,SUMIFS(SalaryPayrollTaxes[Month 5],SalaryPayrollTaxes[exp_item],$H1427,SalaryPayrollTaxes[company_name],$B1427,SalaryPayrollTaxes[bu_name],$C1427)*(P482+P587+P692)+SUMIFS(ExpensePayrollTaxes[Month 5],ExpensePayrollTaxes[exp_item],$H797,ExpensePayrollTaxes[company_name],$B1427)*P797)</f>
        <v>0</v>
      </c>
      <c r="Q1427" s="652">
        <f>IF($B1427="",,SUMIFS(SalaryPayrollTaxes[Month 6],SalaryPayrollTaxes[exp_item],$H1427,SalaryPayrollTaxes[company_name],$B1427,SalaryPayrollTaxes[bu_name],$C1427)*(Q482+Q587+Q692)+SUMIFS(ExpensePayrollTaxes[Month 6],ExpensePayrollTaxes[exp_item],$H797,ExpensePayrollTaxes[company_name],$B1427)*Q797)</f>
        <v>0</v>
      </c>
      <c r="R1427" s="652">
        <f>IF($B1427="",,SUMIFS(SalaryPayrollTaxes[Month 7],SalaryPayrollTaxes[exp_item],$H1427,SalaryPayrollTaxes[company_name],$B1427,SalaryPayrollTaxes[bu_name],$C1427)*(R482+R587+R692)+SUMIFS(ExpensePayrollTaxes[Month 7],ExpensePayrollTaxes[exp_item],$H797,ExpensePayrollTaxes[company_name],$B1427)*R797)</f>
        <v>0</v>
      </c>
      <c r="S1427" s="652">
        <f>IF($B1427="",,SUMIFS(SalaryPayrollTaxes[Month 8],SalaryPayrollTaxes[exp_item],$H1427,SalaryPayrollTaxes[company_name],$B1427,SalaryPayrollTaxes[bu_name],$C1427)*(S482+S587+S692)+SUMIFS(ExpensePayrollTaxes[Month 8],ExpensePayrollTaxes[exp_item],$H797,ExpensePayrollTaxes[company_name],$B1427)*S797)</f>
        <v>0</v>
      </c>
      <c r="T1427" s="652">
        <f>IF($B1427="",,SUMIFS(SalaryPayrollTaxes[Month 9],SalaryPayrollTaxes[exp_item],$H1427,SalaryPayrollTaxes[company_name],$B1427,SalaryPayrollTaxes[bu_name],$C1427)*(T482+T587+T692)+SUMIFS(ExpensePayrollTaxes[Month 9],ExpensePayrollTaxes[exp_item],$H797,ExpensePayrollTaxes[company_name],$B1427)*T797)</f>
        <v>0</v>
      </c>
      <c r="U1427" s="652">
        <f>IF($B1427="",,SUMIFS(SalaryPayrollTaxes[Month 10],SalaryPayrollTaxes[exp_item],$H1427,SalaryPayrollTaxes[company_name],$B1427,SalaryPayrollTaxes[bu_name],$C1427)*(U482+U587+U692)+SUMIFS(ExpensePayrollTaxes[Month 10],ExpensePayrollTaxes[exp_item],$H797,ExpensePayrollTaxes[company_name],$B1427)*U797)</f>
        <v>0</v>
      </c>
      <c r="V1427" s="652">
        <f>IF($B1427="",,SUMIFS(SalaryPayrollTaxes[Month 11],SalaryPayrollTaxes[exp_item],$H1427,SalaryPayrollTaxes[company_name],$B1427,SalaryPayrollTaxes[bu_name],$C1427)*(V482+V587+V692)+SUMIFS(ExpensePayrollTaxes[Month 11],ExpensePayrollTaxes[exp_item],$H797,ExpensePayrollTaxes[company_name],$B1427)*V797)</f>
        <v>0</v>
      </c>
      <c r="W1427" s="652">
        <f>IF($B1427="",,SUMIFS(SalaryPayrollTaxes[Month 12],SalaryPayrollTaxes[exp_item],$H1427,SalaryPayrollTaxes[company_name],$B1427,SalaryPayrollTaxes[bu_name],$C1427)*(W482+W587+W692)+SUMIFS(ExpensePayrollTaxes[Month 12],ExpensePayrollTaxes[exp_item],$H797,ExpensePayrollTaxes[company_name],$B1427)*W797)</f>
        <v>0</v>
      </c>
      <c r="X1427" s="652">
        <f>IF($B1427="",,SUMIFS(SalaryPayrollTaxes[Month 13],SalaryPayrollTaxes[exp_item],$H1427,SalaryPayrollTaxes[company_name],$B1427,SalaryPayrollTaxes[bu_name],$C1427)*(X482+X587+X692)+SUMIFS(ExpensePayrollTaxes[Month 13],ExpensePayrollTaxes[exp_item],$H797,ExpensePayrollTaxes[company_name],$B1427)*X797)</f>
        <v>0</v>
      </c>
      <c r="Y1427" s="652">
        <f>IF($B1427="",,SUMIFS(SalaryPayrollTaxes[Month 14],SalaryPayrollTaxes[exp_item],$H1427,SalaryPayrollTaxes[company_name],$B1427,SalaryPayrollTaxes[bu_name],$C1427)*(Y482+Y587+Y692)+SUMIFS(ExpensePayrollTaxes[Month 14],ExpensePayrollTaxes[exp_item],$H797,ExpensePayrollTaxes[company_name],$B1427)*Y797)</f>
        <v>0</v>
      </c>
      <c r="Z1427" s="652">
        <f>IF($B1427="",,SUMIFS(SalaryPayrollTaxes[Month 15],SalaryPayrollTaxes[exp_item],$H1427,SalaryPayrollTaxes[company_name],$B1427,SalaryPayrollTaxes[bu_name],$C1427)*(Z482+Z587+Z692)+SUMIFS(ExpensePayrollTaxes[Month 15],ExpensePayrollTaxes[exp_item],$H797,ExpensePayrollTaxes[company_name],$B1427)*Z797)</f>
        <v>0</v>
      </c>
      <c r="AA1427" s="652">
        <f>IF($B1427="",,SUMIFS(SalaryPayrollTaxes[Month 16],SalaryPayrollTaxes[exp_item],$H1427,SalaryPayrollTaxes[company_name],$B1427,SalaryPayrollTaxes[bu_name],$C1427)*(AA482+AA587+AA692)+SUMIFS(ExpensePayrollTaxes[Month 16],ExpensePayrollTaxes[exp_item],$H797,ExpensePayrollTaxes[company_name],$B1427)*AA797)</f>
        <v>0</v>
      </c>
      <c r="AB1427" s="652">
        <f>IF($B1427="",,SUMIFS(SalaryPayrollTaxes[Month 17],SalaryPayrollTaxes[exp_item],$H1427,SalaryPayrollTaxes[company_name],$B1427,SalaryPayrollTaxes[bu_name],$C1427)*(AB482+AB587+AB692)+SUMIFS(ExpensePayrollTaxes[Month 17],ExpensePayrollTaxes[exp_item],$H797,ExpensePayrollTaxes[company_name],$B1427)*AB797)</f>
        <v>0</v>
      </c>
      <c r="AC1427" s="652">
        <f>IF($B1427="",,SUMIFS(SalaryPayrollTaxes[Month 18],SalaryPayrollTaxes[exp_item],$H1427,SalaryPayrollTaxes[company_name],$B1427,SalaryPayrollTaxes[bu_name],$C1427)*(AC482+AC587+AC692)+SUMIFS(ExpensePayrollTaxes[Month 18],ExpensePayrollTaxes[exp_item],$H797,ExpensePayrollTaxes[company_name],$B1427)*AC797)</f>
        <v>0</v>
      </c>
      <c r="AD1427" s="652">
        <f>IF($B1427="",,SUMIFS(SalaryPayrollTaxes[Month 19],SalaryPayrollTaxes[exp_item],$H1427,SalaryPayrollTaxes[company_name],$B1427,SalaryPayrollTaxes[bu_name],$C1427)*(AD482+AD587+AD692)+SUMIFS(ExpensePayrollTaxes[Month 19],ExpensePayrollTaxes[exp_item],$H797,ExpensePayrollTaxes[company_name],$B1427)*AD797)</f>
        <v>0</v>
      </c>
      <c r="AE1427" s="652">
        <f>IF($B1427="",,SUMIFS(SalaryPayrollTaxes[Month 20],SalaryPayrollTaxes[exp_item],$H1427,SalaryPayrollTaxes[company_name],$B1427,SalaryPayrollTaxes[bu_name],$C1427)*(AE482+AE587+AE692)+SUMIFS(ExpensePayrollTaxes[Month 20],ExpensePayrollTaxes[exp_item],$H797,ExpensePayrollTaxes[company_name],$B1427)*AE797)</f>
        <v>0</v>
      </c>
      <c r="AF1427" s="652">
        <f>IF($B1427="",,SUMIFS(SalaryPayrollTaxes[Month 21],SalaryPayrollTaxes[exp_item],$H1427,SalaryPayrollTaxes[company_name],$B1427,SalaryPayrollTaxes[bu_name],$C1427)*(AF482+AF587+AF692)+SUMIFS(ExpensePayrollTaxes[Month 21],ExpensePayrollTaxes[exp_item],$H797,ExpensePayrollTaxes[company_name],$B1427)*AF797)</f>
        <v>0</v>
      </c>
      <c r="AG1427" s="652">
        <f>IF($B1427="",,SUMIFS(SalaryPayrollTaxes[Month 22],SalaryPayrollTaxes[exp_item],$H1427,SalaryPayrollTaxes[company_name],$B1427,SalaryPayrollTaxes[bu_name],$C1427)*(AG482+AG587+AG692)+SUMIFS(ExpensePayrollTaxes[Month 22],ExpensePayrollTaxes[exp_item],$H797,ExpensePayrollTaxes[company_name],$B1427)*AG797)</f>
        <v>0</v>
      </c>
      <c r="AH1427" s="652">
        <f>IF($B1427="",,SUMIFS(SalaryPayrollTaxes[Month 23],SalaryPayrollTaxes[exp_item],$H1427,SalaryPayrollTaxes[company_name],$B1427,SalaryPayrollTaxes[bu_name],$C1427)*(AH482+AH587+AH692)+SUMIFS(ExpensePayrollTaxes[Month 23],ExpensePayrollTaxes[exp_item],$H797,ExpensePayrollTaxes[company_name],$B1427)*AH797)</f>
        <v>0</v>
      </c>
      <c r="AI1427" s="652">
        <f>IF($B1427="",,SUMIFS(SalaryPayrollTaxes[Month 24],SalaryPayrollTaxes[exp_item],$H1427,SalaryPayrollTaxes[company_name],$B1427,SalaryPayrollTaxes[bu_name],$C1427)*(AI482+AI587+AI692)+SUMIFS(ExpensePayrollTaxes[Month 24],ExpensePayrollTaxes[exp_item],$H797,ExpensePayrollTaxes[company_name],$B1427)*AI797)</f>
        <v>0</v>
      </c>
      <c r="AJ1427" s="652">
        <f>IF($B1427="",,SUMIFS(SalaryPayrollTaxes[Month 25],SalaryPayrollTaxes[exp_item],$H1427,SalaryPayrollTaxes[company_name],$B1427,SalaryPayrollTaxes[bu_name],$C1427)*(AJ482+AJ587+AJ692)+SUMIFS(ExpensePayrollTaxes[Month 25],ExpensePayrollTaxes[exp_item],$H797,ExpensePayrollTaxes[company_name],$B1427)*AJ797)</f>
        <v>0</v>
      </c>
      <c r="AK1427" s="652">
        <f>IF($B1427="",,SUMIFS(SalaryPayrollTaxes[Month 26],SalaryPayrollTaxes[exp_item],$H1427,SalaryPayrollTaxes[company_name],$B1427,SalaryPayrollTaxes[bu_name],$C1427)*(AK482+AK587+AK692)+SUMIFS(ExpensePayrollTaxes[Month 26],ExpensePayrollTaxes[exp_item],$H797,ExpensePayrollTaxes[company_name],$B1427)*AK797)</f>
        <v>0</v>
      </c>
      <c r="AL1427" s="652">
        <f>IF($B1427="",,SUMIFS(SalaryPayrollTaxes[Month 27],SalaryPayrollTaxes[exp_item],$H1427,SalaryPayrollTaxes[company_name],$B1427,SalaryPayrollTaxes[bu_name],$C1427)*(AL482+AL587+AL692)+SUMIFS(ExpensePayrollTaxes[Month 27],ExpensePayrollTaxes[exp_item],$H797,ExpensePayrollTaxes[company_name],$B1427)*AL797)</f>
        <v>0</v>
      </c>
      <c r="AM1427" s="652">
        <f>IF($B1427="",,SUMIFS(SalaryPayrollTaxes[Month 28],SalaryPayrollTaxes[exp_item],$H1427,SalaryPayrollTaxes[company_name],$B1427,SalaryPayrollTaxes[bu_name],$C1427)*(AM482+AM587+AM692)+SUMIFS(ExpensePayrollTaxes[Month 28],ExpensePayrollTaxes[exp_item],$H797,ExpensePayrollTaxes[company_name],$B1427)*AM797)</f>
        <v>0</v>
      </c>
      <c r="AN1427" s="652">
        <f>IF($B1427="",,SUMIFS(SalaryPayrollTaxes[Month 29],SalaryPayrollTaxes[exp_item],$H1427,SalaryPayrollTaxes[company_name],$B1427,SalaryPayrollTaxes[bu_name],$C1427)*(AN482+AN587+AN692)+SUMIFS(ExpensePayrollTaxes[Month 29],ExpensePayrollTaxes[exp_item],$H797,ExpensePayrollTaxes[company_name],$B1427)*AN797)</f>
        <v>0</v>
      </c>
      <c r="AO1427" s="652">
        <f>IF($B1427="",,SUMIFS(SalaryPayrollTaxes[Month 30],SalaryPayrollTaxes[exp_item],$H1427,SalaryPayrollTaxes[company_name],$B1427,SalaryPayrollTaxes[bu_name],$C1427)*(AO482+AO587+AO692)+SUMIFS(ExpensePayrollTaxes[Month 30],ExpensePayrollTaxes[exp_item],$H797,ExpensePayrollTaxes[company_name],$B1427)*AO797)</f>
        <v>0</v>
      </c>
      <c r="AP1427" s="652">
        <f>IF($B1427="",,SUMIFS(SalaryPayrollTaxes[Month 31],SalaryPayrollTaxes[exp_item],$H1427,SalaryPayrollTaxes[company_name],$B1427,SalaryPayrollTaxes[bu_name],$C1427)*(AP482+AP587+AP692)+SUMIFS(ExpensePayrollTaxes[Month 31],ExpensePayrollTaxes[exp_item],$H797,ExpensePayrollTaxes[company_name],$B1427)*AP797)</f>
        <v>0</v>
      </c>
      <c r="AQ1427" s="652">
        <f>IF($B1427="",,SUMIFS(SalaryPayrollTaxes[Month 32],SalaryPayrollTaxes[exp_item],$H1427,SalaryPayrollTaxes[company_name],$B1427,SalaryPayrollTaxes[bu_name],$C1427)*(AQ482+AQ587+AQ692)+SUMIFS(ExpensePayrollTaxes[Month 32],ExpensePayrollTaxes[exp_item],$H797,ExpensePayrollTaxes[company_name],$B1427)*AQ797)</f>
        <v>0</v>
      </c>
      <c r="AR1427" s="652">
        <f>IF($B1427="",,SUMIFS(SalaryPayrollTaxes[Month 33],SalaryPayrollTaxes[exp_item],$H1427,SalaryPayrollTaxes[company_name],$B1427,SalaryPayrollTaxes[bu_name],$C1427)*(AR482+AR587+AR692)+SUMIFS(ExpensePayrollTaxes[Month 33],ExpensePayrollTaxes[exp_item],$H797,ExpensePayrollTaxes[company_name],$B1427)*AR797)</f>
        <v>0</v>
      </c>
      <c r="AS1427" s="652">
        <f>IF($B1427="",,SUMIFS(SalaryPayrollTaxes[Month 34],SalaryPayrollTaxes[exp_item],$H1427,SalaryPayrollTaxes[company_name],$B1427,SalaryPayrollTaxes[bu_name],$C1427)*(AS482+AS587+AS692)+SUMIFS(ExpensePayrollTaxes[Month 34],ExpensePayrollTaxes[exp_item],$H797,ExpensePayrollTaxes[company_name],$B1427)*AS797)</f>
        <v>0</v>
      </c>
      <c r="AT1427" s="652">
        <f>IF($B1427="",,SUMIFS(SalaryPayrollTaxes[Month 35],SalaryPayrollTaxes[exp_item],$H1427,SalaryPayrollTaxes[company_name],$B1427,SalaryPayrollTaxes[bu_name],$C1427)*(AT482+AT587+AT692)+SUMIFS(ExpensePayrollTaxes[Month 35],ExpensePayrollTaxes[exp_item],$H797,ExpensePayrollTaxes[company_name],$B1427)*AT797)</f>
        <v>0</v>
      </c>
      <c r="AU1427" s="652">
        <f>IF($B1427="",,SUMIFS(SalaryPayrollTaxes[Month 36],SalaryPayrollTaxes[exp_item],$H1427,SalaryPayrollTaxes[company_name],$B1427,SalaryPayrollTaxes[bu_name],$C1427)*(AU482+AU587+AU692)+SUMIFS(ExpensePayrollTaxes[Month 36],ExpensePayrollTaxes[exp_item],$H797,ExpensePayrollTaxes[company_name],$B1427)*AU797)</f>
        <v>0</v>
      </c>
    </row>
    <row r="1428" spans="2:47" x14ac:dyDescent="0.35">
      <c r="B1428" t="str">
        <f t="shared" si="1000"/>
        <v/>
      </c>
      <c r="C1428" t="str">
        <f t="shared" si="1000"/>
        <v/>
      </c>
      <c r="D1428" t="str">
        <f t="shared" si="1000"/>
        <v/>
      </c>
      <c r="E1428" t="str">
        <f t="shared" si="1000"/>
        <v/>
      </c>
      <c r="F1428" t="str">
        <f t="shared" si="1000"/>
        <v/>
      </c>
      <c r="G1428" t="str">
        <f t="shared" si="1000"/>
        <v/>
      </c>
      <c r="H1428" t="str">
        <f t="shared" si="997"/>
        <v/>
      </c>
      <c r="J1428" t="str">
        <f>IF($H1428="","",IF(VLOOKUP(H1428,ExpItems[],2,0),H1428&amp;" - "&amp;INDEX(DivisionMapping[category_code],MATCH($D1428&amp;$C1428,DivisionMapping[dept_bu],0)),H1428))</f>
        <v/>
      </c>
      <c r="K1428" t="str">
        <f t="shared" si="998"/>
        <v/>
      </c>
      <c r="L1428" s="652">
        <f>IF($B1428="",,SUMIFS(SalaryPayrollTaxes[Month 1],SalaryPayrollTaxes[exp_item],$H1428,SalaryPayrollTaxes[company_name],$B1428,SalaryPayrollTaxes[bu_name],$C1428)*(L483+L588+L693)+SUMIFS(ExpensePayrollTaxes[Month 1],ExpensePayrollTaxes[exp_item],$H798,ExpensePayrollTaxes[company_name],$B1428)*L798)</f>
        <v>0</v>
      </c>
      <c r="M1428" s="652">
        <f>IF($B1428="",,SUMIFS(SalaryPayrollTaxes[Month 2],SalaryPayrollTaxes[exp_item],$H1428,SalaryPayrollTaxes[company_name],$B1428,SalaryPayrollTaxes[bu_name],$C1428)*(M483+M588+M693)+SUMIFS(ExpensePayrollTaxes[Month 2],ExpensePayrollTaxes[exp_item],$H798,ExpensePayrollTaxes[company_name],$B1428)*M798)</f>
        <v>0</v>
      </c>
      <c r="N1428" s="652">
        <f>IF($B1428="",,SUMIFS(SalaryPayrollTaxes[Month 3],SalaryPayrollTaxes[exp_item],$H1428,SalaryPayrollTaxes[company_name],$B1428,SalaryPayrollTaxes[bu_name],$C1428)*(N483+N588+N693)+SUMIFS(ExpensePayrollTaxes[Month 3],ExpensePayrollTaxes[exp_item],$H798,ExpensePayrollTaxes[company_name],$B1428)*N798)</f>
        <v>0</v>
      </c>
      <c r="O1428" s="652">
        <f>IF($B1428="",,SUMIFS(SalaryPayrollTaxes[Month 4],SalaryPayrollTaxes[exp_item],$H1428,SalaryPayrollTaxes[company_name],$B1428,SalaryPayrollTaxes[bu_name],$C1428)*(O483+O588+O693)+SUMIFS(ExpensePayrollTaxes[Month 4],ExpensePayrollTaxes[exp_item],$H798,ExpensePayrollTaxes[company_name],$B1428)*O798)</f>
        <v>0</v>
      </c>
      <c r="P1428" s="652">
        <f>IF($B1428="",,SUMIFS(SalaryPayrollTaxes[Month 5],SalaryPayrollTaxes[exp_item],$H1428,SalaryPayrollTaxes[company_name],$B1428,SalaryPayrollTaxes[bu_name],$C1428)*(P483+P588+P693)+SUMIFS(ExpensePayrollTaxes[Month 5],ExpensePayrollTaxes[exp_item],$H798,ExpensePayrollTaxes[company_name],$B1428)*P798)</f>
        <v>0</v>
      </c>
      <c r="Q1428" s="652">
        <f>IF($B1428="",,SUMIFS(SalaryPayrollTaxes[Month 6],SalaryPayrollTaxes[exp_item],$H1428,SalaryPayrollTaxes[company_name],$B1428,SalaryPayrollTaxes[bu_name],$C1428)*(Q483+Q588+Q693)+SUMIFS(ExpensePayrollTaxes[Month 6],ExpensePayrollTaxes[exp_item],$H798,ExpensePayrollTaxes[company_name],$B1428)*Q798)</f>
        <v>0</v>
      </c>
      <c r="R1428" s="652">
        <f>IF($B1428="",,SUMIFS(SalaryPayrollTaxes[Month 7],SalaryPayrollTaxes[exp_item],$H1428,SalaryPayrollTaxes[company_name],$B1428,SalaryPayrollTaxes[bu_name],$C1428)*(R483+R588+R693)+SUMIFS(ExpensePayrollTaxes[Month 7],ExpensePayrollTaxes[exp_item],$H798,ExpensePayrollTaxes[company_name],$B1428)*R798)</f>
        <v>0</v>
      </c>
      <c r="S1428" s="652">
        <f>IF($B1428="",,SUMIFS(SalaryPayrollTaxes[Month 8],SalaryPayrollTaxes[exp_item],$H1428,SalaryPayrollTaxes[company_name],$B1428,SalaryPayrollTaxes[bu_name],$C1428)*(S483+S588+S693)+SUMIFS(ExpensePayrollTaxes[Month 8],ExpensePayrollTaxes[exp_item],$H798,ExpensePayrollTaxes[company_name],$B1428)*S798)</f>
        <v>0</v>
      </c>
      <c r="T1428" s="652">
        <f>IF($B1428="",,SUMIFS(SalaryPayrollTaxes[Month 9],SalaryPayrollTaxes[exp_item],$H1428,SalaryPayrollTaxes[company_name],$B1428,SalaryPayrollTaxes[bu_name],$C1428)*(T483+T588+T693)+SUMIFS(ExpensePayrollTaxes[Month 9],ExpensePayrollTaxes[exp_item],$H798,ExpensePayrollTaxes[company_name],$B1428)*T798)</f>
        <v>0</v>
      </c>
      <c r="U1428" s="652">
        <f>IF($B1428="",,SUMIFS(SalaryPayrollTaxes[Month 10],SalaryPayrollTaxes[exp_item],$H1428,SalaryPayrollTaxes[company_name],$B1428,SalaryPayrollTaxes[bu_name],$C1428)*(U483+U588+U693)+SUMIFS(ExpensePayrollTaxes[Month 10],ExpensePayrollTaxes[exp_item],$H798,ExpensePayrollTaxes[company_name],$B1428)*U798)</f>
        <v>0</v>
      </c>
      <c r="V1428" s="652">
        <f>IF($B1428="",,SUMIFS(SalaryPayrollTaxes[Month 11],SalaryPayrollTaxes[exp_item],$H1428,SalaryPayrollTaxes[company_name],$B1428,SalaryPayrollTaxes[bu_name],$C1428)*(V483+V588+V693)+SUMIFS(ExpensePayrollTaxes[Month 11],ExpensePayrollTaxes[exp_item],$H798,ExpensePayrollTaxes[company_name],$B1428)*V798)</f>
        <v>0</v>
      </c>
      <c r="W1428" s="652">
        <f>IF($B1428="",,SUMIFS(SalaryPayrollTaxes[Month 12],SalaryPayrollTaxes[exp_item],$H1428,SalaryPayrollTaxes[company_name],$B1428,SalaryPayrollTaxes[bu_name],$C1428)*(W483+W588+W693)+SUMIFS(ExpensePayrollTaxes[Month 12],ExpensePayrollTaxes[exp_item],$H798,ExpensePayrollTaxes[company_name],$B1428)*W798)</f>
        <v>0</v>
      </c>
      <c r="X1428" s="652">
        <f>IF($B1428="",,SUMIFS(SalaryPayrollTaxes[Month 13],SalaryPayrollTaxes[exp_item],$H1428,SalaryPayrollTaxes[company_name],$B1428,SalaryPayrollTaxes[bu_name],$C1428)*(X483+X588+X693)+SUMIFS(ExpensePayrollTaxes[Month 13],ExpensePayrollTaxes[exp_item],$H798,ExpensePayrollTaxes[company_name],$B1428)*X798)</f>
        <v>0</v>
      </c>
      <c r="Y1428" s="652">
        <f>IF($B1428="",,SUMIFS(SalaryPayrollTaxes[Month 14],SalaryPayrollTaxes[exp_item],$H1428,SalaryPayrollTaxes[company_name],$B1428,SalaryPayrollTaxes[bu_name],$C1428)*(Y483+Y588+Y693)+SUMIFS(ExpensePayrollTaxes[Month 14],ExpensePayrollTaxes[exp_item],$H798,ExpensePayrollTaxes[company_name],$B1428)*Y798)</f>
        <v>0</v>
      </c>
      <c r="Z1428" s="652">
        <f>IF($B1428="",,SUMIFS(SalaryPayrollTaxes[Month 15],SalaryPayrollTaxes[exp_item],$H1428,SalaryPayrollTaxes[company_name],$B1428,SalaryPayrollTaxes[bu_name],$C1428)*(Z483+Z588+Z693)+SUMIFS(ExpensePayrollTaxes[Month 15],ExpensePayrollTaxes[exp_item],$H798,ExpensePayrollTaxes[company_name],$B1428)*Z798)</f>
        <v>0</v>
      </c>
      <c r="AA1428" s="652">
        <f>IF($B1428="",,SUMIFS(SalaryPayrollTaxes[Month 16],SalaryPayrollTaxes[exp_item],$H1428,SalaryPayrollTaxes[company_name],$B1428,SalaryPayrollTaxes[bu_name],$C1428)*(AA483+AA588+AA693)+SUMIFS(ExpensePayrollTaxes[Month 16],ExpensePayrollTaxes[exp_item],$H798,ExpensePayrollTaxes[company_name],$B1428)*AA798)</f>
        <v>0</v>
      </c>
      <c r="AB1428" s="652">
        <f>IF($B1428="",,SUMIFS(SalaryPayrollTaxes[Month 17],SalaryPayrollTaxes[exp_item],$H1428,SalaryPayrollTaxes[company_name],$B1428,SalaryPayrollTaxes[bu_name],$C1428)*(AB483+AB588+AB693)+SUMIFS(ExpensePayrollTaxes[Month 17],ExpensePayrollTaxes[exp_item],$H798,ExpensePayrollTaxes[company_name],$B1428)*AB798)</f>
        <v>0</v>
      </c>
      <c r="AC1428" s="652">
        <f>IF($B1428="",,SUMIFS(SalaryPayrollTaxes[Month 18],SalaryPayrollTaxes[exp_item],$H1428,SalaryPayrollTaxes[company_name],$B1428,SalaryPayrollTaxes[bu_name],$C1428)*(AC483+AC588+AC693)+SUMIFS(ExpensePayrollTaxes[Month 18],ExpensePayrollTaxes[exp_item],$H798,ExpensePayrollTaxes[company_name],$B1428)*AC798)</f>
        <v>0</v>
      </c>
      <c r="AD1428" s="652">
        <f>IF($B1428="",,SUMIFS(SalaryPayrollTaxes[Month 19],SalaryPayrollTaxes[exp_item],$H1428,SalaryPayrollTaxes[company_name],$B1428,SalaryPayrollTaxes[bu_name],$C1428)*(AD483+AD588+AD693)+SUMIFS(ExpensePayrollTaxes[Month 19],ExpensePayrollTaxes[exp_item],$H798,ExpensePayrollTaxes[company_name],$B1428)*AD798)</f>
        <v>0</v>
      </c>
      <c r="AE1428" s="652">
        <f>IF($B1428="",,SUMIFS(SalaryPayrollTaxes[Month 20],SalaryPayrollTaxes[exp_item],$H1428,SalaryPayrollTaxes[company_name],$B1428,SalaryPayrollTaxes[bu_name],$C1428)*(AE483+AE588+AE693)+SUMIFS(ExpensePayrollTaxes[Month 20],ExpensePayrollTaxes[exp_item],$H798,ExpensePayrollTaxes[company_name],$B1428)*AE798)</f>
        <v>0</v>
      </c>
      <c r="AF1428" s="652">
        <f>IF($B1428="",,SUMIFS(SalaryPayrollTaxes[Month 21],SalaryPayrollTaxes[exp_item],$H1428,SalaryPayrollTaxes[company_name],$B1428,SalaryPayrollTaxes[bu_name],$C1428)*(AF483+AF588+AF693)+SUMIFS(ExpensePayrollTaxes[Month 21],ExpensePayrollTaxes[exp_item],$H798,ExpensePayrollTaxes[company_name],$B1428)*AF798)</f>
        <v>0</v>
      </c>
      <c r="AG1428" s="652">
        <f>IF($B1428="",,SUMIFS(SalaryPayrollTaxes[Month 22],SalaryPayrollTaxes[exp_item],$H1428,SalaryPayrollTaxes[company_name],$B1428,SalaryPayrollTaxes[bu_name],$C1428)*(AG483+AG588+AG693)+SUMIFS(ExpensePayrollTaxes[Month 22],ExpensePayrollTaxes[exp_item],$H798,ExpensePayrollTaxes[company_name],$B1428)*AG798)</f>
        <v>0</v>
      </c>
      <c r="AH1428" s="652">
        <f>IF($B1428="",,SUMIFS(SalaryPayrollTaxes[Month 23],SalaryPayrollTaxes[exp_item],$H1428,SalaryPayrollTaxes[company_name],$B1428,SalaryPayrollTaxes[bu_name],$C1428)*(AH483+AH588+AH693)+SUMIFS(ExpensePayrollTaxes[Month 23],ExpensePayrollTaxes[exp_item],$H798,ExpensePayrollTaxes[company_name],$B1428)*AH798)</f>
        <v>0</v>
      </c>
      <c r="AI1428" s="652">
        <f>IF($B1428="",,SUMIFS(SalaryPayrollTaxes[Month 24],SalaryPayrollTaxes[exp_item],$H1428,SalaryPayrollTaxes[company_name],$B1428,SalaryPayrollTaxes[bu_name],$C1428)*(AI483+AI588+AI693)+SUMIFS(ExpensePayrollTaxes[Month 24],ExpensePayrollTaxes[exp_item],$H798,ExpensePayrollTaxes[company_name],$B1428)*AI798)</f>
        <v>0</v>
      </c>
      <c r="AJ1428" s="652">
        <f>IF($B1428="",,SUMIFS(SalaryPayrollTaxes[Month 25],SalaryPayrollTaxes[exp_item],$H1428,SalaryPayrollTaxes[company_name],$B1428,SalaryPayrollTaxes[bu_name],$C1428)*(AJ483+AJ588+AJ693)+SUMIFS(ExpensePayrollTaxes[Month 25],ExpensePayrollTaxes[exp_item],$H798,ExpensePayrollTaxes[company_name],$B1428)*AJ798)</f>
        <v>0</v>
      </c>
      <c r="AK1428" s="652">
        <f>IF($B1428="",,SUMIFS(SalaryPayrollTaxes[Month 26],SalaryPayrollTaxes[exp_item],$H1428,SalaryPayrollTaxes[company_name],$B1428,SalaryPayrollTaxes[bu_name],$C1428)*(AK483+AK588+AK693)+SUMIFS(ExpensePayrollTaxes[Month 26],ExpensePayrollTaxes[exp_item],$H798,ExpensePayrollTaxes[company_name],$B1428)*AK798)</f>
        <v>0</v>
      </c>
      <c r="AL1428" s="652">
        <f>IF($B1428="",,SUMIFS(SalaryPayrollTaxes[Month 27],SalaryPayrollTaxes[exp_item],$H1428,SalaryPayrollTaxes[company_name],$B1428,SalaryPayrollTaxes[bu_name],$C1428)*(AL483+AL588+AL693)+SUMIFS(ExpensePayrollTaxes[Month 27],ExpensePayrollTaxes[exp_item],$H798,ExpensePayrollTaxes[company_name],$B1428)*AL798)</f>
        <v>0</v>
      </c>
      <c r="AM1428" s="652">
        <f>IF($B1428="",,SUMIFS(SalaryPayrollTaxes[Month 28],SalaryPayrollTaxes[exp_item],$H1428,SalaryPayrollTaxes[company_name],$B1428,SalaryPayrollTaxes[bu_name],$C1428)*(AM483+AM588+AM693)+SUMIFS(ExpensePayrollTaxes[Month 28],ExpensePayrollTaxes[exp_item],$H798,ExpensePayrollTaxes[company_name],$B1428)*AM798)</f>
        <v>0</v>
      </c>
      <c r="AN1428" s="652">
        <f>IF($B1428="",,SUMIFS(SalaryPayrollTaxes[Month 29],SalaryPayrollTaxes[exp_item],$H1428,SalaryPayrollTaxes[company_name],$B1428,SalaryPayrollTaxes[bu_name],$C1428)*(AN483+AN588+AN693)+SUMIFS(ExpensePayrollTaxes[Month 29],ExpensePayrollTaxes[exp_item],$H798,ExpensePayrollTaxes[company_name],$B1428)*AN798)</f>
        <v>0</v>
      </c>
      <c r="AO1428" s="652">
        <f>IF($B1428="",,SUMIFS(SalaryPayrollTaxes[Month 30],SalaryPayrollTaxes[exp_item],$H1428,SalaryPayrollTaxes[company_name],$B1428,SalaryPayrollTaxes[bu_name],$C1428)*(AO483+AO588+AO693)+SUMIFS(ExpensePayrollTaxes[Month 30],ExpensePayrollTaxes[exp_item],$H798,ExpensePayrollTaxes[company_name],$B1428)*AO798)</f>
        <v>0</v>
      </c>
      <c r="AP1428" s="652">
        <f>IF($B1428="",,SUMIFS(SalaryPayrollTaxes[Month 31],SalaryPayrollTaxes[exp_item],$H1428,SalaryPayrollTaxes[company_name],$B1428,SalaryPayrollTaxes[bu_name],$C1428)*(AP483+AP588+AP693)+SUMIFS(ExpensePayrollTaxes[Month 31],ExpensePayrollTaxes[exp_item],$H798,ExpensePayrollTaxes[company_name],$B1428)*AP798)</f>
        <v>0</v>
      </c>
      <c r="AQ1428" s="652">
        <f>IF($B1428="",,SUMIFS(SalaryPayrollTaxes[Month 32],SalaryPayrollTaxes[exp_item],$H1428,SalaryPayrollTaxes[company_name],$B1428,SalaryPayrollTaxes[bu_name],$C1428)*(AQ483+AQ588+AQ693)+SUMIFS(ExpensePayrollTaxes[Month 32],ExpensePayrollTaxes[exp_item],$H798,ExpensePayrollTaxes[company_name],$B1428)*AQ798)</f>
        <v>0</v>
      </c>
      <c r="AR1428" s="652">
        <f>IF($B1428="",,SUMIFS(SalaryPayrollTaxes[Month 33],SalaryPayrollTaxes[exp_item],$H1428,SalaryPayrollTaxes[company_name],$B1428,SalaryPayrollTaxes[bu_name],$C1428)*(AR483+AR588+AR693)+SUMIFS(ExpensePayrollTaxes[Month 33],ExpensePayrollTaxes[exp_item],$H798,ExpensePayrollTaxes[company_name],$B1428)*AR798)</f>
        <v>0</v>
      </c>
      <c r="AS1428" s="652">
        <f>IF($B1428="",,SUMIFS(SalaryPayrollTaxes[Month 34],SalaryPayrollTaxes[exp_item],$H1428,SalaryPayrollTaxes[company_name],$B1428,SalaryPayrollTaxes[bu_name],$C1428)*(AS483+AS588+AS693)+SUMIFS(ExpensePayrollTaxes[Month 34],ExpensePayrollTaxes[exp_item],$H798,ExpensePayrollTaxes[company_name],$B1428)*AS798)</f>
        <v>0</v>
      </c>
      <c r="AT1428" s="652">
        <f>IF($B1428="",,SUMIFS(SalaryPayrollTaxes[Month 35],SalaryPayrollTaxes[exp_item],$H1428,SalaryPayrollTaxes[company_name],$B1428,SalaryPayrollTaxes[bu_name],$C1428)*(AT483+AT588+AT693)+SUMIFS(ExpensePayrollTaxes[Month 35],ExpensePayrollTaxes[exp_item],$H798,ExpensePayrollTaxes[company_name],$B1428)*AT798)</f>
        <v>0</v>
      </c>
      <c r="AU1428" s="652">
        <f>IF($B1428="",,SUMIFS(SalaryPayrollTaxes[Month 36],SalaryPayrollTaxes[exp_item],$H1428,SalaryPayrollTaxes[company_name],$B1428,SalaryPayrollTaxes[bu_name],$C1428)*(AU483+AU588+AU693)+SUMIFS(ExpensePayrollTaxes[Month 36],ExpensePayrollTaxes[exp_item],$H798,ExpensePayrollTaxes[company_name],$B1428)*AU798)</f>
        <v>0</v>
      </c>
    </row>
    <row r="1429" spans="2:47" x14ac:dyDescent="0.35">
      <c r="B1429" t="str">
        <f t="shared" si="1000"/>
        <v/>
      </c>
      <c r="C1429" t="str">
        <f t="shared" si="1000"/>
        <v/>
      </c>
      <c r="D1429" t="str">
        <f t="shared" si="1000"/>
        <v/>
      </c>
      <c r="E1429" t="str">
        <f t="shared" si="1000"/>
        <v/>
      </c>
      <c r="F1429" t="str">
        <f t="shared" si="1000"/>
        <v/>
      </c>
      <c r="G1429" t="str">
        <f t="shared" si="1000"/>
        <v/>
      </c>
      <c r="H1429" t="str">
        <f t="shared" si="997"/>
        <v/>
      </c>
      <c r="J1429" t="str">
        <f>IF($H1429="","",IF(VLOOKUP(H1429,ExpItems[],2,0),H1429&amp;" - "&amp;INDEX(DivisionMapping[category_code],MATCH($D1429&amp;$C1429,DivisionMapping[dept_bu],0)),H1429))</f>
        <v/>
      </c>
      <c r="K1429" t="str">
        <f t="shared" si="998"/>
        <v/>
      </c>
      <c r="L1429" s="652">
        <f>IF($B1429="",,SUMIFS(SalaryPayrollTaxes[Month 1],SalaryPayrollTaxes[exp_item],$H1429,SalaryPayrollTaxes[company_name],$B1429,SalaryPayrollTaxes[bu_name],$C1429)*(L484+L589+L694)+SUMIFS(ExpensePayrollTaxes[Month 1],ExpensePayrollTaxes[exp_item],$H799,ExpensePayrollTaxes[company_name],$B1429)*L799)</f>
        <v>0</v>
      </c>
      <c r="M1429" s="652">
        <f>IF($B1429="",,SUMIFS(SalaryPayrollTaxes[Month 2],SalaryPayrollTaxes[exp_item],$H1429,SalaryPayrollTaxes[company_name],$B1429,SalaryPayrollTaxes[bu_name],$C1429)*(M484+M589+M694)+SUMIFS(ExpensePayrollTaxes[Month 2],ExpensePayrollTaxes[exp_item],$H799,ExpensePayrollTaxes[company_name],$B1429)*M799)</f>
        <v>0</v>
      </c>
      <c r="N1429" s="652">
        <f>IF($B1429="",,SUMIFS(SalaryPayrollTaxes[Month 3],SalaryPayrollTaxes[exp_item],$H1429,SalaryPayrollTaxes[company_name],$B1429,SalaryPayrollTaxes[bu_name],$C1429)*(N484+N589+N694)+SUMIFS(ExpensePayrollTaxes[Month 3],ExpensePayrollTaxes[exp_item],$H799,ExpensePayrollTaxes[company_name],$B1429)*N799)</f>
        <v>0</v>
      </c>
      <c r="O1429" s="652">
        <f>IF($B1429="",,SUMIFS(SalaryPayrollTaxes[Month 4],SalaryPayrollTaxes[exp_item],$H1429,SalaryPayrollTaxes[company_name],$B1429,SalaryPayrollTaxes[bu_name],$C1429)*(O484+O589+O694)+SUMIFS(ExpensePayrollTaxes[Month 4],ExpensePayrollTaxes[exp_item],$H799,ExpensePayrollTaxes[company_name],$B1429)*O799)</f>
        <v>0</v>
      </c>
      <c r="P1429" s="652">
        <f>IF($B1429="",,SUMIFS(SalaryPayrollTaxes[Month 5],SalaryPayrollTaxes[exp_item],$H1429,SalaryPayrollTaxes[company_name],$B1429,SalaryPayrollTaxes[bu_name],$C1429)*(P484+P589+P694)+SUMIFS(ExpensePayrollTaxes[Month 5],ExpensePayrollTaxes[exp_item],$H799,ExpensePayrollTaxes[company_name],$B1429)*P799)</f>
        <v>0</v>
      </c>
      <c r="Q1429" s="652">
        <f>IF($B1429="",,SUMIFS(SalaryPayrollTaxes[Month 6],SalaryPayrollTaxes[exp_item],$H1429,SalaryPayrollTaxes[company_name],$B1429,SalaryPayrollTaxes[bu_name],$C1429)*(Q484+Q589+Q694)+SUMIFS(ExpensePayrollTaxes[Month 6],ExpensePayrollTaxes[exp_item],$H799,ExpensePayrollTaxes[company_name],$B1429)*Q799)</f>
        <v>0</v>
      </c>
      <c r="R1429" s="652">
        <f>IF($B1429="",,SUMIFS(SalaryPayrollTaxes[Month 7],SalaryPayrollTaxes[exp_item],$H1429,SalaryPayrollTaxes[company_name],$B1429,SalaryPayrollTaxes[bu_name],$C1429)*(R484+R589+R694)+SUMIFS(ExpensePayrollTaxes[Month 7],ExpensePayrollTaxes[exp_item],$H799,ExpensePayrollTaxes[company_name],$B1429)*R799)</f>
        <v>0</v>
      </c>
      <c r="S1429" s="652">
        <f>IF($B1429="",,SUMIFS(SalaryPayrollTaxes[Month 8],SalaryPayrollTaxes[exp_item],$H1429,SalaryPayrollTaxes[company_name],$B1429,SalaryPayrollTaxes[bu_name],$C1429)*(S484+S589+S694)+SUMIFS(ExpensePayrollTaxes[Month 8],ExpensePayrollTaxes[exp_item],$H799,ExpensePayrollTaxes[company_name],$B1429)*S799)</f>
        <v>0</v>
      </c>
      <c r="T1429" s="652">
        <f>IF($B1429="",,SUMIFS(SalaryPayrollTaxes[Month 9],SalaryPayrollTaxes[exp_item],$H1429,SalaryPayrollTaxes[company_name],$B1429,SalaryPayrollTaxes[bu_name],$C1429)*(T484+T589+T694)+SUMIFS(ExpensePayrollTaxes[Month 9],ExpensePayrollTaxes[exp_item],$H799,ExpensePayrollTaxes[company_name],$B1429)*T799)</f>
        <v>0</v>
      </c>
      <c r="U1429" s="652">
        <f>IF($B1429="",,SUMIFS(SalaryPayrollTaxes[Month 10],SalaryPayrollTaxes[exp_item],$H1429,SalaryPayrollTaxes[company_name],$B1429,SalaryPayrollTaxes[bu_name],$C1429)*(U484+U589+U694)+SUMIFS(ExpensePayrollTaxes[Month 10],ExpensePayrollTaxes[exp_item],$H799,ExpensePayrollTaxes[company_name],$B1429)*U799)</f>
        <v>0</v>
      </c>
      <c r="V1429" s="652">
        <f>IF($B1429="",,SUMIFS(SalaryPayrollTaxes[Month 11],SalaryPayrollTaxes[exp_item],$H1429,SalaryPayrollTaxes[company_name],$B1429,SalaryPayrollTaxes[bu_name],$C1429)*(V484+V589+V694)+SUMIFS(ExpensePayrollTaxes[Month 11],ExpensePayrollTaxes[exp_item],$H799,ExpensePayrollTaxes[company_name],$B1429)*V799)</f>
        <v>0</v>
      </c>
      <c r="W1429" s="652">
        <f>IF($B1429="",,SUMIFS(SalaryPayrollTaxes[Month 12],SalaryPayrollTaxes[exp_item],$H1429,SalaryPayrollTaxes[company_name],$B1429,SalaryPayrollTaxes[bu_name],$C1429)*(W484+W589+W694)+SUMIFS(ExpensePayrollTaxes[Month 12],ExpensePayrollTaxes[exp_item],$H799,ExpensePayrollTaxes[company_name],$B1429)*W799)</f>
        <v>0</v>
      </c>
      <c r="X1429" s="652">
        <f>IF($B1429="",,SUMIFS(SalaryPayrollTaxes[Month 13],SalaryPayrollTaxes[exp_item],$H1429,SalaryPayrollTaxes[company_name],$B1429,SalaryPayrollTaxes[bu_name],$C1429)*(X484+X589+X694)+SUMIFS(ExpensePayrollTaxes[Month 13],ExpensePayrollTaxes[exp_item],$H799,ExpensePayrollTaxes[company_name],$B1429)*X799)</f>
        <v>0</v>
      </c>
      <c r="Y1429" s="652">
        <f>IF($B1429="",,SUMIFS(SalaryPayrollTaxes[Month 14],SalaryPayrollTaxes[exp_item],$H1429,SalaryPayrollTaxes[company_name],$B1429,SalaryPayrollTaxes[bu_name],$C1429)*(Y484+Y589+Y694)+SUMIFS(ExpensePayrollTaxes[Month 14],ExpensePayrollTaxes[exp_item],$H799,ExpensePayrollTaxes[company_name],$B1429)*Y799)</f>
        <v>0</v>
      </c>
      <c r="Z1429" s="652">
        <f>IF($B1429="",,SUMIFS(SalaryPayrollTaxes[Month 15],SalaryPayrollTaxes[exp_item],$H1429,SalaryPayrollTaxes[company_name],$B1429,SalaryPayrollTaxes[bu_name],$C1429)*(Z484+Z589+Z694)+SUMIFS(ExpensePayrollTaxes[Month 15],ExpensePayrollTaxes[exp_item],$H799,ExpensePayrollTaxes[company_name],$B1429)*Z799)</f>
        <v>0</v>
      </c>
      <c r="AA1429" s="652">
        <f>IF($B1429="",,SUMIFS(SalaryPayrollTaxes[Month 16],SalaryPayrollTaxes[exp_item],$H1429,SalaryPayrollTaxes[company_name],$B1429,SalaryPayrollTaxes[bu_name],$C1429)*(AA484+AA589+AA694)+SUMIFS(ExpensePayrollTaxes[Month 16],ExpensePayrollTaxes[exp_item],$H799,ExpensePayrollTaxes[company_name],$B1429)*AA799)</f>
        <v>0</v>
      </c>
      <c r="AB1429" s="652">
        <f>IF($B1429="",,SUMIFS(SalaryPayrollTaxes[Month 17],SalaryPayrollTaxes[exp_item],$H1429,SalaryPayrollTaxes[company_name],$B1429,SalaryPayrollTaxes[bu_name],$C1429)*(AB484+AB589+AB694)+SUMIFS(ExpensePayrollTaxes[Month 17],ExpensePayrollTaxes[exp_item],$H799,ExpensePayrollTaxes[company_name],$B1429)*AB799)</f>
        <v>0</v>
      </c>
      <c r="AC1429" s="652">
        <f>IF($B1429="",,SUMIFS(SalaryPayrollTaxes[Month 18],SalaryPayrollTaxes[exp_item],$H1429,SalaryPayrollTaxes[company_name],$B1429,SalaryPayrollTaxes[bu_name],$C1429)*(AC484+AC589+AC694)+SUMIFS(ExpensePayrollTaxes[Month 18],ExpensePayrollTaxes[exp_item],$H799,ExpensePayrollTaxes[company_name],$B1429)*AC799)</f>
        <v>0</v>
      </c>
      <c r="AD1429" s="652">
        <f>IF($B1429="",,SUMIFS(SalaryPayrollTaxes[Month 19],SalaryPayrollTaxes[exp_item],$H1429,SalaryPayrollTaxes[company_name],$B1429,SalaryPayrollTaxes[bu_name],$C1429)*(AD484+AD589+AD694)+SUMIFS(ExpensePayrollTaxes[Month 19],ExpensePayrollTaxes[exp_item],$H799,ExpensePayrollTaxes[company_name],$B1429)*AD799)</f>
        <v>0</v>
      </c>
      <c r="AE1429" s="652">
        <f>IF($B1429="",,SUMIFS(SalaryPayrollTaxes[Month 20],SalaryPayrollTaxes[exp_item],$H1429,SalaryPayrollTaxes[company_name],$B1429,SalaryPayrollTaxes[bu_name],$C1429)*(AE484+AE589+AE694)+SUMIFS(ExpensePayrollTaxes[Month 20],ExpensePayrollTaxes[exp_item],$H799,ExpensePayrollTaxes[company_name],$B1429)*AE799)</f>
        <v>0</v>
      </c>
      <c r="AF1429" s="652">
        <f>IF($B1429="",,SUMIFS(SalaryPayrollTaxes[Month 21],SalaryPayrollTaxes[exp_item],$H1429,SalaryPayrollTaxes[company_name],$B1429,SalaryPayrollTaxes[bu_name],$C1429)*(AF484+AF589+AF694)+SUMIFS(ExpensePayrollTaxes[Month 21],ExpensePayrollTaxes[exp_item],$H799,ExpensePayrollTaxes[company_name],$B1429)*AF799)</f>
        <v>0</v>
      </c>
      <c r="AG1429" s="652">
        <f>IF($B1429="",,SUMIFS(SalaryPayrollTaxes[Month 22],SalaryPayrollTaxes[exp_item],$H1429,SalaryPayrollTaxes[company_name],$B1429,SalaryPayrollTaxes[bu_name],$C1429)*(AG484+AG589+AG694)+SUMIFS(ExpensePayrollTaxes[Month 22],ExpensePayrollTaxes[exp_item],$H799,ExpensePayrollTaxes[company_name],$B1429)*AG799)</f>
        <v>0</v>
      </c>
      <c r="AH1429" s="652">
        <f>IF($B1429="",,SUMIFS(SalaryPayrollTaxes[Month 23],SalaryPayrollTaxes[exp_item],$H1429,SalaryPayrollTaxes[company_name],$B1429,SalaryPayrollTaxes[bu_name],$C1429)*(AH484+AH589+AH694)+SUMIFS(ExpensePayrollTaxes[Month 23],ExpensePayrollTaxes[exp_item],$H799,ExpensePayrollTaxes[company_name],$B1429)*AH799)</f>
        <v>0</v>
      </c>
      <c r="AI1429" s="652">
        <f>IF($B1429="",,SUMIFS(SalaryPayrollTaxes[Month 24],SalaryPayrollTaxes[exp_item],$H1429,SalaryPayrollTaxes[company_name],$B1429,SalaryPayrollTaxes[bu_name],$C1429)*(AI484+AI589+AI694)+SUMIFS(ExpensePayrollTaxes[Month 24],ExpensePayrollTaxes[exp_item],$H799,ExpensePayrollTaxes[company_name],$B1429)*AI799)</f>
        <v>0</v>
      </c>
      <c r="AJ1429" s="652">
        <f>IF($B1429="",,SUMIFS(SalaryPayrollTaxes[Month 25],SalaryPayrollTaxes[exp_item],$H1429,SalaryPayrollTaxes[company_name],$B1429,SalaryPayrollTaxes[bu_name],$C1429)*(AJ484+AJ589+AJ694)+SUMIFS(ExpensePayrollTaxes[Month 25],ExpensePayrollTaxes[exp_item],$H799,ExpensePayrollTaxes[company_name],$B1429)*AJ799)</f>
        <v>0</v>
      </c>
      <c r="AK1429" s="652">
        <f>IF($B1429="",,SUMIFS(SalaryPayrollTaxes[Month 26],SalaryPayrollTaxes[exp_item],$H1429,SalaryPayrollTaxes[company_name],$B1429,SalaryPayrollTaxes[bu_name],$C1429)*(AK484+AK589+AK694)+SUMIFS(ExpensePayrollTaxes[Month 26],ExpensePayrollTaxes[exp_item],$H799,ExpensePayrollTaxes[company_name],$B1429)*AK799)</f>
        <v>0</v>
      </c>
      <c r="AL1429" s="652">
        <f>IF($B1429="",,SUMIFS(SalaryPayrollTaxes[Month 27],SalaryPayrollTaxes[exp_item],$H1429,SalaryPayrollTaxes[company_name],$B1429,SalaryPayrollTaxes[bu_name],$C1429)*(AL484+AL589+AL694)+SUMIFS(ExpensePayrollTaxes[Month 27],ExpensePayrollTaxes[exp_item],$H799,ExpensePayrollTaxes[company_name],$B1429)*AL799)</f>
        <v>0</v>
      </c>
      <c r="AM1429" s="652">
        <f>IF($B1429="",,SUMIFS(SalaryPayrollTaxes[Month 28],SalaryPayrollTaxes[exp_item],$H1429,SalaryPayrollTaxes[company_name],$B1429,SalaryPayrollTaxes[bu_name],$C1429)*(AM484+AM589+AM694)+SUMIFS(ExpensePayrollTaxes[Month 28],ExpensePayrollTaxes[exp_item],$H799,ExpensePayrollTaxes[company_name],$B1429)*AM799)</f>
        <v>0</v>
      </c>
      <c r="AN1429" s="652">
        <f>IF($B1429="",,SUMIFS(SalaryPayrollTaxes[Month 29],SalaryPayrollTaxes[exp_item],$H1429,SalaryPayrollTaxes[company_name],$B1429,SalaryPayrollTaxes[bu_name],$C1429)*(AN484+AN589+AN694)+SUMIFS(ExpensePayrollTaxes[Month 29],ExpensePayrollTaxes[exp_item],$H799,ExpensePayrollTaxes[company_name],$B1429)*AN799)</f>
        <v>0</v>
      </c>
      <c r="AO1429" s="652">
        <f>IF($B1429="",,SUMIFS(SalaryPayrollTaxes[Month 30],SalaryPayrollTaxes[exp_item],$H1429,SalaryPayrollTaxes[company_name],$B1429,SalaryPayrollTaxes[bu_name],$C1429)*(AO484+AO589+AO694)+SUMIFS(ExpensePayrollTaxes[Month 30],ExpensePayrollTaxes[exp_item],$H799,ExpensePayrollTaxes[company_name],$B1429)*AO799)</f>
        <v>0</v>
      </c>
      <c r="AP1429" s="652">
        <f>IF($B1429="",,SUMIFS(SalaryPayrollTaxes[Month 31],SalaryPayrollTaxes[exp_item],$H1429,SalaryPayrollTaxes[company_name],$B1429,SalaryPayrollTaxes[bu_name],$C1429)*(AP484+AP589+AP694)+SUMIFS(ExpensePayrollTaxes[Month 31],ExpensePayrollTaxes[exp_item],$H799,ExpensePayrollTaxes[company_name],$B1429)*AP799)</f>
        <v>0</v>
      </c>
      <c r="AQ1429" s="652">
        <f>IF($B1429="",,SUMIFS(SalaryPayrollTaxes[Month 32],SalaryPayrollTaxes[exp_item],$H1429,SalaryPayrollTaxes[company_name],$B1429,SalaryPayrollTaxes[bu_name],$C1429)*(AQ484+AQ589+AQ694)+SUMIFS(ExpensePayrollTaxes[Month 32],ExpensePayrollTaxes[exp_item],$H799,ExpensePayrollTaxes[company_name],$B1429)*AQ799)</f>
        <v>0</v>
      </c>
      <c r="AR1429" s="652">
        <f>IF($B1429="",,SUMIFS(SalaryPayrollTaxes[Month 33],SalaryPayrollTaxes[exp_item],$H1429,SalaryPayrollTaxes[company_name],$B1429,SalaryPayrollTaxes[bu_name],$C1429)*(AR484+AR589+AR694)+SUMIFS(ExpensePayrollTaxes[Month 33],ExpensePayrollTaxes[exp_item],$H799,ExpensePayrollTaxes[company_name],$B1429)*AR799)</f>
        <v>0</v>
      </c>
      <c r="AS1429" s="652">
        <f>IF($B1429="",,SUMIFS(SalaryPayrollTaxes[Month 34],SalaryPayrollTaxes[exp_item],$H1429,SalaryPayrollTaxes[company_name],$B1429,SalaryPayrollTaxes[bu_name],$C1429)*(AS484+AS589+AS694)+SUMIFS(ExpensePayrollTaxes[Month 34],ExpensePayrollTaxes[exp_item],$H799,ExpensePayrollTaxes[company_name],$B1429)*AS799)</f>
        <v>0</v>
      </c>
      <c r="AT1429" s="652">
        <f>IF($B1429="",,SUMIFS(SalaryPayrollTaxes[Month 35],SalaryPayrollTaxes[exp_item],$H1429,SalaryPayrollTaxes[company_name],$B1429,SalaryPayrollTaxes[bu_name],$C1429)*(AT484+AT589+AT694)+SUMIFS(ExpensePayrollTaxes[Month 35],ExpensePayrollTaxes[exp_item],$H799,ExpensePayrollTaxes[company_name],$B1429)*AT799)</f>
        <v>0</v>
      </c>
      <c r="AU1429" s="652">
        <f>IF($B1429="",,SUMIFS(SalaryPayrollTaxes[Month 36],SalaryPayrollTaxes[exp_item],$H1429,SalaryPayrollTaxes[company_name],$B1429,SalaryPayrollTaxes[bu_name],$C1429)*(AU484+AU589+AU694)+SUMIFS(ExpensePayrollTaxes[Month 36],ExpensePayrollTaxes[exp_item],$H799,ExpensePayrollTaxes[company_name],$B1429)*AU799)</f>
        <v>0</v>
      </c>
    </row>
    <row r="1430" spans="2:47" x14ac:dyDescent="0.35">
      <c r="B1430" t="str">
        <f t="shared" si="1000"/>
        <v/>
      </c>
      <c r="C1430" t="str">
        <f t="shared" si="1000"/>
        <v/>
      </c>
      <c r="D1430" t="str">
        <f t="shared" si="1000"/>
        <v/>
      </c>
      <c r="E1430" t="str">
        <f t="shared" si="1000"/>
        <v/>
      </c>
      <c r="F1430" t="str">
        <f t="shared" si="1000"/>
        <v/>
      </c>
      <c r="G1430" t="str">
        <f t="shared" si="1000"/>
        <v/>
      </c>
      <c r="H1430" t="str">
        <f t="shared" si="997"/>
        <v/>
      </c>
      <c r="J1430" t="str">
        <f>IF($H1430="","",IF(VLOOKUP(H1430,ExpItems[],2,0),H1430&amp;" - "&amp;INDEX(DivisionMapping[category_code],MATCH($D1430&amp;$C1430,DivisionMapping[dept_bu],0)),H1430))</f>
        <v/>
      </c>
      <c r="K1430" t="str">
        <f t="shared" si="998"/>
        <v/>
      </c>
      <c r="L1430" s="652">
        <f>IF($B1430="",,SUMIFS(SalaryPayrollTaxes[Month 1],SalaryPayrollTaxes[exp_item],$H1430,SalaryPayrollTaxes[company_name],$B1430,SalaryPayrollTaxes[bu_name],$C1430)*(L485+L590+L695)+SUMIFS(ExpensePayrollTaxes[Month 1],ExpensePayrollTaxes[exp_item],$H800,ExpensePayrollTaxes[company_name],$B1430)*L800)</f>
        <v>0</v>
      </c>
      <c r="M1430" s="652">
        <f>IF($B1430="",,SUMIFS(SalaryPayrollTaxes[Month 2],SalaryPayrollTaxes[exp_item],$H1430,SalaryPayrollTaxes[company_name],$B1430,SalaryPayrollTaxes[bu_name],$C1430)*(M485+M590+M695)+SUMIFS(ExpensePayrollTaxes[Month 2],ExpensePayrollTaxes[exp_item],$H800,ExpensePayrollTaxes[company_name],$B1430)*M800)</f>
        <v>0</v>
      </c>
      <c r="N1430" s="652">
        <f>IF($B1430="",,SUMIFS(SalaryPayrollTaxes[Month 3],SalaryPayrollTaxes[exp_item],$H1430,SalaryPayrollTaxes[company_name],$B1430,SalaryPayrollTaxes[bu_name],$C1430)*(N485+N590+N695)+SUMIFS(ExpensePayrollTaxes[Month 3],ExpensePayrollTaxes[exp_item],$H800,ExpensePayrollTaxes[company_name],$B1430)*N800)</f>
        <v>0</v>
      </c>
      <c r="O1430" s="652">
        <f>IF($B1430="",,SUMIFS(SalaryPayrollTaxes[Month 4],SalaryPayrollTaxes[exp_item],$H1430,SalaryPayrollTaxes[company_name],$B1430,SalaryPayrollTaxes[bu_name],$C1430)*(O485+O590+O695)+SUMIFS(ExpensePayrollTaxes[Month 4],ExpensePayrollTaxes[exp_item],$H800,ExpensePayrollTaxes[company_name],$B1430)*O800)</f>
        <v>0</v>
      </c>
      <c r="P1430" s="652">
        <f>IF($B1430="",,SUMIFS(SalaryPayrollTaxes[Month 5],SalaryPayrollTaxes[exp_item],$H1430,SalaryPayrollTaxes[company_name],$B1430,SalaryPayrollTaxes[bu_name],$C1430)*(P485+P590+P695)+SUMIFS(ExpensePayrollTaxes[Month 5],ExpensePayrollTaxes[exp_item],$H800,ExpensePayrollTaxes[company_name],$B1430)*P800)</f>
        <v>0</v>
      </c>
      <c r="Q1430" s="652">
        <f>IF($B1430="",,SUMIFS(SalaryPayrollTaxes[Month 6],SalaryPayrollTaxes[exp_item],$H1430,SalaryPayrollTaxes[company_name],$B1430,SalaryPayrollTaxes[bu_name],$C1430)*(Q485+Q590+Q695)+SUMIFS(ExpensePayrollTaxes[Month 6],ExpensePayrollTaxes[exp_item],$H800,ExpensePayrollTaxes[company_name],$B1430)*Q800)</f>
        <v>0</v>
      </c>
      <c r="R1430" s="652">
        <f>IF($B1430="",,SUMIFS(SalaryPayrollTaxes[Month 7],SalaryPayrollTaxes[exp_item],$H1430,SalaryPayrollTaxes[company_name],$B1430,SalaryPayrollTaxes[bu_name],$C1430)*(R485+R590+R695)+SUMIFS(ExpensePayrollTaxes[Month 7],ExpensePayrollTaxes[exp_item],$H800,ExpensePayrollTaxes[company_name],$B1430)*R800)</f>
        <v>0</v>
      </c>
      <c r="S1430" s="652">
        <f>IF($B1430="",,SUMIFS(SalaryPayrollTaxes[Month 8],SalaryPayrollTaxes[exp_item],$H1430,SalaryPayrollTaxes[company_name],$B1430,SalaryPayrollTaxes[bu_name],$C1430)*(S485+S590+S695)+SUMIFS(ExpensePayrollTaxes[Month 8],ExpensePayrollTaxes[exp_item],$H800,ExpensePayrollTaxes[company_name],$B1430)*S800)</f>
        <v>0</v>
      </c>
      <c r="T1430" s="652">
        <f>IF($B1430="",,SUMIFS(SalaryPayrollTaxes[Month 9],SalaryPayrollTaxes[exp_item],$H1430,SalaryPayrollTaxes[company_name],$B1430,SalaryPayrollTaxes[bu_name],$C1430)*(T485+T590+T695)+SUMIFS(ExpensePayrollTaxes[Month 9],ExpensePayrollTaxes[exp_item],$H800,ExpensePayrollTaxes[company_name],$B1430)*T800)</f>
        <v>0</v>
      </c>
      <c r="U1430" s="652">
        <f>IF($B1430="",,SUMIFS(SalaryPayrollTaxes[Month 10],SalaryPayrollTaxes[exp_item],$H1430,SalaryPayrollTaxes[company_name],$B1430,SalaryPayrollTaxes[bu_name],$C1430)*(U485+U590+U695)+SUMIFS(ExpensePayrollTaxes[Month 10],ExpensePayrollTaxes[exp_item],$H800,ExpensePayrollTaxes[company_name],$B1430)*U800)</f>
        <v>0</v>
      </c>
      <c r="V1430" s="652">
        <f>IF($B1430="",,SUMIFS(SalaryPayrollTaxes[Month 11],SalaryPayrollTaxes[exp_item],$H1430,SalaryPayrollTaxes[company_name],$B1430,SalaryPayrollTaxes[bu_name],$C1430)*(V485+V590+V695)+SUMIFS(ExpensePayrollTaxes[Month 11],ExpensePayrollTaxes[exp_item],$H800,ExpensePayrollTaxes[company_name],$B1430)*V800)</f>
        <v>0</v>
      </c>
      <c r="W1430" s="652">
        <f>IF($B1430="",,SUMIFS(SalaryPayrollTaxes[Month 12],SalaryPayrollTaxes[exp_item],$H1430,SalaryPayrollTaxes[company_name],$B1430,SalaryPayrollTaxes[bu_name],$C1430)*(W485+W590+W695)+SUMIFS(ExpensePayrollTaxes[Month 12],ExpensePayrollTaxes[exp_item],$H800,ExpensePayrollTaxes[company_name],$B1430)*W800)</f>
        <v>0</v>
      </c>
      <c r="X1430" s="652">
        <f>IF($B1430="",,SUMIFS(SalaryPayrollTaxes[Month 13],SalaryPayrollTaxes[exp_item],$H1430,SalaryPayrollTaxes[company_name],$B1430,SalaryPayrollTaxes[bu_name],$C1430)*(X485+X590+X695)+SUMIFS(ExpensePayrollTaxes[Month 13],ExpensePayrollTaxes[exp_item],$H800,ExpensePayrollTaxes[company_name],$B1430)*X800)</f>
        <v>0</v>
      </c>
      <c r="Y1430" s="652">
        <f>IF($B1430="",,SUMIFS(SalaryPayrollTaxes[Month 14],SalaryPayrollTaxes[exp_item],$H1430,SalaryPayrollTaxes[company_name],$B1430,SalaryPayrollTaxes[bu_name],$C1430)*(Y485+Y590+Y695)+SUMIFS(ExpensePayrollTaxes[Month 14],ExpensePayrollTaxes[exp_item],$H800,ExpensePayrollTaxes[company_name],$B1430)*Y800)</f>
        <v>0</v>
      </c>
      <c r="Z1430" s="652">
        <f>IF($B1430="",,SUMIFS(SalaryPayrollTaxes[Month 15],SalaryPayrollTaxes[exp_item],$H1430,SalaryPayrollTaxes[company_name],$B1430,SalaryPayrollTaxes[bu_name],$C1430)*(Z485+Z590+Z695)+SUMIFS(ExpensePayrollTaxes[Month 15],ExpensePayrollTaxes[exp_item],$H800,ExpensePayrollTaxes[company_name],$B1430)*Z800)</f>
        <v>0</v>
      </c>
      <c r="AA1430" s="652">
        <f>IF($B1430="",,SUMIFS(SalaryPayrollTaxes[Month 16],SalaryPayrollTaxes[exp_item],$H1430,SalaryPayrollTaxes[company_name],$B1430,SalaryPayrollTaxes[bu_name],$C1430)*(AA485+AA590+AA695)+SUMIFS(ExpensePayrollTaxes[Month 16],ExpensePayrollTaxes[exp_item],$H800,ExpensePayrollTaxes[company_name],$B1430)*AA800)</f>
        <v>0</v>
      </c>
      <c r="AB1430" s="652">
        <f>IF($B1430="",,SUMIFS(SalaryPayrollTaxes[Month 17],SalaryPayrollTaxes[exp_item],$H1430,SalaryPayrollTaxes[company_name],$B1430,SalaryPayrollTaxes[bu_name],$C1430)*(AB485+AB590+AB695)+SUMIFS(ExpensePayrollTaxes[Month 17],ExpensePayrollTaxes[exp_item],$H800,ExpensePayrollTaxes[company_name],$B1430)*AB800)</f>
        <v>0</v>
      </c>
      <c r="AC1430" s="652">
        <f>IF($B1430="",,SUMIFS(SalaryPayrollTaxes[Month 18],SalaryPayrollTaxes[exp_item],$H1430,SalaryPayrollTaxes[company_name],$B1430,SalaryPayrollTaxes[bu_name],$C1430)*(AC485+AC590+AC695)+SUMIFS(ExpensePayrollTaxes[Month 18],ExpensePayrollTaxes[exp_item],$H800,ExpensePayrollTaxes[company_name],$B1430)*AC800)</f>
        <v>0</v>
      </c>
      <c r="AD1430" s="652">
        <f>IF($B1430="",,SUMIFS(SalaryPayrollTaxes[Month 19],SalaryPayrollTaxes[exp_item],$H1430,SalaryPayrollTaxes[company_name],$B1430,SalaryPayrollTaxes[bu_name],$C1430)*(AD485+AD590+AD695)+SUMIFS(ExpensePayrollTaxes[Month 19],ExpensePayrollTaxes[exp_item],$H800,ExpensePayrollTaxes[company_name],$B1430)*AD800)</f>
        <v>0</v>
      </c>
      <c r="AE1430" s="652">
        <f>IF($B1430="",,SUMIFS(SalaryPayrollTaxes[Month 20],SalaryPayrollTaxes[exp_item],$H1430,SalaryPayrollTaxes[company_name],$B1430,SalaryPayrollTaxes[bu_name],$C1430)*(AE485+AE590+AE695)+SUMIFS(ExpensePayrollTaxes[Month 20],ExpensePayrollTaxes[exp_item],$H800,ExpensePayrollTaxes[company_name],$B1430)*AE800)</f>
        <v>0</v>
      </c>
      <c r="AF1430" s="652">
        <f>IF($B1430="",,SUMIFS(SalaryPayrollTaxes[Month 21],SalaryPayrollTaxes[exp_item],$H1430,SalaryPayrollTaxes[company_name],$B1430,SalaryPayrollTaxes[bu_name],$C1430)*(AF485+AF590+AF695)+SUMIFS(ExpensePayrollTaxes[Month 21],ExpensePayrollTaxes[exp_item],$H800,ExpensePayrollTaxes[company_name],$B1430)*AF800)</f>
        <v>0</v>
      </c>
      <c r="AG1430" s="652">
        <f>IF($B1430="",,SUMIFS(SalaryPayrollTaxes[Month 22],SalaryPayrollTaxes[exp_item],$H1430,SalaryPayrollTaxes[company_name],$B1430,SalaryPayrollTaxes[bu_name],$C1430)*(AG485+AG590+AG695)+SUMIFS(ExpensePayrollTaxes[Month 22],ExpensePayrollTaxes[exp_item],$H800,ExpensePayrollTaxes[company_name],$B1430)*AG800)</f>
        <v>0</v>
      </c>
      <c r="AH1430" s="652">
        <f>IF($B1430="",,SUMIFS(SalaryPayrollTaxes[Month 23],SalaryPayrollTaxes[exp_item],$H1430,SalaryPayrollTaxes[company_name],$B1430,SalaryPayrollTaxes[bu_name],$C1430)*(AH485+AH590+AH695)+SUMIFS(ExpensePayrollTaxes[Month 23],ExpensePayrollTaxes[exp_item],$H800,ExpensePayrollTaxes[company_name],$B1430)*AH800)</f>
        <v>0</v>
      </c>
      <c r="AI1430" s="652">
        <f>IF($B1430="",,SUMIFS(SalaryPayrollTaxes[Month 24],SalaryPayrollTaxes[exp_item],$H1430,SalaryPayrollTaxes[company_name],$B1430,SalaryPayrollTaxes[bu_name],$C1430)*(AI485+AI590+AI695)+SUMIFS(ExpensePayrollTaxes[Month 24],ExpensePayrollTaxes[exp_item],$H800,ExpensePayrollTaxes[company_name],$B1430)*AI800)</f>
        <v>0</v>
      </c>
      <c r="AJ1430" s="652">
        <f>IF($B1430="",,SUMIFS(SalaryPayrollTaxes[Month 25],SalaryPayrollTaxes[exp_item],$H1430,SalaryPayrollTaxes[company_name],$B1430,SalaryPayrollTaxes[bu_name],$C1430)*(AJ485+AJ590+AJ695)+SUMIFS(ExpensePayrollTaxes[Month 25],ExpensePayrollTaxes[exp_item],$H800,ExpensePayrollTaxes[company_name],$B1430)*AJ800)</f>
        <v>0</v>
      </c>
      <c r="AK1430" s="652">
        <f>IF($B1430="",,SUMIFS(SalaryPayrollTaxes[Month 26],SalaryPayrollTaxes[exp_item],$H1430,SalaryPayrollTaxes[company_name],$B1430,SalaryPayrollTaxes[bu_name],$C1430)*(AK485+AK590+AK695)+SUMIFS(ExpensePayrollTaxes[Month 26],ExpensePayrollTaxes[exp_item],$H800,ExpensePayrollTaxes[company_name],$B1430)*AK800)</f>
        <v>0</v>
      </c>
      <c r="AL1430" s="652">
        <f>IF($B1430="",,SUMIFS(SalaryPayrollTaxes[Month 27],SalaryPayrollTaxes[exp_item],$H1430,SalaryPayrollTaxes[company_name],$B1430,SalaryPayrollTaxes[bu_name],$C1430)*(AL485+AL590+AL695)+SUMIFS(ExpensePayrollTaxes[Month 27],ExpensePayrollTaxes[exp_item],$H800,ExpensePayrollTaxes[company_name],$B1430)*AL800)</f>
        <v>0</v>
      </c>
      <c r="AM1430" s="652">
        <f>IF($B1430="",,SUMIFS(SalaryPayrollTaxes[Month 28],SalaryPayrollTaxes[exp_item],$H1430,SalaryPayrollTaxes[company_name],$B1430,SalaryPayrollTaxes[bu_name],$C1430)*(AM485+AM590+AM695)+SUMIFS(ExpensePayrollTaxes[Month 28],ExpensePayrollTaxes[exp_item],$H800,ExpensePayrollTaxes[company_name],$B1430)*AM800)</f>
        <v>0</v>
      </c>
      <c r="AN1430" s="652">
        <f>IF($B1430="",,SUMIFS(SalaryPayrollTaxes[Month 29],SalaryPayrollTaxes[exp_item],$H1430,SalaryPayrollTaxes[company_name],$B1430,SalaryPayrollTaxes[bu_name],$C1430)*(AN485+AN590+AN695)+SUMIFS(ExpensePayrollTaxes[Month 29],ExpensePayrollTaxes[exp_item],$H800,ExpensePayrollTaxes[company_name],$B1430)*AN800)</f>
        <v>0</v>
      </c>
      <c r="AO1430" s="652">
        <f>IF($B1430="",,SUMIFS(SalaryPayrollTaxes[Month 30],SalaryPayrollTaxes[exp_item],$H1430,SalaryPayrollTaxes[company_name],$B1430,SalaryPayrollTaxes[bu_name],$C1430)*(AO485+AO590+AO695)+SUMIFS(ExpensePayrollTaxes[Month 30],ExpensePayrollTaxes[exp_item],$H800,ExpensePayrollTaxes[company_name],$B1430)*AO800)</f>
        <v>0</v>
      </c>
      <c r="AP1430" s="652">
        <f>IF($B1430="",,SUMIFS(SalaryPayrollTaxes[Month 31],SalaryPayrollTaxes[exp_item],$H1430,SalaryPayrollTaxes[company_name],$B1430,SalaryPayrollTaxes[bu_name],$C1430)*(AP485+AP590+AP695)+SUMIFS(ExpensePayrollTaxes[Month 31],ExpensePayrollTaxes[exp_item],$H800,ExpensePayrollTaxes[company_name],$B1430)*AP800)</f>
        <v>0</v>
      </c>
      <c r="AQ1430" s="652">
        <f>IF($B1430="",,SUMIFS(SalaryPayrollTaxes[Month 32],SalaryPayrollTaxes[exp_item],$H1430,SalaryPayrollTaxes[company_name],$B1430,SalaryPayrollTaxes[bu_name],$C1430)*(AQ485+AQ590+AQ695)+SUMIFS(ExpensePayrollTaxes[Month 32],ExpensePayrollTaxes[exp_item],$H800,ExpensePayrollTaxes[company_name],$B1430)*AQ800)</f>
        <v>0</v>
      </c>
      <c r="AR1430" s="652">
        <f>IF($B1430="",,SUMIFS(SalaryPayrollTaxes[Month 33],SalaryPayrollTaxes[exp_item],$H1430,SalaryPayrollTaxes[company_name],$B1430,SalaryPayrollTaxes[bu_name],$C1430)*(AR485+AR590+AR695)+SUMIFS(ExpensePayrollTaxes[Month 33],ExpensePayrollTaxes[exp_item],$H800,ExpensePayrollTaxes[company_name],$B1430)*AR800)</f>
        <v>0</v>
      </c>
      <c r="AS1430" s="652">
        <f>IF($B1430="",,SUMIFS(SalaryPayrollTaxes[Month 34],SalaryPayrollTaxes[exp_item],$H1430,SalaryPayrollTaxes[company_name],$B1430,SalaryPayrollTaxes[bu_name],$C1430)*(AS485+AS590+AS695)+SUMIFS(ExpensePayrollTaxes[Month 34],ExpensePayrollTaxes[exp_item],$H800,ExpensePayrollTaxes[company_name],$B1430)*AS800)</f>
        <v>0</v>
      </c>
      <c r="AT1430" s="652">
        <f>IF($B1430="",,SUMIFS(SalaryPayrollTaxes[Month 35],SalaryPayrollTaxes[exp_item],$H1430,SalaryPayrollTaxes[company_name],$B1430,SalaryPayrollTaxes[bu_name],$C1430)*(AT485+AT590+AT695)+SUMIFS(ExpensePayrollTaxes[Month 35],ExpensePayrollTaxes[exp_item],$H800,ExpensePayrollTaxes[company_name],$B1430)*AT800)</f>
        <v>0</v>
      </c>
      <c r="AU1430" s="652">
        <f>IF($B1430="",,SUMIFS(SalaryPayrollTaxes[Month 36],SalaryPayrollTaxes[exp_item],$H1430,SalaryPayrollTaxes[company_name],$B1430,SalaryPayrollTaxes[bu_name],$C1430)*(AU485+AU590+AU695)+SUMIFS(ExpensePayrollTaxes[Month 36],ExpensePayrollTaxes[exp_item],$H800,ExpensePayrollTaxes[company_name],$B1430)*AU800)</f>
        <v>0</v>
      </c>
    </row>
    <row r="1431" spans="2:47" x14ac:dyDescent="0.35">
      <c r="B1431" t="str">
        <f t="shared" ref="B1431:G1440" si="1001">IF(B1326="","",B1326)</f>
        <v/>
      </c>
      <c r="C1431" t="str">
        <f t="shared" si="1001"/>
        <v/>
      </c>
      <c r="D1431" t="str">
        <f t="shared" si="1001"/>
        <v/>
      </c>
      <c r="E1431" t="str">
        <f t="shared" si="1001"/>
        <v/>
      </c>
      <c r="F1431" t="str">
        <f t="shared" si="1001"/>
        <v/>
      </c>
      <c r="G1431" t="str">
        <f t="shared" si="1001"/>
        <v/>
      </c>
      <c r="H1431" t="str">
        <f t="shared" si="997"/>
        <v/>
      </c>
      <c r="J1431" t="str">
        <f>IF($H1431="","",IF(VLOOKUP(H1431,ExpItems[],2,0),H1431&amp;" - "&amp;INDEX(DivisionMapping[category_code],MATCH($D1431&amp;$C1431,DivisionMapping[dept_bu],0)),H1431))</f>
        <v/>
      </c>
      <c r="K1431" t="str">
        <f t="shared" si="998"/>
        <v/>
      </c>
      <c r="L1431" s="652">
        <f>IF($B1431="",,SUMIFS(SalaryPayrollTaxes[Month 1],SalaryPayrollTaxes[exp_item],$H1431,SalaryPayrollTaxes[company_name],$B1431,SalaryPayrollTaxes[bu_name],$C1431)*(L486+L591+L696)+SUMIFS(ExpensePayrollTaxes[Month 1],ExpensePayrollTaxes[exp_item],$H801,ExpensePayrollTaxes[company_name],$B1431)*L801)</f>
        <v>0</v>
      </c>
      <c r="M1431" s="652">
        <f>IF($B1431="",,SUMIFS(SalaryPayrollTaxes[Month 2],SalaryPayrollTaxes[exp_item],$H1431,SalaryPayrollTaxes[company_name],$B1431,SalaryPayrollTaxes[bu_name],$C1431)*(M486+M591+M696)+SUMIFS(ExpensePayrollTaxes[Month 2],ExpensePayrollTaxes[exp_item],$H801,ExpensePayrollTaxes[company_name],$B1431)*M801)</f>
        <v>0</v>
      </c>
      <c r="N1431" s="652">
        <f>IF($B1431="",,SUMIFS(SalaryPayrollTaxes[Month 3],SalaryPayrollTaxes[exp_item],$H1431,SalaryPayrollTaxes[company_name],$B1431,SalaryPayrollTaxes[bu_name],$C1431)*(N486+N591+N696)+SUMIFS(ExpensePayrollTaxes[Month 3],ExpensePayrollTaxes[exp_item],$H801,ExpensePayrollTaxes[company_name],$B1431)*N801)</f>
        <v>0</v>
      </c>
      <c r="O1431" s="652">
        <f>IF($B1431="",,SUMIFS(SalaryPayrollTaxes[Month 4],SalaryPayrollTaxes[exp_item],$H1431,SalaryPayrollTaxes[company_name],$B1431,SalaryPayrollTaxes[bu_name],$C1431)*(O486+O591+O696)+SUMIFS(ExpensePayrollTaxes[Month 4],ExpensePayrollTaxes[exp_item],$H801,ExpensePayrollTaxes[company_name],$B1431)*O801)</f>
        <v>0</v>
      </c>
      <c r="P1431" s="652">
        <f>IF($B1431="",,SUMIFS(SalaryPayrollTaxes[Month 5],SalaryPayrollTaxes[exp_item],$H1431,SalaryPayrollTaxes[company_name],$B1431,SalaryPayrollTaxes[bu_name],$C1431)*(P486+P591+P696)+SUMIFS(ExpensePayrollTaxes[Month 5],ExpensePayrollTaxes[exp_item],$H801,ExpensePayrollTaxes[company_name],$B1431)*P801)</f>
        <v>0</v>
      </c>
      <c r="Q1431" s="652">
        <f>IF($B1431="",,SUMIFS(SalaryPayrollTaxes[Month 6],SalaryPayrollTaxes[exp_item],$H1431,SalaryPayrollTaxes[company_name],$B1431,SalaryPayrollTaxes[bu_name],$C1431)*(Q486+Q591+Q696)+SUMIFS(ExpensePayrollTaxes[Month 6],ExpensePayrollTaxes[exp_item],$H801,ExpensePayrollTaxes[company_name],$B1431)*Q801)</f>
        <v>0</v>
      </c>
      <c r="R1431" s="652">
        <f>IF($B1431="",,SUMIFS(SalaryPayrollTaxes[Month 7],SalaryPayrollTaxes[exp_item],$H1431,SalaryPayrollTaxes[company_name],$B1431,SalaryPayrollTaxes[bu_name],$C1431)*(R486+R591+R696)+SUMIFS(ExpensePayrollTaxes[Month 7],ExpensePayrollTaxes[exp_item],$H801,ExpensePayrollTaxes[company_name],$B1431)*R801)</f>
        <v>0</v>
      </c>
      <c r="S1431" s="652">
        <f>IF($B1431="",,SUMIFS(SalaryPayrollTaxes[Month 8],SalaryPayrollTaxes[exp_item],$H1431,SalaryPayrollTaxes[company_name],$B1431,SalaryPayrollTaxes[bu_name],$C1431)*(S486+S591+S696)+SUMIFS(ExpensePayrollTaxes[Month 8],ExpensePayrollTaxes[exp_item],$H801,ExpensePayrollTaxes[company_name],$B1431)*S801)</f>
        <v>0</v>
      </c>
      <c r="T1431" s="652">
        <f>IF($B1431="",,SUMIFS(SalaryPayrollTaxes[Month 9],SalaryPayrollTaxes[exp_item],$H1431,SalaryPayrollTaxes[company_name],$B1431,SalaryPayrollTaxes[bu_name],$C1431)*(T486+T591+T696)+SUMIFS(ExpensePayrollTaxes[Month 9],ExpensePayrollTaxes[exp_item],$H801,ExpensePayrollTaxes[company_name],$B1431)*T801)</f>
        <v>0</v>
      </c>
      <c r="U1431" s="652">
        <f>IF($B1431="",,SUMIFS(SalaryPayrollTaxes[Month 10],SalaryPayrollTaxes[exp_item],$H1431,SalaryPayrollTaxes[company_name],$B1431,SalaryPayrollTaxes[bu_name],$C1431)*(U486+U591+U696)+SUMIFS(ExpensePayrollTaxes[Month 10],ExpensePayrollTaxes[exp_item],$H801,ExpensePayrollTaxes[company_name],$B1431)*U801)</f>
        <v>0</v>
      </c>
      <c r="V1431" s="652">
        <f>IF($B1431="",,SUMIFS(SalaryPayrollTaxes[Month 11],SalaryPayrollTaxes[exp_item],$H1431,SalaryPayrollTaxes[company_name],$B1431,SalaryPayrollTaxes[bu_name],$C1431)*(V486+V591+V696)+SUMIFS(ExpensePayrollTaxes[Month 11],ExpensePayrollTaxes[exp_item],$H801,ExpensePayrollTaxes[company_name],$B1431)*V801)</f>
        <v>0</v>
      </c>
      <c r="W1431" s="652">
        <f>IF($B1431="",,SUMIFS(SalaryPayrollTaxes[Month 12],SalaryPayrollTaxes[exp_item],$H1431,SalaryPayrollTaxes[company_name],$B1431,SalaryPayrollTaxes[bu_name],$C1431)*(W486+W591+W696)+SUMIFS(ExpensePayrollTaxes[Month 12],ExpensePayrollTaxes[exp_item],$H801,ExpensePayrollTaxes[company_name],$B1431)*W801)</f>
        <v>0</v>
      </c>
      <c r="X1431" s="652">
        <f>IF($B1431="",,SUMIFS(SalaryPayrollTaxes[Month 13],SalaryPayrollTaxes[exp_item],$H1431,SalaryPayrollTaxes[company_name],$B1431,SalaryPayrollTaxes[bu_name],$C1431)*(X486+X591+X696)+SUMIFS(ExpensePayrollTaxes[Month 13],ExpensePayrollTaxes[exp_item],$H801,ExpensePayrollTaxes[company_name],$B1431)*X801)</f>
        <v>0</v>
      </c>
      <c r="Y1431" s="652">
        <f>IF($B1431="",,SUMIFS(SalaryPayrollTaxes[Month 14],SalaryPayrollTaxes[exp_item],$H1431,SalaryPayrollTaxes[company_name],$B1431,SalaryPayrollTaxes[bu_name],$C1431)*(Y486+Y591+Y696)+SUMIFS(ExpensePayrollTaxes[Month 14],ExpensePayrollTaxes[exp_item],$H801,ExpensePayrollTaxes[company_name],$B1431)*Y801)</f>
        <v>0</v>
      </c>
      <c r="Z1431" s="652">
        <f>IF($B1431="",,SUMIFS(SalaryPayrollTaxes[Month 15],SalaryPayrollTaxes[exp_item],$H1431,SalaryPayrollTaxes[company_name],$B1431,SalaryPayrollTaxes[bu_name],$C1431)*(Z486+Z591+Z696)+SUMIFS(ExpensePayrollTaxes[Month 15],ExpensePayrollTaxes[exp_item],$H801,ExpensePayrollTaxes[company_name],$B1431)*Z801)</f>
        <v>0</v>
      </c>
      <c r="AA1431" s="652">
        <f>IF($B1431="",,SUMIFS(SalaryPayrollTaxes[Month 16],SalaryPayrollTaxes[exp_item],$H1431,SalaryPayrollTaxes[company_name],$B1431,SalaryPayrollTaxes[bu_name],$C1431)*(AA486+AA591+AA696)+SUMIFS(ExpensePayrollTaxes[Month 16],ExpensePayrollTaxes[exp_item],$H801,ExpensePayrollTaxes[company_name],$B1431)*AA801)</f>
        <v>0</v>
      </c>
      <c r="AB1431" s="652">
        <f>IF($B1431="",,SUMIFS(SalaryPayrollTaxes[Month 17],SalaryPayrollTaxes[exp_item],$H1431,SalaryPayrollTaxes[company_name],$B1431,SalaryPayrollTaxes[bu_name],$C1431)*(AB486+AB591+AB696)+SUMIFS(ExpensePayrollTaxes[Month 17],ExpensePayrollTaxes[exp_item],$H801,ExpensePayrollTaxes[company_name],$B1431)*AB801)</f>
        <v>0</v>
      </c>
      <c r="AC1431" s="652">
        <f>IF($B1431="",,SUMIFS(SalaryPayrollTaxes[Month 18],SalaryPayrollTaxes[exp_item],$H1431,SalaryPayrollTaxes[company_name],$B1431,SalaryPayrollTaxes[bu_name],$C1431)*(AC486+AC591+AC696)+SUMIFS(ExpensePayrollTaxes[Month 18],ExpensePayrollTaxes[exp_item],$H801,ExpensePayrollTaxes[company_name],$B1431)*AC801)</f>
        <v>0</v>
      </c>
      <c r="AD1431" s="652">
        <f>IF($B1431="",,SUMIFS(SalaryPayrollTaxes[Month 19],SalaryPayrollTaxes[exp_item],$H1431,SalaryPayrollTaxes[company_name],$B1431,SalaryPayrollTaxes[bu_name],$C1431)*(AD486+AD591+AD696)+SUMIFS(ExpensePayrollTaxes[Month 19],ExpensePayrollTaxes[exp_item],$H801,ExpensePayrollTaxes[company_name],$B1431)*AD801)</f>
        <v>0</v>
      </c>
      <c r="AE1431" s="652">
        <f>IF($B1431="",,SUMIFS(SalaryPayrollTaxes[Month 20],SalaryPayrollTaxes[exp_item],$H1431,SalaryPayrollTaxes[company_name],$B1431,SalaryPayrollTaxes[bu_name],$C1431)*(AE486+AE591+AE696)+SUMIFS(ExpensePayrollTaxes[Month 20],ExpensePayrollTaxes[exp_item],$H801,ExpensePayrollTaxes[company_name],$B1431)*AE801)</f>
        <v>0</v>
      </c>
      <c r="AF1431" s="652">
        <f>IF($B1431="",,SUMIFS(SalaryPayrollTaxes[Month 21],SalaryPayrollTaxes[exp_item],$H1431,SalaryPayrollTaxes[company_name],$B1431,SalaryPayrollTaxes[bu_name],$C1431)*(AF486+AF591+AF696)+SUMIFS(ExpensePayrollTaxes[Month 21],ExpensePayrollTaxes[exp_item],$H801,ExpensePayrollTaxes[company_name],$B1431)*AF801)</f>
        <v>0</v>
      </c>
      <c r="AG1431" s="652">
        <f>IF($B1431="",,SUMIFS(SalaryPayrollTaxes[Month 22],SalaryPayrollTaxes[exp_item],$H1431,SalaryPayrollTaxes[company_name],$B1431,SalaryPayrollTaxes[bu_name],$C1431)*(AG486+AG591+AG696)+SUMIFS(ExpensePayrollTaxes[Month 22],ExpensePayrollTaxes[exp_item],$H801,ExpensePayrollTaxes[company_name],$B1431)*AG801)</f>
        <v>0</v>
      </c>
      <c r="AH1431" s="652">
        <f>IF($B1431="",,SUMIFS(SalaryPayrollTaxes[Month 23],SalaryPayrollTaxes[exp_item],$H1431,SalaryPayrollTaxes[company_name],$B1431,SalaryPayrollTaxes[bu_name],$C1431)*(AH486+AH591+AH696)+SUMIFS(ExpensePayrollTaxes[Month 23],ExpensePayrollTaxes[exp_item],$H801,ExpensePayrollTaxes[company_name],$B1431)*AH801)</f>
        <v>0</v>
      </c>
      <c r="AI1431" s="652">
        <f>IF($B1431="",,SUMIFS(SalaryPayrollTaxes[Month 24],SalaryPayrollTaxes[exp_item],$H1431,SalaryPayrollTaxes[company_name],$B1431,SalaryPayrollTaxes[bu_name],$C1431)*(AI486+AI591+AI696)+SUMIFS(ExpensePayrollTaxes[Month 24],ExpensePayrollTaxes[exp_item],$H801,ExpensePayrollTaxes[company_name],$B1431)*AI801)</f>
        <v>0</v>
      </c>
      <c r="AJ1431" s="652">
        <f>IF($B1431="",,SUMIFS(SalaryPayrollTaxes[Month 25],SalaryPayrollTaxes[exp_item],$H1431,SalaryPayrollTaxes[company_name],$B1431,SalaryPayrollTaxes[bu_name],$C1431)*(AJ486+AJ591+AJ696)+SUMIFS(ExpensePayrollTaxes[Month 25],ExpensePayrollTaxes[exp_item],$H801,ExpensePayrollTaxes[company_name],$B1431)*AJ801)</f>
        <v>0</v>
      </c>
      <c r="AK1431" s="652">
        <f>IF($B1431="",,SUMIFS(SalaryPayrollTaxes[Month 26],SalaryPayrollTaxes[exp_item],$H1431,SalaryPayrollTaxes[company_name],$B1431,SalaryPayrollTaxes[bu_name],$C1431)*(AK486+AK591+AK696)+SUMIFS(ExpensePayrollTaxes[Month 26],ExpensePayrollTaxes[exp_item],$H801,ExpensePayrollTaxes[company_name],$B1431)*AK801)</f>
        <v>0</v>
      </c>
      <c r="AL1431" s="652">
        <f>IF($B1431="",,SUMIFS(SalaryPayrollTaxes[Month 27],SalaryPayrollTaxes[exp_item],$H1431,SalaryPayrollTaxes[company_name],$B1431,SalaryPayrollTaxes[bu_name],$C1431)*(AL486+AL591+AL696)+SUMIFS(ExpensePayrollTaxes[Month 27],ExpensePayrollTaxes[exp_item],$H801,ExpensePayrollTaxes[company_name],$B1431)*AL801)</f>
        <v>0</v>
      </c>
      <c r="AM1431" s="652">
        <f>IF($B1431="",,SUMIFS(SalaryPayrollTaxes[Month 28],SalaryPayrollTaxes[exp_item],$H1431,SalaryPayrollTaxes[company_name],$B1431,SalaryPayrollTaxes[bu_name],$C1431)*(AM486+AM591+AM696)+SUMIFS(ExpensePayrollTaxes[Month 28],ExpensePayrollTaxes[exp_item],$H801,ExpensePayrollTaxes[company_name],$B1431)*AM801)</f>
        <v>0</v>
      </c>
      <c r="AN1431" s="652">
        <f>IF($B1431="",,SUMIFS(SalaryPayrollTaxes[Month 29],SalaryPayrollTaxes[exp_item],$H1431,SalaryPayrollTaxes[company_name],$B1431,SalaryPayrollTaxes[bu_name],$C1431)*(AN486+AN591+AN696)+SUMIFS(ExpensePayrollTaxes[Month 29],ExpensePayrollTaxes[exp_item],$H801,ExpensePayrollTaxes[company_name],$B1431)*AN801)</f>
        <v>0</v>
      </c>
      <c r="AO1431" s="652">
        <f>IF($B1431="",,SUMIFS(SalaryPayrollTaxes[Month 30],SalaryPayrollTaxes[exp_item],$H1431,SalaryPayrollTaxes[company_name],$B1431,SalaryPayrollTaxes[bu_name],$C1431)*(AO486+AO591+AO696)+SUMIFS(ExpensePayrollTaxes[Month 30],ExpensePayrollTaxes[exp_item],$H801,ExpensePayrollTaxes[company_name],$B1431)*AO801)</f>
        <v>0</v>
      </c>
      <c r="AP1431" s="652">
        <f>IF($B1431="",,SUMIFS(SalaryPayrollTaxes[Month 31],SalaryPayrollTaxes[exp_item],$H1431,SalaryPayrollTaxes[company_name],$B1431,SalaryPayrollTaxes[bu_name],$C1431)*(AP486+AP591+AP696)+SUMIFS(ExpensePayrollTaxes[Month 31],ExpensePayrollTaxes[exp_item],$H801,ExpensePayrollTaxes[company_name],$B1431)*AP801)</f>
        <v>0</v>
      </c>
      <c r="AQ1431" s="652">
        <f>IF($B1431="",,SUMIFS(SalaryPayrollTaxes[Month 32],SalaryPayrollTaxes[exp_item],$H1431,SalaryPayrollTaxes[company_name],$B1431,SalaryPayrollTaxes[bu_name],$C1431)*(AQ486+AQ591+AQ696)+SUMIFS(ExpensePayrollTaxes[Month 32],ExpensePayrollTaxes[exp_item],$H801,ExpensePayrollTaxes[company_name],$B1431)*AQ801)</f>
        <v>0</v>
      </c>
      <c r="AR1431" s="652">
        <f>IF($B1431="",,SUMIFS(SalaryPayrollTaxes[Month 33],SalaryPayrollTaxes[exp_item],$H1431,SalaryPayrollTaxes[company_name],$B1431,SalaryPayrollTaxes[bu_name],$C1431)*(AR486+AR591+AR696)+SUMIFS(ExpensePayrollTaxes[Month 33],ExpensePayrollTaxes[exp_item],$H801,ExpensePayrollTaxes[company_name],$B1431)*AR801)</f>
        <v>0</v>
      </c>
      <c r="AS1431" s="652">
        <f>IF($B1431="",,SUMIFS(SalaryPayrollTaxes[Month 34],SalaryPayrollTaxes[exp_item],$H1431,SalaryPayrollTaxes[company_name],$B1431,SalaryPayrollTaxes[bu_name],$C1431)*(AS486+AS591+AS696)+SUMIFS(ExpensePayrollTaxes[Month 34],ExpensePayrollTaxes[exp_item],$H801,ExpensePayrollTaxes[company_name],$B1431)*AS801)</f>
        <v>0</v>
      </c>
      <c r="AT1431" s="652">
        <f>IF($B1431="",,SUMIFS(SalaryPayrollTaxes[Month 35],SalaryPayrollTaxes[exp_item],$H1431,SalaryPayrollTaxes[company_name],$B1431,SalaryPayrollTaxes[bu_name],$C1431)*(AT486+AT591+AT696)+SUMIFS(ExpensePayrollTaxes[Month 35],ExpensePayrollTaxes[exp_item],$H801,ExpensePayrollTaxes[company_name],$B1431)*AT801)</f>
        <v>0</v>
      </c>
      <c r="AU1431" s="652">
        <f>IF($B1431="",,SUMIFS(SalaryPayrollTaxes[Month 36],SalaryPayrollTaxes[exp_item],$H1431,SalaryPayrollTaxes[company_name],$B1431,SalaryPayrollTaxes[bu_name],$C1431)*(AU486+AU591+AU696)+SUMIFS(ExpensePayrollTaxes[Month 36],ExpensePayrollTaxes[exp_item],$H801,ExpensePayrollTaxes[company_name],$B1431)*AU801)</f>
        <v>0</v>
      </c>
    </row>
    <row r="1432" spans="2:47" x14ac:dyDescent="0.35">
      <c r="B1432" t="str">
        <f t="shared" si="1001"/>
        <v/>
      </c>
      <c r="C1432" t="str">
        <f t="shared" si="1001"/>
        <v/>
      </c>
      <c r="D1432" t="str">
        <f t="shared" si="1001"/>
        <v/>
      </c>
      <c r="E1432" t="str">
        <f t="shared" si="1001"/>
        <v/>
      </c>
      <c r="F1432" t="str">
        <f t="shared" si="1001"/>
        <v/>
      </c>
      <c r="G1432" t="str">
        <f t="shared" si="1001"/>
        <v/>
      </c>
      <c r="H1432" t="str">
        <f t="shared" si="997"/>
        <v/>
      </c>
      <c r="J1432" t="str">
        <f>IF($H1432="","",IF(VLOOKUP(H1432,ExpItems[],2,0),H1432&amp;" - "&amp;INDEX(DivisionMapping[category_code],MATCH($D1432&amp;$C1432,DivisionMapping[dept_bu],0)),H1432))</f>
        <v/>
      </c>
      <c r="K1432" t="str">
        <f t="shared" si="998"/>
        <v/>
      </c>
      <c r="L1432" s="652">
        <f>IF($B1432="",,SUMIFS(SalaryPayrollTaxes[Month 1],SalaryPayrollTaxes[exp_item],$H1432,SalaryPayrollTaxes[company_name],$B1432,SalaryPayrollTaxes[bu_name],$C1432)*(L487+L592+L697)+SUMIFS(ExpensePayrollTaxes[Month 1],ExpensePayrollTaxes[exp_item],$H802,ExpensePayrollTaxes[company_name],$B1432)*L802)</f>
        <v>0</v>
      </c>
      <c r="M1432" s="652">
        <f>IF($B1432="",,SUMIFS(SalaryPayrollTaxes[Month 2],SalaryPayrollTaxes[exp_item],$H1432,SalaryPayrollTaxes[company_name],$B1432,SalaryPayrollTaxes[bu_name],$C1432)*(M487+M592+M697)+SUMIFS(ExpensePayrollTaxes[Month 2],ExpensePayrollTaxes[exp_item],$H802,ExpensePayrollTaxes[company_name],$B1432)*M802)</f>
        <v>0</v>
      </c>
      <c r="N1432" s="652">
        <f>IF($B1432="",,SUMIFS(SalaryPayrollTaxes[Month 3],SalaryPayrollTaxes[exp_item],$H1432,SalaryPayrollTaxes[company_name],$B1432,SalaryPayrollTaxes[bu_name],$C1432)*(N487+N592+N697)+SUMIFS(ExpensePayrollTaxes[Month 3],ExpensePayrollTaxes[exp_item],$H802,ExpensePayrollTaxes[company_name],$B1432)*N802)</f>
        <v>0</v>
      </c>
      <c r="O1432" s="652">
        <f>IF($B1432="",,SUMIFS(SalaryPayrollTaxes[Month 4],SalaryPayrollTaxes[exp_item],$H1432,SalaryPayrollTaxes[company_name],$B1432,SalaryPayrollTaxes[bu_name],$C1432)*(O487+O592+O697)+SUMIFS(ExpensePayrollTaxes[Month 4],ExpensePayrollTaxes[exp_item],$H802,ExpensePayrollTaxes[company_name],$B1432)*O802)</f>
        <v>0</v>
      </c>
      <c r="P1432" s="652">
        <f>IF($B1432="",,SUMIFS(SalaryPayrollTaxes[Month 5],SalaryPayrollTaxes[exp_item],$H1432,SalaryPayrollTaxes[company_name],$B1432,SalaryPayrollTaxes[bu_name],$C1432)*(P487+P592+P697)+SUMIFS(ExpensePayrollTaxes[Month 5],ExpensePayrollTaxes[exp_item],$H802,ExpensePayrollTaxes[company_name],$B1432)*P802)</f>
        <v>0</v>
      </c>
      <c r="Q1432" s="652">
        <f>IF($B1432="",,SUMIFS(SalaryPayrollTaxes[Month 6],SalaryPayrollTaxes[exp_item],$H1432,SalaryPayrollTaxes[company_name],$B1432,SalaryPayrollTaxes[bu_name],$C1432)*(Q487+Q592+Q697)+SUMIFS(ExpensePayrollTaxes[Month 6],ExpensePayrollTaxes[exp_item],$H802,ExpensePayrollTaxes[company_name],$B1432)*Q802)</f>
        <v>0</v>
      </c>
      <c r="R1432" s="652">
        <f>IF($B1432="",,SUMIFS(SalaryPayrollTaxes[Month 7],SalaryPayrollTaxes[exp_item],$H1432,SalaryPayrollTaxes[company_name],$B1432,SalaryPayrollTaxes[bu_name],$C1432)*(R487+R592+R697)+SUMIFS(ExpensePayrollTaxes[Month 7],ExpensePayrollTaxes[exp_item],$H802,ExpensePayrollTaxes[company_name],$B1432)*R802)</f>
        <v>0</v>
      </c>
      <c r="S1432" s="652">
        <f>IF($B1432="",,SUMIFS(SalaryPayrollTaxes[Month 8],SalaryPayrollTaxes[exp_item],$H1432,SalaryPayrollTaxes[company_name],$B1432,SalaryPayrollTaxes[bu_name],$C1432)*(S487+S592+S697)+SUMIFS(ExpensePayrollTaxes[Month 8],ExpensePayrollTaxes[exp_item],$H802,ExpensePayrollTaxes[company_name],$B1432)*S802)</f>
        <v>0</v>
      </c>
      <c r="T1432" s="652">
        <f>IF($B1432="",,SUMIFS(SalaryPayrollTaxes[Month 9],SalaryPayrollTaxes[exp_item],$H1432,SalaryPayrollTaxes[company_name],$B1432,SalaryPayrollTaxes[bu_name],$C1432)*(T487+T592+T697)+SUMIFS(ExpensePayrollTaxes[Month 9],ExpensePayrollTaxes[exp_item],$H802,ExpensePayrollTaxes[company_name],$B1432)*T802)</f>
        <v>0</v>
      </c>
      <c r="U1432" s="652">
        <f>IF($B1432="",,SUMIFS(SalaryPayrollTaxes[Month 10],SalaryPayrollTaxes[exp_item],$H1432,SalaryPayrollTaxes[company_name],$B1432,SalaryPayrollTaxes[bu_name],$C1432)*(U487+U592+U697)+SUMIFS(ExpensePayrollTaxes[Month 10],ExpensePayrollTaxes[exp_item],$H802,ExpensePayrollTaxes[company_name],$B1432)*U802)</f>
        <v>0</v>
      </c>
      <c r="V1432" s="652">
        <f>IF($B1432="",,SUMIFS(SalaryPayrollTaxes[Month 11],SalaryPayrollTaxes[exp_item],$H1432,SalaryPayrollTaxes[company_name],$B1432,SalaryPayrollTaxes[bu_name],$C1432)*(V487+V592+V697)+SUMIFS(ExpensePayrollTaxes[Month 11],ExpensePayrollTaxes[exp_item],$H802,ExpensePayrollTaxes[company_name],$B1432)*V802)</f>
        <v>0</v>
      </c>
      <c r="W1432" s="652">
        <f>IF($B1432="",,SUMIFS(SalaryPayrollTaxes[Month 12],SalaryPayrollTaxes[exp_item],$H1432,SalaryPayrollTaxes[company_name],$B1432,SalaryPayrollTaxes[bu_name],$C1432)*(W487+W592+W697)+SUMIFS(ExpensePayrollTaxes[Month 12],ExpensePayrollTaxes[exp_item],$H802,ExpensePayrollTaxes[company_name],$B1432)*W802)</f>
        <v>0</v>
      </c>
      <c r="X1432" s="652">
        <f>IF($B1432="",,SUMIFS(SalaryPayrollTaxes[Month 13],SalaryPayrollTaxes[exp_item],$H1432,SalaryPayrollTaxes[company_name],$B1432,SalaryPayrollTaxes[bu_name],$C1432)*(X487+X592+X697)+SUMIFS(ExpensePayrollTaxes[Month 13],ExpensePayrollTaxes[exp_item],$H802,ExpensePayrollTaxes[company_name],$B1432)*X802)</f>
        <v>0</v>
      </c>
      <c r="Y1432" s="652">
        <f>IF($B1432="",,SUMIFS(SalaryPayrollTaxes[Month 14],SalaryPayrollTaxes[exp_item],$H1432,SalaryPayrollTaxes[company_name],$B1432,SalaryPayrollTaxes[bu_name],$C1432)*(Y487+Y592+Y697)+SUMIFS(ExpensePayrollTaxes[Month 14],ExpensePayrollTaxes[exp_item],$H802,ExpensePayrollTaxes[company_name],$B1432)*Y802)</f>
        <v>0</v>
      </c>
      <c r="Z1432" s="652">
        <f>IF($B1432="",,SUMIFS(SalaryPayrollTaxes[Month 15],SalaryPayrollTaxes[exp_item],$H1432,SalaryPayrollTaxes[company_name],$B1432,SalaryPayrollTaxes[bu_name],$C1432)*(Z487+Z592+Z697)+SUMIFS(ExpensePayrollTaxes[Month 15],ExpensePayrollTaxes[exp_item],$H802,ExpensePayrollTaxes[company_name],$B1432)*Z802)</f>
        <v>0</v>
      </c>
      <c r="AA1432" s="652">
        <f>IF($B1432="",,SUMIFS(SalaryPayrollTaxes[Month 16],SalaryPayrollTaxes[exp_item],$H1432,SalaryPayrollTaxes[company_name],$B1432,SalaryPayrollTaxes[bu_name],$C1432)*(AA487+AA592+AA697)+SUMIFS(ExpensePayrollTaxes[Month 16],ExpensePayrollTaxes[exp_item],$H802,ExpensePayrollTaxes[company_name],$B1432)*AA802)</f>
        <v>0</v>
      </c>
      <c r="AB1432" s="652">
        <f>IF($B1432="",,SUMIFS(SalaryPayrollTaxes[Month 17],SalaryPayrollTaxes[exp_item],$H1432,SalaryPayrollTaxes[company_name],$B1432,SalaryPayrollTaxes[bu_name],$C1432)*(AB487+AB592+AB697)+SUMIFS(ExpensePayrollTaxes[Month 17],ExpensePayrollTaxes[exp_item],$H802,ExpensePayrollTaxes[company_name],$B1432)*AB802)</f>
        <v>0</v>
      </c>
      <c r="AC1432" s="652">
        <f>IF($B1432="",,SUMIFS(SalaryPayrollTaxes[Month 18],SalaryPayrollTaxes[exp_item],$H1432,SalaryPayrollTaxes[company_name],$B1432,SalaryPayrollTaxes[bu_name],$C1432)*(AC487+AC592+AC697)+SUMIFS(ExpensePayrollTaxes[Month 18],ExpensePayrollTaxes[exp_item],$H802,ExpensePayrollTaxes[company_name],$B1432)*AC802)</f>
        <v>0</v>
      </c>
      <c r="AD1432" s="652">
        <f>IF($B1432="",,SUMIFS(SalaryPayrollTaxes[Month 19],SalaryPayrollTaxes[exp_item],$H1432,SalaryPayrollTaxes[company_name],$B1432,SalaryPayrollTaxes[bu_name],$C1432)*(AD487+AD592+AD697)+SUMIFS(ExpensePayrollTaxes[Month 19],ExpensePayrollTaxes[exp_item],$H802,ExpensePayrollTaxes[company_name],$B1432)*AD802)</f>
        <v>0</v>
      </c>
      <c r="AE1432" s="652">
        <f>IF($B1432="",,SUMIFS(SalaryPayrollTaxes[Month 20],SalaryPayrollTaxes[exp_item],$H1432,SalaryPayrollTaxes[company_name],$B1432,SalaryPayrollTaxes[bu_name],$C1432)*(AE487+AE592+AE697)+SUMIFS(ExpensePayrollTaxes[Month 20],ExpensePayrollTaxes[exp_item],$H802,ExpensePayrollTaxes[company_name],$B1432)*AE802)</f>
        <v>0</v>
      </c>
      <c r="AF1432" s="652">
        <f>IF($B1432="",,SUMIFS(SalaryPayrollTaxes[Month 21],SalaryPayrollTaxes[exp_item],$H1432,SalaryPayrollTaxes[company_name],$B1432,SalaryPayrollTaxes[bu_name],$C1432)*(AF487+AF592+AF697)+SUMIFS(ExpensePayrollTaxes[Month 21],ExpensePayrollTaxes[exp_item],$H802,ExpensePayrollTaxes[company_name],$B1432)*AF802)</f>
        <v>0</v>
      </c>
      <c r="AG1432" s="652">
        <f>IF($B1432="",,SUMIFS(SalaryPayrollTaxes[Month 22],SalaryPayrollTaxes[exp_item],$H1432,SalaryPayrollTaxes[company_name],$B1432,SalaryPayrollTaxes[bu_name],$C1432)*(AG487+AG592+AG697)+SUMIFS(ExpensePayrollTaxes[Month 22],ExpensePayrollTaxes[exp_item],$H802,ExpensePayrollTaxes[company_name],$B1432)*AG802)</f>
        <v>0</v>
      </c>
      <c r="AH1432" s="652">
        <f>IF($B1432="",,SUMIFS(SalaryPayrollTaxes[Month 23],SalaryPayrollTaxes[exp_item],$H1432,SalaryPayrollTaxes[company_name],$B1432,SalaryPayrollTaxes[bu_name],$C1432)*(AH487+AH592+AH697)+SUMIFS(ExpensePayrollTaxes[Month 23],ExpensePayrollTaxes[exp_item],$H802,ExpensePayrollTaxes[company_name],$B1432)*AH802)</f>
        <v>0</v>
      </c>
      <c r="AI1432" s="652">
        <f>IF($B1432="",,SUMIFS(SalaryPayrollTaxes[Month 24],SalaryPayrollTaxes[exp_item],$H1432,SalaryPayrollTaxes[company_name],$B1432,SalaryPayrollTaxes[bu_name],$C1432)*(AI487+AI592+AI697)+SUMIFS(ExpensePayrollTaxes[Month 24],ExpensePayrollTaxes[exp_item],$H802,ExpensePayrollTaxes[company_name],$B1432)*AI802)</f>
        <v>0</v>
      </c>
      <c r="AJ1432" s="652">
        <f>IF($B1432="",,SUMIFS(SalaryPayrollTaxes[Month 25],SalaryPayrollTaxes[exp_item],$H1432,SalaryPayrollTaxes[company_name],$B1432,SalaryPayrollTaxes[bu_name],$C1432)*(AJ487+AJ592+AJ697)+SUMIFS(ExpensePayrollTaxes[Month 25],ExpensePayrollTaxes[exp_item],$H802,ExpensePayrollTaxes[company_name],$B1432)*AJ802)</f>
        <v>0</v>
      </c>
      <c r="AK1432" s="652">
        <f>IF($B1432="",,SUMIFS(SalaryPayrollTaxes[Month 26],SalaryPayrollTaxes[exp_item],$H1432,SalaryPayrollTaxes[company_name],$B1432,SalaryPayrollTaxes[bu_name],$C1432)*(AK487+AK592+AK697)+SUMIFS(ExpensePayrollTaxes[Month 26],ExpensePayrollTaxes[exp_item],$H802,ExpensePayrollTaxes[company_name],$B1432)*AK802)</f>
        <v>0</v>
      </c>
      <c r="AL1432" s="652">
        <f>IF($B1432="",,SUMIFS(SalaryPayrollTaxes[Month 27],SalaryPayrollTaxes[exp_item],$H1432,SalaryPayrollTaxes[company_name],$B1432,SalaryPayrollTaxes[bu_name],$C1432)*(AL487+AL592+AL697)+SUMIFS(ExpensePayrollTaxes[Month 27],ExpensePayrollTaxes[exp_item],$H802,ExpensePayrollTaxes[company_name],$B1432)*AL802)</f>
        <v>0</v>
      </c>
      <c r="AM1432" s="652">
        <f>IF($B1432="",,SUMIFS(SalaryPayrollTaxes[Month 28],SalaryPayrollTaxes[exp_item],$H1432,SalaryPayrollTaxes[company_name],$B1432,SalaryPayrollTaxes[bu_name],$C1432)*(AM487+AM592+AM697)+SUMIFS(ExpensePayrollTaxes[Month 28],ExpensePayrollTaxes[exp_item],$H802,ExpensePayrollTaxes[company_name],$B1432)*AM802)</f>
        <v>0</v>
      </c>
      <c r="AN1432" s="652">
        <f>IF($B1432="",,SUMIFS(SalaryPayrollTaxes[Month 29],SalaryPayrollTaxes[exp_item],$H1432,SalaryPayrollTaxes[company_name],$B1432,SalaryPayrollTaxes[bu_name],$C1432)*(AN487+AN592+AN697)+SUMIFS(ExpensePayrollTaxes[Month 29],ExpensePayrollTaxes[exp_item],$H802,ExpensePayrollTaxes[company_name],$B1432)*AN802)</f>
        <v>0</v>
      </c>
      <c r="AO1432" s="652">
        <f>IF($B1432="",,SUMIFS(SalaryPayrollTaxes[Month 30],SalaryPayrollTaxes[exp_item],$H1432,SalaryPayrollTaxes[company_name],$B1432,SalaryPayrollTaxes[bu_name],$C1432)*(AO487+AO592+AO697)+SUMIFS(ExpensePayrollTaxes[Month 30],ExpensePayrollTaxes[exp_item],$H802,ExpensePayrollTaxes[company_name],$B1432)*AO802)</f>
        <v>0</v>
      </c>
      <c r="AP1432" s="652">
        <f>IF($B1432="",,SUMIFS(SalaryPayrollTaxes[Month 31],SalaryPayrollTaxes[exp_item],$H1432,SalaryPayrollTaxes[company_name],$B1432,SalaryPayrollTaxes[bu_name],$C1432)*(AP487+AP592+AP697)+SUMIFS(ExpensePayrollTaxes[Month 31],ExpensePayrollTaxes[exp_item],$H802,ExpensePayrollTaxes[company_name],$B1432)*AP802)</f>
        <v>0</v>
      </c>
      <c r="AQ1432" s="652">
        <f>IF($B1432="",,SUMIFS(SalaryPayrollTaxes[Month 32],SalaryPayrollTaxes[exp_item],$H1432,SalaryPayrollTaxes[company_name],$B1432,SalaryPayrollTaxes[bu_name],$C1432)*(AQ487+AQ592+AQ697)+SUMIFS(ExpensePayrollTaxes[Month 32],ExpensePayrollTaxes[exp_item],$H802,ExpensePayrollTaxes[company_name],$B1432)*AQ802)</f>
        <v>0</v>
      </c>
      <c r="AR1432" s="652">
        <f>IF($B1432="",,SUMIFS(SalaryPayrollTaxes[Month 33],SalaryPayrollTaxes[exp_item],$H1432,SalaryPayrollTaxes[company_name],$B1432,SalaryPayrollTaxes[bu_name],$C1432)*(AR487+AR592+AR697)+SUMIFS(ExpensePayrollTaxes[Month 33],ExpensePayrollTaxes[exp_item],$H802,ExpensePayrollTaxes[company_name],$B1432)*AR802)</f>
        <v>0</v>
      </c>
      <c r="AS1432" s="652">
        <f>IF($B1432="",,SUMIFS(SalaryPayrollTaxes[Month 34],SalaryPayrollTaxes[exp_item],$H1432,SalaryPayrollTaxes[company_name],$B1432,SalaryPayrollTaxes[bu_name],$C1432)*(AS487+AS592+AS697)+SUMIFS(ExpensePayrollTaxes[Month 34],ExpensePayrollTaxes[exp_item],$H802,ExpensePayrollTaxes[company_name],$B1432)*AS802)</f>
        <v>0</v>
      </c>
      <c r="AT1432" s="652">
        <f>IF($B1432="",,SUMIFS(SalaryPayrollTaxes[Month 35],SalaryPayrollTaxes[exp_item],$H1432,SalaryPayrollTaxes[company_name],$B1432,SalaryPayrollTaxes[bu_name],$C1432)*(AT487+AT592+AT697)+SUMIFS(ExpensePayrollTaxes[Month 35],ExpensePayrollTaxes[exp_item],$H802,ExpensePayrollTaxes[company_name],$B1432)*AT802)</f>
        <v>0</v>
      </c>
      <c r="AU1432" s="652">
        <f>IF($B1432="",,SUMIFS(SalaryPayrollTaxes[Month 36],SalaryPayrollTaxes[exp_item],$H1432,SalaryPayrollTaxes[company_name],$B1432,SalaryPayrollTaxes[bu_name],$C1432)*(AU487+AU592+AU697)+SUMIFS(ExpensePayrollTaxes[Month 36],ExpensePayrollTaxes[exp_item],$H802,ExpensePayrollTaxes[company_name],$B1432)*AU802)</f>
        <v>0</v>
      </c>
    </row>
    <row r="1433" spans="2:47" x14ac:dyDescent="0.35">
      <c r="B1433" t="str">
        <f t="shared" si="1001"/>
        <v/>
      </c>
      <c r="C1433" t="str">
        <f t="shared" si="1001"/>
        <v/>
      </c>
      <c r="D1433" t="str">
        <f t="shared" si="1001"/>
        <v/>
      </c>
      <c r="E1433" t="str">
        <f t="shared" si="1001"/>
        <v/>
      </c>
      <c r="F1433" t="str">
        <f t="shared" si="1001"/>
        <v/>
      </c>
      <c r="G1433" t="str">
        <f t="shared" si="1001"/>
        <v/>
      </c>
      <c r="H1433" t="str">
        <f t="shared" si="997"/>
        <v/>
      </c>
      <c r="J1433" t="str">
        <f>IF($H1433="","",IF(VLOOKUP(H1433,ExpItems[],2,0),H1433&amp;" - "&amp;INDEX(DivisionMapping[category_code],MATCH($D1433&amp;$C1433,DivisionMapping[dept_bu],0)),H1433))</f>
        <v/>
      </c>
      <c r="K1433" t="str">
        <f t="shared" si="998"/>
        <v/>
      </c>
      <c r="L1433" s="652">
        <f>IF($B1433="",,SUMIFS(SalaryPayrollTaxes[Month 1],SalaryPayrollTaxes[exp_item],$H1433,SalaryPayrollTaxes[company_name],$B1433,SalaryPayrollTaxes[bu_name],$C1433)*(L488+L593+L698)+SUMIFS(ExpensePayrollTaxes[Month 1],ExpensePayrollTaxes[exp_item],$H803,ExpensePayrollTaxes[company_name],$B1433)*L803)</f>
        <v>0</v>
      </c>
      <c r="M1433" s="652">
        <f>IF($B1433="",,SUMIFS(SalaryPayrollTaxes[Month 2],SalaryPayrollTaxes[exp_item],$H1433,SalaryPayrollTaxes[company_name],$B1433,SalaryPayrollTaxes[bu_name],$C1433)*(M488+M593+M698)+SUMIFS(ExpensePayrollTaxes[Month 2],ExpensePayrollTaxes[exp_item],$H803,ExpensePayrollTaxes[company_name],$B1433)*M803)</f>
        <v>0</v>
      </c>
      <c r="N1433" s="652">
        <f>IF($B1433="",,SUMIFS(SalaryPayrollTaxes[Month 3],SalaryPayrollTaxes[exp_item],$H1433,SalaryPayrollTaxes[company_name],$B1433,SalaryPayrollTaxes[bu_name],$C1433)*(N488+N593+N698)+SUMIFS(ExpensePayrollTaxes[Month 3],ExpensePayrollTaxes[exp_item],$H803,ExpensePayrollTaxes[company_name],$B1433)*N803)</f>
        <v>0</v>
      </c>
      <c r="O1433" s="652">
        <f>IF($B1433="",,SUMIFS(SalaryPayrollTaxes[Month 4],SalaryPayrollTaxes[exp_item],$H1433,SalaryPayrollTaxes[company_name],$B1433,SalaryPayrollTaxes[bu_name],$C1433)*(O488+O593+O698)+SUMIFS(ExpensePayrollTaxes[Month 4],ExpensePayrollTaxes[exp_item],$H803,ExpensePayrollTaxes[company_name],$B1433)*O803)</f>
        <v>0</v>
      </c>
      <c r="P1433" s="652">
        <f>IF($B1433="",,SUMIFS(SalaryPayrollTaxes[Month 5],SalaryPayrollTaxes[exp_item],$H1433,SalaryPayrollTaxes[company_name],$B1433,SalaryPayrollTaxes[bu_name],$C1433)*(P488+P593+P698)+SUMIFS(ExpensePayrollTaxes[Month 5],ExpensePayrollTaxes[exp_item],$H803,ExpensePayrollTaxes[company_name],$B1433)*P803)</f>
        <v>0</v>
      </c>
      <c r="Q1433" s="652">
        <f>IF($B1433="",,SUMIFS(SalaryPayrollTaxes[Month 6],SalaryPayrollTaxes[exp_item],$H1433,SalaryPayrollTaxes[company_name],$B1433,SalaryPayrollTaxes[bu_name],$C1433)*(Q488+Q593+Q698)+SUMIFS(ExpensePayrollTaxes[Month 6],ExpensePayrollTaxes[exp_item],$H803,ExpensePayrollTaxes[company_name],$B1433)*Q803)</f>
        <v>0</v>
      </c>
      <c r="R1433" s="652">
        <f>IF($B1433="",,SUMIFS(SalaryPayrollTaxes[Month 7],SalaryPayrollTaxes[exp_item],$H1433,SalaryPayrollTaxes[company_name],$B1433,SalaryPayrollTaxes[bu_name],$C1433)*(R488+R593+R698)+SUMIFS(ExpensePayrollTaxes[Month 7],ExpensePayrollTaxes[exp_item],$H803,ExpensePayrollTaxes[company_name],$B1433)*R803)</f>
        <v>0</v>
      </c>
      <c r="S1433" s="652">
        <f>IF($B1433="",,SUMIFS(SalaryPayrollTaxes[Month 8],SalaryPayrollTaxes[exp_item],$H1433,SalaryPayrollTaxes[company_name],$B1433,SalaryPayrollTaxes[bu_name],$C1433)*(S488+S593+S698)+SUMIFS(ExpensePayrollTaxes[Month 8],ExpensePayrollTaxes[exp_item],$H803,ExpensePayrollTaxes[company_name],$B1433)*S803)</f>
        <v>0</v>
      </c>
      <c r="T1433" s="652">
        <f>IF($B1433="",,SUMIFS(SalaryPayrollTaxes[Month 9],SalaryPayrollTaxes[exp_item],$H1433,SalaryPayrollTaxes[company_name],$B1433,SalaryPayrollTaxes[bu_name],$C1433)*(T488+T593+T698)+SUMIFS(ExpensePayrollTaxes[Month 9],ExpensePayrollTaxes[exp_item],$H803,ExpensePayrollTaxes[company_name],$B1433)*T803)</f>
        <v>0</v>
      </c>
      <c r="U1433" s="652">
        <f>IF($B1433="",,SUMIFS(SalaryPayrollTaxes[Month 10],SalaryPayrollTaxes[exp_item],$H1433,SalaryPayrollTaxes[company_name],$B1433,SalaryPayrollTaxes[bu_name],$C1433)*(U488+U593+U698)+SUMIFS(ExpensePayrollTaxes[Month 10],ExpensePayrollTaxes[exp_item],$H803,ExpensePayrollTaxes[company_name],$B1433)*U803)</f>
        <v>0</v>
      </c>
      <c r="V1433" s="652">
        <f>IF($B1433="",,SUMIFS(SalaryPayrollTaxes[Month 11],SalaryPayrollTaxes[exp_item],$H1433,SalaryPayrollTaxes[company_name],$B1433,SalaryPayrollTaxes[bu_name],$C1433)*(V488+V593+V698)+SUMIFS(ExpensePayrollTaxes[Month 11],ExpensePayrollTaxes[exp_item],$H803,ExpensePayrollTaxes[company_name],$B1433)*V803)</f>
        <v>0</v>
      </c>
      <c r="W1433" s="652">
        <f>IF($B1433="",,SUMIFS(SalaryPayrollTaxes[Month 12],SalaryPayrollTaxes[exp_item],$H1433,SalaryPayrollTaxes[company_name],$B1433,SalaryPayrollTaxes[bu_name],$C1433)*(W488+W593+W698)+SUMIFS(ExpensePayrollTaxes[Month 12],ExpensePayrollTaxes[exp_item],$H803,ExpensePayrollTaxes[company_name],$B1433)*W803)</f>
        <v>0</v>
      </c>
      <c r="X1433" s="652">
        <f>IF($B1433="",,SUMIFS(SalaryPayrollTaxes[Month 13],SalaryPayrollTaxes[exp_item],$H1433,SalaryPayrollTaxes[company_name],$B1433,SalaryPayrollTaxes[bu_name],$C1433)*(X488+X593+X698)+SUMIFS(ExpensePayrollTaxes[Month 13],ExpensePayrollTaxes[exp_item],$H803,ExpensePayrollTaxes[company_name],$B1433)*X803)</f>
        <v>0</v>
      </c>
      <c r="Y1433" s="652">
        <f>IF($B1433="",,SUMIFS(SalaryPayrollTaxes[Month 14],SalaryPayrollTaxes[exp_item],$H1433,SalaryPayrollTaxes[company_name],$B1433,SalaryPayrollTaxes[bu_name],$C1433)*(Y488+Y593+Y698)+SUMIFS(ExpensePayrollTaxes[Month 14],ExpensePayrollTaxes[exp_item],$H803,ExpensePayrollTaxes[company_name],$B1433)*Y803)</f>
        <v>0</v>
      </c>
      <c r="Z1433" s="652">
        <f>IF($B1433="",,SUMIFS(SalaryPayrollTaxes[Month 15],SalaryPayrollTaxes[exp_item],$H1433,SalaryPayrollTaxes[company_name],$B1433,SalaryPayrollTaxes[bu_name],$C1433)*(Z488+Z593+Z698)+SUMIFS(ExpensePayrollTaxes[Month 15],ExpensePayrollTaxes[exp_item],$H803,ExpensePayrollTaxes[company_name],$B1433)*Z803)</f>
        <v>0</v>
      </c>
      <c r="AA1433" s="652">
        <f>IF($B1433="",,SUMIFS(SalaryPayrollTaxes[Month 16],SalaryPayrollTaxes[exp_item],$H1433,SalaryPayrollTaxes[company_name],$B1433,SalaryPayrollTaxes[bu_name],$C1433)*(AA488+AA593+AA698)+SUMIFS(ExpensePayrollTaxes[Month 16],ExpensePayrollTaxes[exp_item],$H803,ExpensePayrollTaxes[company_name],$B1433)*AA803)</f>
        <v>0</v>
      </c>
      <c r="AB1433" s="652">
        <f>IF($B1433="",,SUMIFS(SalaryPayrollTaxes[Month 17],SalaryPayrollTaxes[exp_item],$H1433,SalaryPayrollTaxes[company_name],$B1433,SalaryPayrollTaxes[bu_name],$C1433)*(AB488+AB593+AB698)+SUMIFS(ExpensePayrollTaxes[Month 17],ExpensePayrollTaxes[exp_item],$H803,ExpensePayrollTaxes[company_name],$B1433)*AB803)</f>
        <v>0</v>
      </c>
      <c r="AC1433" s="652">
        <f>IF($B1433="",,SUMIFS(SalaryPayrollTaxes[Month 18],SalaryPayrollTaxes[exp_item],$H1433,SalaryPayrollTaxes[company_name],$B1433,SalaryPayrollTaxes[bu_name],$C1433)*(AC488+AC593+AC698)+SUMIFS(ExpensePayrollTaxes[Month 18],ExpensePayrollTaxes[exp_item],$H803,ExpensePayrollTaxes[company_name],$B1433)*AC803)</f>
        <v>0</v>
      </c>
      <c r="AD1433" s="652">
        <f>IF($B1433="",,SUMIFS(SalaryPayrollTaxes[Month 19],SalaryPayrollTaxes[exp_item],$H1433,SalaryPayrollTaxes[company_name],$B1433,SalaryPayrollTaxes[bu_name],$C1433)*(AD488+AD593+AD698)+SUMIFS(ExpensePayrollTaxes[Month 19],ExpensePayrollTaxes[exp_item],$H803,ExpensePayrollTaxes[company_name],$B1433)*AD803)</f>
        <v>0</v>
      </c>
      <c r="AE1433" s="652">
        <f>IF($B1433="",,SUMIFS(SalaryPayrollTaxes[Month 20],SalaryPayrollTaxes[exp_item],$H1433,SalaryPayrollTaxes[company_name],$B1433,SalaryPayrollTaxes[bu_name],$C1433)*(AE488+AE593+AE698)+SUMIFS(ExpensePayrollTaxes[Month 20],ExpensePayrollTaxes[exp_item],$H803,ExpensePayrollTaxes[company_name],$B1433)*AE803)</f>
        <v>0</v>
      </c>
      <c r="AF1433" s="652">
        <f>IF($B1433="",,SUMIFS(SalaryPayrollTaxes[Month 21],SalaryPayrollTaxes[exp_item],$H1433,SalaryPayrollTaxes[company_name],$B1433,SalaryPayrollTaxes[bu_name],$C1433)*(AF488+AF593+AF698)+SUMIFS(ExpensePayrollTaxes[Month 21],ExpensePayrollTaxes[exp_item],$H803,ExpensePayrollTaxes[company_name],$B1433)*AF803)</f>
        <v>0</v>
      </c>
      <c r="AG1433" s="652">
        <f>IF($B1433="",,SUMIFS(SalaryPayrollTaxes[Month 22],SalaryPayrollTaxes[exp_item],$H1433,SalaryPayrollTaxes[company_name],$B1433,SalaryPayrollTaxes[bu_name],$C1433)*(AG488+AG593+AG698)+SUMIFS(ExpensePayrollTaxes[Month 22],ExpensePayrollTaxes[exp_item],$H803,ExpensePayrollTaxes[company_name],$B1433)*AG803)</f>
        <v>0</v>
      </c>
      <c r="AH1433" s="652">
        <f>IF($B1433="",,SUMIFS(SalaryPayrollTaxes[Month 23],SalaryPayrollTaxes[exp_item],$H1433,SalaryPayrollTaxes[company_name],$B1433,SalaryPayrollTaxes[bu_name],$C1433)*(AH488+AH593+AH698)+SUMIFS(ExpensePayrollTaxes[Month 23],ExpensePayrollTaxes[exp_item],$H803,ExpensePayrollTaxes[company_name],$B1433)*AH803)</f>
        <v>0</v>
      </c>
      <c r="AI1433" s="652">
        <f>IF($B1433="",,SUMIFS(SalaryPayrollTaxes[Month 24],SalaryPayrollTaxes[exp_item],$H1433,SalaryPayrollTaxes[company_name],$B1433,SalaryPayrollTaxes[bu_name],$C1433)*(AI488+AI593+AI698)+SUMIFS(ExpensePayrollTaxes[Month 24],ExpensePayrollTaxes[exp_item],$H803,ExpensePayrollTaxes[company_name],$B1433)*AI803)</f>
        <v>0</v>
      </c>
      <c r="AJ1433" s="652">
        <f>IF($B1433="",,SUMIFS(SalaryPayrollTaxes[Month 25],SalaryPayrollTaxes[exp_item],$H1433,SalaryPayrollTaxes[company_name],$B1433,SalaryPayrollTaxes[bu_name],$C1433)*(AJ488+AJ593+AJ698)+SUMIFS(ExpensePayrollTaxes[Month 25],ExpensePayrollTaxes[exp_item],$H803,ExpensePayrollTaxes[company_name],$B1433)*AJ803)</f>
        <v>0</v>
      </c>
      <c r="AK1433" s="652">
        <f>IF($B1433="",,SUMIFS(SalaryPayrollTaxes[Month 26],SalaryPayrollTaxes[exp_item],$H1433,SalaryPayrollTaxes[company_name],$B1433,SalaryPayrollTaxes[bu_name],$C1433)*(AK488+AK593+AK698)+SUMIFS(ExpensePayrollTaxes[Month 26],ExpensePayrollTaxes[exp_item],$H803,ExpensePayrollTaxes[company_name],$B1433)*AK803)</f>
        <v>0</v>
      </c>
      <c r="AL1433" s="652">
        <f>IF($B1433="",,SUMIFS(SalaryPayrollTaxes[Month 27],SalaryPayrollTaxes[exp_item],$H1433,SalaryPayrollTaxes[company_name],$B1433,SalaryPayrollTaxes[bu_name],$C1433)*(AL488+AL593+AL698)+SUMIFS(ExpensePayrollTaxes[Month 27],ExpensePayrollTaxes[exp_item],$H803,ExpensePayrollTaxes[company_name],$B1433)*AL803)</f>
        <v>0</v>
      </c>
      <c r="AM1433" s="652">
        <f>IF($B1433="",,SUMIFS(SalaryPayrollTaxes[Month 28],SalaryPayrollTaxes[exp_item],$H1433,SalaryPayrollTaxes[company_name],$B1433,SalaryPayrollTaxes[bu_name],$C1433)*(AM488+AM593+AM698)+SUMIFS(ExpensePayrollTaxes[Month 28],ExpensePayrollTaxes[exp_item],$H803,ExpensePayrollTaxes[company_name],$B1433)*AM803)</f>
        <v>0</v>
      </c>
      <c r="AN1433" s="652">
        <f>IF($B1433="",,SUMIFS(SalaryPayrollTaxes[Month 29],SalaryPayrollTaxes[exp_item],$H1433,SalaryPayrollTaxes[company_name],$B1433,SalaryPayrollTaxes[bu_name],$C1433)*(AN488+AN593+AN698)+SUMIFS(ExpensePayrollTaxes[Month 29],ExpensePayrollTaxes[exp_item],$H803,ExpensePayrollTaxes[company_name],$B1433)*AN803)</f>
        <v>0</v>
      </c>
      <c r="AO1433" s="652">
        <f>IF($B1433="",,SUMIFS(SalaryPayrollTaxes[Month 30],SalaryPayrollTaxes[exp_item],$H1433,SalaryPayrollTaxes[company_name],$B1433,SalaryPayrollTaxes[bu_name],$C1433)*(AO488+AO593+AO698)+SUMIFS(ExpensePayrollTaxes[Month 30],ExpensePayrollTaxes[exp_item],$H803,ExpensePayrollTaxes[company_name],$B1433)*AO803)</f>
        <v>0</v>
      </c>
      <c r="AP1433" s="652">
        <f>IF($B1433="",,SUMIFS(SalaryPayrollTaxes[Month 31],SalaryPayrollTaxes[exp_item],$H1433,SalaryPayrollTaxes[company_name],$B1433,SalaryPayrollTaxes[bu_name],$C1433)*(AP488+AP593+AP698)+SUMIFS(ExpensePayrollTaxes[Month 31],ExpensePayrollTaxes[exp_item],$H803,ExpensePayrollTaxes[company_name],$B1433)*AP803)</f>
        <v>0</v>
      </c>
      <c r="AQ1433" s="652">
        <f>IF($B1433="",,SUMIFS(SalaryPayrollTaxes[Month 32],SalaryPayrollTaxes[exp_item],$H1433,SalaryPayrollTaxes[company_name],$B1433,SalaryPayrollTaxes[bu_name],$C1433)*(AQ488+AQ593+AQ698)+SUMIFS(ExpensePayrollTaxes[Month 32],ExpensePayrollTaxes[exp_item],$H803,ExpensePayrollTaxes[company_name],$B1433)*AQ803)</f>
        <v>0</v>
      </c>
      <c r="AR1433" s="652">
        <f>IF($B1433="",,SUMIFS(SalaryPayrollTaxes[Month 33],SalaryPayrollTaxes[exp_item],$H1433,SalaryPayrollTaxes[company_name],$B1433,SalaryPayrollTaxes[bu_name],$C1433)*(AR488+AR593+AR698)+SUMIFS(ExpensePayrollTaxes[Month 33],ExpensePayrollTaxes[exp_item],$H803,ExpensePayrollTaxes[company_name],$B1433)*AR803)</f>
        <v>0</v>
      </c>
      <c r="AS1433" s="652">
        <f>IF($B1433="",,SUMIFS(SalaryPayrollTaxes[Month 34],SalaryPayrollTaxes[exp_item],$H1433,SalaryPayrollTaxes[company_name],$B1433,SalaryPayrollTaxes[bu_name],$C1433)*(AS488+AS593+AS698)+SUMIFS(ExpensePayrollTaxes[Month 34],ExpensePayrollTaxes[exp_item],$H803,ExpensePayrollTaxes[company_name],$B1433)*AS803)</f>
        <v>0</v>
      </c>
      <c r="AT1433" s="652">
        <f>IF($B1433="",,SUMIFS(SalaryPayrollTaxes[Month 35],SalaryPayrollTaxes[exp_item],$H1433,SalaryPayrollTaxes[company_name],$B1433,SalaryPayrollTaxes[bu_name],$C1433)*(AT488+AT593+AT698)+SUMIFS(ExpensePayrollTaxes[Month 35],ExpensePayrollTaxes[exp_item],$H803,ExpensePayrollTaxes[company_name],$B1433)*AT803)</f>
        <v>0</v>
      </c>
      <c r="AU1433" s="652">
        <f>IF($B1433="",,SUMIFS(SalaryPayrollTaxes[Month 36],SalaryPayrollTaxes[exp_item],$H1433,SalaryPayrollTaxes[company_name],$B1433,SalaryPayrollTaxes[bu_name],$C1433)*(AU488+AU593+AU698)+SUMIFS(ExpensePayrollTaxes[Month 36],ExpensePayrollTaxes[exp_item],$H803,ExpensePayrollTaxes[company_name],$B1433)*AU803)</f>
        <v>0</v>
      </c>
    </row>
    <row r="1434" spans="2:47" x14ac:dyDescent="0.35">
      <c r="B1434" t="str">
        <f t="shared" si="1001"/>
        <v/>
      </c>
      <c r="C1434" t="str">
        <f t="shared" si="1001"/>
        <v/>
      </c>
      <c r="D1434" t="str">
        <f t="shared" si="1001"/>
        <v/>
      </c>
      <c r="E1434" t="str">
        <f t="shared" si="1001"/>
        <v/>
      </c>
      <c r="F1434" t="str">
        <f t="shared" si="1001"/>
        <v/>
      </c>
      <c r="G1434" t="str">
        <f t="shared" si="1001"/>
        <v/>
      </c>
      <c r="H1434" t="str">
        <f t="shared" si="997"/>
        <v/>
      </c>
      <c r="J1434" t="str">
        <f>IF($H1434="","",IF(VLOOKUP(H1434,ExpItems[],2,0),H1434&amp;" - "&amp;INDEX(DivisionMapping[category_code],MATCH($D1434&amp;$C1434,DivisionMapping[dept_bu],0)),H1434))</f>
        <v/>
      </c>
      <c r="K1434" t="str">
        <f t="shared" si="998"/>
        <v/>
      </c>
      <c r="L1434" s="652">
        <f>IF($B1434="",,SUMIFS(SalaryPayrollTaxes[Month 1],SalaryPayrollTaxes[exp_item],$H1434,SalaryPayrollTaxes[company_name],$B1434,SalaryPayrollTaxes[bu_name],$C1434)*(L489+L594+L699)+SUMIFS(ExpensePayrollTaxes[Month 1],ExpensePayrollTaxes[exp_item],$H804,ExpensePayrollTaxes[company_name],$B1434)*L804)</f>
        <v>0</v>
      </c>
      <c r="M1434" s="652">
        <f>IF($B1434="",,SUMIFS(SalaryPayrollTaxes[Month 2],SalaryPayrollTaxes[exp_item],$H1434,SalaryPayrollTaxes[company_name],$B1434,SalaryPayrollTaxes[bu_name],$C1434)*(M489+M594+M699)+SUMIFS(ExpensePayrollTaxes[Month 2],ExpensePayrollTaxes[exp_item],$H804,ExpensePayrollTaxes[company_name],$B1434)*M804)</f>
        <v>0</v>
      </c>
      <c r="N1434" s="652">
        <f>IF($B1434="",,SUMIFS(SalaryPayrollTaxes[Month 3],SalaryPayrollTaxes[exp_item],$H1434,SalaryPayrollTaxes[company_name],$B1434,SalaryPayrollTaxes[bu_name],$C1434)*(N489+N594+N699)+SUMIFS(ExpensePayrollTaxes[Month 3],ExpensePayrollTaxes[exp_item],$H804,ExpensePayrollTaxes[company_name],$B1434)*N804)</f>
        <v>0</v>
      </c>
      <c r="O1434" s="652">
        <f>IF($B1434="",,SUMIFS(SalaryPayrollTaxes[Month 4],SalaryPayrollTaxes[exp_item],$H1434,SalaryPayrollTaxes[company_name],$B1434,SalaryPayrollTaxes[bu_name],$C1434)*(O489+O594+O699)+SUMIFS(ExpensePayrollTaxes[Month 4],ExpensePayrollTaxes[exp_item],$H804,ExpensePayrollTaxes[company_name],$B1434)*O804)</f>
        <v>0</v>
      </c>
      <c r="P1434" s="652">
        <f>IF($B1434="",,SUMIFS(SalaryPayrollTaxes[Month 5],SalaryPayrollTaxes[exp_item],$H1434,SalaryPayrollTaxes[company_name],$B1434,SalaryPayrollTaxes[bu_name],$C1434)*(P489+P594+P699)+SUMIFS(ExpensePayrollTaxes[Month 5],ExpensePayrollTaxes[exp_item],$H804,ExpensePayrollTaxes[company_name],$B1434)*P804)</f>
        <v>0</v>
      </c>
      <c r="Q1434" s="652">
        <f>IF($B1434="",,SUMIFS(SalaryPayrollTaxes[Month 6],SalaryPayrollTaxes[exp_item],$H1434,SalaryPayrollTaxes[company_name],$B1434,SalaryPayrollTaxes[bu_name],$C1434)*(Q489+Q594+Q699)+SUMIFS(ExpensePayrollTaxes[Month 6],ExpensePayrollTaxes[exp_item],$H804,ExpensePayrollTaxes[company_name],$B1434)*Q804)</f>
        <v>0</v>
      </c>
      <c r="R1434" s="652">
        <f>IF($B1434="",,SUMIFS(SalaryPayrollTaxes[Month 7],SalaryPayrollTaxes[exp_item],$H1434,SalaryPayrollTaxes[company_name],$B1434,SalaryPayrollTaxes[bu_name],$C1434)*(R489+R594+R699)+SUMIFS(ExpensePayrollTaxes[Month 7],ExpensePayrollTaxes[exp_item],$H804,ExpensePayrollTaxes[company_name],$B1434)*R804)</f>
        <v>0</v>
      </c>
      <c r="S1434" s="652">
        <f>IF($B1434="",,SUMIFS(SalaryPayrollTaxes[Month 8],SalaryPayrollTaxes[exp_item],$H1434,SalaryPayrollTaxes[company_name],$B1434,SalaryPayrollTaxes[bu_name],$C1434)*(S489+S594+S699)+SUMIFS(ExpensePayrollTaxes[Month 8],ExpensePayrollTaxes[exp_item],$H804,ExpensePayrollTaxes[company_name],$B1434)*S804)</f>
        <v>0</v>
      </c>
      <c r="T1434" s="652">
        <f>IF($B1434="",,SUMIFS(SalaryPayrollTaxes[Month 9],SalaryPayrollTaxes[exp_item],$H1434,SalaryPayrollTaxes[company_name],$B1434,SalaryPayrollTaxes[bu_name],$C1434)*(T489+T594+T699)+SUMIFS(ExpensePayrollTaxes[Month 9],ExpensePayrollTaxes[exp_item],$H804,ExpensePayrollTaxes[company_name],$B1434)*T804)</f>
        <v>0</v>
      </c>
      <c r="U1434" s="652">
        <f>IF($B1434="",,SUMIFS(SalaryPayrollTaxes[Month 10],SalaryPayrollTaxes[exp_item],$H1434,SalaryPayrollTaxes[company_name],$B1434,SalaryPayrollTaxes[bu_name],$C1434)*(U489+U594+U699)+SUMIFS(ExpensePayrollTaxes[Month 10],ExpensePayrollTaxes[exp_item],$H804,ExpensePayrollTaxes[company_name],$B1434)*U804)</f>
        <v>0</v>
      </c>
      <c r="V1434" s="652">
        <f>IF($B1434="",,SUMIFS(SalaryPayrollTaxes[Month 11],SalaryPayrollTaxes[exp_item],$H1434,SalaryPayrollTaxes[company_name],$B1434,SalaryPayrollTaxes[bu_name],$C1434)*(V489+V594+V699)+SUMIFS(ExpensePayrollTaxes[Month 11],ExpensePayrollTaxes[exp_item],$H804,ExpensePayrollTaxes[company_name],$B1434)*V804)</f>
        <v>0</v>
      </c>
      <c r="W1434" s="652">
        <f>IF($B1434="",,SUMIFS(SalaryPayrollTaxes[Month 12],SalaryPayrollTaxes[exp_item],$H1434,SalaryPayrollTaxes[company_name],$B1434,SalaryPayrollTaxes[bu_name],$C1434)*(W489+W594+W699)+SUMIFS(ExpensePayrollTaxes[Month 12],ExpensePayrollTaxes[exp_item],$H804,ExpensePayrollTaxes[company_name],$B1434)*W804)</f>
        <v>0</v>
      </c>
      <c r="X1434" s="652">
        <f>IF($B1434="",,SUMIFS(SalaryPayrollTaxes[Month 13],SalaryPayrollTaxes[exp_item],$H1434,SalaryPayrollTaxes[company_name],$B1434,SalaryPayrollTaxes[bu_name],$C1434)*(X489+X594+X699)+SUMIFS(ExpensePayrollTaxes[Month 13],ExpensePayrollTaxes[exp_item],$H804,ExpensePayrollTaxes[company_name],$B1434)*X804)</f>
        <v>0</v>
      </c>
      <c r="Y1434" s="652">
        <f>IF($B1434="",,SUMIFS(SalaryPayrollTaxes[Month 14],SalaryPayrollTaxes[exp_item],$H1434,SalaryPayrollTaxes[company_name],$B1434,SalaryPayrollTaxes[bu_name],$C1434)*(Y489+Y594+Y699)+SUMIFS(ExpensePayrollTaxes[Month 14],ExpensePayrollTaxes[exp_item],$H804,ExpensePayrollTaxes[company_name],$B1434)*Y804)</f>
        <v>0</v>
      </c>
      <c r="Z1434" s="652">
        <f>IF($B1434="",,SUMIFS(SalaryPayrollTaxes[Month 15],SalaryPayrollTaxes[exp_item],$H1434,SalaryPayrollTaxes[company_name],$B1434,SalaryPayrollTaxes[bu_name],$C1434)*(Z489+Z594+Z699)+SUMIFS(ExpensePayrollTaxes[Month 15],ExpensePayrollTaxes[exp_item],$H804,ExpensePayrollTaxes[company_name],$B1434)*Z804)</f>
        <v>0</v>
      </c>
      <c r="AA1434" s="652">
        <f>IF($B1434="",,SUMIFS(SalaryPayrollTaxes[Month 16],SalaryPayrollTaxes[exp_item],$H1434,SalaryPayrollTaxes[company_name],$B1434,SalaryPayrollTaxes[bu_name],$C1434)*(AA489+AA594+AA699)+SUMIFS(ExpensePayrollTaxes[Month 16],ExpensePayrollTaxes[exp_item],$H804,ExpensePayrollTaxes[company_name],$B1434)*AA804)</f>
        <v>0</v>
      </c>
      <c r="AB1434" s="652">
        <f>IF($B1434="",,SUMIFS(SalaryPayrollTaxes[Month 17],SalaryPayrollTaxes[exp_item],$H1434,SalaryPayrollTaxes[company_name],$B1434,SalaryPayrollTaxes[bu_name],$C1434)*(AB489+AB594+AB699)+SUMIFS(ExpensePayrollTaxes[Month 17],ExpensePayrollTaxes[exp_item],$H804,ExpensePayrollTaxes[company_name],$B1434)*AB804)</f>
        <v>0</v>
      </c>
      <c r="AC1434" s="652">
        <f>IF($B1434="",,SUMIFS(SalaryPayrollTaxes[Month 18],SalaryPayrollTaxes[exp_item],$H1434,SalaryPayrollTaxes[company_name],$B1434,SalaryPayrollTaxes[bu_name],$C1434)*(AC489+AC594+AC699)+SUMIFS(ExpensePayrollTaxes[Month 18],ExpensePayrollTaxes[exp_item],$H804,ExpensePayrollTaxes[company_name],$B1434)*AC804)</f>
        <v>0</v>
      </c>
      <c r="AD1434" s="652">
        <f>IF($B1434="",,SUMIFS(SalaryPayrollTaxes[Month 19],SalaryPayrollTaxes[exp_item],$H1434,SalaryPayrollTaxes[company_name],$B1434,SalaryPayrollTaxes[bu_name],$C1434)*(AD489+AD594+AD699)+SUMIFS(ExpensePayrollTaxes[Month 19],ExpensePayrollTaxes[exp_item],$H804,ExpensePayrollTaxes[company_name],$B1434)*AD804)</f>
        <v>0</v>
      </c>
      <c r="AE1434" s="652">
        <f>IF($B1434="",,SUMIFS(SalaryPayrollTaxes[Month 20],SalaryPayrollTaxes[exp_item],$H1434,SalaryPayrollTaxes[company_name],$B1434,SalaryPayrollTaxes[bu_name],$C1434)*(AE489+AE594+AE699)+SUMIFS(ExpensePayrollTaxes[Month 20],ExpensePayrollTaxes[exp_item],$H804,ExpensePayrollTaxes[company_name],$B1434)*AE804)</f>
        <v>0</v>
      </c>
      <c r="AF1434" s="652">
        <f>IF($B1434="",,SUMIFS(SalaryPayrollTaxes[Month 21],SalaryPayrollTaxes[exp_item],$H1434,SalaryPayrollTaxes[company_name],$B1434,SalaryPayrollTaxes[bu_name],$C1434)*(AF489+AF594+AF699)+SUMIFS(ExpensePayrollTaxes[Month 21],ExpensePayrollTaxes[exp_item],$H804,ExpensePayrollTaxes[company_name],$B1434)*AF804)</f>
        <v>0</v>
      </c>
      <c r="AG1434" s="652">
        <f>IF($B1434="",,SUMIFS(SalaryPayrollTaxes[Month 22],SalaryPayrollTaxes[exp_item],$H1434,SalaryPayrollTaxes[company_name],$B1434,SalaryPayrollTaxes[bu_name],$C1434)*(AG489+AG594+AG699)+SUMIFS(ExpensePayrollTaxes[Month 22],ExpensePayrollTaxes[exp_item],$H804,ExpensePayrollTaxes[company_name],$B1434)*AG804)</f>
        <v>0</v>
      </c>
      <c r="AH1434" s="652">
        <f>IF($B1434="",,SUMIFS(SalaryPayrollTaxes[Month 23],SalaryPayrollTaxes[exp_item],$H1434,SalaryPayrollTaxes[company_name],$B1434,SalaryPayrollTaxes[bu_name],$C1434)*(AH489+AH594+AH699)+SUMIFS(ExpensePayrollTaxes[Month 23],ExpensePayrollTaxes[exp_item],$H804,ExpensePayrollTaxes[company_name],$B1434)*AH804)</f>
        <v>0</v>
      </c>
      <c r="AI1434" s="652">
        <f>IF($B1434="",,SUMIFS(SalaryPayrollTaxes[Month 24],SalaryPayrollTaxes[exp_item],$H1434,SalaryPayrollTaxes[company_name],$B1434,SalaryPayrollTaxes[bu_name],$C1434)*(AI489+AI594+AI699)+SUMIFS(ExpensePayrollTaxes[Month 24],ExpensePayrollTaxes[exp_item],$H804,ExpensePayrollTaxes[company_name],$B1434)*AI804)</f>
        <v>0</v>
      </c>
      <c r="AJ1434" s="652">
        <f>IF($B1434="",,SUMIFS(SalaryPayrollTaxes[Month 25],SalaryPayrollTaxes[exp_item],$H1434,SalaryPayrollTaxes[company_name],$B1434,SalaryPayrollTaxes[bu_name],$C1434)*(AJ489+AJ594+AJ699)+SUMIFS(ExpensePayrollTaxes[Month 25],ExpensePayrollTaxes[exp_item],$H804,ExpensePayrollTaxes[company_name],$B1434)*AJ804)</f>
        <v>0</v>
      </c>
      <c r="AK1434" s="652">
        <f>IF($B1434="",,SUMIFS(SalaryPayrollTaxes[Month 26],SalaryPayrollTaxes[exp_item],$H1434,SalaryPayrollTaxes[company_name],$B1434,SalaryPayrollTaxes[bu_name],$C1434)*(AK489+AK594+AK699)+SUMIFS(ExpensePayrollTaxes[Month 26],ExpensePayrollTaxes[exp_item],$H804,ExpensePayrollTaxes[company_name],$B1434)*AK804)</f>
        <v>0</v>
      </c>
      <c r="AL1434" s="652">
        <f>IF($B1434="",,SUMIFS(SalaryPayrollTaxes[Month 27],SalaryPayrollTaxes[exp_item],$H1434,SalaryPayrollTaxes[company_name],$B1434,SalaryPayrollTaxes[bu_name],$C1434)*(AL489+AL594+AL699)+SUMIFS(ExpensePayrollTaxes[Month 27],ExpensePayrollTaxes[exp_item],$H804,ExpensePayrollTaxes[company_name],$B1434)*AL804)</f>
        <v>0</v>
      </c>
      <c r="AM1434" s="652">
        <f>IF($B1434="",,SUMIFS(SalaryPayrollTaxes[Month 28],SalaryPayrollTaxes[exp_item],$H1434,SalaryPayrollTaxes[company_name],$B1434,SalaryPayrollTaxes[bu_name],$C1434)*(AM489+AM594+AM699)+SUMIFS(ExpensePayrollTaxes[Month 28],ExpensePayrollTaxes[exp_item],$H804,ExpensePayrollTaxes[company_name],$B1434)*AM804)</f>
        <v>0</v>
      </c>
      <c r="AN1434" s="652">
        <f>IF($B1434="",,SUMIFS(SalaryPayrollTaxes[Month 29],SalaryPayrollTaxes[exp_item],$H1434,SalaryPayrollTaxes[company_name],$B1434,SalaryPayrollTaxes[bu_name],$C1434)*(AN489+AN594+AN699)+SUMIFS(ExpensePayrollTaxes[Month 29],ExpensePayrollTaxes[exp_item],$H804,ExpensePayrollTaxes[company_name],$B1434)*AN804)</f>
        <v>0</v>
      </c>
      <c r="AO1434" s="652">
        <f>IF($B1434="",,SUMIFS(SalaryPayrollTaxes[Month 30],SalaryPayrollTaxes[exp_item],$H1434,SalaryPayrollTaxes[company_name],$B1434,SalaryPayrollTaxes[bu_name],$C1434)*(AO489+AO594+AO699)+SUMIFS(ExpensePayrollTaxes[Month 30],ExpensePayrollTaxes[exp_item],$H804,ExpensePayrollTaxes[company_name],$B1434)*AO804)</f>
        <v>0</v>
      </c>
      <c r="AP1434" s="652">
        <f>IF($B1434="",,SUMIFS(SalaryPayrollTaxes[Month 31],SalaryPayrollTaxes[exp_item],$H1434,SalaryPayrollTaxes[company_name],$B1434,SalaryPayrollTaxes[bu_name],$C1434)*(AP489+AP594+AP699)+SUMIFS(ExpensePayrollTaxes[Month 31],ExpensePayrollTaxes[exp_item],$H804,ExpensePayrollTaxes[company_name],$B1434)*AP804)</f>
        <v>0</v>
      </c>
      <c r="AQ1434" s="652">
        <f>IF($B1434="",,SUMIFS(SalaryPayrollTaxes[Month 32],SalaryPayrollTaxes[exp_item],$H1434,SalaryPayrollTaxes[company_name],$B1434,SalaryPayrollTaxes[bu_name],$C1434)*(AQ489+AQ594+AQ699)+SUMIFS(ExpensePayrollTaxes[Month 32],ExpensePayrollTaxes[exp_item],$H804,ExpensePayrollTaxes[company_name],$B1434)*AQ804)</f>
        <v>0</v>
      </c>
      <c r="AR1434" s="652">
        <f>IF($B1434="",,SUMIFS(SalaryPayrollTaxes[Month 33],SalaryPayrollTaxes[exp_item],$H1434,SalaryPayrollTaxes[company_name],$B1434,SalaryPayrollTaxes[bu_name],$C1434)*(AR489+AR594+AR699)+SUMIFS(ExpensePayrollTaxes[Month 33],ExpensePayrollTaxes[exp_item],$H804,ExpensePayrollTaxes[company_name],$B1434)*AR804)</f>
        <v>0</v>
      </c>
      <c r="AS1434" s="652">
        <f>IF($B1434="",,SUMIFS(SalaryPayrollTaxes[Month 34],SalaryPayrollTaxes[exp_item],$H1434,SalaryPayrollTaxes[company_name],$B1434,SalaryPayrollTaxes[bu_name],$C1434)*(AS489+AS594+AS699)+SUMIFS(ExpensePayrollTaxes[Month 34],ExpensePayrollTaxes[exp_item],$H804,ExpensePayrollTaxes[company_name],$B1434)*AS804)</f>
        <v>0</v>
      </c>
      <c r="AT1434" s="652">
        <f>IF($B1434="",,SUMIFS(SalaryPayrollTaxes[Month 35],SalaryPayrollTaxes[exp_item],$H1434,SalaryPayrollTaxes[company_name],$B1434,SalaryPayrollTaxes[bu_name],$C1434)*(AT489+AT594+AT699)+SUMIFS(ExpensePayrollTaxes[Month 35],ExpensePayrollTaxes[exp_item],$H804,ExpensePayrollTaxes[company_name],$B1434)*AT804)</f>
        <v>0</v>
      </c>
      <c r="AU1434" s="652">
        <f>IF($B1434="",,SUMIFS(SalaryPayrollTaxes[Month 36],SalaryPayrollTaxes[exp_item],$H1434,SalaryPayrollTaxes[company_name],$B1434,SalaryPayrollTaxes[bu_name],$C1434)*(AU489+AU594+AU699)+SUMIFS(ExpensePayrollTaxes[Month 36],ExpensePayrollTaxes[exp_item],$H804,ExpensePayrollTaxes[company_name],$B1434)*AU804)</f>
        <v>0</v>
      </c>
    </row>
    <row r="1435" spans="2:47" x14ac:dyDescent="0.35">
      <c r="B1435" t="str">
        <f t="shared" si="1001"/>
        <v/>
      </c>
      <c r="C1435" t="str">
        <f t="shared" si="1001"/>
        <v/>
      </c>
      <c r="D1435" t="str">
        <f t="shared" si="1001"/>
        <v/>
      </c>
      <c r="E1435" t="str">
        <f t="shared" si="1001"/>
        <v/>
      </c>
      <c r="F1435" t="str">
        <f t="shared" si="1001"/>
        <v/>
      </c>
      <c r="G1435" t="str">
        <f t="shared" si="1001"/>
        <v/>
      </c>
      <c r="H1435" t="str">
        <f t="shared" si="997"/>
        <v/>
      </c>
      <c r="J1435" t="str">
        <f>IF($H1435="","",IF(VLOOKUP(H1435,ExpItems[],2,0),H1435&amp;" - "&amp;INDEX(DivisionMapping[category_code],MATCH($D1435&amp;$C1435,DivisionMapping[dept_bu],0)),H1435))</f>
        <v/>
      </c>
      <c r="K1435" t="str">
        <f t="shared" si="998"/>
        <v/>
      </c>
      <c r="L1435" s="652">
        <f>IF($B1435="",,SUMIFS(SalaryPayrollTaxes[Month 1],SalaryPayrollTaxes[exp_item],$H1435,SalaryPayrollTaxes[company_name],$B1435,SalaryPayrollTaxes[bu_name],$C1435)*(L490+L595+L700)+SUMIFS(ExpensePayrollTaxes[Month 1],ExpensePayrollTaxes[exp_item],$H805,ExpensePayrollTaxes[company_name],$B1435)*L805)</f>
        <v>0</v>
      </c>
      <c r="M1435" s="652">
        <f>IF($B1435="",,SUMIFS(SalaryPayrollTaxes[Month 2],SalaryPayrollTaxes[exp_item],$H1435,SalaryPayrollTaxes[company_name],$B1435,SalaryPayrollTaxes[bu_name],$C1435)*(M490+M595+M700)+SUMIFS(ExpensePayrollTaxes[Month 2],ExpensePayrollTaxes[exp_item],$H805,ExpensePayrollTaxes[company_name],$B1435)*M805)</f>
        <v>0</v>
      </c>
      <c r="N1435" s="652">
        <f>IF($B1435="",,SUMIFS(SalaryPayrollTaxes[Month 3],SalaryPayrollTaxes[exp_item],$H1435,SalaryPayrollTaxes[company_name],$B1435,SalaryPayrollTaxes[bu_name],$C1435)*(N490+N595+N700)+SUMIFS(ExpensePayrollTaxes[Month 3],ExpensePayrollTaxes[exp_item],$H805,ExpensePayrollTaxes[company_name],$B1435)*N805)</f>
        <v>0</v>
      </c>
      <c r="O1435" s="652">
        <f>IF($B1435="",,SUMIFS(SalaryPayrollTaxes[Month 4],SalaryPayrollTaxes[exp_item],$H1435,SalaryPayrollTaxes[company_name],$B1435,SalaryPayrollTaxes[bu_name],$C1435)*(O490+O595+O700)+SUMIFS(ExpensePayrollTaxes[Month 4],ExpensePayrollTaxes[exp_item],$H805,ExpensePayrollTaxes[company_name],$B1435)*O805)</f>
        <v>0</v>
      </c>
      <c r="P1435" s="652">
        <f>IF($B1435="",,SUMIFS(SalaryPayrollTaxes[Month 5],SalaryPayrollTaxes[exp_item],$H1435,SalaryPayrollTaxes[company_name],$B1435,SalaryPayrollTaxes[bu_name],$C1435)*(P490+P595+P700)+SUMIFS(ExpensePayrollTaxes[Month 5],ExpensePayrollTaxes[exp_item],$H805,ExpensePayrollTaxes[company_name],$B1435)*P805)</f>
        <v>0</v>
      </c>
      <c r="Q1435" s="652">
        <f>IF($B1435="",,SUMIFS(SalaryPayrollTaxes[Month 6],SalaryPayrollTaxes[exp_item],$H1435,SalaryPayrollTaxes[company_name],$B1435,SalaryPayrollTaxes[bu_name],$C1435)*(Q490+Q595+Q700)+SUMIFS(ExpensePayrollTaxes[Month 6],ExpensePayrollTaxes[exp_item],$H805,ExpensePayrollTaxes[company_name],$B1435)*Q805)</f>
        <v>0</v>
      </c>
      <c r="R1435" s="652">
        <f>IF($B1435="",,SUMIFS(SalaryPayrollTaxes[Month 7],SalaryPayrollTaxes[exp_item],$H1435,SalaryPayrollTaxes[company_name],$B1435,SalaryPayrollTaxes[bu_name],$C1435)*(R490+R595+R700)+SUMIFS(ExpensePayrollTaxes[Month 7],ExpensePayrollTaxes[exp_item],$H805,ExpensePayrollTaxes[company_name],$B1435)*R805)</f>
        <v>0</v>
      </c>
      <c r="S1435" s="652">
        <f>IF($B1435="",,SUMIFS(SalaryPayrollTaxes[Month 8],SalaryPayrollTaxes[exp_item],$H1435,SalaryPayrollTaxes[company_name],$B1435,SalaryPayrollTaxes[bu_name],$C1435)*(S490+S595+S700)+SUMIFS(ExpensePayrollTaxes[Month 8],ExpensePayrollTaxes[exp_item],$H805,ExpensePayrollTaxes[company_name],$B1435)*S805)</f>
        <v>0</v>
      </c>
      <c r="T1435" s="652">
        <f>IF($B1435="",,SUMIFS(SalaryPayrollTaxes[Month 9],SalaryPayrollTaxes[exp_item],$H1435,SalaryPayrollTaxes[company_name],$B1435,SalaryPayrollTaxes[bu_name],$C1435)*(T490+T595+T700)+SUMIFS(ExpensePayrollTaxes[Month 9],ExpensePayrollTaxes[exp_item],$H805,ExpensePayrollTaxes[company_name],$B1435)*T805)</f>
        <v>0</v>
      </c>
      <c r="U1435" s="652">
        <f>IF($B1435="",,SUMIFS(SalaryPayrollTaxes[Month 10],SalaryPayrollTaxes[exp_item],$H1435,SalaryPayrollTaxes[company_name],$B1435,SalaryPayrollTaxes[bu_name],$C1435)*(U490+U595+U700)+SUMIFS(ExpensePayrollTaxes[Month 10],ExpensePayrollTaxes[exp_item],$H805,ExpensePayrollTaxes[company_name],$B1435)*U805)</f>
        <v>0</v>
      </c>
      <c r="V1435" s="652">
        <f>IF($B1435="",,SUMIFS(SalaryPayrollTaxes[Month 11],SalaryPayrollTaxes[exp_item],$H1435,SalaryPayrollTaxes[company_name],$B1435,SalaryPayrollTaxes[bu_name],$C1435)*(V490+V595+V700)+SUMIFS(ExpensePayrollTaxes[Month 11],ExpensePayrollTaxes[exp_item],$H805,ExpensePayrollTaxes[company_name],$B1435)*V805)</f>
        <v>0</v>
      </c>
      <c r="W1435" s="652">
        <f>IF($B1435="",,SUMIFS(SalaryPayrollTaxes[Month 12],SalaryPayrollTaxes[exp_item],$H1435,SalaryPayrollTaxes[company_name],$B1435,SalaryPayrollTaxes[bu_name],$C1435)*(W490+W595+W700)+SUMIFS(ExpensePayrollTaxes[Month 12],ExpensePayrollTaxes[exp_item],$H805,ExpensePayrollTaxes[company_name],$B1435)*W805)</f>
        <v>0</v>
      </c>
      <c r="X1435" s="652">
        <f>IF($B1435="",,SUMIFS(SalaryPayrollTaxes[Month 13],SalaryPayrollTaxes[exp_item],$H1435,SalaryPayrollTaxes[company_name],$B1435,SalaryPayrollTaxes[bu_name],$C1435)*(X490+X595+X700)+SUMIFS(ExpensePayrollTaxes[Month 13],ExpensePayrollTaxes[exp_item],$H805,ExpensePayrollTaxes[company_name],$B1435)*X805)</f>
        <v>0</v>
      </c>
      <c r="Y1435" s="652">
        <f>IF($B1435="",,SUMIFS(SalaryPayrollTaxes[Month 14],SalaryPayrollTaxes[exp_item],$H1435,SalaryPayrollTaxes[company_name],$B1435,SalaryPayrollTaxes[bu_name],$C1435)*(Y490+Y595+Y700)+SUMIFS(ExpensePayrollTaxes[Month 14],ExpensePayrollTaxes[exp_item],$H805,ExpensePayrollTaxes[company_name],$B1435)*Y805)</f>
        <v>0</v>
      </c>
      <c r="Z1435" s="652">
        <f>IF($B1435="",,SUMIFS(SalaryPayrollTaxes[Month 15],SalaryPayrollTaxes[exp_item],$H1435,SalaryPayrollTaxes[company_name],$B1435,SalaryPayrollTaxes[bu_name],$C1435)*(Z490+Z595+Z700)+SUMIFS(ExpensePayrollTaxes[Month 15],ExpensePayrollTaxes[exp_item],$H805,ExpensePayrollTaxes[company_name],$B1435)*Z805)</f>
        <v>0</v>
      </c>
      <c r="AA1435" s="652">
        <f>IF($B1435="",,SUMIFS(SalaryPayrollTaxes[Month 16],SalaryPayrollTaxes[exp_item],$H1435,SalaryPayrollTaxes[company_name],$B1435,SalaryPayrollTaxes[bu_name],$C1435)*(AA490+AA595+AA700)+SUMIFS(ExpensePayrollTaxes[Month 16],ExpensePayrollTaxes[exp_item],$H805,ExpensePayrollTaxes[company_name],$B1435)*AA805)</f>
        <v>0</v>
      </c>
      <c r="AB1435" s="652">
        <f>IF($B1435="",,SUMIFS(SalaryPayrollTaxes[Month 17],SalaryPayrollTaxes[exp_item],$H1435,SalaryPayrollTaxes[company_name],$B1435,SalaryPayrollTaxes[bu_name],$C1435)*(AB490+AB595+AB700)+SUMIFS(ExpensePayrollTaxes[Month 17],ExpensePayrollTaxes[exp_item],$H805,ExpensePayrollTaxes[company_name],$B1435)*AB805)</f>
        <v>0</v>
      </c>
      <c r="AC1435" s="652">
        <f>IF($B1435="",,SUMIFS(SalaryPayrollTaxes[Month 18],SalaryPayrollTaxes[exp_item],$H1435,SalaryPayrollTaxes[company_name],$B1435,SalaryPayrollTaxes[bu_name],$C1435)*(AC490+AC595+AC700)+SUMIFS(ExpensePayrollTaxes[Month 18],ExpensePayrollTaxes[exp_item],$H805,ExpensePayrollTaxes[company_name],$B1435)*AC805)</f>
        <v>0</v>
      </c>
      <c r="AD1435" s="652">
        <f>IF($B1435="",,SUMIFS(SalaryPayrollTaxes[Month 19],SalaryPayrollTaxes[exp_item],$H1435,SalaryPayrollTaxes[company_name],$B1435,SalaryPayrollTaxes[bu_name],$C1435)*(AD490+AD595+AD700)+SUMIFS(ExpensePayrollTaxes[Month 19],ExpensePayrollTaxes[exp_item],$H805,ExpensePayrollTaxes[company_name],$B1435)*AD805)</f>
        <v>0</v>
      </c>
      <c r="AE1435" s="652">
        <f>IF($B1435="",,SUMIFS(SalaryPayrollTaxes[Month 20],SalaryPayrollTaxes[exp_item],$H1435,SalaryPayrollTaxes[company_name],$B1435,SalaryPayrollTaxes[bu_name],$C1435)*(AE490+AE595+AE700)+SUMIFS(ExpensePayrollTaxes[Month 20],ExpensePayrollTaxes[exp_item],$H805,ExpensePayrollTaxes[company_name],$B1435)*AE805)</f>
        <v>0</v>
      </c>
      <c r="AF1435" s="652">
        <f>IF($B1435="",,SUMIFS(SalaryPayrollTaxes[Month 21],SalaryPayrollTaxes[exp_item],$H1435,SalaryPayrollTaxes[company_name],$B1435,SalaryPayrollTaxes[bu_name],$C1435)*(AF490+AF595+AF700)+SUMIFS(ExpensePayrollTaxes[Month 21],ExpensePayrollTaxes[exp_item],$H805,ExpensePayrollTaxes[company_name],$B1435)*AF805)</f>
        <v>0</v>
      </c>
      <c r="AG1435" s="652">
        <f>IF($B1435="",,SUMIFS(SalaryPayrollTaxes[Month 22],SalaryPayrollTaxes[exp_item],$H1435,SalaryPayrollTaxes[company_name],$B1435,SalaryPayrollTaxes[bu_name],$C1435)*(AG490+AG595+AG700)+SUMIFS(ExpensePayrollTaxes[Month 22],ExpensePayrollTaxes[exp_item],$H805,ExpensePayrollTaxes[company_name],$B1435)*AG805)</f>
        <v>0</v>
      </c>
      <c r="AH1435" s="652">
        <f>IF($B1435="",,SUMIFS(SalaryPayrollTaxes[Month 23],SalaryPayrollTaxes[exp_item],$H1435,SalaryPayrollTaxes[company_name],$B1435,SalaryPayrollTaxes[bu_name],$C1435)*(AH490+AH595+AH700)+SUMIFS(ExpensePayrollTaxes[Month 23],ExpensePayrollTaxes[exp_item],$H805,ExpensePayrollTaxes[company_name],$B1435)*AH805)</f>
        <v>0</v>
      </c>
      <c r="AI1435" s="652">
        <f>IF($B1435="",,SUMIFS(SalaryPayrollTaxes[Month 24],SalaryPayrollTaxes[exp_item],$H1435,SalaryPayrollTaxes[company_name],$B1435,SalaryPayrollTaxes[bu_name],$C1435)*(AI490+AI595+AI700)+SUMIFS(ExpensePayrollTaxes[Month 24],ExpensePayrollTaxes[exp_item],$H805,ExpensePayrollTaxes[company_name],$B1435)*AI805)</f>
        <v>0</v>
      </c>
      <c r="AJ1435" s="652">
        <f>IF($B1435="",,SUMIFS(SalaryPayrollTaxes[Month 25],SalaryPayrollTaxes[exp_item],$H1435,SalaryPayrollTaxes[company_name],$B1435,SalaryPayrollTaxes[bu_name],$C1435)*(AJ490+AJ595+AJ700)+SUMIFS(ExpensePayrollTaxes[Month 25],ExpensePayrollTaxes[exp_item],$H805,ExpensePayrollTaxes[company_name],$B1435)*AJ805)</f>
        <v>0</v>
      </c>
      <c r="AK1435" s="652">
        <f>IF($B1435="",,SUMIFS(SalaryPayrollTaxes[Month 26],SalaryPayrollTaxes[exp_item],$H1435,SalaryPayrollTaxes[company_name],$B1435,SalaryPayrollTaxes[bu_name],$C1435)*(AK490+AK595+AK700)+SUMIFS(ExpensePayrollTaxes[Month 26],ExpensePayrollTaxes[exp_item],$H805,ExpensePayrollTaxes[company_name],$B1435)*AK805)</f>
        <v>0</v>
      </c>
      <c r="AL1435" s="652">
        <f>IF($B1435="",,SUMIFS(SalaryPayrollTaxes[Month 27],SalaryPayrollTaxes[exp_item],$H1435,SalaryPayrollTaxes[company_name],$B1435,SalaryPayrollTaxes[bu_name],$C1435)*(AL490+AL595+AL700)+SUMIFS(ExpensePayrollTaxes[Month 27],ExpensePayrollTaxes[exp_item],$H805,ExpensePayrollTaxes[company_name],$B1435)*AL805)</f>
        <v>0</v>
      </c>
      <c r="AM1435" s="652">
        <f>IF($B1435="",,SUMIFS(SalaryPayrollTaxes[Month 28],SalaryPayrollTaxes[exp_item],$H1435,SalaryPayrollTaxes[company_name],$B1435,SalaryPayrollTaxes[bu_name],$C1435)*(AM490+AM595+AM700)+SUMIFS(ExpensePayrollTaxes[Month 28],ExpensePayrollTaxes[exp_item],$H805,ExpensePayrollTaxes[company_name],$B1435)*AM805)</f>
        <v>0</v>
      </c>
      <c r="AN1435" s="652">
        <f>IF($B1435="",,SUMIFS(SalaryPayrollTaxes[Month 29],SalaryPayrollTaxes[exp_item],$H1435,SalaryPayrollTaxes[company_name],$B1435,SalaryPayrollTaxes[bu_name],$C1435)*(AN490+AN595+AN700)+SUMIFS(ExpensePayrollTaxes[Month 29],ExpensePayrollTaxes[exp_item],$H805,ExpensePayrollTaxes[company_name],$B1435)*AN805)</f>
        <v>0</v>
      </c>
      <c r="AO1435" s="652">
        <f>IF($B1435="",,SUMIFS(SalaryPayrollTaxes[Month 30],SalaryPayrollTaxes[exp_item],$H1435,SalaryPayrollTaxes[company_name],$B1435,SalaryPayrollTaxes[bu_name],$C1435)*(AO490+AO595+AO700)+SUMIFS(ExpensePayrollTaxes[Month 30],ExpensePayrollTaxes[exp_item],$H805,ExpensePayrollTaxes[company_name],$B1435)*AO805)</f>
        <v>0</v>
      </c>
      <c r="AP1435" s="652">
        <f>IF($B1435="",,SUMIFS(SalaryPayrollTaxes[Month 31],SalaryPayrollTaxes[exp_item],$H1435,SalaryPayrollTaxes[company_name],$B1435,SalaryPayrollTaxes[bu_name],$C1435)*(AP490+AP595+AP700)+SUMIFS(ExpensePayrollTaxes[Month 31],ExpensePayrollTaxes[exp_item],$H805,ExpensePayrollTaxes[company_name],$B1435)*AP805)</f>
        <v>0</v>
      </c>
      <c r="AQ1435" s="652">
        <f>IF($B1435="",,SUMIFS(SalaryPayrollTaxes[Month 32],SalaryPayrollTaxes[exp_item],$H1435,SalaryPayrollTaxes[company_name],$B1435,SalaryPayrollTaxes[bu_name],$C1435)*(AQ490+AQ595+AQ700)+SUMIFS(ExpensePayrollTaxes[Month 32],ExpensePayrollTaxes[exp_item],$H805,ExpensePayrollTaxes[company_name],$B1435)*AQ805)</f>
        <v>0</v>
      </c>
      <c r="AR1435" s="652">
        <f>IF($B1435="",,SUMIFS(SalaryPayrollTaxes[Month 33],SalaryPayrollTaxes[exp_item],$H1435,SalaryPayrollTaxes[company_name],$B1435,SalaryPayrollTaxes[bu_name],$C1435)*(AR490+AR595+AR700)+SUMIFS(ExpensePayrollTaxes[Month 33],ExpensePayrollTaxes[exp_item],$H805,ExpensePayrollTaxes[company_name],$B1435)*AR805)</f>
        <v>0</v>
      </c>
      <c r="AS1435" s="652">
        <f>IF($B1435="",,SUMIFS(SalaryPayrollTaxes[Month 34],SalaryPayrollTaxes[exp_item],$H1435,SalaryPayrollTaxes[company_name],$B1435,SalaryPayrollTaxes[bu_name],$C1435)*(AS490+AS595+AS700)+SUMIFS(ExpensePayrollTaxes[Month 34],ExpensePayrollTaxes[exp_item],$H805,ExpensePayrollTaxes[company_name],$B1435)*AS805)</f>
        <v>0</v>
      </c>
      <c r="AT1435" s="652">
        <f>IF($B1435="",,SUMIFS(SalaryPayrollTaxes[Month 35],SalaryPayrollTaxes[exp_item],$H1435,SalaryPayrollTaxes[company_name],$B1435,SalaryPayrollTaxes[bu_name],$C1435)*(AT490+AT595+AT700)+SUMIFS(ExpensePayrollTaxes[Month 35],ExpensePayrollTaxes[exp_item],$H805,ExpensePayrollTaxes[company_name],$B1435)*AT805)</f>
        <v>0</v>
      </c>
      <c r="AU1435" s="652">
        <f>IF($B1435="",,SUMIFS(SalaryPayrollTaxes[Month 36],SalaryPayrollTaxes[exp_item],$H1435,SalaryPayrollTaxes[company_name],$B1435,SalaryPayrollTaxes[bu_name],$C1435)*(AU490+AU595+AU700)+SUMIFS(ExpensePayrollTaxes[Month 36],ExpensePayrollTaxes[exp_item],$H805,ExpensePayrollTaxes[company_name],$B1435)*AU805)</f>
        <v>0</v>
      </c>
    </row>
    <row r="1436" spans="2:47" x14ac:dyDescent="0.35">
      <c r="B1436" t="str">
        <f t="shared" si="1001"/>
        <v/>
      </c>
      <c r="C1436" t="str">
        <f t="shared" si="1001"/>
        <v/>
      </c>
      <c r="D1436" t="str">
        <f t="shared" si="1001"/>
        <v/>
      </c>
      <c r="E1436" t="str">
        <f t="shared" si="1001"/>
        <v/>
      </c>
      <c r="F1436" t="str">
        <f t="shared" si="1001"/>
        <v/>
      </c>
      <c r="G1436" t="str">
        <f t="shared" si="1001"/>
        <v/>
      </c>
      <c r="H1436" t="str">
        <f t="shared" si="997"/>
        <v/>
      </c>
      <c r="J1436" t="str">
        <f>IF($H1436="","",IF(VLOOKUP(H1436,ExpItems[],2,0),H1436&amp;" - "&amp;INDEX(DivisionMapping[category_code],MATCH($D1436&amp;$C1436,DivisionMapping[dept_bu],0)),H1436))</f>
        <v/>
      </c>
      <c r="K1436" t="str">
        <f t="shared" si="998"/>
        <v/>
      </c>
      <c r="L1436" s="652">
        <f>IF($B1436="",,SUMIFS(SalaryPayrollTaxes[Month 1],SalaryPayrollTaxes[exp_item],$H1436,SalaryPayrollTaxes[company_name],$B1436,SalaryPayrollTaxes[bu_name],$C1436)*(L491+L596+L701)+SUMIFS(ExpensePayrollTaxes[Month 1],ExpensePayrollTaxes[exp_item],$H806,ExpensePayrollTaxes[company_name],$B1436)*L806)</f>
        <v>0</v>
      </c>
      <c r="M1436" s="652">
        <f>IF($B1436="",,SUMIFS(SalaryPayrollTaxes[Month 2],SalaryPayrollTaxes[exp_item],$H1436,SalaryPayrollTaxes[company_name],$B1436,SalaryPayrollTaxes[bu_name],$C1436)*(M491+M596+M701)+SUMIFS(ExpensePayrollTaxes[Month 2],ExpensePayrollTaxes[exp_item],$H806,ExpensePayrollTaxes[company_name],$B1436)*M806)</f>
        <v>0</v>
      </c>
      <c r="N1436" s="652">
        <f>IF($B1436="",,SUMIFS(SalaryPayrollTaxes[Month 3],SalaryPayrollTaxes[exp_item],$H1436,SalaryPayrollTaxes[company_name],$B1436,SalaryPayrollTaxes[bu_name],$C1436)*(N491+N596+N701)+SUMIFS(ExpensePayrollTaxes[Month 3],ExpensePayrollTaxes[exp_item],$H806,ExpensePayrollTaxes[company_name],$B1436)*N806)</f>
        <v>0</v>
      </c>
      <c r="O1436" s="652">
        <f>IF($B1436="",,SUMIFS(SalaryPayrollTaxes[Month 4],SalaryPayrollTaxes[exp_item],$H1436,SalaryPayrollTaxes[company_name],$B1436,SalaryPayrollTaxes[bu_name],$C1436)*(O491+O596+O701)+SUMIFS(ExpensePayrollTaxes[Month 4],ExpensePayrollTaxes[exp_item],$H806,ExpensePayrollTaxes[company_name],$B1436)*O806)</f>
        <v>0</v>
      </c>
      <c r="P1436" s="652">
        <f>IF($B1436="",,SUMIFS(SalaryPayrollTaxes[Month 5],SalaryPayrollTaxes[exp_item],$H1436,SalaryPayrollTaxes[company_name],$B1436,SalaryPayrollTaxes[bu_name],$C1436)*(P491+P596+P701)+SUMIFS(ExpensePayrollTaxes[Month 5],ExpensePayrollTaxes[exp_item],$H806,ExpensePayrollTaxes[company_name],$B1436)*P806)</f>
        <v>0</v>
      </c>
      <c r="Q1436" s="652">
        <f>IF($B1436="",,SUMIFS(SalaryPayrollTaxes[Month 6],SalaryPayrollTaxes[exp_item],$H1436,SalaryPayrollTaxes[company_name],$B1436,SalaryPayrollTaxes[bu_name],$C1436)*(Q491+Q596+Q701)+SUMIFS(ExpensePayrollTaxes[Month 6],ExpensePayrollTaxes[exp_item],$H806,ExpensePayrollTaxes[company_name],$B1436)*Q806)</f>
        <v>0</v>
      </c>
      <c r="R1436" s="652">
        <f>IF($B1436="",,SUMIFS(SalaryPayrollTaxes[Month 7],SalaryPayrollTaxes[exp_item],$H1436,SalaryPayrollTaxes[company_name],$B1436,SalaryPayrollTaxes[bu_name],$C1436)*(R491+R596+R701)+SUMIFS(ExpensePayrollTaxes[Month 7],ExpensePayrollTaxes[exp_item],$H806,ExpensePayrollTaxes[company_name],$B1436)*R806)</f>
        <v>0</v>
      </c>
      <c r="S1436" s="652">
        <f>IF($B1436="",,SUMIFS(SalaryPayrollTaxes[Month 8],SalaryPayrollTaxes[exp_item],$H1436,SalaryPayrollTaxes[company_name],$B1436,SalaryPayrollTaxes[bu_name],$C1436)*(S491+S596+S701)+SUMIFS(ExpensePayrollTaxes[Month 8],ExpensePayrollTaxes[exp_item],$H806,ExpensePayrollTaxes[company_name],$B1436)*S806)</f>
        <v>0</v>
      </c>
      <c r="T1436" s="652">
        <f>IF($B1436="",,SUMIFS(SalaryPayrollTaxes[Month 9],SalaryPayrollTaxes[exp_item],$H1436,SalaryPayrollTaxes[company_name],$B1436,SalaryPayrollTaxes[bu_name],$C1436)*(T491+T596+T701)+SUMIFS(ExpensePayrollTaxes[Month 9],ExpensePayrollTaxes[exp_item],$H806,ExpensePayrollTaxes[company_name],$B1436)*T806)</f>
        <v>0</v>
      </c>
      <c r="U1436" s="652">
        <f>IF($B1436="",,SUMIFS(SalaryPayrollTaxes[Month 10],SalaryPayrollTaxes[exp_item],$H1436,SalaryPayrollTaxes[company_name],$B1436,SalaryPayrollTaxes[bu_name],$C1436)*(U491+U596+U701)+SUMIFS(ExpensePayrollTaxes[Month 10],ExpensePayrollTaxes[exp_item],$H806,ExpensePayrollTaxes[company_name],$B1436)*U806)</f>
        <v>0</v>
      </c>
      <c r="V1436" s="652">
        <f>IF($B1436="",,SUMIFS(SalaryPayrollTaxes[Month 11],SalaryPayrollTaxes[exp_item],$H1436,SalaryPayrollTaxes[company_name],$B1436,SalaryPayrollTaxes[bu_name],$C1436)*(V491+V596+V701)+SUMIFS(ExpensePayrollTaxes[Month 11],ExpensePayrollTaxes[exp_item],$H806,ExpensePayrollTaxes[company_name],$B1436)*V806)</f>
        <v>0</v>
      </c>
      <c r="W1436" s="652">
        <f>IF($B1436="",,SUMIFS(SalaryPayrollTaxes[Month 12],SalaryPayrollTaxes[exp_item],$H1436,SalaryPayrollTaxes[company_name],$B1436,SalaryPayrollTaxes[bu_name],$C1436)*(W491+W596+W701)+SUMIFS(ExpensePayrollTaxes[Month 12],ExpensePayrollTaxes[exp_item],$H806,ExpensePayrollTaxes[company_name],$B1436)*W806)</f>
        <v>0</v>
      </c>
      <c r="X1436" s="652">
        <f>IF($B1436="",,SUMIFS(SalaryPayrollTaxes[Month 13],SalaryPayrollTaxes[exp_item],$H1436,SalaryPayrollTaxes[company_name],$B1436,SalaryPayrollTaxes[bu_name],$C1436)*(X491+X596+X701)+SUMIFS(ExpensePayrollTaxes[Month 13],ExpensePayrollTaxes[exp_item],$H806,ExpensePayrollTaxes[company_name],$B1436)*X806)</f>
        <v>0</v>
      </c>
      <c r="Y1436" s="652">
        <f>IF($B1436="",,SUMIFS(SalaryPayrollTaxes[Month 14],SalaryPayrollTaxes[exp_item],$H1436,SalaryPayrollTaxes[company_name],$B1436,SalaryPayrollTaxes[bu_name],$C1436)*(Y491+Y596+Y701)+SUMIFS(ExpensePayrollTaxes[Month 14],ExpensePayrollTaxes[exp_item],$H806,ExpensePayrollTaxes[company_name],$B1436)*Y806)</f>
        <v>0</v>
      </c>
      <c r="Z1436" s="652">
        <f>IF($B1436="",,SUMIFS(SalaryPayrollTaxes[Month 15],SalaryPayrollTaxes[exp_item],$H1436,SalaryPayrollTaxes[company_name],$B1436,SalaryPayrollTaxes[bu_name],$C1436)*(Z491+Z596+Z701)+SUMIFS(ExpensePayrollTaxes[Month 15],ExpensePayrollTaxes[exp_item],$H806,ExpensePayrollTaxes[company_name],$B1436)*Z806)</f>
        <v>0</v>
      </c>
      <c r="AA1436" s="652">
        <f>IF($B1436="",,SUMIFS(SalaryPayrollTaxes[Month 16],SalaryPayrollTaxes[exp_item],$H1436,SalaryPayrollTaxes[company_name],$B1436,SalaryPayrollTaxes[bu_name],$C1436)*(AA491+AA596+AA701)+SUMIFS(ExpensePayrollTaxes[Month 16],ExpensePayrollTaxes[exp_item],$H806,ExpensePayrollTaxes[company_name],$B1436)*AA806)</f>
        <v>0</v>
      </c>
      <c r="AB1436" s="652">
        <f>IF($B1436="",,SUMIFS(SalaryPayrollTaxes[Month 17],SalaryPayrollTaxes[exp_item],$H1436,SalaryPayrollTaxes[company_name],$B1436,SalaryPayrollTaxes[bu_name],$C1436)*(AB491+AB596+AB701)+SUMIFS(ExpensePayrollTaxes[Month 17],ExpensePayrollTaxes[exp_item],$H806,ExpensePayrollTaxes[company_name],$B1436)*AB806)</f>
        <v>0</v>
      </c>
      <c r="AC1436" s="652">
        <f>IF($B1436="",,SUMIFS(SalaryPayrollTaxes[Month 18],SalaryPayrollTaxes[exp_item],$H1436,SalaryPayrollTaxes[company_name],$B1436,SalaryPayrollTaxes[bu_name],$C1436)*(AC491+AC596+AC701)+SUMIFS(ExpensePayrollTaxes[Month 18],ExpensePayrollTaxes[exp_item],$H806,ExpensePayrollTaxes[company_name],$B1436)*AC806)</f>
        <v>0</v>
      </c>
      <c r="AD1436" s="652">
        <f>IF($B1436="",,SUMIFS(SalaryPayrollTaxes[Month 19],SalaryPayrollTaxes[exp_item],$H1436,SalaryPayrollTaxes[company_name],$B1436,SalaryPayrollTaxes[bu_name],$C1436)*(AD491+AD596+AD701)+SUMIFS(ExpensePayrollTaxes[Month 19],ExpensePayrollTaxes[exp_item],$H806,ExpensePayrollTaxes[company_name],$B1436)*AD806)</f>
        <v>0</v>
      </c>
      <c r="AE1436" s="652">
        <f>IF($B1436="",,SUMIFS(SalaryPayrollTaxes[Month 20],SalaryPayrollTaxes[exp_item],$H1436,SalaryPayrollTaxes[company_name],$B1436,SalaryPayrollTaxes[bu_name],$C1436)*(AE491+AE596+AE701)+SUMIFS(ExpensePayrollTaxes[Month 20],ExpensePayrollTaxes[exp_item],$H806,ExpensePayrollTaxes[company_name],$B1436)*AE806)</f>
        <v>0</v>
      </c>
      <c r="AF1436" s="652">
        <f>IF($B1436="",,SUMIFS(SalaryPayrollTaxes[Month 21],SalaryPayrollTaxes[exp_item],$H1436,SalaryPayrollTaxes[company_name],$B1436,SalaryPayrollTaxes[bu_name],$C1436)*(AF491+AF596+AF701)+SUMIFS(ExpensePayrollTaxes[Month 21],ExpensePayrollTaxes[exp_item],$H806,ExpensePayrollTaxes[company_name],$B1436)*AF806)</f>
        <v>0</v>
      </c>
      <c r="AG1436" s="652">
        <f>IF($B1436="",,SUMIFS(SalaryPayrollTaxes[Month 22],SalaryPayrollTaxes[exp_item],$H1436,SalaryPayrollTaxes[company_name],$B1436,SalaryPayrollTaxes[bu_name],$C1436)*(AG491+AG596+AG701)+SUMIFS(ExpensePayrollTaxes[Month 22],ExpensePayrollTaxes[exp_item],$H806,ExpensePayrollTaxes[company_name],$B1436)*AG806)</f>
        <v>0</v>
      </c>
      <c r="AH1436" s="652">
        <f>IF($B1436="",,SUMIFS(SalaryPayrollTaxes[Month 23],SalaryPayrollTaxes[exp_item],$H1436,SalaryPayrollTaxes[company_name],$B1436,SalaryPayrollTaxes[bu_name],$C1436)*(AH491+AH596+AH701)+SUMIFS(ExpensePayrollTaxes[Month 23],ExpensePayrollTaxes[exp_item],$H806,ExpensePayrollTaxes[company_name],$B1436)*AH806)</f>
        <v>0</v>
      </c>
      <c r="AI1436" s="652">
        <f>IF($B1436="",,SUMIFS(SalaryPayrollTaxes[Month 24],SalaryPayrollTaxes[exp_item],$H1436,SalaryPayrollTaxes[company_name],$B1436,SalaryPayrollTaxes[bu_name],$C1436)*(AI491+AI596+AI701)+SUMIFS(ExpensePayrollTaxes[Month 24],ExpensePayrollTaxes[exp_item],$H806,ExpensePayrollTaxes[company_name],$B1436)*AI806)</f>
        <v>0</v>
      </c>
      <c r="AJ1436" s="652">
        <f>IF($B1436="",,SUMIFS(SalaryPayrollTaxes[Month 25],SalaryPayrollTaxes[exp_item],$H1436,SalaryPayrollTaxes[company_name],$B1436,SalaryPayrollTaxes[bu_name],$C1436)*(AJ491+AJ596+AJ701)+SUMIFS(ExpensePayrollTaxes[Month 25],ExpensePayrollTaxes[exp_item],$H806,ExpensePayrollTaxes[company_name],$B1436)*AJ806)</f>
        <v>0</v>
      </c>
      <c r="AK1436" s="652">
        <f>IF($B1436="",,SUMIFS(SalaryPayrollTaxes[Month 26],SalaryPayrollTaxes[exp_item],$H1436,SalaryPayrollTaxes[company_name],$B1436,SalaryPayrollTaxes[bu_name],$C1436)*(AK491+AK596+AK701)+SUMIFS(ExpensePayrollTaxes[Month 26],ExpensePayrollTaxes[exp_item],$H806,ExpensePayrollTaxes[company_name],$B1436)*AK806)</f>
        <v>0</v>
      </c>
      <c r="AL1436" s="652">
        <f>IF($B1436="",,SUMIFS(SalaryPayrollTaxes[Month 27],SalaryPayrollTaxes[exp_item],$H1436,SalaryPayrollTaxes[company_name],$B1436,SalaryPayrollTaxes[bu_name],$C1436)*(AL491+AL596+AL701)+SUMIFS(ExpensePayrollTaxes[Month 27],ExpensePayrollTaxes[exp_item],$H806,ExpensePayrollTaxes[company_name],$B1436)*AL806)</f>
        <v>0</v>
      </c>
      <c r="AM1436" s="652">
        <f>IF($B1436="",,SUMIFS(SalaryPayrollTaxes[Month 28],SalaryPayrollTaxes[exp_item],$H1436,SalaryPayrollTaxes[company_name],$B1436,SalaryPayrollTaxes[bu_name],$C1436)*(AM491+AM596+AM701)+SUMIFS(ExpensePayrollTaxes[Month 28],ExpensePayrollTaxes[exp_item],$H806,ExpensePayrollTaxes[company_name],$B1436)*AM806)</f>
        <v>0</v>
      </c>
      <c r="AN1436" s="652">
        <f>IF($B1436="",,SUMIFS(SalaryPayrollTaxes[Month 29],SalaryPayrollTaxes[exp_item],$H1436,SalaryPayrollTaxes[company_name],$B1436,SalaryPayrollTaxes[bu_name],$C1436)*(AN491+AN596+AN701)+SUMIFS(ExpensePayrollTaxes[Month 29],ExpensePayrollTaxes[exp_item],$H806,ExpensePayrollTaxes[company_name],$B1436)*AN806)</f>
        <v>0</v>
      </c>
      <c r="AO1436" s="652">
        <f>IF($B1436="",,SUMIFS(SalaryPayrollTaxes[Month 30],SalaryPayrollTaxes[exp_item],$H1436,SalaryPayrollTaxes[company_name],$B1436,SalaryPayrollTaxes[bu_name],$C1436)*(AO491+AO596+AO701)+SUMIFS(ExpensePayrollTaxes[Month 30],ExpensePayrollTaxes[exp_item],$H806,ExpensePayrollTaxes[company_name],$B1436)*AO806)</f>
        <v>0</v>
      </c>
      <c r="AP1436" s="652">
        <f>IF($B1436="",,SUMIFS(SalaryPayrollTaxes[Month 31],SalaryPayrollTaxes[exp_item],$H1436,SalaryPayrollTaxes[company_name],$B1436,SalaryPayrollTaxes[bu_name],$C1436)*(AP491+AP596+AP701)+SUMIFS(ExpensePayrollTaxes[Month 31],ExpensePayrollTaxes[exp_item],$H806,ExpensePayrollTaxes[company_name],$B1436)*AP806)</f>
        <v>0</v>
      </c>
      <c r="AQ1436" s="652">
        <f>IF($B1436="",,SUMIFS(SalaryPayrollTaxes[Month 32],SalaryPayrollTaxes[exp_item],$H1436,SalaryPayrollTaxes[company_name],$B1436,SalaryPayrollTaxes[bu_name],$C1436)*(AQ491+AQ596+AQ701)+SUMIFS(ExpensePayrollTaxes[Month 32],ExpensePayrollTaxes[exp_item],$H806,ExpensePayrollTaxes[company_name],$B1436)*AQ806)</f>
        <v>0</v>
      </c>
      <c r="AR1436" s="652">
        <f>IF($B1436="",,SUMIFS(SalaryPayrollTaxes[Month 33],SalaryPayrollTaxes[exp_item],$H1436,SalaryPayrollTaxes[company_name],$B1436,SalaryPayrollTaxes[bu_name],$C1436)*(AR491+AR596+AR701)+SUMIFS(ExpensePayrollTaxes[Month 33],ExpensePayrollTaxes[exp_item],$H806,ExpensePayrollTaxes[company_name],$B1436)*AR806)</f>
        <v>0</v>
      </c>
      <c r="AS1436" s="652">
        <f>IF($B1436="",,SUMIFS(SalaryPayrollTaxes[Month 34],SalaryPayrollTaxes[exp_item],$H1436,SalaryPayrollTaxes[company_name],$B1436,SalaryPayrollTaxes[bu_name],$C1436)*(AS491+AS596+AS701)+SUMIFS(ExpensePayrollTaxes[Month 34],ExpensePayrollTaxes[exp_item],$H806,ExpensePayrollTaxes[company_name],$B1436)*AS806)</f>
        <v>0</v>
      </c>
      <c r="AT1436" s="652">
        <f>IF($B1436="",,SUMIFS(SalaryPayrollTaxes[Month 35],SalaryPayrollTaxes[exp_item],$H1436,SalaryPayrollTaxes[company_name],$B1436,SalaryPayrollTaxes[bu_name],$C1436)*(AT491+AT596+AT701)+SUMIFS(ExpensePayrollTaxes[Month 35],ExpensePayrollTaxes[exp_item],$H806,ExpensePayrollTaxes[company_name],$B1436)*AT806)</f>
        <v>0</v>
      </c>
      <c r="AU1436" s="652">
        <f>IF($B1436="",,SUMIFS(SalaryPayrollTaxes[Month 36],SalaryPayrollTaxes[exp_item],$H1436,SalaryPayrollTaxes[company_name],$B1436,SalaryPayrollTaxes[bu_name],$C1436)*(AU491+AU596+AU701)+SUMIFS(ExpensePayrollTaxes[Month 36],ExpensePayrollTaxes[exp_item],$H806,ExpensePayrollTaxes[company_name],$B1436)*AU806)</f>
        <v>0</v>
      </c>
    </row>
    <row r="1437" spans="2:47" x14ac:dyDescent="0.35">
      <c r="B1437" t="str">
        <f t="shared" si="1001"/>
        <v/>
      </c>
      <c r="C1437" t="str">
        <f t="shared" si="1001"/>
        <v/>
      </c>
      <c r="D1437" t="str">
        <f t="shared" si="1001"/>
        <v/>
      </c>
      <c r="E1437" t="str">
        <f t="shared" si="1001"/>
        <v/>
      </c>
      <c r="F1437" t="str">
        <f t="shared" si="1001"/>
        <v/>
      </c>
      <c r="G1437" t="str">
        <f t="shared" si="1001"/>
        <v/>
      </c>
      <c r="H1437" t="str">
        <f t="shared" si="997"/>
        <v/>
      </c>
      <c r="J1437" t="str">
        <f>IF($H1437="","",IF(VLOOKUP(H1437,ExpItems[],2,0),H1437&amp;" - "&amp;INDEX(DivisionMapping[category_code],MATCH($D1437&amp;$C1437,DivisionMapping[dept_bu],0)),H1437))</f>
        <v/>
      </c>
      <c r="K1437" t="str">
        <f t="shared" si="998"/>
        <v/>
      </c>
      <c r="L1437" s="652">
        <f>IF($B1437="",,SUMIFS(SalaryPayrollTaxes[Month 1],SalaryPayrollTaxes[exp_item],$H1437,SalaryPayrollTaxes[company_name],$B1437,SalaryPayrollTaxes[bu_name],$C1437)*(L492+L597+L702)+SUMIFS(ExpensePayrollTaxes[Month 1],ExpensePayrollTaxes[exp_item],$H807,ExpensePayrollTaxes[company_name],$B1437)*L807)</f>
        <v>0</v>
      </c>
      <c r="M1437" s="652">
        <f>IF($B1437="",,SUMIFS(SalaryPayrollTaxes[Month 2],SalaryPayrollTaxes[exp_item],$H1437,SalaryPayrollTaxes[company_name],$B1437,SalaryPayrollTaxes[bu_name],$C1437)*(M492+M597+M702)+SUMIFS(ExpensePayrollTaxes[Month 2],ExpensePayrollTaxes[exp_item],$H807,ExpensePayrollTaxes[company_name],$B1437)*M807)</f>
        <v>0</v>
      </c>
      <c r="N1437" s="652">
        <f>IF($B1437="",,SUMIFS(SalaryPayrollTaxes[Month 3],SalaryPayrollTaxes[exp_item],$H1437,SalaryPayrollTaxes[company_name],$B1437,SalaryPayrollTaxes[bu_name],$C1437)*(N492+N597+N702)+SUMIFS(ExpensePayrollTaxes[Month 3],ExpensePayrollTaxes[exp_item],$H807,ExpensePayrollTaxes[company_name],$B1437)*N807)</f>
        <v>0</v>
      </c>
      <c r="O1437" s="652">
        <f>IF($B1437="",,SUMIFS(SalaryPayrollTaxes[Month 4],SalaryPayrollTaxes[exp_item],$H1437,SalaryPayrollTaxes[company_name],$B1437,SalaryPayrollTaxes[bu_name],$C1437)*(O492+O597+O702)+SUMIFS(ExpensePayrollTaxes[Month 4],ExpensePayrollTaxes[exp_item],$H807,ExpensePayrollTaxes[company_name],$B1437)*O807)</f>
        <v>0</v>
      </c>
      <c r="P1437" s="652">
        <f>IF($B1437="",,SUMIFS(SalaryPayrollTaxes[Month 5],SalaryPayrollTaxes[exp_item],$H1437,SalaryPayrollTaxes[company_name],$B1437,SalaryPayrollTaxes[bu_name],$C1437)*(P492+P597+P702)+SUMIFS(ExpensePayrollTaxes[Month 5],ExpensePayrollTaxes[exp_item],$H807,ExpensePayrollTaxes[company_name],$B1437)*P807)</f>
        <v>0</v>
      </c>
      <c r="Q1437" s="652">
        <f>IF($B1437="",,SUMIFS(SalaryPayrollTaxes[Month 6],SalaryPayrollTaxes[exp_item],$H1437,SalaryPayrollTaxes[company_name],$B1437,SalaryPayrollTaxes[bu_name],$C1437)*(Q492+Q597+Q702)+SUMIFS(ExpensePayrollTaxes[Month 6],ExpensePayrollTaxes[exp_item],$H807,ExpensePayrollTaxes[company_name],$B1437)*Q807)</f>
        <v>0</v>
      </c>
      <c r="R1437" s="652">
        <f>IF($B1437="",,SUMIFS(SalaryPayrollTaxes[Month 7],SalaryPayrollTaxes[exp_item],$H1437,SalaryPayrollTaxes[company_name],$B1437,SalaryPayrollTaxes[bu_name],$C1437)*(R492+R597+R702)+SUMIFS(ExpensePayrollTaxes[Month 7],ExpensePayrollTaxes[exp_item],$H807,ExpensePayrollTaxes[company_name],$B1437)*R807)</f>
        <v>0</v>
      </c>
      <c r="S1437" s="652">
        <f>IF($B1437="",,SUMIFS(SalaryPayrollTaxes[Month 8],SalaryPayrollTaxes[exp_item],$H1437,SalaryPayrollTaxes[company_name],$B1437,SalaryPayrollTaxes[bu_name],$C1437)*(S492+S597+S702)+SUMIFS(ExpensePayrollTaxes[Month 8],ExpensePayrollTaxes[exp_item],$H807,ExpensePayrollTaxes[company_name],$B1437)*S807)</f>
        <v>0</v>
      </c>
      <c r="T1437" s="652">
        <f>IF($B1437="",,SUMIFS(SalaryPayrollTaxes[Month 9],SalaryPayrollTaxes[exp_item],$H1437,SalaryPayrollTaxes[company_name],$B1437,SalaryPayrollTaxes[bu_name],$C1437)*(T492+T597+T702)+SUMIFS(ExpensePayrollTaxes[Month 9],ExpensePayrollTaxes[exp_item],$H807,ExpensePayrollTaxes[company_name],$B1437)*T807)</f>
        <v>0</v>
      </c>
      <c r="U1437" s="652">
        <f>IF($B1437="",,SUMIFS(SalaryPayrollTaxes[Month 10],SalaryPayrollTaxes[exp_item],$H1437,SalaryPayrollTaxes[company_name],$B1437,SalaryPayrollTaxes[bu_name],$C1437)*(U492+U597+U702)+SUMIFS(ExpensePayrollTaxes[Month 10],ExpensePayrollTaxes[exp_item],$H807,ExpensePayrollTaxes[company_name],$B1437)*U807)</f>
        <v>0</v>
      </c>
      <c r="V1437" s="652">
        <f>IF($B1437="",,SUMIFS(SalaryPayrollTaxes[Month 11],SalaryPayrollTaxes[exp_item],$H1437,SalaryPayrollTaxes[company_name],$B1437,SalaryPayrollTaxes[bu_name],$C1437)*(V492+V597+V702)+SUMIFS(ExpensePayrollTaxes[Month 11],ExpensePayrollTaxes[exp_item],$H807,ExpensePayrollTaxes[company_name],$B1437)*V807)</f>
        <v>0</v>
      </c>
      <c r="W1437" s="652">
        <f>IF($B1437="",,SUMIFS(SalaryPayrollTaxes[Month 12],SalaryPayrollTaxes[exp_item],$H1437,SalaryPayrollTaxes[company_name],$B1437,SalaryPayrollTaxes[bu_name],$C1437)*(W492+W597+W702)+SUMIFS(ExpensePayrollTaxes[Month 12],ExpensePayrollTaxes[exp_item],$H807,ExpensePayrollTaxes[company_name],$B1437)*W807)</f>
        <v>0</v>
      </c>
      <c r="X1437" s="652">
        <f>IF($B1437="",,SUMIFS(SalaryPayrollTaxes[Month 13],SalaryPayrollTaxes[exp_item],$H1437,SalaryPayrollTaxes[company_name],$B1437,SalaryPayrollTaxes[bu_name],$C1437)*(X492+X597+X702)+SUMIFS(ExpensePayrollTaxes[Month 13],ExpensePayrollTaxes[exp_item],$H807,ExpensePayrollTaxes[company_name],$B1437)*X807)</f>
        <v>0</v>
      </c>
      <c r="Y1437" s="652">
        <f>IF($B1437="",,SUMIFS(SalaryPayrollTaxes[Month 14],SalaryPayrollTaxes[exp_item],$H1437,SalaryPayrollTaxes[company_name],$B1437,SalaryPayrollTaxes[bu_name],$C1437)*(Y492+Y597+Y702)+SUMIFS(ExpensePayrollTaxes[Month 14],ExpensePayrollTaxes[exp_item],$H807,ExpensePayrollTaxes[company_name],$B1437)*Y807)</f>
        <v>0</v>
      </c>
      <c r="Z1437" s="652">
        <f>IF($B1437="",,SUMIFS(SalaryPayrollTaxes[Month 15],SalaryPayrollTaxes[exp_item],$H1437,SalaryPayrollTaxes[company_name],$B1437,SalaryPayrollTaxes[bu_name],$C1437)*(Z492+Z597+Z702)+SUMIFS(ExpensePayrollTaxes[Month 15],ExpensePayrollTaxes[exp_item],$H807,ExpensePayrollTaxes[company_name],$B1437)*Z807)</f>
        <v>0</v>
      </c>
      <c r="AA1437" s="652">
        <f>IF($B1437="",,SUMIFS(SalaryPayrollTaxes[Month 16],SalaryPayrollTaxes[exp_item],$H1437,SalaryPayrollTaxes[company_name],$B1437,SalaryPayrollTaxes[bu_name],$C1437)*(AA492+AA597+AA702)+SUMIFS(ExpensePayrollTaxes[Month 16],ExpensePayrollTaxes[exp_item],$H807,ExpensePayrollTaxes[company_name],$B1437)*AA807)</f>
        <v>0</v>
      </c>
      <c r="AB1437" s="652">
        <f>IF($B1437="",,SUMIFS(SalaryPayrollTaxes[Month 17],SalaryPayrollTaxes[exp_item],$H1437,SalaryPayrollTaxes[company_name],$B1437,SalaryPayrollTaxes[bu_name],$C1437)*(AB492+AB597+AB702)+SUMIFS(ExpensePayrollTaxes[Month 17],ExpensePayrollTaxes[exp_item],$H807,ExpensePayrollTaxes[company_name],$B1437)*AB807)</f>
        <v>0</v>
      </c>
      <c r="AC1437" s="652">
        <f>IF($B1437="",,SUMIFS(SalaryPayrollTaxes[Month 18],SalaryPayrollTaxes[exp_item],$H1437,SalaryPayrollTaxes[company_name],$B1437,SalaryPayrollTaxes[bu_name],$C1437)*(AC492+AC597+AC702)+SUMIFS(ExpensePayrollTaxes[Month 18],ExpensePayrollTaxes[exp_item],$H807,ExpensePayrollTaxes[company_name],$B1437)*AC807)</f>
        <v>0</v>
      </c>
      <c r="AD1437" s="652">
        <f>IF($B1437="",,SUMIFS(SalaryPayrollTaxes[Month 19],SalaryPayrollTaxes[exp_item],$H1437,SalaryPayrollTaxes[company_name],$B1437,SalaryPayrollTaxes[bu_name],$C1437)*(AD492+AD597+AD702)+SUMIFS(ExpensePayrollTaxes[Month 19],ExpensePayrollTaxes[exp_item],$H807,ExpensePayrollTaxes[company_name],$B1437)*AD807)</f>
        <v>0</v>
      </c>
      <c r="AE1437" s="652">
        <f>IF($B1437="",,SUMIFS(SalaryPayrollTaxes[Month 20],SalaryPayrollTaxes[exp_item],$H1437,SalaryPayrollTaxes[company_name],$B1437,SalaryPayrollTaxes[bu_name],$C1437)*(AE492+AE597+AE702)+SUMIFS(ExpensePayrollTaxes[Month 20],ExpensePayrollTaxes[exp_item],$H807,ExpensePayrollTaxes[company_name],$B1437)*AE807)</f>
        <v>0</v>
      </c>
      <c r="AF1437" s="652">
        <f>IF($B1437="",,SUMIFS(SalaryPayrollTaxes[Month 21],SalaryPayrollTaxes[exp_item],$H1437,SalaryPayrollTaxes[company_name],$B1437,SalaryPayrollTaxes[bu_name],$C1437)*(AF492+AF597+AF702)+SUMIFS(ExpensePayrollTaxes[Month 21],ExpensePayrollTaxes[exp_item],$H807,ExpensePayrollTaxes[company_name],$B1437)*AF807)</f>
        <v>0</v>
      </c>
      <c r="AG1437" s="652">
        <f>IF($B1437="",,SUMIFS(SalaryPayrollTaxes[Month 22],SalaryPayrollTaxes[exp_item],$H1437,SalaryPayrollTaxes[company_name],$B1437,SalaryPayrollTaxes[bu_name],$C1437)*(AG492+AG597+AG702)+SUMIFS(ExpensePayrollTaxes[Month 22],ExpensePayrollTaxes[exp_item],$H807,ExpensePayrollTaxes[company_name],$B1437)*AG807)</f>
        <v>0</v>
      </c>
      <c r="AH1437" s="652">
        <f>IF($B1437="",,SUMIFS(SalaryPayrollTaxes[Month 23],SalaryPayrollTaxes[exp_item],$H1437,SalaryPayrollTaxes[company_name],$B1437,SalaryPayrollTaxes[bu_name],$C1437)*(AH492+AH597+AH702)+SUMIFS(ExpensePayrollTaxes[Month 23],ExpensePayrollTaxes[exp_item],$H807,ExpensePayrollTaxes[company_name],$B1437)*AH807)</f>
        <v>0</v>
      </c>
      <c r="AI1437" s="652">
        <f>IF($B1437="",,SUMIFS(SalaryPayrollTaxes[Month 24],SalaryPayrollTaxes[exp_item],$H1437,SalaryPayrollTaxes[company_name],$B1437,SalaryPayrollTaxes[bu_name],$C1437)*(AI492+AI597+AI702)+SUMIFS(ExpensePayrollTaxes[Month 24],ExpensePayrollTaxes[exp_item],$H807,ExpensePayrollTaxes[company_name],$B1437)*AI807)</f>
        <v>0</v>
      </c>
      <c r="AJ1437" s="652">
        <f>IF($B1437="",,SUMIFS(SalaryPayrollTaxes[Month 25],SalaryPayrollTaxes[exp_item],$H1437,SalaryPayrollTaxes[company_name],$B1437,SalaryPayrollTaxes[bu_name],$C1437)*(AJ492+AJ597+AJ702)+SUMIFS(ExpensePayrollTaxes[Month 25],ExpensePayrollTaxes[exp_item],$H807,ExpensePayrollTaxes[company_name],$B1437)*AJ807)</f>
        <v>0</v>
      </c>
      <c r="AK1437" s="652">
        <f>IF($B1437="",,SUMIFS(SalaryPayrollTaxes[Month 26],SalaryPayrollTaxes[exp_item],$H1437,SalaryPayrollTaxes[company_name],$B1437,SalaryPayrollTaxes[bu_name],$C1437)*(AK492+AK597+AK702)+SUMIFS(ExpensePayrollTaxes[Month 26],ExpensePayrollTaxes[exp_item],$H807,ExpensePayrollTaxes[company_name],$B1437)*AK807)</f>
        <v>0</v>
      </c>
      <c r="AL1437" s="652">
        <f>IF($B1437="",,SUMIFS(SalaryPayrollTaxes[Month 27],SalaryPayrollTaxes[exp_item],$H1437,SalaryPayrollTaxes[company_name],$B1437,SalaryPayrollTaxes[bu_name],$C1437)*(AL492+AL597+AL702)+SUMIFS(ExpensePayrollTaxes[Month 27],ExpensePayrollTaxes[exp_item],$H807,ExpensePayrollTaxes[company_name],$B1437)*AL807)</f>
        <v>0</v>
      </c>
      <c r="AM1437" s="652">
        <f>IF($B1437="",,SUMIFS(SalaryPayrollTaxes[Month 28],SalaryPayrollTaxes[exp_item],$H1437,SalaryPayrollTaxes[company_name],$B1437,SalaryPayrollTaxes[bu_name],$C1437)*(AM492+AM597+AM702)+SUMIFS(ExpensePayrollTaxes[Month 28],ExpensePayrollTaxes[exp_item],$H807,ExpensePayrollTaxes[company_name],$B1437)*AM807)</f>
        <v>0</v>
      </c>
      <c r="AN1437" s="652">
        <f>IF($B1437="",,SUMIFS(SalaryPayrollTaxes[Month 29],SalaryPayrollTaxes[exp_item],$H1437,SalaryPayrollTaxes[company_name],$B1437,SalaryPayrollTaxes[bu_name],$C1437)*(AN492+AN597+AN702)+SUMIFS(ExpensePayrollTaxes[Month 29],ExpensePayrollTaxes[exp_item],$H807,ExpensePayrollTaxes[company_name],$B1437)*AN807)</f>
        <v>0</v>
      </c>
      <c r="AO1437" s="652">
        <f>IF($B1437="",,SUMIFS(SalaryPayrollTaxes[Month 30],SalaryPayrollTaxes[exp_item],$H1437,SalaryPayrollTaxes[company_name],$B1437,SalaryPayrollTaxes[bu_name],$C1437)*(AO492+AO597+AO702)+SUMIFS(ExpensePayrollTaxes[Month 30],ExpensePayrollTaxes[exp_item],$H807,ExpensePayrollTaxes[company_name],$B1437)*AO807)</f>
        <v>0</v>
      </c>
      <c r="AP1437" s="652">
        <f>IF($B1437="",,SUMIFS(SalaryPayrollTaxes[Month 31],SalaryPayrollTaxes[exp_item],$H1437,SalaryPayrollTaxes[company_name],$B1437,SalaryPayrollTaxes[bu_name],$C1437)*(AP492+AP597+AP702)+SUMIFS(ExpensePayrollTaxes[Month 31],ExpensePayrollTaxes[exp_item],$H807,ExpensePayrollTaxes[company_name],$B1437)*AP807)</f>
        <v>0</v>
      </c>
      <c r="AQ1437" s="652">
        <f>IF($B1437="",,SUMIFS(SalaryPayrollTaxes[Month 32],SalaryPayrollTaxes[exp_item],$H1437,SalaryPayrollTaxes[company_name],$B1437,SalaryPayrollTaxes[bu_name],$C1437)*(AQ492+AQ597+AQ702)+SUMIFS(ExpensePayrollTaxes[Month 32],ExpensePayrollTaxes[exp_item],$H807,ExpensePayrollTaxes[company_name],$B1437)*AQ807)</f>
        <v>0</v>
      </c>
      <c r="AR1437" s="652">
        <f>IF($B1437="",,SUMIFS(SalaryPayrollTaxes[Month 33],SalaryPayrollTaxes[exp_item],$H1437,SalaryPayrollTaxes[company_name],$B1437,SalaryPayrollTaxes[bu_name],$C1437)*(AR492+AR597+AR702)+SUMIFS(ExpensePayrollTaxes[Month 33],ExpensePayrollTaxes[exp_item],$H807,ExpensePayrollTaxes[company_name],$B1437)*AR807)</f>
        <v>0</v>
      </c>
      <c r="AS1437" s="652">
        <f>IF($B1437="",,SUMIFS(SalaryPayrollTaxes[Month 34],SalaryPayrollTaxes[exp_item],$H1437,SalaryPayrollTaxes[company_name],$B1437,SalaryPayrollTaxes[bu_name],$C1437)*(AS492+AS597+AS702)+SUMIFS(ExpensePayrollTaxes[Month 34],ExpensePayrollTaxes[exp_item],$H807,ExpensePayrollTaxes[company_name],$B1437)*AS807)</f>
        <v>0</v>
      </c>
      <c r="AT1437" s="652">
        <f>IF($B1437="",,SUMIFS(SalaryPayrollTaxes[Month 35],SalaryPayrollTaxes[exp_item],$H1437,SalaryPayrollTaxes[company_name],$B1437,SalaryPayrollTaxes[bu_name],$C1437)*(AT492+AT597+AT702)+SUMIFS(ExpensePayrollTaxes[Month 35],ExpensePayrollTaxes[exp_item],$H807,ExpensePayrollTaxes[company_name],$B1437)*AT807)</f>
        <v>0</v>
      </c>
      <c r="AU1437" s="652">
        <f>IF($B1437="",,SUMIFS(SalaryPayrollTaxes[Month 36],SalaryPayrollTaxes[exp_item],$H1437,SalaryPayrollTaxes[company_name],$B1437,SalaryPayrollTaxes[bu_name],$C1437)*(AU492+AU597+AU702)+SUMIFS(ExpensePayrollTaxes[Month 36],ExpensePayrollTaxes[exp_item],$H807,ExpensePayrollTaxes[company_name],$B1437)*AU807)</f>
        <v>0</v>
      </c>
    </row>
    <row r="1438" spans="2:47" x14ac:dyDescent="0.35">
      <c r="B1438" t="str">
        <f t="shared" si="1001"/>
        <v/>
      </c>
      <c r="C1438" t="str">
        <f t="shared" si="1001"/>
        <v/>
      </c>
      <c r="D1438" t="str">
        <f t="shared" si="1001"/>
        <v/>
      </c>
      <c r="E1438" t="str">
        <f t="shared" si="1001"/>
        <v/>
      </c>
      <c r="F1438" t="str">
        <f t="shared" si="1001"/>
        <v/>
      </c>
      <c r="G1438" t="str">
        <f t="shared" si="1001"/>
        <v/>
      </c>
      <c r="H1438" t="str">
        <f t="shared" si="997"/>
        <v/>
      </c>
      <c r="J1438" t="str">
        <f>IF($H1438="","",IF(VLOOKUP(H1438,ExpItems[],2,0),H1438&amp;" - "&amp;INDEX(DivisionMapping[category_code],MATCH($D1438&amp;$C1438,DivisionMapping[dept_bu],0)),H1438))</f>
        <v/>
      </c>
      <c r="K1438" t="str">
        <f t="shared" si="998"/>
        <v/>
      </c>
      <c r="L1438" s="652">
        <f>IF($B1438="",,SUMIFS(SalaryPayrollTaxes[Month 1],SalaryPayrollTaxes[exp_item],$H1438,SalaryPayrollTaxes[company_name],$B1438,SalaryPayrollTaxes[bu_name],$C1438)*(L493+L598+L703)+SUMIFS(ExpensePayrollTaxes[Month 1],ExpensePayrollTaxes[exp_item],$H808,ExpensePayrollTaxes[company_name],$B1438)*L808)</f>
        <v>0</v>
      </c>
      <c r="M1438" s="652">
        <f>IF($B1438="",,SUMIFS(SalaryPayrollTaxes[Month 2],SalaryPayrollTaxes[exp_item],$H1438,SalaryPayrollTaxes[company_name],$B1438,SalaryPayrollTaxes[bu_name],$C1438)*(M493+M598+M703)+SUMIFS(ExpensePayrollTaxes[Month 2],ExpensePayrollTaxes[exp_item],$H808,ExpensePayrollTaxes[company_name],$B1438)*M808)</f>
        <v>0</v>
      </c>
      <c r="N1438" s="652">
        <f>IF($B1438="",,SUMIFS(SalaryPayrollTaxes[Month 3],SalaryPayrollTaxes[exp_item],$H1438,SalaryPayrollTaxes[company_name],$B1438,SalaryPayrollTaxes[bu_name],$C1438)*(N493+N598+N703)+SUMIFS(ExpensePayrollTaxes[Month 3],ExpensePayrollTaxes[exp_item],$H808,ExpensePayrollTaxes[company_name],$B1438)*N808)</f>
        <v>0</v>
      </c>
      <c r="O1438" s="652">
        <f>IF($B1438="",,SUMIFS(SalaryPayrollTaxes[Month 4],SalaryPayrollTaxes[exp_item],$H1438,SalaryPayrollTaxes[company_name],$B1438,SalaryPayrollTaxes[bu_name],$C1438)*(O493+O598+O703)+SUMIFS(ExpensePayrollTaxes[Month 4],ExpensePayrollTaxes[exp_item],$H808,ExpensePayrollTaxes[company_name],$B1438)*O808)</f>
        <v>0</v>
      </c>
      <c r="P1438" s="652">
        <f>IF($B1438="",,SUMIFS(SalaryPayrollTaxes[Month 5],SalaryPayrollTaxes[exp_item],$H1438,SalaryPayrollTaxes[company_name],$B1438,SalaryPayrollTaxes[bu_name],$C1438)*(P493+P598+P703)+SUMIFS(ExpensePayrollTaxes[Month 5],ExpensePayrollTaxes[exp_item],$H808,ExpensePayrollTaxes[company_name],$B1438)*P808)</f>
        <v>0</v>
      </c>
      <c r="Q1438" s="652">
        <f>IF($B1438="",,SUMIFS(SalaryPayrollTaxes[Month 6],SalaryPayrollTaxes[exp_item],$H1438,SalaryPayrollTaxes[company_name],$B1438,SalaryPayrollTaxes[bu_name],$C1438)*(Q493+Q598+Q703)+SUMIFS(ExpensePayrollTaxes[Month 6],ExpensePayrollTaxes[exp_item],$H808,ExpensePayrollTaxes[company_name],$B1438)*Q808)</f>
        <v>0</v>
      </c>
      <c r="R1438" s="652">
        <f>IF($B1438="",,SUMIFS(SalaryPayrollTaxes[Month 7],SalaryPayrollTaxes[exp_item],$H1438,SalaryPayrollTaxes[company_name],$B1438,SalaryPayrollTaxes[bu_name],$C1438)*(R493+R598+R703)+SUMIFS(ExpensePayrollTaxes[Month 7],ExpensePayrollTaxes[exp_item],$H808,ExpensePayrollTaxes[company_name],$B1438)*R808)</f>
        <v>0</v>
      </c>
      <c r="S1438" s="652">
        <f>IF($B1438="",,SUMIFS(SalaryPayrollTaxes[Month 8],SalaryPayrollTaxes[exp_item],$H1438,SalaryPayrollTaxes[company_name],$B1438,SalaryPayrollTaxes[bu_name],$C1438)*(S493+S598+S703)+SUMIFS(ExpensePayrollTaxes[Month 8],ExpensePayrollTaxes[exp_item],$H808,ExpensePayrollTaxes[company_name],$B1438)*S808)</f>
        <v>0</v>
      </c>
      <c r="T1438" s="652">
        <f>IF($B1438="",,SUMIFS(SalaryPayrollTaxes[Month 9],SalaryPayrollTaxes[exp_item],$H1438,SalaryPayrollTaxes[company_name],$B1438,SalaryPayrollTaxes[bu_name],$C1438)*(T493+T598+T703)+SUMIFS(ExpensePayrollTaxes[Month 9],ExpensePayrollTaxes[exp_item],$H808,ExpensePayrollTaxes[company_name],$B1438)*T808)</f>
        <v>0</v>
      </c>
      <c r="U1438" s="652">
        <f>IF($B1438="",,SUMIFS(SalaryPayrollTaxes[Month 10],SalaryPayrollTaxes[exp_item],$H1438,SalaryPayrollTaxes[company_name],$B1438,SalaryPayrollTaxes[bu_name],$C1438)*(U493+U598+U703)+SUMIFS(ExpensePayrollTaxes[Month 10],ExpensePayrollTaxes[exp_item],$H808,ExpensePayrollTaxes[company_name],$B1438)*U808)</f>
        <v>0</v>
      </c>
      <c r="V1438" s="652">
        <f>IF($B1438="",,SUMIFS(SalaryPayrollTaxes[Month 11],SalaryPayrollTaxes[exp_item],$H1438,SalaryPayrollTaxes[company_name],$B1438,SalaryPayrollTaxes[bu_name],$C1438)*(V493+V598+V703)+SUMIFS(ExpensePayrollTaxes[Month 11],ExpensePayrollTaxes[exp_item],$H808,ExpensePayrollTaxes[company_name],$B1438)*V808)</f>
        <v>0</v>
      </c>
      <c r="W1438" s="652">
        <f>IF($B1438="",,SUMIFS(SalaryPayrollTaxes[Month 12],SalaryPayrollTaxes[exp_item],$H1438,SalaryPayrollTaxes[company_name],$B1438,SalaryPayrollTaxes[bu_name],$C1438)*(W493+W598+W703)+SUMIFS(ExpensePayrollTaxes[Month 12],ExpensePayrollTaxes[exp_item],$H808,ExpensePayrollTaxes[company_name],$B1438)*W808)</f>
        <v>0</v>
      </c>
      <c r="X1438" s="652">
        <f>IF($B1438="",,SUMIFS(SalaryPayrollTaxes[Month 13],SalaryPayrollTaxes[exp_item],$H1438,SalaryPayrollTaxes[company_name],$B1438,SalaryPayrollTaxes[bu_name],$C1438)*(X493+X598+X703)+SUMIFS(ExpensePayrollTaxes[Month 13],ExpensePayrollTaxes[exp_item],$H808,ExpensePayrollTaxes[company_name],$B1438)*X808)</f>
        <v>0</v>
      </c>
      <c r="Y1438" s="652">
        <f>IF($B1438="",,SUMIFS(SalaryPayrollTaxes[Month 14],SalaryPayrollTaxes[exp_item],$H1438,SalaryPayrollTaxes[company_name],$B1438,SalaryPayrollTaxes[bu_name],$C1438)*(Y493+Y598+Y703)+SUMIFS(ExpensePayrollTaxes[Month 14],ExpensePayrollTaxes[exp_item],$H808,ExpensePayrollTaxes[company_name],$B1438)*Y808)</f>
        <v>0</v>
      </c>
      <c r="Z1438" s="652">
        <f>IF($B1438="",,SUMIFS(SalaryPayrollTaxes[Month 15],SalaryPayrollTaxes[exp_item],$H1438,SalaryPayrollTaxes[company_name],$B1438,SalaryPayrollTaxes[bu_name],$C1438)*(Z493+Z598+Z703)+SUMIFS(ExpensePayrollTaxes[Month 15],ExpensePayrollTaxes[exp_item],$H808,ExpensePayrollTaxes[company_name],$B1438)*Z808)</f>
        <v>0</v>
      </c>
      <c r="AA1438" s="652">
        <f>IF($B1438="",,SUMIFS(SalaryPayrollTaxes[Month 16],SalaryPayrollTaxes[exp_item],$H1438,SalaryPayrollTaxes[company_name],$B1438,SalaryPayrollTaxes[bu_name],$C1438)*(AA493+AA598+AA703)+SUMIFS(ExpensePayrollTaxes[Month 16],ExpensePayrollTaxes[exp_item],$H808,ExpensePayrollTaxes[company_name],$B1438)*AA808)</f>
        <v>0</v>
      </c>
      <c r="AB1438" s="652">
        <f>IF($B1438="",,SUMIFS(SalaryPayrollTaxes[Month 17],SalaryPayrollTaxes[exp_item],$H1438,SalaryPayrollTaxes[company_name],$B1438,SalaryPayrollTaxes[bu_name],$C1438)*(AB493+AB598+AB703)+SUMIFS(ExpensePayrollTaxes[Month 17],ExpensePayrollTaxes[exp_item],$H808,ExpensePayrollTaxes[company_name],$B1438)*AB808)</f>
        <v>0</v>
      </c>
      <c r="AC1438" s="652">
        <f>IF($B1438="",,SUMIFS(SalaryPayrollTaxes[Month 18],SalaryPayrollTaxes[exp_item],$H1438,SalaryPayrollTaxes[company_name],$B1438,SalaryPayrollTaxes[bu_name],$C1438)*(AC493+AC598+AC703)+SUMIFS(ExpensePayrollTaxes[Month 18],ExpensePayrollTaxes[exp_item],$H808,ExpensePayrollTaxes[company_name],$B1438)*AC808)</f>
        <v>0</v>
      </c>
      <c r="AD1438" s="652">
        <f>IF($B1438="",,SUMIFS(SalaryPayrollTaxes[Month 19],SalaryPayrollTaxes[exp_item],$H1438,SalaryPayrollTaxes[company_name],$B1438,SalaryPayrollTaxes[bu_name],$C1438)*(AD493+AD598+AD703)+SUMIFS(ExpensePayrollTaxes[Month 19],ExpensePayrollTaxes[exp_item],$H808,ExpensePayrollTaxes[company_name],$B1438)*AD808)</f>
        <v>0</v>
      </c>
      <c r="AE1438" s="652">
        <f>IF($B1438="",,SUMIFS(SalaryPayrollTaxes[Month 20],SalaryPayrollTaxes[exp_item],$H1438,SalaryPayrollTaxes[company_name],$B1438,SalaryPayrollTaxes[bu_name],$C1438)*(AE493+AE598+AE703)+SUMIFS(ExpensePayrollTaxes[Month 20],ExpensePayrollTaxes[exp_item],$H808,ExpensePayrollTaxes[company_name],$B1438)*AE808)</f>
        <v>0</v>
      </c>
      <c r="AF1438" s="652">
        <f>IF($B1438="",,SUMIFS(SalaryPayrollTaxes[Month 21],SalaryPayrollTaxes[exp_item],$H1438,SalaryPayrollTaxes[company_name],$B1438,SalaryPayrollTaxes[bu_name],$C1438)*(AF493+AF598+AF703)+SUMIFS(ExpensePayrollTaxes[Month 21],ExpensePayrollTaxes[exp_item],$H808,ExpensePayrollTaxes[company_name],$B1438)*AF808)</f>
        <v>0</v>
      </c>
      <c r="AG1438" s="652">
        <f>IF($B1438="",,SUMIFS(SalaryPayrollTaxes[Month 22],SalaryPayrollTaxes[exp_item],$H1438,SalaryPayrollTaxes[company_name],$B1438,SalaryPayrollTaxes[bu_name],$C1438)*(AG493+AG598+AG703)+SUMIFS(ExpensePayrollTaxes[Month 22],ExpensePayrollTaxes[exp_item],$H808,ExpensePayrollTaxes[company_name],$B1438)*AG808)</f>
        <v>0</v>
      </c>
      <c r="AH1438" s="652">
        <f>IF($B1438="",,SUMIFS(SalaryPayrollTaxes[Month 23],SalaryPayrollTaxes[exp_item],$H1438,SalaryPayrollTaxes[company_name],$B1438,SalaryPayrollTaxes[bu_name],$C1438)*(AH493+AH598+AH703)+SUMIFS(ExpensePayrollTaxes[Month 23],ExpensePayrollTaxes[exp_item],$H808,ExpensePayrollTaxes[company_name],$B1438)*AH808)</f>
        <v>0</v>
      </c>
      <c r="AI1438" s="652">
        <f>IF($B1438="",,SUMIFS(SalaryPayrollTaxes[Month 24],SalaryPayrollTaxes[exp_item],$H1438,SalaryPayrollTaxes[company_name],$B1438,SalaryPayrollTaxes[bu_name],$C1438)*(AI493+AI598+AI703)+SUMIFS(ExpensePayrollTaxes[Month 24],ExpensePayrollTaxes[exp_item],$H808,ExpensePayrollTaxes[company_name],$B1438)*AI808)</f>
        <v>0</v>
      </c>
      <c r="AJ1438" s="652">
        <f>IF($B1438="",,SUMIFS(SalaryPayrollTaxes[Month 25],SalaryPayrollTaxes[exp_item],$H1438,SalaryPayrollTaxes[company_name],$B1438,SalaryPayrollTaxes[bu_name],$C1438)*(AJ493+AJ598+AJ703)+SUMIFS(ExpensePayrollTaxes[Month 25],ExpensePayrollTaxes[exp_item],$H808,ExpensePayrollTaxes[company_name],$B1438)*AJ808)</f>
        <v>0</v>
      </c>
      <c r="AK1438" s="652">
        <f>IF($B1438="",,SUMIFS(SalaryPayrollTaxes[Month 26],SalaryPayrollTaxes[exp_item],$H1438,SalaryPayrollTaxes[company_name],$B1438,SalaryPayrollTaxes[bu_name],$C1438)*(AK493+AK598+AK703)+SUMIFS(ExpensePayrollTaxes[Month 26],ExpensePayrollTaxes[exp_item],$H808,ExpensePayrollTaxes[company_name],$B1438)*AK808)</f>
        <v>0</v>
      </c>
      <c r="AL1438" s="652">
        <f>IF($B1438="",,SUMIFS(SalaryPayrollTaxes[Month 27],SalaryPayrollTaxes[exp_item],$H1438,SalaryPayrollTaxes[company_name],$B1438,SalaryPayrollTaxes[bu_name],$C1438)*(AL493+AL598+AL703)+SUMIFS(ExpensePayrollTaxes[Month 27],ExpensePayrollTaxes[exp_item],$H808,ExpensePayrollTaxes[company_name],$B1438)*AL808)</f>
        <v>0</v>
      </c>
      <c r="AM1438" s="652">
        <f>IF($B1438="",,SUMIFS(SalaryPayrollTaxes[Month 28],SalaryPayrollTaxes[exp_item],$H1438,SalaryPayrollTaxes[company_name],$B1438,SalaryPayrollTaxes[bu_name],$C1438)*(AM493+AM598+AM703)+SUMIFS(ExpensePayrollTaxes[Month 28],ExpensePayrollTaxes[exp_item],$H808,ExpensePayrollTaxes[company_name],$B1438)*AM808)</f>
        <v>0</v>
      </c>
      <c r="AN1438" s="652">
        <f>IF($B1438="",,SUMIFS(SalaryPayrollTaxes[Month 29],SalaryPayrollTaxes[exp_item],$H1438,SalaryPayrollTaxes[company_name],$B1438,SalaryPayrollTaxes[bu_name],$C1438)*(AN493+AN598+AN703)+SUMIFS(ExpensePayrollTaxes[Month 29],ExpensePayrollTaxes[exp_item],$H808,ExpensePayrollTaxes[company_name],$B1438)*AN808)</f>
        <v>0</v>
      </c>
      <c r="AO1438" s="652">
        <f>IF($B1438="",,SUMIFS(SalaryPayrollTaxes[Month 30],SalaryPayrollTaxes[exp_item],$H1438,SalaryPayrollTaxes[company_name],$B1438,SalaryPayrollTaxes[bu_name],$C1438)*(AO493+AO598+AO703)+SUMIFS(ExpensePayrollTaxes[Month 30],ExpensePayrollTaxes[exp_item],$H808,ExpensePayrollTaxes[company_name],$B1438)*AO808)</f>
        <v>0</v>
      </c>
      <c r="AP1438" s="652">
        <f>IF($B1438="",,SUMIFS(SalaryPayrollTaxes[Month 31],SalaryPayrollTaxes[exp_item],$H1438,SalaryPayrollTaxes[company_name],$B1438,SalaryPayrollTaxes[bu_name],$C1438)*(AP493+AP598+AP703)+SUMIFS(ExpensePayrollTaxes[Month 31],ExpensePayrollTaxes[exp_item],$H808,ExpensePayrollTaxes[company_name],$B1438)*AP808)</f>
        <v>0</v>
      </c>
      <c r="AQ1438" s="652">
        <f>IF($B1438="",,SUMIFS(SalaryPayrollTaxes[Month 32],SalaryPayrollTaxes[exp_item],$H1438,SalaryPayrollTaxes[company_name],$B1438,SalaryPayrollTaxes[bu_name],$C1438)*(AQ493+AQ598+AQ703)+SUMIFS(ExpensePayrollTaxes[Month 32],ExpensePayrollTaxes[exp_item],$H808,ExpensePayrollTaxes[company_name],$B1438)*AQ808)</f>
        <v>0</v>
      </c>
      <c r="AR1438" s="652">
        <f>IF($B1438="",,SUMIFS(SalaryPayrollTaxes[Month 33],SalaryPayrollTaxes[exp_item],$H1438,SalaryPayrollTaxes[company_name],$B1438,SalaryPayrollTaxes[bu_name],$C1438)*(AR493+AR598+AR703)+SUMIFS(ExpensePayrollTaxes[Month 33],ExpensePayrollTaxes[exp_item],$H808,ExpensePayrollTaxes[company_name],$B1438)*AR808)</f>
        <v>0</v>
      </c>
      <c r="AS1438" s="652">
        <f>IF($B1438="",,SUMIFS(SalaryPayrollTaxes[Month 34],SalaryPayrollTaxes[exp_item],$H1438,SalaryPayrollTaxes[company_name],$B1438,SalaryPayrollTaxes[bu_name],$C1438)*(AS493+AS598+AS703)+SUMIFS(ExpensePayrollTaxes[Month 34],ExpensePayrollTaxes[exp_item],$H808,ExpensePayrollTaxes[company_name],$B1438)*AS808)</f>
        <v>0</v>
      </c>
      <c r="AT1438" s="652">
        <f>IF($B1438="",,SUMIFS(SalaryPayrollTaxes[Month 35],SalaryPayrollTaxes[exp_item],$H1438,SalaryPayrollTaxes[company_name],$B1438,SalaryPayrollTaxes[bu_name],$C1438)*(AT493+AT598+AT703)+SUMIFS(ExpensePayrollTaxes[Month 35],ExpensePayrollTaxes[exp_item],$H808,ExpensePayrollTaxes[company_name],$B1438)*AT808)</f>
        <v>0</v>
      </c>
      <c r="AU1438" s="652">
        <f>IF($B1438="",,SUMIFS(SalaryPayrollTaxes[Month 36],SalaryPayrollTaxes[exp_item],$H1438,SalaryPayrollTaxes[company_name],$B1438,SalaryPayrollTaxes[bu_name],$C1438)*(AU493+AU598+AU703)+SUMIFS(ExpensePayrollTaxes[Month 36],ExpensePayrollTaxes[exp_item],$H808,ExpensePayrollTaxes[company_name],$B1438)*AU808)</f>
        <v>0</v>
      </c>
    </row>
    <row r="1439" spans="2:47" x14ac:dyDescent="0.35">
      <c r="B1439" t="str">
        <f t="shared" si="1001"/>
        <v/>
      </c>
      <c r="C1439" t="str">
        <f t="shared" si="1001"/>
        <v/>
      </c>
      <c r="D1439" t="str">
        <f t="shared" si="1001"/>
        <v/>
      </c>
      <c r="E1439" t="str">
        <f t="shared" si="1001"/>
        <v/>
      </c>
      <c r="F1439" t="str">
        <f t="shared" si="1001"/>
        <v/>
      </c>
      <c r="G1439" t="str">
        <f t="shared" si="1001"/>
        <v/>
      </c>
      <c r="H1439" t="str">
        <f t="shared" si="997"/>
        <v/>
      </c>
      <c r="J1439" t="str">
        <f>IF($H1439="","",IF(VLOOKUP(H1439,ExpItems[],2,0),H1439&amp;" - "&amp;INDEX(DivisionMapping[category_code],MATCH($D1439&amp;$C1439,DivisionMapping[dept_bu],0)),H1439))</f>
        <v/>
      </c>
      <c r="K1439" t="str">
        <f t="shared" si="998"/>
        <v/>
      </c>
      <c r="L1439" s="652">
        <f>IF($B1439="",,SUMIFS(SalaryPayrollTaxes[Month 1],SalaryPayrollTaxes[exp_item],$H1439,SalaryPayrollTaxes[company_name],$B1439,SalaryPayrollTaxes[bu_name],$C1439)*(L494+L599+L704)+SUMIFS(ExpensePayrollTaxes[Month 1],ExpensePayrollTaxes[exp_item],$H809,ExpensePayrollTaxes[company_name],$B1439)*L809)</f>
        <v>0</v>
      </c>
      <c r="M1439" s="652">
        <f>IF($B1439="",,SUMIFS(SalaryPayrollTaxes[Month 2],SalaryPayrollTaxes[exp_item],$H1439,SalaryPayrollTaxes[company_name],$B1439,SalaryPayrollTaxes[bu_name],$C1439)*(M494+M599+M704)+SUMIFS(ExpensePayrollTaxes[Month 2],ExpensePayrollTaxes[exp_item],$H809,ExpensePayrollTaxes[company_name],$B1439)*M809)</f>
        <v>0</v>
      </c>
      <c r="N1439" s="652">
        <f>IF($B1439="",,SUMIFS(SalaryPayrollTaxes[Month 3],SalaryPayrollTaxes[exp_item],$H1439,SalaryPayrollTaxes[company_name],$B1439,SalaryPayrollTaxes[bu_name],$C1439)*(N494+N599+N704)+SUMIFS(ExpensePayrollTaxes[Month 3],ExpensePayrollTaxes[exp_item],$H809,ExpensePayrollTaxes[company_name],$B1439)*N809)</f>
        <v>0</v>
      </c>
      <c r="O1439" s="652">
        <f>IF($B1439="",,SUMIFS(SalaryPayrollTaxes[Month 4],SalaryPayrollTaxes[exp_item],$H1439,SalaryPayrollTaxes[company_name],$B1439,SalaryPayrollTaxes[bu_name],$C1439)*(O494+O599+O704)+SUMIFS(ExpensePayrollTaxes[Month 4],ExpensePayrollTaxes[exp_item],$H809,ExpensePayrollTaxes[company_name],$B1439)*O809)</f>
        <v>0</v>
      </c>
      <c r="P1439" s="652">
        <f>IF($B1439="",,SUMIFS(SalaryPayrollTaxes[Month 5],SalaryPayrollTaxes[exp_item],$H1439,SalaryPayrollTaxes[company_name],$B1439,SalaryPayrollTaxes[bu_name],$C1439)*(P494+P599+P704)+SUMIFS(ExpensePayrollTaxes[Month 5],ExpensePayrollTaxes[exp_item],$H809,ExpensePayrollTaxes[company_name],$B1439)*P809)</f>
        <v>0</v>
      </c>
      <c r="Q1439" s="652">
        <f>IF($B1439="",,SUMIFS(SalaryPayrollTaxes[Month 6],SalaryPayrollTaxes[exp_item],$H1439,SalaryPayrollTaxes[company_name],$B1439,SalaryPayrollTaxes[bu_name],$C1439)*(Q494+Q599+Q704)+SUMIFS(ExpensePayrollTaxes[Month 6],ExpensePayrollTaxes[exp_item],$H809,ExpensePayrollTaxes[company_name],$B1439)*Q809)</f>
        <v>0</v>
      </c>
      <c r="R1439" s="652">
        <f>IF($B1439="",,SUMIFS(SalaryPayrollTaxes[Month 7],SalaryPayrollTaxes[exp_item],$H1439,SalaryPayrollTaxes[company_name],$B1439,SalaryPayrollTaxes[bu_name],$C1439)*(R494+R599+R704)+SUMIFS(ExpensePayrollTaxes[Month 7],ExpensePayrollTaxes[exp_item],$H809,ExpensePayrollTaxes[company_name],$B1439)*R809)</f>
        <v>0</v>
      </c>
      <c r="S1439" s="652">
        <f>IF($B1439="",,SUMIFS(SalaryPayrollTaxes[Month 8],SalaryPayrollTaxes[exp_item],$H1439,SalaryPayrollTaxes[company_name],$B1439,SalaryPayrollTaxes[bu_name],$C1439)*(S494+S599+S704)+SUMIFS(ExpensePayrollTaxes[Month 8],ExpensePayrollTaxes[exp_item],$H809,ExpensePayrollTaxes[company_name],$B1439)*S809)</f>
        <v>0</v>
      </c>
      <c r="T1439" s="652">
        <f>IF($B1439="",,SUMIFS(SalaryPayrollTaxes[Month 9],SalaryPayrollTaxes[exp_item],$H1439,SalaryPayrollTaxes[company_name],$B1439,SalaryPayrollTaxes[bu_name],$C1439)*(T494+T599+T704)+SUMIFS(ExpensePayrollTaxes[Month 9],ExpensePayrollTaxes[exp_item],$H809,ExpensePayrollTaxes[company_name],$B1439)*T809)</f>
        <v>0</v>
      </c>
      <c r="U1439" s="652">
        <f>IF($B1439="",,SUMIFS(SalaryPayrollTaxes[Month 10],SalaryPayrollTaxes[exp_item],$H1439,SalaryPayrollTaxes[company_name],$B1439,SalaryPayrollTaxes[bu_name],$C1439)*(U494+U599+U704)+SUMIFS(ExpensePayrollTaxes[Month 10],ExpensePayrollTaxes[exp_item],$H809,ExpensePayrollTaxes[company_name],$B1439)*U809)</f>
        <v>0</v>
      </c>
      <c r="V1439" s="652">
        <f>IF($B1439="",,SUMIFS(SalaryPayrollTaxes[Month 11],SalaryPayrollTaxes[exp_item],$H1439,SalaryPayrollTaxes[company_name],$B1439,SalaryPayrollTaxes[bu_name],$C1439)*(V494+V599+V704)+SUMIFS(ExpensePayrollTaxes[Month 11],ExpensePayrollTaxes[exp_item],$H809,ExpensePayrollTaxes[company_name],$B1439)*V809)</f>
        <v>0</v>
      </c>
      <c r="W1439" s="652">
        <f>IF($B1439="",,SUMIFS(SalaryPayrollTaxes[Month 12],SalaryPayrollTaxes[exp_item],$H1439,SalaryPayrollTaxes[company_name],$B1439,SalaryPayrollTaxes[bu_name],$C1439)*(W494+W599+W704)+SUMIFS(ExpensePayrollTaxes[Month 12],ExpensePayrollTaxes[exp_item],$H809,ExpensePayrollTaxes[company_name],$B1439)*W809)</f>
        <v>0</v>
      </c>
      <c r="X1439" s="652">
        <f>IF($B1439="",,SUMIFS(SalaryPayrollTaxes[Month 13],SalaryPayrollTaxes[exp_item],$H1439,SalaryPayrollTaxes[company_name],$B1439,SalaryPayrollTaxes[bu_name],$C1439)*(X494+X599+X704)+SUMIFS(ExpensePayrollTaxes[Month 13],ExpensePayrollTaxes[exp_item],$H809,ExpensePayrollTaxes[company_name],$B1439)*X809)</f>
        <v>0</v>
      </c>
      <c r="Y1439" s="652">
        <f>IF($B1439="",,SUMIFS(SalaryPayrollTaxes[Month 14],SalaryPayrollTaxes[exp_item],$H1439,SalaryPayrollTaxes[company_name],$B1439,SalaryPayrollTaxes[bu_name],$C1439)*(Y494+Y599+Y704)+SUMIFS(ExpensePayrollTaxes[Month 14],ExpensePayrollTaxes[exp_item],$H809,ExpensePayrollTaxes[company_name],$B1439)*Y809)</f>
        <v>0</v>
      </c>
      <c r="Z1439" s="652">
        <f>IF($B1439="",,SUMIFS(SalaryPayrollTaxes[Month 15],SalaryPayrollTaxes[exp_item],$H1439,SalaryPayrollTaxes[company_name],$B1439,SalaryPayrollTaxes[bu_name],$C1439)*(Z494+Z599+Z704)+SUMIFS(ExpensePayrollTaxes[Month 15],ExpensePayrollTaxes[exp_item],$H809,ExpensePayrollTaxes[company_name],$B1439)*Z809)</f>
        <v>0</v>
      </c>
      <c r="AA1439" s="652">
        <f>IF($B1439="",,SUMIFS(SalaryPayrollTaxes[Month 16],SalaryPayrollTaxes[exp_item],$H1439,SalaryPayrollTaxes[company_name],$B1439,SalaryPayrollTaxes[bu_name],$C1439)*(AA494+AA599+AA704)+SUMIFS(ExpensePayrollTaxes[Month 16],ExpensePayrollTaxes[exp_item],$H809,ExpensePayrollTaxes[company_name],$B1439)*AA809)</f>
        <v>0</v>
      </c>
      <c r="AB1439" s="652">
        <f>IF($B1439="",,SUMIFS(SalaryPayrollTaxes[Month 17],SalaryPayrollTaxes[exp_item],$H1439,SalaryPayrollTaxes[company_name],$B1439,SalaryPayrollTaxes[bu_name],$C1439)*(AB494+AB599+AB704)+SUMIFS(ExpensePayrollTaxes[Month 17],ExpensePayrollTaxes[exp_item],$H809,ExpensePayrollTaxes[company_name],$B1439)*AB809)</f>
        <v>0</v>
      </c>
      <c r="AC1439" s="652">
        <f>IF($B1439="",,SUMIFS(SalaryPayrollTaxes[Month 18],SalaryPayrollTaxes[exp_item],$H1439,SalaryPayrollTaxes[company_name],$B1439,SalaryPayrollTaxes[bu_name],$C1439)*(AC494+AC599+AC704)+SUMIFS(ExpensePayrollTaxes[Month 18],ExpensePayrollTaxes[exp_item],$H809,ExpensePayrollTaxes[company_name],$B1439)*AC809)</f>
        <v>0</v>
      </c>
      <c r="AD1439" s="652">
        <f>IF($B1439="",,SUMIFS(SalaryPayrollTaxes[Month 19],SalaryPayrollTaxes[exp_item],$H1439,SalaryPayrollTaxes[company_name],$B1439,SalaryPayrollTaxes[bu_name],$C1439)*(AD494+AD599+AD704)+SUMIFS(ExpensePayrollTaxes[Month 19],ExpensePayrollTaxes[exp_item],$H809,ExpensePayrollTaxes[company_name],$B1439)*AD809)</f>
        <v>0</v>
      </c>
      <c r="AE1439" s="652">
        <f>IF($B1439="",,SUMIFS(SalaryPayrollTaxes[Month 20],SalaryPayrollTaxes[exp_item],$H1439,SalaryPayrollTaxes[company_name],$B1439,SalaryPayrollTaxes[bu_name],$C1439)*(AE494+AE599+AE704)+SUMIFS(ExpensePayrollTaxes[Month 20],ExpensePayrollTaxes[exp_item],$H809,ExpensePayrollTaxes[company_name],$B1439)*AE809)</f>
        <v>0</v>
      </c>
      <c r="AF1439" s="652">
        <f>IF($B1439="",,SUMIFS(SalaryPayrollTaxes[Month 21],SalaryPayrollTaxes[exp_item],$H1439,SalaryPayrollTaxes[company_name],$B1439,SalaryPayrollTaxes[bu_name],$C1439)*(AF494+AF599+AF704)+SUMIFS(ExpensePayrollTaxes[Month 21],ExpensePayrollTaxes[exp_item],$H809,ExpensePayrollTaxes[company_name],$B1439)*AF809)</f>
        <v>0</v>
      </c>
      <c r="AG1439" s="652">
        <f>IF($B1439="",,SUMIFS(SalaryPayrollTaxes[Month 22],SalaryPayrollTaxes[exp_item],$H1439,SalaryPayrollTaxes[company_name],$B1439,SalaryPayrollTaxes[bu_name],$C1439)*(AG494+AG599+AG704)+SUMIFS(ExpensePayrollTaxes[Month 22],ExpensePayrollTaxes[exp_item],$H809,ExpensePayrollTaxes[company_name],$B1439)*AG809)</f>
        <v>0</v>
      </c>
      <c r="AH1439" s="652">
        <f>IF($B1439="",,SUMIFS(SalaryPayrollTaxes[Month 23],SalaryPayrollTaxes[exp_item],$H1439,SalaryPayrollTaxes[company_name],$B1439,SalaryPayrollTaxes[bu_name],$C1439)*(AH494+AH599+AH704)+SUMIFS(ExpensePayrollTaxes[Month 23],ExpensePayrollTaxes[exp_item],$H809,ExpensePayrollTaxes[company_name],$B1439)*AH809)</f>
        <v>0</v>
      </c>
      <c r="AI1439" s="652">
        <f>IF($B1439="",,SUMIFS(SalaryPayrollTaxes[Month 24],SalaryPayrollTaxes[exp_item],$H1439,SalaryPayrollTaxes[company_name],$B1439,SalaryPayrollTaxes[bu_name],$C1439)*(AI494+AI599+AI704)+SUMIFS(ExpensePayrollTaxes[Month 24],ExpensePayrollTaxes[exp_item],$H809,ExpensePayrollTaxes[company_name],$B1439)*AI809)</f>
        <v>0</v>
      </c>
      <c r="AJ1439" s="652">
        <f>IF($B1439="",,SUMIFS(SalaryPayrollTaxes[Month 25],SalaryPayrollTaxes[exp_item],$H1439,SalaryPayrollTaxes[company_name],$B1439,SalaryPayrollTaxes[bu_name],$C1439)*(AJ494+AJ599+AJ704)+SUMIFS(ExpensePayrollTaxes[Month 25],ExpensePayrollTaxes[exp_item],$H809,ExpensePayrollTaxes[company_name],$B1439)*AJ809)</f>
        <v>0</v>
      </c>
      <c r="AK1439" s="652">
        <f>IF($B1439="",,SUMIFS(SalaryPayrollTaxes[Month 26],SalaryPayrollTaxes[exp_item],$H1439,SalaryPayrollTaxes[company_name],$B1439,SalaryPayrollTaxes[bu_name],$C1439)*(AK494+AK599+AK704)+SUMIFS(ExpensePayrollTaxes[Month 26],ExpensePayrollTaxes[exp_item],$H809,ExpensePayrollTaxes[company_name],$B1439)*AK809)</f>
        <v>0</v>
      </c>
      <c r="AL1439" s="652">
        <f>IF($B1439="",,SUMIFS(SalaryPayrollTaxes[Month 27],SalaryPayrollTaxes[exp_item],$H1439,SalaryPayrollTaxes[company_name],$B1439,SalaryPayrollTaxes[bu_name],$C1439)*(AL494+AL599+AL704)+SUMIFS(ExpensePayrollTaxes[Month 27],ExpensePayrollTaxes[exp_item],$H809,ExpensePayrollTaxes[company_name],$B1439)*AL809)</f>
        <v>0</v>
      </c>
      <c r="AM1439" s="652">
        <f>IF($B1439="",,SUMIFS(SalaryPayrollTaxes[Month 28],SalaryPayrollTaxes[exp_item],$H1439,SalaryPayrollTaxes[company_name],$B1439,SalaryPayrollTaxes[bu_name],$C1439)*(AM494+AM599+AM704)+SUMIFS(ExpensePayrollTaxes[Month 28],ExpensePayrollTaxes[exp_item],$H809,ExpensePayrollTaxes[company_name],$B1439)*AM809)</f>
        <v>0</v>
      </c>
      <c r="AN1439" s="652">
        <f>IF($B1439="",,SUMIFS(SalaryPayrollTaxes[Month 29],SalaryPayrollTaxes[exp_item],$H1439,SalaryPayrollTaxes[company_name],$B1439,SalaryPayrollTaxes[bu_name],$C1439)*(AN494+AN599+AN704)+SUMIFS(ExpensePayrollTaxes[Month 29],ExpensePayrollTaxes[exp_item],$H809,ExpensePayrollTaxes[company_name],$B1439)*AN809)</f>
        <v>0</v>
      </c>
      <c r="AO1439" s="652">
        <f>IF($B1439="",,SUMIFS(SalaryPayrollTaxes[Month 30],SalaryPayrollTaxes[exp_item],$H1439,SalaryPayrollTaxes[company_name],$B1439,SalaryPayrollTaxes[bu_name],$C1439)*(AO494+AO599+AO704)+SUMIFS(ExpensePayrollTaxes[Month 30],ExpensePayrollTaxes[exp_item],$H809,ExpensePayrollTaxes[company_name],$B1439)*AO809)</f>
        <v>0</v>
      </c>
      <c r="AP1439" s="652">
        <f>IF($B1439="",,SUMIFS(SalaryPayrollTaxes[Month 31],SalaryPayrollTaxes[exp_item],$H1439,SalaryPayrollTaxes[company_name],$B1439,SalaryPayrollTaxes[bu_name],$C1439)*(AP494+AP599+AP704)+SUMIFS(ExpensePayrollTaxes[Month 31],ExpensePayrollTaxes[exp_item],$H809,ExpensePayrollTaxes[company_name],$B1439)*AP809)</f>
        <v>0</v>
      </c>
      <c r="AQ1439" s="652">
        <f>IF($B1439="",,SUMIFS(SalaryPayrollTaxes[Month 32],SalaryPayrollTaxes[exp_item],$H1439,SalaryPayrollTaxes[company_name],$B1439,SalaryPayrollTaxes[bu_name],$C1439)*(AQ494+AQ599+AQ704)+SUMIFS(ExpensePayrollTaxes[Month 32],ExpensePayrollTaxes[exp_item],$H809,ExpensePayrollTaxes[company_name],$B1439)*AQ809)</f>
        <v>0</v>
      </c>
      <c r="AR1439" s="652">
        <f>IF($B1439="",,SUMIFS(SalaryPayrollTaxes[Month 33],SalaryPayrollTaxes[exp_item],$H1439,SalaryPayrollTaxes[company_name],$B1439,SalaryPayrollTaxes[bu_name],$C1439)*(AR494+AR599+AR704)+SUMIFS(ExpensePayrollTaxes[Month 33],ExpensePayrollTaxes[exp_item],$H809,ExpensePayrollTaxes[company_name],$B1439)*AR809)</f>
        <v>0</v>
      </c>
      <c r="AS1439" s="652">
        <f>IF($B1439="",,SUMIFS(SalaryPayrollTaxes[Month 34],SalaryPayrollTaxes[exp_item],$H1439,SalaryPayrollTaxes[company_name],$B1439,SalaryPayrollTaxes[bu_name],$C1439)*(AS494+AS599+AS704)+SUMIFS(ExpensePayrollTaxes[Month 34],ExpensePayrollTaxes[exp_item],$H809,ExpensePayrollTaxes[company_name],$B1439)*AS809)</f>
        <v>0</v>
      </c>
      <c r="AT1439" s="652">
        <f>IF($B1439="",,SUMIFS(SalaryPayrollTaxes[Month 35],SalaryPayrollTaxes[exp_item],$H1439,SalaryPayrollTaxes[company_name],$B1439,SalaryPayrollTaxes[bu_name],$C1439)*(AT494+AT599+AT704)+SUMIFS(ExpensePayrollTaxes[Month 35],ExpensePayrollTaxes[exp_item],$H809,ExpensePayrollTaxes[company_name],$B1439)*AT809)</f>
        <v>0</v>
      </c>
      <c r="AU1439" s="652">
        <f>IF($B1439="",,SUMIFS(SalaryPayrollTaxes[Month 36],SalaryPayrollTaxes[exp_item],$H1439,SalaryPayrollTaxes[company_name],$B1439,SalaryPayrollTaxes[bu_name],$C1439)*(AU494+AU599+AU704)+SUMIFS(ExpensePayrollTaxes[Month 36],ExpensePayrollTaxes[exp_item],$H809,ExpensePayrollTaxes[company_name],$B1439)*AU809)</f>
        <v>0</v>
      </c>
    </row>
    <row r="1440" spans="2:47" x14ac:dyDescent="0.35">
      <c r="B1440" t="str">
        <f t="shared" si="1001"/>
        <v/>
      </c>
      <c r="C1440" t="str">
        <f t="shared" si="1001"/>
        <v/>
      </c>
      <c r="D1440" t="str">
        <f t="shared" si="1001"/>
        <v/>
      </c>
      <c r="E1440" t="str">
        <f t="shared" si="1001"/>
        <v/>
      </c>
      <c r="F1440" t="str">
        <f t="shared" si="1001"/>
        <v/>
      </c>
      <c r="G1440" t="str">
        <f t="shared" si="1001"/>
        <v/>
      </c>
      <c r="H1440" t="str">
        <f t="shared" si="997"/>
        <v/>
      </c>
      <c r="J1440" t="str">
        <f>IF($H1440="","",IF(VLOOKUP(H1440,ExpItems[],2,0),H1440&amp;" - "&amp;INDEX(DivisionMapping[category_code],MATCH($D1440&amp;$C1440,DivisionMapping[dept_bu],0)),H1440))</f>
        <v/>
      </c>
      <c r="K1440" t="str">
        <f t="shared" si="998"/>
        <v/>
      </c>
      <c r="L1440" s="652">
        <f>IF($B1440="",,SUMIFS(SalaryPayrollTaxes[Month 1],SalaryPayrollTaxes[exp_item],$H1440,SalaryPayrollTaxes[company_name],$B1440,SalaryPayrollTaxes[bu_name],$C1440)*(L495+L600+L705)+SUMIFS(ExpensePayrollTaxes[Month 1],ExpensePayrollTaxes[exp_item],$H810,ExpensePayrollTaxes[company_name],$B1440)*L810)</f>
        <v>0</v>
      </c>
      <c r="M1440" s="652">
        <f>IF($B1440="",,SUMIFS(SalaryPayrollTaxes[Month 2],SalaryPayrollTaxes[exp_item],$H1440,SalaryPayrollTaxes[company_name],$B1440,SalaryPayrollTaxes[bu_name],$C1440)*(M495+M600+M705)+SUMIFS(ExpensePayrollTaxes[Month 2],ExpensePayrollTaxes[exp_item],$H810,ExpensePayrollTaxes[company_name],$B1440)*M810)</f>
        <v>0</v>
      </c>
      <c r="N1440" s="652">
        <f>IF($B1440="",,SUMIFS(SalaryPayrollTaxes[Month 3],SalaryPayrollTaxes[exp_item],$H1440,SalaryPayrollTaxes[company_name],$B1440,SalaryPayrollTaxes[bu_name],$C1440)*(N495+N600+N705)+SUMIFS(ExpensePayrollTaxes[Month 3],ExpensePayrollTaxes[exp_item],$H810,ExpensePayrollTaxes[company_name],$B1440)*N810)</f>
        <v>0</v>
      </c>
      <c r="O1440" s="652">
        <f>IF($B1440="",,SUMIFS(SalaryPayrollTaxes[Month 4],SalaryPayrollTaxes[exp_item],$H1440,SalaryPayrollTaxes[company_name],$B1440,SalaryPayrollTaxes[bu_name],$C1440)*(O495+O600+O705)+SUMIFS(ExpensePayrollTaxes[Month 4],ExpensePayrollTaxes[exp_item],$H810,ExpensePayrollTaxes[company_name],$B1440)*O810)</f>
        <v>0</v>
      </c>
      <c r="P1440" s="652">
        <f>IF($B1440="",,SUMIFS(SalaryPayrollTaxes[Month 5],SalaryPayrollTaxes[exp_item],$H1440,SalaryPayrollTaxes[company_name],$B1440,SalaryPayrollTaxes[bu_name],$C1440)*(P495+P600+P705)+SUMIFS(ExpensePayrollTaxes[Month 5],ExpensePayrollTaxes[exp_item],$H810,ExpensePayrollTaxes[company_name],$B1440)*P810)</f>
        <v>0</v>
      </c>
      <c r="Q1440" s="652">
        <f>IF($B1440="",,SUMIFS(SalaryPayrollTaxes[Month 6],SalaryPayrollTaxes[exp_item],$H1440,SalaryPayrollTaxes[company_name],$B1440,SalaryPayrollTaxes[bu_name],$C1440)*(Q495+Q600+Q705)+SUMIFS(ExpensePayrollTaxes[Month 6],ExpensePayrollTaxes[exp_item],$H810,ExpensePayrollTaxes[company_name],$B1440)*Q810)</f>
        <v>0</v>
      </c>
      <c r="R1440" s="652">
        <f>IF($B1440="",,SUMIFS(SalaryPayrollTaxes[Month 7],SalaryPayrollTaxes[exp_item],$H1440,SalaryPayrollTaxes[company_name],$B1440,SalaryPayrollTaxes[bu_name],$C1440)*(R495+R600+R705)+SUMIFS(ExpensePayrollTaxes[Month 7],ExpensePayrollTaxes[exp_item],$H810,ExpensePayrollTaxes[company_name],$B1440)*R810)</f>
        <v>0</v>
      </c>
      <c r="S1440" s="652">
        <f>IF($B1440="",,SUMIFS(SalaryPayrollTaxes[Month 8],SalaryPayrollTaxes[exp_item],$H1440,SalaryPayrollTaxes[company_name],$B1440,SalaryPayrollTaxes[bu_name],$C1440)*(S495+S600+S705)+SUMIFS(ExpensePayrollTaxes[Month 8],ExpensePayrollTaxes[exp_item],$H810,ExpensePayrollTaxes[company_name],$B1440)*S810)</f>
        <v>0</v>
      </c>
      <c r="T1440" s="652">
        <f>IF($B1440="",,SUMIFS(SalaryPayrollTaxes[Month 9],SalaryPayrollTaxes[exp_item],$H1440,SalaryPayrollTaxes[company_name],$B1440,SalaryPayrollTaxes[bu_name],$C1440)*(T495+T600+T705)+SUMIFS(ExpensePayrollTaxes[Month 9],ExpensePayrollTaxes[exp_item],$H810,ExpensePayrollTaxes[company_name],$B1440)*T810)</f>
        <v>0</v>
      </c>
      <c r="U1440" s="652">
        <f>IF($B1440="",,SUMIFS(SalaryPayrollTaxes[Month 10],SalaryPayrollTaxes[exp_item],$H1440,SalaryPayrollTaxes[company_name],$B1440,SalaryPayrollTaxes[bu_name],$C1440)*(U495+U600+U705)+SUMIFS(ExpensePayrollTaxes[Month 10],ExpensePayrollTaxes[exp_item],$H810,ExpensePayrollTaxes[company_name],$B1440)*U810)</f>
        <v>0</v>
      </c>
      <c r="V1440" s="652">
        <f>IF($B1440="",,SUMIFS(SalaryPayrollTaxes[Month 11],SalaryPayrollTaxes[exp_item],$H1440,SalaryPayrollTaxes[company_name],$B1440,SalaryPayrollTaxes[bu_name],$C1440)*(V495+V600+V705)+SUMIFS(ExpensePayrollTaxes[Month 11],ExpensePayrollTaxes[exp_item],$H810,ExpensePayrollTaxes[company_name],$B1440)*V810)</f>
        <v>0</v>
      </c>
      <c r="W1440" s="652">
        <f>IF($B1440="",,SUMIFS(SalaryPayrollTaxes[Month 12],SalaryPayrollTaxes[exp_item],$H1440,SalaryPayrollTaxes[company_name],$B1440,SalaryPayrollTaxes[bu_name],$C1440)*(W495+W600+W705)+SUMIFS(ExpensePayrollTaxes[Month 12],ExpensePayrollTaxes[exp_item],$H810,ExpensePayrollTaxes[company_name],$B1440)*W810)</f>
        <v>0</v>
      </c>
      <c r="X1440" s="652">
        <f>IF($B1440="",,SUMIFS(SalaryPayrollTaxes[Month 13],SalaryPayrollTaxes[exp_item],$H1440,SalaryPayrollTaxes[company_name],$B1440,SalaryPayrollTaxes[bu_name],$C1440)*(X495+X600+X705)+SUMIFS(ExpensePayrollTaxes[Month 13],ExpensePayrollTaxes[exp_item],$H810,ExpensePayrollTaxes[company_name],$B1440)*X810)</f>
        <v>0</v>
      </c>
      <c r="Y1440" s="652">
        <f>IF($B1440="",,SUMIFS(SalaryPayrollTaxes[Month 14],SalaryPayrollTaxes[exp_item],$H1440,SalaryPayrollTaxes[company_name],$B1440,SalaryPayrollTaxes[bu_name],$C1440)*(Y495+Y600+Y705)+SUMIFS(ExpensePayrollTaxes[Month 14],ExpensePayrollTaxes[exp_item],$H810,ExpensePayrollTaxes[company_name],$B1440)*Y810)</f>
        <v>0</v>
      </c>
      <c r="Z1440" s="652">
        <f>IF($B1440="",,SUMIFS(SalaryPayrollTaxes[Month 15],SalaryPayrollTaxes[exp_item],$H1440,SalaryPayrollTaxes[company_name],$B1440,SalaryPayrollTaxes[bu_name],$C1440)*(Z495+Z600+Z705)+SUMIFS(ExpensePayrollTaxes[Month 15],ExpensePayrollTaxes[exp_item],$H810,ExpensePayrollTaxes[company_name],$B1440)*Z810)</f>
        <v>0</v>
      </c>
      <c r="AA1440" s="652">
        <f>IF($B1440="",,SUMIFS(SalaryPayrollTaxes[Month 16],SalaryPayrollTaxes[exp_item],$H1440,SalaryPayrollTaxes[company_name],$B1440,SalaryPayrollTaxes[bu_name],$C1440)*(AA495+AA600+AA705)+SUMIFS(ExpensePayrollTaxes[Month 16],ExpensePayrollTaxes[exp_item],$H810,ExpensePayrollTaxes[company_name],$B1440)*AA810)</f>
        <v>0</v>
      </c>
      <c r="AB1440" s="652">
        <f>IF($B1440="",,SUMIFS(SalaryPayrollTaxes[Month 17],SalaryPayrollTaxes[exp_item],$H1440,SalaryPayrollTaxes[company_name],$B1440,SalaryPayrollTaxes[bu_name],$C1440)*(AB495+AB600+AB705)+SUMIFS(ExpensePayrollTaxes[Month 17],ExpensePayrollTaxes[exp_item],$H810,ExpensePayrollTaxes[company_name],$B1440)*AB810)</f>
        <v>0</v>
      </c>
      <c r="AC1440" s="652">
        <f>IF($B1440="",,SUMIFS(SalaryPayrollTaxes[Month 18],SalaryPayrollTaxes[exp_item],$H1440,SalaryPayrollTaxes[company_name],$B1440,SalaryPayrollTaxes[bu_name],$C1440)*(AC495+AC600+AC705)+SUMIFS(ExpensePayrollTaxes[Month 18],ExpensePayrollTaxes[exp_item],$H810,ExpensePayrollTaxes[company_name],$B1440)*AC810)</f>
        <v>0</v>
      </c>
      <c r="AD1440" s="652">
        <f>IF($B1440="",,SUMIFS(SalaryPayrollTaxes[Month 19],SalaryPayrollTaxes[exp_item],$H1440,SalaryPayrollTaxes[company_name],$B1440,SalaryPayrollTaxes[bu_name],$C1440)*(AD495+AD600+AD705)+SUMIFS(ExpensePayrollTaxes[Month 19],ExpensePayrollTaxes[exp_item],$H810,ExpensePayrollTaxes[company_name],$B1440)*AD810)</f>
        <v>0</v>
      </c>
      <c r="AE1440" s="652">
        <f>IF($B1440="",,SUMIFS(SalaryPayrollTaxes[Month 20],SalaryPayrollTaxes[exp_item],$H1440,SalaryPayrollTaxes[company_name],$B1440,SalaryPayrollTaxes[bu_name],$C1440)*(AE495+AE600+AE705)+SUMIFS(ExpensePayrollTaxes[Month 20],ExpensePayrollTaxes[exp_item],$H810,ExpensePayrollTaxes[company_name],$B1440)*AE810)</f>
        <v>0</v>
      </c>
      <c r="AF1440" s="652">
        <f>IF($B1440="",,SUMIFS(SalaryPayrollTaxes[Month 21],SalaryPayrollTaxes[exp_item],$H1440,SalaryPayrollTaxes[company_name],$B1440,SalaryPayrollTaxes[bu_name],$C1440)*(AF495+AF600+AF705)+SUMIFS(ExpensePayrollTaxes[Month 21],ExpensePayrollTaxes[exp_item],$H810,ExpensePayrollTaxes[company_name],$B1440)*AF810)</f>
        <v>0</v>
      </c>
      <c r="AG1440" s="652">
        <f>IF($B1440="",,SUMIFS(SalaryPayrollTaxes[Month 22],SalaryPayrollTaxes[exp_item],$H1440,SalaryPayrollTaxes[company_name],$B1440,SalaryPayrollTaxes[bu_name],$C1440)*(AG495+AG600+AG705)+SUMIFS(ExpensePayrollTaxes[Month 22],ExpensePayrollTaxes[exp_item],$H810,ExpensePayrollTaxes[company_name],$B1440)*AG810)</f>
        <v>0</v>
      </c>
      <c r="AH1440" s="652">
        <f>IF($B1440="",,SUMIFS(SalaryPayrollTaxes[Month 23],SalaryPayrollTaxes[exp_item],$H1440,SalaryPayrollTaxes[company_name],$B1440,SalaryPayrollTaxes[bu_name],$C1440)*(AH495+AH600+AH705)+SUMIFS(ExpensePayrollTaxes[Month 23],ExpensePayrollTaxes[exp_item],$H810,ExpensePayrollTaxes[company_name],$B1440)*AH810)</f>
        <v>0</v>
      </c>
      <c r="AI1440" s="652">
        <f>IF($B1440="",,SUMIFS(SalaryPayrollTaxes[Month 24],SalaryPayrollTaxes[exp_item],$H1440,SalaryPayrollTaxes[company_name],$B1440,SalaryPayrollTaxes[bu_name],$C1440)*(AI495+AI600+AI705)+SUMIFS(ExpensePayrollTaxes[Month 24],ExpensePayrollTaxes[exp_item],$H810,ExpensePayrollTaxes[company_name],$B1440)*AI810)</f>
        <v>0</v>
      </c>
      <c r="AJ1440" s="652">
        <f>IF($B1440="",,SUMIFS(SalaryPayrollTaxes[Month 25],SalaryPayrollTaxes[exp_item],$H1440,SalaryPayrollTaxes[company_name],$B1440,SalaryPayrollTaxes[bu_name],$C1440)*(AJ495+AJ600+AJ705)+SUMIFS(ExpensePayrollTaxes[Month 25],ExpensePayrollTaxes[exp_item],$H810,ExpensePayrollTaxes[company_name],$B1440)*AJ810)</f>
        <v>0</v>
      </c>
      <c r="AK1440" s="652">
        <f>IF($B1440="",,SUMIFS(SalaryPayrollTaxes[Month 26],SalaryPayrollTaxes[exp_item],$H1440,SalaryPayrollTaxes[company_name],$B1440,SalaryPayrollTaxes[bu_name],$C1440)*(AK495+AK600+AK705)+SUMIFS(ExpensePayrollTaxes[Month 26],ExpensePayrollTaxes[exp_item],$H810,ExpensePayrollTaxes[company_name],$B1440)*AK810)</f>
        <v>0</v>
      </c>
      <c r="AL1440" s="652">
        <f>IF($B1440="",,SUMIFS(SalaryPayrollTaxes[Month 27],SalaryPayrollTaxes[exp_item],$H1440,SalaryPayrollTaxes[company_name],$B1440,SalaryPayrollTaxes[bu_name],$C1440)*(AL495+AL600+AL705)+SUMIFS(ExpensePayrollTaxes[Month 27],ExpensePayrollTaxes[exp_item],$H810,ExpensePayrollTaxes[company_name],$B1440)*AL810)</f>
        <v>0</v>
      </c>
      <c r="AM1440" s="652">
        <f>IF($B1440="",,SUMIFS(SalaryPayrollTaxes[Month 28],SalaryPayrollTaxes[exp_item],$H1440,SalaryPayrollTaxes[company_name],$B1440,SalaryPayrollTaxes[bu_name],$C1440)*(AM495+AM600+AM705)+SUMIFS(ExpensePayrollTaxes[Month 28],ExpensePayrollTaxes[exp_item],$H810,ExpensePayrollTaxes[company_name],$B1440)*AM810)</f>
        <v>0</v>
      </c>
      <c r="AN1440" s="652">
        <f>IF($B1440="",,SUMIFS(SalaryPayrollTaxes[Month 29],SalaryPayrollTaxes[exp_item],$H1440,SalaryPayrollTaxes[company_name],$B1440,SalaryPayrollTaxes[bu_name],$C1440)*(AN495+AN600+AN705)+SUMIFS(ExpensePayrollTaxes[Month 29],ExpensePayrollTaxes[exp_item],$H810,ExpensePayrollTaxes[company_name],$B1440)*AN810)</f>
        <v>0</v>
      </c>
      <c r="AO1440" s="652">
        <f>IF($B1440="",,SUMIFS(SalaryPayrollTaxes[Month 30],SalaryPayrollTaxes[exp_item],$H1440,SalaryPayrollTaxes[company_name],$B1440,SalaryPayrollTaxes[bu_name],$C1440)*(AO495+AO600+AO705)+SUMIFS(ExpensePayrollTaxes[Month 30],ExpensePayrollTaxes[exp_item],$H810,ExpensePayrollTaxes[company_name],$B1440)*AO810)</f>
        <v>0</v>
      </c>
      <c r="AP1440" s="652">
        <f>IF($B1440="",,SUMIFS(SalaryPayrollTaxes[Month 31],SalaryPayrollTaxes[exp_item],$H1440,SalaryPayrollTaxes[company_name],$B1440,SalaryPayrollTaxes[bu_name],$C1440)*(AP495+AP600+AP705)+SUMIFS(ExpensePayrollTaxes[Month 31],ExpensePayrollTaxes[exp_item],$H810,ExpensePayrollTaxes[company_name],$B1440)*AP810)</f>
        <v>0</v>
      </c>
      <c r="AQ1440" s="652">
        <f>IF($B1440="",,SUMIFS(SalaryPayrollTaxes[Month 32],SalaryPayrollTaxes[exp_item],$H1440,SalaryPayrollTaxes[company_name],$B1440,SalaryPayrollTaxes[bu_name],$C1440)*(AQ495+AQ600+AQ705)+SUMIFS(ExpensePayrollTaxes[Month 32],ExpensePayrollTaxes[exp_item],$H810,ExpensePayrollTaxes[company_name],$B1440)*AQ810)</f>
        <v>0</v>
      </c>
      <c r="AR1440" s="652">
        <f>IF($B1440="",,SUMIFS(SalaryPayrollTaxes[Month 33],SalaryPayrollTaxes[exp_item],$H1440,SalaryPayrollTaxes[company_name],$B1440,SalaryPayrollTaxes[bu_name],$C1440)*(AR495+AR600+AR705)+SUMIFS(ExpensePayrollTaxes[Month 33],ExpensePayrollTaxes[exp_item],$H810,ExpensePayrollTaxes[company_name],$B1440)*AR810)</f>
        <v>0</v>
      </c>
      <c r="AS1440" s="652">
        <f>IF($B1440="",,SUMIFS(SalaryPayrollTaxes[Month 34],SalaryPayrollTaxes[exp_item],$H1440,SalaryPayrollTaxes[company_name],$B1440,SalaryPayrollTaxes[bu_name],$C1440)*(AS495+AS600+AS705)+SUMIFS(ExpensePayrollTaxes[Month 34],ExpensePayrollTaxes[exp_item],$H810,ExpensePayrollTaxes[company_name],$B1440)*AS810)</f>
        <v>0</v>
      </c>
      <c r="AT1440" s="652">
        <f>IF($B1440="",,SUMIFS(SalaryPayrollTaxes[Month 35],SalaryPayrollTaxes[exp_item],$H1440,SalaryPayrollTaxes[company_name],$B1440,SalaryPayrollTaxes[bu_name],$C1440)*(AT495+AT600+AT705)+SUMIFS(ExpensePayrollTaxes[Month 35],ExpensePayrollTaxes[exp_item],$H810,ExpensePayrollTaxes[company_name],$B1440)*AT810)</f>
        <v>0</v>
      </c>
      <c r="AU1440" s="652">
        <f>IF($B1440="",,SUMIFS(SalaryPayrollTaxes[Month 36],SalaryPayrollTaxes[exp_item],$H1440,SalaryPayrollTaxes[company_name],$B1440,SalaryPayrollTaxes[bu_name],$C1440)*(AU495+AU600+AU705)+SUMIFS(ExpensePayrollTaxes[Month 36],ExpensePayrollTaxes[exp_item],$H810,ExpensePayrollTaxes[company_name],$B1440)*AU810)</f>
        <v>0</v>
      </c>
    </row>
    <row r="1441" spans="1:52" x14ac:dyDescent="0.35">
      <c r="B1441" t="str">
        <f t="shared" ref="B1441:G1441" si="1002">IF(B1336="","",B1336)</f>
        <v/>
      </c>
      <c r="C1441" t="str">
        <f t="shared" si="1002"/>
        <v/>
      </c>
      <c r="D1441" t="str">
        <f t="shared" si="1002"/>
        <v/>
      </c>
      <c r="E1441" t="str">
        <f t="shared" si="1002"/>
        <v/>
      </c>
      <c r="F1441" t="str">
        <f t="shared" si="1002"/>
        <v/>
      </c>
      <c r="G1441" t="str">
        <f t="shared" si="1002"/>
        <v/>
      </c>
      <c r="H1441" t="str">
        <f t="shared" si="997"/>
        <v/>
      </c>
      <c r="J1441" t="str">
        <f>IF($H1441="","",IF(VLOOKUP(H1441,ExpItems[],2,0),H1441&amp;" - "&amp;INDEX(DivisionMapping[category_code],MATCH($D1441&amp;$C1441,DivisionMapping[dept_bu],0)),H1441))</f>
        <v/>
      </c>
      <c r="K1441" t="str">
        <f t="shared" si="998"/>
        <v/>
      </c>
      <c r="L1441" s="652">
        <f>IF($B1441="",,SUMIFS(SalaryPayrollTaxes[Month 1],SalaryPayrollTaxes[exp_item],$H1441,SalaryPayrollTaxes[company_name],$B1441,SalaryPayrollTaxes[bu_name],$C1441)*(L496+L601+L706)+SUMIFS(ExpensePayrollTaxes[Month 1],ExpensePayrollTaxes[exp_item],$H811,ExpensePayrollTaxes[company_name],$B1441)*L811)</f>
        <v>0</v>
      </c>
      <c r="M1441" s="652">
        <f>IF($B1441="",,SUMIFS(SalaryPayrollTaxes[Month 2],SalaryPayrollTaxes[exp_item],$H1441,SalaryPayrollTaxes[company_name],$B1441,SalaryPayrollTaxes[bu_name],$C1441)*(M496+M601+M706)+SUMIFS(ExpensePayrollTaxes[Month 2],ExpensePayrollTaxes[exp_item],$H811,ExpensePayrollTaxes[company_name],$B1441)*M811)</f>
        <v>0</v>
      </c>
      <c r="N1441" s="652">
        <f>IF($B1441="",,SUMIFS(SalaryPayrollTaxes[Month 3],SalaryPayrollTaxes[exp_item],$H1441,SalaryPayrollTaxes[company_name],$B1441,SalaryPayrollTaxes[bu_name],$C1441)*(N496+N601+N706)+SUMIFS(ExpensePayrollTaxes[Month 3],ExpensePayrollTaxes[exp_item],$H811,ExpensePayrollTaxes[company_name],$B1441)*N811)</f>
        <v>0</v>
      </c>
      <c r="O1441" s="652">
        <f>IF($B1441="",,SUMIFS(SalaryPayrollTaxes[Month 4],SalaryPayrollTaxes[exp_item],$H1441,SalaryPayrollTaxes[company_name],$B1441,SalaryPayrollTaxes[bu_name],$C1441)*(O496+O601+O706)+SUMIFS(ExpensePayrollTaxes[Month 4],ExpensePayrollTaxes[exp_item],$H811,ExpensePayrollTaxes[company_name],$B1441)*O811)</f>
        <v>0</v>
      </c>
      <c r="P1441" s="652">
        <f>IF($B1441="",,SUMIFS(SalaryPayrollTaxes[Month 5],SalaryPayrollTaxes[exp_item],$H1441,SalaryPayrollTaxes[company_name],$B1441,SalaryPayrollTaxes[bu_name],$C1441)*(P496+P601+P706)+SUMIFS(ExpensePayrollTaxes[Month 5],ExpensePayrollTaxes[exp_item],$H811,ExpensePayrollTaxes[company_name],$B1441)*P811)</f>
        <v>0</v>
      </c>
      <c r="Q1441" s="652">
        <f>IF($B1441="",,SUMIFS(SalaryPayrollTaxes[Month 6],SalaryPayrollTaxes[exp_item],$H1441,SalaryPayrollTaxes[company_name],$B1441,SalaryPayrollTaxes[bu_name],$C1441)*(Q496+Q601+Q706)+SUMIFS(ExpensePayrollTaxes[Month 6],ExpensePayrollTaxes[exp_item],$H811,ExpensePayrollTaxes[company_name],$B1441)*Q811)</f>
        <v>0</v>
      </c>
      <c r="R1441" s="652">
        <f>IF($B1441="",,SUMIFS(SalaryPayrollTaxes[Month 7],SalaryPayrollTaxes[exp_item],$H1441,SalaryPayrollTaxes[company_name],$B1441,SalaryPayrollTaxes[bu_name],$C1441)*(R496+R601+R706)+SUMIFS(ExpensePayrollTaxes[Month 7],ExpensePayrollTaxes[exp_item],$H811,ExpensePayrollTaxes[company_name],$B1441)*R811)</f>
        <v>0</v>
      </c>
      <c r="S1441" s="652">
        <f>IF($B1441="",,SUMIFS(SalaryPayrollTaxes[Month 8],SalaryPayrollTaxes[exp_item],$H1441,SalaryPayrollTaxes[company_name],$B1441,SalaryPayrollTaxes[bu_name],$C1441)*(S496+S601+S706)+SUMIFS(ExpensePayrollTaxes[Month 8],ExpensePayrollTaxes[exp_item],$H811,ExpensePayrollTaxes[company_name],$B1441)*S811)</f>
        <v>0</v>
      </c>
      <c r="T1441" s="652">
        <f>IF($B1441="",,SUMIFS(SalaryPayrollTaxes[Month 9],SalaryPayrollTaxes[exp_item],$H1441,SalaryPayrollTaxes[company_name],$B1441,SalaryPayrollTaxes[bu_name],$C1441)*(T496+T601+T706)+SUMIFS(ExpensePayrollTaxes[Month 9],ExpensePayrollTaxes[exp_item],$H811,ExpensePayrollTaxes[company_name],$B1441)*T811)</f>
        <v>0</v>
      </c>
      <c r="U1441" s="652">
        <f>IF($B1441="",,SUMIFS(SalaryPayrollTaxes[Month 10],SalaryPayrollTaxes[exp_item],$H1441,SalaryPayrollTaxes[company_name],$B1441,SalaryPayrollTaxes[bu_name],$C1441)*(U496+U601+U706)+SUMIFS(ExpensePayrollTaxes[Month 10],ExpensePayrollTaxes[exp_item],$H811,ExpensePayrollTaxes[company_name],$B1441)*U811)</f>
        <v>0</v>
      </c>
      <c r="V1441" s="652">
        <f>IF($B1441="",,SUMIFS(SalaryPayrollTaxes[Month 11],SalaryPayrollTaxes[exp_item],$H1441,SalaryPayrollTaxes[company_name],$B1441,SalaryPayrollTaxes[bu_name],$C1441)*(V496+V601+V706)+SUMIFS(ExpensePayrollTaxes[Month 11],ExpensePayrollTaxes[exp_item],$H811,ExpensePayrollTaxes[company_name],$B1441)*V811)</f>
        <v>0</v>
      </c>
      <c r="W1441" s="652">
        <f>IF($B1441="",,SUMIFS(SalaryPayrollTaxes[Month 12],SalaryPayrollTaxes[exp_item],$H1441,SalaryPayrollTaxes[company_name],$B1441,SalaryPayrollTaxes[bu_name],$C1441)*(W496+W601+W706)+SUMIFS(ExpensePayrollTaxes[Month 12],ExpensePayrollTaxes[exp_item],$H811,ExpensePayrollTaxes[company_name],$B1441)*W811)</f>
        <v>0</v>
      </c>
      <c r="X1441" s="652">
        <f>IF($B1441="",,SUMIFS(SalaryPayrollTaxes[Month 13],SalaryPayrollTaxes[exp_item],$H1441,SalaryPayrollTaxes[company_name],$B1441,SalaryPayrollTaxes[bu_name],$C1441)*(X496+X601+X706)+SUMIFS(ExpensePayrollTaxes[Month 13],ExpensePayrollTaxes[exp_item],$H811,ExpensePayrollTaxes[company_name],$B1441)*X811)</f>
        <v>0</v>
      </c>
      <c r="Y1441" s="652">
        <f>IF($B1441="",,SUMIFS(SalaryPayrollTaxes[Month 14],SalaryPayrollTaxes[exp_item],$H1441,SalaryPayrollTaxes[company_name],$B1441,SalaryPayrollTaxes[bu_name],$C1441)*(Y496+Y601+Y706)+SUMIFS(ExpensePayrollTaxes[Month 14],ExpensePayrollTaxes[exp_item],$H811,ExpensePayrollTaxes[company_name],$B1441)*Y811)</f>
        <v>0</v>
      </c>
      <c r="Z1441" s="652">
        <f>IF($B1441="",,SUMIFS(SalaryPayrollTaxes[Month 15],SalaryPayrollTaxes[exp_item],$H1441,SalaryPayrollTaxes[company_name],$B1441,SalaryPayrollTaxes[bu_name],$C1441)*(Z496+Z601+Z706)+SUMIFS(ExpensePayrollTaxes[Month 15],ExpensePayrollTaxes[exp_item],$H811,ExpensePayrollTaxes[company_name],$B1441)*Z811)</f>
        <v>0</v>
      </c>
      <c r="AA1441" s="652">
        <f>IF($B1441="",,SUMIFS(SalaryPayrollTaxes[Month 16],SalaryPayrollTaxes[exp_item],$H1441,SalaryPayrollTaxes[company_name],$B1441,SalaryPayrollTaxes[bu_name],$C1441)*(AA496+AA601+AA706)+SUMIFS(ExpensePayrollTaxes[Month 16],ExpensePayrollTaxes[exp_item],$H811,ExpensePayrollTaxes[company_name],$B1441)*AA811)</f>
        <v>0</v>
      </c>
      <c r="AB1441" s="652">
        <f>IF($B1441="",,SUMIFS(SalaryPayrollTaxes[Month 17],SalaryPayrollTaxes[exp_item],$H1441,SalaryPayrollTaxes[company_name],$B1441,SalaryPayrollTaxes[bu_name],$C1441)*(AB496+AB601+AB706)+SUMIFS(ExpensePayrollTaxes[Month 17],ExpensePayrollTaxes[exp_item],$H811,ExpensePayrollTaxes[company_name],$B1441)*AB811)</f>
        <v>0</v>
      </c>
      <c r="AC1441" s="652">
        <f>IF($B1441="",,SUMIFS(SalaryPayrollTaxes[Month 18],SalaryPayrollTaxes[exp_item],$H1441,SalaryPayrollTaxes[company_name],$B1441,SalaryPayrollTaxes[bu_name],$C1441)*(AC496+AC601+AC706)+SUMIFS(ExpensePayrollTaxes[Month 18],ExpensePayrollTaxes[exp_item],$H811,ExpensePayrollTaxes[company_name],$B1441)*AC811)</f>
        <v>0</v>
      </c>
      <c r="AD1441" s="652">
        <f>IF($B1441="",,SUMIFS(SalaryPayrollTaxes[Month 19],SalaryPayrollTaxes[exp_item],$H1441,SalaryPayrollTaxes[company_name],$B1441,SalaryPayrollTaxes[bu_name],$C1441)*(AD496+AD601+AD706)+SUMIFS(ExpensePayrollTaxes[Month 19],ExpensePayrollTaxes[exp_item],$H811,ExpensePayrollTaxes[company_name],$B1441)*AD811)</f>
        <v>0</v>
      </c>
      <c r="AE1441" s="652">
        <f>IF($B1441="",,SUMIFS(SalaryPayrollTaxes[Month 20],SalaryPayrollTaxes[exp_item],$H1441,SalaryPayrollTaxes[company_name],$B1441,SalaryPayrollTaxes[bu_name],$C1441)*(AE496+AE601+AE706)+SUMIFS(ExpensePayrollTaxes[Month 20],ExpensePayrollTaxes[exp_item],$H811,ExpensePayrollTaxes[company_name],$B1441)*AE811)</f>
        <v>0</v>
      </c>
      <c r="AF1441" s="652">
        <f>IF($B1441="",,SUMIFS(SalaryPayrollTaxes[Month 21],SalaryPayrollTaxes[exp_item],$H1441,SalaryPayrollTaxes[company_name],$B1441,SalaryPayrollTaxes[bu_name],$C1441)*(AF496+AF601+AF706)+SUMIFS(ExpensePayrollTaxes[Month 21],ExpensePayrollTaxes[exp_item],$H811,ExpensePayrollTaxes[company_name],$B1441)*AF811)</f>
        <v>0</v>
      </c>
      <c r="AG1441" s="652">
        <f>IF($B1441="",,SUMIFS(SalaryPayrollTaxes[Month 22],SalaryPayrollTaxes[exp_item],$H1441,SalaryPayrollTaxes[company_name],$B1441,SalaryPayrollTaxes[bu_name],$C1441)*(AG496+AG601+AG706)+SUMIFS(ExpensePayrollTaxes[Month 22],ExpensePayrollTaxes[exp_item],$H811,ExpensePayrollTaxes[company_name],$B1441)*AG811)</f>
        <v>0</v>
      </c>
      <c r="AH1441" s="652">
        <f>IF($B1441="",,SUMIFS(SalaryPayrollTaxes[Month 23],SalaryPayrollTaxes[exp_item],$H1441,SalaryPayrollTaxes[company_name],$B1441,SalaryPayrollTaxes[bu_name],$C1441)*(AH496+AH601+AH706)+SUMIFS(ExpensePayrollTaxes[Month 23],ExpensePayrollTaxes[exp_item],$H811,ExpensePayrollTaxes[company_name],$B1441)*AH811)</f>
        <v>0</v>
      </c>
      <c r="AI1441" s="652">
        <f>IF($B1441="",,SUMIFS(SalaryPayrollTaxes[Month 24],SalaryPayrollTaxes[exp_item],$H1441,SalaryPayrollTaxes[company_name],$B1441,SalaryPayrollTaxes[bu_name],$C1441)*(AI496+AI601+AI706)+SUMIFS(ExpensePayrollTaxes[Month 24],ExpensePayrollTaxes[exp_item],$H811,ExpensePayrollTaxes[company_name],$B1441)*AI811)</f>
        <v>0</v>
      </c>
      <c r="AJ1441" s="652">
        <f>IF($B1441="",,SUMIFS(SalaryPayrollTaxes[Month 25],SalaryPayrollTaxes[exp_item],$H1441,SalaryPayrollTaxes[company_name],$B1441,SalaryPayrollTaxes[bu_name],$C1441)*(AJ496+AJ601+AJ706)+SUMIFS(ExpensePayrollTaxes[Month 25],ExpensePayrollTaxes[exp_item],$H811,ExpensePayrollTaxes[company_name],$B1441)*AJ811)</f>
        <v>0</v>
      </c>
      <c r="AK1441" s="652">
        <f>IF($B1441="",,SUMIFS(SalaryPayrollTaxes[Month 26],SalaryPayrollTaxes[exp_item],$H1441,SalaryPayrollTaxes[company_name],$B1441,SalaryPayrollTaxes[bu_name],$C1441)*(AK496+AK601+AK706)+SUMIFS(ExpensePayrollTaxes[Month 26],ExpensePayrollTaxes[exp_item],$H811,ExpensePayrollTaxes[company_name],$B1441)*AK811)</f>
        <v>0</v>
      </c>
      <c r="AL1441" s="652">
        <f>IF($B1441="",,SUMIFS(SalaryPayrollTaxes[Month 27],SalaryPayrollTaxes[exp_item],$H1441,SalaryPayrollTaxes[company_name],$B1441,SalaryPayrollTaxes[bu_name],$C1441)*(AL496+AL601+AL706)+SUMIFS(ExpensePayrollTaxes[Month 27],ExpensePayrollTaxes[exp_item],$H811,ExpensePayrollTaxes[company_name],$B1441)*AL811)</f>
        <v>0</v>
      </c>
      <c r="AM1441" s="652">
        <f>IF($B1441="",,SUMIFS(SalaryPayrollTaxes[Month 28],SalaryPayrollTaxes[exp_item],$H1441,SalaryPayrollTaxes[company_name],$B1441,SalaryPayrollTaxes[bu_name],$C1441)*(AM496+AM601+AM706)+SUMIFS(ExpensePayrollTaxes[Month 28],ExpensePayrollTaxes[exp_item],$H811,ExpensePayrollTaxes[company_name],$B1441)*AM811)</f>
        <v>0</v>
      </c>
      <c r="AN1441" s="652">
        <f>IF($B1441="",,SUMIFS(SalaryPayrollTaxes[Month 29],SalaryPayrollTaxes[exp_item],$H1441,SalaryPayrollTaxes[company_name],$B1441,SalaryPayrollTaxes[bu_name],$C1441)*(AN496+AN601+AN706)+SUMIFS(ExpensePayrollTaxes[Month 29],ExpensePayrollTaxes[exp_item],$H811,ExpensePayrollTaxes[company_name],$B1441)*AN811)</f>
        <v>0</v>
      </c>
      <c r="AO1441" s="652">
        <f>IF($B1441="",,SUMIFS(SalaryPayrollTaxes[Month 30],SalaryPayrollTaxes[exp_item],$H1441,SalaryPayrollTaxes[company_name],$B1441,SalaryPayrollTaxes[bu_name],$C1441)*(AO496+AO601+AO706)+SUMIFS(ExpensePayrollTaxes[Month 30],ExpensePayrollTaxes[exp_item],$H811,ExpensePayrollTaxes[company_name],$B1441)*AO811)</f>
        <v>0</v>
      </c>
      <c r="AP1441" s="652">
        <f>IF($B1441="",,SUMIFS(SalaryPayrollTaxes[Month 31],SalaryPayrollTaxes[exp_item],$H1441,SalaryPayrollTaxes[company_name],$B1441,SalaryPayrollTaxes[bu_name],$C1441)*(AP496+AP601+AP706)+SUMIFS(ExpensePayrollTaxes[Month 31],ExpensePayrollTaxes[exp_item],$H811,ExpensePayrollTaxes[company_name],$B1441)*AP811)</f>
        <v>0</v>
      </c>
      <c r="AQ1441" s="652">
        <f>IF($B1441="",,SUMIFS(SalaryPayrollTaxes[Month 32],SalaryPayrollTaxes[exp_item],$H1441,SalaryPayrollTaxes[company_name],$B1441,SalaryPayrollTaxes[bu_name],$C1441)*(AQ496+AQ601+AQ706)+SUMIFS(ExpensePayrollTaxes[Month 32],ExpensePayrollTaxes[exp_item],$H811,ExpensePayrollTaxes[company_name],$B1441)*AQ811)</f>
        <v>0</v>
      </c>
      <c r="AR1441" s="652">
        <f>IF($B1441="",,SUMIFS(SalaryPayrollTaxes[Month 33],SalaryPayrollTaxes[exp_item],$H1441,SalaryPayrollTaxes[company_name],$B1441,SalaryPayrollTaxes[bu_name],$C1441)*(AR496+AR601+AR706)+SUMIFS(ExpensePayrollTaxes[Month 33],ExpensePayrollTaxes[exp_item],$H811,ExpensePayrollTaxes[company_name],$B1441)*AR811)</f>
        <v>0</v>
      </c>
      <c r="AS1441" s="652">
        <f>IF($B1441="",,SUMIFS(SalaryPayrollTaxes[Month 34],SalaryPayrollTaxes[exp_item],$H1441,SalaryPayrollTaxes[company_name],$B1441,SalaryPayrollTaxes[bu_name],$C1441)*(AS496+AS601+AS706)+SUMIFS(ExpensePayrollTaxes[Month 34],ExpensePayrollTaxes[exp_item],$H811,ExpensePayrollTaxes[company_name],$B1441)*AS811)</f>
        <v>0</v>
      </c>
      <c r="AT1441" s="652">
        <f>IF($B1441="",,SUMIFS(SalaryPayrollTaxes[Month 35],SalaryPayrollTaxes[exp_item],$H1441,SalaryPayrollTaxes[company_name],$B1441,SalaryPayrollTaxes[bu_name],$C1441)*(AT496+AT601+AT706)+SUMIFS(ExpensePayrollTaxes[Month 35],ExpensePayrollTaxes[exp_item],$H811,ExpensePayrollTaxes[company_name],$B1441)*AT811)</f>
        <v>0</v>
      </c>
      <c r="AU1441" s="652">
        <f>IF($B1441="",,SUMIFS(SalaryPayrollTaxes[Month 36],SalaryPayrollTaxes[exp_item],$H1441,SalaryPayrollTaxes[company_name],$B1441,SalaryPayrollTaxes[bu_name],$C1441)*(AU496+AU601+AU706)+SUMIFS(ExpensePayrollTaxes[Month 36],ExpensePayrollTaxes[exp_item],$H811,ExpensePayrollTaxes[company_name],$B1441)*AU811)</f>
        <v>0</v>
      </c>
    </row>
    <row r="1443" spans="1:52" x14ac:dyDescent="0.35">
      <c r="A1443" s="285" t="s">
        <v>1157</v>
      </c>
      <c r="B1443" s="285" t="s">
        <v>1157</v>
      </c>
      <c r="C1443" s="285" t="s">
        <v>1157</v>
      </c>
      <c r="D1443" s="285" t="s">
        <v>1157</v>
      </c>
      <c r="E1443" s="285" t="s">
        <v>1157</v>
      </c>
      <c r="F1443" s="285" t="s">
        <v>1157</v>
      </c>
      <c r="G1443" s="285" t="s">
        <v>1157</v>
      </c>
      <c r="H1443" s="285" t="s">
        <v>1157</v>
      </c>
      <c r="I1443" s="285" t="s">
        <v>1157</v>
      </c>
      <c r="J1443" s="285" t="s">
        <v>1157</v>
      </c>
      <c r="K1443" s="285" t="s">
        <v>1157</v>
      </c>
      <c r="L1443" s="285" t="s">
        <v>1157</v>
      </c>
      <c r="M1443" s="285" t="s">
        <v>1157</v>
      </c>
      <c r="N1443" s="285" t="s">
        <v>1157</v>
      </c>
      <c r="O1443" s="285" t="s">
        <v>1157</v>
      </c>
      <c r="P1443" s="285" t="s">
        <v>1157</v>
      </c>
      <c r="Q1443" s="285" t="s">
        <v>1157</v>
      </c>
      <c r="R1443" s="285" t="s">
        <v>1157</v>
      </c>
      <c r="S1443" s="285" t="s">
        <v>1157</v>
      </c>
      <c r="T1443" s="285" t="s">
        <v>1157</v>
      </c>
      <c r="U1443" s="285" t="s">
        <v>1157</v>
      </c>
      <c r="V1443" s="285" t="s">
        <v>1157</v>
      </c>
      <c r="W1443" s="285" t="s">
        <v>1157</v>
      </c>
      <c r="X1443" s="285" t="s">
        <v>1157</v>
      </c>
      <c r="Y1443" s="285" t="s">
        <v>1157</v>
      </c>
      <c r="Z1443" s="285" t="s">
        <v>1157</v>
      </c>
      <c r="AA1443" s="285" t="s">
        <v>1157</v>
      </c>
      <c r="AB1443" s="285" t="s">
        <v>1157</v>
      </c>
      <c r="AC1443" s="285" t="s">
        <v>1157</v>
      </c>
      <c r="AD1443" s="285" t="s">
        <v>1157</v>
      </c>
      <c r="AE1443" s="285" t="s">
        <v>1157</v>
      </c>
      <c r="AF1443" s="285" t="s">
        <v>1157</v>
      </c>
      <c r="AG1443" s="285" t="s">
        <v>1157</v>
      </c>
      <c r="AH1443" s="285" t="s">
        <v>1157</v>
      </c>
      <c r="AI1443" s="285" t="s">
        <v>1157</v>
      </c>
      <c r="AJ1443" s="285" t="s">
        <v>1157</v>
      </c>
      <c r="AK1443" s="285" t="s">
        <v>1157</v>
      </c>
      <c r="AL1443" s="285" t="s">
        <v>1157</v>
      </c>
      <c r="AM1443" s="285" t="s">
        <v>1157</v>
      </c>
      <c r="AN1443" s="285" t="s">
        <v>1157</v>
      </c>
      <c r="AO1443" s="285" t="s">
        <v>1157</v>
      </c>
      <c r="AP1443" s="285" t="s">
        <v>1157</v>
      </c>
      <c r="AQ1443" s="285" t="s">
        <v>1157</v>
      </c>
      <c r="AR1443" s="285" t="s">
        <v>1157</v>
      </c>
      <c r="AS1443" s="285" t="s">
        <v>1157</v>
      </c>
      <c r="AT1443" s="285" t="s">
        <v>1157</v>
      </c>
      <c r="AU1443" s="285" t="s">
        <v>1157</v>
      </c>
      <c r="AV1443" s="285" t="s">
        <v>1157</v>
      </c>
      <c r="AW1443" s="285" t="s">
        <v>1157</v>
      </c>
      <c r="AX1443" s="285" t="s">
        <v>1157</v>
      </c>
      <c r="AY1443" s="285" t="s">
        <v>1157</v>
      </c>
      <c r="AZ1443" s="285" t="s">
        <v>1157</v>
      </c>
    </row>
  </sheetData>
  <sheetProtection algorithmName="SHA-512" hashValue="NzXXC/EWbjxHHN9gmt9mmZ7/Nr+7XiG9tz2XQt1i9/msiLKmRGlqEzzPXcZruUGFwG57psXGvtIaiiTPEkxnZQ==" saltValue="xFHXHCqBQn3MpACuMnRcBQ==" spinCount="100000" sheet="1" objects="1" scenarios="1"/>
  <conditionalFormatting sqref="B81:AU181 B291:AU391 B711:AU811 B816:AU916 B921:AU1021 B1026:AU1126 B1131:AU1231 B1236:AU1336 B396:AU496 B501:AU601 B1341:AU1441 B186:AU286">
    <cfRule type="expression" dxfId="21" priority="13">
      <formula>NOT(ISEVEN(ROW(B81)))</formula>
    </cfRule>
    <cfRule type="expression" dxfId="20" priority="14">
      <formula>ISEVEN(ROW(B81))</formula>
    </cfRule>
  </conditionalFormatting>
  <conditionalFormatting sqref="B81:G181">
    <cfRule type="expression" dxfId="19" priority="52">
      <formula>AND(B81="",NOT($AW81),B$5="")</formula>
    </cfRule>
  </conditionalFormatting>
  <conditionalFormatting sqref="C81:D181">
    <cfRule type="expression" dxfId="18" priority="51" stopIfTrue="1">
      <formula>AND($H81&lt;&gt;"",ISNA(MATCH(IF($D81="",$D$5,$D81)&amp;IF($C81="",$C$5,$C81),DeptBU,0)))</formula>
    </cfRule>
  </conditionalFormatting>
  <conditionalFormatting sqref="B291:K391 B81:K181">
    <cfRule type="expression" dxfId="17" priority="12">
      <formula>OR(ISERROR($L81:$AU81))</formula>
    </cfRule>
  </conditionalFormatting>
  <conditionalFormatting sqref="B606:AU706">
    <cfRule type="expression" dxfId="16" priority="9">
      <formula>NOT(ISEVEN(ROW(B606)))</formula>
    </cfRule>
    <cfRule type="expression" dxfId="15" priority="10">
      <formula>ISEVEN(ROW(B606))</formula>
    </cfRule>
  </conditionalFormatting>
  <conditionalFormatting sqref="L8:AU8 L12:AU12 L15:AU15 L19:AU19 L22:AU22 L26:AU26 L29:AU29 L33:AU33 L36:AU36 L40:AU40 L43:AU43 L47:AU47 L50:AU50 L54:AU54 L57:AU57 L61:AU61 L64:AU64 L68:AU68 L71:AU71 L75:AU75">
    <cfRule type="expression" dxfId="14" priority="1">
      <formula>LocalCurrency="CHF"</formula>
    </cfRule>
    <cfRule type="expression" dxfId="13" priority="2">
      <formula>LocalCurrency="INR"</formula>
    </cfRule>
    <cfRule type="expression" dxfId="12" priority="3">
      <formula>LocalCurrency="ILS"</formula>
    </cfRule>
    <cfRule type="expression" dxfId="11" priority="4">
      <formula>LocalCurrency="HKD"</formula>
    </cfRule>
    <cfRule type="expression" dxfId="10" priority="5">
      <formula>LocalCurrency="EUR"</formula>
    </cfRule>
    <cfRule type="expression" dxfId="9" priority="6">
      <formula>LocalCurrency="AUD"</formula>
    </cfRule>
    <cfRule type="expression" dxfId="8" priority="7">
      <formula>LocalCurrency="GBP"</formula>
    </cfRule>
    <cfRule type="expression" dxfId="7" priority="8">
      <formula>LocalCurrency="USD"</formula>
    </cfRule>
  </conditionalFormatting>
  <dataValidations count="10">
    <dataValidation type="textLength" operator="lessThanOrEqual" allowBlank="1" showInputMessage="1" showErrorMessage="1" sqref="J81:J181 K180:K181">
      <formula1>255</formula1>
    </dataValidation>
    <dataValidation type="list" allowBlank="1" showInputMessage="1" showErrorMessage="1" sqref="H81:H181">
      <formula1>DV_Job_Titles</formula1>
    </dataValidation>
    <dataValidation type="list" allowBlank="1" showInputMessage="1" showErrorMessage="1" sqref="G81:G181 G5">
      <formula1>DV_Locations</formula1>
    </dataValidation>
    <dataValidation type="list" allowBlank="1" showInputMessage="1" showErrorMessage="1" sqref="F81:F181 F5">
      <formula1>DV_Products</formula1>
    </dataValidation>
    <dataValidation type="list" allowBlank="1" showInputMessage="1" showErrorMessage="1" sqref="E81:E181 E5">
      <formula1>DV_Teams</formula1>
    </dataValidation>
    <dataValidation type="list" allowBlank="1" showInputMessage="1" showErrorMessage="1" sqref="D81:D181 D5">
      <formula1>DV_Departments</formula1>
    </dataValidation>
    <dataValidation type="list" allowBlank="1" showInputMessage="1" showErrorMessage="1" sqref="C81:C181 C5">
      <formula1>DV_Business_Units</formula1>
    </dataValidation>
    <dataValidation type="list" allowBlank="1" showInputMessage="1" showErrorMessage="1" sqref="B81:B181 B5">
      <formula1>DV_Companies</formula1>
    </dataValidation>
    <dataValidation type="list" allowBlank="1" showInputMessage="1" showErrorMessage="1" sqref="I81:I181">
      <formula1>DV_Categories</formula1>
    </dataValidation>
    <dataValidation operator="lessThanOrEqual" allowBlank="1" showInputMessage="1" showErrorMessage="1" sqref="K81:K179"/>
  </dataValidations>
  <hyperlinks>
    <hyperlink ref="G28" location="Headcount!HC_EBO" display="Employee Benefits Other"/>
    <hyperlink ref="G35" location="Headcount!HC_ERC" display="Employer Retirement Contribution"/>
    <hyperlink ref="G42" location="Headcount!HC_ETO" display="ETO"/>
    <hyperlink ref="G49" location="Headcount!HC_HealthInsurance" display="Health Insurance"/>
    <hyperlink ref="G56" location="Headcount!HC_LifeInsurance" display="Life Insurance"/>
    <hyperlink ref="G63" location="Headcount!HC_Training" display="Training"/>
    <hyperlink ref="G7" location="Headcount!HC_Base" display="Base"/>
    <hyperlink ref="G14" location="Headcount!HC_Bonus" display="Bonus"/>
    <hyperlink ref="G70" location="Headcount!HC_Payroll" display="Payroll Taxes"/>
    <hyperlink ref="G21" location="Headcount!HC_Commissions" display="Commissions"/>
  </hyperlinks>
  <pageMargins left="0.7" right="0.7" top="0.75" bottom="0.75" header="0.3" footer="0.3"/>
  <pageSetup orientation="portrait" r:id="rId1"/>
  <drawing r:id="rId2"/>
  <legacyDrawing r:id="rId3"/>
  <controls>
    <mc:AlternateContent xmlns:mc="http://schemas.openxmlformats.org/markup-compatibility/2006">
      <mc:Choice Requires="x14">
        <control shapeId="16397" r:id="rId4" name="ColumnsButton">
          <controlPr defaultSize="0" autoLine="0" r:id="rId5">
            <anchor moveWithCells="1">
              <from>
                <xdr:col>0</xdr:col>
                <xdr:colOff>203200</xdr:colOff>
                <xdr:row>0</xdr:row>
                <xdr:rowOff>152400</xdr:rowOff>
              </from>
              <to>
                <xdr:col>2</xdr:col>
                <xdr:colOff>6350</xdr:colOff>
                <xdr:row>2</xdr:row>
                <xdr:rowOff>127000</xdr:rowOff>
              </to>
            </anchor>
          </controlPr>
        </control>
      </mc:Choice>
      <mc:Fallback>
        <control shapeId="16397" r:id="rId4" name="ColumnsButton"/>
      </mc:Fallback>
    </mc:AlternateContent>
    <mc:AlternateContent xmlns:mc="http://schemas.openxmlformats.org/markup-compatibility/2006">
      <mc:Choice Requires="x14">
        <control shapeId="16395" r:id="rId6" name="AddRecordsButton">
          <controlPr defaultSize="0" autoLine="0" r:id="rId7">
            <anchor moveWithCells="1">
              <from>
                <xdr:col>8</xdr:col>
                <xdr:colOff>38100</xdr:colOff>
                <xdr:row>0</xdr:row>
                <xdr:rowOff>152400</xdr:rowOff>
              </from>
              <to>
                <xdr:col>9</xdr:col>
                <xdr:colOff>209550</xdr:colOff>
                <xdr:row>2</xdr:row>
                <xdr:rowOff>114300</xdr:rowOff>
              </to>
            </anchor>
          </controlPr>
        </control>
      </mc:Choice>
      <mc:Fallback>
        <control shapeId="16395" r:id="rId6" name="AddRecordsButton"/>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Assumptions">
    <tabColor rgb="FF92D050"/>
  </sheetPr>
  <dimension ref="A1:KM2"/>
  <sheetViews>
    <sheetView showGridLines="0" zoomScale="85" zoomScaleNormal="85" workbookViewId="0"/>
  </sheetViews>
  <sheetFormatPr defaultRowHeight="14.5" x14ac:dyDescent="0.35"/>
  <cols>
    <col min="1" max="1" width="16.453125" customWidth="1"/>
    <col min="2" max="2" width="10.81640625" customWidth="1"/>
    <col min="3" max="3" width="12.54296875" customWidth="1"/>
    <col min="4" max="4" width="19.453125" customWidth="1"/>
    <col min="5" max="5" width="15.453125" customWidth="1"/>
    <col min="6" max="6" width="10.1796875" customWidth="1"/>
    <col min="7" max="7" width="11.1796875" customWidth="1"/>
    <col min="8" max="16" width="10.1796875" customWidth="1"/>
    <col min="17" max="43" width="11.1796875" customWidth="1"/>
    <col min="44" max="44" width="5.7265625" customWidth="1"/>
    <col min="45" max="45" width="16.453125" customWidth="1"/>
    <col min="46" max="46" width="10.81640625" customWidth="1"/>
    <col min="47" max="47" width="12.54296875" customWidth="1"/>
    <col min="48" max="48" width="19.453125" customWidth="1"/>
    <col min="49" max="49" width="15.453125" customWidth="1"/>
    <col min="50" max="50" width="10.1796875" customWidth="1"/>
    <col min="51" max="51" width="11.1796875" customWidth="1"/>
    <col min="52" max="52" width="12.1796875" customWidth="1"/>
    <col min="53" max="53" width="5.7265625" customWidth="1"/>
    <col min="54" max="62" width="10.1796875" customWidth="1"/>
    <col min="63" max="89" width="11.1796875" customWidth="1"/>
    <col min="90" max="90" width="5.7265625" customWidth="1"/>
    <col min="91" max="91" width="16.453125" customWidth="1"/>
    <col min="92" max="92" width="10.81640625" customWidth="1"/>
    <col min="93" max="93" width="12.54296875" customWidth="1"/>
    <col min="94" max="94" width="19.453125" customWidth="1"/>
    <col min="95" max="95" width="15.453125" customWidth="1"/>
    <col min="96" max="96" width="10.1796875" customWidth="1"/>
    <col min="97" max="97" width="11.1796875" customWidth="1"/>
    <col min="98" max="98" width="17.1796875" customWidth="1"/>
    <col min="99" max="99" width="5.7265625" customWidth="1"/>
    <col min="100" max="100" width="16.453125" customWidth="1"/>
    <col min="101" max="101" width="12.453125" customWidth="1"/>
    <col min="102" max="102" width="11.1796875" customWidth="1"/>
    <col min="103" max="111" width="10.1796875" customWidth="1"/>
    <col min="112" max="138" width="11.1796875" customWidth="1"/>
    <col min="139" max="139" width="5.7265625" customWidth="1"/>
    <col min="140" max="140" width="16.453125" customWidth="1"/>
    <col min="141" max="141" width="11.1796875" customWidth="1"/>
    <col min="142" max="150" width="10.1796875" customWidth="1"/>
    <col min="151" max="177" width="11.1796875" customWidth="1"/>
    <col min="178" max="178" width="5.7265625" customWidth="1"/>
    <col min="179" max="179" width="16.453125" customWidth="1"/>
    <col min="180" max="180" width="11.1796875" customWidth="1"/>
    <col min="181" max="189" width="10.1796875" customWidth="1"/>
    <col min="190" max="216" width="11.1796875" customWidth="1"/>
    <col min="217" max="217" width="5.7265625" customWidth="1"/>
    <col min="218" max="218" width="16.453125" customWidth="1"/>
    <col min="219" max="219" width="10.81640625" customWidth="1"/>
    <col min="220" max="220" width="11.1796875" customWidth="1"/>
    <col min="221" max="229" width="10.1796875" customWidth="1"/>
    <col min="230" max="256" width="11.1796875" customWidth="1"/>
    <col min="257" max="257" width="5.7265625" customWidth="1"/>
    <col min="258" max="258" width="16.453125" customWidth="1"/>
    <col min="259" max="259" width="10.81640625" customWidth="1"/>
    <col min="260" max="260" width="12.54296875" customWidth="1"/>
    <col min="261" max="261" width="13.26953125" customWidth="1"/>
    <col min="262" max="262" width="15.453125" customWidth="1"/>
    <col min="263" max="263" width="11.1796875" customWidth="1"/>
    <col min="264" max="272" width="10.1796875" customWidth="1"/>
    <col min="273" max="299" width="11.1796875" customWidth="1"/>
  </cols>
  <sheetData>
    <row r="1" spans="1:299" x14ac:dyDescent="0.35">
      <c r="A1" t="s">
        <v>1127</v>
      </c>
      <c r="B1" t="s">
        <v>1133</v>
      </c>
      <c r="C1" t="s">
        <v>1132</v>
      </c>
      <c r="D1" t="s">
        <v>1817</v>
      </c>
      <c r="E1" t="s">
        <v>1801</v>
      </c>
      <c r="F1" t="s">
        <v>1131</v>
      </c>
      <c r="G1" t="s">
        <v>1129</v>
      </c>
      <c r="H1" t="s">
        <v>1171</v>
      </c>
      <c r="I1" t="s">
        <v>1172</v>
      </c>
      <c r="J1" t="s">
        <v>1173</v>
      </c>
      <c r="K1" t="s">
        <v>1174</v>
      </c>
      <c r="L1" t="s">
        <v>1175</v>
      </c>
      <c r="M1" t="s">
        <v>1176</v>
      </c>
      <c r="N1" t="s">
        <v>1177</v>
      </c>
      <c r="O1" t="s">
        <v>1178</v>
      </c>
      <c r="P1" t="s">
        <v>1179</v>
      </c>
      <c r="Q1" t="s">
        <v>1180</v>
      </c>
      <c r="R1" t="s">
        <v>1181</v>
      </c>
      <c r="S1" t="s">
        <v>1182</v>
      </c>
      <c r="T1" t="s">
        <v>1183</v>
      </c>
      <c r="U1" t="s">
        <v>1184</v>
      </c>
      <c r="V1" t="s">
        <v>1185</v>
      </c>
      <c r="W1" t="s">
        <v>1186</v>
      </c>
      <c r="X1" t="s">
        <v>1187</v>
      </c>
      <c r="Y1" t="s">
        <v>1188</v>
      </c>
      <c r="Z1" t="s">
        <v>1189</v>
      </c>
      <c r="AA1" t="s">
        <v>1190</v>
      </c>
      <c r="AB1" t="s">
        <v>1191</v>
      </c>
      <c r="AC1" t="s">
        <v>1192</v>
      </c>
      <c r="AD1" t="s">
        <v>1193</v>
      </c>
      <c r="AE1" t="s">
        <v>1194</v>
      </c>
      <c r="AF1" t="s">
        <v>1196</v>
      </c>
      <c r="AG1" t="s">
        <v>1197</v>
      </c>
      <c r="AH1" t="s">
        <v>1198</v>
      </c>
      <c r="AI1" t="s">
        <v>1199</v>
      </c>
      <c r="AJ1" t="s">
        <v>1200</v>
      </c>
      <c r="AK1" t="s">
        <v>1201</v>
      </c>
      <c r="AL1" t="s">
        <v>1202</v>
      </c>
      <c r="AM1" t="s">
        <v>1203</v>
      </c>
      <c r="AN1" t="s">
        <v>1204</v>
      </c>
      <c r="AO1" t="s">
        <v>1205</v>
      </c>
      <c r="AP1" t="s">
        <v>1206</v>
      </c>
      <c r="AQ1" t="s">
        <v>1207</v>
      </c>
      <c r="AS1" t="s">
        <v>1127</v>
      </c>
      <c r="AT1" t="s">
        <v>1133</v>
      </c>
      <c r="AU1" t="s">
        <v>1132</v>
      </c>
      <c r="AV1" t="s">
        <v>1817</v>
      </c>
      <c r="AW1" t="s">
        <v>1801</v>
      </c>
      <c r="AX1" t="s">
        <v>1131</v>
      </c>
      <c r="AY1" t="s">
        <v>1129</v>
      </c>
      <c r="AZ1" t="s">
        <v>1809</v>
      </c>
      <c r="BB1" t="s">
        <v>1171</v>
      </c>
      <c r="BC1" t="s">
        <v>1172</v>
      </c>
      <c r="BD1" t="s">
        <v>1173</v>
      </c>
      <c r="BE1" t="s">
        <v>1174</v>
      </c>
      <c r="BF1" t="s">
        <v>1175</v>
      </c>
      <c r="BG1" t="s">
        <v>1176</v>
      </c>
      <c r="BH1" t="s">
        <v>1177</v>
      </c>
      <c r="BI1" t="s">
        <v>1178</v>
      </c>
      <c r="BJ1" t="s">
        <v>1179</v>
      </c>
      <c r="BK1" t="s">
        <v>1180</v>
      </c>
      <c r="BL1" t="s">
        <v>1181</v>
      </c>
      <c r="BM1" t="s">
        <v>1182</v>
      </c>
      <c r="BN1" t="s">
        <v>1183</v>
      </c>
      <c r="BO1" t="s">
        <v>1184</v>
      </c>
      <c r="BP1" t="s">
        <v>1185</v>
      </c>
      <c r="BQ1" t="s">
        <v>1186</v>
      </c>
      <c r="BR1" t="s">
        <v>1187</v>
      </c>
      <c r="BS1" t="s">
        <v>1188</v>
      </c>
      <c r="BT1" t="s">
        <v>1189</v>
      </c>
      <c r="BU1" t="s">
        <v>1190</v>
      </c>
      <c r="BV1" t="s">
        <v>1191</v>
      </c>
      <c r="BW1" t="s">
        <v>1192</v>
      </c>
      <c r="BX1" t="s">
        <v>1193</v>
      </c>
      <c r="BY1" t="s">
        <v>1194</v>
      </c>
      <c r="BZ1" t="s">
        <v>1196</v>
      </c>
      <c r="CA1" t="s">
        <v>1197</v>
      </c>
      <c r="CB1" t="s">
        <v>1198</v>
      </c>
      <c r="CC1" t="s">
        <v>1199</v>
      </c>
      <c r="CD1" t="s">
        <v>1200</v>
      </c>
      <c r="CE1" t="s">
        <v>1201</v>
      </c>
      <c r="CF1" t="s">
        <v>1202</v>
      </c>
      <c r="CG1" t="s">
        <v>1203</v>
      </c>
      <c r="CH1" t="s">
        <v>1204</v>
      </c>
      <c r="CI1" t="s">
        <v>1205</v>
      </c>
      <c r="CJ1" t="s">
        <v>1206</v>
      </c>
      <c r="CK1" t="s">
        <v>1207</v>
      </c>
      <c r="CM1" t="s">
        <v>1127</v>
      </c>
      <c r="CN1" t="s">
        <v>1133</v>
      </c>
      <c r="CO1" t="s">
        <v>1132</v>
      </c>
      <c r="CP1" t="s">
        <v>1817</v>
      </c>
      <c r="CQ1" t="s">
        <v>1801</v>
      </c>
      <c r="CR1" t="s">
        <v>1131</v>
      </c>
      <c r="CS1" t="s">
        <v>1129</v>
      </c>
      <c r="CT1" t="s">
        <v>2602</v>
      </c>
      <c r="CV1" t="s">
        <v>1127</v>
      </c>
      <c r="CW1" t="s">
        <v>2603</v>
      </c>
      <c r="CX1" t="s">
        <v>1129</v>
      </c>
      <c r="CY1" t="s">
        <v>1171</v>
      </c>
      <c r="CZ1" t="s">
        <v>1172</v>
      </c>
      <c r="DA1" t="s">
        <v>1173</v>
      </c>
      <c r="DB1" t="s">
        <v>1174</v>
      </c>
      <c r="DC1" t="s">
        <v>1175</v>
      </c>
      <c r="DD1" t="s">
        <v>1176</v>
      </c>
      <c r="DE1" t="s">
        <v>1177</v>
      </c>
      <c r="DF1" t="s">
        <v>1178</v>
      </c>
      <c r="DG1" t="s">
        <v>1179</v>
      </c>
      <c r="DH1" t="s">
        <v>1180</v>
      </c>
      <c r="DI1" t="s">
        <v>1181</v>
      </c>
      <c r="DJ1" t="s">
        <v>1182</v>
      </c>
      <c r="DK1" t="s">
        <v>1183</v>
      </c>
      <c r="DL1" t="s">
        <v>1184</v>
      </c>
      <c r="DM1" t="s">
        <v>1185</v>
      </c>
      <c r="DN1" t="s">
        <v>1186</v>
      </c>
      <c r="DO1" t="s">
        <v>1187</v>
      </c>
      <c r="DP1" t="s">
        <v>1188</v>
      </c>
      <c r="DQ1" t="s">
        <v>1189</v>
      </c>
      <c r="DR1" t="s">
        <v>1190</v>
      </c>
      <c r="DS1" t="s">
        <v>1191</v>
      </c>
      <c r="DT1" t="s">
        <v>1192</v>
      </c>
      <c r="DU1" t="s">
        <v>1193</v>
      </c>
      <c r="DV1" t="s">
        <v>1194</v>
      </c>
      <c r="DW1" t="s">
        <v>1196</v>
      </c>
      <c r="DX1" t="s">
        <v>1197</v>
      </c>
      <c r="DY1" t="s">
        <v>1198</v>
      </c>
      <c r="DZ1" t="s">
        <v>1199</v>
      </c>
      <c r="EA1" t="s">
        <v>1200</v>
      </c>
      <c r="EB1" t="s">
        <v>1201</v>
      </c>
      <c r="EC1" t="s">
        <v>1202</v>
      </c>
      <c r="ED1" t="s">
        <v>1203</v>
      </c>
      <c r="EE1" t="s">
        <v>1204</v>
      </c>
      <c r="EF1" t="s">
        <v>1205</v>
      </c>
      <c r="EG1" t="s">
        <v>1206</v>
      </c>
      <c r="EH1" t="s">
        <v>1207</v>
      </c>
      <c r="EJ1" t="s">
        <v>1127</v>
      </c>
      <c r="EK1" t="s">
        <v>1129</v>
      </c>
      <c r="EL1" t="s">
        <v>1171</v>
      </c>
      <c r="EM1" t="s">
        <v>1172</v>
      </c>
      <c r="EN1" t="s">
        <v>1173</v>
      </c>
      <c r="EO1" t="s">
        <v>1174</v>
      </c>
      <c r="EP1" t="s">
        <v>1175</v>
      </c>
      <c r="EQ1" t="s">
        <v>1176</v>
      </c>
      <c r="ER1" t="s">
        <v>1177</v>
      </c>
      <c r="ES1" t="s">
        <v>1178</v>
      </c>
      <c r="ET1" t="s">
        <v>1179</v>
      </c>
      <c r="EU1" t="s">
        <v>1180</v>
      </c>
      <c r="EV1" t="s">
        <v>1181</v>
      </c>
      <c r="EW1" t="s">
        <v>1182</v>
      </c>
      <c r="EX1" t="s">
        <v>1183</v>
      </c>
      <c r="EY1" t="s">
        <v>1184</v>
      </c>
      <c r="EZ1" t="s">
        <v>1185</v>
      </c>
      <c r="FA1" t="s">
        <v>1186</v>
      </c>
      <c r="FB1" t="s">
        <v>1187</v>
      </c>
      <c r="FC1" t="s">
        <v>1188</v>
      </c>
      <c r="FD1" t="s">
        <v>1189</v>
      </c>
      <c r="FE1" t="s">
        <v>1190</v>
      </c>
      <c r="FF1" t="s">
        <v>1191</v>
      </c>
      <c r="FG1" t="s">
        <v>1192</v>
      </c>
      <c r="FH1" t="s">
        <v>1193</v>
      </c>
      <c r="FI1" t="s">
        <v>1194</v>
      </c>
      <c r="FJ1" t="s">
        <v>1196</v>
      </c>
      <c r="FK1" t="s">
        <v>1197</v>
      </c>
      <c r="FL1" t="s">
        <v>1198</v>
      </c>
      <c r="FM1" t="s">
        <v>1199</v>
      </c>
      <c r="FN1" t="s">
        <v>1200</v>
      </c>
      <c r="FO1" t="s">
        <v>1201</v>
      </c>
      <c r="FP1" t="s">
        <v>1202</v>
      </c>
      <c r="FQ1" t="s">
        <v>1203</v>
      </c>
      <c r="FR1" t="s">
        <v>1204</v>
      </c>
      <c r="FS1" t="s">
        <v>1205</v>
      </c>
      <c r="FT1" t="s">
        <v>1206</v>
      </c>
      <c r="FU1" t="s">
        <v>1207</v>
      </c>
      <c r="FW1" t="s">
        <v>1127</v>
      </c>
      <c r="FX1" t="s">
        <v>1129</v>
      </c>
      <c r="FY1" t="s">
        <v>1171</v>
      </c>
      <c r="FZ1" t="s">
        <v>1172</v>
      </c>
      <c r="GA1" t="s">
        <v>1173</v>
      </c>
      <c r="GB1" t="s">
        <v>1174</v>
      </c>
      <c r="GC1" t="s">
        <v>1175</v>
      </c>
      <c r="GD1" t="s">
        <v>1176</v>
      </c>
      <c r="GE1" t="s">
        <v>1177</v>
      </c>
      <c r="GF1" t="s">
        <v>1178</v>
      </c>
      <c r="GG1" t="s">
        <v>1179</v>
      </c>
      <c r="GH1" t="s">
        <v>1180</v>
      </c>
      <c r="GI1" t="s">
        <v>1181</v>
      </c>
      <c r="GJ1" t="s">
        <v>1182</v>
      </c>
      <c r="GK1" t="s">
        <v>1183</v>
      </c>
      <c r="GL1" t="s">
        <v>1184</v>
      </c>
      <c r="GM1" t="s">
        <v>1185</v>
      </c>
      <c r="GN1" t="s">
        <v>1186</v>
      </c>
      <c r="GO1" t="s">
        <v>1187</v>
      </c>
      <c r="GP1" t="s">
        <v>1188</v>
      </c>
      <c r="GQ1" t="s">
        <v>1189</v>
      </c>
      <c r="GR1" t="s">
        <v>1190</v>
      </c>
      <c r="GS1" t="s">
        <v>1191</v>
      </c>
      <c r="GT1" t="s">
        <v>1192</v>
      </c>
      <c r="GU1" t="s">
        <v>1193</v>
      </c>
      <c r="GV1" t="s">
        <v>1194</v>
      </c>
      <c r="GW1" t="s">
        <v>1196</v>
      </c>
      <c r="GX1" t="s">
        <v>1197</v>
      </c>
      <c r="GY1" t="s">
        <v>1198</v>
      </c>
      <c r="GZ1" t="s">
        <v>1199</v>
      </c>
      <c r="HA1" t="s">
        <v>1200</v>
      </c>
      <c r="HB1" t="s">
        <v>1201</v>
      </c>
      <c r="HC1" t="s">
        <v>1202</v>
      </c>
      <c r="HD1" t="s">
        <v>1203</v>
      </c>
      <c r="HE1" t="s">
        <v>1204</v>
      </c>
      <c r="HF1" t="s">
        <v>1205</v>
      </c>
      <c r="HG1" t="s">
        <v>1206</v>
      </c>
      <c r="HH1" t="s">
        <v>1207</v>
      </c>
      <c r="HJ1" t="s">
        <v>1127</v>
      </c>
      <c r="HK1" t="s">
        <v>1133</v>
      </c>
      <c r="HL1" t="s">
        <v>1129</v>
      </c>
      <c r="HM1" t="s">
        <v>1171</v>
      </c>
      <c r="HN1" t="s">
        <v>1172</v>
      </c>
      <c r="HO1" t="s">
        <v>1173</v>
      </c>
      <c r="HP1" t="s">
        <v>1174</v>
      </c>
      <c r="HQ1" t="s">
        <v>1175</v>
      </c>
      <c r="HR1" t="s">
        <v>1176</v>
      </c>
      <c r="HS1" t="s">
        <v>1177</v>
      </c>
      <c r="HT1" t="s">
        <v>1178</v>
      </c>
      <c r="HU1" t="s">
        <v>1179</v>
      </c>
      <c r="HV1" t="s">
        <v>1180</v>
      </c>
      <c r="HW1" t="s">
        <v>1181</v>
      </c>
      <c r="HX1" t="s">
        <v>1182</v>
      </c>
      <c r="HY1" t="s">
        <v>1183</v>
      </c>
      <c r="HZ1" t="s">
        <v>1184</v>
      </c>
      <c r="IA1" t="s">
        <v>1185</v>
      </c>
      <c r="IB1" t="s">
        <v>1186</v>
      </c>
      <c r="IC1" t="s">
        <v>1187</v>
      </c>
      <c r="ID1" t="s">
        <v>1188</v>
      </c>
      <c r="IE1" t="s">
        <v>1189</v>
      </c>
      <c r="IF1" t="s">
        <v>1190</v>
      </c>
      <c r="IG1" t="s">
        <v>1191</v>
      </c>
      <c r="IH1" t="s">
        <v>1192</v>
      </c>
      <c r="II1" t="s">
        <v>1193</v>
      </c>
      <c r="IJ1" t="s">
        <v>1194</v>
      </c>
      <c r="IK1" t="s">
        <v>1196</v>
      </c>
      <c r="IL1" t="s">
        <v>1197</v>
      </c>
      <c r="IM1" t="s">
        <v>1198</v>
      </c>
      <c r="IN1" t="s">
        <v>1199</v>
      </c>
      <c r="IO1" t="s">
        <v>1200</v>
      </c>
      <c r="IP1" t="s">
        <v>1201</v>
      </c>
      <c r="IQ1" t="s">
        <v>1202</v>
      </c>
      <c r="IR1" t="s">
        <v>1203</v>
      </c>
      <c r="IS1" t="s">
        <v>1204</v>
      </c>
      <c r="IT1" t="s">
        <v>1205</v>
      </c>
      <c r="IU1" t="s">
        <v>1206</v>
      </c>
      <c r="IV1" t="s">
        <v>1207</v>
      </c>
      <c r="IX1" t="s">
        <v>1127</v>
      </c>
      <c r="IY1" t="s">
        <v>1133</v>
      </c>
      <c r="IZ1" t="s">
        <v>1132</v>
      </c>
      <c r="JA1" t="s">
        <v>1123</v>
      </c>
      <c r="JB1" t="s">
        <v>1801</v>
      </c>
      <c r="JC1" t="s">
        <v>1129</v>
      </c>
      <c r="JD1" t="s">
        <v>1171</v>
      </c>
      <c r="JE1" t="s">
        <v>1172</v>
      </c>
      <c r="JF1" t="s">
        <v>1173</v>
      </c>
      <c r="JG1" t="s">
        <v>1174</v>
      </c>
      <c r="JH1" t="s">
        <v>1175</v>
      </c>
      <c r="JI1" t="s">
        <v>1176</v>
      </c>
      <c r="JJ1" t="s">
        <v>1177</v>
      </c>
      <c r="JK1" t="s">
        <v>1178</v>
      </c>
      <c r="JL1" t="s">
        <v>1179</v>
      </c>
      <c r="JM1" t="s">
        <v>1180</v>
      </c>
      <c r="JN1" t="s">
        <v>1181</v>
      </c>
      <c r="JO1" t="s">
        <v>1182</v>
      </c>
      <c r="JP1" t="s">
        <v>1183</v>
      </c>
      <c r="JQ1" t="s">
        <v>1184</v>
      </c>
      <c r="JR1" t="s">
        <v>1185</v>
      </c>
      <c r="JS1" t="s">
        <v>1186</v>
      </c>
      <c r="JT1" t="s">
        <v>1187</v>
      </c>
      <c r="JU1" t="s">
        <v>1188</v>
      </c>
      <c r="JV1" t="s">
        <v>1189</v>
      </c>
      <c r="JW1" t="s">
        <v>1190</v>
      </c>
      <c r="JX1" t="s">
        <v>1191</v>
      </c>
      <c r="JY1" t="s">
        <v>1192</v>
      </c>
      <c r="JZ1" t="s">
        <v>1193</v>
      </c>
      <c r="KA1" t="s">
        <v>1194</v>
      </c>
      <c r="KB1" t="s">
        <v>1196</v>
      </c>
      <c r="KC1" t="s">
        <v>1197</v>
      </c>
      <c r="KD1" t="s">
        <v>1198</v>
      </c>
      <c r="KE1" t="s">
        <v>1199</v>
      </c>
      <c r="KF1" t="s">
        <v>1200</v>
      </c>
      <c r="KG1" t="s">
        <v>1201</v>
      </c>
      <c r="KH1" t="s">
        <v>1202</v>
      </c>
      <c r="KI1" t="s">
        <v>1203</v>
      </c>
      <c r="KJ1" t="s">
        <v>1204</v>
      </c>
      <c r="KK1" t="s">
        <v>1205</v>
      </c>
      <c r="KL1" t="s">
        <v>1206</v>
      </c>
      <c r="KM1" t="s">
        <v>1207</v>
      </c>
    </row>
    <row r="2" spans="1:299" x14ac:dyDescent="0.35">
      <c r="BB2">
        <v>1</v>
      </c>
      <c r="BC2">
        <v>1</v>
      </c>
      <c r="BD2">
        <v>1</v>
      </c>
      <c r="BE2">
        <v>1</v>
      </c>
      <c r="BF2">
        <v>1</v>
      </c>
      <c r="BG2">
        <v>1</v>
      </c>
      <c r="BH2">
        <v>1</v>
      </c>
      <c r="BI2">
        <v>1</v>
      </c>
      <c r="BJ2">
        <v>1</v>
      </c>
      <c r="BK2">
        <v>1</v>
      </c>
      <c r="BL2">
        <v>1</v>
      </c>
      <c r="BM2">
        <v>1</v>
      </c>
      <c r="BN2">
        <v>1</v>
      </c>
      <c r="BO2">
        <v>1</v>
      </c>
      <c r="BP2">
        <v>1</v>
      </c>
      <c r="BQ2">
        <v>1</v>
      </c>
      <c r="BR2">
        <v>1</v>
      </c>
      <c r="BS2">
        <v>1</v>
      </c>
      <c r="BT2">
        <v>1</v>
      </c>
      <c r="BU2">
        <v>1</v>
      </c>
      <c r="BV2">
        <v>1</v>
      </c>
      <c r="BW2">
        <v>1</v>
      </c>
      <c r="BX2">
        <v>1</v>
      </c>
      <c r="BY2">
        <v>1</v>
      </c>
      <c r="BZ2">
        <v>1</v>
      </c>
      <c r="CA2">
        <v>1</v>
      </c>
      <c r="CB2">
        <v>1</v>
      </c>
      <c r="CC2">
        <v>1</v>
      </c>
      <c r="CD2">
        <v>1</v>
      </c>
      <c r="CE2">
        <v>1</v>
      </c>
      <c r="CF2">
        <v>1</v>
      </c>
      <c r="CG2">
        <v>1</v>
      </c>
      <c r="CH2">
        <v>1</v>
      </c>
      <c r="CI2">
        <v>1</v>
      </c>
      <c r="CJ2">
        <v>1</v>
      </c>
      <c r="CK2">
        <v>1</v>
      </c>
    </row>
  </sheetData>
  <sheetProtection algorithmName="SHA-512" hashValue="KIXr4acs3dStZew14Wf1uYRqWtKgSUi2FLXYgMUnyzB1XqVyh1beheSShkSeukXgTNxckxmGmOQDP1vJ3VnkBQ==" saltValue="Ki/T7Rd8ykKDJsFyVdZq9g==" spinCount="100000" sheet="1" objects="1" scenarios="1"/>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Reference">
    <tabColor rgb="FF92D050"/>
  </sheetPr>
  <dimension ref="A1:BQ1804"/>
  <sheetViews>
    <sheetView showGridLines="0" zoomScale="85" zoomScaleNormal="85" workbookViewId="0">
      <selection sqref="A1:B1"/>
    </sheetView>
  </sheetViews>
  <sheetFormatPr defaultRowHeight="14.5" x14ac:dyDescent="0.35"/>
  <cols>
    <col min="1" max="1" width="15.7265625" customWidth="1"/>
    <col min="2" max="2" width="5.7265625" customWidth="1"/>
    <col min="4" max="4" width="19.54296875" customWidth="1"/>
    <col min="5" max="5" width="23.7265625" bestFit="1" customWidth="1"/>
    <col min="7" max="7" width="3.7265625" customWidth="1"/>
    <col min="8" max="8" width="13.54296875" customWidth="1"/>
    <col min="9" max="9" width="20" customWidth="1"/>
    <col min="10" max="10" width="9.453125" customWidth="1"/>
    <col min="11" max="11" width="3.7265625" customWidth="1"/>
    <col min="12" max="12" width="15.54296875" customWidth="1"/>
    <col min="13" max="13" width="37.54296875" customWidth="1"/>
    <col min="14" max="14" width="9.453125" customWidth="1"/>
    <col min="15" max="15" width="3.7265625" customWidth="1"/>
    <col min="16" max="16" width="16" customWidth="1"/>
    <col min="17" max="17" width="26.7265625" customWidth="1"/>
    <col min="18" max="18" width="21.1796875" customWidth="1"/>
    <col min="19" max="19" width="9.453125" customWidth="1"/>
    <col min="20" max="20" width="3.7265625" customWidth="1"/>
    <col min="21" max="21" width="25.26953125" customWidth="1"/>
    <col min="22" max="22" width="3.7265625" customWidth="1"/>
    <col min="23" max="23" width="18.54296875" customWidth="1"/>
    <col min="24" max="24" width="25.26953125" customWidth="1"/>
    <col min="25" max="25" width="9.453125" customWidth="1"/>
    <col min="26" max="26" width="3.7265625" customWidth="1"/>
    <col min="27" max="27" width="18.26953125" customWidth="1"/>
    <col min="28" max="28" width="23.7265625" customWidth="1"/>
    <col min="29" max="29" width="23.453125" bestFit="1" customWidth="1"/>
    <col min="30" max="30" width="20.7265625" bestFit="1" customWidth="1"/>
    <col min="31" max="31" width="3.7265625" customWidth="1"/>
    <col min="32" max="32" width="23.453125" bestFit="1" customWidth="1"/>
    <col min="33" max="33" width="9.7265625" customWidth="1"/>
    <col min="34" max="34" width="53.54296875" bestFit="1" customWidth="1"/>
    <col min="35" max="35" width="5.7265625" customWidth="1"/>
    <col min="36" max="36" width="31.26953125" customWidth="1"/>
    <col min="37" max="37" width="5.7265625" customWidth="1"/>
    <col min="38" max="38" width="18.7265625" customWidth="1"/>
    <col min="39" max="39" width="13.7265625" customWidth="1"/>
    <col min="40" max="40" width="5.7265625" customWidth="1"/>
    <col min="41" max="41" width="16.81640625" customWidth="1"/>
    <col min="42" max="42" width="12.453125" customWidth="1"/>
    <col min="43" max="43" width="5.7265625" customWidth="1"/>
    <col min="44" max="44" width="16.81640625" customWidth="1"/>
    <col min="45" max="45" width="5.7265625" customWidth="1"/>
    <col min="46" max="46" width="12.453125" customWidth="1"/>
    <col min="47" max="47" width="5.7265625" customWidth="1"/>
    <col min="48" max="48" width="17" customWidth="1"/>
    <col min="49" max="49" width="5.7265625" customWidth="1"/>
    <col min="50" max="50" width="16.26953125" customWidth="1"/>
    <col min="51" max="51" width="5.7265625" customWidth="1"/>
    <col min="52" max="52" width="31.453125" customWidth="1"/>
    <col min="53" max="53" width="55.7265625" customWidth="1"/>
    <col min="54" max="54" width="16.26953125" customWidth="1"/>
    <col min="55" max="55" width="5.7265625" customWidth="1"/>
    <col min="56" max="56" width="33.26953125" customWidth="1"/>
    <col min="57" max="57" width="13.1796875" customWidth="1"/>
    <col min="58" max="58" width="5.7265625" customWidth="1"/>
    <col min="59" max="59" width="16.81640625" customWidth="1"/>
    <col min="60" max="60" width="5.7265625" customWidth="1"/>
    <col min="61" max="61" width="16.81640625" customWidth="1"/>
    <col min="62" max="62" width="5.7265625" customWidth="1"/>
    <col min="63" max="63" width="18.26953125" customWidth="1"/>
    <col min="64" max="64" width="14.81640625" customWidth="1"/>
    <col min="65" max="65" width="5.7265625" customWidth="1"/>
    <col min="66" max="66" width="22.1796875" customWidth="1"/>
    <col min="67" max="67" width="5.7265625" customWidth="1"/>
    <col min="68" max="68" width="19.453125" customWidth="1"/>
    <col min="69" max="69" width="17.81640625" customWidth="1"/>
  </cols>
  <sheetData>
    <row r="1" spans="1:69" x14ac:dyDescent="0.35">
      <c r="A1" s="669" t="s">
        <v>1153</v>
      </c>
      <c r="B1" s="669"/>
      <c r="D1" t="s">
        <v>1813</v>
      </c>
      <c r="E1" t="s">
        <v>1127</v>
      </c>
      <c r="F1" t="s">
        <v>1814</v>
      </c>
      <c r="H1" t="s">
        <v>1815</v>
      </c>
      <c r="I1" t="s">
        <v>1133</v>
      </c>
      <c r="J1" t="s">
        <v>1814</v>
      </c>
      <c r="L1" t="s">
        <v>1816</v>
      </c>
      <c r="M1" t="s">
        <v>1132</v>
      </c>
      <c r="N1" t="s">
        <v>1814</v>
      </c>
      <c r="P1" t="s">
        <v>1820</v>
      </c>
      <c r="Q1" t="s">
        <v>1123</v>
      </c>
      <c r="R1" t="s">
        <v>1817</v>
      </c>
      <c r="S1" t="s">
        <v>1814</v>
      </c>
      <c r="U1" t="s">
        <v>1817</v>
      </c>
      <c r="W1" t="s">
        <v>1819</v>
      </c>
      <c r="X1" t="s">
        <v>1801</v>
      </c>
      <c r="Y1" t="s">
        <v>1814</v>
      </c>
      <c r="AA1" t="s">
        <v>1821</v>
      </c>
      <c r="AB1" t="s">
        <v>1124</v>
      </c>
      <c r="AC1" t="s">
        <v>1818</v>
      </c>
      <c r="AD1" t="s">
        <v>1378</v>
      </c>
      <c r="AF1" t="s">
        <v>1818</v>
      </c>
      <c r="AH1" t="s">
        <v>1131</v>
      </c>
      <c r="AJ1" t="s">
        <v>1130</v>
      </c>
      <c r="AL1" t="s">
        <v>1128</v>
      </c>
      <c r="AM1" t="s">
        <v>1381</v>
      </c>
      <c r="AO1" t="s">
        <v>1126</v>
      </c>
      <c r="AP1" t="s">
        <v>1125</v>
      </c>
      <c r="AR1" t="s">
        <v>1126</v>
      </c>
      <c r="AT1" t="s">
        <v>1125</v>
      </c>
      <c r="AV1" t="s">
        <v>1159</v>
      </c>
      <c r="AX1" t="s">
        <v>1161</v>
      </c>
      <c r="AZ1" t="s">
        <v>1158</v>
      </c>
      <c r="BA1" t="s">
        <v>1130</v>
      </c>
      <c r="BB1" t="s">
        <v>1583</v>
      </c>
      <c r="BD1" t="s">
        <v>1129</v>
      </c>
      <c r="BE1" t="s">
        <v>1169</v>
      </c>
      <c r="BG1" t="s">
        <v>1126</v>
      </c>
      <c r="BI1" t="s">
        <v>1126</v>
      </c>
      <c r="BK1" t="s">
        <v>1273</v>
      </c>
      <c r="BL1" t="s">
        <v>1274</v>
      </c>
      <c r="BN1" t="s">
        <v>1376</v>
      </c>
      <c r="BP1" t="s">
        <v>3394</v>
      </c>
      <c r="BQ1" t="s">
        <v>3395</v>
      </c>
    </row>
    <row r="2" spans="1:69" x14ac:dyDescent="0.35">
      <c r="A2" s="273" t="s">
        <v>1141</v>
      </c>
      <c r="B2" s="272">
        <v>1</v>
      </c>
      <c r="D2" t="s">
        <v>1982</v>
      </c>
      <c r="E2" t="s">
        <v>1983</v>
      </c>
      <c r="F2" t="s">
        <v>1812</v>
      </c>
      <c r="H2" t="s">
        <v>1992</v>
      </c>
      <c r="I2" t="s">
        <v>3754</v>
      </c>
      <c r="J2" t="s">
        <v>1993</v>
      </c>
      <c r="L2" t="s">
        <v>2032</v>
      </c>
      <c r="M2" t="s">
        <v>1409</v>
      </c>
      <c r="N2" t="s">
        <v>1993</v>
      </c>
      <c r="P2" t="s">
        <v>2495</v>
      </c>
      <c r="Q2" t="s">
        <v>1570</v>
      </c>
      <c r="R2" t="s">
        <v>1570</v>
      </c>
      <c r="S2" t="s">
        <v>1811</v>
      </c>
      <c r="U2" t="s">
        <v>1570</v>
      </c>
      <c r="W2" t="s">
        <v>2258</v>
      </c>
      <c r="X2" t="s">
        <v>2587</v>
      </c>
      <c r="Y2" t="s">
        <v>1993</v>
      </c>
      <c r="AA2" t="s">
        <v>1923</v>
      </c>
      <c r="AB2" t="s">
        <v>1924</v>
      </c>
      <c r="AC2" t="s">
        <v>1924</v>
      </c>
      <c r="AD2" t="s">
        <v>1380</v>
      </c>
      <c r="AF2" t="s">
        <v>1853</v>
      </c>
      <c r="AH2" t="s">
        <v>2607</v>
      </c>
      <c r="AJ2" t="s">
        <v>1383</v>
      </c>
      <c r="AL2" t="s">
        <v>2</v>
      </c>
      <c r="AM2" t="s">
        <v>1374</v>
      </c>
      <c r="AO2" s="250" t="s">
        <v>212</v>
      </c>
      <c r="AP2" s="250">
        <v>41791</v>
      </c>
      <c r="AQ2" s="250"/>
      <c r="AR2" t="s">
        <v>212</v>
      </c>
      <c r="AT2" s="250">
        <v>41275</v>
      </c>
      <c r="AV2" t="s">
        <v>1091</v>
      </c>
      <c r="AX2" t="s">
        <v>1162</v>
      </c>
      <c r="AZ2" t="s">
        <v>4170</v>
      </c>
      <c r="BA2" t="s">
        <v>1091</v>
      </c>
      <c r="BB2" t="s">
        <v>1165</v>
      </c>
      <c r="BD2" t="s">
        <v>17</v>
      </c>
      <c r="BE2" t="s">
        <v>1375</v>
      </c>
      <c r="BG2" t="s">
        <v>1210</v>
      </c>
      <c r="BI2" t="s">
        <v>1210</v>
      </c>
      <c r="BK2" s="91" t="s">
        <v>4099</v>
      </c>
      <c r="BL2" s="91">
        <v>155</v>
      </c>
      <c r="BN2" s="250">
        <v>41791</v>
      </c>
      <c r="BP2" t="s">
        <v>3396</v>
      </c>
      <c r="BQ2" t="s">
        <v>1397</v>
      </c>
    </row>
    <row r="3" spans="1:69" x14ac:dyDescent="0.35">
      <c r="A3" s="271" t="s">
        <v>1142</v>
      </c>
      <c r="B3" s="270">
        <v>2</v>
      </c>
      <c r="D3" t="s">
        <v>1944</v>
      </c>
      <c r="E3" t="s">
        <v>1568</v>
      </c>
      <c r="F3" t="s">
        <v>1811</v>
      </c>
      <c r="H3" t="s">
        <v>2000</v>
      </c>
      <c r="I3" t="s">
        <v>1408</v>
      </c>
      <c r="J3" t="s">
        <v>1993</v>
      </c>
      <c r="L3" t="s">
        <v>2004</v>
      </c>
      <c r="M3" t="s">
        <v>1410</v>
      </c>
      <c r="N3" t="s">
        <v>1993</v>
      </c>
      <c r="P3" t="s">
        <v>2520</v>
      </c>
      <c r="Q3" t="s">
        <v>4001</v>
      </c>
      <c r="R3" t="s">
        <v>4001</v>
      </c>
      <c r="S3" t="s">
        <v>1993</v>
      </c>
      <c r="U3" t="s">
        <v>1324</v>
      </c>
      <c r="W3" t="s">
        <v>2260</v>
      </c>
      <c r="X3" t="s">
        <v>2588</v>
      </c>
      <c r="Y3" t="s">
        <v>1993</v>
      </c>
      <c r="AA3" t="s">
        <v>1857</v>
      </c>
      <c r="AB3" t="s">
        <v>1858</v>
      </c>
      <c r="AC3" t="s">
        <v>1858</v>
      </c>
      <c r="AD3" t="s">
        <v>1379</v>
      </c>
      <c r="AF3" t="s">
        <v>1924</v>
      </c>
      <c r="AH3" t="s">
        <v>2608</v>
      </c>
      <c r="AJ3" t="s">
        <v>1384</v>
      </c>
      <c r="AL3" t="s">
        <v>8</v>
      </c>
      <c r="AM3" t="s">
        <v>1374</v>
      </c>
      <c r="AO3" s="250" t="s">
        <v>0</v>
      </c>
      <c r="AP3" s="250">
        <v>41275</v>
      </c>
      <c r="AQ3" s="250"/>
      <c r="AR3" t="s">
        <v>0</v>
      </c>
      <c r="AT3" s="250"/>
      <c r="AX3" t="s">
        <v>1580</v>
      </c>
      <c r="AZ3" t="s">
        <v>3334</v>
      </c>
      <c r="BA3" t="s">
        <v>1401</v>
      </c>
      <c r="BB3" t="s">
        <v>1165</v>
      </c>
      <c r="BD3" t="s">
        <v>38</v>
      </c>
      <c r="BE3" t="s">
        <v>1375</v>
      </c>
      <c r="BG3" t="s">
        <v>1209</v>
      </c>
      <c r="BI3" t="s">
        <v>1209</v>
      </c>
      <c r="BK3" s="91" t="s">
        <v>4100</v>
      </c>
      <c r="BL3" s="91">
        <v>166</v>
      </c>
      <c r="BP3" t="s">
        <v>3397</v>
      </c>
      <c r="BQ3" t="s">
        <v>3398</v>
      </c>
    </row>
    <row r="4" spans="1:69" x14ac:dyDescent="0.35">
      <c r="A4" s="271" t="s">
        <v>1271</v>
      </c>
      <c r="B4" s="270">
        <v>3</v>
      </c>
      <c r="D4" t="s">
        <v>1945</v>
      </c>
      <c r="E4" t="s">
        <v>1569</v>
      </c>
      <c r="F4" t="s">
        <v>1811</v>
      </c>
      <c r="H4" t="s">
        <v>1997</v>
      </c>
      <c r="I4" t="s">
        <v>1342</v>
      </c>
      <c r="J4" t="s">
        <v>1993</v>
      </c>
      <c r="L4" t="s">
        <v>2041</v>
      </c>
      <c r="M4" t="s">
        <v>1411</v>
      </c>
      <c r="N4" t="s">
        <v>1993</v>
      </c>
      <c r="P4" t="s">
        <v>2515</v>
      </c>
      <c r="Q4" t="s">
        <v>1349</v>
      </c>
      <c r="R4" t="s">
        <v>4002</v>
      </c>
      <c r="S4" t="s">
        <v>1811</v>
      </c>
      <c r="U4" t="s">
        <v>1325</v>
      </c>
      <c r="W4" t="s">
        <v>2302</v>
      </c>
      <c r="X4" t="s">
        <v>3987</v>
      </c>
      <c r="Y4" t="s">
        <v>1993</v>
      </c>
      <c r="AA4" t="s">
        <v>1855</v>
      </c>
      <c r="AB4" t="s">
        <v>1856</v>
      </c>
      <c r="AC4" t="s">
        <v>1856</v>
      </c>
      <c r="AD4" t="s">
        <v>1379</v>
      </c>
      <c r="AF4" t="s">
        <v>1858</v>
      </c>
      <c r="AH4" t="s">
        <v>2609</v>
      </c>
      <c r="AJ4" t="s">
        <v>1385</v>
      </c>
      <c r="AL4" t="s">
        <v>12</v>
      </c>
      <c r="AM4" t="s">
        <v>1375</v>
      </c>
      <c r="AR4" t="s">
        <v>221</v>
      </c>
      <c r="AX4" t="s">
        <v>1163</v>
      </c>
      <c r="AZ4" t="s">
        <v>3335</v>
      </c>
      <c r="BA4" t="s">
        <v>1401</v>
      </c>
      <c r="BB4" t="s">
        <v>1165</v>
      </c>
      <c r="BD4" t="s">
        <v>1</v>
      </c>
      <c r="BE4" t="s">
        <v>1374</v>
      </c>
      <c r="BG4" t="s">
        <v>1212</v>
      </c>
      <c r="BI4" t="s">
        <v>1212</v>
      </c>
      <c r="BK4" s="91" t="s">
        <v>4101</v>
      </c>
      <c r="BL4" s="91">
        <v>118</v>
      </c>
      <c r="BP4" t="s">
        <v>3399</v>
      </c>
      <c r="BQ4" t="s">
        <v>3400</v>
      </c>
    </row>
    <row r="5" spans="1:69" x14ac:dyDescent="0.35">
      <c r="A5" s="271" t="s">
        <v>1152</v>
      </c>
      <c r="B5" s="270">
        <v>4</v>
      </c>
      <c r="D5" t="s">
        <v>1962</v>
      </c>
      <c r="E5" t="s">
        <v>1963</v>
      </c>
      <c r="F5" t="s">
        <v>1812</v>
      </c>
      <c r="H5" t="s">
        <v>1994</v>
      </c>
      <c r="I5" t="s">
        <v>1406</v>
      </c>
      <c r="J5" t="s">
        <v>1993</v>
      </c>
      <c r="L5" t="s">
        <v>2060</v>
      </c>
      <c r="M5" t="s">
        <v>1412</v>
      </c>
      <c r="N5" t="s">
        <v>1993</v>
      </c>
      <c r="P5" t="s">
        <v>4003</v>
      </c>
      <c r="Q5" t="s">
        <v>4004</v>
      </c>
      <c r="R5" t="s">
        <v>4005</v>
      </c>
      <c r="S5" t="s">
        <v>1993</v>
      </c>
      <c r="U5" t="s">
        <v>1326</v>
      </c>
      <c r="W5" t="s">
        <v>2581</v>
      </c>
      <c r="X5" t="s">
        <v>2582</v>
      </c>
      <c r="Y5" t="s">
        <v>1993</v>
      </c>
      <c r="AA5" t="s">
        <v>1854</v>
      </c>
      <c r="AB5" t="s">
        <v>1330</v>
      </c>
      <c r="AC5" t="s">
        <v>1330</v>
      </c>
      <c r="AD5" t="s">
        <v>1379</v>
      </c>
      <c r="AF5" t="s">
        <v>1856</v>
      </c>
      <c r="AH5" t="s">
        <v>2610</v>
      </c>
      <c r="AJ5" t="s">
        <v>1285</v>
      </c>
      <c r="AL5" t="s">
        <v>5</v>
      </c>
      <c r="AM5" t="s">
        <v>1374</v>
      </c>
      <c r="AX5" t="s">
        <v>1160</v>
      </c>
      <c r="AZ5" t="s">
        <v>3336</v>
      </c>
      <c r="BA5" t="s">
        <v>1353</v>
      </c>
      <c r="BB5" t="s">
        <v>1165</v>
      </c>
      <c r="BD5" t="s">
        <v>21</v>
      </c>
      <c r="BE5" t="s">
        <v>1374</v>
      </c>
      <c r="BG5" t="s">
        <v>1211</v>
      </c>
      <c r="BI5" t="s">
        <v>1211</v>
      </c>
      <c r="BK5" s="91" t="s">
        <v>4102</v>
      </c>
      <c r="BL5" s="91">
        <v>119</v>
      </c>
      <c r="BP5" t="s">
        <v>3401</v>
      </c>
      <c r="BQ5" t="s">
        <v>4354</v>
      </c>
    </row>
    <row r="6" spans="1:69" x14ac:dyDescent="0.35">
      <c r="A6" s="269" t="s">
        <v>1151</v>
      </c>
      <c r="B6" s="268">
        <v>5</v>
      </c>
      <c r="D6" t="s">
        <v>1964</v>
      </c>
      <c r="E6" t="s">
        <v>1965</v>
      </c>
      <c r="F6" t="s">
        <v>1812</v>
      </c>
      <c r="H6" t="s">
        <v>1996</v>
      </c>
      <c r="I6" t="s">
        <v>1354</v>
      </c>
      <c r="J6" t="s">
        <v>1993</v>
      </c>
      <c r="L6" t="s">
        <v>2036</v>
      </c>
      <c r="M6" t="s">
        <v>1413</v>
      </c>
      <c r="N6" t="s">
        <v>1993</v>
      </c>
      <c r="P6" t="s">
        <v>2464</v>
      </c>
      <c r="Q6" t="s">
        <v>1324</v>
      </c>
      <c r="R6" t="s">
        <v>1324</v>
      </c>
      <c r="S6" t="s">
        <v>1811</v>
      </c>
      <c r="U6" t="s">
        <v>1327</v>
      </c>
      <c r="W6" t="s">
        <v>2585</v>
      </c>
      <c r="X6" t="s">
        <v>1802</v>
      </c>
      <c r="Y6" t="s">
        <v>1993</v>
      </c>
      <c r="AA6" t="s">
        <v>1843</v>
      </c>
      <c r="AB6" t="s">
        <v>1334</v>
      </c>
      <c r="AC6" t="s">
        <v>1334</v>
      </c>
      <c r="AD6" t="s">
        <v>1379</v>
      </c>
      <c r="AF6" t="s">
        <v>1330</v>
      </c>
      <c r="AH6" t="s">
        <v>2611</v>
      </c>
      <c r="AJ6" t="s">
        <v>1091</v>
      </c>
      <c r="AL6" t="s">
        <v>4</v>
      </c>
      <c r="AM6" t="s">
        <v>1374</v>
      </c>
      <c r="AX6" t="s">
        <v>1164</v>
      </c>
      <c r="AZ6" t="s">
        <v>3337</v>
      </c>
      <c r="BA6" t="s">
        <v>1353</v>
      </c>
      <c r="BB6" t="s">
        <v>1165</v>
      </c>
      <c r="BD6" t="s">
        <v>23</v>
      </c>
      <c r="BE6" t="s">
        <v>1374</v>
      </c>
      <c r="BI6" t="s">
        <v>1319</v>
      </c>
      <c r="BK6" s="91" t="s">
        <v>4103</v>
      </c>
      <c r="BL6" s="91">
        <v>120</v>
      </c>
      <c r="BP6" t="s">
        <v>3402</v>
      </c>
      <c r="BQ6" t="s">
        <v>3403</v>
      </c>
    </row>
    <row r="7" spans="1:69" x14ac:dyDescent="0.35">
      <c r="D7" t="s">
        <v>1942</v>
      </c>
      <c r="E7" t="s">
        <v>1566</v>
      </c>
      <c r="F7" t="s">
        <v>1811</v>
      </c>
      <c r="H7" t="s">
        <v>1999</v>
      </c>
      <c r="I7" t="s">
        <v>1407</v>
      </c>
      <c r="J7" t="s">
        <v>1993</v>
      </c>
      <c r="L7" t="s">
        <v>2159</v>
      </c>
      <c r="M7" t="s">
        <v>1414</v>
      </c>
      <c r="N7" t="s">
        <v>1993</v>
      </c>
      <c r="P7" t="s">
        <v>2475</v>
      </c>
      <c r="Q7" t="s">
        <v>1326</v>
      </c>
      <c r="R7" t="s">
        <v>1326</v>
      </c>
      <c r="S7" t="s">
        <v>1811</v>
      </c>
      <c r="U7" t="s">
        <v>1328</v>
      </c>
      <c r="W7" t="s">
        <v>2193</v>
      </c>
      <c r="X7" t="s">
        <v>1091</v>
      </c>
      <c r="Y7" t="s">
        <v>1993</v>
      </c>
      <c r="AA7" t="s">
        <v>1845</v>
      </c>
      <c r="AB7" t="s">
        <v>1335</v>
      </c>
      <c r="AC7" t="s">
        <v>1335</v>
      </c>
      <c r="AD7" t="s">
        <v>1379</v>
      </c>
      <c r="AF7" t="s">
        <v>1334</v>
      </c>
      <c r="AH7" t="s">
        <v>1122</v>
      </c>
      <c r="AJ7" t="s">
        <v>1353</v>
      </c>
      <c r="AL7" t="s">
        <v>1405</v>
      </c>
      <c r="AM7" t="s">
        <v>1375</v>
      </c>
      <c r="AX7" t="s">
        <v>1581</v>
      </c>
      <c r="AZ7" t="s">
        <v>3338</v>
      </c>
      <c r="BA7" t="s">
        <v>209</v>
      </c>
      <c r="BB7" t="s">
        <v>1165</v>
      </c>
      <c r="BD7" t="s">
        <v>25</v>
      </c>
      <c r="BE7" t="s">
        <v>1374</v>
      </c>
      <c r="BK7" s="91" t="s">
        <v>4104</v>
      </c>
      <c r="BL7" s="91">
        <v>105</v>
      </c>
      <c r="BP7" t="s">
        <v>3404</v>
      </c>
      <c r="BQ7" t="s">
        <v>3405</v>
      </c>
    </row>
    <row r="8" spans="1:69" x14ac:dyDescent="0.35">
      <c r="D8" t="s">
        <v>1970</v>
      </c>
      <c r="E8" t="s">
        <v>1971</v>
      </c>
      <c r="F8" t="s">
        <v>1812</v>
      </c>
      <c r="H8" t="s">
        <v>1998</v>
      </c>
      <c r="I8" t="s">
        <v>209</v>
      </c>
      <c r="J8" t="s">
        <v>1993</v>
      </c>
      <c r="L8" t="s">
        <v>2161</v>
      </c>
      <c r="M8" t="s">
        <v>1415</v>
      </c>
      <c r="N8" t="s">
        <v>1993</v>
      </c>
      <c r="P8" t="s">
        <v>2505</v>
      </c>
      <c r="Q8" t="s">
        <v>1327</v>
      </c>
      <c r="R8" t="s">
        <v>1327</v>
      </c>
      <c r="S8" t="s">
        <v>1993</v>
      </c>
      <c r="U8" t="s">
        <v>1278</v>
      </c>
      <c r="W8" t="s">
        <v>2292</v>
      </c>
      <c r="X8" t="s">
        <v>1803</v>
      </c>
      <c r="Y8" t="s">
        <v>1993</v>
      </c>
      <c r="AA8" t="s">
        <v>1850</v>
      </c>
      <c r="AB8" t="s">
        <v>1851</v>
      </c>
      <c r="AC8" t="s">
        <v>1851</v>
      </c>
      <c r="AD8" t="s">
        <v>1379</v>
      </c>
      <c r="AF8" t="s">
        <v>1335</v>
      </c>
      <c r="AH8" t="s">
        <v>1121</v>
      </c>
      <c r="AJ8" t="s">
        <v>1386</v>
      </c>
      <c r="AL8" t="s">
        <v>1</v>
      </c>
      <c r="AM8" t="s">
        <v>1374</v>
      </c>
      <c r="AX8" t="s">
        <v>1582</v>
      </c>
      <c r="AZ8" t="s">
        <v>3339</v>
      </c>
      <c r="BA8" t="s">
        <v>1353</v>
      </c>
      <c r="BB8" t="s">
        <v>1165</v>
      </c>
      <c r="BD8" t="s">
        <v>1800</v>
      </c>
      <c r="BE8" t="s">
        <v>1375</v>
      </c>
      <c r="BK8" s="91" t="s">
        <v>4105</v>
      </c>
      <c r="BL8" s="91">
        <v>121</v>
      </c>
      <c r="BP8" t="s">
        <v>3406</v>
      </c>
      <c r="BQ8" t="s">
        <v>3407</v>
      </c>
    </row>
    <row r="9" spans="1:69" x14ac:dyDescent="0.35">
      <c r="D9" t="s">
        <v>1972</v>
      </c>
      <c r="E9" t="s">
        <v>1973</v>
      </c>
      <c r="F9" t="s">
        <v>1812</v>
      </c>
      <c r="H9" t="s">
        <v>1995</v>
      </c>
      <c r="I9" t="s">
        <v>1275</v>
      </c>
      <c r="J9" t="s">
        <v>1993</v>
      </c>
      <c r="L9" t="s">
        <v>2128</v>
      </c>
      <c r="M9" t="s">
        <v>1416</v>
      </c>
      <c r="N9" t="s">
        <v>1993</v>
      </c>
      <c r="P9" t="s">
        <v>2334</v>
      </c>
      <c r="Q9" t="s">
        <v>1278</v>
      </c>
      <c r="R9" t="s">
        <v>1278</v>
      </c>
      <c r="S9" t="s">
        <v>1811</v>
      </c>
      <c r="U9" t="s">
        <v>1571</v>
      </c>
      <c r="W9" t="s">
        <v>2254</v>
      </c>
      <c r="X9" t="s">
        <v>2586</v>
      </c>
      <c r="Y9" t="s">
        <v>1993</v>
      </c>
      <c r="AA9" t="s">
        <v>1875</v>
      </c>
      <c r="AB9" t="s">
        <v>1876</v>
      </c>
      <c r="AC9" t="s">
        <v>1876</v>
      </c>
      <c r="AD9" t="s">
        <v>1379</v>
      </c>
      <c r="AF9" t="s">
        <v>1851</v>
      </c>
      <c r="AH9" t="s">
        <v>1120</v>
      </c>
      <c r="AJ9" t="s">
        <v>1387</v>
      </c>
      <c r="AL9" t="s">
        <v>7</v>
      </c>
      <c r="AM9" t="s">
        <v>1374</v>
      </c>
      <c r="AX9" t="s">
        <v>224</v>
      </c>
      <c r="AZ9" t="s">
        <v>3340</v>
      </c>
      <c r="BA9" t="s">
        <v>1401</v>
      </c>
      <c r="BB9" t="s">
        <v>1165</v>
      </c>
      <c r="BD9" t="s">
        <v>49</v>
      </c>
      <c r="BE9" t="s">
        <v>1374</v>
      </c>
      <c r="BK9" s="91" t="s">
        <v>4106</v>
      </c>
      <c r="BL9" s="91">
        <v>164</v>
      </c>
      <c r="BP9" t="s">
        <v>3408</v>
      </c>
      <c r="BQ9" t="s">
        <v>3409</v>
      </c>
    </row>
    <row r="10" spans="1:69" x14ac:dyDescent="0.35">
      <c r="D10" t="s">
        <v>1974</v>
      </c>
      <c r="E10" t="s">
        <v>1975</v>
      </c>
      <c r="F10" t="s">
        <v>1812</v>
      </c>
      <c r="L10" t="s">
        <v>2152</v>
      </c>
      <c r="M10" t="s">
        <v>1417</v>
      </c>
      <c r="N10" t="s">
        <v>1993</v>
      </c>
      <c r="P10" t="s">
        <v>2350</v>
      </c>
      <c r="Q10" t="s">
        <v>1571</v>
      </c>
      <c r="R10" t="s">
        <v>1571</v>
      </c>
      <c r="S10" t="s">
        <v>1811</v>
      </c>
      <c r="U10" t="s">
        <v>1279</v>
      </c>
      <c r="W10" t="s">
        <v>2256</v>
      </c>
      <c r="X10" t="s">
        <v>1804</v>
      </c>
      <c r="Y10" t="s">
        <v>1993</v>
      </c>
      <c r="AA10" t="s">
        <v>1844</v>
      </c>
      <c r="AB10" t="s">
        <v>1337</v>
      </c>
      <c r="AC10" t="s">
        <v>1337</v>
      </c>
      <c r="AD10" t="s">
        <v>1379</v>
      </c>
      <c r="AF10" t="s">
        <v>1876</v>
      </c>
      <c r="AH10" t="s">
        <v>2612</v>
      </c>
      <c r="AJ10" t="s">
        <v>1388</v>
      </c>
      <c r="AL10" t="s">
        <v>3</v>
      </c>
      <c r="AM10" t="s">
        <v>1374</v>
      </c>
      <c r="AZ10" t="s">
        <v>4171</v>
      </c>
      <c r="BA10" t="s">
        <v>1091</v>
      </c>
      <c r="BB10" t="s">
        <v>1165</v>
      </c>
      <c r="BD10" t="s">
        <v>60</v>
      </c>
      <c r="BE10" t="s">
        <v>1375</v>
      </c>
      <c r="BK10" s="91" t="s">
        <v>4107</v>
      </c>
      <c r="BL10" s="91">
        <v>102</v>
      </c>
      <c r="BP10" t="s">
        <v>3410</v>
      </c>
      <c r="BQ10" t="s">
        <v>1369</v>
      </c>
    </row>
    <row r="11" spans="1:69" x14ac:dyDescent="0.35">
      <c r="D11" t="s">
        <v>1976</v>
      </c>
      <c r="E11" t="s">
        <v>1977</v>
      </c>
      <c r="F11" t="s">
        <v>1812</v>
      </c>
      <c r="L11" t="s">
        <v>2116</v>
      </c>
      <c r="M11" t="s">
        <v>3755</v>
      </c>
      <c r="N11" t="s">
        <v>1993</v>
      </c>
      <c r="P11" t="s">
        <v>2483</v>
      </c>
      <c r="Q11" t="s">
        <v>1329</v>
      </c>
      <c r="R11" t="s">
        <v>1329</v>
      </c>
      <c r="S11" t="s">
        <v>1811</v>
      </c>
      <c r="U11" t="s">
        <v>1280</v>
      </c>
      <c r="W11" t="s">
        <v>2583</v>
      </c>
      <c r="X11" t="s">
        <v>1276</v>
      </c>
      <c r="Y11" t="s">
        <v>1993</v>
      </c>
      <c r="AA11" t="s">
        <v>1825</v>
      </c>
      <c r="AB11" t="s">
        <v>1826</v>
      </c>
      <c r="AC11" t="s">
        <v>1826</v>
      </c>
      <c r="AD11" t="s">
        <v>1379</v>
      </c>
      <c r="AF11" t="s">
        <v>1337</v>
      </c>
      <c r="AH11" t="s">
        <v>2613</v>
      </c>
      <c r="AJ11" t="s">
        <v>1389</v>
      </c>
      <c r="AZ11" t="s">
        <v>3341</v>
      </c>
      <c r="BA11" t="s">
        <v>1353</v>
      </c>
      <c r="BB11" t="s">
        <v>1165</v>
      </c>
      <c r="BD11" t="s">
        <v>41</v>
      </c>
      <c r="BE11" t="s">
        <v>1375</v>
      </c>
      <c r="BK11" s="91" t="s">
        <v>4108</v>
      </c>
      <c r="BL11" s="91">
        <v>104</v>
      </c>
      <c r="BP11" t="s">
        <v>3411</v>
      </c>
      <c r="BQ11" t="s">
        <v>3412</v>
      </c>
    </row>
    <row r="12" spans="1:69" x14ac:dyDescent="0.35">
      <c r="D12" t="s">
        <v>1978</v>
      </c>
      <c r="E12" t="s">
        <v>1979</v>
      </c>
      <c r="F12" t="s">
        <v>1812</v>
      </c>
      <c r="L12" t="s">
        <v>2183</v>
      </c>
      <c r="M12" t="s">
        <v>3756</v>
      </c>
      <c r="N12" t="s">
        <v>1993</v>
      </c>
      <c r="P12" t="s">
        <v>2516</v>
      </c>
      <c r="Q12" t="s">
        <v>2517</v>
      </c>
      <c r="R12" t="s">
        <v>1281</v>
      </c>
      <c r="S12" t="s">
        <v>1993</v>
      </c>
      <c r="U12" t="s">
        <v>1329</v>
      </c>
      <c r="W12" t="s">
        <v>2589</v>
      </c>
      <c r="X12" t="s">
        <v>3988</v>
      </c>
      <c r="Y12" t="s">
        <v>1993</v>
      </c>
      <c r="AA12" t="s">
        <v>1837</v>
      </c>
      <c r="AB12" t="s">
        <v>1838</v>
      </c>
      <c r="AC12" t="s">
        <v>1838</v>
      </c>
      <c r="AD12" t="s">
        <v>1379</v>
      </c>
      <c r="AF12" t="s">
        <v>1826</v>
      </c>
      <c r="AH12" t="s">
        <v>1119</v>
      </c>
      <c r="AJ12" t="s">
        <v>1277</v>
      </c>
      <c r="AZ12" t="s">
        <v>3342</v>
      </c>
      <c r="BA12" t="s">
        <v>1353</v>
      </c>
      <c r="BB12" t="s">
        <v>1165</v>
      </c>
      <c r="BD12" t="s">
        <v>39</v>
      </c>
      <c r="BE12" t="s">
        <v>1375</v>
      </c>
      <c r="BK12" s="91" t="s">
        <v>4109</v>
      </c>
      <c r="BL12" s="91">
        <v>122</v>
      </c>
      <c r="BP12" t="s">
        <v>3413</v>
      </c>
      <c r="BQ12" t="s">
        <v>3414</v>
      </c>
    </row>
    <row r="13" spans="1:69" x14ac:dyDescent="0.35">
      <c r="D13" t="s">
        <v>1958</v>
      </c>
      <c r="E13" t="s">
        <v>1959</v>
      </c>
      <c r="F13" t="s">
        <v>1812</v>
      </c>
      <c r="L13" t="s">
        <v>2089</v>
      </c>
      <c r="M13" t="s">
        <v>1383</v>
      </c>
      <c r="N13" t="s">
        <v>1993</v>
      </c>
      <c r="P13" t="s">
        <v>2529</v>
      </c>
      <c r="Q13" t="s">
        <v>2530</v>
      </c>
      <c r="R13" t="s">
        <v>1281</v>
      </c>
      <c r="S13" t="s">
        <v>1993</v>
      </c>
      <c r="U13" t="s">
        <v>1281</v>
      </c>
      <c r="W13" t="s">
        <v>2590</v>
      </c>
      <c r="X13" t="s">
        <v>2591</v>
      </c>
      <c r="Y13" t="s">
        <v>1993</v>
      </c>
      <c r="AA13" t="s">
        <v>1833</v>
      </c>
      <c r="AB13" t="s">
        <v>1834</v>
      </c>
      <c r="AC13" t="s">
        <v>1834</v>
      </c>
      <c r="AD13" t="s">
        <v>1379</v>
      </c>
      <c r="AF13" t="s">
        <v>1838</v>
      </c>
      <c r="AH13" t="s">
        <v>1118</v>
      </c>
      <c r="AJ13" t="s">
        <v>1390</v>
      </c>
      <c r="AZ13" t="s">
        <v>3343</v>
      </c>
      <c r="BA13" t="s">
        <v>1353</v>
      </c>
      <c r="BB13" t="s">
        <v>1165</v>
      </c>
      <c r="BD13" t="s">
        <v>40</v>
      </c>
      <c r="BE13" t="s">
        <v>1375</v>
      </c>
      <c r="BK13" s="91" t="s">
        <v>4110</v>
      </c>
      <c r="BL13" s="91">
        <v>123</v>
      </c>
      <c r="BP13" t="s">
        <v>3415</v>
      </c>
      <c r="BQ13" t="s">
        <v>3416</v>
      </c>
    </row>
    <row r="14" spans="1:69" x14ac:dyDescent="0.35">
      <c r="D14" t="s">
        <v>1966</v>
      </c>
      <c r="E14" t="s">
        <v>1967</v>
      </c>
      <c r="F14" t="s">
        <v>1812</v>
      </c>
      <c r="L14" t="s">
        <v>2034</v>
      </c>
      <c r="M14" t="s">
        <v>1418</v>
      </c>
      <c r="N14" t="s">
        <v>1993</v>
      </c>
      <c r="P14" t="s">
        <v>2194</v>
      </c>
      <c r="Q14" t="s">
        <v>2195</v>
      </c>
      <c r="R14" t="s">
        <v>1281</v>
      </c>
      <c r="S14" t="s">
        <v>1811</v>
      </c>
      <c r="U14" t="s">
        <v>1330</v>
      </c>
      <c r="W14" t="s">
        <v>2592</v>
      </c>
      <c r="X14" t="s">
        <v>2593</v>
      </c>
      <c r="Y14" t="s">
        <v>1993</v>
      </c>
      <c r="AA14" t="s">
        <v>1829</v>
      </c>
      <c r="AB14" t="s">
        <v>1830</v>
      </c>
      <c r="AC14" t="s">
        <v>1830</v>
      </c>
      <c r="AD14" t="s">
        <v>1379</v>
      </c>
      <c r="AF14" t="s">
        <v>1834</v>
      </c>
      <c r="AH14" t="s">
        <v>1117</v>
      </c>
      <c r="AJ14" t="s">
        <v>3333</v>
      </c>
      <c r="AZ14" t="s">
        <v>3344</v>
      </c>
      <c r="BA14" t="s">
        <v>1353</v>
      </c>
      <c r="BB14" t="s">
        <v>1165</v>
      </c>
      <c r="BD14" t="s">
        <v>30</v>
      </c>
      <c r="BE14" t="s">
        <v>1374</v>
      </c>
      <c r="BK14" s="91" t="s">
        <v>4111</v>
      </c>
      <c r="BL14" s="91">
        <v>160</v>
      </c>
      <c r="BP14" t="s">
        <v>3417</v>
      </c>
      <c r="BQ14" t="s">
        <v>3418</v>
      </c>
    </row>
    <row r="15" spans="1:69" x14ac:dyDescent="0.35">
      <c r="D15" t="s">
        <v>1980</v>
      </c>
      <c r="E15" t="s">
        <v>1981</v>
      </c>
      <c r="F15" t="s">
        <v>1812</v>
      </c>
      <c r="L15" t="s">
        <v>2188</v>
      </c>
      <c r="M15" t="s">
        <v>3757</v>
      </c>
      <c r="N15" t="s">
        <v>1993</v>
      </c>
      <c r="P15" t="s">
        <v>2274</v>
      </c>
      <c r="Q15" t="s">
        <v>2275</v>
      </c>
      <c r="R15" t="s">
        <v>1281</v>
      </c>
      <c r="S15" t="s">
        <v>1811</v>
      </c>
      <c r="U15" t="s">
        <v>1331</v>
      </c>
      <c r="W15" t="s">
        <v>2594</v>
      </c>
      <c r="X15" t="s">
        <v>2595</v>
      </c>
      <c r="Y15" t="s">
        <v>1993</v>
      </c>
      <c r="AA15" t="s">
        <v>1868</v>
      </c>
      <c r="AB15" t="s">
        <v>1869</v>
      </c>
      <c r="AC15" t="s">
        <v>1869</v>
      </c>
      <c r="AD15" t="s">
        <v>1379</v>
      </c>
      <c r="AF15" t="s">
        <v>1830</v>
      </c>
      <c r="AH15" t="s">
        <v>2614</v>
      </c>
      <c r="AJ15" t="s">
        <v>3991</v>
      </c>
      <c r="AZ15" t="s">
        <v>3345</v>
      </c>
      <c r="BA15" t="s">
        <v>1353</v>
      </c>
      <c r="BB15" t="s">
        <v>1165</v>
      </c>
      <c r="BD15" t="s">
        <v>32</v>
      </c>
      <c r="BE15" t="s">
        <v>1374</v>
      </c>
      <c r="BK15" s="91" t="s">
        <v>4112</v>
      </c>
      <c r="BL15" s="91">
        <v>114</v>
      </c>
      <c r="BP15" t="s">
        <v>3419</v>
      </c>
      <c r="BQ15" t="s">
        <v>3420</v>
      </c>
    </row>
    <row r="16" spans="1:69" x14ac:dyDescent="0.35">
      <c r="D16" t="s">
        <v>1968</v>
      </c>
      <c r="E16" t="s">
        <v>1969</v>
      </c>
      <c r="F16" t="s">
        <v>1812</v>
      </c>
      <c r="L16" t="s">
        <v>2189</v>
      </c>
      <c r="M16" t="s">
        <v>3758</v>
      </c>
      <c r="N16" t="s">
        <v>1993</v>
      </c>
      <c r="P16" t="s">
        <v>2276</v>
      </c>
      <c r="Q16" t="s">
        <v>2277</v>
      </c>
      <c r="R16" t="s">
        <v>1281</v>
      </c>
      <c r="S16" t="s">
        <v>1811</v>
      </c>
      <c r="U16" t="s">
        <v>1332</v>
      </c>
      <c r="W16" t="s">
        <v>2600</v>
      </c>
      <c r="X16" t="s">
        <v>1805</v>
      </c>
      <c r="Y16" t="s">
        <v>1993</v>
      </c>
      <c r="AA16" t="s">
        <v>1859</v>
      </c>
      <c r="AB16" t="s">
        <v>1860</v>
      </c>
      <c r="AC16" t="s">
        <v>1860</v>
      </c>
      <c r="AD16" t="s">
        <v>1379</v>
      </c>
      <c r="AF16" t="s">
        <v>1824</v>
      </c>
      <c r="AH16" t="s">
        <v>1116</v>
      </c>
      <c r="AJ16" t="s">
        <v>1391</v>
      </c>
      <c r="AZ16" t="s">
        <v>3346</v>
      </c>
      <c r="BA16" t="s">
        <v>1353</v>
      </c>
      <c r="BB16" t="s">
        <v>1165</v>
      </c>
      <c r="BD16" t="s">
        <v>33</v>
      </c>
      <c r="BE16" t="s">
        <v>1374</v>
      </c>
      <c r="BK16" s="91" t="s">
        <v>4113</v>
      </c>
      <c r="BL16" s="91">
        <v>113</v>
      </c>
      <c r="BP16" t="s">
        <v>3421</v>
      </c>
      <c r="BQ16" t="s">
        <v>3422</v>
      </c>
    </row>
    <row r="17" spans="4:69" x14ac:dyDescent="0.35">
      <c r="D17" t="s">
        <v>1990</v>
      </c>
      <c r="E17" t="s">
        <v>1991</v>
      </c>
      <c r="F17" t="s">
        <v>1812</v>
      </c>
      <c r="L17" t="s">
        <v>2187</v>
      </c>
      <c r="M17" t="s">
        <v>3759</v>
      </c>
      <c r="N17" t="s">
        <v>1993</v>
      </c>
      <c r="P17" t="s">
        <v>2278</v>
      </c>
      <c r="Q17" t="s">
        <v>2279</v>
      </c>
      <c r="R17" t="s">
        <v>1281</v>
      </c>
      <c r="S17" t="s">
        <v>1811</v>
      </c>
      <c r="U17" t="s">
        <v>1333</v>
      </c>
      <c r="W17" t="s">
        <v>2596</v>
      </c>
      <c r="X17" t="s">
        <v>1806</v>
      </c>
      <c r="Y17" t="s">
        <v>1993</v>
      </c>
      <c r="AA17" t="s">
        <v>4339</v>
      </c>
      <c r="AB17" t="s">
        <v>4340</v>
      </c>
      <c r="AC17" t="s">
        <v>4340</v>
      </c>
      <c r="AD17" t="s">
        <v>1379</v>
      </c>
      <c r="AF17" t="s">
        <v>1869</v>
      </c>
      <c r="AH17" t="s">
        <v>2615</v>
      </c>
      <c r="AJ17" t="s">
        <v>1392</v>
      </c>
      <c r="AZ17" t="s">
        <v>4172</v>
      </c>
      <c r="BA17" t="s">
        <v>1401</v>
      </c>
      <c r="BB17" t="s">
        <v>1166</v>
      </c>
      <c r="BD17" t="s">
        <v>42</v>
      </c>
      <c r="BE17" t="s">
        <v>1375</v>
      </c>
      <c r="BK17" s="91" t="s">
        <v>4114</v>
      </c>
      <c r="BL17" s="91">
        <v>115</v>
      </c>
      <c r="BP17" t="s">
        <v>3423</v>
      </c>
      <c r="BQ17" t="s">
        <v>3424</v>
      </c>
    </row>
    <row r="18" spans="4:69" x14ac:dyDescent="0.35">
      <c r="D18" t="s">
        <v>1960</v>
      </c>
      <c r="E18" t="s">
        <v>1961</v>
      </c>
      <c r="F18" t="s">
        <v>1812</v>
      </c>
      <c r="L18" t="s">
        <v>2113</v>
      </c>
      <c r="M18" t="s">
        <v>1419</v>
      </c>
      <c r="N18" t="s">
        <v>1993</v>
      </c>
      <c r="P18" t="s">
        <v>2286</v>
      </c>
      <c r="Q18" t="s">
        <v>2287</v>
      </c>
      <c r="R18" t="s">
        <v>1281</v>
      </c>
      <c r="S18" t="s">
        <v>1811</v>
      </c>
      <c r="U18" t="s">
        <v>1334</v>
      </c>
      <c r="W18" t="s">
        <v>2597</v>
      </c>
      <c r="X18" t="s">
        <v>1807</v>
      </c>
      <c r="Y18" t="s">
        <v>1993</v>
      </c>
      <c r="AA18" t="s">
        <v>1872</v>
      </c>
      <c r="AB18" t="s">
        <v>1873</v>
      </c>
      <c r="AC18" t="s">
        <v>1873</v>
      </c>
      <c r="AD18" t="s">
        <v>1379</v>
      </c>
      <c r="AF18" t="s">
        <v>1860</v>
      </c>
      <c r="AH18" t="s">
        <v>2616</v>
      </c>
      <c r="AJ18" t="s">
        <v>1393</v>
      </c>
      <c r="AZ18" t="s">
        <v>1584</v>
      </c>
      <c r="BA18" t="s">
        <v>1401</v>
      </c>
      <c r="BB18" t="s">
        <v>1166</v>
      </c>
      <c r="BD18" t="s">
        <v>72</v>
      </c>
      <c r="BE18" t="s">
        <v>1375</v>
      </c>
      <c r="BK18" s="91" t="s">
        <v>4115</v>
      </c>
      <c r="BL18" s="91">
        <v>109</v>
      </c>
      <c r="BP18" t="s">
        <v>3425</v>
      </c>
      <c r="BQ18" t="s">
        <v>3426</v>
      </c>
    </row>
    <row r="19" spans="4:69" x14ac:dyDescent="0.35">
      <c r="D19" t="s">
        <v>1988</v>
      </c>
      <c r="E19" t="s">
        <v>1989</v>
      </c>
      <c r="F19" t="s">
        <v>1812</v>
      </c>
      <c r="L19" t="s">
        <v>2049</v>
      </c>
      <c r="M19" t="s">
        <v>1420</v>
      </c>
      <c r="N19" t="s">
        <v>1993</v>
      </c>
      <c r="P19" t="s">
        <v>2465</v>
      </c>
      <c r="Q19" t="s">
        <v>1330</v>
      </c>
      <c r="R19" t="s">
        <v>1330</v>
      </c>
      <c r="S19" t="s">
        <v>1811</v>
      </c>
      <c r="U19" t="s">
        <v>1335</v>
      </c>
      <c r="W19" t="s">
        <v>2272</v>
      </c>
      <c r="X19" t="s">
        <v>2601</v>
      </c>
      <c r="Y19" t="s">
        <v>1993</v>
      </c>
      <c r="AA19" t="s">
        <v>1827</v>
      </c>
      <c r="AB19" t="s">
        <v>3992</v>
      </c>
      <c r="AC19" t="s">
        <v>3992</v>
      </c>
      <c r="AD19" t="s">
        <v>1379</v>
      </c>
      <c r="AF19" t="s">
        <v>1873</v>
      </c>
      <c r="AH19" t="s">
        <v>1115</v>
      </c>
      <c r="AJ19" t="s">
        <v>1394</v>
      </c>
      <c r="AZ19" t="s">
        <v>1585</v>
      </c>
      <c r="BA19" t="s">
        <v>1401</v>
      </c>
      <c r="BB19" t="s">
        <v>1166</v>
      </c>
      <c r="BD19" t="s">
        <v>34</v>
      </c>
      <c r="BE19" t="s">
        <v>1374</v>
      </c>
      <c r="BK19" s="91" t="s">
        <v>4116</v>
      </c>
      <c r="BL19" s="91">
        <v>106</v>
      </c>
      <c r="BP19" t="s">
        <v>3427</v>
      </c>
      <c r="BQ19" t="s">
        <v>3428</v>
      </c>
    </row>
    <row r="20" spans="4:69" x14ac:dyDescent="0.35">
      <c r="D20" t="s">
        <v>1956</v>
      </c>
      <c r="E20" t="s">
        <v>1957</v>
      </c>
      <c r="F20" t="s">
        <v>1812</v>
      </c>
      <c r="L20" t="s">
        <v>3760</v>
      </c>
      <c r="M20" t="s">
        <v>3761</v>
      </c>
      <c r="N20" t="s">
        <v>1993</v>
      </c>
      <c r="P20" t="s">
        <v>2477</v>
      </c>
      <c r="Q20" t="s">
        <v>1331</v>
      </c>
      <c r="R20" t="s">
        <v>1331</v>
      </c>
      <c r="S20" t="s">
        <v>1811</v>
      </c>
      <c r="U20" t="s">
        <v>1336</v>
      </c>
      <c r="W20" t="s">
        <v>2598</v>
      </c>
      <c r="X20" t="s">
        <v>1808</v>
      </c>
      <c r="Y20" t="s">
        <v>1993</v>
      </c>
      <c r="AA20" t="s">
        <v>1890</v>
      </c>
      <c r="AB20" t="s">
        <v>1371</v>
      </c>
      <c r="AC20" t="s">
        <v>1371</v>
      </c>
      <c r="AD20" t="s">
        <v>1380</v>
      </c>
      <c r="AF20" t="s">
        <v>1371</v>
      </c>
      <c r="AH20" t="s">
        <v>2617</v>
      </c>
      <c r="AJ20" t="s">
        <v>209</v>
      </c>
      <c r="AZ20" t="s">
        <v>3347</v>
      </c>
      <c r="BA20" t="s">
        <v>1401</v>
      </c>
      <c r="BB20" t="s">
        <v>1166</v>
      </c>
      <c r="BD20" t="s">
        <v>51</v>
      </c>
      <c r="BE20" t="s">
        <v>1374</v>
      </c>
      <c r="BK20" s="91" t="s">
        <v>4117</v>
      </c>
      <c r="BL20" s="91">
        <v>111</v>
      </c>
      <c r="BP20" t="s">
        <v>3429</v>
      </c>
      <c r="BQ20" t="s">
        <v>3430</v>
      </c>
    </row>
    <row r="21" spans="4:69" x14ac:dyDescent="0.35">
      <c r="D21" t="s">
        <v>1984</v>
      </c>
      <c r="E21" t="s">
        <v>1985</v>
      </c>
      <c r="F21" t="s">
        <v>1812</v>
      </c>
      <c r="L21" t="s">
        <v>2180</v>
      </c>
      <c r="M21" t="s">
        <v>3762</v>
      </c>
      <c r="N21" t="s">
        <v>1993</v>
      </c>
      <c r="P21" t="s">
        <v>2481</v>
      </c>
      <c r="Q21" t="s">
        <v>1332</v>
      </c>
      <c r="R21" t="s">
        <v>1332</v>
      </c>
      <c r="S21" t="s">
        <v>1811</v>
      </c>
      <c r="U21" t="s">
        <v>1337</v>
      </c>
      <c r="W21" t="s">
        <v>2599</v>
      </c>
      <c r="X21" t="s">
        <v>3989</v>
      </c>
      <c r="Y21" t="s">
        <v>1993</v>
      </c>
      <c r="AA21" t="s">
        <v>1919</v>
      </c>
      <c r="AB21" t="s">
        <v>1920</v>
      </c>
      <c r="AC21" t="s">
        <v>1920</v>
      </c>
      <c r="AD21" t="s">
        <v>1380</v>
      </c>
      <c r="AF21" t="s">
        <v>1920</v>
      </c>
      <c r="AH21" t="s">
        <v>1114</v>
      </c>
      <c r="AJ21" t="s">
        <v>1395</v>
      </c>
      <c r="AZ21" t="s">
        <v>1586</v>
      </c>
      <c r="BA21" t="s">
        <v>1401</v>
      </c>
      <c r="BB21" t="s">
        <v>1166</v>
      </c>
      <c r="BD21" t="s">
        <v>63</v>
      </c>
      <c r="BE21" t="s">
        <v>1375</v>
      </c>
      <c r="BK21" s="91" t="s">
        <v>4118</v>
      </c>
      <c r="BL21" s="91">
        <v>110</v>
      </c>
      <c r="BP21" t="s">
        <v>3431</v>
      </c>
      <c r="BQ21" t="s">
        <v>3432</v>
      </c>
    </row>
    <row r="22" spans="4:69" x14ac:dyDescent="0.35">
      <c r="D22" t="s">
        <v>1946</v>
      </c>
      <c r="E22" t="s">
        <v>1947</v>
      </c>
      <c r="F22" t="s">
        <v>1812</v>
      </c>
      <c r="L22" t="s">
        <v>4331</v>
      </c>
      <c r="M22" t="s">
        <v>4332</v>
      </c>
      <c r="N22" t="s">
        <v>1993</v>
      </c>
      <c r="P22" t="s">
        <v>2474</v>
      </c>
      <c r="Q22" t="s">
        <v>1333</v>
      </c>
      <c r="R22" t="s">
        <v>1333</v>
      </c>
      <c r="S22" t="s">
        <v>1811</v>
      </c>
      <c r="U22" t="s">
        <v>1338</v>
      </c>
      <c r="W22" t="s">
        <v>2570</v>
      </c>
      <c r="X22" t="s">
        <v>2571</v>
      </c>
      <c r="Y22" t="s">
        <v>1993</v>
      </c>
      <c r="AA22" t="s">
        <v>1917</v>
      </c>
      <c r="AB22" t="s">
        <v>1918</v>
      </c>
      <c r="AC22" t="s">
        <v>1918</v>
      </c>
      <c r="AD22" t="s">
        <v>1380</v>
      </c>
      <c r="AF22" t="s">
        <v>1918</v>
      </c>
      <c r="AH22" t="s">
        <v>2618</v>
      </c>
      <c r="AJ22" t="s">
        <v>1396</v>
      </c>
      <c r="AZ22" t="s">
        <v>1587</v>
      </c>
      <c r="BA22" t="s">
        <v>1401</v>
      </c>
      <c r="BB22" t="s">
        <v>1166</v>
      </c>
      <c r="BD22" t="s">
        <v>64</v>
      </c>
      <c r="BE22" t="s">
        <v>1375</v>
      </c>
      <c r="BK22" s="91" t="s">
        <v>4119</v>
      </c>
      <c r="BL22" s="91">
        <v>112</v>
      </c>
      <c r="BP22" t="s">
        <v>3433</v>
      </c>
      <c r="BQ22" t="s">
        <v>3434</v>
      </c>
    </row>
    <row r="23" spans="4:69" x14ac:dyDescent="0.35">
      <c r="D23" t="s">
        <v>1931</v>
      </c>
      <c r="E23" t="s">
        <v>1555</v>
      </c>
      <c r="F23" t="s">
        <v>1811</v>
      </c>
      <c r="L23" t="s">
        <v>2145</v>
      </c>
      <c r="M23" t="s">
        <v>1421</v>
      </c>
      <c r="N23" t="s">
        <v>1993</v>
      </c>
      <c r="P23" t="s">
        <v>2468</v>
      </c>
      <c r="Q23" t="s">
        <v>1334</v>
      </c>
      <c r="R23" t="s">
        <v>1334</v>
      </c>
      <c r="S23" t="s">
        <v>1811</v>
      </c>
      <c r="U23" t="s">
        <v>1339</v>
      </c>
      <c r="W23" t="s">
        <v>2572</v>
      </c>
      <c r="X23" t="s">
        <v>2573</v>
      </c>
      <c r="Y23" t="s">
        <v>1993</v>
      </c>
      <c r="AA23" t="s">
        <v>1925</v>
      </c>
      <c r="AB23" t="s">
        <v>1926</v>
      </c>
      <c r="AC23" t="s">
        <v>1926</v>
      </c>
      <c r="AD23" t="s">
        <v>1380</v>
      </c>
      <c r="AF23" t="s">
        <v>1926</v>
      </c>
      <c r="AH23" t="s">
        <v>1113</v>
      </c>
      <c r="AJ23" t="s">
        <v>1397</v>
      </c>
      <c r="AZ23" t="s">
        <v>4173</v>
      </c>
      <c r="BA23" t="s">
        <v>1401</v>
      </c>
      <c r="BB23" t="s">
        <v>1166</v>
      </c>
      <c r="BD23" t="s">
        <v>50</v>
      </c>
      <c r="BE23" t="s">
        <v>1374</v>
      </c>
      <c r="BK23" s="91" t="s">
        <v>4120</v>
      </c>
      <c r="BL23" s="91">
        <v>108</v>
      </c>
      <c r="BP23" t="s">
        <v>3435</v>
      </c>
      <c r="BQ23" t="s">
        <v>4355</v>
      </c>
    </row>
    <row r="24" spans="4:69" x14ac:dyDescent="0.35">
      <c r="D24" t="s">
        <v>1940</v>
      </c>
      <c r="E24" t="s">
        <v>1564</v>
      </c>
      <c r="F24" t="s">
        <v>1811</v>
      </c>
      <c r="L24" t="s">
        <v>2037</v>
      </c>
      <c r="M24" t="s">
        <v>1422</v>
      </c>
      <c r="N24" t="s">
        <v>1993</v>
      </c>
      <c r="P24" t="s">
        <v>2484</v>
      </c>
      <c r="Q24" t="s">
        <v>1335</v>
      </c>
      <c r="R24" t="s">
        <v>1335</v>
      </c>
      <c r="S24" t="s">
        <v>1811</v>
      </c>
      <c r="U24" t="s">
        <v>1282</v>
      </c>
      <c r="W24" t="s">
        <v>2548</v>
      </c>
      <c r="X24" t="s">
        <v>2549</v>
      </c>
      <c r="Y24" t="s">
        <v>1993</v>
      </c>
      <c r="AA24" t="s">
        <v>1822</v>
      </c>
      <c r="AB24" t="s">
        <v>1091</v>
      </c>
      <c r="AC24" t="s">
        <v>1091</v>
      </c>
      <c r="AD24" t="s">
        <v>1379</v>
      </c>
      <c r="AF24" t="s">
        <v>1091</v>
      </c>
      <c r="AH24" t="s">
        <v>1112</v>
      </c>
      <c r="AJ24" t="s">
        <v>1398</v>
      </c>
      <c r="AZ24" t="s">
        <v>1588</v>
      </c>
      <c r="BA24" t="s">
        <v>1401</v>
      </c>
      <c r="BB24" t="s">
        <v>1166</v>
      </c>
      <c r="BD24" t="s">
        <v>43</v>
      </c>
      <c r="BE24" t="s">
        <v>1375</v>
      </c>
      <c r="BK24" s="91" t="s">
        <v>4121</v>
      </c>
      <c r="BL24" s="91">
        <v>107</v>
      </c>
      <c r="BP24" t="s">
        <v>3436</v>
      </c>
      <c r="BQ24" t="s">
        <v>4356</v>
      </c>
    </row>
    <row r="25" spans="4:69" x14ac:dyDescent="0.35">
      <c r="D25" t="s">
        <v>1941</v>
      </c>
      <c r="E25" t="s">
        <v>1565</v>
      </c>
      <c r="F25" t="s">
        <v>1811</v>
      </c>
      <c r="L25" t="s">
        <v>2096</v>
      </c>
      <c r="M25" t="s">
        <v>1423</v>
      </c>
      <c r="N25" t="s">
        <v>1993</v>
      </c>
      <c r="P25" t="s">
        <v>2473</v>
      </c>
      <c r="Q25" t="s">
        <v>1336</v>
      </c>
      <c r="R25" t="s">
        <v>1336</v>
      </c>
      <c r="S25" t="s">
        <v>1811</v>
      </c>
      <c r="U25" t="s">
        <v>1340</v>
      </c>
      <c r="W25" t="s">
        <v>2560</v>
      </c>
      <c r="X25" t="s">
        <v>2561</v>
      </c>
      <c r="Y25" t="s">
        <v>1993</v>
      </c>
      <c r="AA25" t="s">
        <v>3993</v>
      </c>
      <c r="AB25" t="s">
        <v>3994</v>
      </c>
      <c r="AC25" t="s">
        <v>3994</v>
      </c>
      <c r="AD25" t="s">
        <v>1379</v>
      </c>
      <c r="AF25" t="s">
        <v>1916</v>
      </c>
      <c r="AH25" t="s">
        <v>1111</v>
      </c>
      <c r="AJ25" t="s">
        <v>1399</v>
      </c>
      <c r="AZ25" t="s">
        <v>1589</v>
      </c>
      <c r="BA25" t="s">
        <v>1401</v>
      </c>
      <c r="BB25" t="s">
        <v>1166</v>
      </c>
      <c r="BD25" t="s">
        <v>35</v>
      </c>
      <c r="BE25" t="s">
        <v>1374</v>
      </c>
      <c r="BK25" s="91" t="s">
        <v>4122</v>
      </c>
      <c r="BL25" s="91">
        <v>117</v>
      </c>
      <c r="BP25" t="s">
        <v>3437</v>
      </c>
      <c r="BQ25" t="s">
        <v>4357</v>
      </c>
    </row>
    <row r="26" spans="4:69" x14ac:dyDescent="0.35">
      <c r="D26" t="s">
        <v>1943</v>
      </c>
      <c r="E26" t="s">
        <v>1567</v>
      </c>
      <c r="F26" t="s">
        <v>1811</v>
      </c>
      <c r="L26" t="s">
        <v>2046</v>
      </c>
      <c r="M26" t="s">
        <v>1424</v>
      </c>
      <c r="N26" t="s">
        <v>1993</v>
      </c>
      <c r="P26" t="s">
        <v>2463</v>
      </c>
      <c r="Q26" t="s">
        <v>1337</v>
      </c>
      <c r="R26" t="s">
        <v>1337</v>
      </c>
      <c r="S26" t="s">
        <v>1811</v>
      </c>
      <c r="U26" t="s">
        <v>1341</v>
      </c>
      <c r="W26" t="s">
        <v>1932</v>
      </c>
      <c r="X26" t="s">
        <v>2578</v>
      </c>
      <c r="Y26" t="s">
        <v>1993</v>
      </c>
      <c r="AA26" t="s">
        <v>1915</v>
      </c>
      <c r="AB26" t="s">
        <v>1916</v>
      </c>
      <c r="AC26" t="s">
        <v>1916</v>
      </c>
      <c r="AD26" t="s">
        <v>1380</v>
      </c>
      <c r="AF26" t="s">
        <v>1862</v>
      </c>
      <c r="AH26" t="s">
        <v>1110</v>
      </c>
      <c r="AJ26" t="s">
        <v>1400</v>
      </c>
      <c r="AZ26" t="s">
        <v>1590</v>
      </c>
      <c r="BA26" t="s">
        <v>1401</v>
      </c>
      <c r="BB26" t="s">
        <v>1166</v>
      </c>
      <c r="BD26" t="s">
        <v>18</v>
      </c>
      <c r="BE26" t="s">
        <v>1375</v>
      </c>
      <c r="BK26" s="91" t="s">
        <v>4123</v>
      </c>
      <c r="BL26" s="91">
        <v>116</v>
      </c>
      <c r="BP26" t="s">
        <v>3438</v>
      </c>
      <c r="BQ26" t="s">
        <v>3439</v>
      </c>
    </row>
    <row r="27" spans="4:69" x14ac:dyDescent="0.35">
      <c r="D27" t="s">
        <v>1986</v>
      </c>
      <c r="E27" t="s">
        <v>1987</v>
      </c>
      <c r="F27" t="s">
        <v>1812</v>
      </c>
      <c r="L27" t="s">
        <v>3763</v>
      </c>
      <c r="M27" t="s">
        <v>3764</v>
      </c>
      <c r="N27" t="s">
        <v>1993</v>
      </c>
      <c r="P27" t="s">
        <v>4006</v>
      </c>
      <c r="Q27" t="s">
        <v>4007</v>
      </c>
      <c r="R27" t="s">
        <v>4007</v>
      </c>
      <c r="S27" t="s">
        <v>1993</v>
      </c>
      <c r="U27" t="s">
        <v>1283</v>
      </c>
      <c r="W27" t="s">
        <v>2562</v>
      </c>
      <c r="X27" t="s">
        <v>2563</v>
      </c>
      <c r="Y27" t="s">
        <v>1993</v>
      </c>
      <c r="AA27" t="s">
        <v>1861</v>
      </c>
      <c r="AB27" t="s">
        <v>1862</v>
      </c>
      <c r="AC27" t="s">
        <v>1862</v>
      </c>
      <c r="AD27" t="s">
        <v>1379</v>
      </c>
      <c r="AF27" t="s">
        <v>1351</v>
      </c>
      <c r="AH27" t="s">
        <v>1109</v>
      </c>
      <c r="AJ27" t="s">
        <v>1401</v>
      </c>
      <c r="AZ27" t="s">
        <v>1591</v>
      </c>
      <c r="BA27" t="s">
        <v>1401</v>
      </c>
      <c r="BB27" t="s">
        <v>1166</v>
      </c>
      <c r="BD27" t="s">
        <v>46</v>
      </c>
      <c r="BE27" t="s">
        <v>1374</v>
      </c>
      <c r="BK27" s="91" t="s">
        <v>4124</v>
      </c>
      <c r="BL27" s="91">
        <v>153</v>
      </c>
      <c r="BP27" t="s">
        <v>3440</v>
      </c>
      <c r="BQ27" t="s">
        <v>3441</v>
      </c>
    </row>
    <row r="28" spans="4:69" x14ac:dyDescent="0.35">
      <c r="D28" t="s">
        <v>1948</v>
      </c>
      <c r="E28" t="s">
        <v>1949</v>
      </c>
      <c r="F28" t="s">
        <v>1812</v>
      </c>
      <c r="L28" t="s">
        <v>3765</v>
      </c>
      <c r="M28" t="s">
        <v>3766</v>
      </c>
      <c r="N28" t="s">
        <v>1993</v>
      </c>
      <c r="P28" t="s">
        <v>4008</v>
      </c>
      <c r="Q28" t="s">
        <v>4009</v>
      </c>
      <c r="R28" t="s">
        <v>4009</v>
      </c>
      <c r="S28" t="s">
        <v>1993</v>
      </c>
      <c r="U28" t="s">
        <v>1284</v>
      </c>
      <c r="W28" t="s">
        <v>2564</v>
      </c>
      <c r="X28" t="s">
        <v>2565</v>
      </c>
      <c r="Y28" t="s">
        <v>1993</v>
      </c>
      <c r="AA28" t="s">
        <v>1882</v>
      </c>
      <c r="AB28" t="s">
        <v>1351</v>
      </c>
      <c r="AC28" t="s">
        <v>1351</v>
      </c>
      <c r="AD28" t="s">
        <v>1379</v>
      </c>
      <c r="AF28" t="s">
        <v>1356</v>
      </c>
      <c r="AH28" t="s">
        <v>3808</v>
      </c>
      <c r="AJ28" t="s">
        <v>1402</v>
      </c>
      <c r="AZ28" t="s">
        <v>3348</v>
      </c>
      <c r="BA28" t="s">
        <v>1389</v>
      </c>
      <c r="BB28" t="s">
        <v>1166</v>
      </c>
      <c r="BD28" t="s">
        <v>47</v>
      </c>
      <c r="BE28" t="s">
        <v>1374</v>
      </c>
      <c r="BK28" s="91" t="s">
        <v>4343</v>
      </c>
      <c r="BL28" s="91">
        <v>175</v>
      </c>
      <c r="BP28" t="s">
        <v>3442</v>
      </c>
      <c r="BQ28" t="s">
        <v>3443</v>
      </c>
    </row>
    <row r="29" spans="4:69" x14ac:dyDescent="0.35">
      <c r="D29" t="s">
        <v>1950</v>
      </c>
      <c r="E29" t="s">
        <v>1951</v>
      </c>
      <c r="F29" t="s">
        <v>1812</v>
      </c>
      <c r="L29" t="s">
        <v>2177</v>
      </c>
      <c r="M29" t="s">
        <v>3767</v>
      </c>
      <c r="N29" t="s">
        <v>1993</v>
      </c>
      <c r="P29" t="s">
        <v>2531</v>
      </c>
      <c r="Q29" t="s">
        <v>1338</v>
      </c>
      <c r="R29" t="s">
        <v>1338</v>
      </c>
      <c r="S29" t="s">
        <v>1993</v>
      </c>
      <c r="U29" t="s">
        <v>1285</v>
      </c>
      <c r="W29" t="s">
        <v>2566</v>
      </c>
      <c r="X29" t="s">
        <v>2567</v>
      </c>
      <c r="Y29" t="s">
        <v>1993</v>
      </c>
      <c r="AA29" t="s">
        <v>1823</v>
      </c>
      <c r="AB29" t="s">
        <v>3995</v>
      </c>
      <c r="AC29" t="s">
        <v>3995</v>
      </c>
      <c r="AD29" t="s">
        <v>1379</v>
      </c>
      <c r="AF29" t="s">
        <v>1909</v>
      </c>
      <c r="AH29" t="s">
        <v>1108</v>
      </c>
      <c r="AJ29" t="s">
        <v>1403</v>
      </c>
      <c r="AZ29" t="s">
        <v>3349</v>
      </c>
      <c r="BA29" t="s">
        <v>1386</v>
      </c>
      <c r="BB29" t="s">
        <v>1166</v>
      </c>
      <c r="BD29" t="s">
        <v>65</v>
      </c>
      <c r="BE29" t="s">
        <v>1375</v>
      </c>
      <c r="BK29" s="91" t="s">
        <v>4125</v>
      </c>
      <c r="BL29" s="91">
        <v>172</v>
      </c>
      <c r="BP29" t="s">
        <v>3444</v>
      </c>
      <c r="BQ29" t="s">
        <v>3445</v>
      </c>
    </row>
    <row r="30" spans="4:69" x14ac:dyDescent="0.35">
      <c r="D30" t="s">
        <v>1952</v>
      </c>
      <c r="E30" t="s">
        <v>1953</v>
      </c>
      <c r="F30" t="s">
        <v>1812</v>
      </c>
      <c r="L30" t="s">
        <v>2022</v>
      </c>
      <c r="M30" t="s">
        <v>2023</v>
      </c>
      <c r="N30" t="s">
        <v>1993</v>
      </c>
      <c r="P30" t="s">
        <v>2506</v>
      </c>
      <c r="Q30" t="s">
        <v>1365</v>
      </c>
      <c r="R30" t="s">
        <v>1339</v>
      </c>
      <c r="S30" t="s">
        <v>1993</v>
      </c>
      <c r="U30" t="s">
        <v>1342</v>
      </c>
      <c r="W30" t="s">
        <v>2584</v>
      </c>
      <c r="X30" t="s">
        <v>3990</v>
      </c>
      <c r="Y30" t="s">
        <v>1993</v>
      </c>
      <c r="AA30" t="s">
        <v>1885</v>
      </c>
      <c r="AB30" t="s">
        <v>1356</v>
      </c>
      <c r="AC30" t="s">
        <v>1356</v>
      </c>
      <c r="AD30" t="s">
        <v>1379</v>
      </c>
      <c r="AF30" t="s">
        <v>1889</v>
      </c>
      <c r="AH30" t="s">
        <v>1107</v>
      </c>
      <c r="AJ30" t="s">
        <v>1404</v>
      </c>
      <c r="AZ30" t="s">
        <v>3350</v>
      </c>
      <c r="BA30" t="s">
        <v>1391</v>
      </c>
      <c r="BB30" t="s">
        <v>1166</v>
      </c>
      <c r="BD30" t="s">
        <v>36</v>
      </c>
      <c r="BE30" t="s">
        <v>1374</v>
      </c>
      <c r="BK30" s="91" t="s">
        <v>4126</v>
      </c>
      <c r="BL30" s="91">
        <v>162</v>
      </c>
      <c r="BP30" t="s">
        <v>3446</v>
      </c>
      <c r="BQ30" t="s">
        <v>3447</v>
      </c>
    </row>
    <row r="31" spans="4:69" x14ac:dyDescent="0.35">
      <c r="D31" t="s">
        <v>1954</v>
      </c>
      <c r="E31" t="s">
        <v>1955</v>
      </c>
      <c r="F31" t="s">
        <v>1812</v>
      </c>
      <c r="L31" t="s">
        <v>2178</v>
      </c>
      <c r="M31" t="s">
        <v>1425</v>
      </c>
      <c r="N31" t="s">
        <v>1993</v>
      </c>
      <c r="P31" t="s">
        <v>2466</v>
      </c>
      <c r="Q31" t="s">
        <v>1339</v>
      </c>
      <c r="R31" t="s">
        <v>1339</v>
      </c>
      <c r="S31" t="s">
        <v>1811</v>
      </c>
      <c r="U31" t="s">
        <v>1091</v>
      </c>
      <c r="W31" t="s">
        <v>2544</v>
      </c>
      <c r="X31" t="s">
        <v>2545</v>
      </c>
      <c r="Y31" t="s">
        <v>1993</v>
      </c>
      <c r="AA31" t="s">
        <v>1852</v>
      </c>
      <c r="AB31" t="s">
        <v>3996</v>
      </c>
      <c r="AC31" t="s">
        <v>3996</v>
      </c>
      <c r="AD31" t="s">
        <v>1379</v>
      </c>
      <c r="AF31" t="s">
        <v>1867</v>
      </c>
      <c r="AH31" t="s">
        <v>3809</v>
      </c>
      <c r="AZ31" t="s">
        <v>3351</v>
      </c>
      <c r="BA31" t="s">
        <v>1391</v>
      </c>
      <c r="BB31" t="s">
        <v>1166</v>
      </c>
      <c r="BD31" t="s">
        <v>54</v>
      </c>
      <c r="BE31" t="s">
        <v>1374</v>
      </c>
      <c r="BK31" s="91" t="s">
        <v>4127</v>
      </c>
      <c r="BL31" s="91">
        <v>161</v>
      </c>
      <c r="BP31" t="s">
        <v>3448</v>
      </c>
      <c r="BQ31" t="s">
        <v>1550</v>
      </c>
    </row>
    <row r="32" spans="4:69" x14ac:dyDescent="0.35">
      <c r="D32" t="s">
        <v>1937</v>
      </c>
      <c r="E32" t="s">
        <v>1561</v>
      </c>
      <c r="F32" t="s">
        <v>1811</v>
      </c>
      <c r="L32" t="s">
        <v>2132</v>
      </c>
      <c r="M32" t="s">
        <v>1426</v>
      </c>
      <c r="N32" t="s">
        <v>1993</v>
      </c>
      <c r="P32" t="s">
        <v>2268</v>
      </c>
      <c r="Q32" t="s">
        <v>1578</v>
      </c>
      <c r="R32" t="s">
        <v>1339</v>
      </c>
      <c r="S32" t="s">
        <v>1811</v>
      </c>
      <c r="U32" t="s">
        <v>1343</v>
      </c>
      <c r="W32" t="s">
        <v>2546</v>
      </c>
      <c r="X32" t="s">
        <v>2547</v>
      </c>
      <c r="Y32" t="s">
        <v>1993</v>
      </c>
      <c r="AA32" t="s">
        <v>1908</v>
      </c>
      <c r="AB32" t="s">
        <v>1909</v>
      </c>
      <c r="AC32" t="s">
        <v>1909</v>
      </c>
      <c r="AD32" t="s">
        <v>1380</v>
      </c>
      <c r="AF32" t="s">
        <v>1840</v>
      </c>
      <c r="AH32" t="s">
        <v>1106</v>
      </c>
      <c r="AZ32" t="s">
        <v>3352</v>
      </c>
      <c r="BA32" t="s">
        <v>1391</v>
      </c>
      <c r="BB32" t="s">
        <v>1166</v>
      </c>
      <c r="BD32" t="s">
        <v>22</v>
      </c>
      <c r="BE32" t="s">
        <v>1374</v>
      </c>
      <c r="BK32" s="91" t="s">
        <v>4128</v>
      </c>
      <c r="BL32" s="91">
        <v>147</v>
      </c>
      <c r="BP32" t="s">
        <v>3449</v>
      </c>
      <c r="BQ32" t="s">
        <v>3450</v>
      </c>
    </row>
    <row r="33" spans="4:69" x14ac:dyDescent="0.35">
      <c r="D33" t="s">
        <v>1932</v>
      </c>
      <c r="E33" t="s">
        <v>1556</v>
      </c>
      <c r="F33" t="s">
        <v>1811</v>
      </c>
      <c r="L33" t="s">
        <v>2146</v>
      </c>
      <c r="M33" t="s">
        <v>1427</v>
      </c>
      <c r="N33" t="s">
        <v>1993</v>
      </c>
      <c r="P33" t="s">
        <v>4010</v>
      </c>
      <c r="Q33" t="s">
        <v>4011</v>
      </c>
      <c r="R33" t="s">
        <v>4011</v>
      </c>
      <c r="S33" t="s">
        <v>1993</v>
      </c>
      <c r="U33" t="s">
        <v>1344</v>
      </c>
      <c r="W33" t="s">
        <v>2576</v>
      </c>
      <c r="X33" t="s">
        <v>2577</v>
      </c>
      <c r="Y33" t="s">
        <v>1993</v>
      </c>
      <c r="AA33" t="s">
        <v>1888</v>
      </c>
      <c r="AB33" t="s">
        <v>3997</v>
      </c>
      <c r="AC33" t="s">
        <v>3997</v>
      </c>
      <c r="AD33" t="s">
        <v>1380</v>
      </c>
      <c r="AF33" t="s">
        <v>980</v>
      </c>
      <c r="AH33" t="s">
        <v>1105</v>
      </c>
      <c r="AZ33" t="s">
        <v>3353</v>
      </c>
      <c r="BA33" t="s">
        <v>1391</v>
      </c>
      <c r="BB33" t="s">
        <v>1166</v>
      </c>
      <c r="BD33" t="s">
        <v>24</v>
      </c>
      <c r="BE33" t="s">
        <v>1374</v>
      </c>
      <c r="BK33" s="91" t="s">
        <v>4129</v>
      </c>
      <c r="BL33" s="91">
        <v>152</v>
      </c>
      <c r="BP33" t="s">
        <v>3451</v>
      </c>
      <c r="BQ33" t="s">
        <v>3452</v>
      </c>
    </row>
    <row r="34" spans="4:69" x14ac:dyDescent="0.35">
      <c r="D34" t="s">
        <v>1936</v>
      </c>
      <c r="E34" t="s">
        <v>1560</v>
      </c>
      <c r="F34" t="s">
        <v>1811</v>
      </c>
      <c r="L34" t="s">
        <v>2019</v>
      </c>
      <c r="M34" t="s">
        <v>1428</v>
      </c>
      <c r="N34" t="s">
        <v>1993</v>
      </c>
      <c r="P34" t="s">
        <v>2491</v>
      </c>
      <c r="Q34" t="s">
        <v>1282</v>
      </c>
      <c r="R34" t="s">
        <v>1282</v>
      </c>
      <c r="S34" t="s">
        <v>1811</v>
      </c>
      <c r="U34" t="s">
        <v>1286</v>
      </c>
      <c r="W34" t="s">
        <v>2579</v>
      </c>
      <c r="X34" t="s">
        <v>2580</v>
      </c>
      <c r="Y34" t="s">
        <v>1993</v>
      </c>
      <c r="AA34" t="s">
        <v>1866</v>
      </c>
      <c r="AB34" t="s">
        <v>1867</v>
      </c>
      <c r="AC34" t="s">
        <v>1867</v>
      </c>
      <c r="AD34" t="s">
        <v>1379</v>
      </c>
      <c r="AF34" t="s">
        <v>1828</v>
      </c>
      <c r="AH34" t="s">
        <v>3810</v>
      </c>
      <c r="AZ34" t="s">
        <v>4174</v>
      </c>
      <c r="BA34" t="s">
        <v>1401</v>
      </c>
      <c r="BB34" t="s">
        <v>1166</v>
      </c>
      <c r="BD34" t="s">
        <v>44</v>
      </c>
      <c r="BE34" t="s">
        <v>1374</v>
      </c>
      <c r="BK34" s="91" t="s">
        <v>4130</v>
      </c>
      <c r="BL34" s="91">
        <v>148</v>
      </c>
      <c r="BP34" t="s">
        <v>3453</v>
      </c>
      <c r="BQ34" t="s">
        <v>3454</v>
      </c>
    </row>
    <row r="35" spans="4:69" x14ac:dyDescent="0.35">
      <c r="D35" t="s">
        <v>1933</v>
      </c>
      <c r="E35" t="s">
        <v>1557</v>
      </c>
      <c r="F35" t="s">
        <v>1811</v>
      </c>
      <c r="L35" t="s">
        <v>2119</v>
      </c>
      <c r="M35" t="s">
        <v>1329</v>
      </c>
      <c r="N35" t="s">
        <v>1993</v>
      </c>
      <c r="P35" t="s">
        <v>2504</v>
      </c>
      <c r="Q35" t="s">
        <v>1340</v>
      </c>
      <c r="R35" t="s">
        <v>1340</v>
      </c>
      <c r="S35" t="s">
        <v>1993</v>
      </c>
      <c r="U35" t="s">
        <v>2385</v>
      </c>
      <c r="W35" t="s">
        <v>2556</v>
      </c>
      <c r="X35" t="s">
        <v>2557</v>
      </c>
      <c r="Y35" t="s">
        <v>1993</v>
      </c>
      <c r="AA35" t="s">
        <v>1839</v>
      </c>
      <c r="AB35" t="s">
        <v>1840</v>
      </c>
      <c r="AC35" t="s">
        <v>1840</v>
      </c>
      <c r="AD35" t="s">
        <v>1379</v>
      </c>
      <c r="AF35" t="s">
        <v>1836</v>
      </c>
      <c r="AH35" t="s">
        <v>1104</v>
      </c>
      <c r="AZ35" t="s">
        <v>1592</v>
      </c>
      <c r="BA35" t="s">
        <v>1401</v>
      </c>
      <c r="BB35" t="s">
        <v>1166</v>
      </c>
      <c r="BD35" t="s">
        <v>48</v>
      </c>
      <c r="BE35" t="s">
        <v>1374</v>
      </c>
      <c r="BK35" s="91" t="s">
        <v>4131</v>
      </c>
      <c r="BL35" s="91">
        <v>149</v>
      </c>
      <c r="BP35" t="s">
        <v>3455</v>
      </c>
      <c r="BQ35" t="s">
        <v>3456</v>
      </c>
    </row>
    <row r="36" spans="4:69" x14ac:dyDescent="0.35">
      <c r="D36" t="s">
        <v>1938</v>
      </c>
      <c r="E36" t="s">
        <v>1562</v>
      </c>
      <c r="F36" t="s">
        <v>1811</v>
      </c>
      <c r="L36" t="s">
        <v>2153</v>
      </c>
      <c r="M36" t="s">
        <v>2154</v>
      </c>
      <c r="N36" t="s">
        <v>1993</v>
      </c>
      <c r="P36" t="s">
        <v>2472</v>
      </c>
      <c r="Q36" t="s">
        <v>1283</v>
      </c>
      <c r="R36" t="s">
        <v>1283</v>
      </c>
      <c r="S36" t="s">
        <v>1811</v>
      </c>
      <c r="U36" t="s">
        <v>1345</v>
      </c>
      <c r="W36" t="s">
        <v>2542</v>
      </c>
      <c r="X36" t="s">
        <v>2543</v>
      </c>
      <c r="Y36" t="s">
        <v>1993</v>
      </c>
      <c r="AA36" t="s">
        <v>1874</v>
      </c>
      <c r="AB36" t="s">
        <v>980</v>
      </c>
      <c r="AC36" t="s">
        <v>980</v>
      </c>
      <c r="AD36" t="s">
        <v>1379</v>
      </c>
      <c r="AF36" t="s">
        <v>1832</v>
      </c>
      <c r="AH36" t="s">
        <v>1103</v>
      </c>
      <c r="AZ36" t="s">
        <v>1593</v>
      </c>
      <c r="BA36" t="s">
        <v>1401</v>
      </c>
      <c r="BB36" t="s">
        <v>1166</v>
      </c>
      <c r="BD36" t="s">
        <v>26</v>
      </c>
      <c r="BE36" t="s">
        <v>1374</v>
      </c>
      <c r="BK36" s="91" t="s">
        <v>4132</v>
      </c>
      <c r="BL36" s="91">
        <v>150</v>
      </c>
      <c r="BP36" t="s">
        <v>3457</v>
      </c>
      <c r="BQ36" t="s">
        <v>3458</v>
      </c>
    </row>
    <row r="37" spans="4:69" x14ac:dyDescent="0.35">
      <c r="D37" t="s">
        <v>1934</v>
      </c>
      <c r="E37" t="s">
        <v>1558</v>
      </c>
      <c r="F37" t="s">
        <v>1811</v>
      </c>
      <c r="L37" t="s">
        <v>2127</v>
      </c>
      <c r="M37" t="s">
        <v>1429</v>
      </c>
      <c r="N37" t="s">
        <v>1993</v>
      </c>
      <c r="P37" t="s">
        <v>2341</v>
      </c>
      <c r="Q37" t="s">
        <v>2342</v>
      </c>
      <c r="R37" t="s">
        <v>1284</v>
      </c>
      <c r="S37" t="s">
        <v>1811</v>
      </c>
      <c r="U37" t="s">
        <v>1346</v>
      </c>
      <c r="W37" t="s">
        <v>2552</v>
      </c>
      <c r="X37" t="s">
        <v>2553</v>
      </c>
      <c r="Y37" t="s">
        <v>1993</v>
      </c>
      <c r="AA37" t="s">
        <v>1886</v>
      </c>
      <c r="AB37" t="s">
        <v>3998</v>
      </c>
      <c r="AC37" t="s">
        <v>3998</v>
      </c>
      <c r="AD37" t="s">
        <v>1380</v>
      </c>
      <c r="AF37" t="s">
        <v>1292</v>
      </c>
      <c r="AH37" t="s">
        <v>2619</v>
      </c>
      <c r="AZ37" t="s">
        <v>4175</v>
      </c>
      <c r="BA37" t="s">
        <v>1401</v>
      </c>
      <c r="BB37" t="s">
        <v>1166</v>
      </c>
      <c r="BD37" t="s">
        <v>68</v>
      </c>
      <c r="BE37" t="s">
        <v>1375</v>
      </c>
      <c r="BK37" s="91" t="s">
        <v>4133</v>
      </c>
      <c r="BL37" s="91">
        <v>154</v>
      </c>
      <c r="BP37" t="s">
        <v>3459</v>
      </c>
      <c r="BQ37" t="s">
        <v>29</v>
      </c>
    </row>
    <row r="38" spans="4:69" x14ac:dyDescent="0.35">
      <c r="D38" t="s">
        <v>1939</v>
      </c>
      <c r="E38" t="s">
        <v>1563</v>
      </c>
      <c r="F38" t="s">
        <v>1811</v>
      </c>
      <c r="L38" t="s">
        <v>2017</v>
      </c>
      <c r="M38" t="s">
        <v>1430</v>
      </c>
      <c r="N38" t="s">
        <v>1993</v>
      </c>
      <c r="P38" t="s">
        <v>2343</v>
      </c>
      <c r="Q38" t="s">
        <v>2344</v>
      </c>
      <c r="R38" t="s">
        <v>1284</v>
      </c>
      <c r="S38" t="s">
        <v>1811</v>
      </c>
      <c r="U38" t="s">
        <v>1347</v>
      </c>
      <c r="W38" t="s">
        <v>2554</v>
      </c>
      <c r="X38" t="s">
        <v>2555</v>
      </c>
      <c r="Y38" t="s">
        <v>1993</v>
      </c>
      <c r="AA38" t="s">
        <v>1835</v>
      </c>
      <c r="AB38" t="s">
        <v>1836</v>
      </c>
      <c r="AC38" t="s">
        <v>1836</v>
      </c>
      <c r="AD38" t="s">
        <v>1379</v>
      </c>
      <c r="AF38" t="s">
        <v>1486</v>
      </c>
      <c r="AH38" t="s">
        <v>2620</v>
      </c>
      <c r="AZ38" t="s">
        <v>1594</v>
      </c>
      <c r="BA38" t="s">
        <v>1401</v>
      </c>
      <c r="BB38" t="s">
        <v>1166</v>
      </c>
      <c r="BD38" t="s">
        <v>52</v>
      </c>
      <c r="BE38" t="s">
        <v>1374</v>
      </c>
      <c r="BK38" s="91" t="s">
        <v>4134</v>
      </c>
      <c r="BL38" s="91">
        <v>151</v>
      </c>
      <c r="BP38" t="s">
        <v>3460</v>
      </c>
      <c r="BQ38" t="s">
        <v>3461</v>
      </c>
    </row>
    <row r="39" spans="4:69" x14ac:dyDescent="0.35">
      <c r="D39" t="s">
        <v>1935</v>
      </c>
      <c r="E39" t="s">
        <v>1559</v>
      </c>
      <c r="F39" t="s">
        <v>1811</v>
      </c>
      <c r="L39" t="s">
        <v>2082</v>
      </c>
      <c r="M39" t="s">
        <v>1431</v>
      </c>
      <c r="N39" t="s">
        <v>1993</v>
      </c>
      <c r="P39" t="s">
        <v>2347</v>
      </c>
      <c r="Q39" t="s">
        <v>2348</v>
      </c>
      <c r="R39" t="s">
        <v>1284</v>
      </c>
      <c r="S39" t="s">
        <v>1811</v>
      </c>
      <c r="U39" t="s">
        <v>2406</v>
      </c>
      <c r="W39" t="s">
        <v>2568</v>
      </c>
      <c r="X39" t="s">
        <v>2569</v>
      </c>
      <c r="Y39" t="s">
        <v>1993</v>
      </c>
      <c r="AA39" t="s">
        <v>1831</v>
      </c>
      <c r="AB39" t="s">
        <v>1832</v>
      </c>
      <c r="AC39" t="s">
        <v>1832</v>
      </c>
      <c r="AD39" t="s">
        <v>1379</v>
      </c>
      <c r="AF39" t="s">
        <v>1887</v>
      </c>
      <c r="AH39" t="s">
        <v>1102</v>
      </c>
      <c r="AZ39" t="s">
        <v>1595</v>
      </c>
      <c r="BA39" t="s">
        <v>1401</v>
      </c>
      <c r="BB39" t="s">
        <v>1166</v>
      </c>
      <c r="BD39" t="s">
        <v>29</v>
      </c>
      <c r="BE39" t="s">
        <v>1374</v>
      </c>
      <c r="BK39" s="91" t="s">
        <v>4344</v>
      </c>
      <c r="BL39" s="91">
        <v>177</v>
      </c>
      <c r="BP39" t="s">
        <v>3462</v>
      </c>
      <c r="BQ39" t="s">
        <v>45</v>
      </c>
    </row>
    <row r="40" spans="4:69" x14ac:dyDescent="0.35">
      <c r="L40" t="s">
        <v>2120</v>
      </c>
      <c r="M40" t="s">
        <v>1432</v>
      </c>
      <c r="N40" t="s">
        <v>1993</v>
      </c>
      <c r="P40" t="s">
        <v>2300</v>
      </c>
      <c r="Q40" t="s">
        <v>2301</v>
      </c>
      <c r="R40" t="s">
        <v>1284</v>
      </c>
      <c r="S40" t="s">
        <v>1993</v>
      </c>
      <c r="U40" t="s">
        <v>1348</v>
      </c>
      <c r="W40" t="s">
        <v>2558</v>
      </c>
      <c r="X40" t="s">
        <v>2559</v>
      </c>
      <c r="Y40" t="s">
        <v>1993</v>
      </c>
      <c r="AA40" t="s">
        <v>1891</v>
      </c>
      <c r="AB40" t="s">
        <v>1292</v>
      </c>
      <c r="AC40" t="s">
        <v>1292</v>
      </c>
      <c r="AD40" t="s">
        <v>1380</v>
      </c>
      <c r="AF40" t="s">
        <v>1842</v>
      </c>
      <c r="AH40" t="s">
        <v>2621</v>
      </c>
      <c r="AZ40" t="s">
        <v>4176</v>
      </c>
      <c r="BA40" t="s">
        <v>1401</v>
      </c>
      <c r="BB40" t="s">
        <v>1166</v>
      </c>
      <c r="BD40" t="s">
        <v>45</v>
      </c>
      <c r="BE40" t="s">
        <v>1374</v>
      </c>
      <c r="BK40" s="91" t="s">
        <v>4135</v>
      </c>
      <c r="BL40" s="91">
        <v>145</v>
      </c>
      <c r="BP40" t="s">
        <v>3463</v>
      </c>
      <c r="BQ40" t="s">
        <v>3464</v>
      </c>
    </row>
    <row r="41" spans="4:69" x14ac:dyDescent="0.35">
      <c r="L41" t="s">
        <v>2047</v>
      </c>
      <c r="M41" t="s">
        <v>1433</v>
      </c>
      <c r="N41" t="s">
        <v>1993</v>
      </c>
      <c r="P41" t="s">
        <v>2302</v>
      </c>
      <c r="Q41" t="s">
        <v>2303</v>
      </c>
      <c r="R41" t="s">
        <v>1284</v>
      </c>
      <c r="S41" t="s">
        <v>1993</v>
      </c>
      <c r="U41" t="s">
        <v>2408</v>
      </c>
      <c r="W41" t="s">
        <v>2550</v>
      </c>
      <c r="X41" t="s">
        <v>2551</v>
      </c>
      <c r="Y41" t="s">
        <v>1993</v>
      </c>
      <c r="AA41" t="s">
        <v>1863</v>
      </c>
      <c r="AB41" t="s">
        <v>1486</v>
      </c>
      <c r="AC41" t="s">
        <v>1486</v>
      </c>
      <c r="AD41" t="s">
        <v>1379</v>
      </c>
      <c r="AF41" t="s">
        <v>1847</v>
      </c>
      <c r="AH41" t="s">
        <v>1101</v>
      </c>
      <c r="AZ41" t="s">
        <v>1596</v>
      </c>
      <c r="BA41" t="s">
        <v>1401</v>
      </c>
      <c r="BB41" t="s">
        <v>1166</v>
      </c>
      <c r="BD41" t="s">
        <v>53</v>
      </c>
      <c r="BE41" t="s">
        <v>1374</v>
      </c>
      <c r="BK41" s="91" t="s">
        <v>4136</v>
      </c>
      <c r="BL41" s="91">
        <v>139</v>
      </c>
      <c r="BP41" t="s">
        <v>3465</v>
      </c>
      <c r="BQ41" t="s">
        <v>1899</v>
      </c>
    </row>
    <row r="42" spans="4:69" x14ac:dyDescent="0.35">
      <c r="L42" t="s">
        <v>2136</v>
      </c>
      <c r="M42" t="s">
        <v>1434</v>
      </c>
      <c r="N42" t="s">
        <v>1993</v>
      </c>
      <c r="P42" t="s">
        <v>2304</v>
      </c>
      <c r="Q42" t="s">
        <v>2305</v>
      </c>
      <c r="R42" t="s">
        <v>1284</v>
      </c>
      <c r="S42" t="s">
        <v>1993</v>
      </c>
      <c r="U42" t="s">
        <v>2410</v>
      </c>
      <c r="W42" t="s">
        <v>2574</v>
      </c>
      <c r="X42" t="s">
        <v>2575</v>
      </c>
      <c r="Y42" t="s">
        <v>1993</v>
      </c>
      <c r="AA42" t="s">
        <v>1841</v>
      </c>
      <c r="AB42" t="s">
        <v>1842</v>
      </c>
      <c r="AC42" t="s">
        <v>1842</v>
      </c>
      <c r="AD42" t="s">
        <v>1379</v>
      </c>
      <c r="AF42" t="s">
        <v>1849</v>
      </c>
      <c r="AH42" t="s">
        <v>1100</v>
      </c>
      <c r="AZ42" t="s">
        <v>1597</v>
      </c>
      <c r="BA42" t="s">
        <v>1401</v>
      </c>
      <c r="BB42" t="s">
        <v>1166</v>
      </c>
      <c r="BK42" s="91" t="s">
        <v>4137</v>
      </c>
      <c r="BL42" s="91">
        <v>140</v>
      </c>
      <c r="BP42" t="s">
        <v>3466</v>
      </c>
      <c r="BQ42" t="s">
        <v>3467</v>
      </c>
    </row>
    <row r="43" spans="4:69" x14ac:dyDescent="0.35">
      <c r="L43" t="s">
        <v>2144</v>
      </c>
      <c r="M43" t="s">
        <v>1285</v>
      </c>
      <c r="N43" t="s">
        <v>1993</v>
      </c>
      <c r="P43" t="s">
        <v>2306</v>
      </c>
      <c r="Q43" t="s">
        <v>2307</v>
      </c>
      <c r="R43" t="s">
        <v>1284</v>
      </c>
      <c r="S43" t="s">
        <v>1993</v>
      </c>
      <c r="U43" t="s">
        <v>2412</v>
      </c>
      <c r="AA43" t="s">
        <v>1864</v>
      </c>
      <c r="AB43" t="s">
        <v>1865</v>
      </c>
      <c r="AC43" t="s">
        <v>1865</v>
      </c>
      <c r="AD43" t="s">
        <v>1379</v>
      </c>
      <c r="AF43" t="s">
        <v>1865</v>
      </c>
      <c r="AH43" t="s">
        <v>1099</v>
      </c>
      <c r="AZ43" t="s">
        <v>4177</v>
      </c>
      <c r="BA43" t="s">
        <v>1401</v>
      </c>
      <c r="BB43" t="s">
        <v>1166</v>
      </c>
      <c r="BK43" s="91" t="s">
        <v>4138</v>
      </c>
      <c r="BL43" s="91">
        <v>142</v>
      </c>
      <c r="BP43" t="s">
        <v>3468</v>
      </c>
      <c r="BQ43" t="s">
        <v>3469</v>
      </c>
    </row>
    <row r="44" spans="4:69" x14ac:dyDescent="0.35">
      <c r="L44" t="s">
        <v>2056</v>
      </c>
      <c r="M44" t="s">
        <v>1435</v>
      </c>
      <c r="N44" t="s">
        <v>1993</v>
      </c>
      <c r="P44" t="s">
        <v>2308</v>
      </c>
      <c r="Q44" t="s">
        <v>2309</v>
      </c>
      <c r="R44" t="s">
        <v>1284</v>
      </c>
      <c r="S44" t="s">
        <v>1993</v>
      </c>
      <c r="U44" t="s">
        <v>2402</v>
      </c>
      <c r="AA44" t="s">
        <v>1879</v>
      </c>
      <c r="AB44" t="s">
        <v>1880</v>
      </c>
      <c r="AC44" t="s">
        <v>1880</v>
      </c>
      <c r="AD44" t="s">
        <v>1379</v>
      </c>
      <c r="AF44" t="s">
        <v>1880</v>
      </c>
      <c r="AH44" t="s">
        <v>2622</v>
      </c>
      <c r="AZ44" t="s">
        <v>1598</v>
      </c>
      <c r="BA44" t="s">
        <v>1401</v>
      </c>
      <c r="BB44" t="s">
        <v>1166</v>
      </c>
      <c r="BK44" s="91" t="s">
        <v>4139</v>
      </c>
      <c r="BL44" s="91">
        <v>143</v>
      </c>
      <c r="BP44" t="s">
        <v>3470</v>
      </c>
      <c r="BQ44" t="s">
        <v>3471</v>
      </c>
    </row>
    <row r="45" spans="4:69" x14ac:dyDescent="0.35">
      <c r="L45" t="s">
        <v>3768</v>
      </c>
      <c r="M45" t="s">
        <v>3769</v>
      </c>
      <c r="N45" t="s">
        <v>1993</v>
      </c>
      <c r="P45" t="s">
        <v>2310</v>
      </c>
      <c r="Q45" t="s">
        <v>2311</v>
      </c>
      <c r="R45" t="s">
        <v>1284</v>
      </c>
      <c r="S45" t="s">
        <v>1993</v>
      </c>
      <c r="U45" t="s">
        <v>2404</v>
      </c>
      <c r="AA45" t="s">
        <v>1881</v>
      </c>
      <c r="AB45" t="s">
        <v>1294</v>
      </c>
      <c r="AC45" t="s">
        <v>1294</v>
      </c>
      <c r="AD45" t="s">
        <v>1379</v>
      </c>
      <c r="AF45" t="s">
        <v>1294</v>
      </c>
      <c r="AH45" t="s">
        <v>1098</v>
      </c>
      <c r="AZ45" t="s">
        <v>1599</v>
      </c>
      <c r="BA45" t="s">
        <v>1401</v>
      </c>
      <c r="BB45" t="s">
        <v>1166</v>
      </c>
      <c r="BK45" s="91" t="s">
        <v>4140</v>
      </c>
      <c r="BL45" s="91">
        <v>146</v>
      </c>
      <c r="BP45" t="s">
        <v>3472</v>
      </c>
      <c r="BQ45" t="s">
        <v>3473</v>
      </c>
    </row>
    <row r="46" spans="4:69" x14ac:dyDescent="0.35">
      <c r="L46" t="s">
        <v>2192</v>
      </c>
      <c r="M46" t="s">
        <v>3770</v>
      </c>
      <c r="N46" t="s">
        <v>1993</v>
      </c>
      <c r="P46" t="s">
        <v>2312</v>
      </c>
      <c r="Q46" t="s">
        <v>2313</v>
      </c>
      <c r="R46" t="s">
        <v>1284</v>
      </c>
      <c r="S46" t="s">
        <v>1993</v>
      </c>
      <c r="U46" t="s">
        <v>2414</v>
      </c>
      <c r="AA46" t="s">
        <v>1910</v>
      </c>
      <c r="AB46" t="s">
        <v>1364</v>
      </c>
      <c r="AC46" t="s">
        <v>1364</v>
      </c>
      <c r="AD46" t="s">
        <v>1380</v>
      </c>
      <c r="AF46" t="s">
        <v>1364</v>
      </c>
      <c r="AH46" t="s">
        <v>2623</v>
      </c>
      <c r="AZ46" t="s">
        <v>1600</v>
      </c>
      <c r="BA46" t="s">
        <v>1401</v>
      </c>
      <c r="BB46" t="s">
        <v>1166</v>
      </c>
      <c r="BK46" s="91" t="s">
        <v>4141</v>
      </c>
      <c r="BL46" s="91">
        <v>141</v>
      </c>
      <c r="BP46" t="s">
        <v>3474</v>
      </c>
      <c r="BQ46" t="s">
        <v>3475</v>
      </c>
    </row>
    <row r="47" spans="4:69" x14ac:dyDescent="0.35">
      <c r="L47" t="s">
        <v>2115</v>
      </c>
      <c r="M47" t="s">
        <v>1436</v>
      </c>
      <c r="N47" t="s">
        <v>1993</v>
      </c>
      <c r="P47" t="s">
        <v>2314</v>
      </c>
      <c r="Q47" t="s">
        <v>2315</v>
      </c>
      <c r="R47" t="s">
        <v>1284</v>
      </c>
      <c r="S47" t="s">
        <v>1993</v>
      </c>
      <c r="U47" t="s">
        <v>2458</v>
      </c>
      <c r="AA47" t="s">
        <v>1846</v>
      </c>
      <c r="AB47" t="s">
        <v>3999</v>
      </c>
      <c r="AC47" t="s">
        <v>3999</v>
      </c>
      <c r="AD47" t="s">
        <v>1379</v>
      </c>
      <c r="AF47" t="s">
        <v>1930</v>
      </c>
      <c r="AH47" t="s">
        <v>1097</v>
      </c>
      <c r="AZ47" t="s">
        <v>1601</v>
      </c>
      <c r="BA47" t="s">
        <v>1402</v>
      </c>
      <c r="BB47" t="s">
        <v>1166</v>
      </c>
      <c r="BK47" s="91" t="s">
        <v>4142</v>
      </c>
      <c r="BL47" s="91">
        <v>144</v>
      </c>
      <c r="BP47" t="s">
        <v>3476</v>
      </c>
      <c r="BQ47" t="s">
        <v>4358</v>
      </c>
    </row>
    <row r="48" spans="4:69" x14ac:dyDescent="0.35">
      <c r="L48" t="s">
        <v>2134</v>
      </c>
      <c r="M48" t="s">
        <v>1437</v>
      </c>
      <c r="N48" t="s">
        <v>1993</v>
      </c>
      <c r="P48" t="s">
        <v>2316</v>
      </c>
      <c r="Q48" t="s">
        <v>2317</v>
      </c>
      <c r="R48" t="s">
        <v>1284</v>
      </c>
      <c r="S48" t="s">
        <v>1993</v>
      </c>
      <c r="U48" t="s">
        <v>1349</v>
      </c>
      <c r="AA48" t="s">
        <v>1848</v>
      </c>
      <c r="AB48" t="s">
        <v>4000</v>
      </c>
      <c r="AC48" t="s">
        <v>4000</v>
      </c>
      <c r="AD48" t="s">
        <v>1379</v>
      </c>
      <c r="AF48" t="s">
        <v>1395</v>
      </c>
      <c r="AH48" t="s">
        <v>1096</v>
      </c>
      <c r="AZ48" t="s">
        <v>1602</v>
      </c>
      <c r="BA48" t="s">
        <v>1285</v>
      </c>
      <c r="BB48" t="s">
        <v>1166</v>
      </c>
      <c r="BK48" s="91" t="s">
        <v>4143</v>
      </c>
      <c r="BL48" s="91">
        <v>159</v>
      </c>
      <c r="BP48" t="s">
        <v>3477</v>
      </c>
      <c r="BQ48" t="s">
        <v>4359</v>
      </c>
    </row>
    <row r="49" spans="12:69" x14ac:dyDescent="0.35">
      <c r="L49" t="s">
        <v>2042</v>
      </c>
      <c r="M49" t="s">
        <v>1438</v>
      </c>
      <c r="N49" t="s">
        <v>1993</v>
      </c>
      <c r="P49" t="s">
        <v>2318</v>
      </c>
      <c r="Q49" t="s">
        <v>2319</v>
      </c>
      <c r="R49" t="s">
        <v>1284</v>
      </c>
      <c r="S49" t="s">
        <v>1993</v>
      </c>
      <c r="U49" t="s">
        <v>1287</v>
      </c>
      <c r="AA49" t="s">
        <v>1929</v>
      </c>
      <c r="AB49" t="s">
        <v>1930</v>
      </c>
      <c r="AC49" t="s">
        <v>1930</v>
      </c>
      <c r="AD49" t="s">
        <v>1380</v>
      </c>
      <c r="AF49" t="s">
        <v>1893</v>
      </c>
      <c r="AH49" t="s">
        <v>2624</v>
      </c>
      <c r="AZ49" t="s">
        <v>1603</v>
      </c>
      <c r="BA49" t="s">
        <v>1402</v>
      </c>
      <c r="BB49" t="s">
        <v>1166</v>
      </c>
      <c r="BK49" s="91" t="s">
        <v>4144</v>
      </c>
      <c r="BL49" s="91">
        <v>103</v>
      </c>
      <c r="BP49" t="s">
        <v>3478</v>
      </c>
      <c r="BQ49" t="s">
        <v>4360</v>
      </c>
    </row>
    <row r="50" spans="12:69" x14ac:dyDescent="0.35">
      <c r="L50" t="s">
        <v>2008</v>
      </c>
      <c r="M50" t="s">
        <v>1439</v>
      </c>
      <c r="N50" t="s">
        <v>1993</v>
      </c>
      <c r="P50" t="s">
        <v>2525</v>
      </c>
      <c r="Q50" t="s">
        <v>1285</v>
      </c>
      <c r="R50" t="s">
        <v>1285</v>
      </c>
      <c r="S50" t="s">
        <v>1993</v>
      </c>
      <c r="U50" t="s">
        <v>1350</v>
      </c>
      <c r="AA50" t="s">
        <v>1896</v>
      </c>
      <c r="AB50" t="s">
        <v>1395</v>
      </c>
      <c r="AC50" t="s">
        <v>1395</v>
      </c>
      <c r="AD50" t="s">
        <v>1380</v>
      </c>
      <c r="AF50" t="s">
        <v>1895</v>
      </c>
      <c r="AH50" t="s">
        <v>1095</v>
      </c>
      <c r="AZ50" t="s">
        <v>4178</v>
      </c>
      <c r="BA50" t="s">
        <v>1401</v>
      </c>
      <c r="BB50" t="s">
        <v>1166</v>
      </c>
      <c r="BK50" s="91" t="s">
        <v>4345</v>
      </c>
      <c r="BL50" s="91">
        <v>176</v>
      </c>
      <c r="BP50" t="s">
        <v>3479</v>
      </c>
      <c r="BQ50" t="s">
        <v>4361</v>
      </c>
    </row>
    <row r="51" spans="12:69" x14ac:dyDescent="0.35">
      <c r="L51" t="s">
        <v>2156</v>
      </c>
      <c r="M51" t="s">
        <v>1440</v>
      </c>
      <c r="N51" t="s">
        <v>1993</v>
      </c>
      <c r="P51" t="s">
        <v>2514</v>
      </c>
      <c r="Q51" t="s">
        <v>1342</v>
      </c>
      <c r="R51" t="s">
        <v>1342</v>
      </c>
      <c r="S51" t="s">
        <v>1993</v>
      </c>
      <c r="U51" t="s">
        <v>1288</v>
      </c>
      <c r="AA51" t="s">
        <v>1892</v>
      </c>
      <c r="AB51" t="s">
        <v>1893</v>
      </c>
      <c r="AC51" t="s">
        <v>1893</v>
      </c>
      <c r="AD51" t="s">
        <v>1380</v>
      </c>
      <c r="AF51" t="s">
        <v>1871</v>
      </c>
      <c r="AH51" t="s">
        <v>3811</v>
      </c>
      <c r="AZ51" t="s">
        <v>1604</v>
      </c>
      <c r="BA51" t="s">
        <v>1401</v>
      </c>
      <c r="BB51" t="s">
        <v>1166</v>
      </c>
      <c r="BK51" s="91" t="s">
        <v>4145</v>
      </c>
      <c r="BL51" s="91">
        <v>174</v>
      </c>
      <c r="BP51" t="s">
        <v>3480</v>
      </c>
      <c r="BQ51" t="s">
        <v>4362</v>
      </c>
    </row>
    <row r="52" spans="12:69" x14ac:dyDescent="0.35">
      <c r="L52" t="s">
        <v>1992</v>
      </c>
      <c r="M52" t="s">
        <v>1091</v>
      </c>
      <c r="N52" t="s">
        <v>1993</v>
      </c>
      <c r="P52" t="s">
        <v>4012</v>
      </c>
      <c r="Q52" t="s">
        <v>4013</v>
      </c>
      <c r="R52" t="s">
        <v>4013</v>
      </c>
      <c r="S52" t="s">
        <v>1993</v>
      </c>
      <c r="U52" t="s">
        <v>1351</v>
      </c>
      <c r="AA52" t="s">
        <v>1894</v>
      </c>
      <c r="AB52" t="s">
        <v>1895</v>
      </c>
      <c r="AC52" t="s">
        <v>1895</v>
      </c>
      <c r="AD52" t="s">
        <v>1379</v>
      </c>
      <c r="AF52" t="s">
        <v>1878</v>
      </c>
      <c r="AH52" t="s">
        <v>2625</v>
      </c>
      <c r="AZ52" t="s">
        <v>1605</v>
      </c>
      <c r="BA52" t="s">
        <v>1401</v>
      </c>
      <c r="BB52" t="s">
        <v>1166</v>
      </c>
      <c r="BK52" s="91" t="s">
        <v>4146</v>
      </c>
      <c r="BL52" s="91">
        <v>173</v>
      </c>
      <c r="BP52" t="s">
        <v>3481</v>
      </c>
      <c r="BQ52" t="s">
        <v>4363</v>
      </c>
    </row>
    <row r="53" spans="12:69" x14ac:dyDescent="0.35">
      <c r="L53" t="s">
        <v>2133</v>
      </c>
      <c r="M53" t="s">
        <v>1441</v>
      </c>
      <c r="N53" t="s">
        <v>1993</v>
      </c>
      <c r="P53" t="s">
        <v>4014</v>
      </c>
      <c r="Q53" t="s">
        <v>4015</v>
      </c>
      <c r="R53" t="s">
        <v>4015</v>
      </c>
      <c r="S53" t="s">
        <v>1993</v>
      </c>
      <c r="U53" t="s">
        <v>1352</v>
      </c>
      <c r="AA53" t="s">
        <v>1870</v>
      </c>
      <c r="AB53" t="s">
        <v>1871</v>
      </c>
      <c r="AC53" t="s">
        <v>1871</v>
      </c>
      <c r="AD53" t="s">
        <v>1379</v>
      </c>
      <c r="AF53" t="s">
        <v>1884</v>
      </c>
      <c r="AH53" t="s">
        <v>1094</v>
      </c>
      <c r="AZ53" t="s">
        <v>1606</v>
      </c>
      <c r="BA53" t="s">
        <v>1285</v>
      </c>
      <c r="BB53" t="s">
        <v>1166</v>
      </c>
      <c r="BK53" s="91" t="s">
        <v>4147</v>
      </c>
      <c r="BL53" s="91">
        <v>133</v>
      </c>
      <c r="BP53" t="s">
        <v>3482</v>
      </c>
      <c r="BQ53" t="s">
        <v>4364</v>
      </c>
    </row>
    <row r="54" spans="12:69" x14ac:dyDescent="0.35">
      <c r="L54" t="s">
        <v>2135</v>
      </c>
      <c r="M54" t="s">
        <v>1442</v>
      </c>
      <c r="N54" t="s">
        <v>1993</v>
      </c>
      <c r="P54" t="s">
        <v>4016</v>
      </c>
      <c r="Q54" t="s">
        <v>4017</v>
      </c>
      <c r="R54" t="s">
        <v>4017</v>
      </c>
      <c r="S54" t="s">
        <v>1993</v>
      </c>
      <c r="U54" t="s">
        <v>1353</v>
      </c>
      <c r="AA54" t="s">
        <v>1877</v>
      </c>
      <c r="AB54" t="s">
        <v>1878</v>
      </c>
      <c r="AC54" t="s">
        <v>1878</v>
      </c>
      <c r="AD54" t="s">
        <v>1379</v>
      </c>
      <c r="AF54" t="s">
        <v>1899</v>
      </c>
      <c r="AH54" t="s">
        <v>1093</v>
      </c>
      <c r="AZ54" t="s">
        <v>1607</v>
      </c>
      <c r="BA54" t="s">
        <v>1401</v>
      </c>
      <c r="BB54" t="s">
        <v>1166</v>
      </c>
      <c r="BK54" s="91" t="s">
        <v>4148</v>
      </c>
      <c r="BL54" s="91">
        <v>132</v>
      </c>
      <c r="BP54" t="s">
        <v>3483</v>
      </c>
      <c r="BQ54" t="s">
        <v>4365</v>
      </c>
    </row>
    <row r="55" spans="12:69" x14ac:dyDescent="0.35">
      <c r="L55" t="s">
        <v>2105</v>
      </c>
      <c r="M55" t="s">
        <v>1344</v>
      </c>
      <c r="N55" t="s">
        <v>1993</v>
      </c>
      <c r="P55" t="s">
        <v>2532</v>
      </c>
      <c r="Q55" t="s">
        <v>4018</v>
      </c>
      <c r="R55" t="s">
        <v>4018</v>
      </c>
      <c r="S55" t="s">
        <v>1993</v>
      </c>
      <c r="U55" t="s">
        <v>1289</v>
      </c>
      <c r="AA55" t="s">
        <v>1883</v>
      </c>
      <c r="AB55" t="s">
        <v>1884</v>
      </c>
      <c r="AC55" t="s">
        <v>1884</v>
      </c>
      <c r="AD55" t="s">
        <v>1379</v>
      </c>
      <c r="AF55" t="s">
        <v>1922</v>
      </c>
      <c r="AH55" t="s">
        <v>1092</v>
      </c>
      <c r="AZ55" t="s">
        <v>1608</v>
      </c>
      <c r="BA55" t="s">
        <v>1401</v>
      </c>
      <c r="BB55" t="s">
        <v>1166</v>
      </c>
      <c r="BK55" s="91" t="s">
        <v>4149</v>
      </c>
      <c r="BL55" s="91">
        <v>134</v>
      </c>
      <c r="BP55" t="s">
        <v>3484</v>
      </c>
      <c r="BQ55" t="s">
        <v>3485</v>
      </c>
    </row>
    <row r="56" spans="12:69" x14ac:dyDescent="0.35">
      <c r="L56" t="s">
        <v>2031</v>
      </c>
      <c r="M56" t="s">
        <v>1443</v>
      </c>
      <c r="N56" t="s">
        <v>1993</v>
      </c>
      <c r="P56" t="s">
        <v>2193</v>
      </c>
      <c r="Q56" t="s">
        <v>1091</v>
      </c>
      <c r="R56" t="s">
        <v>1091</v>
      </c>
      <c r="S56" t="s">
        <v>1993</v>
      </c>
      <c r="U56" t="s">
        <v>1290</v>
      </c>
      <c r="AA56" t="s">
        <v>1898</v>
      </c>
      <c r="AB56" t="s">
        <v>1899</v>
      </c>
      <c r="AC56" t="s">
        <v>1899</v>
      </c>
      <c r="AD56" t="s">
        <v>1380</v>
      </c>
      <c r="AF56" t="s">
        <v>1907</v>
      </c>
      <c r="AH56" t="s">
        <v>1090</v>
      </c>
      <c r="AZ56" t="s">
        <v>1609</v>
      </c>
      <c r="BA56" t="s">
        <v>1401</v>
      </c>
      <c r="BB56" t="s">
        <v>1166</v>
      </c>
      <c r="BK56" s="91" t="s">
        <v>4150</v>
      </c>
      <c r="BL56" s="91">
        <v>138</v>
      </c>
      <c r="BP56" t="s">
        <v>3486</v>
      </c>
      <c r="BQ56" t="s">
        <v>3487</v>
      </c>
    </row>
    <row r="57" spans="12:69" x14ac:dyDescent="0.35">
      <c r="L57" t="s">
        <v>4333</v>
      </c>
      <c r="M57" t="s">
        <v>4334</v>
      </c>
      <c r="N57" t="s">
        <v>1993</v>
      </c>
      <c r="P57" t="s">
        <v>2519</v>
      </c>
      <c r="Q57" t="s">
        <v>1343</v>
      </c>
      <c r="R57" t="s">
        <v>1343</v>
      </c>
      <c r="S57" t="s">
        <v>1993</v>
      </c>
      <c r="U57" t="s">
        <v>1354</v>
      </c>
      <c r="AA57" t="s">
        <v>1921</v>
      </c>
      <c r="AB57" t="s">
        <v>1922</v>
      </c>
      <c r="AC57" t="s">
        <v>1922</v>
      </c>
      <c r="AD57" t="s">
        <v>1380</v>
      </c>
      <c r="AF57" t="s">
        <v>1928</v>
      </c>
      <c r="AH57" t="s">
        <v>2626</v>
      </c>
      <c r="AZ57" t="s">
        <v>1610</v>
      </c>
      <c r="BA57" t="s">
        <v>1401</v>
      </c>
      <c r="BB57" t="s">
        <v>1166</v>
      </c>
      <c r="BK57" s="91" t="s">
        <v>4151</v>
      </c>
      <c r="BL57" s="91">
        <v>135</v>
      </c>
      <c r="BP57" t="s">
        <v>3488</v>
      </c>
      <c r="BQ57" t="s">
        <v>4366</v>
      </c>
    </row>
    <row r="58" spans="12:69" x14ac:dyDescent="0.35">
      <c r="L58" t="s">
        <v>2029</v>
      </c>
      <c r="M58" t="s">
        <v>2030</v>
      </c>
      <c r="N58" t="s">
        <v>1993</v>
      </c>
      <c r="P58" t="s">
        <v>2479</v>
      </c>
      <c r="Q58" t="s">
        <v>1344</v>
      </c>
      <c r="R58" t="s">
        <v>1344</v>
      </c>
      <c r="S58" t="s">
        <v>1811</v>
      </c>
      <c r="U58" t="s">
        <v>2383</v>
      </c>
      <c r="AA58" t="s">
        <v>1906</v>
      </c>
      <c r="AB58" t="s">
        <v>1907</v>
      </c>
      <c r="AC58" t="s">
        <v>1907</v>
      </c>
      <c r="AD58" t="s">
        <v>1380</v>
      </c>
      <c r="AF58" t="s">
        <v>1914</v>
      </c>
      <c r="AH58" t="s">
        <v>2627</v>
      </c>
      <c r="AZ58" t="s">
        <v>3354</v>
      </c>
      <c r="BA58" t="s">
        <v>1386</v>
      </c>
      <c r="BB58" t="s">
        <v>1166</v>
      </c>
      <c r="BK58" s="91" t="s">
        <v>4152</v>
      </c>
      <c r="BL58" s="91">
        <v>131</v>
      </c>
      <c r="BP58" t="s">
        <v>3489</v>
      </c>
      <c r="BQ58" t="s">
        <v>4367</v>
      </c>
    </row>
    <row r="59" spans="12:69" x14ac:dyDescent="0.35">
      <c r="L59" t="s">
        <v>2095</v>
      </c>
      <c r="M59" t="s">
        <v>1444</v>
      </c>
      <c r="N59" t="s">
        <v>1993</v>
      </c>
      <c r="P59" t="s">
        <v>2384</v>
      </c>
      <c r="Q59" t="s">
        <v>2385</v>
      </c>
      <c r="R59" t="s">
        <v>2385</v>
      </c>
      <c r="S59" t="s">
        <v>1812</v>
      </c>
      <c r="U59" t="s">
        <v>1355</v>
      </c>
      <c r="AA59" t="s">
        <v>1927</v>
      </c>
      <c r="AB59" t="s">
        <v>1928</v>
      </c>
      <c r="AC59" t="s">
        <v>1928</v>
      </c>
      <c r="AD59" t="s">
        <v>1380</v>
      </c>
      <c r="AF59" t="s">
        <v>1912</v>
      </c>
      <c r="AH59" t="s">
        <v>2628</v>
      </c>
      <c r="AZ59" t="s">
        <v>3355</v>
      </c>
      <c r="BA59" t="s">
        <v>1389</v>
      </c>
      <c r="BB59" t="s">
        <v>1166</v>
      </c>
      <c r="BK59" s="91" t="s">
        <v>4153</v>
      </c>
      <c r="BL59" s="91">
        <v>137</v>
      </c>
      <c r="BP59" t="s">
        <v>3490</v>
      </c>
      <c r="BQ59" t="s">
        <v>4368</v>
      </c>
    </row>
    <row r="60" spans="12:69" x14ac:dyDescent="0.35">
      <c r="L60" t="s">
        <v>2071</v>
      </c>
      <c r="M60" t="s">
        <v>1445</v>
      </c>
      <c r="N60" t="s">
        <v>1993</v>
      </c>
      <c r="P60" t="s">
        <v>4019</v>
      </c>
      <c r="Q60" t="s">
        <v>4020</v>
      </c>
      <c r="R60" t="s">
        <v>4021</v>
      </c>
      <c r="S60" t="s">
        <v>1993</v>
      </c>
      <c r="U60" t="s">
        <v>1356</v>
      </c>
      <c r="AA60" t="s">
        <v>1913</v>
      </c>
      <c r="AB60" t="s">
        <v>1914</v>
      </c>
      <c r="AC60" t="s">
        <v>1914</v>
      </c>
      <c r="AD60" t="s">
        <v>1380</v>
      </c>
      <c r="AF60" t="s">
        <v>1367</v>
      </c>
      <c r="AH60" t="s">
        <v>2629</v>
      </c>
      <c r="AZ60" t="s">
        <v>3356</v>
      </c>
      <c r="BA60" t="s">
        <v>1395</v>
      </c>
      <c r="BB60" t="s">
        <v>1166</v>
      </c>
      <c r="BK60" s="91" t="s">
        <v>4154</v>
      </c>
      <c r="BL60" s="91">
        <v>136</v>
      </c>
      <c r="BP60" t="s">
        <v>3491</v>
      </c>
      <c r="BQ60" t="s">
        <v>4369</v>
      </c>
    </row>
    <row r="61" spans="12:69" x14ac:dyDescent="0.35">
      <c r="L61" t="s">
        <v>2070</v>
      </c>
      <c r="M61" t="s">
        <v>1446</v>
      </c>
      <c r="N61" t="s">
        <v>1993</v>
      </c>
      <c r="P61" t="s">
        <v>2492</v>
      </c>
      <c r="Q61" t="s">
        <v>1347</v>
      </c>
      <c r="R61" t="s">
        <v>4021</v>
      </c>
      <c r="S61" t="s">
        <v>1811</v>
      </c>
      <c r="U61" t="s">
        <v>1572</v>
      </c>
      <c r="AA61" t="s">
        <v>1911</v>
      </c>
      <c r="AB61" t="s">
        <v>1912</v>
      </c>
      <c r="AC61" t="s">
        <v>1912</v>
      </c>
      <c r="AD61" t="s">
        <v>1380</v>
      </c>
      <c r="AF61" t="s">
        <v>1905</v>
      </c>
      <c r="AH61" t="s">
        <v>1089</v>
      </c>
      <c r="AZ61" t="s">
        <v>1611</v>
      </c>
      <c r="BA61" t="s">
        <v>1395</v>
      </c>
      <c r="BB61" t="s">
        <v>1166</v>
      </c>
      <c r="BK61" s="91" t="s">
        <v>4155</v>
      </c>
      <c r="BL61" s="91">
        <v>125</v>
      </c>
      <c r="BP61" t="s">
        <v>3492</v>
      </c>
      <c r="BQ61" t="s">
        <v>4370</v>
      </c>
    </row>
    <row r="62" spans="12:69" x14ac:dyDescent="0.35">
      <c r="L62" t="s">
        <v>2093</v>
      </c>
      <c r="M62" t="s">
        <v>1447</v>
      </c>
      <c r="N62" t="s">
        <v>1993</v>
      </c>
      <c r="P62" t="s">
        <v>2493</v>
      </c>
      <c r="Q62" t="s">
        <v>1346</v>
      </c>
      <c r="R62" t="s">
        <v>4021</v>
      </c>
      <c r="S62" t="s">
        <v>1811</v>
      </c>
      <c r="U62" t="s">
        <v>1357</v>
      </c>
      <c r="AA62" t="s">
        <v>1904</v>
      </c>
      <c r="AB62" t="s">
        <v>1905</v>
      </c>
      <c r="AC62" t="s">
        <v>1905</v>
      </c>
      <c r="AD62" t="s">
        <v>1380</v>
      </c>
      <c r="AF62" t="s">
        <v>1550</v>
      </c>
      <c r="AH62" t="s">
        <v>1088</v>
      </c>
      <c r="AZ62" t="s">
        <v>4179</v>
      </c>
      <c r="BA62" t="s">
        <v>1394</v>
      </c>
      <c r="BB62" t="s">
        <v>1166</v>
      </c>
      <c r="BK62" s="91" t="s">
        <v>4156</v>
      </c>
      <c r="BL62" s="91">
        <v>165</v>
      </c>
      <c r="BP62" t="s">
        <v>3493</v>
      </c>
      <c r="BQ62" t="s">
        <v>4371</v>
      </c>
    </row>
    <row r="63" spans="12:69" x14ac:dyDescent="0.35">
      <c r="L63" t="s">
        <v>2054</v>
      </c>
      <c r="M63" t="s">
        <v>1353</v>
      </c>
      <c r="N63" t="s">
        <v>1993</v>
      </c>
      <c r="P63" t="s">
        <v>2494</v>
      </c>
      <c r="Q63" t="s">
        <v>1345</v>
      </c>
      <c r="R63" t="s">
        <v>4021</v>
      </c>
      <c r="S63" t="s">
        <v>1811</v>
      </c>
      <c r="U63" t="s">
        <v>2257</v>
      </c>
      <c r="AA63" t="s">
        <v>1897</v>
      </c>
      <c r="AB63" t="s">
        <v>1550</v>
      </c>
      <c r="AC63" t="s">
        <v>1550</v>
      </c>
      <c r="AD63" t="s">
        <v>1380</v>
      </c>
      <c r="AF63" t="s">
        <v>1901</v>
      </c>
      <c r="AH63" t="s">
        <v>1087</v>
      </c>
      <c r="AZ63" t="s">
        <v>1612</v>
      </c>
      <c r="BA63" t="s">
        <v>209</v>
      </c>
      <c r="BB63" t="s">
        <v>1166</v>
      </c>
      <c r="BK63" s="91" t="s">
        <v>4346</v>
      </c>
      <c r="BL63" s="91">
        <v>171</v>
      </c>
      <c r="BP63" t="s">
        <v>3494</v>
      </c>
      <c r="BQ63" t="s">
        <v>4372</v>
      </c>
    </row>
    <row r="64" spans="12:69" x14ac:dyDescent="0.35">
      <c r="L64" t="s">
        <v>2057</v>
      </c>
      <c r="M64" t="s">
        <v>1448</v>
      </c>
      <c r="N64" t="s">
        <v>1993</v>
      </c>
      <c r="P64" t="s">
        <v>4022</v>
      </c>
      <c r="Q64" t="s">
        <v>4023</v>
      </c>
      <c r="R64" t="s">
        <v>4021</v>
      </c>
      <c r="S64" t="s">
        <v>1993</v>
      </c>
      <c r="U64" t="s">
        <v>2261</v>
      </c>
      <c r="AA64" t="s">
        <v>1900</v>
      </c>
      <c r="AB64" t="s">
        <v>1901</v>
      </c>
      <c r="AC64" t="s">
        <v>1901</v>
      </c>
      <c r="AD64" t="s">
        <v>1380</v>
      </c>
      <c r="AF64" t="s">
        <v>1903</v>
      </c>
      <c r="AH64" t="s">
        <v>2630</v>
      </c>
      <c r="AZ64" t="s">
        <v>1613</v>
      </c>
      <c r="BA64" t="s">
        <v>1402</v>
      </c>
      <c r="BB64" t="s">
        <v>1166</v>
      </c>
      <c r="BK64" s="91" t="s">
        <v>4347</v>
      </c>
      <c r="BL64" s="91">
        <v>169</v>
      </c>
      <c r="BP64" t="s">
        <v>3495</v>
      </c>
      <c r="BQ64" t="s">
        <v>4373</v>
      </c>
    </row>
    <row r="65" spans="12:69" x14ac:dyDescent="0.35">
      <c r="L65" t="s">
        <v>2114</v>
      </c>
      <c r="M65" t="s">
        <v>3771</v>
      </c>
      <c r="N65" t="s">
        <v>1993</v>
      </c>
      <c r="P65" t="s">
        <v>4024</v>
      </c>
      <c r="Q65" t="s">
        <v>4025</v>
      </c>
      <c r="R65" t="s">
        <v>4021</v>
      </c>
      <c r="S65" t="s">
        <v>1993</v>
      </c>
      <c r="U65" t="s">
        <v>2265</v>
      </c>
      <c r="AA65" t="s">
        <v>1902</v>
      </c>
      <c r="AB65" t="s">
        <v>1903</v>
      </c>
      <c r="AC65" t="s">
        <v>1903</v>
      </c>
      <c r="AD65" t="s">
        <v>1380</v>
      </c>
      <c r="AH65" t="s">
        <v>1086</v>
      </c>
      <c r="AZ65" t="s">
        <v>4180</v>
      </c>
      <c r="BA65" t="s">
        <v>1401</v>
      </c>
      <c r="BB65" t="s">
        <v>1166</v>
      </c>
      <c r="BK65" s="91" t="s">
        <v>4157</v>
      </c>
      <c r="BL65" s="91">
        <v>126</v>
      </c>
      <c r="BP65" t="s">
        <v>3496</v>
      </c>
      <c r="BQ65" t="s">
        <v>4374</v>
      </c>
    </row>
    <row r="66" spans="12:69" x14ac:dyDescent="0.35">
      <c r="L66" t="s">
        <v>2106</v>
      </c>
      <c r="M66" t="s">
        <v>3772</v>
      </c>
      <c r="N66" t="s">
        <v>1993</v>
      </c>
      <c r="P66" t="s">
        <v>2405</v>
      </c>
      <c r="Q66" t="s">
        <v>2406</v>
      </c>
      <c r="R66" t="s">
        <v>2406</v>
      </c>
      <c r="S66" t="s">
        <v>1812</v>
      </c>
      <c r="U66" t="s">
        <v>2416</v>
      </c>
      <c r="AH66" t="s">
        <v>3812</v>
      </c>
      <c r="AZ66" t="s">
        <v>1614</v>
      </c>
      <c r="BA66" t="s">
        <v>1401</v>
      </c>
      <c r="BB66" t="s">
        <v>1166</v>
      </c>
      <c r="BK66" s="91" t="s">
        <v>4158</v>
      </c>
      <c r="BL66" s="91">
        <v>127</v>
      </c>
      <c r="BP66" t="s">
        <v>3497</v>
      </c>
      <c r="BQ66" t="s">
        <v>4375</v>
      </c>
    </row>
    <row r="67" spans="12:69" x14ac:dyDescent="0.35">
      <c r="L67" t="s">
        <v>2059</v>
      </c>
      <c r="M67" t="s">
        <v>1449</v>
      </c>
      <c r="N67" t="s">
        <v>1993</v>
      </c>
      <c r="P67" t="s">
        <v>4026</v>
      </c>
      <c r="Q67" t="s">
        <v>4027</v>
      </c>
      <c r="R67" t="s">
        <v>4027</v>
      </c>
      <c r="S67" t="s">
        <v>1993</v>
      </c>
      <c r="U67" t="s">
        <v>2266</v>
      </c>
      <c r="AH67" t="s">
        <v>3813</v>
      </c>
      <c r="AZ67" t="s">
        <v>4181</v>
      </c>
      <c r="BA67" t="s">
        <v>1401</v>
      </c>
      <c r="BB67" t="s">
        <v>1166</v>
      </c>
      <c r="BK67" s="91" t="s">
        <v>4159</v>
      </c>
      <c r="BL67" s="91">
        <v>128</v>
      </c>
      <c r="BP67" t="s">
        <v>3498</v>
      </c>
      <c r="BQ67" t="s">
        <v>3499</v>
      </c>
    </row>
    <row r="68" spans="12:69" x14ac:dyDescent="0.35">
      <c r="L68" t="s">
        <v>2058</v>
      </c>
      <c r="M68" t="s">
        <v>1450</v>
      </c>
      <c r="N68" t="s">
        <v>1993</v>
      </c>
      <c r="P68" t="s">
        <v>4028</v>
      </c>
      <c r="Q68" t="s">
        <v>4029</v>
      </c>
      <c r="R68" t="s">
        <v>4029</v>
      </c>
      <c r="S68" t="s">
        <v>1993</v>
      </c>
      <c r="U68" t="s">
        <v>2255</v>
      </c>
      <c r="AH68" t="s">
        <v>3814</v>
      </c>
      <c r="AZ68" t="s">
        <v>1615</v>
      </c>
      <c r="BA68" t="s">
        <v>1401</v>
      </c>
      <c r="BB68" t="s">
        <v>1166</v>
      </c>
      <c r="BK68" s="91" t="s">
        <v>4160</v>
      </c>
      <c r="BL68" s="91">
        <v>130</v>
      </c>
      <c r="BP68" t="s">
        <v>3500</v>
      </c>
      <c r="BQ68" t="s">
        <v>3501</v>
      </c>
    </row>
    <row r="69" spans="12:69" x14ac:dyDescent="0.35">
      <c r="L69" t="s">
        <v>2053</v>
      </c>
      <c r="M69" t="s">
        <v>1451</v>
      </c>
      <c r="N69" t="s">
        <v>1993</v>
      </c>
      <c r="P69" t="s">
        <v>4030</v>
      </c>
      <c r="Q69" t="s">
        <v>4031</v>
      </c>
      <c r="R69" t="s">
        <v>4031</v>
      </c>
      <c r="S69" t="s">
        <v>1993</v>
      </c>
      <c r="U69" t="s">
        <v>2259</v>
      </c>
      <c r="AH69" t="s">
        <v>1085</v>
      </c>
      <c r="AZ69" t="s">
        <v>4182</v>
      </c>
      <c r="BA69" t="s">
        <v>1401</v>
      </c>
      <c r="BB69" t="s">
        <v>1166</v>
      </c>
      <c r="BK69" s="91" t="s">
        <v>4161</v>
      </c>
      <c r="BL69" s="91">
        <v>129</v>
      </c>
      <c r="BP69" t="s">
        <v>3502</v>
      </c>
      <c r="BQ69" t="s">
        <v>4376</v>
      </c>
    </row>
    <row r="70" spans="12:69" x14ac:dyDescent="0.35">
      <c r="L70" t="s">
        <v>2190</v>
      </c>
      <c r="M70" t="s">
        <v>1452</v>
      </c>
      <c r="N70" t="s">
        <v>1993</v>
      </c>
      <c r="P70" t="s">
        <v>2512</v>
      </c>
      <c r="Q70" t="s">
        <v>1348</v>
      </c>
      <c r="R70" t="s">
        <v>1348</v>
      </c>
      <c r="S70" t="s">
        <v>1993</v>
      </c>
      <c r="U70" t="s">
        <v>2263</v>
      </c>
      <c r="AH70" t="s">
        <v>1084</v>
      </c>
      <c r="AZ70" t="s">
        <v>1616</v>
      </c>
      <c r="BA70" t="s">
        <v>1401</v>
      </c>
      <c r="BB70" t="s">
        <v>1166</v>
      </c>
      <c r="BK70" s="91" t="s">
        <v>4162</v>
      </c>
      <c r="BL70" s="91">
        <v>124</v>
      </c>
      <c r="BP70" t="s">
        <v>3503</v>
      </c>
      <c r="BQ70" t="s">
        <v>3504</v>
      </c>
    </row>
    <row r="71" spans="12:69" x14ac:dyDescent="0.35">
      <c r="L71" t="s">
        <v>2110</v>
      </c>
      <c r="M71" t="s">
        <v>1453</v>
      </c>
      <c r="N71" t="s">
        <v>1993</v>
      </c>
      <c r="P71" t="s">
        <v>2407</v>
      </c>
      <c r="Q71" t="s">
        <v>2408</v>
      </c>
      <c r="R71" t="s">
        <v>2408</v>
      </c>
      <c r="S71" t="s">
        <v>1812</v>
      </c>
      <c r="U71" t="s">
        <v>1573</v>
      </c>
      <c r="AH71" t="s">
        <v>3815</v>
      </c>
      <c r="AZ71" t="s">
        <v>1617</v>
      </c>
      <c r="BA71" t="s">
        <v>1401</v>
      </c>
      <c r="BB71" t="s">
        <v>1166</v>
      </c>
      <c r="BK71" s="91" t="s">
        <v>4348</v>
      </c>
      <c r="BL71" s="91">
        <v>168</v>
      </c>
      <c r="BP71" t="s">
        <v>3505</v>
      </c>
      <c r="BQ71" t="s">
        <v>4377</v>
      </c>
    </row>
    <row r="72" spans="12:69" x14ac:dyDescent="0.35">
      <c r="L72" t="s">
        <v>2020</v>
      </c>
      <c r="M72" t="s">
        <v>1454</v>
      </c>
      <c r="N72" t="s">
        <v>1993</v>
      </c>
      <c r="P72" t="s">
        <v>2409</v>
      </c>
      <c r="Q72" t="s">
        <v>2410</v>
      </c>
      <c r="R72" t="s">
        <v>2410</v>
      </c>
      <c r="S72" t="s">
        <v>1812</v>
      </c>
      <c r="U72" t="s">
        <v>1291</v>
      </c>
      <c r="AH72" t="s">
        <v>2631</v>
      </c>
      <c r="AZ72" t="s">
        <v>1618</v>
      </c>
      <c r="BA72" t="s">
        <v>1401</v>
      </c>
      <c r="BB72" t="s">
        <v>1166</v>
      </c>
      <c r="BK72" s="91" t="s">
        <v>4349</v>
      </c>
      <c r="BL72" s="91">
        <v>170</v>
      </c>
      <c r="BP72" t="s">
        <v>3506</v>
      </c>
      <c r="BQ72" t="s">
        <v>64</v>
      </c>
    </row>
    <row r="73" spans="12:69" x14ac:dyDescent="0.35">
      <c r="L73" t="s">
        <v>2050</v>
      </c>
      <c r="M73" t="s">
        <v>1455</v>
      </c>
      <c r="N73" t="s">
        <v>1993</v>
      </c>
      <c r="P73" t="s">
        <v>2411</v>
      </c>
      <c r="Q73" t="s">
        <v>2412</v>
      </c>
      <c r="R73" t="s">
        <v>2412</v>
      </c>
      <c r="S73" t="s">
        <v>1812</v>
      </c>
      <c r="U73" t="s">
        <v>2418</v>
      </c>
      <c r="AH73" t="s">
        <v>3816</v>
      </c>
      <c r="AZ73" t="s">
        <v>4183</v>
      </c>
      <c r="BA73" t="s">
        <v>1401</v>
      </c>
      <c r="BB73" t="s">
        <v>1166</v>
      </c>
      <c r="BK73" s="91" t="s">
        <v>4350</v>
      </c>
      <c r="BL73" s="91">
        <v>167</v>
      </c>
      <c r="BP73" t="s">
        <v>3507</v>
      </c>
      <c r="BQ73" t="s">
        <v>3508</v>
      </c>
    </row>
    <row r="74" spans="12:69" x14ac:dyDescent="0.35">
      <c r="L74" t="s">
        <v>2051</v>
      </c>
      <c r="M74" t="s">
        <v>1456</v>
      </c>
      <c r="N74" t="s">
        <v>1993</v>
      </c>
      <c r="P74" t="s">
        <v>2401</v>
      </c>
      <c r="Q74" t="s">
        <v>2402</v>
      </c>
      <c r="R74" t="s">
        <v>2402</v>
      </c>
      <c r="S74" t="s">
        <v>1812</v>
      </c>
      <c r="U74" t="s">
        <v>2420</v>
      </c>
      <c r="AH74" t="s">
        <v>1083</v>
      </c>
      <c r="AZ74" t="s">
        <v>3357</v>
      </c>
      <c r="BA74" t="s">
        <v>1401</v>
      </c>
      <c r="BB74" t="s">
        <v>1166</v>
      </c>
      <c r="BK74" s="91" t="s">
        <v>4163</v>
      </c>
      <c r="BL74" s="91">
        <v>157</v>
      </c>
      <c r="BP74" t="s">
        <v>3509</v>
      </c>
      <c r="BQ74" t="s">
        <v>3510</v>
      </c>
    </row>
    <row r="75" spans="12:69" x14ac:dyDescent="0.35">
      <c r="L75" t="s">
        <v>2052</v>
      </c>
      <c r="M75" t="s">
        <v>1457</v>
      </c>
      <c r="N75" t="s">
        <v>1993</v>
      </c>
      <c r="P75" t="s">
        <v>4032</v>
      </c>
      <c r="Q75" t="s">
        <v>4033</v>
      </c>
      <c r="R75" t="s">
        <v>4033</v>
      </c>
      <c r="S75" t="s">
        <v>1993</v>
      </c>
      <c r="U75" t="s">
        <v>2422</v>
      </c>
      <c r="AH75" t="s">
        <v>3817</v>
      </c>
      <c r="AZ75" t="s">
        <v>1619</v>
      </c>
      <c r="BA75" t="s">
        <v>1401</v>
      </c>
      <c r="BB75" t="s">
        <v>1166</v>
      </c>
      <c r="BK75" s="91" t="s">
        <v>4164</v>
      </c>
      <c r="BL75" s="91">
        <v>99</v>
      </c>
      <c r="BP75" t="s">
        <v>3511</v>
      </c>
      <c r="BQ75" t="s">
        <v>4378</v>
      </c>
    </row>
    <row r="76" spans="12:69" x14ac:dyDescent="0.35">
      <c r="L76" t="s">
        <v>2006</v>
      </c>
      <c r="M76" t="s">
        <v>1458</v>
      </c>
      <c r="N76" t="s">
        <v>1993</v>
      </c>
      <c r="P76" t="s">
        <v>2403</v>
      </c>
      <c r="Q76" t="s">
        <v>2404</v>
      </c>
      <c r="R76" t="s">
        <v>2404</v>
      </c>
      <c r="S76" t="s">
        <v>1812</v>
      </c>
      <c r="U76" t="s">
        <v>1358</v>
      </c>
      <c r="AH76" t="s">
        <v>1082</v>
      </c>
      <c r="AZ76" t="s">
        <v>1620</v>
      </c>
      <c r="BA76" t="s">
        <v>1401</v>
      </c>
      <c r="BB76" t="s">
        <v>1166</v>
      </c>
      <c r="BK76" s="91" t="s">
        <v>4165</v>
      </c>
      <c r="BL76" s="91">
        <v>101</v>
      </c>
      <c r="BP76" t="s">
        <v>3512</v>
      </c>
      <c r="BQ76" t="s">
        <v>3513</v>
      </c>
    </row>
    <row r="77" spans="12:69" x14ac:dyDescent="0.35">
      <c r="L77" t="s">
        <v>2111</v>
      </c>
      <c r="M77" t="s">
        <v>1459</v>
      </c>
      <c r="N77" t="s">
        <v>1993</v>
      </c>
      <c r="P77" t="s">
        <v>2413</v>
      </c>
      <c r="Q77" t="s">
        <v>2414</v>
      </c>
      <c r="R77" t="s">
        <v>2414</v>
      </c>
      <c r="S77" t="s">
        <v>1812</v>
      </c>
      <c r="U77" t="s">
        <v>980</v>
      </c>
      <c r="AH77" t="s">
        <v>3818</v>
      </c>
      <c r="AZ77" t="s">
        <v>1621</v>
      </c>
      <c r="BA77" t="s">
        <v>1401</v>
      </c>
      <c r="BB77" t="s">
        <v>1166</v>
      </c>
      <c r="BK77" s="91" t="s">
        <v>4166</v>
      </c>
      <c r="BL77" s="91">
        <v>100</v>
      </c>
      <c r="BP77" t="s">
        <v>3514</v>
      </c>
      <c r="BQ77" t="s">
        <v>38</v>
      </c>
    </row>
    <row r="78" spans="12:69" x14ac:dyDescent="0.35">
      <c r="L78" t="s">
        <v>2001</v>
      </c>
      <c r="M78" t="s">
        <v>2002</v>
      </c>
      <c r="N78" t="s">
        <v>1993</v>
      </c>
      <c r="P78" t="s">
        <v>2457</v>
      </c>
      <c r="Q78" t="s">
        <v>2458</v>
      </c>
      <c r="R78" t="s">
        <v>2458</v>
      </c>
      <c r="S78" t="s">
        <v>1812</v>
      </c>
      <c r="U78" t="s">
        <v>1292</v>
      </c>
      <c r="AH78" t="s">
        <v>3819</v>
      </c>
      <c r="AZ78" t="s">
        <v>1622</v>
      </c>
      <c r="BA78" t="s">
        <v>1401</v>
      </c>
      <c r="BB78" t="s">
        <v>1166</v>
      </c>
      <c r="BK78" s="91" t="s">
        <v>4167</v>
      </c>
      <c r="BL78" s="91">
        <v>163</v>
      </c>
      <c r="BP78" t="s">
        <v>3515</v>
      </c>
      <c r="BQ78" t="s">
        <v>3516</v>
      </c>
    </row>
    <row r="79" spans="12:69" x14ac:dyDescent="0.35">
      <c r="L79" t="s">
        <v>2038</v>
      </c>
      <c r="M79" t="s">
        <v>1460</v>
      </c>
      <c r="N79" t="s">
        <v>1993</v>
      </c>
      <c r="P79" t="s">
        <v>2332</v>
      </c>
      <c r="Q79" t="s">
        <v>1287</v>
      </c>
      <c r="R79" t="s">
        <v>1287</v>
      </c>
      <c r="S79" t="s">
        <v>1993</v>
      </c>
      <c r="U79" t="s">
        <v>2199</v>
      </c>
      <c r="AH79" t="s">
        <v>1081</v>
      </c>
      <c r="AZ79" t="s">
        <v>4351</v>
      </c>
      <c r="BA79" t="s">
        <v>1401</v>
      </c>
      <c r="BB79" t="s">
        <v>1166</v>
      </c>
      <c r="BK79" s="91" t="s">
        <v>4168</v>
      </c>
      <c r="BL79" s="91">
        <v>156</v>
      </c>
      <c r="BP79" t="s">
        <v>4253</v>
      </c>
      <c r="BQ79" t="s">
        <v>4379</v>
      </c>
    </row>
    <row r="80" spans="12:69" x14ac:dyDescent="0.35">
      <c r="L80" t="s">
        <v>2091</v>
      </c>
      <c r="M80" t="s">
        <v>1461</v>
      </c>
      <c r="N80" t="s">
        <v>1993</v>
      </c>
      <c r="P80" t="s">
        <v>4034</v>
      </c>
      <c r="Q80" t="s">
        <v>4035</v>
      </c>
      <c r="R80" t="s">
        <v>4035</v>
      </c>
      <c r="S80" t="s">
        <v>1993</v>
      </c>
      <c r="U80" t="s">
        <v>2203</v>
      </c>
      <c r="AH80" t="s">
        <v>3820</v>
      </c>
      <c r="AZ80" t="s">
        <v>4352</v>
      </c>
      <c r="BA80" t="s">
        <v>1401</v>
      </c>
      <c r="BB80" t="s">
        <v>1166</v>
      </c>
      <c r="BK80" s="91" t="s">
        <v>4169</v>
      </c>
      <c r="BL80" s="91">
        <v>158</v>
      </c>
      <c r="BP80" t="s">
        <v>4253</v>
      </c>
      <c r="BQ80" t="s">
        <v>4254</v>
      </c>
    </row>
    <row r="81" spans="12:69" x14ac:dyDescent="0.35">
      <c r="L81" t="s">
        <v>2094</v>
      </c>
      <c r="M81" t="s">
        <v>1462</v>
      </c>
      <c r="N81" t="s">
        <v>1993</v>
      </c>
      <c r="P81" t="s">
        <v>2238</v>
      </c>
      <c r="Q81" t="s">
        <v>4036</v>
      </c>
      <c r="R81" t="s">
        <v>4036</v>
      </c>
      <c r="S81" t="s">
        <v>1811</v>
      </c>
      <c r="U81" t="s">
        <v>2205</v>
      </c>
      <c r="AH81" t="s">
        <v>2632</v>
      </c>
      <c r="AZ81" t="s">
        <v>1623</v>
      </c>
      <c r="BA81" t="s">
        <v>1385</v>
      </c>
      <c r="BB81" t="s">
        <v>1165</v>
      </c>
      <c r="BP81" t="s">
        <v>4255</v>
      </c>
      <c r="BQ81" t="s">
        <v>4256</v>
      </c>
    </row>
    <row r="82" spans="12:69" x14ac:dyDescent="0.35">
      <c r="L82" t="s">
        <v>3773</v>
      </c>
      <c r="M82" t="s">
        <v>3774</v>
      </c>
      <c r="N82" t="s">
        <v>1993</v>
      </c>
      <c r="P82" t="s">
        <v>2239</v>
      </c>
      <c r="Q82" t="s">
        <v>4037</v>
      </c>
      <c r="R82" t="s">
        <v>4037</v>
      </c>
      <c r="S82" t="s">
        <v>1811</v>
      </c>
      <c r="U82" t="s">
        <v>2207</v>
      </c>
      <c r="AH82" t="s">
        <v>1080</v>
      </c>
      <c r="AZ82" t="s">
        <v>1624</v>
      </c>
      <c r="BA82" t="s">
        <v>1385</v>
      </c>
      <c r="BB82" t="s">
        <v>1165</v>
      </c>
      <c r="BP82" t="s">
        <v>4257</v>
      </c>
      <c r="BQ82" t="s">
        <v>4258</v>
      </c>
    </row>
    <row r="83" spans="12:69" x14ac:dyDescent="0.35">
      <c r="L83" t="s">
        <v>2064</v>
      </c>
      <c r="M83" t="s">
        <v>1463</v>
      </c>
      <c r="N83" t="s">
        <v>1993</v>
      </c>
      <c r="P83" t="s">
        <v>1958</v>
      </c>
      <c r="Q83" t="s">
        <v>4038</v>
      </c>
      <c r="R83" t="s">
        <v>4038</v>
      </c>
      <c r="S83" t="s">
        <v>1993</v>
      </c>
      <c r="U83" t="s">
        <v>2197</v>
      </c>
      <c r="AH83" t="s">
        <v>1079</v>
      </c>
      <c r="AZ83" t="s">
        <v>1625</v>
      </c>
      <c r="BA83" t="s">
        <v>1385</v>
      </c>
      <c r="BB83" t="s">
        <v>1165</v>
      </c>
      <c r="BP83" t="s">
        <v>4259</v>
      </c>
      <c r="BQ83" t="s">
        <v>4260</v>
      </c>
    </row>
    <row r="84" spans="12:69" x14ac:dyDescent="0.35">
      <c r="L84" t="s">
        <v>2084</v>
      </c>
      <c r="M84" t="s">
        <v>1464</v>
      </c>
      <c r="N84" t="s">
        <v>1993</v>
      </c>
      <c r="P84" t="s">
        <v>4039</v>
      </c>
      <c r="Q84" t="s">
        <v>4040</v>
      </c>
      <c r="R84" t="s">
        <v>4040</v>
      </c>
      <c r="S84" t="s">
        <v>1993</v>
      </c>
      <c r="U84" t="s">
        <v>2201</v>
      </c>
      <c r="AH84" t="s">
        <v>1078</v>
      </c>
      <c r="AZ84" t="s">
        <v>1626</v>
      </c>
      <c r="BA84" t="s">
        <v>1385</v>
      </c>
      <c r="BB84" t="s">
        <v>1165</v>
      </c>
      <c r="BP84" t="s">
        <v>4261</v>
      </c>
      <c r="BQ84" t="s">
        <v>4380</v>
      </c>
    </row>
    <row r="85" spans="12:69" x14ac:dyDescent="0.35">
      <c r="L85" t="s">
        <v>2129</v>
      </c>
      <c r="M85" t="s">
        <v>1465</v>
      </c>
      <c r="N85" t="s">
        <v>1993</v>
      </c>
      <c r="P85" t="s">
        <v>2330</v>
      </c>
      <c r="Q85" t="s">
        <v>1350</v>
      </c>
      <c r="R85" t="s">
        <v>1350</v>
      </c>
      <c r="S85" t="s">
        <v>1993</v>
      </c>
      <c r="U85" t="s">
        <v>2379</v>
      </c>
      <c r="AH85" t="s">
        <v>1077</v>
      </c>
      <c r="AZ85" t="s">
        <v>1627</v>
      </c>
      <c r="BA85" t="s">
        <v>1385</v>
      </c>
      <c r="BB85" t="s">
        <v>1165</v>
      </c>
      <c r="BP85" t="s">
        <v>4262</v>
      </c>
      <c r="BQ85" t="s">
        <v>4263</v>
      </c>
    </row>
    <row r="86" spans="12:69" x14ac:dyDescent="0.35">
      <c r="L86" t="s">
        <v>2026</v>
      </c>
      <c r="M86" t="s">
        <v>1466</v>
      </c>
      <c r="N86" t="s">
        <v>1993</v>
      </c>
      <c r="P86" t="s">
        <v>2533</v>
      </c>
      <c r="Q86" t="s">
        <v>1351</v>
      </c>
      <c r="R86" t="s">
        <v>1351</v>
      </c>
      <c r="S86" t="s">
        <v>1993</v>
      </c>
      <c r="U86" t="s">
        <v>2381</v>
      </c>
      <c r="AH86" t="s">
        <v>3821</v>
      </c>
      <c r="AZ86" t="s">
        <v>1628</v>
      </c>
      <c r="BA86" t="s">
        <v>1385</v>
      </c>
      <c r="BB86" t="s">
        <v>1165</v>
      </c>
      <c r="BP86" t="s">
        <v>4264</v>
      </c>
      <c r="BQ86" t="s">
        <v>4265</v>
      </c>
    </row>
    <row r="87" spans="12:69" x14ac:dyDescent="0.35">
      <c r="L87" t="s">
        <v>2147</v>
      </c>
      <c r="M87" t="s">
        <v>1467</v>
      </c>
      <c r="N87" t="s">
        <v>1993</v>
      </c>
      <c r="P87" t="s">
        <v>2489</v>
      </c>
      <c r="Q87" t="s">
        <v>1353</v>
      </c>
      <c r="R87" t="s">
        <v>1353</v>
      </c>
      <c r="S87" t="s">
        <v>1811</v>
      </c>
      <c r="U87" t="s">
        <v>2377</v>
      </c>
      <c r="AH87" t="s">
        <v>1076</v>
      </c>
      <c r="AZ87" t="s">
        <v>1629</v>
      </c>
      <c r="BA87" t="s">
        <v>1385</v>
      </c>
      <c r="BB87" t="s">
        <v>1165</v>
      </c>
      <c r="BP87" t="s">
        <v>4266</v>
      </c>
      <c r="BQ87" t="s">
        <v>4267</v>
      </c>
    </row>
    <row r="88" spans="12:69" x14ac:dyDescent="0.35">
      <c r="L88" t="s">
        <v>2163</v>
      </c>
      <c r="M88" t="s">
        <v>1468</v>
      </c>
      <c r="N88" t="s">
        <v>1993</v>
      </c>
      <c r="P88" t="s">
        <v>2527</v>
      </c>
      <c r="Q88" t="s">
        <v>1289</v>
      </c>
      <c r="R88" t="s">
        <v>1289</v>
      </c>
      <c r="S88" t="s">
        <v>1993</v>
      </c>
      <c r="U88" t="s">
        <v>2460</v>
      </c>
      <c r="AH88" t="s">
        <v>1075</v>
      </c>
      <c r="AZ88" t="s">
        <v>4184</v>
      </c>
      <c r="BA88" t="s">
        <v>1401</v>
      </c>
      <c r="BB88" t="s">
        <v>1166</v>
      </c>
      <c r="BP88" t="s">
        <v>4268</v>
      </c>
      <c r="BQ88" t="s">
        <v>4269</v>
      </c>
    </row>
    <row r="89" spans="12:69" x14ac:dyDescent="0.35">
      <c r="L89" t="s">
        <v>2092</v>
      </c>
      <c r="M89" t="s">
        <v>1469</v>
      </c>
      <c r="N89" t="s">
        <v>1993</v>
      </c>
      <c r="P89" t="s">
        <v>4041</v>
      </c>
      <c r="Q89" t="s">
        <v>4042</v>
      </c>
      <c r="R89" t="s">
        <v>1289</v>
      </c>
      <c r="S89" t="s">
        <v>1993</v>
      </c>
      <c r="U89" t="s">
        <v>2375</v>
      </c>
      <c r="AH89" t="s">
        <v>1074</v>
      </c>
      <c r="AZ89" t="s">
        <v>1630</v>
      </c>
      <c r="BA89" t="s">
        <v>1401</v>
      </c>
      <c r="BB89" t="s">
        <v>1166</v>
      </c>
      <c r="BP89" t="s">
        <v>4270</v>
      </c>
      <c r="BQ89" t="s">
        <v>23</v>
      </c>
    </row>
    <row r="90" spans="12:69" x14ac:dyDescent="0.35">
      <c r="L90" t="s">
        <v>2117</v>
      </c>
      <c r="M90" t="s">
        <v>3775</v>
      </c>
      <c r="N90" t="s">
        <v>1993</v>
      </c>
      <c r="P90" t="s">
        <v>4043</v>
      </c>
      <c r="Q90" t="s">
        <v>4044</v>
      </c>
      <c r="R90" t="s">
        <v>1289</v>
      </c>
      <c r="S90" t="s">
        <v>1993</v>
      </c>
      <c r="U90" t="s">
        <v>2387</v>
      </c>
      <c r="AH90" t="s">
        <v>1073</v>
      </c>
      <c r="AZ90" t="s">
        <v>1631</v>
      </c>
      <c r="BA90" t="s">
        <v>1401</v>
      </c>
      <c r="BB90" t="s">
        <v>1166</v>
      </c>
      <c r="BP90" t="s">
        <v>4271</v>
      </c>
      <c r="BQ90" t="s">
        <v>4272</v>
      </c>
    </row>
    <row r="91" spans="12:69" x14ac:dyDescent="0.35">
      <c r="L91" t="s">
        <v>2104</v>
      </c>
      <c r="M91" t="s">
        <v>3776</v>
      </c>
      <c r="N91" t="s">
        <v>1993</v>
      </c>
      <c r="P91" t="s">
        <v>2240</v>
      </c>
      <c r="Q91" t="s">
        <v>2241</v>
      </c>
      <c r="R91" t="s">
        <v>1289</v>
      </c>
      <c r="S91" t="s">
        <v>1811</v>
      </c>
      <c r="U91" t="s">
        <v>2389</v>
      </c>
      <c r="AH91" t="s">
        <v>1072</v>
      </c>
      <c r="AZ91" t="s">
        <v>1632</v>
      </c>
      <c r="BA91" t="s">
        <v>1401</v>
      </c>
      <c r="BB91" t="s">
        <v>1166</v>
      </c>
      <c r="BP91" t="s">
        <v>4273</v>
      </c>
      <c r="BQ91" t="s">
        <v>4274</v>
      </c>
    </row>
    <row r="92" spans="12:69" x14ac:dyDescent="0.35">
      <c r="L92" t="s">
        <v>2021</v>
      </c>
      <c r="M92" t="s">
        <v>1470</v>
      </c>
      <c r="N92" t="s">
        <v>1993</v>
      </c>
      <c r="P92" t="s">
        <v>2242</v>
      </c>
      <c r="Q92" t="s">
        <v>2243</v>
      </c>
      <c r="R92" t="s">
        <v>1289</v>
      </c>
      <c r="S92" t="s">
        <v>1811</v>
      </c>
      <c r="U92" t="s">
        <v>1574</v>
      </c>
      <c r="AH92" t="s">
        <v>2633</v>
      </c>
      <c r="AZ92" t="s">
        <v>1633</v>
      </c>
      <c r="BA92" t="s">
        <v>1401</v>
      </c>
      <c r="BB92" t="s">
        <v>1166</v>
      </c>
      <c r="BP92" t="s">
        <v>4275</v>
      </c>
      <c r="BQ92" t="s">
        <v>4276</v>
      </c>
    </row>
    <row r="93" spans="12:69" x14ac:dyDescent="0.35">
      <c r="L93" t="s">
        <v>2005</v>
      </c>
      <c r="M93" t="s">
        <v>1471</v>
      </c>
      <c r="N93" t="s">
        <v>1993</v>
      </c>
      <c r="P93" t="s">
        <v>4045</v>
      </c>
      <c r="Q93" t="s">
        <v>4046</v>
      </c>
      <c r="R93" t="s">
        <v>1289</v>
      </c>
      <c r="S93" t="s">
        <v>1993</v>
      </c>
      <c r="U93" t="s">
        <v>1359</v>
      </c>
      <c r="AH93" t="s">
        <v>2634</v>
      </c>
      <c r="AZ93" t="s">
        <v>1634</v>
      </c>
      <c r="BA93" t="s">
        <v>1285</v>
      </c>
      <c r="BB93" t="s">
        <v>1166</v>
      </c>
      <c r="BP93" t="s">
        <v>4277</v>
      </c>
      <c r="BQ93" t="s">
        <v>4278</v>
      </c>
    </row>
    <row r="94" spans="12:69" x14ac:dyDescent="0.35">
      <c r="L94" t="s">
        <v>2142</v>
      </c>
      <c r="M94" t="s">
        <v>1472</v>
      </c>
      <c r="N94" t="s">
        <v>1993</v>
      </c>
      <c r="P94" t="s">
        <v>2236</v>
      </c>
      <c r="Q94" t="s">
        <v>2237</v>
      </c>
      <c r="R94" t="s">
        <v>1289</v>
      </c>
      <c r="S94" t="s">
        <v>1811</v>
      </c>
      <c r="U94" t="s">
        <v>1360</v>
      </c>
      <c r="AH94" t="s">
        <v>1071</v>
      </c>
      <c r="AZ94" t="s">
        <v>4185</v>
      </c>
      <c r="BA94" t="s">
        <v>1401</v>
      </c>
      <c r="BB94" t="s">
        <v>1166</v>
      </c>
      <c r="BP94" t="s">
        <v>3517</v>
      </c>
      <c r="BQ94" t="s">
        <v>3518</v>
      </c>
    </row>
    <row r="95" spans="12:69" x14ac:dyDescent="0.35">
      <c r="L95" t="s">
        <v>2027</v>
      </c>
      <c r="M95" t="s">
        <v>1473</v>
      </c>
      <c r="N95" t="s">
        <v>1993</v>
      </c>
      <c r="P95" t="s">
        <v>2250</v>
      </c>
      <c r="Q95" t="s">
        <v>2251</v>
      </c>
      <c r="R95" t="s">
        <v>1289</v>
      </c>
      <c r="S95" t="s">
        <v>1811</v>
      </c>
      <c r="U95" t="s">
        <v>1361</v>
      </c>
      <c r="AH95" t="s">
        <v>2635</v>
      </c>
      <c r="AZ95" t="s">
        <v>1635</v>
      </c>
      <c r="BA95" t="s">
        <v>1401</v>
      </c>
      <c r="BB95" t="s">
        <v>1166</v>
      </c>
      <c r="BP95" t="s">
        <v>3519</v>
      </c>
      <c r="BQ95" t="s">
        <v>3520</v>
      </c>
    </row>
    <row r="96" spans="12:69" x14ac:dyDescent="0.35">
      <c r="L96" t="s">
        <v>2035</v>
      </c>
      <c r="M96" t="s">
        <v>1474</v>
      </c>
      <c r="N96" t="s">
        <v>1993</v>
      </c>
      <c r="P96" t="s">
        <v>2333</v>
      </c>
      <c r="Q96" t="s">
        <v>1290</v>
      </c>
      <c r="R96" t="s">
        <v>1290</v>
      </c>
      <c r="S96" t="s">
        <v>1993</v>
      </c>
      <c r="U96" t="s">
        <v>1362</v>
      </c>
      <c r="AH96" t="s">
        <v>1070</v>
      </c>
      <c r="AZ96" t="s">
        <v>3358</v>
      </c>
      <c r="BA96" t="s">
        <v>1404</v>
      </c>
      <c r="BB96" t="s">
        <v>1165</v>
      </c>
      <c r="BP96" t="s">
        <v>3521</v>
      </c>
      <c r="BQ96" t="s">
        <v>3522</v>
      </c>
    </row>
    <row r="97" spans="12:69" x14ac:dyDescent="0.35">
      <c r="L97" t="s">
        <v>2151</v>
      </c>
      <c r="M97" t="s">
        <v>1475</v>
      </c>
      <c r="N97" t="s">
        <v>1993</v>
      </c>
      <c r="P97" t="s">
        <v>2513</v>
      </c>
      <c r="Q97" t="s">
        <v>1354</v>
      </c>
      <c r="R97" t="s">
        <v>1354</v>
      </c>
      <c r="S97" t="s">
        <v>1993</v>
      </c>
      <c r="U97" t="s">
        <v>2391</v>
      </c>
      <c r="AH97" t="s">
        <v>2636</v>
      </c>
      <c r="AZ97" t="s">
        <v>3359</v>
      </c>
      <c r="BA97" t="s">
        <v>1398</v>
      </c>
      <c r="BB97" t="s">
        <v>1165</v>
      </c>
      <c r="BP97" t="s">
        <v>3523</v>
      </c>
      <c r="BQ97" t="s">
        <v>4381</v>
      </c>
    </row>
    <row r="98" spans="12:69" x14ac:dyDescent="0.35">
      <c r="L98" t="s">
        <v>2061</v>
      </c>
      <c r="M98" t="s">
        <v>1476</v>
      </c>
      <c r="N98" t="s">
        <v>1993</v>
      </c>
      <c r="P98" t="s">
        <v>2382</v>
      </c>
      <c r="Q98" t="s">
        <v>2383</v>
      </c>
      <c r="R98" t="s">
        <v>2383</v>
      </c>
      <c r="S98" t="s">
        <v>1812</v>
      </c>
      <c r="U98" t="s">
        <v>2392</v>
      </c>
      <c r="AH98" t="s">
        <v>1069</v>
      </c>
      <c r="AZ98" t="s">
        <v>1636</v>
      </c>
      <c r="BA98" t="s">
        <v>1398</v>
      </c>
      <c r="BB98" t="s">
        <v>1165</v>
      </c>
      <c r="BP98" t="s">
        <v>3524</v>
      </c>
      <c r="BQ98" t="s">
        <v>4382</v>
      </c>
    </row>
    <row r="99" spans="12:69" x14ac:dyDescent="0.35">
      <c r="L99" t="s">
        <v>2123</v>
      </c>
      <c r="M99" t="s">
        <v>1477</v>
      </c>
      <c r="N99" t="s">
        <v>1993</v>
      </c>
      <c r="P99" t="s">
        <v>2488</v>
      </c>
      <c r="Q99" t="s">
        <v>1355</v>
      </c>
      <c r="R99" t="s">
        <v>1355</v>
      </c>
      <c r="S99" t="s">
        <v>1811</v>
      </c>
      <c r="U99" t="s">
        <v>2394</v>
      </c>
      <c r="AH99" t="s">
        <v>1068</v>
      </c>
      <c r="AZ99" t="s">
        <v>3360</v>
      </c>
      <c r="BA99" t="s">
        <v>1398</v>
      </c>
      <c r="BB99" t="s">
        <v>1165</v>
      </c>
      <c r="BP99" t="s">
        <v>3525</v>
      </c>
      <c r="BQ99" t="s">
        <v>4383</v>
      </c>
    </row>
    <row r="100" spans="12:69" x14ac:dyDescent="0.35">
      <c r="L100" t="s">
        <v>2074</v>
      </c>
      <c r="M100" t="s">
        <v>1478</v>
      </c>
      <c r="N100" t="s">
        <v>1993</v>
      </c>
      <c r="P100" t="s">
        <v>2536</v>
      </c>
      <c r="Q100" t="s">
        <v>1356</v>
      </c>
      <c r="R100" t="s">
        <v>1356</v>
      </c>
      <c r="S100" t="s">
        <v>1993</v>
      </c>
      <c r="U100" t="s">
        <v>1363</v>
      </c>
      <c r="AH100" t="s">
        <v>2637</v>
      </c>
      <c r="AZ100" t="s">
        <v>1637</v>
      </c>
      <c r="BA100" t="s">
        <v>1398</v>
      </c>
      <c r="BB100" t="s">
        <v>1165</v>
      </c>
      <c r="BP100" t="s">
        <v>3526</v>
      </c>
      <c r="BQ100" t="s">
        <v>4384</v>
      </c>
    </row>
    <row r="101" spans="12:69" x14ac:dyDescent="0.35">
      <c r="L101" t="s">
        <v>2073</v>
      </c>
      <c r="M101" t="s">
        <v>1479</v>
      </c>
      <c r="N101" t="s">
        <v>1993</v>
      </c>
      <c r="P101" t="s">
        <v>4047</v>
      </c>
      <c r="Q101" t="s">
        <v>2299</v>
      </c>
      <c r="R101" t="s">
        <v>2299</v>
      </c>
      <c r="S101" t="s">
        <v>1993</v>
      </c>
      <c r="U101" t="s">
        <v>1293</v>
      </c>
      <c r="AH101" t="s">
        <v>1067</v>
      </c>
      <c r="AZ101" t="s">
        <v>1638</v>
      </c>
      <c r="BA101" t="s">
        <v>1401</v>
      </c>
      <c r="BB101" t="s">
        <v>1165</v>
      </c>
      <c r="BP101" t="s">
        <v>3527</v>
      </c>
      <c r="BQ101" t="s">
        <v>4385</v>
      </c>
    </row>
    <row r="102" spans="12:69" x14ac:dyDescent="0.35">
      <c r="L102" t="s">
        <v>2069</v>
      </c>
      <c r="M102" t="s">
        <v>1390</v>
      </c>
      <c r="N102" t="s">
        <v>1993</v>
      </c>
      <c r="P102" t="s">
        <v>2487</v>
      </c>
      <c r="Q102" t="s">
        <v>1572</v>
      </c>
      <c r="R102" t="s">
        <v>1572</v>
      </c>
      <c r="S102" t="s">
        <v>1811</v>
      </c>
      <c r="U102" t="s">
        <v>1294</v>
      </c>
      <c r="AH102" t="s">
        <v>2638</v>
      </c>
      <c r="AZ102" t="s">
        <v>1639</v>
      </c>
      <c r="BA102" t="s">
        <v>1401</v>
      </c>
      <c r="BB102" t="s">
        <v>1165</v>
      </c>
      <c r="BP102" t="s">
        <v>3528</v>
      </c>
      <c r="BQ102" t="s">
        <v>4386</v>
      </c>
    </row>
    <row r="103" spans="12:69" x14ac:dyDescent="0.35">
      <c r="L103" t="s">
        <v>2098</v>
      </c>
      <c r="M103" t="s">
        <v>1480</v>
      </c>
      <c r="N103" t="s">
        <v>1993</v>
      </c>
      <c r="P103" t="s">
        <v>2510</v>
      </c>
      <c r="Q103" t="s">
        <v>1357</v>
      </c>
      <c r="R103" t="s">
        <v>1357</v>
      </c>
      <c r="S103" t="s">
        <v>1993</v>
      </c>
      <c r="U103" t="s">
        <v>1365</v>
      </c>
      <c r="AH103" t="s">
        <v>1066</v>
      </c>
      <c r="AZ103" t="s">
        <v>3361</v>
      </c>
      <c r="BA103" t="s">
        <v>1386</v>
      </c>
      <c r="BB103" t="s">
        <v>1166</v>
      </c>
      <c r="BP103" t="s">
        <v>3529</v>
      </c>
      <c r="BQ103" t="s">
        <v>3530</v>
      </c>
    </row>
    <row r="104" spans="12:69" x14ac:dyDescent="0.35">
      <c r="L104" t="s">
        <v>2099</v>
      </c>
      <c r="M104" t="s">
        <v>1481</v>
      </c>
      <c r="N104" t="s">
        <v>1993</v>
      </c>
      <c r="P104" t="s">
        <v>2415</v>
      </c>
      <c r="Q104" t="s">
        <v>2416</v>
      </c>
      <c r="R104" t="s">
        <v>2416</v>
      </c>
      <c r="S104" t="s">
        <v>1812</v>
      </c>
      <c r="U104" t="s">
        <v>209</v>
      </c>
      <c r="AH104" t="s">
        <v>2639</v>
      </c>
      <c r="AZ104" t="s">
        <v>3362</v>
      </c>
      <c r="BA104" t="s">
        <v>1386</v>
      </c>
      <c r="BB104" t="s">
        <v>1166</v>
      </c>
      <c r="BP104" t="s">
        <v>3531</v>
      </c>
      <c r="BQ104" t="s">
        <v>3532</v>
      </c>
    </row>
    <row r="105" spans="12:69" x14ac:dyDescent="0.35">
      <c r="L105" t="s">
        <v>2176</v>
      </c>
      <c r="M105" t="s">
        <v>1482</v>
      </c>
      <c r="N105" t="s">
        <v>1993</v>
      </c>
      <c r="P105" t="s">
        <v>2502</v>
      </c>
      <c r="Q105" t="s">
        <v>1573</v>
      </c>
      <c r="R105" t="s">
        <v>1573</v>
      </c>
      <c r="S105" t="s">
        <v>1811</v>
      </c>
      <c r="U105" t="s">
        <v>2522</v>
      </c>
      <c r="AH105" t="s">
        <v>1065</v>
      </c>
      <c r="AZ105" t="s">
        <v>3363</v>
      </c>
      <c r="BA105" t="s">
        <v>1386</v>
      </c>
      <c r="BB105" t="s">
        <v>1166</v>
      </c>
      <c r="BP105" t="s">
        <v>3533</v>
      </c>
      <c r="BQ105" t="s">
        <v>42</v>
      </c>
    </row>
    <row r="106" spans="12:69" x14ac:dyDescent="0.35">
      <c r="L106" t="s">
        <v>2097</v>
      </c>
      <c r="M106" t="s">
        <v>1483</v>
      </c>
      <c r="N106" t="s">
        <v>1993</v>
      </c>
      <c r="P106" t="s">
        <v>2351</v>
      </c>
      <c r="Q106" t="s">
        <v>2352</v>
      </c>
      <c r="R106" t="s">
        <v>1291</v>
      </c>
      <c r="S106" t="s">
        <v>1811</v>
      </c>
      <c r="U106" t="s">
        <v>1575</v>
      </c>
      <c r="AH106" t="s">
        <v>1064</v>
      </c>
      <c r="AZ106" t="s">
        <v>3364</v>
      </c>
      <c r="BA106" t="s">
        <v>1386</v>
      </c>
      <c r="BB106" t="s">
        <v>1166</v>
      </c>
      <c r="BP106" t="s">
        <v>3534</v>
      </c>
      <c r="BQ106" t="s">
        <v>3535</v>
      </c>
    </row>
    <row r="107" spans="12:69" x14ac:dyDescent="0.35">
      <c r="L107" t="s">
        <v>2025</v>
      </c>
      <c r="M107" t="s">
        <v>1484</v>
      </c>
      <c r="N107" t="s">
        <v>1993</v>
      </c>
      <c r="P107" t="s">
        <v>2364</v>
      </c>
      <c r="Q107" t="s">
        <v>2365</v>
      </c>
      <c r="R107" t="s">
        <v>1291</v>
      </c>
      <c r="S107" t="s">
        <v>1811</v>
      </c>
      <c r="U107" t="s">
        <v>1295</v>
      </c>
      <c r="AH107" t="s">
        <v>1063</v>
      </c>
      <c r="AZ107" t="s">
        <v>4186</v>
      </c>
      <c r="BA107" t="s">
        <v>1401</v>
      </c>
      <c r="BB107" t="s">
        <v>1166</v>
      </c>
      <c r="BP107" t="s">
        <v>3536</v>
      </c>
      <c r="BQ107" t="s">
        <v>4387</v>
      </c>
    </row>
    <row r="108" spans="12:69" x14ac:dyDescent="0.35">
      <c r="L108" t="s">
        <v>2014</v>
      </c>
      <c r="M108" t="s">
        <v>1485</v>
      </c>
      <c r="N108" t="s">
        <v>1993</v>
      </c>
      <c r="P108" t="s">
        <v>2366</v>
      </c>
      <c r="Q108" t="s">
        <v>2367</v>
      </c>
      <c r="R108" t="s">
        <v>1291</v>
      </c>
      <c r="S108" t="s">
        <v>1811</v>
      </c>
      <c r="U108" t="s">
        <v>1366</v>
      </c>
      <c r="AH108" t="s">
        <v>1062</v>
      </c>
      <c r="AZ108" t="s">
        <v>4187</v>
      </c>
      <c r="BA108" t="s">
        <v>1353</v>
      </c>
      <c r="BB108" t="s">
        <v>1165</v>
      </c>
      <c r="BP108" t="s">
        <v>3537</v>
      </c>
      <c r="BQ108" t="s">
        <v>4388</v>
      </c>
    </row>
    <row r="109" spans="12:69" x14ac:dyDescent="0.35">
      <c r="L109" t="s">
        <v>2015</v>
      </c>
      <c r="M109" t="s">
        <v>1372</v>
      </c>
      <c r="N109" t="s">
        <v>1993</v>
      </c>
      <c r="P109" t="s">
        <v>2368</v>
      </c>
      <c r="Q109" t="s">
        <v>2369</v>
      </c>
      <c r="R109" t="s">
        <v>1291</v>
      </c>
      <c r="S109" t="s">
        <v>1811</v>
      </c>
      <c r="U109" t="s">
        <v>1576</v>
      </c>
      <c r="AH109" t="s">
        <v>2640</v>
      </c>
      <c r="AZ109" t="s">
        <v>1640</v>
      </c>
      <c r="BA109" t="s">
        <v>1353</v>
      </c>
      <c r="BB109" t="s">
        <v>1165</v>
      </c>
      <c r="BP109" t="s">
        <v>3538</v>
      </c>
      <c r="BQ109" t="s">
        <v>3539</v>
      </c>
    </row>
    <row r="110" spans="12:69" x14ac:dyDescent="0.35">
      <c r="L110" t="s">
        <v>2044</v>
      </c>
      <c r="M110" t="s">
        <v>1486</v>
      </c>
      <c r="N110" t="s">
        <v>1993</v>
      </c>
      <c r="P110" t="s">
        <v>2370</v>
      </c>
      <c r="Q110" t="s">
        <v>2371</v>
      </c>
      <c r="R110" t="s">
        <v>1291</v>
      </c>
      <c r="S110" t="s">
        <v>1811</v>
      </c>
      <c r="U110" t="s">
        <v>1046</v>
      </c>
      <c r="AH110" t="s">
        <v>3822</v>
      </c>
      <c r="AZ110" t="s">
        <v>1641</v>
      </c>
      <c r="BA110" t="s">
        <v>1353</v>
      </c>
      <c r="BB110" t="s">
        <v>1165</v>
      </c>
      <c r="BP110" t="s">
        <v>3540</v>
      </c>
      <c r="BQ110" t="s">
        <v>3541</v>
      </c>
    </row>
    <row r="111" spans="12:69" x14ac:dyDescent="0.35">
      <c r="L111" t="s">
        <v>2168</v>
      </c>
      <c r="M111" t="s">
        <v>1487</v>
      </c>
      <c r="N111" t="s">
        <v>1993</v>
      </c>
      <c r="P111" t="s">
        <v>2280</v>
      </c>
      <c r="Q111" t="s">
        <v>2281</v>
      </c>
      <c r="R111" t="s">
        <v>1291</v>
      </c>
      <c r="S111" t="s">
        <v>1811</v>
      </c>
      <c r="U111" t="s">
        <v>1367</v>
      </c>
      <c r="AH111" t="s">
        <v>2641</v>
      </c>
      <c r="AZ111" t="s">
        <v>3365</v>
      </c>
      <c r="BA111" t="s">
        <v>1353</v>
      </c>
      <c r="BB111" t="s">
        <v>1165</v>
      </c>
      <c r="BP111" t="s">
        <v>3542</v>
      </c>
      <c r="BQ111" t="s">
        <v>4389</v>
      </c>
    </row>
    <row r="112" spans="12:69" x14ac:dyDescent="0.35">
      <c r="L112" t="s">
        <v>2010</v>
      </c>
      <c r="M112" t="s">
        <v>1488</v>
      </c>
      <c r="N112" t="s">
        <v>1993</v>
      </c>
      <c r="P112" t="s">
        <v>2282</v>
      </c>
      <c r="Q112" t="s">
        <v>2283</v>
      </c>
      <c r="R112" t="s">
        <v>1291</v>
      </c>
      <c r="S112" t="s">
        <v>1811</v>
      </c>
      <c r="U112" t="s">
        <v>1368</v>
      </c>
      <c r="AH112" t="s">
        <v>1061</v>
      </c>
      <c r="AZ112" t="s">
        <v>1642</v>
      </c>
      <c r="BA112" t="s">
        <v>1353</v>
      </c>
      <c r="BB112" t="s">
        <v>1165</v>
      </c>
      <c r="BP112" t="s">
        <v>3543</v>
      </c>
      <c r="BQ112" t="s">
        <v>4390</v>
      </c>
    </row>
    <row r="113" spans="12:69" x14ac:dyDescent="0.35">
      <c r="L113" t="s">
        <v>2169</v>
      </c>
      <c r="M113" t="s">
        <v>2170</v>
      </c>
      <c r="N113" t="s">
        <v>1993</v>
      </c>
      <c r="P113" t="s">
        <v>2284</v>
      </c>
      <c r="Q113" t="s">
        <v>2285</v>
      </c>
      <c r="R113" t="s">
        <v>1291</v>
      </c>
      <c r="S113" t="s">
        <v>1811</v>
      </c>
      <c r="U113" t="s">
        <v>2436</v>
      </c>
      <c r="AH113" t="s">
        <v>2642</v>
      </c>
      <c r="AZ113" t="s">
        <v>1643</v>
      </c>
      <c r="BA113" t="s">
        <v>1285</v>
      </c>
      <c r="BB113" t="s">
        <v>1165</v>
      </c>
      <c r="BP113" t="s">
        <v>3544</v>
      </c>
      <c r="BQ113" t="s">
        <v>4391</v>
      </c>
    </row>
    <row r="114" spans="12:69" x14ac:dyDescent="0.35">
      <c r="L114" t="s">
        <v>2130</v>
      </c>
      <c r="M114" t="s">
        <v>1489</v>
      </c>
      <c r="N114" t="s">
        <v>1993</v>
      </c>
      <c r="P114" t="s">
        <v>4341</v>
      </c>
      <c r="Q114" t="s">
        <v>4342</v>
      </c>
      <c r="R114" t="s">
        <v>4342</v>
      </c>
      <c r="S114" t="s">
        <v>1811</v>
      </c>
      <c r="U114" t="s">
        <v>2438</v>
      </c>
      <c r="AH114" t="s">
        <v>2643</v>
      </c>
      <c r="AZ114" t="s">
        <v>1644</v>
      </c>
      <c r="BA114" t="s">
        <v>1353</v>
      </c>
      <c r="BB114" t="s">
        <v>1165</v>
      </c>
      <c r="BP114" t="s">
        <v>3545</v>
      </c>
      <c r="BQ114" t="s">
        <v>4392</v>
      </c>
    </row>
    <row r="115" spans="12:69" x14ac:dyDescent="0.35">
      <c r="L115" t="s">
        <v>2125</v>
      </c>
      <c r="M115" t="s">
        <v>1490</v>
      </c>
      <c r="N115" t="s">
        <v>1993</v>
      </c>
      <c r="P115" t="s">
        <v>2417</v>
      </c>
      <c r="Q115" t="s">
        <v>2418</v>
      </c>
      <c r="R115" t="s">
        <v>2418</v>
      </c>
      <c r="S115" t="s">
        <v>1812</v>
      </c>
      <c r="U115" t="s">
        <v>2440</v>
      </c>
      <c r="AH115" t="s">
        <v>1060</v>
      </c>
      <c r="AZ115" t="s">
        <v>1645</v>
      </c>
      <c r="BA115" t="s">
        <v>1353</v>
      </c>
      <c r="BB115" t="s">
        <v>1165</v>
      </c>
      <c r="BP115" t="s">
        <v>3546</v>
      </c>
      <c r="BQ115" t="s">
        <v>3471</v>
      </c>
    </row>
    <row r="116" spans="12:69" x14ac:dyDescent="0.35">
      <c r="L116" t="s">
        <v>2131</v>
      </c>
      <c r="M116" t="s">
        <v>1491</v>
      </c>
      <c r="N116" t="s">
        <v>1993</v>
      </c>
      <c r="P116" t="s">
        <v>2419</v>
      </c>
      <c r="Q116" t="s">
        <v>2420</v>
      </c>
      <c r="R116" t="s">
        <v>2420</v>
      </c>
      <c r="S116" t="s">
        <v>1812</v>
      </c>
      <c r="U116" t="s">
        <v>2442</v>
      </c>
      <c r="AH116" t="s">
        <v>2644</v>
      </c>
      <c r="AZ116" t="s">
        <v>1646</v>
      </c>
      <c r="BA116" t="s">
        <v>1393</v>
      </c>
      <c r="BB116" t="s">
        <v>1167</v>
      </c>
      <c r="BP116" t="s">
        <v>3547</v>
      </c>
      <c r="BQ116" t="s">
        <v>4393</v>
      </c>
    </row>
    <row r="117" spans="12:69" x14ac:dyDescent="0.35">
      <c r="L117" t="s">
        <v>2011</v>
      </c>
      <c r="M117" t="s">
        <v>1492</v>
      </c>
      <c r="N117" t="s">
        <v>1993</v>
      </c>
      <c r="P117" t="s">
        <v>2421</v>
      </c>
      <c r="Q117" t="s">
        <v>2422</v>
      </c>
      <c r="R117" t="s">
        <v>2422</v>
      </c>
      <c r="S117" t="s">
        <v>1812</v>
      </c>
      <c r="U117" t="s">
        <v>2444</v>
      </c>
      <c r="AH117" t="s">
        <v>2645</v>
      </c>
      <c r="AZ117" t="s">
        <v>1647</v>
      </c>
      <c r="BA117" t="s">
        <v>1353</v>
      </c>
      <c r="BB117" t="s">
        <v>1165</v>
      </c>
      <c r="BP117" t="s">
        <v>3548</v>
      </c>
      <c r="BQ117" t="s">
        <v>3549</v>
      </c>
    </row>
    <row r="118" spans="12:69" x14ac:dyDescent="0.35">
      <c r="L118" t="s">
        <v>2007</v>
      </c>
      <c r="M118" t="s">
        <v>1493</v>
      </c>
      <c r="N118" t="s">
        <v>1993</v>
      </c>
      <c r="P118" t="s">
        <v>2470</v>
      </c>
      <c r="Q118" t="s">
        <v>1366</v>
      </c>
      <c r="R118" t="s">
        <v>1358</v>
      </c>
      <c r="S118" t="s">
        <v>1811</v>
      </c>
      <c r="U118" t="s">
        <v>2446</v>
      </c>
      <c r="AH118" t="s">
        <v>2646</v>
      </c>
      <c r="AZ118" t="s">
        <v>1648</v>
      </c>
      <c r="BA118" t="s">
        <v>1385</v>
      </c>
      <c r="BB118" t="s">
        <v>1165</v>
      </c>
      <c r="BP118" t="s">
        <v>3550</v>
      </c>
      <c r="BQ118" t="s">
        <v>3551</v>
      </c>
    </row>
    <row r="119" spans="12:69" x14ac:dyDescent="0.35">
      <c r="L119" t="s">
        <v>2009</v>
      </c>
      <c r="M119" t="s">
        <v>1494</v>
      </c>
      <c r="N119" t="s">
        <v>1993</v>
      </c>
      <c r="P119" t="s">
        <v>2467</v>
      </c>
      <c r="Q119" t="s">
        <v>1325</v>
      </c>
      <c r="R119" t="s">
        <v>1358</v>
      </c>
      <c r="S119" t="s">
        <v>1811</v>
      </c>
      <c r="U119" t="s">
        <v>1296</v>
      </c>
      <c r="AH119" t="s">
        <v>2647</v>
      </c>
      <c r="AZ119" t="s">
        <v>1649</v>
      </c>
      <c r="BA119" t="s">
        <v>1385</v>
      </c>
      <c r="BB119" t="s">
        <v>1165</v>
      </c>
      <c r="BP119" t="s">
        <v>3552</v>
      </c>
      <c r="BQ119" t="s">
        <v>3553</v>
      </c>
    </row>
    <row r="120" spans="12:69" x14ac:dyDescent="0.35">
      <c r="L120" t="s">
        <v>2013</v>
      </c>
      <c r="M120" t="s">
        <v>1495</v>
      </c>
      <c r="N120" t="s">
        <v>1993</v>
      </c>
      <c r="P120" t="s">
        <v>2269</v>
      </c>
      <c r="Q120" t="s">
        <v>4048</v>
      </c>
      <c r="R120" t="s">
        <v>1358</v>
      </c>
      <c r="S120" t="s">
        <v>1811</v>
      </c>
      <c r="U120" t="s">
        <v>2430</v>
      </c>
      <c r="AH120" t="s">
        <v>1059</v>
      </c>
      <c r="AZ120" t="s">
        <v>1650</v>
      </c>
      <c r="BA120" t="s">
        <v>1385</v>
      </c>
      <c r="BB120" t="s">
        <v>1165</v>
      </c>
      <c r="BP120" t="s">
        <v>3554</v>
      </c>
      <c r="BQ120" t="s">
        <v>4394</v>
      </c>
    </row>
    <row r="121" spans="12:69" x14ac:dyDescent="0.35">
      <c r="L121" t="s">
        <v>2165</v>
      </c>
      <c r="M121" t="s">
        <v>1496</v>
      </c>
      <c r="N121" t="s">
        <v>1993</v>
      </c>
      <c r="P121" t="s">
        <v>2478</v>
      </c>
      <c r="Q121" t="s">
        <v>1328</v>
      </c>
      <c r="R121" t="s">
        <v>1358</v>
      </c>
      <c r="S121" t="s">
        <v>1811</v>
      </c>
      <c r="U121" t="s">
        <v>2448</v>
      </c>
      <c r="AH121" t="s">
        <v>2648</v>
      </c>
      <c r="AZ121" t="s">
        <v>1651</v>
      </c>
      <c r="BA121" t="s">
        <v>1385</v>
      </c>
      <c r="BB121" t="s">
        <v>1165</v>
      </c>
      <c r="BP121" t="s">
        <v>3555</v>
      </c>
      <c r="BQ121" t="s">
        <v>3556</v>
      </c>
    </row>
    <row r="122" spans="12:69" x14ac:dyDescent="0.35">
      <c r="L122" t="s">
        <v>2137</v>
      </c>
      <c r="M122" t="s">
        <v>3777</v>
      </c>
      <c r="N122" t="s">
        <v>1993</v>
      </c>
      <c r="P122" t="s">
        <v>2476</v>
      </c>
      <c r="Q122" t="s">
        <v>1352</v>
      </c>
      <c r="R122" t="s">
        <v>1358</v>
      </c>
      <c r="S122" t="s">
        <v>1811</v>
      </c>
      <c r="U122" t="s">
        <v>1297</v>
      </c>
      <c r="AH122" t="s">
        <v>2649</v>
      </c>
      <c r="AZ122" t="s">
        <v>1652</v>
      </c>
      <c r="BA122" t="s">
        <v>1385</v>
      </c>
      <c r="BB122" t="s">
        <v>1165</v>
      </c>
      <c r="BP122" t="s">
        <v>3557</v>
      </c>
      <c r="BQ122" t="s">
        <v>4395</v>
      </c>
    </row>
    <row r="123" spans="12:69" x14ac:dyDescent="0.35">
      <c r="L123" t="s">
        <v>2158</v>
      </c>
      <c r="M123" t="s">
        <v>1497</v>
      </c>
      <c r="N123" t="s">
        <v>1993</v>
      </c>
      <c r="P123" t="s">
        <v>2507</v>
      </c>
      <c r="Q123" t="s">
        <v>2508</v>
      </c>
      <c r="R123" t="s">
        <v>1358</v>
      </c>
      <c r="S123" t="s">
        <v>1993</v>
      </c>
      <c r="U123" t="s">
        <v>2432</v>
      </c>
      <c r="AH123" t="s">
        <v>2650</v>
      </c>
      <c r="AZ123" t="s">
        <v>1653</v>
      </c>
      <c r="BA123" t="s">
        <v>1388</v>
      </c>
      <c r="BB123" t="s">
        <v>1165</v>
      </c>
      <c r="BP123" t="s">
        <v>3558</v>
      </c>
      <c r="BQ123" t="s">
        <v>3559</v>
      </c>
    </row>
    <row r="124" spans="12:69" x14ac:dyDescent="0.35">
      <c r="L124" t="s">
        <v>2126</v>
      </c>
      <c r="M124" t="s">
        <v>1498</v>
      </c>
      <c r="N124" t="s">
        <v>1993</v>
      </c>
      <c r="P124" t="s">
        <v>2509</v>
      </c>
      <c r="Q124" t="s">
        <v>1341</v>
      </c>
      <c r="R124" t="s">
        <v>1358</v>
      </c>
      <c r="S124" t="s">
        <v>1993</v>
      </c>
      <c r="U124" t="s">
        <v>2434</v>
      </c>
      <c r="AH124" t="s">
        <v>2651</v>
      </c>
      <c r="AZ124" t="s">
        <v>4188</v>
      </c>
      <c r="BA124" t="s">
        <v>1388</v>
      </c>
      <c r="BB124" t="s">
        <v>1165</v>
      </c>
      <c r="BP124" t="s">
        <v>3560</v>
      </c>
      <c r="BQ124" t="s">
        <v>3561</v>
      </c>
    </row>
    <row r="125" spans="12:69" x14ac:dyDescent="0.35">
      <c r="L125" t="s">
        <v>2024</v>
      </c>
      <c r="M125" t="s">
        <v>1499</v>
      </c>
      <c r="N125" t="s">
        <v>1993</v>
      </c>
      <c r="P125" t="s">
        <v>2523</v>
      </c>
      <c r="Q125" t="s">
        <v>980</v>
      </c>
      <c r="R125" t="s">
        <v>980</v>
      </c>
      <c r="S125" t="s">
        <v>1993</v>
      </c>
      <c r="U125" t="s">
        <v>1298</v>
      </c>
      <c r="AH125" t="s">
        <v>1058</v>
      </c>
      <c r="AZ125" t="s">
        <v>4189</v>
      </c>
      <c r="BA125" t="s">
        <v>1388</v>
      </c>
      <c r="BB125" t="s">
        <v>1165</v>
      </c>
      <c r="BP125" t="s">
        <v>3562</v>
      </c>
      <c r="BQ125" t="s">
        <v>3563</v>
      </c>
    </row>
    <row r="126" spans="12:69" x14ac:dyDescent="0.35">
      <c r="L126" t="s">
        <v>2164</v>
      </c>
      <c r="M126" t="s">
        <v>1500</v>
      </c>
      <c r="N126" t="s">
        <v>1993</v>
      </c>
      <c r="P126" t="s">
        <v>2496</v>
      </c>
      <c r="Q126" t="s">
        <v>2497</v>
      </c>
      <c r="R126" t="s">
        <v>1292</v>
      </c>
      <c r="S126" t="s">
        <v>1811</v>
      </c>
      <c r="U126" t="s">
        <v>2450</v>
      </c>
      <c r="AH126" t="s">
        <v>2652</v>
      </c>
      <c r="AZ126" t="s">
        <v>1654</v>
      </c>
      <c r="BA126" t="s">
        <v>1388</v>
      </c>
      <c r="BB126" t="s">
        <v>1165</v>
      </c>
      <c r="BP126" t="s">
        <v>3564</v>
      </c>
      <c r="BQ126" t="s">
        <v>3565</v>
      </c>
    </row>
    <row r="127" spans="12:69" x14ac:dyDescent="0.35">
      <c r="L127" t="s">
        <v>2121</v>
      </c>
      <c r="M127" t="s">
        <v>1501</v>
      </c>
      <c r="N127" t="s">
        <v>1993</v>
      </c>
      <c r="P127" t="s">
        <v>2498</v>
      </c>
      <c r="Q127" t="s">
        <v>2499</v>
      </c>
      <c r="R127" t="s">
        <v>1292</v>
      </c>
      <c r="S127" t="s">
        <v>1811</v>
      </c>
      <c r="U127" t="s">
        <v>2452</v>
      </c>
      <c r="AH127" t="s">
        <v>2653</v>
      </c>
      <c r="AZ127" t="s">
        <v>1655</v>
      </c>
      <c r="BA127" t="s">
        <v>1388</v>
      </c>
      <c r="BB127" t="s">
        <v>1165</v>
      </c>
      <c r="BP127" t="s">
        <v>3566</v>
      </c>
      <c r="BQ127" t="s">
        <v>3567</v>
      </c>
    </row>
    <row r="128" spans="12:69" x14ac:dyDescent="0.35">
      <c r="L128" t="s">
        <v>2122</v>
      </c>
      <c r="M128" t="s">
        <v>1502</v>
      </c>
      <c r="N128" t="s">
        <v>1993</v>
      </c>
      <c r="P128" t="s">
        <v>2500</v>
      </c>
      <c r="Q128" t="s">
        <v>2501</v>
      </c>
      <c r="R128" t="s">
        <v>1292</v>
      </c>
      <c r="S128" t="s">
        <v>1811</v>
      </c>
      <c r="U128" t="s">
        <v>2454</v>
      </c>
      <c r="AH128" t="s">
        <v>1057</v>
      </c>
      <c r="AZ128" t="s">
        <v>3366</v>
      </c>
      <c r="BA128" t="s">
        <v>1384</v>
      </c>
      <c r="BB128" t="s">
        <v>1165</v>
      </c>
      <c r="BP128" t="s">
        <v>3568</v>
      </c>
      <c r="BQ128" t="s">
        <v>3569</v>
      </c>
    </row>
    <row r="129" spans="12:69" x14ac:dyDescent="0.35">
      <c r="L129" t="s">
        <v>2160</v>
      </c>
      <c r="M129" t="s">
        <v>3778</v>
      </c>
      <c r="N129" t="s">
        <v>1993</v>
      </c>
      <c r="P129" t="s">
        <v>4049</v>
      </c>
      <c r="Q129" t="s">
        <v>4050</v>
      </c>
      <c r="R129" t="s">
        <v>4050</v>
      </c>
      <c r="S129" t="s">
        <v>1993</v>
      </c>
      <c r="U129" t="s">
        <v>1299</v>
      </c>
      <c r="AH129" t="s">
        <v>2654</v>
      </c>
      <c r="AZ129" t="s">
        <v>4190</v>
      </c>
      <c r="BA129" t="s">
        <v>1401</v>
      </c>
      <c r="BB129" t="s">
        <v>1166</v>
      </c>
      <c r="BP129" t="s">
        <v>3570</v>
      </c>
      <c r="BQ129" t="s">
        <v>3571</v>
      </c>
    </row>
    <row r="130" spans="12:69" x14ac:dyDescent="0.35">
      <c r="L130" t="s">
        <v>2039</v>
      </c>
      <c r="M130" t="s">
        <v>1503</v>
      </c>
      <c r="N130" t="s">
        <v>1993</v>
      </c>
      <c r="P130" t="s">
        <v>2378</v>
      </c>
      <c r="Q130" t="s">
        <v>2379</v>
      </c>
      <c r="R130" t="s">
        <v>2379</v>
      </c>
      <c r="S130" t="s">
        <v>1812</v>
      </c>
      <c r="U130" t="s">
        <v>1369</v>
      </c>
      <c r="AH130" t="s">
        <v>2655</v>
      </c>
      <c r="AZ130" t="s">
        <v>1656</v>
      </c>
      <c r="BA130" t="s">
        <v>1401</v>
      </c>
      <c r="BB130" t="s">
        <v>1166</v>
      </c>
      <c r="BP130" t="s">
        <v>3572</v>
      </c>
      <c r="BQ130" t="s">
        <v>3573</v>
      </c>
    </row>
    <row r="131" spans="12:69" x14ac:dyDescent="0.35">
      <c r="L131" t="s">
        <v>2066</v>
      </c>
      <c r="M131" t="s">
        <v>1504</v>
      </c>
      <c r="N131" t="s">
        <v>1993</v>
      </c>
      <c r="P131" t="s">
        <v>2380</v>
      </c>
      <c r="Q131" t="s">
        <v>2381</v>
      </c>
      <c r="R131" t="s">
        <v>2381</v>
      </c>
      <c r="S131" t="s">
        <v>1812</v>
      </c>
      <c r="U131" t="s">
        <v>2396</v>
      </c>
      <c r="AH131" t="s">
        <v>2656</v>
      </c>
      <c r="AZ131" t="s">
        <v>3367</v>
      </c>
      <c r="BA131" t="s">
        <v>1389</v>
      </c>
      <c r="BB131" t="s">
        <v>1166</v>
      </c>
      <c r="BP131" t="s">
        <v>3574</v>
      </c>
      <c r="BQ131" t="s">
        <v>3575</v>
      </c>
    </row>
    <row r="132" spans="12:69" x14ac:dyDescent="0.35">
      <c r="L132" t="s">
        <v>3779</v>
      </c>
      <c r="M132" t="s">
        <v>3780</v>
      </c>
      <c r="N132" t="s">
        <v>1993</v>
      </c>
      <c r="P132" t="s">
        <v>2376</v>
      </c>
      <c r="Q132" t="s">
        <v>2377</v>
      </c>
      <c r="R132" t="s">
        <v>2377</v>
      </c>
      <c r="S132" t="s">
        <v>1812</v>
      </c>
      <c r="U132" t="s">
        <v>1300</v>
      </c>
      <c r="AH132" t="s">
        <v>1056</v>
      </c>
      <c r="AZ132" t="s">
        <v>1657</v>
      </c>
      <c r="BA132" t="s">
        <v>209</v>
      </c>
      <c r="BB132" t="s">
        <v>1166</v>
      </c>
      <c r="BP132" t="s">
        <v>3576</v>
      </c>
      <c r="BQ132" t="s">
        <v>3577</v>
      </c>
    </row>
    <row r="133" spans="12:69" x14ac:dyDescent="0.35">
      <c r="L133" t="s">
        <v>2179</v>
      </c>
      <c r="M133" t="s">
        <v>3781</v>
      </c>
      <c r="N133" t="s">
        <v>1993</v>
      </c>
      <c r="P133" t="s">
        <v>2459</v>
      </c>
      <c r="Q133" t="s">
        <v>2460</v>
      </c>
      <c r="R133" t="s">
        <v>2460</v>
      </c>
      <c r="S133" t="s">
        <v>1812</v>
      </c>
      <c r="U133" t="s">
        <v>2462</v>
      </c>
      <c r="AH133" t="s">
        <v>2657</v>
      </c>
      <c r="AZ133" t="s">
        <v>4191</v>
      </c>
      <c r="BA133" t="s">
        <v>1395</v>
      </c>
      <c r="BB133" t="s">
        <v>1166</v>
      </c>
      <c r="BP133" t="s">
        <v>3578</v>
      </c>
      <c r="BQ133" t="s">
        <v>3579</v>
      </c>
    </row>
    <row r="134" spans="12:69" x14ac:dyDescent="0.35">
      <c r="L134" t="s">
        <v>3782</v>
      </c>
      <c r="M134" t="s">
        <v>3783</v>
      </c>
      <c r="N134" t="s">
        <v>1993</v>
      </c>
      <c r="P134" t="s">
        <v>2374</v>
      </c>
      <c r="Q134" t="s">
        <v>2375</v>
      </c>
      <c r="R134" t="s">
        <v>2375</v>
      </c>
      <c r="S134" t="s">
        <v>1812</v>
      </c>
      <c r="U134" t="s">
        <v>1577</v>
      </c>
      <c r="AH134" t="s">
        <v>2658</v>
      </c>
      <c r="AZ134" t="s">
        <v>1658</v>
      </c>
      <c r="BA134" t="s">
        <v>1395</v>
      </c>
      <c r="BB134" t="s">
        <v>1166</v>
      </c>
      <c r="BP134" t="s">
        <v>3580</v>
      </c>
      <c r="BQ134" t="s">
        <v>3581</v>
      </c>
    </row>
    <row r="135" spans="12:69" x14ac:dyDescent="0.35">
      <c r="L135" t="s">
        <v>2139</v>
      </c>
      <c r="M135" t="s">
        <v>3784</v>
      </c>
      <c r="N135" t="s">
        <v>1993</v>
      </c>
      <c r="P135" t="s">
        <v>2386</v>
      </c>
      <c r="Q135" t="s">
        <v>2387</v>
      </c>
      <c r="R135" t="s">
        <v>2387</v>
      </c>
      <c r="S135" t="s">
        <v>1812</v>
      </c>
      <c r="U135" t="s">
        <v>1578</v>
      </c>
      <c r="AH135" t="s">
        <v>1055</v>
      </c>
      <c r="AZ135" t="s">
        <v>1659</v>
      </c>
      <c r="BA135" t="s">
        <v>1395</v>
      </c>
      <c r="BB135" t="s">
        <v>1166</v>
      </c>
      <c r="BP135" t="s">
        <v>3582</v>
      </c>
      <c r="BQ135" t="s">
        <v>4396</v>
      </c>
    </row>
    <row r="136" spans="12:69" x14ac:dyDescent="0.35">
      <c r="L136" t="s">
        <v>4335</v>
      </c>
      <c r="M136" t="s">
        <v>4336</v>
      </c>
      <c r="N136" t="s">
        <v>1993</v>
      </c>
      <c r="P136" t="s">
        <v>2388</v>
      </c>
      <c r="Q136" t="s">
        <v>2389</v>
      </c>
      <c r="R136" t="s">
        <v>2389</v>
      </c>
      <c r="S136" t="s">
        <v>1812</v>
      </c>
      <c r="U136" t="s">
        <v>1370</v>
      </c>
      <c r="AH136" t="s">
        <v>1054</v>
      </c>
      <c r="AZ136" t="s">
        <v>1660</v>
      </c>
      <c r="BA136" t="s">
        <v>1395</v>
      </c>
      <c r="BB136" t="s">
        <v>1166</v>
      </c>
      <c r="BP136" t="s">
        <v>3583</v>
      </c>
      <c r="BQ136" t="s">
        <v>3584</v>
      </c>
    </row>
    <row r="137" spans="12:69" x14ac:dyDescent="0.35">
      <c r="L137" t="s">
        <v>2087</v>
      </c>
      <c r="M137" t="s">
        <v>1505</v>
      </c>
      <c r="N137" t="s">
        <v>1993</v>
      </c>
      <c r="P137" t="s">
        <v>2248</v>
      </c>
      <c r="Q137" t="s">
        <v>2249</v>
      </c>
      <c r="R137" t="s">
        <v>1574</v>
      </c>
      <c r="S137" t="s">
        <v>1811</v>
      </c>
      <c r="U137" t="s">
        <v>2456</v>
      </c>
      <c r="AH137" t="s">
        <v>1053</v>
      </c>
      <c r="AZ137" t="s">
        <v>1661</v>
      </c>
      <c r="BA137" t="s">
        <v>1395</v>
      </c>
      <c r="BB137" t="s">
        <v>1166</v>
      </c>
      <c r="BP137" t="s">
        <v>3585</v>
      </c>
      <c r="BQ137" t="s">
        <v>3586</v>
      </c>
    </row>
    <row r="138" spans="12:69" x14ac:dyDescent="0.35">
      <c r="L138" t="s">
        <v>2033</v>
      </c>
      <c r="M138" t="s">
        <v>1506</v>
      </c>
      <c r="N138" t="s">
        <v>1993</v>
      </c>
      <c r="P138" t="s">
        <v>4051</v>
      </c>
      <c r="Q138" t="s">
        <v>4052</v>
      </c>
      <c r="R138" t="s">
        <v>1574</v>
      </c>
      <c r="S138" t="s">
        <v>1993</v>
      </c>
      <c r="U138" t="s">
        <v>1301</v>
      </c>
      <c r="AH138" t="s">
        <v>1052</v>
      </c>
      <c r="AZ138" t="s">
        <v>1662</v>
      </c>
      <c r="BA138" t="s">
        <v>1390</v>
      </c>
      <c r="BB138" t="s">
        <v>1165</v>
      </c>
      <c r="BP138" t="s">
        <v>3587</v>
      </c>
      <c r="BQ138" t="s">
        <v>3588</v>
      </c>
    </row>
    <row r="139" spans="12:69" x14ac:dyDescent="0.35">
      <c r="L139" t="s">
        <v>2157</v>
      </c>
      <c r="M139" t="s">
        <v>1507</v>
      </c>
      <c r="N139" t="s">
        <v>1993</v>
      </c>
      <c r="P139" t="s">
        <v>2208</v>
      </c>
      <c r="Q139" t="s">
        <v>2209</v>
      </c>
      <c r="R139" t="s">
        <v>1574</v>
      </c>
      <c r="S139" t="s">
        <v>1811</v>
      </c>
      <c r="U139" t="s">
        <v>2398</v>
      </c>
      <c r="AH139" t="s">
        <v>1051</v>
      </c>
      <c r="AZ139" t="s">
        <v>3368</v>
      </c>
      <c r="BA139" t="s">
        <v>1277</v>
      </c>
      <c r="BB139" t="s">
        <v>1165</v>
      </c>
      <c r="BP139" t="s">
        <v>3589</v>
      </c>
      <c r="BQ139" t="s">
        <v>3590</v>
      </c>
    </row>
    <row r="140" spans="12:69" x14ac:dyDescent="0.35">
      <c r="L140" t="s">
        <v>2141</v>
      </c>
      <c r="M140" t="s">
        <v>1508</v>
      </c>
      <c r="N140" t="s">
        <v>1993</v>
      </c>
      <c r="P140" t="s">
        <v>2210</v>
      </c>
      <c r="Q140" t="s">
        <v>2211</v>
      </c>
      <c r="R140" t="s">
        <v>1574</v>
      </c>
      <c r="S140" t="s">
        <v>1811</v>
      </c>
      <c r="U140" t="s">
        <v>2400</v>
      </c>
      <c r="AH140" t="s">
        <v>1050</v>
      </c>
      <c r="AZ140" t="s">
        <v>3369</v>
      </c>
      <c r="BA140" t="s">
        <v>1277</v>
      </c>
      <c r="BB140" t="s">
        <v>1165</v>
      </c>
      <c r="BP140" t="s">
        <v>3591</v>
      </c>
      <c r="BQ140" t="s">
        <v>3592</v>
      </c>
    </row>
    <row r="141" spans="12:69" x14ac:dyDescent="0.35">
      <c r="L141" t="s">
        <v>2124</v>
      </c>
      <c r="M141" t="s">
        <v>1509</v>
      </c>
      <c r="N141" t="s">
        <v>1993</v>
      </c>
      <c r="P141" t="s">
        <v>2212</v>
      </c>
      <c r="Q141" t="s">
        <v>2213</v>
      </c>
      <c r="R141" t="s">
        <v>1574</v>
      </c>
      <c r="S141" t="s">
        <v>1811</v>
      </c>
      <c r="U141" t="s">
        <v>2424</v>
      </c>
      <c r="AH141" t="s">
        <v>1049</v>
      </c>
      <c r="AZ141" t="s">
        <v>3370</v>
      </c>
      <c r="BA141" t="s">
        <v>1277</v>
      </c>
      <c r="BB141" t="s">
        <v>1165</v>
      </c>
      <c r="BP141" t="s">
        <v>3593</v>
      </c>
      <c r="BQ141" t="s">
        <v>4397</v>
      </c>
    </row>
    <row r="142" spans="12:69" x14ac:dyDescent="0.35">
      <c r="L142" t="s">
        <v>2080</v>
      </c>
      <c r="M142" t="s">
        <v>1510</v>
      </c>
      <c r="N142" t="s">
        <v>1993</v>
      </c>
      <c r="P142" t="s">
        <v>2214</v>
      </c>
      <c r="Q142" t="s">
        <v>2215</v>
      </c>
      <c r="R142" t="s">
        <v>1574</v>
      </c>
      <c r="S142" t="s">
        <v>1811</v>
      </c>
      <c r="U142" t="s">
        <v>2426</v>
      </c>
      <c r="AH142" t="s">
        <v>2659</v>
      </c>
      <c r="AZ142" t="s">
        <v>4192</v>
      </c>
      <c r="BA142" t="s">
        <v>1401</v>
      </c>
      <c r="BB142" t="s">
        <v>1165</v>
      </c>
      <c r="BP142" t="s">
        <v>4279</v>
      </c>
      <c r="BQ142" t="s">
        <v>4398</v>
      </c>
    </row>
    <row r="143" spans="12:69" x14ac:dyDescent="0.35">
      <c r="L143" t="s">
        <v>2138</v>
      </c>
      <c r="M143" t="s">
        <v>1511</v>
      </c>
      <c r="N143" t="s">
        <v>1993</v>
      </c>
      <c r="P143" t="s">
        <v>2216</v>
      </c>
      <c r="Q143" t="s">
        <v>2217</v>
      </c>
      <c r="R143" t="s">
        <v>1574</v>
      </c>
      <c r="S143" t="s">
        <v>1811</v>
      </c>
      <c r="U143" t="s">
        <v>2428</v>
      </c>
      <c r="AH143" t="s">
        <v>2660</v>
      </c>
      <c r="AZ143" t="s">
        <v>1663</v>
      </c>
      <c r="BA143" t="s">
        <v>1401</v>
      </c>
      <c r="BB143" t="s">
        <v>1165</v>
      </c>
      <c r="BP143" t="s">
        <v>4280</v>
      </c>
      <c r="BQ143" t="s">
        <v>4399</v>
      </c>
    </row>
    <row r="144" spans="12:69" x14ac:dyDescent="0.35">
      <c r="L144" t="s">
        <v>3785</v>
      </c>
      <c r="M144" t="s">
        <v>3786</v>
      </c>
      <c r="N144" t="s">
        <v>1993</v>
      </c>
      <c r="P144" t="s">
        <v>2218</v>
      </c>
      <c r="Q144" t="s">
        <v>2219</v>
      </c>
      <c r="R144" t="s">
        <v>1574</v>
      </c>
      <c r="S144" t="s">
        <v>1811</v>
      </c>
      <c r="U144" t="s">
        <v>1579</v>
      </c>
      <c r="AH144" t="s">
        <v>2661</v>
      </c>
      <c r="AZ144" t="s">
        <v>3371</v>
      </c>
      <c r="BA144" t="s">
        <v>1277</v>
      </c>
      <c r="BB144" t="s">
        <v>1165</v>
      </c>
      <c r="BP144" t="s">
        <v>4281</v>
      </c>
      <c r="BQ144" t="s">
        <v>4400</v>
      </c>
    </row>
    <row r="145" spans="12:69" x14ac:dyDescent="0.35">
      <c r="L145" t="s">
        <v>2175</v>
      </c>
      <c r="M145" t="s">
        <v>3787</v>
      </c>
      <c r="N145" t="s">
        <v>1993</v>
      </c>
      <c r="P145" t="s">
        <v>2220</v>
      </c>
      <c r="Q145" t="s">
        <v>2221</v>
      </c>
      <c r="R145" t="s">
        <v>1574</v>
      </c>
      <c r="S145" t="s">
        <v>1811</v>
      </c>
      <c r="U145" t="s">
        <v>2486</v>
      </c>
      <c r="AH145" t="s">
        <v>2662</v>
      </c>
      <c r="AZ145" t="s">
        <v>3372</v>
      </c>
      <c r="BA145" t="s">
        <v>1277</v>
      </c>
      <c r="BB145" t="s">
        <v>1165</v>
      </c>
      <c r="BP145" t="s">
        <v>4282</v>
      </c>
      <c r="BQ145" t="s">
        <v>4283</v>
      </c>
    </row>
    <row r="146" spans="12:69" x14ac:dyDescent="0.35">
      <c r="L146" t="s">
        <v>2140</v>
      </c>
      <c r="M146" t="s">
        <v>1512</v>
      </c>
      <c r="N146" t="s">
        <v>1993</v>
      </c>
      <c r="P146" t="s">
        <v>2222</v>
      </c>
      <c r="Q146" t="s">
        <v>2223</v>
      </c>
      <c r="R146" t="s">
        <v>1574</v>
      </c>
      <c r="S146" t="s">
        <v>1811</v>
      </c>
      <c r="AH146" t="s">
        <v>2663</v>
      </c>
      <c r="AZ146" t="s">
        <v>3373</v>
      </c>
      <c r="BA146" t="s">
        <v>1277</v>
      </c>
      <c r="BB146" t="s">
        <v>1165</v>
      </c>
      <c r="BP146" t="s">
        <v>4284</v>
      </c>
      <c r="BQ146" t="s">
        <v>4285</v>
      </c>
    </row>
    <row r="147" spans="12:69" x14ac:dyDescent="0.35">
      <c r="L147" t="s">
        <v>2068</v>
      </c>
      <c r="M147" t="s">
        <v>1395</v>
      </c>
      <c r="N147" t="s">
        <v>1993</v>
      </c>
      <c r="P147" t="s">
        <v>2534</v>
      </c>
      <c r="Q147" t="s">
        <v>1574</v>
      </c>
      <c r="R147" t="s">
        <v>1574</v>
      </c>
      <c r="S147" t="s">
        <v>1993</v>
      </c>
      <c r="AH147" t="s">
        <v>2664</v>
      </c>
      <c r="AZ147" t="s">
        <v>3374</v>
      </c>
      <c r="BA147" t="s">
        <v>1277</v>
      </c>
      <c r="BB147" t="s">
        <v>1165</v>
      </c>
      <c r="BP147" t="s">
        <v>4284</v>
      </c>
      <c r="BQ147" t="s">
        <v>4401</v>
      </c>
    </row>
    <row r="148" spans="12:69" x14ac:dyDescent="0.35">
      <c r="L148" t="s">
        <v>2079</v>
      </c>
      <c r="M148" t="s">
        <v>1513</v>
      </c>
      <c r="N148" t="s">
        <v>1993</v>
      </c>
      <c r="P148" t="s">
        <v>2526</v>
      </c>
      <c r="Q148" t="s">
        <v>1359</v>
      </c>
      <c r="R148" t="s">
        <v>1359</v>
      </c>
      <c r="S148" t="s">
        <v>1993</v>
      </c>
      <c r="AH148" t="s">
        <v>2665</v>
      </c>
      <c r="AZ148" t="s">
        <v>4193</v>
      </c>
      <c r="BA148" t="s">
        <v>1401</v>
      </c>
      <c r="BB148" t="s">
        <v>1165</v>
      </c>
      <c r="BP148" t="s">
        <v>4286</v>
      </c>
      <c r="BQ148" t="s">
        <v>4402</v>
      </c>
    </row>
    <row r="149" spans="12:69" x14ac:dyDescent="0.35">
      <c r="L149" t="s">
        <v>2102</v>
      </c>
      <c r="M149" t="s">
        <v>1514</v>
      </c>
      <c r="N149" t="s">
        <v>1993</v>
      </c>
      <c r="P149" t="s">
        <v>2224</v>
      </c>
      <c r="Q149" t="s">
        <v>2225</v>
      </c>
      <c r="R149" t="s">
        <v>1359</v>
      </c>
      <c r="S149" t="s">
        <v>1811</v>
      </c>
      <c r="AH149" t="s">
        <v>2666</v>
      </c>
      <c r="AZ149" t="s">
        <v>1664</v>
      </c>
      <c r="BA149" t="s">
        <v>1394</v>
      </c>
      <c r="BB149" t="s">
        <v>1165</v>
      </c>
      <c r="BP149" t="s">
        <v>4287</v>
      </c>
      <c r="BQ149" t="s">
        <v>4403</v>
      </c>
    </row>
    <row r="150" spans="12:69" x14ac:dyDescent="0.35">
      <c r="L150" t="s">
        <v>2149</v>
      </c>
      <c r="M150" t="s">
        <v>1515</v>
      </c>
      <c r="N150" t="s">
        <v>1993</v>
      </c>
      <c r="P150" t="s">
        <v>2226</v>
      </c>
      <c r="Q150" t="s">
        <v>2227</v>
      </c>
      <c r="R150" t="s">
        <v>1359</v>
      </c>
      <c r="S150" t="s">
        <v>1811</v>
      </c>
      <c r="AH150" t="s">
        <v>2667</v>
      </c>
      <c r="AZ150" t="s">
        <v>1665</v>
      </c>
      <c r="BA150" t="s">
        <v>1401</v>
      </c>
      <c r="BB150" t="s">
        <v>1165</v>
      </c>
      <c r="BP150" t="s">
        <v>4288</v>
      </c>
      <c r="BQ150" t="s">
        <v>4404</v>
      </c>
    </row>
    <row r="151" spans="12:69" x14ac:dyDescent="0.35">
      <c r="L151" t="s">
        <v>2076</v>
      </c>
      <c r="M151" t="s">
        <v>1516</v>
      </c>
      <c r="N151" t="s">
        <v>1993</v>
      </c>
      <c r="P151" t="s">
        <v>2228</v>
      </c>
      <c r="Q151" t="s">
        <v>2229</v>
      </c>
      <c r="R151" t="s">
        <v>1359</v>
      </c>
      <c r="S151" t="s">
        <v>1811</v>
      </c>
      <c r="AH151" t="s">
        <v>1048</v>
      </c>
      <c r="AZ151" t="s">
        <v>1666</v>
      </c>
      <c r="BA151" t="s">
        <v>1394</v>
      </c>
      <c r="BB151" t="s">
        <v>1165</v>
      </c>
      <c r="BP151" t="s">
        <v>4289</v>
      </c>
      <c r="BQ151" t="s">
        <v>4405</v>
      </c>
    </row>
    <row r="152" spans="12:69" x14ac:dyDescent="0.35">
      <c r="L152" t="s">
        <v>2118</v>
      </c>
      <c r="M152" t="s">
        <v>3788</v>
      </c>
      <c r="N152" t="s">
        <v>1993</v>
      </c>
      <c r="P152" t="s">
        <v>2230</v>
      </c>
      <c r="Q152" t="s">
        <v>2231</v>
      </c>
      <c r="R152" t="s">
        <v>1359</v>
      </c>
      <c r="S152" t="s">
        <v>1811</v>
      </c>
      <c r="AH152" t="s">
        <v>1047</v>
      </c>
      <c r="AZ152" t="s">
        <v>1667</v>
      </c>
      <c r="BA152" t="s">
        <v>209</v>
      </c>
      <c r="BB152" t="s">
        <v>1167</v>
      </c>
      <c r="BP152" t="s">
        <v>4290</v>
      </c>
      <c r="BQ152" t="s">
        <v>4406</v>
      </c>
    </row>
    <row r="153" spans="12:69" x14ac:dyDescent="0.35">
      <c r="L153" t="s">
        <v>2108</v>
      </c>
      <c r="M153" t="s">
        <v>3789</v>
      </c>
      <c r="N153" t="s">
        <v>1993</v>
      </c>
      <c r="P153" t="s">
        <v>2232</v>
      </c>
      <c r="Q153" t="s">
        <v>2233</v>
      </c>
      <c r="R153" t="s">
        <v>1359</v>
      </c>
      <c r="S153" t="s">
        <v>1811</v>
      </c>
      <c r="AH153" t="s">
        <v>2668</v>
      </c>
      <c r="AZ153" t="s">
        <v>1668</v>
      </c>
      <c r="BA153" t="s">
        <v>209</v>
      </c>
      <c r="BB153" t="s">
        <v>1167</v>
      </c>
      <c r="BP153" t="s">
        <v>4291</v>
      </c>
      <c r="BQ153" t="s">
        <v>4407</v>
      </c>
    </row>
    <row r="154" spans="12:69" x14ac:dyDescent="0.35">
      <c r="L154" t="s">
        <v>3790</v>
      </c>
      <c r="M154" t="s">
        <v>3791</v>
      </c>
      <c r="N154" t="s">
        <v>1993</v>
      </c>
      <c r="P154" t="s">
        <v>2234</v>
      </c>
      <c r="Q154" t="s">
        <v>2235</v>
      </c>
      <c r="R154" t="s">
        <v>1359</v>
      </c>
      <c r="S154" t="s">
        <v>1811</v>
      </c>
      <c r="AH154" t="s">
        <v>2669</v>
      </c>
      <c r="AZ154" t="s">
        <v>1669</v>
      </c>
      <c r="BA154" t="s">
        <v>209</v>
      </c>
      <c r="BB154" t="s">
        <v>1167</v>
      </c>
      <c r="BP154" t="s">
        <v>4292</v>
      </c>
      <c r="BQ154" t="s">
        <v>4408</v>
      </c>
    </row>
    <row r="155" spans="12:69" x14ac:dyDescent="0.35">
      <c r="L155" t="s">
        <v>2062</v>
      </c>
      <c r="M155" t="s">
        <v>1517</v>
      </c>
      <c r="N155" t="s">
        <v>1993</v>
      </c>
      <c r="P155" t="s">
        <v>2244</v>
      </c>
      <c r="Q155" t="s">
        <v>2245</v>
      </c>
      <c r="R155" t="s">
        <v>1359</v>
      </c>
      <c r="S155" t="s">
        <v>1811</v>
      </c>
      <c r="AH155" t="s">
        <v>2670</v>
      </c>
      <c r="AZ155" t="s">
        <v>1670</v>
      </c>
      <c r="BA155" t="s">
        <v>209</v>
      </c>
      <c r="BB155" t="s">
        <v>1167</v>
      </c>
      <c r="BP155" t="s">
        <v>4293</v>
      </c>
      <c r="BQ155" t="s">
        <v>4409</v>
      </c>
    </row>
    <row r="156" spans="12:69" x14ac:dyDescent="0.35">
      <c r="L156" t="s">
        <v>2055</v>
      </c>
      <c r="M156" t="s">
        <v>1518</v>
      </c>
      <c r="N156" t="s">
        <v>1993</v>
      </c>
      <c r="P156" t="s">
        <v>2246</v>
      </c>
      <c r="Q156" t="s">
        <v>2247</v>
      </c>
      <c r="R156" t="s">
        <v>1359</v>
      </c>
      <c r="S156" t="s">
        <v>1811</v>
      </c>
      <c r="AH156" t="s">
        <v>1045</v>
      </c>
      <c r="AZ156" t="s">
        <v>1671</v>
      </c>
      <c r="BA156" t="s">
        <v>209</v>
      </c>
      <c r="BB156" t="s">
        <v>1167</v>
      </c>
      <c r="BP156" t="s">
        <v>4294</v>
      </c>
      <c r="BQ156" t="s">
        <v>4410</v>
      </c>
    </row>
    <row r="157" spans="12:69" x14ac:dyDescent="0.35">
      <c r="L157" t="s">
        <v>2075</v>
      </c>
      <c r="M157" t="s">
        <v>1519</v>
      </c>
      <c r="N157" t="s">
        <v>1993</v>
      </c>
      <c r="P157" t="s">
        <v>4053</v>
      </c>
      <c r="Q157" t="s">
        <v>4054</v>
      </c>
      <c r="R157" t="s">
        <v>1359</v>
      </c>
      <c r="S157" t="s">
        <v>1993</v>
      </c>
      <c r="AH157" t="s">
        <v>2671</v>
      </c>
      <c r="AZ157" t="s">
        <v>1672</v>
      </c>
      <c r="BA157" t="s">
        <v>209</v>
      </c>
      <c r="BB157" t="s">
        <v>1167</v>
      </c>
      <c r="BP157" t="s">
        <v>3594</v>
      </c>
      <c r="BQ157" t="s">
        <v>3595</v>
      </c>
    </row>
    <row r="158" spans="12:69" x14ac:dyDescent="0.35">
      <c r="L158" t="s">
        <v>2018</v>
      </c>
      <c r="M158" t="s">
        <v>1520</v>
      </c>
      <c r="N158" t="s">
        <v>1993</v>
      </c>
      <c r="P158" t="s">
        <v>4055</v>
      </c>
      <c r="Q158" t="s">
        <v>4056</v>
      </c>
      <c r="R158" t="s">
        <v>1359</v>
      </c>
      <c r="S158" t="s">
        <v>1993</v>
      </c>
      <c r="AH158" t="s">
        <v>1044</v>
      </c>
      <c r="AZ158" t="s">
        <v>1673</v>
      </c>
      <c r="BA158" t="s">
        <v>1402</v>
      </c>
      <c r="BB158" t="s">
        <v>1166</v>
      </c>
      <c r="BP158" t="s">
        <v>4295</v>
      </c>
      <c r="BQ158" t="s">
        <v>4411</v>
      </c>
    </row>
    <row r="159" spans="12:69" x14ac:dyDescent="0.35">
      <c r="L159" t="s">
        <v>2172</v>
      </c>
      <c r="M159" t="s">
        <v>1521</v>
      </c>
      <c r="N159" t="s">
        <v>1993</v>
      </c>
      <c r="P159" t="s">
        <v>2252</v>
      </c>
      <c r="Q159" t="s">
        <v>2253</v>
      </c>
      <c r="R159" t="s">
        <v>1359</v>
      </c>
      <c r="S159" t="s">
        <v>1811</v>
      </c>
      <c r="AH159" t="s">
        <v>1043</v>
      </c>
      <c r="AZ159" t="s">
        <v>1674</v>
      </c>
      <c r="BA159" t="s">
        <v>1402</v>
      </c>
      <c r="BB159" t="s">
        <v>1166</v>
      </c>
      <c r="BP159" t="s">
        <v>4296</v>
      </c>
      <c r="BQ159" t="s">
        <v>4412</v>
      </c>
    </row>
    <row r="160" spans="12:69" x14ac:dyDescent="0.35">
      <c r="L160" t="s">
        <v>2173</v>
      </c>
      <c r="M160" t="s">
        <v>1522</v>
      </c>
      <c r="N160" t="s">
        <v>1993</v>
      </c>
      <c r="P160" t="s">
        <v>2482</v>
      </c>
      <c r="Q160" t="s">
        <v>1360</v>
      </c>
      <c r="R160" t="s">
        <v>1360</v>
      </c>
      <c r="S160" t="s">
        <v>1811</v>
      </c>
      <c r="AH160" t="s">
        <v>1042</v>
      </c>
      <c r="AZ160" t="s">
        <v>1675</v>
      </c>
      <c r="BA160" t="s">
        <v>1401</v>
      </c>
      <c r="BB160" t="s">
        <v>1166</v>
      </c>
      <c r="BP160" t="s">
        <v>4297</v>
      </c>
      <c r="BQ160" t="s">
        <v>4413</v>
      </c>
    </row>
    <row r="161" spans="12:69" x14ac:dyDescent="0.35">
      <c r="L161" t="s">
        <v>2174</v>
      </c>
      <c r="M161" t="s">
        <v>1523</v>
      </c>
      <c r="N161" t="s">
        <v>1993</v>
      </c>
      <c r="P161" t="s">
        <v>2471</v>
      </c>
      <c r="Q161" t="s">
        <v>1362</v>
      </c>
      <c r="R161" t="s">
        <v>1362</v>
      </c>
      <c r="S161" t="s">
        <v>1811</v>
      </c>
      <c r="AH161" t="s">
        <v>2672</v>
      </c>
      <c r="AZ161" t="s">
        <v>1676</v>
      </c>
      <c r="BA161" t="s">
        <v>1401</v>
      </c>
      <c r="BB161" t="s">
        <v>1166</v>
      </c>
      <c r="BP161" t="s">
        <v>4298</v>
      </c>
      <c r="BQ161" t="s">
        <v>4414</v>
      </c>
    </row>
    <row r="162" spans="12:69" x14ac:dyDescent="0.35">
      <c r="L162" t="s">
        <v>2184</v>
      </c>
      <c r="M162" t="s">
        <v>1524</v>
      </c>
      <c r="N162" t="s">
        <v>1993</v>
      </c>
      <c r="P162" t="s">
        <v>2390</v>
      </c>
      <c r="Q162" t="s">
        <v>2391</v>
      </c>
      <c r="R162" t="s">
        <v>2391</v>
      </c>
      <c r="S162" t="s">
        <v>1812</v>
      </c>
      <c r="AH162" t="s">
        <v>2673</v>
      </c>
      <c r="AZ162" t="s">
        <v>4194</v>
      </c>
      <c r="BA162" t="s">
        <v>1401</v>
      </c>
      <c r="BB162" t="s">
        <v>1165</v>
      </c>
      <c r="BP162" t="s">
        <v>4299</v>
      </c>
      <c r="BQ162" t="s">
        <v>4415</v>
      </c>
    </row>
    <row r="163" spans="12:69" x14ac:dyDescent="0.35">
      <c r="L163" t="s">
        <v>2185</v>
      </c>
      <c r="M163" t="s">
        <v>1525</v>
      </c>
      <c r="N163" t="s">
        <v>1993</v>
      </c>
      <c r="P163" t="s">
        <v>1990</v>
      </c>
      <c r="Q163" t="s">
        <v>2392</v>
      </c>
      <c r="R163" t="s">
        <v>2392</v>
      </c>
      <c r="S163" t="s">
        <v>1812</v>
      </c>
      <c r="AH163" t="s">
        <v>2674</v>
      </c>
      <c r="AZ163" t="s">
        <v>1677</v>
      </c>
      <c r="BA163" t="s">
        <v>1401</v>
      </c>
      <c r="BB163" t="s">
        <v>1165</v>
      </c>
      <c r="BP163" t="s">
        <v>4300</v>
      </c>
      <c r="BQ163" t="s">
        <v>4416</v>
      </c>
    </row>
    <row r="164" spans="12:69" x14ac:dyDescent="0.35">
      <c r="L164" t="s">
        <v>2186</v>
      </c>
      <c r="M164" t="s">
        <v>1526</v>
      </c>
      <c r="N164" t="s">
        <v>1993</v>
      </c>
      <c r="P164" t="s">
        <v>2393</v>
      </c>
      <c r="Q164" t="s">
        <v>2394</v>
      </c>
      <c r="R164" t="s">
        <v>2394</v>
      </c>
      <c r="S164" t="s">
        <v>1812</v>
      </c>
      <c r="AH164" t="s">
        <v>2675</v>
      </c>
      <c r="AZ164" t="s">
        <v>1678</v>
      </c>
      <c r="BA164" t="s">
        <v>1401</v>
      </c>
      <c r="BB164" t="s">
        <v>1165</v>
      </c>
      <c r="BP164" t="s">
        <v>4301</v>
      </c>
      <c r="BQ164" t="s">
        <v>4417</v>
      </c>
    </row>
    <row r="165" spans="12:69" x14ac:dyDescent="0.35">
      <c r="L165" t="s">
        <v>2103</v>
      </c>
      <c r="M165" t="s">
        <v>1527</v>
      </c>
      <c r="N165" t="s">
        <v>1993</v>
      </c>
      <c r="P165" t="s">
        <v>2528</v>
      </c>
      <c r="Q165" t="s">
        <v>1293</v>
      </c>
      <c r="R165" t="s">
        <v>1293</v>
      </c>
      <c r="S165" t="s">
        <v>1993</v>
      </c>
      <c r="AH165" t="s">
        <v>2676</v>
      </c>
      <c r="AZ165" t="s">
        <v>1679</v>
      </c>
      <c r="BA165" t="s">
        <v>1401</v>
      </c>
      <c r="BB165" t="s">
        <v>1165</v>
      </c>
      <c r="BP165" t="s">
        <v>4302</v>
      </c>
      <c r="BQ165" t="s">
        <v>4303</v>
      </c>
    </row>
    <row r="166" spans="12:69" x14ac:dyDescent="0.35">
      <c r="L166" t="s">
        <v>2101</v>
      </c>
      <c r="M166" t="s">
        <v>1528</v>
      </c>
      <c r="N166" t="s">
        <v>1993</v>
      </c>
      <c r="P166" t="s">
        <v>2539</v>
      </c>
      <c r="Q166" t="s">
        <v>1294</v>
      </c>
      <c r="R166" t="s">
        <v>1294</v>
      </c>
      <c r="S166" t="s">
        <v>1993</v>
      </c>
      <c r="AH166" t="s">
        <v>2677</v>
      </c>
      <c r="AZ166" t="s">
        <v>1680</v>
      </c>
      <c r="BA166" t="s">
        <v>1387</v>
      </c>
      <c r="BB166" t="s">
        <v>1165</v>
      </c>
      <c r="BP166" t="s">
        <v>4304</v>
      </c>
      <c r="BQ166" t="s">
        <v>4418</v>
      </c>
    </row>
    <row r="167" spans="12:69" x14ac:dyDescent="0.35">
      <c r="L167" t="s">
        <v>2155</v>
      </c>
      <c r="M167" t="s">
        <v>1529</v>
      </c>
      <c r="N167" t="s">
        <v>1993</v>
      </c>
      <c r="P167" t="s">
        <v>2541</v>
      </c>
      <c r="Q167" t="s">
        <v>4057</v>
      </c>
      <c r="R167" t="s">
        <v>4057</v>
      </c>
      <c r="S167" t="s">
        <v>1993</v>
      </c>
      <c r="AH167" t="s">
        <v>3823</v>
      </c>
      <c r="AZ167" t="s">
        <v>1681</v>
      </c>
      <c r="BA167" t="s">
        <v>1387</v>
      </c>
      <c r="BB167" t="s">
        <v>1165</v>
      </c>
      <c r="BP167" t="s">
        <v>4305</v>
      </c>
      <c r="BQ167" t="s">
        <v>4419</v>
      </c>
    </row>
    <row r="168" spans="12:69" x14ac:dyDescent="0.35">
      <c r="L168" t="s">
        <v>3792</v>
      </c>
      <c r="M168" t="s">
        <v>3793</v>
      </c>
      <c r="N168" t="s">
        <v>1993</v>
      </c>
      <c r="P168" t="s">
        <v>4058</v>
      </c>
      <c r="Q168" t="s">
        <v>4059</v>
      </c>
      <c r="R168" t="s">
        <v>4059</v>
      </c>
      <c r="S168" t="s">
        <v>1993</v>
      </c>
      <c r="AH168" t="s">
        <v>3824</v>
      </c>
      <c r="AZ168" t="s">
        <v>1682</v>
      </c>
      <c r="BA168" t="s">
        <v>1387</v>
      </c>
      <c r="BB168" t="s">
        <v>1165</v>
      </c>
      <c r="BP168" t="s">
        <v>4306</v>
      </c>
      <c r="BQ168" t="s">
        <v>4420</v>
      </c>
    </row>
    <row r="169" spans="12:69" x14ac:dyDescent="0.35">
      <c r="L169" t="s">
        <v>2150</v>
      </c>
      <c r="M169" t="s">
        <v>1530</v>
      </c>
      <c r="N169" t="s">
        <v>1993</v>
      </c>
      <c r="P169" t="s">
        <v>4060</v>
      </c>
      <c r="Q169" t="s">
        <v>4061</v>
      </c>
      <c r="R169" t="s">
        <v>4061</v>
      </c>
      <c r="S169" t="s">
        <v>1993</v>
      </c>
      <c r="AH169" t="s">
        <v>3825</v>
      </c>
      <c r="AZ169" t="s">
        <v>1683</v>
      </c>
      <c r="BA169" t="s">
        <v>1387</v>
      </c>
      <c r="BB169" t="s">
        <v>1165</v>
      </c>
      <c r="BP169" t="s">
        <v>4307</v>
      </c>
      <c r="BQ169" t="s">
        <v>4421</v>
      </c>
    </row>
    <row r="170" spans="12:69" x14ac:dyDescent="0.35">
      <c r="L170" t="s">
        <v>2162</v>
      </c>
      <c r="M170" t="s">
        <v>1531</v>
      </c>
      <c r="N170" t="s">
        <v>1993</v>
      </c>
      <c r="P170" t="s">
        <v>4062</v>
      </c>
      <c r="Q170" t="s">
        <v>4063</v>
      </c>
      <c r="R170" t="s">
        <v>4063</v>
      </c>
      <c r="S170" t="s">
        <v>1993</v>
      </c>
      <c r="AH170" t="s">
        <v>3826</v>
      </c>
      <c r="AZ170" t="s">
        <v>1684</v>
      </c>
      <c r="BA170" t="s">
        <v>1387</v>
      </c>
      <c r="BB170" t="s">
        <v>1165</v>
      </c>
      <c r="BP170" t="s">
        <v>4308</v>
      </c>
      <c r="BQ170" t="s">
        <v>4422</v>
      </c>
    </row>
    <row r="171" spans="12:69" x14ac:dyDescent="0.35">
      <c r="L171" t="s">
        <v>3794</v>
      </c>
      <c r="M171" t="s">
        <v>3795</v>
      </c>
      <c r="N171" t="s">
        <v>1993</v>
      </c>
      <c r="P171" t="s">
        <v>4064</v>
      </c>
      <c r="Q171" t="s">
        <v>4065</v>
      </c>
      <c r="R171" t="s">
        <v>4065</v>
      </c>
      <c r="S171" t="s">
        <v>1993</v>
      </c>
      <c r="AH171" t="s">
        <v>2678</v>
      </c>
      <c r="AZ171" t="s">
        <v>1685</v>
      </c>
      <c r="BA171" t="s">
        <v>1387</v>
      </c>
      <c r="BB171" t="s">
        <v>1165</v>
      </c>
      <c r="BP171" t="s">
        <v>3596</v>
      </c>
      <c r="BQ171" t="s">
        <v>46</v>
      </c>
    </row>
    <row r="172" spans="12:69" x14ac:dyDescent="0.35">
      <c r="L172" t="s">
        <v>2148</v>
      </c>
      <c r="M172" t="s">
        <v>1532</v>
      </c>
      <c r="N172" t="s">
        <v>1993</v>
      </c>
      <c r="P172" t="s">
        <v>2490</v>
      </c>
      <c r="Q172" t="s">
        <v>209</v>
      </c>
      <c r="R172" t="s">
        <v>209</v>
      </c>
      <c r="S172" t="s">
        <v>1811</v>
      </c>
      <c r="AH172" t="s">
        <v>1041</v>
      </c>
      <c r="AZ172" t="s">
        <v>1686</v>
      </c>
      <c r="BA172" t="s">
        <v>1387</v>
      </c>
      <c r="BB172" t="s">
        <v>1165</v>
      </c>
      <c r="BP172" t="s">
        <v>4309</v>
      </c>
      <c r="BQ172" t="s">
        <v>4423</v>
      </c>
    </row>
    <row r="173" spans="12:69" x14ac:dyDescent="0.35">
      <c r="L173" t="s">
        <v>2048</v>
      </c>
      <c r="M173" t="s">
        <v>1398</v>
      </c>
      <c r="N173" t="s">
        <v>1993</v>
      </c>
      <c r="P173" t="s">
        <v>2521</v>
      </c>
      <c r="Q173" t="s">
        <v>2522</v>
      </c>
      <c r="R173" t="s">
        <v>2522</v>
      </c>
      <c r="S173" t="s">
        <v>1993</v>
      </c>
      <c r="AH173" t="s">
        <v>2679</v>
      </c>
      <c r="AZ173" t="s">
        <v>1687</v>
      </c>
      <c r="BA173" t="s">
        <v>1387</v>
      </c>
      <c r="BB173" t="s">
        <v>1165</v>
      </c>
      <c r="BP173" t="s">
        <v>3597</v>
      </c>
      <c r="BQ173" t="s">
        <v>4424</v>
      </c>
    </row>
    <row r="174" spans="12:69" x14ac:dyDescent="0.35">
      <c r="L174" t="s">
        <v>2109</v>
      </c>
      <c r="M174" t="s">
        <v>1533</v>
      </c>
      <c r="N174" t="s">
        <v>1993</v>
      </c>
      <c r="P174" t="s">
        <v>4066</v>
      </c>
      <c r="Q174" t="s">
        <v>4067</v>
      </c>
      <c r="R174" t="s">
        <v>4067</v>
      </c>
      <c r="S174" t="s">
        <v>1993</v>
      </c>
      <c r="AH174" t="s">
        <v>2680</v>
      </c>
      <c r="AZ174" t="s">
        <v>1688</v>
      </c>
      <c r="BA174" t="s">
        <v>1387</v>
      </c>
      <c r="BB174" t="s">
        <v>1165</v>
      </c>
      <c r="BP174" t="s">
        <v>3598</v>
      </c>
      <c r="BQ174" t="s">
        <v>3599</v>
      </c>
    </row>
    <row r="175" spans="12:69" x14ac:dyDescent="0.35">
      <c r="L175" t="s">
        <v>2085</v>
      </c>
      <c r="M175" t="s">
        <v>1534</v>
      </c>
      <c r="N175" t="s">
        <v>1993</v>
      </c>
      <c r="P175" t="s">
        <v>2518</v>
      </c>
      <c r="Q175" t="s">
        <v>1575</v>
      </c>
      <c r="R175" t="s">
        <v>1575</v>
      </c>
      <c r="S175" t="s">
        <v>1993</v>
      </c>
      <c r="AH175" t="s">
        <v>1040</v>
      </c>
      <c r="AZ175" t="s">
        <v>1689</v>
      </c>
      <c r="BA175" t="s">
        <v>1387</v>
      </c>
      <c r="BB175" t="s">
        <v>1165</v>
      </c>
      <c r="BP175" t="s">
        <v>3600</v>
      </c>
      <c r="BQ175" t="s">
        <v>3601</v>
      </c>
    </row>
    <row r="176" spans="12:69" x14ac:dyDescent="0.35">
      <c r="L176" t="s">
        <v>2166</v>
      </c>
      <c r="M176" t="s">
        <v>1535</v>
      </c>
      <c r="N176" t="s">
        <v>1993</v>
      </c>
      <c r="P176" t="s">
        <v>4068</v>
      </c>
      <c r="Q176" t="s">
        <v>4069</v>
      </c>
      <c r="R176" t="s">
        <v>4069</v>
      </c>
      <c r="S176" t="s">
        <v>1993</v>
      </c>
      <c r="AH176" t="s">
        <v>1039</v>
      </c>
      <c r="AZ176" t="s">
        <v>4195</v>
      </c>
      <c r="BA176" t="s">
        <v>1401</v>
      </c>
      <c r="BB176" t="s">
        <v>1166</v>
      </c>
      <c r="BP176" t="s">
        <v>3602</v>
      </c>
      <c r="BQ176" t="s">
        <v>3603</v>
      </c>
    </row>
    <row r="177" spans="12:69" x14ac:dyDescent="0.35">
      <c r="L177" t="s">
        <v>3796</v>
      </c>
      <c r="M177" t="s">
        <v>3797</v>
      </c>
      <c r="N177" t="s">
        <v>1993</v>
      </c>
      <c r="P177" t="s">
        <v>2535</v>
      </c>
      <c r="Q177" t="s">
        <v>1295</v>
      </c>
      <c r="R177" t="s">
        <v>1295</v>
      </c>
      <c r="S177" t="s">
        <v>1993</v>
      </c>
      <c r="AH177" t="s">
        <v>2681</v>
      </c>
      <c r="AZ177" t="s">
        <v>1690</v>
      </c>
      <c r="BA177" t="s">
        <v>1401</v>
      </c>
      <c r="BB177" t="s">
        <v>1166</v>
      </c>
      <c r="BP177" t="s">
        <v>3604</v>
      </c>
      <c r="BQ177" t="s">
        <v>4425</v>
      </c>
    </row>
    <row r="178" spans="12:69" x14ac:dyDescent="0.35">
      <c r="L178" t="s">
        <v>2182</v>
      </c>
      <c r="M178" t="s">
        <v>3798</v>
      </c>
      <c r="N178" t="s">
        <v>1993</v>
      </c>
      <c r="P178" t="s">
        <v>4070</v>
      </c>
      <c r="Q178" t="s">
        <v>4071</v>
      </c>
      <c r="R178" t="s">
        <v>4071</v>
      </c>
      <c r="S178" t="s">
        <v>1993</v>
      </c>
      <c r="AH178" t="s">
        <v>1038</v>
      </c>
      <c r="AZ178" t="s">
        <v>1691</v>
      </c>
      <c r="BA178" t="s">
        <v>1401</v>
      </c>
      <c r="BB178" t="s">
        <v>1166</v>
      </c>
      <c r="BP178" t="s">
        <v>3605</v>
      </c>
      <c r="BQ178" t="s">
        <v>4426</v>
      </c>
    </row>
    <row r="179" spans="12:69" x14ac:dyDescent="0.35">
      <c r="L179" t="s">
        <v>3799</v>
      </c>
      <c r="M179" t="s">
        <v>3800</v>
      </c>
      <c r="N179" t="s">
        <v>1993</v>
      </c>
      <c r="P179" t="s">
        <v>2349</v>
      </c>
      <c r="Q179" t="s">
        <v>1046</v>
      </c>
      <c r="R179" t="s">
        <v>1046</v>
      </c>
      <c r="S179" t="s">
        <v>1811</v>
      </c>
      <c r="AH179" t="s">
        <v>3827</v>
      </c>
      <c r="AZ179" t="s">
        <v>4196</v>
      </c>
      <c r="BA179" t="s">
        <v>1394</v>
      </c>
      <c r="BB179" t="s">
        <v>1165</v>
      </c>
      <c r="BP179" t="s">
        <v>3606</v>
      </c>
      <c r="BQ179" t="s">
        <v>4427</v>
      </c>
    </row>
    <row r="180" spans="12:69" x14ac:dyDescent="0.35">
      <c r="L180" t="s">
        <v>2107</v>
      </c>
      <c r="M180" t="s">
        <v>3801</v>
      </c>
      <c r="N180" t="s">
        <v>1993</v>
      </c>
      <c r="P180" t="s">
        <v>2267</v>
      </c>
      <c r="Q180" t="s">
        <v>4072</v>
      </c>
      <c r="R180" t="s">
        <v>1046</v>
      </c>
      <c r="S180" t="s">
        <v>1811</v>
      </c>
      <c r="AH180" t="s">
        <v>1037</v>
      </c>
      <c r="AZ180" t="s">
        <v>1692</v>
      </c>
      <c r="BA180" t="s">
        <v>209</v>
      </c>
      <c r="BB180" t="s">
        <v>1165</v>
      </c>
      <c r="BP180" t="s">
        <v>3607</v>
      </c>
      <c r="BQ180" t="s">
        <v>4428</v>
      </c>
    </row>
    <row r="181" spans="12:69" x14ac:dyDescent="0.35">
      <c r="L181" t="s">
        <v>2043</v>
      </c>
      <c r="M181" t="s">
        <v>1373</v>
      </c>
      <c r="N181" t="s">
        <v>1993</v>
      </c>
      <c r="P181" t="s">
        <v>2503</v>
      </c>
      <c r="Q181" t="s">
        <v>1367</v>
      </c>
      <c r="R181" t="s">
        <v>1367</v>
      </c>
      <c r="S181" t="s">
        <v>1811</v>
      </c>
      <c r="AH181" t="s">
        <v>1036</v>
      </c>
      <c r="AZ181" t="s">
        <v>1693</v>
      </c>
      <c r="BA181" t="s">
        <v>1353</v>
      </c>
      <c r="BB181" t="s">
        <v>1165</v>
      </c>
      <c r="BP181" t="s">
        <v>3608</v>
      </c>
      <c r="BQ181" t="s">
        <v>3609</v>
      </c>
    </row>
    <row r="182" spans="12:69" x14ac:dyDescent="0.35">
      <c r="L182" t="s">
        <v>2072</v>
      </c>
      <c r="M182" t="s">
        <v>1536</v>
      </c>
      <c r="N182" t="s">
        <v>1993</v>
      </c>
      <c r="P182" t="s">
        <v>4073</v>
      </c>
      <c r="Q182" t="s">
        <v>4074</v>
      </c>
      <c r="R182" t="s">
        <v>4074</v>
      </c>
      <c r="S182" t="s">
        <v>1993</v>
      </c>
      <c r="AH182" t="s">
        <v>2682</v>
      </c>
      <c r="AZ182" t="s">
        <v>1694</v>
      </c>
      <c r="BA182" t="s">
        <v>209</v>
      </c>
      <c r="BB182" t="s">
        <v>1167</v>
      </c>
      <c r="BP182" t="s">
        <v>3610</v>
      </c>
      <c r="BQ182" t="s">
        <v>4429</v>
      </c>
    </row>
    <row r="183" spans="12:69" x14ac:dyDescent="0.35">
      <c r="L183" t="s">
        <v>2191</v>
      </c>
      <c r="M183" t="s">
        <v>1537</v>
      </c>
      <c r="N183" t="s">
        <v>1993</v>
      </c>
      <c r="P183" t="s">
        <v>4075</v>
      </c>
      <c r="Q183" t="s">
        <v>4076</v>
      </c>
      <c r="R183" t="s">
        <v>4076</v>
      </c>
      <c r="S183" t="s">
        <v>1993</v>
      </c>
      <c r="AH183" t="s">
        <v>1035</v>
      </c>
      <c r="AZ183" t="s">
        <v>1695</v>
      </c>
      <c r="BA183" t="s">
        <v>209</v>
      </c>
      <c r="BB183" t="s">
        <v>1167</v>
      </c>
      <c r="BP183" t="s">
        <v>3611</v>
      </c>
      <c r="BQ183" t="s">
        <v>3612</v>
      </c>
    </row>
    <row r="184" spans="12:69" x14ac:dyDescent="0.35">
      <c r="L184" t="s">
        <v>2088</v>
      </c>
      <c r="M184" t="s">
        <v>1538</v>
      </c>
      <c r="N184" t="s">
        <v>1993</v>
      </c>
      <c r="P184" t="s">
        <v>2511</v>
      </c>
      <c r="Q184" t="s">
        <v>1368</v>
      </c>
      <c r="R184" t="s">
        <v>1368</v>
      </c>
      <c r="S184" t="s">
        <v>1993</v>
      </c>
      <c r="AH184" t="s">
        <v>1034</v>
      </c>
      <c r="AZ184" t="s">
        <v>1696</v>
      </c>
      <c r="BA184" t="s">
        <v>209</v>
      </c>
      <c r="BB184" t="s">
        <v>1167</v>
      </c>
      <c r="BP184" t="s">
        <v>3613</v>
      </c>
      <c r="BQ184" t="s">
        <v>4430</v>
      </c>
    </row>
    <row r="185" spans="12:69" x14ac:dyDescent="0.35">
      <c r="L185" t="s">
        <v>3802</v>
      </c>
      <c r="M185" t="s">
        <v>3803</v>
      </c>
      <c r="N185" t="s">
        <v>1993</v>
      </c>
      <c r="P185" t="s">
        <v>2435</v>
      </c>
      <c r="Q185" t="s">
        <v>2436</v>
      </c>
      <c r="R185" t="s">
        <v>2436</v>
      </c>
      <c r="S185" t="s">
        <v>1812</v>
      </c>
      <c r="AH185" t="s">
        <v>3828</v>
      </c>
      <c r="AZ185" t="s">
        <v>1697</v>
      </c>
      <c r="BA185" t="s">
        <v>209</v>
      </c>
      <c r="BB185" t="s">
        <v>1167</v>
      </c>
      <c r="BP185" t="s">
        <v>3614</v>
      </c>
      <c r="BQ185" t="s">
        <v>4431</v>
      </c>
    </row>
    <row r="186" spans="12:69" x14ac:dyDescent="0.35">
      <c r="L186" t="s">
        <v>2181</v>
      </c>
      <c r="M186" t="s">
        <v>3804</v>
      </c>
      <c r="N186" t="s">
        <v>1993</v>
      </c>
      <c r="P186" t="s">
        <v>2437</v>
      </c>
      <c r="Q186" t="s">
        <v>2438</v>
      </c>
      <c r="R186" t="s">
        <v>2438</v>
      </c>
      <c r="S186" t="s">
        <v>1812</v>
      </c>
      <c r="AH186" t="s">
        <v>3829</v>
      </c>
      <c r="AZ186" t="s">
        <v>1698</v>
      </c>
      <c r="BA186" t="s">
        <v>209</v>
      </c>
      <c r="BB186" t="s">
        <v>1167</v>
      </c>
      <c r="BP186" t="s">
        <v>3615</v>
      </c>
      <c r="BQ186" t="s">
        <v>4432</v>
      </c>
    </row>
    <row r="187" spans="12:69" x14ac:dyDescent="0.35">
      <c r="L187" t="s">
        <v>2167</v>
      </c>
      <c r="M187" t="s">
        <v>1369</v>
      </c>
      <c r="N187" t="s">
        <v>1993</v>
      </c>
      <c r="P187" t="s">
        <v>2439</v>
      </c>
      <c r="Q187" t="s">
        <v>2440</v>
      </c>
      <c r="R187" t="s">
        <v>2440</v>
      </c>
      <c r="S187" t="s">
        <v>1812</v>
      </c>
      <c r="AH187" t="s">
        <v>2683</v>
      </c>
      <c r="AZ187" t="s">
        <v>4197</v>
      </c>
      <c r="BA187" t="s">
        <v>209</v>
      </c>
      <c r="BB187" t="s">
        <v>1165</v>
      </c>
      <c r="BP187" t="s">
        <v>3616</v>
      </c>
      <c r="BQ187" t="s">
        <v>3617</v>
      </c>
    </row>
    <row r="188" spans="12:69" x14ac:dyDescent="0.35">
      <c r="L188" t="s">
        <v>2086</v>
      </c>
      <c r="M188" t="s">
        <v>1539</v>
      </c>
      <c r="N188" t="s">
        <v>1993</v>
      </c>
      <c r="P188" t="s">
        <v>2441</v>
      </c>
      <c r="Q188" t="s">
        <v>2442</v>
      </c>
      <c r="R188" t="s">
        <v>2442</v>
      </c>
      <c r="S188" t="s">
        <v>1812</v>
      </c>
      <c r="AH188" t="s">
        <v>2684</v>
      </c>
      <c r="AZ188" t="s">
        <v>1699</v>
      </c>
      <c r="BA188" t="s">
        <v>209</v>
      </c>
      <c r="BB188" t="s">
        <v>1165</v>
      </c>
      <c r="BP188" t="s">
        <v>3618</v>
      </c>
      <c r="BQ188" t="s">
        <v>3619</v>
      </c>
    </row>
    <row r="189" spans="12:69" x14ac:dyDescent="0.35">
      <c r="L189" t="s">
        <v>2171</v>
      </c>
      <c r="M189" t="s">
        <v>1400</v>
      </c>
      <c r="N189" t="s">
        <v>1993</v>
      </c>
      <c r="P189" t="s">
        <v>2443</v>
      </c>
      <c r="Q189" t="s">
        <v>2444</v>
      </c>
      <c r="R189" t="s">
        <v>2444</v>
      </c>
      <c r="S189" t="s">
        <v>1812</v>
      </c>
      <c r="AH189" t="s">
        <v>1033</v>
      </c>
      <c r="AZ189" t="s">
        <v>1700</v>
      </c>
      <c r="BA189" t="s">
        <v>209</v>
      </c>
      <c r="BB189" t="s">
        <v>1165</v>
      </c>
      <c r="BP189" t="s">
        <v>3620</v>
      </c>
      <c r="BQ189" t="s">
        <v>3621</v>
      </c>
    </row>
    <row r="190" spans="12:69" x14ac:dyDescent="0.35">
      <c r="L190" t="s">
        <v>2028</v>
      </c>
      <c r="M190" t="s">
        <v>1540</v>
      </c>
      <c r="N190" t="s">
        <v>1993</v>
      </c>
      <c r="P190" t="s">
        <v>2445</v>
      </c>
      <c r="Q190" t="s">
        <v>2446</v>
      </c>
      <c r="R190" t="s">
        <v>2446</v>
      </c>
      <c r="S190" t="s">
        <v>1812</v>
      </c>
      <c r="AH190" t="s">
        <v>3830</v>
      </c>
      <c r="AZ190" t="s">
        <v>1701</v>
      </c>
      <c r="BA190" t="s">
        <v>209</v>
      </c>
      <c r="BB190" t="s">
        <v>1165</v>
      </c>
      <c r="BP190" t="s">
        <v>3622</v>
      </c>
      <c r="BQ190" t="s">
        <v>4433</v>
      </c>
    </row>
    <row r="191" spans="12:69" x14ac:dyDescent="0.35">
      <c r="L191" t="s">
        <v>2083</v>
      </c>
      <c r="M191" t="s">
        <v>1541</v>
      </c>
      <c r="N191" t="s">
        <v>1993</v>
      </c>
      <c r="P191" t="s">
        <v>2298</v>
      </c>
      <c r="Q191" t="s">
        <v>4077</v>
      </c>
      <c r="R191" t="s">
        <v>1296</v>
      </c>
      <c r="S191" t="s">
        <v>1993</v>
      </c>
      <c r="AH191" t="s">
        <v>1032</v>
      </c>
      <c r="AZ191" t="s">
        <v>1702</v>
      </c>
      <c r="BA191" t="s">
        <v>209</v>
      </c>
      <c r="BB191" t="s">
        <v>1167</v>
      </c>
      <c r="BP191" t="s">
        <v>3623</v>
      </c>
      <c r="BQ191" t="s">
        <v>4434</v>
      </c>
    </row>
    <row r="192" spans="12:69" x14ac:dyDescent="0.35">
      <c r="L192" t="s">
        <v>2077</v>
      </c>
      <c r="M192" t="s">
        <v>1542</v>
      </c>
      <c r="N192" t="s">
        <v>1993</v>
      </c>
      <c r="P192" t="s">
        <v>2429</v>
      </c>
      <c r="Q192" t="s">
        <v>2430</v>
      </c>
      <c r="R192" t="s">
        <v>2430</v>
      </c>
      <c r="S192" t="s">
        <v>1812</v>
      </c>
      <c r="AH192" t="s">
        <v>3831</v>
      </c>
      <c r="AZ192" t="s">
        <v>4198</v>
      </c>
      <c r="BA192" t="s">
        <v>209</v>
      </c>
      <c r="BB192" t="s">
        <v>1167</v>
      </c>
      <c r="BP192" t="s">
        <v>3624</v>
      </c>
      <c r="BQ192" t="s">
        <v>3625</v>
      </c>
    </row>
    <row r="193" spans="12:69" x14ac:dyDescent="0.35">
      <c r="L193" t="s">
        <v>2090</v>
      </c>
      <c r="M193" t="s">
        <v>1543</v>
      </c>
      <c r="N193" t="s">
        <v>1993</v>
      </c>
      <c r="P193" t="s">
        <v>2447</v>
      </c>
      <c r="Q193" t="s">
        <v>2448</v>
      </c>
      <c r="R193" t="s">
        <v>2448</v>
      </c>
      <c r="S193" t="s">
        <v>1812</v>
      </c>
      <c r="AH193" t="s">
        <v>1031</v>
      </c>
      <c r="AZ193" t="s">
        <v>1703</v>
      </c>
      <c r="BA193" t="s">
        <v>209</v>
      </c>
      <c r="BB193" t="s">
        <v>1167</v>
      </c>
      <c r="BP193" t="s">
        <v>3626</v>
      </c>
      <c r="BQ193" t="s">
        <v>3627</v>
      </c>
    </row>
    <row r="194" spans="12:69" x14ac:dyDescent="0.35">
      <c r="L194" t="s">
        <v>3805</v>
      </c>
      <c r="M194" t="s">
        <v>3806</v>
      </c>
      <c r="N194" t="s">
        <v>1993</v>
      </c>
      <c r="P194" t="s">
        <v>2345</v>
      </c>
      <c r="Q194" t="s">
        <v>2346</v>
      </c>
      <c r="R194" t="s">
        <v>1297</v>
      </c>
      <c r="S194" t="s">
        <v>1811</v>
      </c>
      <c r="AH194" t="s">
        <v>1030</v>
      </c>
      <c r="AZ194" t="s">
        <v>4199</v>
      </c>
      <c r="BA194" t="s">
        <v>209</v>
      </c>
      <c r="BB194" t="s">
        <v>1167</v>
      </c>
      <c r="BP194" t="s">
        <v>3628</v>
      </c>
      <c r="BQ194" t="s">
        <v>3629</v>
      </c>
    </row>
    <row r="195" spans="12:69" x14ac:dyDescent="0.35">
      <c r="L195" t="s">
        <v>2100</v>
      </c>
      <c r="M195" t="s">
        <v>1544</v>
      </c>
      <c r="N195" t="s">
        <v>1993</v>
      </c>
      <c r="P195" t="s">
        <v>2372</v>
      </c>
      <c r="Q195" t="s">
        <v>2373</v>
      </c>
      <c r="R195" t="s">
        <v>1297</v>
      </c>
      <c r="S195" t="s">
        <v>1811</v>
      </c>
      <c r="AH195" t="s">
        <v>2685</v>
      </c>
      <c r="AZ195" t="s">
        <v>4200</v>
      </c>
      <c r="BA195" t="s">
        <v>209</v>
      </c>
      <c r="BB195" t="s">
        <v>1167</v>
      </c>
      <c r="BP195" t="s">
        <v>3630</v>
      </c>
      <c r="BQ195" t="s">
        <v>4435</v>
      </c>
    </row>
    <row r="196" spans="12:69" x14ac:dyDescent="0.35">
      <c r="L196" t="s">
        <v>2012</v>
      </c>
      <c r="M196" t="s">
        <v>1545</v>
      </c>
      <c r="N196" t="s">
        <v>1993</v>
      </c>
      <c r="P196" t="s">
        <v>2354</v>
      </c>
      <c r="Q196" t="s">
        <v>2355</v>
      </c>
      <c r="R196" t="s">
        <v>1297</v>
      </c>
      <c r="S196" t="s">
        <v>1811</v>
      </c>
      <c r="AH196" t="s">
        <v>2686</v>
      </c>
      <c r="AZ196" t="s">
        <v>4201</v>
      </c>
      <c r="BA196" t="s">
        <v>209</v>
      </c>
      <c r="BB196" t="s">
        <v>1167</v>
      </c>
      <c r="BP196" t="s">
        <v>3631</v>
      </c>
      <c r="BQ196" t="s">
        <v>4436</v>
      </c>
    </row>
    <row r="197" spans="12:69" x14ac:dyDescent="0.35">
      <c r="L197" t="s">
        <v>2016</v>
      </c>
      <c r="M197" t="s">
        <v>1546</v>
      </c>
      <c r="N197" t="s">
        <v>1993</v>
      </c>
      <c r="P197" t="s">
        <v>2356</v>
      </c>
      <c r="Q197" t="s">
        <v>2357</v>
      </c>
      <c r="R197" t="s">
        <v>1297</v>
      </c>
      <c r="S197" t="s">
        <v>1811</v>
      </c>
      <c r="AH197" t="s">
        <v>2687</v>
      </c>
      <c r="AZ197" t="s">
        <v>4202</v>
      </c>
      <c r="BA197" t="s">
        <v>209</v>
      </c>
      <c r="BB197" t="s">
        <v>1167</v>
      </c>
      <c r="BP197" t="s">
        <v>3632</v>
      </c>
      <c r="BQ197" t="s">
        <v>3633</v>
      </c>
    </row>
    <row r="198" spans="12:69" x14ac:dyDescent="0.35">
      <c r="L198" t="s">
        <v>2081</v>
      </c>
      <c r="M198" t="s">
        <v>1547</v>
      </c>
      <c r="N198" t="s">
        <v>1993</v>
      </c>
      <c r="P198" t="s">
        <v>2358</v>
      </c>
      <c r="Q198" t="s">
        <v>2359</v>
      </c>
      <c r="R198" t="s">
        <v>1297</v>
      </c>
      <c r="S198" t="s">
        <v>1811</v>
      </c>
      <c r="AH198" t="s">
        <v>1029</v>
      </c>
      <c r="AZ198" t="s">
        <v>1704</v>
      </c>
      <c r="BA198" t="s">
        <v>209</v>
      </c>
      <c r="BB198" t="s">
        <v>1167</v>
      </c>
      <c r="BP198" t="s">
        <v>3634</v>
      </c>
      <c r="BQ198" t="s">
        <v>3635</v>
      </c>
    </row>
    <row r="199" spans="12:69" x14ac:dyDescent="0.35">
      <c r="L199" t="s">
        <v>2065</v>
      </c>
      <c r="M199" t="s">
        <v>1548</v>
      </c>
      <c r="N199" t="s">
        <v>1993</v>
      </c>
      <c r="P199" t="s">
        <v>2270</v>
      </c>
      <c r="Q199" t="s">
        <v>2271</v>
      </c>
      <c r="R199" t="s">
        <v>1297</v>
      </c>
      <c r="S199" t="s">
        <v>1811</v>
      </c>
      <c r="AH199" t="s">
        <v>2688</v>
      </c>
      <c r="AZ199" t="s">
        <v>3375</v>
      </c>
      <c r="BA199" t="s">
        <v>1386</v>
      </c>
      <c r="BB199" t="s">
        <v>1166</v>
      </c>
      <c r="BP199" t="s">
        <v>3636</v>
      </c>
      <c r="BQ199" t="s">
        <v>3637</v>
      </c>
    </row>
    <row r="200" spans="12:69" x14ac:dyDescent="0.35">
      <c r="L200" t="s">
        <v>2063</v>
      </c>
      <c r="M200" t="s">
        <v>3807</v>
      </c>
      <c r="N200" t="s">
        <v>1993</v>
      </c>
      <c r="P200" t="s">
        <v>2272</v>
      </c>
      <c r="Q200" t="s">
        <v>2273</v>
      </c>
      <c r="R200" t="s">
        <v>1297</v>
      </c>
      <c r="S200" t="s">
        <v>1811</v>
      </c>
      <c r="AH200" t="s">
        <v>1028</v>
      </c>
      <c r="AZ200" t="s">
        <v>3376</v>
      </c>
      <c r="BA200" t="s">
        <v>1386</v>
      </c>
      <c r="BB200" t="s">
        <v>1166</v>
      </c>
      <c r="BP200" t="s">
        <v>3638</v>
      </c>
      <c r="BQ200" t="s">
        <v>3639</v>
      </c>
    </row>
    <row r="201" spans="12:69" x14ac:dyDescent="0.35">
      <c r="L201" t="s">
        <v>2040</v>
      </c>
      <c r="M201" t="s">
        <v>1549</v>
      </c>
      <c r="N201" t="s">
        <v>1993</v>
      </c>
      <c r="P201" t="s">
        <v>2288</v>
      </c>
      <c r="Q201" t="s">
        <v>2289</v>
      </c>
      <c r="R201" t="s">
        <v>1297</v>
      </c>
      <c r="S201" t="s">
        <v>1811</v>
      </c>
      <c r="AH201" t="s">
        <v>1027</v>
      </c>
      <c r="AZ201" t="s">
        <v>4203</v>
      </c>
      <c r="BA201" t="s">
        <v>1394</v>
      </c>
      <c r="BB201" t="s">
        <v>1165</v>
      </c>
      <c r="BP201" t="s">
        <v>3640</v>
      </c>
      <c r="BQ201" t="s">
        <v>3641</v>
      </c>
    </row>
    <row r="202" spans="12:69" x14ac:dyDescent="0.35">
      <c r="L202" t="s">
        <v>2003</v>
      </c>
      <c r="M202" t="s">
        <v>1550</v>
      </c>
      <c r="N202" t="s">
        <v>1993</v>
      </c>
      <c r="P202" t="s">
        <v>2290</v>
      </c>
      <c r="Q202" t="s">
        <v>2291</v>
      </c>
      <c r="R202" t="s">
        <v>1297</v>
      </c>
      <c r="S202" t="s">
        <v>1811</v>
      </c>
      <c r="AH202" t="s">
        <v>2689</v>
      </c>
      <c r="AZ202" t="s">
        <v>1705</v>
      </c>
      <c r="BA202" t="s">
        <v>1394</v>
      </c>
      <c r="BB202" t="s">
        <v>1165</v>
      </c>
      <c r="BP202" t="s">
        <v>3642</v>
      </c>
      <c r="BQ202" t="s">
        <v>3643</v>
      </c>
    </row>
    <row r="203" spans="12:69" x14ac:dyDescent="0.35">
      <c r="L203" t="s">
        <v>2143</v>
      </c>
      <c r="M203" t="s">
        <v>1403</v>
      </c>
      <c r="N203" t="s">
        <v>1993</v>
      </c>
      <c r="P203" t="s">
        <v>2537</v>
      </c>
      <c r="Q203" t="s">
        <v>2538</v>
      </c>
      <c r="R203" t="s">
        <v>1297</v>
      </c>
      <c r="S203" t="s">
        <v>1993</v>
      </c>
      <c r="AH203" t="s">
        <v>1026</v>
      </c>
      <c r="AZ203" t="s">
        <v>1706</v>
      </c>
      <c r="BA203" t="s">
        <v>1383</v>
      </c>
      <c r="BB203" t="s">
        <v>1167</v>
      </c>
      <c r="BP203" t="s">
        <v>3644</v>
      </c>
      <c r="BQ203" t="s">
        <v>3645</v>
      </c>
    </row>
    <row r="204" spans="12:69" x14ac:dyDescent="0.35">
      <c r="L204" t="s">
        <v>2112</v>
      </c>
      <c r="M204" t="s">
        <v>1551</v>
      </c>
      <c r="N204" t="s">
        <v>1993</v>
      </c>
      <c r="P204" t="s">
        <v>2431</v>
      </c>
      <c r="Q204" t="s">
        <v>2432</v>
      </c>
      <c r="R204" t="s">
        <v>2432</v>
      </c>
      <c r="S204" t="s">
        <v>1812</v>
      </c>
      <c r="AH204" t="s">
        <v>2690</v>
      </c>
      <c r="AZ204" t="s">
        <v>4204</v>
      </c>
      <c r="BA204" t="s">
        <v>209</v>
      </c>
      <c r="BB204" t="s">
        <v>1165</v>
      </c>
      <c r="BP204" t="s">
        <v>3646</v>
      </c>
      <c r="BQ204" t="s">
        <v>3647</v>
      </c>
    </row>
    <row r="205" spans="12:69" x14ac:dyDescent="0.35">
      <c r="L205" t="s">
        <v>2078</v>
      </c>
      <c r="M205" t="s">
        <v>1552</v>
      </c>
      <c r="N205" t="s">
        <v>1993</v>
      </c>
      <c r="P205" t="s">
        <v>2433</v>
      </c>
      <c r="Q205" t="s">
        <v>2434</v>
      </c>
      <c r="R205" t="s">
        <v>2434</v>
      </c>
      <c r="S205" t="s">
        <v>1812</v>
      </c>
      <c r="AH205" t="s">
        <v>2691</v>
      </c>
      <c r="AZ205" t="s">
        <v>1707</v>
      </c>
      <c r="BA205" t="s">
        <v>209</v>
      </c>
      <c r="BB205" t="s">
        <v>1167</v>
      </c>
      <c r="BP205" t="s">
        <v>3648</v>
      </c>
      <c r="BQ205" t="s">
        <v>3649</v>
      </c>
    </row>
    <row r="206" spans="12:69" x14ac:dyDescent="0.35">
      <c r="L206" t="s">
        <v>2067</v>
      </c>
      <c r="M206" t="s">
        <v>1553</v>
      </c>
      <c r="N206" t="s">
        <v>1993</v>
      </c>
      <c r="P206" t="s">
        <v>2449</v>
      </c>
      <c r="Q206" t="s">
        <v>2450</v>
      </c>
      <c r="R206" t="s">
        <v>2450</v>
      </c>
      <c r="S206" t="s">
        <v>1812</v>
      </c>
      <c r="AH206" t="s">
        <v>2692</v>
      </c>
      <c r="AZ206" t="s">
        <v>4205</v>
      </c>
      <c r="BA206" t="s">
        <v>209</v>
      </c>
      <c r="BB206" t="s">
        <v>1165</v>
      </c>
      <c r="BP206" t="s">
        <v>3650</v>
      </c>
      <c r="BQ206" t="s">
        <v>3651</v>
      </c>
    </row>
    <row r="207" spans="12:69" x14ac:dyDescent="0.35">
      <c r="L207" t="s">
        <v>2045</v>
      </c>
      <c r="M207" t="s">
        <v>1554</v>
      </c>
      <c r="N207" t="s">
        <v>1993</v>
      </c>
      <c r="P207" t="s">
        <v>2451</v>
      </c>
      <c r="Q207" t="s">
        <v>2452</v>
      </c>
      <c r="R207" t="s">
        <v>2452</v>
      </c>
      <c r="S207" t="s">
        <v>1812</v>
      </c>
      <c r="AH207" t="s">
        <v>2693</v>
      </c>
      <c r="AZ207" t="s">
        <v>4206</v>
      </c>
      <c r="BA207" t="s">
        <v>209</v>
      </c>
      <c r="BB207" t="s">
        <v>1165</v>
      </c>
      <c r="BP207" t="s">
        <v>3652</v>
      </c>
      <c r="BQ207" t="s">
        <v>3653</v>
      </c>
    </row>
    <row r="208" spans="12:69" x14ac:dyDescent="0.35">
      <c r="P208" t="s">
        <v>2453</v>
      </c>
      <c r="Q208" t="s">
        <v>2454</v>
      </c>
      <c r="R208" t="s">
        <v>2454</v>
      </c>
      <c r="S208" t="s">
        <v>1812</v>
      </c>
      <c r="AH208" t="s">
        <v>2694</v>
      </c>
      <c r="AZ208" t="s">
        <v>4207</v>
      </c>
      <c r="BA208" t="s">
        <v>209</v>
      </c>
      <c r="BB208" t="s">
        <v>1165</v>
      </c>
      <c r="BP208" t="s">
        <v>4310</v>
      </c>
      <c r="BQ208" t="s">
        <v>25</v>
      </c>
    </row>
    <row r="209" spans="16:69" x14ac:dyDescent="0.35">
      <c r="P209" t="s">
        <v>2331</v>
      </c>
      <c r="Q209" t="s">
        <v>1299</v>
      </c>
      <c r="R209" t="s">
        <v>1299</v>
      </c>
      <c r="S209" t="s">
        <v>1993</v>
      </c>
      <c r="AH209" t="s">
        <v>2695</v>
      </c>
      <c r="AZ209" t="s">
        <v>1708</v>
      </c>
      <c r="BA209" t="s">
        <v>1401</v>
      </c>
      <c r="BB209" t="s">
        <v>1165</v>
      </c>
      <c r="BP209" t="s">
        <v>3654</v>
      </c>
      <c r="BQ209" t="s">
        <v>195</v>
      </c>
    </row>
    <row r="210" spans="16:69" x14ac:dyDescent="0.35">
      <c r="P210" t="s">
        <v>2480</v>
      </c>
      <c r="Q210" t="s">
        <v>1369</v>
      </c>
      <c r="R210" t="s">
        <v>1369</v>
      </c>
      <c r="S210" t="s">
        <v>1811</v>
      </c>
      <c r="AH210" t="s">
        <v>2696</v>
      </c>
      <c r="AZ210" t="s">
        <v>1709</v>
      </c>
      <c r="BA210" t="s">
        <v>1401</v>
      </c>
      <c r="BB210" t="s">
        <v>1165</v>
      </c>
      <c r="BP210" t="s">
        <v>3655</v>
      </c>
      <c r="BQ210" t="s">
        <v>3656</v>
      </c>
    </row>
    <row r="211" spans="16:69" x14ac:dyDescent="0.35">
      <c r="P211" t="s">
        <v>2395</v>
      </c>
      <c r="Q211" t="s">
        <v>2396</v>
      </c>
      <c r="R211" t="s">
        <v>2396</v>
      </c>
      <c r="S211" t="s">
        <v>1812</v>
      </c>
      <c r="AH211" t="s">
        <v>2697</v>
      </c>
      <c r="AZ211" t="s">
        <v>4208</v>
      </c>
      <c r="BA211" t="s">
        <v>1394</v>
      </c>
      <c r="BB211" t="s">
        <v>1165</v>
      </c>
      <c r="BP211" t="s">
        <v>4311</v>
      </c>
      <c r="BQ211" t="s">
        <v>4437</v>
      </c>
    </row>
    <row r="212" spans="16:69" x14ac:dyDescent="0.35">
      <c r="P212" t="s">
        <v>2335</v>
      </c>
      <c r="Q212" t="s">
        <v>2336</v>
      </c>
      <c r="R212" t="s">
        <v>1300</v>
      </c>
      <c r="S212" t="s">
        <v>1811</v>
      </c>
      <c r="AH212" t="s">
        <v>2698</v>
      </c>
      <c r="AZ212" t="s">
        <v>1710</v>
      </c>
      <c r="BA212" t="s">
        <v>1394</v>
      </c>
      <c r="BB212" t="s">
        <v>1165</v>
      </c>
      <c r="BP212" t="s">
        <v>4312</v>
      </c>
      <c r="BQ212" t="s">
        <v>4313</v>
      </c>
    </row>
    <row r="213" spans="16:69" x14ac:dyDescent="0.35">
      <c r="P213" t="s">
        <v>2337</v>
      </c>
      <c r="Q213" t="s">
        <v>2338</v>
      </c>
      <c r="R213" t="s">
        <v>1300</v>
      </c>
      <c r="S213" t="s">
        <v>1811</v>
      </c>
      <c r="AH213" t="s">
        <v>2699</v>
      </c>
      <c r="AZ213" t="s">
        <v>4209</v>
      </c>
      <c r="BA213" t="s">
        <v>1394</v>
      </c>
      <c r="BB213" t="s">
        <v>1165</v>
      </c>
      <c r="BP213" t="s">
        <v>4314</v>
      </c>
      <c r="BQ213" t="s">
        <v>4438</v>
      </c>
    </row>
    <row r="214" spans="16:69" x14ac:dyDescent="0.35">
      <c r="P214" t="s">
        <v>2339</v>
      </c>
      <c r="Q214" t="s">
        <v>2340</v>
      </c>
      <c r="R214" t="s">
        <v>1300</v>
      </c>
      <c r="S214" t="s">
        <v>1811</v>
      </c>
      <c r="AH214" t="s">
        <v>2700</v>
      </c>
      <c r="AZ214" t="s">
        <v>1711</v>
      </c>
      <c r="BA214" t="s">
        <v>1394</v>
      </c>
      <c r="BB214" t="s">
        <v>1165</v>
      </c>
      <c r="BP214" t="s">
        <v>3657</v>
      </c>
      <c r="BQ214" t="s">
        <v>4439</v>
      </c>
    </row>
    <row r="215" spans="16:69" x14ac:dyDescent="0.35">
      <c r="P215" t="s">
        <v>2320</v>
      </c>
      <c r="Q215" t="s">
        <v>2321</v>
      </c>
      <c r="R215" t="s">
        <v>1300</v>
      </c>
      <c r="S215" t="s">
        <v>1993</v>
      </c>
      <c r="AH215" t="s">
        <v>2701</v>
      </c>
      <c r="AZ215" t="s">
        <v>1712</v>
      </c>
      <c r="BA215" t="s">
        <v>1397</v>
      </c>
      <c r="BB215" t="s">
        <v>1165</v>
      </c>
      <c r="BP215" t="s">
        <v>4315</v>
      </c>
      <c r="BQ215" t="s">
        <v>4440</v>
      </c>
    </row>
    <row r="216" spans="16:69" x14ac:dyDescent="0.35">
      <c r="P216" t="s">
        <v>2322</v>
      </c>
      <c r="Q216" t="s">
        <v>2323</v>
      </c>
      <c r="R216" t="s">
        <v>1300</v>
      </c>
      <c r="S216" t="s">
        <v>1993</v>
      </c>
      <c r="AH216" t="s">
        <v>1025</v>
      </c>
      <c r="AZ216" t="s">
        <v>3377</v>
      </c>
      <c r="BA216" t="s">
        <v>1277</v>
      </c>
      <c r="BB216" t="s">
        <v>1165</v>
      </c>
      <c r="BP216" t="s">
        <v>4316</v>
      </c>
      <c r="BQ216" t="s">
        <v>4441</v>
      </c>
    </row>
    <row r="217" spans="16:69" x14ac:dyDescent="0.35">
      <c r="P217" t="s">
        <v>2324</v>
      </c>
      <c r="Q217" t="s">
        <v>2325</v>
      </c>
      <c r="R217" t="s">
        <v>1300</v>
      </c>
      <c r="S217" t="s">
        <v>1993</v>
      </c>
      <c r="AH217" t="s">
        <v>1024</v>
      </c>
      <c r="AZ217" t="s">
        <v>3378</v>
      </c>
      <c r="BA217" t="s">
        <v>209</v>
      </c>
      <c r="BB217" t="s">
        <v>1165</v>
      </c>
      <c r="BP217" t="s">
        <v>4317</v>
      </c>
      <c r="BQ217" t="s">
        <v>4318</v>
      </c>
    </row>
    <row r="218" spans="16:69" x14ac:dyDescent="0.35">
      <c r="P218" t="s">
        <v>2326</v>
      </c>
      <c r="Q218" t="s">
        <v>2327</v>
      </c>
      <c r="R218" t="s">
        <v>1300</v>
      </c>
      <c r="S218" t="s">
        <v>1993</v>
      </c>
      <c r="AH218" t="s">
        <v>1023</v>
      </c>
      <c r="AZ218" t="s">
        <v>4210</v>
      </c>
      <c r="BA218" t="s">
        <v>1388</v>
      </c>
      <c r="BB218" t="s">
        <v>1165</v>
      </c>
      <c r="BP218" t="s">
        <v>4319</v>
      </c>
      <c r="BQ218" t="s">
        <v>4384</v>
      </c>
    </row>
    <row r="219" spans="16:69" x14ac:dyDescent="0.35">
      <c r="P219" t="s">
        <v>2328</v>
      </c>
      <c r="Q219" t="s">
        <v>2329</v>
      </c>
      <c r="R219" t="s">
        <v>1300</v>
      </c>
      <c r="S219" t="s">
        <v>1993</v>
      </c>
      <c r="AH219" t="s">
        <v>1022</v>
      </c>
      <c r="AZ219" t="s">
        <v>4211</v>
      </c>
      <c r="BA219" t="s">
        <v>1388</v>
      </c>
      <c r="BB219" t="s">
        <v>1165</v>
      </c>
      <c r="BP219" t="s">
        <v>4319</v>
      </c>
      <c r="BQ219" t="s">
        <v>4320</v>
      </c>
    </row>
    <row r="220" spans="16:69" x14ac:dyDescent="0.35">
      <c r="P220" t="s">
        <v>2461</v>
      </c>
      <c r="Q220" t="s">
        <v>2462</v>
      </c>
      <c r="R220" t="s">
        <v>2462</v>
      </c>
      <c r="S220" t="s">
        <v>1812</v>
      </c>
      <c r="AH220" t="s">
        <v>1021</v>
      </c>
      <c r="AZ220" t="s">
        <v>4212</v>
      </c>
      <c r="BA220" t="s">
        <v>209</v>
      </c>
      <c r="BB220" t="s">
        <v>1165</v>
      </c>
      <c r="BP220" t="s">
        <v>4321</v>
      </c>
      <c r="BQ220" t="s">
        <v>4442</v>
      </c>
    </row>
    <row r="221" spans="16:69" x14ac:dyDescent="0.35">
      <c r="P221" t="s">
        <v>2292</v>
      </c>
      <c r="Q221" t="s">
        <v>4078</v>
      </c>
      <c r="R221" t="s">
        <v>4078</v>
      </c>
      <c r="S221" t="s">
        <v>1993</v>
      </c>
      <c r="AH221" t="s">
        <v>2702</v>
      </c>
      <c r="AZ221" t="s">
        <v>4213</v>
      </c>
      <c r="BA221" t="s">
        <v>209</v>
      </c>
      <c r="BB221" t="s">
        <v>1165</v>
      </c>
      <c r="BP221" t="s">
        <v>3658</v>
      </c>
      <c r="BQ221" t="s">
        <v>4443</v>
      </c>
    </row>
    <row r="222" spans="16:69" x14ac:dyDescent="0.35">
      <c r="P222" t="s">
        <v>2293</v>
      </c>
      <c r="Q222" t="s">
        <v>4079</v>
      </c>
      <c r="R222" t="s">
        <v>4079</v>
      </c>
      <c r="S222" t="s">
        <v>1993</v>
      </c>
      <c r="AH222" t="s">
        <v>1020</v>
      </c>
      <c r="AZ222" t="s">
        <v>4214</v>
      </c>
      <c r="BA222" t="s">
        <v>209</v>
      </c>
      <c r="BB222" t="s">
        <v>1165</v>
      </c>
      <c r="BP222" t="s">
        <v>3659</v>
      </c>
      <c r="BQ222" t="s">
        <v>4444</v>
      </c>
    </row>
    <row r="223" spans="16:69" x14ac:dyDescent="0.35">
      <c r="P223" t="s">
        <v>2294</v>
      </c>
      <c r="Q223" t="s">
        <v>4080</v>
      </c>
      <c r="R223" t="s">
        <v>4080</v>
      </c>
      <c r="S223" t="s">
        <v>1993</v>
      </c>
      <c r="AH223" t="s">
        <v>3832</v>
      </c>
      <c r="AZ223" t="s">
        <v>4215</v>
      </c>
      <c r="BA223" t="s">
        <v>209</v>
      </c>
      <c r="BB223" t="s">
        <v>1165</v>
      </c>
      <c r="BP223" t="s">
        <v>4322</v>
      </c>
      <c r="BQ223" t="s">
        <v>4323</v>
      </c>
    </row>
    <row r="224" spans="16:69" x14ac:dyDescent="0.35">
      <c r="P224" t="s">
        <v>2295</v>
      </c>
      <c r="Q224" t="s">
        <v>4081</v>
      </c>
      <c r="R224" t="s">
        <v>4081</v>
      </c>
      <c r="S224" t="s">
        <v>1993</v>
      </c>
      <c r="AH224" t="s">
        <v>1019</v>
      </c>
      <c r="AZ224" t="s">
        <v>4216</v>
      </c>
      <c r="BA224" t="s">
        <v>209</v>
      </c>
      <c r="BB224" t="s">
        <v>1165</v>
      </c>
      <c r="BP224" t="s">
        <v>4324</v>
      </c>
      <c r="BQ224" t="s">
        <v>4325</v>
      </c>
    </row>
    <row r="225" spans="16:69" x14ac:dyDescent="0.35">
      <c r="P225" t="s">
        <v>2296</v>
      </c>
      <c r="Q225" t="s">
        <v>4082</v>
      </c>
      <c r="R225" t="s">
        <v>4082</v>
      </c>
      <c r="S225" t="s">
        <v>1993</v>
      </c>
      <c r="AH225" t="s">
        <v>3833</v>
      </c>
      <c r="AZ225" t="s">
        <v>4217</v>
      </c>
      <c r="BA225" t="s">
        <v>209</v>
      </c>
      <c r="BB225" t="s">
        <v>1165</v>
      </c>
      <c r="BP225" t="s">
        <v>4326</v>
      </c>
      <c r="BQ225" t="s">
        <v>4445</v>
      </c>
    </row>
    <row r="226" spans="16:69" x14ac:dyDescent="0.35">
      <c r="P226" t="s">
        <v>2297</v>
      </c>
      <c r="Q226" t="s">
        <v>4083</v>
      </c>
      <c r="R226" t="s">
        <v>4083</v>
      </c>
      <c r="S226" t="s">
        <v>1993</v>
      </c>
      <c r="AH226" t="s">
        <v>1018</v>
      </c>
      <c r="AZ226" t="s">
        <v>4218</v>
      </c>
      <c r="BA226" t="s">
        <v>209</v>
      </c>
      <c r="BB226" t="s">
        <v>1165</v>
      </c>
      <c r="BP226" t="s">
        <v>4327</v>
      </c>
      <c r="BQ226" t="s">
        <v>4328</v>
      </c>
    </row>
    <row r="227" spans="16:69" x14ac:dyDescent="0.35">
      <c r="P227" t="s">
        <v>2360</v>
      </c>
      <c r="Q227" t="s">
        <v>2361</v>
      </c>
      <c r="R227" t="s">
        <v>2361</v>
      </c>
      <c r="S227" t="s">
        <v>1811</v>
      </c>
      <c r="AH227" t="s">
        <v>1017</v>
      </c>
      <c r="AZ227" t="s">
        <v>4219</v>
      </c>
      <c r="BA227" t="s">
        <v>209</v>
      </c>
      <c r="BB227" t="s">
        <v>1165</v>
      </c>
      <c r="BP227" t="s">
        <v>3660</v>
      </c>
      <c r="BQ227" t="s">
        <v>4446</v>
      </c>
    </row>
    <row r="228" spans="16:69" x14ac:dyDescent="0.35">
      <c r="P228" t="s">
        <v>2362</v>
      </c>
      <c r="Q228" t="s">
        <v>2363</v>
      </c>
      <c r="R228" t="s">
        <v>2363</v>
      </c>
      <c r="S228" t="s">
        <v>1811</v>
      </c>
      <c r="AH228" t="s">
        <v>1016</v>
      </c>
      <c r="AZ228" t="s">
        <v>4220</v>
      </c>
      <c r="BA228" t="s">
        <v>1384</v>
      </c>
      <c r="BB228" t="s">
        <v>1165</v>
      </c>
      <c r="BP228" t="s">
        <v>3661</v>
      </c>
      <c r="BQ228" t="s">
        <v>4375</v>
      </c>
    </row>
    <row r="229" spans="16:69" x14ac:dyDescent="0.35">
      <c r="P229" t="s">
        <v>4084</v>
      </c>
      <c r="Q229" t="s">
        <v>4085</v>
      </c>
      <c r="R229" t="s">
        <v>4085</v>
      </c>
      <c r="S229" t="s">
        <v>1993</v>
      </c>
      <c r="AH229" t="s">
        <v>2703</v>
      </c>
      <c r="AZ229" t="s">
        <v>4221</v>
      </c>
      <c r="BA229" t="s">
        <v>3991</v>
      </c>
      <c r="BB229" t="s">
        <v>1168</v>
      </c>
      <c r="BP229" t="s">
        <v>3662</v>
      </c>
      <c r="BQ229" t="s">
        <v>4447</v>
      </c>
    </row>
    <row r="230" spans="16:69" x14ac:dyDescent="0.35">
      <c r="P230" t="s">
        <v>2353</v>
      </c>
      <c r="Q230" t="s">
        <v>4086</v>
      </c>
      <c r="R230" t="s">
        <v>4086</v>
      </c>
      <c r="S230" t="s">
        <v>1811</v>
      </c>
      <c r="AH230" t="s">
        <v>3834</v>
      </c>
      <c r="AZ230" t="s">
        <v>1713</v>
      </c>
      <c r="BA230" t="s">
        <v>3333</v>
      </c>
      <c r="BB230" t="s">
        <v>1168</v>
      </c>
      <c r="BP230" t="s">
        <v>3663</v>
      </c>
      <c r="BQ230" t="s">
        <v>4448</v>
      </c>
    </row>
    <row r="231" spans="16:69" x14ac:dyDescent="0.35">
      <c r="P231" t="s">
        <v>2254</v>
      </c>
      <c r="Q231" t="s">
        <v>4087</v>
      </c>
      <c r="R231" t="s">
        <v>4087</v>
      </c>
      <c r="S231" t="s">
        <v>1812</v>
      </c>
      <c r="AH231" t="s">
        <v>1015</v>
      </c>
      <c r="AZ231" t="s">
        <v>1714</v>
      </c>
      <c r="BA231" t="s">
        <v>3333</v>
      </c>
      <c r="BB231" t="s">
        <v>1168</v>
      </c>
      <c r="BP231" t="s">
        <v>3664</v>
      </c>
      <c r="BQ231" t="s">
        <v>4449</v>
      </c>
    </row>
    <row r="232" spans="16:69" x14ac:dyDescent="0.35">
      <c r="P232" t="s">
        <v>2256</v>
      </c>
      <c r="Q232" t="s">
        <v>4088</v>
      </c>
      <c r="R232" t="s">
        <v>4088</v>
      </c>
      <c r="S232" t="s">
        <v>1812</v>
      </c>
      <c r="AH232" t="s">
        <v>3835</v>
      </c>
      <c r="AZ232" t="s">
        <v>1715</v>
      </c>
      <c r="BA232" t="s">
        <v>3333</v>
      </c>
      <c r="BB232" t="s">
        <v>1168</v>
      </c>
      <c r="BP232" t="s">
        <v>3665</v>
      </c>
      <c r="BQ232" t="s">
        <v>4450</v>
      </c>
    </row>
    <row r="233" spans="16:69" x14ac:dyDescent="0.35">
      <c r="P233" t="s">
        <v>2258</v>
      </c>
      <c r="Q233" t="s">
        <v>4089</v>
      </c>
      <c r="R233" t="s">
        <v>4089</v>
      </c>
      <c r="S233" t="s">
        <v>1812</v>
      </c>
      <c r="AH233" t="s">
        <v>1014</v>
      </c>
      <c r="AZ233" t="s">
        <v>1716</v>
      </c>
      <c r="BA233" t="s">
        <v>1285</v>
      </c>
      <c r="BB233" t="s">
        <v>1168</v>
      </c>
      <c r="BP233" t="s">
        <v>3666</v>
      </c>
      <c r="BQ233" t="s">
        <v>4451</v>
      </c>
    </row>
    <row r="234" spans="16:69" x14ac:dyDescent="0.35">
      <c r="P234" t="s">
        <v>2260</v>
      </c>
      <c r="Q234" t="s">
        <v>4090</v>
      </c>
      <c r="R234" t="s">
        <v>4090</v>
      </c>
      <c r="S234" t="s">
        <v>1812</v>
      </c>
      <c r="AH234" t="s">
        <v>1013</v>
      </c>
      <c r="AZ234" t="s">
        <v>1717</v>
      </c>
      <c r="BA234" t="s">
        <v>3333</v>
      </c>
      <c r="BB234" t="s">
        <v>1168</v>
      </c>
      <c r="BP234" t="s">
        <v>3667</v>
      </c>
      <c r="BQ234" t="s">
        <v>4452</v>
      </c>
    </row>
    <row r="235" spans="16:69" x14ac:dyDescent="0.35">
      <c r="P235" t="s">
        <v>2262</v>
      </c>
      <c r="Q235" t="s">
        <v>4091</v>
      </c>
      <c r="R235" t="s">
        <v>4091</v>
      </c>
      <c r="S235" t="s">
        <v>1812</v>
      </c>
      <c r="AH235" t="s">
        <v>2704</v>
      </c>
      <c r="AZ235" t="s">
        <v>1718</v>
      </c>
      <c r="BA235" t="s">
        <v>3333</v>
      </c>
      <c r="BB235" t="s">
        <v>1168</v>
      </c>
      <c r="BP235" t="s">
        <v>3668</v>
      </c>
      <c r="BQ235" t="s">
        <v>3669</v>
      </c>
    </row>
    <row r="236" spans="16:69" x14ac:dyDescent="0.35">
      <c r="P236" t="s">
        <v>2264</v>
      </c>
      <c r="Q236" t="s">
        <v>4092</v>
      </c>
      <c r="R236" t="s">
        <v>4092</v>
      </c>
      <c r="S236" t="s">
        <v>1812</v>
      </c>
      <c r="AH236" t="s">
        <v>1012</v>
      </c>
      <c r="AZ236" t="s">
        <v>1719</v>
      </c>
      <c r="BA236" t="s">
        <v>3333</v>
      </c>
      <c r="BB236" t="s">
        <v>1168</v>
      </c>
      <c r="BP236" t="s">
        <v>3670</v>
      </c>
      <c r="BQ236" t="s">
        <v>3671</v>
      </c>
    </row>
    <row r="237" spans="16:69" x14ac:dyDescent="0.35">
      <c r="P237" t="s">
        <v>2196</v>
      </c>
      <c r="Q237" t="s">
        <v>4093</v>
      </c>
      <c r="R237" t="s">
        <v>4093</v>
      </c>
      <c r="S237" t="s">
        <v>1812</v>
      </c>
      <c r="AH237" t="s">
        <v>2705</v>
      </c>
      <c r="AZ237" t="s">
        <v>1720</v>
      </c>
      <c r="BA237" t="s">
        <v>3333</v>
      </c>
      <c r="BB237" t="s">
        <v>1168</v>
      </c>
      <c r="BP237" t="s">
        <v>3672</v>
      </c>
      <c r="BQ237" t="s">
        <v>3673</v>
      </c>
    </row>
    <row r="238" spans="16:69" x14ac:dyDescent="0.35">
      <c r="P238" t="s">
        <v>2198</v>
      </c>
      <c r="Q238" t="s">
        <v>4094</v>
      </c>
      <c r="R238" t="s">
        <v>4094</v>
      </c>
      <c r="S238" t="s">
        <v>1812</v>
      </c>
      <c r="AH238" t="s">
        <v>2706</v>
      </c>
      <c r="AZ238" t="s">
        <v>1721</v>
      </c>
      <c r="BA238" t="s">
        <v>3333</v>
      </c>
      <c r="BB238" t="s">
        <v>1168</v>
      </c>
      <c r="BP238" t="s">
        <v>3674</v>
      </c>
      <c r="BQ238" t="s">
        <v>3675</v>
      </c>
    </row>
    <row r="239" spans="16:69" x14ac:dyDescent="0.35">
      <c r="P239" t="s">
        <v>2200</v>
      </c>
      <c r="Q239" t="s">
        <v>4095</v>
      </c>
      <c r="R239" t="s">
        <v>4095</v>
      </c>
      <c r="S239" t="s">
        <v>1812</v>
      </c>
      <c r="AH239" t="s">
        <v>2707</v>
      </c>
      <c r="AZ239" t="s">
        <v>1722</v>
      </c>
      <c r="BA239" t="s">
        <v>1393</v>
      </c>
      <c r="BB239" t="s">
        <v>1168</v>
      </c>
      <c r="BP239" t="s">
        <v>3676</v>
      </c>
      <c r="BQ239" t="s">
        <v>3677</v>
      </c>
    </row>
    <row r="240" spans="16:69" x14ac:dyDescent="0.35">
      <c r="P240" t="s">
        <v>2202</v>
      </c>
      <c r="Q240" t="s">
        <v>4096</v>
      </c>
      <c r="R240" t="s">
        <v>4096</v>
      </c>
      <c r="S240" t="s">
        <v>1812</v>
      </c>
      <c r="AH240" t="s">
        <v>1011</v>
      </c>
      <c r="AZ240" t="s">
        <v>1723</v>
      </c>
      <c r="BA240" t="s">
        <v>3333</v>
      </c>
      <c r="BB240" t="s">
        <v>1168</v>
      </c>
      <c r="BP240" t="s">
        <v>3678</v>
      </c>
      <c r="BQ240" t="s">
        <v>3679</v>
      </c>
    </row>
    <row r="241" spans="16:69" x14ac:dyDescent="0.35">
      <c r="P241" t="s">
        <v>2204</v>
      </c>
      <c r="Q241" t="s">
        <v>4097</v>
      </c>
      <c r="R241" t="s">
        <v>4097</v>
      </c>
      <c r="S241" t="s">
        <v>1812</v>
      </c>
      <c r="AH241" t="s">
        <v>1010</v>
      </c>
      <c r="AZ241" t="s">
        <v>1724</v>
      </c>
      <c r="BA241" t="s">
        <v>3333</v>
      </c>
      <c r="BB241" t="s">
        <v>1168</v>
      </c>
      <c r="BP241" t="s">
        <v>3680</v>
      </c>
      <c r="BQ241" t="s">
        <v>3681</v>
      </c>
    </row>
    <row r="242" spans="16:69" x14ac:dyDescent="0.35">
      <c r="P242" t="s">
        <v>2206</v>
      </c>
      <c r="Q242" t="s">
        <v>4098</v>
      </c>
      <c r="R242" t="s">
        <v>4098</v>
      </c>
      <c r="S242" t="s">
        <v>1812</v>
      </c>
      <c r="AH242" t="s">
        <v>1009</v>
      </c>
      <c r="AZ242" t="s">
        <v>1725</v>
      </c>
      <c r="BA242" t="s">
        <v>3333</v>
      </c>
      <c r="BB242" t="s">
        <v>1168</v>
      </c>
      <c r="BP242" t="s">
        <v>3682</v>
      </c>
      <c r="BQ242" t="s">
        <v>3683</v>
      </c>
    </row>
    <row r="243" spans="16:69" x14ac:dyDescent="0.35">
      <c r="P243" t="s">
        <v>2469</v>
      </c>
      <c r="Q243" t="s">
        <v>1370</v>
      </c>
      <c r="R243" t="s">
        <v>1370</v>
      </c>
      <c r="S243" t="s">
        <v>1811</v>
      </c>
      <c r="AH243" t="s">
        <v>1008</v>
      </c>
      <c r="AZ243" t="s">
        <v>1726</v>
      </c>
      <c r="BA243" t="s">
        <v>3333</v>
      </c>
      <c r="BB243" t="s">
        <v>1168</v>
      </c>
      <c r="BP243" t="s">
        <v>3684</v>
      </c>
      <c r="BQ243" t="s">
        <v>3685</v>
      </c>
    </row>
    <row r="244" spans="16:69" x14ac:dyDescent="0.35">
      <c r="P244" t="s">
        <v>2455</v>
      </c>
      <c r="Q244" t="s">
        <v>2456</v>
      </c>
      <c r="R244" t="s">
        <v>2456</v>
      </c>
      <c r="S244" t="s">
        <v>1812</v>
      </c>
      <c r="AH244" t="s">
        <v>2708</v>
      </c>
      <c r="AZ244" t="s">
        <v>1727</v>
      </c>
      <c r="BA244" t="s">
        <v>3333</v>
      </c>
      <c r="BB244" t="s">
        <v>1168</v>
      </c>
      <c r="BP244" t="s">
        <v>3686</v>
      </c>
      <c r="BQ244" t="s">
        <v>3687</v>
      </c>
    </row>
    <row r="245" spans="16:69" x14ac:dyDescent="0.35">
      <c r="P245" t="s">
        <v>2540</v>
      </c>
      <c r="Q245" t="s">
        <v>1301</v>
      </c>
      <c r="R245" t="s">
        <v>1301</v>
      </c>
      <c r="S245" t="s">
        <v>1993</v>
      </c>
      <c r="AH245" t="s">
        <v>2709</v>
      </c>
      <c r="AZ245" t="s">
        <v>1728</v>
      </c>
      <c r="BA245" t="s">
        <v>3333</v>
      </c>
      <c r="BB245" t="s">
        <v>1168</v>
      </c>
      <c r="BP245" t="s">
        <v>3688</v>
      </c>
      <c r="BQ245" t="s">
        <v>3689</v>
      </c>
    </row>
    <row r="246" spans="16:69" x14ac:dyDescent="0.35">
      <c r="P246" t="s">
        <v>2397</v>
      </c>
      <c r="Q246" t="s">
        <v>2398</v>
      </c>
      <c r="R246" t="s">
        <v>2398</v>
      </c>
      <c r="S246" t="s">
        <v>1812</v>
      </c>
      <c r="AH246" t="s">
        <v>2710</v>
      </c>
      <c r="AZ246" t="s">
        <v>4222</v>
      </c>
      <c r="BA246" t="s">
        <v>3991</v>
      </c>
      <c r="BB246" t="s">
        <v>1168</v>
      </c>
      <c r="BP246" t="s">
        <v>3690</v>
      </c>
      <c r="BQ246" t="s">
        <v>4453</v>
      </c>
    </row>
    <row r="247" spans="16:69" x14ac:dyDescent="0.35">
      <c r="P247" t="s">
        <v>2399</v>
      </c>
      <c r="Q247" t="s">
        <v>2400</v>
      </c>
      <c r="R247" t="s">
        <v>2400</v>
      </c>
      <c r="S247" t="s">
        <v>1812</v>
      </c>
      <c r="AH247" t="s">
        <v>2711</v>
      </c>
      <c r="AZ247" t="s">
        <v>1729</v>
      </c>
      <c r="BA247" t="s">
        <v>3333</v>
      </c>
      <c r="BB247" t="s">
        <v>1168</v>
      </c>
      <c r="BP247" t="s">
        <v>3691</v>
      </c>
      <c r="BQ247" t="s">
        <v>3692</v>
      </c>
    </row>
    <row r="248" spans="16:69" x14ac:dyDescent="0.35">
      <c r="P248" t="s">
        <v>2423</v>
      </c>
      <c r="Q248" t="s">
        <v>2424</v>
      </c>
      <c r="R248" t="s">
        <v>2424</v>
      </c>
      <c r="S248" t="s">
        <v>1812</v>
      </c>
      <c r="AH248" t="s">
        <v>2712</v>
      </c>
      <c r="AZ248" t="s">
        <v>1730</v>
      </c>
      <c r="BA248" t="s">
        <v>3333</v>
      </c>
      <c r="BB248" t="s">
        <v>1168</v>
      </c>
      <c r="BP248" t="s">
        <v>3693</v>
      </c>
      <c r="BQ248" t="s">
        <v>3694</v>
      </c>
    </row>
    <row r="249" spans="16:69" x14ac:dyDescent="0.35">
      <c r="P249" t="s">
        <v>2425</v>
      </c>
      <c r="Q249" t="s">
        <v>2426</v>
      </c>
      <c r="R249" t="s">
        <v>2426</v>
      </c>
      <c r="S249" t="s">
        <v>1812</v>
      </c>
      <c r="AH249" t="s">
        <v>3836</v>
      </c>
      <c r="AZ249" t="s">
        <v>1731</v>
      </c>
      <c r="BA249" t="s">
        <v>3333</v>
      </c>
      <c r="BB249" t="s">
        <v>1168</v>
      </c>
      <c r="BP249" t="s">
        <v>3695</v>
      </c>
      <c r="BQ249" t="s">
        <v>3696</v>
      </c>
    </row>
    <row r="250" spans="16:69" x14ac:dyDescent="0.35">
      <c r="P250" t="s">
        <v>2427</v>
      </c>
      <c r="Q250" t="s">
        <v>2428</v>
      </c>
      <c r="R250" t="s">
        <v>2428</v>
      </c>
      <c r="S250" t="s">
        <v>1812</v>
      </c>
      <c r="AH250" t="s">
        <v>2713</v>
      </c>
      <c r="AZ250" t="s">
        <v>1732</v>
      </c>
      <c r="BA250" t="s">
        <v>3333</v>
      </c>
      <c r="BB250" t="s">
        <v>1168</v>
      </c>
      <c r="BP250" t="s">
        <v>3697</v>
      </c>
      <c r="BQ250" t="s">
        <v>3698</v>
      </c>
    </row>
    <row r="251" spans="16:69" x14ac:dyDescent="0.35">
      <c r="P251" t="s">
        <v>2524</v>
      </c>
      <c r="Q251" t="s">
        <v>1579</v>
      </c>
      <c r="R251" t="s">
        <v>1579</v>
      </c>
      <c r="S251" t="s">
        <v>1993</v>
      </c>
      <c r="AH251" t="s">
        <v>2714</v>
      </c>
      <c r="AZ251" t="s">
        <v>1733</v>
      </c>
      <c r="BA251" t="s">
        <v>3333</v>
      </c>
      <c r="BB251" t="s">
        <v>1168</v>
      </c>
      <c r="BP251" t="s">
        <v>3699</v>
      </c>
      <c r="BQ251" t="s">
        <v>3700</v>
      </c>
    </row>
    <row r="252" spans="16:69" x14ac:dyDescent="0.35">
      <c r="P252" t="s">
        <v>2485</v>
      </c>
      <c r="Q252" t="s">
        <v>2486</v>
      </c>
      <c r="R252" t="s">
        <v>2486</v>
      </c>
      <c r="S252" t="s">
        <v>1993</v>
      </c>
      <c r="AH252" t="s">
        <v>1007</v>
      </c>
      <c r="AZ252" t="s">
        <v>1734</v>
      </c>
      <c r="BA252" t="s">
        <v>3333</v>
      </c>
      <c r="BB252" t="s">
        <v>1168</v>
      </c>
      <c r="BP252" t="s">
        <v>3701</v>
      </c>
      <c r="BQ252" t="s">
        <v>3702</v>
      </c>
    </row>
    <row r="253" spans="16:69" x14ac:dyDescent="0.35">
      <c r="AH253" t="s">
        <v>2715</v>
      </c>
      <c r="AZ253" t="s">
        <v>1735</v>
      </c>
      <c r="BA253" t="s">
        <v>3333</v>
      </c>
      <c r="BB253" t="s">
        <v>1168</v>
      </c>
      <c r="BP253" t="s">
        <v>3703</v>
      </c>
      <c r="BQ253" t="s">
        <v>3704</v>
      </c>
    </row>
    <row r="254" spans="16:69" x14ac:dyDescent="0.35">
      <c r="AH254" t="s">
        <v>1006</v>
      </c>
      <c r="AZ254" t="s">
        <v>1736</v>
      </c>
      <c r="BA254" t="s">
        <v>3333</v>
      </c>
      <c r="BB254" t="s">
        <v>1168</v>
      </c>
      <c r="BP254" t="s">
        <v>3705</v>
      </c>
      <c r="BQ254" t="s">
        <v>3706</v>
      </c>
    </row>
    <row r="255" spans="16:69" x14ac:dyDescent="0.35">
      <c r="AH255" t="s">
        <v>2716</v>
      </c>
      <c r="AZ255" t="s">
        <v>4223</v>
      </c>
      <c r="BA255" t="s">
        <v>1399</v>
      </c>
      <c r="BB255" t="s">
        <v>1165</v>
      </c>
      <c r="BP255" t="s">
        <v>3707</v>
      </c>
      <c r="BQ255" t="s">
        <v>3708</v>
      </c>
    </row>
    <row r="256" spans="16:69" x14ac:dyDescent="0.35">
      <c r="AH256" t="s">
        <v>2717</v>
      </c>
      <c r="AZ256" t="s">
        <v>1737</v>
      </c>
      <c r="BA256" t="s">
        <v>209</v>
      </c>
      <c r="BB256" t="s">
        <v>1165</v>
      </c>
      <c r="BP256" t="s">
        <v>3709</v>
      </c>
      <c r="BQ256" t="s">
        <v>3710</v>
      </c>
    </row>
    <row r="257" spans="34:69" x14ac:dyDescent="0.35">
      <c r="AH257" t="s">
        <v>2718</v>
      </c>
      <c r="AZ257" t="s">
        <v>1738</v>
      </c>
      <c r="BA257" t="s">
        <v>209</v>
      </c>
      <c r="BB257" t="s">
        <v>1167</v>
      </c>
      <c r="BP257" t="s">
        <v>3711</v>
      </c>
      <c r="BQ257" t="s">
        <v>4454</v>
      </c>
    </row>
    <row r="258" spans="34:69" x14ac:dyDescent="0.35">
      <c r="AH258" t="s">
        <v>1005</v>
      </c>
      <c r="AZ258" t="s">
        <v>1739</v>
      </c>
      <c r="BA258" t="s">
        <v>209</v>
      </c>
      <c r="BB258" t="s">
        <v>1167</v>
      </c>
      <c r="BP258" t="s">
        <v>3712</v>
      </c>
      <c r="BQ258" t="s">
        <v>3713</v>
      </c>
    </row>
    <row r="259" spans="34:69" x14ac:dyDescent="0.35">
      <c r="AH259" t="s">
        <v>1004</v>
      </c>
      <c r="AZ259" t="s">
        <v>1740</v>
      </c>
      <c r="BA259" t="s">
        <v>209</v>
      </c>
      <c r="BB259" t="s">
        <v>1167</v>
      </c>
      <c r="BP259" t="s">
        <v>3714</v>
      </c>
      <c r="BQ259" t="s">
        <v>4455</v>
      </c>
    </row>
    <row r="260" spans="34:69" x14ac:dyDescent="0.35">
      <c r="AH260" t="s">
        <v>1003</v>
      </c>
      <c r="AZ260" t="s">
        <v>4224</v>
      </c>
      <c r="BA260" t="s">
        <v>209</v>
      </c>
      <c r="BB260" t="s">
        <v>1167</v>
      </c>
      <c r="BP260" t="s">
        <v>3715</v>
      </c>
      <c r="BQ260" t="s">
        <v>3716</v>
      </c>
    </row>
    <row r="261" spans="34:69" x14ac:dyDescent="0.35">
      <c r="AH261" t="s">
        <v>1002</v>
      </c>
      <c r="AZ261" t="s">
        <v>4225</v>
      </c>
      <c r="BA261" t="s">
        <v>209</v>
      </c>
      <c r="BB261" t="s">
        <v>1167</v>
      </c>
      <c r="BP261" t="s">
        <v>3717</v>
      </c>
      <c r="BQ261" t="s">
        <v>3718</v>
      </c>
    </row>
    <row r="262" spans="34:69" x14ac:dyDescent="0.35">
      <c r="AH262" t="s">
        <v>1001</v>
      </c>
      <c r="AZ262" t="s">
        <v>4226</v>
      </c>
      <c r="BA262" t="s">
        <v>209</v>
      </c>
      <c r="BB262" t="s">
        <v>1167</v>
      </c>
      <c r="BP262" t="s">
        <v>3719</v>
      </c>
      <c r="BQ262" t="s">
        <v>4456</v>
      </c>
    </row>
    <row r="263" spans="34:69" x14ac:dyDescent="0.35">
      <c r="AH263" t="s">
        <v>1000</v>
      </c>
      <c r="AZ263" t="s">
        <v>1741</v>
      </c>
      <c r="BA263" t="s">
        <v>3333</v>
      </c>
      <c r="BB263" t="s">
        <v>1168</v>
      </c>
      <c r="BP263" t="s">
        <v>3720</v>
      </c>
      <c r="BQ263" t="s">
        <v>3721</v>
      </c>
    </row>
    <row r="264" spans="34:69" x14ac:dyDescent="0.35">
      <c r="AH264" t="s">
        <v>999</v>
      </c>
      <c r="AZ264" t="s">
        <v>1742</v>
      </c>
      <c r="BA264" t="s">
        <v>3333</v>
      </c>
      <c r="BB264" t="s">
        <v>1168</v>
      </c>
      <c r="BP264" t="s">
        <v>3722</v>
      </c>
      <c r="BQ264" t="s">
        <v>63</v>
      </c>
    </row>
    <row r="265" spans="34:69" x14ac:dyDescent="0.35">
      <c r="AH265" t="s">
        <v>998</v>
      </c>
      <c r="AZ265" t="s">
        <v>1743</v>
      </c>
      <c r="BA265" t="s">
        <v>209</v>
      </c>
      <c r="BB265" t="s">
        <v>1168</v>
      </c>
      <c r="BP265" t="s">
        <v>3723</v>
      </c>
      <c r="BQ265" t="s">
        <v>3724</v>
      </c>
    </row>
    <row r="266" spans="34:69" x14ac:dyDescent="0.35">
      <c r="AH266" t="s">
        <v>997</v>
      </c>
      <c r="AZ266" t="s">
        <v>1744</v>
      </c>
      <c r="BA266" t="s">
        <v>3333</v>
      </c>
      <c r="BB266" t="s">
        <v>1168</v>
      </c>
      <c r="BP266" t="s">
        <v>3725</v>
      </c>
      <c r="BQ266" t="s">
        <v>3726</v>
      </c>
    </row>
    <row r="267" spans="34:69" x14ac:dyDescent="0.35">
      <c r="AH267" t="s">
        <v>996</v>
      </c>
      <c r="AZ267" t="s">
        <v>3379</v>
      </c>
      <c r="BA267" t="s">
        <v>1400</v>
      </c>
      <c r="BB267" t="s">
        <v>1167</v>
      </c>
      <c r="BP267" t="s">
        <v>3727</v>
      </c>
      <c r="BQ267" t="s">
        <v>3728</v>
      </c>
    </row>
    <row r="268" spans="34:69" x14ac:dyDescent="0.35">
      <c r="AH268" t="s">
        <v>3837</v>
      </c>
      <c r="AZ268" t="s">
        <v>1745</v>
      </c>
      <c r="BA268" t="s">
        <v>209</v>
      </c>
      <c r="BB268" t="s">
        <v>1167</v>
      </c>
      <c r="BP268" t="s">
        <v>3729</v>
      </c>
      <c r="BQ268" t="s">
        <v>3730</v>
      </c>
    </row>
    <row r="269" spans="34:69" x14ac:dyDescent="0.35">
      <c r="AH269" t="s">
        <v>2719</v>
      </c>
      <c r="AZ269" t="s">
        <v>3380</v>
      </c>
      <c r="BA269" t="s">
        <v>209</v>
      </c>
      <c r="BB269" t="s">
        <v>1165</v>
      </c>
      <c r="BP269" t="s">
        <v>3731</v>
      </c>
      <c r="BQ269" t="s">
        <v>3732</v>
      </c>
    </row>
    <row r="270" spans="34:69" x14ac:dyDescent="0.35">
      <c r="AH270" t="s">
        <v>2720</v>
      </c>
      <c r="AZ270" t="s">
        <v>1746</v>
      </c>
      <c r="BA270" t="s">
        <v>209</v>
      </c>
      <c r="BB270" t="s">
        <v>1167</v>
      </c>
      <c r="BP270" t="s">
        <v>3733</v>
      </c>
      <c r="BQ270" t="s">
        <v>3734</v>
      </c>
    </row>
    <row r="271" spans="34:69" x14ac:dyDescent="0.35">
      <c r="AH271" t="s">
        <v>2721</v>
      </c>
      <c r="AZ271" t="s">
        <v>1747</v>
      </c>
      <c r="BA271" t="s">
        <v>209</v>
      </c>
      <c r="BB271" t="s">
        <v>1167</v>
      </c>
      <c r="BP271" t="s">
        <v>3735</v>
      </c>
      <c r="BQ271" t="s">
        <v>3736</v>
      </c>
    </row>
    <row r="272" spans="34:69" x14ac:dyDescent="0.35">
      <c r="AH272" t="s">
        <v>2722</v>
      </c>
      <c r="AZ272" t="s">
        <v>3381</v>
      </c>
      <c r="BA272" t="s">
        <v>1403</v>
      </c>
      <c r="BB272" t="s">
        <v>1165</v>
      </c>
      <c r="BP272" t="s">
        <v>3737</v>
      </c>
      <c r="BQ272" t="s">
        <v>3738</v>
      </c>
    </row>
    <row r="273" spans="34:69" x14ac:dyDescent="0.35">
      <c r="AH273" t="s">
        <v>995</v>
      </c>
      <c r="AZ273" t="s">
        <v>1748</v>
      </c>
      <c r="BA273" t="s">
        <v>1399</v>
      </c>
      <c r="BB273" t="s">
        <v>1165</v>
      </c>
      <c r="BP273" t="s">
        <v>3739</v>
      </c>
      <c r="BQ273" t="s">
        <v>3647</v>
      </c>
    </row>
    <row r="274" spans="34:69" x14ac:dyDescent="0.35">
      <c r="AH274" t="s">
        <v>2723</v>
      </c>
      <c r="AZ274" t="s">
        <v>1749</v>
      </c>
      <c r="BA274" t="s">
        <v>1285</v>
      </c>
      <c r="BB274" t="s">
        <v>1165</v>
      </c>
      <c r="BP274" t="s">
        <v>3740</v>
      </c>
      <c r="BQ274" t="s">
        <v>3741</v>
      </c>
    </row>
    <row r="275" spans="34:69" x14ac:dyDescent="0.35">
      <c r="AH275" t="s">
        <v>994</v>
      </c>
      <c r="AZ275" t="s">
        <v>1750</v>
      </c>
      <c r="BA275" t="s">
        <v>1399</v>
      </c>
      <c r="BB275" t="s">
        <v>1165</v>
      </c>
      <c r="BP275" t="s">
        <v>3742</v>
      </c>
      <c r="BQ275" t="s">
        <v>3743</v>
      </c>
    </row>
    <row r="276" spans="34:69" x14ac:dyDescent="0.35">
      <c r="AH276" t="s">
        <v>993</v>
      </c>
      <c r="AZ276" t="s">
        <v>4227</v>
      </c>
      <c r="BA276" t="s">
        <v>1397</v>
      </c>
      <c r="BB276" t="s">
        <v>1168</v>
      </c>
      <c r="BP276" t="s">
        <v>3744</v>
      </c>
      <c r="BQ276" t="s">
        <v>4457</v>
      </c>
    </row>
    <row r="277" spans="34:69" x14ac:dyDescent="0.35">
      <c r="AH277" t="s">
        <v>992</v>
      </c>
      <c r="AZ277" t="s">
        <v>1751</v>
      </c>
      <c r="BA277" t="s">
        <v>1397</v>
      </c>
      <c r="BB277" t="s">
        <v>1168</v>
      </c>
    </row>
    <row r="278" spans="34:69" x14ac:dyDescent="0.35">
      <c r="AH278" t="s">
        <v>991</v>
      </c>
      <c r="AZ278" t="s">
        <v>1752</v>
      </c>
      <c r="BA278" t="s">
        <v>1397</v>
      </c>
      <c r="BB278" t="s">
        <v>1168</v>
      </c>
    </row>
    <row r="279" spans="34:69" x14ac:dyDescent="0.35">
      <c r="AH279" t="s">
        <v>3838</v>
      </c>
      <c r="AZ279" t="s">
        <v>1753</v>
      </c>
      <c r="BA279" t="s">
        <v>1397</v>
      </c>
      <c r="BB279" t="s">
        <v>1168</v>
      </c>
    </row>
    <row r="280" spans="34:69" x14ac:dyDescent="0.35">
      <c r="AH280" t="s">
        <v>990</v>
      </c>
      <c r="AZ280" t="s">
        <v>1754</v>
      </c>
      <c r="BA280" t="s">
        <v>1397</v>
      </c>
      <c r="BB280" t="s">
        <v>1168</v>
      </c>
    </row>
    <row r="281" spans="34:69" x14ac:dyDescent="0.35">
      <c r="AH281" t="s">
        <v>989</v>
      </c>
      <c r="AZ281" t="s">
        <v>1755</v>
      </c>
      <c r="BA281" t="s">
        <v>1397</v>
      </c>
      <c r="BB281" t="s">
        <v>1168</v>
      </c>
    </row>
    <row r="282" spans="34:69" x14ac:dyDescent="0.35">
      <c r="AH282" t="s">
        <v>988</v>
      </c>
      <c r="AZ282" t="s">
        <v>1756</v>
      </c>
      <c r="BA282" t="s">
        <v>3333</v>
      </c>
      <c r="BB282" t="s">
        <v>1168</v>
      </c>
    </row>
    <row r="283" spans="34:69" x14ac:dyDescent="0.35">
      <c r="AH283" t="s">
        <v>987</v>
      </c>
      <c r="AZ283" t="s">
        <v>4228</v>
      </c>
      <c r="BA283" t="s">
        <v>1397</v>
      </c>
      <c r="BB283" t="s">
        <v>1168</v>
      </c>
    </row>
    <row r="284" spans="34:69" x14ac:dyDescent="0.35">
      <c r="AH284" t="s">
        <v>986</v>
      </c>
      <c r="AZ284" t="s">
        <v>1757</v>
      </c>
      <c r="BA284" t="s">
        <v>1397</v>
      </c>
      <c r="BB284" t="s">
        <v>1168</v>
      </c>
    </row>
    <row r="285" spans="34:69" x14ac:dyDescent="0.35">
      <c r="AH285" t="s">
        <v>985</v>
      </c>
      <c r="AZ285" t="s">
        <v>1758</v>
      </c>
      <c r="BA285" t="s">
        <v>1397</v>
      </c>
      <c r="BB285" t="s">
        <v>1168</v>
      </c>
    </row>
    <row r="286" spans="34:69" x14ac:dyDescent="0.35">
      <c r="AH286" t="s">
        <v>2724</v>
      </c>
      <c r="AZ286" t="s">
        <v>1759</v>
      </c>
      <c r="BA286" t="s">
        <v>3333</v>
      </c>
      <c r="BB286" t="s">
        <v>1168</v>
      </c>
    </row>
    <row r="287" spans="34:69" x14ac:dyDescent="0.35">
      <c r="AH287" t="s">
        <v>984</v>
      </c>
      <c r="AZ287" t="s">
        <v>1760</v>
      </c>
      <c r="BA287" t="s">
        <v>1285</v>
      </c>
      <c r="BB287" t="s">
        <v>1168</v>
      </c>
    </row>
    <row r="288" spans="34:69" x14ac:dyDescent="0.35">
      <c r="AH288" t="s">
        <v>983</v>
      </c>
      <c r="AZ288" t="s">
        <v>1761</v>
      </c>
      <c r="BA288" t="s">
        <v>1397</v>
      </c>
      <c r="BB288" t="s">
        <v>1168</v>
      </c>
    </row>
    <row r="289" spans="34:54" x14ac:dyDescent="0.35">
      <c r="AH289" t="s">
        <v>982</v>
      </c>
      <c r="AZ289" t="s">
        <v>1762</v>
      </c>
      <c r="BA289" t="s">
        <v>1397</v>
      </c>
      <c r="BB289" t="s">
        <v>1168</v>
      </c>
    </row>
    <row r="290" spans="34:54" x14ac:dyDescent="0.35">
      <c r="AH290" t="s">
        <v>2725</v>
      </c>
      <c r="AZ290" t="s">
        <v>4229</v>
      </c>
      <c r="BA290" t="s">
        <v>1397</v>
      </c>
      <c r="BB290" t="s">
        <v>1168</v>
      </c>
    </row>
    <row r="291" spans="34:54" x14ac:dyDescent="0.35">
      <c r="AH291" t="s">
        <v>2726</v>
      </c>
      <c r="AZ291" t="s">
        <v>1763</v>
      </c>
      <c r="BA291" t="s">
        <v>1397</v>
      </c>
      <c r="BB291" t="s">
        <v>1168</v>
      </c>
    </row>
    <row r="292" spans="34:54" x14ac:dyDescent="0.35">
      <c r="AH292" t="s">
        <v>981</v>
      </c>
      <c r="AZ292" t="s">
        <v>1764</v>
      </c>
      <c r="BA292" t="s">
        <v>1397</v>
      </c>
      <c r="BB292" t="s">
        <v>1168</v>
      </c>
    </row>
    <row r="293" spans="34:54" x14ac:dyDescent="0.35">
      <c r="AH293" t="s">
        <v>979</v>
      </c>
      <c r="AZ293" t="s">
        <v>1765</v>
      </c>
      <c r="BA293" t="s">
        <v>1397</v>
      </c>
      <c r="BB293" t="s">
        <v>1168</v>
      </c>
    </row>
    <row r="294" spans="34:54" x14ac:dyDescent="0.35">
      <c r="AH294" t="s">
        <v>978</v>
      </c>
      <c r="AZ294" t="s">
        <v>1766</v>
      </c>
      <c r="BA294" t="s">
        <v>1397</v>
      </c>
      <c r="BB294" t="s">
        <v>1168</v>
      </c>
    </row>
    <row r="295" spans="34:54" x14ac:dyDescent="0.35">
      <c r="AH295" t="s">
        <v>977</v>
      </c>
      <c r="AZ295" t="s">
        <v>1767</v>
      </c>
      <c r="BA295" t="s">
        <v>1397</v>
      </c>
      <c r="BB295" t="s">
        <v>1168</v>
      </c>
    </row>
    <row r="296" spans="34:54" x14ac:dyDescent="0.35">
      <c r="AH296" t="s">
        <v>2727</v>
      </c>
      <c r="AZ296" t="s">
        <v>1768</v>
      </c>
      <c r="BA296" t="s">
        <v>3333</v>
      </c>
      <c r="BB296" t="s">
        <v>1168</v>
      </c>
    </row>
    <row r="297" spans="34:54" x14ac:dyDescent="0.35">
      <c r="AH297" t="s">
        <v>976</v>
      </c>
      <c r="AZ297" t="s">
        <v>4230</v>
      </c>
      <c r="BA297" t="s">
        <v>1397</v>
      </c>
      <c r="BB297" t="s">
        <v>1168</v>
      </c>
    </row>
    <row r="298" spans="34:54" x14ac:dyDescent="0.35">
      <c r="AH298" t="s">
        <v>2728</v>
      </c>
      <c r="AZ298" t="s">
        <v>1769</v>
      </c>
      <c r="BA298" t="s">
        <v>1397</v>
      </c>
      <c r="BB298" t="s">
        <v>1168</v>
      </c>
    </row>
    <row r="299" spans="34:54" x14ac:dyDescent="0.35">
      <c r="AH299" t="s">
        <v>2729</v>
      </c>
      <c r="AZ299" t="s">
        <v>1770</v>
      </c>
      <c r="BA299" t="s">
        <v>1397</v>
      </c>
      <c r="BB299" t="s">
        <v>1168</v>
      </c>
    </row>
    <row r="300" spans="34:54" x14ac:dyDescent="0.35">
      <c r="AH300" t="s">
        <v>2730</v>
      </c>
      <c r="AZ300" t="s">
        <v>1771</v>
      </c>
      <c r="BA300" t="s">
        <v>1397</v>
      </c>
      <c r="BB300" t="s">
        <v>1168</v>
      </c>
    </row>
    <row r="301" spans="34:54" x14ac:dyDescent="0.35">
      <c r="AH301" t="s">
        <v>975</v>
      </c>
      <c r="AZ301" t="s">
        <v>1772</v>
      </c>
      <c r="BA301" t="s">
        <v>1397</v>
      </c>
      <c r="BB301" t="s">
        <v>1168</v>
      </c>
    </row>
    <row r="302" spans="34:54" x14ac:dyDescent="0.35">
      <c r="AH302" t="s">
        <v>974</v>
      </c>
      <c r="AZ302" t="s">
        <v>1773</v>
      </c>
      <c r="BA302" t="s">
        <v>1397</v>
      </c>
      <c r="BB302" t="s">
        <v>1168</v>
      </c>
    </row>
    <row r="303" spans="34:54" x14ac:dyDescent="0.35">
      <c r="AH303" t="s">
        <v>973</v>
      </c>
      <c r="AZ303" t="s">
        <v>4231</v>
      </c>
      <c r="BA303" t="s">
        <v>1395</v>
      </c>
      <c r="BB303" t="s">
        <v>1168</v>
      </c>
    </row>
    <row r="304" spans="34:54" x14ac:dyDescent="0.35">
      <c r="AH304" t="s">
        <v>972</v>
      </c>
      <c r="AZ304" t="s">
        <v>1774</v>
      </c>
      <c r="BA304" t="s">
        <v>1395</v>
      </c>
      <c r="BB304" t="s">
        <v>1168</v>
      </c>
    </row>
    <row r="305" spans="34:54" x14ac:dyDescent="0.35">
      <c r="AH305" t="s">
        <v>971</v>
      </c>
      <c r="AZ305" t="s">
        <v>4232</v>
      </c>
      <c r="BA305" t="s">
        <v>1397</v>
      </c>
      <c r="BB305" t="s">
        <v>1168</v>
      </c>
    </row>
    <row r="306" spans="34:54" x14ac:dyDescent="0.35">
      <c r="AH306" t="s">
        <v>970</v>
      </c>
      <c r="AZ306" t="s">
        <v>3382</v>
      </c>
      <c r="BA306" t="s">
        <v>1397</v>
      </c>
      <c r="BB306" t="s">
        <v>1168</v>
      </c>
    </row>
    <row r="307" spans="34:54" x14ac:dyDescent="0.35">
      <c r="AH307" t="s">
        <v>969</v>
      </c>
      <c r="AZ307" t="s">
        <v>1775</v>
      </c>
      <c r="BA307" t="s">
        <v>1394</v>
      </c>
      <c r="BB307" t="s">
        <v>1168</v>
      </c>
    </row>
    <row r="308" spans="34:54" x14ac:dyDescent="0.35">
      <c r="AH308" t="s">
        <v>968</v>
      </c>
      <c r="AZ308" t="s">
        <v>1776</v>
      </c>
      <c r="BA308" t="s">
        <v>1397</v>
      </c>
      <c r="BB308" t="s">
        <v>1168</v>
      </c>
    </row>
    <row r="309" spans="34:54" x14ac:dyDescent="0.35">
      <c r="AH309" t="s">
        <v>967</v>
      </c>
      <c r="AZ309" t="s">
        <v>1777</v>
      </c>
      <c r="BA309" t="s">
        <v>1397</v>
      </c>
      <c r="BB309" t="s">
        <v>1168</v>
      </c>
    </row>
    <row r="310" spans="34:54" x14ac:dyDescent="0.35">
      <c r="AH310" t="s">
        <v>966</v>
      </c>
      <c r="AZ310" t="s">
        <v>1778</v>
      </c>
      <c r="BA310" t="s">
        <v>1394</v>
      </c>
      <c r="BB310" t="s">
        <v>1168</v>
      </c>
    </row>
    <row r="311" spans="34:54" x14ac:dyDescent="0.35">
      <c r="AH311" t="s">
        <v>2731</v>
      </c>
      <c r="AZ311" t="s">
        <v>1779</v>
      </c>
      <c r="BA311" t="s">
        <v>1397</v>
      </c>
      <c r="BB311" t="s">
        <v>1168</v>
      </c>
    </row>
    <row r="312" spans="34:54" x14ac:dyDescent="0.35">
      <c r="AH312" t="s">
        <v>2732</v>
      </c>
      <c r="AZ312" t="s">
        <v>4233</v>
      </c>
      <c r="BA312" t="s">
        <v>1394</v>
      </c>
      <c r="BB312" t="s">
        <v>1165</v>
      </c>
    </row>
    <row r="313" spans="34:54" x14ac:dyDescent="0.35">
      <c r="AH313" t="s">
        <v>965</v>
      </c>
      <c r="AZ313" t="s">
        <v>1780</v>
      </c>
      <c r="BA313" t="s">
        <v>1394</v>
      </c>
      <c r="BB313" t="s">
        <v>1165</v>
      </c>
    </row>
    <row r="314" spans="34:54" x14ac:dyDescent="0.35">
      <c r="AH314" t="s">
        <v>2733</v>
      </c>
      <c r="AZ314" t="s">
        <v>4234</v>
      </c>
      <c r="BA314" t="s">
        <v>1394</v>
      </c>
      <c r="BB314" t="s">
        <v>1165</v>
      </c>
    </row>
    <row r="315" spans="34:54" x14ac:dyDescent="0.35">
      <c r="AH315" t="s">
        <v>964</v>
      </c>
      <c r="AZ315" t="s">
        <v>1781</v>
      </c>
      <c r="BA315" t="s">
        <v>1394</v>
      </c>
      <c r="BB315" t="s">
        <v>1165</v>
      </c>
    </row>
    <row r="316" spans="34:54" x14ac:dyDescent="0.35">
      <c r="AH316" t="s">
        <v>2734</v>
      </c>
      <c r="AZ316" t="s">
        <v>1782</v>
      </c>
      <c r="BA316" t="s">
        <v>1397</v>
      </c>
      <c r="BB316" t="s">
        <v>1168</v>
      </c>
    </row>
    <row r="317" spans="34:54" x14ac:dyDescent="0.35">
      <c r="AH317" t="s">
        <v>3839</v>
      </c>
      <c r="AZ317" t="s">
        <v>4235</v>
      </c>
      <c r="BA317" t="s">
        <v>1397</v>
      </c>
      <c r="BB317" t="s">
        <v>1168</v>
      </c>
    </row>
    <row r="318" spans="34:54" x14ac:dyDescent="0.35">
      <c r="AH318" t="s">
        <v>2735</v>
      </c>
      <c r="AZ318" t="s">
        <v>4236</v>
      </c>
      <c r="BA318" t="s">
        <v>1397</v>
      </c>
      <c r="BB318" t="s">
        <v>1168</v>
      </c>
    </row>
    <row r="319" spans="34:54" x14ac:dyDescent="0.35">
      <c r="AH319" t="s">
        <v>2736</v>
      </c>
      <c r="AZ319" t="s">
        <v>1783</v>
      </c>
      <c r="BA319" t="s">
        <v>1397</v>
      </c>
      <c r="BB319" t="s">
        <v>1168</v>
      </c>
    </row>
    <row r="320" spans="34:54" x14ac:dyDescent="0.35">
      <c r="AH320" t="s">
        <v>963</v>
      </c>
      <c r="AZ320" t="s">
        <v>4237</v>
      </c>
      <c r="BA320" t="s">
        <v>1397</v>
      </c>
      <c r="BB320" t="s">
        <v>1165</v>
      </c>
    </row>
    <row r="321" spans="34:54" x14ac:dyDescent="0.35">
      <c r="AH321" t="s">
        <v>962</v>
      </c>
      <c r="AZ321" t="s">
        <v>4238</v>
      </c>
      <c r="BA321" t="s">
        <v>1397</v>
      </c>
      <c r="BB321" t="s">
        <v>1165</v>
      </c>
    </row>
    <row r="322" spans="34:54" x14ac:dyDescent="0.35">
      <c r="AH322" t="s">
        <v>961</v>
      </c>
      <c r="AZ322" t="s">
        <v>4239</v>
      </c>
      <c r="BA322" t="s">
        <v>1397</v>
      </c>
      <c r="BB322" t="s">
        <v>1168</v>
      </c>
    </row>
    <row r="323" spans="34:54" x14ac:dyDescent="0.35">
      <c r="AH323" t="s">
        <v>960</v>
      </c>
      <c r="AZ323" t="s">
        <v>4240</v>
      </c>
      <c r="BA323" t="s">
        <v>1397</v>
      </c>
      <c r="BB323" t="s">
        <v>1168</v>
      </c>
    </row>
    <row r="324" spans="34:54" x14ac:dyDescent="0.35">
      <c r="AH324" t="s">
        <v>2737</v>
      </c>
      <c r="AZ324" t="s">
        <v>1784</v>
      </c>
      <c r="BA324" t="s">
        <v>1397</v>
      </c>
      <c r="BB324" t="s">
        <v>1168</v>
      </c>
    </row>
    <row r="325" spans="34:54" x14ac:dyDescent="0.35">
      <c r="AH325" t="s">
        <v>2738</v>
      </c>
      <c r="AZ325" t="s">
        <v>1785</v>
      </c>
      <c r="BA325" t="s">
        <v>1397</v>
      </c>
      <c r="BB325" t="s">
        <v>1168</v>
      </c>
    </row>
    <row r="326" spans="34:54" x14ac:dyDescent="0.35">
      <c r="AH326" t="s">
        <v>2739</v>
      </c>
      <c r="AZ326" t="s">
        <v>1786</v>
      </c>
      <c r="BA326" t="s">
        <v>1397</v>
      </c>
      <c r="BB326" t="s">
        <v>1168</v>
      </c>
    </row>
    <row r="327" spans="34:54" x14ac:dyDescent="0.35">
      <c r="AH327" t="s">
        <v>959</v>
      </c>
      <c r="AZ327" t="s">
        <v>1787</v>
      </c>
      <c r="BA327" t="s">
        <v>1285</v>
      </c>
      <c r="BB327" t="s">
        <v>1168</v>
      </c>
    </row>
    <row r="328" spans="34:54" x14ac:dyDescent="0.35">
      <c r="AH328" t="s">
        <v>958</v>
      </c>
      <c r="AZ328" t="s">
        <v>1788</v>
      </c>
      <c r="BA328" t="s">
        <v>1397</v>
      </c>
      <c r="BB328" t="s">
        <v>1168</v>
      </c>
    </row>
    <row r="329" spans="34:54" x14ac:dyDescent="0.35">
      <c r="AH329" t="s">
        <v>2740</v>
      </c>
      <c r="AZ329" t="s">
        <v>1789</v>
      </c>
      <c r="BA329" t="s">
        <v>1397</v>
      </c>
      <c r="BB329" t="s">
        <v>1168</v>
      </c>
    </row>
    <row r="330" spans="34:54" x14ac:dyDescent="0.35">
      <c r="AH330" t="s">
        <v>2741</v>
      </c>
      <c r="AZ330" t="s">
        <v>3383</v>
      </c>
      <c r="BA330" t="s">
        <v>1384</v>
      </c>
      <c r="BB330" t="s">
        <v>1165</v>
      </c>
    </row>
    <row r="331" spans="34:54" x14ac:dyDescent="0.35">
      <c r="AH331" t="s">
        <v>957</v>
      </c>
      <c r="AZ331" t="s">
        <v>3384</v>
      </c>
      <c r="BA331" t="s">
        <v>1384</v>
      </c>
      <c r="BB331" t="s">
        <v>1165</v>
      </c>
    </row>
    <row r="332" spans="34:54" x14ac:dyDescent="0.35">
      <c r="AH332" t="s">
        <v>956</v>
      </c>
      <c r="AZ332" t="s">
        <v>3385</v>
      </c>
      <c r="BA332" t="s">
        <v>1392</v>
      </c>
      <c r="BB332" t="s">
        <v>1165</v>
      </c>
    </row>
    <row r="333" spans="34:54" x14ac:dyDescent="0.35">
      <c r="AH333" t="s">
        <v>2742</v>
      </c>
      <c r="AZ333" t="s">
        <v>1790</v>
      </c>
      <c r="BA333" t="s">
        <v>1389</v>
      </c>
      <c r="BB333" t="s">
        <v>1165</v>
      </c>
    </row>
    <row r="334" spans="34:54" x14ac:dyDescent="0.35">
      <c r="AH334" t="s">
        <v>955</v>
      </c>
      <c r="AZ334" t="s">
        <v>3386</v>
      </c>
      <c r="BA334" t="s">
        <v>1389</v>
      </c>
      <c r="BB334" t="s">
        <v>1165</v>
      </c>
    </row>
    <row r="335" spans="34:54" x14ac:dyDescent="0.35">
      <c r="AH335" t="s">
        <v>954</v>
      </c>
      <c r="AZ335" t="s">
        <v>4241</v>
      </c>
      <c r="BA335" t="s">
        <v>1401</v>
      </c>
      <c r="BB335" t="s">
        <v>1166</v>
      </c>
    </row>
    <row r="336" spans="34:54" x14ac:dyDescent="0.35">
      <c r="AH336" t="s">
        <v>3840</v>
      </c>
      <c r="AZ336" t="s">
        <v>1791</v>
      </c>
      <c r="BA336" t="s">
        <v>1401</v>
      </c>
      <c r="BB336" t="s">
        <v>1166</v>
      </c>
    </row>
    <row r="337" spans="34:54" x14ac:dyDescent="0.35">
      <c r="AH337" t="s">
        <v>953</v>
      </c>
      <c r="AZ337" t="s">
        <v>3387</v>
      </c>
      <c r="BA337" t="s">
        <v>1389</v>
      </c>
      <c r="BB337" t="s">
        <v>1166</v>
      </c>
    </row>
    <row r="338" spans="34:54" x14ac:dyDescent="0.35">
      <c r="AH338" t="s">
        <v>952</v>
      </c>
      <c r="AZ338" t="s">
        <v>3388</v>
      </c>
      <c r="BA338" t="s">
        <v>1389</v>
      </c>
      <c r="BB338" t="s">
        <v>1166</v>
      </c>
    </row>
    <row r="339" spans="34:54" x14ac:dyDescent="0.35">
      <c r="AH339" t="s">
        <v>2743</v>
      </c>
      <c r="AZ339" t="s">
        <v>3389</v>
      </c>
      <c r="BA339" t="s">
        <v>1400</v>
      </c>
      <c r="BB339" t="s">
        <v>1165</v>
      </c>
    </row>
    <row r="340" spans="34:54" x14ac:dyDescent="0.35">
      <c r="AH340" t="s">
        <v>951</v>
      </c>
      <c r="AZ340" t="s">
        <v>3390</v>
      </c>
      <c r="BA340" t="s">
        <v>1400</v>
      </c>
      <c r="BB340" t="s">
        <v>1165</v>
      </c>
    </row>
    <row r="341" spans="34:54" x14ac:dyDescent="0.35">
      <c r="AH341" t="s">
        <v>950</v>
      </c>
      <c r="AZ341" t="s">
        <v>1792</v>
      </c>
      <c r="BA341" t="s">
        <v>209</v>
      </c>
      <c r="BB341" t="s">
        <v>1167</v>
      </c>
    </row>
    <row r="342" spans="34:54" x14ac:dyDescent="0.35">
      <c r="AH342" t="s">
        <v>949</v>
      </c>
      <c r="AZ342" t="s">
        <v>1793</v>
      </c>
      <c r="BA342" t="s">
        <v>209</v>
      </c>
      <c r="BB342" t="s">
        <v>1167</v>
      </c>
    </row>
    <row r="343" spans="34:54" x14ac:dyDescent="0.35">
      <c r="AH343" t="s">
        <v>2744</v>
      </c>
      <c r="AZ343" t="s">
        <v>1794</v>
      </c>
      <c r="BA343" t="s">
        <v>209</v>
      </c>
      <c r="BB343" t="s">
        <v>1167</v>
      </c>
    </row>
    <row r="344" spans="34:54" x14ac:dyDescent="0.35">
      <c r="AH344" t="s">
        <v>948</v>
      </c>
      <c r="AZ344" t="s">
        <v>4242</v>
      </c>
      <c r="BA344" t="s">
        <v>209</v>
      </c>
      <c r="BB344" t="s">
        <v>1167</v>
      </c>
    </row>
    <row r="345" spans="34:54" x14ac:dyDescent="0.35">
      <c r="AH345" t="s">
        <v>947</v>
      </c>
      <c r="AZ345" t="s">
        <v>1795</v>
      </c>
      <c r="BA345" t="s">
        <v>209</v>
      </c>
      <c r="BB345" t="s">
        <v>1167</v>
      </c>
    </row>
    <row r="346" spans="34:54" x14ac:dyDescent="0.35">
      <c r="AH346" t="s">
        <v>2745</v>
      </c>
      <c r="AZ346" t="s">
        <v>4243</v>
      </c>
      <c r="BA346" t="s">
        <v>209</v>
      </c>
      <c r="BB346" t="s">
        <v>1167</v>
      </c>
    </row>
    <row r="347" spans="34:54" x14ac:dyDescent="0.35">
      <c r="AH347" t="s">
        <v>2746</v>
      </c>
      <c r="AZ347" t="s">
        <v>1796</v>
      </c>
      <c r="BA347" t="s">
        <v>209</v>
      </c>
      <c r="BB347" t="s">
        <v>1167</v>
      </c>
    </row>
    <row r="348" spans="34:54" x14ac:dyDescent="0.35">
      <c r="AH348" t="s">
        <v>3841</v>
      </c>
      <c r="AZ348" t="s">
        <v>4244</v>
      </c>
      <c r="BA348" t="s">
        <v>209</v>
      </c>
      <c r="BB348" t="s">
        <v>1167</v>
      </c>
    </row>
    <row r="349" spans="34:54" x14ac:dyDescent="0.35">
      <c r="AH349" t="s">
        <v>946</v>
      </c>
      <c r="AZ349" t="s">
        <v>4245</v>
      </c>
      <c r="BA349" t="s">
        <v>209</v>
      </c>
      <c r="BB349" t="s">
        <v>1167</v>
      </c>
    </row>
    <row r="350" spans="34:54" x14ac:dyDescent="0.35">
      <c r="AH350" t="s">
        <v>945</v>
      </c>
      <c r="AZ350" t="s">
        <v>4246</v>
      </c>
      <c r="BA350" t="s">
        <v>209</v>
      </c>
      <c r="BB350" t="s">
        <v>1167</v>
      </c>
    </row>
    <row r="351" spans="34:54" x14ac:dyDescent="0.35">
      <c r="AH351" t="s">
        <v>944</v>
      </c>
      <c r="AZ351" t="s">
        <v>4247</v>
      </c>
      <c r="BA351" t="s">
        <v>209</v>
      </c>
      <c r="BB351" t="s">
        <v>1167</v>
      </c>
    </row>
    <row r="352" spans="34:54" x14ac:dyDescent="0.35">
      <c r="AH352" t="s">
        <v>943</v>
      </c>
      <c r="AZ352" t="s">
        <v>4248</v>
      </c>
      <c r="BA352" t="s">
        <v>1396</v>
      </c>
      <c r="BB352" t="s">
        <v>1167</v>
      </c>
    </row>
    <row r="353" spans="34:54" x14ac:dyDescent="0.35">
      <c r="AH353" t="s">
        <v>942</v>
      </c>
      <c r="AZ353" t="s">
        <v>1797</v>
      </c>
      <c r="BA353" t="s">
        <v>1396</v>
      </c>
      <c r="BB353" t="s">
        <v>1167</v>
      </c>
    </row>
    <row r="354" spans="34:54" x14ac:dyDescent="0.35">
      <c r="AH354" t="s">
        <v>3842</v>
      </c>
      <c r="AZ354" t="s">
        <v>1798</v>
      </c>
      <c r="BA354" t="s">
        <v>1396</v>
      </c>
      <c r="BB354" t="s">
        <v>1167</v>
      </c>
    </row>
    <row r="355" spans="34:54" x14ac:dyDescent="0.35">
      <c r="AH355" t="s">
        <v>3843</v>
      </c>
      <c r="AZ355" t="s">
        <v>1799</v>
      </c>
      <c r="BA355" t="s">
        <v>1396</v>
      </c>
      <c r="BB355" t="s">
        <v>1167</v>
      </c>
    </row>
    <row r="356" spans="34:54" x14ac:dyDescent="0.35">
      <c r="AH356" t="s">
        <v>941</v>
      </c>
      <c r="AZ356" t="s">
        <v>4249</v>
      </c>
      <c r="BA356" t="s">
        <v>1383</v>
      </c>
      <c r="BB356" t="s">
        <v>1167</v>
      </c>
    </row>
    <row r="357" spans="34:54" x14ac:dyDescent="0.35">
      <c r="AH357" t="s">
        <v>940</v>
      </c>
      <c r="AZ357" t="s">
        <v>4250</v>
      </c>
      <c r="BA357" t="s">
        <v>1383</v>
      </c>
      <c r="BB357" t="s">
        <v>1167</v>
      </c>
    </row>
    <row r="358" spans="34:54" x14ac:dyDescent="0.35">
      <c r="AH358" t="s">
        <v>939</v>
      </c>
      <c r="AZ358" t="s">
        <v>4251</v>
      </c>
      <c r="BA358" t="s">
        <v>1383</v>
      </c>
      <c r="BB358" t="s">
        <v>1167</v>
      </c>
    </row>
    <row r="359" spans="34:54" x14ac:dyDescent="0.35">
      <c r="AH359" t="s">
        <v>3844</v>
      </c>
      <c r="AZ359" t="s">
        <v>3391</v>
      </c>
      <c r="BA359" t="s">
        <v>1386</v>
      </c>
      <c r="BB359" t="s">
        <v>1166</v>
      </c>
    </row>
    <row r="360" spans="34:54" x14ac:dyDescent="0.35">
      <c r="AH360" t="s">
        <v>2747</v>
      </c>
      <c r="AZ360" t="s">
        <v>3392</v>
      </c>
      <c r="BA360" t="s">
        <v>1277</v>
      </c>
      <c r="BB360" t="s">
        <v>1165</v>
      </c>
    </row>
    <row r="361" spans="34:54" x14ac:dyDescent="0.35">
      <c r="AH361" t="s">
        <v>938</v>
      </c>
      <c r="AZ361" t="s">
        <v>4252</v>
      </c>
      <c r="BA361" t="s">
        <v>209</v>
      </c>
      <c r="BB361" t="s">
        <v>1167</v>
      </c>
    </row>
    <row r="362" spans="34:54" x14ac:dyDescent="0.35">
      <c r="AH362" t="s">
        <v>2748</v>
      </c>
      <c r="AZ362" t="s">
        <v>4353</v>
      </c>
      <c r="BA362" t="s">
        <v>1401</v>
      </c>
      <c r="BB362" t="s">
        <v>1167</v>
      </c>
    </row>
    <row r="363" spans="34:54" x14ac:dyDescent="0.35">
      <c r="AH363" t="s">
        <v>937</v>
      </c>
    </row>
    <row r="364" spans="34:54" x14ac:dyDescent="0.35">
      <c r="AH364" t="s">
        <v>2749</v>
      </c>
    </row>
    <row r="365" spans="34:54" x14ac:dyDescent="0.35">
      <c r="AH365" t="s">
        <v>2750</v>
      </c>
    </row>
    <row r="366" spans="34:54" x14ac:dyDescent="0.35">
      <c r="AH366" t="s">
        <v>2751</v>
      </c>
    </row>
    <row r="367" spans="34:54" x14ac:dyDescent="0.35">
      <c r="AH367" t="s">
        <v>2752</v>
      </c>
    </row>
    <row r="368" spans="34:54" x14ac:dyDescent="0.35">
      <c r="AH368" t="s">
        <v>2753</v>
      </c>
    </row>
    <row r="369" spans="34:34" x14ac:dyDescent="0.35">
      <c r="AH369" t="s">
        <v>2754</v>
      </c>
    </row>
    <row r="370" spans="34:34" x14ac:dyDescent="0.35">
      <c r="AH370" t="s">
        <v>2755</v>
      </c>
    </row>
    <row r="371" spans="34:34" x14ac:dyDescent="0.35">
      <c r="AH371" t="s">
        <v>2756</v>
      </c>
    </row>
    <row r="372" spans="34:34" x14ac:dyDescent="0.35">
      <c r="AH372" t="s">
        <v>2757</v>
      </c>
    </row>
    <row r="373" spans="34:34" x14ac:dyDescent="0.35">
      <c r="AH373" t="s">
        <v>2758</v>
      </c>
    </row>
    <row r="374" spans="34:34" x14ac:dyDescent="0.35">
      <c r="AH374" t="s">
        <v>2759</v>
      </c>
    </row>
    <row r="375" spans="34:34" x14ac:dyDescent="0.35">
      <c r="AH375" t="s">
        <v>2760</v>
      </c>
    </row>
    <row r="376" spans="34:34" x14ac:dyDescent="0.35">
      <c r="AH376" t="s">
        <v>936</v>
      </c>
    </row>
    <row r="377" spans="34:34" x14ac:dyDescent="0.35">
      <c r="AH377" t="s">
        <v>2761</v>
      </c>
    </row>
    <row r="378" spans="34:34" x14ac:dyDescent="0.35">
      <c r="AH378" t="s">
        <v>935</v>
      </c>
    </row>
    <row r="379" spans="34:34" x14ac:dyDescent="0.35">
      <c r="AH379" t="s">
        <v>2762</v>
      </c>
    </row>
    <row r="380" spans="34:34" x14ac:dyDescent="0.35">
      <c r="AH380" t="s">
        <v>2763</v>
      </c>
    </row>
    <row r="381" spans="34:34" x14ac:dyDescent="0.35">
      <c r="AH381" t="s">
        <v>934</v>
      </c>
    </row>
    <row r="382" spans="34:34" x14ac:dyDescent="0.35">
      <c r="AH382" t="s">
        <v>2764</v>
      </c>
    </row>
    <row r="383" spans="34:34" x14ac:dyDescent="0.35">
      <c r="AH383" t="s">
        <v>933</v>
      </c>
    </row>
    <row r="384" spans="34:34" x14ac:dyDescent="0.35">
      <c r="AH384" t="s">
        <v>2765</v>
      </c>
    </row>
    <row r="385" spans="34:34" x14ac:dyDescent="0.35">
      <c r="AH385" t="s">
        <v>2766</v>
      </c>
    </row>
    <row r="386" spans="34:34" x14ac:dyDescent="0.35">
      <c r="AH386" t="s">
        <v>932</v>
      </c>
    </row>
    <row r="387" spans="34:34" x14ac:dyDescent="0.35">
      <c r="AH387" t="s">
        <v>2767</v>
      </c>
    </row>
    <row r="388" spans="34:34" x14ac:dyDescent="0.35">
      <c r="AH388" t="s">
        <v>2768</v>
      </c>
    </row>
    <row r="389" spans="34:34" x14ac:dyDescent="0.35">
      <c r="AH389" t="s">
        <v>2769</v>
      </c>
    </row>
    <row r="390" spans="34:34" x14ac:dyDescent="0.35">
      <c r="AH390" t="s">
        <v>931</v>
      </c>
    </row>
    <row r="391" spans="34:34" x14ac:dyDescent="0.35">
      <c r="AH391" t="s">
        <v>2770</v>
      </c>
    </row>
    <row r="392" spans="34:34" x14ac:dyDescent="0.35">
      <c r="AH392" t="s">
        <v>2771</v>
      </c>
    </row>
    <row r="393" spans="34:34" x14ac:dyDescent="0.35">
      <c r="AH393" t="s">
        <v>930</v>
      </c>
    </row>
    <row r="394" spans="34:34" x14ac:dyDescent="0.35">
      <c r="AH394" t="s">
        <v>2772</v>
      </c>
    </row>
    <row r="395" spans="34:34" x14ac:dyDescent="0.35">
      <c r="AH395" t="s">
        <v>929</v>
      </c>
    </row>
    <row r="396" spans="34:34" x14ac:dyDescent="0.35">
      <c r="AH396" t="s">
        <v>3845</v>
      </c>
    </row>
    <row r="397" spans="34:34" x14ac:dyDescent="0.35">
      <c r="AH397" t="s">
        <v>2773</v>
      </c>
    </row>
    <row r="398" spans="34:34" x14ac:dyDescent="0.35">
      <c r="AH398" t="s">
        <v>928</v>
      </c>
    </row>
    <row r="399" spans="34:34" x14ac:dyDescent="0.35">
      <c r="AH399" t="s">
        <v>927</v>
      </c>
    </row>
    <row r="400" spans="34:34" x14ac:dyDescent="0.35">
      <c r="AH400" t="s">
        <v>2774</v>
      </c>
    </row>
    <row r="401" spans="34:34" x14ac:dyDescent="0.35">
      <c r="AH401" t="s">
        <v>2775</v>
      </c>
    </row>
    <row r="402" spans="34:34" x14ac:dyDescent="0.35">
      <c r="AH402" t="s">
        <v>926</v>
      </c>
    </row>
    <row r="403" spans="34:34" x14ac:dyDescent="0.35">
      <c r="AH403" t="s">
        <v>925</v>
      </c>
    </row>
    <row r="404" spans="34:34" x14ac:dyDescent="0.35">
      <c r="AH404" t="s">
        <v>924</v>
      </c>
    </row>
    <row r="405" spans="34:34" x14ac:dyDescent="0.35">
      <c r="AH405" t="s">
        <v>923</v>
      </c>
    </row>
    <row r="406" spans="34:34" x14ac:dyDescent="0.35">
      <c r="AH406" t="s">
        <v>2776</v>
      </c>
    </row>
    <row r="407" spans="34:34" x14ac:dyDescent="0.35">
      <c r="AH407" t="s">
        <v>922</v>
      </c>
    </row>
    <row r="408" spans="34:34" x14ac:dyDescent="0.35">
      <c r="AH408" t="s">
        <v>2777</v>
      </c>
    </row>
    <row r="409" spans="34:34" x14ac:dyDescent="0.35">
      <c r="AH409" t="s">
        <v>2778</v>
      </c>
    </row>
    <row r="410" spans="34:34" x14ac:dyDescent="0.35">
      <c r="AH410" t="s">
        <v>2779</v>
      </c>
    </row>
    <row r="411" spans="34:34" x14ac:dyDescent="0.35">
      <c r="AH411" t="s">
        <v>2780</v>
      </c>
    </row>
    <row r="412" spans="34:34" x14ac:dyDescent="0.35">
      <c r="AH412" t="s">
        <v>2781</v>
      </c>
    </row>
    <row r="413" spans="34:34" x14ac:dyDescent="0.35">
      <c r="AH413" t="s">
        <v>2782</v>
      </c>
    </row>
    <row r="414" spans="34:34" x14ac:dyDescent="0.35">
      <c r="AH414" t="s">
        <v>3846</v>
      </c>
    </row>
    <row r="415" spans="34:34" x14ac:dyDescent="0.35">
      <c r="AH415" t="s">
        <v>921</v>
      </c>
    </row>
    <row r="416" spans="34:34" x14ac:dyDescent="0.35">
      <c r="AH416" t="s">
        <v>2783</v>
      </c>
    </row>
    <row r="417" spans="34:34" x14ac:dyDescent="0.35">
      <c r="AH417" t="s">
        <v>920</v>
      </c>
    </row>
    <row r="418" spans="34:34" x14ac:dyDescent="0.35">
      <c r="AH418" t="s">
        <v>919</v>
      </c>
    </row>
    <row r="419" spans="34:34" x14ac:dyDescent="0.35">
      <c r="AH419" t="s">
        <v>918</v>
      </c>
    </row>
    <row r="420" spans="34:34" x14ac:dyDescent="0.35">
      <c r="AH420" t="s">
        <v>2784</v>
      </c>
    </row>
    <row r="421" spans="34:34" x14ac:dyDescent="0.35">
      <c r="AH421" t="s">
        <v>917</v>
      </c>
    </row>
    <row r="422" spans="34:34" x14ac:dyDescent="0.35">
      <c r="AH422" t="s">
        <v>916</v>
      </c>
    </row>
    <row r="423" spans="34:34" x14ac:dyDescent="0.35">
      <c r="AH423" t="s">
        <v>915</v>
      </c>
    </row>
    <row r="424" spans="34:34" x14ac:dyDescent="0.35">
      <c r="AH424" t="s">
        <v>914</v>
      </c>
    </row>
    <row r="425" spans="34:34" x14ac:dyDescent="0.35">
      <c r="AH425" t="s">
        <v>913</v>
      </c>
    </row>
    <row r="426" spans="34:34" x14ac:dyDescent="0.35">
      <c r="AH426" t="s">
        <v>3847</v>
      </c>
    </row>
    <row r="427" spans="34:34" x14ac:dyDescent="0.35">
      <c r="AH427" t="s">
        <v>2785</v>
      </c>
    </row>
    <row r="428" spans="34:34" x14ac:dyDescent="0.35">
      <c r="AH428" t="s">
        <v>2786</v>
      </c>
    </row>
    <row r="429" spans="34:34" x14ac:dyDescent="0.35">
      <c r="AH429" t="s">
        <v>2787</v>
      </c>
    </row>
    <row r="430" spans="34:34" x14ac:dyDescent="0.35">
      <c r="AH430" t="s">
        <v>912</v>
      </c>
    </row>
    <row r="431" spans="34:34" x14ac:dyDescent="0.35">
      <c r="AH431" t="s">
        <v>2788</v>
      </c>
    </row>
    <row r="432" spans="34:34" x14ac:dyDescent="0.35">
      <c r="AH432" t="s">
        <v>911</v>
      </c>
    </row>
    <row r="433" spans="34:34" x14ac:dyDescent="0.35">
      <c r="AH433" t="s">
        <v>910</v>
      </c>
    </row>
    <row r="434" spans="34:34" x14ac:dyDescent="0.35">
      <c r="AH434" t="s">
        <v>909</v>
      </c>
    </row>
    <row r="435" spans="34:34" x14ac:dyDescent="0.35">
      <c r="AH435" t="s">
        <v>908</v>
      </c>
    </row>
    <row r="436" spans="34:34" x14ac:dyDescent="0.35">
      <c r="AH436" t="s">
        <v>907</v>
      </c>
    </row>
    <row r="437" spans="34:34" x14ac:dyDescent="0.35">
      <c r="AH437" t="s">
        <v>906</v>
      </c>
    </row>
    <row r="438" spans="34:34" x14ac:dyDescent="0.35">
      <c r="AH438" t="s">
        <v>2789</v>
      </c>
    </row>
    <row r="439" spans="34:34" x14ac:dyDescent="0.35">
      <c r="AH439" t="s">
        <v>905</v>
      </c>
    </row>
    <row r="440" spans="34:34" x14ac:dyDescent="0.35">
      <c r="AH440" t="s">
        <v>904</v>
      </c>
    </row>
    <row r="441" spans="34:34" x14ac:dyDescent="0.35">
      <c r="AH441" t="s">
        <v>2790</v>
      </c>
    </row>
    <row r="442" spans="34:34" x14ac:dyDescent="0.35">
      <c r="AH442" t="s">
        <v>2791</v>
      </c>
    </row>
    <row r="443" spans="34:34" x14ac:dyDescent="0.35">
      <c r="AH443" t="s">
        <v>903</v>
      </c>
    </row>
    <row r="444" spans="34:34" x14ac:dyDescent="0.35">
      <c r="AH444" t="s">
        <v>2792</v>
      </c>
    </row>
    <row r="445" spans="34:34" x14ac:dyDescent="0.35">
      <c r="AH445" t="s">
        <v>902</v>
      </c>
    </row>
    <row r="446" spans="34:34" x14ac:dyDescent="0.35">
      <c r="AH446" t="s">
        <v>2793</v>
      </c>
    </row>
    <row r="447" spans="34:34" x14ac:dyDescent="0.35">
      <c r="AH447" t="s">
        <v>2794</v>
      </c>
    </row>
    <row r="448" spans="34:34" x14ac:dyDescent="0.35">
      <c r="AH448" t="s">
        <v>2795</v>
      </c>
    </row>
    <row r="449" spans="34:34" x14ac:dyDescent="0.35">
      <c r="AH449" t="s">
        <v>901</v>
      </c>
    </row>
    <row r="450" spans="34:34" x14ac:dyDescent="0.35">
      <c r="AH450" t="s">
        <v>900</v>
      </c>
    </row>
    <row r="451" spans="34:34" x14ac:dyDescent="0.35">
      <c r="AH451" t="s">
        <v>899</v>
      </c>
    </row>
    <row r="452" spans="34:34" x14ac:dyDescent="0.35">
      <c r="AH452" t="s">
        <v>898</v>
      </c>
    </row>
    <row r="453" spans="34:34" x14ac:dyDescent="0.35">
      <c r="AH453" t="s">
        <v>897</v>
      </c>
    </row>
    <row r="454" spans="34:34" x14ac:dyDescent="0.35">
      <c r="AH454" t="s">
        <v>2796</v>
      </c>
    </row>
    <row r="455" spans="34:34" x14ac:dyDescent="0.35">
      <c r="AH455" t="s">
        <v>896</v>
      </c>
    </row>
    <row r="456" spans="34:34" x14ac:dyDescent="0.35">
      <c r="AH456" t="s">
        <v>895</v>
      </c>
    </row>
    <row r="457" spans="34:34" x14ac:dyDescent="0.35">
      <c r="AH457" t="s">
        <v>894</v>
      </c>
    </row>
    <row r="458" spans="34:34" x14ac:dyDescent="0.35">
      <c r="AH458" t="s">
        <v>2797</v>
      </c>
    </row>
    <row r="459" spans="34:34" x14ac:dyDescent="0.35">
      <c r="AH459" t="s">
        <v>893</v>
      </c>
    </row>
    <row r="460" spans="34:34" x14ac:dyDescent="0.35">
      <c r="AH460" t="s">
        <v>2798</v>
      </c>
    </row>
    <row r="461" spans="34:34" x14ac:dyDescent="0.35">
      <c r="AH461" t="s">
        <v>2799</v>
      </c>
    </row>
    <row r="462" spans="34:34" x14ac:dyDescent="0.35">
      <c r="AH462" t="s">
        <v>2800</v>
      </c>
    </row>
    <row r="463" spans="34:34" x14ac:dyDescent="0.35">
      <c r="AH463" t="s">
        <v>892</v>
      </c>
    </row>
    <row r="464" spans="34:34" x14ac:dyDescent="0.35">
      <c r="AH464" t="s">
        <v>2801</v>
      </c>
    </row>
    <row r="465" spans="34:34" x14ac:dyDescent="0.35">
      <c r="AH465" t="s">
        <v>891</v>
      </c>
    </row>
    <row r="466" spans="34:34" x14ac:dyDescent="0.35">
      <c r="AH466" t="s">
        <v>890</v>
      </c>
    </row>
    <row r="467" spans="34:34" x14ac:dyDescent="0.35">
      <c r="AH467" t="s">
        <v>889</v>
      </c>
    </row>
    <row r="468" spans="34:34" x14ac:dyDescent="0.35">
      <c r="AH468" t="s">
        <v>3848</v>
      </c>
    </row>
    <row r="469" spans="34:34" x14ac:dyDescent="0.35">
      <c r="AH469" t="s">
        <v>2802</v>
      </c>
    </row>
    <row r="470" spans="34:34" x14ac:dyDescent="0.35">
      <c r="AH470" t="s">
        <v>888</v>
      </c>
    </row>
    <row r="471" spans="34:34" x14ac:dyDescent="0.35">
      <c r="AH471" t="s">
        <v>887</v>
      </c>
    </row>
    <row r="472" spans="34:34" x14ac:dyDescent="0.35">
      <c r="AH472" t="s">
        <v>886</v>
      </c>
    </row>
    <row r="473" spans="34:34" x14ac:dyDescent="0.35">
      <c r="AH473" t="s">
        <v>2803</v>
      </c>
    </row>
    <row r="474" spans="34:34" x14ac:dyDescent="0.35">
      <c r="AH474" t="s">
        <v>885</v>
      </c>
    </row>
    <row r="475" spans="34:34" x14ac:dyDescent="0.35">
      <c r="AH475" t="s">
        <v>884</v>
      </c>
    </row>
    <row r="476" spans="34:34" x14ac:dyDescent="0.35">
      <c r="AH476" t="s">
        <v>883</v>
      </c>
    </row>
    <row r="477" spans="34:34" x14ac:dyDescent="0.35">
      <c r="AH477" t="s">
        <v>2804</v>
      </c>
    </row>
    <row r="478" spans="34:34" x14ac:dyDescent="0.35">
      <c r="AH478" t="s">
        <v>882</v>
      </c>
    </row>
    <row r="479" spans="34:34" x14ac:dyDescent="0.35">
      <c r="AH479" t="s">
        <v>2805</v>
      </c>
    </row>
    <row r="480" spans="34:34" x14ac:dyDescent="0.35">
      <c r="AH480" t="s">
        <v>881</v>
      </c>
    </row>
    <row r="481" spans="34:34" x14ac:dyDescent="0.35">
      <c r="AH481" t="s">
        <v>880</v>
      </c>
    </row>
    <row r="482" spans="34:34" x14ac:dyDescent="0.35">
      <c r="AH482" t="s">
        <v>2806</v>
      </c>
    </row>
    <row r="483" spans="34:34" x14ac:dyDescent="0.35">
      <c r="AH483" t="s">
        <v>3849</v>
      </c>
    </row>
    <row r="484" spans="34:34" x14ac:dyDescent="0.35">
      <c r="AH484" t="s">
        <v>2807</v>
      </c>
    </row>
    <row r="485" spans="34:34" x14ac:dyDescent="0.35">
      <c r="AH485" t="s">
        <v>2808</v>
      </c>
    </row>
    <row r="486" spans="34:34" x14ac:dyDescent="0.35">
      <c r="AH486" t="s">
        <v>879</v>
      </c>
    </row>
    <row r="487" spans="34:34" x14ac:dyDescent="0.35">
      <c r="AH487" t="s">
        <v>3850</v>
      </c>
    </row>
    <row r="488" spans="34:34" x14ac:dyDescent="0.35">
      <c r="AH488" t="s">
        <v>878</v>
      </c>
    </row>
    <row r="489" spans="34:34" x14ac:dyDescent="0.35">
      <c r="AH489" t="s">
        <v>877</v>
      </c>
    </row>
    <row r="490" spans="34:34" x14ac:dyDescent="0.35">
      <c r="AH490" t="s">
        <v>876</v>
      </c>
    </row>
    <row r="491" spans="34:34" x14ac:dyDescent="0.35">
      <c r="AH491" t="s">
        <v>875</v>
      </c>
    </row>
    <row r="492" spans="34:34" x14ac:dyDescent="0.35">
      <c r="AH492" t="s">
        <v>2809</v>
      </c>
    </row>
    <row r="493" spans="34:34" x14ac:dyDescent="0.35">
      <c r="AH493" t="s">
        <v>874</v>
      </c>
    </row>
    <row r="494" spans="34:34" x14ac:dyDescent="0.35">
      <c r="AH494" t="s">
        <v>3851</v>
      </c>
    </row>
    <row r="495" spans="34:34" x14ac:dyDescent="0.35">
      <c r="AH495" t="s">
        <v>2810</v>
      </c>
    </row>
    <row r="496" spans="34:34" x14ac:dyDescent="0.35">
      <c r="AH496" t="s">
        <v>3852</v>
      </c>
    </row>
    <row r="497" spans="34:34" x14ac:dyDescent="0.35">
      <c r="AH497" t="s">
        <v>873</v>
      </c>
    </row>
    <row r="498" spans="34:34" x14ac:dyDescent="0.35">
      <c r="AH498" t="s">
        <v>872</v>
      </c>
    </row>
    <row r="499" spans="34:34" x14ac:dyDescent="0.35">
      <c r="AH499" t="s">
        <v>2811</v>
      </c>
    </row>
    <row r="500" spans="34:34" x14ac:dyDescent="0.35">
      <c r="AH500" t="s">
        <v>871</v>
      </c>
    </row>
    <row r="501" spans="34:34" x14ac:dyDescent="0.35">
      <c r="AH501" t="s">
        <v>870</v>
      </c>
    </row>
    <row r="502" spans="34:34" x14ac:dyDescent="0.35">
      <c r="AH502" t="s">
        <v>3853</v>
      </c>
    </row>
    <row r="503" spans="34:34" x14ac:dyDescent="0.35">
      <c r="AH503" t="s">
        <v>2812</v>
      </c>
    </row>
    <row r="504" spans="34:34" x14ac:dyDescent="0.35">
      <c r="AH504" t="s">
        <v>869</v>
      </c>
    </row>
    <row r="505" spans="34:34" x14ac:dyDescent="0.35">
      <c r="AH505" t="s">
        <v>868</v>
      </c>
    </row>
    <row r="506" spans="34:34" x14ac:dyDescent="0.35">
      <c r="AH506" t="s">
        <v>867</v>
      </c>
    </row>
    <row r="507" spans="34:34" x14ac:dyDescent="0.35">
      <c r="AH507" t="s">
        <v>866</v>
      </c>
    </row>
    <row r="508" spans="34:34" x14ac:dyDescent="0.35">
      <c r="AH508" t="s">
        <v>2813</v>
      </c>
    </row>
    <row r="509" spans="34:34" x14ac:dyDescent="0.35">
      <c r="AH509" t="s">
        <v>865</v>
      </c>
    </row>
    <row r="510" spans="34:34" x14ac:dyDescent="0.35">
      <c r="AH510" t="s">
        <v>864</v>
      </c>
    </row>
    <row r="511" spans="34:34" x14ac:dyDescent="0.35">
      <c r="AH511" t="s">
        <v>3854</v>
      </c>
    </row>
    <row r="512" spans="34:34" x14ac:dyDescent="0.35">
      <c r="AH512" t="s">
        <v>3855</v>
      </c>
    </row>
    <row r="513" spans="34:34" x14ac:dyDescent="0.35">
      <c r="AH513" t="s">
        <v>3856</v>
      </c>
    </row>
    <row r="514" spans="34:34" x14ac:dyDescent="0.35">
      <c r="AH514" t="s">
        <v>863</v>
      </c>
    </row>
    <row r="515" spans="34:34" x14ac:dyDescent="0.35">
      <c r="AH515" t="s">
        <v>862</v>
      </c>
    </row>
    <row r="516" spans="34:34" x14ac:dyDescent="0.35">
      <c r="AH516" t="s">
        <v>2814</v>
      </c>
    </row>
    <row r="517" spans="34:34" x14ac:dyDescent="0.35">
      <c r="AH517" t="s">
        <v>861</v>
      </c>
    </row>
    <row r="518" spans="34:34" x14ac:dyDescent="0.35">
      <c r="AH518" t="s">
        <v>2815</v>
      </c>
    </row>
    <row r="519" spans="34:34" x14ac:dyDescent="0.35">
      <c r="AH519" t="s">
        <v>860</v>
      </c>
    </row>
    <row r="520" spans="34:34" x14ac:dyDescent="0.35">
      <c r="AH520" t="s">
        <v>859</v>
      </c>
    </row>
    <row r="521" spans="34:34" x14ac:dyDescent="0.35">
      <c r="AH521" t="s">
        <v>3857</v>
      </c>
    </row>
    <row r="522" spans="34:34" x14ac:dyDescent="0.35">
      <c r="AH522" t="s">
        <v>3858</v>
      </c>
    </row>
    <row r="523" spans="34:34" x14ac:dyDescent="0.35">
      <c r="AH523" t="s">
        <v>858</v>
      </c>
    </row>
    <row r="524" spans="34:34" x14ac:dyDescent="0.35">
      <c r="AH524" t="s">
        <v>857</v>
      </c>
    </row>
    <row r="525" spans="34:34" x14ac:dyDescent="0.35">
      <c r="AH525" t="s">
        <v>2816</v>
      </c>
    </row>
    <row r="526" spans="34:34" x14ac:dyDescent="0.35">
      <c r="AH526" t="s">
        <v>3859</v>
      </c>
    </row>
    <row r="527" spans="34:34" x14ac:dyDescent="0.35">
      <c r="AH527" t="s">
        <v>856</v>
      </c>
    </row>
    <row r="528" spans="34:34" x14ac:dyDescent="0.35">
      <c r="AH528" t="s">
        <v>2817</v>
      </c>
    </row>
    <row r="529" spans="34:34" x14ac:dyDescent="0.35">
      <c r="AH529" t="s">
        <v>2818</v>
      </c>
    </row>
    <row r="530" spans="34:34" x14ac:dyDescent="0.35">
      <c r="AH530" t="s">
        <v>2819</v>
      </c>
    </row>
    <row r="531" spans="34:34" x14ac:dyDescent="0.35">
      <c r="AH531" t="s">
        <v>855</v>
      </c>
    </row>
    <row r="532" spans="34:34" x14ac:dyDescent="0.35">
      <c r="AH532" t="s">
        <v>2820</v>
      </c>
    </row>
    <row r="533" spans="34:34" x14ac:dyDescent="0.35">
      <c r="AH533" t="s">
        <v>2821</v>
      </c>
    </row>
    <row r="534" spans="34:34" x14ac:dyDescent="0.35">
      <c r="AH534" t="s">
        <v>854</v>
      </c>
    </row>
    <row r="535" spans="34:34" x14ac:dyDescent="0.35">
      <c r="AH535" t="s">
        <v>853</v>
      </c>
    </row>
    <row r="536" spans="34:34" x14ac:dyDescent="0.35">
      <c r="AH536" t="s">
        <v>2822</v>
      </c>
    </row>
    <row r="537" spans="34:34" x14ac:dyDescent="0.35">
      <c r="AH537" t="s">
        <v>852</v>
      </c>
    </row>
    <row r="538" spans="34:34" x14ac:dyDescent="0.35">
      <c r="AH538" t="s">
        <v>851</v>
      </c>
    </row>
    <row r="539" spans="34:34" x14ac:dyDescent="0.35">
      <c r="AH539" t="s">
        <v>850</v>
      </c>
    </row>
    <row r="540" spans="34:34" x14ac:dyDescent="0.35">
      <c r="AH540" t="s">
        <v>849</v>
      </c>
    </row>
    <row r="541" spans="34:34" x14ac:dyDescent="0.35">
      <c r="AH541" t="s">
        <v>848</v>
      </c>
    </row>
    <row r="542" spans="34:34" x14ac:dyDescent="0.35">
      <c r="AH542" t="s">
        <v>847</v>
      </c>
    </row>
    <row r="543" spans="34:34" x14ac:dyDescent="0.35">
      <c r="AH543" t="s">
        <v>846</v>
      </c>
    </row>
    <row r="544" spans="34:34" x14ac:dyDescent="0.35">
      <c r="AH544" t="s">
        <v>845</v>
      </c>
    </row>
    <row r="545" spans="34:34" x14ac:dyDescent="0.35">
      <c r="AH545" t="s">
        <v>844</v>
      </c>
    </row>
    <row r="546" spans="34:34" x14ac:dyDescent="0.35">
      <c r="AH546" t="s">
        <v>843</v>
      </c>
    </row>
    <row r="547" spans="34:34" x14ac:dyDescent="0.35">
      <c r="AH547" t="s">
        <v>842</v>
      </c>
    </row>
    <row r="548" spans="34:34" x14ac:dyDescent="0.35">
      <c r="AH548" t="s">
        <v>841</v>
      </c>
    </row>
    <row r="549" spans="34:34" x14ac:dyDescent="0.35">
      <c r="AH549" t="s">
        <v>840</v>
      </c>
    </row>
    <row r="550" spans="34:34" x14ac:dyDescent="0.35">
      <c r="AH550" t="s">
        <v>839</v>
      </c>
    </row>
    <row r="551" spans="34:34" x14ac:dyDescent="0.35">
      <c r="AH551" t="s">
        <v>838</v>
      </c>
    </row>
    <row r="552" spans="34:34" x14ac:dyDescent="0.35">
      <c r="AH552" t="s">
        <v>837</v>
      </c>
    </row>
    <row r="553" spans="34:34" x14ac:dyDescent="0.35">
      <c r="AH553" t="s">
        <v>836</v>
      </c>
    </row>
    <row r="554" spans="34:34" x14ac:dyDescent="0.35">
      <c r="AH554" t="s">
        <v>835</v>
      </c>
    </row>
    <row r="555" spans="34:34" x14ac:dyDescent="0.35">
      <c r="AH555" t="s">
        <v>834</v>
      </c>
    </row>
    <row r="556" spans="34:34" x14ac:dyDescent="0.35">
      <c r="AH556" t="s">
        <v>833</v>
      </c>
    </row>
    <row r="557" spans="34:34" x14ac:dyDescent="0.35">
      <c r="AH557" t="s">
        <v>832</v>
      </c>
    </row>
    <row r="558" spans="34:34" x14ac:dyDescent="0.35">
      <c r="AH558" t="s">
        <v>2823</v>
      </c>
    </row>
    <row r="559" spans="34:34" x14ac:dyDescent="0.35">
      <c r="AH559" t="s">
        <v>2824</v>
      </c>
    </row>
    <row r="560" spans="34:34" x14ac:dyDescent="0.35">
      <c r="AH560" t="s">
        <v>831</v>
      </c>
    </row>
    <row r="561" spans="34:34" x14ac:dyDescent="0.35">
      <c r="AH561" t="s">
        <v>830</v>
      </c>
    </row>
    <row r="562" spans="34:34" x14ac:dyDescent="0.35">
      <c r="AH562" t="s">
        <v>829</v>
      </c>
    </row>
    <row r="563" spans="34:34" x14ac:dyDescent="0.35">
      <c r="AH563" t="s">
        <v>828</v>
      </c>
    </row>
    <row r="564" spans="34:34" x14ac:dyDescent="0.35">
      <c r="AH564" t="s">
        <v>2825</v>
      </c>
    </row>
    <row r="565" spans="34:34" x14ac:dyDescent="0.35">
      <c r="AH565" t="s">
        <v>2826</v>
      </c>
    </row>
    <row r="566" spans="34:34" x14ac:dyDescent="0.35">
      <c r="AH566" t="s">
        <v>827</v>
      </c>
    </row>
    <row r="567" spans="34:34" x14ac:dyDescent="0.35">
      <c r="AH567" t="s">
        <v>826</v>
      </c>
    </row>
    <row r="568" spans="34:34" x14ac:dyDescent="0.35">
      <c r="AH568" t="s">
        <v>825</v>
      </c>
    </row>
    <row r="569" spans="34:34" x14ac:dyDescent="0.35">
      <c r="AH569" t="s">
        <v>824</v>
      </c>
    </row>
    <row r="570" spans="34:34" x14ac:dyDescent="0.35">
      <c r="AH570" t="s">
        <v>823</v>
      </c>
    </row>
    <row r="571" spans="34:34" x14ac:dyDescent="0.35">
      <c r="AH571" t="s">
        <v>822</v>
      </c>
    </row>
    <row r="572" spans="34:34" x14ac:dyDescent="0.35">
      <c r="AH572" t="s">
        <v>821</v>
      </c>
    </row>
    <row r="573" spans="34:34" x14ac:dyDescent="0.35">
      <c r="AH573" t="s">
        <v>820</v>
      </c>
    </row>
    <row r="574" spans="34:34" x14ac:dyDescent="0.35">
      <c r="AH574" t="s">
        <v>819</v>
      </c>
    </row>
    <row r="575" spans="34:34" x14ac:dyDescent="0.35">
      <c r="AH575" t="s">
        <v>818</v>
      </c>
    </row>
    <row r="576" spans="34:34" x14ac:dyDescent="0.35">
      <c r="AH576" t="s">
        <v>2827</v>
      </c>
    </row>
    <row r="577" spans="34:34" x14ac:dyDescent="0.35">
      <c r="AH577" t="s">
        <v>2828</v>
      </c>
    </row>
    <row r="578" spans="34:34" x14ac:dyDescent="0.35">
      <c r="AH578" t="s">
        <v>817</v>
      </c>
    </row>
    <row r="579" spans="34:34" x14ac:dyDescent="0.35">
      <c r="AH579" t="s">
        <v>816</v>
      </c>
    </row>
    <row r="580" spans="34:34" x14ac:dyDescent="0.35">
      <c r="AH580" t="s">
        <v>815</v>
      </c>
    </row>
    <row r="581" spans="34:34" x14ac:dyDescent="0.35">
      <c r="AH581" t="s">
        <v>814</v>
      </c>
    </row>
    <row r="582" spans="34:34" x14ac:dyDescent="0.35">
      <c r="AH582" t="s">
        <v>813</v>
      </c>
    </row>
    <row r="583" spans="34:34" x14ac:dyDescent="0.35">
      <c r="AH583" t="s">
        <v>2829</v>
      </c>
    </row>
    <row r="584" spans="34:34" x14ac:dyDescent="0.35">
      <c r="AH584" t="s">
        <v>812</v>
      </c>
    </row>
    <row r="585" spans="34:34" x14ac:dyDescent="0.35">
      <c r="AH585" t="s">
        <v>811</v>
      </c>
    </row>
    <row r="586" spans="34:34" x14ac:dyDescent="0.35">
      <c r="AH586" t="s">
        <v>810</v>
      </c>
    </row>
    <row r="587" spans="34:34" x14ac:dyDescent="0.35">
      <c r="AH587" t="s">
        <v>2830</v>
      </c>
    </row>
    <row r="588" spans="34:34" x14ac:dyDescent="0.35">
      <c r="AH588" t="s">
        <v>2831</v>
      </c>
    </row>
    <row r="589" spans="34:34" x14ac:dyDescent="0.35">
      <c r="AH589" t="s">
        <v>2832</v>
      </c>
    </row>
    <row r="590" spans="34:34" x14ac:dyDescent="0.35">
      <c r="AH590" t="s">
        <v>2833</v>
      </c>
    </row>
    <row r="591" spans="34:34" x14ac:dyDescent="0.35">
      <c r="AH591" t="s">
        <v>2834</v>
      </c>
    </row>
    <row r="592" spans="34:34" x14ac:dyDescent="0.35">
      <c r="AH592" t="s">
        <v>2835</v>
      </c>
    </row>
    <row r="593" spans="34:34" x14ac:dyDescent="0.35">
      <c r="AH593" t="s">
        <v>809</v>
      </c>
    </row>
    <row r="594" spans="34:34" x14ac:dyDescent="0.35">
      <c r="AH594" t="s">
        <v>2836</v>
      </c>
    </row>
    <row r="595" spans="34:34" x14ac:dyDescent="0.35">
      <c r="AH595" t="s">
        <v>2837</v>
      </c>
    </row>
    <row r="596" spans="34:34" x14ac:dyDescent="0.35">
      <c r="AH596" t="s">
        <v>808</v>
      </c>
    </row>
    <row r="597" spans="34:34" x14ac:dyDescent="0.35">
      <c r="AH597" t="s">
        <v>807</v>
      </c>
    </row>
    <row r="598" spans="34:34" x14ac:dyDescent="0.35">
      <c r="AH598" t="s">
        <v>2838</v>
      </c>
    </row>
    <row r="599" spans="34:34" x14ac:dyDescent="0.35">
      <c r="AH599" t="s">
        <v>2839</v>
      </c>
    </row>
    <row r="600" spans="34:34" x14ac:dyDescent="0.35">
      <c r="AH600" t="s">
        <v>806</v>
      </c>
    </row>
    <row r="601" spans="34:34" x14ac:dyDescent="0.35">
      <c r="AH601" t="s">
        <v>805</v>
      </c>
    </row>
    <row r="602" spans="34:34" x14ac:dyDescent="0.35">
      <c r="AH602" t="s">
        <v>804</v>
      </c>
    </row>
    <row r="603" spans="34:34" x14ac:dyDescent="0.35">
      <c r="AH603" t="s">
        <v>803</v>
      </c>
    </row>
    <row r="604" spans="34:34" x14ac:dyDescent="0.35">
      <c r="AH604" t="s">
        <v>2840</v>
      </c>
    </row>
    <row r="605" spans="34:34" x14ac:dyDescent="0.35">
      <c r="AH605" t="s">
        <v>802</v>
      </c>
    </row>
    <row r="606" spans="34:34" x14ac:dyDescent="0.35">
      <c r="AH606" t="s">
        <v>801</v>
      </c>
    </row>
    <row r="607" spans="34:34" x14ac:dyDescent="0.35">
      <c r="AH607" t="s">
        <v>2841</v>
      </c>
    </row>
    <row r="608" spans="34:34" x14ac:dyDescent="0.35">
      <c r="AH608" t="s">
        <v>800</v>
      </c>
    </row>
    <row r="609" spans="34:34" x14ac:dyDescent="0.35">
      <c r="AH609" t="s">
        <v>799</v>
      </c>
    </row>
    <row r="610" spans="34:34" x14ac:dyDescent="0.35">
      <c r="AH610" t="s">
        <v>798</v>
      </c>
    </row>
    <row r="611" spans="34:34" x14ac:dyDescent="0.35">
      <c r="AH611" t="s">
        <v>797</v>
      </c>
    </row>
    <row r="612" spans="34:34" x14ac:dyDescent="0.35">
      <c r="AH612" t="s">
        <v>796</v>
      </c>
    </row>
    <row r="613" spans="34:34" x14ac:dyDescent="0.35">
      <c r="AH613" t="s">
        <v>2842</v>
      </c>
    </row>
    <row r="614" spans="34:34" x14ac:dyDescent="0.35">
      <c r="AH614" t="s">
        <v>2843</v>
      </c>
    </row>
    <row r="615" spans="34:34" x14ac:dyDescent="0.35">
      <c r="AH615" t="s">
        <v>795</v>
      </c>
    </row>
    <row r="616" spans="34:34" x14ac:dyDescent="0.35">
      <c r="AH616" t="s">
        <v>794</v>
      </c>
    </row>
    <row r="617" spans="34:34" x14ac:dyDescent="0.35">
      <c r="AH617" t="s">
        <v>2844</v>
      </c>
    </row>
    <row r="618" spans="34:34" x14ac:dyDescent="0.35">
      <c r="AH618" t="s">
        <v>2845</v>
      </c>
    </row>
    <row r="619" spans="34:34" x14ac:dyDescent="0.35">
      <c r="AH619" t="s">
        <v>2846</v>
      </c>
    </row>
    <row r="620" spans="34:34" x14ac:dyDescent="0.35">
      <c r="AH620" t="s">
        <v>3860</v>
      </c>
    </row>
    <row r="621" spans="34:34" x14ac:dyDescent="0.35">
      <c r="AH621" t="s">
        <v>793</v>
      </c>
    </row>
    <row r="622" spans="34:34" x14ac:dyDescent="0.35">
      <c r="AH622" t="s">
        <v>2847</v>
      </c>
    </row>
    <row r="623" spans="34:34" x14ac:dyDescent="0.35">
      <c r="AH623" t="s">
        <v>2848</v>
      </c>
    </row>
    <row r="624" spans="34:34" x14ac:dyDescent="0.35">
      <c r="AH624" t="s">
        <v>2849</v>
      </c>
    </row>
    <row r="625" spans="34:34" x14ac:dyDescent="0.35">
      <c r="AH625" t="s">
        <v>2850</v>
      </c>
    </row>
    <row r="626" spans="34:34" x14ac:dyDescent="0.35">
      <c r="AH626" t="s">
        <v>2851</v>
      </c>
    </row>
    <row r="627" spans="34:34" x14ac:dyDescent="0.35">
      <c r="AH627" t="s">
        <v>2852</v>
      </c>
    </row>
    <row r="628" spans="34:34" x14ac:dyDescent="0.35">
      <c r="AH628" t="s">
        <v>2853</v>
      </c>
    </row>
    <row r="629" spans="34:34" x14ac:dyDescent="0.35">
      <c r="AH629" t="s">
        <v>2854</v>
      </c>
    </row>
    <row r="630" spans="34:34" x14ac:dyDescent="0.35">
      <c r="AH630" t="s">
        <v>792</v>
      </c>
    </row>
    <row r="631" spans="34:34" x14ac:dyDescent="0.35">
      <c r="AH631" t="s">
        <v>2855</v>
      </c>
    </row>
    <row r="632" spans="34:34" x14ac:dyDescent="0.35">
      <c r="AH632" t="s">
        <v>791</v>
      </c>
    </row>
    <row r="633" spans="34:34" x14ac:dyDescent="0.35">
      <c r="AH633" t="s">
        <v>2856</v>
      </c>
    </row>
    <row r="634" spans="34:34" x14ac:dyDescent="0.35">
      <c r="AH634" t="s">
        <v>790</v>
      </c>
    </row>
    <row r="635" spans="34:34" x14ac:dyDescent="0.35">
      <c r="AH635" t="s">
        <v>2857</v>
      </c>
    </row>
    <row r="636" spans="34:34" x14ac:dyDescent="0.35">
      <c r="AH636" t="s">
        <v>3861</v>
      </c>
    </row>
    <row r="637" spans="34:34" x14ac:dyDescent="0.35">
      <c r="AH637" t="s">
        <v>2858</v>
      </c>
    </row>
    <row r="638" spans="34:34" x14ac:dyDescent="0.35">
      <c r="AH638" t="s">
        <v>789</v>
      </c>
    </row>
    <row r="639" spans="34:34" x14ac:dyDescent="0.35">
      <c r="AH639" t="s">
        <v>788</v>
      </c>
    </row>
    <row r="640" spans="34:34" x14ac:dyDescent="0.35">
      <c r="AH640" t="s">
        <v>2859</v>
      </c>
    </row>
    <row r="641" spans="34:34" x14ac:dyDescent="0.35">
      <c r="AH641" t="s">
        <v>2860</v>
      </c>
    </row>
    <row r="642" spans="34:34" x14ac:dyDescent="0.35">
      <c r="AH642" t="s">
        <v>787</v>
      </c>
    </row>
    <row r="643" spans="34:34" x14ac:dyDescent="0.35">
      <c r="AH643" t="s">
        <v>786</v>
      </c>
    </row>
    <row r="644" spans="34:34" x14ac:dyDescent="0.35">
      <c r="AH644" t="s">
        <v>3862</v>
      </c>
    </row>
    <row r="645" spans="34:34" x14ac:dyDescent="0.35">
      <c r="AH645" t="s">
        <v>785</v>
      </c>
    </row>
    <row r="646" spans="34:34" x14ac:dyDescent="0.35">
      <c r="AH646" t="s">
        <v>784</v>
      </c>
    </row>
    <row r="647" spans="34:34" x14ac:dyDescent="0.35">
      <c r="AH647" t="s">
        <v>2861</v>
      </c>
    </row>
    <row r="648" spans="34:34" x14ac:dyDescent="0.35">
      <c r="AH648" t="s">
        <v>2862</v>
      </c>
    </row>
    <row r="649" spans="34:34" x14ac:dyDescent="0.35">
      <c r="AH649" t="s">
        <v>3863</v>
      </c>
    </row>
    <row r="650" spans="34:34" x14ac:dyDescent="0.35">
      <c r="AH650" t="s">
        <v>3864</v>
      </c>
    </row>
    <row r="651" spans="34:34" x14ac:dyDescent="0.35">
      <c r="AH651" t="s">
        <v>2863</v>
      </c>
    </row>
    <row r="652" spans="34:34" x14ac:dyDescent="0.35">
      <c r="AH652" t="s">
        <v>3865</v>
      </c>
    </row>
    <row r="653" spans="34:34" x14ac:dyDescent="0.35">
      <c r="AH653" t="s">
        <v>2864</v>
      </c>
    </row>
    <row r="654" spans="34:34" x14ac:dyDescent="0.35">
      <c r="AH654" t="s">
        <v>783</v>
      </c>
    </row>
    <row r="655" spans="34:34" x14ac:dyDescent="0.35">
      <c r="AH655" t="s">
        <v>2865</v>
      </c>
    </row>
    <row r="656" spans="34:34" x14ac:dyDescent="0.35">
      <c r="AH656" t="s">
        <v>782</v>
      </c>
    </row>
    <row r="657" spans="34:34" x14ac:dyDescent="0.35">
      <c r="AH657" t="s">
        <v>2866</v>
      </c>
    </row>
    <row r="658" spans="34:34" x14ac:dyDescent="0.35">
      <c r="AH658" t="s">
        <v>781</v>
      </c>
    </row>
    <row r="659" spans="34:34" x14ac:dyDescent="0.35">
      <c r="AH659" t="s">
        <v>2867</v>
      </c>
    </row>
    <row r="660" spans="34:34" x14ac:dyDescent="0.35">
      <c r="AH660" t="s">
        <v>2868</v>
      </c>
    </row>
    <row r="661" spans="34:34" x14ac:dyDescent="0.35">
      <c r="AH661" t="s">
        <v>2869</v>
      </c>
    </row>
    <row r="662" spans="34:34" x14ac:dyDescent="0.35">
      <c r="AH662" t="s">
        <v>2870</v>
      </c>
    </row>
    <row r="663" spans="34:34" x14ac:dyDescent="0.35">
      <c r="AH663" t="s">
        <v>2871</v>
      </c>
    </row>
    <row r="664" spans="34:34" x14ac:dyDescent="0.35">
      <c r="AH664" t="s">
        <v>2872</v>
      </c>
    </row>
    <row r="665" spans="34:34" x14ac:dyDescent="0.35">
      <c r="AH665" t="s">
        <v>2873</v>
      </c>
    </row>
    <row r="666" spans="34:34" x14ac:dyDescent="0.35">
      <c r="AH666" t="s">
        <v>2874</v>
      </c>
    </row>
    <row r="667" spans="34:34" x14ac:dyDescent="0.35">
      <c r="AH667" t="s">
        <v>2875</v>
      </c>
    </row>
    <row r="668" spans="34:34" x14ac:dyDescent="0.35">
      <c r="AH668" t="s">
        <v>2876</v>
      </c>
    </row>
    <row r="669" spans="34:34" x14ac:dyDescent="0.35">
      <c r="AH669" t="s">
        <v>2877</v>
      </c>
    </row>
    <row r="670" spans="34:34" x14ac:dyDescent="0.35">
      <c r="AH670" t="s">
        <v>2878</v>
      </c>
    </row>
    <row r="671" spans="34:34" x14ac:dyDescent="0.35">
      <c r="AH671" t="s">
        <v>2879</v>
      </c>
    </row>
    <row r="672" spans="34:34" x14ac:dyDescent="0.35">
      <c r="AH672" t="s">
        <v>2880</v>
      </c>
    </row>
    <row r="673" spans="34:34" x14ac:dyDescent="0.35">
      <c r="AH673" t="s">
        <v>2881</v>
      </c>
    </row>
    <row r="674" spans="34:34" x14ac:dyDescent="0.35">
      <c r="AH674" t="s">
        <v>3866</v>
      </c>
    </row>
    <row r="675" spans="34:34" x14ac:dyDescent="0.35">
      <c r="AH675" t="s">
        <v>2882</v>
      </c>
    </row>
    <row r="676" spans="34:34" x14ac:dyDescent="0.35">
      <c r="AH676" t="s">
        <v>2883</v>
      </c>
    </row>
    <row r="677" spans="34:34" x14ac:dyDescent="0.35">
      <c r="AH677" t="s">
        <v>2884</v>
      </c>
    </row>
    <row r="678" spans="34:34" x14ac:dyDescent="0.35">
      <c r="AH678" t="s">
        <v>2885</v>
      </c>
    </row>
    <row r="679" spans="34:34" x14ac:dyDescent="0.35">
      <c r="AH679" t="s">
        <v>2886</v>
      </c>
    </row>
    <row r="680" spans="34:34" x14ac:dyDescent="0.35">
      <c r="AH680" t="s">
        <v>2887</v>
      </c>
    </row>
    <row r="681" spans="34:34" x14ac:dyDescent="0.35">
      <c r="AH681" t="s">
        <v>2888</v>
      </c>
    </row>
    <row r="682" spans="34:34" x14ac:dyDescent="0.35">
      <c r="AH682" t="s">
        <v>2889</v>
      </c>
    </row>
    <row r="683" spans="34:34" x14ac:dyDescent="0.35">
      <c r="AH683" t="s">
        <v>2890</v>
      </c>
    </row>
    <row r="684" spans="34:34" x14ac:dyDescent="0.35">
      <c r="AH684" t="s">
        <v>2891</v>
      </c>
    </row>
    <row r="685" spans="34:34" x14ac:dyDescent="0.35">
      <c r="AH685" t="s">
        <v>3867</v>
      </c>
    </row>
    <row r="686" spans="34:34" x14ac:dyDescent="0.35">
      <c r="AH686" t="s">
        <v>2892</v>
      </c>
    </row>
    <row r="687" spans="34:34" x14ac:dyDescent="0.35">
      <c r="AH687" t="s">
        <v>2893</v>
      </c>
    </row>
    <row r="688" spans="34:34" x14ac:dyDescent="0.35">
      <c r="AH688" t="s">
        <v>780</v>
      </c>
    </row>
    <row r="689" spans="34:34" x14ac:dyDescent="0.35">
      <c r="AH689" t="s">
        <v>2894</v>
      </c>
    </row>
    <row r="690" spans="34:34" x14ac:dyDescent="0.35">
      <c r="AH690" t="s">
        <v>2895</v>
      </c>
    </row>
    <row r="691" spans="34:34" x14ac:dyDescent="0.35">
      <c r="AH691" t="s">
        <v>779</v>
      </c>
    </row>
    <row r="692" spans="34:34" x14ac:dyDescent="0.35">
      <c r="AH692" t="s">
        <v>778</v>
      </c>
    </row>
    <row r="693" spans="34:34" x14ac:dyDescent="0.35">
      <c r="AH693" t="s">
        <v>2896</v>
      </c>
    </row>
    <row r="694" spans="34:34" x14ac:dyDescent="0.35">
      <c r="AH694" t="s">
        <v>777</v>
      </c>
    </row>
    <row r="695" spans="34:34" x14ac:dyDescent="0.35">
      <c r="AH695" t="s">
        <v>2897</v>
      </c>
    </row>
    <row r="696" spans="34:34" x14ac:dyDescent="0.35">
      <c r="AH696" t="s">
        <v>776</v>
      </c>
    </row>
    <row r="697" spans="34:34" x14ac:dyDescent="0.35">
      <c r="AH697" t="s">
        <v>2898</v>
      </c>
    </row>
    <row r="698" spans="34:34" x14ac:dyDescent="0.35">
      <c r="AH698" t="s">
        <v>2899</v>
      </c>
    </row>
    <row r="699" spans="34:34" x14ac:dyDescent="0.35">
      <c r="AH699" t="s">
        <v>775</v>
      </c>
    </row>
    <row r="700" spans="34:34" x14ac:dyDescent="0.35">
      <c r="AH700" t="s">
        <v>3868</v>
      </c>
    </row>
    <row r="701" spans="34:34" x14ac:dyDescent="0.35">
      <c r="AH701" t="s">
        <v>774</v>
      </c>
    </row>
    <row r="702" spans="34:34" x14ac:dyDescent="0.35">
      <c r="AH702" t="s">
        <v>773</v>
      </c>
    </row>
    <row r="703" spans="34:34" x14ac:dyDescent="0.35">
      <c r="AH703" t="s">
        <v>2900</v>
      </c>
    </row>
    <row r="704" spans="34:34" x14ac:dyDescent="0.35">
      <c r="AH704" t="s">
        <v>2901</v>
      </c>
    </row>
    <row r="705" spans="34:34" x14ac:dyDescent="0.35">
      <c r="AH705" t="s">
        <v>772</v>
      </c>
    </row>
    <row r="706" spans="34:34" x14ac:dyDescent="0.35">
      <c r="AH706" t="s">
        <v>2902</v>
      </c>
    </row>
    <row r="707" spans="34:34" x14ac:dyDescent="0.35">
      <c r="AH707" t="s">
        <v>771</v>
      </c>
    </row>
    <row r="708" spans="34:34" x14ac:dyDescent="0.35">
      <c r="AH708" t="s">
        <v>2903</v>
      </c>
    </row>
    <row r="709" spans="34:34" x14ac:dyDescent="0.35">
      <c r="AH709" t="s">
        <v>770</v>
      </c>
    </row>
    <row r="710" spans="34:34" x14ac:dyDescent="0.35">
      <c r="AH710" t="s">
        <v>2904</v>
      </c>
    </row>
    <row r="711" spans="34:34" x14ac:dyDescent="0.35">
      <c r="AH711" t="s">
        <v>2905</v>
      </c>
    </row>
    <row r="712" spans="34:34" x14ac:dyDescent="0.35">
      <c r="AH712" t="s">
        <v>769</v>
      </c>
    </row>
    <row r="713" spans="34:34" x14ac:dyDescent="0.35">
      <c r="AH713" t="s">
        <v>2906</v>
      </c>
    </row>
    <row r="714" spans="34:34" x14ac:dyDescent="0.35">
      <c r="AH714" t="s">
        <v>768</v>
      </c>
    </row>
    <row r="715" spans="34:34" x14ac:dyDescent="0.35">
      <c r="AH715" t="s">
        <v>2907</v>
      </c>
    </row>
    <row r="716" spans="34:34" x14ac:dyDescent="0.35">
      <c r="AH716" t="s">
        <v>3869</v>
      </c>
    </row>
    <row r="717" spans="34:34" x14ac:dyDescent="0.35">
      <c r="AH717" t="s">
        <v>2908</v>
      </c>
    </row>
    <row r="718" spans="34:34" x14ac:dyDescent="0.35">
      <c r="AH718" t="s">
        <v>3870</v>
      </c>
    </row>
    <row r="719" spans="34:34" x14ac:dyDescent="0.35">
      <c r="AH719" t="s">
        <v>2909</v>
      </c>
    </row>
    <row r="720" spans="34:34" x14ac:dyDescent="0.35">
      <c r="AH720" t="s">
        <v>3871</v>
      </c>
    </row>
    <row r="721" spans="34:34" x14ac:dyDescent="0.35">
      <c r="AH721" t="s">
        <v>3872</v>
      </c>
    </row>
    <row r="722" spans="34:34" x14ac:dyDescent="0.35">
      <c r="AH722" t="s">
        <v>2910</v>
      </c>
    </row>
    <row r="723" spans="34:34" x14ac:dyDescent="0.35">
      <c r="AH723" t="s">
        <v>767</v>
      </c>
    </row>
    <row r="724" spans="34:34" x14ac:dyDescent="0.35">
      <c r="AH724" t="s">
        <v>766</v>
      </c>
    </row>
    <row r="725" spans="34:34" x14ac:dyDescent="0.35">
      <c r="AH725" t="s">
        <v>2911</v>
      </c>
    </row>
    <row r="726" spans="34:34" x14ac:dyDescent="0.35">
      <c r="AH726" t="s">
        <v>3873</v>
      </c>
    </row>
    <row r="727" spans="34:34" x14ac:dyDescent="0.35">
      <c r="AH727" t="s">
        <v>2912</v>
      </c>
    </row>
    <row r="728" spans="34:34" x14ac:dyDescent="0.35">
      <c r="AH728" t="s">
        <v>2913</v>
      </c>
    </row>
    <row r="729" spans="34:34" x14ac:dyDescent="0.35">
      <c r="AH729" t="s">
        <v>2914</v>
      </c>
    </row>
    <row r="730" spans="34:34" x14ac:dyDescent="0.35">
      <c r="AH730" t="s">
        <v>2915</v>
      </c>
    </row>
    <row r="731" spans="34:34" x14ac:dyDescent="0.35">
      <c r="AH731" t="s">
        <v>765</v>
      </c>
    </row>
    <row r="732" spans="34:34" x14ac:dyDescent="0.35">
      <c r="AH732" t="s">
        <v>764</v>
      </c>
    </row>
    <row r="733" spans="34:34" x14ac:dyDescent="0.35">
      <c r="AH733" t="s">
        <v>763</v>
      </c>
    </row>
    <row r="734" spans="34:34" x14ac:dyDescent="0.35">
      <c r="AH734" t="s">
        <v>762</v>
      </c>
    </row>
    <row r="735" spans="34:34" x14ac:dyDescent="0.35">
      <c r="AH735" t="s">
        <v>761</v>
      </c>
    </row>
    <row r="736" spans="34:34" x14ac:dyDescent="0.35">
      <c r="AH736" t="s">
        <v>2916</v>
      </c>
    </row>
    <row r="737" spans="34:34" x14ac:dyDescent="0.35">
      <c r="AH737" t="s">
        <v>2917</v>
      </c>
    </row>
    <row r="738" spans="34:34" x14ac:dyDescent="0.35">
      <c r="AH738" t="s">
        <v>2918</v>
      </c>
    </row>
    <row r="739" spans="34:34" x14ac:dyDescent="0.35">
      <c r="AH739" t="s">
        <v>2919</v>
      </c>
    </row>
    <row r="740" spans="34:34" x14ac:dyDescent="0.35">
      <c r="AH740" t="s">
        <v>2920</v>
      </c>
    </row>
    <row r="741" spans="34:34" x14ac:dyDescent="0.35">
      <c r="AH741" t="s">
        <v>760</v>
      </c>
    </row>
    <row r="742" spans="34:34" x14ac:dyDescent="0.35">
      <c r="AH742" t="s">
        <v>2921</v>
      </c>
    </row>
    <row r="743" spans="34:34" x14ac:dyDescent="0.35">
      <c r="AH743" t="s">
        <v>2922</v>
      </c>
    </row>
    <row r="744" spans="34:34" x14ac:dyDescent="0.35">
      <c r="AH744" t="s">
        <v>3874</v>
      </c>
    </row>
    <row r="745" spans="34:34" x14ac:dyDescent="0.35">
      <c r="AH745" t="s">
        <v>759</v>
      </c>
    </row>
    <row r="746" spans="34:34" x14ac:dyDescent="0.35">
      <c r="AH746" t="s">
        <v>2923</v>
      </c>
    </row>
    <row r="747" spans="34:34" x14ac:dyDescent="0.35">
      <c r="AH747" t="s">
        <v>2924</v>
      </c>
    </row>
    <row r="748" spans="34:34" x14ac:dyDescent="0.35">
      <c r="AH748" t="s">
        <v>2925</v>
      </c>
    </row>
    <row r="749" spans="34:34" x14ac:dyDescent="0.35">
      <c r="AH749" t="s">
        <v>758</v>
      </c>
    </row>
    <row r="750" spans="34:34" x14ac:dyDescent="0.35">
      <c r="AH750" t="s">
        <v>3875</v>
      </c>
    </row>
    <row r="751" spans="34:34" x14ac:dyDescent="0.35">
      <c r="AH751" t="s">
        <v>2926</v>
      </c>
    </row>
    <row r="752" spans="34:34" x14ac:dyDescent="0.35">
      <c r="AH752" t="s">
        <v>757</v>
      </c>
    </row>
    <row r="753" spans="34:34" x14ac:dyDescent="0.35">
      <c r="AH753" t="s">
        <v>756</v>
      </c>
    </row>
    <row r="754" spans="34:34" x14ac:dyDescent="0.35">
      <c r="AH754" t="s">
        <v>2927</v>
      </c>
    </row>
    <row r="755" spans="34:34" x14ac:dyDescent="0.35">
      <c r="AH755" t="s">
        <v>2928</v>
      </c>
    </row>
    <row r="756" spans="34:34" x14ac:dyDescent="0.35">
      <c r="AH756" t="s">
        <v>2929</v>
      </c>
    </row>
    <row r="757" spans="34:34" x14ac:dyDescent="0.35">
      <c r="AH757" t="s">
        <v>755</v>
      </c>
    </row>
    <row r="758" spans="34:34" x14ac:dyDescent="0.35">
      <c r="AH758" t="s">
        <v>754</v>
      </c>
    </row>
    <row r="759" spans="34:34" x14ac:dyDescent="0.35">
      <c r="AH759" t="s">
        <v>753</v>
      </c>
    </row>
    <row r="760" spans="34:34" x14ac:dyDescent="0.35">
      <c r="AH760" t="s">
        <v>752</v>
      </c>
    </row>
    <row r="761" spans="34:34" x14ac:dyDescent="0.35">
      <c r="AH761" t="s">
        <v>2930</v>
      </c>
    </row>
    <row r="762" spans="34:34" x14ac:dyDescent="0.35">
      <c r="AH762" t="s">
        <v>751</v>
      </c>
    </row>
    <row r="763" spans="34:34" x14ac:dyDescent="0.35">
      <c r="AH763" t="s">
        <v>750</v>
      </c>
    </row>
    <row r="764" spans="34:34" x14ac:dyDescent="0.35">
      <c r="AH764" t="s">
        <v>2931</v>
      </c>
    </row>
    <row r="765" spans="34:34" x14ac:dyDescent="0.35">
      <c r="AH765" t="s">
        <v>749</v>
      </c>
    </row>
    <row r="766" spans="34:34" x14ac:dyDescent="0.35">
      <c r="AH766" t="s">
        <v>748</v>
      </c>
    </row>
    <row r="767" spans="34:34" x14ac:dyDescent="0.35">
      <c r="AH767" t="s">
        <v>747</v>
      </c>
    </row>
    <row r="768" spans="34:34" x14ac:dyDescent="0.35">
      <c r="AH768" t="s">
        <v>746</v>
      </c>
    </row>
    <row r="769" spans="34:34" x14ac:dyDescent="0.35">
      <c r="AH769" t="s">
        <v>2932</v>
      </c>
    </row>
    <row r="770" spans="34:34" x14ac:dyDescent="0.35">
      <c r="AH770" t="s">
        <v>745</v>
      </c>
    </row>
    <row r="771" spans="34:34" x14ac:dyDescent="0.35">
      <c r="AH771" t="s">
        <v>744</v>
      </c>
    </row>
    <row r="772" spans="34:34" x14ac:dyDescent="0.35">
      <c r="AH772" t="s">
        <v>743</v>
      </c>
    </row>
    <row r="773" spans="34:34" x14ac:dyDescent="0.35">
      <c r="AH773" t="s">
        <v>2933</v>
      </c>
    </row>
    <row r="774" spans="34:34" x14ac:dyDescent="0.35">
      <c r="AH774" t="s">
        <v>2934</v>
      </c>
    </row>
    <row r="775" spans="34:34" x14ac:dyDescent="0.35">
      <c r="AH775" t="s">
        <v>2935</v>
      </c>
    </row>
    <row r="776" spans="34:34" x14ac:dyDescent="0.35">
      <c r="AH776" t="s">
        <v>742</v>
      </c>
    </row>
    <row r="777" spans="34:34" x14ac:dyDescent="0.35">
      <c r="AH777" t="s">
        <v>2936</v>
      </c>
    </row>
    <row r="778" spans="34:34" x14ac:dyDescent="0.35">
      <c r="AH778" t="s">
        <v>2937</v>
      </c>
    </row>
    <row r="779" spans="34:34" x14ac:dyDescent="0.35">
      <c r="AH779" t="s">
        <v>2938</v>
      </c>
    </row>
    <row r="780" spans="34:34" x14ac:dyDescent="0.35">
      <c r="AH780" t="s">
        <v>2939</v>
      </c>
    </row>
    <row r="781" spans="34:34" x14ac:dyDescent="0.35">
      <c r="AH781" t="s">
        <v>741</v>
      </c>
    </row>
    <row r="782" spans="34:34" x14ac:dyDescent="0.35">
      <c r="AH782" t="s">
        <v>2940</v>
      </c>
    </row>
    <row r="783" spans="34:34" x14ac:dyDescent="0.35">
      <c r="AH783" t="s">
        <v>3876</v>
      </c>
    </row>
    <row r="784" spans="34:34" x14ac:dyDescent="0.35">
      <c r="AH784" t="s">
        <v>2941</v>
      </c>
    </row>
    <row r="785" spans="34:34" x14ac:dyDescent="0.35">
      <c r="AH785" t="s">
        <v>2942</v>
      </c>
    </row>
    <row r="786" spans="34:34" x14ac:dyDescent="0.35">
      <c r="AH786" t="s">
        <v>2943</v>
      </c>
    </row>
    <row r="787" spans="34:34" x14ac:dyDescent="0.35">
      <c r="AH787" t="s">
        <v>2944</v>
      </c>
    </row>
    <row r="788" spans="34:34" x14ac:dyDescent="0.35">
      <c r="AH788" t="s">
        <v>740</v>
      </c>
    </row>
    <row r="789" spans="34:34" x14ac:dyDescent="0.35">
      <c r="AH789" t="s">
        <v>2945</v>
      </c>
    </row>
    <row r="790" spans="34:34" x14ac:dyDescent="0.35">
      <c r="AH790" t="s">
        <v>739</v>
      </c>
    </row>
    <row r="791" spans="34:34" x14ac:dyDescent="0.35">
      <c r="AH791" t="s">
        <v>738</v>
      </c>
    </row>
    <row r="792" spans="34:34" x14ac:dyDescent="0.35">
      <c r="AH792" t="s">
        <v>737</v>
      </c>
    </row>
    <row r="793" spans="34:34" x14ac:dyDescent="0.35">
      <c r="AH793" t="s">
        <v>736</v>
      </c>
    </row>
    <row r="794" spans="34:34" x14ac:dyDescent="0.35">
      <c r="AH794" t="s">
        <v>2946</v>
      </c>
    </row>
    <row r="795" spans="34:34" x14ac:dyDescent="0.35">
      <c r="AH795" t="s">
        <v>2947</v>
      </c>
    </row>
    <row r="796" spans="34:34" x14ac:dyDescent="0.35">
      <c r="AH796" t="s">
        <v>2948</v>
      </c>
    </row>
    <row r="797" spans="34:34" x14ac:dyDescent="0.35">
      <c r="AH797" t="s">
        <v>2949</v>
      </c>
    </row>
    <row r="798" spans="34:34" x14ac:dyDescent="0.35">
      <c r="AH798" t="s">
        <v>735</v>
      </c>
    </row>
    <row r="799" spans="34:34" x14ac:dyDescent="0.35">
      <c r="AH799" t="s">
        <v>734</v>
      </c>
    </row>
    <row r="800" spans="34:34" x14ac:dyDescent="0.35">
      <c r="AH800" t="s">
        <v>733</v>
      </c>
    </row>
    <row r="801" spans="34:34" x14ac:dyDescent="0.35">
      <c r="AH801" t="s">
        <v>2950</v>
      </c>
    </row>
    <row r="802" spans="34:34" x14ac:dyDescent="0.35">
      <c r="AH802" t="s">
        <v>2951</v>
      </c>
    </row>
    <row r="803" spans="34:34" x14ac:dyDescent="0.35">
      <c r="AH803" t="s">
        <v>732</v>
      </c>
    </row>
    <row r="804" spans="34:34" x14ac:dyDescent="0.35">
      <c r="AH804" t="s">
        <v>2952</v>
      </c>
    </row>
    <row r="805" spans="34:34" x14ac:dyDescent="0.35">
      <c r="AH805" t="s">
        <v>2953</v>
      </c>
    </row>
    <row r="806" spans="34:34" x14ac:dyDescent="0.35">
      <c r="AH806" t="s">
        <v>2954</v>
      </c>
    </row>
    <row r="807" spans="34:34" x14ac:dyDescent="0.35">
      <c r="AH807" t="s">
        <v>731</v>
      </c>
    </row>
    <row r="808" spans="34:34" x14ac:dyDescent="0.35">
      <c r="AH808" t="s">
        <v>2955</v>
      </c>
    </row>
    <row r="809" spans="34:34" x14ac:dyDescent="0.35">
      <c r="AH809" t="s">
        <v>730</v>
      </c>
    </row>
    <row r="810" spans="34:34" x14ac:dyDescent="0.35">
      <c r="AH810" t="s">
        <v>729</v>
      </c>
    </row>
    <row r="811" spans="34:34" x14ac:dyDescent="0.35">
      <c r="AH811" t="s">
        <v>3877</v>
      </c>
    </row>
    <row r="812" spans="34:34" x14ac:dyDescent="0.35">
      <c r="AH812" t="s">
        <v>2956</v>
      </c>
    </row>
    <row r="813" spans="34:34" x14ac:dyDescent="0.35">
      <c r="AH813" t="s">
        <v>2957</v>
      </c>
    </row>
    <row r="814" spans="34:34" x14ac:dyDescent="0.35">
      <c r="AH814" t="s">
        <v>2958</v>
      </c>
    </row>
    <row r="815" spans="34:34" x14ac:dyDescent="0.35">
      <c r="AH815" t="s">
        <v>2959</v>
      </c>
    </row>
    <row r="816" spans="34:34" x14ac:dyDescent="0.35">
      <c r="AH816" t="s">
        <v>728</v>
      </c>
    </row>
    <row r="817" spans="34:34" x14ac:dyDescent="0.35">
      <c r="AH817" t="s">
        <v>2960</v>
      </c>
    </row>
    <row r="818" spans="34:34" x14ac:dyDescent="0.35">
      <c r="AH818" t="s">
        <v>727</v>
      </c>
    </row>
    <row r="819" spans="34:34" x14ac:dyDescent="0.35">
      <c r="AH819" t="s">
        <v>2961</v>
      </c>
    </row>
    <row r="820" spans="34:34" x14ac:dyDescent="0.35">
      <c r="AH820" t="s">
        <v>726</v>
      </c>
    </row>
    <row r="821" spans="34:34" x14ac:dyDescent="0.35">
      <c r="AH821" t="s">
        <v>725</v>
      </c>
    </row>
    <row r="822" spans="34:34" x14ac:dyDescent="0.35">
      <c r="AH822" t="s">
        <v>724</v>
      </c>
    </row>
    <row r="823" spans="34:34" x14ac:dyDescent="0.35">
      <c r="AH823" t="s">
        <v>723</v>
      </c>
    </row>
    <row r="824" spans="34:34" x14ac:dyDescent="0.35">
      <c r="AH824" t="s">
        <v>2962</v>
      </c>
    </row>
    <row r="825" spans="34:34" x14ac:dyDescent="0.35">
      <c r="AH825" t="s">
        <v>722</v>
      </c>
    </row>
    <row r="826" spans="34:34" x14ac:dyDescent="0.35">
      <c r="AH826" t="s">
        <v>2963</v>
      </c>
    </row>
    <row r="827" spans="34:34" x14ac:dyDescent="0.35">
      <c r="AH827" t="s">
        <v>721</v>
      </c>
    </row>
    <row r="828" spans="34:34" x14ac:dyDescent="0.35">
      <c r="AH828" t="s">
        <v>720</v>
      </c>
    </row>
    <row r="829" spans="34:34" x14ac:dyDescent="0.35">
      <c r="AH829" t="s">
        <v>719</v>
      </c>
    </row>
    <row r="830" spans="34:34" x14ac:dyDescent="0.35">
      <c r="AH830" t="s">
        <v>2964</v>
      </c>
    </row>
    <row r="831" spans="34:34" x14ac:dyDescent="0.35">
      <c r="AH831" t="s">
        <v>718</v>
      </c>
    </row>
    <row r="832" spans="34:34" x14ac:dyDescent="0.35">
      <c r="AH832" t="s">
        <v>717</v>
      </c>
    </row>
    <row r="833" spans="34:34" x14ac:dyDescent="0.35">
      <c r="AH833" t="s">
        <v>3878</v>
      </c>
    </row>
    <row r="834" spans="34:34" x14ac:dyDescent="0.35">
      <c r="AH834" t="s">
        <v>2965</v>
      </c>
    </row>
    <row r="835" spans="34:34" x14ac:dyDescent="0.35">
      <c r="AH835" t="s">
        <v>2966</v>
      </c>
    </row>
    <row r="836" spans="34:34" x14ac:dyDescent="0.35">
      <c r="AH836" t="s">
        <v>2967</v>
      </c>
    </row>
    <row r="837" spans="34:34" x14ac:dyDescent="0.35">
      <c r="AH837" t="s">
        <v>2968</v>
      </c>
    </row>
    <row r="838" spans="34:34" x14ac:dyDescent="0.35">
      <c r="AH838" t="s">
        <v>716</v>
      </c>
    </row>
    <row r="839" spans="34:34" x14ac:dyDescent="0.35">
      <c r="AH839" t="s">
        <v>2969</v>
      </c>
    </row>
    <row r="840" spans="34:34" x14ac:dyDescent="0.35">
      <c r="AH840" t="s">
        <v>2970</v>
      </c>
    </row>
    <row r="841" spans="34:34" x14ac:dyDescent="0.35">
      <c r="AH841" t="s">
        <v>715</v>
      </c>
    </row>
    <row r="842" spans="34:34" x14ac:dyDescent="0.35">
      <c r="AH842" t="s">
        <v>714</v>
      </c>
    </row>
    <row r="843" spans="34:34" x14ac:dyDescent="0.35">
      <c r="AH843" t="s">
        <v>3879</v>
      </c>
    </row>
    <row r="844" spans="34:34" x14ac:dyDescent="0.35">
      <c r="AH844" t="s">
        <v>713</v>
      </c>
    </row>
    <row r="845" spans="34:34" x14ac:dyDescent="0.35">
      <c r="AH845" t="s">
        <v>712</v>
      </c>
    </row>
    <row r="846" spans="34:34" x14ac:dyDescent="0.35">
      <c r="AH846" t="s">
        <v>711</v>
      </c>
    </row>
    <row r="847" spans="34:34" x14ac:dyDescent="0.35">
      <c r="AH847" t="s">
        <v>710</v>
      </c>
    </row>
    <row r="848" spans="34:34" x14ac:dyDescent="0.35">
      <c r="AH848" t="s">
        <v>709</v>
      </c>
    </row>
    <row r="849" spans="34:34" x14ac:dyDescent="0.35">
      <c r="AH849" t="s">
        <v>708</v>
      </c>
    </row>
    <row r="850" spans="34:34" x14ac:dyDescent="0.35">
      <c r="AH850" t="s">
        <v>707</v>
      </c>
    </row>
    <row r="851" spans="34:34" x14ac:dyDescent="0.35">
      <c r="AH851" t="s">
        <v>2971</v>
      </c>
    </row>
    <row r="852" spans="34:34" x14ac:dyDescent="0.35">
      <c r="AH852" t="s">
        <v>706</v>
      </c>
    </row>
    <row r="853" spans="34:34" x14ac:dyDescent="0.35">
      <c r="AH853" t="s">
        <v>2972</v>
      </c>
    </row>
    <row r="854" spans="34:34" x14ac:dyDescent="0.35">
      <c r="AH854" t="s">
        <v>2973</v>
      </c>
    </row>
    <row r="855" spans="34:34" x14ac:dyDescent="0.35">
      <c r="AH855" t="s">
        <v>705</v>
      </c>
    </row>
    <row r="856" spans="34:34" x14ac:dyDescent="0.35">
      <c r="AH856" t="s">
        <v>3880</v>
      </c>
    </row>
    <row r="857" spans="34:34" x14ac:dyDescent="0.35">
      <c r="AH857" t="s">
        <v>704</v>
      </c>
    </row>
    <row r="858" spans="34:34" x14ac:dyDescent="0.35">
      <c r="AH858" t="s">
        <v>3881</v>
      </c>
    </row>
    <row r="859" spans="34:34" x14ac:dyDescent="0.35">
      <c r="AH859" t="s">
        <v>703</v>
      </c>
    </row>
    <row r="860" spans="34:34" x14ac:dyDescent="0.35">
      <c r="AH860" t="s">
        <v>2974</v>
      </c>
    </row>
    <row r="861" spans="34:34" x14ac:dyDescent="0.35">
      <c r="AH861" t="s">
        <v>2975</v>
      </c>
    </row>
    <row r="862" spans="34:34" x14ac:dyDescent="0.35">
      <c r="AH862" t="s">
        <v>2976</v>
      </c>
    </row>
    <row r="863" spans="34:34" x14ac:dyDescent="0.35">
      <c r="AH863" t="s">
        <v>2977</v>
      </c>
    </row>
    <row r="864" spans="34:34" x14ac:dyDescent="0.35">
      <c r="AH864" t="s">
        <v>2978</v>
      </c>
    </row>
    <row r="865" spans="34:34" x14ac:dyDescent="0.35">
      <c r="AH865" t="s">
        <v>702</v>
      </c>
    </row>
    <row r="866" spans="34:34" x14ac:dyDescent="0.35">
      <c r="AH866" t="s">
        <v>2979</v>
      </c>
    </row>
    <row r="867" spans="34:34" x14ac:dyDescent="0.35">
      <c r="AH867" t="s">
        <v>2980</v>
      </c>
    </row>
    <row r="868" spans="34:34" x14ac:dyDescent="0.35">
      <c r="AH868" t="s">
        <v>701</v>
      </c>
    </row>
    <row r="869" spans="34:34" x14ac:dyDescent="0.35">
      <c r="AH869" t="s">
        <v>700</v>
      </c>
    </row>
    <row r="870" spans="34:34" x14ac:dyDescent="0.35">
      <c r="AH870" t="s">
        <v>698</v>
      </c>
    </row>
    <row r="871" spans="34:34" x14ac:dyDescent="0.35">
      <c r="AH871" t="s">
        <v>699</v>
      </c>
    </row>
    <row r="872" spans="34:34" x14ac:dyDescent="0.35">
      <c r="AH872" t="s">
        <v>697</v>
      </c>
    </row>
    <row r="873" spans="34:34" x14ac:dyDescent="0.35">
      <c r="AH873" t="s">
        <v>696</v>
      </c>
    </row>
    <row r="874" spans="34:34" x14ac:dyDescent="0.35">
      <c r="AH874" t="s">
        <v>695</v>
      </c>
    </row>
    <row r="875" spans="34:34" x14ac:dyDescent="0.35">
      <c r="AH875" t="s">
        <v>694</v>
      </c>
    </row>
    <row r="876" spans="34:34" x14ac:dyDescent="0.35">
      <c r="AH876" t="s">
        <v>3882</v>
      </c>
    </row>
    <row r="877" spans="34:34" x14ac:dyDescent="0.35">
      <c r="AH877" t="s">
        <v>693</v>
      </c>
    </row>
    <row r="878" spans="34:34" x14ac:dyDescent="0.35">
      <c r="AH878" t="s">
        <v>692</v>
      </c>
    </row>
    <row r="879" spans="34:34" x14ac:dyDescent="0.35">
      <c r="AH879" t="s">
        <v>691</v>
      </c>
    </row>
    <row r="880" spans="34:34" x14ac:dyDescent="0.35">
      <c r="AH880" t="s">
        <v>2981</v>
      </c>
    </row>
    <row r="881" spans="34:34" x14ac:dyDescent="0.35">
      <c r="AH881" t="s">
        <v>2982</v>
      </c>
    </row>
    <row r="882" spans="34:34" x14ac:dyDescent="0.35">
      <c r="AH882" t="s">
        <v>690</v>
      </c>
    </row>
    <row r="883" spans="34:34" x14ac:dyDescent="0.35">
      <c r="AH883" t="s">
        <v>2983</v>
      </c>
    </row>
    <row r="884" spans="34:34" x14ac:dyDescent="0.35">
      <c r="AH884" t="s">
        <v>2984</v>
      </c>
    </row>
    <row r="885" spans="34:34" x14ac:dyDescent="0.35">
      <c r="AH885" t="s">
        <v>2985</v>
      </c>
    </row>
    <row r="886" spans="34:34" x14ac:dyDescent="0.35">
      <c r="AH886" t="s">
        <v>689</v>
      </c>
    </row>
    <row r="887" spans="34:34" x14ac:dyDescent="0.35">
      <c r="AH887" t="s">
        <v>688</v>
      </c>
    </row>
    <row r="888" spans="34:34" x14ac:dyDescent="0.35">
      <c r="AH888" t="s">
        <v>687</v>
      </c>
    </row>
    <row r="889" spans="34:34" x14ac:dyDescent="0.35">
      <c r="AH889" t="s">
        <v>686</v>
      </c>
    </row>
    <row r="890" spans="34:34" x14ac:dyDescent="0.35">
      <c r="AH890" t="s">
        <v>2986</v>
      </c>
    </row>
    <row r="891" spans="34:34" x14ac:dyDescent="0.35">
      <c r="AH891" t="s">
        <v>685</v>
      </c>
    </row>
    <row r="892" spans="34:34" x14ac:dyDescent="0.35">
      <c r="AH892" t="s">
        <v>684</v>
      </c>
    </row>
    <row r="893" spans="34:34" x14ac:dyDescent="0.35">
      <c r="AH893" t="s">
        <v>683</v>
      </c>
    </row>
    <row r="894" spans="34:34" x14ac:dyDescent="0.35">
      <c r="AH894" t="s">
        <v>682</v>
      </c>
    </row>
    <row r="895" spans="34:34" x14ac:dyDescent="0.35">
      <c r="AH895" t="s">
        <v>681</v>
      </c>
    </row>
    <row r="896" spans="34:34" x14ac:dyDescent="0.35">
      <c r="AH896" t="s">
        <v>680</v>
      </c>
    </row>
    <row r="897" spans="34:34" x14ac:dyDescent="0.35">
      <c r="AH897" t="s">
        <v>2987</v>
      </c>
    </row>
    <row r="898" spans="34:34" x14ac:dyDescent="0.35">
      <c r="AH898" t="s">
        <v>679</v>
      </c>
    </row>
    <row r="899" spans="34:34" x14ac:dyDescent="0.35">
      <c r="AH899" t="s">
        <v>678</v>
      </c>
    </row>
    <row r="900" spans="34:34" x14ac:dyDescent="0.35">
      <c r="AH900" t="s">
        <v>677</v>
      </c>
    </row>
    <row r="901" spans="34:34" x14ac:dyDescent="0.35">
      <c r="AH901" t="s">
        <v>676</v>
      </c>
    </row>
    <row r="902" spans="34:34" x14ac:dyDescent="0.35">
      <c r="AH902" t="s">
        <v>675</v>
      </c>
    </row>
    <row r="903" spans="34:34" x14ac:dyDescent="0.35">
      <c r="AH903" t="s">
        <v>674</v>
      </c>
    </row>
    <row r="904" spans="34:34" x14ac:dyDescent="0.35">
      <c r="AH904" t="s">
        <v>2988</v>
      </c>
    </row>
    <row r="905" spans="34:34" x14ac:dyDescent="0.35">
      <c r="AH905" t="s">
        <v>673</v>
      </c>
    </row>
    <row r="906" spans="34:34" x14ac:dyDescent="0.35">
      <c r="AH906" t="s">
        <v>2989</v>
      </c>
    </row>
    <row r="907" spans="34:34" x14ac:dyDescent="0.35">
      <c r="AH907" t="s">
        <v>672</v>
      </c>
    </row>
    <row r="908" spans="34:34" x14ac:dyDescent="0.35">
      <c r="AH908" t="s">
        <v>671</v>
      </c>
    </row>
    <row r="909" spans="34:34" x14ac:dyDescent="0.35">
      <c r="AH909" t="s">
        <v>670</v>
      </c>
    </row>
    <row r="910" spans="34:34" x14ac:dyDescent="0.35">
      <c r="AH910" t="s">
        <v>669</v>
      </c>
    </row>
    <row r="911" spans="34:34" x14ac:dyDescent="0.35">
      <c r="AH911" t="s">
        <v>2990</v>
      </c>
    </row>
    <row r="912" spans="34:34" x14ac:dyDescent="0.35">
      <c r="AH912" t="s">
        <v>668</v>
      </c>
    </row>
    <row r="913" spans="34:34" x14ac:dyDescent="0.35">
      <c r="AH913" t="s">
        <v>667</v>
      </c>
    </row>
    <row r="914" spans="34:34" x14ac:dyDescent="0.35">
      <c r="AH914" t="s">
        <v>2991</v>
      </c>
    </row>
    <row r="915" spans="34:34" x14ac:dyDescent="0.35">
      <c r="AH915" t="s">
        <v>666</v>
      </c>
    </row>
    <row r="916" spans="34:34" x14ac:dyDescent="0.35">
      <c r="AH916" t="s">
        <v>665</v>
      </c>
    </row>
    <row r="917" spans="34:34" x14ac:dyDescent="0.35">
      <c r="AH917" t="s">
        <v>664</v>
      </c>
    </row>
    <row r="918" spans="34:34" x14ac:dyDescent="0.35">
      <c r="AH918" t="s">
        <v>2992</v>
      </c>
    </row>
    <row r="919" spans="34:34" x14ac:dyDescent="0.35">
      <c r="AH919" t="s">
        <v>663</v>
      </c>
    </row>
    <row r="920" spans="34:34" x14ac:dyDescent="0.35">
      <c r="AH920" t="s">
        <v>662</v>
      </c>
    </row>
    <row r="921" spans="34:34" x14ac:dyDescent="0.35">
      <c r="AH921" t="s">
        <v>2993</v>
      </c>
    </row>
    <row r="922" spans="34:34" x14ac:dyDescent="0.35">
      <c r="AH922" t="s">
        <v>661</v>
      </c>
    </row>
    <row r="923" spans="34:34" x14ac:dyDescent="0.35">
      <c r="AH923" t="s">
        <v>3883</v>
      </c>
    </row>
    <row r="924" spans="34:34" x14ac:dyDescent="0.35">
      <c r="AH924" t="s">
        <v>3884</v>
      </c>
    </row>
    <row r="925" spans="34:34" x14ac:dyDescent="0.35">
      <c r="AH925" t="s">
        <v>2994</v>
      </c>
    </row>
    <row r="926" spans="34:34" x14ac:dyDescent="0.35">
      <c r="AH926" t="s">
        <v>3885</v>
      </c>
    </row>
    <row r="927" spans="34:34" x14ac:dyDescent="0.35">
      <c r="AH927" t="s">
        <v>660</v>
      </c>
    </row>
    <row r="928" spans="34:34" x14ac:dyDescent="0.35">
      <c r="AH928" t="s">
        <v>2995</v>
      </c>
    </row>
    <row r="929" spans="34:34" x14ac:dyDescent="0.35">
      <c r="AH929" t="s">
        <v>2996</v>
      </c>
    </row>
    <row r="930" spans="34:34" x14ac:dyDescent="0.35">
      <c r="AH930" t="s">
        <v>2997</v>
      </c>
    </row>
    <row r="931" spans="34:34" x14ac:dyDescent="0.35">
      <c r="AH931" t="s">
        <v>659</v>
      </c>
    </row>
    <row r="932" spans="34:34" x14ac:dyDescent="0.35">
      <c r="AH932" t="s">
        <v>2998</v>
      </c>
    </row>
    <row r="933" spans="34:34" x14ac:dyDescent="0.35">
      <c r="AH933" t="s">
        <v>2999</v>
      </c>
    </row>
    <row r="934" spans="34:34" x14ac:dyDescent="0.35">
      <c r="AH934" t="s">
        <v>658</v>
      </c>
    </row>
    <row r="935" spans="34:34" x14ac:dyDescent="0.35">
      <c r="AH935" t="s">
        <v>3886</v>
      </c>
    </row>
    <row r="936" spans="34:34" x14ac:dyDescent="0.35">
      <c r="AH936" t="s">
        <v>3887</v>
      </c>
    </row>
    <row r="937" spans="34:34" x14ac:dyDescent="0.35">
      <c r="AH937" t="s">
        <v>657</v>
      </c>
    </row>
    <row r="938" spans="34:34" x14ac:dyDescent="0.35">
      <c r="AH938" t="s">
        <v>656</v>
      </c>
    </row>
    <row r="939" spans="34:34" x14ac:dyDescent="0.35">
      <c r="AH939" t="s">
        <v>655</v>
      </c>
    </row>
    <row r="940" spans="34:34" x14ac:dyDescent="0.35">
      <c r="AH940" t="s">
        <v>654</v>
      </c>
    </row>
    <row r="941" spans="34:34" x14ac:dyDescent="0.35">
      <c r="AH941" t="s">
        <v>653</v>
      </c>
    </row>
    <row r="942" spans="34:34" x14ac:dyDescent="0.35">
      <c r="AH942" t="s">
        <v>652</v>
      </c>
    </row>
    <row r="943" spans="34:34" x14ac:dyDescent="0.35">
      <c r="AH943" t="s">
        <v>651</v>
      </c>
    </row>
    <row r="944" spans="34:34" x14ac:dyDescent="0.35">
      <c r="AH944" t="s">
        <v>3000</v>
      </c>
    </row>
    <row r="945" spans="34:34" x14ac:dyDescent="0.35">
      <c r="AH945" t="s">
        <v>650</v>
      </c>
    </row>
    <row r="946" spans="34:34" x14ac:dyDescent="0.35">
      <c r="AH946" t="s">
        <v>649</v>
      </c>
    </row>
    <row r="947" spans="34:34" x14ac:dyDescent="0.35">
      <c r="AH947" t="s">
        <v>648</v>
      </c>
    </row>
    <row r="948" spans="34:34" x14ac:dyDescent="0.35">
      <c r="AH948" t="s">
        <v>3001</v>
      </c>
    </row>
    <row r="949" spans="34:34" x14ac:dyDescent="0.35">
      <c r="AH949" t="s">
        <v>3333</v>
      </c>
    </row>
    <row r="950" spans="34:34" x14ac:dyDescent="0.35">
      <c r="AH950" t="s">
        <v>3888</v>
      </c>
    </row>
    <row r="951" spans="34:34" x14ac:dyDescent="0.35">
      <c r="AH951" t="s">
        <v>3889</v>
      </c>
    </row>
    <row r="952" spans="34:34" x14ac:dyDescent="0.35">
      <c r="AH952" t="s">
        <v>3002</v>
      </c>
    </row>
    <row r="953" spans="34:34" x14ac:dyDescent="0.35">
      <c r="AH953" t="s">
        <v>3003</v>
      </c>
    </row>
    <row r="954" spans="34:34" x14ac:dyDescent="0.35">
      <c r="AH954" t="s">
        <v>3004</v>
      </c>
    </row>
    <row r="955" spans="34:34" x14ac:dyDescent="0.35">
      <c r="AH955" t="s">
        <v>647</v>
      </c>
    </row>
    <row r="956" spans="34:34" x14ac:dyDescent="0.35">
      <c r="AH956" t="s">
        <v>646</v>
      </c>
    </row>
    <row r="957" spans="34:34" x14ac:dyDescent="0.35">
      <c r="AH957" t="s">
        <v>645</v>
      </c>
    </row>
    <row r="958" spans="34:34" x14ac:dyDescent="0.35">
      <c r="AH958" t="s">
        <v>644</v>
      </c>
    </row>
    <row r="959" spans="34:34" x14ac:dyDescent="0.35">
      <c r="AH959" t="s">
        <v>3005</v>
      </c>
    </row>
    <row r="960" spans="34:34" x14ac:dyDescent="0.35">
      <c r="AH960" t="s">
        <v>643</v>
      </c>
    </row>
    <row r="961" spans="34:34" x14ac:dyDescent="0.35">
      <c r="AH961" t="s">
        <v>642</v>
      </c>
    </row>
    <row r="962" spans="34:34" x14ac:dyDescent="0.35">
      <c r="AH962" t="s">
        <v>3006</v>
      </c>
    </row>
    <row r="963" spans="34:34" x14ac:dyDescent="0.35">
      <c r="AH963" t="s">
        <v>3007</v>
      </c>
    </row>
    <row r="964" spans="34:34" x14ac:dyDescent="0.35">
      <c r="AH964" t="s">
        <v>3008</v>
      </c>
    </row>
    <row r="965" spans="34:34" x14ac:dyDescent="0.35">
      <c r="AH965" t="s">
        <v>3890</v>
      </c>
    </row>
    <row r="966" spans="34:34" x14ac:dyDescent="0.35">
      <c r="AH966" t="s">
        <v>3009</v>
      </c>
    </row>
    <row r="967" spans="34:34" x14ac:dyDescent="0.35">
      <c r="AH967" t="s">
        <v>3891</v>
      </c>
    </row>
    <row r="968" spans="34:34" x14ac:dyDescent="0.35">
      <c r="AH968" t="s">
        <v>3892</v>
      </c>
    </row>
    <row r="969" spans="34:34" x14ac:dyDescent="0.35">
      <c r="AH969" t="s">
        <v>641</v>
      </c>
    </row>
    <row r="970" spans="34:34" x14ac:dyDescent="0.35">
      <c r="AH970" t="s">
        <v>3893</v>
      </c>
    </row>
    <row r="971" spans="34:34" x14ac:dyDescent="0.35">
      <c r="AH971" t="s">
        <v>3010</v>
      </c>
    </row>
    <row r="972" spans="34:34" x14ac:dyDescent="0.35">
      <c r="AH972" t="s">
        <v>3011</v>
      </c>
    </row>
    <row r="973" spans="34:34" x14ac:dyDescent="0.35">
      <c r="AH973" t="s">
        <v>3894</v>
      </c>
    </row>
    <row r="974" spans="34:34" x14ac:dyDescent="0.35">
      <c r="AH974" t="s">
        <v>3895</v>
      </c>
    </row>
    <row r="975" spans="34:34" x14ac:dyDescent="0.35">
      <c r="AH975" t="s">
        <v>3896</v>
      </c>
    </row>
    <row r="976" spans="34:34" x14ac:dyDescent="0.35">
      <c r="AH976" t="s">
        <v>640</v>
      </c>
    </row>
    <row r="977" spans="34:34" x14ac:dyDescent="0.35">
      <c r="AH977" t="s">
        <v>639</v>
      </c>
    </row>
    <row r="978" spans="34:34" x14ac:dyDescent="0.35">
      <c r="AH978" t="s">
        <v>3012</v>
      </c>
    </row>
    <row r="979" spans="34:34" x14ac:dyDescent="0.35">
      <c r="AH979" t="s">
        <v>638</v>
      </c>
    </row>
    <row r="980" spans="34:34" x14ac:dyDescent="0.35">
      <c r="AH980" t="s">
        <v>637</v>
      </c>
    </row>
    <row r="981" spans="34:34" x14ac:dyDescent="0.35">
      <c r="AH981" t="s">
        <v>636</v>
      </c>
    </row>
    <row r="982" spans="34:34" x14ac:dyDescent="0.35">
      <c r="AH982" t="s">
        <v>3013</v>
      </c>
    </row>
    <row r="983" spans="34:34" x14ac:dyDescent="0.35">
      <c r="AH983" t="s">
        <v>3014</v>
      </c>
    </row>
    <row r="984" spans="34:34" x14ac:dyDescent="0.35">
      <c r="AH984" t="s">
        <v>635</v>
      </c>
    </row>
    <row r="985" spans="34:34" x14ac:dyDescent="0.35">
      <c r="AH985" t="s">
        <v>634</v>
      </c>
    </row>
    <row r="986" spans="34:34" x14ac:dyDescent="0.35">
      <c r="AH986" t="s">
        <v>3897</v>
      </c>
    </row>
    <row r="987" spans="34:34" x14ac:dyDescent="0.35">
      <c r="AH987" t="s">
        <v>3015</v>
      </c>
    </row>
    <row r="988" spans="34:34" x14ac:dyDescent="0.35">
      <c r="AH988" t="s">
        <v>3016</v>
      </c>
    </row>
    <row r="989" spans="34:34" x14ac:dyDescent="0.35">
      <c r="AH989" t="s">
        <v>3017</v>
      </c>
    </row>
    <row r="990" spans="34:34" x14ac:dyDescent="0.35">
      <c r="AH990" t="s">
        <v>633</v>
      </c>
    </row>
    <row r="991" spans="34:34" x14ac:dyDescent="0.35">
      <c r="AH991" t="s">
        <v>3018</v>
      </c>
    </row>
    <row r="992" spans="34:34" x14ac:dyDescent="0.35">
      <c r="AH992" t="s">
        <v>632</v>
      </c>
    </row>
    <row r="993" spans="34:34" x14ac:dyDescent="0.35">
      <c r="AH993" t="s">
        <v>631</v>
      </c>
    </row>
    <row r="994" spans="34:34" x14ac:dyDescent="0.35">
      <c r="AH994" t="s">
        <v>630</v>
      </c>
    </row>
    <row r="995" spans="34:34" x14ac:dyDescent="0.35">
      <c r="AH995" t="s">
        <v>629</v>
      </c>
    </row>
    <row r="996" spans="34:34" x14ac:dyDescent="0.35">
      <c r="AH996" t="s">
        <v>628</v>
      </c>
    </row>
    <row r="997" spans="34:34" x14ac:dyDescent="0.35">
      <c r="AH997" t="s">
        <v>627</v>
      </c>
    </row>
    <row r="998" spans="34:34" x14ac:dyDescent="0.35">
      <c r="AH998" t="s">
        <v>626</v>
      </c>
    </row>
    <row r="999" spans="34:34" x14ac:dyDescent="0.35">
      <c r="AH999" t="s">
        <v>625</v>
      </c>
    </row>
    <row r="1000" spans="34:34" x14ac:dyDescent="0.35">
      <c r="AH1000" t="s">
        <v>624</v>
      </c>
    </row>
    <row r="1001" spans="34:34" x14ac:dyDescent="0.35">
      <c r="AH1001" t="s">
        <v>623</v>
      </c>
    </row>
    <row r="1002" spans="34:34" x14ac:dyDescent="0.35">
      <c r="AH1002" t="s">
        <v>3019</v>
      </c>
    </row>
    <row r="1003" spans="34:34" x14ac:dyDescent="0.35">
      <c r="AH1003" t="s">
        <v>622</v>
      </c>
    </row>
    <row r="1004" spans="34:34" x14ac:dyDescent="0.35">
      <c r="AH1004" t="s">
        <v>3020</v>
      </c>
    </row>
    <row r="1005" spans="34:34" x14ac:dyDescent="0.35">
      <c r="AH1005" t="s">
        <v>621</v>
      </c>
    </row>
    <row r="1006" spans="34:34" x14ac:dyDescent="0.35">
      <c r="AH1006" t="s">
        <v>3021</v>
      </c>
    </row>
    <row r="1007" spans="34:34" x14ac:dyDescent="0.35">
      <c r="AH1007" t="s">
        <v>620</v>
      </c>
    </row>
    <row r="1008" spans="34:34" x14ac:dyDescent="0.35">
      <c r="AH1008" t="s">
        <v>3022</v>
      </c>
    </row>
    <row r="1009" spans="34:34" x14ac:dyDescent="0.35">
      <c r="AH1009" t="s">
        <v>619</v>
      </c>
    </row>
    <row r="1010" spans="34:34" x14ac:dyDescent="0.35">
      <c r="AH1010" t="s">
        <v>3023</v>
      </c>
    </row>
    <row r="1011" spans="34:34" x14ac:dyDescent="0.35">
      <c r="AH1011" t="s">
        <v>618</v>
      </c>
    </row>
    <row r="1012" spans="34:34" x14ac:dyDescent="0.35">
      <c r="AH1012" t="s">
        <v>3024</v>
      </c>
    </row>
    <row r="1013" spans="34:34" x14ac:dyDescent="0.35">
      <c r="AH1013" t="s">
        <v>3025</v>
      </c>
    </row>
    <row r="1014" spans="34:34" x14ac:dyDescent="0.35">
      <c r="AH1014" t="s">
        <v>617</v>
      </c>
    </row>
    <row r="1015" spans="34:34" x14ac:dyDescent="0.35">
      <c r="AH1015" t="s">
        <v>616</v>
      </c>
    </row>
    <row r="1016" spans="34:34" x14ac:dyDescent="0.35">
      <c r="AH1016" t="s">
        <v>3898</v>
      </c>
    </row>
    <row r="1017" spans="34:34" x14ac:dyDescent="0.35">
      <c r="AH1017" t="s">
        <v>615</v>
      </c>
    </row>
    <row r="1018" spans="34:34" x14ac:dyDescent="0.35">
      <c r="AH1018" t="s">
        <v>3026</v>
      </c>
    </row>
    <row r="1019" spans="34:34" x14ac:dyDescent="0.35">
      <c r="AH1019" t="s">
        <v>614</v>
      </c>
    </row>
    <row r="1020" spans="34:34" x14ac:dyDescent="0.35">
      <c r="AH1020" t="s">
        <v>3027</v>
      </c>
    </row>
    <row r="1021" spans="34:34" x14ac:dyDescent="0.35">
      <c r="AH1021" t="s">
        <v>613</v>
      </c>
    </row>
    <row r="1022" spans="34:34" x14ac:dyDescent="0.35">
      <c r="AH1022" t="s">
        <v>3028</v>
      </c>
    </row>
    <row r="1023" spans="34:34" x14ac:dyDescent="0.35">
      <c r="AH1023" t="s">
        <v>3029</v>
      </c>
    </row>
    <row r="1024" spans="34:34" x14ac:dyDescent="0.35">
      <c r="AH1024" t="s">
        <v>3030</v>
      </c>
    </row>
    <row r="1025" spans="34:34" x14ac:dyDescent="0.35">
      <c r="AH1025" t="s">
        <v>612</v>
      </c>
    </row>
    <row r="1026" spans="34:34" x14ac:dyDescent="0.35">
      <c r="AH1026" t="s">
        <v>3031</v>
      </c>
    </row>
    <row r="1027" spans="34:34" x14ac:dyDescent="0.35">
      <c r="AH1027" t="s">
        <v>611</v>
      </c>
    </row>
    <row r="1028" spans="34:34" x14ac:dyDescent="0.35">
      <c r="AH1028" t="s">
        <v>610</v>
      </c>
    </row>
    <row r="1029" spans="34:34" x14ac:dyDescent="0.35">
      <c r="AH1029" t="s">
        <v>609</v>
      </c>
    </row>
    <row r="1030" spans="34:34" x14ac:dyDescent="0.35">
      <c r="AH1030" t="s">
        <v>3032</v>
      </c>
    </row>
    <row r="1031" spans="34:34" x14ac:dyDescent="0.35">
      <c r="AH1031" t="s">
        <v>608</v>
      </c>
    </row>
    <row r="1032" spans="34:34" x14ac:dyDescent="0.35">
      <c r="AH1032" t="s">
        <v>607</v>
      </c>
    </row>
    <row r="1033" spans="34:34" x14ac:dyDescent="0.35">
      <c r="AH1033" t="s">
        <v>3899</v>
      </c>
    </row>
    <row r="1034" spans="34:34" x14ac:dyDescent="0.35">
      <c r="AH1034" t="s">
        <v>3033</v>
      </c>
    </row>
    <row r="1035" spans="34:34" x14ac:dyDescent="0.35">
      <c r="AH1035" t="s">
        <v>606</v>
      </c>
    </row>
    <row r="1036" spans="34:34" x14ac:dyDescent="0.35">
      <c r="AH1036" t="s">
        <v>3034</v>
      </c>
    </row>
    <row r="1037" spans="34:34" x14ac:dyDescent="0.35">
      <c r="AH1037" t="s">
        <v>3035</v>
      </c>
    </row>
    <row r="1038" spans="34:34" x14ac:dyDescent="0.35">
      <c r="AH1038" t="s">
        <v>3036</v>
      </c>
    </row>
    <row r="1039" spans="34:34" x14ac:dyDescent="0.35">
      <c r="AH1039" t="s">
        <v>3037</v>
      </c>
    </row>
    <row r="1040" spans="34:34" x14ac:dyDescent="0.35">
      <c r="AH1040" t="s">
        <v>3038</v>
      </c>
    </row>
    <row r="1041" spans="34:34" x14ac:dyDescent="0.35">
      <c r="AH1041" t="s">
        <v>605</v>
      </c>
    </row>
    <row r="1042" spans="34:34" x14ac:dyDescent="0.35">
      <c r="AH1042" t="s">
        <v>3039</v>
      </c>
    </row>
    <row r="1043" spans="34:34" x14ac:dyDescent="0.35">
      <c r="AH1043" t="s">
        <v>3040</v>
      </c>
    </row>
    <row r="1044" spans="34:34" x14ac:dyDescent="0.35">
      <c r="AH1044" t="s">
        <v>3041</v>
      </c>
    </row>
    <row r="1045" spans="34:34" x14ac:dyDescent="0.35">
      <c r="AH1045" t="s">
        <v>3042</v>
      </c>
    </row>
    <row r="1046" spans="34:34" x14ac:dyDescent="0.35">
      <c r="AH1046" t="s">
        <v>3043</v>
      </c>
    </row>
    <row r="1047" spans="34:34" x14ac:dyDescent="0.35">
      <c r="AH1047" t="s">
        <v>3044</v>
      </c>
    </row>
    <row r="1048" spans="34:34" x14ac:dyDescent="0.35">
      <c r="AH1048" t="s">
        <v>3045</v>
      </c>
    </row>
    <row r="1049" spans="34:34" x14ac:dyDescent="0.35">
      <c r="AH1049" t="s">
        <v>3046</v>
      </c>
    </row>
    <row r="1050" spans="34:34" x14ac:dyDescent="0.35">
      <c r="AH1050" t="s">
        <v>3047</v>
      </c>
    </row>
    <row r="1051" spans="34:34" x14ac:dyDescent="0.35">
      <c r="AH1051" t="s">
        <v>3048</v>
      </c>
    </row>
    <row r="1052" spans="34:34" x14ac:dyDescent="0.35">
      <c r="AH1052" t="s">
        <v>3049</v>
      </c>
    </row>
    <row r="1053" spans="34:34" x14ac:dyDescent="0.35">
      <c r="AH1053" t="s">
        <v>3050</v>
      </c>
    </row>
    <row r="1054" spans="34:34" x14ac:dyDescent="0.35">
      <c r="AH1054" t="s">
        <v>3051</v>
      </c>
    </row>
    <row r="1055" spans="34:34" x14ac:dyDescent="0.35">
      <c r="AH1055" t="s">
        <v>3052</v>
      </c>
    </row>
    <row r="1056" spans="34:34" x14ac:dyDescent="0.35">
      <c r="AH1056" t="s">
        <v>3053</v>
      </c>
    </row>
    <row r="1057" spans="34:34" x14ac:dyDescent="0.35">
      <c r="AH1057" t="s">
        <v>3054</v>
      </c>
    </row>
    <row r="1058" spans="34:34" x14ac:dyDescent="0.35">
      <c r="AH1058" t="s">
        <v>3055</v>
      </c>
    </row>
    <row r="1059" spans="34:34" x14ac:dyDescent="0.35">
      <c r="AH1059" t="s">
        <v>3900</v>
      </c>
    </row>
    <row r="1060" spans="34:34" x14ac:dyDescent="0.35">
      <c r="AH1060" t="s">
        <v>604</v>
      </c>
    </row>
    <row r="1061" spans="34:34" x14ac:dyDescent="0.35">
      <c r="AH1061" t="s">
        <v>3901</v>
      </c>
    </row>
    <row r="1062" spans="34:34" x14ac:dyDescent="0.35">
      <c r="AH1062" t="s">
        <v>3056</v>
      </c>
    </row>
    <row r="1063" spans="34:34" x14ac:dyDescent="0.35">
      <c r="AH1063" t="s">
        <v>3902</v>
      </c>
    </row>
    <row r="1064" spans="34:34" x14ac:dyDescent="0.35">
      <c r="AH1064" t="s">
        <v>3057</v>
      </c>
    </row>
    <row r="1065" spans="34:34" x14ac:dyDescent="0.35">
      <c r="AH1065" t="s">
        <v>3903</v>
      </c>
    </row>
    <row r="1066" spans="34:34" x14ac:dyDescent="0.35">
      <c r="AH1066" t="s">
        <v>603</v>
      </c>
    </row>
    <row r="1067" spans="34:34" x14ac:dyDescent="0.35">
      <c r="AH1067" t="s">
        <v>602</v>
      </c>
    </row>
    <row r="1068" spans="34:34" x14ac:dyDescent="0.35">
      <c r="AH1068" t="s">
        <v>601</v>
      </c>
    </row>
    <row r="1069" spans="34:34" x14ac:dyDescent="0.35">
      <c r="AH1069" t="s">
        <v>600</v>
      </c>
    </row>
    <row r="1070" spans="34:34" x14ac:dyDescent="0.35">
      <c r="AH1070" t="s">
        <v>3058</v>
      </c>
    </row>
    <row r="1071" spans="34:34" x14ac:dyDescent="0.35">
      <c r="AH1071" t="s">
        <v>599</v>
      </c>
    </row>
    <row r="1072" spans="34:34" x14ac:dyDescent="0.35">
      <c r="AH1072" t="s">
        <v>598</v>
      </c>
    </row>
    <row r="1073" spans="34:34" x14ac:dyDescent="0.35">
      <c r="AH1073" t="s">
        <v>597</v>
      </c>
    </row>
    <row r="1074" spans="34:34" x14ac:dyDescent="0.35">
      <c r="AH1074" t="s">
        <v>596</v>
      </c>
    </row>
    <row r="1075" spans="34:34" x14ac:dyDescent="0.35">
      <c r="AH1075" t="s">
        <v>3059</v>
      </c>
    </row>
    <row r="1076" spans="34:34" x14ac:dyDescent="0.35">
      <c r="AH1076" t="s">
        <v>3060</v>
      </c>
    </row>
    <row r="1077" spans="34:34" x14ac:dyDescent="0.35">
      <c r="AH1077" t="s">
        <v>3061</v>
      </c>
    </row>
    <row r="1078" spans="34:34" x14ac:dyDescent="0.35">
      <c r="AH1078" t="s">
        <v>3062</v>
      </c>
    </row>
    <row r="1079" spans="34:34" x14ac:dyDescent="0.35">
      <c r="AH1079" t="s">
        <v>595</v>
      </c>
    </row>
    <row r="1080" spans="34:34" x14ac:dyDescent="0.35">
      <c r="AH1080" t="s">
        <v>594</v>
      </c>
    </row>
    <row r="1081" spans="34:34" x14ac:dyDescent="0.35">
      <c r="AH1081" t="s">
        <v>593</v>
      </c>
    </row>
    <row r="1082" spans="34:34" x14ac:dyDescent="0.35">
      <c r="AH1082" t="s">
        <v>3904</v>
      </c>
    </row>
    <row r="1083" spans="34:34" x14ac:dyDescent="0.35">
      <c r="AH1083" t="s">
        <v>592</v>
      </c>
    </row>
    <row r="1084" spans="34:34" x14ac:dyDescent="0.35">
      <c r="AH1084" t="s">
        <v>591</v>
      </c>
    </row>
    <row r="1085" spans="34:34" x14ac:dyDescent="0.35">
      <c r="AH1085" t="s">
        <v>590</v>
      </c>
    </row>
    <row r="1086" spans="34:34" x14ac:dyDescent="0.35">
      <c r="AH1086" t="s">
        <v>589</v>
      </c>
    </row>
    <row r="1087" spans="34:34" x14ac:dyDescent="0.35">
      <c r="AH1087" t="s">
        <v>588</v>
      </c>
    </row>
    <row r="1088" spans="34:34" x14ac:dyDescent="0.35">
      <c r="AH1088" t="s">
        <v>3063</v>
      </c>
    </row>
    <row r="1089" spans="34:34" x14ac:dyDescent="0.35">
      <c r="AH1089" t="s">
        <v>3064</v>
      </c>
    </row>
    <row r="1090" spans="34:34" x14ac:dyDescent="0.35">
      <c r="AH1090" t="s">
        <v>587</v>
      </c>
    </row>
    <row r="1091" spans="34:34" x14ac:dyDescent="0.35">
      <c r="AH1091" t="s">
        <v>586</v>
      </c>
    </row>
    <row r="1092" spans="34:34" x14ac:dyDescent="0.35">
      <c r="AH1092" t="s">
        <v>3065</v>
      </c>
    </row>
    <row r="1093" spans="34:34" x14ac:dyDescent="0.35">
      <c r="AH1093" t="s">
        <v>3905</v>
      </c>
    </row>
    <row r="1094" spans="34:34" x14ac:dyDescent="0.35">
      <c r="AH1094" t="s">
        <v>585</v>
      </c>
    </row>
    <row r="1095" spans="34:34" x14ac:dyDescent="0.35">
      <c r="AH1095" t="s">
        <v>584</v>
      </c>
    </row>
    <row r="1096" spans="34:34" x14ac:dyDescent="0.35">
      <c r="AH1096" t="s">
        <v>583</v>
      </c>
    </row>
    <row r="1097" spans="34:34" x14ac:dyDescent="0.35">
      <c r="AH1097" t="s">
        <v>582</v>
      </c>
    </row>
    <row r="1098" spans="34:34" x14ac:dyDescent="0.35">
      <c r="AH1098" t="s">
        <v>3906</v>
      </c>
    </row>
    <row r="1099" spans="34:34" x14ac:dyDescent="0.35">
      <c r="AH1099" t="s">
        <v>581</v>
      </c>
    </row>
    <row r="1100" spans="34:34" x14ac:dyDescent="0.35">
      <c r="AH1100" t="s">
        <v>3907</v>
      </c>
    </row>
    <row r="1101" spans="34:34" x14ac:dyDescent="0.35">
      <c r="AH1101" t="s">
        <v>3908</v>
      </c>
    </row>
    <row r="1102" spans="34:34" x14ac:dyDescent="0.35">
      <c r="AH1102" t="s">
        <v>3066</v>
      </c>
    </row>
    <row r="1103" spans="34:34" x14ac:dyDescent="0.35">
      <c r="AH1103" t="s">
        <v>3909</v>
      </c>
    </row>
    <row r="1104" spans="34:34" x14ac:dyDescent="0.35">
      <c r="AH1104" t="s">
        <v>3910</v>
      </c>
    </row>
    <row r="1105" spans="34:34" x14ac:dyDescent="0.35">
      <c r="AH1105" t="s">
        <v>3067</v>
      </c>
    </row>
    <row r="1106" spans="34:34" x14ac:dyDescent="0.35">
      <c r="AH1106" t="s">
        <v>3068</v>
      </c>
    </row>
    <row r="1107" spans="34:34" x14ac:dyDescent="0.35">
      <c r="AH1107" t="s">
        <v>580</v>
      </c>
    </row>
    <row r="1108" spans="34:34" x14ac:dyDescent="0.35">
      <c r="AH1108" t="s">
        <v>579</v>
      </c>
    </row>
    <row r="1109" spans="34:34" x14ac:dyDescent="0.35">
      <c r="AH1109" t="s">
        <v>3069</v>
      </c>
    </row>
    <row r="1110" spans="34:34" x14ac:dyDescent="0.35">
      <c r="AH1110" t="s">
        <v>3911</v>
      </c>
    </row>
    <row r="1111" spans="34:34" x14ac:dyDescent="0.35">
      <c r="AH1111" t="s">
        <v>578</v>
      </c>
    </row>
    <row r="1112" spans="34:34" x14ac:dyDescent="0.35">
      <c r="AH1112" t="s">
        <v>577</v>
      </c>
    </row>
    <row r="1113" spans="34:34" x14ac:dyDescent="0.35">
      <c r="AH1113" t="s">
        <v>576</v>
      </c>
    </row>
    <row r="1114" spans="34:34" x14ac:dyDescent="0.35">
      <c r="AH1114" t="s">
        <v>575</v>
      </c>
    </row>
    <row r="1115" spans="34:34" x14ac:dyDescent="0.35">
      <c r="AH1115" t="s">
        <v>3912</v>
      </c>
    </row>
    <row r="1116" spans="34:34" x14ac:dyDescent="0.35">
      <c r="AH1116" t="s">
        <v>574</v>
      </c>
    </row>
    <row r="1117" spans="34:34" x14ac:dyDescent="0.35">
      <c r="AH1117" t="s">
        <v>573</v>
      </c>
    </row>
    <row r="1118" spans="34:34" x14ac:dyDescent="0.35">
      <c r="AH1118" t="s">
        <v>3913</v>
      </c>
    </row>
    <row r="1119" spans="34:34" x14ac:dyDescent="0.35">
      <c r="AH1119" t="s">
        <v>3914</v>
      </c>
    </row>
    <row r="1120" spans="34:34" x14ac:dyDescent="0.35">
      <c r="AH1120" t="s">
        <v>572</v>
      </c>
    </row>
    <row r="1121" spans="34:34" x14ac:dyDescent="0.35">
      <c r="AH1121" t="s">
        <v>3070</v>
      </c>
    </row>
    <row r="1122" spans="34:34" x14ac:dyDescent="0.35">
      <c r="AH1122" t="s">
        <v>571</v>
      </c>
    </row>
    <row r="1123" spans="34:34" x14ac:dyDescent="0.35">
      <c r="AH1123" t="s">
        <v>570</v>
      </c>
    </row>
    <row r="1124" spans="34:34" x14ac:dyDescent="0.35">
      <c r="AH1124" t="s">
        <v>569</v>
      </c>
    </row>
    <row r="1125" spans="34:34" x14ac:dyDescent="0.35">
      <c r="AH1125" t="s">
        <v>3915</v>
      </c>
    </row>
    <row r="1126" spans="34:34" x14ac:dyDescent="0.35">
      <c r="AH1126" t="s">
        <v>568</v>
      </c>
    </row>
    <row r="1127" spans="34:34" x14ac:dyDescent="0.35">
      <c r="AH1127" t="s">
        <v>3071</v>
      </c>
    </row>
    <row r="1128" spans="34:34" x14ac:dyDescent="0.35">
      <c r="AH1128" t="s">
        <v>3072</v>
      </c>
    </row>
    <row r="1129" spans="34:34" x14ac:dyDescent="0.35">
      <c r="AH1129" t="s">
        <v>3073</v>
      </c>
    </row>
    <row r="1130" spans="34:34" x14ac:dyDescent="0.35">
      <c r="AH1130" t="s">
        <v>567</v>
      </c>
    </row>
    <row r="1131" spans="34:34" x14ac:dyDescent="0.35">
      <c r="AH1131" t="s">
        <v>566</v>
      </c>
    </row>
    <row r="1132" spans="34:34" x14ac:dyDescent="0.35">
      <c r="AH1132" t="s">
        <v>565</v>
      </c>
    </row>
    <row r="1133" spans="34:34" x14ac:dyDescent="0.35">
      <c r="AH1133" t="s">
        <v>564</v>
      </c>
    </row>
    <row r="1134" spans="34:34" x14ac:dyDescent="0.35">
      <c r="AH1134" t="s">
        <v>3916</v>
      </c>
    </row>
    <row r="1135" spans="34:34" x14ac:dyDescent="0.35">
      <c r="AH1135" t="s">
        <v>3917</v>
      </c>
    </row>
    <row r="1136" spans="34:34" x14ac:dyDescent="0.35">
      <c r="AH1136" t="s">
        <v>563</v>
      </c>
    </row>
    <row r="1137" spans="34:34" x14ac:dyDescent="0.35">
      <c r="AH1137" t="s">
        <v>562</v>
      </c>
    </row>
    <row r="1138" spans="34:34" x14ac:dyDescent="0.35">
      <c r="AH1138" t="s">
        <v>561</v>
      </c>
    </row>
    <row r="1139" spans="34:34" x14ac:dyDescent="0.35">
      <c r="AH1139" t="s">
        <v>3074</v>
      </c>
    </row>
    <row r="1140" spans="34:34" x14ac:dyDescent="0.35">
      <c r="AH1140" t="s">
        <v>3075</v>
      </c>
    </row>
    <row r="1141" spans="34:34" x14ac:dyDescent="0.35">
      <c r="AH1141" t="s">
        <v>560</v>
      </c>
    </row>
    <row r="1142" spans="34:34" x14ac:dyDescent="0.35">
      <c r="AH1142" t="s">
        <v>559</v>
      </c>
    </row>
    <row r="1143" spans="34:34" x14ac:dyDescent="0.35">
      <c r="AH1143" t="s">
        <v>558</v>
      </c>
    </row>
    <row r="1144" spans="34:34" x14ac:dyDescent="0.35">
      <c r="AH1144" t="s">
        <v>557</v>
      </c>
    </row>
    <row r="1145" spans="34:34" x14ac:dyDescent="0.35">
      <c r="AH1145" t="s">
        <v>556</v>
      </c>
    </row>
    <row r="1146" spans="34:34" x14ac:dyDescent="0.35">
      <c r="AH1146" t="s">
        <v>555</v>
      </c>
    </row>
    <row r="1147" spans="34:34" x14ac:dyDescent="0.35">
      <c r="AH1147" t="s">
        <v>554</v>
      </c>
    </row>
    <row r="1148" spans="34:34" x14ac:dyDescent="0.35">
      <c r="AH1148" t="s">
        <v>553</v>
      </c>
    </row>
    <row r="1149" spans="34:34" x14ac:dyDescent="0.35">
      <c r="AH1149" t="s">
        <v>552</v>
      </c>
    </row>
    <row r="1150" spans="34:34" x14ac:dyDescent="0.35">
      <c r="AH1150" t="s">
        <v>551</v>
      </c>
    </row>
    <row r="1151" spans="34:34" x14ac:dyDescent="0.35">
      <c r="AH1151" t="s">
        <v>550</v>
      </c>
    </row>
    <row r="1152" spans="34:34" x14ac:dyDescent="0.35">
      <c r="AH1152" t="s">
        <v>3918</v>
      </c>
    </row>
    <row r="1153" spans="34:34" x14ac:dyDescent="0.35">
      <c r="AH1153" t="s">
        <v>549</v>
      </c>
    </row>
    <row r="1154" spans="34:34" x14ac:dyDescent="0.35">
      <c r="AH1154" t="s">
        <v>548</v>
      </c>
    </row>
    <row r="1155" spans="34:34" x14ac:dyDescent="0.35">
      <c r="AH1155" t="s">
        <v>547</v>
      </c>
    </row>
    <row r="1156" spans="34:34" x14ac:dyDescent="0.35">
      <c r="AH1156" t="s">
        <v>3076</v>
      </c>
    </row>
    <row r="1157" spans="34:34" x14ac:dyDescent="0.35">
      <c r="AH1157" t="s">
        <v>3077</v>
      </c>
    </row>
    <row r="1158" spans="34:34" x14ac:dyDescent="0.35">
      <c r="AH1158" t="s">
        <v>3078</v>
      </c>
    </row>
    <row r="1159" spans="34:34" x14ac:dyDescent="0.35">
      <c r="AH1159" t="s">
        <v>3079</v>
      </c>
    </row>
    <row r="1160" spans="34:34" x14ac:dyDescent="0.35">
      <c r="AH1160" t="s">
        <v>546</v>
      </c>
    </row>
    <row r="1161" spans="34:34" x14ac:dyDescent="0.35">
      <c r="AH1161" t="s">
        <v>3080</v>
      </c>
    </row>
    <row r="1162" spans="34:34" x14ac:dyDescent="0.35">
      <c r="AH1162" t="s">
        <v>545</v>
      </c>
    </row>
    <row r="1163" spans="34:34" x14ac:dyDescent="0.35">
      <c r="AH1163" t="s">
        <v>544</v>
      </c>
    </row>
    <row r="1164" spans="34:34" x14ac:dyDescent="0.35">
      <c r="AH1164" t="s">
        <v>3081</v>
      </c>
    </row>
    <row r="1165" spans="34:34" x14ac:dyDescent="0.35">
      <c r="AH1165" t="s">
        <v>543</v>
      </c>
    </row>
    <row r="1166" spans="34:34" x14ac:dyDescent="0.35">
      <c r="AH1166" t="s">
        <v>3919</v>
      </c>
    </row>
    <row r="1167" spans="34:34" x14ac:dyDescent="0.35">
      <c r="AH1167" t="s">
        <v>3082</v>
      </c>
    </row>
    <row r="1168" spans="34:34" x14ac:dyDescent="0.35">
      <c r="AH1168" t="s">
        <v>3083</v>
      </c>
    </row>
    <row r="1169" spans="34:34" x14ac:dyDescent="0.35">
      <c r="AH1169" t="s">
        <v>3920</v>
      </c>
    </row>
    <row r="1170" spans="34:34" x14ac:dyDescent="0.35">
      <c r="AH1170" t="s">
        <v>542</v>
      </c>
    </row>
    <row r="1171" spans="34:34" x14ac:dyDescent="0.35">
      <c r="AH1171" t="s">
        <v>3084</v>
      </c>
    </row>
    <row r="1172" spans="34:34" x14ac:dyDescent="0.35">
      <c r="AH1172" t="s">
        <v>541</v>
      </c>
    </row>
    <row r="1173" spans="34:34" x14ac:dyDescent="0.35">
      <c r="AH1173" t="s">
        <v>3085</v>
      </c>
    </row>
    <row r="1174" spans="34:34" x14ac:dyDescent="0.35">
      <c r="AH1174" t="s">
        <v>540</v>
      </c>
    </row>
    <row r="1175" spans="34:34" x14ac:dyDescent="0.35">
      <c r="AH1175" t="s">
        <v>539</v>
      </c>
    </row>
    <row r="1176" spans="34:34" x14ac:dyDescent="0.35">
      <c r="AH1176" t="s">
        <v>3086</v>
      </c>
    </row>
    <row r="1177" spans="34:34" x14ac:dyDescent="0.35">
      <c r="AH1177" t="s">
        <v>538</v>
      </c>
    </row>
    <row r="1178" spans="34:34" x14ac:dyDescent="0.35">
      <c r="AH1178" t="s">
        <v>3087</v>
      </c>
    </row>
    <row r="1179" spans="34:34" x14ac:dyDescent="0.35">
      <c r="AH1179" t="s">
        <v>3088</v>
      </c>
    </row>
    <row r="1180" spans="34:34" x14ac:dyDescent="0.35">
      <c r="AH1180" t="s">
        <v>537</v>
      </c>
    </row>
    <row r="1181" spans="34:34" x14ac:dyDescent="0.35">
      <c r="AH1181" t="s">
        <v>536</v>
      </c>
    </row>
    <row r="1182" spans="34:34" x14ac:dyDescent="0.35">
      <c r="AH1182" t="s">
        <v>3089</v>
      </c>
    </row>
    <row r="1183" spans="34:34" x14ac:dyDescent="0.35">
      <c r="AH1183" t="s">
        <v>3090</v>
      </c>
    </row>
    <row r="1184" spans="34:34" x14ac:dyDescent="0.35">
      <c r="AH1184" t="s">
        <v>535</v>
      </c>
    </row>
    <row r="1185" spans="34:34" x14ac:dyDescent="0.35">
      <c r="AH1185" t="s">
        <v>534</v>
      </c>
    </row>
    <row r="1186" spans="34:34" x14ac:dyDescent="0.35">
      <c r="AH1186" t="s">
        <v>3921</v>
      </c>
    </row>
    <row r="1187" spans="34:34" x14ac:dyDescent="0.35">
      <c r="AH1187" t="s">
        <v>3091</v>
      </c>
    </row>
    <row r="1188" spans="34:34" x14ac:dyDescent="0.35">
      <c r="AH1188" t="s">
        <v>3092</v>
      </c>
    </row>
    <row r="1189" spans="34:34" x14ac:dyDescent="0.35">
      <c r="AH1189" t="s">
        <v>3093</v>
      </c>
    </row>
    <row r="1190" spans="34:34" x14ac:dyDescent="0.35">
      <c r="AH1190" t="s">
        <v>533</v>
      </c>
    </row>
    <row r="1191" spans="34:34" x14ac:dyDescent="0.35">
      <c r="AH1191" t="s">
        <v>532</v>
      </c>
    </row>
    <row r="1192" spans="34:34" x14ac:dyDescent="0.35">
      <c r="AH1192" t="s">
        <v>531</v>
      </c>
    </row>
    <row r="1193" spans="34:34" x14ac:dyDescent="0.35">
      <c r="AH1193" t="s">
        <v>530</v>
      </c>
    </row>
    <row r="1194" spans="34:34" x14ac:dyDescent="0.35">
      <c r="AH1194" t="s">
        <v>529</v>
      </c>
    </row>
    <row r="1195" spans="34:34" x14ac:dyDescent="0.35">
      <c r="AH1195" t="s">
        <v>3094</v>
      </c>
    </row>
    <row r="1196" spans="34:34" x14ac:dyDescent="0.35">
      <c r="AH1196" t="s">
        <v>528</v>
      </c>
    </row>
    <row r="1197" spans="34:34" x14ac:dyDescent="0.35">
      <c r="AH1197" t="s">
        <v>527</v>
      </c>
    </row>
    <row r="1198" spans="34:34" x14ac:dyDescent="0.35">
      <c r="AH1198" t="s">
        <v>3095</v>
      </c>
    </row>
    <row r="1199" spans="34:34" x14ac:dyDescent="0.35">
      <c r="AH1199" t="s">
        <v>526</v>
      </c>
    </row>
    <row r="1200" spans="34:34" x14ac:dyDescent="0.35">
      <c r="AH1200" t="s">
        <v>3096</v>
      </c>
    </row>
    <row r="1201" spans="34:34" x14ac:dyDescent="0.35">
      <c r="AH1201" t="s">
        <v>3097</v>
      </c>
    </row>
    <row r="1202" spans="34:34" x14ac:dyDescent="0.35">
      <c r="AH1202" t="s">
        <v>3098</v>
      </c>
    </row>
    <row r="1203" spans="34:34" x14ac:dyDescent="0.35">
      <c r="AH1203" t="s">
        <v>3099</v>
      </c>
    </row>
    <row r="1204" spans="34:34" x14ac:dyDescent="0.35">
      <c r="AH1204" t="s">
        <v>3100</v>
      </c>
    </row>
    <row r="1205" spans="34:34" x14ac:dyDescent="0.35">
      <c r="AH1205" t="s">
        <v>3101</v>
      </c>
    </row>
    <row r="1206" spans="34:34" x14ac:dyDescent="0.35">
      <c r="AH1206" t="s">
        <v>525</v>
      </c>
    </row>
    <row r="1207" spans="34:34" x14ac:dyDescent="0.35">
      <c r="AH1207" t="s">
        <v>524</v>
      </c>
    </row>
    <row r="1208" spans="34:34" x14ac:dyDescent="0.35">
      <c r="AH1208" t="s">
        <v>523</v>
      </c>
    </row>
    <row r="1209" spans="34:34" x14ac:dyDescent="0.35">
      <c r="AH1209" t="s">
        <v>522</v>
      </c>
    </row>
    <row r="1210" spans="34:34" x14ac:dyDescent="0.35">
      <c r="AH1210" t="s">
        <v>521</v>
      </c>
    </row>
    <row r="1211" spans="34:34" x14ac:dyDescent="0.35">
      <c r="AH1211" t="s">
        <v>520</v>
      </c>
    </row>
    <row r="1212" spans="34:34" x14ac:dyDescent="0.35">
      <c r="AH1212" t="s">
        <v>519</v>
      </c>
    </row>
    <row r="1213" spans="34:34" x14ac:dyDescent="0.35">
      <c r="AH1213" t="s">
        <v>518</v>
      </c>
    </row>
    <row r="1214" spans="34:34" x14ac:dyDescent="0.35">
      <c r="AH1214" t="s">
        <v>517</v>
      </c>
    </row>
    <row r="1215" spans="34:34" x14ac:dyDescent="0.35">
      <c r="AH1215" t="s">
        <v>3922</v>
      </c>
    </row>
    <row r="1216" spans="34:34" x14ac:dyDescent="0.35">
      <c r="AH1216" t="s">
        <v>516</v>
      </c>
    </row>
    <row r="1217" spans="34:34" x14ac:dyDescent="0.35">
      <c r="AH1217" t="s">
        <v>515</v>
      </c>
    </row>
    <row r="1218" spans="34:34" x14ac:dyDescent="0.35">
      <c r="AH1218" t="s">
        <v>514</v>
      </c>
    </row>
    <row r="1219" spans="34:34" x14ac:dyDescent="0.35">
      <c r="AH1219" t="s">
        <v>3102</v>
      </c>
    </row>
    <row r="1220" spans="34:34" x14ac:dyDescent="0.35">
      <c r="AH1220" t="s">
        <v>3103</v>
      </c>
    </row>
    <row r="1221" spans="34:34" x14ac:dyDescent="0.35">
      <c r="AH1221" t="s">
        <v>3104</v>
      </c>
    </row>
    <row r="1222" spans="34:34" x14ac:dyDescent="0.35">
      <c r="AH1222" t="s">
        <v>3923</v>
      </c>
    </row>
    <row r="1223" spans="34:34" x14ac:dyDescent="0.35">
      <c r="AH1223" t="s">
        <v>3105</v>
      </c>
    </row>
    <row r="1224" spans="34:34" x14ac:dyDescent="0.35">
      <c r="AH1224" t="s">
        <v>3106</v>
      </c>
    </row>
    <row r="1225" spans="34:34" x14ac:dyDescent="0.35">
      <c r="AH1225" t="s">
        <v>513</v>
      </c>
    </row>
    <row r="1226" spans="34:34" x14ac:dyDescent="0.35">
      <c r="AH1226" t="s">
        <v>512</v>
      </c>
    </row>
    <row r="1227" spans="34:34" x14ac:dyDescent="0.35">
      <c r="AH1227" t="s">
        <v>3107</v>
      </c>
    </row>
    <row r="1228" spans="34:34" x14ac:dyDescent="0.35">
      <c r="AH1228" t="s">
        <v>511</v>
      </c>
    </row>
    <row r="1229" spans="34:34" x14ac:dyDescent="0.35">
      <c r="AH1229" t="s">
        <v>510</v>
      </c>
    </row>
    <row r="1230" spans="34:34" x14ac:dyDescent="0.35">
      <c r="AH1230" t="s">
        <v>509</v>
      </c>
    </row>
    <row r="1231" spans="34:34" x14ac:dyDescent="0.35">
      <c r="AH1231" t="s">
        <v>508</v>
      </c>
    </row>
    <row r="1232" spans="34:34" x14ac:dyDescent="0.35">
      <c r="AH1232" t="s">
        <v>507</v>
      </c>
    </row>
    <row r="1233" spans="34:34" x14ac:dyDescent="0.35">
      <c r="AH1233" t="s">
        <v>506</v>
      </c>
    </row>
    <row r="1234" spans="34:34" x14ac:dyDescent="0.35">
      <c r="AH1234" t="s">
        <v>505</v>
      </c>
    </row>
    <row r="1235" spans="34:34" x14ac:dyDescent="0.35">
      <c r="AH1235" t="s">
        <v>3108</v>
      </c>
    </row>
    <row r="1236" spans="34:34" x14ac:dyDescent="0.35">
      <c r="AH1236" t="s">
        <v>3109</v>
      </c>
    </row>
    <row r="1237" spans="34:34" x14ac:dyDescent="0.35">
      <c r="AH1237" t="s">
        <v>3110</v>
      </c>
    </row>
    <row r="1238" spans="34:34" x14ac:dyDescent="0.35">
      <c r="AH1238" t="s">
        <v>3111</v>
      </c>
    </row>
    <row r="1239" spans="34:34" x14ac:dyDescent="0.35">
      <c r="AH1239" t="s">
        <v>3112</v>
      </c>
    </row>
    <row r="1240" spans="34:34" x14ac:dyDescent="0.35">
      <c r="AH1240" t="s">
        <v>3113</v>
      </c>
    </row>
    <row r="1241" spans="34:34" x14ac:dyDescent="0.35">
      <c r="AH1241" t="s">
        <v>3114</v>
      </c>
    </row>
    <row r="1242" spans="34:34" x14ac:dyDescent="0.35">
      <c r="AH1242" t="s">
        <v>3115</v>
      </c>
    </row>
    <row r="1243" spans="34:34" x14ac:dyDescent="0.35">
      <c r="AH1243" t="s">
        <v>3116</v>
      </c>
    </row>
    <row r="1244" spans="34:34" x14ac:dyDescent="0.35">
      <c r="AH1244" t="s">
        <v>3117</v>
      </c>
    </row>
    <row r="1245" spans="34:34" x14ac:dyDescent="0.35">
      <c r="AH1245" t="s">
        <v>3118</v>
      </c>
    </row>
    <row r="1246" spans="34:34" x14ac:dyDescent="0.35">
      <c r="AH1246" t="s">
        <v>3119</v>
      </c>
    </row>
    <row r="1247" spans="34:34" x14ac:dyDescent="0.35">
      <c r="AH1247" t="s">
        <v>3120</v>
      </c>
    </row>
    <row r="1248" spans="34:34" x14ac:dyDescent="0.35">
      <c r="AH1248" t="s">
        <v>3121</v>
      </c>
    </row>
    <row r="1249" spans="34:34" x14ac:dyDescent="0.35">
      <c r="AH1249" t="s">
        <v>3924</v>
      </c>
    </row>
    <row r="1250" spans="34:34" x14ac:dyDescent="0.35">
      <c r="AH1250" t="s">
        <v>3122</v>
      </c>
    </row>
    <row r="1251" spans="34:34" x14ac:dyDescent="0.35">
      <c r="AH1251" t="s">
        <v>3123</v>
      </c>
    </row>
    <row r="1252" spans="34:34" x14ac:dyDescent="0.35">
      <c r="AH1252" t="s">
        <v>3124</v>
      </c>
    </row>
    <row r="1253" spans="34:34" x14ac:dyDescent="0.35">
      <c r="AH1253" t="s">
        <v>3125</v>
      </c>
    </row>
    <row r="1254" spans="34:34" x14ac:dyDescent="0.35">
      <c r="AH1254" t="s">
        <v>504</v>
      </c>
    </row>
    <row r="1255" spans="34:34" x14ac:dyDescent="0.35">
      <c r="AH1255" t="s">
        <v>503</v>
      </c>
    </row>
    <row r="1256" spans="34:34" x14ac:dyDescent="0.35">
      <c r="AH1256" t="s">
        <v>3126</v>
      </c>
    </row>
    <row r="1257" spans="34:34" x14ac:dyDescent="0.35">
      <c r="AH1257" t="s">
        <v>3925</v>
      </c>
    </row>
    <row r="1258" spans="34:34" x14ac:dyDescent="0.35">
      <c r="AH1258" t="s">
        <v>3127</v>
      </c>
    </row>
    <row r="1259" spans="34:34" x14ac:dyDescent="0.35">
      <c r="AH1259" t="s">
        <v>3128</v>
      </c>
    </row>
    <row r="1260" spans="34:34" x14ac:dyDescent="0.35">
      <c r="AH1260" t="s">
        <v>3129</v>
      </c>
    </row>
    <row r="1261" spans="34:34" x14ac:dyDescent="0.35">
      <c r="AH1261" t="s">
        <v>3130</v>
      </c>
    </row>
    <row r="1262" spans="34:34" x14ac:dyDescent="0.35">
      <c r="AH1262" t="s">
        <v>3131</v>
      </c>
    </row>
    <row r="1263" spans="34:34" x14ac:dyDescent="0.35">
      <c r="AH1263" t="s">
        <v>3926</v>
      </c>
    </row>
    <row r="1264" spans="34:34" x14ac:dyDescent="0.35">
      <c r="AH1264" t="s">
        <v>3132</v>
      </c>
    </row>
    <row r="1265" spans="34:34" x14ac:dyDescent="0.35">
      <c r="AH1265" t="s">
        <v>3133</v>
      </c>
    </row>
    <row r="1266" spans="34:34" x14ac:dyDescent="0.35">
      <c r="AH1266" t="s">
        <v>3134</v>
      </c>
    </row>
    <row r="1267" spans="34:34" x14ac:dyDescent="0.35">
      <c r="AH1267" t="s">
        <v>3927</v>
      </c>
    </row>
    <row r="1268" spans="34:34" x14ac:dyDescent="0.35">
      <c r="AH1268" t="s">
        <v>3135</v>
      </c>
    </row>
    <row r="1269" spans="34:34" x14ac:dyDescent="0.35">
      <c r="AH1269" t="s">
        <v>3928</v>
      </c>
    </row>
    <row r="1270" spans="34:34" x14ac:dyDescent="0.35">
      <c r="AH1270" t="s">
        <v>502</v>
      </c>
    </row>
    <row r="1271" spans="34:34" x14ac:dyDescent="0.35">
      <c r="AH1271" t="s">
        <v>501</v>
      </c>
    </row>
    <row r="1272" spans="34:34" x14ac:dyDescent="0.35">
      <c r="AH1272" t="s">
        <v>500</v>
      </c>
    </row>
    <row r="1273" spans="34:34" x14ac:dyDescent="0.35">
      <c r="AH1273" t="s">
        <v>3136</v>
      </c>
    </row>
    <row r="1274" spans="34:34" x14ac:dyDescent="0.35">
      <c r="AH1274" t="s">
        <v>499</v>
      </c>
    </row>
    <row r="1275" spans="34:34" x14ac:dyDescent="0.35">
      <c r="AH1275" t="s">
        <v>498</v>
      </c>
    </row>
    <row r="1276" spans="34:34" x14ac:dyDescent="0.35">
      <c r="AH1276" t="s">
        <v>497</v>
      </c>
    </row>
    <row r="1277" spans="34:34" x14ac:dyDescent="0.35">
      <c r="AH1277" t="s">
        <v>496</v>
      </c>
    </row>
    <row r="1278" spans="34:34" x14ac:dyDescent="0.35">
      <c r="AH1278" t="s">
        <v>495</v>
      </c>
    </row>
    <row r="1279" spans="34:34" x14ac:dyDescent="0.35">
      <c r="AH1279" t="s">
        <v>3929</v>
      </c>
    </row>
    <row r="1280" spans="34:34" x14ac:dyDescent="0.35">
      <c r="AH1280" t="s">
        <v>494</v>
      </c>
    </row>
    <row r="1281" spans="34:34" x14ac:dyDescent="0.35">
      <c r="AH1281" t="s">
        <v>3930</v>
      </c>
    </row>
    <row r="1282" spans="34:34" x14ac:dyDescent="0.35">
      <c r="AH1282" t="s">
        <v>3137</v>
      </c>
    </row>
    <row r="1283" spans="34:34" x14ac:dyDescent="0.35">
      <c r="AH1283" t="s">
        <v>493</v>
      </c>
    </row>
    <row r="1284" spans="34:34" x14ac:dyDescent="0.35">
      <c r="AH1284" t="s">
        <v>492</v>
      </c>
    </row>
    <row r="1285" spans="34:34" x14ac:dyDescent="0.35">
      <c r="AH1285" t="s">
        <v>491</v>
      </c>
    </row>
    <row r="1286" spans="34:34" x14ac:dyDescent="0.35">
      <c r="AH1286" t="s">
        <v>490</v>
      </c>
    </row>
    <row r="1287" spans="34:34" x14ac:dyDescent="0.35">
      <c r="AH1287" t="s">
        <v>3138</v>
      </c>
    </row>
    <row r="1288" spans="34:34" x14ac:dyDescent="0.35">
      <c r="AH1288" t="s">
        <v>3139</v>
      </c>
    </row>
    <row r="1289" spans="34:34" x14ac:dyDescent="0.35">
      <c r="AH1289" t="s">
        <v>489</v>
      </c>
    </row>
    <row r="1290" spans="34:34" x14ac:dyDescent="0.35">
      <c r="AH1290" t="s">
        <v>3931</v>
      </c>
    </row>
    <row r="1291" spans="34:34" x14ac:dyDescent="0.35">
      <c r="AH1291" t="s">
        <v>3932</v>
      </c>
    </row>
    <row r="1292" spans="34:34" x14ac:dyDescent="0.35">
      <c r="AH1292" t="s">
        <v>3933</v>
      </c>
    </row>
    <row r="1293" spans="34:34" x14ac:dyDescent="0.35">
      <c r="AH1293" t="s">
        <v>3934</v>
      </c>
    </row>
    <row r="1294" spans="34:34" x14ac:dyDescent="0.35">
      <c r="AH1294" t="s">
        <v>3140</v>
      </c>
    </row>
    <row r="1295" spans="34:34" x14ac:dyDescent="0.35">
      <c r="AH1295" t="s">
        <v>3141</v>
      </c>
    </row>
    <row r="1296" spans="34:34" x14ac:dyDescent="0.35">
      <c r="AH1296" t="s">
        <v>488</v>
      </c>
    </row>
    <row r="1297" spans="34:34" x14ac:dyDescent="0.35">
      <c r="AH1297" t="s">
        <v>487</v>
      </c>
    </row>
    <row r="1298" spans="34:34" x14ac:dyDescent="0.35">
      <c r="AH1298" t="s">
        <v>486</v>
      </c>
    </row>
    <row r="1299" spans="34:34" x14ac:dyDescent="0.35">
      <c r="AH1299" t="s">
        <v>485</v>
      </c>
    </row>
    <row r="1300" spans="34:34" x14ac:dyDescent="0.35">
      <c r="AH1300" t="s">
        <v>3935</v>
      </c>
    </row>
    <row r="1301" spans="34:34" x14ac:dyDescent="0.35">
      <c r="AH1301" t="s">
        <v>484</v>
      </c>
    </row>
    <row r="1302" spans="34:34" x14ac:dyDescent="0.35">
      <c r="AH1302" t="s">
        <v>3936</v>
      </c>
    </row>
    <row r="1303" spans="34:34" x14ac:dyDescent="0.35">
      <c r="AH1303" t="s">
        <v>483</v>
      </c>
    </row>
    <row r="1304" spans="34:34" x14ac:dyDescent="0.35">
      <c r="AH1304" t="s">
        <v>3142</v>
      </c>
    </row>
    <row r="1305" spans="34:34" x14ac:dyDescent="0.35">
      <c r="AH1305" t="s">
        <v>482</v>
      </c>
    </row>
    <row r="1306" spans="34:34" x14ac:dyDescent="0.35">
      <c r="AH1306" t="s">
        <v>3143</v>
      </c>
    </row>
    <row r="1307" spans="34:34" x14ac:dyDescent="0.35">
      <c r="AH1307" t="s">
        <v>3144</v>
      </c>
    </row>
    <row r="1308" spans="34:34" x14ac:dyDescent="0.35">
      <c r="AH1308" t="s">
        <v>3145</v>
      </c>
    </row>
    <row r="1309" spans="34:34" x14ac:dyDescent="0.35">
      <c r="AH1309" t="s">
        <v>481</v>
      </c>
    </row>
    <row r="1310" spans="34:34" x14ac:dyDescent="0.35">
      <c r="AH1310" t="s">
        <v>3937</v>
      </c>
    </row>
    <row r="1311" spans="34:34" x14ac:dyDescent="0.35">
      <c r="AH1311" t="s">
        <v>3146</v>
      </c>
    </row>
    <row r="1312" spans="34:34" x14ac:dyDescent="0.35">
      <c r="AH1312" t="s">
        <v>480</v>
      </c>
    </row>
    <row r="1313" spans="34:34" x14ac:dyDescent="0.35">
      <c r="AH1313" t="s">
        <v>3147</v>
      </c>
    </row>
    <row r="1314" spans="34:34" x14ac:dyDescent="0.35">
      <c r="AH1314" t="s">
        <v>479</v>
      </c>
    </row>
    <row r="1315" spans="34:34" x14ac:dyDescent="0.35">
      <c r="AH1315" t="s">
        <v>3148</v>
      </c>
    </row>
    <row r="1316" spans="34:34" x14ac:dyDescent="0.35">
      <c r="AH1316" t="s">
        <v>478</v>
      </c>
    </row>
    <row r="1317" spans="34:34" x14ac:dyDescent="0.35">
      <c r="AH1317" t="s">
        <v>477</v>
      </c>
    </row>
    <row r="1318" spans="34:34" x14ac:dyDescent="0.35">
      <c r="AH1318" t="s">
        <v>476</v>
      </c>
    </row>
    <row r="1319" spans="34:34" x14ac:dyDescent="0.35">
      <c r="AH1319" t="s">
        <v>3938</v>
      </c>
    </row>
    <row r="1320" spans="34:34" x14ac:dyDescent="0.35">
      <c r="AH1320" t="s">
        <v>3939</v>
      </c>
    </row>
    <row r="1321" spans="34:34" x14ac:dyDescent="0.35">
      <c r="AH1321" t="s">
        <v>3940</v>
      </c>
    </row>
    <row r="1322" spans="34:34" x14ac:dyDescent="0.35">
      <c r="AH1322" t="s">
        <v>475</v>
      </c>
    </row>
    <row r="1323" spans="34:34" x14ac:dyDescent="0.35">
      <c r="AH1323" t="s">
        <v>474</v>
      </c>
    </row>
    <row r="1324" spans="34:34" x14ac:dyDescent="0.35">
      <c r="AH1324" t="s">
        <v>3941</v>
      </c>
    </row>
    <row r="1325" spans="34:34" x14ac:dyDescent="0.35">
      <c r="AH1325" t="s">
        <v>3149</v>
      </c>
    </row>
    <row r="1326" spans="34:34" x14ac:dyDescent="0.35">
      <c r="AH1326" t="s">
        <v>473</v>
      </c>
    </row>
    <row r="1327" spans="34:34" x14ac:dyDescent="0.35">
      <c r="AH1327" t="s">
        <v>472</v>
      </c>
    </row>
    <row r="1328" spans="34:34" x14ac:dyDescent="0.35">
      <c r="AH1328" t="s">
        <v>3942</v>
      </c>
    </row>
    <row r="1329" spans="34:34" x14ac:dyDescent="0.35">
      <c r="AH1329" t="s">
        <v>471</v>
      </c>
    </row>
    <row r="1330" spans="34:34" x14ac:dyDescent="0.35">
      <c r="AH1330" t="s">
        <v>470</v>
      </c>
    </row>
    <row r="1331" spans="34:34" x14ac:dyDescent="0.35">
      <c r="AH1331" t="s">
        <v>469</v>
      </c>
    </row>
    <row r="1332" spans="34:34" x14ac:dyDescent="0.35">
      <c r="AH1332" t="s">
        <v>3943</v>
      </c>
    </row>
    <row r="1333" spans="34:34" x14ac:dyDescent="0.35">
      <c r="AH1333" t="s">
        <v>468</v>
      </c>
    </row>
    <row r="1334" spans="34:34" x14ac:dyDescent="0.35">
      <c r="AH1334" t="s">
        <v>467</v>
      </c>
    </row>
    <row r="1335" spans="34:34" x14ac:dyDescent="0.35">
      <c r="AH1335" t="s">
        <v>466</v>
      </c>
    </row>
    <row r="1336" spans="34:34" x14ac:dyDescent="0.35">
      <c r="AH1336" t="s">
        <v>3150</v>
      </c>
    </row>
    <row r="1337" spans="34:34" x14ac:dyDescent="0.35">
      <c r="AH1337" t="s">
        <v>3151</v>
      </c>
    </row>
    <row r="1338" spans="34:34" x14ac:dyDescent="0.35">
      <c r="AH1338" t="s">
        <v>465</v>
      </c>
    </row>
    <row r="1339" spans="34:34" x14ac:dyDescent="0.35">
      <c r="AH1339" t="s">
        <v>464</v>
      </c>
    </row>
    <row r="1340" spans="34:34" x14ac:dyDescent="0.35">
      <c r="AH1340" t="s">
        <v>463</v>
      </c>
    </row>
    <row r="1341" spans="34:34" x14ac:dyDescent="0.35">
      <c r="AH1341" t="s">
        <v>462</v>
      </c>
    </row>
    <row r="1342" spans="34:34" x14ac:dyDescent="0.35">
      <c r="AH1342" t="s">
        <v>3152</v>
      </c>
    </row>
    <row r="1343" spans="34:34" x14ac:dyDescent="0.35">
      <c r="AH1343" t="s">
        <v>461</v>
      </c>
    </row>
    <row r="1344" spans="34:34" x14ac:dyDescent="0.35">
      <c r="AH1344" t="s">
        <v>460</v>
      </c>
    </row>
    <row r="1345" spans="34:34" x14ac:dyDescent="0.35">
      <c r="AH1345" t="s">
        <v>459</v>
      </c>
    </row>
    <row r="1346" spans="34:34" x14ac:dyDescent="0.35">
      <c r="AH1346" t="s">
        <v>458</v>
      </c>
    </row>
    <row r="1347" spans="34:34" x14ac:dyDescent="0.35">
      <c r="AH1347" t="s">
        <v>457</v>
      </c>
    </row>
    <row r="1348" spans="34:34" x14ac:dyDescent="0.35">
      <c r="AH1348" t="s">
        <v>3153</v>
      </c>
    </row>
    <row r="1349" spans="34:34" x14ac:dyDescent="0.35">
      <c r="AH1349" t="s">
        <v>3944</v>
      </c>
    </row>
    <row r="1350" spans="34:34" x14ac:dyDescent="0.35">
      <c r="AH1350" t="s">
        <v>456</v>
      </c>
    </row>
    <row r="1351" spans="34:34" x14ac:dyDescent="0.35">
      <c r="AH1351" t="s">
        <v>455</v>
      </c>
    </row>
    <row r="1352" spans="34:34" x14ac:dyDescent="0.35">
      <c r="AH1352" t="s">
        <v>3154</v>
      </c>
    </row>
    <row r="1353" spans="34:34" x14ac:dyDescent="0.35">
      <c r="AH1353" t="s">
        <v>3945</v>
      </c>
    </row>
    <row r="1354" spans="34:34" x14ac:dyDescent="0.35">
      <c r="AH1354" t="s">
        <v>3155</v>
      </c>
    </row>
    <row r="1355" spans="34:34" x14ac:dyDescent="0.35">
      <c r="AH1355" t="s">
        <v>454</v>
      </c>
    </row>
    <row r="1356" spans="34:34" x14ac:dyDescent="0.35">
      <c r="AH1356" t="s">
        <v>453</v>
      </c>
    </row>
    <row r="1357" spans="34:34" x14ac:dyDescent="0.35">
      <c r="AH1357" t="s">
        <v>3946</v>
      </c>
    </row>
    <row r="1358" spans="34:34" x14ac:dyDescent="0.35">
      <c r="AH1358" t="s">
        <v>3156</v>
      </c>
    </row>
    <row r="1359" spans="34:34" x14ac:dyDescent="0.35">
      <c r="AH1359" t="s">
        <v>3157</v>
      </c>
    </row>
    <row r="1360" spans="34:34" x14ac:dyDescent="0.35">
      <c r="AH1360" t="s">
        <v>452</v>
      </c>
    </row>
    <row r="1361" spans="34:34" x14ac:dyDescent="0.35">
      <c r="AH1361" t="s">
        <v>451</v>
      </c>
    </row>
    <row r="1362" spans="34:34" x14ac:dyDescent="0.35">
      <c r="AH1362" t="s">
        <v>3947</v>
      </c>
    </row>
    <row r="1363" spans="34:34" x14ac:dyDescent="0.35">
      <c r="AH1363" t="s">
        <v>450</v>
      </c>
    </row>
    <row r="1364" spans="34:34" x14ac:dyDescent="0.35">
      <c r="AH1364" t="s">
        <v>3158</v>
      </c>
    </row>
    <row r="1365" spans="34:34" x14ac:dyDescent="0.35">
      <c r="AH1365" t="s">
        <v>449</v>
      </c>
    </row>
    <row r="1366" spans="34:34" x14ac:dyDescent="0.35">
      <c r="AH1366" t="s">
        <v>448</v>
      </c>
    </row>
    <row r="1367" spans="34:34" x14ac:dyDescent="0.35">
      <c r="AH1367" t="s">
        <v>447</v>
      </c>
    </row>
    <row r="1368" spans="34:34" x14ac:dyDescent="0.35">
      <c r="AH1368" t="s">
        <v>3159</v>
      </c>
    </row>
    <row r="1369" spans="34:34" x14ac:dyDescent="0.35">
      <c r="AH1369" t="s">
        <v>3160</v>
      </c>
    </row>
    <row r="1370" spans="34:34" x14ac:dyDescent="0.35">
      <c r="AH1370" t="s">
        <v>446</v>
      </c>
    </row>
    <row r="1371" spans="34:34" x14ac:dyDescent="0.35">
      <c r="AH1371" t="s">
        <v>3161</v>
      </c>
    </row>
    <row r="1372" spans="34:34" x14ac:dyDescent="0.35">
      <c r="AH1372" t="s">
        <v>445</v>
      </c>
    </row>
    <row r="1373" spans="34:34" x14ac:dyDescent="0.35">
      <c r="AH1373" t="s">
        <v>444</v>
      </c>
    </row>
    <row r="1374" spans="34:34" x14ac:dyDescent="0.35">
      <c r="AH1374" t="s">
        <v>3948</v>
      </c>
    </row>
    <row r="1375" spans="34:34" x14ac:dyDescent="0.35">
      <c r="AH1375" t="s">
        <v>3949</v>
      </c>
    </row>
    <row r="1376" spans="34:34" x14ac:dyDescent="0.35">
      <c r="AH1376" t="s">
        <v>443</v>
      </c>
    </row>
    <row r="1377" spans="34:34" x14ac:dyDescent="0.35">
      <c r="AH1377" t="s">
        <v>442</v>
      </c>
    </row>
    <row r="1378" spans="34:34" x14ac:dyDescent="0.35">
      <c r="AH1378" t="s">
        <v>3162</v>
      </c>
    </row>
    <row r="1379" spans="34:34" x14ac:dyDescent="0.35">
      <c r="AH1379" t="s">
        <v>441</v>
      </c>
    </row>
    <row r="1380" spans="34:34" x14ac:dyDescent="0.35">
      <c r="AH1380" t="s">
        <v>440</v>
      </c>
    </row>
    <row r="1381" spans="34:34" x14ac:dyDescent="0.35">
      <c r="AH1381" t="s">
        <v>439</v>
      </c>
    </row>
    <row r="1382" spans="34:34" x14ac:dyDescent="0.35">
      <c r="AH1382" t="s">
        <v>438</v>
      </c>
    </row>
    <row r="1383" spans="34:34" x14ac:dyDescent="0.35">
      <c r="AH1383" t="s">
        <v>437</v>
      </c>
    </row>
    <row r="1384" spans="34:34" x14ac:dyDescent="0.35">
      <c r="AH1384" t="s">
        <v>436</v>
      </c>
    </row>
    <row r="1385" spans="34:34" x14ac:dyDescent="0.35">
      <c r="AH1385" t="s">
        <v>3163</v>
      </c>
    </row>
    <row r="1386" spans="34:34" x14ac:dyDescent="0.35">
      <c r="AH1386" t="s">
        <v>435</v>
      </c>
    </row>
    <row r="1387" spans="34:34" x14ac:dyDescent="0.35">
      <c r="AH1387" t="s">
        <v>434</v>
      </c>
    </row>
    <row r="1388" spans="34:34" x14ac:dyDescent="0.35">
      <c r="AH1388" t="s">
        <v>433</v>
      </c>
    </row>
    <row r="1389" spans="34:34" x14ac:dyDescent="0.35">
      <c r="AH1389" t="s">
        <v>432</v>
      </c>
    </row>
    <row r="1390" spans="34:34" x14ac:dyDescent="0.35">
      <c r="AH1390" t="s">
        <v>431</v>
      </c>
    </row>
    <row r="1391" spans="34:34" x14ac:dyDescent="0.35">
      <c r="AH1391" t="s">
        <v>430</v>
      </c>
    </row>
    <row r="1392" spans="34:34" x14ac:dyDescent="0.35">
      <c r="AH1392" t="s">
        <v>3950</v>
      </c>
    </row>
    <row r="1393" spans="34:34" x14ac:dyDescent="0.35">
      <c r="AH1393" t="s">
        <v>3164</v>
      </c>
    </row>
    <row r="1394" spans="34:34" x14ac:dyDescent="0.35">
      <c r="AH1394" t="s">
        <v>429</v>
      </c>
    </row>
    <row r="1395" spans="34:34" x14ac:dyDescent="0.35">
      <c r="AH1395" t="s">
        <v>428</v>
      </c>
    </row>
    <row r="1396" spans="34:34" x14ac:dyDescent="0.35">
      <c r="AH1396" t="s">
        <v>427</v>
      </c>
    </row>
    <row r="1397" spans="34:34" x14ac:dyDescent="0.35">
      <c r="AH1397" t="s">
        <v>426</v>
      </c>
    </row>
    <row r="1398" spans="34:34" x14ac:dyDescent="0.35">
      <c r="AH1398" t="s">
        <v>425</v>
      </c>
    </row>
    <row r="1399" spans="34:34" x14ac:dyDescent="0.35">
      <c r="AH1399" t="s">
        <v>424</v>
      </c>
    </row>
    <row r="1400" spans="34:34" x14ac:dyDescent="0.35">
      <c r="AH1400" t="s">
        <v>3951</v>
      </c>
    </row>
    <row r="1401" spans="34:34" x14ac:dyDescent="0.35">
      <c r="AH1401" t="s">
        <v>3165</v>
      </c>
    </row>
    <row r="1402" spans="34:34" x14ac:dyDescent="0.35">
      <c r="AH1402" t="s">
        <v>3166</v>
      </c>
    </row>
    <row r="1403" spans="34:34" x14ac:dyDescent="0.35">
      <c r="AH1403" t="s">
        <v>423</v>
      </c>
    </row>
    <row r="1404" spans="34:34" x14ac:dyDescent="0.35">
      <c r="AH1404" t="s">
        <v>422</v>
      </c>
    </row>
    <row r="1405" spans="34:34" x14ac:dyDescent="0.35">
      <c r="AH1405" t="s">
        <v>3167</v>
      </c>
    </row>
    <row r="1406" spans="34:34" x14ac:dyDescent="0.35">
      <c r="AH1406" t="s">
        <v>421</v>
      </c>
    </row>
    <row r="1407" spans="34:34" x14ac:dyDescent="0.35">
      <c r="AH1407" t="s">
        <v>3168</v>
      </c>
    </row>
    <row r="1408" spans="34:34" x14ac:dyDescent="0.35">
      <c r="AH1408" t="s">
        <v>420</v>
      </c>
    </row>
    <row r="1409" spans="34:34" x14ac:dyDescent="0.35">
      <c r="AH1409" t="s">
        <v>419</v>
      </c>
    </row>
    <row r="1410" spans="34:34" x14ac:dyDescent="0.35">
      <c r="AH1410" t="s">
        <v>418</v>
      </c>
    </row>
    <row r="1411" spans="34:34" x14ac:dyDescent="0.35">
      <c r="AH1411" t="s">
        <v>417</v>
      </c>
    </row>
    <row r="1412" spans="34:34" x14ac:dyDescent="0.35">
      <c r="AH1412" t="s">
        <v>416</v>
      </c>
    </row>
    <row r="1413" spans="34:34" x14ac:dyDescent="0.35">
      <c r="AH1413" t="s">
        <v>415</v>
      </c>
    </row>
    <row r="1414" spans="34:34" x14ac:dyDescent="0.35">
      <c r="AH1414" t="s">
        <v>414</v>
      </c>
    </row>
    <row r="1415" spans="34:34" x14ac:dyDescent="0.35">
      <c r="AH1415" t="s">
        <v>413</v>
      </c>
    </row>
    <row r="1416" spans="34:34" x14ac:dyDescent="0.35">
      <c r="AH1416" t="s">
        <v>412</v>
      </c>
    </row>
    <row r="1417" spans="34:34" x14ac:dyDescent="0.35">
      <c r="AH1417" t="s">
        <v>3169</v>
      </c>
    </row>
    <row r="1418" spans="34:34" x14ac:dyDescent="0.35">
      <c r="AH1418" t="s">
        <v>3952</v>
      </c>
    </row>
    <row r="1419" spans="34:34" x14ac:dyDescent="0.35">
      <c r="AH1419" t="s">
        <v>3953</v>
      </c>
    </row>
    <row r="1420" spans="34:34" x14ac:dyDescent="0.35">
      <c r="AH1420" t="s">
        <v>3170</v>
      </c>
    </row>
    <row r="1421" spans="34:34" x14ac:dyDescent="0.35">
      <c r="AH1421" t="s">
        <v>411</v>
      </c>
    </row>
    <row r="1422" spans="34:34" x14ac:dyDescent="0.35">
      <c r="AH1422" t="s">
        <v>3954</v>
      </c>
    </row>
    <row r="1423" spans="34:34" x14ac:dyDescent="0.35">
      <c r="AH1423" t="s">
        <v>410</v>
      </c>
    </row>
    <row r="1424" spans="34:34" x14ac:dyDescent="0.35">
      <c r="AH1424" t="s">
        <v>409</v>
      </c>
    </row>
    <row r="1425" spans="34:34" x14ac:dyDescent="0.35">
      <c r="AH1425" t="s">
        <v>3171</v>
      </c>
    </row>
    <row r="1426" spans="34:34" x14ac:dyDescent="0.35">
      <c r="AH1426" t="s">
        <v>3172</v>
      </c>
    </row>
    <row r="1427" spans="34:34" x14ac:dyDescent="0.35">
      <c r="AH1427" t="s">
        <v>3173</v>
      </c>
    </row>
    <row r="1428" spans="34:34" x14ac:dyDescent="0.35">
      <c r="AH1428" t="s">
        <v>3174</v>
      </c>
    </row>
    <row r="1429" spans="34:34" x14ac:dyDescent="0.35">
      <c r="AH1429" t="s">
        <v>3955</v>
      </c>
    </row>
    <row r="1430" spans="34:34" x14ac:dyDescent="0.35">
      <c r="AH1430" t="s">
        <v>408</v>
      </c>
    </row>
    <row r="1431" spans="34:34" x14ac:dyDescent="0.35">
      <c r="AH1431" t="s">
        <v>407</v>
      </c>
    </row>
    <row r="1432" spans="34:34" x14ac:dyDescent="0.35">
      <c r="AH1432" t="s">
        <v>3175</v>
      </c>
    </row>
    <row r="1433" spans="34:34" x14ac:dyDescent="0.35">
      <c r="AH1433" t="s">
        <v>3956</v>
      </c>
    </row>
    <row r="1434" spans="34:34" x14ac:dyDescent="0.35">
      <c r="AH1434" t="s">
        <v>406</v>
      </c>
    </row>
    <row r="1435" spans="34:34" x14ac:dyDescent="0.35">
      <c r="AH1435" t="s">
        <v>3957</v>
      </c>
    </row>
    <row r="1436" spans="34:34" x14ac:dyDescent="0.35">
      <c r="AH1436" t="s">
        <v>405</v>
      </c>
    </row>
    <row r="1437" spans="34:34" x14ac:dyDescent="0.35">
      <c r="AH1437" t="s">
        <v>3176</v>
      </c>
    </row>
    <row r="1438" spans="34:34" x14ac:dyDescent="0.35">
      <c r="AH1438" t="s">
        <v>3177</v>
      </c>
    </row>
    <row r="1439" spans="34:34" x14ac:dyDescent="0.35">
      <c r="AH1439" t="s">
        <v>404</v>
      </c>
    </row>
    <row r="1440" spans="34:34" x14ac:dyDescent="0.35">
      <c r="AH1440" t="s">
        <v>403</v>
      </c>
    </row>
    <row r="1441" spans="34:34" x14ac:dyDescent="0.35">
      <c r="AH1441" t="s">
        <v>402</v>
      </c>
    </row>
    <row r="1442" spans="34:34" x14ac:dyDescent="0.35">
      <c r="AH1442" t="s">
        <v>3178</v>
      </c>
    </row>
    <row r="1443" spans="34:34" x14ac:dyDescent="0.35">
      <c r="AH1443" t="s">
        <v>3958</v>
      </c>
    </row>
    <row r="1444" spans="34:34" x14ac:dyDescent="0.35">
      <c r="AH1444" t="s">
        <v>401</v>
      </c>
    </row>
    <row r="1445" spans="34:34" x14ac:dyDescent="0.35">
      <c r="AH1445" t="s">
        <v>3179</v>
      </c>
    </row>
    <row r="1446" spans="34:34" x14ac:dyDescent="0.35">
      <c r="AH1446" t="s">
        <v>400</v>
      </c>
    </row>
    <row r="1447" spans="34:34" x14ac:dyDescent="0.35">
      <c r="AH1447" t="s">
        <v>3180</v>
      </c>
    </row>
    <row r="1448" spans="34:34" x14ac:dyDescent="0.35">
      <c r="AH1448" t="s">
        <v>399</v>
      </c>
    </row>
    <row r="1449" spans="34:34" x14ac:dyDescent="0.35">
      <c r="AH1449" t="s">
        <v>398</v>
      </c>
    </row>
    <row r="1450" spans="34:34" x14ac:dyDescent="0.35">
      <c r="AH1450" t="s">
        <v>3181</v>
      </c>
    </row>
    <row r="1451" spans="34:34" x14ac:dyDescent="0.35">
      <c r="AH1451" t="s">
        <v>3182</v>
      </c>
    </row>
    <row r="1452" spans="34:34" x14ac:dyDescent="0.35">
      <c r="AH1452" t="s">
        <v>3183</v>
      </c>
    </row>
    <row r="1453" spans="34:34" x14ac:dyDescent="0.35">
      <c r="AH1453" t="s">
        <v>3184</v>
      </c>
    </row>
    <row r="1454" spans="34:34" x14ac:dyDescent="0.35">
      <c r="AH1454" t="s">
        <v>3185</v>
      </c>
    </row>
    <row r="1455" spans="34:34" x14ac:dyDescent="0.35">
      <c r="AH1455" t="s">
        <v>3186</v>
      </c>
    </row>
    <row r="1456" spans="34:34" x14ac:dyDescent="0.35">
      <c r="AH1456" t="s">
        <v>3187</v>
      </c>
    </row>
    <row r="1457" spans="34:34" x14ac:dyDescent="0.35">
      <c r="AH1457" t="s">
        <v>3188</v>
      </c>
    </row>
    <row r="1458" spans="34:34" x14ac:dyDescent="0.35">
      <c r="AH1458" t="s">
        <v>3189</v>
      </c>
    </row>
    <row r="1459" spans="34:34" x14ac:dyDescent="0.35">
      <c r="AH1459" t="s">
        <v>3190</v>
      </c>
    </row>
    <row r="1460" spans="34:34" x14ac:dyDescent="0.35">
      <c r="AH1460" t="s">
        <v>3191</v>
      </c>
    </row>
    <row r="1461" spans="34:34" x14ac:dyDescent="0.35">
      <c r="AH1461" t="s">
        <v>3192</v>
      </c>
    </row>
    <row r="1462" spans="34:34" x14ac:dyDescent="0.35">
      <c r="AH1462" t="s">
        <v>3193</v>
      </c>
    </row>
    <row r="1463" spans="34:34" x14ac:dyDescent="0.35">
      <c r="AH1463" t="s">
        <v>3194</v>
      </c>
    </row>
    <row r="1464" spans="34:34" x14ac:dyDescent="0.35">
      <c r="AH1464" t="s">
        <v>3195</v>
      </c>
    </row>
    <row r="1465" spans="34:34" x14ac:dyDescent="0.35">
      <c r="AH1465" t="s">
        <v>3196</v>
      </c>
    </row>
    <row r="1466" spans="34:34" x14ac:dyDescent="0.35">
      <c r="AH1466" t="s">
        <v>3197</v>
      </c>
    </row>
    <row r="1467" spans="34:34" x14ac:dyDescent="0.35">
      <c r="AH1467" t="s">
        <v>3198</v>
      </c>
    </row>
    <row r="1468" spans="34:34" x14ac:dyDescent="0.35">
      <c r="AH1468" t="s">
        <v>3199</v>
      </c>
    </row>
    <row r="1469" spans="34:34" x14ac:dyDescent="0.35">
      <c r="AH1469" t="s">
        <v>3200</v>
      </c>
    </row>
    <row r="1470" spans="34:34" x14ac:dyDescent="0.35">
      <c r="AH1470" t="s">
        <v>3201</v>
      </c>
    </row>
    <row r="1471" spans="34:34" x14ac:dyDescent="0.35">
      <c r="AH1471" t="s">
        <v>397</v>
      </c>
    </row>
    <row r="1472" spans="34:34" x14ac:dyDescent="0.35">
      <c r="AH1472" t="s">
        <v>396</v>
      </c>
    </row>
    <row r="1473" spans="34:34" x14ac:dyDescent="0.35">
      <c r="AH1473" t="s">
        <v>3202</v>
      </c>
    </row>
    <row r="1474" spans="34:34" x14ac:dyDescent="0.35">
      <c r="AH1474" t="s">
        <v>3203</v>
      </c>
    </row>
    <row r="1475" spans="34:34" x14ac:dyDescent="0.35">
      <c r="AH1475" t="s">
        <v>395</v>
      </c>
    </row>
    <row r="1476" spans="34:34" x14ac:dyDescent="0.35">
      <c r="AH1476" t="s">
        <v>3204</v>
      </c>
    </row>
    <row r="1477" spans="34:34" x14ac:dyDescent="0.35">
      <c r="AH1477" t="s">
        <v>3205</v>
      </c>
    </row>
    <row r="1478" spans="34:34" x14ac:dyDescent="0.35">
      <c r="AH1478" t="s">
        <v>394</v>
      </c>
    </row>
    <row r="1479" spans="34:34" x14ac:dyDescent="0.35">
      <c r="AH1479" t="s">
        <v>393</v>
      </c>
    </row>
    <row r="1480" spans="34:34" x14ac:dyDescent="0.35">
      <c r="AH1480" t="s">
        <v>3206</v>
      </c>
    </row>
    <row r="1481" spans="34:34" x14ac:dyDescent="0.35">
      <c r="AH1481" t="s">
        <v>392</v>
      </c>
    </row>
    <row r="1482" spans="34:34" x14ac:dyDescent="0.35">
      <c r="AH1482" t="s">
        <v>391</v>
      </c>
    </row>
    <row r="1483" spans="34:34" x14ac:dyDescent="0.35">
      <c r="AH1483" t="s">
        <v>390</v>
      </c>
    </row>
    <row r="1484" spans="34:34" x14ac:dyDescent="0.35">
      <c r="AH1484" t="s">
        <v>389</v>
      </c>
    </row>
    <row r="1485" spans="34:34" x14ac:dyDescent="0.35">
      <c r="AH1485" t="s">
        <v>388</v>
      </c>
    </row>
    <row r="1486" spans="34:34" x14ac:dyDescent="0.35">
      <c r="AH1486" t="s">
        <v>3959</v>
      </c>
    </row>
    <row r="1487" spans="34:34" x14ac:dyDescent="0.35">
      <c r="AH1487" t="s">
        <v>387</v>
      </c>
    </row>
    <row r="1488" spans="34:34" x14ac:dyDescent="0.35">
      <c r="AH1488" t="s">
        <v>3207</v>
      </c>
    </row>
    <row r="1489" spans="34:34" x14ac:dyDescent="0.35">
      <c r="AH1489" t="s">
        <v>386</v>
      </c>
    </row>
    <row r="1490" spans="34:34" x14ac:dyDescent="0.35">
      <c r="AH1490" t="s">
        <v>3208</v>
      </c>
    </row>
    <row r="1491" spans="34:34" x14ac:dyDescent="0.35">
      <c r="AH1491" t="s">
        <v>385</v>
      </c>
    </row>
    <row r="1492" spans="34:34" x14ac:dyDescent="0.35">
      <c r="AH1492" t="s">
        <v>384</v>
      </c>
    </row>
    <row r="1493" spans="34:34" x14ac:dyDescent="0.35">
      <c r="AH1493" t="s">
        <v>383</v>
      </c>
    </row>
    <row r="1494" spans="34:34" x14ac:dyDescent="0.35">
      <c r="AH1494" t="s">
        <v>382</v>
      </c>
    </row>
    <row r="1495" spans="34:34" x14ac:dyDescent="0.35">
      <c r="AH1495" t="s">
        <v>3209</v>
      </c>
    </row>
    <row r="1496" spans="34:34" x14ac:dyDescent="0.35">
      <c r="AH1496" t="s">
        <v>381</v>
      </c>
    </row>
    <row r="1497" spans="34:34" x14ac:dyDescent="0.35">
      <c r="AH1497" t="s">
        <v>3960</v>
      </c>
    </row>
    <row r="1498" spans="34:34" x14ac:dyDescent="0.35">
      <c r="AH1498" t="s">
        <v>3210</v>
      </c>
    </row>
    <row r="1499" spans="34:34" x14ac:dyDescent="0.35">
      <c r="AH1499" t="s">
        <v>3961</v>
      </c>
    </row>
    <row r="1500" spans="34:34" x14ac:dyDescent="0.35">
      <c r="AH1500" t="s">
        <v>3962</v>
      </c>
    </row>
    <row r="1501" spans="34:34" x14ac:dyDescent="0.35">
      <c r="AH1501" t="s">
        <v>3963</v>
      </c>
    </row>
    <row r="1502" spans="34:34" x14ac:dyDescent="0.35">
      <c r="AH1502" t="s">
        <v>380</v>
      </c>
    </row>
    <row r="1503" spans="34:34" x14ac:dyDescent="0.35">
      <c r="AH1503" t="s">
        <v>3211</v>
      </c>
    </row>
    <row r="1504" spans="34:34" x14ac:dyDescent="0.35">
      <c r="AH1504" t="s">
        <v>3212</v>
      </c>
    </row>
    <row r="1505" spans="34:34" x14ac:dyDescent="0.35">
      <c r="AH1505" t="s">
        <v>3964</v>
      </c>
    </row>
    <row r="1506" spans="34:34" x14ac:dyDescent="0.35">
      <c r="AH1506" t="s">
        <v>379</v>
      </c>
    </row>
    <row r="1507" spans="34:34" x14ac:dyDescent="0.35">
      <c r="AH1507" t="s">
        <v>378</v>
      </c>
    </row>
    <row r="1508" spans="34:34" x14ac:dyDescent="0.35">
      <c r="AH1508" t="s">
        <v>377</v>
      </c>
    </row>
    <row r="1509" spans="34:34" x14ac:dyDescent="0.35">
      <c r="AH1509" t="s">
        <v>3965</v>
      </c>
    </row>
    <row r="1510" spans="34:34" x14ac:dyDescent="0.35">
      <c r="AH1510" t="s">
        <v>376</v>
      </c>
    </row>
    <row r="1511" spans="34:34" x14ac:dyDescent="0.35">
      <c r="AH1511" t="s">
        <v>375</v>
      </c>
    </row>
    <row r="1512" spans="34:34" x14ac:dyDescent="0.35">
      <c r="AH1512" t="s">
        <v>374</v>
      </c>
    </row>
    <row r="1513" spans="34:34" x14ac:dyDescent="0.35">
      <c r="AH1513" t="s">
        <v>373</v>
      </c>
    </row>
    <row r="1514" spans="34:34" x14ac:dyDescent="0.35">
      <c r="AH1514" t="s">
        <v>372</v>
      </c>
    </row>
    <row r="1515" spans="34:34" x14ac:dyDescent="0.35">
      <c r="AH1515" t="s">
        <v>3213</v>
      </c>
    </row>
    <row r="1516" spans="34:34" x14ac:dyDescent="0.35">
      <c r="AH1516" t="s">
        <v>371</v>
      </c>
    </row>
    <row r="1517" spans="34:34" x14ac:dyDescent="0.35">
      <c r="AH1517" t="s">
        <v>3214</v>
      </c>
    </row>
    <row r="1518" spans="34:34" x14ac:dyDescent="0.35">
      <c r="AH1518" t="s">
        <v>3215</v>
      </c>
    </row>
    <row r="1519" spans="34:34" x14ac:dyDescent="0.35">
      <c r="AH1519" t="s">
        <v>370</v>
      </c>
    </row>
    <row r="1520" spans="34:34" x14ac:dyDescent="0.35">
      <c r="AH1520" t="s">
        <v>3966</v>
      </c>
    </row>
    <row r="1521" spans="34:34" x14ac:dyDescent="0.35">
      <c r="AH1521" t="s">
        <v>3216</v>
      </c>
    </row>
    <row r="1522" spans="34:34" x14ac:dyDescent="0.35">
      <c r="AH1522" t="s">
        <v>3217</v>
      </c>
    </row>
    <row r="1523" spans="34:34" x14ac:dyDescent="0.35">
      <c r="AH1523" t="s">
        <v>369</v>
      </c>
    </row>
    <row r="1524" spans="34:34" x14ac:dyDescent="0.35">
      <c r="AH1524" t="s">
        <v>3218</v>
      </c>
    </row>
    <row r="1525" spans="34:34" x14ac:dyDescent="0.35">
      <c r="AH1525" t="s">
        <v>3219</v>
      </c>
    </row>
    <row r="1526" spans="34:34" x14ac:dyDescent="0.35">
      <c r="AH1526" t="s">
        <v>3220</v>
      </c>
    </row>
    <row r="1527" spans="34:34" x14ac:dyDescent="0.35">
      <c r="AH1527" t="s">
        <v>3221</v>
      </c>
    </row>
    <row r="1528" spans="34:34" x14ac:dyDescent="0.35">
      <c r="AH1528" t="s">
        <v>3222</v>
      </c>
    </row>
    <row r="1529" spans="34:34" x14ac:dyDescent="0.35">
      <c r="AH1529" t="s">
        <v>368</v>
      </c>
    </row>
    <row r="1530" spans="34:34" x14ac:dyDescent="0.35">
      <c r="AH1530" t="s">
        <v>3223</v>
      </c>
    </row>
    <row r="1531" spans="34:34" x14ac:dyDescent="0.35">
      <c r="AH1531" t="s">
        <v>3224</v>
      </c>
    </row>
    <row r="1532" spans="34:34" x14ac:dyDescent="0.35">
      <c r="AH1532" t="s">
        <v>367</v>
      </c>
    </row>
    <row r="1533" spans="34:34" x14ac:dyDescent="0.35">
      <c r="AH1533" t="s">
        <v>3225</v>
      </c>
    </row>
    <row r="1534" spans="34:34" x14ac:dyDescent="0.35">
      <c r="AH1534" t="s">
        <v>366</v>
      </c>
    </row>
    <row r="1535" spans="34:34" x14ac:dyDescent="0.35">
      <c r="AH1535" t="s">
        <v>365</v>
      </c>
    </row>
    <row r="1536" spans="34:34" x14ac:dyDescent="0.35">
      <c r="AH1536" t="s">
        <v>364</v>
      </c>
    </row>
    <row r="1537" spans="34:34" x14ac:dyDescent="0.35">
      <c r="AH1537" t="s">
        <v>363</v>
      </c>
    </row>
    <row r="1538" spans="34:34" x14ac:dyDescent="0.35">
      <c r="AH1538" t="s">
        <v>362</v>
      </c>
    </row>
    <row r="1539" spans="34:34" x14ac:dyDescent="0.35">
      <c r="AH1539" t="s">
        <v>3226</v>
      </c>
    </row>
    <row r="1540" spans="34:34" x14ac:dyDescent="0.35">
      <c r="AH1540" t="s">
        <v>361</v>
      </c>
    </row>
    <row r="1541" spans="34:34" x14ac:dyDescent="0.35">
      <c r="AH1541" t="s">
        <v>360</v>
      </c>
    </row>
    <row r="1542" spans="34:34" x14ac:dyDescent="0.35">
      <c r="AH1542" t="s">
        <v>359</v>
      </c>
    </row>
    <row r="1543" spans="34:34" x14ac:dyDescent="0.35">
      <c r="AH1543" t="s">
        <v>358</v>
      </c>
    </row>
    <row r="1544" spans="34:34" x14ac:dyDescent="0.35">
      <c r="AH1544" t="s">
        <v>3227</v>
      </c>
    </row>
    <row r="1545" spans="34:34" x14ac:dyDescent="0.35">
      <c r="AH1545" t="s">
        <v>3228</v>
      </c>
    </row>
    <row r="1546" spans="34:34" x14ac:dyDescent="0.35">
      <c r="AH1546" t="s">
        <v>3229</v>
      </c>
    </row>
    <row r="1547" spans="34:34" x14ac:dyDescent="0.35">
      <c r="AH1547" t="s">
        <v>3230</v>
      </c>
    </row>
    <row r="1548" spans="34:34" x14ac:dyDescent="0.35">
      <c r="AH1548" t="s">
        <v>3231</v>
      </c>
    </row>
    <row r="1549" spans="34:34" x14ac:dyDescent="0.35">
      <c r="AH1549" t="s">
        <v>3232</v>
      </c>
    </row>
    <row r="1550" spans="34:34" x14ac:dyDescent="0.35">
      <c r="AH1550" t="s">
        <v>3233</v>
      </c>
    </row>
    <row r="1551" spans="34:34" x14ac:dyDescent="0.35">
      <c r="AH1551" t="s">
        <v>3234</v>
      </c>
    </row>
    <row r="1552" spans="34:34" x14ac:dyDescent="0.35">
      <c r="AH1552" t="s">
        <v>3235</v>
      </c>
    </row>
    <row r="1553" spans="34:34" x14ac:dyDescent="0.35">
      <c r="AH1553" t="s">
        <v>3236</v>
      </c>
    </row>
    <row r="1554" spans="34:34" x14ac:dyDescent="0.35">
      <c r="AH1554" t="s">
        <v>3237</v>
      </c>
    </row>
    <row r="1555" spans="34:34" x14ac:dyDescent="0.35">
      <c r="AH1555" t="s">
        <v>3238</v>
      </c>
    </row>
    <row r="1556" spans="34:34" x14ac:dyDescent="0.35">
      <c r="AH1556" t="s">
        <v>3967</v>
      </c>
    </row>
    <row r="1557" spans="34:34" x14ac:dyDescent="0.35">
      <c r="AH1557" t="s">
        <v>3239</v>
      </c>
    </row>
    <row r="1558" spans="34:34" x14ac:dyDescent="0.35">
      <c r="AH1558" t="s">
        <v>3240</v>
      </c>
    </row>
    <row r="1559" spans="34:34" x14ac:dyDescent="0.35">
      <c r="AH1559" t="s">
        <v>357</v>
      </c>
    </row>
    <row r="1560" spans="34:34" x14ac:dyDescent="0.35">
      <c r="AH1560" t="s">
        <v>3241</v>
      </c>
    </row>
    <row r="1561" spans="34:34" x14ac:dyDescent="0.35">
      <c r="AH1561" t="s">
        <v>3242</v>
      </c>
    </row>
    <row r="1562" spans="34:34" x14ac:dyDescent="0.35">
      <c r="AH1562" t="s">
        <v>3243</v>
      </c>
    </row>
    <row r="1563" spans="34:34" x14ac:dyDescent="0.35">
      <c r="AH1563" t="s">
        <v>3244</v>
      </c>
    </row>
    <row r="1564" spans="34:34" x14ac:dyDescent="0.35">
      <c r="AH1564" t="s">
        <v>3968</v>
      </c>
    </row>
    <row r="1565" spans="34:34" x14ac:dyDescent="0.35">
      <c r="AH1565" t="s">
        <v>3245</v>
      </c>
    </row>
    <row r="1566" spans="34:34" x14ac:dyDescent="0.35">
      <c r="AH1566" t="s">
        <v>3246</v>
      </c>
    </row>
    <row r="1567" spans="34:34" x14ac:dyDescent="0.35">
      <c r="AH1567" t="s">
        <v>356</v>
      </c>
    </row>
    <row r="1568" spans="34:34" x14ac:dyDescent="0.35">
      <c r="AH1568" t="s">
        <v>355</v>
      </c>
    </row>
    <row r="1569" spans="34:34" x14ac:dyDescent="0.35">
      <c r="AH1569" t="s">
        <v>3969</v>
      </c>
    </row>
    <row r="1570" spans="34:34" x14ac:dyDescent="0.35">
      <c r="AH1570" t="s">
        <v>354</v>
      </c>
    </row>
    <row r="1571" spans="34:34" x14ac:dyDescent="0.35">
      <c r="AH1571" t="s">
        <v>353</v>
      </c>
    </row>
    <row r="1572" spans="34:34" x14ac:dyDescent="0.35">
      <c r="AH1572" t="s">
        <v>3970</v>
      </c>
    </row>
    <row r="1573" spans="34:34" x14ac:dyDescent="0.35">
      <c r="AH1573" t="s">
        <v>3971</v>
      </c>
    </row>
    <row r="1574" spans="34:34" x14ac:dyDescent="0.35">
      <c r="AH1574" t="s">
        <v>352</v>
      </c>
    </row>
    <row r="1575" spans="34:34" x14ac:dyDescent="0.35">
      <c r="AH1575" t="s">
        <v>3247</v>
      </c>
    </row>
    <row r="1576" spans="34:34" x14ac:dyDescent="0.35">
      <c r="AH1576" t="s">
        <v>3248</v>
      </c>
    </row>
    <row r="1577" spans="34:34" x14ac:dyDescent="0.35">
      <c r="AH1577" t="s">
        <v>3249</v>
      </c>
    </row>
    <row r="1578" spans="34:34" x14ac:dyDescent="0.35">
      <c r="AH1578" t="s">
        <v>351</v>
      </c>
    </row>
    <row r="1579" spans="34:34" x14ac:dyDescent="0.35">
      <c r="AH1579" t="s">
        <v>350</v>
      </c>
    </row>
    <row r="1580" spans="34:34" x14ac:dyDescent="0.35">
      <c r="AH1580" t="s">
        <v>3250</v>
      </c>
    </row>
    <row r="1581" spans="34:34" x14ac:dyDescent="0.35">
      <c r="AH1581" t="s">
        <v>349</v>
      </c>
    </row>
    <row r="1582" spans="34:34" x14ac:dyDescent="0.35">
      <c r="AH1582" t="s">
        <v>348</v>
      </c>
    </row>
    <row r="1583" spans="34:34" x14ac:dyDescent="0.35">
      <c r="AH1583" t="s">
        <v>347</v>
      </c>
    </row>
    <row r="1584" spans="34:34" x14ac:dyDescent="0.35">
      <c r="AH1584" t="s">
        <v>346</v>
      </c>
    </row>
    <row r="1585" spans="34:34" x14ac:dyDescent="0.35">
      <c r="AH1585" t="s">
        <v>345</v>
      </c>
    </row>
    <row r="1586" spans="34:34" x14ac:dyDescent="0.35">
      <c r="AH1586" t="s">
        <v>344</v>
      </c>
    </row>
    <row r="1587" spans="34:34" x14ac:dyDescent="0.35">
      <c r="AH1587" t="s">
        <v>3251</v>
      </c>
    </row>
    <row r="1588" spans="34:34" x14ac:dyDescent="0.35">
      <c r="AH1588" t="s">
        <v>343</v>
      </c>
    </row>
    <row r="1589" spans="34:34" x14ac:dyDescent="0.35">
      <c r="AH1589" t="s">
        <v>342</v>
      </c>
    </row>
    <row r="1590" spans="34:34" x14ac:dyDescent="0.35">
      <c r="AH1590" t="s">
        <v>341</v>
      </c>
    </row>
    <row r="1591" spans="34:34" x14ac:dyDescent="0.35">
      <c r="AH1591" t="s">
        <v>3252</v>
      </c>
    </row>
    <row r="1592" spans="34:34" x14ac:dyDescent="0.35">
      <c r="AH1592" t="s">
        <v>340</v>
      </c>
    </row>
    <row r="1593" spans="34:34" x14ac:dyDescent="0.35">
      <c r="AH1593" t="s">
        <v>339</v>
      </c>
    </row>
    <row r="1594" spans="34:34" x14ac:dyDescent="0.35">
      <c r="AH1594" t="s">
        <v>338</v>
      </c>
    </row>
    <row r="1595" spans="34:34" x14ac:dyDescent="0.35">
      <c r="AH1595" t="s">
        <v>3972</v>
      </c>
    </row>
    <row r="1596" spans="34:34" x14ac:dyDescent="0.35">
      <c r="AH1596" t="s">
        <v>337</v>
      </c>
    </row>
    <row r="1597" spans="34:34" x14ac:dyDescent="0.35">
      <c r="AH1597" t="s">
        <v>336</v>
      </c>
    </row>
    <row r="1598" spans="34:34" x14ac:dyDescent="0.35">
      <c r="AH1598" t="s">
        <v>335</v>
      </c>
    </row>
    <row r="1599" spans="34:34" x14ac:dyDescent="0.35">
      <c r="AH1599" t="s">
        <v>3973</v>
      </c>
    </row>
    <row r="1600" spans="34:34" x14ac:dyDescent="0.35">
      <c r="AH1600" t="s">
        <v>3253</v>
      </c>
    </row>
    <row r="1601" spans="34:34" x14ac:dyDescent="0.35">
      <c r="AH1601" t="s">
        <v>3254</v>
      </c>
    </row>
    <row r="1602" spans="34:34" x14ac:dyDescent="0.35">
      <c r="AH1602" t="s">
        <v>334</v>
      </c>
    </row>
    <row r="1603" spans="34:34" x14ac:dyDescent="0.35">
      <c r="AH1603" t="s">
        <v>3974</v>
      </c>
    </row>
    <row r="1604" spans="34:34" x14ac:dyDescent="0.35">
      <c r="AH1604" t="s">
        <v>3255</v>
      </c>
    </row>
    <row r="1605" spans="34:34" x14ac:dyDescent="0.35">
      <c r="AH1605" t="s">
        <v>3256</v>
      </c>
    </row>
    <row r="1606" spans="34:34" x14ac:dyDescent="0.35">
      <c r="AH1606" t="s">
        <v>3257</v>
      </c>
    </row>
    <row r="1607" spans="34:34" x14ac:dyDescent="0.35">
      <c r="AH1607" t="s">
        <v>333</v>
      </c>
    </row>
    <row r="1608" spans="34:34" x14ac:dyDescent="0.35">
      <c r="AH1608" t="s">
        <v>332</v>
      </c>
    </row>
    <row r="1609" spans="34:34" x14ac:dyDescent="0.35">
      <c r="AH1609" t="s">
        <v>3975</v>
      </c>
    </row>
    <row r="1610" spans="34:34" x14ac:dyDescent="0.35">
      <c r="AH1610" t="s">
        <v>331</v>
      </c>
    </row>
    <row r="1611" spans="34:34" x14ac:dyDescent="0.35">
      <c r="AH1611" t="s">
        <v>3258</v>
      </c>
    </row>
    <row r="1612" spans="34:34" x14ac:dyDescent="0.35">
      <c r="AH1612" t="s">
        <v>3259</v>
      </c>
    </row>
    <row r="1613" spans="34:34" x14ac:dyDescent="0.35">
      <c r="AH1613" t="s">
        <v>330</v>
      </c>
    </row>
    <row r="1614" spans="34:34" x14ac:dyDescent="0.35">
      <c r="AH1614" t="s">
        <v>329</v>
      </c>
    </row>
    <row r="1615" spans="34:34" x14ac:dyDescent="0.35">
      <c r="AH1615" t="s">
        <v>328</v>
      </c>
    </row>
    <row r="1616" spans="34:34" x14ac:dyDescent="0.35">
      <c r="AH1616" t="s">
        <v>327</v>
      </c>
    </row>
    <row r="1617" spans="34:34" x14ac:dyDescent="0.35">
      <c r="AH1617" t="s">
        <v>3260</v>
      </c>
    </row>
    <row r="1618" spans="34:34" x14ac:dyDescent="0.35">
      <c r="AH1618" t="s">
        <v>3976</v>
      </c>
    </row>
    <row r="1619" spans="34:34" x14ac:dyDescent="0.35">
      <c r="AH1619" t="s">
        <v>326</v>
      </c>
    </row>
    <row r="1620" spans="34:34" x14ac:dyDescent="0.35">
      <c r="AH1620" t="s">
        <v>3261</v>
      </c>
    </row>
    <row r="1621" spans="34:34" x14ac:dyDescent="0.35">
      <c r="AH1621" t="s">
        <v>325</v>
      </c>
    </row>
    <row r="1622" spans="34:34" x14ac:dyDescent="0.35">
      <c r="AH1622" t="s">
        <v>324</v>
      </c>
    </row>
    <row r="1623" spans="34:34" x14ac:dyDescent="0.35">
      <c r="AH1623" t="s">
        <v>323</v>
      </c>
    </row>
    <row r="1624" spans="34:34" x14ac:dyDescent="0.35">
      <c r="AH1624" t="s">
        <v>3977</v>
      </c>
    </row>
    <row r="1625" spans="34:34" x14ac:dyDescent="0.35">
      <c r="AH1625" t="s">
        <v>322</v>
      </c>
    </row>
    <row r="1626" spans="34:34" x14ac:dyDescent="0.35">
      <c r="AH1626" t="s">
        <v>3262</v>
      </c>
    </row>
    <row r="1627" spans="34:34" x14ac:dyDescent="0.35">
      <c r="AH1627" t="s">
        <v>321</v>
      </c>
    </row>
    <row r="1628" spans="34:34" x14ac:dyDescent="0.35">
      <c r="AH1628" t="s">
        <v>320</v>
      </c>
    </row>
    <row r="1629" spans="34:34" x14ac:dyDescent="0.35">
      <c r="AH1629" t="s">
        <v>3978</v>
      </c>
    </row>
    <row r="1630" spans="34:34" x14ac:dyDescent="0.35">
      <c r="AH1630" t="s">
        <v>319</v>
      </c>
    </row>
    <row r="1631" spans="34:34" x14ac:dyDescent="0.35">
      <c r="AH1631" t="s">
        <v>318</v>
      </c>
    </row>
    <row r="1632" spans="34:34" x14ac:dyDescent="0.35">
      <c r="AH1632" t="s">
        <v>3263</v>
      </c>
    </row>
    <row r="1633" spans="34:34" x14ac:dyDescent="0.35">
      <c r="AH1633" t="s">
        <v>317</v>
      </c>
    </row>
    <row r="1634" spans="34:34" x14ac:dyDescent="0.35">
      <c r="AH1634" t="s">
        <v>316</v>
      </c>
    </row>
    <row r="1635" spans="34:34" x14ac:dyDescent="0.35">
      <c r="AH1635" t="s">
        <v>3264</v>
      </c>
    </row>
    <row r="1636" spans="34:34" x14ac:dyDescent="0.35">
      <c r="AH1636" t="s">
        <v>315</v>
      </c>
    </row>
    <row r="1637" spans="34:34" x14ac:dyDescent="0.35">
      <c r="AH1637" t="s">
        <v>3265</v>
      </c>
    </row>
    <row r="1638" spans="34:34" x14ac:dyDescent="0.35">
      <c r="AH1638" t="s">
        <v>314</v>
      </c>
    </row>
    <row r="1639" spans="34:34" x14ac:dyDescent="0.35">
      <c r="AH1639" t="s">
        <v>313</v>
      </c>
    </row>
    <row r="1640" spans="34:34" x14ac:dyDescent="0.35">
      <c r="AH1640" t="s">
        <v>3266</v>
      </c>
    </row>
    <row r="1641" spans="34:34" x14ac:dyDescent="0.35">
      <c r="AH1641" t="s">
        <v>312</v>
      </c>
    </row>
    <row r="1642" spans="34:34" x14ac:dyDescent="0.35">
      <c r="AH1642" t="s">
        <v>311</v>
      </c>
    </row>
    <row r="1643" spans="34:34" x14ac:dyDescent="0.35">
      <c r="AH1643" t="s">
        <v>310</v>
      </c>
    </row>
    <row r="1644" spans="34:34" x14ac:dyDescent="0.35">
      <c r="AH1644" t="s">
        <v>309</v>
      </c>
    </row>
    <row r="1645" spans="34:34" x14ac:dyDescent="0.35">
      <c r="AH1645" t="s">
        <v>308</v>
      </c>
    </row>
    <row r="1646" spans="34:34" x14ac:dyDescent="0.35">
      <c r="AH1646" t="s">
        <v>3267</v>
      </c>
    </row>
    <row r="1647" spans="34:34" x14ac:dyDescent="0.35">
      <c r="AH1647" t="s">
        <v>3979</v>
      </c>
    </row>
    <row r="1648" spans="34:34" x14ac:dyDescent="0.35">
      <c r="AH1648" t="s">
        <v>3268</v>
      </c>
    </row>
    <row r="1649" spans="34:34" x14ac:dyDescent="0.35">
      <c r="AH1649" t="s">
        <v>307</v>
      </c>
    </row>
    <row r="1650" spans="34:34" x14ac:dyDescent="0.35">
      <c r="AH1650" t="s">
        <v>3269</v>
      </c>
    </row>
    <row r="1651" spans="34:34" x14ac:dyDescent="0.35">
      <c r="AH1651" t="s">
        <v>3980</v>
      </c>
    </row>
    <row r="1652" spans="34:34" x14ac:dyDescent="0.35">
      <c r="AH1652" t="s">
        <v>306</v>
      </c>
    </row>
    <row r="1653" spans="34:34" x14ac:dyDescent="0.35">
      <c r="AH1653" t="s">
        <v>305</v>
      </c>
    </row>
    <row r="1654" spans="34:34" x14ac:dyDescent="0.35">
      <c r="AH1654" t="s">
        <v>304</v>
      </c>
    </row>
    <row r="1655" spans="34:34" x14ac:dyDescent="0.35">
      <c r="AH1655" t="s">
        <v>303</v>
      </c>
    </row>
    <row r="1656" spans="34:34" x14ac:dyDescent="0.35">
      <c r="AH1656" t="s">
        <v>302</v>
      </c>
    </row>
    <row r="1657" spans="34:34" x14ac:dyDescent="0.35">
      <c r="AH1657" t="s">
        <v>301</v>
      </c>
    </row>
    <row r="1658" spans="34:34" x14ac:dyDescent="0.35">
      <c r="AH1658" t="s">
        <v>300</v>
      </c>
    </row>
    <row r="1659" spans="34:34" x14ac:dyDescent="0.35">
      <c r="AH1659" t="s">
        <v>299</v>
      </c>
    </row>
    <row r="1660" spans="34:34" x14ac:dyDescent="0.35">
      <c r="AH1660" t="s">
        <v>298</v>
      </c>
    </row>
    <row r="1661" spans="34:34" x14ac:dyDescent="0.35">
      <c r="AH1661" t="s">
        <v>297</v>
      </c>
    </row>
    <row r="1662" spans="34:34" x14ac:dyDescent="0.35">
      <c r="AH1662" t="s">
        <v>296</v>
      </c>
    </row>
    <row r="1663" spans="34:34" x14ac:dyDescent="0.35">
      <c r="AH1663" t="s">
        <v>295</v>
      </c>
    </row>
    <row r="1664" spans="34:34" x14ac:dyDescent="0.35">
      <c r="AH1664" t="s">
        <v>294</v>
      </c>
    </row>
    <row r="1665" spans="34:34" x14ac:dyDescent="0.35">
      <c r="AH1665" t="s">
        <v>3270</v>
      </c>
    </row>
    <row r="1666" spans="34:34" x14ac:dyDescent="0.35">
      <c r="AH1666" t="s">
        <v>3271</v>
      </c>
    </row>
    <row r="1667" spans="34:34" x14ac:dyDescent="0.35">
      <c r="AH1667" t="s">
        <v>3272</v>
      </c>
    </row>
    <row r="1668" spans="34:34" x14ac:dyDescent="0.35">
      <c r="AH1668" t="s">
        <v>3273</v>
      </c>
    </row>
    <row r="1669" spans="34:34" x14ac:dyDescent="0.35">
      <c r="AH1669" t="s">
        <v>3274</v>
      </c>
    </row>
    <row r="1670" spans="34:34" x14ac:dyDescent="0.35">
      <c r="AH1670" t="s">
        <v>3275</v>
      </c>
    </row>
    <row r="1671" spans="34:34" x14ac:dyDescent="0.35">
      <c r="AH1671" t="s">
        <v>3276</v>
      </c>
    </row>
    <row r="1672" spans="34:34" x14ac:dyDescent="0.35">
      <c r="AH1672" t="s">
        <v>293</v>
      </c>
    </row>
    <row r="1673" spans="34:34" x14ac:dyDescent="0.35">
      <c r="AH1673" t="s">
        <v>292</v>
      </c>
    </row>
    <row r="1674" spans="34:34" x14ac:dyDescent="0.35">
      <c r="AH1674" t="s">
        <v>3277</v>
      </c>
    </row>
    <row r="1675" spans="34:34" x14ac:dyDescent="0.35">
      <c r="AH1675" t="s">
        <v>291</v>
      </c>
    </row>
    <row r="1676" spans="34:34" x14ac:dyDescent="0.35">
      <c r="AH1676" t="s">
        <v>3278</v>
      </c>
    </row>
    <row r="1677" spans="34:34" x14ac:dyDescent="0.35">
      <c r="AH1677" t="s">
        <v>3279</v>
      </c>
    </row>
    <row r="1678" spans="34:34" x14ac:dyDescent="0.35">
      <c r="AH1678" t="s">
        <v>290</v>
      </c>
    </row>
    <row r="1679" spans="34:34" x14ac:dyDescent="0.35">
      <c r="AH1679" t="s">
        <v>289</v>
      </c>
    </row>
    <row r="1680" spans="34:34" x14ac:dyDescent="0.35">
      <c r="AH1680" t="s">
        <v>288</v>
      </c>
    </row>
    <row r="1681" spans="34:34" x14ac:dyDescent="0.35">
      <c r="AH1681" t="s">
        <v>287</v>
      </c>
    </row>
    <row r="1682" spans="34:34" x14ac:dyDescent="0.35">
      <c r="AH1682" t="s">
        <v>3280</v>
      </c>
    </row>
    <row r="1683" spans="34:34" x14ac:dyDescent="0.35">
      <c r="AH1683" t="s">
        <v>3281</v>
      </c>
    </row>
    <row r="1684" spans="34:34" x14ac:dyDescent="0.35">
      <c r="AH1684" t="s">
        <v>286</v>
      </c>
    </row>
    <row r="1685" spans="34:34" x14ac:dyDescent="0.35">
      <c r="AH1685" t="s">
        <v>3282</v>
      </c>
    </row>
    <row r="1686" spans="34:34" x14ac:dyDescent="0.35">
      <c r="AH1686" t="s">
        <v>285</v>
      </c>
    </row>
    <row r="1687" spans="34:34" x14ac:dyDescent="0.35">
      <c r="AH1687" t="s">
        <v>3283</v>
      </c>
    </row>
    <row r="1688" spans="34:34" x14ac:dyDescent="0.35">
      <c r="AH1688" t="s">
        <v>284</v>
      </c>
    </row>
    <row r="1689" spans="34:34" x14ac:dyDescent="0.35">
      <c r="AH1689" t="s">
        <v>3284</v>
      </c>
    </row>
    <row r="1690" spans="34:34" x14ac:dyDescent="0.35">
      <c r="AH1690" t="s">
        <v>3285</v>
      </c>
    </row>
    <row r="1691" spans="34:34" x14ac:dyDescent="0.35">
      <c r="AH1691" t="s">
        <v>283</v>
      </c>
    </row>
    <row r="1692" spans="34:34" x14ac:dyDescent="0.35">
      <c r="AH1692" t="s">
        <v>3286</v>
      </c>
    </row>
    <row r="1693" spans="34:34" x14ac:dyDescent="0.35">
      <c r="AH1693" t="s">
        <v>3981</v>
      </c>
    </row>
    <row r="1694" spans="34:34" x14ac:dyDescent="0.35">
      <c r="AH1694" t="s">
        <v>3287</v>
      </c>
    </row>
    <row r="1695" spans="34:34" x14ac:dyDescent="0.35">
      <c r="AH1695" t="s">
        <v>282</v>
      </c>
    </row>
    <row r="1696" spans="34:34" x14ac:dyDescent="0.35">
      <c r="AH1696" t="s">
        <v>281</v>
      </c>
    </row>
    <row r="1697" spans="34:34" x14ac:dyDescent="0.35">
      <c r="AH1697" t="s">
        <v>280</v>
      </c>
    </row>
    <row r="1698" spans="34:34" x14ac:dyDescent="0.35">
      <c r="AH1698" t="s">
        <v>279</v>
      </c>
    </row>
    <row r="1699" spans="34:34" x14ac:dyDescent="0.35">
      <c r="AH1699" t="s">
        <v>3288</v>
      </c>
    </row>
    <row r="1700" spans="34:34" x14ac:dyDescent="0.35">
      <c r="AH1700" t="s">
        <v>278</v>
      </c>
    </row>
    <row r="1701" spans="34:34" x14ac:dyDescent="0.35">
      <c r="AH1701" t="s">
        <v>277</v>
      </c>
    </row>
    <row r="1702" spans="34:34" x14ac:dyDescent="0.35">
      <c r="AH1702" t="s">
        <v>3289</v>
      </c>
    </row>
    <row r="1703" spans="34:34" x14ac:dyDescent="0.35">
      <c r="AH1703" t="s">
        <v>276</v>
      </c>
    </row>
    <row r="1704" spans="34:34" x14ac:dyDescent="0.35">
      <c r="AH1704" t="s">
        <v>3290</v>
      </c>
    </row>
    <row r="1705" spans="34:34" x14ac:dyDescent="0.35">
      <c r="AH1705" t="s">
        <v>275</v>
      </c>
    </row>
    <row r="1706" spans="34:34" x14ac:dyDescent="0.35">
      <c r="AH1706" t="s">
        <v>3291</v>
      </c>
    </row>
    <row r="1707" spans="34:34" x14ac:dyDescent="0.35">
      <c r="AH1707" t="s">
        <v>274</v>
      </c>
    </row>
    <row r="1708" spans="34:34" x14ac:dyDescent="0.35">
      <c r="AH1708" t="s">
        <v>3292</v>
      </c>
    </row>
    <row r="1709" spans="34:34" x14ac:dyDescent="0.35">
      <c r="AH1709" t="s">
        <v>273</v>
      </c>
    </row>
    <row r="1710" spans="34:34" x14ac:dyDescent="0.35">
      <c r="AH1710" t="s">
        <v>3982</v>
      </c>
    </row>
    <row r="1711" spans="34:34" x14ac:dyDescent="0.35">
      <c r="AH1711" t="s">
        <v>272</v>
      </c>
    </row>
    <row r="1712" spans="34:34" x14ac:dyDescent="0.35">
      <c r="AH1712" t="s">
        <v>4337</v>
      </c>
    </row>
    <row r="1713" spans="34:34" x14ac:dyDescent="0.35">
      <c r="AH1713" t="s">
        <v>4338</v>
      </c>
    </row>
    <row r="1714" spans="34:34" x14ac:dyDescent="0.35">
      <c r="AH1714" t="s">
        <v>3293</v>
      </c>
    </row>
    <row r="1715" spans="34:34" x14ac:dyDescent="0.35">
      <c r="AH1715" t="s">
        <v>271</v>
      </c>
    </row>
    <row r="1716" spans="34:34" x14ac:dyDescent="0.35">
      <c r="AH1716" t="s">
        <v>270</v>
      </c>
    </row>
    <row r="1717" spans="34:34" x14ac:dyDescent="0.35">
      <c r="AH1717" t="s">
        <v>3294</v>
      </c>
    </row>
    <row r="1718" spans="34:34" x14ac:dyDescent="0.35">
      <c r="AH1718" t="s">
        <v>3295</v>
      </c>
    </row>
    <row r="1719" spans="34:34" x14ac:dyDescent="0.35">
      <c r="AH1719" t="s">
        <v>269</v>
      </c>
    </row>
    <row r="1720" spans="34:34" x14ac:dyDescent="0.35">
      <c r="AH1720" t="s">
        <v>3296</v>
      </c>
    </row>
    <row r="1721" spans="34:34" x14ac:dyDescent="0.35">
      <c r="AH1721" t="s">
        <v>3297</v>
      </c>
    </row>
    <row r="1722" spans="34:34" x14ac:dyDescent="0.35">
      <c r="AH1722" t="s">
        <v>3298</v>
      </c>
    </row>
    <row r="1723" spans="34:34" x14ac:dyDescent="0.35">
      <c r="AH1723" t="s">
        <v>3299</v>
      </c>
    </row>
    <row r="1724" spans="34:34" x14ac:dyDescent="0.35">
      <c r="AH1724" t="s">
        <v>3300</v>
      </c>
    </row>
    <row r="1725" spans="34:34" x14ac:dyDescent="0.35">
      <c r="AH1725" t="s">
        <v>268</v>
      </c>
    </row>
    <row r="1726" spans="34:34" x14ac:dyDescent="0.35">
      <c r="AH1726" t="s">
        <v>267</v>
      </c>
    </row>
    <row r="1727" spans="34:34" x14ac:dyDescent="0.35">
      <c r="AH1727" t="s">
        <v>266</v>
      </c>
    </row>
    <row r="1728" spans="34:34" x14ac:dyDescent="0.35">
      <c r="AH1728" t="s">
        <v>3301</v>
      </c>
    </row>
    <row r="1729" spans="34:34" x14ac:dyDescent="0.35">
      <c r="AH1729" t="s">
        <v>265</v>
      </c>
    </row>
    <row r="1730" spans="34:34" x14ac:dyDescent="0.35">
      <c r="AH1730" t="s">
        <v>264</v>
      </c>
    </row>
    <row r="1731" spans="34:34" x14ac:dyDescent="0.35">
      <c r="AH1731" t="s">
        <v>263</v>
      </c>
    </row>
    <row r="1732" spans="34:34" x14ac:dyDescent="0.35">
      <c r="AH1732" t="s">
        <v>3983</v>
      </c>
    </row>
    <row r="1733" spans="34:34" x14ac:dyDescent="0.35">
      <c r="AH1733" t="s">
        <v>3302</v>
      </c>
    </row>
    <row r="1734" spans="34:34" x14ac:dyDescent="0.35">
      <c r="AH1734" t="s">
        <v>262</v>
      </c>
    </row>
    <row r="1735" spans="34:34" x14ac:dyDescent="0.35">
      <c r="AH1735" t="s">
        <v>3303</v>
      </c>
    </row>
    <row r="1736" spans="34:34" x14ac:dyDescent="0.35">
      <c r="AH1736" t="s">
        <v>261</v>
      </c>
    </row>
    <row r="1737" spans="34:34" x14ac:dyDescent="0.35">
      <c r="AH1737" t="s">
        <v>260</v>
      </c>
    </row>
    <row r="1738" spans="34:34" x14ac:dyDescent="0.35">
      <c r="AH1738" t="s">
        <v>3304</v>
      </c>
    </row>
    <row r="1739" spans="34:34" x14ac:dyDescent="0.35">
      <c r="AH1739" t="s">
        <v>3305</v>
      </c>
    </row>
    <row r="1740" spans="34:34" x14ac:dyDescent="0.35">
      <c r="AH1740" t="s">
        <v>259</v>
      </c>
    </row>
    <row r="1741" spans="34:34" x14ac:dyDescent="0.35">
      <c r="AH1741" t="s">
        <v>3306</v>
      </c>
    </row>
    <row r="1742" spans="34:34" x14ac:dyDescent="0.35">
      <c r="AH1742" t="s">
        <v>257</v>
      </c>
    </row>
    <row r="1743" spans="34:34" x14ac:dyDescent="0.35">
      <c r="AH1743" t="s">
        <v>258</v>
      </c>
    </row>
    <row r="1744" spans="34:34" x14ac:dyDescent="0.35">
      <c r="AH1744" t="s">
        <v>256</v>
      </c>
    </row>
    <row r="1745" spans="34:34" x14ac:dyDescent="0.35">
      <c r="AH1745" t="s">
        <v>255</v>
      </c>
    </row>
    <row r="1746" spans="34:34" x14ac:dyDescent="0.35">
      <c r="AH1746" t="s">
        <v>254</v>
      </c>
    </row>
    <row r="1747" spans="34:34" x14ac:dyDescent="0.35">
      <c r="AH1747" t="s">
        <v>253</v>
      </c>
    </row>
    <row r="1748" spans="34:34" x14ac:dyDescent="0.35">
      <c r="AH1748" t="s">
        <v>3984</v>
      </c>
    </row>
    <row r="1749" spans="34:34" x14ac:dyDescent="0.35">
      <c r="AH1749" t="s">
        <v>3307</v>
      </c>
    </row>
    <row r="1750" spans="34:34" x14ac:dyDescent="0.35">
      <c r="AH1750" t="s">
        <v>252</v>
      </c>
    </row>
    <row r="1751" spans="34:34" x14ac:dyDescent="0.35">
      <c r="AH1751" t="s">
        <v>3308</v>
      </c>
    </row>
    <row r="1752" spans="34:34" x14ac:dyDescent="0.35">
      <c r="AH1752" t="s">
        <v>251</v>
      </c>
    </row>
    <row r="1753" spans="34:34" x14ac:dyDescent="0.35">
      <c r="AH1753" t="s">
        <v>3985</v>
      </c>
    </row>
    <row r="1754" spans="34:34" x14ac:dyDescent="0.35">
      <c r="AH1754" t="s">
        <v>3309</v>
      </c>
    </row>
    <row r="1755" spans="34:34" x14ac:dyDescent="0.35">
      <c r="AH1755" t="s">
        <v>3310</v>
      </c>
    </row>
    <row r="1756" spans="34:34" x14ac:dyDescent="0.35">
      <c r="AH1756" t="s">
        <v>3311</v>
      </c>
    </row>
    <row r="1757" spans="34:34" x14ac:dyDescent="0.35">
      <c r="AH1757" t="s">
        <v>250</v>
      </c>
    </row>
    <row r="1758" spans="34:34" x14ac:dyDescent="0.35">
      <c r="AH1758" t="s">
        <v>3986</v>
      </c>
    </row>
    <row r="1759" spans="34:34" x14ac:dyDescent="0.35">
      <c r="AH1759" t="s">
        <v>249</v>
      </c>
    </row>
    <row r="1760" spans="34:34" x14ac:dyDescent="0.35">
      <c r="AH1760" t="s">
        <v>248</v>
      </c>
    </row>
    <row r="1761" spans="34:34" x14ac:dyDescent="0.35">
      <c r="AH1761" t="s">
        <v>247</v>
      </c>
    </row>
    <row r="1762" spans="34:34" x14ac:dyDescent="0.35">
      <c r="AH1762" t="s">
        <v>246</v>
      </c>
    </row>
    <row r="1763" spans="34:34" x14ac:dyDescent="0.35">
      <c r="AH1763" t="s">
        <v>3312</v>
      </c>
    </row>
    <row r="1764" spans="34:34" x14ac:dyDescent="0.35">
      <c r="AH1764" t="s">
        <v>3313</v>
      </c>
    </row>
    <row r="1765" spans="34:34" x14ac:dyDescent="0.35">
      <c r="AH1765" t="s">
        <v>3314</v>
      </c>
    </row>
    <row r="1766" spans="34:34" x14ac:dyDescent="0.35">
      <c r="AH1766" t="s">
        <v>245</v>
      </c>
    </row>
    <row r="1767" spans="34:34" x14ac:dyDescent="0.35">
      <c r="AH1767" t="s">
        <v>3315</v>
      </c>
    </row>
    <row r="1768" spans="34:34" x14ac:dyDescent="0.35">
      <c r="AH1768" t="s">
        <v>3316</v>
      </c>
    </row>
    <row r="1769" spans="34:34" x14ac:dyDescent="0.35">
      <c r="AH1769" t="s">
        <v>244</v>
      </c>
    </row>
    <row r="1770" spans="34:34" x14ac:dyDescent="0.35">
      <c r="AH1770" t="s">
        <v>3317</v>
      </c>
    </row>
    <row r="1771" spans="34:34" x14ac:dyDescent="0.35">
      <c r="AH1771" t="s">
        <v>243</v>
      </c>
    </row>
    <row r="1772" spans="34:34" x14ac:dyDescent="0.35">
      <c r="AH1772" t="s">
        <v>242</v>
      </c>
    </row>
    <row r="1773" spans="34:34" x14ac:dyDescent="0.35">
      <c r="AH1773" t="s">
        <v>3318</v>
      </c>
    </row>
    <row r="1774" spans="34:34" x14ac:dyDescent="0.35">
      <c r="AH1774" t="s">
        <v>241</v>
      </c>
    </row>
    <row r="1775" spans="34:34" x14ac:dyDescent="0.35">
      <c r="AH1775" t="s">
        <v>240</v>
      </c>
    </row>
    <row r="1776" spans="34:34" x14ac:dyDescent="0.35">
      <c r="AH1776" t="s">
        <v>3319</v>
      </c>
    </row>
    <row r="1777" spans="34:34" x14ac:dyDescent="0.35">
      <c r="AH1777" t="s">
        <v>239</v>
      </c>
    </row>
    <row r="1778" spans="34:34" x14ac:dyDescent="0.35">
      <c r="AH1778" t="s">
        <v>238</v>
      </c>
    </row>
    <row r="1779" spans="34:34" x14ac:dyDescent="0.35">
      <c r="AH1779" t="s">
        <v>3320</v>
      </c>
    </row>
    <row r="1780" spans="34:34" x14ac:dyDescent="0.35">
      <c r="AH1780" t="s">
        <v>237</v>
      </c>
    </row>
    <row r="1781" spans="34:34" x14ac:dyDescent="0.35">
      <c r="AH1781" t="s">
        <v>236</v>
      </c>
    </row>
    <row r="1782" spans="34:34" x14ac:dyDescent="0.35">
      <c r="AH1782" t="s">
        <v>3321</v>
      </c>
    </row>
    <row r="1783" spans="34:34" x14ac:dyDescent="0.35">
      <c r="AH1783" t="s">
        <v>3322</v>
      </c>
    </row>
    <row r="1784" spans="34:34" x14ac:dyDescent="0.35">
      <c r="AH1784" t="s">
        <v>3323</v>
      </c>
    </row>
    <row r="1785" spans="34:34" x14ac:dyDescent="0.35">
      <c r="AH1785" t="s">
        <v>3324</v>
      </c>
    </row>
    <row r="1786" spans="34:34" x14ac:dyDescent="0.35">
      <c r="AH1786" t="s">
        <v>235</v>
      </c>
    </row>
    <row r="1787" spans="34:34" x14ac:dyDescent="0.35">
      <c r="AH1787" t="s">
        <v>234</v>
      </c>
    </row>
    <row r="1788" spans="34:34" x14ac:dyDescent="0.35">
      <c r="AH1788" t="s">
        <v>233</v>
      </c>
    </row>
    <row r="1789" spans="34:34" x14ac:dyDescent="0.35">
      <c r="AH1789" t="s">
        <v>232</v>
      </c>
    </row>
    <row r="1790" spans="34:34" x14ac:dyDescent="0.35">
      <c r="AH1790" t="s">
        <v>231</v>
      </c>
    </row>
    <row r="1791" spans="34:34" x14ac:dyDescent="0.35">
      <c r="AH1791" t="s">
        <v>3325</v>
      </c>
    </row>
    <row r="1792" spans="34:34" x14ac:dyDescent="0.35">
      <c r="AH1792" t="s">
        <v>3326</v>
      </c>
    </row>
    <row r="1793" spans="34:34" x14ac:dyDescent="0.35">
      <c r="AH1793" t="s">
        <v>3327</v>
      </c>
    </row>
    <row r="1794" spans="34:34" x14ac:dyDescent="0.35">
      <c r="AH1794" t="s">
        <v>3328</v>
      </c>
    </row>
    <row r="1795" spans="34:34" x14ac:dyDescent="0.35">
      <c r="AH1795" t="s">
        <v>230</v>
      </c>
    </row>
    <row r="1796" spans="34:34" x14ac:dyDescent="0.35">
      <c r="AH1796" t="s">
        <v>229</v>
      </c>
    </row>
    <row r="1797" spans="34:34" x14ac:dyDescent="0.35">
      <c r="AH1797" t="s">
        <v>228</v>
      </c>
    </row>
    <row r="1798" spans="34:34" x14ac:dyDescent="0.35">
      <c r="AH1798" t="s">
        <v>227</v>
      </c>
    </row>
    <row r="1799" spans="34:34" x14ac:dyDescent="0.35">
      <c r="AH1799" t="s">
        <v>3329</v>
      </c>
    </row>
    <row r="1800" spans="34:34" x14ac:dyDescent="0.35">
      <c r="AH1800" t="s">
        <v>3330</v>
      </c>
    </row>
    <row r="1801" spans="34:34" x14ac:dyDescent="0.35">
      <c r="AH1801" t="s">
        <v>226</v>
      </c>
    </row>
    <row r="1802" spans="34:34" x14ac:dyDescent="0.35">
      <c r="AH1802" t="s">
        <v>3331</v>
      </c>
    </row>
    <row r="1803" spans="34:34" x14ac:dyDescent="0.35">
      <c r="AH1803" t="s">
        <v>225</v>
      </c>
    </row>
    <row r="1804" spans="34:34" x14ac:dyDescent="0.35">
      <c r="AH1804" t="s">
        <v>3332</v>
      </c>
    </row>
  </sheetData>
  <sheetProtection algorithmName="SHA-512" hashValue="y/EF1TX1rtVtqXC+ojD4bQnhfeAFSyDj9gBMLhyTy2aAJ4vk1+bGf70NG2kB7g9rx6jGOs+CzbWf9mCzX1flRQ==" saltValue="AWCxO8c0SNpo7n9QeL3oDw==" spinCount="100000" sheet="1" objects="1" scenarios="1"/>
  <mergeCells count="1">
    <mergeCell ref="A1:B1"/>
  </mergeCells>
  <pageMargins left="0.7" right="0.7" top="0.75" bottom="0.75" header="0.3" footer="0.3"/>
  <tableParts count="2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Actuals">
    <tabColor rgb="FF92D050"/>
  </sheetPr>
  <dimension ref="A1:AV1"/>
  <sheetViews>
    <sheetView showGridLines="0" zoomScale="85" zoomScaleNormal="85" workbookViewId="0"/>
  </sheetViews>
  <sheetFormatPr defaultRowHeight="14.5" x14ac:dyDescent="0.35"/>
  <cols>
    <col min="1" max="1" width="10.453125" customWidth="1"/>
    <col min="2" max="2" width="11.54296875" bestFit="1" customWidth="1"/>
    <col min="3" max="3" width="15.453125" customWidth="1"/>
    <col min="4" max="4" width="14" customWidth="1"/>
    <col min="5" max="5" width="8.1796875" customWidth="1"/>
    <col min="6" max="6" width="10.1796875" bestFit="1" customWidth="1"/>
    <col min="7" max="7" width="10.7265625" customWidth="1"/>
    <col min="8" max="8" width="15.453125" customWidth="1"/>
    <col min="9" max="9" width="16.453125" bestFit="1" customWidth="1"/>
    <col min="10" max="10" width="15.81640625" bestFit="1" customWidth="1"/>
    <col min="11" max="11" width="16.81640625" bestFit="1" customWidth="1"/>
    <col min="12" max="12" width="16.1796875" bestFit="1" customWidth="1"/>
    <col min="13" max="16" width="10.7265625" bestFit="1" customWidth="1"/>
    <col min="17" max="19" width="10.7265625" customWidth="1"/>
    <col min="20" max="21" width="10.7265625" bestFit="1" customWidth="1"/>
    <col min="22" max="48" width="11.7265625" bestFit="1" customWidth="1"/>
    <col min="49" max="49" width="7.54296875" bestFit="1" customWidth="1"/>
    <col min="50" max="50" width="10.81640625" customWidth="1"/>
    <col min="51" max="51" width="11.26953125" customWidth="1"/>
    <col min="52" max="52" width="11.54296875" customWidth="1"/>
    <col min="53" max="53" width="11.1796875" customWidth="1"/>
    <col min="54" max="54" width="11.81640625" bestFit="1" customWidth="1"/>
    <col min="55" max="56" width="11" customWidth="1"/>
    <col min="57" max="57" width="11.453125" customWidth="1"/>
    <col min="58" max="58" width="11.26953125" customWidth="1"/>
    <col min="59" max="59" width="11" customWidth="1"/>
    <col min="60" max="60" width="11.54296875" bestFit="1" customWidth="1"/>
    <col min="61" max="61" width="11.26953125" bestFit="1" customWidth="1"/>
    <col min="62" max="62" width="10.81640625" bestFit="1" customWidth="1"/>
    <col min="63" max="63" width="11.26953125" bestFit="1" customWidth="1"/>
    <col min="64" max="64" width="11.54296875" bestFit="1" customWidth="1"/>
    <col min="65" max="65" width="11.1796875" bestFit="1" customWidth="1"/>
    <col min="66" max="66" width="11.81640625" bestFit="1" customWidth="1"/>
    <col min="67" max="67" width="11" bestFit="1" customWidth="1"/>
    <col min="68" max="68" width="10.453125" bestFit="1" customWidth="1"/>
    <col min="69" max="69" width="11.453125" bestFit="1" customWidth="1"/>
    <col min="70" max="70" width="11.26953125" bestFit="1" customWidth="1"/>
    <col min="71" max="71" width="11" bestFit="1" customWidth="1"/>
    <col min="72" max="72" width="11.54296875" bestFit="1" customWidth="1"/>
    <col min="73" max="73" width="11.26953125" bestFit="1" customWidth="1"/>
    <col min="74" max="74" width="10.81640625" bestFit="1" customWidth="1"/>
    <col min="75" max="75" width="11.26953125" bestFit="1" customWidth="1"/>
    <col min="76" max="76" width="11.54296875" bestFit="1" customWidth="1"/>
    <col min="77" max="77" width="11.1796875" bestFit="1" customWidth="1"/>
    <col min="78" max="78" width="11.81640625" bestFit="1" customWidth="1"/>
    <col min="79" max="79" width="11" bestFit="1" customWidth="1"/>
    <col min="80" max="80" width="10.453125" bestFit="1" customWidth="1"/>
    <col min="81" max="81" width="11.453125" bestFit="1" customWidth="1"/>
    <col min="82" max="82" width="11.26953125" bestFit="1" customWidth="1"/>
    <col min="83" max="83" width="11" bestFit="1" customWidth="1"/>
    <col min="84" max="84" width="11.54296875" bestFit="1" customWidth="1"/>
    <col min="85" max="85" width="11.26953125" customWidth="1"/>
    <col min="86" max="89" width="11.7265625" bestFit="1" customWidth="1"/>
    <col min="90" max="90" width="11.81640625" bestFit="1" customWidth="1"/>
    <col min="91" max="91" width="11.7265625" bestFit="1" customWidth="1"/>
    <col min="92" max="95" width="12.7265625" bestFit="1" customWidth="1"/>
    <col min="96" max="96" width="11.54296875" bestFit="1" customWidth="1"/>
    <col min="97" max="97" width="11.26953125" bestFit="1" customWidth="1"/>
  </cols>
  <sheetData>
    <row r="1" spans="1:48" x14ac:dyDescent="0.35">
      <c r="A1" t="s">
        <v>219</v>
      </c>
      <c r="B1" t="s">
        <v>218</v>
      </c>
      <c r="C1" t="s">
        <v>1148</v>
      </c>
      <c r="D1" t="s">
        <v>208</v>
      </c>
      <c r="E1" t="s">
        <v>206</v>
      </c>
      <c r="F1" t="s">
        <v>209</v>
      </c>
      <c r="G1" t="s">
        <v>207</v>
      </c>
      <c r="H1" t="s">
        <v>1147</v>
      </c>
      <c r="I1" t="s">
        <v>1322</v>
      </c>
      <c r="J1" t="s">
        <v>1155</v>
      </c>
      <c r="K1" t="s">
        <v>1377</v>
      </c>
      <c r="L1" t="s">
        <v>222</v>
      </c>
      <c r="M1" t="s">
        <v>1171</v>
      </c>
      <c r="N1" t="s">
        <v>1172</v>
      </c>
      <c r="O1" t="s">
        <v>1173</v>
      </c>
      <c r="P1" t="s">
        <v>1174</v>
      </c>
      <c r="Q1" t="s">
        <v>1175</v>
      </c>
      <c r="R1" t="s">
        <v>1176</v>
      </c>
      <c r="S1" t="s">
        <v>1177</v>
      </c>
      <c r="T1" t="s">
        <v>1178</v>
      </c>
      <c r="U1" t="s">
        <v>1179</v>
      </c>
      <c r="V1" t="s">
        <v>1180</v>
      </c>
      <c r="W1" t="s">
        <v>1181</v>
      </c>
      <c r="X1" t="s">
        <v>1182</v>
      </c>
      <c r="Y1" t="s">
        <v>1183</v>
      </c>
      <c r="Z1" t="s">
        <v>1184</v>
      </c>
      <c r="AA1" t="s">
        <v>1185</v>
      </c>
      <c r="AB1" t="s">
        <v>1186</v>
      </c>
      <c r="AC1" t="s">
        <v>1187</v>
      </c>
      <c r="AD1" t="s">
        <v>1188</v>
      </c>
      <c r="AE1" t="s">
        <v>1189</v>
      </c>
      <c r="AF1" t="s">
        <v>1190</v>
      </c>
      <c r="AG1" t="s">
        <v>1191</v>
      </c>
      <c r="AH1" t="s">
        <v>1192</v>
      </c>
      <c r="AI1" t="s">
        <v>1193</v>
      </c>
      <c r="AJ1" t="s">
        <v>1194</v>
      </c>
      <c r="AK1" t="s">
        <v>1196</v>
      </c>
      <c r="AL1" t="s">
        <v>1197</v>
      </c>
      <c r="AM1" t="s">
        <v>1198</v>
      </c>
      <c r="AN1" t="s">
        <v>1199</v>
      </c>
      <c r="AO1" t="s">
        <v>1200</v>
      </c>
      <c r="AP1" t="s">
        <v>1201</v>
      </c>
      <c r="AQ1" t="s">
        <v>1202</v>
      </c>
      <c r="AR1" t="s">
        <v>1203</v>
      </c>
      <c r="AS1" t="s">
        <v>1204</v>
      </c>
      <c r="AT1" t="s">
        <v>1205</v>
      </c>
      <c r="AU1" t="s">
        <v>1206</v>
      </c>
      <c r="AV1" t="s">
        <v>1207</v>
      </c>
    </row>
  </sheetData>
  <sheetProtection algorithmName="SHA-512" hashValue="w0c9LfNd8vFpzFIlo8aSmlH/Pqc2iV07b8z279P3DMeyD+ZdYz7lFVFJys5nWPdfnfxtFnXC4NH3Nr7Jg8TAKA==" saltValue="D1/t7RFKqWuWowsnhbb1fg==" spinCount="100000"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166</vt:i4>
      </vt:variant>
    </vt:vector>
  </HeadingPairs>
  <TitlesOfParts>
    <vt:vector size="167" baseType="lpstr">
      <vt:lpstr>US or INTL</vt:lpstr>
      <vt:lpstr>ActualDBDate</vt:lpstr>
      <vt:lpstr>ActualsDate</vt:lpstr>
      <vt:lpstr>'Detailed BTA'!ActualsScenario</vt:lpstr>
      <vt:lpstr>'Detailed BTA'!ActualsStartDate</vt:lpstr>
      <vt:lpstr>Expenses!ActualsStartMonth</vt:lpstr>
      <vt:lpstr>Expenses!AddedRows</vt:lpstr>
      <vt:lpstr>Headcount!AddedRows</vt:lpstr>
      <vt:lpstr>Revenue!AddedRows</vt:lpstr>
      <vt:lpstr>'Detailed BTA'!CurrencyDriver</vt:lpstr>
      <vt:lpstr>Expenses!DateRange_Actual</vt:lpstr>
      <vt:lpstr>'Collapsed P&amp;L'!DateRange_Dates</vt:lpstr>
      <vt:lpstr>'Detailed P&amp;L'!DateRange_Dates</vt:lpstr>
      <vt:lpstr>Inputs!DateRange_Dates</vt:lpstr>
      <vt:lpstr>'Local P&amp;L'!DateRange_Dates</vt:lpstr>
      <vt:lpstr>Expenses!DateRange_Forecast</vt:lpstr>
      <vt:lpstr>Headcount!DateRange_Forecast</vt:lpstr>
      <vt:lpstr>Revenue!DateRange_Forecast</vt:lpstr>
      <vt:lpstr>DeptBU</vt:lpstr>
      <vt:lpstr>'Detailed BTA'!DriverDate</vt:lpstr>
      <vt:lpstr>'Detailed BTA'!DriverScenario</vt:lpstr>
      <vt:lpstr>DV_Business_Units</vt:lpstr>
      <vt:lpstr>DV_Categories</vt:lpstr>
      <vt:lpstr>DV_Companies</vt:lpstr>
      <vt:lpstr>DV_CurrencyList</vt:lpstr>
      <vt:lpstr>DV_Departments</vt:lpstr>
      <vt:lpstr>DV_Division</vt:lpstr>
      <vt:lpstr>DV_Expense_Items</vt:lpstr>
      <vt:lpstr>DV_Job_Titles</vt:lpstr>
      <vt:lpstr>DV_Locations</vt:lpstr>
      <vt:lpstr>DV_Products</vt:lpstr>
      <vt:lpstr>DV_Revenue_Items</vt:lpstr>
      <vt:lpstr>DV_RevenueScenarios</vt:lpstr>
      <vt:lpstr>DV_RevenueScenariosLocal</vt:lpstr>
      <vt:lpstr>DV_Scenarios</vt:lpstr>
      <vt:lpstr>DV_ScenariosProForma</vt:lpstr>
      <vt:lpstr>DV_Team_Consolidation</vt:lpstr>
      <vt:lpstr>DV_Teams</vt:lpstr>
      <vt:lpstr>FileGroupName</vt:lpstr>
      <vt:lpstr>FileID</vt:lpstr>
      <vt:lpstr>Forecast_Currency</vt:lpstr>
      <vt:lpstr>ForecastMethodLookup</vt:lpstr>
      <vt:lpstr>ForecastMethods</vt:lpstr>
      <vt:lpstr>ForecastStartDateValue</vt:lpstr>
      <vt:lpstr>Expenses!ForecastStartMonth</vt:lpstr>
      <vt:lpstr>Headcount!HC_Base</vt:lpstr>
      <vt:lpstr>Headcount!HC_Bonus</vt:lpstr>
      <vt:lpstr>Headcount!HC_Commissions</vt:lpstr>
      <vt:lpstr>Headcount!HC_EBO</vt:lpstr>
      <vt:lpstr>Headcount!HC_ERC</vt:lpstr>
      <vt:lpstr>Headcount!HC_ETO</vt:lpstr>
      <vt:lpstr>Headcount!HC_HealthInsurance</vt:lpstr>
      <vt:lpstr>Headcount!HC_LifeInsurance</vt:lpstr>
      <vt:lpstr>Headcount!HC_Payroll</vt:lpstr>
      <vt:lpstr>Headcount!HC_Training</vt:lpstr>
      <vt:lpstr>Headcount!HeadcountEndMonth</vt:lpstr>
      <vt:lpstr>Headcount!HeadcountStartMonth</vt:lpstr>
      <vt:lpstr>Inputs!Input_ActualEnd</vt:lpstr>
      <vt:lpstr>Inputs!Input_ActualOverrideDate</vt:lpstr>
      <vt:lpstr>Expenses!Input_ActualsOffset</vt:lpstr>
      <vt:lpstr>Inputs!Input_ActualStart</vt:lpstr>
      <vt:lpstr>Expenses!Input_FirstRow_Adjustment</vt:lpstr>
      <vt:lpstr>Headcount!Input_FirstRow_Base</vt:lpstr>
      <vt:lpstr>Headcount!Input_FirstRow_Bonus</vt:lpstr>
      <vt:lpstr>Headcount!Input_FirstRow_Cap</vt:lpstr>
      <vt:lpstr>Input_FirstRow_Commissions</vt:lpstr>
      <vt:lpstr>Headcount!Input_FirstRow_EBO</vt:lpstr>
      <vt:lpstr>Headcount!Input_FirstRow_ERC</vt:lpstr>
      <vt:lpstr>Headcount!Input_FirstRow_ETO</vt:lpstr>
      <vt:lpstr>Headcount!Input_FirstRow_Health</vt:lpstr>
      <vt:lpstr>Expenses!Input_FirstRow_Input</vt:lpstr>
      <vt:lpstr>Headcount!Input_FirstRow_Input</vt:lpstr>
      <vt:lpstr>Revenue!Input_FirstRow_Input</vt:lpstr>
      <vt:lpstr>Headcount!Input_FirstRow_Life</vt:lpstr>
      <vt:lpstr>Headcount!Input_FirstRow_Payroll</vt:lpstr>
      <vt:lpstr>Headcount!Input_FirstRow_Total</vt:lpstr>
      <vt:lpstr>Headcount!Input_FirstRow_Training</vt:lpstr>
      <vt:lpstr>Inputs!Input_ForecastEnd</vt:lpstr>
      <vt:lpstr>Inputs!Input_ForecastStart</vt:lpstr>
      <vt:lpstr>Expenses!Input_IDColumn</vt:lpstr>
      <vt:lpstr>Headcount!Input_IDColumn</vt:lpstr>
      <vt:lpstr>Revenue!Input_IDColumn</vt:lpstr>
      <vt:lpstr>Expenses!Input_LastRow_Adjustment</vt:lpstr>
      <vt:lpstr>Headcount!Input_LastRow_Base</vt:lpstr>
      <vt:lpstr>Headcount!Input_LastRow_Bonus</vt:lpstr>
      <vt:lpstr>Headcount!Input_LastRow_Cap</vt:lpstr>
      <vt:lpstr>Input_LastRow_Commissions</vt:lpstr>
      <vt:lpstr>Headcount!Input_LastRow_EBO</vt:lpstr>
      <vt:lpstr>Headcount!Input_LastRow_ERC</vt:lpstr>
      <vt:lpstr>Headcount!Input_LastRow_ETO</vt:lpstr>
      <vt:lpstr>Headcount!Input_LastRow_Health</vt:lpstr>
      <vt:lpstr>Expenses!Input_LastRow_Input</vt:lpstr>
      <vt:lpstr>Headcount!Input_LastRow_Input</vt:lpstr>
      <vt:lpstr>Revenue!Input_LastRow_Input</vt:lpstr>
      <vt:lpstr>Headcount!Input_LastRow_Life</vt:lpstr>
      <vt:lpstr>Headcount!Input_LastRow_Payroll</vt:lpstr>
      <vt:lpstr>Headcount!Input_LastRow_Total</vt:lpstr>
      <vt:lpstr>Headcount!Input_LastRow_Training</vt:lpstr>
      <vt:lpstr>Expenses!Input_SelectColumn</vt:lpstr>
      <vt:lpstr>Headcount!Input_SelectColumn</vt:lpstr>
      <vt:lpstr>Revenue!Input_SelectColumn</vt:lpstr>
      <vt:lpstr>Expenses!Input_SheetName</vt:lpstr>
      <vt:lpstr>Headcount!Input_SheetName</vt:lpstr>
      <vt:lpstr>Revenue!Input_SheetName</vt:lpstr>
      <vt:lpstr>Expenses!Input_StartRow</vt:lpstr>
      <vt:lpstr>Headcount!Input_StartRow</vt:lpstr>
      <vt:lpstr>Revenue!Input_StartRow</vt:lpstr>
      <vt:lpstr>Headcount!Input_StartRow_CapRates</vt:lpstr>
      <vt:lpstr>Input_StartRow_Commission</vt:lpstr>
      <vt:lpstr>Expenses!Input_Valid</vt:lpstr>
      <vt:lpstr>Headcount!Input_Valid</vt:lpstr>
      <vt:lpstr>Revenue!Input_Valid</vt:lpstr>
      <vt:lpstr>Expenses!Input_WorkbookName</vt:lpstr>
      <vt:lpstr>Headcount!Input_WorkbookName</vt:lpstr>
      <vt:lpstr>Revenue!Input_WorkbookName</vt:lpstr>
      <vt:lpstr>LastRefreshed_Actuals</vt:lpstr>
      <vt:lpstr>LastRefreshed_Assumptions</vt:lpstr>
      <vt:lpstr>LastRefreshed_PL</vt:lpstr>
      <vt:lpstr>LastRefreshed_Push</vt:lpstr>
      <vt:lpstr>LastRefreshed_References</vt:lpstr>
      <vt:lpstr>LocalCurrency</vt:lpstr>
      <vt:lpstr>'Collapsed P&amp;L'!MonthRow</vt:lpstr>
      <vt:lpstr>'Detailed BTA'!MonthRow</vt:lpstr>
      <vt:lpstr>'Detailed P&amp;L'!MonthRow</vt:lpstr>
      <vt:lpstr>'Local P&amp;L'!MonthRow</vt:lpstr>
      <vt:lpstr>'Collapsed P&amp;L'!Net_Income</vt:lpstr>
      <vt:lpstr>'Detailed P&amp;L'!Net_Income</vt:lpstr>
      <vt:lpstr>OutputCurrency</vt:lpstr>
      <vt:lpstr>OutputOnly</vt:lpstr>
      <vt:lpstr>'Detailed P&amp;L'!OutputType</vt:lpstr>
      <vt:lpstr>'Collapsed P&amp;L'!PLColumn</vt:lpstr>
      <vt:lpstr>'Detailed BTA'!PLColumn</vt:lpstr>
      <vt:lpstr>'Detailed P&amp;L'!PLColumn</vt:lpstr>
      <vt:lpstr>'Local P&amp;L'!PLColumn</vt:lpstr>
      <vt:lpstr>'Detailed BTA'!RevenueDriver</vt:lpstr>
      <vt:lpstr>RevenueSelection</vt:lpstr>
      <vt:lpstr>'Collapsed BTA'!ScenarioRow</vt:lpstr>
      <vt:lpstr>'Collapsed P&amp;L'!ScenarioRow</vt:lpstr>
      <vt:lpstr>'Detailed BTA'!ScenarioRow</vt:lpstr>
      <vt:lpstr>'Detailed P&amp;L'!ScenarioRow</vt:lpstr>
      <vt:lpstr>'Local P&amp;L'!ScenarioRow</vt:lpstr>
      <vt:lpstr>'Collapsed P&amp;L'!SelectedCompany</vt:lpstr>
      <vt:lpstr>'Detailed BTA'!SelectedCompany</vt:lpstr>
      <vt:lpstr>'Detailed P&amp;L'!SelectedCompany</vt:lpstr>
      <vt:lpstr>'Local P&amp;L'!SelectedCompany</vt:lpstr>
      <vt:lpstr>'Collapsed P&amp;L'!SelectedDepartment</vt:lpstr>
      <vt:lpstr>'Detailed BTA'!SelectedDepartment</vt:lpstr>
      <vt:lpstr>'Detailed P&amp;L'!SelectedDepartment</vt:lpstr>
      <vt:lpstr>'Local P&amp;L'!SelectedDepartment</vt:lpstr>
      <vt:lpstr>'Collapsed P&amp;L'!SelectedDivision</vt:lpstr>
      <vt:lpstr>'Detailed BTA'!SelectedDivision</vt:lpstr>
      <vt:lpstr>'Detailed P&amp;L'!SelectedDivision</vt:lpstr>
      <vt:lpstr>'Local P&amp;L'!SelectedDivision</vt:lpstr>
      <vt:lpstr>'Collapsed P&amp;L'!SelectedLocation</vt:lpstr>
      <vt:lpstr>'Detailed BTA'!SelectedLocation</vt:lpstr>
      <vt:lpstr>'Detailed P&amp;L'!SelectedLocation</vt:lpstr>
      <vt:lpstr>'Local P&amp;L'!SelectedLocation</vt:lpstr>
      <vt:lpstr>'Collapsed P&amp;L'!SelectedProduct</vt:lpstr>
      <vt:lpstr>'Detailed BTA'!SelectedProduct</vt:lpstr>
      <vt:lpstr>'Detailed P&amp;L'!SelectedProduct</vt:lpstr>
      <vt:lpstr>'Local P&amp;L'!SelectedProduct</vt:lpstr>
      <vt:lpstr>'Collapsed P&amp;L'!SelectedTeam</vt:lpstr>
      <vt:lpstr>'Detailed BTA'!SelectedTeam</vt:lpstr>
      <vt:lpstr>'Detailed P&amp;L'!SelectedTeam</vt:lpstr>
      <vt:lpstr>'Local P&amp;L'!SelectedTeam</vt:lpstr>
      <vt:lpstr>'Collapsed P&amp;L'!Total_Expenses</vt:lpstr>
      <vt:lpstr>USorINTL</vt:lpstr>
    </vt:vector>
  </TitlesOfParts>
  <Company>Rackspace Hosting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Mueller</dc:creator>
  <cp:lastModifiedBy>zach</cp:lastModifiedBy>
  <cp:lastPrinted>2013-11-12T23:43:53Z</cp:lastPrinted>
  <dcterms:created xsi:type="dcterms:W3CDTF">2013-11-08T01:16:29Z</dcterms:created>
  <dcterms:modified xsi:type="dcterms:W3CDTF">2014-07-20T23:54:56Z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